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tables/table3.xml" ContentType="application/vnd.openxmlformats-officedocument.spreadsheetml.table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890" yWindow="915" windowWidth="15480" windowHeight="6585" tabRatio="779" activeTab="4"/>
  </bookViews>
  <sheets>
    <sheet name="NhatkyBan" sheetId="2" r:id="rId1"/>
    <sheet name="NhatkyNhap" sheetId="5" r:id="rId2"/>
    <sheet name="NhatkyTon" sheetId="6" r:id="rId3"/>
    <sheet name="ThongtinNgayban" sheetId="7" state="hidden" r:id="rId4"/>
    <sheet name="DSSP" sheetId="8" r:id="rId5"/>
    <sheet name="DV-IDENTITY-0" sheetId="12" state="veryHidden" r:id="rId6"/>
    <sheet name="Sheet1" sheetId="14" state="hidden" r:id="rId7"/>
    <sheet name="Sheet2" sheetId="15" state="hidden" r:id="rId8"/>
    <sheet name="TheoDoi" sheetId="16" r:id="rId9"/>
  </sheets>
  <functionGroups builtInGroupCount="17"/>
  <externalReferences>
    <externalReference r:id="rId10"/>
    <externalReference r:id="rId11"/>
  </externalReferences>
  <definedNames>
    <definedName name="_xlfn.SUMIFS" hidden="1" function="1" xlm="1">#NAME?</definedName>
  </definedNames>
  <calcPr calcId="145621"/>
</workbook>
</file>

<file path=xl/calcChain.xml><?xml version="1.0" encoding="utf-8"?>
<calcChain xmlns="http://schemas.openxmlformats.org/spreadsheetml/2006/main">
  <c r="A2" i="15" l="1"/>
  <c r="B2" i="15"/>
  <c r="C2" i="15"/>
  <c r="D2" i="15"/>
  <c r="E2" i="15"/>
  <c r="F2" i="15"/>
  <c r="G2" i="15"/>
  <c r="H2" i="15"/>
  <c r="I2" i="15"/>
  <c r="J2" i="15"/>
  <c r="K2" i="15"/>
  <c r="L2" i="15"/>
  <c r="M2" i="15"/>
  <c r="N2" i="15"/>
  <c r="A3" i="15"/>
  <c r="B3" i="15"/>
  <c r="C3" i="15"/>
  <c r="D3" i="15"/>
  <c r="E3" i="15"/>
  <c r="F3" i="15"/>
  <c r="G3" i="15"/>
  <c r="H3" i="15"/>
  <c r="I3" i="15"/>
  <c r="J3" i="15"/>
  <c r="K3" i="15"/>
  <c r="L3" i="15"/>
  <c r="M3" i="15"/>
  <c r="N3" i="15"/>
  <c r="A4" i="15"/>
  <c r="B4" i="15"/>
  <c r="C4" i="15"/>
  <c r="D4" i="15"/>
  <c r="E4" i="15"/>
  <c r="F4" i="15"/>
  <c r="G4" i="15"/>
  <c r="H4" i="15"/>
  <c r="I4" i="15"/>
  <c r="J4" i="15"/>
  <c r="K4" i="15"/>
  <c r="L4" i="15"/>
  <c r="M4" i="15"/>
  <c r="N4" i="15"/>
  <c r="A5" i="15"/>
  <c r="B5" i="15"/>
  <c r="C5" i="15"/>
  <c r="D5" i="15"/>
  <c r="E5" i="15"/>
  <c r="F5" i="15"/>
  <c r="G5" i="15"/>
  <c r="H5" i="15"/>
  <c r="I5" i="15"/>
  <c r="J5" i="15"/>
  <c r="K5" i="15"/>
  <c r="L5" i="15"/>
  <c r="M5" i="15"/>
  <c r="N5" i="15"/>
  <c r="A6" i="15"/>
  <c r="B6" i="15"/>
  <c r="C6" i="15"/>
  <c r="D6" i="15"/>
  <c r="E6" i="15"/>
  <c r="F6" i="15"/>
  <c r="G6" i="15"/>
  <c r="H6" i="15"/>
  <c r="I6" i="15"/>
  <c r="J6" i="15"/>
  <c r="K6" i="15"/>
  <c r="L6" i="15"/>
  <c r="M6" i="15"/>
  <c r="N6" i="15"/>
  <c r="A7" i="15"/>
  <c r="B7" i="15"/>
  <c r="C7" i="15"/>
  <c r="D7" i="15"/>
  <c r="E7" i="15"/>
  <c r="F7" i="15"/>
  <c r="G7" i="15"/>
  <c r="H7" i="15"/>
  <c r="I7" i="15"/>
  <c r="J7" i="15"/>
  <c r="K7" i="15"/>
  <c r="L7" i="15"/>
  <c r="M7" i="15"/>
  <c r="N7" i="15"/>
  <c r="A8" i="15"/>
  <c r="B8" i="15"/>
  <c r="C8" i="15"/>
  <c r="D8" i="15"/>
  <c r="E8" i="15"/>
  <c r="F8" i="15"/>
  <c r="G8" i="15"/>
  <c r="H8" i="15"/>
  <c r="I8" i="15"/>
  <c r="J8" i="15"/>
  <c r="K8" i="15"/>
  <c r="L8" i="15"/>
  <c r="M8" i="15"/>
  <c r="N8" i="15"/>
  <c r="A9" i="15"/>
  <c r="B9" i="15"/>
  <c r="C9" i="15"/>
  <c r="D9" i="15"/>
  <c r="E9" i="15"/>
  <c r="F9" i="15"/>
  <c r="G9" i="15"/>
  <c r="H9" i="15"/>
  <c r="I9" i="15"/>
  <c r="J9" i="15"/>
  <c r="K9" i="15"/>
  <c r="L9" i="15"/>
  <c r="M9" i="15"/>
  <c r="N9" i="15"/>
  <c r="A10" i="15"/>
  <c r="B10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A11" i="15"/>
  <c r="B11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A12" i="15"/>
  <c r="B12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A13" i="15"/>
  <c r="B13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A14" i="15"/>
  <c r="B14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A15" i="15"/>
  <c r="B15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A16" i="15"/>
  <c r="B16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A17" i="15"/>
  <c r="B17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A18" i="15"/>
  <c r="B18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A19" i="15"/>
  <c r="B19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A20" i="15"/>
  <c r="B20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A21" i="15"/>
  <c r="B21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A22" i="15"/>
  <c r="B22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A23" i="15"/>
  <c r="B23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A24" i="15"/>
  <c r="B24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A25" i="15"/>
  <c r="B25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A26" i="15"/>
  <c r="B26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A27" i="15"/>
  <c r="B27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A28" i="15"/>
  <c r="B28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A29" i="15"/>
  <c r="B29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A30" i="15"/>
  <c r="B30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A31" i="15"/>
  <c r="B31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A32" i="15"/>
  <c r="B32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A33" i="15"/>
  <c r="B33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A34" i="15"/>
  <c r="B34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A35" i="15"/>
  <c r="B35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A36" i="15"/>
  <c r="B36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A37" i="15"/>
  <c r="B37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A38" i="15"/>
  <c r="B38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A39" i="15"/>
  <c r="B39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A40" i="15"/>
  <c r="B40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A41" i="15"/>
  <c r="B41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A42" i="15"/>
  <c r="B42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A43" i="15"/>
  <c r="B43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A44" i="15"/>
  <c r="B44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A45" i="15"/>
  <c r="B45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A46" i="15"/>
  <c r="B46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A47" i="15"/>
  <c r="B47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A48" i="15"/>
  <c r="B48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A49" i="15"/>
  <c r="B49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A50" i="15"/>
  <c r="B50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A51" i="15"/>
  <c r="B51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A52" i="15"/>
  <c r="B52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A53" i="15"/>
  <c r="B53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A54" i="15"/>
  <c r="B54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A55" i="15"/>
  <c r="B55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A56" i="15"/>
  <c r="B56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A57" i="15"/>
  <c r="B57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A58" i="15"/>
  <c r="B58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A59" i="15"/>
  <c r="B59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A60" i="15"/>
  <c r="B60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A61" i="15"/>
  <c r="B61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A62" i="15"/>
  <c r="B62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A63" i="15"/>
  <c r="B63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A64" i="15"/>
  <c r="B64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A65" i="15"/>
  <c r="B65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A66" i="15"/>
  <c r="B66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A67" i="15"/>
  <c r="B67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A68" i="15"/>
  <c r="B68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A69" i="15"/>
  <c r="B69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A70" i="15"/>
  <c r="B70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A71" i="15"/>
  <c r="B71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A72" i="15"/>
  <c r="B72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A73" i="15"/>
  <c r="B73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A74" i="15"/>
  <c r="B74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A75" i="15"/>
  <c r="B75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A76" i="15"/>
  <c r="B76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A77" i="15"/>
  <c r="B77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A78" i="15"/>
  <c r="B78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A79" i="15"/>
  <c r="B79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A80" i="15"/>
  <c r="B80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A81" i="15"/>
  <c r="B81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A82" i="15"/>
  <c r="B82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A83" i="15"/>
  <c r="B83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A84" i="15"/>
  <c r="B84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A85" i="15"/>
  <c r="B85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A86" i="15"/>
  <c r="B86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A87" i="15"/>
  <c r="B87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A88" i="15"/>
  <c r="B88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A89" i="15"/>
  <c r="B89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A90" i="15"/>
  <c r="B90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A91" i="15"/>
  <c r="B91" i="15"/>
  <c r="C91" i="15"/>
  <c r="D91" i="15"/>
  <c r="E91" i="15"/>
  <c r="F91" i="15"/>
  <c r="G91" i="15"/>
  <c r="H91" i="15"/>
  <c r="I91" i="15"/>
  <c r="J91" i="15"/>
  <c r="K91" i="15"/>
  <c r="L91" i="15"/>
  <c r="M91" i="15"/>
  <c r="N91" i="15"/>
  <c r="A92" i="15"/>
  <c r="B92" i="15"/>
  <c r="C92" i="15"/>
  <c r="D92" i="15"/>
  <c r="E92" i="15"/>
  <c r="F92" i="15"/>
  <c r="G92" i="15"/>
  <c r="H92" i="15"/>
  <c r="I92" i="15"/>
  <c r="J92" i="15"/>
  <c r="K92" i="15"/>
  <c r="L92" i="15"/>
  <c r="M92" i="15"/>
  <c r="N92" i="15"/>
  <c r="A93" i="15"/>
  <c r="B93" i="15"/>
  <c r="C93" i="15"/>
  <c r="D93" i="15"/>
  <c r="E93" i="15"/>
  <c r="F93" i="15"/>
  <c r="G93" i="15"/>
  <c r="H93" i="15"/>
  <c r="I93" i="15"/>
  <c r="J93" i="15"/>
  <c r="K93" i="15"/>
  <c r="L93" i="15"/>
  <c r="M93" i="15"/>
  <c r="N93" i="15"/>
  <c r="A94" i="15"/>
  <c r="B94" i="15"/>
  <c r="C94" i="15"/>
  <c r="D94" i="15"/>
  <c r="E94" i="15"/>
  <c r="F94" i="15"/>
  <c r="G94" i="15"/>
  <c r="H94" i="15"/>
  <c r="I94" i="15"/>
  <c r="J94" i="15"/>
  <c r="K94" i="15"/>
  <c r="L94" i="15"/>
  <c r="M94" i="15"/>
  <c r="N94" i="15"/>
  <c r="A95" i="15"/>
  <c r="B95" i="15"/>
  <c r="C95" i="15"/>
  <c r="D95" i="15"/>
  <c r="E95" i="15"/>
  <c r="F95" i="15"/>
  <c r="G95" i="15"/>
  <c r="H95" i="15"/>
  <c r="I95" i="15"/>
  <c r="J95" i="15"/>
  <c r="K95" i="15"/>
  <c r="L95" i="15"/>
  <c r="M95" i="15"/>
  <c r="N95" i="15"/>
  <c r="A96" i="15"/>
  <c r="B96" i="15"/>
  <c r="C96" i="15"/>
  <c r="D96" i="15"/>
  <c r="E96" i="15"/>
  <c r="F96" i="15"/>
  <c r="G96" i="15"/>
  <c r="H96" i="15"/>
  <c r="I96" i="15"/>
  <c r="J96" i="15"/>
  <c r="K96" i="15"/>
  <c r="L96" i="15"/>
  <c r="M96" i="15"/>
  <c r="N96" i="15"/>
  <c r="A97" i="15"/>
  <c r="B97" i="15"/>
  <c r="C97" i="15"/>
  <c r="D97" i="15"/>
  <c r="E97" i="15"/>
  <c r="F97" i="15"/>
  <c r="G97" i="15"/>
  <c r="H97" i="15"/>
  <c r="I97" i="15"/>
  <c r="J97" i="15"/>
  <c r="K97" i="15"/>
  <c r="L97" i="15"/>
  <c r="M97" i="15"/>
  <c r="N97" i="15"/>
  <c r="A98" i="15"/>
  <c r="B98" i="15"/>
  <c r="C98" i="15"/>
  <c r="D98" i="15"/>
  <c r="E98" i="15"/>
  <c r="F98" i="15"/>
  <c r="G98" i="15"/>
  <c r="H98" i="15"/>
  <c r="I98" i="15"/>
  <c r="J98" i="15"/>
  <c r="K98" i="15"/>
  <c r="L98" i="15"/>
  <c r="M98" i="15"/>
  <c r="N98" i="15"/>
  <c r="A99" i="15"/>
  <c r="B99" i="15"/>
  <c r="C99" i="15"/>
  <c r="D99" i="15"/>
  <c r="E99" i="15"/>
  <c r="F99" i="15"/>
  <c r="G99" i="15"/>
  <c r="H99" i="15"/>
  <c r="I99" i="15"/>
  <c r="J99" i="15"/>
  <c r="K99" i="15"/>
  <c r="L99" i="15"/>
  <c r="M99" i="15"/>
  <c r="N99" i="15"/>
  <c r="A100" i="15"/>
  <c r="B100" i="15"/>
  <c r="C100" i="15"/>
  <c r="D100" i="15"/>
  <c r="E100" i="15"/>
  <c r="F100" i="15"/>
  <c r="G100" i="15"/>
  <c r="H100" i="15"/>
  <c r="I100" i="15"/>
  <c r="J100" i="15"/>
  <c r="K100" i="15"/>
  <c r="L100" i="15"/>
  <c r="M100" i="15"/>
  <c r="N100" i="15"/>
  <c r="A101" i="15"/>
  <c r="B101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A102" i="15"/>
  <c r="B102" i="15"/>
  <c r="C102" i="15"/>
  <c r="D102" i="15"/>
  <c r="E102" i="15"/>
  <c r="F102" i="15"/>
  <c r="G102" i="15"/>
  <c r="H102" i="15"/>
  <c r="I102" i="15"/>
  <c r="J102" i="15"/>
  <c r="K102" i="15"/>
  <c r="L102" i="15"/>
  <c r="M102" i="15"/>
  <c r="N102" i="15"/>
  <c r="A103" i="15"/>
  <c r="B103" i="15"/>
  <c r="C103" i="15"/>
  <c r="D103" i="15"/>
  <c r="E103" i="15"/>
  <c r="F103" i="15"/>
  <c r="G103" i="15"/>
  <c r="H103" i="15"/>
  <c r="I103" i="15"/>
  <c r="J103" i="15"/>
  <c r="K103" i="15"/>
  <c r="L103" i="15"/>
  <c r="M103" i="15"/>
  <c r="N103" i="15"/>
  <c r="A104" i="15"/>
  <c r="B104" i="15"/>
  <c r="C104" i="15"/>
  <c r="D104" i="15"/>
  <c r="E104" i="15"/>
  <c r="F104" i="15"/>
  <c r="G104" i="15"/>
  <c r="H104" i="15"/>
  <c r="I104" i="15"/>
  <c r="J104" i="15"/>
  <c r="K104" i="15"/>
  <c r="L104" i="15"/>
  <c r="M104" i="15"/>
  <c r="N104" i="15"/>
  <c r="A105" i="15"/>
  <c r="B105" i="15"/>
  <c r="C105" i="15"/>
  <c r="D105" i="15"/>
  <c r="E105" i="15"/>
  <c r="F105" i="15"/>
  <c r="G105" i="15"/>
  <c r="H105" i="15"/>
  <c r="I105" i="15"/>
  <c r="J105" i="15"/>
  <c r="K105" i="15"/>
  <c r="L105" i="15"/>
  <c r="M105" i="15"/>
  <c r="N105" i="15"/>
  <c r="A106" i="15"/>
  <c r="B106" i="15"/>
  <c r="C106" i="15"/>
  <c r="D106" i="15"/>
  <c r="E106" i="15"/>
  <c r="F106" i="15"/>
  <c r="G106" i="15"/>
  <c r="H106" i="15"/>
  <c r="I106" i="15"/>
  <c r="J106" i="15"/>
  <c r="K106" i="15"/>
  <c r="L106" i="15"/>
  <c r="M106" i="15"/>
  <c r="N106" i="15"/>
  <c r="A107" i="15"/>
  <c r="B107" i="15"/>
  <c r="C107" i="15"/>
  <c r="D107" i="15"/>
  <c r="E107" i="15"/>
  <c r="F107" i="15"/>
  <c r="G107" i="15"/>
  <c r="H107" i="15"/>
  <c r="I107" i="15"/>
  <c r="J107" i="15"/>
  <c r="K107" i="15"/>
  <c r="L107" i="15"/>
  <c r="M107" i="15"/>
  <c r="N107" i="15"/>
  <c r="A108" i="15"/>
  <c r="B108" i="15"/>
  <c r="C108" i="15"/>
  <c r="D108" i="15"/>
  <c r="E108" i="15"/>
  <c r="F108" i="15"/>
  <c r="G108" i="15"/>
  <c r="H108" i="15"/>
  <c r="I108" i="15"/>
  <c r="J108" i="15"/>
  <c r="K108" i="15"/>
  <c r="L108" i="15"/>
  <c r="M108" i="15"/>
  <c r="N108" i="15"/>
  <c r="A109" i="15"/>
  <c r="B109" i="15"/>
  <c r="C109" i="15"/>
  <c r="D109" i="15"/>
  <c r="E109" i="15"/>
  <c r="F109" i="15"/>
  <c r="G109" i="15"/>
  <c r="H109" i="15"/>
  <c r="I109" i="15"/>
  <c r="J109" i="15"/>
  <c r="K109" i="15"/>
  <c r="L109" i="15"/>
  <c r="M109" i="15"/>
  <c r="N109" i="15"/>
  <c r="A110" i="15"/>
  <c r="B110" i="15"/>
  <c r="C110" i="15"/>
  <c r="D110" i="15"/>
  <c r="E110" i="15"/>
  <c r="F110" i="15"/>
  <c r="G110" i="15"/>
  <c r="H110" i="15"/>
  <c r="I110" i="15"/>
  <c r="J110" i="15"/>
  <c r="K110" i="15"/>
  <c r="L110" i="15"/>
  <c r="M110" i="15"/>
  <c r="N110" i="15"/>
  <c r="A111" i="15"/>
  <c r="B111" i="15"/>
  <c r="C111" i="15"/>
  <c r="D111" i="15"/>
  <c r="E111" i="15"/>
  <c r="F111" i="15"/>
  <c r="G111" i="15"/>
  <c r="H111" i="15"/>
  <c r="I111" i="15"/>
  <c r="J111" i="15"/>
  <c r="K111" i="15"/>
  <c r="L111" i="15"/>
  <c r="M111" i="15"/>
  <c r="N111" i="15"/>
  <c r="A112" i="15"/>
  <c r="B112" i="15"/>
  <c r="C112" i="15"/>
  <c r="D112" i="15"/>
  <c r="E112" i="15"/>
  <c r="F112" i="15"/>
  <c r="G112" i="15"/>
  <c r="H112" i="15"/>
  <c r="I112" i="15"/>
  <c r="J112" i="15"/>
  <c r="K112" i="15"/>
  <c r="L112" i="15"/>
  <c r="M112" i="15"/>
  <c r="N112" i="15"/>
  <c r="A113" i="15"/>
  <c r="B113" i="15"/>
  <c r="C113" i="15"/>
  <c r="D113" i="15"/>
  <c r="E113" i="15"/>
  <c r="F113" i="15"/>
  <c r="G113" i="15"/>
  <c r="H113" i="15"/>
  <c r="I113" i="15"/>
  <c r="J113" i="15"/>
  <c r="K113" i="15"/>
  <c r="L113" i="15"/>
  <c r="M113" i="15"/>
  <c r="N113" i="15"/>
  <c r="A114" i="15"/>
  <c r="B114" i="15"/>
  <c r="C114" i="15"/>
  <c r="D114" i="15"/>
  <c r="E114" i="15"/>
  <c r="F114" i="15"/>
  <c r="G114" i="15"/>
  <c r="H114" i="15"/>
  <c r="I114" i="15"/>
  <c r="J114" i="15"/>
  <c r="K114" i="15"/>
  <c r="L114" i="15"/>
  <c r="M114" i="15"/>
  <c r="N114" i="15"/>
  <c r="A115" i="15"/>
  <c r="B115" i="15"/>
  <c r="C115" i="15"/>
  <c r="D115" i="15"/>
  <c r="E115" i="15"/>
  <c r="F115" i="15"/>
  <c r="G115" i="15"/>
  <c r="H115" i="15"/>
  <c r="I115" i="15"/>
  <c r="J115" i="15"/>
  <c r="K115" i="15"/>
  <c r="L115" i="15"/>
  <c r="M115" i="15"/>
  <c r="N115" i="15"/>
  <c r="A116" i="15"/>
  <c r="B116" i="15"/>
  <c r="C116" i="15"/>
  <c r="D116" i="15"/>
  <c r="E116" i="15"/>
  <c r="F116" i="15"/>
  <c r="G116" i="15"/>
  <c r="H116" i="15"/>
  <c r="I116" i="15"/>
  <c r="J116" i="15"/>
  <c r="K116" i="15"/>
  <c r="L116" i="15"/>
  <c r="M116" i="15"/>
  <c r="N116" i="15"/>
  <c r="A117" i="15"/>
  <c r="B117" i="15"/>
  <c r="C117" i="15"/>
  <c r="D117" i="15"/>
  <c r="E117" i="15"/>
  <c r="F117" i="15"/>
  <c r="G117" i="15"/>
  <c r="H117" i="15"/>
  <c r="I117" i="15"/>
  <c r="J117" i="15"/>
  <c r="K117" i="15"/>
  <c r="L117" i="15"/>
  <c r="M117" i="15"/>
  <c r="N117" i="15"/>
  <c r="A118" i="15"/>
  <c r="B118" i="15"/>
  <c r="C118" i="15"/>
  <c r="D118" i="15"/>
  <c r="E118" i="15"/>
  <c r="F118" i="15"/>
  <c r="G118" i="15"/>
  <c r="H118" i="15"/>
  <c r="I118" i="15"/>
  <c r="J118" i="15"/>
  <c r="K118" i="15"/>
  <c r="L118" i="15"/>
  <c r="M118" i="15"/>
  <c r="N118" i="15"/>
  <c r="A119" i="15"/>
  <c r="B119" i="15"/>
  <c r="C119" i="15"/>
  <c r="D119" i="15"/>
  <c r="E119" i="15"/>
  <c r="F119" i="15"/>
  <c r="G119" i="15"/>
  <c r="H119" i="15"/>
  <c r="I119" i="15"/>
  <c r="J119" i="15"/>
  <c r="K119" i="15"/>
  <c r="L119" i="15"/>
  <c r="M119" i="15"/>
  <c r="N119" i="15"/>
  <c r="A120" i="15"/>
  <c r="B120" i="15"/>
  <c r="C120" i="15"/>
  <c r="D120" i="15"/>
  <c r="E120" i="15"/>
  <c r="F120" i="15"/>
  <c r="G120" i="15"/>
  <c r="H120" i="15"/>
  <c r="I120" i="15"/>
  <c r="J120" i="15"/>
  <c r="K120" i="15"/>
  <c r="L120" i="15"/>
  <c r="M120" i="15"/>
  <c r="N120" i="15"/>
  <c r="A121" i="15"/>
  <c r="B121" i="15"/>
  <c r="C121" i="15"/>
  <c r="D121" i="15"/>
  <c r="E121" i="15"/>
  <c r="F121" i="15"/>
  <c r="G121" i="15"/>
  <c r="H121" i="15"/>
  <c r="I121" i="15"/>
  <c r="J121" i="15"/>
  <c r="K121" i="15"/>
  <c r="L121" i="15"/>
  <c r="M121" i="15"/>
  <c r="N121" i="15"/>
  <c r="A122" i="15"/>
  <c r="B122" i="15"/>
  <c r="C122" i="15"/>
  <c r="D122" i="15"/>
  <c r="E122" i="15"/>
  <c r="F122" i="15"/>
  <c r="G122" i="15"/>
  <c r="H122" i="15"/>
  <c r="I122" i="15"/>
  <c r="J122" i="15"/>
  <c r="K122" i="15"/>
  <c r="L122" i="15"/>
  <c r="M122" i="15"/>
  <c r="N122" i="15"/>
  <c r="A123" i="15"/>
  <c r="B123" i="15"/>
  <c r="C123" i="15"/>
  <c r="D123" i="15"/>
  <c r="E123" i="15"/>
  <c r="F123" i="15"/>
  <c r="G123" i="15"/>
  <c r="H123" i="15"/>
  <c r="I123" i="15"/>
  <c r="J123" i="15"/>
  <c r="K123" i="15"/>
  <c r="L123" i="15"/>
  <c r="M123" i="15"/>
  <c r="N123" i="15"/>
  <c r="A124" i="15"/>
  <c r="B124" i="15"/>
  <c r="C124" i="15"/>
  <c r="D124" i="15"/>
  <c r="E124" i="15"/>
  <c r="F124" i="15"/>
  <c r="G124" i="15"/>
  <c r="H124" i="15"/>
  <c r="I124" i="15"/>
  <c r="J124" i="15"/>
  <c r="K124" i="15"/>
  <c r="L124" i="15"/>
  <c r="M124" i="15"/>
  <c r="N124" i="15"/>
  <c r="A125" i="15"/>
  <c r="B125" i="15"/>
  <c r="C125" i="15"/>
  <c r="D125" i="15"/>
  <c r="E125" i="15"/>
  <c r="F125" i="15"/>
  <c r="G125" i="15"/>
  <c r="H125" i="15"/>
  <c r="I125" i="15"/>
  <c r="J125" i="15"/>
  <c r="K125" i="15"/>
  <c r="L125" i="15"/>
  <c r="M125" i="15"/>
  <c r="N125" i="15"/>
  <c r="A126" i="15"/>
  <c r="B126" i="15"/>
  <c r="C126" i="15"/>
  <c r="D126" i="15"/>
  <c r="E126" i="15"/>
  <c r="F126" i="15"/>
  <c r="G126" i="15"/>
  <c r="H126" i="15"/>
  <c r="I126" i="15"/>
  <c r="J126" i="15"/>
  <c r="K126" i="15"/>
  <c r="L126" i="15"/>
  <c r="M126" i="15"/>
  <c r="N126" i="15"/>
  <c r="A127" i="15"/>
  <c r="B127" i="15"/>
  <c r="C127" i="15"/>
  <c r="D127" i="15"/>
  <c r="E127" i="15"/>
  <c r="F127" i="15"/>
  <c r="G127" i="15"/>
  <c r="H127" i="15"/>
  <c r="I127" i="15"/>
  <c r="J127" i="15"/>
  <c r="K127" i="15"/>
  <c r="L127" i="15"/>
  <c r="M127" i="15"/>
  <c r="N127" i="15"/>
  <c r="A128" i="15"/>
  <c r="B128" i="15"/>
  <c r="C128" i="15"/>
  <c r="D128" i="15"/>
  <c r="E128" i="15"/>
  <c r="F128" i="15"/>
  <c r="G128" i="15"/>
  <c r="H128" i="15"/>
  <c r="I128" i="15"/>
  <c r="J128" i="15"/>
  <c r="K128" i="15"/>
  <c r="L128" i="15"/>
  <c r="M128" i="15"/>
  <c r="N128" i="15"/>
  <c r="A129" i="15"/>
  <c r="B129" i="15"/>
  <c r="C129" i="15"/>
  <c r="D129" i="15"/>
  <c r="E129" i="15"/>
  <c r="F129" i="15"/>
  <c r="G129" i="15"/>
  <c r="H129" i="15"/>
  <c r="I129" i="15"/>
  <c r="J129" i="15"/>
  <c r="K129" i="15"/>
  <c r="L129" i="15"/>
  <c r="M129" i="15"/>
  <c r="N129" i="15"/>
  <c r="A130" i="15"/>
  <c r="B130" i="15"/>
  <c r="C130" i="15"/>
  <c r="D130" i="15"/>
  <c r="E130" i="15"/>
  <c r="F130" i="15"/>
  <c r="G130" i="15"/>
  <c r="H130" i="15"/>
  <c r="I130" i="15"/>
  <c r="J130" i="15"/>
  <c r="K130" i="15"/>
  <c r="L130" i="15"/>
  <c r="M130" i="15"/>
  <c r="N130" i="15"/>
  <c r="A131" i="15"/>
  <c r="B131" i="15"/>
  <c r="C131" i="15"/>
  <c r="D131" i="15"/>
  <c r="E131" i="15"/>
  <c r="F131" i="15"/>
  <c r="G131" i="15"/>
  <c r="H131" i="15"/>
  <c r="I131" i="15"/>
  <c r="J131" i="15"/>
  <c r="K131" i="15"/>
  <c r="L131" i="15"/>
  <c r="M131" i="15"/>
  <c r="N131" i="15"/>
  <c r="A132" i="15"/>
  <c r="B132" i="15"/>
  <c r="C132" i="15"/>
  <c r="D132" i="15"/>
  <c r="E132" i="15"/>
  <c r="F132" i="15"/>
  <c r="G132" i="15"/>
  <c r="H132" i="15"/>
  <c r="I132" i="15"/>
  <c r="J132" i="15"/>
  <c r="K132" i="15"/>
  <c r="L132" i="15"/>
  <c r="M132" i="15"/>
  <c r="N132" i="15"/>
  <c r="A133" i="15"/>
  <c r="B133" i="15"/>
  <c r="C133" i="15"/>
  <c r="D133" i="15"/>
  <c r="E133" i="15"/>
  <c r="F133" i="15"/>
  <c r="G133" i="15"/>
  <c r="H133" i="15"/>
  <c r="I133" i="15"/>
  <c r="J133" i="15"/>
  <c r="K133" i="15"/>
  <c r="L133" i="15"/>
  <c r="M133" i="15"/>
  <c r="N133" i="15"/>
  <c r="A134" i="15"/>
  <c r="B134" i="15"/>
  <c r="C134" i="15"/>
  <c r="D134" i="15"/>
  <c r="E134" i="15"/>
  <c r="F134" i="15"/>
  <c r="G134" i="15"/>
  <c r="H134" i="15"/>
  <c r="I134" i="15"/>
  <c r="J134" i="15"/>
  <c r="K134" i="15"/>
  <c r="L134" i="15"/>
  <c r="M134" i="15"/>
  <c r="N134" i="15"/>
  <c r="A135" i="15"/>
  <c r="B135" i="15"/>
  <c r="C135" i="15"/>
  <c r="D135" i="15"/>
  <c r="E135" i="15"/>
  <c r="F135" i="15"/>
  <c r="G135" i="15"/>
  <c r="H135" i="15"/>
  <c r="I135" i="15"/>
  <c r="J135" i="15"/>
  <c r="K135" i="15"/>
  <c r="L135" i="15"/>
  <c r="M135" i="15"/>
  <c r="N135" i="15"/>
  <c r="A136" i="15"/>
  <c r="B136" i="15"/>
  <c r="C136" i="15"/>
  <c r="D136" i="15"/>
  <c r="E136" i="15"/>
  <c r="F136" i="15"/>
  <c r="G136" i="15"/>
  <c r="H136" i="15"/>
  <c r="I136" i="15"/>
  <c r="J136" i="15"/>
  <c r="K136" i="15"/>
  <c r="L136" i="15"/>
  <c r="M136" i="15"/>
  <c r="N136" i="15"/>
  <c r="A137" i="15"/>
  <c r="B137" i="15"/>
  <c r="C137" i="15"/>
  <c r="D137" i="15"/>
  <c r="E137" i="15"/>
  <c r="F137" i="15"/>
  <c r="G137" i="15"/>
  <c r="H137" i="15"/>
  <c r="I137" i="15"/>
  <c r="J137" i="15"/>
  <c r="K137" i="15"/>
  <c r="L137" i="15"/>
  <c r="M137" i="15"/>
  <c r="N137" i="15"/>
  <c r="A138" i="15"/>
  <c r="B138" i="15"/>
  <c r="C138" i="15"/>
  <c r="D138" i="15"/>
  <c r="E138" i="15"/>
  <c r="F138" i="15"/>
  <c r="G138" i="15"/>
  <c r="H138" i="15"/>
  <c r="I138" i="15"/>
  <c r="J138" i="15"/>
  <c r="K138" i="15"/>
  <c r="L138" i="15"/>
  <c r="M138" i="15"/>
  <c r="N138" i="15"/>
  <c r="A139" i="15"/>
  <c r="B139" i="15"/>
  <c r="C139" i="15"/>
  <c r="D139" i="15"/>
  <c r="E139" i="15"/>
  <c r="F139" i="15"/>
  <c r="G139" i="15"/>
  <c r="H139" i="15"/>
  <c r="I139" i="15"/>
  <c r="J139" i="15"/>
  <c r="K139" i="15"/>
  <c r="L139" i="15"/>
  <c r="M139" i="15"/>
  <c r="N139" i="15"/>
  <c r="A140" i="15"/>
  <c r="B140" i="15"/>
  <c r="C140" i="15"/>
  <c r="D140" i="15"/>
  <c r="E140" i="15"/>
  <c r="F140" i="15"/>
  <c r="G140" i="15"/>
  <c r="H140" i="15"/>
  <c r="I140" i="15"/>
  <c r="J140" i="15"/>
  <c r="K140" i="15"/>
  <c r="L140" i="15"/>
  <c r="M140" i="15"/>
  <c r="N140" i="15"/>
  <c r="A141" i="15"/>
  <c r="B141" i="15"/>
  <c r="C141" i="15"/>
  <c r="D141" i="15"/>
  <c r="E141" i="15"/>
  <c r="F141" i="15"/>
  <c r="G141" i="15"/>
  <c r="H141" i="15"/>
  <c r="I141" i="15"/>
  <c r="J141" i="15"/>
  <c r="K141" i="15"/>
  <c r="L141" i="15"/>
  <c r="M141" i="15"/>
  <c r="N141" i="15"/>
  <c r="A142" i="15"/>
  <c r="B142" i="15"/>
  <c r="C142" i="15"/>
  <c r="D142" i="15"/>
  <c r="E142" i="15"/>
  <c r="F142" i="15"/>
  <c r="G142" i="15"/>
  <c r="H142" i="15"/>
  <c r="I142" i="15"/>
  <c r="J142" i="15"/>
  <c r="K142" i="15"/>
  <c r="L142" i="15"/>
  <c r="M142" i="15"/>
  <c r="N142" i="15"/>
  <c r="A143" i="15"/>
  <c r="B143" i="15"/>
  <c r="C143" i="15"/>
  <c r="D143" i="15"/>
  <c r="E143" i="15"/>
  <c r="F143" i="15"/>
  <c r="G143" i="15"/>
  <c r="H143" i="15"/>
  <c r="I143" i="15"/>
  <c r="J143" i="15"/>
  <c r="K143" i="15"/>
  <c r="L143" i="15"/>
  <c r="M143" i="15"/>
  <c r="N143" i="15"/>
  <c r="A144" i="15"/>
  <c r="B144" i="15"/>
  <c r="C144" i="15"/>
  <c r="D144" i="15"/>
  <c r="E144" i="15"/>
  <c r="F144" i="15"/>
  <c r="G144" i="15"/>
  <c r="H144" i="15"/>
  <c r="I144" i="15"/>
  <c r="J144" i="15"/>
  <c r="K144" i="15"/>
  <c r="L144" i="15"/>
  <c r="M144" i="15"/>
  <c r="N144" i="15"/>
  <c r="A145" i="15"/>
  <c r="B145" i="15"/>
  <c r="C145" i="15"/>
  <c r="D145" i="15"/>
  <c r="E145" i="15"/>
  <c r="F145" i="15"/>
  <c r="G145" i="15"/>
  <c r="H145" i="15"/>
  <c r="I145" i="15"/>
  <c r="J145" i="15"/>
  <c r="K145" i="15"/>
  <c r="L145" i="15"/>
  <c r="M145" i="15"/>
  <c r="N145" i="15"/>
  <c r="A146" i="15"/>
  <c r="B146" i="15"/>
  <c r="C146" i="15"/>
  <c r="D146" i="15"/>
  <c r="E146" i="15"/>
  <c r="F146" i="15"/>
  <c r="G146" i="15"/>
  <c r="H146" i="15"/>
  <c r="I146" i="15"/>
  <c r="J146" i="15"/>
  <c r="K146" i="15"/>
  <c r="L146" i="15"/>
  <c r="M146" i="15"/>
  <c r="N146" i="15"/>
  <c r="A147" i="15"/>
  <c r="B147" i="15"/>
  <c r="C147" i="15"/>
  <c r="D147" i="15"/>
  <c r="E147" i="15"/>
  <c r="F147" i="15"/>
  <c r="G147" i="15"/>
  <c r="H147" i="15"/>
  <c r="I147" i="15"/>
  <c r="J147" i="15"/>
  <c r="K147" i="15"/>
  <c r="L147" i="15"/>
  <c r="M147" i="15"/>
  <c r="N147" i="15"/>
  <c r="A148" i="15"/>
  <c r="B148" i="15"/>
  <c r="C148" i="15"/>
  <c r="D148" i="15"/>
  <c r="E148" i="15"/>
  <c r="F148" i="15"/>
  <c r="G148" i="15"/>
  <c r="H148" i="15"/>
  <c r="I148" i="15"/>
  <c r="J148" i="15"/>
  <c r="K148" i="15"/>
  <c r="L148" i="15"/>
  <c r="M148" i="15"/>
  <c r="N148" i="15"/>
  <c r="A149" i="15"/>
  <c r="B149" i="15"/>
  <c r="C149" i="15"/>
  <c r="D149" i="15"/>
  <c r="E149" i="15"/>
  <c r="F149" i="15"/>
  <c r="G149" i="15"/>
  <c r="H149" i="15"/>
  <c r="I149" i="15"/>
  <c r="J149" i="15"/>
  <c r="K149" i="15"/>
  <c r="L149" i="15"/>
  <c r="M149" i="15"/>
  <c r="N149" i="15"/>
  <c r="A150" i="15"/>
  <c r="B150" i="15"/>
  <c r="C150" i="15"/>
  <c r="D150" i="15"/>
  <c r="E150" i="15"/>
  <c r="F150" i="15"/>
  <c r="G150" i="15"/>
  <c r="H150" i="15"/>
  <c r="I150" i="15"/>
  <c r="J150" i="15"/>
  <c r="K150" i="15"/>
  <c r="L150" i="15"/>
  <c r="M150" i="15"/>
  <c r="N150" i="15"/>
  <c r="A151" i="15"/>
  <c r="B151" i="15"/>
  <c r="C151" i="15"/>
  <c r="D151" i="15"/>
  <c r="E151" i="15"/>
  <c r="F151" i="15"/>
  <c r="G151" i="15"/>
  <c r="H151" i="15"/>
  <c r="I151" i="15"/>
  <c r="J151" i="15"/>
  <c r="K151" i="15"/>
  <c r="L151" i="15"/>
  <c r="M151" i="15"/>
  <c r="N151" i="15"/>
  <c r="A152" i="15"/>
  <c r="B152" i="15"/>
  <c r="C152" i="15"/>
  <c r="D152" i="15"/>
  <c r="E152" i="15"/>
  <c r="F152" i="15"/>
  <c r="G152" i="15"/>
  <c r="H152" i="15"/>
  <c r="I152" i="15"/>
  <c r="J152" i="15"/>
  <c r="K152" i="15"/>
  <c r="L152" i="15"/>
  <c r="M152" i="15"/>
  <c r="N152" i="15"/>
  <c r="A153" i="15"/>
  <c r="B153" i="15"/>
  <c r="C153" i="15"/>
  <c r="D153" i="15"/>
  <c r="E153" i="15"/>
  <c r="F153" i="15"/>
  <c r="G153" i="15"/>
  <c r="H153" i="15"/>
  <c r="I153" i="15"/>
  <c r="J153" i="15"/>
  <c r="K153" i="15"/>
  <c r="L153" i="15"/>
  <c r="M153" i="15"/>
  <c r="N153" i="15"/>
  <c r="A154" i="15"/>
  <c r="B154" i="15"/>
  <c r="C154" i="15"/>
  <c r="D154" i="15"/>
  <c r="E154" i="15"/>
  <c r="F154" i="15"/>
  <c r="G154" i="15"/>
  <c r="H154" i="15"/>
  <c r="I154" i="15"/>
  <c r="J154" i="15"/>
  <c r="K154" i="15"/>
  <c r="L154" i="15"/>
  <c r="M154" i="15"/>
  <c r="N154" i="15"/>
  <c r="A155" i="15"/>
  <c r="B155" i="15"/>
  <c r="C155" i="15"/>
  <c r="D155" i="15"/>
  <c r="E155" i="15"/>
  <c r="F155" i="15"/>
  <c r="G155" i="15"/>
  <c r="H155" i="15"/>
  <c r="I155" i="15"/>
  <c r="J155" i="15"/>
  <c r="K155" i="15"/>
  <c r="L155" i="15"/>
  <c r="M155" i="15"/>
  <c r="N155" i="15"/>
  <c r="A156" i="15"/>
  <c r="B156" i="15"/>
  <c r="C156" i="15"/>
  <c r="D156" i="15"/>
  <c r="E156" i="15"/>
  <c r="F156" i="15"/>
  <c r="G156" i="15"/>
  <c r="H156" i="15"/>
  <c r="I156" i="15"/>
  <c r="J156" i="15"/>
  <c r="K156" i="15"/>
  <c r="L156" i="15"/>
  <c r="M156" i="15"/>
  <c r="N156" i="15"/>
  <c r="A157" i="15"/>
  <c r="B157" i="15"/>
  <c r="C157" i="15"/>
  <c r="D157" i="15"/>
  <c r="E157" i="15"/>
  <c r="F157" i="15"/>
  <c r="G157" i="15"/>
  <c r="H157" i="15"/>
  <c r="I157" i="15"/>
  <c r="J157" i="15"/>
  <c r="K157" i="15"/>
  <c r="L157" i="15"/>
  <c r="M157" i="15"/>
  <c r="N157" i="15"/>
  <c r="A158" i="15"/>
  <c r="B158" i="15"/>
  <c r="C158" i="15"/>
  <c r="D158" i="15"/>
  <c r="E158" i="15"/>
  <c r="F158" i="15"/>
  <c r="G158" i="15"/>
  <c r="H158" i="15"/>
  <c r="I158" i="15"/>
  <c r="J158" i="15"/>
  <c r="K158" i="15"/>
  <c r="L158" i="15"/>
  <c r="M158" i="15"/>
  <c r="N158" i="15"/>
  <c r="A159" i="15"/>
  <c r="B159" i="15"/>
  <c r="C159" i="15"/>
  <c r="D159" i="15"/>
  <c r="E159" i="15"/>
  <c r="F159" i="15"/>
  <c r="G159" i="15"/>
  <c r="H159" i="15"/>
  <c r="I159" i="15"/>
  <c r="J159" i="15"/>
  <c r="K159" i="15"/>
  <c r="L159" i="15"/>
  <c r="M159" i="15"/>
  <c r="N159" i="15"/>
  <c r="A160" i="15"/>
  <c r="B160" i="15"/>
  <c r="C160" i="15"/>
  <c r="D160" i="15"/>
  <c r="E160" i="15"/>
  <c r="F160" i="15"/>
  <c r="G160" i="15"/>
  <c r="H160" i="15"/>
  <c r="I160" i="15"/>
  <c r="J160" i="15"/>
  <c r="K160" i="15"/>
  <c r="L160" i="15"/>
  <c r="M160" i="15"/>
  <c r="N160" i="15"/>
  <c r="A161" i="15"/>
  <c r="B161" i="15"/>
  <c r="C161" i="15"/>
  <c r="D161" i="15"/>
  <c r="E161" i="15"/>
  <c r="F161" i="15"/>
  <c r="G161" i="15"/>
  <c r="H161" i="15"/>
  <c r="I161" i="15"/>
  <c r="J161" i="15"/>
  <c r="K161" i="15"/>
  <c r="L161" i="15"/>
  <c r="M161" i="15"/>
  <c r="N161" i="15"/>
  <c r="A162" i="15"/>
  <c r="B162" i="15"/>
  <c r="C162" i="15"/>
  <c r="D162" i="15"/>
  <c r="E162" i="15"/>
  <c r="F162" i="15"/>
  <c r="G162" i="15"/>
  <c r="H162" i="15"/>
  <c r="I162" i="15"/>
  <c r="J162" i="15"/>
  <c r="K162" i="15"/>
  <c r="L162" i="15"/>
  <c r="M162" i="15"/>
  <c r="N162" i="15"/>
  <c r="A163" i="15"/>
  <c r="B163" i="15"/>
  <c r="C163" i="15"/>
  <c r="D163" i="15"/>
  <c r="E163" i="15"/>
  <c r="F163" i="15"/>
  <c r="G163" i="15"/>
  <c r="H163" i="15"/>
  <c r="I163" i="15"/>
  <c r="J163" i="15"/>
  <c r="K163" i="15"/>
  <c r="L163" i="15"/>
  <c r="M163" i="15"/>
  <c r="N163" i="15"/>
  <c r="A164" i="15"/>
  <c r="B164" i="15"/>
  <c r="C164" i="15"/>
  <c r="D164" i="15"/>
  <c r="E164" i="15"/>
  <c r="F164" i="15"/>
  <c r="G164" i="15"/>
  <c r="H164" i="15"/>
  <c r="I164" i="15"/>
  <c r="J164" i="15"/>
  <c r="K164" i="15"/>
  <c r="L164" i="15"/>
  <c r="M164" i="15"/>
  <c r="N164" i="15"/>
  <c r="A165" i="15"/>
  <c r="B165" i="15"/>
  <c r="C165" i="15"/>
  <c r="D165" i="15"/>
  <c r="E165" i="15"/>
  <c r="F165" i="15"/>
  <c r="G165" i="15"/>
  <c r="H165" i="15"/>
  <c r="I165" i="15"/>
  <c r="J165" i="15"/>
  <c r="K165" i="15"/>
  <c r="L165" i="15"/>
  <c r="M165" i="15"/>
  <c r="N165" i="15"/>
  <c r="A166" i="15"/>
  <c r="B166" i="15"/>
  <c r="C166" i="15"/>
  <c r="D166" i="15"/>
  <c r="E166" i="15"/>
  <c r="F166" i="15"/>
  <c r="G166" i="15"/>
  <c r="H166" i="15"/>
  <c r="I166" i="15"/>
  <c r="J166" i="15"/>
  <c r="K166" i="15"/>
  <c r="L166" i="15"/>
  <c r="M166" i="15"/>
  <c r="N166" i="15"/>
  <c r="A167" i="15"/>
  <c r="B167" i="15"/>
  <c r="C167" i="15"/>
  <c r="D167" i="15"/>
  <c r="E167" i="15"/>
  <c r="F167" i="15"/>
  <c r="G167" i="15"/>
  <c r="H167" i="15"/>
  <c r="I167" i="15"/>
  <c r="J167" i="15"/>
  <c r="K167" i="15"/>
  <c r="L167" i="15"/>
  <c r="M167" i="15"/>
  <c r="N167" i="15"/>
  <c r="A168" i="15"/>
  <c r="B168" i="15"/>
  <c r="C168" i="15"/>
  <c r="D168" i="15"/>
  <c r="E168" i="15"/>
  <c r="F168" i="15"/>
  <c r="G168" i="15"/>
  <c r="H168" i="15"/>
  <c r="I168" i="15"/>
  <c r="J168" i="15"/>
  <c r="K168" i="15"/>
  <c r="L168" i="15"/>
  <c r="M168" i="15"/>
  <c r="N168" i="15"/>
  <c r="A169" i="15"/>
  <c r="B169" i="15"/>
  <c r="C169" i="15"/>
  <c r="D169" i="15"/>
  <c r="E169" i="15"/>
  <c r="F169" i="15"/>
  <c r="G169" i="15"/>
  <c r="H169" i="15"/>
  <c r="I169" i="15"/>
  <c r="J169" i="15"/>
  <c r="K169" i="15"/>
  <c r="L169" i="15"/>
  <c r="M169" i="15"/>
  <c r="N169" i="15"/>
  <c r="A170" i="15"/>
  <c r="B170" i="15"/>
  <c r="C170" i="15"/>
  <c r="D170" i="15"/>
  <c r="E170" i="15"/>
  <c r="F170" i="15"/>
  <c r="G170" i="15"/>
  <c r="H170" i="15"/>
  <c r="I170" i="15"/>
  <c r="J170" i="15"/>
  <c r="K170" i="15"/>
  <c r="L170" i="15"/>
  <c r="M170" i="15"/>
  <c r="N170" i="15"/>
  <c r="A171" i="15"/>
  <c r="B171" i="15"/>
  <c r="C171" i="15"/>
  <c r="D171" i="15"/>
  <c r="E171" i="15"/>
  <c r="F171" i="15"/>
  <c r="G171" i="15"/>
  <c r="H171" i="15"/>
  <c r="I171" i="15"/>
  <c r="J171" i="15"/>
  <c r="K171" i="15"/>
  <c r="L171" i="15"/>
  <c r="M171" i="15"/>
  <c r="N171" i="15"/>
  <c r="A172" i="15"/>
  <c r="B172" i="15"/>
  <c r="C172" i="15"/>
  <c r="D172" i="15"/>
  <c r="E172" i="15"/>
  <c r="F172" i="15"/>
  <c r="G172" i="15"/>
  <c r="H172" i="15"/>
  <c r="I172" i="15"/>
  <c r="J172" i="15"/>
  <c r="K172" i="15"/>
  <c r="L172" i="15"/>
  <c r="M172" i="15"/>
  <c r="N172" i="15"/>
  <c r="A173" i="15"/>
  <c r="B173" i="15"/>
  <c r="C173" i="15"/>
  <c r="D173" i="15"/>
  <c r="E173" i="15"/>
  <c r="F173" i="15"/>
  <c r="G173" i="15"/>
  <c r="H173" i="15"/>
  <c r="I173" i="15"/>
  <c r="J173" i="15"/>
  <c r="K173" i="15"/>
  <c r="L173" i="15"/>
  <c r="M173" i="15"/>
  <c r="N173" i="15"/>
  <c r="A174" i="15"/>
  <c r="B174" i="15"/>
  <c r="C174" i="15"/>
  <c r="D174" i="15"/>
  <c r="E174" i="15"/>
  <c r="F174" i="15"/>
  <c r="G174" i="15"/>
  <c r="H174" i="15"/>
  <c r="I174" i="15"/>
  <c r="J174" i="15"/>
  <c r="K174" i="15"/>
  <c r="L174" i="15"/>
  <c r="M174" i="15"/>
  <c r="N174" i="15"/>
  <c r="A175" i="15"/>
  <c r="B175" i="15"/>
  <c r="C175" i="15"/>
  <c r="D175" i="15"/>
  <c r="E175" i="15"/>
  <c r="F175" i="15"/>
  <c r="G175" i="15"/>
  <c r="H175" i="15"/>
  <c r="I175" i="15"/>
  <c r="J175" i="15"/>
  <c r="K175" i="15"/>
  <c r="L175" i="15"/>
  <c r="M175" i="15"/>
  <c r="N175" i="15"/>
  <c r="A176" i="15"/>
  <c r="B176" i="15"/>
  <c r="C176" i="15"/>
  <c r="D176" i="15"/>
  <c r="E176" i="15"/>
  <c r="F176" i="15"/>
  <c r="G176" i="15"/>
  <c r="H176" i="15"/>
  <c r="I176" i="15"/>
  <c r="J176" i="15"/>
  <c r="K176" i="15"/>
  <c r="L176" i="15"/>
  <c r="M176" i="15"/>
  <c r="N176" i="15"/>
  <c r="A177" i="15"/>
  <c r="B177" i="15"/>
  <c r="C177" i="15"/>
  <c r="D177" i="15"/>
  <c r="E177" i="15"/>
  <c r="F177" i="15"/>
  <c r="G177" i="15"/>
  <c r="H177" i="15"/>
  <c r="I177" i="15"/>
  <c r="J177" i="15"/>
  <c r="K177" i="15"/>
  <c r="L177" i="15"/>
  <c r="M177" i="15"/>
  <c r="N177" i="15"/>
  <c r="A178" i="15"/>
  <c r="B178" i="15"/>
  <c r="C178" i="15"/>
  <c r="D178" i="15"/>
  <c r="E178" i="15"/>
  <c r="F178" i="15"/>
  <c r="G178" i="15"/>
  <c r="H178" i="15"/>
  <c r="I178" i="15"/>
  <c r="J178" i="15"/>
  <c r="K178" i="15"/>
  <c r="L178" i="15"/>
  <c r="M178" i="15"/>
  <c r="N178" i="15"/>
  <c r="A179" i="15"/>
  <c r="B179" i="15"/>
  <c r="C179" i="15"/>
  <c r="D179" i="15"/>
  <c r="E179" i="15"/>
  <c r="F179" i="15"/>
  <c r="G179" i="15"/>
  <c r="H179" i="15"/>
  <c r="I179" i="15"/>
  <c r="J179" i="15"/>
  <c r="K179" i="15"/>
  <c r="L179" i="15"/>
  <c r="M179" i="15"/>
  <c r="N179" i="15"/>
  <c r="A180" i="15"/>
  <c r="B180" i="15"/>
  <c r="C180" i="15"/>
  <c r="D180" i="15"/>
  <c r="E180" i="15"/>
  <c r="F180" i="15"/>
  <c r="G180" i="15"/>
  <c r="H180" i="15"/>
  <c r="I180" i="15"/>
  <c r="J180" i="15"/>
  <c r="K180" i="15"/>
  <c r="L180" i="15"/>
  <c r="M180" i="15"/>
  <c r="N180" i="15"/>
  <c r="A181" i="15"/>
  <c r="B181" i="15"/>
  <c r="C181" i="15"/>
  <c r="D181" i="15"/>
  <c r="E181" i="15"/>
  <c r="F181" i="15"/>
  <c r="G181" i="15"/>
  <c r="H181" i="15"/>
  <c r="I181" i="15"/>
  <c r="J181" i="15"/>
  <c r="K181" i="15"/>
  <c r="L181" i="15"/>
  <c r="M181" i="15"/>
  <c r="N181" i="15"/>
  <c r="A182" i="15"/>
  <c r="B182" i="15"/>
  <c r="C182" i="15"/>
  <c r="D182" i="15"/>
  <c r="E182" i="15"/>
  <c r="F182" i="15"/>
  <c r="G182" i="15"/>
  <c r="H182" i="15"/>
  <c r="I182" i="15"/>
  <c r="J182" i="15"/>
  <c r="K182" i="15"/>
  <c r="L182" i="15"/>
  <c r="M182" i="15"/>
  <c r="N182" i="15"/>
  <c r="A183" i="15"/>
  <c r="B183" i="15"/>
  <c r="C183" i="15"/>
  <c r="D183" i="15"/>
  <c r="E183" i="15"/>
  <c r="F183" i="15"/>
  <c r="G183" i="15"/>
  <c r="H183" i="15"/>
  <c r="I183" i="15"/>
  <c r="J183" i="15"/>
  <c r="K183" i="15"/>
  <c r="L183" i="15"/>
  <c r="M183" i="15"/>
  <c r="N183" i="15"/>
  <c r="A184" i="15"/>
  <c r="B184" i="15"/>
  <c r="C184" i="15"/>
  <c r="D184" i="15"/>
  <c r="E184" i="15"/>
  <c r="F184" i="15"/>
  <c r="G184" i="15"/>
  <c r="H184" i="15"/>
  <c r="I184" i="15"/>
  <c r="J184" i="15"/>
  <c r="K184" i="15"/>
  <c r="L184" i="15"/>
  <c r="M184" i="15"/>
  <c r="N184" i="15"/>
  <c r="A185" i="15"/>
  <c r="B185" i="15"/>
  <c r="C185" i="15"/>
  <c r="D185" i="15"/>
  <c r="E185" i="15"/>
  <c r="F185" i="15"/>
  <c r="G185" i="15"/>
  <c r="H185" i="15"/>
  <c r="I185" i="15"/>
  <c r="J185" i="15"/>
  <c r="K185" i="15"/>
  <c r="L185" i="15"/>
  <c r="M185" i="15"/>
  <c r="N185" i="15"/>
  <c r="A186" i="15"/>
  <c r="B186" i="15"/>
  <c r="C186" i="15"/>
  <c r="D186" i="15"/>
  <c r="E186" i="15"/>
  <c r="F186" i="15"/>
  <c r="G186" i="15"/>
  <c r="H186" i="15"/>
  <c r="I186" i="15"/>
  <c r="J186" i="15"/>
  <c r="K186" i="15"/>
  <c r="L186" i="15"/>
  <c r="M186" i="15"/>
  <c r="N186" i="15"/>
  <c r="A187" i="15"/>
  <c r="B187" i="15"/>
  <c r="C187" i="15"/>
  <c r="D187" i="15"/>
  <c r="E187" i="15"/>
  <c r="F187" i="15"/>
  <c r="G187" i="15"/>
  <c r="H187" i="15"/>
  <c r="I187" i="15"/>
  <c r="J187" i="15"/>
  <c r="K187" i="15"/>
  <c r="L187" i="15"/>
  <c r="M187" i="15"/>
  <c r="N187" i="15"/>
  <c r="A188" i="15"/>
  <c r="B188" i="15"/>
  <c r="C188" i="15"/>
  <c r="D188" i="15"/>
  <c r="E188" i="15"/>
  <c r="F188" i="15"/>
  <c r="G188" i="15"/>
  <c r="H188" i="15"/>
  <c r="I188" i="15"/>
  <c r="J188" i="15"/>
  <c r="K188" i="15"/>
  <c r="L188" i="15"/>
  <c r="M188" i="15"/>
  <c r="N188" i="15"/>
  <c r="A189" i="15"/>
  <c r="B189" i="15"/>
  <c r="C189" i="15"/>
  <c r="D189" i="15"/>
  <c r="E189" i="15"/>
  <c r="F189" i="15"/>
  <c r="G189" i="15"/>
  <c r="H189" i="15"/>
  <c r="I189" i="15"/>
  <c r="J189" i="15"/>
  <c r="K189" i="15"/>
  <c r="L189" i="15"/>
  <c r="M189" i="15"/>
  <c r="N189" i="15"/>
  <c r="A190" i="15"/>
  <c r="B190" i="15"/>
  <c r="C190" i="15"/>
  <c r="D190" i="15"/>
  <c r="E190" i="15"/>
  <c r="F190" i="15"/>
  <c r="G190" i="15"/>
  <c r="H190" i="15"/>
  <c r="I190" i="15"/>
  <c r="J190" i="15"/>
  <c r="K190" i="15"/>
  <c r="L190" i="15"/>
  <c r="M190" i="15"/>
  <c r="N190" i="15"/>
  <c r="A191" i="15"/>
  <c r="B191" i="15"/>
  <c r="C191" i="15"/>
  <c r="D191" i="15"/>
  <c r="E191" i="15"/>
  <c r="F191" i="15"/>
  <c r="G191" i="15"/>
  <c r="H191" i="15"/>
  <c r="I191" i="15"/>
  <c r="J191" i="15"/>
  <c r="K191" i="15"/>
  <c r="L191" i="15"/>
  <c r="M191" i="15"/>
  <c r="N191" i="15"/>
  <c r="A192" i="15"/>
  <c r="B192" i="15"/>
  <c r="C192" i="15"/>
  <c r="D192" i="15"/>
  <c r="E192" i="15"/>
  <c r="F192" i="15"/>
  <c r="G192" i="15"/>
  <c r="H192" i="15"/>
  <c r="I192" i="15"/>
  <c r="J192" i="15"/>
  <c r="K192" i="15"/>
  <c r="L192" i="15"/>
  <c r="M192" i="15"/>
  <c r="N192" i="15"/>
  <c r="A193" i="15"/>
  <c r="B193" i="15"/>
  <c r="C193" i="15"/>
  <c r="D193" i="15"/>
  <c r="E193" i="15"/>
  <c r="F193" i="15"/>
  <c r="G193" i="15"/>
  <c r="H193" i="15"/>
  <c r="I193" i="15"/>
  <c r="J193" i="15"/>
  <c r="K193" i="15"/>
  <c r="L193" i="15"/>
  <c r="M193" i="15"/>
  <c r="N193" i="15"/>
  <c r="A194" i="15"/>
  <c r="B194" i="15"/>
  <c r="C194" i="15"/>
  <c r="D194" i="15"/>
  <c r="E194" i="15"/>
  <c r="F194" i="15"/>
  <c r="G194" i="15"/>
  <c r="H194" i="15"/>
  <c r="I194" i="15"/>
  <c r="J194" i="15"/>
  <c r="K194" i="15"/>
  <c r="L194" i="15"/>
  <c r="M194" i="15"/>
  <c r="N194" i="15"/>
  <c r="A195" i="15"/>
  <c r="B195" i="15"/>
  <c r="C195" i="15"/>
  <c r="D195" i="15"/>
  <c r="E195" i="15"/>
  <c r="F195" i="15"/>
  <c r="G195" i="15"/>
  <c r="H195" i="15"/>
  <c r="I195" i="15"/>
  <c r="J195" i="15"/>
  <c r="K195" i="15"/>
  <c r="L195" i="15"/>
  <c r="M195" i="15"/>
  <c r="N195" i="15"/>
  <c r="A196" i="15"/>
  <c r="B196" i="15"/>
  <c r="C196" i="15"/>
  <c r="D196" i="15"/>
  <c r="E196" i="15"/>
  <c r="F196" i="15"/>
  <c r="G196" i="15"/>
  <c r="H196" i="15"/>
  <c r="I196" i="15"/>
  <c r="J196" i="15"/>
  <c r="K196" i="15"/>
  <c r="L196" i="15"/>
  <c r="M196" i="15"/>
  <c r="N196" i="15"/>
  <c r="A197" i="15"/>
  <c r="B197" i="15"/>
  <c r="C197" i="15"/>
  <c r="D197" i="15"/>
  <c r="E197" i="15"/>
  <c r="F197" i="15"/>
  <c r="G197" i="15"/>
  <c r="H197" i="15"/>
  <c r="I197" i="15"/>
  <c r="J197" i="15"/>
  <c r="K197" i="15"/>
  <c r="L197" i="15"/>
  <c r="M197" i="15"/>
  <c r="N197" i="15"/>
  <c r="A198" i="15"/>
  <c r="B198" i="15"/>
  <c r="C198" i="15"/>
  <c r="D198" i="15"/>
  <c r="E198" i="15"/>
  <c r="F198" i="15"/>
  <c r="G198" i="15"/>
  <c r="H198" i="15"/>
  <c r="I198" i="15"/>
  <c r="J198" i="15"/>
  <c r="K198" i="15"/>
  <c r="L198" i="15"/>
  <c r="M198" i="15"/>
  <c r="N198" i="15"/>
  <c r="A199" i="15"/>
  <c r="B199" i="15"/>
  <c r="C199" i="15"/>
  <c r="D199" i="15"/>
  <c r="E199" i="15"/>
  <c r="F199" i="15"/>
  <c r="G199" i="15"/>
  <c r="H199" i="15"/>
  <c r="I199" i="15"/>
  <c r="J199" i="15"/>
  <c r="K199" i="15"/>
  <c r="L199" i="15"/>
  <c r="M199" i="15"/>
  <c r="N199" i="15"/>
  <c r="A200" i="15"/>
  <c r="B200" i="15"/>
  <c r="C200" i="15"/>
  <c r="D200" i="15"/>
  <c r="E200" i="15"/>
  <c r="F200" i="15"/>
  <c r="G200" i="15"/>
  <c r="H200" i="15"/>
  <c r="I200" i="15"/>
  <c r="J200" i="15"/>
  <c r="K200" i="15"/>
  <c r="L200" i="15"/>
  <c r="M200" i="15"/>
  <c r="N200" i="15"/>
  <c r="A201" i="15"/>
  <c r="B201" i="15"/>
  <c r="C201" i="15"/>
  <c r="D201" i="15"/>
  <c r="E201" i="15"/>
  <c r="F201" i="15"/>
  <c r="G201" i="15"/>
  <c r="H201" i="15"/>
  <c r="I201" i="15"/>
  <c r="J201" i="15"/>
  <c r="K201" i="15"/>
  <c r="L201" i="15"/>
  <c r="M201" i="15"/>
  <c r="N201" i="15"/>
  <c r="A202" i="15"/>
  <c r="B202" i="15"/>
  <c r="C202" i="15"/>
  <c r="D202" i="15"/>
  <c r="E202" i="15"/>
  <c r="F202" i="15"/>
  <c r="G202" i="15"/>
  <c r="H202" i="15"/>
  <c r="I202" i="15"/>
  <c r="J202" i="15"/>
  <c r="K202" i="15"/>
  <c r="L202" i="15"/>
  <c r="M202" i="15"/>
  <c r="N202" i="15"/>
  <c r="A203" i="15"/>
  <c r="B203" i="15"/>
  <c r="C203" i="15"/>
  <c r="D203" i="15"/>
  <c r="E203" i="15"/>
  <c r="F203" i="15"/>
  <c r="G203" i="15"/>
  <c r="H203" i="15"/>
  <c r="I203" i="15"/>
  <c r="J203" i="15"/>
  <c r="K203" i="15"/>
  <c r="L203" i="15"/>
  <c r="M203" i="15"/>
  <c r="N203" i="15"/>
  <c r="A204" i="15"/>
  <c r="B204" i="15"/>
  <c r="C204" i="15"/>
  <c r="D204" i="15"/>
  <c r="E204" i="15"/>
  <c r="F204" i="15"/>
  <c r="G204" i="15"/>
  <c r="H204" i="15"/>
  <c r="I204" i="15"/>
  <c r="J204" i="15"/>
  <c r="K204" i="15"/>
  <c r="L204" i="15"/>
  <c r="M204" i="15"/>
  <c r="N204" i="15"/>
  <c r="A205" i="15"/>
  <c r="B205" i="15"/>
  <c r="C205" i="15"/>
  <c r="D205" i="15"/>
  <c r="E205" i="15"/>
  <c r="F205" i="15"/>
  <c r="G205" i="15"/>
  <c r="H205" i="15"/>
  <c r="I205" i="15"/>
  <c r="J205" i="15"/>
  <c r="K205" i="15"/>
  <c r="L205" i="15"/>
  <c r="M205" i="15"/>
  <c r="N205" i="15"/>
  <c r="A206" i="15"/>
  <c r="B206" i="15"/>
  <c r="C206" i="15"/>
  <c r="D206" i="15"/>
  <c r="E206" i="15"/>
  <c r="F206" i="15"/>
  <c r="G206" i="15"/>
  <c r="H206" i="15"/>
  <c r="I206" i="15"/>
  <c r="J206" i="15"/>
  <c r="K206" i="15"/>
  <c r="L206" i="15"/>
  <c r="M206" i="15"/>
  <c r="N206" i="15"/>
  <c r="A207" i="15"/>
  <c r="B207" i="15"/>
  <c r="C207" i="15"/>
  <c r="D207" i="15"/>
  <c r="E207" i="15"/>
  <c r="F207" i="15"/>
  <c r="G207" i="15"/>
  <c r="H207" i="15"/>
  <c r="I207" i="15"/>
  <c r="J207" i="15"/>
  <c r="K207" i="15"/>
  <c r="L207" i="15"/>
  <c r="M207" i="15"/>
  <c r="N207" i="15"/>
  <c r="A208" i="15"/>
  <c r="B208" i="15"/>
  <c r="C208" i="15"/>
  <c r="D208" i="15"/>
  <c r="E208" i="15"/>
  <c r="F208" i="15"/>
  <c r="G208" i="15"/>
  <c r="H208" i="15"/>
  <c r="I208" i="15"/>
  <c r="J208" i="15"/>
  <c r="K208" i="15"/>
  <c r="L208" i="15"/>
  <c r="M208" i="15"/>
  <c r="N208" i="15"/>
  <c r="A209" i="15"/>
  <c r="B209" i="15"/>
  <c r="C209" i="15"/>
  <c r="D209" i="15"/>
  <c r="E209" i="15"/>
  <c r="F209" i="15"/>
  <c r="G209" i="15"/>
  <c r="H209" i="15"/>
  <c r="I209" i="15"/>
  <c r="J209" i="15"/>
  <c r="K209" i="15"/>
  <c r="L209" i="15"/>
  <c r="M209" i="15"/>
  <c r="N209" i="15"/>
  <c r="A210" i="15"/>
  <c r="B210" i="15"/>
  <c r="C210" i="15"/>
  <c r="D210" i="15"/>
  <c r="E210" i="15"/>
  <c r="F210" i="15"/>
  <c r="G210" i="15"/>
  <c r="H210" i="15"/>
  <c r="I210" i="15"/>
  <c r="J210" i="15"/>
  <c r="K210" i="15"/>
  <c r="L210" i="15"/>
  <c r="M210" i="15"/>
  <c r="N210" i="15"/>
  <c r="A211" i="15"/>
  <c r="B211" i="15"/>
  <c r="C211" i="15"/>
  <c r="D211" i="15"/>
  <c r="E211" i="15"/>
  <c r="F211" i="15"/>
  <c r="G211" i="15"/>
  <c r="H211" i="15"/>
  <c r="I211" i="15"/>
  <c r="J211" i="15"/>
  <c r="K211" i="15"/>
  <c r="L211" i="15"/>
  <c r="M211" i="15"/>
  <c r="N211" i="15"/>
  <c r="A212" i="15"/>
  <c r="B212" i="15"/>
  <c r="C212" i="15"/>
  <c r="D212" i="15"/>
  <c r="E212" i="15"/>
  <c r="F212" i="15"/>
  <c r="G212" i="15"/>
  <c r="H212" i="15"/>
  <c r="I212" i="15"/>
  <c r="J212" i="15"/>
  <c r="K212" i="15"/>
  <c r="L212" i="15"/>
  <c r="M212" i="15"/>
  <c r="N212" i="15"/>
  <c r="A213" i="15"/>
  <c r="B213" i="15"/>
  <c r="C213" i="15"/>
  <c r="D213" i="15"/>
  <c r="E213" i="15"/>
  <c r="F213" i="15"/>
  <c r="G213" i="15"/>
  <c r="H213" i="15"/>
  <c r="I213" i="15"/>
  <c r="J213" i="15"/>
  <c r="K213" i="15"/>
  <c r="L213" i="15"/>
  <c r="M213" i="15"/>
  <c r="N213" i="15"/>
  <c r="A214" i="15"/>
  <c r="B214" i="15"/>
  <c r="C214" i="15"/>
  <c r="D214" i="15"/>
  <c r="E214" i="15"/>
  <c r="F214" i="15"/>
  <c r="G214" i="15"/>
  <c r="H214" i="15"/>
  <c r="I214" i="15"/>
  <c r="J214" i="15"/>
  <c r="K214" i="15"/>
  <c r="L214" i="15"/>
  <c r="M214" i="15"/>
  <c r="N214" i="15"/>
  <c r="A215" i="15"/>
  <c r="B215" i="15"/>
  <c r="C215" i="15"/>
  <c r="D215" i="15"/>
  <c r="E215" i="15"/>
  <c r="F215" i="15"/>
  <c r="G215" i="15"/>
  <c r="H215" i="15"/>
  <c r="I215" i="15"/>
  <c r="J215" i="15"/>
  <c r="K215" i="15"/>
  <c r="L215" i="15"/>
  <c r="M215" i="15"/>
  <c r="N215" i="15"/>
  <c r="A216" i="15"/>
  <c r="B216" i="15"/>
  <c r="C216" i="15"/>
  <c r="D216" i="15"/>
  <c r="E216" i="15"/>
  <c r="F216" i="15"/>
  <c r="G216" i="15"/>
  <c r="H216" i="15"/>
  <c r="I216" i="15"/>
  <c r="J216" i="15"/>
  <c r="K216" i="15"/>
  <c r="L216" i="15"/>
  <c r="M216" i="15"/>
  <c r="N216" i="15"/>
  <c r="A217" i="15"/>
  <c r="B217" i="15"/>
  <c r="C217" i="15"/>
  <c r="D217" i="15"/>
  <c r="E217" i="15"/>
  <c r="F217" i="15"/>
  <c r="G217" i="15"/>
  <c r="H217" i="15"/>
  <c r="I217" i="15"/>
  <c r="J217" i="15"/>
  <c r="K217" i="15"/>
  <c r="L217" i="15"/>
  <c r="M217" i="15"/>
  <c r="N217" i="15"/>
  <c r="A218" i="15"/>
  <c r="B218" i="15"/>
  <c r="C218" i="15"/>
  <c r="D218" i="15"/>
  <c r="E218" i="15"/>
  <c r="F218" i="15"/>
  <c r="G218" i="15"/>
  <c r="H218" i="15"/>
  <c r="I218" i="15"/>
  <c r="J218" i="15"/>
  <c r="K218" i="15"/>
  <c r="L218" i="15"/>
  <c r="M218" i="15"/>
  <c r="N218" i="15"/>
  <c r="A219" i="15"/>
  <c r="B219" i="15"/>
  <c r="C219" i="15"/>
  <c r="D219" i="15"/>
  <c r="E219" i="15"/>
  <c r="F219" i="15"/>
  <c r="G219" i="15"/>
  <c r="H219" i="15"/>
  <c r="I219" i="15"/>
  <c r="J219" i="15"/>
  <c r="K219" i="15"/>
  <c r="L219" i="15"/>
  <c r="M219" i="15"/>
  <c r="N219" i="15"/>
  <c r="A220" i="15"/>
  <c r="B220" i="15"/>
  <c r="C220" i="15"/>
  <c r="D220" i="15"/>
  <c r="E220" i="15"/>
  <c r="F220" i="15"/>
  <c r="G220" i="15"/>
  <c r="H220" i="15"/>
  <c r="I220" i="15"/>
  <c r="J220" i="15"/>
  <c r="K220" i="15"/>
  <c r="L220" i="15"/>
  <c r="M220" i="15"/>
  <c r="N220" i="15"/>
  <c r="A221" i="15"/>
  <c r="B221" i="15"/>
  <c r="C221" i="15"/>
  <c r="D221" i="15"/>
  <c r="E221" i="15"/>
  <c r="F221" i="15"/>
  <c r="G221" i="15"/>
  <c r="H221" i="15"/>
  <c r="I221" i="15"/>
  <c r="J221" i="15"/>
  <c r="K221" i="15"/>
  <c r="L221" i="15"/>
  <c r="M221" i="15"/>
  <c r="N221" i="15"/>
  <c r="A222" i="15"/>
  <c r="B222" i="15"/>
  <c r="C222" i="15"/>
  <c r="D222" i="15"/>
  <c r="E222" i="15"/>
  <c r="F222" i="15"/>
  <c r="G222" i="15"/>
  <c r="H222" i="15"/>
  <c r="I222" i="15"/>
  <c r="J222" i="15"/>
  <c r="K222" i="15"/>
  <c r="L222" i="15"/>
  <c r="M222" i="15"/>
  <c r="N222" i="15"/>
  <c r="A223" i="15"/>
  <c r="B223" i="15"/>
  <c r="C223" i="15"/>
  <c r="D223" i="15"/>
  <c r="E223" i="15"/>
  <c r="F223" i="15"/>
  <c r="G223" i="15"/>
  <c r="H223" i="15"/>
  <c r="I223" i="15"/>
  <c r="J223" i="15"/>
  <c r="K223" i="15"/>
  <c r="L223" i="15"/>
  <c r="M223" i="15"/>
  <c r="N223" i="15"/>
  <c r="A224" i="15"/>
  <c r="B224" i="15"/>
  <c r="C224" i="15"/>
  <c r="D224" i="15"/>
  <c r="E224" i="15"/>
  <c r="F224" i="15"/>
  <c r="G224" i="15"/>
  <c r="H224" i="15"/>
  <c r="I224" i="15"/>
  <c r="J224" i="15"/>
  <c r="K224" i="15"/>
  <c r="L224" i="15"/>
  <c r="M224" i="15"/>
  <c r="N224" i="15"/>
  <c r="A225" i="15"/>
  <c r="B225" i="15"/>
  <c r="C225" i="15"/>
  <c r="D225" i="15"/>
  <c r="E225" i="15"/>
  <c r="F225" i="15"/>
  <c r="G225" i="15"/>
  <c r="H225" i="15"/>
  <c r="I225" i="15"/>
  <c r="J225" i="15"/>
  <c r="K225" i="15"/>
  <c r="L225" i="15"/>
  <c r="M225" i="15"/>
  <c r="N225" i="15"/>
  <c r="A226" i="15"/>
  <c r="B226" i="15"/>
  <c r="C226" i="15"/>
  <c r="D226" i="15"/>
  <c r="E226" i="15"/>
  <c r="F226" i="15"/>
  <c r="G226" i="15"/>
  <c r="H226" i="15"/>
  <c r="I226" i="15"/>
  <c r="J226" i="15"/>
  <c r="K226" i="15"/>
  <c r="L226" i="15"/>
  <c r="M226" i="15"/>
  <c r="N226" i="15"/>
  <c r="A227" i="15"/>
  <c r="B227" i="15"/>
  <c r="C227" i="15"/>
  <c r="D227" i="15"/>
  <c r="E227" i="15"/>
  <c r="F227" i="15"/>
  <c r="G227" i="15"/>
  <c r="H227" i="15"/>
  <c r="I227" i="15"/>
  <c r="J227" i="15"/>
  <c r="K227" i="15"/>
  <c r="L227" i="15"/>
  <c r="M227" i="15"/>
  <c r="N227" i="15"/>
  <c r="A228" i="15"/>
  <c r="B228" i="15"/>
  <c r="C228" i="15"/>
  <c r="D228" i="15"/>
  <c r="E228" i="15"/>
  <c r="F228" i="15"/>
  <c r="G228" i="15"/>
  <c r="H228" i="15"/>
  <c r="I228" i="15"/>
  <c r="J228" i="15"/>
  <c r="K228" i="15"/>
  <c r="L228" i="15"/>
  <c r="M228" i="15"/>
  <c r="N228" i="15"/>
  <c r="A229" i="15"/>
  <c r="B229" i="15"/>
  <c r="C229" i="15"/>
  <c r="D229" i="15"/>
  <c r="E229" i="15"/>
  <c r="F229" i="15"/>
  <c r="G229" i="15"/>
  <c r="H229" i="15"/>
  <c r="I229" i="15"/>
  <c r="J229" i="15"/>
  <c r="K229" i="15"/>
  <c r="L229" i="15"/>
  <c r="M229" i="15"/>
  <c r="N229" i="15"/>
  <c r="A230" i="15"/>
  <c r="B230" i="15"/>
  <c r="C230" i="15"/>
  <c r="D230" i="15"/>
  <c r="E230" i="15"/>
  <c r="F230" i="15"/>
  <c r="G230" i="15"/>
  <c r="H230" i="15"/>
  <c r="I230" i="15"/>
  <c r="J230" i="15"/>
  <c r="K230" i="15"/>
  <c r="L230" i="15"/>
  <c r="M230" i="15"/>
  <c r="N230" i="15"/>
  <c r="A231" i="15"/>
  <c r="B231" i="15"/>
  <c r="C231" i="15"/>
  <c r="D231" i="15"/>
  <c r="E231" i="15"/>
  <c r="F231" i="15"/>
  <c r="G231" i="15"/>
  <c r="H231" i="15"/>
  <c r="I231" i="15"/>
  <c r="J231" i="15"/>
  <c r="K231" i="15"/>
  <c r="L231" i="15"/>
  <c r="M231" i="15"/>
  <c r="N231" i="15"/>
  <c r="A232" i="15"/>
  <c r="B232" i="15"/>
  <c r="C232" i="15"/>
  <c r="D232" i="15"/>
  <c r="E232" i="15"/>
  <c r="F232" i="15"/>
  <c r="G232" i="15"/>
  <c r="H232" i="15"/>
  <c r="I232" i="15"/>
  <c r="J232" i="15"/>
  <c r="K232" i="15"/>
  <c r="L232" i="15"/>
  <c r="M232" i="15"/>
  <c r="N232" i="15"/>
  <c r="A233" i="15"/>
  <c r="B233" i="15"/>
  <c r="C233" i="15"/>
  <c r="D233" i="15"/>
  <c r="E233" i="15"/>
  <c r="F233" i="15"/>
  <c r="G233" i="15"/>
  <c r="H233" i="15"/>
  <c r="I233" i="15"/>
  <c r="J233" i="15"/>
  <c r="K233" i="15"/>
  <c r="L233" i="15"/>
  <c r="M233" i="15"/>
  <c r="N233" i="15"/>
  <c r="A234" i="15"/>
  <c r="B234" i="15"/>
  <c r="C234" i="15"/>
  <c r="D234" i="15"/>
  <c r="E234" i="15"/>
  <c r="F234" i="15"/>
  <c r="G234" i="15"/>
  <c r="H234" i="15"/>
  <c r="I234" i="15"/>
  <c r="J234" i="15"/>
  <c r="K234" i="15"/>
  <c r="L234" i="15"/>
  <c r="M234" i="15"/>
  <c r="N234" i="15"/>
  <c r="A235" i="15"/>
  <c r="B235" i="15"/>
  <c r="C235" i="15"/>
  <c r="D235" i="15"/>
  <c r="E235" i="15"/>
  <c r="F235" i="15"/>
  <c r="G235" i="15"/>
  <c r="H235" i="15"/>
  <c r="I235" i="15"/>
  <c r="J235" i="15"/>
  <c r="K235" i="15"/>
  <c r="L235" i="15"/>
  <c r="M235" i="15"/>
  <c r="N235" i="15"/>
  <c r="A236" i="15"/>
  <c r="B236" i="15"/>
  <c r="C236" i="15"/>
  <c r="D236" i="15"/>
  <c r="E236" i="15"/>
  <c r="F236" i="15"/>
  <c r="G236" i="15"/>
  <c r="H236" i="15"/>
  <c r="I236" i="15"/>
  <c r="J236" i="15"/>
  <c r="K236" i="15"/>
  <c r="L236" i="15"/>
  <c r="M236" i="15"/>
  <c r="N236" i="15"/>
  <c r="A237" i="15"/>
  <c r="B237" i="15"/>
  <c r="C237" i="15"/>
  <c r="D237" i="15"/>
  <c r="E237" i="15"/>
  <c r="F237" i="15"/>
  <c r="G237" i="15"/>
  <c r="H237" i="15"/>
  <c r="I237" i="15"/>
  <c r="J237" i="15"/>
  <c r="K237" i="15"/>
  <c r="L237" i="15"/>
  <c r="M237" i="15"/>
  <c r="N237" i="15"/>
  <c r="A238" i="15"/>
  <c r="B238" i="15"/>
  <c r="C238" i="15"/>
  <c r="D238" i="15"/>
  <c r="E238" i="15"/>
  <c r="F238" i="15"/>
  <c r="G238" i="15"/>
  <c r="H238" i="15"/>
  <c r="I238" i="15"/>
  <c r="J238" i="15"/>
  <c r="K238" i="15"/>
  <c r="L238" i="15"/>
  <c r="M238" i="15"/>
  <c r="N238" i="15"/>
  <c r="A239" i="15"/>
  <c r="B239" i="15"/>
  <c r="C239" i="15"/>
  <c r="D239" i="15"/>
  <c r="E239" i="15"/>
  <c r="F239" i="15"/>
  <c r="G239" i="15"/>
  <c r="H239" i="15"/>
  <c r="I239" i="15"/>
  <c r="J239" i="15"/>
  <c r="K239" i="15"/>
  <c r="L239" i="15"/>
  <c r="M239" i="15"/>
  <c r="N239" i="15"/>
  <c r="A240" i="15"/>
  <c r="B240" i="15"/>
  <c r="C240" i="15"/>
  <c r="D240" i="15"/>
  <c r="E240" i="15"/>
  <c r="F240" i="15"/>
  <c r="G240" i="15"/>
  <c r="H240" i="15"/>
  <c r="I240" i="15"/>
  <c r="J240" i="15"/>
  <c r="K240" i="15"/>
  <c r="L240" i="15"/>
  <c r="M240" i="15"/>
  <c r="N240" i="15"/>
  <c r="A241" i="15"/>
  <c r="B241" i="15"/>
  <c r="C241" i="15"/>
  <c r="D241" i="15"/>
  <c r="E241" i="15"/>
  <c r="F241" i="15"/>
  <c r="G241" i="15"/>
  <c r="H241" i="15"/>
  <c r="I241" i="15"/>
  <c r="J241" i="15"/>
  <c r="K241" i="15"/>
  <c r="L241" i="15"/>
  <c r="M241" i="15"/>
  <c r="N241" i="15"/>
  <c r="A242" i="15"/>
  <c r="B242" i="15"/>
  <c r="C242" i="15"/>
  <c r="D242" i="15"/>
  <c r="E242" i="15"/>
  <c r="F242" i="15"/>
  <c r="G242" i="15"/>
  <c r="H242" i="15"/>
  <c r="I242" i="15"/>
  <c r="J242" i="15"/>
  <c r="K242" i="15"/>
  <c r="L242" i="15"/>
  <c r="M242" i="15"/>
  <c r="N242" i="15"/>
  <c r="A243" i="15"/>
  <c r="B243" i="15"/>
  <c r="C243" i="15"/>
  <c r="D243" i="15"/>
  <c r="E243" i="15"/>
  <c r="F243" i="15"/>
  <c r="G243" i="15"/>
  <c r="H243" i="15"/>
  <c r="I243" i="15"/>
  <c r="J243" i="15"/>
  <c r="K243" i="15"/>
  <c r="L243" i="15"/>
  <c r="M243" i="15"/>
  <c r="N243" i="15"/>
  <c r="A244" i="15"/>
  <c r="B244" i="15"/>
  <c r="C244" i="15"/>
  <c r="D244" i="15"/>
  <c r="E244" i="15"/>
  <c r="F244" i="15"/>
  <c r="G244" i="15"/>
  <c r="H244" i="15"/>
  <c r="I244" i="15"/>
  <c r="J244" i="15"/>
  <c r="K244" i="15"/>
  <c r="L244" i="15"/>
  <c r="M244" i="15"/>
  <c r="N244" i="15"/>
  <c r="A245" i="15"/>
  <c r="B245" i="15"/>
  <c r="C245" i="15"/>
  <c r="D245" i="15"/>
  <c r="E245" i="15"/>
  <c r="F245" i="15"/>
  <c r="G245" i="15"/>
  <c r="H245" i="15"/>
  <c r="I245" i="15"/>
  <c r="J245" i="15"/>
  <c r="K245" i="15"/>
  <c r="L245" i="15"/>
  <c r="M245" i="15"/>
  <c r="N245" i="15"/>
  <c r="A246" i="15"/>
  <c r="B246" i="15"/>
  <c r="C246" i="15"/>
  <c r="D246" i="15"/>
  <c r="E246" i="15"/>
  <c r="F246" i="15"/>
  <c r="G246" i="15"/>
  <c r="H246" i="15"/>
  <c r="I246" i="15"/>
  <c r="J246" i="15"/>
  <c r="K246" i="15"/>
  <c r="L246" i="15"/>
  <c r="M246" i="15"/>
  <c r="N246" i="15"/>
  <c r="A247" i="15"/>
  <c r="B247" i="15"/>
  <c r="C247" i="15"/>
  <c r="D247" i="15"/>
  <c r="E247" i="15"/>
  <c r="F247" i="15"/>
  <c r="G247" i="15"/>
  <c r="H247" i="15"/>
  <c r="I247" i="15"/>
  <c r="J247" i="15"/>
  <c r="K247" i="15"/>
  <c r="L247" i="15"/>
  <c r="M247" i="15"/>
  <c r="N247" i="15"/>
  <c r="A248" i="15"/>
  <c r="B248" i="15"/>
  <c r="C248" i="15"/>
  <c r="D248" i="15"/>
  <c r="E248" i="15"/>
  <c r="F248" i="15"/>
  <c r="G248" i="15"/>
  <c r="H248" i="15"/>
  <c r="I248" i="15"/>
  <c r="J248" i="15"/>
  <c r="K248" i="15"/>
  <c r="L248" i="15"/>
  <c r="M248" i="15"/>
  <c r="N248" i="15"/>
  <c r="A249" i="15"/>
  <c r="B249" i="15"/>
  <c r="C249" i="15"/>
  <c r="D249" i="15"/>
  <c r="E249" i="15"/>
  <c r="F249" i="15"/>
  <c r="G249" i="15"/>
  <c r="H249" i="15"/>
  <c r="I249" i="15"/>
  <c r="J249" i="15"/>
  <c r="K249" i="15"/>
  <c r="L249" i="15"/>
  <c r="M249" i="15"/>
  <c r="N249" i="15"/>
  <c r="A250" i="15"/>
  <c r="B250" i="15"/>
  <c r="C250" i="15"/>
  <c r="D250" i="15"/>
  <c r="E250" i="15"/>
  <c r="F250" i="15"/>
  <c r="G250" i="15"/>
  <c r="H250" i="15"/>
  <c r="I250" i="15"/>
  <c r="J250" i="15"/>
  <c r="K250" i="15"/>
  <c r="L250" i="15"/>
  <c r="M250" i="15"/>
  <c r="N250" i="15"/>
  <c r="A251" i="15"/>
  <c r="B251" i="15"/>
  <c r="C251" i="15"/>
  <c r="D251" i="15"/>
  <c r="E251" i="15"/>
  <c r="F251" i="15"/>
  <c r="G251" i="15"/>
  <c r="H251" i="15"/>
  <c r="I251" i="15"/>
  <c r="J251" i="15"/>
  <c r="K251" i="15"/>
  <c r="L251" i="15"/>
  <c r="M251" i="15"/>
  <c r="N251" i="15"/>
  <c r="A252" i="15"/>
  <c r="B252" i="15"/>
  <c r="C252" i="15"/>
  <c r="D252" i="15"/>
  <c r="E252" i="15"/>
  <c r="F252" i="15"/>
  <c r="G252" i="15"/>
  <c r="H252" i="15"/>
  <c r="I252" i="15"/>
  <c r="J252" i="15"/>
  <c r="K252" i="15"/>
  <c r="L252" i="15"/>
  <c r="M252" i="15"/>
  <c r="N252" i="15"/>
  <c r="A253" i="15"/>
  <c r="B253" i="15"/>
  <c r="C253" i="15"/>
  <c r="D253" i="15"/>
  <c r="E253" i="15"/>
  <c r="F253" i="15"/>
  <c r="G253" i="15"/>
  <c r="H253" i="15"/>
  <c r="I253" i="15"/>
  <c r="J253" i="15"/>
  <c r="K253" i="15"/>
  <c r="L253" i="15"/>
  <c r="M253" i="15"/>
  <c r="N253" i="15"/>
  <c r="A254" i="15"/>
  <c r="B254" i="15"/>
  <c r="C254" i="15"/>
  <c r="D254" i="15"/>
  <c r="E254" i="15"/>
  <c r="F254" i="15"/>
  <c r="G254" i="15"/>
  <c r="H254" i="15"/>
  <c r="I254" i="15"/>
  <c r="J254" i="15"/>
  <c r="K254" i="15"/>
  <c r="L254" i="15"/>
  <c r="M254" i="15"/>
  <c r="N254" i="15"/>
  <c r="A255" i="15"/>
  <c r="B255" i="15"/>
  <c r="C255" i="15"/>
  <c r="D255" i="15"/>
  <c r="E255" i="15"/>
  <c r="F255" i="15"/>
  <c r="G255" i="15"/>
  <c r="H255" i="15"/>
  <c r="I255" i="15"/>
  <c r="J255" i="15"/>
  <c r="K255" i="15"/>
  <c r="L255" i="15"/>
  <c r="M255" i="15"/>
  <c r="N255" i="15"/>
  <c r="A256" i="15"/>
  <c r="B256" i="15"/>
  <c r="C256" i="15"/>
  <c r="D256" i="15"/>
  <c r="E256" i="15"/>
  <c r="F256" i="15"/>
  <c r="G256" i="15"/>
  <c r="H256" i="15"/>
  <c r="I256" i="15"/>
  <c r="J256" i="15"/>
  <c r="K256" i="15"/>
  <c r="L256" i="15"/>
  <c r="M256" i="15"/>
  <c r="N256" i="15"/>
  <c r="A257" i="15"/>
  <c r="B257" i="15"/>
  <c r="C257" i="15"/>
  <c r="D257" i="15"/>
  <c r="E257" i="15"/>
  <c r="F257" i="15"/>
  <c r="G257" i="15"/>
  <c r="H257" i="15"/>
  <c r="I257" i="15"/>
  <c r="J257" i="15"/>
  <c r="K257" i="15"/>
  <c r="L257" i="15"/>
  <c r="M257" i="15"/>
  <c r="N257" i="15"/>
  <c r="A258" i="15"/>
  <c r="B258" i="15"/>
  <c r="C258" i="15"/>
  <c r="D258" i="15"/>
  <c r="E258" i="15"/>
  <c r="F258" i="15"/>
  <c r="G258" i="15"/>
  <c r="H258" i="15"/>
  <c r="I258" i="15"/>
  <c r="J258" i="15"/>
  <c r="K258" i="15"/>
  <c r="L258" i="15"/>
  <c r="M258" i="15"/>
  <c r="N258" i="15"/>
  <c r="A259" i="15"/>
  <c r="B259" i="15"/>
  <c r="C259" i="15"/>
  <c r="D259" i="15"/>
  <c r="E259" i="15"/>
  <c r="F259" i="15"/>
  <c r="G259" i="15"/>
  <c r="H259" i="15"/>
  <c r="I259" i="15"/>
  <c r="J259" i="15"/>
  <c r="K259" i="15"/>
  <c r="L259" i="15"/>
  <c r="M259" i="15"/>
  <c r="N259" i="15"/>
  <c r="A260" i="15"/>
  <c r="B260" i="15"/>
  <c r="C260" i="15"/>
  <c r="D260" i="15"/>
  <c r="E260" i="15"/>
  <c r="F260" i="15"/>
  <c r="G260" i="15"/>
  <c r="H260" i="15"/>
  <c r="I260" i="15"/>
  <c r="J260" i="15"/>
  <c r="K260" i="15"/>
  <c r="L260" i="15"/>
  <c r="M260" i="15"/>
  <c r="N260" i="15"/>
  <c r="A261" i="15"/>
  <c r="B261" i="15"/>
  <c r="C261" i="15"/>
  <c r="D261" i="15"/>
  <c r="E261" i="15"/>
  <c r="F261" i="15"/>
  <c r="G261" i="15"/>
  <c r="H261" i="15"/>
  <c r="I261" i="15"/>
  <c r="J261" i="15"/>
  <c r="K261" i="15"/>
  <c r="L261" i="15"/>
  <c r="M261" i="15"/>
  <c r="N261" i="15"/>
  <c r="A262" i="15"/>
  <c r="B262" i="15"/>
  <c r="C262" i="15"/>
  <c r="D262" i="15"/>
  <c r="E262" i="15"/>
  <c r="F262" i="15"/>
  <c r="G262" i="15"/>
  <c r="H262" i="15"/>
  <c r="I262" i="15"/>
  <c r="J262" i="15"/>
  <c r="K262" i="15"/>
  <c r="L262" i="15"/>
  <c r="M262" i="15"/>
  <c r="N262" i="15"/>
  <c r="A263" i="15"/>
  <c r="B263" i="15"/>
  <c r="C263" i="15"/>
  <c r="D263" i="15"/>
  <c r="E263" i="15"/>
  <c r="F263" i="15"/>
  <c r="G263" i="15"/>
  <c r="H263" i="15"/>
  <c r="I263" i="15"/>
  <c r="J263" i="15"/>
  <c r="K263" i="15"/>
  <c r="L263" i="15"/>
  <c r="M263" i="15"/>
  <c r="N263" i="15"/>
  <c r="A264" i="15"/>
  <c r="B264" i="15"/>
  <c r="C264" i="15"/>
  <c r="D264" i="15"/>
  <c r="E264" i="15"/>
  <c r="F264" i="15"/>
  <c r="G264" i="15"/>
  <c r="H264" i="15"/>
  <c r="I264" i="15"/>
  <c r="J264" i="15"/>
  <c r="K264" i="15"/>
  <c r="L264" i="15"/>
  <c r="M264" i="15"/>
  <c r="N264" i="15"/>
  <c r="A265" i="15"/>
  <c r="B265" i="15"/>
  <c r="C265" i="15"/>
  <c r="D265" i="15"/>
  <c r="E265" i="15"/>
  <c r="F265" i="15"/>
  <c r="G265" i="15"/>
  <c r="H265" i="15"/>
  <c r="I265" i="15"/>
  <c r="J265" i="15"/>
  <c r="K265" i="15"/>
  <c r="L265" i="15"/>
  <c r="M265" i="15"/>
  <c r="N265" i="15"/>
  <c r="A266" i="15"/>
  <c r="B266" i="15"/>
  <c r="C266" i="15"/>
  <c r="D266" i="15"/>
  <c r="E266" i="15"/>
  <c r="F266" i="15"/>
  <c r="G266" i="15"/>
  <c r="H266" i="15"/>
  <c r="I266" i="15"/>
  <c r="J266" i="15"/>
  <c r="K266" i="15"/>
  <c r="L266" i="15"/>
  <c r="M266" i="15"/>
  <c r="N266" i="15"/>
  <c r="A267" i="15"/>
  <c r="B267" i="15"/>
  <c r="C267" i="15"/>
  <c r="D267" i="15"/>
  <c r="E267" i="15"/>
  <c r="F267" i="15"/>
  <c r="G267" i="15"/>
  <c r="H267" i="15"/>
  <c r="I267" i="15"/>
  <c r="J267" i="15"/>
  <c r="K267" i="15"/>
  <c r="L267" i="15"/>
  <c r="M267" i="15"/>
  <c r="N267" i="15"/>
  <c r="A268" i="15"/>
  <c r="B268" i="15"/>
  <c r="C268" i="15"/>
  <c r="D268" i="15"/>
  <c r="E268" i="15"/>
  <c r="F268" i="15"/>
  <c r="G268" i="15"/>
  <c r="H268" i="15"/>
  <c r="I268" i="15"/>
  <c r="J268" i="15"/>
  <c r="K268" i="15"/>
  <c r="L268" i="15"/>
  <c r="M268" i="15"/>
  <c r="N268" i="15"/>
  <c r="A269" i="15"/>
  <c r="B269" i="15"/>
  <c r="C269" i="15"/>
  <c r="D269" i="15"/>
  <c r="E269" i="15"/>
  <c r="F269" i="15"/>
  <c r="G269" i="15"/>
  <c r="H269" i="15"/>
  <c r="I269" i="15"/>
  <c r="J269" i="15"/>
  <c r="K269" i="15"/>
  <c r="L269" i="15"/>
  <c r="M269" i="15"/>
  <c r="N269" i="15"/>
  <c r="A270" i="15"/>
  <c r="B270" i="15"/>
  <c r="C270" i="15"/>
  <c r="D270" i="15"/>
  <c r="E270" i="15"/>
  <c r="F270" i="15"/>
  <c r="G270" i="15"/>
  <c r="H270" i="15"/>
  <c r="I270" i="15"/>
  <c r="J270" i="15"/>
  <c r="K270" i="15"/>
  <c r="L270" i="15"/>
  <c r="M270" i="15"/>
  <c r="N270" i="15"/>
  <c r="A271" i="15"/>
  <c r="B271" i="15"/>
  <c r="C271" i="15"/>
  <c r="D271" i="15"/>
  <c r="E271" i="15"/>
  <c r="F271" i="15"/>
  <c r="G271" i="15"/>
  <c r="H271" i="15"/>
  <c r="I271" i="15"/>
  <c r="J271" i="15"/>
  <c r="K271" i="15"/>
  <c r="L271" i="15"/>
  <c r="M271" i="15"/>
  <c r="N271" i="15"/>
  <c r="A272" i="15"/>
  <c r="B272" i="15"/>
  <c r="C272" i="15"/>
  <c r="D272" i="15"/>
  <c r="E272" i="15"/>
  <c r="F272" i="15"/>
  <c r="G272" i="15"/>
  <c r="H272" i="15"/>
  <c r="I272" i="15"/>
  <c r="J272" i="15"/>
  <c r="K272" i="15"/>
  <c r="L272" i="15"/>
  <c r="M272" i="15"/>
  <c r="N272" i="15"/>
  <c r="A273" i="15"/>
  <c r="B273" i="15"/>
  <c r="C273" i="15"/>
  <c r="D273" i="15"/>
  <c r="E273" i="15"/>
  <c r="F273" i="15"/>
  <c r="G273" i="15"/>
  <c r="H273" i="15"/>
  <c r="I273" i="15"/>
  <c r="J273" i="15"/>
  <c r="K273" i="15"/>
  <c r="L273" i="15"/>
  <c r="M273" i="15"/>
  <c r="N273" i="15"/>
  <c r="A274" i="15"/>
  <c r="B274" i="15"/>
  <c r="C274" i="15"/>
  <c r="D274" i="15"/>
  <c r="E274" i="15"/>
  <c r="F274" i="15"/>
  <c r="G274" i="15"/>
  <c r="H274" i="15"/>
  <c r="I274" i="15"/>
  <c r="J274" i="15"/>
  <c r="K274" i="15"/>
  <c r="L274" i="15"/>
  <c r="M274" i="15"/>
  <c r="N274" i="15"/>
  <c r="A275" i="15"/>
  <c r="B275" i="15"/>
  <c r="C275" i="15"/>
  <c r="D275" i="15"/>
  <c r="E275" i="15"/>
  <c r="F275" i="15"/>
  <c r="G275" i="15"/>
  <c r="H275" i="15"/>
  <c r="I275" i="15"/>
  <c r="J275" i="15"/>
  <c r="K275" i="15"/>
  <c r="L275" i="15"/>
  <c r="M275" i="15"/>
  <c r="N275" i="15"/>
  <c r="A276" i="15"/>
  <c r="B276" i="15"/>
  <c r="C276" i="15"/>
  <c r="D276" i="15"/>
  <c r="E276" i="15"/>
  <c r="F276" i="15"/>
  <c r="G276" i="15"/>
  <c r="H276" i="15"/>
  <c r="I276" i="15"/>
  <c r="J276" i="15"/>
  <c r="K276" i="15"/>
  <c r="L276" i="15"/>
  <c r="M276" i="15"/>
  <c r="N276" i="15"/>
  <c r="A277" i="15"/>
  <c r="B277" i="15"/>
  <c r="C277" i="15"/>
  <c r="D277" i="15"/>
  <c r="E277" i="15"/>
  <c r="F277" i="15"/>
  <c r="G277" i="15"/>
  <c r="H277" i="15"/>
  <c r="I277" i="15"/>
  <c r="J277" i="15"/>
  <c r="K277" i="15"/>
  <c r="L277" i="15"/>
  <c r="M277" i="15"/>
  <c r="N277" i="15"/>
  <c r="A278" i="15"/>
  <c r="B278" i="15"/>
  <c r="C278" i="15"/>
  <c r="D278" i="15"/>
  <c r="E278" i="15"/>
  <c r="F278" i="15"/>
  <c r="G278" i="15"/>
  <c r="H278" i="15"/>
  <c r="I278" i="15"/>
  <c r="J278" i="15"/>
  <c r="K278" i="15"/>
  <c r="L278" i="15"/>
  <c r="M278" i="15"/>
  <c r="N278" i="15"/>
  <c r="A279" i="15"/>
  <c r="B279" i="15"/>
  <c r="C279" i="15"/>
  <c r="D279" i="15"/>
  <c r="E279" i="15"/>
  <c r="F279" i="15"/>
  <c r="G279" i="15"/>
  <c r="H279" i="15"/>
  <c r="I279" i="15"/>
  <c r="J279" i="15"/>
  <c r="K279" i="15"/>
  <c r="L279" i="15"/>
  <c r="M279" i="15"/>
  <c r="N279" i="15"/>
  <c r="A280" i="15"/>
  <c r="B280" i="15"/>
  <c r="C280" i="15"/>
  <c r="D280" i="15"/>
  <c r="E280" i="15"/>
  <c r="F280" i="15"/>
  <c r="G280" i="15"/>
  <c r="H280" i="15"/>
  <c r="I280" i="15"/>
  <c r="J280" i="15"/>
  <c r="K280" i="15"/>
  <c r="L280" i="15"/>
  <c r="M280" i="15"/>
  <c r="N280" i="15"/>
  <c r="A281" i="15"/>
  <c r="B281" i="15"/>
  <c r="C281" i="15"/>
  <c r="D281" i="15"/>
  <c r="E281" i="15"/>
  <c r="F281" i="15"/>
  <c r="G281" i="15"/>
  <c r="H281" i="15"/>
  <c r="I281" i="15"/>
  <c r="J281" i="15"/>
  <c r="K281" i="15"/>
  <c r="L281" i="15"/>
  <c r="M281" i="15"/>
  <c r="N281" i="15"/>
  <c r="A282" i="15"/>
  <c r="B282" i="15"/>
  <c r="C282" i="15"/>
  <c r="D282" i="15"/>
  <c r="E282" i="15"/>
  <c r="F282" i="15"/>
  <c r="G282" i="15"/>
  <c r="H282" i="15"/>
  <c r="I282" i="15"/>
  <c r="J282" i="15"/>
  <c r="K282" i="15"/>
  <c r="L282" i="15"/>
  <c r="M282" i="15"/>
  <c r="N282" i="15"/>
  <c r="A283" i="15"/>
  <c r="B283" i="15"/>
  <c r="C283" i="15"/>
  <c r="D283" i="15"/>
  <c r="E283" i="15"/>
  <c r="F283" i="15"/>
  <c r="G283" i="15"/>
  <c r="H283" i="15"/>
  <c r="I283" i="15"/>
  <c r="J283" i="15"/>
  <c r="K283" i="15"/>
  <c r="L283" i="15"/>
  <c r="M283" i="15"/>
  <c r="N283" i="15"/>
  <c r="A284" i="15"/>
  <c r="B284" i="15"/>
  <c r="C284" i="15"/>
  <c r="D284" i="15"/>
  <c r="E284" i="15"/>
  <c r="F284" i="15"/>
  <c r="G284" i="15"/>
  <c r="H284" i="15"/>
  <c r="I284" i="15"/>
  <c r="J284" i="15"/>
  <c r="K284" i="15"/>
  <c r="L284" i="15"/>
  <c r="M284" i="15"/>
  <c r="N284" i="15"/>
  <c r="A285" i="15"/>
  <c r="B285" i="15"/>
  <c r="C285" i="15"/>
  <c r="D285" i="15"/>
  <c r="E285" i="15"/>
  <c r="F285" i="15"/>
  <c r="G285" i="15"/>
  <c r="H285" i="15"/>
  <c r="I285" i="15"/>
  <c r="J285" i="15"/>
  <c r="K285" i="15"/>
  <c r="L285" i="15"/>
  <c r="M285" i="15"/>
  <c r="N285" i="15"/>
  <c r="A286" i="15"/>
  <c r="B286" i="15"/>
  <c r="C286" i="15"/>
  <c r="D286" i="15"/>
  <c r="E286" i="15"/>
  <c r="F286" i="15"/>
  <c r="G286" i="15"/>
  <c r="H286" i="15"/>
  <c r="I286" i="15"/>
  <c r="J286" i="15"/>
  <c r="K286" i="15"/>
  <c r="L286" i="15"/>
  <c r="M286" i="15"/>
  <c r="N286" i="15"/>
  <c r="A287" i="15"/>
  <c r="B287" i="15"/>
  <c r="C287" i="15"/>
  <c r="D287" i="15"/>
  <c r="E287" i="15"/>
  <c r="F287" i="15"/>
  <c r="G287" i="15"/>
  <c r="H287" i="15"/>
  <c r="I287" i="15"/>
  <c r="J287" i="15"/>
  <c r="K287" i="15"/>
  <c r="L287" i="15"/>
  <c r="M287" i="15"/>
  <c r="N287" i="15"/>
  <c r="A288" i="15"/>
  <c r="B288" i="15"/>
  <c r="C288" i="15"/>
  <c r="D288" i="15"/>
  <c r="E288" i="15"/>
  <c r="F288" i="15"/>
  <c r="G288" i="15"/>
  <c r="H288" i="15"/>
  <c r="I288" i="15"/>
  <c r="J288" i="15"/>
  <c r="K288" i="15"/>
  <c r="L288" i="15"/>
  <c r="M288" i="15"/>
  <c r="N288" i="15"/>
  <c r="A289" i="15"/>
  <c r="B289" i="15"/>
  <c r="C289" i="15"/>
  <c r="D289" i="15"/>
  <c r="E289" i="15"/>
  <c r="F289" i="15"/>
  <c r="G289" i="15"/>
  <c r="H289" i="15"/>
  <c r="I289" i="15"/>
  <c r="J289" i="15"/>
  <c r="K289" i="15"/>
  <c r="L289" i="15"/>
  <c r="M289" i="15"/>
  <c r="N289" i="15"/>
  <c r="A290" i="15"/>
  <c r="B290" i="15"/>
  <c r="C290" i="15"/>
  <c r="D290" i="15"/>
  <c r="E290" i="15"/>
  <c r="F290" i="15"/>
  <c r="G290" i="15"/>
  <c r="H290" i="15"/>
  <c r="I290" i="15"/>
  <c r="J290" i="15"/>
  <c r="K290" i="15"/>
  <c r="L290" i="15"/>
  <c r="M290" i="15"/>
  <c r="N290" i="15"/>
  <c r="A291" i="15"/>
  <c r="B291" i="15"/>
  <c r="C291" i="15"/>
  <c r="D291" i="15"/>
  <c r="E291" i="15"/>
  <c r="F291" i="15"/>
  <c r="G291" i="15"/>
  <c r="H291" i="15"/>
  <c r="I291" i="15"/>
  <c r="J291" i="15"/>
  <c r="K291" i="15"/>
  <c r="L291" i="15"/>
  <c r="M291" i="15"/>
  <c r="N291" i="15"/>
  <c r="A292" i="15"/>
  <c r="B292" i="15"/>
  <c r="C292" i="15"/>
  <c r="D292" i="15"/>
  <c r="E292" i="15"/>
  <c r="F292" i="15"/>
  <c r="G292" i="15"/>
  <c r="H292" i="15"/>
  <c r="I292" i="15"/>
  <c r="J292" i="15"/>
  <c r="K292" i="15"/>
  <c r="L292" i="15"/>
  <c r="M292" i="15"/>
  <c r="N292" i="15"/>
  <c r="A293" i="15"/>
  <c r="B293" i="15"/>
  <c r="C293" i="15"/>
  <c r="D293" i="15"/>
  <c r="E293" i="15"/>
  <c r="F293" i="15"/>
  <c r="G293" i="15"/>
  <c r="H293" i="15"/>
  <c r="I293" i="15"/>
  <c r="J293" i="15"/>
  <c r="K293" i="15"/>
  <c r="L293" i="15"/>
  <c r="M293" i="15"/>
  <c r="N293" i="15"/>
  <c r="A294" i="15"/>
  <c r="B294" i="15"/>
  <c r="C294" i="15"/>
  <c r="D294" i="15"/>
  <c r="E294" i="15"/>
  <c r="F294" i="15"/>
  <c r="G294" i="15"/>
  <c r="H294" i="15"/>
  <c r="I294" i="15"/>
  <c r="J294" i="15"/>
  <c r="K294" i="15"/>
  <c r="L294" i="15"/>
  <c r="M294" i="15"/>
  <c r="N294" i="15"/>
  <c r="A295" i="15"/>
  <c r="B295" i="15"/>
  <c r="C295" i="15"/>
  <c r="D295" i="15"/>
  <c r="E295" i="15"/>
  <c r="F295" i="15"/>
  <c r="G295" i="15"/>
  <c r="H295" i="15"/>
  <c r="I295" i="15"/>
  <c r="J295" i="15"/>
  <c r="K295" i="15"/>
  <c r="L295" i="15"/>
  <c r="M295" i="15"/>
  <c r="N295" i="15"/>
  <c r="A296" i="15"/>
  <c r="B296" i="15"/>
  <c r="C296" i="15"/>
  <c r="D296" i="15"/>
  <c r="E296" i="15"/>
  <c r="F296" i="15"/>
  <c r="G296" i="15"/>
  <c r="H296" i="15"/>
  <c r="I296" i="15"/>
  <c r="J296" i="15"/>
  <c r="K296" i="15"/>
  <c r="L296" i="15"/>
  <c r="M296" i="15"/>
  <c r="N296" i="15"/>
  <c r="A297" i="15"/>
  <c r="B297" i="15"/>
  <c r="C297" i="15"/>
  <c r="D297" i="15"/>
  <c r="E297" i="15"/>
  <c r="F297" i="15"/>
  <c r="G297" i="15"/>
  <c r="H297" i="15"/>
  <c r="I297" i="15"/>
  <c r="J297" i="15"/>
  <c r="K297" i="15"/>
  <c r="L297" i="15"/>
  <c r="M297" i="15"/>
  <c r="N297" i="15"/>
  <c r="A298" i="15"/>
  <c r="B298" i="15"/>
  <c r="C298" i="15"/>
  <c r="D298" i="15"/>
  <c r="E298" i="15"/>
  <c r="F298" i="15"/>
  <c r="G298" i="15"/>
  <c r="H298" i="15"/>
  <c r="I298" i="15"/>
  <c r="J298" i="15"/>
  <c r="K298" i="15"/>
  <c r="L298" i="15"/>
  <c r="M298" i="15"/>
  <c r="N298" i="15"/>
  <c r="A299" i="15"/>
  <c r="B299" i="15"/>
  <c r="C299" i="15"/>
  <c r="D299" i="15"/>
  <c r="E299" i="15"/>
  <c r="F299" i="15"/>
  <c r="G299" i="15"/>
  <c r="H299" i="15"/>
  <c r="I299" i="15"/>
  <c r="J299" i="15"/>
  <c r="K299" i="15"/>
  <c r="L299" i="15"/>
  <c r="M299" i="15"/>
  <c r="N299" i="15"/>
  <c r="A300" i="15"/>
  <c r="B300" i="15"/>
  <c r="C300" i="15"/>
  <c r="D300" i="15"/>
  <c r="E300" i="15"/>
  <c r="F300" i="15"/>
  <c r="G300" i="15"/>
  <c r="H300" i="15"/>
  <c r="I300" i="15"/>
  <c r="J300" i="15"/>
  <c r="K300" i="15"/>
  <c r="L300" i="15"/>
  <c r="M300" i="15"/>
  <c r="N300" i="15"/>
  <c r="A301" i="15"/>
  <c r="B301" i="15"/>
  <c r="C301" i="15"/>
  <c r="D301" i="15"/>
  <c r="E301" i="15"/>
  <c r="F301" i="15"/>
  <c r="G301" i="15"/>
  <c r="H301" i="15"/>
  <c r="I301" i="15"/>
  <c r="J301" i="15"/>
  <c r="K301" i="15"/>
  <c r="L301" i="15"/>
  <c r="M301" i="15"/>
  <c r="N301" i="15"/>
  <c r="A302" i="15"/>
  <c r="B302" i="15"/>
  <c r="C302" i="15"/>
  <c r="D302" i="15"/>
  <c r="E302" i="15"/>
  <c r="F302" i="15"/>
  <c r="G302" i="15"/>
  <c r="H302" i="15"/>
  <c r="I302" i="15"/>
  <c r="J302" i="15"/>
  <c r="K302" i="15"/>
  <c r="L302" i="15"/>
  <c r="M302" i="15"/>
  <c r="N302" i="15"/>
  <c r="A303" i="15"/>
  <c r="B303" i="15"/>
  <c r="C303" i="15"/>
  <c r="D303" i="15"/>
  <c r="E303" i="15"/>
  <c r="F303" i="15"/>
  <c r="G303" i="15"/>
  <c r="H303" i="15"/>
  <c r="I303" i="15"/>
  <c r="J303" i="15"/>
  <c r="K303" i="15"/>
  <c r="L303" i="15"/>
  <c r="M303" i="15"/>
  <c r="N303" i="15"/>
  <c r="A304" i="15"/>
  <c r="B304" i="15"/>
  <c r="C304" i="15"/>
  <c r="D304" i="15"/>
  <c r="E304" i="15"/>
  <c r="F304" i="15"/>
  <c r="G304" i="15"/>
  <c r="H304" i="15"/>
  <c r="I304" i="15"/>
  <c r="J304" i="15"/>
  <c r="K304" i="15"/>
  <c r="L304" i="15"/>
  <c r="M304" i="15"/>
  <c r="N304" i="15"/>
  <c r="A305" i="15"/>
  <c r="B305" i="15"/>
  <c r="C305" i="15"/>
  <c r="D305" i="15"/>
  <c r="E305" i="15"/>
  <c r="F305" i="15"/>
  <c r="G305" i="15"/>
  <c r="H305" i="15"/>
  <c r="I305" i="15"/>
  <c r="J305" i="15"/>
  <c r="K305" i="15"/>
  <c r="L305" i="15"/>
  <c r="M305" i="15"/>
  <c r="N305" i="15"/>
  <c r="A306" i="15"/>
  <c r="B306" i="15"/>
  <c r="C306" i="15"/>
  <c r="D306" i="15"/>
  <c r="E306" i="15"/>
  <c r="F306" i="15"/>
  <c r="G306" i="15"/>
  <c r="H306" i="15"/>
  <c r="I306" i="15"/>
  <c r="J306" i="15"/>
  <c r="K306" i="15"/>
  <c r="L306" i="15"/>
  <c r="M306" i="15"/>
  <c r="N306" i="15"/>
  <c r="A307" i="15"/>
  <c r="B307" i="15"/>
  <c r="C307" i="15"/>
  <c r="D307" i="15"/>
  <c r="E307" i="15"/>
  <c r="F307" i="15"/>
  <c r="G307" i="15"/>
  <c r="H307" i="15"/>
  <c r="I307" i="15"/>
  <c r="J307" i="15"/>
  <c r="K307" i="15"/>
  <c r="L307" i="15"/>
  <c r="M307" i="15"/>
  <c r="N307" i="15"/>
  <c r="A308" i="15"/>
  <c r="B308" i="15"/>
  <c r="C308" i="15"/>
  <c r="D308" i="15"/>
  <c r="E308" i="15"/>
  <c r="F308" i="15"/>
  <c r="G308" i="15"/>
  <c r="H308" i="15"/>
  <c r="I308" i="15"/>
  <c r="J308" i="15"/>
  <c r="K308" i="15"/>
  <c r="L308" i="15"/>
  <c r="M308" i="15"/>
  <c r="N308" i="15"/>
  <c r="A309" i="15"/>
  <c r="B309" i="15"/>
  <c r="C309" i="15"/>
  <c r="D309" i="15"/>
  <c r="E309" i="15"/>
  <c r="F309" i="15"/>
  <c r="G309" i="15"/>
  <c r="H309" i="15"/>
  <c r="I309" i="15"/>
  <c r="J309" i="15"/>
  <c r="K309" i="15"/>
  <c r="L309" i="15"/>
  <c r="M309" i="15"/>
  <c r="N309" i="15"/>
  <c r="A310" i="15"/>
  <c r="B310" i="15"/>
  <c r="C310" i="15"/>
  <c r="D310" i="15"/>
  <c r="E310" i="15"/>
  <c r="F310" i="15"/>
  <c r="G310" i="15"/>
  <c r="H310" i="15"/>
  <c r="I310" i="15"/>
  <c r="J310" i="15"/>
  <c r="K310" i="15"/>
  <c r="L310" i="15"/>
  <c r="M310" i="15"/>
  <c r="N310" i="15"/>
  <c r="A311" i="15"/>
  <c r="B311" i="15"/>
  <c r="C311" i="15"/>
  <c r="D311" i="15"/>
  <c r="E311" i="15"/>
  <c r="F311" i="15"/>
  <c r="G311" i="15"/>
  <c r="H311" i="15"/>
  <c r="I311" i="15"/>
  <c r="J311" i="15"/>
  <c r="K311" i="15"/>
  <c r="L311" i="15"/>
  <c r="M311" i="15"/>
  <c r="N311" i="15"/>
  <c r="A312" i="15"/>
  <c r="B312" i="15"/>
  <c r="C312" i="15"/>
  <c r="D312" i="15"/>
  <c r="E312" i="15"/>
  <c r="F312" i="15"/>
  <c r="G312" i="15"/>
  <c r="H312" i="15"/>
  <c r="I312" i="15"/>
  <c r="J312" i="15"/>
  <c r="K312" i="15"/>
  <c r="L312" i="15"/>
  <c r="M312" i="15"/>
  <c r="N312" i="15"/>
  <c r="A313" i="15"/>
  <c r="B313" i="15"/>
  <c r="C313" i="15"/>
  <c r="D313" i="15"/>
  <c r="E313" i="15"/>
  <c r="F313" i="15"/>
  <c r="G313" i="15"/>
  <c r="H313" i="15"/>
  <c r="I313" i="15"/>
  <c r="J313" i="15"/>
  <c r="K313" i="15"/>
  <c r="L313" i="15"/>
  <c r="M313" i="15"/>
  <c r="N313" i="15"/>
  <c r="A314" i="15"/>
  <c r="B314" i="15"/>
  <c r="C314" i="15"/>
  <c r="D314" i="15"/>
  <c r="E314" i="15"/>
  <c r="F314" i="15"/>
  <c r="G314" i="15"/>
  <c r="H314" i="15"/>
  <c r="I314" i="15"/>
  <c r="J314" i="15"/>
  <c r="K314" i="15"/>
  <c r="L314" i="15"/>
  <c r="M314" i="15"/>
  <c r="N314" i="15"/>
  <c r="A315" i="15"/>
  <c r="B315" i="15"/>
  <c r="C315" i="15"/>
  <c r="D315" i="15"/>
  <c r="E315" i="15"/>
  <c r="F315" i="15"/>
  <c r="G315" i="15"/>
  <c r="H315" i="15"/>
  <c r="I315" i="15"/>
  <c r="J315" i="15"/>
  <c r="K315" i="15"/>
  <c r="L315" i="15"/>
  <c r="M315" i="15"/>
  <c r="N315" i="15"/>
  <c r="A316" i="15"/>
  <c r="B316" i="15"/>
  <c r="C316" i="15"/>
  <c r="D316" i="15"/>
  <c r="E316" i="15"/>
  <c r="F316" i="15"/>
  <c r="G316" i="15"/>
  <c r="H316" i="15"/>
  <c r="I316" i="15"/>
  <c r="J316" i="15"/>
  <c r="K316" i="15"/>
  <c r="L316" i="15"/>
  <c r="M316" i="15"/>
  <c r="N316" i="15"/>
  <c r="A317" i="15"/>
  <c r="B317" i="15"/>
  <c r="C317" i="15"/>
  <c r="D317" i="15"/>
  <c r="E317" i="15"/>
  <c r="F317" i="15"/>
  <c r="G317" i="15"/>
  <c r="H317" i="15"/>
  <c r="I317" i="15"/>
  <c r="J317" i="15"/>
  <c r="K317" i="15"/>
  <c r="L317" i="15"/>
  <c r="M317" i="15"/>
  <c r="N317" i="15"/>
  <c r="A318" i="15"/>
  <c r="B318" i="15"/>
  <c r="C318" i="15"/>
  <c r="D318" i="15"/>
  <c r="E318" i="15"/>
  <c r="F318" i="15"/>
  <c r="G318" i="15"/>
  <c r="H318" i="15"/>
  <c r="I318" i="15"/>
  <c r="J318" i="15"/>
  <c r="K318" i="15"/>
  <c r="L318" i="15"/>
  <c r="M318" i="15"/>
  <c r="N318" i="15"/>
  <c r="A319" i="15"/>
  <c r="B319" i="15"/>
  <c r="C319" i="15"/>
  <c r="D319" i="15"/>
  <c r="E319" i="15"/>
  <c r="F319" i="15"/>
  <c r="G319" i="15"/>
  <c r="H319" i="15"/>
  <c r="I319" i="15"/>
  <c r="J319" i="15"/>
  <c r="K319" i="15"/>
  <c r="L319" i="15"/>
  <c r="M319" i="15"/>
  <c r="N319" i="15"/>
  <c r="A320" i="15"/>
  <c r="B320" i="15"/>
  <c r="C320" i="15"/>
  <c r="D320" i="15"/>
  <c r="E320" i="15"/>
  <c r="F320" i="15"/>
  <c r="G320" i="15"/>
  <c r="H320" i="15"/>
  <c r="I320" i="15"/>
  <c r="J320" i="15"/>
  <c r="K320" i="15"/>
  <c r="L320" i="15"/>
  <c r="M320" i="15"/>
  <c r="N320" i="15"/>
  <c r="A321" i="15"/>
  <c r="B321" i="15"/>
  <c r="C321" i="15"/>
  <c r="D321" i="15"/>
  <c r="E321" i="15"/>
  <c r="F321" i="15"/>
  <c r="G321" i="15"/>
  <c r="H321" i="15"/>
  <c r="I321" i="15"/>
  <c r="J321" i="15"/>
  <c r="K321" i="15"/>
  <c r="L321" i="15"/>
  <c r="M321" i="15"/>
  <c r="N321" i="15"/>
  <c r="A322" i="15"/>
  <c r="B322" i="15"/>
  <c r="C322" i="15"/>
  <c r="D322" i="15"/>
  <c r="E322" i="15"/>
  <c r="F322" i="15"/>
  <c r="G322" i="15"/>
  <c r="H322" i="15"/>
  <c r="I322" i="15"/>
  <c r="J322" i="15"/>
  <c r="K322" i="15"/>
  <c r="L322" i="15"/>
  <c r="M322" i="15"/>
  <c r="N322" i="15"/>
  <c r="A323" i="15"/>
  <c r="B323" i="15"/>
  <c r="C323" i="15"/>
  <c r="D323" i="15"/>
  <c r="E323" i="15"/>
  <c r="F323" i="15"/>
  <c r="G323" i="15"/>
  <c r="H323" i="15"/>
  <c r="I323" i="15"/>
  <c r="J323" i="15"/>
  <c r="K323" i="15"/>
  <c r="L323" i="15"/>
  <c r="M323" i="15"/>
  <c r="N323" i="15"/>
  <c r="A324" i="15"/>
  <c r="B324" i="15"/>
  <c r="C324" i="15"/>
  <c r="D324" i="15"/>
  <c r="E324" i="15"/>
  <c r="F324" i="15"/>
  <c r="G324" i="15"/>
  <c r="H324" i="15"/>
  <c r="I324" i="15"/>
  <c r="J324" i="15"/>
  <c r="K324" i="15"/>
  <c r="L324" i="15"/>
  <c r="M324" i="15"/>
  <c r="N324" i="15"/>
  <c r="A325" i="15"/>
  <c r="B325" i="15"/>
  <c r="C325" i="15"/>
  <c r="D325" i="15"/>
  <c r="E325" i="15"/>
  <c r="F325" i="15"/>
  <c r="G325" i="15"/>
  <c r="H325" i="15"/>
  <c r="I325" i="15"/>
  <c r="J325" i="15"/>
  <c r="K325" i="15"/>
  <c r="L325" i="15"/>
  <c r="M325" i="15"/>
  <c r="N325" i="15"/>
  <c r="A326" i="15"/>
  <c r="B326" i="15"/>
  <c r="C326" i="15"/>
  <c r="D326" i="15"/>
  <c r="E326" i="15"/>
  <c r="F326" i="15"/>
  <c r="G326" i="15"/>
  <c r="H326" i="15"/>
  <c r="I326" i="15"/>
  <c r="J326" i="15"/>
  <c r="K326" i="15"/>
  <c r="L326" i="15"/>
  <c r="M326" i="15"/>
  <c r="N326" i="15"/>
  <c r="A327" i="15"/>
  <c r="B327" i="15"/>
  <c r="C327" i="15"/>
  <c r="D327" i="15"/>
  <c r="E327" i="15"/>
  <c r="F327" i="15"/>
  <c r="G327" i="15"/>
  <c r="H327" i="15"/>
  <c r="I327" i="15"/>
  <c r="J327" i="15"/>
  <c r="K327" i="15"/>
  <c r="L327" i="15"/>
  <c r="M327" i="15"/>
  <c r="N327" i="15"/>
  <c r="A328" i="15"/>
  <c r="B328" i="15"/>
  <c r="C328" i="15"/>
  <c r="D328" i="15"/>
  <c r="E328" i="15"/>
  <c r="F328" i="15"/>
  <c r="G328" i="15"/>
  <c r="H328" i="15"/>
  <c r="I328" i="15"/>
  <c r="J328" i="15"/>
  <c r="K328" i="15"/>
  <c r="L328" i="15"/>
  <c r="M328" i="15"/>
  <c r="N328" i="15"/>
  <c r="A329" i="15"/>
  <c r="B329" i="15"/>
  <c r="C329" i="15"/>
  <c r="D329" i="15"/>
  <c r="E329" i="15"/>
  <c r="F329" i="15"/>
  <c r="G329" i="15"/>
  <c r="H329" i="15"/>
  <c r="I329" i="15"/>
  <c r="J329" i="15"/>
  <c r="K329" i="15"/>
  <c r="L329" i="15"/>
  <c r="M329" i="15"/>
  <c r="N329" i="15"/>
  <c r="A330" i="15"/>
  <c r="B330" i="15"/>
  <c r="C330" i="15"/>
  <c r="D330" i="15"/>
  <c r="E330" i="15"/>
  <c r="F330" i="15"/>
  <c r="G330" i="15"/>
  <c r="H330" i="15"/>
  <c r="I330" i="15"/>
  <c r="J330" i="15"/>
  <c r="K330" i="15"/>
  <c r="L330" i="15"/>
  <c r="M330" i="15"/>
  <c r="N330" i="15"/>
  <c r="A331" i="15"/>
  <c r="B331" i="15"/>
  <c r="C331" i="15"/>
  <c r="D331" i="15"/>
  <c r="E331" i="15"/>
  <c r="F331" i="15"/>
  <c r="G331" i="15"/>
  <c r="H331" i="15"/>
  <c r="I331" i="15"/>
  <c r="J331" i="15"/>
  <c r="K331" i="15"/>
  <c r="L331" i="15"/>
  <c r="M331" i="15"/>
  <c r="N331" i="15"/>
  <c r="A332" i="15"/>
  <c r="B332" i="15"/>
  <c r="C332" i="15"/>
  <c r="D332" i="15"/>
  <c r="E332" i="15"/>
  <c r="F332" i="15"/>
  <c r="G332" i="15"/>
  <c r="H332" i="15"/>
  <c r="I332" i="15"/>
  <c r="J332" i="15"/>
  <c r="K332" i="15"/>
  <c r="L332" i="15"/>
  <c r="M332" i="15"/>
  <c r="N332" i="15"/>
  <c r="A333" i="15"/>
  <c r="B333" i="15"/>
  <c r="C333" i="15"/>
  <c r="D333" i="15"/>
  <c r="E333" i="15"/>
  <c r="F333" i="15"/>
  <c r="G333" i="15"/>
  <c r="H333" i="15"/>
  <c r="I333" i="15"/>
  <c r="J333" i="15"/>
  <c r="K333" i="15"/>
  <c r="L333" i="15"/>
  <c r="M333" i="15"/>
  <c r="N333" i="15"/>
  <c r="A334" i="15"/>
  <c r="B334" i="15"/>
  <c r="C334" i="15"/>
  <c r="D334" i="15"/>
  <c r="E334" i="15"/>
  <c r="F334" i="15"/>
  <c r="G334" i="15"/>
  <c r="H334" i="15"/>
  <c r="I334" i="15"/>
  <c r="J334" i="15"/>
  <c r="K334" i="15"/>
  <c r="L334" i="15"/>
  <c r="M334" i="15"/>
  <c r="N334" i="15"/>
  <c r="A335" i="15"/>
  <c r="B335" i="15"/>
  <c r="C335" i="15"/>
  <c r="D335" i="15"/>
  <c r="E335" i="15"/>
  <c r="F335" i="15"/>
  <c r="G335" i="15"/>
  <c r="H335" i="15"/>
  <c r="I335" i="15"/>
  <c r="J335" i="15"/>
  <c r="K335" i="15"/>
  <c r="L335" i="15"/>
  <c r="M335" i="15"/>
  <c r="N335" i="15"/>
  <c r="A336" i="15"/>
  <c r="B336" i="15"/>
  <c r="C336" i="15"/>
  <c r="D336" i="15"/>
  <c r="E336" i="15"/>
  <c r="F336" i="15"/>
  <c r="G336" i="15"/>
  <c r="H336" i="15"/>
  <c r="I336" i="15"/>
  <c r="J336" i="15"/>
  <c r="K336" i="15"/>
  <c r="L336" i="15"/>
  <c r="M336" i="15"/>
  <c r="N336" i="15"/>
  <c r="A337" i="15"/>
  <c r="B337" i="15"/>
  <c r="C337" i="15"/>
  <c r="D337" i="15"/>
  <c r="E337" i="15"/>
  <c r="F337" i="15"/>
  <c r="G337" i="15"/>
  <c r="H337" i="15"/>
  <c r="I337" i="15"/>
  <c r="J337" i="15"/>
  <c r="K337" i="15"/>
  <c r="L337" i="15"/>
  <c r="M337" i="15"/>
  <c r="N337" i="15"/>
  <c r="A338" i="15"/>
  <c r="B338" i="15"/>
  <c r="C338" i="15"/>
  <c r="D338" i="15"/>
  <c r="E338" i="15"/>
  <c r="F338" i="15"/>
  <c r="G338" i="15"/>
  <c r="H338" i="15"/>
  <c r="I338" i="15"/>
  <c r="J338" i="15"/>
  <c r="K338" i="15"/>
  <c r="L338" i="15"/>
  <c r="M338" i="15"/>
  <c r="N338" i="15"/>
  <c r="A339" i="15"/>
  <c r="B339" i="15"/>
  <c r="C339" i="15"/>
  <c r="D339" i="15"/>
  <c r="E339" i="15"/>
  <c r="F339" i="15"/>
  <c r="G339" i="15"/>
  <c r="H339" i="15"/>
  <c r="I339" i="15"/>
  <c r="J339" i="15"/>
  <c r="K339" i="15"/>
  <c r="L339" i="15"/>
  <c r="M339" i="15"/>
  <c r="N339" i="15"/>
  <c r="A340" i="15"/>
  <c r="B340" i="15"/>
  <c r="C340" i="15"/>
  <c r="D340" i="15"/>
  <c r="E340" i="15"/>
  <c r="F340" i="15"/>
  <c r="G340" i="15"/>
  <c r="H340" i="15"/>
  <c r="I340" i="15"/>
  <c r="J340" i="15"/>
  <c r="K340" i="15"/>
  <c r="L340" i="15"/>
  <c r="M340" i="15"/>
  <c r="N340" i="15"/>
  <c r="A341" i="15"/>
  <c r="B341" i="15"/>
  <c r="C341" i="15"/>
  <c r="D341" i="15"/>
  <c r="E341" i="15"/>
  <c r="F341" i="15"/>
  <c r="G341" i="15"/>
  <c r="H341" i="15"/>
  <c r="I341" i="15"/>
  <c r="J341" i="15"/>
  <c r="K341" i="15"/>
  <c r="L341" i="15"/>
  <c r="M341" i="15"/>
  <c r="N341" i="15"/>
  <c r="A342" i="15"/>
  <c r="B342" i="15"/>
  <c r="C342" i="15"/>
  <c r="D342" i="15"/>
  <c r="E342" i="15"/>
  <c r="F342" i="15"/>
  <c r="G342" i="15"/>
  <c r="H342" i="15"/>
  <c r="I342" i="15"/>
  <c r="J342" i="15"/>
  <c r="K342" i="15"/>
  <c r="L342" i="15"/>
  <c r="M342" i="15"/>
  <c r="N342" i="15"/>
  <c r="A343" i="15"/>
  <c r="B343" i="15"/>
  <c r="C343" i="15"/>
  <c r="D343" i="15"/>
  <c r="E343" i="15"/>
  <c r="F343" i="15"/>
  <c r="G343" i="15"/>
  <c r="H343" i="15"/>
  <c r="I343" i="15"/>
  <c r="J343" i="15"/>
  <c r="K343" i="15"/>
  <c r="L343" i="15"/>
  <c r="M343" i="15"/>
  <c r="N343" i="15"/>
  <c r="A344" i="15"/>
  <c r="B344" i="15"/>
  <c r="C344" i="15"/>
  <c r="D344" i="15"/>
  <c r="E344" i="15"/>
  <c r="F344" i="15"/>
  <c r="G344" i="15"/>
  <c r="H344" i="15"/>
  <c r="I344" i="15"/>
  <c r="J344" i="15"/>
  <c r="K344" i="15"/>
  <c r="L344" i="15"/>
  <c r="M344" i="15"/>
  <c r="N344" i="15"/>
  <c r="A345" i="15"/>
  <c r="B345" i="15"/>
  <c r="C345" i="15"/>
  <c r="D345" i="15"/>
  <c r="E345" i="15"/>
  <c r="F345" i="15"/>
  <c r="G345" i="15"/>
  <c r="H345" i="15"/>
  <c r="I345" i="15"/>
  <c r="J345" i="15"/>
  <c r="K345" i="15"/>
  <c r="L345" i="15"/>
  <c r="M345" i="15"/>
  <c r="N345" i="15"/>
  <c r="A346" i="15"/>
  <c r="B346" i="15"/>
  <c r="C346" i="15"/>
  <c r="D346" i="15"/>
  <c r="E346" i="15"/>
  <c r="F346" i="15"/>
  <c r="G346" i="15"/>
  <c r="H346" i="15"/>
  <c r="I346" i="15"/>
  <c r="J346" i="15"/>
  <c r="K346" i="15"/>
  <c r="L346" i="15"/>
  <c r="M346" i="15"/>
  <c r="N346" i="15"/>
  <c r="A347" i="15"/>
  <c r="B347" i="15"/>
  <c r="C347" i="15"/>
  <c r="D347" i="15"/>
  <c r="E347" i="15"/>
  <c r="F347" i="15"/>
  <c r="G347" i="15"/>
  <c r="H347" i="15"/>
  <c r="I347" i="15"/>
  <c r="J347" i="15"/>
  <c r="K347" i="15"/>
  <c r="L347" i="15"/>
  <c r="M347" i="15"/>
  <c r="N347" i="15"/>
  <c r="A348" i="15"/>
  <c r="B348" i="15"/>
  <c r="C348" i="15"/>
  <c r="D348" i="15"/>
  <c r="E348" i="15"/>
  <c r="F348" i="15"/>
  <c r="G348" i="15"/>
  <c r="H348" i="15"/>
  <c r="I348" i="15"/>
  <c r="J348" i="15"/>
  <c r="K348" i="15"/>
  <c r="L348" i="15"/>
  <c r="M348" i="15"/>
  <c r="N348" i="15"/>
  <c r="A349" i="15"/>
  <c r="B349" i="15"/>
  <c r="C349" i="15"/>
  <c r="D349" i="15"/>
  <c r="E349" i="15"/>
  <c r="F349" i="15"/>
  <c r="G349" i="15"/>
  <c r="H349" i="15"/>
  <c r="I349" i="15"/>
  <c r="J349" i="15"/>
  <c r="K349" i="15"/>
  <c r="L349" i="15"/>
  <c r="M349" i="15"/>
  <c r="N349" i="15"/>
  <c r="A350" i="15"/>
  <c r="B350" i="15"/>
  <c r="C350" i="15"/>
  <c r="D350" i="15"/>
  <c r="E350" i="15"/>
  <c r="F350" i="15"/>
  <c r="G350" i="15"/>
  <c r="H350" i="15"/>
  <c r="I350" i="15"/>
  <c r="J350" i="15"/>
  <c r="K350" i="15"/>
  <c r="L350" i="15"/>
  <c r="M350" i="15"/>
  <c r="N350" i="15"/>
  <c r="A351" i="15"/>
  <c r="B351" i="15"/>
  <c r="C351" i="15"/>
  <c r="D351" i="15"/>
  <c r="E351" i="15"/>
  <c r="F351" i="15"/>
  <c r="G351" i="15"/>
  <c r="H351" i="15"/>
  <c r="I351" i="15"/>
  <c r="J351" i="15"/>
  <c r="K351" i="15"/>
  <c r="L351" i="15"/>
  <c r="M351" i="15"/>
  <c r="N351" i="15"/>
  <c r="A352" i="15"/>
  <c r="B352" i="15"/>
  <c r="C352" i="15"/>
  <c r="D352" i="15"/>
  <c r="E352" i="15"/>
  <c r="F352" i="15"/>
  <c r="G352" i="15"/>
  <c r="H352" i="15"/>
  <c r="I352" i="15"/>
  <c r="J352" i="15"/>
  <c r="K352" i="15"/>
  <c r="L352" i="15"/>
  <c r="M352" i="15"/>
  <c r="N352" i="15"/>
  <c r="A353" i="15"/>
  <c r="B353" i="15"/>
  <c r="C353" i="15"/>
  <c r="D353" i="15"/>
  <c r="E353" i="15"/>
  <c r="F353" i="15"/>
  <c r="G353" i="15"/>
  <c r="H353" i="15"/>
  <c r="I353" i="15"/>
  <c r="J353" i="15"/>
  <c r="K353" i="15"/>
  <c r="L353" i="15"/>
  <c r="M353" i="15"/>
  <c r="N353" i="15"/>
  <c r="A354" i="15"/>
  <c r="B354" i="15"/>
  <c r="C354" i="15"/>
  <c r="D354" i="15"/>
  <c r="E354" i="15"/>
  <c r="F354" i="15"/>
  <c r="G354" i="15"/>
  <c r="H354" i="15"/>
  <c r="I354" i="15"/>
  <c r="J354" i="15"/>
  <c r="K354" i="15"/>
  <c r="L354" i="15"/>
  <c r="M354" i="15"/>
  <c r="N354" i="15"/>
  <c r="A355" i="15"/>
  <c r="B355" i="15"/>
  <c r="C355" i="15"/>
  <c r="D355" i="15"/>
  <c r="E355" i="15"/>
  <c r="F355" i="15"/>
  <c r="G355" i="15"/>
  <c r="H355" i="15"/>
  <c r="I355" i="15"/>
  <c r="J355" i="15"/>
  <c r="K355" i="15"/>
  <c r="L355" i="15"/>
  <c r="M355" i="15"/>
  <c r="N355" i="15"/>
  <c r="A356" i="15"/>
  <c r="B356" i="15"/>
  <c r="C356" i="15"/>
  <c r="D356" i="15"/>
  <c r="E356" i="15"/>
  <c r="F356" i="15"/>
  <c r="G356" i="15"/>
  <c r="H356" i="15"/>
  <c r="I356" i="15"/>
  <c r="J356" i="15"/>
  <c r="K356" i="15"/>
  <c r="L356" i="15"/>
  <c r="M356" i="15"/>
  <c r="N356" i="15"/>
  <c r="A357" i="15"/>
  <c r="B357" i="15"/>
  <c r="C357" i="15"/>
  <c r="D357" i="15"/>
  <c r="E357" i="15"/>
  <c r="F357" i="15"/>
  <c r="G357" i="15"/>
  <c r="H357" i="15"/>
  <c r="I357" i="15"/>
  <c r="J357" i="15"/>
  <c r="K357" i="15"/>
  <c r="L357" i="15"/>
  <c r="M357" i="15"/>
  <c r="N357" i="15"/>
  <c r="A358" i="15"/>
  <c r="B358" i="15"/>
  <c r="C358" i="15"/>
  <c r="D358" i="15"/>
  <c r="E358" i="15"/>
  <c r="F358" i="15"/>
  <c r="G358" i="15"/>
  <c r="H358" i="15"/>
  <c r="I358" i="15"/>
  <c r="J358" i="15"/>
  <c r="K358" i="15"/>
  <c r="L358" i="15"/>
  <c r="M358" i="15"/>
  <c r="N358" i="15"/>
  <c r="A359" i="15"/>
  <c r="B359" i="15"/>
  <c r="C359" i="15"/>
  <c r="D359" i="15"/>
  <c r="E359" i="15"/>
  <c r="F359" i="15"/>
  <c r="G359" i="15"/>
  <c r="H359" i="15"/>
  <c r="I359" i="15"/>
  <c r="J359" i="15"/>
  <c r="K359" i="15"/>
  <c r="L359" i="15"/>
  <c r="M359" i="15"/>
  <c r="N359" i="15"/>
  <c r="A360" i="15"/>
  <c r="B360" i="15"/>
  <c r="C360" i="15"/>
  <c r="D360" i="15"/>
  <c r="E360" i="15"/>
  <c r="F360" i="15"/>
  <c r="G360" i="15"/>
  <c r="H360" i="15"/>
  <c r="I360" i="15"/>
  <c r="J360" i="15"/>
  <c r="K360" i="15"/>
  <c r="L360" i="15"/>
  <c r="M360" i="15"/>
  <c r="N360" i="15"/>
  <c r="A361" i="15"/>
  <c r="B361" i="15"/>
  <c r="C361" i="15"/>
  <c r="D361" i="15"/>
  <c r="E361" i="15"/>
  <c r="F361" i="15"/>
  <c r="G361" i="15"/>
  <c r="H361" i="15"/>
  <c r="I361" i="15"/>
  <c r="J361" i="15"/>
  <c r="K361" i="15"/>
  <c r="L361" i="15"/>
  <c r="M361" i="15"/>
  <c r="N361" i="15"/>
  <c r="A362" i="15"/>
  <c r="B362" i="15"/>
  <c r="C362" i="15"/>
  <c r="D362" i="15"/>
  <c r="E362" i="15"/>
  <c r="F362" i="15"/>
  <c r="G362" i="15"/>
  <c r="H362" i="15"/>
  <c r="I362" i="15"/>
  <c r="J362" i="15"/>
  <c r="K362" i="15"/>
  <c r="L362" i="15"/>
  <c r="M362" i="15"/>
  <c r="N362" i="15"/>
  <c r="A363" i="15"/>
  <c r="B363" i="15"/>
  <c r="C363" i="15"/>
  <c r="D363" i="15"/>
  <c r="E363" i="15"/>
  <c r="F363" i="15"/>
  <c r="G363" i="15"/>
  <c r="H363" i="15"/>
  <c r="I363" i="15"/>
  <c r="J363" i="15"/>
  <c r="K363" i="15"/>
  <c r="L363" i="15"/>
  <c r="M363" i="15"/>
  <c r="N363" i="15"/>
  <c r="A364" i="15"/>
  <c r="B364" i="15"/>
  <c r="C364" i="15"/>
  <c r="D364" i="15"/>
  <c r="E364" i="15"/>
  <c r="F364" i="15"/>
  <c r="G364" i="15"/>
  <c r="H364" i="15"/>
  <c r="I364" i="15"/>
  <c r="J364" i="15"/>
  <c r="K364" i="15"/>
  <c r="L364" i="15"/>
  <c r="M364" i="15"/>
  <c r="N364" i="15"/>
  <c r="A365" i="15"/>
  <c r="B365" i="15"/>
  <c r="C365" i="15"/>
  <c r="D365" i="15"/>
  <c r="E365" i="15"/>
  <c r="F365" i="15"/>
  <c r="G365" i="15"/>
  <c r="H365" i="15"/>
  <c r="I365" i="15"/>
  <c r="J365" i="15"/>
  <c r="K365" i="15"/>
  <c r="L365" i="15"/>
  <c r="M365" i="15"/>
  <c r="N365" i="15"/>
  <c r="A366" i="15"/>
  <c r="B366" i="15"/>
  <c r="C366" i="15"/>
  <c r="D366" i="15"/>
  <c r="E366" i="15"/>
  <c r="F366" i="15"/>
  <c r="G366" i="15"/>
  <c r="H366" i="15"/>
  <c r="I366" i="15"/>
  <c r="J366" i="15"/>
  <c r="K366" i="15"/>
  <c r="L366" i="15"/>
  <c r="M366" i="15"/>
  <c r="N366" i="15"/>
  <c r="A367" i="15"/>
  <c r="B367" i="15"/>
  <c r="C367" i="15"/>
  <c r="D367" i="15"/>
  <c r="E367" i="15"/>
  <c r="F367" i="15"/>
  <c r="G367" i="15"/>
  <c r="H367" i="15"/>
  <c r="I367" i="15"/>
  <c r="J367" i="15"/>
  <c r="K367" i="15"/>
  <c r="L367" i="15"/>
  <c r="M367" i="15"/>
  <c r="N367" i="15"/>
  <c r="A368" i="15"/>
  <c r="B368" i="15"/>
  <c r="C368" i="15"/>
  <c r="D368" i="15"/>
  <c r="E368" i="15"/>
  <c r="F368" i="15"/>
  <c r="G368" i="15"/>
  <c r="H368" i="15"/>
  <c r="I368" i="15"/>
  <c r="J368" i="15"/>
  <c r="K368" i="15"/>
  <c r="L368" i="15"/>
  <c r="M368" i="15"/>
  <c r="N368" i="15"/>
  <c r="A369" i="15"/>
  <c r="B369" i="15"/>
  <c r="C369" i="15"/>
  <c r="D369" i="15"/>
  <c r="E369" i="15"/>
  <c r="F369" i="15"/>
  <c r="G369" i="15"/>
  <c r="H369" i="15"/>
  <c r="I369" i="15"/>
  <c r="J369" i="15"/>
  <c r="K369" i="15"/>
  <c r="L369" i="15"/>
  <c r="M369" i="15"/>
  <c r="N369" i="15"/>
  <c r="A370" i="15"/>
  <c r="B370" i="15"/>
  <c r="C370" i="15"/>
  <c r="D370" i="15"/>
  <c r="E370" i="15"/>
  <c r="F370" i="15"/>
  <c r="G370" i="15"/>
  <c r="H370" i="15"/>
  <c r="I370" i="15"/>
  <c r="J370" i="15"/>
  <c r="K370" i="15"/>
  <c r="L370" i="15"/>
  <c r="M370" i="15"/>
  <c r="N370" i="15"/>
  <c r="A371" i="15"/>
  <c r="B371" i="15"/>
  <c r="C371" i="15"/>
  <c r="D371" i="15"/>
  <c r="E371" i="15"/>
  <c r="F371" i="15"/>
  <c r="G371" i="15"/>
  <c r="H371" i="15"/>
  <c r="I371" i="15"/>
  <c r="J371" i="15"/>
  <c r="K371" i="15"/>
  <c r="L371" i="15"/>
  <c r="M371" i="15"/>
  <c r="N371" i="15"/>
  <c r="A372" i="15"/>
  <c r="B372" i="15"/>
  <c r="C372" i="15"/>
  <c r="D372" i="15"/>
  <c r="E372" i="15"/>
  <c r="F372" i="15"/>
  <c r="G372" i="15"/>
  <c r="H372" i="15"/>
  <c r="I372" i="15"/>
  <c r="J372" i="15"/>
  <c r="K372" i="15"/>
  <c r="L372" i="15"/>
  <c r="M372" i="15"/>
  <c r="N372" i="15"/>
  <c r="A373" i="15"/>
  <c r="B373" i="15"/>
  <c r="C373" i="15"/>
  <c r="D373" i="15"/>
  <c r="E373" i="15"/>
  <c r="F373" i="15"/>
  <c r="G373" i="15"/>
  <c r="H373" i="15"/>
  <c r="I373" i="15"/>
  <c r="J373" i="15"/>
  <c r="K373" i="15"/>
  <c r="L373" i="15"/>
  <c r="M373" i="15"/>
  <c r="N373" i="15"/>
  <c r="A374" i="15"/>
  <c r="B374" i="15"/>
  <c r="C374" i="15"/>
  <c r="D374" i="15"/>
  <c r="E374" i="15"/>
  <c r="F374" i="15"/>
  <c r="G374" i="15"/>
  <c r="H374" i="15"/>
  <c r="I374" i="15"/>
  <c r="J374" i="15"/>
  <c r="K374" i="15"/>
  <c r="L374" i="15"/>
  <c r="M374" i="15"/>
  <c r="N374" i="15"/>
  <c r="A375" i="15"/>
  <c r="B375" i="15"/>
  <c r="C375" i="15"/>
  <c r="D375" i="15"/>
  <c r="E375" i="15"/>
  <c r="F375" i="15"/>
  <c r="G375" i="15"/>
  <c r="H375" i="15"/>
  <c r="I375" i="15"/>
  <c r="J375" i="15"/>
  <c r="K375" i="15"/>
  <c r="L375" i="15"/>
  <c r="M375" i="15"/>
  <c r="N375" i="15"/>
  <c r="A376" i="15"/>
  <c r="B376" i="15"/>
  <c r="C376" i="15"/>
  <c r="D376" i="15"/>
  <c r="E376" i="15"/>
  <c r="F376" i="15"/>
  <c r="G376" i="15"/>
  <c r="H376" i="15"/>
  <c r="I376" i="15"/>
  <c r="J376" i="15"/>
  <c r="K376" i="15"/>
  <c r="L376" i="15"/>
  <c r="M376" i="15"/>
  <c r="N376" i="15"/>
  <c r="A377" i="15"/>
  <c r="B377" i="15"/>
  <c r="C377" i="15"/>
  <c r="D377" i="15"/>
  <c r="E377" i="15"/>
  <c r="F377" i="15"/>
  <c r="G377" i="15"/>
  <c r="H377" i="15"/>
  <c r="I377" i="15"/>
  <c r="J377" i="15"/>
  <c r="K377" i="15"/>
  <c r="L377" i="15"/>
  <c r="M377" i="15"/>
  <c r="N377" i="15"/>
  <c r="A378" i="15"/>
  <c r="B378" i="15"/>
  <c r="C378" i="15"/>
  <c r="D378" i="15"/>
  <c r="E378" i="15"/>
  <c r="F378" i="15"/>
  <c r="G378" i="15"/>
  <c r="H378" i="15"/>
  <c r="I378" i="15"/>
  <c r="J378" i="15"/>
  <c r="K378" i="15"/>
  <c r="L378" i="15"/>
  <c r="M378" i="15"/>
  <c r="N378" i="15"/>
  <c r="A379" i="15"/>
  <c r="B379" i="15"/>
  <c r="C379" i="15"/>
  <c r="D379" i="15"/>
  <c r="E379" i="15"/>
  <c r="F379" i="15"/>
  <c r="G379" i="15"/>
  <c r="H379" i="15"/>
  <c r="I379" i="15"/>
  <c r="J379" i="15"/>
  <c r="K379" i="15"/>
  <c r="L379" i="15"/>
  <c r="M379" i="15"/>
  <c r="N379" i="15"/>
  <c r="A380" i="15"/>
  <c r="B380" i="15"/>
  <c r="C380" i="15"/>
  <c r="D380" i="15"/>
  <c r="E380" i="15"/>
  <c r="F380" i="15"/>
  <c r="G380" i="15"/>
  <c r="H380" i="15"/>
  <c r="I380" i="15"/>
  <c r="J380" i="15"/>
  <c r="K380" i="15"/>
  <c r="L380" i="15"/>
  <c r="M380" i="15"/>
  <c r="N380" i="15"/>
  <c r="A381" i="15"/>
  <c r="B381" i="15"/>
  <c r="C381" i="15"/>
  <c r="D381" i="15"/>
  <c r="E381" i="15"/>
  <c r="F381" i="15"/>
  <c r="G381" i="15"/>
  <c r="H381" i="15"/>
  <c r="I381" i="15"/>
  <c r="J381" i="15"/>
  <c r="K381" i="15"/>
  <c r="L381" i="15"/>
  <c r="M381" i="15"/>
  <c r="N381" i="15"/>
  <c r="A382" i="15"/>
  <c r="B382" i="15"/>
  <c r="C382" i="15"/>
  <c r="D382" i="15"/>
  <c r="E382" i="15"/>
  <c r="F382" i="15"/>
  <c r="G382" i="15"/>
  <c r="H382" i="15"/>
  <c r="I382" i="15"/>
  <c r="J382" i="15"/>
  <c r="K382" i="15"/>
  <c r="L382" i="15"/>
  <c r="M382" i="15"/>
  <c r="N382" i="15"/>
  <c r="A383" i="15"/>
  <c r="B383" i="15"/>
  <c r="C383" i="15"/>
  <c r="D383" i="15"/>
  <c r="E383" i="15"/>
  <c r="F383" i="15"/>
  <c r="G383" i="15"/>
  <c r="H383" i="15"/>
  <c r="I383" i="15"/>
  <c r="J383" i="15"/>
  <c r="K383" i="15"/>
  <c r="L383" i="15"/>
  <c r="M383" i="15"/>
  <c r="N383" i="15"/>
  <c r="A384" i="15"/>
  <c r="B384" i="15"/>
  <c r="C384" i="15"/>
  <c r="D384" i="15"/>
  <c r="E384" i="15"/>
  <c r="F384" i="15"/>
  <c r="G384" i="15"/>
  <c r="H384" i="15"/>
  <c r="I384" i="15"/>
  <c r="J384" i="15"/>
  <c r="K384" i="15"/>
  <c r="L384" i="15"/>
  <c r="M384" i="15"/>
  <c r="N384" i="15"/>
  <c r="A385" i="15"/>
  <c r="B385" i="15"/>
  <c r="C385" i="15"/>
  <c r="D385" i="15"/>
  <c r="E385" i="15"/>
  <c r="F385" i="15"/>
  <c r="G385" i="15"/>
  <c r="H385" i="15"/>
  <c r="I385" i="15"/>
  <c r="J385" i="15"/>
  <c r="K385" i="15"/>
  <c r="L385" i="15"/>
  <c r="M385" i="15"/>
  <c r="N385" i="15"/>
  <c r="A386" i="15"/>
  <c r="B386" i="15"/>
  <c r="C386" i="15"/>
  <c r="D386" i="15"/>
  <c r="E386" i="15"/>
  <c r="F386" i="15"/>
  <c r="G386" i="15"/>
  <c r="H386" i="15"/>
  <c r="I386" i="15"/>
  <c r="J386" i="15"/>
  <c r="K386" i="15"/>
  <c r="L386" i="15"/>
  <c r="M386" i="15"/>
  <c r="N386" i="15"/>
  <c r="A387" i="15"/>
  <c r="B387" i="15"/>
  <c r="C387" i="15"/>
  <c r="D387" i="15"/>
  <c r="E387" i="15"/>
  <c r="F387" i="15"/>
  <c r="G387" i="15"/>
  <c r="H387" i="15"/>
  <c r="I387" i="15"/>
  <c r="J387" i="15"/>
  <c r="K387" i="15"/>
  <c r="L387" i="15"/>
  <c r="M387" i="15"/>
  <c r="N387" i="15"/>
  <c r="A388" i="15"/>
  <c r="B388" i="15"/>
  <c r="C388" i="15"/>
  <c r="D388" i="15"/>
  <c r="E388" i="15"/>
  <c r="F388" i="15"/>
  <c r="G388" i="15"/>
  <c r="H388" i="15"/>
  <c r="I388" i="15"/>
  <c r="J388" i="15"/>
  <c r="K388" i="15"/>
  <c r="L388" i="15"/>
  <c r="M388" i="15"/>
  <c r="N388" i="15"/>
  <c r="A389" i="15"/>
  <c r="B389" i="15"/>
  <c r="C389" i="15"/>
  <c r="D389" i="15"/>
  <c r="E389" i="15"/>
  <c r="F389" i="15"/>
  <c r="G389" i="15"/>
  <c r="H389" i="15"/>
  <c r="I389" i="15"/>
  <c r="J389" i="15"/>
  <c r="K389" i="15"/>
  <c r="L389" i="15"/>
  <c r="M389" i="15"/>
  <c r="N389" i="15"/>
  <c r="A390" i="15"/>
  <c r="B390" i="15"/>
  <c r="C390" i="15"/>
  <c r="D390" i="15"/>
  <c r="E390" i="15"/>
  <c r="F390" i="15"/>
  <c r="G390" i="15"/>
  <c r="H390" i="15"/>
  <c r="I390" i="15"/>
  <c r="J390" i="15"/>
  <c r="K390" i="15"/>
  <c r="L390" i="15"/>
  <c r="M390" i="15"/>
  <c r="N390" i="15"/>
  <c r="A391" i="15"/>
  <c r="B391" i="15"/>
  <c r="C391" i="15"/>
  <c r="D391" i="15"/>
  <c r="E391" i="15"/>
  <c r="F391" i="15"/>
  <c r="G391" i="15"/>
  <c r="H391" i="15"/>
  <c r="I391" i="15"/>
  <c r="J391" i="15"/>
  <c r="K391" i="15"/>
  <c r="L391" i="15"/>
  <c r="M391" i="15"/>
  <c r="N391" i="15"/>
  <c r="A392" i="15"/>
  <c r="B392" i="15"/>
  <c r="C392" i="15"/>
  <c r="D392" i="15"/>
  <c r="E392" i="15"/>
  <c r="F392" i="15"/>
  <c r="G392" i="15"/>
  <c r="H392" i="15"/>
  <c r="I392" i="15"/>
  <c r="J392" i="15"/>
  <c r="K392" i="15"/>
  <c r="L392" i="15"/>
  <c r="M392" i="15"/>
  <c r="N392" i="15"/>
  <c r="A393" i="15"/>
  <c r="B393" i="15"/>
  <c r="C393" i="15"/>
  <c r="D393" i="15"/>
  <c r="E393" i="15"/>
  <c r="F393" i="15"/>
  <c r="G393" i="15"/>
  <c r="H393" i="15"/>
  <c r="I393" i="15"/>
  <c r="J393" i="15"/>
  <c r="K393" i="15"/>
  <c r="L393" i="15"/>
  <c r="M393" i="15"/>
  <c r="N393" i="15"/>
  <c r="A394" i="15"/>
  <c r="B394" i="15"/>
  <c r="C394" i="15"/>
  <c r="D394" i="15"/>
  <c r="E394" i="15"/>
  <c r="F394" i="15"/>
  <c r="G394" i="15"/>
  <c r="H394" i="15"/>
  <c r="I394" i="15"/>
  <c r="J394" i="15"/>
  <c r="K394" i="15"/>
  <c r="L394" i="15"/>
  <c r="M394" i="15"/>
  <c r="N394" i="15"/>
  <c r="A395" i="15"/>
  <c r="B395" i="15"/>
  <c r="C395" i="15"/>
  <c r="D395" i="15"/>
  <c r="E395" i="15"/>
  <c r="F395" i="15"/>
  <c r="G395" i="15"/>
  <c r="H395" i="15"/>
  <c r="I395" i="15"/>
  <c r="J395" i="15"/>
  <c r="K395" i="15"/>
  <c r="L395" i="15"/>
  <c r="M395" i="15"/>
  <c r="N395" i="15"/>
  <c r="A396" i="15"/>
  <c r="B396" i="15"/>
  <c r="C396" i="15"/>
  <c r="D396" i="15"/>
  <c r="E396" i="15"/>
  <c r="F396" i="15"/>
  <c r="G396" i="15"/>
  <c r="H396" i="15"/>
  <c r="I396" i="15"/>
  <c r="J396" i="15"/>
  <c r="K396" i="15"/>
  <c r="L396" i="15"/>
  <c r="M396" i="15"/>
  <c r="N396" i="15"/>
  <c r="A397" i="15"/>
  <c r="B397" i="15"/>
  <c r="C397" i="15"/>
  <c r="D397" i="15"/>
  <c r="E397" i="15"/>
  <c r="F397" i="15"/>
  <c r="G397" i="15"/>
  <c r="H397" i="15"/>
  <c r="I397" i="15"/>
  <c r="J397" i="15"/>
  <c r="K397" i="15"/>
  <c r="L397" i="15"/>
  <c r="M397" i="15"/>
  <c r="N397" i="15"/>
  <c r="A398" i="15"/>
  <c r="B398" i="15"/>
  <c r="C398" i="15"/>
  <c r="D398" i="15"/>
  <c r="E398" i="15"/>
  <c r="F398" i="15"/>
  <c r="G398" i="15"/>
  <c r="H398" i="15"/>
  <c r="I398" i="15"/>
  <c r="J398" i="15"/>
  <c r="K398" i="15"/>
  <c r="L398" i="15"/>
  <c r="M398" i="15"/>
  <c r="N398" i="15"/>
  <c r="A399" i="15"/>
  <c r="B399" i="15"/>
  <c r="C399" i="15"/>
  <c r="D399" i="15"/>
  <c r="E399" i="15"/>
  <c r="F399" i="15"/>
  <c r="G399" i="15"/>
  <c r="H399" i="15"/>
  <c r="I399" i="15"/>
  <c r="J399" i="15"/>
  <c r="K399" i="15"/>
  <c r="L399" i="15"/>
  <c r="M399" i="15"/>
  <c r="N399" i="15"/>
  <c r="A400" i="15"/>
  <c r="B400" i="15"/>
  <c r="C400" i="15"/>
  <c r="D400" i="15"/>
  <c r="E400" i="15"/>
  <c r="F400" i="15"/>
  <c r="G400" i="15"/>
  <c r="H400" i="15"/>
  <c r="I400" i="15"/>
  <c r="J400" i="15"/>
  <c r="K400" i="15"/>
  <c r="L400" i="15"/>
  <c r="M400" i="15"/>
  <c r="N400" i="15"/>
  <c r="A401" i="15"/>
  <c r="B401" i="15"/>
  <c r="C401" i="15"/>
  <c r="D401" i="15"/>
  <c r="E401" i="15"/>
  <c r="F401" i="15"/>
  <c r="G401" i="15"/>
  <c r="H401" i="15"/>
  <c r="I401" i="15"/>
  <c r="J401" i="15"/>
  <c r="K401" i="15"/>
  <c r="L401" i="15"/>
  <c r="M401" i="15"/>
  <c r="N401" i="15"/>
  <c r="A402" i="15"/>
  <c r="B402" i="15"/>
  <c r="C402" i="15"/>
  <c r="D402" i="15"/>
  <c r="E402" i="15"/>
  <c r="F402" i="15"/>
  <c r="G402" i="15"/>
  <c r="H402" i="15"/>
  <c r="I402" i="15"/>
  <c r="J402" i="15"/>
  <c r="K402" i="15"/>
  <c r="L402" i="15"/>
  <c r="M402" i="15"/>
  <c r="N402" i="15"/>
  <c r="A403" i="15"/>
  <c r="B403" i="15"/>
  <c r="C403" i="15"/>
  <c r="D403" i="15"/>
  <c r="E403" i="15"/>
  <c r="F403" i="15"/>
  <c r="G403" i="15"/>
  <c r="H403" i="15"/>
  <c r="I403" i="15"/>
  <c r="J403" i="15"/>
  <c r="K403" i="15"/>
  <c r="L403" i="15"/>
  <c r="M403" i="15"/>
  <c r="N403" i="15"/>
  <c r="A404" i="15"/>
  <c r="B404" i="15"/>
  <c r="C404" i="15"/>
  <c r="D404" i="15"/>
  <c r="E404" i="15"/>
  <c r="F404" i="15"/>
  <c r="G404" i="15"/>
  <c r="H404" i="15"/>
  <c r="I404" i="15"/>
  <c r="J404" i="15"/>
  <c r="K404" i="15"/>
  <c r="L404" i="15"/>
  <c r="M404" i="15"/>
  <c r="N404" i="15"/>
  <c r="A405" i="15"/>
  <c r="B405" i="15"/>
  <c r="C405" i="15"/>
  <c r="D405" i="15"/>
  <c r="E405" i="15"/>
  <c r="F405" i="15"/>
  <c r="G405" i="15"/>
  <c r="H405" i="15"/>
  <c r="I405" i="15"/>
  <c r="J405" i="15"/>
  <c r="K405" i="15"/>
  <c r="L405" i="15"/>
  <c r="M405" i="15"/>
  <c r="N405" i="15"/>
  <c r="A406" i="15"/>
  <c r="B406" i="15"/>
  <c r="C406" i="15"/>
  <c r="D406" i="15"/>
  <c r="E406" i="15"/>
  <c r="F406" i="15"/>
  <c r="G406" i="15"/>
  <c r="H406" i="15"/>
  <c r="I406" i="15"/>
  <c r="J406" i="15"/>
  <c r="K406" i="15"/>
  <c r="L406" i="15"/>
  <c r="M406" i="15"/>
  <c r="N406" i="15"/>
  <c r="A407" i="15"/>
  <c r="B407" i="15"/>
  <c r="C407" i="15"/>
  <c r="D407" i="15"/>
  <c r="E407" i="15"/>
  <c r="F407" i="15"/>
  <c r="G407" i="15"/>
  <c r="H407" i="15"/>
  <c r="I407" i="15"/>
  <c r="J407" i="15"/>
  <c r="K407" i="15"/>
  <c r="L407" i="15"/>
  <c r="M407" i="15"/>
  <c r="N407" i="15"/>
  <c r="A408" i="15"/>
  <c r="B408" i="15"/>
  <c r="C408" i="15"/>
  <c r="D408" i="15"/>
  <c r="E408" i="15"/>
  <c r="F408" i="15"/>
  <c r="G408" i="15"/>
  <c r="H408" i="15"/>
  <c r="I408" i="15"/>
  <c r="J408" i="15"/>
  <c r="K408" i="15"/>
  <c r="L408" i="15"/>
  <c r="M408" i="15"/>
  <c r="N408" i="15"/>
  <c r="A409" i="15"/>
  <c r="B409" i="15"/>
  <c r="C409" i="15"/>
  <c r="D409" i="15"/>
  <c r="E409" i="15"/>
  <c r="F409" i="15"/>
  <c r="G409" i="15"/>
  <c r="H409" i="15"/>
  <c r="I409" i="15"/>
  <c r="J409" i="15"/>
  <c r="K409" i="15"/>
  <c r="L409" i="15"/>
  <c r="M409" i="15"/>
  <c r="N409" i="15"/>
  <c r="A410" i="15"/>
  <c r="B410" i="15"/>
  <c r="C410" i="15"/>
  <c r="D410" i="15"/>
  <c r="E410" i="15"/>
  <c r="F410" i="15"/>
  <c r="G410" i="15"/>
  <c r="H410" i="15"/>
  <c r="I410" i="15"/>
  <c r="J410" i="15"/>
  <c r="K410" i="15"/>
  <c r="L410" i="15"/>
  <c r="M410" i="15"/>
  <c r="N410" i="15"/>
  <c r="A411" i="15"/>
  <c r="B411" i="15"/>
  <c r="C411" i="15"/>
  <c r="D411" i="15"/>
  <c r="E411" i="15"/>
  <c r="F411" i="15"/>
  <c r="G411" i="15"/>
  <c r="H411" i="15"/>
  <c r="I411" i="15"/>
  <c r="J411" i="15"/>
  <c r="K411" i="15"/>
  <c r="L411" i="15"/>
  <c r="M411" i="15"/>
  <c r="N411" i="15"/>
  <c r="A412" i="15"/>
  <c r="B412" i="15"/>
  <c r="C412" i="15"/>
  <c r="D412" i="15"/>
  <c r="E412" i="15"/>
  <c r="F412" i="15"/>
  <c r="G412" i="15"/>
  <c r="H412" i="15"/>
  <c r="I412" i="15"/>
  <c r="J412" i="15"/>
  <c r="K412" i="15"/>
  <c r="L412" i="15"/>
  <c r="M412" i="15"/>
  <c r="N412" i="15"/>
  <c r="A413" i="15"/>
  <c r="B413" i="15"/>
  <c r="C413" i="15"/>
  <c r="D413" i="15"/>
  <c r="E413" i="15"/>
  <c r="F413" i="15"/>
  <c r="G413" i="15"/>
  <c r="H413" i="15"/>
  <c r="I413" i="15"/>
  <c r="J413" i="15"/>
  <c r="K413" i="15"/>
  <c r="L413" i="15"/>
  <c r="M413" i="15"/>
  <c r="N413" i="15"/>
  <c r="A414" i="15"/>
  <c r="B414" i="15"/>
  <c r="C414" i="15"/>
  <c r="D414" i="15"/>
  <c r="E414" i="15"/>
  <c r="F414" i="15"/>
  <c r="G414" i="15"/>
  <c r="H414" i="15"/>
  <c r="I414" i="15"/>
  <c r="J414" i="15"/>
  <c r="K414" i="15"/>
  <c r="L414" i="15"/>
  <c r="M414" i="15"/>
  <c r="N414" i="15"/>
  <c r="A415" i="15"/>
  <c r="B415" i="15"/>
  <c r="C415" i="15"/>
  <c r="D415" i="15"/>
  <c r="E415" i="15"/>
  <c r="F415" i="15"/>
  <c r="G415" i="15"/>
  <c r="H415" i="15"/>
  <c r="I415" i="15"/>
  <c r="J415" i="15"/>
  <c r="K415" i="15"/>
  <c r="L415" i="15"/>
  <c r="M415" i="15"/>
  <c r="N415" i="15"/>
  <c r="A416" i="15"/>
  <c r="B416" i="15"/>
  <c r="C416" i="15"/>
  <c r="D416" i="15"/>
  <c r="E416" i="15"/>
  <c r="F416" i="15"/>
  <c r="G416" i="15"/>
  <c r="H416" i="15"/>
  <c r="I416" i="15"/>
  <c r="J416" i="15"/>
  <c r="K416" i="15"/>
  <c r="L416" i="15"/>
  <c r="M416" i="15"/>
  <c r="N416" i="15"/>
  <c r="A417" i="15"/>
  <c r="B417" i="15"/>
  <c r="C417" i="15"/>
  <c r="D417" i="15"/>
  <c r="E417" i="15"/>
  <c r="F417" i="15"/>
  <c r="G417" i="15"/>
  <c r="H417" i="15"/>
  <c r="I417" i="15"/>
  <c r="J417" i="15"/>
  <c r="K417" i="15"/>
  <c r="L417" i="15"/>
  <c r="M417" i="15"/>
  <c r="N417" i="15"/>
  <c r="A418" i="15"/>
  <c r="B418" i="15"/>
  <c r="C418" i="15"/>
  <c r="D418" i="15"/>
  <c r="E418" i="15"/>
  <c r="F418" i="15"/>
  <c r="G418" i="15"/>
  <c r="H418" i="15"/>
  <c r="I418" i="15"/>
  <c r="J418" i="15"/>
  <c r="K418" i="15"/>
  <c r="L418" i="15"/>
  <c r="M418" i="15"/>
  <c r="N418" i="15"/>
  <c r="A419" i="15"/>
  <c r="B419" i="15"/>
  <c r="C419" i="15"/>
  <c r="D419" i="15"/>
  <c r="E419" i="15"/>
  <c r="F419" i="15"/>
  <c r="G419" i="15"/>
  <c r="H419" i="15"/>
  <c r="I419" i="15"/>
  <c r="J419" i="15"/>
  <c r="K419" i="15"/>
  <c r="L419" i="15"/>
  <c r="M419" i="15"/>
  <c r="N419" i="15"/>
  <c r="A420" i="15"/>
  <c r="B420" i="15"/>
  <c r="C420" i="15"/>
  <c r="D420" i="15"/>
  <c r="E420" i="15"/>
  <c r="F420" i="15"/>
  <c r="G420" i="15"/>
  <c r="H420" i="15"/>
  <c r="I420" i="15"/>
  <c r="J420" i="15"/>
  <c r="K420" i="15"/>
  <c r="L420" i="15"/>
  <c r="M420" i="15"/>
  <c r="N420" i="15"/>
  <c r="A421" i="15"/>
  <c r="B421" i="15"/>
  <c r="C421" i="15"/>
  <c r="D421" i="15"/>
  <c r="E421" i="15"/>
  <c r="F421" i="15"/>
  <c r="G421" i="15"/>
  <c r="H421" i="15"/>
  <c r="I421" i="15"/>
  <c r="J421" i="15"/>
  <c r="K421" i="15"/>
  <c r="L421" i="15"/>
  <c r="M421" i="15"/>
  <c r="N421" i="15"/>
  <c r="A422" i="15"/>
  <c r="B422" i="15"/>
  <c r="C422" i="15"/>
  <c r="D422" i="15"/>
  <c r="E422" i="15"/>
  <c r="F422" i="15"/>
  <c r="G422" i="15"/>
  <c r="H422" i="15"/>
  <c r="I422" i="15"/>
  <c r="J422" i="15"/>
  <c r="K422" i="15"/>
  <c r="L422" i="15"/>
  <c r="M422" i="15"/>
  <c r="N422" i="15"/>
  <c r="A423" i="15"/>
  <c r="B423" i="15"/>
  <c r="C423" i="15"/>
  <c r="D423" i="15"/>
  <c r="E423" i="15"/>
  <c r="F423" i="15"/>
  <c r="G423" i="15"/>
  <c r="H423" i="15"/>
  <c r="I423" i="15"/>
  <c r="J423" i="15"/>
  <c r="K423" i="15"/>
  <c r="L423" i="15"/>
  <c r="M423" i="15"/>
  <c r="N423" i="15"/>
  <c r="A424" i="15"/>
  <c r="B424" i="15"/>
  <c r="C424" i="15"/>
  <c r="D424" i="15"/>
  <c r="E424" i="15"/>
  <c r="F424" i="15"/>
  <c r="G424" i="15"/>
  <c r="H424" i="15"/>
  <c r="I424" i="15"/>
  <c r="J424" i="15"/>
  <c r="K424" i="15"/>
  <c r="L424" i="15"/>
  <c r="M424" i="15"/>
  <c r="N424" i="15"/>
  <c r="A425" i="15"/>
  <c r="B425" i="15"/>
  <c r="C425" i="15"/>
  <c r="D425" i="15"/>
  <c r="E425" i="15"/>
  <c r="F425" i="15"/>
  <c r="G425" i="15"/>
  <c r="H425" i="15"/>
  <c r="I425" i="15"/>
  <c r="J425" i="15"/>
  <c r="K425" i="15"/>
  <c r="L425" i="15"/>
  <c r="M425" i="15"/>
  <c r="N425" i="15"/>
  <c r="A426" i="15"/>
  <c r="B426" i="15"/>
  <c r="C426" i="15"/>
  <c r="D426" i="15"/>
  <c r="E426" i="15"/>
  <c r="F426" i="15"/>
  <c r="G426" i="15"/>
  <c r="H426" i="15"/>
  <c r="I426" i="15"/>
  <c r="J426" i="15"/>
  <c r="K426" i="15"/>
  <c r="L426" i="15"/>
  <c r="M426" i="15"/>
  <c r="N426" i="15"/>
  <c r="A427" i="15"/>
  <c r="B427" i="15"/>
  <c r="C427" i="15"/>
  <c r="D427" i="15"/>
  <c r="E427" i="15"/>
  <c r="F427" i="15"/>
  <c r="G427" i="15"/>
  <c r="H427" i="15"/>
  <c r="I427" i="15"/>
  <c r="J427" i="15"/>
  <c r="K427" i="15"/>
  <c r="L427" i="15"/>
  <c r="M427" i="15"/>
  <c r="N427" i="15"/>
  <c r="A428" i="15"/>
  <c r="B428" i="15"/>
  <c r="C428" i="15"/>
  <c r="D428" i="15"/>
  <c r="E428" i="15"/>
  <c r="F428" i="15"/>
  <c r="G428" i="15"/>
  <c r="H428" i="15"/>
  <c r="I428" i="15"/>
  <c r="J428" i="15"/>
  <c r="K428" i="15"/>
  <c r="L428" i="15"/>
  <c r="M428" i="15"/>
  <c r="N428" i="15"/>
  <c r="A429" i="15"/>
  <c r="B429" i="15"/>
  <c r="C429" i="15"/>
  <c r="D429" i="15"/>
  <c r="E429" i="15"/>
  <c r="F429" i="15"/>
  <c r="G429" i="15"/>
  <c r="H429" i="15"/>
  <c r="I429" i="15"/>
  <c r="J429" i="15"/>
  <c r="K429" i="15"/>
  <c r="L429" i="15"/>
  <c r="M429" i="15"/>
  <c r="N429" i="15"/>
  <c r="A430" i="15"/>
  <c r="B430" i="15"/>
  <c r="C430" i="15"/>
  <c r="D430" i="15"/>
  <c r="E430" i="15"/>
  <c r="F430" i="15"/>
  <c r="G430" i="15"/>
  <c r="H430" i="15"/>
  <c r="I430" i="15"/>
  <c r="J430" i="15"/>
  <c r="K430" i="15"/>
  <c r="L430" i="15"/>
  <c r="M430" i="15"/>
  <c r="N430" i="15"/>
  <c r="A431" i="15"/>
  <c r="B431" i="15"/>
  <c r="C431" i="15"/>
  <c r="D431" i="15"/>
  <c r="E431" i="15"/>
  <c r="F431" i="15"/>
  <c r="G431" i="15"/>
  <c r="H431" i="15"/>
  <c r="I431" i="15"/>
  <c r="J431" i="15"/>
  <c r="K431" i="15"/>
  <c r="L431" i="15"/>
  <c r="M431" i="15"/>
  <c r="N431" i="15"/>
  <c r="A432" i="15"/>
  <c r="B432" i="15"/>
  <c r="C432" i="15"/>
  <c r="D432" i="15"/>
  <c r="E432" i="15"/>
  <c r="F432" i="15"/>
  <c r="G432" i="15"/>
  <c r="H432" i="15"/>
  <c r="I432" i="15"/>
  <c r="J432" i="15"/>
  <c r="K432" i="15"/>
  <c r="L432" i="15"/>
  <c r="M432" i="15"/>
  <c r="N432" i="15"/>
  <c r="A433" i="15"/>
  <c r="B433" i="15"/>
  <c r="C433" i="15"/>
  <c r="D433" i="15"/>
  <c r="E433" i="15"/>
  <c r="F433" i="15"/>
  <c r="G433" i="15"/>
  <c r="H433" i="15"/>
  <c r="I433" i="15"/>
  <c r="J433" i="15"/>
  <c r="K433" i="15"/>
  <c r="L433" i="15"/>
  <c r="M433" i="15"/>
  <c r="N433" i="15"/>
  <c r="A434" i="15"/>
  <c r="B434" i="15"/>
  <c r="C434" i="15"/>
  <c r="D434" i="15"/>
  <c r="E434" i="15"/>
  <c r="F434" i="15"/>
  <c r="G434" i="15"/>
  <c r="H434" i="15"/>
  <c r="I434" i="15"/>
  <c r="J434" i="15"/>
  <c r="K434" i="15"/>
  <c r="L434" i="15"/>
  <c r="M434" i="15"/>
  <c r="N434" i="15"/>
  <c r="A435" i="15"/>
  <c r="B435" i="15"/>
  <c r="C435" i="15"/>
  <c r="D435" i="15"/>
  <c r="E435" i="15"/>
  <c r="F435" i="15"/>
  <c r="G435" i="15"/>
  <c r="H435" i="15"/>
  <c r="I435" i="15"/>
  <c r="J435" i="15"/>
  <c r="K435" i="15"/>
  <c r="L435" i="15"/>
  <c r="M435" i="15"/>
  <c r="N435" i="15"/>
  <c r="A436" i="15"/>
  <c r="B436" i="15"/>
  <c r="C436" i="15"/>
  <c r="D436" i="15"/>
  <c r="E436" i="15"/>
  <c r="F436" i="15"/>
  <c r="G436" i="15"/>
  <c r="H436" i="15"/>
  <c r="I436" i="15"/>
  <c r="J436" i="15"/>
  <c r="K436" i="15"/>
  <c r="L436" i="15"/>
  <c r="M436" i="15"/>
  <c r="N436" i="15"/>
  <c r="A437" i="15"/>
  <c r="B437" i="15"/>
  <c r="C437" i="15"/>
  <c r="D437" i="15"/>
  <c r="E437" i="15"/>
  <c r="F437" i="15"/>
  <c r="G437" i="15"/>
  <c r="H437" i="15"/>
  <c r="I437" i="15"/>
  <c r="J437" i="15"/>
  <c r="K437" i="15"/>
  <c r="L437" i="15"/>
  <c r="M437" i="15"/>
  <c r="N437" i="15"/>
  <c r="A438" i="15"/>
  <c r="B438" i="15"/>
  <c r="C438" i="15"/>
  <c r="D438" i="15"/>
  <c r="E438" i="15"/>
  <c r="F438" i="15"/>
  <c r="G438" i="15"/>
  <c r="H438" i="15"/>
  <c r="I438" i="15"/>
  <c r="J438" i="15"/>
  <c r="K438" i="15"/>
  <c r="L438" i="15"/>
  <c r="M438" i="15"/>
  <c r="N438" i="15"/>
  <c r="A439" i="15"/>
  <c r="B439" i="15"/>
  <c r="C439" i="15"/>
  <c r="D439" i="15"/>
  <c r="E439" i="15"/>
  <c r="F439" i="15"/>
  <c r="G439" i="15"/>
  <c r="H439" i="15"/>
  <c r="I439" i="15"/>
  <c r="J439" i="15"/>
  <c r="K439" i="15"/>
  <c r="L439" i="15"/>
  <c r="M439" i="15"/>
  <c r="N439" i="15"/>
  <c r="A440" i="15"/>
  <c r="B440" i="15"/>
  <c r="C440" i="15"/>
  <c r="D440" i="15"/>
  <c r="E440" i="15"/>
  <c r="F440" i="15"/>
  <c r="G440" i="15"/>
  <c r="H440" i="15"/>
  <c r="I440" i="15"/>
  <c r="J440" i="15"/>
  <c r="K440" i="15"/>
  <c r="L440" i="15"/>
  <c r="M440" i="15"/>
  <c r="N440" i="15"/>
  <c r="A441" i="15"/>
  <c r="B441" i="15"/>
  <c r="C441" i="15"/>
  <c r="D441" i="15"/>
  <c r="E441" i="15"/>
  <c r="F441" i="15"/>
  <c r="G441" i="15"/>
  <c r="H441" i="15"/>
  <c r="I441" i="15"/>
  <c r="J441" i="15"/>
  <c r="K441" i="15"/>
  <c r="L441" i="15"/>
  <c r="M441" i="15"/>
  <c r="N441" i="15"/>
  <c r="A442" i="15"/>
  <c r="B442" i="15"/>
  <c r="C442" i="15"/>
  <c r="D442" i="15"/>
  <c r="E442" i="15"/>
  <c r="F442" i="15"/>
  <c r="G442" i="15"/>
  <c r="H442" i="15"/>
  <c r="I442" i="15"/>
  <c r="J442" i="15"/>
  <c r="K442" i="15"/>
  <c r="L442" i="15"/>
  <c r="M442" i="15"/>
  <c r="N442" i="15"/>
  <c r="A443" i="15"/>
  <c r="B443" i="15"/>
  <c r="C443" i="15"/>
  <c r="D443" i="15"/>
  <c r="E443" i="15"/>
  <c r="F443" i="15"/>
  <c r="G443" i="15"/>
  <c r="H443" i="15"/>
  <c r="I443" i="15"/>
  <c r="J443" i="15"/>
  <c r="K443" i="15"/>
  <c r="L443" i="15"/>
  <c r="M443" i="15"/>
  <c r="N443" i="15"/>
  <c r="A444" i="15"/>
  <c r="B444" i="15"/>
  <c r="C444" i="15"/>
  <c r="D444" i="15"/>
  <c r="E444" i="15"/>
  <c r="F444" i="15"/>
  <c r="G444" i="15"/>
  <c r="H444" i="15"/>
  <c r="I444" i="15"/>
  <c r="J444" i="15"/>
  <c r="K444" i="15"/>
  <c r="L444" i="15"/>
  <c r="M444" i="15"/>
  <c r="N444" i="15"/>
  <c r="A445" i="15"/>
  <c r="B445" i="15"/>
  <c r="C445" i="15"/>
  <c r="D445" i="15"/>
  <c r="E445" i="15"/>
  <c r="F445" i="15"/>
  <c r="G445" i="15"/>
  <c r="H445" i="15"/>
  <c r="I445" i="15"/>
  <c r="J445" i="15"/>
  <c r="K445" i="15"/>
  <c r="L445" i="15"/>
  <c r="M445" i="15"/>
  <c r="N445" i="15"/>
  <c r="A446" i="15"/>
  <c r="B446" i="15"/>
  <c r="C446" i="15"/>
  <c r="D446" i="15"/>
  <c r="E446" i="15"/>
  <c r="F446" i="15"/>
  <c r="G446" i="15"/>
  <c r="H446" i="15"/>
  <c r="I446" i="15"/>
  <c r="J446" i="15"/>
  <c r="K446" i="15"/>
  <c r="L446" i="15"/>
  <c r="M446" i="15"/>
  <c r="N446" i="15"/>
  <c r="A447" i="15"/>
  <c r="B447" i="15"/>
  <c r="C447" i="15"/>
  <c r="D447" i="15"/>
  <c r="E447" i="15"/>
  <c r="F447" i="15"/>
  <c r="G447" i="15"/>
  <c r="H447" i="15"/>
  <c r="I447" i="15"/>
  <c r="J447" i="15"/>
  <c r="K447" i="15"/>
  <c r="L447" i="15"/>
  <c r="M447" i="15"/>
  <c r="N447" i="15"/>
  <c r="A448" i="15"/>
  <c r="B448" i="15"/>
  <c r="C448" i="15"/>
  <c r="D448" i="15"/>
  <c r="E448" i="15"/>
  <c r="F448" i="15"/>
  <c r="G448" i="15"/>
  <c r="H448" i="15"/>
  <c r="I448" i="15"/>
  <c r="J448" i="15"/>
  <c r="K448" i="15"/>
  <c r="L448" i="15"/>
  <c r="M448" i="15"/>
  <c r="N448" i="15"/>
  <c r="A449" i="15"/>
  <c r="B449" i="15"/>
  <c r="C449" i="15"/>
  <c r="D449" i="15"/>
  <c r="E449" i="15"/>
  <c r="F449" i="15"/>
  <c r="G449" i="15"/>
  <c r="H449" i="15"/>
  <c r="I449" i="15"/>
  <c r="J449" i="15"/>
  <c r="K449" i="15"/>
  <c r="L449" i="15"/>
  <c r="M449" i="15"/>
  <c r="N449" i="15"/>
  <c r="A450" i="15"/>
  <c r="B450" i="15"/>
  <c r="C450" i="15"/>
  <c r="D450" i="15"/>
  <c r="E450" i="15"/>
  <c r="F450" i="15"/>
  <c r="G450" i="15"/>
  <c r="H450" i="15"/>
  <c r="I450" i="15"/>
  <c r="J450" i="15"/>
  <c r="K450" i="15"/>
  <c r="L450" i="15"/>
  <c r="M450" i="15"/>
  <c r="N450" i="15"/>
  <c r="A451" i="15"/>
  <c r="B451" i="15"/>
  <c r="C451" i="15"/>
  <c r="D451" i="15"/>
  <c r="E451" i="15"/>
  <c r="F451" i="15"/>
  <c r="G451" i="15"/>
  <c r="H451" i="15"/>
  <c r="I451" i="15"/>
  <c r="J451" i="15"/>
  <c r="K451" i="15"/>
  <c r="L451" i="15"/>
  <c r="M451" i="15"/>
  <c r="N451" i="15"/>
  <c r="A452" i="15"/>
  <c r="B452" i="15"/>
  <c r="C452" i="15"/>
  <c r="D452" i="15"/>
  <c r="E452" i="15"/>
  <c r="F452" i="15"/>
  <c r="G452" i="15"/>
  <c r="H452" i="15"/>
  <c r="I452" i="15"/>
  <c r="J452" i="15"/>
  <c r="K452" i="15"/>
  <c r="L452" i="15"/>
  <c r="M452" i="15"/>
  <c r="N452" i="15"/>
  <c r="A453" i="15"/>
  <c r="B453" i="15"/>
  <c r="C453" i="15"/>
  <c r="D453" i="15"/>
  <c r="E453" i="15"/>
  <c r="F453" i="15"/>
  <c r="G453" i="15"/>
  <c r="H453" i="15"/>
  <c r="I453" i="15"/>
  <c r="J453" i="15"/>
  <c r="K453" i="15"/>
  <c r="L453" i="15"/>
  <c r="M453" i="15"/>
  <c r="N453" i="15"/>
  <c r="A454" i="15"/>
  <c r="B454" i="15"/>
  <c r="C454" i="15"/>
  <c r="D454" i="15"/>
  <c r="E454" i="15"/>
  <c r="F454" i="15"/>
  <c r="G454" i="15"/>
  <c r="H454" i="15"/>
  <c r="I454" i="15"/>
  <c r="J454" i="15"/>
  <c r="K454" i="15"/>
  <c r="L454" i="15"/>
  <c r="M454" i="15"/>
  <c r="N454" i="15"/>
  <c r="A455" i="15"/>
  <c r="B455" i="15"/>
  <c r="C455" i="15"/>
  <c r="D455" i="15"/>
  <c r="E455" i="15"/>
  <c r="F455" i="15"/>
  <c r="G455" i="15"/>
  <c r="H455" i="15"/>
  <c r="I455" i="15"/>
  <c r="J455" i="15"/>
  <c r="K455" i="15"/>
  <c r="L455" i="15"/>
  <c r="M455" i="15"/>
  <c r="N455" i="15"/>
  <c r="A456" i="15"/>
  <c r="B456" i="15"/>
  <c r="C456" i="15"/>
  <c r="D456" i="15"/>
  <c r="E456" i="15"/>
  <c r="F456" i="15"/>
  <c r="G456" i="15"/>
  <c r="H456" i="15"/>
  <c r="I456" i="15"/>
  <c r="J456" i="15"/>
  <c r="K456" i="15"/>
  <c r="L456" i="15"/>
  <c r="M456" i="15"/>
  <c r="N456" i="15"/>
  <c r="A457" i="15"/>
  <c r="B457" i="15"/>
  <c r="C457" i="15"/>
  <c r="D457" i="15"/>
  <c r="E457" i="15"/>
  <c r="F457" i="15"/>
  <c r="G457" i="15"/>
  <c r="H457" i="15"/>
  <c r="I457" i="15"/>
  <c r="J457" i="15"/>
  <c r="K457" i="15"/>
  <c r="L457" i="15"/>
  <c r="M457" i="15"/>
  <c r="N457" i="15"/>
  <c r="A458" i="15"/>
  <c r="B458" i="15"/>
  <c r="C458" i="15"/>
  <c r="D458" i="15"/>
  <c r="E458" i="15"/>
  <c r="F458" i="15"/>
  <c r="G458" i="15"/>
  <c r="H458" i="15"/>
  <c r="I458" i="15"/>
  <c r="J458" i="15"/>
  <c r="K458" i="15"/>
  <c r="L458" i="15"/>
  <c r="M458" i="15"/>
  <c r="N458" i="15"/>
  <c r="A459" i="15"/>
  <c r="B459" i="15"/>
  <c r="C459" i="15"/>
  <c r="D459" i="15"/>
  <c r="E459" i="15"/>
  <c r="F459" i="15"/>
  <c r="G459" i="15"/>
  <c r="H459" i="15"/>
  <c r="I459" i="15"/>
  <c r="J459" i="15"/>
  <c r="K459" i="15"/>
  <c r="L459" i="15"/>
  <c r="M459" i="15"/>
  <c r="N459" i="15"/>
  <c r="A460" i="15"/>
  <c r="B460" i="15"/>
  <c r="C460" i="15"/>
  <c r="D460" i="15"/>
  <c r="E460" i="15"/>
  <c r="F460" i="15"/>
  <c r="G460" i="15"/>
  <c r="H460" i="15"/>
  <c r="I460" i="15"/>
  <c r="J460" i="15"/>
  <c r="K460" i="15"/>
  <c r="L460" i="15"/>
  <c r="M460" i="15"/>
  <c r="N460" i="15"/>
  <c r="A461" i="15"/>
  <c r="B461" i="15"/>
  <c r="C461" i="15"/>
  <c r="D461" i="15"/>
  <c r="E461" i="15"/>
  <c r="F461" i="15"/>
  <c r="G461" i="15"/>
  <c r="H461" i="15"/>
  <c r="I461" i="15"/>
  <c r="J461" i="15"/>
  <c r="K461" i="15"/>
  <c r="L461" i="15"/>
  <c r="M461" i="15"/>
  <c r="N461" i="15"/>
  <c r="A462" i="15"/>
  <c r="B462" i="15"/>
  <c r="C462" i="15"/>
  <c r="D462" i="15"/>
  <c r="E462" i="15"/>
  <c r="F462" i="15"/>
  <c r="G462" i="15"/>
  <c r="H462" i="15"/>
  <c r="I462" i="15"/>
  <c r="J462" i="15"/>
  <c r="K462" i="15"/>
  <c r="L462" i="15"/>
  <c r="M462" i="15"/>
  <c r="N462" i="15"/>
  <c r="A463" i="15"/>
  <c r="B463" i="15"/>
  <c r="C463" i="15"/>
  <c r="D463" i="15"/>
  <c r="E463" i="15"/>
  <c r="F463" i="15"/>
  <c r="G463" i="15"/>
  <c r="H463" i="15"/>
  <c r="I463" i="15"/>
  <c r="J463" i="15"/>
  <c r="K463" i="15"/>
  <c r="L463" i="15"/>
  <c r="M463" i="15"/>
  <c r="N463" i="15"/>
  <c r="A464" i="15"/>
  <c r="B464" i="15"/>
  <c r="C464" i="15"/>
  <c r="D464" i="15"/>
  <c r="E464" i="15"/>
  <c r="F464" i="15"/>
  <c r="G464" i="15"/>
  <c r="H464" i="15"/>
  <c r="I464" i="15"/>
  <c r="J464" i="15"/>
  <c r="K464" i="15"/>
  <c r="L464" i="15"/>
  <c r="M464" i="15"/>
  <c r="N464" i="15"/>
  <c r="A465" i="15"/>
  <c r="B465" i="15"/>
  <c r="C465" i="15"/>
  <c r="D465" i="15"/>
  <c r="E465" i="15"/>
  <c r="F465" i="15"/>
  <c r="G465" i="15"/>
  <c r="H465" i="15"/>
  <c r="I465" i="15"/>
  <c r="J465" i="15"/>
  <c r="K465" i="15"/>
  <c r="L465" i="15"/>
  <c r="M465" i="15"/>
  <c r="N465" i="15"/>
  <c r="A466" i="15"/>
  <c r="B466" i="15"/>
  <c r="C466" i="15"/>
  <c r="D466" i="15"/>
  <c r="E466" i="15"/>
  <c r="F466" i="15"/>
  <c r="G466" i="15"/>
  <c r="H466" i="15"/>
  <c r="I466" i="15"/>
  <c r="J466" i="15"/>
  <c r="K466" i="15"/>
  <c r="L466" i="15"/>
  <c r="M466" i="15"/>
  <c r="N466" i="15"/>
  <c r="A467" i="15"/>
  <c r="B467" i="15"/>
  <c r="C467" i="15"/>
  <c r="D467" i="15"/>
  <c r="E467" i="15"/>
  <c r="F467" i="15"/>
  <c r="G467" i="15"/>
  <c r="H467" i="15"/>
  <c r="I467" i="15"/>
  <c r="J467" i="15"/>
  <c r="K467" i="15"/>
  <c r="L467" i="15"/>
  <c r="M467" i="15"/>
  <c r="N467" i="15"/>
  <c r="A468" i="15"/>
  <c r="B468" i="15"/>
  <c r="C468" i="15"/>
  <c r="D468" i="15"/>
  <c r="E468" i="15"/>
  <c r="F468" i="15"/>
  <c r="G468" i="15"/>
  <c r="H468" i="15"/>
  <c r="I468" i="15"/>
  <c r="J468" i="15"/>
  <c r="K468" i="15"/>
  <c r="L468" i="15"/>
  <c r="M468" i="15"/>
  <c r="N468" i="15"/>
  <c r="A469" i="15"/>
  <c r="B469" i="15"/>
  <c r="C469" i="15"/>
  <c r="D469" i="15"/>
  <c r="E469" i="15"/>
  <c r="F469" i="15"/>
  <c r="G469" i="15"/>
  <c r="H469" i="15"/>
  <c r="I469" i="15"/>
  <c r="J469" i="15"/>
  <c r="K469" i="15"/>
  <c r="L469" i="15"/>
  <c r="M469" i="15"/>
  <c r="N469" i="15"/>
  <c r="A470" i="15"/>
  <c r="B470" i="15"/>
  <c r="C470" i="15"/>
  <c r="D470" i="15"/>
  <c r="E470" i="15"/>
  <c r="F470" i="15"/>
  <c r="G470" i="15"/>
  <c r="H470" i="15"/>
  <c r="I470" i="15"/>
  <c r="J470" i="15"/>
  <c r="K470" i="15"/>
  <c r="L470" i="15"/>
  <c r="M470" i="15"/>
  <c r="N470" i="15"/>
  <c r="A471" i="15"/>
  <c r="B471" i="15"/>
  <c r="C471" i="15"/>
  <c r="D471" i="15"/>
  <c r="E471" i="15"/>
  <c r="F471" i="15"/>
  <c r="G471" i="15"/>
  <c r="H471" i="15"/>
  <c r="I471" i="15"/>
  <c r="J471" i="15"/>
  <c r="K471" i="15"/>
  <c r="L471" i="15"/>
  <c r="M471" i="15"/>
  <c r="N471" i="15"/>
  <c r="A472" i="15"/>
  <c r="B472" i="15"/>
  <c r="C472" i="15"/>
  <c r="D472" i="15"/>
  <c r="E472" i="15"/>
  <c r="F472" i="15"/>
  <c r="G472" i="15"/>
  <c r="H472" i="15"/>
  <c r="I472" i="15"/>
  <c r="J472" i="15"/>
  <c r="K472" i="15"/>
  <c r="L472" i="15"/>
  <c r="M472" i="15"/>
  <c r="N472" i="15"/>
  <c r="A473" i="15"/>
  <c r="B473" i="15"/>
  <c r="C473" i="15"/>
  <c r="D473" i="15"/>
  <c r="E473" i="15"/>
  <c r="F473" i="15"/>
  <c r="G473" i="15"/>
  <c r="H473" i="15"/>
  <c r="I473" i="15"/>
  <c r="J473" i="15"/>
  <c r="K473" i="15"/>
  <c r="L473" i="15"/>
  <c r="M473" i="15"/>
  <c r="N473" i="15"/>
  <c r="A474" i="15"/>
  <c r="B474" i="15"/>
  <c r="C474" i="15"/>
  <c r="D474" i="15"/>
  <c r="E474" i="15"/>
  <c r="F474" i="15"/>
  <c r="G474" i="15"/>
  <c r="H474" i="15"/>
  <c r="I474" i="15"/>
  <c r="J474" i="15"/>
  <c r="K474" i="15"/>
  <c r="L474" i="15"/>
  <c r="M474" i="15"/>
  <c r="N474" i="15"/>
  <c r="A475" i="15"/>
  <c r="B475" i="15"/>
  <c r="C475" i="15"/>
  <c r="D475" i="15"/>
  <c r="E475" i="15"/>
  <c r="F475" i="15"/>
  <c r="G475" i="15"/>
  <c r="H475" i="15"/>
  <c r="I475" i="15"/>
  <c r="J475" i="15"/>
  <c r="K475" i="15"/>
  <c r="L475" i="15"/>
  <c r="M475" i="15"/>
  <c r="N475" i="15"/>
  <c r="A476" i="15"/>
  <c r="B476" i="15"/>
  <c r="C476" i="15"/>
  <c r="D476" i="15"/>
  <c r="E476" i="15"/>
  <c r="F476" i="15"/>
  <c r="G476" i="15"/>
  <c r="H476" i="15"/>
  <c r="I476" i="15"/>
  <c r="J476" i="15"/>
  <c r="K476" i="15"/>
  <c r="L476" i="15"/>
  <c r="M476" i="15"/>
  <c r="N476" i="15"/>
  <c r="A477" i="15"/>
  <c r="B477" i="15"/>
  <c r="C477" i="15"/>
  <c r="D477" i="15"/>
  <c r="E477" i="15"/>
  <c r="F477" i="15"/>
  <c r="G477" i="15"/>
  <c r="H477" i="15"/>
  <c r="I477" i="15"/>
  <c r="J477" i="15"/>
  <c r="K477" i="15"/>
  <c r="L477" i="15"/>
  <c r="M477" i="15"/>
  <c r="N477" i="15"/>
  <c r="A478" i="15"/>
  <c r="B478" i="15"/>
  <c r="C478" i="15"/>
  <c r="D478" i="15"/>
  <c r="E478" i="15"/>
  <c r="F478" i="15"/>
  <c r="G478" i="15"/>
  <c r="H478" i="15"/>
  <c r="I478" i="15"/>
  <c r="J478" i="15"/>
  <c r="K478" i="15"/>
  <c r="L478" i="15"/>
  <c r="M478" i="15"/>
  <c r="N478" i="15"/>
  <c r="A479" i="15"/>
  <c r="B479" i="15"/>
  <c r="C479" i="15"/>
  <c r="D479" i="15"/>
  <c r="E479" i="15"/>
  <c r="F479" i="15"/>
  <c r="G479" i="15"/>
  <c r="H479" i="15"/>
  <c r="I479" i="15"/>
  <c r="J479" i="15"/>
  <c r="K479" i="15"/>
  <c r="L479" i="15"/>
  <c r="M479" i="15"/>
  <c r="N479" i="15"/>
  <c r="A480" i="15"/>
  <c r="B480" i="15"/>
  <c r="C480" i="15"/>
  <c r="D480" i="15"/>
  <c r="E480" i="15"/>
  <c r="F480" i="15"/>
  <c r="G480" i="15"/>
  <c r="H480" i="15"/>
  <c r="I480" i="15"/>
  <c r="J480" i="15"/>
  <c r="K480" i="15"/>
  <c r="L480" i="15"/>
  <c r="M480" i="15"/>
  <c r="N480" i="15"/>
  <c r="A481" i="15"/>
  <c r="B481" i="15"/>
  <c r="C481" i="15"/>
  <c r="D481" i="15"/>
  <c r="E481" i="15"/>
  <c r="F481" i="15"/>
  <c r="G481" i="15"/>
  <c r="H481" i="15"/>
  <c r="I481" i="15"/>
  <c r="J481" i="15"/>
  <c r="K481" i="15"/>
  <c r="L481" i="15"/>
  <c r="M481" i="15"/>
  <c r="N481" i="15"/>
  <c r="A482" i="15"/>
  <c r="B482" i="15"/>
  <c r="C482" i="15"/>
  <c r="D482" i="15"/>
  <c r="E482" i="15"/>
  <c r="F482" i="15"/>
  <c r="G482" i="15"/>
  <c r="H482" i="15"/>
  <c r="I482" i="15"/>
  <c r="J482" i="15"/>
  <c r="K482" i="15"/>
  <c r="L482" i="15"/>
  <c r="M482" i="15"/>
  <c r="N482" i="15"/>
  <c r="A483" i="15"/>
  <c r="B483" i="15"/>
  <c r="C483" i="15"/>
  <c r="D483" i="15"/>
  <c r="E483" i="15"/>
  <c r="F483" i="15"/>
  <c r="G483" i="15"/>
  <c r="H483" i="15"/>
  <c r="I483" i="15"/>
  <c r="J483" i="15"/>
  <c r="K483" i="15"/>
  <c r="L483" i="15"/>
  <c r="M483" i="15"/>
  <c r="N483" i="15"/>
  <c r="A484" i="15"/>
  <c r="B484" i="15"/>
  <c r="C484" i="15"/>
  <c r="D484" i="15"/>
  <c r="E484" i="15"/>
  <c r="F484" i="15"/>
  <c r="G484" i="15"/>
  <c r="H484" i="15"/>
  <c r="I484" i="15"/>
  <c r="J484" i="15"/>
  <c r="K484" i="15"/>
  <c r="L484" i="15"/>
  <c r="M484" i="15"/>
  <c r="N484" i="15"/>
  <c r="A485" i="15"/>
  <c r="B485" i="15"/>
  <c r="C485" i="15"/>
  <c r="D485" i="15"/>
  <c r="E485" i="15"/>
  <c r="F485" i="15"/>
  <c r="G485" i="15"/>
  <c r="H485" i="15"/>
  <c r="I485" i="15"/>
  <c r="J485" i="15"/>
  <c r="K485" i="15"/>
  <c r="L485" i="15"/>
  <c r="M485" i="15"/>
  <c r="N485" i="15"/>
  <c r="A486" i="15"/>
  <c r="B486" i="15"/>
  <c r="C486" i="15"/>
  <c r="D486" i="15"/>
  <c r="E486" i="15"/>
  <c r="F486" i="15"/>
  <c r="G486" i="15"/>
  <c r="H486" i="15"/>
  <c r="I486" i="15"/>
  <c r="J486" i="15"/>
  <c r="K486" i="15"/>
  <c r="L486" i="15"/>
  <c r="M486" i="15"/>
  <c r="N486" i="15"/>
  <c r="A487" i="15"/>
  <c r="B487" i="15"/>
  <c r="C487" i="15"/>
  <c r="D487" i="15"/>
  <c r="E487" i="15"/>
  <c r="F487" i="15"/>
  <c r="G487" i="15"/>
  <c r="H487" i="15"/>
  <c r="I487" i="15"/>
  <c r="J487" i="15"/>
  <c r="K487" i="15"/>
  <c r="L487" i="15"/>
  <c r="M487" i="15"/>
  <c r="N487" i="15"/>
  <c r="A488" i="15"/>
  <c r="B488" i="15"/>
  <c r="C488" i="15"/>
  <c r="D488" i="15"/>
  <c r="E488" i="15"/>
  <c r="F488" i="15"/>
  <c r="G488" i="15"/>
  <c r="H488" i="15"/>
  <c r="I488" i="15"/>
  <c r="J488" i="15"/>
  <c r="K488" i="15"/>
  <c r="L488" i="15"/>
  <c r="M488" i="15"/>
  <c r="N488" i="15"/>
  <c r="A489" i="15"/>
  <c r="B489" i="15"/>
  <c r="C489" i="15"/>
  <c r="D489" i="15"/>
  <c r="E489" i="15"/>
  <c r="F489" i="15"/>
  <c r="G489" i="15"/>
  <c r="H489" i="15"/>
  <c r="I489" i="15"/>
  <c r="J489" i="15"/>
  <c r="K489" i="15"/>
  <c r="L489" i="15"/>
  <c r="M489" i="15"/>
  <c r="N489" i="15"/>
  <c r="A490" i="15"/>
  <c r="B490" i="15"/>
  <c r="C490" i="15"/>
  <c r="D490" i="15"/>
  <c r="E490" i="15"/>
  <c r="F490" i="15"/>
  <c r="G490" i="15"/>
  <c r="H490" i="15"/>
  <c r="I490" i="15"/>
  <c r="J490" i="15"/>
  <c r="K490" i="15"/>
  <c r="L490" i="15"/>
  <c r="M490" i="15"/>
  <c r="N490" i="15"/>
  <c r="A491" i="15"/>
  <c r="B491" i="15"/>
  <c r="C491" i="15"/>
  <c r="D491" i="15"/>
  <c r="E491" i="15"/>
  <c r="F491" i="15"/>
  <c r="G491" i="15"/>
  <c r="H491" i="15"/>
  <c r="I491" i="15"/>
  <c r="J491" i="15"/>
  <c r="K491" i="15"/>
  <c r="L491" i="15"/>
  <c r="M491" i="15"/>
  <c r="N491" i="15"/>
  <c r="A492" i="15"/>
  <c r="B492" i="15"/>
  <c r="C492" i="15"/>
  <c r="D492" i="15"/>
  <c r="E492" i="15"/>
  <c r="F492" i="15"/>
  <c r="G492" i="15"/>
  <c r="H492" i="15"/>
  <c r="I492" i="15"/>
  <c r="J492" i="15"/>
  <c r="K492" i="15"/>
  <c r="L492" i="15"/>
  <c r="M492" i="15"/>
  <c r="N492" i="15"/>
  <c r="A493" i="15"/>
  <c r="B493" i="15"/>
  <c r="C493" i="15"/>
  <c r="D493" i="15"/>
  <c r="E493" i="15"/>
  <c r="F493" i="15"/>
  <c r="G493" i="15"/>
  <c r="H493" i="15"/>
  <c r="I493" i="15"/>
  <c r="J493" i="15"/>
  <c r="K493" i="15"/>
  <c r="L493" i="15"/>
  <c r="M493" i="15"/>
  <c r="N493" i="15"/>
  <c r="A494" i="15"/>
  <c r="B494" i="15"/>
  <c r="C494" i="15"/>
  <c r="D494" i="15"/>
  <c r="E494" i="15"/>
  <c r="F494" i="15"/>
  <c r="G494" i="15"/>
  <c r="H494" i="15"/>
  <c r="I494" i="15"/>
  <c r="J494" i="15"/>
  <c r="K494" i="15"/>
  <c r="L494" i="15"/>
  <c r="M494" i="15"/>
  <c r="N494" i="15"/>
  <c r="A495" i="15"/>
  <c r="B495" i="15"/>
  <c r="C495" i="15"/>
  <c r="D495" i="15"/>
  <c r="E495" i="15"/>
  <c r="F495" i="15"/>
  <c r="G495" i="15"/>
  <c r="H495" i="15"/>
  <c r="I495" i="15"/>
  <c r="J495" i="15"/>
  <c r="K495" i="15"/>
  <c r="L495" i="15"/>
  <c r="M495" i="15"/>
  <c r="N495" i="15"/>
  <c r="A496" i="15"/>
  <c r="B496" i="15"/>
  <c r="C496" i="15"/>
  <c r="D496" i="15"/>
  <c r="E496" i="15"/>
  <c r="F496" i="15"/>
  <c r="G496" i="15"/>
  <c r="H496" i="15"/>
  <c r="I496" i="15"/>
  <c r="J496" i="15"/>
  <c r="K496" i="15"/>
  <c r="L496" i="15"/>
  <c r="M496" i="15"/>
  <c r="N496" i="15"/>
  <c r="A497" i="15"/>
  <c r="B497" i="15"/>
  <c r="C497" i="15"/>
  <c r="D497" i="15"/>
  <c r="E497" i="15"/>
  <c r="F497" i="15"/>
  <c r="G497" i="15"/>
  <c r="H497" i="15"/>
  <c r="I497" i="15"/>
  <c r="J497" i="15"/>
  <c r="K497" i="15"/>
  <c r="L497" i="15"/>
  <c r="M497" i="15"/>
  <c r="N497" i="15"/>
  <c r="A498" i="15"/>
  <c r="B498" i="15"/>
  <c r="C498" i="15"/>
  <c r="D498" i="15"/>
  <c r="E498" i="15"/>
  <c r="F498" i="15"/>
  <c r="G498" i="15"/>
  <c r="H498" i="15"/>
  <c r="I498" i="15"/>
  <c r="J498" i="15"/>
  <c r="K498" i="15"/>
  <c r="L498" i="15"/>
  <c r="M498" i="15"/>
  <c r="N498" i="15"/>
  <c r="A499" i="15"/>
  <c r="B499" i="15"/>
  <c r="C499" i="15"/>
  <c r="D499" i="15"/>
  <c r="E499" i="15"/>
  <c r="F499" i="15"/>
  <c r="G499" i="15"/>
  <c r="H499" i="15"/>
  <c r="I499" i="15"/>
  <c r="J499" i="15"/>
  <c r="K499" i="15"/>
  <c r="L499" i="15"/>
  <c r="M499" i="15"/>
  <c r="N499" i="15"/>
  <c r="A500" i="15"/>
  <c r="B500" i="15"/>
  <c r="C500" i="15"/>
  <c r="D500" i="15"/>
  <c r="E500" i="15"/>
  <c r="F500" i="15"/>
  <c r="G500" i="15"/>
  <c r="H500" i="15"/>
  <c r="I500" i="15"/>
  <c r="J500" i="15"/>
  <c r="K500" i="15"/>
  <c r="L500" i="15"/>
  <c r="M500" i="15"/>
  <c r="N500" i="15"/>
  <c r="A501" i="15"/>
  <c r="B501" i="15"/>
  <c r="C501" i="15"/>
  <c r="D501" i="15"/>
  <c r="E501" i="15"/>
  <c r="F501" i="15"/>
  <c r="G501" i="15"/>
  <c r="H501" i="15"/>
  <c r="I501" i="15"/>
  <c r="J501" i="15"/>
  <c r="K501" i="15"/>
  <c r="L501" i="15"/>
  <c r="M501" i="15"/>
  <c r="N501" i="15"/>
  <c r="A502" i="15"/>
  <c r="B502" i="15"/>
  <c r="C502" i="15"/>
  <c r="D502" i="15"/>
  <c r="E502" i="15"/>
  <c r="F502" i="15"/>
  <c r="G502" i="15"/>
  <c r="H502" i="15"/>
  <c r="I502" i="15"/>
  <c r="J502" i="15"/>
  <c r="K502" i="15"/>
  <c r="L502" i="15"/>
  <c r="M502" i="15"/>
  <c r="N502" i="15"/>
  <c r="A503" i="15"/>
  <c r="B503" i="15"/>
  <c r="C503" i="15"/>
  <c r="D503" i="15"/>
  <c r="E503" i="15"/>
  <c r="F503" i="15"/>
  <c r="G503" i="15"/>
  <c r="H503" i="15"/>
  <c r="I503" i="15"/>
  <c r="J503" i="15"/>
  <c r="K503" i="15"/>
  <c r="L503" i="15"/>
  <c r="M503" i="15"/>
  <c r="N503" i="15"/>
  <c r="A504" i="15"/>
  <c r="B504" i="15"/>
  <c r="C504" i="15"/>
  <c r="D504" i="15"/>
  <c r="E504" i="15"/>
  <c r="F504" i="15"/>
  <c r="G504" i="15"/>
  <c r="H504" i="15"/>
  <c r="I504" i="15"/>
  <c r="J504" i="15"/>
  <c r="K504" i="15"/>
  <c r="L504" i="15"/>
  <c r="M504" i="15"/>
  <c r="N504" i="15"/>
  <c r="A505" i="15"/>
  <c r="B505" i="15"/>
  <c r="C505" i="15"/>
  <c r="D505" i="15"/>
  <c r="E505" i="15"/>
  <c r="F505" i="15"/>
  <c r="G505" i="15"/>
  <c r="H505" i="15"/>
  <c r="I505" i="15"/>
  <c r="J505" i="15"/>
  <c r="K505" i="15"/>
  <c r="L505" i="15"/>
  <c r="M505" i="15"/>
  <c r="N505" i="15"/>
  <c r="A506" i="15"/>
  <c r="B506" i="15"/>
  <c r="C506" i="15"/>
  <c r="D506" i="15"/>
  <c r="E506" i="15"/>
  <c r="F506" i="15"/>
  <c r="G506" i="15"/>
  <c r="H506" i="15"/>
  <c r="I506" i="15"/>
  <c r="J506" i="15"/>
  <c r="K506" i="15"/>
  <c r="L506" i="15"/>
  <c r="M506" i="15"/>
  <c r="N506" i="15"/>
  <c r="A507" i="15"/>
  <c r="B507" i="15"/>
  <c r="C507" i="15"/>
  <c r="D507" i="15"/>
  <c r="E507" i="15"/>
  <c r="F507" i="15"/>
  <c r="G507" i="15"/>
  <c r="H507" i="15"/>
  <c r="I507" i="15"/>
  <c r="J507" i="15"/>
  <c r="K507" i="15"/>
  <c r="L507" i="15"/>
  <c r="M507" i="15"/>
  <c r="N507" i="15"/>
  <c r="A508" i="15"/>
  <c r="B508" i="15"/>
  <c r="C508" i="15"/>
  <c r="D508" i="15"/>
  <c r="E508" i="15"/>
  <c r="F508" i="15"/>
  <c r="G508" i="15"/>
  <c r="H508" i="15"/>
  <c r="I508" i="15"/>
  <c r="J508" i="15"/>
  <c r="K508" i="15"/>
  <c r="L508" i="15"/>
  <c r="M508" i="15"/>
  <c r="N508" i="15"/>
  <c r="A509" i="15"/>
  <c r="B509" i="15"/>
  <c r="C509" i="15"/>
  <c r="D509" i="15"/>
  <c r="E509" i="15"/>
  <c r="F509" i="15"/>
  <c r="G509" i="15"/>
  <c r="H509" i="15"/>
  <c r="I509" i="15"/>
  <c r="J509" i="15"/>
  <c r="K509" i="15"/>
  <c r="L509" i="15"/>
  <c r="M509" i="15"/>
  <c r="N509" i="15"/>
  <c r="A510" i="15"/>
  <c r="B510" i="15"/>
  <c r="C510" i="15"/>
  <c r="D510" i="15"/>
  <c r="E510" i="15"/>
  <c r="F510" i="15"/>
  <c r="G510" i="15"/>
  <c r="H510" i="15"/>
  <c r="I510" i="15"/>
  <c r="J510" i="15"/>
  <c r="K510" i="15"/>
  <c r="L510" i="15"/>
  <c r="M510" i="15"/>
  <c r="N510" i="15"/>
  <c r="A511" i="15"/>
  <c r="B511" i="15"/>
  <c r="C511" i="15"/>
  <c r="D511" i="15"/>
  <c r="E511" i="15"/>
  <c r="F511" i="15"/>
  <c r="G511" i="15"/>
  <c r="H511" i="15"/>
  <c r="I511" i="15"/>
  <c r="J511" i="15"/>
  <c r="K511" i="15"/>
  <c r="L511" i="15"/>
  <c r="M511" i="15"/>
  <c r="N511" i="15"/>
  <c r="A512" i="15"/>
  <c r="B512" i="15"/>
  <c r="C512" i="15"/>
  <c r="D512" i="15"/>
  <c r="E512" i="15"/>
  <c r="F512" i="15"/>
  <c r="G512" i="15"/>
  <c r="H512" i="15"/>
  <c r="I512" i="15"/>
  <c r="J512" i="15"/>
  <c r="K512" i="15"/>
  <c r="L512" i="15"/>
  <c r="M512" i="15"/>
  <c r="N512" i="15"/>
  <c r="A513" i="15"/>
  <c r="B513" i="15"/>
  <c r="C513" i="15"/>
  <c r="D513" i="15"/>
  <c r="E513" i="15"/>
  <c r="F513" i="15"/>
  <c r="G513" i="15"/>
  <c r="H513" i="15"/>
  <c r="I513" i="15"/>
  <c r="J513" i="15"/>
  <c r="K513" i="15"/>
  <c r="L513" i="15"/>
  <c r="M513" i="15"/>
  <c r="N513" i="15"/>
  <c r="A514" i="15"/>
  <c r="B514" i="15"/>
  <c r="C514" i="15"/>
  <c r="D514" i="15"/>
  <c r="E514" i="15"/>
  <c r="F514" i="15"/>
  <c r="G514" i="15"/>
  <c r="H514" i="15"/>
  <c r="I514" i="15"/>
  <c r="J514" i="15"/>
  <c r="K514" i="15"/>
  <c r="L514" i="15"/>
  <c r="M514" i="15"/>
  <c r="N514" i="15"/>
  <c r="A515" i="15"/>
  <c r="B515" i="15"/>
  <c r="C515" i="15"/>
  <c r="D515" i="15"/>
  <c r="E515" i="15"/>
  <c r="F515" i="15"/>
  <c r="G515" i="15"/>
  <c r="H515" i="15"/>
  <c r="I515" i="15"/>
  <c r="J515" i="15"/>
  <c r="K515" i="15"/>
  <c r="L515" i="15"/>
  <c r="M515" i="15"/>
  <c r="N515" i="15"/>
  <c r="A516" i="15"/>
  <c r="B516" i="15"/>
  <c r="C516" i="15"/>
  <c r="D516" i="15"/>
  <c r="E516" i="15"/>
  <c r="F516" i="15"/>
  <c r="G516" i="15"/>
  <c r="H516" i="15"/>
  <c r="I516" i="15"/>
  <c r="J516" i="15"/>
  <c r="K516" i="15"/>
  <c r="L516" i="15"/>
  <c r="M516" i="15"/>
  <c r="N516" i="15"/>
  <c r="A517" i="15"/>
  <c r="B517" i="15"/>
  <c r="C517" i="15"/>
  <c r="D517" i="15"/>
  <c r="E517" i="15"/>
  <c r="F517" i="15"/>
  <c r="G517" i="15"/>
  <c r="H517" i="15"/>
  <c r="I517" i="15"/>
  <c r="J517" i="15"/>
  <c r="K517" i="15"/>
  <c r="L517" i="15"/>
  <c r="M517" i="15"/>
  <c r="N517" i="15"/>
  <c r="A518" i="15"/>
  <c r="B518" i="15"/>
  <c r="C518" i="15"/>
  <c r="D518" i="15"/>
  <c r="E518" i="15"/>
  <c r="F518" i="15"/>
  <c r="G518" i="15"/>
  <c r="H518" i="15"/>
  <c r="I518" i="15"/>
  <c r="J518" i="15"/>
  <c r="K518" i="15"/>
  <c r="L518" i="15"/>
  <c r="M518" i="15"/>
  <c r="N518" i="15"/>
  <c r="A519" i="15"/>
  <c r="B519" i="15"/>
  <c r="C519" i="15"/>
  <c r="D519" i="15"/>
  <c r="E519" i="15"/>
  <c r="F519" i="15"/>
  <c r="G519" i="15"/>
  <c r="H519" i="15"/>
  <c r="I519" i="15"/>
  <c r="J519" i="15"/>
  <c r="K519" i="15"/>
  <c r="L519" i="15"/>
  <c r="M519" i="15"/>
  <c r="N519" i="15"/>
  <c r="A520" i="15"/>
  <c r="B520" i="15"/>
  <c r="C520" i="15"/>
  <c r="D520" i="15"/>
  <c r="E520" i="15"/>
  <c r="F520" i="15"/>
  <c r="G520" i="15"/>
  <c r="H520" i="15"/>
  <c r="I520" i="15"/>
  <c r="J520" i="15"/>
  <c r="K520" i="15"/>
  <c r="L520" i="15"/>
  <c r="M520" i="15"/>
  <c r="N520" i="15"/>
  <c r="A521" i="15"/>
  <c r="B521" i="15"/>
  <c r="C521" i="15"/>
  <c r="D521" i="15"/>
  <c r="E521" i="15"/>
  <c r="F521" i="15"/>
  <c r="G521" i="15"/>
  <c r="H521" i="15"/>
  <c r="I521" i="15"/>
  <c r="J521" i="15"/>
  <c r="K521" i="15"/>
  <c r="L521" i="15"/>
  <c r="M521" i="15"/>
  <c r="N521" i="15"/>
  <c r="A522" i="15"/>
  <c r="B522" i="15"/>
  <c r="C522" i="15"/>
  <c r="D522" i="15"/>
  <c r="E522" i="15"/>
  <c r="F522" i="15"/>
  <c r="G522" i="15"/>
  <c r="H522" i="15"/>
  <c r="I522" i="15"/>
  <c r="J522" i="15"/>
  <c r="K522" i="15"/>
  <c r="L522" i="15"/>
  <c r="M522" i="15"/>
  <c r="N522" i="15"/>
  <c r="A523" i="15"/>
  <c r="B523" i="15"/>
  <c r="C523" i="15"/>
  <c r="D523" i="15"/>
  <c r="E523" i="15"/>
  <c r="F523" i="15"/>
  <c r="G523" i="15"/>
  <c r="H523" i="15"/>
  <c r="I523" i="15"/>
  <c r="J523" i="15"/>
  <c r="K523" i="15"/>
  <c r="L523" i="15"/>
  <c r="M523" i="15"/>
  <c r="N523" i="15"/>
  <c r="A524" i="15"/>
  <c r="B524" i="15"/>
  <c r="C524" i="15"/>
  <c r="D524" i="15"/>
  <c r="E524" i="15"/>
  <c r="F524" i="15"/>
  <c r="G524" i="15"/>
  <c r="H524" i="15"/>
  <c r="I524" i="15"/>
  <c r="J524" i="15"/>
  <c r="K524" i="15"/>
  <c r="L524" i="15"/>
  <c r="M524" i="15"/>
  <c r="N524" i="15"/>
  <c r="A525" i="15"/>
  <c r="B525" i="15"/>
  <c r="C525" i="15"/>
  <c r="D525" i="15"/>
  <c r="E525" i="15"/>
  <c r="F525" i="15"/>
  <c r="G525" i="15"/>
  <c r="H525" i="15"/>
  <c r="I525" i="15"/>
  <c r="J525" i="15"/>
  <c r="K525" i="15"/>
  <c r="L525" i="15"/>
  <c r="M525" i="15"/>
  <c r="N525" i="15"/>
  <c r="A526" i="15"/>
  <c r="B526" i="15"/>
  <c r="C526" i="15"/>
  <c r="D526" i="15"/>
  <c r="E526" i="15"/>
  <c r="F526" i="15"/>
  <c r="G526" i="15"/>
  <c r="H526" i="15"/>
  <c r="I526" i="15"/>
  <c r="J526" i="15"/>
  <c r="K526" i="15"/>
  <c r="L526" i="15"/>
  <c r="M526" i="15"/>
  <c r="N526" i="15"/>
  <c r="A527" i="15"/>
  <c r="B527" i="15"/>
  <c r="C527" i="15"/>
  <c r="D527" i="15"/>
  <c r="E527" i="15"/>
  <c r="F527" i="15"/>
  <c r="G527" i="15"/>
  <c r="H527" i="15"/>
  <c r="I527" i="15"/>
  <c r="J527" i="15"/>
  <c r="K527" i="15"/>
  <c r="L527" i="15"/>
  <c r="M527" i="15"/>
  <c r="N527" i="15"/>
  <c r="A528" i="15"/>
  <c r="B528" i="15"/>
  <c r="C528" i="15"/>
  <c r="D528" i="15"/>
  <c r="E528" i="15"/>
  <c r="F528" i="15"/>
  <c r="G528" i="15"/>
  <c r="H528" i="15"/>
  <c r="I528" i="15"/>
  <c r="J528" i="15"/>
  <c r="K528" i="15"/>
  <c r="L528" i="15"/>
  <c r="M528" i="15"/>
  <c r="N528" i="15"/>
  <c r="A529" i="15"/>
  <c r="B529" i="15"/>
  <c r="C529" i="15"/>
  <c r="D529" i="15"/>
  <c r="E529" i="15"/>
  <c r="F529" i="15"/>
  <c r="G529" i="15"/>
  <c r="H529" i="15"/>
  <c r="I529" i="15"/>
  <c r="J529" i="15"/>
  <c r="K529" i="15"/>
  <c r="L529" i="15"/>
  <c r="M529" i="15"/>
  <c r="N529" i="15"/>
  <c r="A530" i="15"/>
  <c r="B530" i="15"/>
  <c r="C530" i="15"/>
  <c r="D530" i="15"/>
  <c r="E530" i="15"/>
  <c r="F530" i="15"/>
  <c r="G530" i="15"/>
  <c r="H530" i="15"/>
  <c r="I530" i="15"/>
  <c r="J530" i="15"/>
  <c r="K530" i="15"/>
  <c r="L530" i="15"/>
  <c r="M530" i="15"/>
  <c r="N530" i="15"/>
  <c r="A531" i="15"/>
  <c r="B531" i="15"/>
  <c r="C531" i="15"/>
  <c r="D531" i="15"/>
  <c r="E531" i="15"/>
  <c r="F531" i="15"/>
  <c r="G531" i="15"/>
  <c r="H531" i="15"/>
  <c r="I531" i="15"/>
  <c r="J531" i="15"/>
  <c r="K531" i="15"/>
  <c r="L531" i="15"/>
  <c r="M531" i="15"/>
  <c r="N531" i="15"/>
  <c r="A532" i="15"/>
  <c r="B532" i="15"/>
  <c r="C532" i="15"/>
  <c r="D532" i="15"/>
  <c r="E532" i="15"/>
  <c r="F532" i="15"/>
  <c r="G532" i="15"/>
  <c r="H532" i="15"/>
  <c r="I532" i="15"/>
  <c r="J532" i="15"/>
  <c r="K532" i="15"/>
  <c r="L532" i="15"/>
  <c r="M532" i="15"/>
  <c r="N532" i="15"/>
  <c r="A533" i="15"/>
  <c r="B533" i="15"/>
  <c r="C533" i="15"/>
  <c r="D533" i="15"/>
  <c r="E533" i="15"/>
  <c r="F533" i="15"/>
  <c r="G533" i="15"/>
  <c r="H533" i="15"/>
  <c r="I533" i="15"/>
  <c r="J533" i="15"/>
  <c r="K533" i="15"/>
  <c r="L533" i="15"/>
  <c r="M533" i="15"/>
  <c r="N533" i="15"/>
  <c r="A534" i="15"/>
  <c r="B534" i="15"/>
  <c r="C534" i="15"/>
  <c r="D534" i="15"/>
  <c r="E534" i="15"/>
  <c r="F534" i="15"/>
  <c r="G534" i="15"/>
  <c r="H534" i="15"/>
  <c r="I534" i="15"/>
  <c r="J534" i="15"/>
  <c r="K534" i="15"/>
  <c r="L534" i="15"/>
  <c r="M534" i="15"/>
  <c r="N534" i="15"/>
  <c r="A535" i="15"/>
  <c r="B535" i="15"/>
  <c r="C535" i="15"/>
  <c r="D535" i="15"/>
  <c r="E535" i="15"/>
  <c r="F535" i="15"/>
  <c r="G535" i="15"/>
  <c r="H535" i="15"/>
  <c r="I535" i="15"/>
  <c r="J535" i="15"/>
  <c r="K535" i="15"/>
  <c r="L535" i="15"/>
  <c r="M535" i="15"/>
  <c r="N535" i="15"/>
  <c r="A536" i="15"/>
  <c r="B536" i="15"/>
  <c r="C536" i="15"/>
  <c r="D536" i="15"/>
  <c r="E536" i="15"/>
  <c r="F536" i="15"/>
  <c r="G536" i="15"/>
  <c r="H536" i="15"/>
  <c r="I536" i="15"/>
  <c r="J536" i="15"/>
  <c r="K536" i="15"/>
  <c r="L536" i="15"/>
  <c r="M536" i="15"/>
  <c r="N536" i="15"/>
  <c r="A537" i="15"/>
  <c r="B537" i="15"/>
  <c r="C537" i="15"/>
  <c r="D537" i="15"/>
  <c r="E537" i="15"/>
  <c r="F537" i="15"/>
  <c r="G537" i="15"/>
  <c r="H537" i="15"/>
  <c r="I537" i="15"/>
  <c r="J537" i="15"/>
  <c r="K537" i="15"/>
  <c r="L537" i="15"/>
  <c r="M537" i="15"/>
  <c r="N537" i="15"/>
  <c r="A538" i="15"/>
  <c r="B538" i="15"/>
  <c r="C538" i="15"/>
  <c r="D538" i="15"/>
  <c r="E538" i="15"/>
  <c r="F538" i="15"/>
  <c r="G538" i="15"/>
  <c r="H538" i="15"/>
  <c r="I538" i="15"/>
  <c r="J538" i="15"/>
  <c r="K538" i="15"/>
  <c r="L538" i="15"/>
  <c r="M538" i="15"/>
  <c r="N538" i="15"/>
  <c r="A539" i="15"/>
  <c r="B539" i="15"/>
  <c r="C539" i="15"/>
  <c r="D539" i="15"/>
  <c r="E539" i="15"/>
  <c r="F539" i="15"/>
  <c r="G539" i="15"/>
  <c r="H539" i="15"/>
  <c r="I539" i="15"/>
  <c r="J539" i="15"/>
  <c r="K539" i="15"/>
  <c r="L539" i="15"/>
  <c r="M539" i="15"/>
  <c r="N539" i="15"/>
  <c r="A540" i="15"/>
  <c r="B540" i="15"/>
  <c r="C540" i="15"/>
  <c r="D540" i="15"/>
  <c r="E540" i="15"/>
  <c r="F540" i="15"/>
  <c r="G540" i="15"/>
  <c r="H540" i="15"/>
  <c r="I540" i="15"/>
  <c r="J540" i="15"/>
  <c r="K540" i="15"/>
  <c r="L540" i="15"/>
  <c r="M540" i="15"/>
  <c r="N540" i="15"/>
  <c r="A541" i="15"/>
  <c r="B541" i="15"/>
  <c r="C541" i="15"/>
  <c r="D541" i="15"/>
  <c r="E541" i="15"/>
  <c r="F541" i="15"/>
  <c r="G541" i="15"/>
  <c r="H541" i="15"/>
  <c r="I541" i="15"/>
  <c r="J541" i="15"/>
  <c r="K541" i="15"/>
  <c r="L541" i="15"/>
  <c r="M541" i="15"/>
  <c r="N541" i="15"/>
  <c r="A542" i="15"/>
  <c r="B542" i="15"/>
  <c r="C542" i="15"/>
  <c r="D542" i="15"/>
  <c r="E542" i="15"/>
  <c r="F542" i="15"/>
  <c r="G542" i="15"/>
  <c r="H542" i="15"/>
  <c r="I542" i="15"/>
  <c r="J542" i="15"/>
  <c r="K542" i="15"/>
  <c r="L542" i="15"/>
  <c r="M542" i="15"/>
  <c r="N542" i="15"/>
  <c r="A543" i="15"/>
  <c r="B543" i="15"/>
  <c r="C543" i="15"/>
  <c r="D543" i="15"/>
  <c r="E543" i="15"/>
  <c r="F543" i="15"/>
  <c r="G543" i="15"/>
  <c r="H543" i="15"/>
  <c r="I543" i="15"/>
  <c r="J543" i="15"/>
  <c r="K543" i="15"/>
  <c r="L543" i="15"/>
  <c r="M543" i="15"/>
  <c r="N543" i="15"/>
  <c r="A544" i="15"/>
  <c r="B544" i="15"/>
  <c r="C544" i="15"/>
  <c r="D544" i="15"/>
  <c r="E544" i="15"/>
  <c r="F544" i="15"/>
  <c r="G544" i="15"/>
  <c r="H544" i="15"/>
  <c r="I544" i="15"/>
  <c r="J544" i="15"/>
  <c r="K544" i="15"/>
  <c r="L544" i="15"/>
  <c r="M544" i="15"/>
  <c r="N544" i="15"/>
  <c r="A545" i="15"/>
  <c r="B545" i="15"/>
  <c r="C545" i="15"/>
  <c r="D545" i="15"/>
  <c r="E545" i="15"/>
  <c r="F545" i="15"/>
  <c r="G545" i="15"/>
  <c r="H545" i="15"/>
  <c r="I545" i="15"/>
  <c r="J545" i="15"/>
  <c r="K545" i="15"/>
  <c r="L545" i="15"/>
  <c r="M545" i="15"/>
  <c r="N545" i="15"/>
  <c r="A546" i="15"/>
  <c r="B546" i="15"/>
  <c r="C546" i="15"/>
  <c r="D546" i="15"/>
  <c r="E546" i="15"/>
  <c r="F546" i="15"/>
  <c r="G546" i="15"/>
  <c r="H546" i="15"/>
  <c r="I546" i="15"/>
  <c r="J546" i="15"/>
  <c r="K546" i="15"/>
  <c r="L546" i="15"/>
  <c r="M546" i="15"/>
  <c r="N546" i="15"/>
  <c r="A547" i="15"/>
  <c r="B547" i="15"/>
  <c r="C547" i="15"/>
  <c r="D547" i="15"/>
  <c r="E547" i="15"/>
  <c r="F547" i="15"/>
  <c r="G547" i="15"/>
  <c r="H547" i="15"/>
  <c r="I547" i="15"/>
  <c r="J547" i="15"/>
  <c r="K547" i="15"/>
  <c r="L547" i="15"/>
  <c r="M547" i="15"/>
  <c r="N547" i="15"/>
  <c r="A548" i="15"/>
  <c r="B548" i="15"/>
  <c r="C548" i="15"/>
  <c r="D548" i="15"/>
  <c r="E548" i="15"/>
  <c r="F548" i="15"/>
  <c r="G548" i="15"/>
  <c r="H548" i="15"/>
  <c r="I548" i="15"/>
  <c r="J548" i="15"/>
  <c r="K548" i="15"/>
  <c r="L548" i="15"/>
  <c r="M548" i="15"/>
  <c r="N548" i="15"/>
  <c r="A549" i="15"/>
  <c r="B549" i="15"/>
  <c r="C549" i="15"/>
  <c r="D549" i="15"/>
  <c r="E549" i="15"/>
  <c r="F549" i="15"/>
  <c r="G549" i="15"/>
  <c r="H549" i="15"/>
  <c r="I549" i="15"/>
  <c r="J549" i="15"/>
  <c r="K549" i="15"/>
  <c r="L549" i="15"/>
  <c r="M549" i="15"/>
  <c r="N549" i="15"/>
  <c r="A550" i="15"/>
  <c r="B550" i="15"/>
  <c r="C550" i="15"/>
  <c r="D550" i="15"/>
  <c r="E550" i="15"/>
  <c r="F550" i="15"/>
  <c r="G550" i="15"/>
  <c r="H550" i="15"/>
  <c r="I550" i="15"/>
  <c r="J550" i="15"/>
  <c r="K550" i="15"/>
  <c r="L550" i="15"/>
  <c r="M550" i="15"/>
  <c r="N550" i="15"/>
  <c r="A551" i="15"/>
  <c r="B551" i="15"/>
  <c r="C551" i="15"/>
  <c r="D551" i="15"/>
  <c r="E551" i="15"/>
  <c r="F551" i="15"/>
  <c r="G551" i="15"/>
  <c r="H551" i="15"/>
  <c r="I551" i="15"/>
  <c r="J551" i="15"/>
  <c r="K551" i="15"/>
  <c r="L551" i="15"/>
  <c r="M551" i="15"/>
  <c r="N551" i="15"/>
  <c r="A552" i="15"/>
  <c r="B552" i="15"/>
  <c r="C552" i="15"/>
  <c r="D552" i="15"/>
  <c r="E552" i="15"/>
  <c r="F552" i="15"/>
  <c r="G552" i="15"/>
  <c r="H552" i="15"/>
  <c r="I552" i="15"/>
  <c r="J552" i="15"/>
  <c r="K552" i="15"/>
  <c r="L552" i="15"/>
  <c r="M552" i="15"/>
  <c r="N552" i="15"/>
  <c r="A553" i="15"/>
  <c r="B553" i="15"/>
  <c r="C553" i="15"/>
  <c r="D553" i="15"/>
  <c r="E553" i="15"/>
  <c r="F553" i="15"/>
  <c r="G553" i="15"/>
  <c r="H553" i="15"/>
  <c r="I553" i="15"/>
  <c r="J553" i="15"/>
  <c r="K553" i="15"/>
  <c r="L553" i="15"/>
  <c r="M553" i="15"/>
  <c r="N553" i="15"/>
  <c r="A554" i="15"/>
  <c r="B554" i="15"/>
  <c r="C554" i="15"/>
  <c r="D554" i="15"/>
  <c r="E554" i="15"/>
  <c r="F554" i="15"/>
  <c r="G554" i="15"/>
  <c r="H554" i="15"/>
  <c r="I554" i="15"/>
  <c r="J554" i="15"/>
  <c r="K554" i="15"/>
  <c r="L554" i="15"/>
  <c r="M554" i="15"/>
  <c r="N554" i="15"/>
  <c r="A555" i="15"/>
  <c r="B555" i="15"/>
  <c r="C555" i="15"/>
  <c r="D555" i="15"/>
  <c r="E555" i="15"/>
  <c r="F555" i="15"/>
  <c r="G555" i="15"/>
  <c r="H555" i="15"/>
  <c r="I555" i="15"/>
  <c r="J555" i="15"/>
  <c r="K555" i="15"/>
  <c r="L555" i="15"/>
  <c r="M555" i="15"/>
  <c r="N555" i="15"/>
  <c r="A556" i="15"/>
  <c r="B556" i="15"/>
  <c r="C556" i="15"/>
  <c r="D556" i="15"/>
  <c r="E556" i="15"/>
  <c r="F556" i="15"/>
  <c r="G556" i="15"/>
  <c r="H556" i="15"/>
  <c r="I556" i="15"/>
  <c r="J556" i="15"/>
  <c r="K556" i="15"/>
  <c r="L556" i="15"/>
  <c r="M556" i="15"/>
  <c r="N556" i="15"/>
  <c r="A557" i="15"/>
  <c r="B557" i="15"/>
  <c r="C557" i="15"/>
  <c r="D557" i="15"/>
  <c r="E557" i="15"/>
  <c r="F557" i="15"/>
  <c r="G557" i="15"/>
  <c r="H557" i="15"/>
  <c r="I557" i="15"/>
  <c r="J557" i="15"/>
  <c r="K557" i="15"/>
  <c r="L557" i="15"/>
  <c r="M557" i="15"/>
  <c r="N557" i="15"/>
  <c r="A558" i="15"/>
  <c r="B558" i="15"/>
  <c r="C558" i="15"/>
  <c r="D558" i="15"/>
  <c r="E558" i="15"/>
  <c r="F558" i="15"/>
  <c r="G558" i="15"/>
  <c r="H558" i="15"/>
  <c r="I558" i="15"/>
  <c r="J558" i="15"/>
  <c r="K558" i="15"/>
  <c r="L558" i="15"/>
  <c r="M558" i="15"/>
  <c r="N558" i="15"/>
  <c r="A559" i="15"/>
  <c r="B559" i="15"/>
  <c r="C559" i="15"/>
  <c r="D559" i="15"/>
  <c r="E559" i="15"/>
  <c r="F559" i="15"/>
  <c r="G559" i="15"/>
  <c r="H559" i="15"/>
  <c r="I559" i="15"/>
  <c r="J559" i="15"/>
  <c r="K559" i="15"/>
  <c r="L559" i="15"/>
  <c r="M559" i="15"/>
  <c r="N559" i="15"/>
  <c r="A560" i="15"/>
  <c r="B560" i="15"/>
  <c r="C560" i="15"/>
  <c r="D560" i="15"/>
  <c r="E560" i="15"/>
  <c r="F560" i="15"/>
  <c r="G560" i="15"/>
  <c r="H560" i="15"/>
  <c r="I560" i="15"/>
  <c r="J560" i="15"/>
  <c r="K560" i="15"/>
  <c r="L560" i="15"/>
  <c r="M560" i="15"/>
  <c r="N560" i="15"/>
  <c r="A561" i="15"/>
  <c r="B561" i="15"/>
  <c r="C561" i="15"/>
  <c r="D561" i="15"/>
  <c r="E561" i="15"/>
  <c r="F561" i="15"/>
  <c r="G561" i="15"/>
  <c r="H561" i="15"/>
  <c r="I561" i="15"/>
  <c r="J561" i="15"/>
  <c r="K561" i="15"/>
  <c r="L561" i="15"/>
  <c r="M561" i="15"/>
  <c r="N561" i="15"/>
  <c r="A562" i="15"/>
  <c r="B562" i="15"/>
  <c r="C562" i="15"/>
  <c r="D562" i="15"/>
  <c r="E562" i="15"/>
  <c r="F562" i="15"/>
  <c r="G562" i="15"/>
  <c r="H562" i="15"/>
  <c r="I562" i="15"/>
  <c r="J562" i="15"/>
  <c r="K562" i="15"/>
  <c r="L562" i="15"/>
  <c r="M562" i="15"/>
  <c r="N562" i="15"/>
  <c r="A563" i="15"/>
  <c r="B563" i="15"/>
  <c r="C563" i="15"/>
  <c r="D563" i="15"/>
  <c r="E563" i="15"/>
  <c r="F563" i="15"/>
  <c r="G563" i="15"/>
  <c r="H563" i="15"/>
  <c r="I563" i="15"/>
  <c r="J563" i="15"/>
  <c r="K563" i="15"/>
  <c r="L563" i="15"/>
  <c r="M563" i="15"/>
  <c r="N563" i="15"/>
  <c r="A564" i="15"/>
  <c r="B564" i="15"/>
  <c r="C564" i="15"/>
  <c r="D564" i="15"/>
  <c r="E564" i="15"/>
  <c r="F564" i="15"/>
  <c r="G564" i="15"/>
  <c r="H564" i="15"/>
  <c r="I564" i="15"/>
  <c r="J564" i="15"/>
  <c r="K564" i="15"/>
  <c r="L564" i="15"/>
  <c r="M564" i="15"/>
  <c r="N564" i="15"/>
  <c r="A565" i="15"/>
  <c r="B565" i="15"/>
  <c r="C565" i="15"/>
  <c r="D565" i="15"/>
  <c r="E565" i="15"/>
  <c r="F565" i="15"/>
  <c r="G565" i="15"/>
  <c r="H565" i="15"/>
  <c r="I565" i="15"/>
  <c r="J565" i="15"/>
  <c r="K565" i="15"/>
  <c r="L565" i="15"/>
  <c r="M565" i="15"/>
  <c r="N565" i="15"/>
  <c r="A566" i="15"/>
  <c r="B566" i="15"/>
  <c r="C566" i="15"/>
  <c r="D566" i="15"/>
  <c r="E566" i="15"/>
  <c r="F566" i="15"/>
  <c r="G566" i="15"/>
  <c r="H566" i="15"/>
  <c r="I566" i="15"/>
  <c r="J566" i="15"/>
  <c r="K566" i="15"/>
  <c r="L566" i="15"/>
  <c r="M566" i="15"/>
  <c r="N566" i="15"/>
  <c r="A567" i="15"/>
  <c r="B567" i="15"/>
  <c r="C567" i="15"/>
  <c r="D567" i="15"/>
  <c r="E567" i="15"/>
  <c r="F567" i="15"/>
  <c r="G567" i="15"/>
  <c r="H567" i="15"/>
  <c r="I567" i="15"/>
  <c r="J567" i="15"/>
  <c r="K567" i="15"/>
  <c r="L567" i="15"/>
  <c r="M567" i="15"/>
  <c r="N567" i="15"/>
  <c r="A568" i="15"/>
  <c r="B568" i="15"/>
  <c r="C568" i="15"/>
  <c r="D568" i="15"/>
  <c r="E568" i="15"/>
  <c r="F568" i="15"/>
  <c r="G568" i="15"/>
  <c r="H568" i="15"/>
  <c r="I568" i="15"/>
  <c r="J568" i="15"/>
  <c r="K568" i="15"/>
  <c r="L568" i="15"/>
  <c r="M568" i="15"/>
  <c r="N568" i="15"/>
  <c r="A569" i="15"/>
  <c r="B569" i="15"/>
  <c r="C569" i="15"/>
  <c r="D569" i="15"/>
  <c r="E569" i="15"/>
  <c r="F569" i="15"/>
  <c r="G569" i="15"/>
  <c r="H569" i="15"/>
  <c r="I569" i="15"/>
  <c r="J569" i="15"/>
  <c r="K569" i="15"/>
  <c r="L569" i="15"/>
  <c r="M569" i="15"/>
  <c r="N569" i="15"/>
  <c r="A570" i="15"/>
  <c r="B570" i="15"/>
  <c r="C570" i="15"/>
  <c r="D570" i="15"/>
  <c r="E570" i="15"/>
  <c r="F570" i="15"/>
  <c r="G570" i="15"/>
  <c r="H570" i="15"/>
  <c r="I570" i="15"/>
  <c r="J570" i="15"/>
  <c r="K570" i="15"/>
  <c r="L570" i="15"/>
  <c r="M570" i="15"/>
  <c r="N570" i="15"/>
  <c r="A571" i="15"/>
  <c r="B571" i="15"/>
  <c r="C571" i="15"/>
  <c r="D571" i="15"/>
  <c r="E571" i="15"/>
  <c r="F571" i="15"/>
  <c r="G571" i="15"/>
  <c r="H571" i="15"/>
  <c r="I571" i="15"/>
  <c r="J571" i="15"/>
  <c r="K571" i="15"/>
  <c r="L571" i="15"/>
  <c r="M571" i="15"/>
  <c r="N571" i="15"/>
  <c r="A572" i="15"/>
  <c r="B572" i="15"/>
  <c r="C572" i="15"/>
  <c r="D572" i="15"/>
  <c r="E572" i="15"/>
  <c r="F572" i="15"/>
  <c r="G572" i="15"/>
  <c r="H572" i="15"/>
  <c r="I572" i="15"/>
  <c r="J572" i="15"/>
  <c r="K572" i="15"/>
  <c r="L572" i="15"/>
  <c r="M572" i="15"/>
  <c r="N572" i="15"/>
  <c r="A573" i="15"/>
  <c r="B573" i="15"/>
  <c r="C573" i="15"/>
  <c r="D573" i="15"/>
  <c r="E573" i="15"/>
  <c r="F573" i="15"/>
  <c r="G573" i="15"/>
  <c r="H573" i="15"/>
  <c r="I573" i="15"/>
  <c r="J573" i="15"/>
  <c r="K573" i="15"/>
  <c r="L573" i="15"/>
  <c r="M573" i="15"/>
  <c r="N573" i="15"/>
  <c r="A574" i="15"/>
  <c r="B574" i="15"/>
  <c r="C574" i="15"/>
  <c r="D574" i="15"/>
  <c r="E574" i="15"/>
  <c r="F574" i="15"/>
  <c r="G574" i="15"/>
  <c r="H574" i="15"/>
  <c r="I574" i="15"/>
  <c r="J574" i="15"/>
  <c r="K574" i="15"/>
  <c r="L574" i="15"/>
  <c r="M574" i="15"/>
  <c r="N574" i="15"/>
  <c r="A575" i="15"/>
  <c r="B575" i="15"/>
  <c r="C575" i="15"/>
  <c r="D575" i="15"/>
  <c r="E575" i="15"/>
  <c r="F575" i="15"/>
  <c r="G575" i="15"/>
  <c r="H575" i="15"/>
  <c r="I575" i="15"/>
  <c r="J575" i="15"/>
  <c r="K575" i="15"/>
  <c r="L575" i="15"/>
  <c r="M575" i="15"/>
  <c r="N575" i="15"/>
  <c r="A576" i="15"/>
  <c r="B576" i="15"/>
  <c r="C576" i="15"/>
  <c r="D576" i="15"/>
  <c r="E576" i="15"/>
  <c r="F576" i="15"/>
  <c r="G576" i="15"/>
  <c r="H576" i="15"/>
  <c r="I576" i="15"/>
  <c r="J576" i="15"/>
  <c r="K576" i="15"/>
  <c r="L576" i="15"/>
  <c r="M576" i="15"/>
  <c r="N576" i="15"/>
  <c r="A577" i="15"/>
  <c r="B577" i="15"/>
  <c r="C577" i="15"/>
  <c r="D577" i="15"/>
  <c r="E577" i="15"/>
  <c r="F577" i="15"/>
  <c r="G577" i="15"/>
  <c r="H577" i="15"/>
  <c r="I577" i="15"/>
  <c r="J577" i="15"/>
  <c r="K577" i="15"/>
  <c r="L577" i="15"/>
  <c r="M577" i="15"/>
  <c r="N577" i="15"/>
  <c r="A578" i="15"/>
  <c r="B578" i="15"/>
  <c r="C578" i="15"/>
  <c r="D578" i="15"/>
  <c r="E578" i="15"/>
  <c r="F578" i="15"/>
  <c r="G578" i="15"/>
  <c r="H578" i="15"/>
  <c r="I578" i="15"/>
  <c r="J578" i="15"/>
  <c r="K578" i="15"/>
  <c r="L578" i="15"/>
  <c r="M578" i="15"/>
  <c r="N578" i="15"/>
  <c r="A579" i="15"/>
  <c r="B579" i="15"/>
  <c r="C579" i="15"/>
  <c r="D579" i="15"/>
  <c r="E579" i="15"/>
  <c r="F579" i="15"/>
  <c r="G579" i="15"/>
  <c r="H579" i="15"/>
  <c r="I579" i="15"/>
  <c r="J579" i="15"/>
  <c r="K579" i="15"/>
  <c r="L579" i="15"/>
  <c r="M579" i="15"/>
  <c r="N579" i="15"/>
  <c r="A580" i="15"/>
  <c r="B580" i="15"/>
  <c r="C580" i="15"/>
  <c r="D580" i="15"/>
  <c r="E580" i="15"/>
  <c r="F580" i="15"/>
  <c r="G580" i="15"/>
  <c r="H580" i="15"/>
  <c r="I580" i="15"/>
  <c r="J580" i="15"/>
  <c r="K580" i="15"/>
  <c r="L580" i="15"/>
  <c r="M580" i="15"/>
  <c r="N580" i="15"/>
  <c r="A581" i="15"/>
  <c r="B581" i="15"/>
  <c r="C581" i="15"/>
  <c r="D581" i="15"/>
  <c r="E581" i="15"/>
  <c r="F581" i="15"/>
  <c r="G581" i="15"/>
  <c r="H581" i="15"/>
  <c r="I581" i="15"/>
  <c r="J581" i="15"/>
  <c r="K581" i="15"/>
  <c r="L581" i="15"/>
  <c r="M581" i="15"/>
  <c r="N581" i="15"/>
  <c r="A582" i="15"/>
  <c r="B582" i="15"/>
  <c r="C582" i="15"/>
  <c r="D582" i="15"/>
  <c r="E582" i="15"/>
  <c r="F582" i="15"/>
  <c r="G582" i="15"/>
  <c r="H582" i="15"/>
  <c r="I582" i="15"/>
  <c r="J582" i="15"/>
  <c r="K582" i="15"/>
  <c r="L582" i="15"/>
  <c r="M582" i="15"/>
  <c r="N582" i="15"/>
  <c r="A583" i="15"/>
  <c r="B583" i="15"/>
  <c r="C583" i="15"/>
  <c r="D583" i="15"/>
  <c r="E583" i="15"/>
  <c r="F583" i="15"/>
  <c r="G583" i="15"/>
  <c r="H583" i="15"/>
  <c r="I583" i="15"/>
  <c r="J583" i="15"/>
  <c r="K583" i="15"/>
  <c r="L583" i="15"/>
  <c r="M583" i="15"/>
  <c r="N583" i="15"/>
  <c r="A584" i="15"/>
  <c r="B584" i="15"/>
  <c r="C584" i="15"/>
  <c r="D584" i="15"/>
  <c r="E584" i="15"/>
  <c r="F584" i="15"/>
  <c r="G584" i="15"/>
  <c r="H584" i="15"/>
  <c r="I584" i="15"/>
  <c r="J584" i="15"/>
  <c r="K584" i="15"/>
  <c r="L584" i="15"/>
  <c r="M584" i="15"/>
  <c r="N584" i="15"/>
  <c r="A585" i="15"/>
  <c r="B585" i="15"/>
  <c r="C585" i="15"/>
  <c r="D585" i="15"/>
  <c r="E585" i="15"/>
  <c r="F585" i="15"/>
  <c r="G585" i="15"/>
  <c r="H585" i="15"/>
  <c r="I585" i="15"/>
  <c r="J585" i="15"/>
  <c r="K585" i="15"/>
  <c r="L585" i="15"/>
  <c r="M585" i="15"/>
  <c r="N585" i="15"/>
  <c r="A586" i="15"/>
  <c r="B586" i="15"/>
  <c r="C586" i="15"/>
  <c r="D586" i="15"/>
  <c r="E586" i="15"/>
  <c r="F586" i="15"/>
  <c r="G586" i="15"/>
  <c r="H586" i="15"/>
  <c r="I586" i="15"/>
  <c r="J586" i="15"/>
  <c r="K586" i="15"/>
  <c r="L586" i="15"/>
  <c r="M586" i="15"/>
  <c r="N586" i="15"/>
  <c r="A587" i="15"/>
  <c r="B587" i="15"/>
  <c r="C587" i="15"/>
  <c r="D587" i="15"/>
  <c r="E587" i="15"/>
  <c r="F587" i="15"/>
  <c r="G587" i="15"/>
  <c r="H587" i="15"/>
  <c r="I587" i="15"/>
  <c r="J587" i="15"/>
  <c r="K587" i="15"/>
  <c r="L587" i="15"/>
  <c r="M587" i="15"/>
  <c r="N587" i="15"/>
  <c r="A588" i="15"/>
  <c r="B588" i="15"/>
  <c r="C588" i="15"/>
  <c r="D588" i="15"/>
  <c r="E588" i="15"/>
  <c r="F588" i="15"/>
  <c r="G588" i="15"/>
  <c r="H588" i="15"/>
  <c r="I588" i="15"/>
  <c r="J588" i="15"/>
  <c r="K588" i="15"/>
  <c r="L588" i="15"/>
  <c r="M588" i="15"/>
  <c r="N588" i="15"/>
  <c r="A589" i="15"/>
  <c r="B589" i="15"/>
  <c r="C589" i="15"/>
  <c r="D589" i="15"/>
  <c r="E589" i="15"/>
  <c r="F589" i="15"/>
  <c r="G589" i="15"/>
  <c r="H589" i="15"/>
  <c r="I589" i="15"/>
  <c r="J589" i="15"/>
  <c r="K589" i="15"/>
  <c r="L589" i="15"/>
  <c r="M589" i="15"/>
  <c r="N589" i="15"/>
  <c r="A590" i="15"/>
  <c r="B590" i="15"/>
  <c r="C590" i="15"/>
  <c r="D590" i="15"/>
  <c r="E590" i="15"/>
  <c r="F590" i="15"/>
  <c r="G590" i="15"/>
  <c r="H590" i="15"/>
  <c r="I590" i="15"/>
  <c r="J590" i="15"/>
  <c r="K590" i="15"/>
  <c r="L590" i="15"/>
  <c r="M590" i="15"/>
  <c r="N590" i="15"/>
  <c r="A591" i="15"/>
  <c r="B591" i="15"/>
  <c r="C591" i="15"/>
  <c r="D591" i="15"/>
  <c r="E591" i="15"/>
  <c r="F591" i="15"/>
  <c r="G591" i="15"/>
  <c r="H591" i="15"/>
  <c r="I591" i="15"/>
  <c r="J591" i="15"/>
  <c r="K591" i="15"/>
  <c r="L591" i="15"/>
  <c r="M591" i="15"/>
  <c r="N591" i="15"/>
  <c r="A592" i="15"/>
  <c r="B592" i="15"/>
  <c r="C592" i="15"/>
  <c r="D592" i="15"/>
  <c r="E592" i="15"/>
  <c r="F592" i="15"/>
  <c r="G592" i="15"/>
  <c r="H592" i="15"/>
  <c r="I592" i="15"/>
  <c r="J592" i="15"/>
  <c r="K592" i="15"/>
  <c r="L592" i="15"/>
  <c r="M592" i="15"/>
  <c r="N592" i="15"/>
  <c r="A593" i="15"/>
  <c r="B593" i="15"/>
  <c r="C593" i="15"/>
  <c r="D593" i="15"/>
  <c r="E593" i="15"/>
  <c r="F593" i="15"/>
  <c r="G593" i="15"/>
  <c r="H593" i="15"/>
  <c r="I593" i="15"/>
  <c r="J593" i="15"/>
  <c r="K593" i="15"/>
  <c r="L593" i="15"/>
  <c r="M593" i="15"/>
  <c r="N593" i="15"/>
  <c r="A594" i="15"/>
  <c r="B594" i="15"/>
  <c r="C594" i="15"/>
  <c r="D594" i="15"/>
  <c r="E594" i="15"/>
  <c r="F594" i="15"/>
  <c r="G594" i="15"/>
  <c r="H594" i="15"/>
  <c r="I594" i="15"/>
  <c r="J594" i="15"/>
  <c r="K594" i="15"/>
  <c r="L594" i="15"/>
  <c r="M594" i="15"/>
  <c r="N594" i="15"/>
  <c r="A595" i="15"/>
  <c r="B595" i="15"/>
  <c r="C595" i="15"/>
  <c r="D595" i="15"/>
  <c r="E595" i="15"/>
  <c r="F595" i="15"/>
  <c r="G595" i="15"/>
  <c r="H595" i="15"/>
  <c r="I595" i="15"/>
  <c r="J595" i="15"/>
  <c r="K595" i="15"/>
  <c r="L595" i="15"/>
  <c r="M595" i="15"/>
  <c r="N595" i="15"/>
  <c r="A596" i="15"/>
  <c r="B596" i="15"/>
  <c r="C596" i="15"/>
  <c r="D596" i="15"/>
  <c r="E596" i="15"/>
  <c r="F596" i="15"/>
  <c r="G596" i="15"/>
  <c r="H596" i="15"/>
  <c r="I596" i="15"/>
  <c r="J596" i="15"/>
  <c r="K596" i="15"/>
  <c r="L596" i="15"/>
  <c r="M596" i="15"/>
  <c r="N596" i="15"/>
  <c r="A597" i="15"/>
  <c r="B597" i="15"/>
  <c r="C597" i="15"/>
  <c r="D597" i="15"/>
  <c r="E597" i="15"/>
  <c r="F597" i="15"/>
  <c r="G597" i="15"/>
  <c r="H597" i="15"/>
  <c r="I597" i="15"/>
  <c r="J597" i="15"/>
  <c r="K597" i="15"/>
  <c r="L597" i="15"/>
  <c r="M597" i="15"/>
  <c r="N597" i="15"/>
  <c r="A598" i="15"/>
  <c r="B598" i="15"/>
  <c r="C598" i="15"/>
  <c r="D598" i="15"/>
  <c r="E598" i="15"/>
  <c r="F598" i="15"/>
  <c r="G598" i="15"/>
  <c r="H598" i="15"/>
  <c r="I598" i="15"/>
  <c r="J598" i="15"/>
  <c r="K598" i="15"/>
  <c r="L598" i="15"/>
  <c r="M598" i="15"/>
  <c r="N598" i="15"/>
  <c r="A599" i="15"/>
  <c r="B599" i="15"/>
  <c r="C599" i="15"/>
  <c r="D599" i="15"/>
  <c r="E599" i="15"/>
  <c r="F599" i="15"/>
  <c r="G599" i="15"/>
  <c r="H599" i="15"/>
  <c r="I599" i="15"/>
  <c r="J599" i="15"/>
  <c r="K599" i="15"/>
  <c r="L599" i="15"/>
  <c r="M599" i="15"/>
  <c r="N599" i="15"/>
  <c r="A600" i="15"/>
  <c r="B600" i="15"/>
  <c r="C600" i="15"/>
  <c r="D600" i="15"/>
  <c r="E600" i="15"/>
  <c r="F600" i="15"/>
  <c r="G600" i="15"/>
  <c r="H600" i="15"/>
  <c r="I600" i="15"/>
  <c r="J600" i="15"/>
  <c r="K600" i="15"/>
  <c r="L600" i="15"/>
  <c r="M600" i="15"/>
  <c r="N600" i="15"/>
  <c r="A601" i="15"/>
  <c r="B601" i="15"/>
  <c r="C601" i="15"/>
  <c r="D601" i="15"/>
  <c r="E601" i="15"/>
  <c r="F601" i="15"/>
  <c r="G601" i="15"/>
  <c r="H601" i="15"/>
  <c r="I601" i="15"/>
  <c r="J601" i="15"/>
  <c r="K601" i="15"/>
  <c r="L601" i="15"/>
  <c r="M601" i="15"/>
  <c r="N601" i="15"/>
  <c r="A602" i="15"/>
  <c r="B602" i="15"/>
  <c r="C602" i="15"/>
  <c r="D602" i="15"/>
  <c r="E602" i="15"/>
  <c r="F602" i="15"/>
  <c r="G602" i="15"/>
  <c r="H602" i="15"/>
  <c r="I602" i="15"/>
  <c r="J602" i="15"/>
  <c r="K602" i="15"/>
  <c r="L602" i="15"/>
  <c r="M602" i="15"/>
  <c r="N602" i="15"/>
  <c r="A603" i="15"/>
  <c r="B603" i="15"/>
  <c r="C603" i="15"/>
  <c r="D603" i="15"/>
  <c r="E603" i="15"/>
  <c r="F603" i="15"/>
  <c r="G603" i="15"/>
  <c r="H603" i="15"/>
  <c r="I603" i="15"/>
  <c r="J603" i="15"/>
  <c r="K603" i="15"/>
  <c r="L603" i="15"/>
  <c r="M603" i="15"/>
  <c r="N603" i="15"/>
  <c r="A604" i="15"/>
  <c r="B604" i="15"/>
  <c r="C604" i="15"/>
  <c r="D604" i="15"/>
  <c r="E604" i="15"/>
  <c r="F604" i="15"/>
  <c r="G604" i="15"/>
  <c r="H604" i="15"/>
  <c r="I604" i="15"/>
  <c r="J604" i="15"/>
  <c r="K604" i="15"/>
  <c r="L604" i="15"/>
  <c r="M604" i="15"/>
  <c r="N604" i="15"/>
  <c r="A605" i="15"/>
  <c r="B605" i="15"/>
  <c r="C605" i="15"/>
  <c r="D605" i="15"/>
  <c r="E605" i="15"/>
  <c r="F605" i="15"/>
  <c r="G605" i="15"/>
  <c r="H605" i="15"/>
  <c r="I605" i="15"/>
  <c r="J605" i="15"/>
  <c r="K605" i="15"/>
  <c r="L605" i="15"/>
  <c r="M605" i="15"/>
  <c r="N605" i="15"/>
  <c r="A606" i="15"/>
  <c r="B606" i="15"/>
  <c r="C606" i="15"/>
  <c r="D606" i="15"/>
  <c r="E606" i="15"/>
  <c r="F606" i="15"/>
  <c r="G606" i="15"/>
  <c r="H606" i="15"/>
  <c r="I606" i="15"/>
  <c r="J606" i="15"/>
  <c r="K606" i="15"/>
  <c r="L606" i="15"/>
  <c r="M606" i="15"/>
  <c r="N606" i="15"/>
  <c r="A607" i="15"/>
  <c r="B607" i="15"/>
  <c r="C607" i="15"/>
  <c r="D607" i="15"/>
  <c r="E607" i="15"/>
  <c r="F607" i="15"/>
  <c r="G607" i="15"/>
  <c r="H607" i="15"/>
  <c r="I607" i="15"/>
  <c r="J607" i="15"/>
  <c r="K607" i="15"/>
  <c r="L607" i="15"/>
  <c r="M607" i="15"/>
  <c r="N607" i="15"/>
  <c r="A608" i="15"/>
  <c r="B608" i="15"/>
  <c r="C608" i="15"/>
  <c r="D608" i="15"/>
  <c r="E608" i="15"/>
  <c r="F608" i="15"/>
  <c r="G608" i="15"/>
  <c r="H608" i="15"/>
  <c r="I608" i="15"/>
  <c r="J608" i="15"/>
  <c r="K608" i="15"/>
  <c r="L608" i="15"/>
  <c r="M608" i="15"/>
  <c r="N608" i="15"/>
  <c r="A609" i="15"/>
  <c r="B609" i="15"/>
  <c r="C609" i="15"/>
  <c r="D609" i="15"/>
  <c r="E609" i="15"/>
  <c r="F609" i="15"/>
  <c r="G609" i="15"/>
  <c r="H609" i="15"/>
  <c r="I609" i="15"/>
  <c r="J609" i="15"/>
  <c r="K609" i="15"/>
  <c r="L609" i="15"/>
  <c r="M609" i="15"/>
  <c r="N609" i="15"/>
  <c r="A610" i="15"/>
  <c r="B610" i="15"/>
  <c r="C610" i="15"/>
  <c r="D610" i="15"/>
  <c r="E610" i="15"/>
  <c r="F610" i="15"/>
  <c r="G610" i="15"/>
  <c r="H610" i="15"/>
  <c r="I610" i="15"/>
  <c r="J610" i="15"/>
  <c r="K610" i="15"/>
  <c r="L610" i="15"/>
  <c r="M610" i="15"/>
  <c r="N610" i="15"/>
  <c r="A611" i="15"/>
  <c r="B611" i="15"/>
  <c r="C611" i="15"/>
  <c r="D611" i="15"/>
  <c r="E611" i="15"/>
  <c r="F611" i="15"/>
  <c r="G611" i="15"/>
  <c r="H611" i="15"/>
  <c r="I611" i="15"/>
  <c r="J611" i="15"/>
  <c r="K611" i="15"/>
  <c r="L611" i="15"/>
  <c r="M611" i="15"/>
  <c r="N611" i="15"/>
  <c r="A612" i="15"/>
  <c r="B612" i="15"/>
  <c r="C612" i="15"/>
  <c r="D612" i="15"/>
  <c r="E612" i="15"/>
  <c r="F612" i="15"/>
  <c r="G612" i="15"/>
  <c r="H612" i="15"/>
  <c r="I612" i="15"/>
  <c r="J612" i="15"/>
  <c r="K612" i="15"/>
  <c r="L612" i="15"/>
  <c r="M612" i="15"/>
  <c r="N612" i="15"/>
  <c r="A613" i="15"/>
  <c r="B613" i="15"/>
  <c r="C613" i="15"/>
  <c r="D613" i="15"/>
  <c r="E613" i="15"/>
  <c r="F613" i="15"/>
  <c r="G613" i="15"/>
  <c r="H613" i="15"/>
  <c r="I613" i="15"/>
  <c r="J613" i="15"/>
  <c r="K613" i="15"/>
  <c r="L613" i="15"/>
  <c r="M613" i="15"/>
  <c r="N613" i="15"/>
  <c r="A614" i="15"/>
  <c r="B614" i="15"/>
  <c r="C614" i="15"/>
  <c r="D614" i="15"/>
  <c r="E614" i="15"/>
  <c r="F614" i="15"/>
  <c r="G614" i="15"/>
  <c r="H614" i="15"/>
  <c r="I614" i="15"/>
  <c r="J614" i="15"/>
  <c r="K614" i="15"/>
  <c r="L614" i="15"/>
  <c r="M614" i="15"/>
  <c r="N614" i="15"/>
  <c r="A615" i="15"/>
  <c r="B615" i="15"/>
  <c r="C615" i="15"/>
  <c r="D615" i="15"/>
  <c r="E615" i="15"/>
  <c r="F615" i="15"/>
  <c r="G615" i="15"/>
  <c r="H615" i="15"/>
  <c r="I615" i="15"/>
  <c r="J615" i="15"/>
  <c r="K615" i="15"/>
  <c r="L615" i="15"/>
  <c r="M615" i="15"/>
  <c r="N615" i="15"/>
  <c r="A616" i="15"/>
  <c r="B616" i="15"/>
  <c r="C616" i="15"/>
  <c r="D616" i="15"/>
  <c r="E616" i="15"/>
  <c r="F616" i="15"/>
  <c r="G616" i="15"/>
  <c r="H616" i="15"/>
  <c r="I616" i="15"/>
  <c r="J616" i="15"/>
  <c r="K616" i="15"/>
  <c r="L616" i="15"/>
  <c r="M616" i="15"/>
  <c r="N616" i="15"/>
  <c r="A617" i="15"/>
  <c r="B617" i="15"/>
  <c r="C617" i="15"/>
  <c r="D617" i="15"/>
  <c r="E617" i="15"/>
  <c r="F617" i="15"/>
  <c r="G617" i="15"/>
  <c r="H617" i="15"/>
  <c r="I617" i="15"/>
  <c r="J617" i="15"/>
  <c r="K617" i="15"/>
  <c r="L617" i="15"/>
  <c r="M617" i="15"/>
  <c r="N617" i="15"/>
  <c r="A618" i="15"/>
  <c r="B618" i="15"/>
  <c r="C618" i="15"/>
  <c r="D618" i="15"/>
  <c r="E618" i="15"/>
  <c r="F618" i="15"/>
  <c r="G618" i="15"/>
  <c r="H618" i="15"/>
  <c r="I618" i="15"/>
  <c r="J618" i="15"/>
  <c r="K618" i="15"/>
  <c r="L618" i="15"/>
  <c r="M618" i="15"/>
  <c r="N618" i="15"/>
  <c r="A619" i="15"/>
  <c r="B619" i="15"/>
  <c r="C619" i="15"/>
  <c r="D619" i="15"/>
  <c r="E619" i="15"/>
  <c r="F619" i="15"/>
  <c r="G619" i="15"/>
  <c r="H619" i="15"/>
  <c r="I619" i="15"/>
  <c r="J619" i="15"/>
  <c r="K619" i="15"/>
  <c r="L619" i="15"/>
  <c r="M619" i="15"/>
  <c r="N619" i="15"/>
  <c r="A620" i="15"/>
  <c r="B620" i="15"/>
  <c r="C620" i="15"/>
  <c r="D620" i="15"/>
  <c r="E620" i="15"/>
  <c r="F620" i="15"/>
  <c r="G620" i="15"/>
  <c r="H620" i="15"/>
  <c r="I620" i="15"/>
  <c r="J620" i="15"/>
  <c r="K620" i="15"/>
  <c r="L620" i="15"/>
  <c r="M620" i="15"/>
  <c r="N620" i="15"/>
  <c r="A621" i="15"/>
  <c r="B621" i="15"/>
  <c r="C621" i="15"/>
  <c r="D621" i="15"/>
  <c r="E621" i="15"/>
  <c r="F621" i="15"/>
  <c r="G621" i="15"/>
  <c r="H621" i="15"/>
  <c r="I621" i="15"/>
  <c r="J621" i="15"/>
  <c r="K621" i="15"/>
  <c r="L621" i="15"/>
  <c r="M621" i="15"/>
  <c r="N621" i="15"/>
  <c r="A622" i="15"/>
  <c r="B622" i="15"/>
  <c r="C622" i="15"/>
  <c r="D622" i="15"/>
  <c r="E622" i="15"/>
  <c r="F622" i="15"/>
  <c r="G622" i="15"/>
  <c r="H622" i="15"/>
  <c r="I622" i="15"/>
  <c r="J622" i="15"/>
  <c r="K622" i="15"/>
  <c r="L622" i="15"/>
  <c r="M622" i="15"/>
  <c r="N622" i="15"/>
  <c r="A623" i="15"/>
  <c r="B623" i="15"/>
  <c r="C623" i="15"/>
  <c r="D623" i="15"/>
  <c r="E623" i="15"/>
  <c r="F623" i="15"/>
  <c r="G623" i="15"/>
  <c r="H623" i="15"/>
  <c r="I623" i="15"/>
  <c r="J623" i="15"/>
  <c r="K623" i="15"/>
  <c r="L623" i="15"/>
  <c r="M623" i="15"/>
  <c r="N623" i="15"/>
  <c r="A624" i="15"/>
  <c r="B624" i="15"/>
  <c r="C624" i="15"/>
  <c r="D624" i="15"/>
  <c r="E624" i="15"/>
  <c r="F624" i="15"/>
  <c r="G624" i="15"/>
  <c r="H624" i="15"/>
  <c r="I624" i="15"/>
  <c r="J624" i="15"/>
  <c r="K624" i="15"/>
  <c r="L624" i="15"/>
  <c r="M624" i="15"/>
  <c r="N624" i="15"/>
  <c r="A625" i="15"/>
  <c r="B625" i="15"/>
  <c r="C625" i="15"/>
  <c r="D625" i="15"/>
  <c r="E625" i="15"/>
  <c r="F625" i="15"/>
  <c r="G625" i="15"/>
  <c r="H625" i="15"/>
  <c r="I625" i="15"/>
  <c r="J625" i="15"/>
  <c r="K625" i="15"/>
  <c r="L625" i="15"/>
  <c r="M625" i="15"/>
  <c r="N625" i="15"/>
  <c r="A626" i="15"/>
  <c r="B626" i="15"/>
  <c r="C626" i="15"/>
  <c r="D626" i="15"/>
  <c r="E626" i="15"/>
  <c r="F626" i="15"/>
  <c r="G626" i="15"/>
  <c r="H626" i="15"/>
  <c r="I626" i="15"/>
  <c r="J626" i="15"/>
  <c r="K626" i="15"/>
  <c r="L626" i="15"/>
  <c r="M626" i="15"/>
  <c r="N626" i="15"/>
  <c r="A627" i="15"/>
  <c r="B627" i="15"/>
  <c r="C627" i="15"/>
  <c r="D627" i="15"/>
  <c r="E627" i="15"/>
  <c r="F627" i="15"/>
  <c r="G627" i="15"/>
  <c r="H627" i="15"/>
  <c r="I627" i="15"/>
  <c r="J627" i="15"/>
  <c r="K627" i="15"/>
  <c r="L627" i="15"/>
  <c r="M627" i="15"/>
  <c r="N627" i="15"/>
  <c r="A628" i="15"/>
  <c r="B628" i="15"/>
  <c r="C628" i="15"/>
  <c r="D628" i="15"/>
  <c r="E628" i="15"/>
  <c r="F628" i="15"/>
  <c r="G628" i="15"/>
  <c r="H628" i="15"/>
  <c r="I628" i="15"/>
  <c r="J628" i="15"/>
  <c r="K628" i="15"/>
  <c r="L628" i="15"/>
  <c r="M628" i="15"/>
  <c r="N628" i="15"/>
  <c r="A629" i="15"/>
  <c r="B629" i="15"/>
  <c r="C629" i="15"/>
  <c r="D629" i="15"/>
  <c r="E629" i="15"/>
  <c r="F629" i="15"/>
  <c r="G629" i="15"/>
  <c r="H629" i="15"/>
  <c r="I629" i="15"/>
  <c r="J629" i="15"/>
  <c r="K629" i="15"/>
  <c r="L629" i="15"/>
  <c r="M629" i="15"/>
  <c r="N629" i="15"/>
  <c r="A630" i="15"/>
  <c r="B630" i="15"/>
  <c r="C630" i="15"/>
  <c r="D630" i="15"/>
  <c r="E630" i="15"/>
  <c r="F630" i="15"/>
  <c r="G630" i="15"/>
  <c r="H630" i="15"/>
  <c r="I630" i="15"/>
  <c r="J630" i="15"/>
  <c r="K630" i="15"/>
  <c r="L630" i="15"/>
  <c r="M630" i="15"/>
  <c r="N630" i="15"/>
  <c r="A631" i="15"/>
  <c r="B631" i="15"/>
  <c r="C631" i="15"/>
  <c r="D631" i="15"/>
  <c r="E631" i="15"/>
  <c r="F631" i="15"/>
  <c r="G631" i="15"/>
  <c r="H631" i="15"/>
  <c r="I631" i="15"/>
  <c r="J631" i="15"/>
  <c r="K631" i="15"/>
  <c r="L631" i="15"/>
  <c r="M631" i="15"/>
  <c r="N631" i="15"/>
  <c r="A632" i="15"/>
  <c r="B632" i="15"/>
  <c r="C632" i="15"/>
  <c r="D632" i="15"/>
  <c r="E632" i="15"/>
  <c r="F632" i="15"/>
  <c r="G632" i="15"/>
  <c r="H632" i="15"/>
  <c r="I632" i="15"/>
  <c r="J632" i="15"/>
  <c r="K632" i="15"/>
  <c r="L632" i="15"/>
  <c r="M632" i="15"/>
  <c r="N632" i="15"/>
  <c r="A633" i="15"/>
  <c r="B633" i="15"/>
  <c r="C633" i="15"/>
  <c r="D633" i="15"/>
  <c r="E633" i="15"/>
  <c r="F633" i="15"/>
  <c r="G633" i="15"/>
  <c r="H633" i="15"/>
  <c r="I633" i="15"/>
  <c r="J633" i="15"/>
  <c r="K633" i="15"/>
  <c r="L633" i="15"/>
  <c r="M633" i="15"/>
  <c r="N633" i="15"/>
  <c r="A634" i="15"/>
  <c r="B634" i="15"/>
  <c r="C634" i="15"/>
  <c r="D634" i="15"/>
  <c r="E634" i="15"/>
  <c r="F634" i="15"/>
  <c r="G634" i="15"/>
  <c r="H634" i="15"/>
  <c r="I634" i="15"/>
  <c r="J634" i="15"/>
  <c r="K634" i="15"/>
  <c r="L634" i="15"/>
  <c r="M634" i="15"/>
  <c r="N634" i="15"/>
  <c r="A635" i="15"/>
  <c r="B635" i="15"/>
  <c r="C635" i="15"/>
  <c r="D635" i="15"/>
  <c r="E635" i="15"/>
  <c r="F635" i="15"/>
  <c r="G635" i="15"/>
  <c r="H635" i="15"/>
  <c r="I635" i="15"/>
  <c r="J635" i="15"/>
  <c r="K635" i="15"/>
  <c r="L635" i="15"/>
  <c r="M635" i="15"/>
  <c r="N635" i="15"/>
  <c r="A636" i="15"/>
  <c r="B636" i="15"/>
  <c r="C636" i="15"/>
  <c r="D636" i="15"/>
  <c r="E636" i="15"/>
  <c r="F636" i="15"/>
  <c r="G636" i="15"/>
  <c r="H636" i="15"/>
  <c r="I636" i="15"/>
  <c r="J636" i="15"/>
  <c r="K636" i="15"/>
  <c r="L636" i="15"/>
  <c r="M636" i="15"/>
  <c r="N636" i="15"/>
  <c r="A637" i="15"/>
  <c r="B637" i="15"/>
  <c r="C637" i="15"/>
  <c r="D637" i="15"/>
  <c r="E637" i="15"/>
  <c r="F637" i="15"/>
  <c r="G637" i="15"/>
  <c r="H637" i="15"/>
  <c r="I637" i="15"/>
  <c r="J637" i="15"/>
  <c r="K637" i="15"/>
  <c r="L637" i="15"/>
  <c r="M637" i="15"/>
  <c r="N637" i="15"/>
  <c r="A638" i="15"/>
  <c r="B638" i="15"/>
  <c r="C638" i="15"/>
  <c r="D638" i="15"/>
  <c r="E638" i="15"/>
  <c r="F638" i="15"/>
  <c r="G638" i="15"/>
  <c r="H638" i="15"/>
  <c r="I638" i="15"/>
  <c r="J638" i="15"/>
  <c r="K638" i="15"/>
  <c r="L638" i="15"/>
  <c r="M638" i="15"/>
  <c r="N638" i="15"/>
  <c r="A639" i="15"/>
  <c r="B639" i="15"/>
  <c r="C639" i="15"/>
  <c r="D639" i="15"/>
  <c r="E639" i="15"/>
  <c r="F639" i="15"/>
  <c r="G639" i="15"/>
  <c r="H639" i="15"/>
  <c r="I639" i="15"/>
  <c r="J639" i="15"/>
  <c r="K639" i="15"/>
  <c r="L639" i="15"/>
  <c r="M639" i="15"/>
  <c r="N639" i="15"/>
  <c r="A640" i="15"/>
  <c r="B640" i="15"/>
  <c r="C640" i="15"/>
  <c r="D640" i="15"/>
  <c r="E640" i="15"/>
  <c r="F640" i="15"/>
  <c r="G640" i="15"/>
  <c r="H640" i="15"/>
  <c r="I640" i="15"/>
  <c r="J640" i="15"/>
  <c r="K640" i="15"/>
  <c r="L640" i="15"/>
  <c r="M640" i="15"/>
  <c r="N640" i="15"/>
  <c r="A641" i="15"/>
  <c r="B641" i="15"/>
  <c r="C641" i="15"/>
  <c r="D641" i="15"/>
  <c r="E641" i="15"/>
  <c r="F641" i="15"/>
  <c r="G641" i="15"/>
  <c r="H641" i="15"/>
  <c r="I641" i="15"/>
  <c r="J641" i="15"/>
  <c r="K641" i="15"/>
  <c r="L641" i="15"/>
  <c r="M641" i="15"/>
  <c r="N641" i="15"/>
  <c r="A642" i="15"/>
  <c r="B642" i="15"/>
  <c r="C642" i="15"/>
  <c r="D642" i="15"/>
  <c r="E642" i="15"/>
  <c r="F642" i="15"/>
  <c r="G642" i="15"/>
  <c r="H642" i="15"/>
  <c r="I642" i="15"/>
  <c r="J642" i="15"/>
  <c r="K642" i="15"/>
  <c r="L642" i="15"/>
  <c r="M642" i="15"/>
  <c r="N642" i="15"/>
  <c r="A643" i="15"/>
  <c r="B643" i="15"/>
  <c r="C643" i="15"/>
  <c r="D643" i="15"/>
  <c r="E643" i="15"/>
  <c r="F643" i="15"/>
  <c r="G643" i="15"/>
  <c r="H643" i="15"/>
  <c r="I643" i="15"/>
  <c r="J643" i="15"/>
  <c r="K643" i="15"/>
  <c r="L643" i="15"/>
  <c r="M643" i="15"/>
  <c r="N643" i="15"/>
  <c r="A644" i="15"/>
  <c r="B644" i="15"/>
  <c r="C644" i="15"/>
  <c r="D644" i="15"/>
  <c r="E644" i="15"/>
  <c r="F644" i="15"/>
  <c r="G644" i="15"/>
  <c r="H644" i="15"/>
  <c r="I644" i="15"/>
  <c r="J644" i="15"/>
  <c r="K644" i="15"/>
  <c r="L644" i="15"/>
  <c r="M644" i="15"/>
  <c r="N644" i="15"/>
  <c r="A645" i="15"/>
  <c r="B645" i="15"/>
  <c r="C645" i="15"/>
  <c r="D645" i="15"/>
  <c r="E645" i="15"/>
  <c r="F645" i="15"/>
  <c r="G645" i="15"/>
  <c r="H645" i="15"/>
  <c r="I645" i="15"/>
  <c r="J645" i="15"/>
  <c r="K645" i="15"/>
  <c r="L645" i="15"/>
  <c r="M645" i="15"/>
  <c r="N645" i="15"/>
  <c r="A646" i="15"/>
  <c r="B646" i="15"/>
  <c r="C646" i="15"/>
  <c r="D646" i="15"/>
  <c r="E646" i="15"/>
  <c r="F646" i="15"/>
  <c r="G646" i="15"/>
  <c r="H646" i="15"/>
  <c r="I646" i="15"/>
  <c r="J646" i="15"/>
  <c r="K646" i="15"/>
  <c r="L646" i="15"/>
  <c r="M646" i="15"/>
  <c r="N646" i="15"/>
  <c r="A647" i="15"/>
  <c r="B647" i="15"/>
  <c r="C647" i="15"/>
  <c r="D647" i="15"/>
  <c r="E647" i="15"/>
  <c r="F647" i="15"/>
  <c r="G647" i="15"/>
  <c r="H647" i="15"/>
  <c r="I647" i="15"/>
  <c r="J647" i="15"/>
  <c r="K647" i="15"/>
  <c r="L647" i="15"/>
  <c r="M647" i="15"/>
  <c r="N647" i="15"/>
  <c r="A648" i="15"/>
  <c r="B648" i="15"/>
  <c r="C648" i="15"/>
  <c r="D648" i="15"/>
  <c r="E648" i="15"/>
  <c r="F648" i="15"/>
  <c r="G648" i="15"/>
  <c r="H648" i="15"/>
  <c r="I648" i="15"/>
  <c r="J648" i="15"/>
  <c r="K648" i="15"/>
  <c r="L648" i="15"/>
  <c r="M648" i="15"/>
  <c r="N648" i="15"/>
  <c r="A649" i="15"/>
  <c r="B649" i="15"/>
  <c r="C649" i="15"/>
  <c r="D649" i="15"/>
  <c r="E649" i="15"/>
  <c r="F649" i="15"/>
  <c r="G649" i="15"/>
  <c r="H649" i="15"/>
  <c r="I649" i="15"/>
  <c r="J649" i="15"/>
  <c r="K649" i="15"/>
  <c r="L649" i="15"/>
  <c r="M649" i="15"/>
  <c r="N649" i="15"/>
  <c r="A650" i="15"/>
  <c r="B650" i="15"/>
  <c r="C650" i="15"/>
  <c r="D650" i="15"/>
  <c r="E650" i="15"/>
  <c r="F650" i="15"/>
  <c r="G650" i="15"/>
  <c r="H650" i="15"/>
  <c r="I650" i="15"/>
  <c r="J650" i="15"/>
  <c r="K650" i="15"/>
  <c r="L650" i="15"/>
  <c r="M650" i="15"/>
  <c r="N650" i="15"/>
  <c r="A651" i="15"/>
  <c r="B651" i="15"/>
  <c r="C651" i="15"/>
  <c r="D651" i="15"/>
  <c r="E651" i="15"/>
  <c r="F651" i="15"/>
  <c r="G651" i="15"/>
  <c r="H651" i="15"/>
  <c r="I651" i="15"/>
  <c r="J651" i="15"/>
  <c r="K651" i="15"/>
  <c r="L651" i="15"/>
  <c r="M651" i="15"/>
  <c r="N651" i="15"/>
  <c r="A652" i="15"/>
  <c r="B652" i="15"/>
  <c r="C652" i="15"/>
  <c r="D652" i="15"/>
  <c r="E652" i="15"/>
  <c r="F652" i="15"/>
  <c r="G652" i="15"/>
  <c r="H652" i="15"/>
  <c r="I652" i="15"/>
  <c r="J652" i="15"/>
  <c r="K652" i="15"/>
  <c r="L652" i="15"/>
  <c r="M652" i="15"/>
  <c r="N652" i="15"/>
  <c r="A653" i="15"/>
  <c r="B653" i="15"/>
  <c r="C653" i="15"/>
  <c r="D653" i="15"/>
  <c r="E653" i="15"/>
  <c r="F653" i="15"/>
  <c r="G653" i="15"/>
  <c r="H653" i="15"/>
  <c r="I653" i="15"/>
  <c r="J653" i="15"/>
  <c r="K653" i="15"/>
  <c r="L653" i="15"/>
  <c r="M653" i="15"/>
  <c r="N653" i="15"/>
  <c r="A654" i="15"/>
  <c r="B654" i="15"/>
  <c r="C654" i="15"/>
  <c r="D654" i="15"/>
  <c r="E654" i="15"/>
  <c r="F654" i="15"/>
  <c r="G654" i="15"/>
  <c r="H654" i="15"/>
  <c r="I654" i="15"/>
  <c r="J654" i="15"/>
  <c r="K654" i="15"/>
  <c r="L654" i="15"/>
  <c r="M654" i="15"/>
  <c r="N654" i="15"/>
  <c r="A655" i="15"/>
  <c r="B655" i="15"/>
  <c r="C655" i="15"/>
  <c r="D655" i="15"/>
  <c r="E655" i="15"/>
  <c r="F655" i="15"/>
  <c r="G655" i="15"/>
  <c r="H655" i="15"/>
  <c r="I655" i="15"/>
  <c r="J655" i="15"/>
  <c r="K655" i="15"/>
  <c r="L655" i="15"/>
  <c r="M655" i="15"/>
  <c r="N655" i="15"/>
  <c r="A656" i="15"/>
  <c r="B656" i="15"/>
  <c r="C656" i="15"/>
  <c r="D656" i="15"/>
  <c r="E656" i="15"/>
  <c r="F656" i="15"/>
  <c r="G656" i="15"/>
  <c r="H656" i="15"/>
  <c r="I656" i="15"/>
  <c r="J656" i="15"/>
  <c r="K656" i="15"/>
  <c r="L656" i="15"/>
  <c r="M656" i="15"/>
  <c r="N656" i="15"/>
  <c r="A657" i="15"/>
  <c r="B657" i="15"/>
  <c r="C657" i="15"/>
  <c r="D657" i="15"/>
  <c r="E657" i="15"/>
  <c r="F657" i="15"/>
  <c r="G657" i="15"/>
  <c r="H657" i="15"/>
  <c r="I657" i="15"/>
  <c r="J657" i="15"/>
  <c r="K657" i="15"/>
  <c r="L657" i="15"/>
  <c r="M657" i="15"/>
  <c r="N657" i="15"/>
  <c r="A658" i="15"/>
  <c r="B658" i="15"/>
  <c r="C658" i="15"/>
  <c r="D658" i="15"/>
  <c r="E658" i="15"/>
  <c r="F658" i="15"/>
  <c r="G658" i="15"/>
  <c r="H658" i="15"/>
  <c r="I658" i="15"/>
  <c r="J658" i="15"/>
  <c r="K658" i="15"/>
  <c r="L658" i="15"/>
  <c r="M658" i="15"/>
  <c r="N658" i="15"/>
  <c r="A659" i="15"/>
  <c r="B659" i="15"/>
  <c r="C659" i="15"/>
  <c r="D659" i="15"/>
  <c r="E659" i="15"/>
  <c r="F659" i="15"/>
  <c r="G659" i="15"/>
  <c r="H659" i="15"/>
  <c r="I659" i="15"/>
  <c r="J659" i="15"/>
  <c r="K659" i="15"/>
  <c r="L659" i="15"/>
  <c r="M659" i="15"/>
  <c r="N659" i="15"/>
  <c r="A660" i="15"/>
  <c r="B660" i="15"/>
  <c r="C660" i="15"/>
  <c r="D660" i="15"/>
  <c r="E660" i="15"/>
  <c r="F660" i="15"/>
  <c r="G660" i="15"/>
  <c r="H660" i="15"/>
  <c r="I660" i="15"/>
  <c r="J660" i="15"/>
  <c r="K660" i="15"/>
  <c r="L660" i="15"/>
  <c r="M660" i="15"/>
  <c r="N660" i="15"/>
  <c r="A661" i="15"/>
  <c r="B661" i="15"/>
  <c r="C661" i="15"/>
  <c r="D661" i="15"/>
  <c r="E661" i="15"/>
  <c r="F661" i="15"/>
  <c r="G661" i="15"/>
  <c r="H661" i="15"/>
  <c r="I661" i="15"/>
  <c r="J661" i="15"/>
  <c r="K661" i="15"/>
  <c r="L661" i="15"/>
  <c r="M661" i="15"/>
  <c r="N661" i="15"/>
  <c r="A662" i="15"/>
  <c r="B662" i="15"/>
  <c r="C662" i="15"/>
  <c r="D662" i="15"/>
  <c r="E662" i="15"/>
  <c r="F662" i="15"/>
  <c r="G662" i="15"/>
  <c r="H662" i="15"/>
  <c r="I662" i="15"/>
  <c r="J662" i="15"/>
  <c r="K662" i="15"/>
  <c r="L662" i="15"/>
  <c r="M662" i="15"/>
  <c r="N662" i="15"/>
  <c r="A663" i="15"/>
  <c r="B663" i="15"/>
  <c r="C663" i="15"/>
  <c r="D663" i="15"/>
  <c r="E663" i="15"/>
  <c r="F663" i="15"/>
  <c r="G663" i="15"/>
  <c r="H663" i="15"/>
  <c r="I663" i="15"/>
  <c r="J663" i="15"/>
  <c r="K663" i="15"/>
  <c r="L663" i="15"/>
  <c r="M663" i="15"/>
  <c r="N663" i="15"/>
  <c r="A664" i="15"/>
  <c r="B664" i="15"/>
  <c r="C664" i="15"/>
  <c r="D664" i="15"/>
  <c r="E664" i="15"/>
  <c r="F664" i="15"/>
  <c r="G664" i="15"/>
  <c r="H664" i="15"/>
  <c r="I664" i="15"/>
  <c r="J664" i="15"/>
  <c r="K664" i="15"/>
  <c r="L664" i="15"/>
  <c r="M664" i="15"/>
  <c r="N664" i="15"/>
  <c r="A665" i="15"/>
  <c r="B665" i="15"/>
  <c r="C665" i="15"/>
  <c r="D665" i="15"/>
  <c r="E665" i="15"/>
  <c r="F665" i="15"/>
  <c r="G665" i="15"/>
  <c r="H665" i="15"/>
  <c r="I665" i="15"/>
  <c r="J665" i="15"/>
  <c r="K665" i="15"/>
  <c r="L665" i="15"/>
  <c r="M665" i="15"/>
  <c r="N665" i="15"/>
  <c r="A666" i="15"/>
  <c r="B666" i="15"/>
  <c r="C666" i="15"/>
  <c r="D666" i="15"/>
  <c r="E666" i="15"/>
  <c r="F666" i="15"/>
  <c r="G666" i="15"/>
  <c r="H666" i="15"/>
  <c r="I666" i="15"/>
  <c r="J666" i="15"/>
  <c r="K666" i="15"/>
  <c r="L666" i="15"/>
  <c r="M666" i="15"/>
  <c r="N666" i="15"/>
  <c r="A667" i="15"/>
  <c r="B667" i="15"/>
  <c r="C667" i="15"/>
  <c r="D667" i="15"/>
  <c r="E667" i="15"/>
  <c r="F667" i="15"/>
  <c r="G667" i="15"/>
  <c r="H667" i="15"/>
  <c r="I667" i="15"/>
  <c r="J667" i="15"/>
  <c r="K667" i="15"/>
  <c r="L667" i="15"/>
  <c r="M667" i="15"/>
  <c r="N667" i="15"/>
  <c r="A668" i="15"/>
  <c r="B668" i="15"/>
  <c r="C668" i="15"/>
  <c r="D668" i="15"/>
  <c r="E668" i="15"/>
  <c r="F668" i="15"/>
  <c r="G668" i="15"/>
  <c r="H668" i="15"/>
  <c r="I668" i="15"/>
  <c r="J668" i="15"/>
  <c r="K668" i="15"/>
  <c r="L668" i="15"/>
  <c r="M668" i="15"/>
  <c r="N668" i="15"/>
  <c r="A669" i="15"/>
  <c r="B669" i="15"/>
  <c r="C669" i="15"/>
  <c r="D669" i="15"/>
  <c r="E669" i="15"/>
  <c r="F669" i="15"/>
  <c r="G669" i="15"/>
  <c r="H669" i="15"/>
  <c r="I669" i="15"/>
  <c r="J669" i="15"/>
  <c r="K669" i="15"/>
  <c r="L669" i="15"/>
  <c r="M669" i="15"/>
  <c r="N669" i="15"/>
  <c r="A670" i="15"/>
  <c r="B670" i="15"/>
  <c r="C670" i="15"/>
  <c r="D670" i="15"/>
  <c r="E670" i="15"/>
  <c r="F670" i="15"/>
  <c r="G670" i="15"/>
  <c r="H670" i="15"/>
  <c r="I670" i="15"/>
  <c r="J670" i="15"/>
  <c r="K670" i="15"/>
  <c r="L670" i="15"/>
  <c r="M670" i="15"/>
  <c r="N670" i="15"/>
  <c r="A671" i="15"/>
  <c r="B671" i="15"/>
  <c r="C671" i="15"/>
  <c r="D671" i="15"/>
  <c r="E671" i="15"/>
  <c r="F671" i="15"/>
  <c r="G671" i="15"/>
  <c r="H671" i="15"/>
  <c r="I671" i="15"/>
  <c r="J671" i="15"/>
  <c r="K671" i="15"/>
  <c r="L671" i="15"/>
  <c r="M671" i="15"/>
  <c r="N671" i="15"/>
  <c r="A672" i="15"/>
  <c r="B672" i="15"/>
  <c r="C672" i="15"/>
  <c r="D672" i="15"/>
  <c r="E672" i="15"/>
  <c r="F672" i="15"/>
  <c r="G672" i="15"/>
  <c r="H672" i="15"/>
  <c r="I672" i="15"/>
  <c r="J672" i="15"/>
  <c r="K672" i="15"/>
  <c r="L672" i="15"/>
  <c r="M672" i="15"/>
  <c r="N672" i="15"/>
  <c r="A673" i="15"/>
  <c r="B673" i="15"/>
  <c r="C673" i="15"/>
  <c r="D673" i="15"/>
  <c r="E673" i="15"/>
  <c r="F673" i="15"/>
  <c r="G673" i="15"/>
  <c r="H673" i="15"/>
  <c r="I673" i="15"/>
  <c r="J673" i="15"/>
  <c r="K673" i="15"/>
  <c r="L673" i="15"/>
  <c r="M673" i="15"/>
  <c r="N673" i="15"/>
  <c r="A674" i="15"/>
  <c r="B674" i="15"/>
  <c r="C674" i="15"/>
  <c r="D674" i="15"/>
  <c r="E674" i="15"/>
  <c r="F674" i="15"/>
  <c r="G674" i="15"/>
  <c r="H674" i="15"/>
  <c r="I674" i="15"/>
  <c r="J674" i="15"/>
  <c r="K674" i="15"/>
  <c r="L674" i="15"/>
  <c r="M674" i="15"/>
  <c r="N674" i="15"/>
  <c r="A675" i="15"/>
  <c r="B675" i="15"/>
  <c r="C675" i="15"/>
  <c r="D675" i="15"/>
  <c r="E675" i="15"/>
  <c r="F675" i="15"/>
  <c r="G675" i="15"/>
  <c r="H675" i="15"/>
  <c r="I675" i="15"/>
  <c r="J675" i="15"/>
  <c r="K675" i="15"/>
  <c r="L675" i="15"/>
  <c r="M675" i="15"/>
  <c r="N675" i="15"/>
  <c r="A676" i="15"/>
  <c r="B676" i="15"/>
  <c r="C676" i="15"/>
  <c r="D676" i="15"/>
  <c r="E676" i="15"/>
  <c r="F676" i="15"/>
  <c r="G676" i="15"/>
  <c r="H676" i="15"/>
  <c r="I676" i="15"/>
  <c r="J676" i="15"/>
  <c r="K676" i="15"/>
  <c r="L676" i="15"/>
  <c r="M676" i="15"/>
  <c r="N676" i="15"/>
  <c r="A677" i="15"/>
  <c r="B677" i="15"/>
  <c r="C677" i="15"/>
  <c r="D677" i="15"/>
  <c r="E677" i="15"/>
  <c r="F677" i="15"/>
  <c r="G677" i="15"/>
  <c r="H677" i="15"/>
  <c r="I677" i="15"/>
  <c r="J677" i="15"/>
  <c r="K677" i="15"/>
  <c r="L677" i="15"/>
  <c r="M677" i="15"/>
  <c r="N677" i="15"/>
  <c r="A678" i="15"/>
  <c r="B678" i="15"/>
  <c r="C678" i="15"/>
  <c r="D678" i="15"/>
  <c r="E678" i="15"/>
  <c r="F678" i="15"/>
  <c r="G678" i="15"/>
  <c r="H678" i="15"/>
  <c r="I678" i="15"/>
  <c r="J678" i="15"/>
  <c r="K678" i="15"/>
  <c r="L678" i="15"/>
  <c r="M678" i="15"/>
  <c r="N678" i="15"/>
  <c r="A679" i="15"/>
  <c r="B679" i="15"/>
  <c r="C679" i="15"/>
  <c r="D679" i="15"/>
  <c r="E679" i="15"/>
  <c r="F679" i="15"/>
  <c r="G679" i="15"/>
  <c r="H679" i="15"/>
  <c r="I679" i="15"/>
  <c r="J679" i="15"/>
  <c r="K679" i="15"/>
  <c r="L679" i="15"/>
  <c r="M679" i="15"/>
  <c r="N679" i="15"/>
  <c r="A680" i="15"/>
  <c r="B680" i="15"/>
  <c r="C680" i="15"/>
  <c r="D680" i="15"/>
  <c r="E680" i="15"/>
  <c r="F680" i="15"/>
  <c r="G680" i="15"/>
  <c r="H680" i="15"/>
  <c r="I680" i="15"/>
  <c r="J680" i="15"/>
  <c r="K680" i="15"/>
  <c r="L680" i="15"/>
  <c r="M680" i="15"/>
  <c r="N680" i="15"/>
  <c r="A681" i="15"/>
  <c r="B681" i="15"/>
  <c r="C681" i="15"/>
  <c r="D681" i="15"/>
  <c r="E681" i="15"/>
  <c r="F681" i="15"/>
  <c r="G681" i="15"/>
  <c r="H681" i="15"/>
  <c r="I681" i="15"/>
  <c r="J681" i="15"/>
  <c r="K681" i="15"/>
  <c r="L681" i="15"/>
  <c r="M681" i="15"/>
  <c r="N681" i="15"/>
  <c r="A682" i="15"/>
  <c r="B682" i="15"/>
  <c r="C682" i="15"/>
  <c r="D682" i="15"/>
  <c r="E682" i="15"/>
  <c r="F682" i="15"/>
  <c r="G682" i="15"/>
  <c r="H682" i="15"/>
  <c r="I682" i="15"/>
  <c r="J682" i="15"/>
  <c r="K682" i="15"/>
  <c r="L682" i="15"/>
  <c r="M682" i="15"/>
  <c r="N682" i="15"/>
  <c r="A683" i="15"/>
  <c r="B683" i="15"/>
  <c r="C683" i="15"/>
  <c r="D683" i="15"/>
  <c r="E683" i="15"/>
  <c r="F683" i="15"/>
  <c r="G683" i="15"/>
  <c r="H683" i="15"/>
  <c r="I683" i="15"/>
  <c r="J683" i="15"/>
  <c r="K683" i="15"/>
  <c r="L683" i="15"/>
  <c r="M683" i="15"/>
  <c r="N683" i="15"/>
  <c r="A684" i="15"/>
  <c r="B684" i="15"/>
  <c r="C684" i="15"/>
  <c r="D684" i="15"/>
  <c r="E684" i="15"/>
  <c r="F684" i="15"/>
  <c r="G684" i="15"/>
  <c r="H684" i="15"/>
  <c r="I684" i="15"/>
  <c r="J684" i="15"/>
  <c r="K684" i="15"/>
  <c r="L684" i="15"/>
  <c r="M684" i="15"/>
  <c r="N684" i="15"/>
  <c r="A685" i="15"/>
  <c r="B685" i="15"/>
  <c r="C685" i="15"/>
  <c r="D685" i="15"/>
  <c r="E685" i="15"/>
  <c r="F685" i="15"/>
  <c r="G685" i="15"/>
  <c r="H685" i="15"/>
  <c r="I685" i="15"/>
  <c r="J685" i="15"/>
  <c r="K685" i="15"/>
  <c r="L685" i="15"/>
  <c r="M685" i="15"/>
  <c r="N685" i="15"/>
  <c r="A686" i="15"/>
  <c r="B686" i="15"/>
  <c r="C686" i="15"/>
  <c r="D686" i="15"/>
  <c r="E686" i="15"/>
  <c r="F686" i="15"/>
  <c r="G686" i="15"/>
  <c r="H686" i="15"/>
  <c r="I686" i="15"/>
  <c r="J686" i="15"/>
  <c r="K686" i="15"/>
  <c r="L686" i="15"/>
  <c r="M686" i="15"/>
  <c r="N686" i="15"/>
  <c r="A687" i="15"/>
  <c r="B687" i="15"/>
  <c r="C687" i="15"/>
  <c r="D687" i="15"/>
  <c r="E687" i="15"/>
  <c r="F687" i="15"/>
  <c r="G687" i="15"/>
  <c r="H687" i="15"/>
  <c r="I687" i="15"/>
  <c r="J687" i="15"/>
  <c r="K687" i="15"/>
  <c r="L687" i="15"/>
  <c r="M687" i="15"/>
  <c r="N687" i="15"/>
  <c r="A688" i="15"/>
  <c r="B688" i="15"/>
  <c r="C688" i="15"/>
  <c r="D688" i="15"/>
  <c r="E688" i="15"/>
  <c r="F688" i="15"/>
  <c r="G688" i="15"/>
  <c r="H688" i="15"/>
  <c r="I688" i="15"/>
  <c r="J688" i="15"/>
  <c r="K688" i="15"/>
  <c r="L688" i="15"/>
  <c r="M688" i="15"/>
  <c r="N688" i="15"/>
  <c r="A689" i="15"/>
  <c r="B689" i="15"/>
  <c r="C689" i="15"/>
  <c r="D689" i="15"/>
  <c r="E689" i="15"/>
  <c r="F689" i="15"/>
  <c r="G689" i="15"/>
  <c r="H689" i="15"/>
  <c r="I689" i="15"/>
  <c r="J689" i="15"/>
  <c r="K689" i="15"/>
  <c r="L689" i="15"/>
  <c r="M689" i="15"/>
  <c r="N689" i="15"/>
  <c r="A690" i="15"/>
  <c r="B690" i="15"/>
  <c r="C690" i="15"/>
  <c r="D690" i="15"/>
  <c r="E690" i="15"/>
  <c r="F690" i="15"/>
  <c r="G690" i="15"/>
  <c r="H690" i="15"/>
  <c r="I690" i="15"/>
  <c r="J690" i="15"/>
  <c r="K690" i="15"/>
  <c r="L690" i="15"/>
  <c r="M690" i="15"/>
  <c r="N690" i="15"/>
  <c r="A691" i="15"/>
  <c r="B691" i="15"/>
  <c r="C691" i="15"/>
  <c r="D691" i="15"/>
  <c r="E691" i="15"/>
  <c r="F691" i="15"/>
  <c r="G691" i="15"/>
  <c r="H691" i="15"/>
  <c r="I691" i="15"/>
  <c r="J691" i="15"/>
  <c r="K691" i="15"/>
  <c r="L691" i="15"/>
  <c r="M691" i="15"/>
  <c r="N691" i="15"/>
  <c r="A692" i="15"/>
  <c r="B692" i="15"/>
  <c r="C692" i="15"/>
  <c r="D692" i="15"/>
  <c r="E692" i="15"/>
  <c r="F692" i="15"/>
  <c r="G692" i="15"/>
  <c r="H692" i="15"/>
  <c r="I692" i="15"/>
  <c r="J692" i="15"/>
  <c r="K692" i="15"/>
  <c r="L692" i="15"/>
  <c r="M692" i="15"/>
  <c r="N692" i="15"/>
  <c r="A693" i="15"/>
  <c r="B693" i="15"/>
  <c r="C693" i="15"/>
  <c r="D693" i="15"/>
  <c r="E693" i="15"/>
  <c r="F693" i="15"/>
  <c r="G693" i="15"/>
  <c r="H693" i="15"/>
  <c r="I693" i="15"/>
  <c r="J693" i="15"/>
  <c r="K693" i="15"/>
  <c r="L693" i="15"/>
  <c r="M693" i="15"/>
  <c r="N693" i="15"/>
  <c r="A694" i="15"/>
  <c r="B694" i="15"/>
  <c r="C694" i="15"/>
  <c r="D694" i="15"/>
  <c r="E694" i="15"/>
  <c r="F694" i="15"/>
  <c r="G694" i="15"/>
  <c r="H694" i="15"/>
  <c r="I694" i="15"/>
  <c r="J694" i="15"/>
  <c r="K694" i="15"/>
  <c r="L694" i="15"/>
  <c r="M694" i="15"/>
  <c r="N694" i="15"/>
  <c r="A695" i="15"/>
  <c r="B695" i="15"/>
  <c r="C695" i="15"/>
  <c r="D695" i="15"/>
  <c r="E695" i="15"/>
  <c r="F695" i="15"/>
  <c r="G695" i="15"/>
  <c r="H695" i="15"/>
  <c r="I695" i="15"/>
  <c r="J695" i="15"/>
  <c r="K695" i="15"/>
  <c r="L695" i="15"/>
  <c r="M695" i="15"/>
  <c r="N695" i="15"/>
  <c r="A696" i="15"/>
  <c r="B696" i="15"/>
  <c r="C696" i="15"/>
  <c r="D696" i="15"/>
  <c r="E696" i="15"/>
  <c r="F696" i="15"/>
  <c r="G696" i="15"/>
  <c r="H696" i="15"/>
  <c r="I696" i="15"/>
  <c r="J696" i="15"/>
  <c r="K696" i="15"/>
  <c r="L696" i="15"/>
  <c r="M696" i="15"/>
  <c r="N696" i="15"/>
  <c r="A697" i="15"/>
  <c r="B697" i="15"/>
  <c r="C697" i="15"/>
  <c r="D697" i="15"/>
  <c r="E697" i="15"/>
  <c r="F697" i="15"/>
  <c r="G697" i="15"/>
  <c r="H697" i="15"/>
  <c r="I697" i="15"/>
  <c r="J697" i="15"/>
  <c r="K697" i="15"/>
  <c r="L697" i="15"/>
  <c r="M697" i="15"/>
  <c r="N697" i="15"/>
  <c r="A698" i="15"/>
  <c r="B698" i="15"/>
  <c r="C698" i="15"/>
  <c r="D698" i="15"/>
  <c r="E698" i="15"/>
  <c r="F698" i="15"/>
  <c r="G698" i="15"/>
  <c r="H698" i="15"/>
  <c r="I698" i="15"/>
  <c r="J698" i="15"/>
  <c r="K698" i="15"/>
  <c r="L698" i="15"/>
  <c r="M698" i="15"/>
  <c r="N698" i="15"/>
  <c r="A699" i="15"/>
  <c r="B699" i="15"/>
  <c r="C699" i="15"/>
  <c r="D699" i="15"/>
  <c r="E699" i="15"/>
  <c r="F699" i="15"/>
  <c r="G699" i="15"/>
  <c r="H699" i="15"/>
  <c r="I699" i="15"/>
  <c r="J699" i="15"/>
  <c r="K699" i="15"/>
  <c r="L699" i="15"/>
  <c r="M699" i="15"/>
  <c r="N699" i="15"/>
  <c r="A700" i="15"/>
  <c r="B700" i="15"/>
  <c r="C700" i="15"/>
  <c r="D700" i="15"/>
  <c r="E700" i="15"/>
  <c r="F700" i="15"/>
  <c r="G700" i="15"/>
  <c r="H700" i="15"/>
  <c r="I700" i="15"/>
  <c r="J700" i="15"/>
  <c r="K700" i="15"/>
  <c r="L700" i="15"/>
  <c r="M700" i="15"/>
  <c r="N700" i="15"/>
  <c r="A701" i="15"/>
  <c r="B701" i="15"/>
  <c r="C701" i="15"/>
  <c r="D701" i="15"/>
  <c r="E701" i="15"/>
  <c r="F701" i="15"/>
  <c r="G701" i="15"/>
  <c r="H701" i="15"/>
  <c r="I701" i="15"/>
  <c r="J701" i="15"/>
  <c r="K701" i="15"/>
  <c r="L701" i="15"/>
  <c r="M701" i="15"/>
  <c r="N701" i="15"/>
  <c r="A702" i="15"/>
  <c r="B702" i="15"/>
  <c r="C702" i="15"/>
  <c r="D702" i="15"/>
  <c r="E702" i="15"/>
  <c r="F702" i="15"/>
  <c r="G702" i="15"/>
  <c r="H702" i="15"/>
  <c r="I702" i="15"/>
  <c r="J702" i="15"/>
  <c r="K702" i="15"/>
  <c r="L702" i="15"/>
  <c r="M702" i="15"/>
  <c r="N702" i="15"/>
  <c r="A703" i="15"/>
  <c r="B703" i="15"/>
  <c r="C703" i="15"/>
  <c r="D703" i="15"/>
  <c r="E703" i="15"/>
  <c r="F703" i="15"/>
  <c r="G703" i="15"/>
  <c r="H703" i="15"/>
  <c r="I703" i="15"/>
  <c r="J703" i="15"/>
  <c r="K703" i="15"/>
  <c r="L703" i="15"/>
  <c r="M703" i="15"/>
  <c r="N703" i="15"/>
  <c r="A704" i="15"/>
  <c r="B704" i="15"/>
  <c r="C704" i="15"/>
  <c r="D704" i="15"/>
  <c r="E704" i="15"/>
  <c r="F704" i="15"/>
  <c r="G704" i="15"/>
  <c r="H704" i="15"/>
  <c r="I704" i="15"/>
  <c r="J704" i="15"/>
  <c r="K704" i="15"/>
  <c r="L704" i="15"/>
  <c r="M704" i="15"/>
  <c r="N704" i="15"/>
  <c r="A705" i="15"/>
  <c r="B705" i="15"/>
  <c r="C705" i="15"/>
  <c r="D705" i="15"/>
  <c r="E705" i="15"/>
  <c r="F705" i="15"/>
  <c r="G705" i="15"/>
  <c r="H705" i="15"/>
  <c r="I705" i="15"/>
  <c r="J705" i="15"/>
  <c r="K705" i="15"/>
  <c r="L705" i="15"/>
  <c r="M705" i="15"/>
  <c r="N705" i="15"/>
  <c r="A706" i="15"/>
  <c r="B706" i="15"/>
  <c r="C706" i="15"/>
  <c r="D706" i="15"/>
  <c r="E706" i="15"/>
  <c r="F706" i="15"/>
  <c r="G706" i="15"/>
  <c r="H706" i="15"/>
  <c r="I706" i="15"/>
  <c r="J706" i="15"/>
  <c r="K706" i="15"/>
  <c r="L706" i="15"/>
  <c r="M706" i="15"/>
  <c r="N706" i="15"/>
  <c r="A707" i="15"/>
  <c r="B707" i="15"/>
  <c r="C707" i="15"/>
  <c r="D707" i="15"/>
  <c r="E707" i="15"/>
  <c r="F707" i="15"/>
  <c r="G707" i="15"/>
  <c r="H707" i="15"/>
  <c r="I707" i="15"/>
  <c r="J707" i="15"/>
  <c r="K707" i="15"/>
  <c r="L707" i="15"/>
  <c r="M707" i="15"/>
  <c r="N707" i="15"/>
  <c r="A708" i="15"/>
  <c r="B708" i="15"/>
  <c r="C708" i="15"/>
  <c r="D708" i="15"/>
  <c r="E708" i="15"/>
  <c r="F708" i="15"/>
  <c r="G708" i="15"/>
  <c r="H708" i="15"/>
  <c r="I708" i="15"/>
  <c r="J708" i="15"/>
  <c r="K708" i="15"/>
  <c r="L708" i="15"/>
  <c r="M708" i="15"/>
  <c r="N708" i="15"/>
  <c r="A709" i="15"/>
  <c r="B709" i="15"/>
  <c r="C709" i="15"/>
  <c r="D709" i="15"/>
  <c r="E709" i="15"/>
  <c r="F709" i="15"/>
  <c r="G709" i="15"/>
  <c r="H709" i="15"/>
  <c r="I709" i="15"/>
  <c r="J709" i="15"/>
  <c r="K709" i="15"/>
  <c r="L709" i="15"/>
  <c r="M709" i="15"/>
  <c r="N709" i="15"/>
  <c r="A710" i="15"/>
  <c r="B710" i="15"/>
  <c r="C710" i="15"/>
  <c r="D710" i="15"/>
  <c r="E710" i="15"/>
  <c r="F710" i="15"/>
  <c r="G710" i="15"/>
  <c r="H710" i="15"/>
  <c r="I710" i="15"/>
  <c r="J710" i="15"/>
  <c r="K710" i="15"/>
  <c r="L710" i="15"/>
  <c r="M710" i="15"/>
  <c r="N710" i="15"/>
  <c r="A711" i="15"/>
  <c r="B711" i="15"/>
  <c r="C711" i="15"/>
  <c r="D711" i="15"/>
  <c r="E711" i="15"/>
  <c r="F711" i="15"/>
  <c r="G711" i="15"/>
  <c r="H711" i="15"/>
  <c r="I711" i="15"/>
  <c r="J711" i="15"/>
  <c r="K711" i="15"/>
  <c r="L711" i="15"/>
  <c r="M711" i="15"/>
  <c r="N711" i="15"/>
  <c r="A712" i="15"/>
  <c r="B712" i="15"/>
  <c r="C712" i="15"/>
  <c r="D712" i="15"/>
  <c r="E712" i="15"/>
  <c r="F712" i="15"/>
  <c r="G712" i="15"/>
  <c r="H712" i="15"/>
  <c r="I712" i="15"/>
  <c r="J712" i="15"/>
  <c r="K712" i="15"/>
  <c r="L712" i="15"/>
  <c r="M712" i="15"/>
  <c r="N712" i="15"/>
  <c r="A713" i="15"/>
  <c r="B713" i="15"/>
  <c r="C713" i="15"/>
  <c r="D713" i="15"/>
  <c r="E713" i="15"/>
  <c r="F713" i="15"/>
  <c r="G713" i="15"/>
  <c r="H713" i="15"/>
  <c r="I713" i="15"/>
  <c r="J713" i="15"/>
  <c r="K713" i="15"/>
  <c r="L713" i="15"/>
  <c r="M713" i="15"/>
  <c r="N713" i="15"/>
  <c r="A714" i="15"/>
  <c r="B714" i="15"/>
  <c r="C714" i="15"/>
  <c r="D714" i="15"/>
  <c r="E714" i="15"/>
  <c r="F714" i="15"/>
  <c r="G714" i="15"/>
  <c r="H714" i="15"/>
  <c r="I714" i="15"/>
  <c r="J714" i="15"/>
  <c r="K714" i="15"/>
  <c r="L714" i="15"/>
  <c r="M714" i="15"/>
  <c r="N714" i="15"/>
  <c r="A715" i="15"/>
  <c r="B715" i="15"/>
  <c r="C715" i="15"/>
  <c r="D715" i="15"/>
  <c r="E715" i="15"/>
  <c r="F715" i="15"/>
  <c r="G715" i="15"/>
  <c r="H715" i="15"/>
  <c r="I715" i="15"/>
  <c r="J715" i="15"/>
  <c r="K715" i="15"/>
  <c r="L715" i="15"/>
  <c r="M715" i="15"/>
  <c r="N715" i="15"/>
  <c r="A716" i="15"/>
  <c r="B716" i="15"/>
  <c r="C716" i="15"/>
  <c r="D716" i="15"/>
  <c r="E716" i="15"/>
  <c r="F716" i="15"/>
  <c r="G716" i="15"/>
  <c r="H716" i="15"/>
  <c r="I716" i="15"/>
  <c r="J716" i="15"/>
  <c r="K716" i="15"/>
  <c r="L716" i="15"/>
  <c r="M716" i="15"/>
  <c r="N716" i="15"/>
  <c r="A717" i="15"/>
  <c r="B717" i="15"/>
  <c r="C717" i="15"/>
  <c r="D717" i="15"/>
  <c r="E717" i="15"/>
  <c r="F717" i="15"/>
  <c r="G717" i="15"/>
  <c r="H717" i="15"/>
  <c r="I717" i="15"/>
  <c r="J717" i="15"/>
  <c r="K717" i="15"/>
  <c r="L717" i="15"/>
  <c r="M717" i="15"/>
  <c r="N717" i="15"/>
  <c r="A718" i="15"/>
  <c r="B718" i="15"/>
  <c r="C718" i="15"/>
  <c r="D718" i="15"/>
  <c r="E718" i="15"/>
  <c r="F718" i="15"/>
  <c r="G718" i="15"/>
  <c r="H718" i="15"/>
  <c r="I718" i="15"/>
  <c r="J718" i="15"/>
  <c r="K718" i="15"/>
  <c r="L718" i="15"/>
  <c r="M718" i="15"/>
  <c r="N718" i="15"/>
  <c r="A719" i="15"/>
  <c r="B719" i="15"/>
  <c r="C719" i="15"/>
  <c r="D719" i="15"/>
  <c r="E719" i="15"/>
  <c r="F719" i="15"/>
  <c r="G719" i="15"/>
  <c r="H719" i="15"/>
  <c r="I719" i="15"/>
  <c r="J719" i="15"/>
  <c r="K719" i="15"/>
  <c r="L719" i="15"/>
  <c r="M719" i="15"/>
  <c r="N719" i="15"/>
  <c r="A720" i="15"/>
  <c r="B720" i="15"/>
  <c r="C720" i="15"/>
  <c r="D720" i="15"/>
  <c r="E720" i="15"/>
  <c r="F720" i="15"/>
  <c r="G720" i="15"/>
  <c r="H720" i="15"/>
  <c r="I720" i="15"/>
  <c r="J720" i="15"/>
  <c r="K720" i="15"/>
  <c r="L720" i="15"/>
  <c r="M720" i="15"/>
  <c r="N720" i="15"/>
  <c r="A721" i="15"/>
  <c r="B721" i="15"/>
  <c r="C721" i="15"/>
  <c r="D721" i="15"/>
  <c r="E721" i="15"/>
  <c r="F721" i="15"/>
  <c r="G721" i="15"/>
  <c r="H721" i="15"/>
  <c r="I721" i="15"/>
  <c r="J721" i="15"/>
  <c r="K721" i="15"/>
  <c r="L721" i="15"/>
  <c r="M721" i="15"/>
  <c r="N721" i="15"/>
  <c r="A722" i="15"/>
  <c r="B722" i="15"/>
  <c r="C722" i="15"/>
  <c r="D722" i="15"/>
  <c r="E722" i="15"/>
  <c r="F722" i="15"/>
  <c r="G722" i="15"/>
  <c r="H722" i="15"/>
  <c r="I722" i="15"/>
  <c r="J722" i="15"/>
  <c r="K722" i="15"/>
  <c r="L722" i="15"/>
  <c r="M722" i="15"/>
  <c r="N722" i="15"/>
  <c r="A723" i="15"/>
  <c r="B723" i="15"/>
  <c r="C723" i="15"/>
  <c r="D723" i="15"/>
  <c r="E723" i="15"/>
  <c r="F723" i="15"/>
  <c r="G723" i="15"/>
  <c r="H723" i="15"/>
  <c r="I723" i="15"/>
  <c r="J723" i="15"/>
  <c r="K723" i="15"/>
  <c r="L723" i="15"/>
  <c r="M723" i="15"/>
  <c r="N723" i="15"/>
  <c r="A724" i="15"/>
  <c r="B724" i="15"/>
  <c r="C724" i="15"/>
  <c r="D724" i="15"/>
  <c r="E724" i="15"/>
  <c r="F724" i="15"/>
  <c r="G724" i="15"/>
  <c r="H724" i="15"/>
  <c r="I724" i="15"/>
  <c r="J724" i="15"/>
  <c r="K724" i="15"/>
  <c r="L724" i="15"/>
  <c r="M724" i="15"/>
  <c r="N724" i="15"/>
  <c r="A725" i="15"/>
  <c r="B725" i="15"/>
  <c r="C725" i="15"/>
  <c r="D725" i="15"/>
  <c r="E725" i="15"/>
  <c r="F725" i="15"/>
  <c r="G725" i="15"/>
  <c r="H725" i="15"/>
  <c r="I725" i="15"/>
  <c r="J725" i="15"/>
  <c r="K725" i="15"/>
  <c r="L725" i="15"/>
  <c r="M725" i="15"/>
  <c r="N725" i="15"/>
  <c r="A726" i="15"/>
  <c r="B726" i="15"/>
  <c r="C726" i="15"/>
  <c r="D726" i="15"/>
  <c r="E726" i="15"/>
  <c r="F726" i="15"/>
  <c r="G726" i="15"/>
  <c r="H726" i="15"/>
  <c r="I726" i="15"/>
  <c r="J726" i="15"/>
  <c r="K726" i="15"/>
  <c r="L726" i="15"/>
  <c r="M726" i="15"/>
  <c r="N726" i="15"/>
  <c r="A727" i="15"/>
  <c r="B727" i="15"/>
  <c r="C727" i="15"/>
  <c r="D727" i="15"/>
  <c r="E727" i="15"/>
  <c r="F727" i="15"/>
  <c r="G727" i="15"/>
  <c r="H727" i="15"/>
  <c r="I727" i="15"/>
  <c r="J727" i="15"/>
  <c r="K727" i="15"/>
  <c r="L727" i="15"/>
  <c r="M727" i="15"/>
  <c r="N727" i="15"/>
  <c r="A728" i="15"/>
  <c r="B728" i="15"/>
  <c r="C728" i="15"/>
  <c r="D728" i="15"/>
  <c r="E728" i="15"/>
  <c r="F728" i="15"/>
  <c r="G728" i="15"/>
  <c r="H728" i="15"/>
  <c r="I728" i="15"/>
  <c r="J728" i="15"/>
  <c r="K728" i="15"/>
  <c r="L728" i="15"/>
  <c r="M728" i="15"/>
  <c r="N728" i="15"/>
  <c r="A729" i="15"/>
  <c r="B729" i="15"/>
  <c r="C729" i="15"/>
  <c r="D729" i="15"/>
  <c r="E729" i="15"/>
  <c r="F729" i="15"/>
  <c r="G729" i="15"/>
  <c r="H729" i="15"/>
  <c r="I729" i="15"/>
  <c r="J729" i="15"/>
  <c r="K729" i="15"/>
  <c r="L729" i="15"/>
  <c r="M729" i="15"/>
  <c r="N729" i="15"/>
  <c r="A730" i="15"/>
  <c r="B730" i="15"/>
  <c r="C730" i="15"/>
  <c r="D730" i="15"/>
  <c r="E730" i="15"/>
  <c r="F730" i="15"/>
  <c r="G730" i="15"/>
  <c r="H730" i="15"/>
  <c r="I730" i="15"/>
  <c r="J730" i="15"/>
  <c r="K730" i="15"/>
  <c r="L730" i="15"/>
  <c r="M730" i="15"/>
  <c r="N730" i="15"/>
  <c r="A731" i="15"/>
  <c r="B731" i="15"/>
  <c r="C731" i="15"/>
  <c r="D731" i="15"/>
  <c r="E731" i="15"/>
  <c r="F731" i="15"/>
  <c r="G731" i="15"/>
  <c r="H731" i="15"/>
  <c r="I731" i="15"/>
  <c r="J731" i="15"/>
  <c r="K731" i="15"/>
  <c r="L731" i="15"/>
  <c r="M731" i="15"/>
  <c r="N731" i="15"/>
  <c r="A732" i="15"/>
  <c r="B732" i="15"/>
  <c r="C732" i="15"/>
  <c r="D732" i="15"/>
  <c r="E732" i="15"/>
  <c r="F732" i="15"/>
  <c r="G732" i="15"/>
  <c r="H732" i="15"/>
  <c r="I732" i="15"/>
  <c r="J732" i="15"/>
  <c r="K732" i="15"/>
  <c r="L732" i="15"/>
  <c r="M732" i="15"/>
  <c r="N732" i="15"/>
  <c r="A733" i="15"/>
  <c r="B733" i="15"/>
  <c r="C733" i="15"/>
  <c r="D733" i="15"/>
  <c r="E733" i="15"/>
  <c r="F733" i="15"/>
  <c r="G733" i="15"/>
  <c r="H733" i="15"/>
  <c r="I733" i="15"/>
  <c r="J733" i="15"/>
  <c r="K733" i="15"/>
  <c r="L733" i="15"/>
  <c r="M733" i="15"/>
  <c r="N733" i="15"/>
  <c r="A734" i="15"/>
  <c r="B734" i="15"/>
  <c r="C734" i="15"/>
  <c r="D734" i="15"/>
  <c r="E734" i="15"/>
  <c r="F734" i="15"/>
  <c r="G734" i="15"/>
  <c r="H734" i="15"/>
  <c r="I734" i="15"/>
  <c r="J734" i="15"/>
  <c r="K734" i="15"/>
  <c r="L734" i="15"/>
  <c r="M734" i="15"/>
  <c r="N734" i="15"/>
  <c r="A735" i="15"/>
  <c r="B735" i="15"/>
  <c r="C735" i="15"/>
  <c r="D735" i="15"/>
  <c r="E735" i="15"/>
  <c r="F735" i="15"/>
  <c r="G735" i="15"/>
  <c r="H735" i="15"/>
  <c r="I735" i="15"/>
  <c r="J735" i="15"/>
  <c r="K735" i="15"/>
  <c r="L735" i="15"/>
  <c r="M735" i="15"/>
  <c r="N735" i="15"/>
  <c r="A736" i="15"/>
  <c r="B736" i="15"/>
  <c r="C736" i="15"/>
  <c r="D736" i="15"/>
  <c r="E736" i="15"/>
  <c r="F736" i="15"/>
  <c r="G736" i="15"/>
  <c r="H736" i="15"/>
  <c r="I736" i="15"/>
  <c r="J736" i="15"/>
  <c r="K736" i="15"/>
  <c r="L736" i="15"/>
  <c r="M736" i="15"/>
  <c r="N736" i="15"/>
  <c r="A737" i="15"/>
  <c r="B737" i="15"/>
  <c r="C737" i="15"/>
  <c r="D737" i="15"/>
  <c r="E737" i="15"/>
  <c r="F737" i="15"/>
  <c r="G737" i="15"/>
  <c r="H737" i="15"/>
  <c r="I737" i="15"/>
  <c r="J737" i="15"/>
  <c r="K737" i="15"/>
  <c r="L737" i="15"/>
  <c r="M737" i="15"/>
  <c r="N737" i="15"/>
  <c r="A738" i="15"/>
  <c r="B738" i="15"/>
  <c r="C738" i="15"/>
  <c r="D738" i="15"/>
  <c r="E738" i="15"/>
  <c r="F738" i="15"/>
  <c r="G738" i="15"/>
  <c r="H738" i="15"/>
  <c r="I738" i="15"/>
  <c r="J738" i="15"/>
  <c r="K738" i="15"/>
  <c r="L738" i="15"/>
  <c r="M738" i="15"/>
  <c r="N738" i="15"/>
  <c r="A739" i="15"/>
  <c r="B739" i="15"/>
  <c r="C739" i="15"/>
  <c r="D739" i="15"/>
  <c r="E739" i="15"/>
  <c r="F739" i="15"/>
  <c r="G739" i="15"/>
  <c r="H739" i="15"/>
  <c r="I739" i="15"/>
  <c r="J739" i="15"/>
  <c r="K739" i="15"/>
  <c r="L739" i="15"/>
  <c r="M739" i="15"/>
  <c r="N739" i="15"/>
  <c r="A740" i="15"/>
  <c r="B740" i="15"/>
  <c r="C740" i="15"/>
  <c r="D740" i="15"/>
  <c r="E740" i="15"/>
  <c r="F740" i="15"/>
  <c r="G740" i="15"/>
  <c r="H740" i="15"/>
  <c r="I740" i="15"/>
  <c r="J740" i="15"/>
  <c r="K740" i="15"/>
  <c r="L740" i="15"/>
  <c r="M740" i="15"/>
  <c r="N740" i="15"/>
  <c r="A741" i="15"/>
  <c r="B741" i="15"/>
  <c r="C741" i="15"/>
  <c r="D741" i="15"/>
  <c r="E741" i="15"/>
  <c r="F741" i="15"/>
  <c r="G741" i="15"/>
  <c r="H741" i="15"/>
  <c r="I741" i="15"/>
  <c r="J741" i="15"/>
  <c r="K741" i="15"/>
  <c r="L741" i="15"/>
  <c r="M741" i="15"/>
  <c r="N741" i="15"/>
  <c r="A742" i="15"/>
  <c r="B742" i="15"/>
  <c r="C742" i="15"/>
  <c r="D742" i="15"/>
  <c r="E742" i="15"/>
  <c r="F742" i="15"/>
  <c r="G742" i="15"/>
  <c r="H742" i="15"/>
  <c r="I742" i="15"/>
  <c r="J742" i="15"/>
  <c r="K742" i="15"/>
  <c r="L742" i="15"/>
  <c r="M742" i="15"/>
  <c r="N742" i="15"/>
  <c r="A743" i="15"/>
  <c r="B743" i="15"/>
  <c r="C743" i="15"/>
  <c r="D743" i="15"/>
  <c r="E743" i="15"/>
  <c r="F743" i="15"/>
  <c r="G743" i="15"/>
  <c r="H743" i="15"/>
  <c r="I743" i="15"/>
  <c r="J743" i="15"/>
  <c r="K743" i="15"/>
  <c r="L743" i="15"/>
  <c r="M743" i="15"/>
  <c r="N743" i="15"/>
  <c r="A744" i="15"/>
  <c r="B744" i="15"/>
  <c r="C744" i="15"/>
  <c r="D744" i="15"/>
  <c r="E744" i="15"/>
  <c r="F744" i="15"/>
  <c r="G744" i="15"/>
  <c r="H744" i="15"/>
  <c r="I744" i="15"/>
  <c r="J744" i="15"/>
  <c r="K744" i="15"/>
  <c r="L744" i="15"/>
  <c r="M744" i="15"/>
  <c r="N744" i="15"/>
  <c r="A745" i="15"/>
  <c r="B745" i="15"/>
  <c r="C745" i="15"/>
  <c r="D745" i="15"/>
  <c r="E745" i="15"/>
  <c r="F745" i="15"/>
  <c r="G745" i="15"/>
  <c r="H745" i="15"/>
  <c r="I745" i="15"/>
  <c r="J745" i="15"/>
  <c r="K745" i="15"/>
  <c r="L745" i="15"/>
  <c r="M745" i="15"/>
  <c r="N745" i="15"/>
  <c r="A746" i="15"/>
  <c r="B746" i="15"/>
  <c r="C746" i="15"/>
  <c r="D746" i="15"/>
  <c r="E746" i="15"/>
  <c r="F746" i="15"/>
  <c r="G746" i="15"/>
  <c r="H746" i="15"/>
  <c r="I746" i="15"/>
  <c r="J746" i="15"/>
  <c r="K746" i="15"/>
  <c r="L746" i="15"/>
  <c r="M746" i="15"/>
  <c r="N746" i="15"/>
  <c r="A747" i="15"/>
  <c r="B747" i="15"/>
  <c r="C747" i="15"/>
  <c r="D747" i="15"/>
  <c r="E747" i="15"/>
  <c r="F747" i="15"/>
  <c r="G747" i="15"/>
  <c r="H747" i="15"/>
  <c r="I747" i="15"/>
  <c r="J747" i="15"/>
  <c r="K747" i="15"/>
  <c r="L747" i="15"/>
  <c r="M747" i="15"/>
  <c r="N747" i="15"/>
  <c r="A748" i="15"/>
  <c r="B748" i="15"/>
  <c r="C748" i="15"/>
  <c r="D748" i="15"/>
  <c r="E748" i="15"/>
  <c r="F748" i="15"/>
  <c r="G748" i="15"/>
  <c r="H748" i="15"/>
  <c r="I748" i="15"/>
  <c r="J748" i="15"/>
  <c r="K748" i="15"/>
  <c r="L748" i="15"/>
  <c r="M748" i="15"/>
  <c r="N748" i="15"/>
  <c r="A749" i="15"/>
  <c r="B749" i="15"/>
  <c r="C749" i="15"/>
  <c r="D749" i="15"/>
  <c r="E749" i="15"/>
  <c r="F749" i="15"/>
  <c r="G749" i="15"/>
  <c r="H749" i="15"/>
  <c r="I749" i="15"/>
  <c r="J749" i="15"/>
  <c r="K749" i="15"/>
  <c r="L749" i="15"/>
  <c r="M749" i="15"/>
  <c r="N749" i="15"/>
  <c r="A750" i="15"/>
  <c r="B750" i="15"/>
  <c r="C750" i="15"/>
  <c r="D750" i="15"/>
  <c r="E750" i="15"/>
  <c r="F750" i="15"/>
  <c r="G750" i="15"/>
  <c r="H750" i="15"/>
  <c r="I750" i="15"/>
  <c r="J750" i="15"/>
  <c r="K750" i="15"/>
  <c r="L750" i="15"/>
  <c r="M750" i="15"/>
  <c r="N750" i="15"/>
  <c r="A751" i="15"/>
  <c r="B751" i="15"/>
  <c r="C751" i="15"/>
  <c r="D751" i="15"/>
  <c r="E751" i="15"/>
  <c r="F751" i="15"/>
  <c r="G751" i="15"/>
  <c r="H751" i="15"/>
  <c r="I751" i="15"/>
  <c r="J751" i="15"/>
  <c r="K751" i="15"/>
  <c r="L751" i="15"/>
  <c r="M751" i="15"/>
  <c r="N751" i="15"/>
  <c r="A752" i="15"/>
  <c r="B752" i="15"/>
  <c r="C752" i="15"/>
  <c r="D752" i="15"/>
  <c r="E752" i="15"/>
  <c r="F752" i="15"/>
  <c r="G752" i="15"/>
  <c r="H752" i="15"/>
  <c r="I752" i="15"/>
  <c r="J752" i="15"/>
  <c r="K752" i="15"/>
  <c r="L752" i="15"/>
  <c r="M752" i="15"/>
  <c r="N752" i="15"/>
  <c r="A753" i="15"/>
  <c r="B753" i="15"/>
  <c r="C753" i="15"/>
  <c r="D753" i="15"/>
  <c r="E753" i="15"/>
  <c r="F753" i="15"/>
  <c r="G753" i="15"/>
  <c r="H753" i="15"/>
  <c r="I753" i="15"/>
  <c r="J753" i="15"/>
  <c r="K753" i="15"/>
  <c r="L753" i="15"/>
  <c r="M753" i="15"/>
  <c r="N753" i="15"/>
  <c r="A754" i="15"/>
  <c r="B754" i="15"/>
  <c r="C754" i="15"/>
  <c r="D754" i="15"/>
  <c r="E754" i="15"/>
  <c r="F754" i="15"/>
  <c r="G754" i="15"/>
  <c r="H754" i="15"/>
  <c r="I754" i="15"/>
  <c r="J754" i="15"/>
  <c r="K754" i="15"/>
  <c r="L754" i="15"/>
  <c r="M754" i="15"/>
  <c r="N754" i="15"/>
  <c r="A755" i="15"/>
  <c r="B755" i="15"/>
  <c r="C755" i="15"/>
  <c r="D755" i="15"/>
  <c r="E755" i="15"/>
  <c r="F755" i="15"/>
  <c r="G755" i="15"/>
  <c r="H755" i="15"/>
  <c r="I755" i="15"/>
  <c r="J755" i="15"/>
  <c r="K755" i="15"/>
  <c r="L755" i="15"/>
  <c r="M755" i="15"/>
  <c r="N755" i="15"/>
  <c r="A756" i="15"/>
  <c r="B756" i="15"/>
  <c r="C756" i="15"/>
  <c r="D756" i="15"/>
  <c r="E756" i="15"/>
  <c r="F756" i="15"/>
  <c r="G756" i="15"/>
  <c r="H756" i="15"/>
  <c r="I756" i="15"/>
  <c r="J756" i="15"/>
  <c r="K756" i="15"/>
  <c r="L756" i="15"/>
  <c r="M756" i="15"/>
  <c r="N756" i="15"/>
  <c r="A757" i="15"/>
  <c r="B757" i="15"/>
  <c r="C757" i="15"/>
  <c r="D757" i="15"/>
  <c r="E757" i="15"/>
  <c r="F757" i="15"/>
  <c r="G757" i="15"/>
  <c r="H757" i="15"/>
  <c r="I757" i="15"/>
  <c r="J757" i="15"/>
  <c r="K757" i="15"/>
  <c r="L757" i="15"/>
  <c r="M757" i="15"/>
  <c r="N757" i="15"/>
  <c r="A758" i="15"/>
  <c r="B758" i="15"/>
  <c r="C758" i="15"/>
  <c r="D758" i="15"/>
  <c r="E758" i="15"/>
  <c r="F758" i="15"/>
  <c r="G758" i="15"/>
  <c r="H758" i="15"/>
  <c r="I758" i="15"/>
  <c r="J758" i="15"/>
  <c r="K758" i="15"/>
  <c r="L758" i="15"/>
  <c r="M758" i="15"/>
  <c r="N758" i="15"/>
  <c r="A759" i="15"/>
  <c r="B759" i="15"/>
  <c r="C759" i="15"/>
  <c r="D759" i="15"/>
  <c r="E759" i="15"/>
  <c r="F759" i="15"/>
  <c r="G759" i="15"/>
  <c r="H759" i="15"/>
  <c r="I759" i="15"/>
  <c r="J759" i="15"/>
  <c r="K759" i="15"/>
  <c r="L759" i="15"/>
  <c r="M759" i="15"/>
  <c r="N759" i="15"/>
  <c r="A760" i="15"/>
  <c r="B760" i="15"/>
  <c r="C760" i="15"/>
  <c r="D760" i="15"/>
  <c r="E760" i="15"/>
  <c r="F760" i="15"/>
  <c r="G760" i="15"/>
  <c r="H760" i="15"/>
  <c r="I760" i="15"/>
  <c r="J760" i="15"/>
  <c r="K760" i="15"/>
  <c r="L760" i="15"/>
  <c r="M760" i="15"/>
  <c r="N760" i="15"/>
  <c r="A761" i="15"/>
  <c r="B761" i="15"/>
  <c r="C761" i="15"/>
  <c r="D761" i="15"/>
  <c r="E761" i="15"/>
  <c r="F761" i="15"/>
  <c r="G761" i="15"/>
  <c r="H761" i="15"/>
  <c r="I761" i="15"/>
  <c r="J761" i="15"/>
  <c r="K761" i="15"/>
  <c r="L761" i="15"/>
  <c r="M761" i="15"/>
  <c r="N761" i="15"/>
  <c r="A762" i="15"/>
  <c r="B762" i="15"/>
  <c r="C762" i="15"/>
  <c r="D762" i="15"/>
  <c r="E762" i="15"/>
  <c r="F762" i="15"/>
  <c r="G762" i="15"/>
  <c r="H762" i="15"/>
  <c r="I762" i="15"/>
  <c r="J762" i="15"/>
  <c r="K762" i="15"/>
  <c r="L762" i="15"/>
  <c r="M762" i="15"/>
  <c r="N762" i="15"/>
  <c r="A763" i="15"/>
  <c r="B763" i="15"/>
  <c r="C763" i="15"/>
  <c r="D763" i="15"/>
  <c r="E763" i="15"/>
  <c r="F763" i="15"/>
  <c r="G763" i="15"/>
  <c r="H763" i="15"/>
  <c r="I763" i="15"/>
  <c r="J763" i="15"/>
  <c r="K763" i="15"/>
  <c r="L763" i="15"/>
  <c r="M763" i="15"/>
  <c r="N763" i="15"/>
  <c r="A764" i="15"/>
  <c r="B764" i="15"/>
  <c r="C764" i="15"/>
  <c r="D764" i="15"/>
  <c r="E764" i="15"/>
  <c r="F764" i="15"/>
  <c r="G764" i="15"/>
  <c r="H764" i="15"/>
  <c r="I764" i="15"/>
  <c r="J764" i="15"/>
  <c r="K764" i="15"/>
  <c r="L764" i="15"/>
  <c r="M764" i="15"/>
  <c r="N764" i="15"/>
  <c r="A765" i="15"/>
  <c r="B765" i="15"/>
  <c r="C765" i="15"/>
  <c r="D765" i="15"/>
  <c r="E765" i="15"/>
  <c r="F765" i="15"/>
  <c r="G765" i="15"/>
  <c r="H765" i="15"/>
  <c r="I765" i="15"/>
  <c r="J765" i="15"/>
  <c r="K765" i="15"/>
  <c r="L765" i="15"/>
  <c r="M765" i="15"/>
  <c r="N765" i="15"/>
  <c r="A766" i="15"/>
  <c r="B766" i="15"/>
  <c r="C766" i="15"/>
  <c r="D766" i="15"/>
  <c r="E766" i="15"/>
  <c r="F766" i="15"/>
  <c r="G766" i="15"/>
  <c r="H766" i="15"/>
  <c r="I766" i="15"/>
  <c r="J766" i="15"/>
  <c r="K766" i="15"/>
  <c r="L766" i="15"/>
  <c r="M766" i="15"/>
  <c r="N766" i="15"/>
  <c r="A767" i="15"/>
  <c r="B767" i="15"/>
  <c r="C767" i="15"/>
  <c r="D767" i="15"/>
  <c r="E767" i="15"/>
  <c r="F767" i="15"/>
  <c r="G767" i="15"/>
  <c r="H767" i="15"/>
  <c r="I767" i="15"/>
  <c r="J767" i="15"/>
  <c r="K767" i="15"/>
  <c r="L767" i="15"/>
  <c r="M767" i="15"/>
  <c r="N767" i="15"/>
  <c r="A768" i="15"/>
  <c r="B768" i="15"/>
  <c r="C768" i="15"/>
  <c r="D768" i="15"/>
  <c r="E768" i="15"/>
  <c r="F768" i="15"/>
  <c r="G768" i="15"/>
  <c r="H768" i="15"/>
  <c r="I768" i="15"/>
  <c r="J768" i="15"/>
  <c r="K768" i="15"/>
  <c r="L768" i="15"/>
  <c r="M768" i="15"/>
  <c r="N768" i="15"/>
  <c r="A769" i="15"/>
  <c r="B769" i="15"/>
  <c r="C769" i="15"/>
  <c r="D769" i="15"/>
  <c r="E769" i="15"/>
  <c r="F769" i="15"/>
  <c r="G769" i="15"/>
  <c r="H769" i="15"/>
  <c r="I769" i="15"/>
  <c r="J769" i="15"/>
  <c r="K769" i="15"/>
  <c r="L769" i="15"/>
  <c r="M769" i="15"/>
  <c r="N769" i="15"/>
  <c r="A770" i="15"/>
  <c r="B770" i="15"/>
  <c r="C770" i="15"/>
  <c r="D770" i="15"/>
  <c r="E770" i="15"/>
  <c r="F770" i="15"/>
  <c r="G770" i="15"/>
  <c r="H770" i="15"/>
  <c r="I770" i="15"/>
  <c r="J770" i="15"/>
  <c r="K770" i="15"/>
  <c r="L770" i="15"/>
  <c r="M770" i="15"/>
  <c r="N770" i="15"/>
  <c r="A771" i="15"/>
  <c r="B771" i="15"/>
  <c r="C771" i="15"/>
  <c r="D771" i="15"/>
  <c r="E771" i="15"/>
  <c r="F771" i="15"/>
  <c r="G771" i="15"/>
  <c r="H771" i="15"/>
  <c r="I771" i="15"/>
  <c r="J771" i="15"/>
  <c r="K771" i="15"/>
  <c r="L771" i="15"/>
  <c r="M771" i="15"/>
  <c r="N771" i="15"/>
  <c r="A772" i="15"/>
  <c r="B772" i="15"/>
  <c r="C772" i="15"/>
  <c r="D772" i="15"/>
  <c r="E772" i="15"/>
  <c r="F772" i="15"/>
  <c r="G772" i="15"/>
  <c r="H772" i="15"/>
  <c r="I772" i="15"/>
  <c r="J772" i="15"/>
  <c r="K772" i="15"/>
  <c r="L772" i="15"/>
  <c r="M772" i="15"/>
  <c r="N772" i="15"/>
  <c r="A773" i="15"/>
  <c r="B773" i="15"/>
  <c r="C773" i="15"/>
  <c r="D773" i="15"/>
  <c r="E773" i="15"/>
  <c r="F773" i="15"/>
  <c r="G773" i="15"/>
  <c r="H773" i="15"/>
  <c r="I773" i="15"/>
  <c r="J773" i="15"/>
  <c r="K773" i="15"/>
  <c r="L773" i="15"/>
  <c r="M773" i="15"/>
  <c r="N773" i="15"/>
  <c r="A774" i="15"/>
  <c r="B774" i="15"/>
  <c r="C774" i="15"/>
  <c r="D774" i="15"/>
  <c r="E774" i="15"/>
  <c r="F774" i="15"/>
  <c r="G774" i="15"/>
  <c r="H774" i="15"/>
  <c r="I774" i="15"/>
  <c r="J774" i="15"/>
  <c r="K774" i="15"/>
  <c r="L774" i="15"/>
  <c r="M774" i="15"/>
  <c r="N774" i="15"/>
  <c r="A775" i="15"/>
  <c r="B775" i="15"/>
  <c r="C775" i="15"/>
  <c r="D775" i="15"/>
  <c r="E775" i="15"/>
  <c r="F775" i="15"/>
  <c r="G775" i="15"/>
  <c r="H775" i="15"/>
  <c r="I775" i="15"/>
  <c r="J775" i="15"/>
  <c r="K775" i="15"/>
  <c r="L775" i="15"/>
  <c r="M775" i="15"/>
  <c r="N775" i="15"/>
  <c r="A776" i="15"/>
  <c r="B776" i="15"/>
  <c r="C776" i="15"/>
  <c r="D776" i="15"/>
  <c r="E776" i="15"/>
  <c r="F776" i="15"/>
  <c r="G776" i="15"/>
  <c r="H776" i="15"/>
  <c r="I776" i="15"/>
  <c r="J776" i="15"/>
  <c r="K776" i="15"/>
  <c r="L776" i="15"/>
  <c r="M776" i="15"/>
  <c r="N776" i="15"/>
  <c r="A777" i="15"/>
  <c r="B777" i="15"/>
  <c r="C777" i="15"/>
  <c r="D777" i="15"/>
  <c r="E777" i="15"/>
  <c r="F777" i="15"/>
  <c r="G777" i="15"/>
  <c r="H777" i="15"/>
  <c r="I777" i="15"/>
  <c r="J777" i="15"/>
  <c r="K777" i="15"/>
  <c r="L777" i="15"/>
  <c r="M777" i="15"/>
  <c r="N777" i="15"/>
  <c r="A778" i="15"/>
  <c r="B778" i="15"/>
  <c r="C778" i="15"/>
  <c r="D778" i="15"/>
  <c r="E778" i="15"/>
  <c r="F778" i="15"/>
  <c r="G778" i="15"/>
  <c r="H778" i="15"/>
  <c r="I778" i="15"/>
  <c r="J778" i="15"/>
  <c r="K778" i="15"/>
  <c r="L778" i="15"/>
  <c r="M778" i="15"/>
  <c r="N778" i="15"/>
  <c r="A779" i="15"/>
  <c r="B779" i="15"/>
  <c r="C779" i="15"/>
  <c r="D779" i="15"/>
  <c r="E779" i="15"/>
  <c r="F779" i="15"/>
  <c r="G779" i="15"/>
  <c r="H779" i="15"/>
  <c r="I779" i="15"/>
  <c r="J779" i="15"/>
  <c r="K779" i="15"/>
  <c r="L779" i="15"/>
  <c r="M779" i="15"/>
  <c r="N779" i="15"/>
  <c r="A780" i="15"/>
  <c r="B780" i="15"/>
  <c r="C780" i="15"/>
  <c r="D780" i="15"/>
  <c r="E780" i="15"/>
  <c r="F780" i="15"/>
  <c r="G780" i="15"/>
  <c r="H780" i="15"/>
  <c r="I780" i="15"/>
  <c r="J780" i="15"/>
  <c r="K780" i="15"/>
  <c r="L780" i="15"/>
  <c r="M780" i="15"/>
  <c r="N780" i="15"/>
  <c r="A781" i="15"/>
  <c r="B781" i="15"/>
  <c r="C781" i="15"/>
  <c r="D781" i="15"/>
  <c r="E781" i="15"/>
  <c r="F781" i="15"/>
  <c r="G781" i="15"/>
  <c r="H781" i="15"/>
  <c r="I781" i="15"/>
  <c r="J781" i="15"/>
  <c r="K781" i="15"/>
  <c r="L781" i="15"/>
  <c r="M781" i="15"/>
  <c r="N781" i="15"/>
  <c r="A782" i="15"/>
  <c r="B782" i="15"/>
  <c r="C782" i="15"/>
  <c r="D782" i="15"/>
  <c r="E782" i="15"/>
  <c r="F782" i="15"/>
  <c r="G782" i="15"/>
  <c r="H782" i="15"/>
  <c r="I782" i="15"/>
  <c r="J782" i="15"/>
  <c r="K782" i="15"/>
  <c r="L782" i="15"/>
  <c r="M782" i="15"/>
  <c r="N782" i="15"/>
  <c r="A783" i="15"/>
  <c r="B783" i="15"/>
  <c r="C783" i="15"/>
  <c r="D783" i="15"/>
  <c r="E783" i="15"/>
  <c r="F783" i="15"/>
  <c r="G783" i="15"/>
  <c r="H783" i="15"/>
  <c r="I783" i="15"/>
  <c r="J783" i="15"/>
  <c r="K783" i="15"/>
  <c r="L783" i="15"/>
  <c r="M783" i="15"/>
  <c r="N783" i="15"/>
  <c r="A784" i="15"/>
  <c r="B784" i="15"/>
  <c r="C784" i="15"/>
  <c r="D784" i="15"/>
  <c r="E784" i="15"/>
  <c r="F784" i="15"/>
  <c r="G784" i="15"/>
  <c r="H784" i="15"/>
  <c r="I784" i="15"/>
  <c r="J784" i="15"/>
  <c r="K784" i="15"/>
  <c r="L784" i="15"/>
  <c r="M784" i="15"/>
  <c r="N784" i="15"/>
  <c r="A785" i="15"/>
  <c r="B785" i="15"/>
  <c r="C785" i="15"/>
  <c r="D785" i="15"/>
  <c r="E785" i="15"/>
  <c r="F785" i="15"/>
  <c r="G785" i="15"/>
  <c r="H785" i="15"/>
  <c r="I785" i="15"/>
  <c r="J785" i="15"/>
  <c r="K785" i="15"/>
  <c r="L785" i="15"/>
  <c r="M785" i="15"/>
  <c r="N785" i="15"/>
  <c r="A786" i="15"/>
  <c r="B786" i="15"/>
  <c r="C786" i="15"/>
  <c r="D786" i="15"/>
  <c r="E786" i="15"/>
  <c r="F786" i="15"/>
  <c r="G786" i="15"/>
  <c r="H786" i="15"/>
  <c r="I786" i="15"/>
  <c r="J786" i="15"/>
  <c r="K786" i="15"/>
  <c r="L786" i="15"/>
  <c r="M786" i="15"/>
  <c r="N786" i="15"/>
  <c r="A787" i="15"/>
  <c r="B787" i="15"/>
  <c r="C787" i="15"/>
  <c r="D787" i="15"/>
  <c r="E787" i="15"/>
  <c r="F787" i="15"/>
  <c r="G787" i="15"/>
  <c r="H787" i="15"/>
  <c r="I787" i="15"/>
  <c r="J787" i="15"/>
  <c r="K787" i="15"/>
  <c r="L787" i="15"/>
  <c r="M787" i="15"/>
  <c r="N787" i="15"/>
  <c r="A788" i="15"/>
  <c r="B788" i="15"/>
  <c r="C788" i="15"/>
  <c r="D788" i="15"/>
  <c r="E788" i="15"/>
  <c r="F788" i="15"/>
  <c r="G788" i="15"/>
  <c r="H788" i="15"/>
  <c r="I788" i="15"/>
  <c r="J788" i="15"/>
  <c r="K788" i="15"/>
  <c r="L788" i="15"/>
  <c r="M788" i="15"/>
  <c r="N788" i="15"/>
  <c r="A789" i="15"/>
  <c r="B789" i="15"/>
  <c r="C789" i="15"/>
  <c r="D789" i="15"/>
  <c r="E789" i="15"/>
  <c r="F789" i="15"/>
  <c r="G789" i="15"/>
  <c r="H789" i="15"/>
  <c r="I789" i="15"/>
  <c r="J789" i="15"/>
  <c r="K789" i="15"/>
  <c r="L789" i="15"/>
  <c r="M789" i="15"/>
  <c r="N789" i="15"/>
  <c r="A790" i="15"/>
  <c r="B790" i="15"/>
  <c r="C790" i="15"/>
  <c r="D790" i="15"/>
  <c r="E790" i="15"/>
  <c r="F790" i="15"/>
  <c r="G790" i="15"/>
  <c r="H790" i="15"/>
  <c r="I790" i="15"/>
  <c r="J790" i="15"/>
  <c r="K790" i="15"/>
  <c r="L790" i="15"/>
  <c r="M790" i="15"/>
  <c r="N790" i="15"/>
  <c r="A791" i="15"/>
  <c r="B791" i="15"/>
  <c r="C791" i="15"/>
  <c r="D791" i="15"/>
  <c r="E791" i="15"/>
  <c r="F791" i="15"/>
  <c r="G791" i="15"/>
  <c r="H791" i="15"/>
  <c r="I791" i="15"/>
  <c r="J791" i="15"/>
  <c r="K791" i="15"/>
  <c r="L791" i="15"/>
  <c r="M791" i="15"/>
  <c r="N791" i="15"/>
  <c r="A792" i="15"/>
  <c r="B792" i="15"/>
  <c r="C792" i="15"/>
  <c r="D792" i="15"/>
  <c r="E792" i="15"/>
  <c r="F792" i="15"/>
  <c r="G792" i="15"/>
  <c r="H792" i="15"/>
  <c r="I792" i="15"/>
  <c r="J792" i="15"/>
  <c r="K792" i="15"/>
  <c r="L792" i="15"/>
  <c r="M792" i="15"/>
  <c r="N792" i="15"/>
  <c r="A793" i="15"/>
  <c r="B793" i="15"/>
  <c r="C793" i="15"/>
  <c r="D793" i="15"/>
  <c r="E793" i="15"/>
  <c r="F793" i="15"/>
  <c r="G793" i="15"/>
  <c r="H793" i="15"/>
  <c r="I793" i="15"/>
  <c r="J793" i="15"/>
  <c r="K793" i="15"/>
  <c r="L793" i="15"/>
  <c r="M793" i="15"/>
  <c r="N793" i="15"/>
  <c r="A794" i="15"/>
  <c r="B794" i="15"/>
  <c r="C794" i="15"/>
  <c r="D794" i="15"/>
  <c r="E794" i="15"/>
  <c r="F794" i="15"/>
  <c r="G794" i="15"/>
  <c r="H794" i="15"/>
  <c r="I794" i="15"/>
  <c r="J794" i="15"/>
  <c r="K794" i="15"/>
  <c r="L794" i="15"/>
  <c r="M794" i="15"/>
  <c r="N794" i="15"/>
  <c r="A795" i="15"/>
  <c r="B795" i="15"/>
  <c r="C795" i="15"/>
  <c r="D795" i="15"/>
  <c r="E795" i="15"/>
  <c r="F795" i="15"/>
  <c r="G795" i="15"/>
  <c r="H795" i="15"/>
  <c r="I795" i="15"/>
  <c r="J795" i="15"/>
  <c r="K795" i="15"/>
  <c r="L795" i="15"/>
  <c r="M795" i="15"/>
  <c r="N795" i="15"/>
  <c r="A796" i="15"/>
  <c r="B796" i="15"/>
  <c r="C796" i="15"/>
  <c r="D796" i="15"/>
  <c r="E796" i="15"/>
  <c r="F796" i="15"/>
  <c r="G796" i="15"/>
  <c r="H796" i="15"/>
  <c r="I796" i="15"/>
  <c r="J796" i="15"/>
  <c r="K796" i="15"/>
  <c r="L796" i="15"/>
  <c r="M796" i="15"/>
  <c r="N796" i="15"/>
  <c r="A797" i="15"/>
  <c r="B797" i="15"/>
  <c r="C797" i="15"/>
  <c r="D797" i="15"/>
  <c r="E797" i="15"/>
  <c r="F797" i="15"/>
  <c r="G797" i="15"/>
  <c r="H797" i="15"/>
  <c r="I797" i="15"/>
  <c r="J797" i="15"/>
  <c r="K797" i="15"/>
  <c r="L797" i="15"/>
  <c r="M797" i="15"/>
  <c r="N797" i="15"/>
  <c r="A798" i="15"/>
  <c r="B798" i="15"/>
  <c r="C798" i="15"/>
  <c r="D798" i="15"/>
  <c r="E798" i="15"/>
  <c r="F798" i="15"/>
  <c r="G798" i="15"/>
  <c r="H798" i="15"/>
  <c r="I798" i="15"/>
  <c r="J798" i="15"/>
  <c r="K798" i="15"/>
  <c r="L798" i="15"/>
  <c r="M798" i="15"/>
  <c r="N798" i="15"/>
  <c r="A799" i="15"/>
  <c r="B799" i="15"/>
  <c r="C799" i="15"/>
  <c r="D799" i="15"/>
  <c r="E799" i="15"/>
  <c r="F799" i="15"/>
  <c r="G799" i="15"/>
  <c r="H799" i="15"/>
  <c r="I799" i="15"/>
  <c r="J799" i="15"/>
  <c r="K799" i="15"/>
  <c r="L799" i="15"/>
  <c r="M799" i="15"/>
  <c r="N799" i="15"/>
  <c r="A800" i="15"/>
  <c r="B800" i="15"/>
  <c r="C800" i="15"/>
  <c r="D800" i="15"/>
  <c r="E800" i="15"/>
  <c r="F800" i="15"/>
  <c r="G800" i="15"/>
  <c r="H800" i="15"/>
  <c r="I800" i="15"/>
  <c r="J800" i="15"/>
  <c r="K800" i="15"/>
  <c r="L800" i="15"/>
  <c r="M800" i="15"/>
  <c r="N800" i="15"/>
  <c r="A801" i="15"/>
  <c r="B801" i="15"/>
  <c r="C801" i="15"/>
  <c r="D801" i="15"/>
  <c r="E801" i="15"/>
  <c r="F801" i="15"/>
  <c r="G801" i="15"/>
  <c r="H801" i="15"/>
  <c r="I801" i="15"/>
  <c r="J801" i="15"/>
  <c r="K801" i="15"/>
  <c r="L801" i="15"/>
  <c r="M801" i="15"/>
  <c r="N801" i="15"/>
  <c r="A802" i="15"/>
  <c r="B802" i="15"/>
  <c r="C802" i="15"/>
  <c r="D802" i="15"/>
  <c r="E802" i="15"/>
  <c r="F802" i="15"/>
  <c r="G802" i="15"/>
  <c r="H802" i="15"/>
  <c r="I802" i="15"/>
  <c r="J802" i="15"/>
  <c r="K802" i="15"/>
  <c r="L802" i="15"/>
  <c r="M802" i="15"/>
  <c r="N802" i="15"/>
  <c r="A803" i="15"/>
  <c r="B803" i="15"/>
  <c r="C803" i="15"/>
  <c r="D803" i="15"/>
  <c r="E803" i="15"/>
  <c r="F803" i="15"/>
  <c r="G803" i="15"/>
  <c r="H803" i="15"/>
  <c r="I803" i="15"/>
  <c r="J803" i="15"/>
  <c r="K803" i="15"/>
  <c r="L803" i="15"/>
  <c r="M803" i="15"/>
  <c r="N803" i="15"/>
  <c r="A804" i="15"/>
  <c r="B804" i="15"/>
  <c r="C804" i="15"/>
  <c r="D804" i="15"/>
  <c r="E804" i="15"/>
  <c r="F804" i="15"/>
  <c r="G804" i="15"/>
  <c r="H804" i="15"/>
  <c r="I804" i="15"/>
  <c r="J804" i="15"/>
  <c r="K804" i="15"/>
  <c r="L804" i="15"/>
  <c r="M804" i="15"/>
  <c r="N804" i="15"/>
  <c r="A805" i="15"/>
  <c r="B805" i="15"/>
  <c r="C805" i="15"/>
  <c r="D805" i="15"/>
  <c r="E805" i="15"/>
  <c r="F805" i="15"/>
  <c r="G805" i="15"/>
  <c r="H805" i="15"/>
  <c r="I805" i="15"/>
  <c r="J805" i="15"/>
  <c r="K805" i="15"/>
  <c r="L805" i="15"/>
  <c r="M805" i="15"/>
  <c r="N805" i="15"/>
  <c r="A806" i="15"/>
  <c r="B806" i="15"/>
  <c r="C806" i="15"/>
  <c r="D806" i="15"/>
  <c r="E806" i="15"/>
  <c r="F806" i="15"/>
  <c r="G806" i="15"/>
  <c r="H806" i="15"/>
  <c r="I806" i="15"/>
  <c r="J806" i="15"/>
  <c r="K806" i="15"/>
  <c r="L806" i="15"/>
  <c r="M806" i="15"/>
  <c r="N806" i="15"/>
  <c r="A807" i="15"/>
  <c r="B807" i="15"/>
  <c r="C807" i="15"/>
  <c r="D807" i="15"/>
  <c r="E807" i="15"/>
  <c r="F807" i="15"/>
  <c r="G807" i="15"/>
  <c r="H807" i="15"/>
  <c r="I807" i="15"/>
  <c r="J807" i="15"/>
  <c r="K807" i="15"/>
  <c r="L807" i="15"/>
  <c r="M807" i="15"/>
  <c r="N807" i="15"/>
  <c r="A808" i="15"/>
  <c r="B808" i="15"/>
  <c r="C808" i="15"/>
  <c r="D808" i="15"/>
  <c r="E808" i="15"/>
  <c r="F808" i="15"/>
  <c r="G808" i="15"/>
  <c r="H808" i="15"/>
  <c r="I808" i="15"/>
  <c r="J808" i="15"/>
  <c r="K808" i="15"/>
  <c r="L808" i="15"/>
  <c r="M808" i="15"/>
  <c r="N808" i="15"/>
  <c r="A809" i="15"/>
  <c r="B809" i="15"/>
  <c r="C809" i="15"/>
  <c r="D809" i="15"/>
  <c r="E809" i="15"/>
  <c r="F809" i="15"/>
  <c r="G809" i="15"/>
  <c r="H809" i="15"/>
  <c r="I809" i="15"/>
  <c r="J809" i="15"/>
  <c r="K809" i="15"/>
  <c r="L809" i="15"/>
  <c r="M809" i="15"/>
  <c r="N809" i="15"/>
  <c r="A810" i="15"/>
  <c r="B810" i="15"/>
  <c r="C810" i="15"/>
  <c r="D810" i="15"/>
  <c r="E810" i="15"/>
  <c r="F810" i="15"/>
  <c r="G810" i="15"/>
  <c r="H810" i="15"/>
  <c r="I810" i="15"/>
  <c r="J810" i="15"/>
  <c r="K810" i="15"/>
  <c r="L810" i="15"/>
  <c r="M810" i="15"/>
  <c r="N810" i="15"/>
  <c r="A811" i="15"/>
  <c r="B811" i="15"/>
  <c r="C811" i="15"/>
  <c r="D811" i="15"/>
  <c r="E811" i="15"/>
  <c r="F811" i="15"/>
  <c r="G811" i="15"/>
  <c r="H811" i="15"/>
  <c r="I811" i="15"/>
  <c r="J811" i="15"/>
  <c r="K811" i="15"/>
  <c r="L811" i="15"/>
  <c r="M811" i="15"/>
  <c r="N811" i="15"/>
  <c r="A812" i="15"/>
  <c r="B812" i="15"/>
  <c r="C812" i="15"/>
  <c r="D812" i="15"/>
  <c r="E812" i="15"/>
  <c r="F812" i="15"/>
  <c r="G812" i="15"/>
  <c r="H812" i="15"/>
  <c r="I812" i="15"/>
  <c r="J812" i="15"/>
  <c r="K812" i="15"/>
  <c r="L812" i="15"/>
  <c r="M812" i="15"/>
  <c r="N812" i="15"/>
  <c r="A813" i="15"/>
  <c r="B813" i="15"/>
  <c r="C813" i="15"/>
  <c r="D813" i="15"/>
  <c r="E813" i="15"/>
  <c r="F813" i="15"/>
  <c r="G813" i="15"/>
  <c r="H813" i="15"/>
  <c r="I813" i="15"/>
  <c r="J813" i="15"/>
  <c r="K813" i="15"/>
  <c r="L813" i="15"/>
  <c r="M813" i="15"/>
  <c r="N813" i="15"/>
  <c r="A814" i="15"/>
  <c r="B814" i="15"/>
  <c r="C814" i="15"/>
  <c r="D814" i="15"/>
  <c r="E814" i="15"/>
  <c r="F814" i="15"/>
  <c r="G814" i="15"/>
  <c r="H814" i="15"/>
  <c r="I814" i="15"/>
  <c r="J814" i="15"/>
  <c r="K814" i="15"/>
  <c r="L814" i="15"/>
  <c r="M814" i="15"/>
  <c r="N814" i="15"/>
  <c r="A815" i="15"/>
  <c r="B815" i="15"/>
  <c r="C815" i="15"/>
  <c r="D815" i="15"/>
  <c r="E815" i="15"/>
  <c r="F815" i="15"/>
  <c r="G815" i="15"/>
  <c r="H815" i="15"/>
  <c r="I815" i="15"/>
  <c r="J815" i="15"/>
  <c r="K815" i="15"/>
  <c r="L815" i="15"/>
  <c r="M815" i="15"/>
  <c r="N815" i="15"/>
  <c r="A816" i="15"/>
  <c r="B816" i="15"/>
  <c r="C816" i="15"/>
  <c r="D816" i="15"/>
  <c r="E816" i="15"/>
  <c r="F816" i="15"/>
  <c r="G816" i="15"/>
  <c r="H816" i="15"/>
  <c r="I816" i="15"/>
  <c r="J816" i="15"/>
  <c r="K816" i="15"/>
  <c r="L816" i="15"/>
  <c r="M816" i="15"/>
  <c r="N816" i="15"/>
  <c r="A817" i="15"/>
  <c r="B817" i="15"/>
  <c r="C817" i="15"/>
  <c r="D817" i="15"/>
  <c r="E817" i="15"/>
  <c r="F817" i="15"/>
  <c r="G817" i="15"/>
  <c r="H817" i="15"/>
  <c r="I817" i="15"/>
  <c r="J817" i="15"/>
  <c r="K817" i="15"/>
  <c r="L817" i="15"/>
  <c r="M817" i="15"/>
  <c r="N817" i="15"/>
  <c r="A818" i="15"/>
  <c r="B818" i="15"/>
  <c r="C818" i="15"/>
  <c r="D818" i="15"/>
  <c r="E818" i="15"/>
  <c r="F818" i="15"/>
  <c r="G818" i="15"/>
  <c r="H818" i="15"/>
  <c r="I818" i="15"/>
  <c r="J818" i="15"/>
  <c r="K818" i="15"/>
  <c r="L818" i="15"/>
  <c r="M818" i="15"/>
  <c r="N818" i="15"/>
  <c r="A819" i="15"/>
  <c r="B819" i="15"/>
  <c r="C819" i="15"/>
  <c r="D819" i="15"/>
  <c r="E819" i="15"/>
  <c r="F819" i="15"/>
  <c r="G819" i="15"/>
  <c r="H819" i="15"/>
  <c r="I819" i="15"/>
  <c r="J819" i="15"/>
  <c r="K819" i="15"/>
  <c r="L819" i="15"/>
  <c r="M819" i="15"/>
  <c r="N819" i="15"/>
  <c r="A820" i="15"/>
  <c r="B820" i="15"/>
  <c r="C820" i="15"/>
  <c r="D820" i="15"/>
  <c r="E820" i="15"/>
  <c r="F820" i="15"/>
  <c r="G820" i="15"/>
  <c r="H820" i="15"/>
  <c r="I820" i="15"/>
  <c r="J820" i="15"/>
  <c r="K820" i="15"/>
  <c r="L820" i="15"/>
  <c r="M820" i="15"/>
  <c r="N820" i="15"/>
  <c r="A821" i="15"/>
  <c r="B821" i="15"/>
  <c r="C821" i="15"/>
  <c r="D821" i="15"/>
  <c r="E821" i="15"/>
  <c r="F821" i="15"/>
  <c r="G821" i="15"/>
  <c r="H821" i="15"/>
  <c r="I821" i="15"/>
  <c r="J821" i="15"/>
  <c r="K821" i="15"/>
  <c r="L821" i="15"/>
  <c r="M821" i="15"/>
  <c r="N821" i="15"/>
  <c r="A822" i="15"/>
  <c r="B822" i="15"/>
  <c r="C822" i="15"/>
  <c r="D822" i="15"/>
  <c r="E822" i="15"/>
  <c r="F822" i="15"/>
  <c r="G822" i="15"/>
  <c r="H822" i="15"/>
  <c r="I822" i="15"/>
  <c r="J822" i="15"/>
  <c r="K822" i="15"/>
  <c r="L822" i="15"/>
  <c r="M822" i="15"/>
  <c r="N822" i="15"/>
  <c r="A823" i="15"/>
  <c r="B823" i="15"/>
  <c r="C823" i="15"/>
  <c r="D823" i="15"/>
  <c r="E823" i="15"/>
  <c r="F823" i="15"/>
  <c r="G823" i="15"/>
  <c r="H823" i="15"/>
  <c r="I823" i="15"/>
  <c r="J823" i="15"/>
  <c r="K823" i="15"/>
  <c r="L823" i="15"/>
  <c r="M823" i="15"/>
  <c r="N823" i="15"/>
  <c r="A824" i="15"/>
  <c r="B824" i="15"/>
  <c r="C824" i="15"/>
  <c r="D824" i="15"/>
  <c r="E824" i="15"/>
  <c r="F824" i="15"/>
  <c r="G824" i="15"/>
  <c r="H824" i="15"/>
  <c r="I824" i="15"/>
  <c r="J824" i="15"/>
  <c r="K824" i="15"/>
  <c r="L824" i="15"/>
  <c r="M824" i="15"/>
  <c r="N824" i="15"/>
  <c r="A825" i="15"/>
  <c r="B825" i="15"/>
  <c r="C825" i="15"/>
  <c r="D825" i="15"/>
  <c r="E825" i="15"/>
  <c r="F825" i="15"/>
  <c r="G825" i="15"/>
  <c r="H825" i="15"/>
  <c r="I825" i="15"/>
  <c r="J825" i="15"/>
  <c r="K825" i="15"/>
  <c r="L825" i="15"/>
  <c r="M825" i="15"/>
  <c r="N825" i="15"/>
  <c r="A826" i="15"/>
  <c r="B826" i="15"/>
  <c r="C826" i="15"/>
  <c r="D826" i="15"/>
  <c r="E826" i="15"/>
  <c r="F826" i="15"/>
  <c r="G826" i="15"/>
  <c r="H826" i="15"/>
  <c r="I826" i="15"/>
  <c r="J826" i="15"/>
  <c r="K826" i="15"/>
  <c r="L826" i="15"/>
  <c r="M826" i="15"/>
  <c r="N826" i="15"/>
  <c r="A827" i="15"/>
  <c r="B827" i="15"/>
  <c r="C827" i="15"/>
  <c r="D827" i="15"/>
  <c r="E827" i="15"/>
  <c r="F827" i="15"/>
  <c r="G827" i="15"/>
  <c r="H827" i="15"/>
  <c r="I827" i="15"/>
  <c r="J827" i="15"/>
  <c r="K827" i="15"/>
  <c r="L827" i="15"/>
  <c r="M827" i="15"/>
  <c r="N827" i="15"/>
  <c r="A828" i="15"/>
  <c r="B828" i="15"/>
  <c r="C828" i="15"/>
  <c r="D828" i="15"/>
  <c r="E828" i="15"/>
  <c r="F828" i="15"/>
  <c r="G828" i="15"/>
  <c r="H828" i="15"/>
  <c r="I828" i="15"/>
  <c r="J828" i="15"/>
  <c r="K828" i="15"/>
  <c r="L828" i="15"/>
  <c r="M828" i="15"/>
  <c r="N828" i="15"/>
  <c r="A829" i="15"/>
  <c r="B829" i="15"/>
  <c r="C829" i="15"/>
  <c r="D829" i="15"/>
  <c r="E829" i="15"/>
  <c r="F829" i="15"/>
  <c r="G829" i="15"/>
  <c r="H829" i="15"/>
  <c r="I829" i="15"/>
  <c r="J829" i="15"/>
  <c r="K829" i="15"/>
  <c r="L829" i="15"/>
  <c r="M829" i="15"/>
  <c r="N829" i="15"/>
  <c r="A830" i="15"/>
  <c r="B830" i="15"/>
  <c r="C830" i="15"/>
  <c r="D830" i="15"/>
  <c r="E830" i="15"/>
  <c r="F830" i="15"/>
  <c r="G830" i="15"/>
  <c r="H830" i="15"/>
  <c r="I830" i="15"/>
  <c r="J830" i="15"/>
  <c r="K830" i="15"/>
  <c r="L830" i="15"/>
  <c r="M830" i="15"/>
  <c r="N830" i="15"/>
  <c r="A831" i="15"/>
  <c r="B831" i="15"/>
  <c r="C831" i="15"/>
  <c r="D831" i="15"/>
  <c r="E831" i="15"/>
  <c r="F831" i="15"/>
  <c r="G831" i="15"/>
  <c r="H831" i="15"/>
  <c r="I831" i="15"/>
  <c r="J831" i="15"/>
  <c r="K831" i="15"/>
  <c r="L831" i="15"/>
  <c r="M831" i="15"/>
  <c r="N831" i="15"/>
  <c r="A832" i="15"/>
  <c r="B832" i="15"/>
  <c r="C832" i="15"/>
  <c r="D832" i="15"/>
  <c r="E832" i="15"/>
  <c r="F832" i="15"/>
  <c r="G832" i="15"/>
  <c r="H832" i="15"/>
  <c r="I832" i="15"/>
  <c r="J832" i="15"/>
  <c r="K832" i="15"/>
  <c r="L832" i="15"/>
  <c r="M832" i="15"/>
  <c r="N832" i="15"/>
  <c r="A833" i="15"/>
  <c r="B833" i="15"/>
  <c r="C833" i="15"/>
  <c r="D833" i="15"/>
  <c r="E833" i="15"/>
  <c r="F833" i="15"/>
  <c r="G833" i="15"/>
  <c r="H833" i="15"/>
  <c r="I833" i="15"/>
  <c r="J833" i="15"/>
  <c r="K833" i="15"/>
  <c r="L833" i="15"/>
  <c r="M833" i="15"/>
  <c r="N833" i="15"/>
  <c r="A834" i="15"/>
  <c r="B834" i="15"/>
  <c r="C834" i="15"/>
  <c r="D834" i="15"/>
  <c r="E834" i="15"/>
  <c r="F834" i="15"/>
  <c r="G834" i="15"/>
  <c r="H834" i="15"/>
  <c r="I834" i="15"/>
  <c r="J834" i="15"/>
  <c r="K834" i="15"/>
  <c r="L834" i="15"/>
  <c r="M834" i="15"/>
  <c r="N834" i="15"/>
  <c r="A835" i="15"/>
  <c r="B835" i="15"/>
  <c r="C835" i="15"/>
  <c r="D835" i="15"/>
  <c r="E835" i="15"/>
  <c r="F835" i="15"/>
  <c r="G835" i="15"/>
  <c r="H835" i="15"/>
  <c r="I835" i="15"/>
  <c r="J835" i="15"/>
  <c r="K835" i="15"/>
  <c r="L835" i="15"/>
  <c r="M835" i="15"/>
  <c r="N835" i="15"/>
  <c r="A836" i="15"/>
  <c r="B836" i="15"/>
  <c r="C836" i="15"/>
  <c r="D836" i="15"/>
  <c r="E836" i="15"/>
  <c r="F836" i="15"/>
  <c r="G836" i="15"/>
  <c r="H836" i="15"/>
  <c r="I836" i="15"/>
  <c r="J836" i="15"/>
  <c r="K836" i="15"/>
  <c r="L836" i="15"/>
  <c r="M836" i="15"/>
  <c r="N836" i="15"/>
  <c r="A837" i="15"/>
  <c r="B837" i="15"/>
  <c r="C837" i="15"/>
  <c r="D837" i="15"/>
  <c r="E837" i="15"/>
  <c r="F837" i="15"/>
  <c r="G837" i="15"/>
  <c r="H837" i="15"/>
  <c r="I837" i="15"/>
  <c r="J837" i="15"/>
  <c r="K837" i="15"/>
  <c r="L837" i="15"/>
  <c r="M837" i="15"/>
  <c r="N837" i="15"/>
  <c r="A838" i="15"/>
  <c r="B838" i="15"/>
  <c r="C838" i="15"/>
  <c r="D838" i="15"/>
  <c r="E838" i="15"/>
  <c r="F838" i="15"/>
  <c r="G838" i="15"/>
  <c r="H838" i="15"/>
  <c r="I838" i="15"/>
  <c r="J838" i="15"/>
  <c r="K838" i="15"/>
  <c r="L838" i="15"/>
  <c r="M838" i="15"/>
  <c r="N838" i="15"/>
  <c r="A839" i="15"/>
  <c r="B839" i="15"/>
  <c r="C839" i="15"/>
  <c r="D839" i="15"/>
  <c r="E839" i="15"/>
  <c r="F839" i="15"/>
  <c r="G839" i="15"/>
  <c r="H839" i="15"/>
  <c r="I839" i="15"/>
  <c r="J839" i="15"/>
  <c r="K839" i="15"/>
  <c r="L839" i="15"/>
  <c r="M839" i="15"/>
  <c r="N839" i="15"/>
  <c r="A840" i="15"/>
  <c r="B840" i="15"/>
  <c r="C840" i="15"/>
  <c r="D840" i="15"/>
  <c r="E840" i="15"/>
  <c r="F840" i="15"/>
  <c r="G840" i="15"/>
  <c r="H840" i="15"/>
  <c r="I840" i="15"/>
  <c r="J840" i="15"/>
  <c r="K840" i="15"/>
  <c r="L840" i="15"/>
  <c r="M840" i="15"/>
  <c r="N840" i="15"/>
  <c r="A841" i="15"/>
  <c r="B841" i="15"/>
  <c r="C841" i="15"/>
  <c r="D841" i="15"/>
  <c r="E841" i="15"/>
  <c r="F841" i="15"/>
  <c r="G841" i="15"/>
  <c r="H841" i="15"/>
  <c r="I841" i="15"/>
  <c r="J841" i="15"/>
  <c r="K841" i="15"/>
  <c r="L841" i="15"/>
  <c r="M841" i="15"/>
  <c r="N841" i="15"/>
  <c r="A842" i="15"/>
  <c r="B842" i="15"/>
  <c r="C842" i="15"/>
  <c r="D842" i="15"/>
  <c r="E842" i="15"/>
  <c r="F842" i="15"/>
  <c r="G842" i="15"/>
  <c r="H842" i="15"/>
  <c r="I842" i="15"/>
  <c r="J842" i="15"/>
  <c r="K842" i="15"/>
  <c r="L842" i="15"/>
  <c r="M842" i="15"/>
  <c r="N842" i="15"/>
  <c r="A843" i="15"/>
  <c r="B843" i="15"/>
  <c r="C843" i="15"/>
  <c r="D843" i="15"/>
  <c r="E843" i="15"/>
  <c r="F843" i="15"/>
  <c r="G843" i="15"/>
  <c r="H843" i="15"/>
  <c r="I843" i="15"/>
  <c r="J843" i="15"/>
  <c r="K843" i="15"/>
  <c r="L843" i="15"/>
  <c r="M843" i="15"/>
  <c r="N843" i="15"/>
  <c r="A844" i="15"/>
  <c r="B844" i="15"/>
  <c r="C844" i="15"/>
  <c r="D844" i="15"/>
  <c r="E844" i="15"/>
  <c r="F844" i="15"/>
  <c r="G844" i="15"/>
  <c r="H844" i="15"/>
  <c r="I844" i="15"/>
  <c r="J844" i="15"/>
  <c r="K844" i="15"/>
  <c r="L844" i="15"/>
  <c r="M844" i="15"/>
  <c r="N844" i="15"/>
  <c r="A845" i="15"/>
  <c r="B845" i="15"/>
  <c r="C845" i="15"/>
  <c r="D845" i="15"/>
  <c r="E845" i="15"/>
  <c r="F845" i="15"/>
  <c r="G845" i="15"/>
  <c r="H845" i="15"/>
  <c r="I845" i="15"/>
  <c r="J845" i="15"/>
  <c r="K845" i="15"/>
  <c r="L845" i="15"/>
  <c r="M845" i="15"/>
  <c r="N845" i="15"/>
  <c r="A846" i="15"/>
  <c r="B846" i="15"/>
  <c r="C846" i="15"/>
  <c r="D846" i="15"/>
  <c r="E846" i="15"/>
  <c r="F846" i="15"/>
  <c r="G846" i="15"/>
  <c r="H846" i="15"/>
  <c r="I846" i="15"/>
  <c r="J846" i="15"/>
  <c r="K846" i="15"/>
  <c r="L846" i="15"/>
  <c r="M846" i="15"/>
  <c r="N846" i="15"/>
  <c r="A847" i="15"/>
  <c r="B847" i="15"/>
  <c r="C847" i="15"/>
  <c r="D847" i="15"/>
  <c r="E847" i="15"/>
  <c r="F847" i="15"/>
  <c r="G847" i="15"/>
  <c r="H847" i="15"/>
  <c r="I847" i="15"/>
  <c r="J847" i="15"/>
  <c r="K847" i="15"/>
  <c r="L847" i="15"/>
  <c r="M847" i="15"/>
  <c r="N847" i="15"/>
  <c r="A848" i="15"/>
  <c r="B848" i="15"/>
  <c r="C848" i="15"/>
  <c r="D848" i="15"/>
  <c r="E848" i="15"/>
  <c r="F848" i="15"/>
  <c r="G848" i="15"/>
  <c r="H848" i="15"/>
  <c r="I848" i="15"/>
  <c r="J848" i="15"/>
  <c r="K848" i="15"/>
  <c r="L848" i="15"/>
  <c r="M848" i="15"/>
  <c r="N848" i="15"/>
  <c r="A849" i="15"/>
  <c r="B849" i="15"/>
  <c r="C849" i="15"/>
  <c r="D849" i="15"/>
  <c r="E849" i="15"/>
  <c r="F849" i="15"/>
  <c r="G849" i="15"/>
  <c r="H849" i="15"/>
  <c r="I849" i="15"/>
  <c r="J849" i="15"/>
  <c r="K849" i="15"/>
  <c r="L849" i="15"/>
  <c r="M849" i="15"/>
  <c r="N849" i="15"/>
  <c r="A850" i="15"/>
  <c r="B850" i="15"/>
  <c r="C850" i="15"/>
  <c r="D850" i="15"/>
  <c r="E850" i="15"/>
  <c r="F850" i="15"/>
  <c r="G850" i="15"/>
  <c r="H850" i="15"/>
  <c r="I850" i="15"/>
  <c r="J850" i="15"/>
  <c r="K850" i="15"/>
  <c r="L850" i="15"/>
  <c r="M850" i="15"/>
  <c r="N850" i="15"/>
  <c r="A851" i="15"/>
  <c r="B851" i="15"/>
  <c r="C851" i="15"/>
  <c r="D851" i="15"/>
  <c r="E851" i="15"/>
  <c r="F851" i="15"/>
  <c r="G851" i="15"/>
  <c r="H851" i="15"/>
  <c r="I851" i="15"/>
  <c r="J851" i="15"/>
  <c r="K851" i="15"/>
  <c r="L851" i="15"/>
  <c r="M851" i="15"/>
  <c r="N851" i="15"/>
  <c r="A852" i="15"/>
  <c r="B852" i="15"/>
  <c r="C852" i="15"/>
  <c r="D852" i="15"/>
  <c r="E852" i="15"/>
  <c r="F852" i="15"/>
  <c r="G852" i="15"/>
  <c r="H852" i="15"/>
  <c r="I852" i="15"/>
  <c r="J852" i="15"/>
  <c r="K852" i="15"/>
  <c r="L852" i="15"/>
  <c r="M852" i="15"/>
  <c r="N852" i="15"/>
  <c r="A853" i="15"/>
  <c r="B853" i="15"/>
  <c r="C853" i="15"/>
  <c r="D853" i="15"/>
  <c r="E853" i="15"/>
  <c r="F853" i="15"/>
  <c r="G853" i="15"/>
  <c r="H853" i="15"/>
  <c r="I853" i="15"/>
  <c r="J853" i="15"/>
  <c r="K853" i="15"/>
  <c r="L853" i="15"/>
  <c r="M853" i="15"/>
  <c r="N853" i="15"/>
  <c r="A854" i="15"/>
  <c r="B854" i="15"/>
  <c r="C854" i="15"/>
  <c r="D854" i="15"/>
  <c r="E854" i="15"/>
  <c r="F854" i="15"/>
  <c r="G854" i="15"/>
  <c r="H854" i="15"/>
  <c r="I854" i="15"/>
  <c r="J854" i="15"/>
  <c r="K854" i="15"/>
  <c r="L854" i="15"/>
  <c r="M854" i="15"/>
  <c r="N854" i="15"/>
  <c r="A855" i="15"/>
  <c r="B855" i="15"/>
  <c r="C855" i="15"/>
  <c r="D855" i="15"/>
  <c r="E855" i="15"/>
  <c r="F855" i="15"/>
  <c r="G855" i="15"/>
  <c r="H855" i="15"/>
  <c r="I855" i="15"/>
  <c r="J855" i="15"/>
  <c r="K855" i="15"/>
  <c r="L855" i="15"/>
  <c r="M855" i="15"/>
  <c r="N855" i="15"/>
  <c r="A856" i="15"/>
  <c r="B856" i="15"/>
  <c r="C856" i="15"/>
  <c r="D856" i="15"/>
  <c r="E856" i="15"/>
  <c r="F856" i="15"/>
  <c r="G856" i="15"/>
  <c r="H856" i="15"/>
  <c r="I856" i="15"/>
  <c r="J856" i="15"/>
  <c r="K856" i="15"/>
  <c r="L856" i="15"/>
  <c r="M856" i="15"/>
  <c r="N856" i="15"/>
  <c r="A857" i="15"/>
  <c r="B857" i="15"/>
  <c r="C857" i="15"/>
  <c r="D857" i="15"/>
  <c r="E857" i="15"/>
  <c r="F857" i="15"/>
  <c r="G857" i="15"/>
  <c r="H857" i="15"/>
  <c r="I857" i="15"/>
  <c r="J857" i="15"/>
  <c r="K857" i="15"/>
  <c r="L857" i="15"/>
  <c r="M857" i="15"/>
  <c r="N857" i="15"/>
  <c r="A858" i="15"/>
  <c r="B858" i="15"/>
  <c r="C858" i="15"/>
  <c r="D858" i="15"/>
  <c r="E858" i="15"/>
  <c r="F858" i="15"/>
  <c r="G858" i="15"/>
  <c r="H858" i="15"/>
  <c r="I858" i="15"/>
  <c r="J858" i="15"/>
  <c r="K858" i="15"/>
  <c r="L858" i="15"/>
  <c r="M858" i="15"/>
  <c r="N858" i="15"/>
  <c r="A859" i="15"/>
  <c r="B859" i="15"/>
  <c r="C859" i="15"/>
  <c r="D859" i="15"/>
  <c r="E859" i="15"/>
  <c r="F859" i="15"/>
  <c r="G859" i="15"/>
  <c r="H859" i="15"/>
  <c r="I859" i="15"/>
  <c r="J859" i="15"/>
  <c r="K859" i="15"/>
  <c r="L859" i="15"/>
  <c r="M859" i="15"/>
  <c r="N859" i="15"/>
  <c r="A860" i="15"/>
  <c r="B860" i="15"/>
  <c r="C860" i="15"/>
  <c r="D860" i="15"/>
  <c r="E860" i="15"/>
  <c r="F860" i="15"/>
  <c r="G860" i="15"/>
  <c r="H860" i="15"/>
  <c r="I860" i="15"/>
  <c r="J860" i="15"/>
  <c r="K860" i="15"/>
  <c r="L860" i="15"/>
  <c r="M860" i="15"/>
  <c r="N860" i="15"/>
  <c r="A861" i="15"/>
  <c r="B861" i="15"/>
  <c r="C861" i="15"/>
  <c r="D861" i="15"/>
  <c r="E861" i="15"/>
  <c r="F861" i="15"/>
  <c r="G861" i="15"/>
  <c r="H861" i="15"/>
  <c r="I861" i="15"/>
  <c r="J861" i="15"/>
  <c r="K861" i="15"/>
  <c r="L861" i="15"/>
  <c r="M861" i="15"/>
  <c r="N861" i="15"/>
  <c r="A862" i="15"/>
  <c r="B862" i="15"/>
  <c r="C862" i="15"/>
  <c r="D862" i="15"/>
  <c r="E862" i="15"/>
  <c r="F862" i="15"/>
  <c r="G862" i="15"/>
  <c r="H862" i="15"/>
  <c r="I862" i="15"/>
  <c r="J862" i="15"/>
  <c r="K862" i="15"/>
  <c r="L862" i="15"/>
  <c r="M862" i="15"/>
  <c r="N862" i="15"/>
  <c r="A863" i="15"/>
  <c r="B863" i="15"/>
  <c r="C863" i="15"/>
  <c r="D863" i="15"/>
  <c r="E863" i="15"/>
  <c r="F863" i="15"/>
  <c r="G863" i="15"/>
  <c r="H863" i="15"/>
  <c r="I863" i="15"/>
  <c r="J863" i="15"/>
  <c r="K863" i="15"/>
  <c r="L863" i="15"/>
  <c r="M863" i="15"/>
  <c r="N863" i="15"/>
  <c r="A864" i="15"/>
  <c r="B864" i="15"/>
  <c r="C864" i="15"/>
  <c r="D864" i="15"/>
  <c r="E864" i="15"/>
  <c r="F864" i="15"/>
  <c r="G864" i="15"/>
  <c r="H864" i="15"/>
  <c r="I864" i="15"/>
  <c r="J864" i="15"/>
  <c r="K864" i="15"/>
  <c r="L864" i="15"/>
  <c r="M864" i="15"/>
  <c r="N864" i="15"/>
  <c r="A865" i="15"/>
  <c r="B865" i="15"/>
  <c r="C865" i="15"/>
  <c r="D865" i="15"/>
  <c r="E865" i="15"/>
  <c r="F865" i="15"/>
  <c r="G865" i="15"/>
  <c r="H865" i="15"/>
  <c r="I865" i="15"/>
  <c r="J865" i="15"/>
  <c r="K865" i="15"/>
  <c r="L865" i="15"/>
  <c r="M865" i="15"/>
  <c r="N865" i="15"/>
  <c r="A866" i="15"/>
  <c r="B866" i="15"/>
  <c r="C866" i="15"/>
  <c r="D866" i="15"/>
  <c r="E866" i="15"/>
  <c r="F866" i="15"/>
  <c r="G866" i="15"/>
  <c r="H866" i="15"/>
  <c r="I866" i="15"/>
  <c r="J866" i="15"/>
  <c r="K866" i="15"/>
  <c r="L866" i="15"/>
  <c r="M866" i="15"/>
  <c r="N866" i="15"/>
  <c r="A867" i="15"/>
  <c r="B867" i="15"/>
  <c r="C867" i="15"/>
  <c r="D867" i="15"/>
  <c r="E867" i="15"/>
  <c r="F867" i="15"/>
  <c r="G867" i="15"/>
  <c r="H867" i="15"/>
  <c r="I867" i="15"/>
  <c r="J867" i="15"/>
  <c r="K867" i="15"/>
  <c r="L867" i="15"/>
  <c r="M867" i="15"/>
  <c r="N867" i="15"/>
  <c r="A868" i="15"/>
  <c r="B868" i="15"/>
  <c r="C868" i="15"/>
  <c r="D868" i="15"/>
  <c r="E868" i="15"/>
  <c r="F868" i="15"/>
  <c r="G868" i="15"/>
  <c r="H868" i="15"/>
  <c r="I868" i="15"/>
  <c r="J868" i="15"/>
  <c r="K868" i="15"/>
  <c r="L868" i="15"/>
  <c r="M868" i="15"/>
  <c r="N868" i="15"/>
  <c r="A869" i="15"/>
  <c r="B869" i="15"/>
  <c r="C869" i="15"/>
  <c r="D869" i="15"/>
  <c r="E869" i="15"/>
  <c r="F869" i="15"/>
  <c r="G869" i="15"/>
  <c r="H869" i="15"/>
  <c r="I869" i="15"/>
  <c r="J869" i="15"/>
  <c r="K869" i="15"/>
  <c r="L869" i="15"/>
  <c r="M869" i="15"/>
  <c r="N869" i="15"/>
  <c r="A870" i="15"/>
  <c r="B870" i="15"/>
  <c r="C870" i="15"/>
  <c r="D870" i="15"/>
  <c r="E870" i="15"/>
  <c r="F870" i="15"/>
  <c r="G870" i="15"/>
  <c r="H870" i="15"/>
  <c r="I870" i="15"/>
  <c r="J870" i="15"/>
  <c r="K870" i="15"/>
  <c r="L870" i="15"/>
  <c r="M870" i="15"/>
  <c r="N870" i="15"/>
  <c r="A871" i="15"/>
  <c r="B871" i="15"/>
  <c r="C871" i="15"/>
  <c r="D871" i="15"/>
  <c r="E871" i="15"/>
  <c r="F871" i="15"/>
  <c r="G871" i="15"/>
  <c r="H871" i="15"/>
  <c r="I871" i="15"/>
  <c r="J871" i="15"/>
  <c r="K871" i="15"/>
  <c r="L871" i="15"/>
  <c r="M871" i="15"/>
  <c r="N871" i="15"/>
  <c r="A872" i="15"/>
  <c r="B872" i="15"/>
  <c r="C872" i="15"/>
  <c r="D872" i="15"/>
  <c r="E872" i="15"/>
  <c r="F872" i="15"/>
  <c r="G872" i="15"/>
  <c r="H872" i="15"/>
  <c r="I872" i="15"/>
  <c r="J872" i="15"/>
  <c r="K872" i="15"/>
  <c r="L872" i="15"/>
  <c r="M872" i="15"/>
  <c r="N872" i="15"/>
  <c r="A873" i="15"/>
  <c r="B873" i="15"/>
  <c r="C873" i="15"/>
  <c r="D873" i="15"/>
  <c r="E873" i="15"/>
  <c r="F873" i="15"/>
  <c r="G873" i="15"/>
  <c r="H873" i="15"/>
  <c r="I873" i="15"/>
  <c r="J873" i="15"/>
  <c r="K873" i="15"/>
  <c r="L873" i="15"/>
  <c r="M873" i="15"/>
  <c r="N873" i="15"/>
  <c r="A874" i="15"/>
  <c r="B874" i="15"/>
  <c r="C874" i="15"/>
  <c r="D874" i="15"/>
  <c r="E874" i="15"/>
  <c r="F874" i="15"/>
  <c r="G874" i="15"/>
  <c r="H874" i="15"/>
  <c r="I874" i="15"/>
  <c r="J874" i="15"/>
  <c r="K874" i="15"/>
  <c r="L874" i="15"/>
  <c r="M874" i="15"/>
  <c r="N874" i="15"/>
  <c r="A875" i="15"/>
  <c r="B875" i="15"/>
  <c r="C875" i="15"/>
  <c r="D875" i="15"/>
  <c r="E875" i="15"/>
  <c r="F875" i="15"/>
  <c r="G875" i="15"/>
  <c r="H875" i="15"/>
  <c r="I875" i="15"/>
  <c r="J875" i="15"/>
  <c r="K875" i="15"/>
  <c r="L875" i="15"/>
  <c r="M875" i="15"/>
  <c r="N875" i="15"/>
  <c r="A876" i="15"/>
  <c r="B876" i="15"/>
  <c r="C876" i="15"/>
  <c r="D876" i="15"/>
  <c r="E876" i="15"/>
  <c r="F876" i="15"/>
  <c r="G876" i="15"/>
  <c r="H876" i="15"/>
  <c r="I876" i="15"/>
  <c r="J876" i="15"/>
  <c r="K876" i="15"/>
  <c r="L876" i="15"/>
  <c r="M876" i="15"/>
  <c r="N876" i="15"/>
  <c r="A877" i="15"/>
  <c r="B877" i="15"/>
  <c r="C877" i="15"/>
  <c r="D877" i="15"/>
  <c r="E877" i="15"/>
  <c r="F877" i="15"/>
  <c r="G877" i="15"/>
  <c r="H877" i="15"/>
  <c r="I877" i="15"/>
  <c r="J877" i="15"/>
  <c r="K877" i="15"/>
  <c r="L877" i="15"/>
  <c r="M877" i="15"/>
  <c r="N877" i="15"/>
  <c r="A878" i="15"/>
  <c r="B878" i="15"/>
  <c r="C878" i="15"/>
  <c r="D878" i="15"/>
  <c r="E878" i="15"/>
  <c r="F878" i="15"/>
  <c r="G878" i="15"/>
  <c r="H878" i="15"/>
  <c r="I878" i="15"/>
  <c r="J878" i="15"/>
  <c r="K878" i="15"/>
  <c r="L878" i="15"/>
  <c r="M878" i="15"/>
  <c r="N878" i="15"/>
  <c r="A879" i="15"/>
  <c r="B879" i="15"/>
  <c r="C879" i="15"/>
  <c r="D879" i="15"/>
  <c r="E879" i="15"/>
  <c r="F879" i="15"/>
  <c r="G879" i="15"/>
  <c r="H879" i="15"/>
  <c r="I879" i="15"/>
  <c r="J879" i="15"/>
  <c r="K879" i="15"/>
  <c r="L879" i="15"/>
  <c r="M879" i="15"/>
  <c r="N879" i="15"/>
  <c r="A880" i="15"/>
  <c r="B880" i="15"/>
  <c r="C880" i="15"/>
  <c r="D880" i="15"/>
  <c r="E880" i="15"/>
  <c r="F880" i="15"/>
  <c r="G880" i="15"/>
  <c r="H880" i="15"/>
  <c r="I880" i="15"/>
  <c r="J880" i="15"/>
  <c r="K880" i="15"/>
  <c r="L880" i="15"/>
  <c r="M880" i="15"/>
  <c r="N880" i="15"/>
  <c r="A881" i="15"/>
  <c r="B881" i="15"/>
  <c r="C881" i="15"/>
  <c r="D881" i="15"/>
  <c r="E881" i="15"/>
  <c r="F881" i="15"/>
  <c r="G881" i="15"/>
  <c r="H881" i="15"/>
  <c r="I881" i="15"/>
  <c r="J881" i="15"/>
  <c r="K881" i="15"/>
  <c r="L881" i="15"/>
  <c r="M881" i="15"/>
  <c r="N881" i="15"/>
  <c r="A882" i="15"/>
  <c r="B882" i="15"/>
  <c r="C882" i="15"/>
  <c r="D882" i="15"/>
  <c r="E882" i="15"/>
  <c r="F882" i="15"/>
  <c r="G882" i="15"/>
  <c r="H882" i="15"/>
  <c r="I882" i="15"/>
  <c r="J882" i="15"/>
  <c r="K882" i="15"/>
  <c r="L882" i="15"/>
  <c r="M882" i="15"/>
  <c r="N882" i="15"/>
  <c r="A883" i="15"/>
  <c r="B883" i="15"/>
  <c r="C883" i="15"/>
  <c r="D883" i="15"/>
  <c r="E883" i="15"/>
  <c r="F883" i="15"/>
  <c r="G883" i="15"/>
  <c r="H883" i="15"/>
  <c r="I883" i="15"/>
  <c r="J883" i="15"/>
  <c r="K883" i="15"/>
  <c r="L883" i="15"/>
  <c r="M883" i="15"/>
  <c r="N883" i="15"/>
  <c r="A884" i="15"/>
  <c r="B884" i="15"/>
  <c r="C884" i="15"/>
  <c r="D884" i="15"/>
  <c r="E884" i="15"/>
  <c r="F884" i="15"/>
  <c r="G884" i="15"/>
  <c r="H884" i="15"/>
  <c r="I884" i="15"/>
  <c r="J884" i="15"/>
  <c r="K884" i="15"/>
  <c r="L884" i="15"/>
  <c r="M884" i="15"/>
  <c r="N884" i="15"/>
  <c r="A885" i="15"/>
  <c r="B885" i="15"/>
  <c r="C885" i="15"/>
  <c r="D885" i="15"/>
  <c r="E885" i="15"/>
  <c r="F885" i="15"/>
  <c r="G885" i="15"/>
  <c r="H885" i="15"/>
  <c r="I885" i="15"/>
  <c r="J885" i="15"/>
  <c r="K885" i="15"/>
  <c r="L885" i="15"/>
  <c r="M885" i="15"/>
  <c r="N885" i="15"/>
  <c r="A886" i="15"/>
  <c r="B886" i="15"/>
  <c r="C886" i="15"/>
  <c r="D886" i="15"/>
  <c r="E886" i="15"/>
  <c r="F886" i="15"/>
  <c r="G886" i="15"/>
  <c r="H886" i="15"/>
  <c r="I886" i="15"/>
  <c r="J886" i="15"/>
  <c r="K886" i="15"/>
  <c r="L886" i="15"/>
  <c r="M886" i="15"/>
  <c r="N886" i="15"/>
  <c r="A887" i="15"/>
  <c r="B887" i="15"/>
  <c r="C887" i="15"/>
  <c r="D887" i="15"/>
  <c r="E887" i="15"/>
  <c r="F887" i="15"/>
  <c r="G887" i="15"/>
  <c r="H887" i="15"/>
  <c r="I887" i="15"/>
  <c r="J887" i="15"/>
  <c r="K887" i="15"/>
  <c r="L887" i="15"/>
  <c r="M887" i="15"/>
  <c r="N887" i="15"/>
  <c r="A888" i="15"/>
  <c r="B888" i="15"/>
  <c r="C888" i="15"/>
  <c r="D888" i="15"/>
  <c r="E888" i="15"/>
  <c r="F888" i="15"/>
  <c r="G888" i="15"/>
  <c r="H888" i="15"/>
  <c r="I888" i="15"/>
  <c r="J888" i="15"/>
  <c r="K888" i="15"/>
  <c r="L888" i="15"/>
  <c r="M888" i="15"/>
  <c r="N888" i="15"/>
  <c r="A889" i="15"/>
  <c r="B889" i="15"/>
  <c r="C889" i="15"/>
  <c r="D889" i="15"/>
  <c r="E889" i="15"/>
  <c r="F889" i="15"/>
  <c r="G889" i="15"/>
  <c r="H889" i="15"/>
  <c r="I889" i="15"/>
  <c r="J889" i="15"/>
  <c r="K889" i="15"/>
  <c r="L889" i="15"/>
  <c r="M889" i="15"/>
  <c r="N889" i="15"/>
  <c r="A890" i="15"/>
  <c r="B890" i="15"/>
  <c r="C890" i="15"/>
  <c r="D890" i="15"/>
  <c r="E890" i="15"/>
  <c r="F890" i="15"/>
  <c r="G890" i="15"/>
  <c r="H890" i="15"/>
  <c r="I890" i="15"/>
  <c r="J890" i="15"/>
  <c r="K890" i="15"/>
  <c r="L890" i="15"/>
  <c r="M890" i="15"/>
  <c r="N890" i="15"/>
  <c r="A891" i="15"/>
  <c r="B891" i="15"/>
  <c r="C891" i="15"/>
  <c r="D891" i="15"/>
  <c r="E891" i="15"/>
  <c r="F891" i="15"/>
  <c r="G891" i="15"/>
  <c r="H891" i="15"/>
  <c r="I891" i="15"/>
  <c r="J891" i="15"/>
  <c r="K891" i="15"/>
  <c r="L891" i="15"/>
  <c r="M891" i="15"/>
  <c r="N891" i="15"/>
  <c r="A892" i="15"/>
  <c r="B892" i="15"/>
  <c r="C892" i="15"/>
  <c r="D892" i="15"/>
  <c r="E892" i="15"/>
  <c r="F892" i="15"/>
  <c r="G892" i="15"/>
  <c r="H892" i="15"/>
  <c r="I892" i="15"/>
  <c r="J892" i="15"/>
  <c r="K892" i="15"/>
  <c r="L892" i="15"/>
  <c r="M892" i="15"/>
  <c r="N892" i="15"/>
  <c r="A893" i="15"/>
  <c r="B893" i="15"/>
  <c r="C893" i="15"/>
  <c r="D893" i="15"/>
  <c r="E893" i="15"/>
  <c r="F893" i="15"/>
  <c r="G893" i="15"/>
  <c r="H893" i="15"/>
  <c r="I893" i="15"/>
  <c r="J893" i="15"/>
  <c r="K893" i="15"/>
  <c r="L893" i="15"/>
  <c r="M893" i="15"/>
  <c r="N893" i="15"/>
  <c r="A894" i="15"/>
  <c r="B894" i="15"/>
  <c r="C894" i="15"/>
  <c r="D894" i="15"/>
  <c r="E894" i="15"/>
  <c r="F894" i="15"/>
  <c r="G894" i="15"/>
  <c r="H894" i="15"/>
  <c r="I894" i="15"/>
  <c r="J894" i="15"/>
  <c r="K894" i="15"/>
  <c r="L894" i="15"/>
  <c r="M894" i="15"/>
  <c r="N894" i="15"/>
  <c r="A895" i="15"/>
  <c r="B895" i="15"/>
  <c r="C895" i="15"/>
  <c r="D895" i="15"/>
  <c r="E895" i="15"/>
  <c r="F895" i="15"/>
  <c r="G895" i="15"/>
  <c r="H895" i="15"/>
  <c r="I895" i="15"/>
  <c r="J895" i="15"/>
  <c r="K895" i="15"/>
  <c r="L895" i="15"/>
  <c r="M895" i="15"/>
  <c r="N895" i="15"/>
  <c r="A896" i="15"/>
  <c r="B896" i="15"/>
  <c r="C896" i="15"/>
  <c r="D896" i="15"/>
  <c r="E896" i="15"/>
  <c r="F896" i="15"/>
  <c r="G896" i="15"/>
  <c r="H896" i="15"/>
  <c r="I896" i="15"/>
  <c r="J896" i="15"/>
  <c r="K896" i="15"/>
  <c r="L896" i="15"/>
  <c r="M896" i="15"/>
  <c r="N896" i="15"/>
  <c r="A897" i="15"/>
  <c r="B897" i="15"/>
  <c r="C897" i="15"/>
  <c r="D897" i="15"/>
  <c r="E897" i="15"/>
  <c r="F897" i="15"/>
  <c r="G897" i="15"/>
  <c r="H897" i="15"/>
  <c r="I897" i="15"/>
  <c r="J897" i="15"/>
  <c r="K897" i="15"/>
  <c r="L897" i="15"/>
  <c r="M897" i="15"/>
  <c r="N897" i="15"/>
  <c r="A898" i="15"/>
  <c r="B898" i="15"/>
  <c r="C898" i="15"/>
  <c r="D898" i="15"/>
  <c r="E898" i="15"/>
  <c r="F898" i="15"/>
  <c r="G898" i="15"/>
  <c r="H898" i="15"/>
  <c r="I898" i="15"/>
  <c r="J898" i="15"/>
  <c r="K898" i="15"/>
  <c r="L898" i="15"/>
  <c r="M898" i="15"/>
  <c r="N898" i="15"/>
  <c r="A899" i="15"/>
  <c r="B899" i="15"/>
  <c r="C899" i="15"/>
  <c r="D899" i="15"/>
  <c r="E899" i="15"/>
  <c r="F899" i="15"/>
  <c r="G899" i="15"/>
  <c r="H899" i="15"/>
  <c r="I899" i="15"/>
  <c r="J899" i="15"/>
  <c r="K899" i="15"/>
  <c r="L899" i="15"/>
  <c r="M899" i="15"/>
  <c r="N899" i="15"/>
  <c r="A900" i="15"/>
  <c r="B900" i="15"/>
  <c r="C900" i="15"/>
  <c r="D900" i="15"/>
  <c r="E900" i="15"/>
  <c r="F900" i="15"/>
  <c r="G900" i="15"/>
  <c r="H900" i="15"/>
  <c r="I900" i="15"/>
  <c r="J900" i="15"/>
  <c r="K900" i="15"/>
  <c r="L900" i="15"/>
  <c r="M900" i="15"/>
  <c r="N900" i="15"/>
  <c r="A901" i="15"/>
  <c r="B901" i="15"/>
  <c r="C901" i="15"/>
  <c r="D901" i="15"/>
  <c r="E901" i="15"/>
  <c r="F901" i="15"/>
  <c r="G901" i="15"/>
  <c r="H901" i="15"/>
  <c r="I901" i="15"/>
  <c r="J901" i="15"/>
  <c r="K901" i="15"/>
  <c r="L901" i="15"/>
  <c r="M901" i="15"/>
  <c r="N901" i="15"/>
  <c r="A902" i="15"/>
  <c r="B902" i="15"/>
  <c r="C902" i="15"/>
  <c r="D902" i="15"/>
  <c r="E902" i="15"/>
  <c r="F902" i="15"/>
  <c r="G902" i="15"/>
  <c r="H902" i="15"/>
  <c r="I902" i="15"/>
  <c r="J902" i="15"/>
  <c r="K902" i="15"/>
  <c r="L902" i="15"/>
  <c r="M902" i="15"/>
  <c r="N902" i="15"/>
  <c r="A903" i="15"/>
  <c r="B903" i="15"/>
  <c r="C903" i="15"/>
  <c r="D903" i="15"/>
  <c r="E903" i="15"/>
  <c r="F903" i="15"/>
  <c r="G903" i="15"/>
  <c r="H903" i="15"/>
  <c r="I903" i="15"/>
  <c r="J903" i="15"/>
  <c r="K903" i="15"/>
  <c r="L903" i="15"/>
  <c r="M903" i="15"/>
  <c r="N903" i="15"/>
  <c r="A904" i="15"/>
  <c r="B904" i="15"/>
  <c r="C904" i="15"/>
  <c r="D904" i="15"/>
  <c r="E904" i="15"/>
  <c r="F904" i="15"/>
  <c r="G904" i="15"/>
  <c r="H904" i="15"/>
  <c r="I904" i="15"/>
  <c r="J904" i="15"/>
  <c r="K904" i="15"/>
  <c r="L904" i="15"/>
  <c r="M904" i="15"/>
  <c r="N904" i="15"/>
  <c r="A905" i="15"/>
  <c r="B905" i="15"/>
  <c r="C905" i="15"/>
  <c r="D905" i="15"/>
  <c r="E905" i="15"/>
  <c r="F905" i="15"/>
  <c r="G905" i="15"/>
  <c r="H905" i="15"/>
  <c r="I905" i="15"/>
  <c r="J905" i="15"/>
  <c r="K905" i="15"/>
  <c r="L905" i="15"/>
  <c r="M905" i="15"/>
  <c r="N905" i="15"/>
  <c r="A906" i="15"/>
  <c r="B906" i="15"/>
  <c r="C906" i="15"/>
  <c r="D906" i="15"/>
  <c r="E906" i="15"/>
  <c r="F906" i="15"/>
  <c r="G906" i="15"/>
  <c r="H906" i="15"/>
  <c r="I906" i="15"/>
  <c r="J906" i="15"/>
  <c r="K906" i="15"/>
  <c r="L906" i="15"/>
  <c r="M906" i="15"/>
  <c r="N906" i="15"/>
  <c r="A907" i="15"/>
  <c r="B907" i="15"/>
  <c r="C907" i="15"/>
  <c r="D907" i="15"/>
  <c r="E907" i="15"/>
  <c r="F907" i="15"/>
  <c r="G907" i="15"/>
  <c r="H907" i="15"/>
  <c r="I907" i="15"/>
  <c r="J907" i="15"/>
  <c r="K907" i="15"/>
  <c r="L907" i="15"/>
  <c r="M907" i="15"/>
  <c r="N907" i="15"/>
  <c r="A908" i="15"/>
  <c r="B908" i="15"/>
  <c r="C908" i="15"/>
  <c r="D908" i="15"/>
  <c r="E908" i="15"/>
  <c r="F908" i="15"/>
  <c r="G908" i="15"/>
  <c r="H908" i="15"/>
  <c r="I908" i="15"/>
  <c r="J908" i="15"/>
  <c r="K908" i="15"/>
  <c r="L908" i="15"/>
  <c r="M908" i="15"/>
  <c r="N908" i="15"/>
  <c r="A909" i="15"/>
  <c r="B909" i="15"/>
  <c r="C909" i="15"/>
  <c r="D909" i="15"/>
  <c r="E909" i="15"/>
  <c r="F909" i="15"/>
  <c r="G909" i="15"/>
  <c r="H909" i="15"/>
  <c r="I909" i="15"/>
  <c r="J909" i="15"/>
  <c r="K909" i="15"/>
  <c r="L909" i="15"/>
  <c r="M909" i="15"/>
  <c r="N909" i="15"/>
  <c r="A910" i="15"/>
  <c r="B910" i="15"/>
  <c r="C910" i="15"/>
  <c r="D910" i="15"/>
  <c r="E910" i="15"/>
  <c r="F910" i="15"/>
  <c r="G910" i="15"/>
  <c r="H910" i="15"/>
  <c r="I910" i="15"/>
  <c r="J910" i="15"/>
  <c r="K910" i="15"/>
  <c r="L910" i="15"/>
  <c r="M910" i="15"/>
  <c r="N910" i="15"/>
  <c r="A911" i="15"/>
  <c r="B911" i="15"/>
  <c r="C911" i="15"/>
  <c r="D911" i="15"/>
  <c r="E911" i="15"/>
  <c r="F911" i="15"/>
  <c r="G911" i="15"/>
  <c r="H911" i="15"/>
  <c r="I911" i="15"/>
  <c r="J911" i="15"/>
  <c r="K911" i="15"/>
  <c r="L911" i="15"/>
  <c r="M911" i="15"/>
  <c r="N911" i="15"/>
  <c r="A912" i="15"/>
  <c r="B912" i="15"/>
  <c r="C912" i="15"/>
  <c r="D912" i="15"/>
  <c r="E912" i="15"/>
  <c r="F912" i="15"/>
  <c r="G912" i="15"/>
  <c r="H912" i="15"/>
  <c r="I912" i="15"/>
  <c r="J912" i="15"/>
  <c r="K912" i="15"/>
  <c r="L912" i="15"/>
  <c r="M912" i="15"/>
  <c r="N912" i="15"/>
  <c r="A913" i="15"/>
  <c r="B913" i="15"/>
  <c r="C913" i="15"/>
  <c r="D913" i="15"/>
  <c r="E913" i="15"/>
  <c r="F913" i="15"/>
  <c r="G913" i="15"/>
  <c r="H913" i="15"/>
  <c r="I913" i="15"/>
  <c r="J913" i="15"/>
  <c r="K913" i="15"/>
  <c r="L913" i="15"/>
  <c r="M913" i="15"/>
  <c r="N913" i="15"/>
  <c r="A914" i="15"/>
  <c r="B914" i="15"/>
  <c r="C914" i="15"/>
  <c r="D914" i="15"/>
  <c r="E914" i="15"/>
  <c r="F914" i="15"/>
  <c r="G914" i="15"/>
  <c r="H914" i="15"/>
  <c r="I914" i="15"/>
  <c r="J914" i="15"/>
  <c r="K914" i="15"/>
  <c r="L914" i="15"/>
  <c r="M914" i="15"/>
  <c r="N914" i="15"/>
  <c r="A915" i="15"/>
  <c r="B915" i="15"/>
  <c r="C915" i="15"/>
  <c r="D915" i="15"/>
  <c r="E915" i="15"/>
  <c r="F915" i="15"/>
  <c r="G915" i="15"/>
  <c r="H915" i="15"/>
  <c r="I915" i="15"/>
  <c r="J915" i="15"/>
  <c r="K915" i="15"/>
  <c r="L915" i="15"/>
  <c r="M915" i="15"/>
  <c r="N915" i="15"/>
  <c r="A916" i="15"/>
  <c r="B916" i="15"/>
  <c r="C916" i="15"/>
  <c r="D916" i="15"/>
  <c r="E916" i="15"/>
  <c r="F916" i="15"/>
  <c r="G916" i="15"/>
  <c r="H916" i="15"/>
  <c r="I916" i="15"/>
  <c r="J916" i="15"/>
  <c r="K916" i="15"/>
  <c r="L916" i="15"/>
  <c r="M916" i="15"/>
  <c r="N916" i="15"/>
  <c r="A917" i="15"/>
  <c r="B917" i="15"/>
  <c r="C917" i="15"/>
  <c r="D917" i="15"/>
  <c r="E917" i="15"/>
  <c r="F917" i="15"/>
  <c r="G917" i="15"/>
  <c r="H917" i="15"/>
  <c r="I917" i="15"/>
  <c r="J917" i="15"/>
  <c r="K917" i="15"/>
  <c r="L917" i="15"/>
  <c r="M917" i="15"/>
  <c r="N917" i="15"/>
  <c r="A918" i="15"/>
  <c r="B918" i="15"/>
  <c r="C918" i="15"/>
  <c r="D918" i="15"/>
  <c r="E918" i="15"/>
  <c r="F918" i="15"/>
  <c r="G918" i="15"/>
  <c r="H918" i="15"/>
  <c r="I918" i="15"/>
  <c r="J918" i="15"/>
  <c r="K918" i="15"/>
  <c r="L918" i="15"/>
  <c r="M918" i="15"/>
  <c r="N918" i="15"/>
  <c r="A919" i="15"/>
  <c r="B919" i="15"/>
  <c r="C919" i="15"/>
  <c r="D919" i="15"/>
  <c r="E919" i="15"/>
  <c r="F919" i="15"/>
  <c r="G919" i="15"/>
  <c r="H919" i="15"/>
  <c r="I919" i="15"/>
  <c r="J919" i="15"/>
  <c r="K919" i="15"/>
  <c r="L919" i="15"/>
  <c r="M919" i="15"/>
  <c r="N919" i="15"/>
  <c r="A920" i="15"/>
  <c r="B920" i="15"/>
  <c r="C920" i="15"/>
  <c r="D920" i="15"/>
  <c r="E920" i="15"/>
  <c r="F920" i="15"/>
  <c r="G920" i="15"/>
  <c r="H920" i="15"/>
  <c r="I920" i="15"/>
  <c r="J920" i="15"/>
  <c r="K920" i="15"/>
  <c r="L920" i="15"/>
  <c r="M920" i="15"/>
  <c r="N920" i="15"/>
  <c r="A921" i="15"/>
  <c r="B921" i="15"/>
  <c r="C921" i="15"/>
  <c r="D921" i="15"/>
  <c r="E921" i="15"/>
  <c r="F921" i="15"/>
  <c r="G921" i="15"/>
  <c r="H921" i="15"/>
  <c r="I921" i="15"/>
  <c r="J921" i="15"/>
  <c r="K921" i="15"/>
  <c r="L921" i="15"/>
  <c r="M921" i="15"/>
  <c r="N921" i="15"/>
  <c r="A922" i="15"/>
  <c r="B922" i="15"/>
  <c r="C922" i="15"/>
  <c r="D922" i="15"/>
  <c r="E922" i="15"/>
  <c r="F922" i="15"/>
  <c r="G922" i="15"/>
  <c r="H922" i="15"/>
  <c r="I922" i="15"/>
  <c r="J922" i="15"/>
  <c r="K922" i="15"/>
  <c r="L922" i="15"/>
  <c r="M922" i="15"/>
  <c r="N922" i="15"/>
  <c r="A923" i="15"/>
  <c r="B923" i="15"/>
  <c r="C923" i="15"/>
  <c r="D923" i="15"/>
  <c r="E923" i="15"/>
  <c r="F923" i="15"/>
  <c r="G923" i="15"/>
  <c r="H923" i="15"/>
  <c r="I923" i="15"/>
  <c r="J923" i="15"/>
  <c r="K923" i="15"/>
  <c r="L923" i="15"/>
  <c r="M923" i="15"/>
  <c r="N923" i="15"/>
  <c r="A924" i="15"/>
  <c r="B924" i="15"/>
  <c r="C924" i="15"/>
  <c r="D924" i="15"/>
  <c r="E924" i="15"/>
  <c r="F924" i="15"/>
  <c r="G924" i="15"/>
  <c r="H924" i="15"/>
  <c r="I924" i="15"/>
  <c r="J924" i="15"/>
  <c r="K924" i="15"/>
  <c r="L924" i="15"/>
  <c r="M924" i="15"/>
  <c r="N924" i="15"/>
  <c r="A925" i="15"/>
  <c r="B925" i="15"/>
  <c r="C925" i="15"/>
  <c r="D925" i="15"/>
  <c r="E925" i="15"/>
  <c r="F925" i="15"/>
  <c r="G925" i="15"/>
  <c r="H925" i="15"/>
  <c r="I925" i="15"/>
  <c r="J925" i="15"/>
  <c r="K925" i="15"/>
  <c r="L925" i="15"/>
  <c r="M925" i="15"/>
  <c r="N925" i="15"/>
  <c r="A926" i="15"/>
  <c r="B926" i="15"/>
  <c r="C926" i="15"/>
  <c r="D926" i="15"/>
  <c r="E926" i="15"/>
  <c r="F926" i="15"/>
  <c r="G926" i="15"/>
  <c r="H926" i="15"/>
  <c r="I926" i="15"/>
  <c r="J926" i="15"/>
  <c r="K926" i="15"/>
  <c r="L926" i="15"/>
  <c r="M926" i="15"/>
  <c r="N926" i="15"/>
  <c r="A927" i="15"/>
  <c r="B927" i="15"/>
  <c r="C927" i="15"/>
  <c r="D927" i="15"/>
  <c r="E927" i="15"/>
  <c r="F927" i="15"/>
  <c r="G927" i="15"/>
  <c r="H927" i="15"/>
  <c r="I927" i="15"/>
  <c r="J927" i="15"/>
  <c r="K927" i="15"/>
  <c r="L927" i="15"/>
  <c r="M927" i="15"/>
  <c r="N927" i="15"/>
  <c r="A928" i="15"/>
  <c r="B928" i="15"/>
  <c r="C928" i="15"/>
  <c r="D928" i="15"/>
  <c r="E928" i="15"/>
  <c r="F928" i="15"/>
  <c r="G928" i="15"/>
  <c r="H928" i="15"/>
  <c r="I928" i="15"/>
  <c r="J928" i="15"/>
  <c r="K928" i="15"/>
  <c r="L928" i="15"/>
  <c r="M928" i="15"/>
  <c r="N928" i="15"/>
  <c r="A929" i="15"/>
  <c r="B929" i="15"/>
  <c r="C929" i="15"/>
  <c r="D929" i="15"/>
  <c r="E929" i="15"/>
  <c r="F929" i="15"/>
  <c r="G929" i="15"/>
  <c r="H929" i="15"/>
  <c r="I929" i="15"/>
  <c r="J929" i="15"/>
  <c r="K929" i="15"/>
  <c r="L929" i="15"/>
  <c r="M929" i="15"/>
  <c r="N929" i="15"/>
  <c r="A930" i="15"/>
  <c r="B930" i="15"/>
  <c r="C930" i="15"/>
  <c r="D930" i="15"/>
  <c r="E930" i="15"/>
  <c r="F930" i="15"/>
  <c r="G930" i="15"/>
  <c r="H930" i="15"/>
  <c r="I930" i="15"/>
  <c r="J930" i="15"/>
  <c r="K930" i="15"/>
  <c r="L930" i="15"/>
  <c r="M930" i="15"/>
  <c r="N930" i="15"/>
  <c r="A931" i="15"/>
  <c r="B931" i="15"/>
  <c r="C931" i="15"/>
  <c r="D931" i="15"/>
  <c r="E931" i="15"/>
  <c r="F931" i="15"/>
  <c r="G931" i="15"/>
  <c r="H931" i="15"/>
  <c r="I931" i="15"/>
  <c r="J931" i="15"/>
  <c r="K931" i="15"/>
  <c r="L931" i="15"/>
  <c r="M931" i="15"/>
  <c r="N931" i="15"/>
  <c r="A932" i="15"/>
  <c r="B932" i="15"/>
  <c r="C932" i="15"/>
  <c r="D932" i="15"/>
  <c r="E932" i="15"/>
  <c r="F932" i="15"/>
  <c r="G932" i="15"/>
  <c r="H932" i="15"/>
  <c r="I932" i="15"/>
  <c r="J932" i="15"/>
  <c r="K932" i="15"/>
  <c r="L932" i="15"/>
  <c r="M932" i="15"/>
  <c r="N932" i="15"/>
  <c r="A933" i="15"/>
  <c r="B933" i="15"/>
  <c r="C933" i="15"/>
  <c r="D933" i="15"/>
  <c r="E933" i="15"/>
  <c r="F933" i="15"/>
  <c r="G933" i="15"/>
  <c r="H933" i="15"/>
  <c r="I933" i="15"/>
  <c r="J933" i="15"/>
  <c r="K933" i="15"/>
  <c r="L933" i="15"/>
  <c r="M933" i="15"/>
  <c r="N933" i="15"/>
  <c r="A934" i="15"/>
  <c r="B934" i="15"/>
  <c r="C934" i="15"/>
  <c r="D934" i="15"/>
  <c r="E934" i="15"/>
  <c r="F934" i="15"/>
  <c r="G934" i="15"/>
  <c r="H934" i="15"/>
  <c r="I934" i="15"/>
  <c r="J934" i="15"/>
  <c r="K934" i="15"/>
  <c r="L934" i="15"/>
  <c r="M934" i="15"/>
  <c r="N934" i="15"/>
  <c r="A935" i="15"/>
  <c r="B935" i="15"/>
  <c r="C935" i="15"/>
  <c r="D935" i="15"/>
  <c r="E935" i="15"/>
  <c r="F935" i="15"/>
  <c r="G935" i="15"/>
  <c r="H935" i="15"/>
  <c r="I935" i="15"/>
  <c r="J935" i="15"/>
  <c r="K935" i="15"/>
  <c r="L935" i="15"/>
  <c r="M935" i="15"/>
  <c r="N935" i="15"/>
  <c r="A936" i="15"/>
  <c r="B936" i="15"/>
  <c r="C936" i="15"/>
  <c r="D936" i="15"/>
  <c r="E936" i="15"/>
  <c r="F936" i="15"/>
  <c r="G936" i="15"/>
  <c r="H936" i="15"/>
  <c r="I936" i="15"/>
  <c r="J936" i="15"/>
  <c r="K936" i="15"/>
  <c r="L936" i="15"/>
  <c r="M936" i="15"/>
  <c r="N936" i="15"/>
  <c r="A937" i="15"/>
  <c r="B937" i="15"/>
  <c r="C937" i="15"/>
  <c r="D937" i="15"/>
  <c r="E937" i="15"/>
  <c r="F937" i="15"/>
  <c r="G937" i="15"/>
  <c r="H937" i="15"/>
  <c r="I937" i="15"/>
  <c r="J937" i="15"/>
  <c r="K937" i="15"/>
  <c r="L937" i="15"/>
  <c r="M937" i="15"/>
  <c r="N937" i="15"/>
  <c r="A938" i="15"/>
  <c r="B938" i="15"/>
  <c r="C938" i="15"/>
  <c r="D938" i="15"/>
  <c r="E938" i="15"/>
  <c r="F938" i="15"/>
  <c r="G938" i="15"/>
  <c r="H938" i="15"/>
  <c r="I938" i="15"/>
  <c r="J938" i="15"/>
  <c r="K938" i="15"/>
  <c r="L938" i="15"/>
  <c r="M938" i="15"/>
  <c r="N938" i="15"/>
  <c r="A939" i="15"/>
  <c r="B939" i="15"/>
  <c r="C939" i="15"/>
  <c r="D939" i="15"/>
  <c r="E939" i="15"/>
  <c r="F939" i="15"/>
  <c r="G939" i="15"/>
  <c r="H939" i="15"/>
  <c r="I939" i="15"/>
  <c r="J939" i="15"/>
  <c r="K939" i="15"/>
  <c r="L939" i="15"/>
  <c r="M939" i="15"/>
  <c r="N939" i="15"/>
  <c r="A940" i="15"/>
  <c r="B940" i="15"/>
  <c r="C940" i="15"/>
  <c r="D940" i="15"/>
  <c r="E940" i="15"/>
  <c r="F940" i="15"/>
  <c r="G940" i="15"/>
  <c r="H940" i="15"/>
  <c r="I940" i="15"/>
  <c r="J940" i="15"/>
  <c r="K940" i="15"/>
  <c r="L940" i="15"/>
  <c r="M940" i="15"/>
  <c r="N940" i="15"/>
  <c r="A941" i="15"/>
  <c r="B941" i="15"/>
  <c r="C941" i="15"/>
  <c r="D941" i="15"/>
  <c r="E941" i="15"/>
  <c r="F941" i="15"/>
  <c r="G941" i="15"/>
  <c r="H941" i="15"/>
  <c r="I941" i="15"/>
  <c r="J941" i="15"/>
  <c r="K941" i="15"/>
  <c r="L941" i="15"/>
  <c r="M941" i="15"/>
  <c r="N941" i="15"/>
  <c r="A942" i="15"/>
  <c r="B942" i="15"/>
  <c r="C942" i="15"/>
  <c r="D942" i="15"/>
  <c r="E942" i="15"/>
  <c r="F942" i="15"/>
  <c r="G942" i="15"/>
  <c r="H942" i="15"/>
  <c r="I942" i="15"/>
  <c r="J942" i="15"/>
  <c r="K942" i="15"/>
  <c r="L942" i="15"/>
  <c r="M942" i="15"/>
  <c r="N942" i="15"/>
  <c r="A943" i="15"/>
  <c r="B943" i="15"/>
  <c r="C943" i="15"/>
  <c r="D943" i="15"/>
  <c r="E943" i="15"/>
  <c r="F943" i="15"/>
  <c r="G943" i="15"/>
  <c r="H943" i="15"/>
  <c r="I943" i="15"/>
  <c r="J943" i="15"/>
  <c r="K943" i="15"/>
  <c r="L943" i="15"/>
  <c r="M943" i="15"/>
  <c r="N943" i="15"/>
  <c r="A944" i="15"/>
  <c r="B944" i="15"/>
  <c r="C944" i="15"/>
  <c r="D944" i="15"/>
  <c r="E944" i="15"/>
  <c r="F944" i="15"/>
  <c r="G944" i="15"/>
  <c r="H944" i="15"/>
  <c r="I944" i="15"/>
  <c r="J944" i="15"/>
  <c r="K944" i="15"/>
  <c r="L944" i="15"/>
  <c r="M944" i="15"/>
  <c r="N944" i="15"/>
  <c r="A945" i="15"/>
  <c r="B945" i="15"/>
  <c r="C945" i="15"/>
  <c r="D945" i="15"/>
  <c r="E945" i="15"/>
  <c r="F945" i="15"/>
  <c r="G945" i="15"/>
  <c r="H945" i="15"/>
  <c r="I945" i="15"/>
  <c r="J945" i="15"/>
  <c r="K945" i="15"/>
  <c r="L945" i="15"/>
  <c r="M945" i="15"/>
  <c r="N945" i="15"/>
  <c r="A946" i="15"/>
  <c r="B946" i="15"/>
  <c r="C946" i="15"/>
  <c r="D946" i="15"/>
  <c r="E946" i="15"/>
  <c r="F946" i="15"/>
  <c r="G946" i="15"/>
  <c r="H946" i="15"/>
  <c r="I946" i="15"/>
  <c r="J946" i="15"/>
  <c r="K946" i="15"/>
  <c r="L946" i="15"/>
  <c r="M946" i="15"/>
  <c r="N946" i="15"/>
  <c r="A947" i="15"/>
  <c r="B947" i="15"/>
  <c r="C947" i="15"/>
  <c r="D947" i="15"/>
  <c r="E947" i="15"/>
  <c r="F947" i="15"/>
  <c r="G947" i="15"/>
  <c r="H947" i="15"/>
  <c r="I947" i="15"/>
  <c r="J947" i="15"/>
  <c r="K947" i="15"/>
  <c r="L947" i="15"/>
  <c r="M947" i="15"/>
  <c r="N947" i="15"/>
  <c r="A948" i="15"/>
  <c r="B948" i="15"/>
  <c r="C948" i="15"/>
  <c r="D948" i="15"/>
  <c r="E948" i="15"/>
  <c r="F948" i="15"/>
  <c r="G948" i="15"/>
  <c r="H948" i="15"/>
  <c r="I948" i="15"/>
  <c r="J948" i="15"/>
  <c r="K948" i="15"/>
  <c r="L948" i="15"/>
  <c r="M948" i="15"/>
  <c r="N948" i="15"/>
  <c r="A949" i="15"/>
  <c r="B949" i="15"/>
  <c r="C949" i="15"/>
  <c r="D949" i="15"/>
  <c r="E949" i="15"/>
  <c r="F949" i="15"/>
  <c r="G949" i="15"/>
  <c r="H949" i="15"/>
  <c r="I949" i="15"/>
  <c r="J949" i="15"/>
  <c r="K949" i="15"/>
  <c r="L949" i="15"/>
  <c r="M949" i="15"/>
  <c r="N949" i="15"/>
  <c r="A950" i="15"/>
  <c r="B950" i="15"/>
  <c r="C950" i="15"/>
  <c r="D950" i="15"/>
  <c r="E950" i="15"/>
  <c r="F950" i="15"/>
  <c r="G950" i="15"/>
  <c r="H950" i="15"/>
  <c r="I950" i="15"/>
  <c r="J950" i="15"/>
  <c r="K950" i="15"/>
  <c r="L950" i="15"/>
  <c r="M950" i="15"/>
  <c r="N950" i="15"/>
  <c r="A951" i="15"/>
  <c r="B951" i="15"/>
  <c r="C951" i="15"/>
  <c r="D951" i="15"/>
  <c r="E951" i="15"/>
  <c r="F951" i="15"/>
  <c r="G951" i="15"/>
  <c r="H951" i="15"/>
  <c r="I951" i="15"/>
  <c r="J951" i="15"/>
  <c r="K951" i="15"/>
  <c r="L951" i="15"/>
  <c r="M951" i="15"/>
  <c r="N951" i="15"/>
  <c r="A952" i="15"/>
  <c r="B952" i="15"/>
  <c r="C952" i="15"/>
  <c r="D952" i="15"/>
  <c r="E952" i="15"/>
  <c r="F952" i="15"/>
  <c r="G952" i="15"/>
  <c r="H952" i="15"/>
  <c r="I952" i="15"/>
  <c r="J952" i="15"/>
  <c r="K952" i="15"/>
  <c r="L952" i="15"/>
  <c r="M952" i="15"/>
  <c r="N952" i="15"/>
  <c r="A953" i="15"/>
  <c r="B953" i="15"/>
  <c r="C953" i="15"/>
  <c r="D953" i="15"/>
  <c r="E953" i="15"/>
  <c r="F953" i="15"/>
  <c r="G953" i="15"/>
  <c r="H953" i="15"/>
  <c r="I953" i="15"/>
  <c r="J953" i="15"/>
  <c r="K953" i="15"/>
  <c r="L953" i="15"/>
  <c r="M953" i="15"/>
  <c r="N953" i="15"/>
  <c r="A954" i="15"/>
  <c r="B954" i="15"/>
  <c r="C954" i="15"/>
  <c r="D954" i="15"/>
  <c r="E954" i="15"/>
  <c r="F954" i="15"/>
  <c r="G954" i="15"/>
  <c r="H954" i="15"/>
  <c r="I954" i="15"/>
  <c r="J954" i="15"/>
  <c r="K954" i="15"/>
  <c r="L954" i="15"/>
  <c r="M954" i="15"/>
  <c r="N954" i="15"/>
  <c r="A955" i="15"/>
  <c r="B955" i="15"/>
  <c r="C955" i="15"/>
  <c r="D955" i="15"/>
  <c r="E955" i="15"/>
  <c r="F955" i="15"/>
  <c r="G955" i="15"/>
  <c r="H955" i="15"/>
  <c r="I955" i="15"/>
  <c r="J955" i="15"/>
  <c r="K955" i="15"/>
  <c r="L955" i="15"/>
  <c r="M955" i="15"/>
  <c r="N955" i="15"/>
  <c r="A956" i="15"/>
  <c r="B956" i="15"/>
  <c r="C956" i="15"/>
  <c r="D956" i="15"/>
  <c r="E956" i="15"/>
  <c r="F956" i="15"/>
  <c r="G956" i="15"/>
  <c r="H956" i="15"/>
  <c r="I956" i="15"/>
  <c r="J956" i="15"/>
  <c r="K956" i="15"/>
  <c r="L956" i="15"/>
  <c r="M956" i="15"/>
  <c r="N956" i="15"/>
  <c r="A957" i="15"/>
  <c r="B957" i="15"/>
  <c r="C957" i="15"/>
  <c r="D957" i="15"/>
  <c r="E957" i="15"/>
  <c r="F957" i="15"/>
  <c r="G957" i="15"/>
  <c r="H957" i="15"/>
  <c r="I957" i="15"/>
  <c r="J957" i="15"/>
  <c r="K957" i="15"/>
  <c r="L957" i="15"/>
  <c r="M957" i="15"/>
  <c r="N957" i="15"/>
  <c r="A958" i="15"/>
  <c r="B958" i="15"/>
  <c r="C958" i="15"/>
  <c r="D958" i="15"/>
  <c r="E958" i="15"/>
  <c r="F958" i="15"/>
  <c r="G958" i="15"/>
  <c r="H958" i="15"/>
  <c r="I958" i="15"/>
  <c r="J958" i="15"/>
  <c r="K958" i="15"/>
  <c r="L958" i="15"/>
  <c r="M958" i="15"/>
  <c r="N958" i="15"/>
  <c r="A959" i="15"/>
  <c r="B959" i="15"/>
  <c r="C959" i="15"/>
  <c r="D959" i="15"/>
  <c r="E959" i="15"/>
  <c r="F959" i="15"/>
  <c r="G959" i="15"/>
  <c r="H959" i="15"/>
  <c r="I959" i="15"/>
  <c r="J959" i="15"/>
  <c r="K959" i="15"/>
  <c r="L959" i="15"/>
  <c r="M959" i="15"/>
  <c r="N959" i="15"/>
  <c r="A960" i="15"/>
  <c r="B960" i="15"/>
  <c r="C960" i="15"/>
  <c r="D960" i="15"/>
  <c r="E960" i="15"/>
  <c r="F960" i="15"/>
  <c r="G960" i="15"/>
  <c r="H960" i="15"/>
  <c r="I960" i="15"/>
  <c r="J960" i="15"/>
  <c r="K960" i="15"/>
  <c r="L960" i="15"/>
  <c r="M960" i="15"/>
  <c r="N960" i="15"/>
  <c r="A961" i="15"/>
  <c r="B961" i="15"/>
  <c r="C961" i="15"/>
  <c r="D961" i="15"/>
  <c r="E961" i="15"/>
  <c r="F961" i="15"/>
  <c r="G961" i="15"/>
  <c r="H961" i="15"/>
  <c r="I961" i="15"/>
  <c r="J961" i="15"/>
  <c r="K961" i="15"/>
  <c r="L961" i="15"/>
  <c r="M961" i="15"/>
  <c r="N961" i="15"/>
  <c r="A962" i="15"/>
  <c r="B962" i="15"/>
  <c r="C962" i="15"/>
  <c r="D962" i="15"/>
  <c r="E962" i="15"/>
  <c r="F962" i="15"/>
  <c r="G962" i="15"/>
  <c r="H962" i="15"/>
  <c r="I962" i="15"/>
  <c r="J962" i="15"/>
  <c r="K962" i="15"/>
  <c r="L962" i="15"/>
  <c r="M962" i="15"/>
  <c r="N962" i="15"/>
  <c r="A963" i="15"/>
  <c r="B963" i="15"/>
  <c r="C963" i="15"/>
  <c r="D963" i="15"/>
  <c r="E963" i="15"/>
  <c r="F963" i="15"/>
  <c r="G963" i="15"/>
  <c r="H963" i="15"/>
  <c r="I963" i="15"/>
  <c r="J963" i="15"/>
  <c r="K963" i="15"/>
  <c r="L963" i="15"/>
  <c r="M963" i="15"/>
  <c r="N963" i="15"/>
  <c r="A964" i="15"/>
  <c r="B964" i="15"/>
  <c r="C964" i="15"/>
  <c r="D964" i="15"/>
  <c r="E964" i="15"/>
  <c r="F964" i="15"/>
  <c r="G964" i="15"/>
  <c r="H964" i="15"/>
  <c r="I964" i="15"/>
  <c r="J964" i="15"/>
  <c r="K964" i="15"/>
  <c r="L964" i="15"/>
  <c r="M964" i="15"/>
  <c r="N964" i="15"/>
  <c r="A965" i="15"/>
  <c r="B965" i="15"/>
  <c r="C965" i="15"/>
  <c r="D965" i="15"/>
  <c r="E965" i="15"/>
  <c r="F965" i="15"/>
  <c r="G965" i="15"/>
  <c r="H965" i="15"/>
  <c r="I965" i="15"/>
  <c r="J965" i="15"/>
  <c r="K965" i="15"/>
  <c r="L965" i="15"/>
  <c r="M965" i="15"/>
  <c r="N965" i="15"/>
  <c r="A966" i="15"/>
  <c r="B966" i="15"/>
  <c r="C966" i="15"/>
  <c r="D966" i="15"/>
  <c r="E966" i="15"/>
  <c r="F966" i="15"/>
  <c r="G966" i="15"/>
  <c r="H966" i="15"/>
  <c r="I966" i="15"/>
  <c r="J966" i="15"/>
  <c r="K966" i="15"/>
  <c r="L966" i="15"/>
  <c r="M966" i="15"/>
  <c r="N966" i="15"/>
  <c r="A967" i="15"/>
  <c r="B967" i="15"/>
  <c r="C967" i="15"/>
  <c r="D967" i="15"/>
  <c r="E967" i="15"/>
  <c r="F967" i="15"/>
  <c r="G967" i="15"/>
  <c r="H967" i="15"/>
  <c r="I967" i="15"/>
  <c r="J967" i="15"/>
  <c r="K967" i="15"/>
  <c r="L967" i="15"/>
  <c r="M967" i="15"/>
  <c r="N967" i="15"/>
  <c r="A968" i="15"/>
  <c r="B968" i="15"/>
  <c r="C968" i="15"/>
  <c r="D968" i="15"/>
  <c r="E968" i="15"/>
  <c r="F968" i="15"/>
  <c r="G968" i="15"/>
  <c r="H968" i="15"/>
  <c r="I968" i="15"/>
  <c r="J968" i="15"/>
  <c r="K968" i="15"/>
  <c r="L968" i="15"/>
  <c r="M968" i="15"/>
  <c r="N968" i="15"/>
  <c r="A969" i="15"/>
  <c r="B969" i="15"/>
  <c r="C969" i="15"/>
  <c r="D969" i="15"/>
  <c r="E969" i="15"/>
  <c r="F969" i="15"/>
  <c r="G969" i="15"/>
  <c r="H969" i="15"/>
  <c r="I969" i="15"/>
  <c r="J969" i="15"/>
  <c r="K969" i="15"/>
  <c r="L969" i="15"/>
  <c r="M969" i="15"/>
  <c r="N969" i="15"/>
  <c r="A970" i="15"/>
  <c r="B970" i="15"/>
  <c r="C970" i="15"/>
  <c r="D970" i="15"/>
  <c r="E970" i="15"/>
  <c r="F970" i="15"/>
  <c r="G970" i="15"/>
  <c r="H970" i="15"/>
  <c r="I970" i="15"/>
  <c r="J970" i="15"/>
  <c r="K970" i="15"/>
  <c r="L970" i="15"/>
  <c r="M970" i="15"/>
  <c r="N970" i="15"/>
  <c r="A971" i="15"/>
  <c r="B971" i="15"/>
  <c r="C971" i="15"/>
  <c r="D971" i="15"/>
  <c r="E971" i="15"/>
  <c r="F971" i="15"/>
  <c r="G971" i="15"/>
  <c r="H971" i="15"/>
  <c r="I971" i="15"/>
  <c r="J971" i="15"/>
  <c r="K971" i="15"/>
  <c r="L971" i="15"/>
  <c r="M971" i="15"/>
  <c r="N971" i="15"/>
  <c r="A972" i="15"/>
  <c r="B972" i="15"/>
  <c r="C972" i="15"/>
  <c r="D972" i="15"/>
  <c r="E972" i="15"/>
  <c r="F972" i="15"/>
  <c r="G972" i="15"/>
  <c r="H972" i="15"/>
  <c r="I972" i="15"/>
  <c r="J972" i="15"/>
  <c r="K972" i="15"/>
  <c r="L972" i="15"/>
  <c r="M972" i="15"/>
  <c r="N972" i="15"/>
  <c r="A973" i="15"/>
  <c r="B973" i="15"/>
  <c r="C973" i="15"/>
  <c r="D973" i="15"/>
  <c r="E973" i="15"/>
  <c r="F973" i="15"/>
  <c r="G973" i="15"/>
  <c r="H973" i="15"/>
  <c r="I973" i="15"/>
  <c r="J973" i="15"/>
  <c r="K973" i="15"/>
  <c r="L973" i="15"/>
  <c r="M973" i="15"/>
  <c r="N973" i="15"/>
  <c r="A974" i="15"/>
  <c r="B974" i="15"/>
  <c r="C974" i="15"/>
  <c r="D974" i="15"/>
  <c r="E974" i="15"/>
  <c r="F974" i="15"/>
  <c r="G974" i="15"/>
  <c r="H974" i="15"/>
  <c r="I974" i="15"/>
  <c r="J974" i="15"/>
  <c r="K974" i="15"/>
  <c r="L974" i="15"/>
  <c r="M974" i="15"/>
  <c r="N974" i="15"/>
  <c r="A975" i="15"/>
  <c r="B975" i="15"/>
  <c r="C975" i="15"/>
  <c r="D975" i="15"/>
  <c r="E975" i="15"/>
  <c r="F975" i="15"/>
  <c r="G975" i="15"/>
  <c r="H975" i="15"/>
  <c r="I975" i="15"/>
  <c r="J975" i="15"/>
  <c r="K975" i="15"/>
  <c r="L975" i="15"/>
  <c r="M975" i="15"/>
  <c r="N975" i="15"/>
  <c r="A976" i="15"/>
  <c r="B976" i="15"/>
  <c r="C976" i="15"/>
  <c r="D976" i="15"/>
  <c r="E976" i="15"/>
  <c r="F976" i="15"/>
  <c r="G976" i="15"/>
  <c r="H976" i="15"/>
  <c r="I976" i="15"/>
  <c r="J976" i="15"/>
  <c r="K976" i="15"/>
  <c r="L976" i="15"/>
  <c r="M976" i="15"/>
  <c r="N976" i="15"/>
  <c r="A977" i="15"/>
  <c r="B977" i="15"/>
  <c r="C977" i="15"/>
  <c r="D977" i="15"/>
  <c r="E977" i="15"/>
  <c r="F977" i="15"/>
  <c r="G977" i="15"/>
  <c r="H977" i="15"/>
  <c r="I977" i="15"/>
  <c r="J977" i="15"/>
  <c r="K977" i="15"/>
  <c r="L977" i="15"/>
  <c r="M977" i="15"/>
  <c r="N977" i="15"/>
  <c r="A978" i="15"/>
  <c r="B978" i="15"/>
  <c r="C978" i="15"/>
  <c r="D978" i="15"/>
  <c r="E978" i="15"/>
  <c r="F978" i="15"/>
  <c r="G978" i="15"/>
  <c r="H978" i="15"/>
  <c r="I978" i="15"/>
  <c r="J978" i="15"/>
  <c r="K978" i="15"/>
  <c r="L978" i="15"/>
  <c r="M978" i="15"/>
  <c r="N978" i="15"/>
  <c r="A979" i="15"/>
  <c r="B979" i="15"/>
  <c r="C979" i="15"/>
  <c r="D979" i="15"/>
  <c r="E979" i="15"/>
  <c r="F979" i="15"/>
  <c r="G979" i="15"/>
  <c r="H979" i="15"/>
  <c r="I979" i="15"/>
  <c r="J979" i="15"/>
  <c r="K979" i="15"/>
  <c r="L979" i="15"/>
  <c r="M979" i="15"/>
  <c r="N979" i="15"/>
  <c r="A980" i="15"/>
  <c r="B980" i="15"/>
  <c r="C980" i="15"/>
  <c r="D980" i="15"/>
  <c r="E980" i="15"/>
  <c r="F980" i="15"/>
  <c r="G980" i="15"/>
  <c r="H980" i="15"/>
  <c r="I980" i="15"/>
  <c r="J980" i="15"/>
  <c r="K980" i="15"/>
  <c r="L980" i="15"/>
  <c r="M980" i="15"/>
  <c r="N980" i="15"/>
  <c r="A981" i="15"/>
  <c r="B981" i="15"/>
  <c r="C981" i="15"/>
  <c r="D981" i="15"/>
  <c r="E981" i="15"/>
  <c r="F981" i="15"/>
  <c r="G981" i="15"/>
  <c r="H981" i="15"/>
  <c r="I981" i="15"/>
  <c r="J981" i="15"/>
  <c r="K981" i="15"/>
  <c r="L981" i="15"/>
  <c r="M981" i="15"/>
  <c r="N981" i="15"/>
  <c r="A982" i="15"/>
  <c r="B982" i="15"/>
  <c r="C982" i="15"/>
  <c r="D982" i="15"/>
  <c r="E982" i="15"/>
  <c r="F982" i="15"/>
  <c r="G982" i="15"/>
  <c r="H982" i="15"/>
  <c r="I982" i="15"/>
  <c r="J982" i="15"/>
  <c r="K982" i="15"/>
  <c r="L982" i="15"/>
  <c r="M982" i="15"/>
  <c r="N982" i="15"/>
  <c r="A983" i="15"/>
  <c r="B983" i="15"/>
  <c r="C983" i="15"/>
  <c r="D983" i="15"/>
  <c r="E983" i="15"/>
  <c r="F983" i="15"/>
  <c r="G983" i="15"/>
  <c r="H983" i="15"/>
  <c r="I983" i="15"/>
  <c r="J983" i="15"/>
  <c r="K983" i="15"/>
  <c r="L983" i="15"/>
  <c r="M983" i="15"/>
  <c r="N983" i="15"/>
  <c r="A984" i="15"/>
  <c r="B984" i="15"/>
  <c r="C984" i="15"/>
  <c r="D984" i="15"/>
  <c r="E984" i="15"/>
  <c r="F984" i="15"/>
  <c r="G984" i="15"/>
  <c r="H984" i="15"/>
  <c r="I984" i="15"/>
  <c r="J984" i="15"/>
  <c r="K984" i="15"/>
  <c r="L984" i="15"/>
  <c r="M984" i="15"/>
  <c r="N984" i="15"/>
  <c r="A985" i="15"/>
  <c r="B985" i="15"/>
  <c r="C985" i="15"/>
  <c r="D985" i="15"/>
  <c r="E985" i="15"/>
  <c r="F985" i="15"/>
  <c r="G985" i="15"/>
  <c r="H985" i="15"/>
  <c r="I985" i="15"/>
  <c r="J985" i="15"/>
  <c r="K985" i="15"/>
  <c r="L985" i="15"/>
  <c r="M985" i="15"/>
  <c r="N985" i="15"/>
  <c r="A986" i="15"/>
  <c r="B986" i="15"/>
  <c r="C986" i="15"/>
  <c r="D986" i="15"/>
  <c r="E986" i="15"/>
  <c r="F986" i="15"/>
  <c r="G986" i="15"/>
  <c r="H986" i="15"/>
  <c r="I986" i="15"/>
  <c r="J986" i="15"/>
  <c r="K986" i="15"/>
  <c r="L986" i="15"/>
  <c r="M986" i="15"/>
  <c r="N986" i="15"/>
  <c r="A987" i="15"/>
  <c r="B987" i="15"/>
  <c r="C987" i="15"/>
  <c r="D987" i="15"/>
  <c r="E987" i="15"/>
  <c r="F987" i="15"/>
  <c r="G987" i="15"/>
  <c r="H987" i="15"/>
  <c r="I987" i="15"/>
  <c r="J987" i="15"/>
  <c r="K987" i="15"/>
  <c r="L987" i="15"/>
  <c r="M987" i="15"/>
  <c r="N987" i="15"/>
  <c r="A988" i="15"/>
  <c r="B988" i="15"/>
  <c r="C988" i="15"/>
  <c r="D988" i="15"/>
  <c r="E988" i="15"/>
  <c r="F988" i="15"/>
  <c r="G988" i="15"/>
  <c r="H988" i="15"/>
  <c r="I988" i="15"/>
  <c r="J988" i="15"/>
  <c r="K988" i="15"/>
  <c r="L988" i="15"/>
  <c r="M988" i="15"/>
  <c r="N988" i="15"/>
  <c r="A989" i="15"/>
  <c r="B989" i="15"/>
  <c r="C989" i="15"/>
  <c r="D989" i="15"/>
  <c r="E989" i="15"/>
  <c r="F989" i="15"/>
  <c r="G989" i="15"/>
  <c r="H989" i="15"/>
  <c r="I989" i="15"/>
  <c r="J989" i="15"/>
  <c r="K989" i="15"/>
  <c r="L989" i="15"/>
  <c r="M989" i="15"/>
  <c r="N989" i="15"/>
  <c r="A990" i="15"/>
  <c r="B990" i="15"/>
  <c r="C990" i="15"/>
  <c r="D990" i="15"/>
  <c r="E990" i="15"/>
  <c r="F990" i="15"/>
  <c r="G990" i="15"/>
  <c r="H990" i="15"/>
  <c r="I990" i="15"/>
  <c r="J990" i="15"/>
  <c r="K990" i="15"/>
  <c r="L990" i="15"/>
  <c r="M990" i="15"/>
  <c r="N990" i="15"/>
  <c r="A991" i="15"/>
  <c r="B991" i="15"/>
  <c r="C991" i="15"/>
  <c r="D991" i="15"/>
  <c r="E991" i="15"/>
  <c r="F991" i="15"/>
  <c r="G991" i="15"/>
  <c r="H991" i="15"/>
  <c r="I991" i="15"/>
  <c r="J991" i="15"/>
  <c r="K991" i="15"/>
  <c r="L991" i="15"/>
  <c r="M991" i="15"/>
  <c r="N991" i="15"/>
  <c r="A992" i="15"/>
  <c r="B992" i="15"/>
  <c r="C992" i="15"/>
  <c r="D992" i="15"/>
  <c r="E992" i="15"/>
  <c r="F992" i="15"/>
  <c r="G992" i="15"/>
  <c r="H992" i="15"/>
  <c r="I992" i="15"/>
  <c r="J992" i="15"/>
  <c r="K992" i="15"/>
  <c r="L992" i="15"/>
  <c r="M992" i="15"/>
  <c r="N992" i="15"/>
  <c r="A993" i="15"/>
  <c r="B993" i="15"/>
  <c r="C993" i="15"/>
  <c r="D993" i="15"/>
  <c r="E993" i="15"/>
  <c r="F993" i="15"/>
  <c r="G993" i="15"/>
  <c r="H993" i="15"/>
  <c r="I993" i="15"/>
  <c r="J993" i="15"/>
  <c r="K993" i="15"/>
  <c r="L993" i="15"/>
  <c r="M993" i="15"/>
  <c r="N993" i="15"/>
  <c r="A994" i="15"/>
  <c r="B994" i="15"/>
  <c r="C994" i="15"/>
  <c r="D994" i="15"/>
  <c r="E994" i="15"/>
  <c r="F994" i="15"/>
  <c r="G994" i="15"/>
  <c r="H994" i="15"/>
  <c r="I994" i="15"/>
  <c r="J994" i="15"/>
  <c r="K994" i="15"/>
  <c r="L994" i="15"/>
  <c r="M994" i="15"/>
  <c r="N994" i="15"/>
  <c r="A995" i="15"/>
  <c r="B995" i="15"/>
  <c r="C995" i="15"/>
  <c r="D995" i="15"/>
  <c r="E995" i="15"/>
  <c r="F995" i="15"/>
  <c r="G995" i="15"/>
  <c r="H995" i="15"/>
  <c r="I995" i="15"/>
  <c r="J995" i="15"/>
  <c r="K995" i="15"/>
  <c r="L995" i="15"/>
  <c r="M995" i="15"/>
  <c r="N995" i="15"/>
  <c r="A996" i="15"/>
  <c r="B996" i="15"/>
  <c r="C996" i="15"/>
  <c r="D996" i="15"/>
  <c r="E996" i="15"/>
  <c r="F996" i="15"/>
  <c r="G996" i="15"/>
  <c r="H996" i="15"/>
  <c r="I996" i="15"/>
  <c r="J996" i="15"/>
  <c r="K996" i="15"/>
  <c r="L996" i="15"/>
  <c r="M996" i="15"/>
  <c r="N996" i="15"/>
  <c r="A997" i="15"/>
  <c r="B997" i="15"/>
  <c r="C997" i="15"/>
  <c r="D997" i="15"/>
  <c r="E997" i="15"/>
  <c r="F997" i="15"/>
  <c r="G997" i="15"/>
  <c r="H997" i="15"/>
  <c r="I997" i="15"/>
  <c r="J997" i="15"/>
  <c r="K997" i="15"/>
  <c r="L997" i="15"/>
  <c r="M997" i="15"/>
  <c r="N997" i="15"/>
  <c r="A998" i="15"/>
  <c r="B998" i="15"/>
  <c r="C998" i="15"/>
  <c r="D998" i="15"/>
  <c r="E998" i="15"/>
  <c r="F998" i="15"/>
  <c r="G998" i="15"/>
  <c r="H998" i="15"/>
  <c r="I998" i="15"/>
  <c r="J998" i="15"/>
  <c r="K998" i="15"/>
  <c r="L998" i="15"/>
  <c r="M998" i="15"/>
  <c r="N998" i="15"/>
  <c r="A999" i="15"/>
  <c r="B999" i="15"/>
  <c r="C999" i="15"/>
  <c r="D999" i="15"/>
  <c r="E999" i="15"/>
  <c r="F999" i="15"/>
  <c r="G999" i="15"/>
  <c r="H999" i="15"/>
  <c r="I999" i="15"/>
  <c r="J999" i="15"/>
  <c r="K999" i="15"/>
  <c r="L999" i="15"/>
  <c r="M999" i="15"/>
  <c r="N999" i="15"/>
  <c r="A1000" i="15"/>
  <c r="B1000" i="15"/>
  <c r="C1000" i="15"/>
  <c r="D1000" i="15"/>
  <c r="E1000" i="15"/>
  <c r="F1000" i="15"/>
  <c r="G1000" i="15"/>
  <c r="H1000" i="15"/>
  <c r="I1000" i="15"/>
  <c r="J1000" i="15"/>
  <c r="K1000" i="15"/>
  <c r="L1000" i="15"/>
  <c r="M1000" i="15"/>
  <c r="N1000" i="15"/>
  <c r="A1001" i="15"/>
  <c r="B1001" i="15"/>
  <c r="C1001" i="15"/>
  <c r="D1001" i="15"/>
  <c r="E1001" i="15"/>
  <c r="F1001" i="15"/>
  <c r="G1001" i="15"/>
  <c r="H1001" i="15"/>
  <c r="I1001" i="15"/>
  <c r="J1001" i="15"/>
  <c r="K1001" i="15"/>
  <c r="L1001" i="15"/>
  <c r="M1001" i="15"/>
  <c r="N1001" i="15"/>
  <c r="A1002" i="15"/>
  <c r="B1002" i="15"/>
  <c r="C1002" i="15"/>
  <c r="D1002" i="15"/>
  <c r="E1002" i="15"/>
  <c r="F1002" i="15"/>
  <c r="G1002" i="15"/>
  <c r="H1002" i="15"/>
  <c r="I1002" i="15"/>
  <c r="J1002" i="15"/>
  <c r="K1002" i="15"/>
  <c r="L1002" i="15"/>
  <c r="M1002" i="15"/>
  <c r="N1002" i="15"/>
  <c r="A1003" i="15"/>
  <c r="B1003" i="15"/>
  <c r="C1003" i="15"/>
  <c r="D1003" i="15"/>
  <c r="E1003" i="15"/>
  <c r="F1003" i="15"/>
  <c r="G1003" i="15"/>
  <c r="H1003" i="15"/>
  <c r="I1003" i="15"/>
  <c r="J1003" i="15"/>
  <c r="K1003" i="15"/>
  <c r="L1003" i="15"/>
  <c r="M1003" i="15"/>
  <c r="N1003" i="15"/>
  <c r="A1004" i="15"/>
  <c r="B1004" i="15"/>
  <c r="C1004" i="15"/>
  <c r="D1004" i="15"/>
  <c r="E1004" i="15"/>
  <c r="F1004" i="15"/>
  <c r="G1004" i="15"/>
  <c r="H1004" i="15"/>
  <c r="I1004" i="15"/>
  <c r="J1004" i="15"/>
  <c r="K1004" i="15"/>
  <c r="L1004" i="15"/>
  <c r="M1004" i="15"/>
  <c r="N1004" i="15"/>
  <c r="A1005" i="15"/>
  <c r="B1005" i="15"/>
  <c r="C1005" i="15"/>
  <c r="D1005" i="15"/>
  <c r="E1005" i="15"/>
  <c r="F1005" i="15"/>
  <c r="G1005" i="15"/>
  <c r="H1005" i="15"/>
  <c r="I1005" i="15"/>
  <c r="J1005" i="15"/>
  <c r="K1005" i="15"/>
  <c r="L1005" i="15"/>
  <c r="M1005" i="15"/>
  <c r="N1005" i="15"/>
  <c r="A1006" i="15"/>
  <c r="B1006" i="15"/>
  <c r="C1006" i="15"/>
  <c r="D1006" i="15"/>
  <c r="E1006" i="15"/>
  <c r="F1006" i="15"/>
  <c r="G1006" i="15"/>
  <c r="H1006" i="15"/>
  <c r="I1006" i="15"/>
  <c r="J1006" i="15"/>
  <c r="K1006" i="15"/>
  <c r="L1006" i="15"/>
  <c r="M1006" i="15"/>
  <c r="N1006" i="15"/>
  <c r="A1007" i="15"/>
  <c r="B1007" i="15"/>
  <c r="C1007" i="15"/>
  <c r="D1007" i="15"/>
  <c r="E1007" i="15"/>
  <c r="F1007" i="15"/>
  <c r="G1007" i="15"/>
  <c r="H1007" i="15"/>
  <c r="I1007" i="15"/>
  <c r="J1007" i="15"/>
  <c r="K1007" i="15"/>
  <c r="L1007" i="15"/>
  <c r="M1007" i="15"/>
  <c r="N1007" i="15"/>
  <c r="A1008" i="15"/>
  <c r="B1008" i="15"/>
  <c r="C1008" i="15"/>
  <c r="D1008" i="15"/>
  <c r="E1008" i="15"/>
  <c r="F1008" i="15"/>
  <c r="G1008" i="15"/>
  <c r="H1008" i="15"/>
  <c r="I1008" i="15"/>
  <c r="J1008" i="15"/>
  <c r="K1008" i="15"/>
  <c r="L1008" i="15"/>
  <c r="M1008" i="15"/>
  <c r="N1008" i="15"/>
  <c r="A1009" i="15"/>
  <c r="B1009" i="15"/>
  <c r="C1009" i="15"/>
  <c r="D1009" i="15"/>
  <c r="E1009" i="15"/>
  <c r="F1009" i="15"/>
  <c r="G1009" i="15"/>
  <c r="H1009" i="15"/>
  <c r="I1009" i="15"/>
  <c r="J1009" i="15"/>
  <c r="K1009" i="15"/>
  <c r="L1009" i="15"/>
  <c r="M1009" i="15"/>
  <c r="N1009" i="15"/>
  <c r="A1010" i="15"/>
  <c r="B1010" i="15"/>
  <c r="C1010" i="15"/>
  <c r="D1010" i="15"/>
  <c r="E1010" i="15"/>
  <c r="F1010" i="15"/>
  <c r="G1010" i="15"/>
  <c r="H1010" i="15"/>
  <c r="I1010" i="15"/>
  <c r="J1010" i="15"/>
  <c r="K1010" i="15"/>
  <c r="L1010" i="15"/>
  <c r="M1010" i="15"/>
  <c r="N1010" i="15"/>
  <c r="A1011" i="15"/>
  <c r="B1011" i="15"/>
  <c r="C1011" i="15"/>
  <c r="D1011" i="15"/>
  <c r="E1011" i="15"/>
  <c r="F1011" i="15"/>
  <c r="G1011" i="15"/>
  <c r="H1011" i="15"/>
  <c r="I1011" i="15"/>
  <c r="J1011" i="15"/>
  <c r="K1011" i="15"/>
  <c r="L1011" i="15"/>
  <c r="M1011" i="15"/>
  <c r="N1011" i="15"/>
  <c r="A1012" i="15"/>
  <c r="B1012" i="15"/>
  <c r="C1012" i="15"/>
  <c r="D1012" i="15"/>
  <c r="E1012" i="15"/>
  <c r="F1012" i="15"/>
  <c r="G1012" i="15"/>
  <c r="H1012" i="15"/>
  <c r="I1012" i="15"/>
  <c r="J1012" i="15"/>
  <c r="K1012" i="15"/>
  <c r="L1012" i="15"/>
  <c r="M1012" i="15"/>
  <c r="N1012" i="15"/>
  <c r="A1013" i="15"/>
  <c r="B1013" i="15"/>
  <c r="C1013" i="15"/>
  <c r="D1013" i="15"/>
  <c r="E1013" i="15"/>
  <c r="F1013" i="15"/>
  <c r="G1013" i="15"/>
  <c r="H1013" i="15"/>
  <c r="I1013" i="15"/>
  <c r="J1013" i="15"/>
  <c r="K1013" i="15"/>
  <c r="L1013" i="15"/>
  <c r="M1013" i="15"/>
  <c r="N1013" i="15"/>
  <c r="A1014" i="15"/>
  <c r="B1014" i="15"/>
  <c r="C1014" i="15"/>
  <c r="D1014" i="15"/>
  <c r="E1014" i="15"/>
  <c r="F1014" i="15"/>
  <c r="G1014" i="15"/>
  <c r="H1014" i="15"/>
  <c r="I1014" i="15"/>
  <c r="J1014" i="15"/>
  <c r="K1014" i="15"/>
  <c r="L1014" i="15"/>
  <c r="M1014" i="15"/>
  <c r="N1014" i="15"/>
  <c r="A1015" i="15"/>
  <c r="B1015" i="15"/>
  <c r="C1015" i="15"/>
  <c r="D1015" i="15"/>
  <c r="E1015" i="15"/>
  <c r="F1015" i="15"/>
  <c r="G1015" i="15"/>
  <c r="H1015" i="15"/>
  <c r="I1015" i="15"/>
  <c r="J1015" i="15"/>
  <c r="K1015" i="15"/>
  <c r="L1015" i="15"/>
  <c r="M1015" i="15"/>
  <c r="N1015" i="15"/>
  <c r="A1016" i="15"/>
  <c r="B1016" i="15"/>
  <c r="C1016" i="15"/>
  <c r="D1016" i="15"/>
  <c r="E1016" i="15"/>
  <c r="F1016" i="15"/>
  <c r="G1016" i="15"/>
  <c r="H1016" i="15"/>
  <c r="I1016" i="15"/>
  <c r="J1016" i="15"/>
  <c r="K1016" i="15"/>
  <c r="L1016" i="15"/>
  <c r="M1016" i="15"/>
  <c r="N1016" i="15"/>
  <c r="A1017" i="15"/>
  <c r="B1017" i="15"/>
  <c r="C1017" i="15"/>
  <c r="D1017" i="15"/>
  <c r="E1017" i="15"/>
  <c r="F1017" i="15"/>
  <c r="G1017" i="15"/>
  <c r="H1017" i="15"/>
  <c r="I1017" i="15"/>
  <c r="J1017" i="15"/>
  <c r="K1017" i="15"/>
  <c r="L1017" i="15"/>
  <c r="M1017" i="15"/>
  <c r="N1017" i="15"/>
  <c r="A1018" i="15"/>
  <c r="B1018" i="15"/>
  <c r="C1018" i="15"/>
  <c r="D1018" i="15"/>
  <c r="E1018" i="15"/>
  <c r="F1018" i="15"/>
  <c r="G1018" i="15"/>
  <c r="H1018" i="15"/>
  <c r="I1018" i="15"/>
  <c r="J1018" i="15"/>
  <c r="K1018" i="15"/>
  <c r="L1018" i="15"/>
  <c r="M1018" i="15"/>
  <c r="N1018" i="15"/>
  <c r="A1019" i="15"/>
  <c r="B1019" i="15"/>
  <c r="C1019" i="15"/>
  <c r="D1019" i="15"/>
  <c r="E1019" i="15"/>
  <c r="F1019" i="15"/>
  <c r="G1019" i="15"/>
  <c r="H1019" i="15"/>
  <c r="I1019" i="15"/>
  <c r="J1019" i="15"/>
  <c r="K1019" i="15"/>
  <c r="L1019" i="15"/>
  <c r="M1019" i="15"/>
  <c r="N1019" i="15"/>
  <c r="A1020" i="15"/>
  <c r="B1020" i="15"/>
  <c r="C1020" i="15"/>
  <c r="D1020" i="15"/>
  <c r="E1020" i="15"/>
  <c r="F1020" i="15"/>
  <c r="G1020" i="15"/>
  <c r="H1020" i="15"/>
  <c r="I1020" i="15"/>
  <c r="J1020" i="15"/>
  <c r="K1020" i="15"/>
  <c r="L1020" i="15"/>
  <c r="M1020" i="15"/>
  <c r="N1020" i="15"/>
  <c r="A1021" i="15"/>
  <c r="B1021" i="15"/>
  <c r="C1021" i="15"/>
  <c r="D1021" i="15"/>
  <c r="E1021" i="15"/>
  <c r="F1021" i="15"/>
  <c r="G1021" i="15"/>
  <c r="H1021" i="15"/>
  <c r="I1021" i="15"/>
  <c r="J1021" i="15"/>
  <c r="K1021" i="15"/>
  <c r="L1021" i="15"/>
  <c r="M1021" i="15"/>
  <c r="N1021" i="15"/>
  <c r="A1022" i="15"/>
  <c r="B1022" i="15"/>
  <c r="C1022" i="15"/>
  <c r="D1022" i="15"/>
  <c r="E1022" i="15"/>
  <c r="F1022" i="15"/>
  <c r="G1022" i="15"/>
  <c r="H1022" i="15"/>
  <c r="I1022" i="15"/>
  <c r="J1022" i="15"/>
  <c r="K1022" i="15"/>
  <c r="L1022" i="15"/>
  <c r="M1022" i="15"/>
  <c r="N1022" i="15"/>
  <c r="A1023" i="15"/>
  <c r="B1023" i="15"/>
  <c r="C1023" i="15"/>
  <c r="D1023" i="15"/>
  <c r="E1023" i="15"/>
  <c r="F1023" i="15"/>
  <c r="G1023" i="15"/>
  <c r="H1023" i="15"/>
  <c r="I1023" i="15"/>
  <c r="J1023" i="15"/>
  <c r="K1023" i="15"/>
  <c r="L1023" i="15"/>
  <c r="M1023" i="15"/>
  <c r="N1023" i="15"/>
  <c r="A1024" i="15"/>
  <c r="B1024" i="15"/>
  <c r="C1024" i="15"/>
  <c r="D1024" i="15"/>
  <c r="E1024" i="15"/>
  <c r="F1024" i="15"/>
  <c r="G1024" i="15"/>
  <c r="H1024" i="15"/>
  <c r="I1024" i="15"/>
  <c r="J1024" i="15"/>
  <c r="K1024" i="15"/>
  <c r="L1024" i="15"/>
  <c r="M1024" i="15"/>
  <c r="N1024" i="15"/>
  <c r="A1025" i="15"/>
  <c r="B1025" i="15"/>
  <c r="C1025" i="15"/>
  <c r="D1025" i="15"/>
  <c r="E1025" i="15"/>
  <c r="F1025" i="15"/>
  <c r="G1025" i="15"/>
  <c r="H1025" i="15"/>
  <c r="I1025" i="15"/>
  <c r="J1025" i="15"/>
  <c r="K1025" i="15"/>
  <c r="L1025" i="15"/>
  <c r="M1025" i="15"/>
  <c r="N1025" i="15"/>
  <c r="A1026" i="15"/>
  <c r="B1026" i="15"/>
  <c r="C1026" i="15"/>
  <c r="D1026" i="15"/>
  <c r="E1026" i="15"/>
  <c r="F1026" i="15"/>
  <c r="G1026" i="15"/>
  <c r="H1026" i="15"/>
  <c r="I1026" i="15"/>
  <c r="J1026" i="15"/>
  <c r="K1026" i="15"/>
  <c r="L1026" i="15"/>
  <c r="M1026" i="15"/>
  <c r="N1026" i="15"/>
  <c r="A1027" i="15"/>
  <c r="B1027" i="15"/>
  <c r="C1027" i="15"/>
  <c r="D1027" i="15"/>
  <c r="E1027" i="15"/>
  <c r="F1027" i="15"/>
  <c r="G1027" i="15"/>
  <c r="H1027" i="15"/>
  <c r="I1027" i="15"/>
  <c r="J1027" i="15"/>
  <c r="K1027" i="15"/>
  <c r="L1027" i="15"/>
  <c r="M1027" i="15"/>
  <c r="N1027" i="15"/>
  <c r="A1028" i="15"/>
  <c r="B1028" i="15"/>
  <c r="C1028" i="15"/>
  <c r="D1028" i="15"/>
  <c r="E1028" i="15"/>
  <c r="F1028" i="15"/>
  <c r="G1028" i="15"/>
  <c r="H1028" i="15"/>
  <c r="I1028" i="15"/>
  <c r="J1028" i="15"/>
  <c r="K1028" i="15"/>
  <c r="L1028" i="15"/>
  <c r="M1028" i="15"/>
  <c r="N1028" i="15"/>
  <c r="A1029" i="15"/>
  <c r="B1029" i="15"/>
  <c r="C1029" i="15"/>
  <c r="D1029" i="15"/>
  <c r="E1029" i="15"/>
  <c r="F1029" i="15"/>
  <c r="G1029" i="15"/>
  <c r="H1029" i="15"/>
  <c r="I1029" i="15"/>
  <c r="J1029" i="15"/>
  <c r="K1029" i="15"/>
  <c r="L1029" i="15"/>
  <c r="M1029" i="15"/>
  <c r="N1029" i="15"/>
  <c r="A1030" i="15"/>
  <c r="B1030" i="15"/>
  <c r="C1030" i="15"/>
  <c r="D1030" i="15"/>
  <c r="E1030" i="15"/>
  <c r="F1030" i="15"/>
  <c r="G1030" i="15"/>
  <c r="H1030" i="15"/>
  <c r="I1030" i="15"/>
  <c r="J1030" i="15"/>
  <c r="K1030" i="15"/>
  <c r="L1030" i="15"/>
  <c r="M1030" i="15"/>
  <c r="N1030" i="15"/>
  <c r="A1031" i="15"/>
  <c r="B1031" i="15"/>
  <c r="C1031" i="15"/>
  <c r="D1031" i="15"/>
  <c r="E1031" i="15"/>
  <c r="F1031" i="15"/>
  <c r="G1031" i="15"/>
  <c r="H1031" i="15"/>
  <c r="I1031" i="15"/>
  <c r="J1031" i="15"/>
  <c r="K1031" i="15"/>
  <c r="L1031" i="15"/>
  <c r="M1031" i="15"/>
  <c r="N1031" i="15"/>
  <c r="A1032" i="15"/>
  <c r="B1032" i="15"/>
  <c r="C1032" i="15"/>
  <c r="D1032" i="15"/>
  <c r="E1032" i="15"/>
  <c r="F1032" i="15"/>
  <c r="G1032" i="15"/>
  <c r="H1032" i="15"/>
  <c r="I1032" i="15"/>
  <c r="J1032" i="15"/>
  <c r="K1032" i="15"/>
  <c r="L1032" i="15"/>
  <c r="M1032" i="15"/>
  <c r="N1032" i="15"/>
  <c r="A1033" i="15"/>
  <c r="B1033" i="15"/>
  <c r="C1033" i="15"/>
  <c r="D1033" i="15"/>
  <c r="E1033" i="15"/>
  <c r="F1033" i="15"/>
  <c r="G1033" i="15"/>
  <c r="H1033" i="15"/>
  <c r="I1033" i="15"/>
  <c r="J1033" i="15"/>
  <c r="K1033" i="15"/>
  <c r="L1033" i="15"/>
  <c r="M1033" i="15"/>
  <c r="N1033" i="15"/>
  <c r="A1034" i="15"/>
  <c r="B1034" i="15"/>
  <c r="C1034" i="15"/>
  <c r="D1034" i="15"/>
  <c r="E1034" i="15"/>
  <c r="F1034" i="15"/>
  <c r="G1034" i="15"/>
  <c r="H1034" i="15"/>
  <c r="I1034" i="15"/>
  <c r="J1034" i="15"/>
  <c r="K1034" i="15"/>
  <c r="L1034" i="15"/>
  <c r="M1034" i="15"/>
  <c r="N1034" i="15"/>
  <c r="A1035" i="15"/>
  <c r="B1035" i="15"/>
  <c r="C1035" i="15"/>
  <c r="D1035" i="15"/>
  <c r="E1035" i="15"/>
  <c r="F1035" i="15"/>
  <c r="G1035" i="15"/>
  <c r="H1035" i="15"/>
  <c r="I1035" i="15"/>
  <c r="J1035" i="15"/>
  <c r="K1035" i="15"/>
  <c r="L1035" i="15"/>
  <c r="M1035" i="15"/>
  <c r="N1035" i="15"/>
  <c r="A1036" i="15"/>
  <c r="B1036" i="15"/>
  <c r="C1036" i="15"/>
  <c r="D1036" i="15"/>
  <c r="E1036" i="15"/>
  <c r="F1036" i="15"/>
  <c r="G1036" i="15"/>
  <c r="H1036" i="15"/>
  <c r="I1036" i="15"/>
  <c r="J1036" i="15"/>
  <c r="K1036" i="15"/>
  <c r="L1036" i="15"/>
  <c r="M1036" i="15"/>
  <c r="N1036" i="15"/>
  <c r="A1037" i="15"/>
  <c r="B1037" i="15"/>
  <c r="C1037" i="15"/>
  <c r="D1037" i="15"/>
  <c r="E1037" i="15"/>
  <c r="F1037" i="15"/>
  <c r="G1037" i="15"/>
  <c r="H1037" i="15"/>
  <c r="I1037" i="15"/>
  <c r="J1037" i="15"/>
  <c r="K1037" i="15"/>
  <c r="L1037" i="15"/>
  <c r="M1037" i="15"/>
  <c r="N1037" i="15"/>
  <c r="A1038" i="15"/>
  <c r="B1038" i="15"/>
  <c r="C1038" i="15"/>
  <c r="D1038" i="15"/>
  <c r="E1038" i="15"/>
  <c r="F1038" i="15"/>
  <c r="G1038" i="15"/>
  <c r="H1038" i="15"/>
  <c r="I1038" i="15"/>
  <c r="J1038" i="15"/>
  <c r="K1038" i="15"/>
  <c r="L1038" i="15"/>
  <c r="M1038" i="15"/>
  <c r="N1038" i="15"/>
  <c r="A1039" i="15"/>
  <c r="B1039" i="15"/>
  <c r="C1039" i="15"/>
  <c r="D1039" i="15"/>
  <c r="E1039" i="15"/>
  <c r="F1039" i="15"/>
  <c r="G1039" i="15"/>
  <c r="H1039" i="15"/>
  <c r="I1039" i="15"/>
  <c r="J1039" i="15"/>
  <c r="K1039" i="15"/>
  <c r="L1039" i="15"/>
  <c r="M1039" i="15"/>
  <c r="N1039" i="15"/>
  <c r="A1040" i="15"/>
  <c r="B1040" i="15"/>
  <c r="C1040" i="15"/>
  <c r="D1040" i="15"/>
  <c r="E1040" i="15"/>
  <c r="F1040" i="15"/>
  <c r="G1040" i="15"/>
  <c r="H1040" i="15"/>
  <c r="I1040" i="15"/>
  <c r="J1040" i="15"/>
  <c r="K1040" i="15"/>
  <c r="L1040" i="15"/>
  <c r="M1040" i="15"/>
  <c r="N1040" i="15"/>
  <c r="A1041" i="15"/>
  <c r="B1041" i="15"/>
  <c r="C1041" i="15"/>
  <c r="D1041" i="15"/>
  <c r="E1041" i="15"/>
  <c r="F1041" i="15"/>
  <c r="G1041" i="15"/>
  <c r="H1041" i="15"/>
  <c r="I1041" i="15"/>
  <c r="J1041" i="15"/>
  <c r="K1041" i="15"/>
  <c r="L1041" i="15"/>
  <c r="M1041" i="15"/>
  <c r="N1041" i="15"/>
  <c r="A1042" i="15"/>
  <c r="B1042" i="15"/>
  <c r="C1042" i="15"/>
  <c r="D1042" i="15"/>
  <c r="E1042" i="15"/>
  <c r="F1042" i="15"/>
  <c r="G1042" i="15"/>
  <c r="H1042" i="15"/>
  <c r="I1042" i="15"/>
  <c r="J1042" i="15"/>
  <c r="K1042" i="15"/>
  <c r="L1042" i="15"/>
  <c r="M1042" i="15"/>
  <c r="N1042" i="15"/>
  <c r="A1043" i="15"/>
  <c r="B1043" i="15"/>
  <c r="C1043" i="15"/>
  <c r="D1043" i="15"/>
  <c r="E1043" i="15"/>
  <c r="F1043" i="15"/>
  <c r="G1043" i="15"/>
  <c r="H1043" i="15"/>
  <c r="I1043" i="15"/>
  <c r="J1043" i="15"/>
  <c r="K1043" i="15"/>
  <c r="L1043" i="15"/>
  <c r="M1043" i="15"/>
  <c r="N1043" i="15"/>
  <c r="A1044" i="15"/>
  <c r="B1044" i="15"/>
  <c r="C1044" i="15"/>
  <c r="D1044" i="15"/>
  <c r="E1044" i="15"/>
  <c r="F1044" i="15"/>
  <c r="G1044" i="15"/>
  <c r="H1044" i="15"/>
  <c r="I1044" i="15"/>
  <c r="J1044" i="15"/>
  <c r="K1044" i="15"/>
  <c r="L1044" i="15"/>
  <c r="M1044" i="15"/>
  <c r="N1044" i="15"/>
  <c r="A1045" i="15"/>
  <c r="B1045" i="15"/>
  <c r="C1045" i="15"/>
  <c r="D1045" i="15"/>
  <c r="E1045" i="15"/>
  <c r="F1045" i="15"/>
  <c r="G1045" i="15"/>
  <c r="H1045" i="15"/>
  <c r="I1045" i="15"/>
  <c r="J1045" i="15"/>
  <c r="K1045" i="15"/>
  <c r="L1045" i="15"/>
  <c r="M1045" i="15"/>
  <c r="N1045" i="15"/>
  <c r="A1046" i="15"/>
  <c r="B1046" i="15"/>
  <c r="C1046" i="15"/>
  <c r="D1046" i="15"/>
  <c r="E1046" i="15"/>
  <c r="F1046" i="15"/>
  <c r="G1046" i="15"/>
  <c r="H1046" i="15"/>
  <c r="I1046" i="15"/>
  <c r="J1046" i="15"/>
  <c r="K1046" i="15"/>
  <c r="L1046" i="15"/>
  <c r="M1046" i="15"/>
  <c r="N1046" i="15"/>
  <c r="A1047" i="15"/>
  <c r="B1047" i="15"/>
  <c r="C1047" i="15"/>
  <c r="D1047" i="15"/>
  <c r="E1047" i="15"/>
  <c r="F1047" i="15"/>
  <c r="G1047" i="15"/>
  <c r="H1047" i="15"/>
  <c r="I1047" i="15"/>
  <c r="J1047" i="15"/>
  <c r="K1047" i="15"/>
  <c r="L1047" i="15"/>
  <c r="M1047" i="15"/>
  <c r="N1047" i="15"/>
  <c r="A1048" i="15"/>
  <c r="B1048" i="15"/>
  <c r="C1048" i="15"/>
  <c r="D1048" i="15"/>
  <c r="E1048" i="15"/>
  <c r="F1048" i="15"/>
  <c r="G1048" i="15"/>
  <c r="H1048" i="15"/>
  <c r="I1048" i="15"/>
  <c r="J1048" i="15"/>
  <c r="K1048" i="15"/>
  <c r="L1048" i="15"/>
  <c r="M1048" i="15"/>
  <c r="N1048" i="15"/>
  <c r="A1049" i="15"/>
  <c r="B1049" i="15"/>
  <c r="C1049" i="15"/>
  <c r="D1049" i="15"/>
  <c r="E1049" i="15"/>
  <c r="F1049" i="15"/>
  <c r="G1049" i="15"/>
  <c r="H1049" i="15"/>
  <c r="I1049" i="15"/>
  <c r="J1049" i="15"/>
  <c r="K1049" i="15"/>
  <c r="L1049" i="15"/>
  <c r="M1049" i="15"/>
  <c r="N1049" i="15"/>
  <c r="A1050" i="15"/>
  <c r="B1050" i="15"/>
  <c r="C1050" i="15"/>
  <c r="D1050" i="15"/>
  <c r="E1050" i="15"/>
  <c r="F1050" i="15"/>
  <c r="G1050" i="15"/>
  <c r="H1050" i="15"/>
  <c r="I1050" i="15"/>
  <c r="J1050" i="15"/>
  <c r="K1050" i="15"/>
  <c r="L1050" i="15"/>
  <c r="M1050" i="15"/>
  <c r="N1050" i="15"/>
  <c r="A1051" i="15"/>
  <c r="B1051" i="15"/>
  <c r="C1051" i="15"/>
  <c r="D1051" i="15"/>
  <c r="E1051" i="15"/>
  <c r="F1051" i="15"/>
  <c r="G1051" i="15"/>
  <c r="H1051" i="15"/>
  <c r="I1051" i="15"/>
  <c r="J1051" i="15"/>
  <c r="K1051" i="15"/>
  <c r="L1051" i="15"/>
  <c r="M1051" i="15"/>
  <c r="N1051" i="15"/>
  <c r="A1052" i="15"/>
  <c r="B1052" i="15"/>
  <c r="C1052" i="15"/>
  <c r="D1052" i="15"/>
  <c r="E1052" i="15"/>
  <c r="F1052" i="15"/>
  <c r="G1052" i="15"/>
  <c r="H1052" i="15"/>
  <c r="I1052" i="15"/>
  <c r="J1052" i="15"/>
  <c r="K1052" i="15"/>
  <c r="L1052" i="15"/>
  <c r="M1052" i="15"/>
  <c r="N1052" i="15"/>
  <c r="A1053" i="15"/>
  <c r="B1053" i="15"/>
  <c r="C1053" i="15"/>
  <c r="D1053" i="15"/>
  <c r="E1053" i="15"/>
  <c r="F1053" i="15"/>
  <c r="G1053" i="15"/>
  <c r="H1053" i="15"/>
  <c r="I1053" i="15"/>
  <c r="J1053" i="15"/>
  <c r="K1053" i="15"/>
  <c r="L1053" i="15"/>
  <c r="M1053" i="15"/>
  <c r="N1053" i="15"/>
  <c r="A1054" i="15"/>
  <c r="B1054" i="15"/>
  <c r="C1054" i="15"/>
  <c r="D1054" i="15"/>
  <c r="E1054" i="15"/>
  <c r="F1054" i="15"/>
  <c r="G1054" i="15"/>
  <c r="H1054" i="15"/>
  <c r="I1054" i="15"/>
  <c r="J1054" i="15"/>
  <c r="K1054" i="15"/>
  <c r="L1054" i="15"/>
  <c r="M1054" i="15"/>
  <c r="N1054" i="15"/>
  <c r="A1055" i="15"/>
  <c r="B1055" i="15"/>
  <c r="C1055" i="15"/>
  <c r="D1055" i="15"/>
  <c r="E1055" i="15"/>
  <c r="F1055" i="15"/>
  <c r="G1055" i="15"/>
  <c r="H1055" i="15"/>
  <c r="I1055" i="15"/>
  <c r="J1055" i="15"/>
  <c r="K1055" i="15"/>
  <c r="L1055" i="15"/>
  <c r="M1055" i="15"/>
  <c r="N1055" i="15"/>
  <c r="A1056" i="15"/>
  <c r="B1056" i="15"/>
  <c r="C1056" i="15"/>
  <c r="D1056" i="15"/>
  <c r="E1056" i="15"/>
  <c r="F1056" i="15"/>
  <c r="G1056" i="15"/>
  <c r="H1056" i="15"/>
  <c r="I1056" i="15"/>
  <c r="J1056" i="15"/>
  <c r="K1056" i="15"/>
  <c r="L1056" i="15"/>
  <c r="M1056" i="15"/>
  <c r="N1056" i="15"/>
  <c r="A1057" i="15"/>
  <c r="B1057" i="15"/>
  <c r="C1057" i="15"/>
  <c r="D1057" i="15"/>
  <c r="E1057" i="15"/>
  <c r="F1057" i="15"/>
  <c r="G1057" i="15"/>
  <c r="H1057" i="15"/>
  <c r="I1057" i="15"/>
  <c r="J1057" i="15"/>
  <c r="K1057" i="15"/>
  <c r="L1057" i="15"/>
  <c r="M1057" i="15"/>
  <c r="N1057" i="15"/>
  <c r="A1058" i="15"/>
  <c r="B1058" i="15"/>
  <c r="C1058" i="15"/>
  <c r="D1058" i="15"/>
  <c r="E1058" i="15"/>
  <c r="F1058" i="15"/>
  <c r="G1058" i="15"/>
  <c r="H1058" i="15"/>
  <c r="I1058" i="15"/>
  <c r="J1058" i="15"/>
  <c r="K1058" i="15"/>
  <c r="L1058" i="15"/>
  <c r="M1058" i="15"/>
  <c r="N1058" i="15"/>
  <c r="A1059" i="15"/>
  <c r="B1059" i="15"/>
  <c r="C1059" i="15"/>
  <c r="D1059" i="15"/>
  <c r="E1059" i="15"/>
  <c r="F1059" i="15"/>
  <c r="G1059" i="15"/>
  <c r="H1059" i="15"/>
  <c r="I1059" i="15"/>
  <c r="J1059" i="15"/>
  <c r="K1059" i="15"/>
  <c r="L1059" i="15"/>
  <c r="M1059" i="15"/>
  <c r="N1059" i="15"/>
  <c r="A1060" i="15"/>
  <c r="B1060" i="15"/>
  <c r="C1060" i="15"/>
  <c r="D1060" i="15"/>
  <c r="E1060" i="15"/>
  <c r="F1060" i="15"/>
  <c r="G1060" i="15"/>
  <c r="H1060" i="15"/>
  <c r="I1060" i="15"/>
  <c r="J1060" i="15"/>
  <c r="K1060" i="15"/>
  <c r="L1060" i="15"/>
  <c r="M1060" i="15"/>
  <c r="N1060" i="15"/>
  <c r="A1061" i="15"/>
  <c r="B1061" i="15"/>
  <c r="C1061" i="15"/>
  <c r="D1061" i="15"/>
  <c r="E1061" i="15"/>
  <c r="F1061" i="15"/>
  <c r="G1061" i="15"/>
  <c r="H1061" i="15"/>
  <c r="I1061" i="15"/>
  <c r="J1061" i="15"/>
  <c r="K1061" i="15"/>
  <c r="L1061" i="15"/>
  <c r="M1061" i="15"/>
  <c r="N1061" i="15"/>
  <c r="A1062" i="15"/>
  <c r="B1062" i="15"/>
  <c r="C1062" i="15"/>
  <c r="D1062" i="15"/>
  <c r="E1062" i="15"/>
  <c r="F1062" i="15"/>
  <c r="G1062" i="15"/>
  <c r="H1062" i="15"/>
  <c r="I1062" i="15"/>
  <c r="J1062" i="15"/>
  <c r="K1062" i="15"/>
  <c r="L1062" i="15"/>
  <c r="M1062" i="15"/>
  <c r="N1062" i="15"/>
  <c r="A1063" i="15"/>
  <c r="B1063" i="15"/>
  <c r="C1063" i="15"/>
  <c r="D1063" i="15"/>
  <c r="E1063" i="15"/>
  <c r="F1063" i="15"/>
  <c r="G1063" i="15"/>
  <c r="H1063" i="15"/>
  <c r="I1063" i="15"/>
  <c r="J1063" i="15"/>
  <c r="K1063" i="15"/>
  <c r="L1063" i="15"/>
  <c r="M1063" i="15"/>
  <c r="N1063" i="15"/>
  <c r="A1064" i="15"/>
  <c r="B1064" i="15"/>
  <c r="C1064" i="15"/>
  <c r="D1064" i="15"/>
  <c r="E1064" i="15"/>
  <c r="F1064" i="15"/>
  <c r="G1064" i="15"/>
  <c r="H1064" i="15"/>
  <c r="I1064" i="15"/>
  <c r="J1064" i="15"/>
  <c r="K1064" i="15"/>
  <c r="L1064" i="15"/>
  <c r="M1064" i="15"/>
  <c r="N1064" i="15"/>
  <c r="A1065" i="15"/>
  <c r="B1065" i="15"/>
  <c r="C1065" i="15"/>
  <c r="D1065" i="15"/>
  <c r="E1065" i="15"/>
  <c r="F1065" i="15"/>
  <c r="G1065" i="15"/>
  <c r="H1065" i="15"/>
  <c r="I1065" i="15"/>
  <c r="J1065" i="15"/>
  <c r="K1065" i="15"/>
  <c r="L1065" i="15"/>
  <c r="M1065" i="15"/>
  <c r="N1065" i="15"/>
  <c r="A1066" i="15"/>
  <c r="B1066" i="15"/>
  <c r="C1066" i="15"/>
  <c r="D1066" i="15"/>
  <c r="E1066" i="15"/>
  <c r="F1066" i="15"/>
  <c r="G1066" i="15"/>
  <c r="H1066" i="15"/>
  <c r="I1066" i="15"/>
  <c r="J1066" i="15"/>
  <c r="K1066" i="15"/>
  <c r="L1066" i="15"/>
  <c r="M1066" i="15"/>
  <c r="N1066" i="15"/>
  <c r="A1067" i="15"/>
  <c r="B1067" i="15"/>
  <c r="C1067" i="15"/>
  <c r="D1067" i="15"/>
  <c r="E1067" i="15"/>
  <c r="F1067" i="15"/>
  <c r="G1067" i="15"/>
  <c r="H1067" i="15"/>
  <c r="I1067" i="15"/>
  <c r="J1067" i="15"/>
  <c r="K1067" i="15"/>
  <c r="L1067" i="15"/>
  <c r="M1067" i="15"/>
  <c r="N1067" i="15"/>
  <c r="A1068" i="15"/>
  <c r="B1068" i="15"/>
  <c r="C1068" i="15"/>
  <c r="D1068" i="15"/>
  <c r="E1068" i="15"/>
  <c r="F1068" i="15"/>
  <c r="G1068" i="15"/>
  <c r="H1068" i="15"/>
  <c r="I1068" i="15"/>
  <c r="J1068" i="15"/>
  <c r="K1068" i="15"/>
  <c r="L1068" i="15"/>
  <c r="M1068" i="15"/>
  <c r="N1068" i="15"/>
  <c r="A1069" i="15"/>
  <c r="B1069" i="15"/>
  <c r="C1069" i="15"/>
  <c r="D1069" i="15"/>
  <c r="E1069" i="15"/>
  <c r="F1069" i="15"/>
  <c r="G1069" i="15"/>
  <c r="H1069" i="15"/>
  <c r="I1069" i="15"/>
  <c r="J1069" i="15"/>
  <c r="K1069" i="15"/>
  <c r="L1069" i="15"/>
  <c r="M1069" i="15"/>
  <c r="N1069" i="15"/>
  <c r="A1070" i="15"/>
  <c r="B1070" i="15"/>
  <c r="C1070" i="15"/>
  <c r="D1070" i="15"/>
  <c r="E1070" i="15"/>
  <c r="F1070" i="15"/>
  <c r="G1070" i="15"/>
  <c r="H1070" i="15"/>
  <c r="I1070" i="15"/>
  <c r="J1070" i="15"/>
  <c r="K1070" i="15"/>
  <c r="L1070" i="15"/>
  <c r="M1070" i="15"/>
  <c r="N1070" i="15"/>
  <c r="A1071" i="15"/>
  <c r="B1071" i="15"/>
  <c r="C1071" i="15"/>
  <c r="D1071" i="15"/>
  <c r="E1071" i="15"/>
  <c r="F1071" i="15"/>
  <c r="G1071" i="15"/>
  <c r="H1071" i="15"/>
  <c r="I1071" i="15"/>
  <c r="J1071" i="15"/>
  <c r="K1071" i="15"/>
  <c r="L1071" i="15"/>
  <c r="M1071" i="15"/>
  <c r="N1071" i="15"/>
  <c r="A1072" i="15"/>
  <c r="B1072" i="15"/>
  <c r="C1072" i="15"/>
  <c r="D1072" i="15"/>
  <c r="E1072" i="15"/>
  <c r="F1072" i="15"/>
  <c r="G1072" i="15"/>
  <c r="H1072" i="15"/>
  <c r="I1072" i="15"/>
  <c r="J1072" i="15"/>
  <c r="K1072" i="15"/>
  <c r="L1072" i="15"/>
  <c r="M1072" i="15"/>
  <c r="N1072" i="15"/>
  <c r="A1073" i="15"/>
  <c r="B1073" i="15"/>
  <c r="C1073" i="15"/>
  <c r="D1073" i="15"/>
  <c r="E1073" i="15"/>
  <c r="F1073" i="15"/>
  <c r="G1073" i="15"/>
  <c r="H1073" i="15"/>
  <c r="I1073" i="15"/>
  <c r="J1073" i="15"/>
  <c r="K1073" i="15"/>
  <c r="L1073" i="15"/>
  <c r="M1073" i="15"/>
  <c r="N1073" i="15"/>
  <c r="A1074" i="15"/>
  <c r="B1074" i="15"/>
  <c r="C1074" i="15"/>
  <c r="D1074" i="15"/>
  <c r="E1074" i="15"/>
  <c r="F1074" i="15"/>
  <c r="G1074" i="15"/>
  <c r="H1074" i="15"/>
  <c r="I1074" i="15"/>
  <c r="J1074" i="15"/>
  <c r="K1074" i="15"/>
  <c r="L1074" i="15"/>
  <c r="M1074" i="15"/>
  <c r="N1074" i="15"/>
  <c r="A1075" i="15"/>
  <c r="B1075" i="15"/>
  <c r="C1075" i="15"/>
  <c r="D1075" i="15"/>
  <c r="E1075" i="15"/>
  <c r="F1075" i="15"/>
  <c r="G1075" i="15"/>
  <c r="H1075" i="15"/>
  <c r="I1075" i="15"/>
  <c r="J1075" i="15"/>
  <c r="K1075" i="15"/>
  <c r="L1075" i="15"/>
  <c r="M1075" i="15"/>
  <c r="N1075" i="15"/>
  <c r="A1076" i="15"/>
  <c r="B1076" i="15"/>
  <c r="C1076" i="15"/>
  <c r="D1076" i="15"/>
  <c r="E1076" i="15"/>
  <c r="F1076" i="15"/>
  <c r="G1076" i="15"/>
  <c r="H1076" i="15"/>
  <c r="I1076" i="15"/>
  <c r="J1076" i="15"/>
  <c r="K1076" i="15"/>
  <c r="L1076" i="15"/>
  <c r="M1076" i="15"/>
  <c r="N1076" i="15"/>
  <c r="A1077" i="15"/>
  <c r="B1077" i="15"/>
  <c r="C1077" i="15"/>
  <c r="D1077" i="15"/>
  <c r="E1077" i="15"/>
  <c r="F1077" i="15"/>
  <c r="G1077" i="15"/>
  <c r="H1077" i="15"/>
  <c r="I1077" i="15"/>
  <c r="J1077" i="15"/>
  <c r="K1077" i="15"/>
  <c r="L1077" i="15"/>
  <c r="M1077" i="15"/>
  <c r="N1077" i="15"/>
  <c r="A1078" i="15"/>
  <c r="B1078" i="15"/>
  <c r="C1078" i="15"/>
  <c r="D1078" i="15"/>
  <c r="E1078" i="15"/>
  <c r="F1078" i="15"/>
  <c r="G1078" i="15"/>
  <c r="H1078" i="15"/>
  <c r="I1078" i="15"/>
  <c r="J1078" i="15"/>
  <c r="K1078" i="15"/>
  <c r="L1078" i="15"/>
  <c r="M1078" i="15"/>
  <c r="N1078" i="15"/>
  <c r="A1079" i="15"/>
  <c r="B1079" i="15"/>
  <c r="C1079" i="15"/>
  <c r="D1079" i="15"/>
  <c r="E1079" i="15"/>
  <c r="F1079" i="15"/>
  <c r="G1079" i="15"/>
  <c r="H1079" i="15"/>
  <c r="I1079" i="15"/>
  <c r="J1079" i="15"/>
  <c r="K1079" i="15"/>
  <c r="L1079" i="15"/>
  <c r="M1079" i="15"/>
  <c r="N1079" i="15"/>
  <c r="A1080" i="15"/>
  <c r="B1080" i="15"/>
  <c r="C1080" i="15"/>
  <c r="D1080" i="15"/>
  <c r="E1080" i="15"/>
  <c r="F1080" i="15"/>
  <c r="G1080" i="15"/>
  <c r="H1080" i="15"/>
  <c r="I1080" i="15"/>
  <c r="J1080" i="15"/>
  <c r="K1080" i="15"/>
  <c r="L1080" i="15"/>
  <c r="M1080" i="15"/>
  <c r="N1080" i="15"/>
  <c r="A1081" i="15"/>
  <c r="B1081" i="15"/>
  <c r="C1081" i="15"/>
  <c r="D1081" i="15"/>
  <c r="E1081" i="15"/>
  <c r="F1081" i="15"/>
  <c r="G1081" i="15"/>
  <c r="H1081" i="15"/>
  <c r="I1081" i="15"/>
  <c r="J1081" i="15"/>
  <c r="K1081" i="15"/>
  <c r="L1081" i="15"/>
  <c r="M1081" i="15"/>
  <c r="N1081" i="15"/>
  <c r="A1082" i="15"/>
  <c r="B1082" i="15"/>
  <c r="C1082" i="15"/>
  <c r="D1082" i="15"/>
  <c r="E1082" i="15"/>
  <c r="F1082" i="15"/>
  <c r="G1082" i="15"/>
  <c r="H1082" i="15"/>
  <c r="I1082" i="15"/>
  <c r="J1082" i="15"/>
  <c r="K1082" i="15"/>
  <c r="L1082" i="15"/>
  <c r="M1082" i="15"/>
  <c r="N1082" i="15"/>
  <c r="A1083" i="15"/>
  <c r="B1083" i="15"/>
  <c r="C1083" i="15"/>
  <c r="D1083" i="15"/>
  <c r="E1083" i="15"/>
  <c r="F1083" i="15"/>
  <c r="G1083" i="15"/>
  <c r="H1083" i="15"/>
  <c r="I1083" i="15"/>
  <c r="J1083" i="15"/>
  <c r="K1083" i="15"/>
  <c r="L1083" i="15"/>
  <c r="M1083" i="15"/>
  <c r="N1083" i="15"/>
  <c r="A1084" i="15"/>
  <c r="B1084" i="15"/>
  <c r="C1084" i="15"/>
  <c r="D1084" i="15"/>
  <c r="E1084" i="15"/>
  <c r="F1084" i="15"/>
  <c r="G1084" i="15"/>
  <c r="H1084" i="15"/>
  <c r="I1084" i="15"/>
  <c r="J1084" i="15"/>
  <c r="K1084" i="15"/>
  <c r="L1084" i="15"/>
  <c r="M1084" i="15"/>
  <c r="N1084" i="15"/>
  <c r="A1085" i="15"/>
  <c r="B1085" i="15"/>
  <c r="C1085" i="15"/>
  <c r="D1085" i="15"/>
  <c r="E1085" i="15"/>
  <c r="F1085" i="15"/>
  <c r="G1085" i="15"/>
  <c r="H1085" i="15"/>
  <c r="I1085" i="15"/>
  <c r="J1085" i="15"/>
  <c r="K1085" i="15"/>
  <c r="L1085" i="15"/>
  <c r="M1085" i="15"/>
  <c r="N1085" i="15"/>
  <c r="A1086" i="15"/>
  <c r="B1086" i="15"/>
  <c r="C1086" i="15"/>
  <c r="D1086" i="15"/>
  <c r="E1086" i="15"/>
  <c r="F1086" i="15"/>
  <c r="G1086" i="15"/>
  <c r="H1086" i="15"/>
  <c r="I1086" i="15"/>
  <c r="J1086" i="15"/>
  <c r="K1086" i="15"/>
  <c r="L1086" i="15"/>
  <c r="M1086" i="15"/>
  <c r="N1086" i="15"/>
  <c r="A1087" i="15"/>
  <c r="B1087" i="15"/>
  <c r="C1087" i="15"/>
  <c r="D1087" i="15"/>
  <c r="E1087" i="15"/>
  <c r="F1087" i="15"/>
  <c r="G1087" i="15"/>
  <c r="H1087" i="15"/>
  <c r="I1087" i="15"/>
  <c r="J1087" i="15"/>
  <c r="K1087" i="15"/>
  <c r="L1087" i="15"/>
  <c r="M1087" i="15"/>
  <c r="N1087" i="15"/>
  <c r="A1088" i="15"/>
  <c r="B1088" i="15"/>
  <c r="C1088" i="15"/>
  <c r="D1088" i="15"/>
  <c r="E1088" i="15"/>
  <c r="F1088" i="15"/>
  <c r="G1088" i="15"/>
  <c r="H1088" i="15"/>
  <c r="I1088" i="15"/>
  <c r="J1088" i="15"/>
  <c r="K1088" i="15"/>
  <c r="L1088" i="15"/>
  <c r="M1088" i="15"/>
  <c r="N1088" i="15"/>
  <c r="A1089" i="15"/>
  <c r="B1089" i="15"/>
  <c r="C1089" i="15"/>
  <c r="D1089" i="15"/>
  <c r="E1089" i="15"/>
  <c r="F1089" i="15"/>
  <c r="G1089" i="15"/>
  <c r="H1089" i="15"/>
  <c r="I1089" i="15"/>
  <c r="J1089" i="15"/>
  <c r="K1089" i="15"/>
  <c r="L1089" i="15"/>
  <c r="M1089" i="15"/>
  <c r="N1089" i="15"/>
  <c r="A1090" i="15"/>
  <c r="B1090" i="15"/>
  <c r="C1090" i="15"/>
  <c r="D1090" i="15"/>
  <c r="E1090" i="15"/>
  <c r="F1090" i="15"/>
  <c r="G1090" i="15"/>
  <c r="H1090" i="15"/>
  <c r="I1090" i="15"/>
  <c r="J1090" i="15"/>
  <c r="K1090" i="15"/>
  <c r="L1090" i="15"/>
  <c r="M1090" i="15"/>
  <c r="N1090" i="15"/>
  <c r="A1091" i="15"/>
  <c r="B1091" i="15"/>
  <c r="C1091" i="15"/>
  <c r="D1091" i="15"/>
  <c r="E1091" i="15"/>
  <c r="F1091" i="15"/>
  <c r="G1091" i="15"/>
  <c r="H1091" i="15"/>
  <c r="I1091" i="15"/>
  <c r="J1091" i="15"/>
  <c r="K1091" i="15"/>
  <c r="L1091" i="15"/>
  <c r="M1091" i="15"/>
  <c r="N1091" i="15"/>
  <c r="A1092" i="15"/>
  <c r="B1092" i="15"/>
  <c r="C1092" i="15"/>
  <c r="D1092" i="15"/>
  <c r="E1092" i="15"/>
  <c r="F1092" i="15"/>
  <c r="G1092" i="15"/>
  <c r="H1092" i="15"/>
  <c r="I1092" i="15"/>
  <c r="J1092" i="15"/>
  <c r="K1092" i="15"/>
  <c r="L1092" i="15"/>
  <c r="M1092" i="15"/>
  <c r="N1092" i="15"/>
  <c r="A1093" i="15"/>
  <c r="B1093" i="15"/>
  <c r="C1093" i="15"/>
  <c r="D1093" i="15"/>
  <c r="E1093" i="15"/>
  <c r="F1093" i="15"/>
  <c r="G1093" i="15"/>
  <c r="H1093" i="15"/>
  <c r="I1093" i="15"/>
  <c r="J1093" i="15"/>
  <c r="K1093" i="15"/>
  <c r="L1093" i="15"/>
  <c r="M1093" i="15"/>
  <c r="N1093" i="15"/>
  <c r="A1094" i="15"/>
  <c r="B1094" i="15"/>
  <c r="C1094" i="15"/>
  <c r="D1094" i="15"/>
  <c r="E1094" i="15"/>
  <c r="F1094" i="15"/>
  <c r="G1094" i="15"/>
  <c r="H1094" i="15"/>
  <c r="I1094" i="15"/>
  <c r="J1094" i="15"/>
  <c r="K1094" i="15"/>
  <c r="L1094" i="15"/>
  <c r="M1094" i="15"/>
  <c r="N1094" i="15"/>
  <c r="A1095" i="15"/>
  <c r="B1095" i="15"/>
  <c r="C1095" i="15"/>
  <c r="D1095" i="15"/>
  <c r="E1095" i="15"/>
  <c r="F1095" i="15"/>
  <c r="G1095" i="15"/>
  <c r="H1095" i="15"/>
  <c r="I1095" i="15"/>
  <c r="J1095" i="15"/>
  <c r="K1095" i="15"/>
  <c r="L1095" i="15"/>
  <c r="M1095" i="15"/>
  <c r="N1095" i="15"/>
  <c r="A1096" i="15"/>
  <c r="B1096" i="15"/>
  <c r="C1096" i="15"/>
  <c r="D1096" i="15"/>
  <c r="E1096" i="15"/>
  <c r="F1096" i="15"/>
  <c r="G1096" i="15"/>
  <c r="H1096" i="15"/>
  <c r="I1096" i="15"/>
  <c r="J1096" i="15"/>
  <c r="K1096" i="15"/>
  <c r="L1096" i="15"/>
  <c r="M1096" i="15"/>
  <c r="N1096" i="15"/>
  <c r="A1097" i="15"/>
  <c r="B1097" i="15"/>
  <c r="C1097" i="15"/>
  <c r="D1097" i="15"/>
  <c r="E1097" i="15"/>
  <c r="F1097" i="15"/>
  <c r="G1097" i="15"/>
  <c r="H1097" i="15"/>
  <c r="I1097" i="15"/>
  <c r="J1097" i="15"/>
  <c r="K1097" i="15"/>
  <c r="L1097" i="15"/>
  <c r="M1097" i="15"/>
  <c r="N1097" i="15"/>
  <c r="A1098" i="15"/>
  <c r="B1098" i="15"/>
  <c r="C1098" i="15"/>
  <c r="D1098" i="15"/>
  <c r="E1098" i="15"/>
  <c r="F1098" i="15"/>
  <c r="G1098" i="15"/>
  <c r="H1098" i="15"/>
  <c r="I1098" i="15"/>
  <c r="J1098" i="15"/>
  <c r="K1098" i="15"/>
  <c r="L1098" i="15"/>
  <c r="M1098" i="15"/>
  <c r="N1098" i="15"/>
  <c r="A1099" i="15"/>
  <c r="B1099" i="15"/>
  <c r="C1099" i="15"/>
  <c r="D1099" i="15"/>
  <c r="E1099" i="15"/>
  <c r="F1099" i="15"/>
  <c r="G1099" i="15"/>
  <c r="H1099" i="15"/>
  <c r="I1099" i="15"/>
  <c r="J1099" i="15"/>
  <c r="K1099" i="15"/>
  <c r="L1099" i="15"/>
  <c r="M1099" i="15"/>
  <c r="N1099" i="15"/>
  <c r="A1100" i="15"/>
  <c r="B1100" i="15"/>
  <c r="C1100" i="15"/>
  <c r="D1100" i="15"/>
  <c r="E1100" i="15"/>
  <c r="F1100" i="15"/>
  <c r="G1100" i="15"/>
  <c r="H1100" i="15"/>
  <c r="I1100" i="15"/>
  <c r="J1100" i="15"/>
  <c r="K1100" i="15"/>
  <c r="L1100" i="15"/>
  <c r="M1100" i="15"/>
  <c r="N1100" i="15"/>
  <c r="A1101" i="15"/>
  <c r="B1101" i="15"/>
  <c r="C1101" i="15"/>
  <c r="D1101" i="15"/>
  <c r="E1101" i="15"/>
  <c r="F1101" i="15"/>
  <c r="G1101" i="15"/>
  <c r="H1101" i="15"/>
  <c r="I1101" i="15"/>
  <c r="J1101" i="15"/>
  <c r="K1101" i="15"/>
  <c r="L1101" i="15"/>
  <c r="M1101" i="15"/>
  <c r="N1101" i="15"/>
  <c r="A1102" i="15"/>
  <c r="B1102" i="15"/>
  <c r="C1102" i="15"/>
  <c r="D1102" i="15"/>
  <c r="E1102" i="15"/>
  <c r="F1102" i="15"/>
  <c r="G1102" i="15"/>
  <c r="H1102" i="15"/>
  <c r="I1102" i="15"/>
  <c r="J1102" i="15"/>
  <c r="K1102" i="15"/>
  <c r="L1102" i="15"/>
  <c r="M1102" i="15"/>
  <c r="N1102" i="15"/>
  <c r="A1103" i="15"/>
  <c r="B1103" i="15"/>
  <c r="C1103" i="15"/>
  <c r="D1103" i="15"/>
  <c r="E1103" i="15"/>
  <c r="F1103" i="15"/>
  <c r="G1103" i="15"/>
  <c r="H1103" i="15"/>
  <c r="I1103" i="15"/>
  <c r="J1103" i="15"/>
  <c r="K1103" i="15"/>
  <c r="L1103" i="15"/>
  <c r="M1103" i="15"/>
  <c r="N1103" i="15"/>
  <c r="A1104" i="15"/>
  <c r="B1104" i="15"/>
  <c r="C1104" i="15"/>
  <c r="D1104" i="15"/>
  <c r="E1104" i="15"/>
  <c r="F1104" i="15"/>
  <c r="G1104" i="15"/>
  <c r="H1104" i="15"/>
  <c r="I1104" i="15"/>
  <c r="J1104" i="15"/>
  <c r="K1104" i="15"/>
  <c r="L1104" i="15"/>
  <c r="M1104" i="15"/>
  <c r="N1104" i="15"/>
  <c r="A1105" i="15"/>
  <c r="B1105" i="15"/>
  <c r="C1105" i="15"/>
  <c r="D1105" i="15"/>
  <c r="E1105" i="15"/>
  <c r="F1105" i="15"/>
  <c r="G1105" i="15"/>
  <c r="H1105" i="15"/>
  <c r="I1105" i="15"/>
  <c r="J1105" i="15"/>
  <c r="K1105" i="15"/>
  <c r="L1105" i="15"/>
  <c r="M1105" i="15"/>
  <c r="N1105" i="15"/>
  <c r="A1106" i="15"/>
  <c r="B1106" i="15"/>
  <c r="C1106" i="15"/>
  <c r="D1106" i="15"/>
  <c r="E1106" i="15"/>
  <c r="F1106" i="15"/>
  <c r="G1106" i="15"/>
  <c r="H1106" i="15"/>
  <c r="I1106" i="15"/>
  <c r="J1106" i="15"/>
  <c r="K1106" i="15"/>
  <c r="L1106" i="15"/>
  <c r="M1106" i="15"/>
  <c r="N1106" i="15"/>
  <c r="A1107" i="15"/>
  <c r="B1107" i="15"/>
  <c r="C1107" i="15"/>
  <c r="D1107" i="15"/>
  <c r="E1107" i="15"/>
  <c r="F1107" i="15"/>
  <c r="G1107" i="15"/>
  <c r="H1107" i="15"/>
  <c r="I1107" i="15"/>
  <c r="J1107" i="15"/>
  <c r="K1107" i="15"/>
  <c r="L1107" i="15"/>
  <c r="M1107" i="15"/>
  <c r="N1107" i="15"/>
  <c r="A1108" i="15"/>
  <c r="B1108" i="15"/>
  <c r="C1108" i="15"/>
  <c r="D1108" i="15"/>
  <c r="E1108" i="15"/>
  <c r="F1108" i="15"/>
  <c r="G1108" i="15"/>
  <c r="H1108" i="15"/>
  <c r="I1108" i="15"/>
  <c r="J1108" i="15"/>
  <c r="K1108" i="15"/>
  <c r="L1108" i="15"/>
  <c r="M1108" i="15"/>
  <c r="N1108" i="15"/>
  <c r="A1109" i="15"/>
  <c r="B1109" i="15"/>
  <c r="C1109" i="15"/>
  <c r="D1109" i="15"/>
  <c r="E1109" i="15"/>
  <c r="F1109" i="15"/>
  <c r="G1109" i="15"/>
  <c r="H1109" i="15"/>
  <c r="I1109" i="15"/>
  <c r="J1109" i="15"/>
  <c r="K1109" i="15"/>
  <c r="L1109" i="15"/>
  <c r="M1109" i="15"/>
  <c r="N1109" i="15"/>
  <c r="A1110" i="15"/>
  <c r="B1110" i="15"/>
  <c r="C1110" i="15"/>
  <c r="D1110" i="15"/>
  <c r="E1110" i="15"/>
  <c r="F1110" i="15"/>
  <c r="G1110" i="15"/>
  <c r="H1110" i="15"/>
  <c r="I1110" i="15"/>
  <c r="J1110" i="15"/>
  <c r="K1110" i="15"/>
  <c r="L1110" i="15"/>
  <c r="M1110" i="15"/>
  <c r="N1110" i="15"/>
  <c r="A1111" i="15"/>
  <c r="B1111" i="15"/>
  <c r="C1111" i="15"/>
  <c r="D1111" i="15"/>
  <c r="E1111" i="15"/>
  <c r="F1111" i="15"/>
  <c r="G1111" i="15"/>
  <c r="H1111" i="15"/>
  <c r="I1111" i="15"/>
  <c r="J1111" i="15"/>
  <c r="K1111" i="15"/>
  <c r="L1111" i="15"/>
  <c r="M1111" i="15"/>
  <c r="N1111" i="15"/>
  <c r="A1112" i="15"/>
  <c r="B1112" i="15"/>
  <c r="C1112" i="15"/>
  <c r="D1112" i="15"/>
  <c r="E1112" i="15"/>
  <c r="F1112" i="15"/>
  <c r="G1112" i="15"/>
  <c r="H1112" i="15"/>
  <c r="I1112" i="15"/>
  <c r="J1112" i="15"/>
  <c r="K1112" i="15"/>
  <c r="L1112" i="15"/>
  <c r="M1112" i="15"/>
  <c r="N1112" i="15"/>
  <c r="A1113" i="15"/>
  <c r="B1113" i="15"/>
  <c r="C1113" i="15"/>
  <c r="D1113" i="15"/>
  <c r="E1113" i="15"/>
  <c r="F1113" i="15"/>
  <c r="G1113" i="15"/>
  <c r="H1113" i="15"/>
  <c r="I1113" i="15"/>
  <c r="J1113" i="15"/>
  <c r="K1113" i="15"/>
  <c r="L1113" i="15"/>
  <c r="M1113" i="15"/>
  <c r="N1113" i="15"/>
  <c r="A1114" i="15"/>
  <c r="B1114" i="15"/>
  <c r="C1114" i="15"/>
  <c r="D1114" i="15"/>
  <c r="E1114" i="15"/>
  <c r="F1114" i="15"/>
  <c r="G1114" i="15"/>
  <c r="H1114" i="15"/>
  <c r="I1114" i="15"/>
  <c r="J1114" i="15"/>
  <c r="K1114" i="15"/>
  <c r="L1114" i="15"/>
  <c r="M1114" i="15"/>
  <c r="N1114" i="15"/>
  <c r="A1115" i="15"/>
  <c r="B1115" i="15"/>
  <c r="C1115" i="15"/>
  <c r="D1115" i="15"/>
  <c r="E1115" i="15"/>
  <c r="F1115" i="15"/>
  <c r="G1115" i="15"/>
  <c r="H1115" i="15"/>
  <c r="I1115" i="15"/>
  <c r="J1115" i="15"/>
  <c r="K1115" i="15"/>
  <c r="L1115" i="15"/>
  <c r="M1115" i="15"/>
  <c r="N1115" i="15"/>
  <c r="A1116" i="15"/>
  <c r="B1116" i="15"/>
  <c r="C1116" i="15"/>
  <c r="D1116" i="15"/>
  <c r="E1116" i="15"/>
  <c r="F1116" i="15"/>
  <c r="G1116" i="15"/>
  <c r="H1116" i="15"/>
  <c r="I1116" i="15"/>
  <c r="J1116" i="15"/>
  <c r="K1116" i="15"/>
  <c r="L1116" i="15"/>
  <c r="M1116" i="15"/>
  <c r="N1116" i="15"/>
  <c r="A1117" i="15"/>
  <c r="B1117" i="15"/>
  <c r="C1117" i="15"/>
  <c r="D1117" i="15"/>
  <c r="E1117" i="15"/>
  <c r="F1117" i="15"/>
  <c r="G1117" i="15"/>
  <c r="H1117" i="15"/>
  <c r="I1117" i="15"/>
  <c r="J1117" i="15"/>
  <c r="K1117" i="15"/>
  <c r="L1117" i="15"/>
  <c r="M1117" i="15"/>
  <c r="N1117" i="15"/>
  <c r="A1118" i="15"/>
  <c r="B1118" i="15"/>
  <c r="C1118" i="15"/>
  <c r="D1118" i="15"/>
  <c r="E1118" i="15"/>
  <c r="F1118" i="15"/>
  <c r="G1118" i="15"/>
  <c r="H1118" i="15"/>
  <c r="I1118" i="15"/>
  <c r="J1118" i="15"/>
  <c r="K1118" i="15"/>
  <c r="L1118" i="15"/>
  <c r="M1118" i="15"/>
  <c r="N1118" i="15"/>
  <c r="A1119" i="15"/>
  <c r="B1119" i="15"/>
  <c r="C1119" i="15"/>
  <c r="D1119" i="15"/>
  <c r="E1119" i="15"/>
  <c r="F1119" i="15"/>
  <c r="G1119" i="15"/>
  <c r="H1119" i="15"/>
  <c r="I1119" i="15"/>
  <c r="J1119" i="15"/>
  <c r="K1119" i="15"/>
  <c r="L1119" i="15"/>
  <c r="M1119" i="15"/>
  <c r="N1119" i="15"/>
  <c r="A1120" i="15"/>
  <c r="B1120" i="15"/>
  <c r="C1120" i="15"/>
  <c r="D1120" i="15"/>
  <c r="E1120" i="15"/>
  <c r="F1120" i="15"/>
  <c r="G1120" i="15"/>
  <c r="H1120" i="15"/>
  <c r="I1120" i="15"/>
  <c r="J1120" i="15"/>
  <c r="K1120" i="15"/>
  <c r="L1120" i="15"/>
  <c r="M1120" i="15"/>
  <c r="N1120" i="15"/>
  <c r="A1121" i="15"/>
  <c r="B1121" i="15"/>
  <c r="C1121" i="15"/>
  <c r="D1121" i="15"/>
  <c r="E1121" i="15"/>
  <c r="F1121" i="15"/>
  <c r="G1121" i="15"/>
  <c r="H1121" i="15"/>
  <c r="I1121" i="15"/>
  <c r="J1121" i="15"/>
  <c r="K1121" i="15"/>
  <c r="L1121" i="15"/>
  <c r="M1121" i="15"/>
  <c r="N1121" i="15"/>
  <c r="A1122" i="15"/>
  <c r="B1122" i="15"/>
  <c r="C1122" i="15"/>
  <c r="D1122" i="15"/>
  <c r="E1122" i="15"/>
  <c r="F1122" i="15"/>
  <c r="G1122" i="15"/>
  <c r="H1122" i="15"/>
  <c r="I1122" i="15"/>
  <c r="J1122" i="15"/>
  <c r="K1122" i="15"/>
  <c r="L1122" i="15"/>
  <c r="M1122" i="15"/>
  <c r="N1122" i="15"/>
  <c r="A1123" i="15"/>
  <c r="B1123" i="15"/>
  <c r="C1123" i="15"/>
  <c r="D1123" i="15"/>
  <c r="E1123" i="15"/>
  <c r="F1123" i="15"/>
  <c r="G1123" i="15"/>
  <c r="H1123" i="15"/>
  <c r="I1123" i="15"/>
  <c r="J1123" i="15"/>
  <c r="K1123" i="15"/>
  <c r="L1123" i="15"/>
  <c r="M1123" i="15"/>
  <c r="N1123" i="15"/>
  <c r="A1124" i="15"/>
  <c r="B1124" i="15"/>
  <c r="C1124" i="15"/>
  <c r="D1124" i="15"/>
  <c r="E1124" i="15"/>
  <c r="F1124" i="15"/>
  <c r="G1124" i="15"/>
  <c r="H1124" i="15"/>
  <c r="I1124" i="15"/>
  <c r="J1124" i="15"/>
  <c r="K1124" i="15"/>
  <c r="L1124" i="15"/>
  <c r="M1124" i="15"/>
  <c r="N1124" i="15"/>
  <c r="A1125" i="15"/>
  <c r="B1125" i="15"/>
  <c r="C1125" i="15"/>
  <c r="D1125" i="15"/>
  <c r="E1125" i="15"/>
  <c r="F1125" i="15"/>
  <c r="G1125" i="15"/>
  <c r="H1125" i="15"/>
  <c r="I1125" i="15"/>
  <c r="J1125" i="15"/>
  <c r="K1125" i="15"/>
  <c r="L1125" i="15"/>
  <c r="M1125" i="15"/>
  <c r="N1125" i="15"/>
  <c r="A1126" i="15"/>
  <c r="B1126" i="15"/>
  <c r="C1126" i="15"/>
  <c r="D1126" i="15"/>
  <c r="E1126" i="15"/>
  <c r="F1126" i="15"/>
  <c r="G1126" i="15"/>
  <c r="H1126" i="15"/>
  <c r="I1126" i="15"/>
  <c r="J1126" i="15"/>
  <c r="K1126" i="15"/>
  <c r="L1126" i="15"/>
  <c r="M1126" i="15"/>
  <c r="N1126" i="15"/>
  <c r="A1127" i="15"/>
  <c r="B1127" i="15"/>
  <c r="C1127" i="15"/>
  <c r="D1127" i="15"/>
  <c r="E1127" i="15"/>
  <c r="F1127" i="15"/>
  <c r="G1127" i="15"/>
  <c r="H1127" i="15"/>
  <c r="I1127" i="15"/>
  <c r="J1127" i="15"/>
  <c r="K1127" i="15"/>
  <c r="L1127" i="15"/>
  <c r="M1127" i="15"/>
  <c r="N1127" i="15"/>
  <c r="A1128" i="15"/>
  <c r="B1128" i="15"/>
  <c r="C1128" i="15"/>
  <c r="D1128" i="15"/>
  <c r="E1128" i="15"/>
  <c r="F1128" i="15"/>
  <c r="G1128" i="15"/>
  <c r="H1128" i="15"/>
  <c r="I1128" i="15"/>
  <c r="J1128" i="15"/>
  <c r="K1128" i="15"/>
  <c r="L1128" i="15"/>
  <c r="M1128" i="15"/>
  <c r="N1128" i="15"/>
  <c r="A1129" i="15"/>
  <c r="B1129" i="15"/>
  <c r="C1129" i="15"/>
  <c r="D1129" i="15"/>
  <c r="E1129" i="15"/>
  <c r="F1129" i="15"/>
  <c r="G1129" i="15"/>
  <c r="H1129" i="15"/>
  <c r="I1129" i="15"/>
  <c r="J1129" i="15"/>
  <c r="K1129" i="15"/>
  <c r="L1129" i="15"/>
  <c r="M1129" i="15"/>
  <c r="N1129" i="15"/>
  <c r="A1130" i="15"/>
  <c r="B1130" i="15"/>
  <c r="C1130" i="15"/>
  <c r="D1130" i="15"/>
  <c r="E1130" i="15"/>
  <c r="F1130" i="15"/>
  <c r="G1130" i="15"/>
  <c r="H1130" i="15"/>
  <c r="I1130" i="15"/>
  <c r="J1130" i="15"/>
  <c r="K1130" i="15"/>
  <c r="L1130" i="15"/>
  <c r="M1130" i="15"/>
  <c r="N1130" i="15"/>
  <c r="A1131" i="15"/>
  <c r="B1131" i="15"/>
  <c r="C1131" i="15"/>
  <c r="D1131" i="15"/>
  <c r="E1131" i="15"/>
  <c r="F1131" i="15"/>
  <c r="G1131" i="15"/>
  <c r="H1131" i="15"/>
  <c r="I1131" i="15"/>
  <c r="J1131" i="15"/>
  <c r="K1131" i="15"/>
  <c r="L1131" i="15"/>
  <c r="M1131" i="15"/>
  <c r="N1131" i="15"/>
  <c r="A1132" i="15"/>
  <c r="B1132" i="15"/>
  <c r="C1132" i="15"/>
  <c r="D1132" i="15"/>
  <c r="E1132" i="15"/>
  <c r="F1132" i="15"/>
  <c r="G1132" i="15"/>
  <c r="H1132" i="15"/>
  <c r="I1132" i="15"/>
  <c r="J1132" i="15"/>
  <c r="K1132" i="15"/>
  <c r="L1132" i="15"/>
  <c r="M1132" i="15"/>
  <c r="N1132" i="15"/>
  <c r="A1133" i="15"/>
  <c r="B1133" i="15"/>
  <c r="C1133" i="15"/>
  <c r="D1133" i="15"/>
  <c r="E1133" i="15"/>
  <c r="F1133" i="15"/>
  <c r="G1133" i="15"/>
  <c r="H1133" i="15"/>
  <c r="I1133" i="15"/>
  <c r="J1133" i="15"/>
  <c r="K1133" i="15"/>
  <c r="L1133" i="15"/>
  <c r="M1133" i="15"/>
  <c r="N1133" i="15"/>
  <c r="A1134" i="15"/>
  <c r="B1134" i="15"/>
  <c r="C1134" i="15"/>
  <c r="D1134" i="15"/>
  <c r="E1134" i="15"/>
  <c r="F1134" i="15"/>
  <c r="G1134" i="15"/>
  <c r="H1134" i="15"/>
  <c r="I1134" i="15"/>
  <c r="J1134" i="15"/>
  <c r="K1134" i="15"/>
  <c r="L1134" i="15"/>
  <c r="M1134" i="15"/>
  <c r="N1134" i="15"/>
  <c r="A1135" i="15"/>
  <c r="B1135" i="15"/>
  <c r="C1135" i="15"/>
  <c r="D1135" i="15"/>
  <c r="E1135" i="15"/>
  <c r="F1135" i="15"/>
  <c r="G1135" i="15"/>
  <c r="H1135" i="15"/>
  <c r="I1135" i="15"/>
  <c r="J1135" i="15"/>
  <c r="K1135" i="15"/>
  <c r="L1135" i="15"/>
  <c r="M1135" i="15"/>
  <c r="N1135" i="15"/>
  <c r="A1136" i="15"/>
  <c r="B1136" i="15"/>
  <c r="C1136" i="15"/>
  <c r="D1136" i="15"/>
  <c r="E1136" i="15"/>
  <c r="F1136" i="15"/>
  <c r="G1136" i="15"/>
  <c r="H1136" i="15"/>
  <c r="I1136" i="15"/>
  <c r="J1136" i="15"/>
  <c r="K1136" i="15"/>
  <c r="L1136" i="15"/>
  <c r="M1136" i="15"/>
  <c r="N1136" i="15"/>
  <c r="A1137" i="15"/>
  <c r="B1137" i="15"/>
  <c r="C1137" i="15"/>
  <c r="D1137" i="15"/>
  <c r="E1137" i="15"/>
  <c r="F1137" i="15"/>
  <c r="G1137" i="15"/>
  <c r="H1137" i="15"/>
  <c r="I1137" i="15"/>
  <c r="J1137" i="15"/>
  <c r="K1137" i="15"/>
  <c r="L1137" i="15"/>
  <c r="M1137" i="15"/>
  <c r="N1137" i="15"/>
  <c r="A1138" i="15"/>
  <c r="B1138" i="15"/>
  <c r="C1138" i="15"/>
  <c r="D1138" i="15"/>
  <c r="E1138" i="15"/>
  <c r="F1138" i="15"/>
  <c r="G1138" i="15"/>
  <c r="H1138" i="15"/>
  <c r="I1138" i="15"/>
  <c r="J1138" i="15"/>
  <c r="K1138" i="15"/>
  <c r="L1138" i="15"/>
  <c r="M1138" i="15"/>
  <c r="N1138" i="15"/>
  <c r="A1139" i="15"/>
  <c r="B1139" i="15"/>
  <c r="C1139" i="15"/>
  <c r="D1139" i="15"/>
  <c r="E1139" i="15"/>
  <c r="F1139" i="15"/>
  <c r="G1139" i="15"/>
  <c r="H1139" i="15"/>
  <c r="I1139" i="15"/>
  <c r="J1139" i="15"/>
  <c r="K1139" i="15"/>
  <c r="L1139" i="15"/>
  <c r="M1139" i="15"/>
  <c r="N1139" i="15"/>
  <c r="A1140" i="15"/>
  <c r="B1140" i="15"/>
  <c r="C1140" i="15"/>
  <c r="D1140" i="15"/>
  <c r="E1140" i="15"/>
  <c r="F1140" i="15"/>
  <c r="G1140" i="15"/>
  <c r="H1140" i="15"/>
  <c r="I1140" i="15"/>
  <c r="J1140" i="15"/>
  <c r="K1140" i="15"/>
  <c r="L1140" i="15"/>
  <c r="M1140" i="15"/>
  <c r="N1140" i="15"/>
  <c r="A1141" i="15"/>
  <c r="B1141" i="15"/>
  <c r="C1141" i="15"/>
  <c r="D1141" i="15"/>
  <c r="E1141" i="15"/>
  <c r="F1141" i="15"/>
  <c r="G1141" i="15"/>
  <c r="H1141" i="15"/>
  <c r="I1141" i="15"/>
  <c r="J1141" i="15"/>
  <c r="K1141" i="15"/>
  <c r="L1141" i="15"/>
  <c r="M1141" i="15"/>
  <c r="N1141" i="15"/>
  <c r="A1142" i="15"/>
  <c r="B1142" i="15"/>
  <c r="C1142" i="15"/>
  <c r="D1142" i="15"/>
  <c r="E1142" i="15"/>
  <c r="F1142" i="15"/>
  <c r="G1142" i="15"/>
  <c r="H1142" i="15"/>
  <c r="I1142" i="15"/>
  <c r="J1142" i="15"/>
  <c r="K1142" i="15"/>
  <c r="L1142" i="15"/>
  <c r="M1142" i="15"/>
  <c r="N1142" i="15"/>
  <c r="A1143" i="15"/>
  <c r="B1143" i="15"/>
  <c r="C1143" i="15"/>
  <c r="D1143" i="15"/>
  <c r="E1143" i="15"/>
  <c r="F1143" i="15"/>
  <c r="G1143" i="15"/>
  <c r="H1143" i="15"/>
  <c r="I1143" i="15"/>
  <c r="J1143" i="15"/>
  <c r="K1143" i="15"/>
  <c r="L1143" i="15"/>
  <c r="M1143" i="15"/>
  <c r="N1143" i="15"/>
  <c r="A1144" i="15"/>
  <c r="B1144" i="15"/>
  <c r="C1144" i="15"/>
  <c r="D1144" i="15"/>
  <c r="E1144" i="15"/>
  <c r="F1144" i="15"/>
  <c r="G1144" i="15"/>
  <c r="H1144" i="15"/>
  <c r="I1144" i="15"/>
  <c r="J1144" i="15"/>
  <c r="K1144" i="15"/>
  <c r="L1144" i="15"/>
  <c r="M1144" i="15"/>
  <c r="N1144" i="15"/>
  <c r="A1145" i="15"/>
  <c r="B1145" i="15"/>
  <c r="C1145" i="15"/>
  <c r="D1145" i="15"/>
  <c r="E1145" i="15"/>
  <c r="F1145" i="15"/>
  <c r="G1145" i="15"/>
  <c r="H1145" i="15"/>
  <c r="I1145" i="15"/>
  <c r="J1145" i="15"/>
  <c r="K1145" i="15"/>
  <c r="L1145" i="15"/>
  <c r="M1145" i="15"/>
  <c r="N1145" i="15"/>
  <c r="A1146" i="15"/>
  <c r="B1146" i="15"/>
  <c r="C1146" i="15"/>
  <c r="D1146" i="15"/>
  <c r="E1146" i="15"/>
  <c r="F1146" i="15"/>
  <c r="G1146" i="15"/>
  <c r="H1146" i="15"/>
  <c r="I1146" i="15"/>
  <c r="J1146" i="15"/>
  <c r="K1146" i="15"/>
  <c r="L1146" i="15"/>
  <c r="M1146" i="15"/>
  <c r="N1146" i="15"/>
  <c r="A1147" i="15"/>
  <c r="B1147" i="15"/>
  <c r="C1147" i="15"/>
  <c r="D1147" i="15"/>
  <c r="E1147" i="15"/>
  <c r="F1147" i="15"/>
  <c r="G1147" i="15"/>
  <c r="H1147" i="15"/>
  <c r="I1147" i="15"/>
  <c r="J1147" i="15"/>
  <c r="K1147" i="15"/>
  <c r="L1147" i="15"/>
  <c r="M1147" i="15"/>
  <c r="N1147" i="15"/>
  <c r="A1148" i="15"/>
  <c r="B1148" i="15"/>
  <c r="C1148" i="15"/>
  <c r="D1148" i="15"/>
  <c r="E1148" i="15"/>
  <c r="F1148" i="15"/>
  <c r="G1148" i="15"/>
  <c r="H1148" i="15"/>
  <c r="I1148" i="15"/>
  <c r="J1148" i="15"/>
  <c r="K1148" i="15"/>
  <c r="L1148" i="15"/>
  <c r="M1148" i="15"/>
  <c r="N1148" i="15"/>
  <c r="A1149" i="15"/>
  <c r="B1149" i="15"/>
  <c r="C1149" i="15"/>
  <c r="D1149" i="15"/>
  <c r="E1149" i="15"/>
  <c r="F1149" i="15"/>
  <c r="G1149" i="15"/>
  <c r="H1149" i="15"/>
  <c r="I1149" i="15"/>
  <c r="J1149" i="15"/>
  <c r="K1149" i="15"/>
  <c r="L1149" i="15"/>
  <c r="M1149" i="15"/>
  <c r="N1149" i="15"/>
  <c r="A1150" i="15"/>
  <c r="B1150" i="15"/>
  <c r="C1150" i="15"/>
  <c r="D1150" i="15"/>
  <c r="E1150" i="15"/>
  <c r="F1150" i="15"/>
  <c r="G1150" i="15"/>
  <c r="H1150" i="15"/>
  <c r="I1150" i="15"/>
  <c r="J1150" i="15"/>
  <c r="K1150" i="15"/>
  <c r="L1150" i="15"/>
  <c r="M1150" i="15"/>
  <c r="N1150" i="15"/>
  <c r="A1151" i="15"/>
  <c r="B1151" i="15"/>
  <c r="C1151" i="15"/>
  <c r="D1151" i="15"/>
  <c r="E1151" i="15"/>
  <c r="F1151" i="15"/>
  <c r="G1151" i="15"/>
  <c r="H1151" i="15"/>
  <c r="I1151" i="15"/>
  <c r="J1151" i="15"/>
  <c r="K1151" i="15"/>
  <c r="L1151" i="15"/>
  <c r="M1151" i="15"/>
  <c r="N1151" i="15"/>
  <c r="A1152" i="15"/>
  <c r="B1152" i="15"/>
  <c r="C1152" i="15"/>
  <c r="D1152" i="15"/>
  <c r="E1152" i="15"/>
  <c r="F1152" i="15"/>
  <c r="G1152" i="15"/>
  <c r="H1152" i="15"/>
  <c r="I1152" i="15"/>
  <c r="J1152" i="15"/>
  <c r="K1152" i="15"/>
  <c r="L1152" i="15"/>
  <c r="M1152" i="15"/>
  <c r="N1152" i="15"/>
  <c r="A1153" i="15"/>
  <c r="B1153" i="15"/>
  <c r="C1153" i="15"/>
  <c r="D1153" i="15"/>
  <c r="E1153" i="15"/>
  <c r="F1153" i="15"/>
  <c r="G1153" i="15"/>
  <c r="H1153" i="15"/>
  <c r="I1153" i="15"/>
  <c r="J1153" i="15"/>
  <c r="K1153" i="15"/>
  <c r="L1153" i="15"/>
  <c r="M1153" i="15"/>
  <c r="N1153" i="15"/>
  <c r="A1154" i="15"/>
  <c r="B1154" i="15"/>
  <c r="C1154" i="15"/>
  <c r="D1154" i="15"/>
  <c r="E1154" i="15"/>
  <c r="F1154" i="15"/>
  <c r="G1154" i="15"/>
  <c r="H1154" i="15"/>
  <c r="I1154" i="15"/>
  <c r="J1154" i="15"/>
  <c r="K1154" i="15"/>
  <c r="L1154" i="15"/>
  <c r="M1154" i="15"/>
  <c r="N1154" i="15"/>
  <c r="A1155" i="15"/>
  <c r="B1155" i="15"/>
  <c r="C1155" i="15"/>
  <c r="D1155" i="15"/>
  <c r="E1155" i="15"/>
  <c r="F1155" i="15"/>
  <c r="G1155" i="15"/>
  <c r="H1155" i="15"/>
  <c r="I1155" i="15"/>
  <c r="J1155" i="15"/>
  <c r="K1155" i="15"/>
  <c r="L1155" i="15"/>
  <c r="M1155" i="15"/>
  <c r="N1155" i="15"/>
  <c r="A1156" i="15"/>
  <c r="B1156" i="15"/>
  <c r="C1156" i="15"/>
  <c r="D1156" i="15"/>
  <c r="E1156" i="15"/>
  <c r="F1156" i="15"/>
  <c r="G1156" i="15"/>
  <c r="H1156" i="15"/>
  <c r="I1156" i="15"/>
  <c r="J1156" i="15"/>
  <c r="K1156" i="15"/>
  <c r="L1156" i="15"/>
  <c r="M1156" i="15"/>
  <c r="N1156" i="15"/>
  <c r="A1157" i="15"/>
  <c r="B1157" i="15"/>
  <c r="C1157" i="15"/>
  <c r="D1157" i="15"/>
  <c r="E1157" i="15"/>
  <c r="F1157" i="15"/>
  <c r="G1157" i="15"/>
  <c r="H1157" i="15"/>
  <c r="I1157" i="15"/>
  <c r="J1157" i="15"/>
  <c r="K1157" i="15"/>
  <c r="L1157" i="15"/>
  <c r="M1157" i="15"/>
  <c r="N1157" i="15"/>
  <c r="A1158" i="15"/>
  <c r="B1158" i="15"/>
  <c r="C1158" i="15"/>
  <c r="D1158" i="15"/>
  <c r="E1158" i="15"/>
  <c r="F1158" i="15"/>
  <c r="G1158" i="15"/>
  <c r="H1158" i="15"/>
  <c r="I1158" i="15"/>
  <c r="J1158" i="15"/>
  <c r="K1158" i="15"/>
  <c r="L1158" i="15"/>
  <c r="M1158" i="15"/>
  <c r="N1158" i="15"/>
  <c r="A1159" i="15"/>
  <c r="B1159" i="15"/>
  <c r="C1159" i="15"/>
  <c r="D1159" i="15"/>
  <c r="E1159" i="15"/>
  <c r="F1159" i="15"/>
  <c r="G1159" i="15"/>
  <c r="H1159" i="15"/>
  <c r="I1159" i="15"/>
  <c r="J1159" i="15"/>
  <c r="K1159" i="15"/>
  <c r="L1159" i="15"/>
  <c r="M1159" i="15"/>
  <c r="N1159" i="15"/>
  <c r="A1160" i="15"/>
  <c r="B1160" i="15"/>
  <c r="C1160" i="15"/>
  <c r="D1160" i="15"/>
  <c r="E1160" i="15"/>
  <c r="F1160" i="15"/>
  <c r="G1160" i="15"/>
  <c r="H1160" i="15"/>
  <c r="I1160" i="15"/>
  <c r="J1160" i="15"/>
  <c r="K1160" i="15"/>
  <c r="L1160" i="15"/>
  <c r="M1160" i="15"/>
  <c r="N1160" i="15"/>
  <c r="A1161" i="15"/>
  <c r="B1161" i="15"/>
  <c r="C1161" i="15"/>
  <c r="D1161" i="15"/>
  <c r="E1161" i="15"/>
  <c r="F1161" i="15"/>
  <c r="G1161" i="15"/>
  <c r="H1161" i="15"/>
  <c r="I1161" i="15"/>
  <c r="J1161" i="15"/>
  <c r="K1161" i="15"/>
  <c r="L1161" i="15"/>
  <c r="M1161" i="15"/>
  <c r="N1161" i="15"/>
  <c r="A1162" i="15"/>
  <c r="B1162" i="15"/>
  <c r="C1162" i="15"/>
  <c r="D1162" i="15"/>
  <c r="E1162" i="15"/>
  <c r="F1162" i="15"/>
  <c r="G1162" i="15"/>
  <c r="H1162" i="15"/>
  <c r="I1162" i="15"/>
  <c r="J1162" i="15"/>
  <c r="K1162" i="15"/>
  <c r="L1162" i="15"/>
  <c r="M1162" i="15"/>
  <c r="N1162" i="15"/>
  <c r="A1163" i="15"/>
  <c r="B1163" i="15"/>
  <c r="C1163" i="15"/>
  <c r="D1163" i="15"/>
  <c r="E1163" i="15"/>
  <c r="F1163" i="15"/>
  <c r="G1163" i="15"/>
  <c r="H1163" i="15"/>
  <c r="I1163" i="15"/>
  <c r="J1163" i="15"/>
  <c r="K1163" i="15"/>
  <c r="L1163" i="15"/>
  <c r="M1163" i="15"/>
  <c r="N1163" i="15"/>
  <c r="A1164" i="15"/>
  <c r="B1164" i="15"/>
  <c r="C1164" i="15"/>
  <c r="D1164" i="15"/>
  <c r="E1164" i="15"/>
  <c r="F1164" i="15"/>
  <c r="G1164" i="15"/>
  <c r="H1164" i="15"/>
  <c r="I1164" i="15"/>
  <c r="J1164" i="15"/>
  <c r="K1164" i="15"/>
  <c r="L1164" i="15"/>
  <c r="M1164" i="15"/>
  <c r="N1164" i="15"/>
  <c r="A1165" i="15"/>
  <c r="B1165" i="15"/>
  <c r="C1165" i="15"/>
  <c r="D1165" i="15"/>
  <c r="E1165" i="15"/>
  <c r="F1165" i="15"/>
  <c r="G1165" i="15"/>
  <c r="H1165" i="15"/>
  <c r="I1165" i="15"/>
  <c r="J1165" i="15"/>
  <c r="K1165" i="15"/>
  <c r="L1165" i="15"/>
  <c r="M1165" i="15"/>
  <c r="N1165" i="15"/>
  <c r="A1166" i="15"/>
  <c r="B1166" i="15"/>
  <c r="C1166" i="15"/>
  <c r="D1166" i="15"/>
  <c r="E1166" i="15"/>
  <c r="F1166" i="15"/>
  <c r="G1166" i="15"/>
  <c r="H1166" i="15"/>
  <c r="I1166" i="15"/>
  <c r="J1166" i="15"/>
  <c r="K1166" i="15"/>
  <c r="L1166" i="15"/>
  <c r="M1166" i="15"/>
  <c r="N1166" i="15"/>
  <c r="A1167" i="15"/>
  <c r="B1167" i="15"/>
  <c r="C1167" i="15"/>
  <c r="D1167" i="15"/>
  <c r="E1167" i="15"/>
  <c r="F1167" i="15"/>
  <c r="G1167" i="15"/>
  <c r="H1167" i="15"/>
  <c r="I1167" i="15"/>
  <c r="J1167" i="15"/>
  <c r="K1167" i="15"/>
  <c r="L1167" i="15"/>
  <c r="M1167" i="15"/>
  <c r="N1167" i="15"/>
  <c r="A1168" i="15"/>
  <c r="B1168" i="15"/>
  <c r="C1168" i="15"/>
  <c r="D1168" i="15"/>
  <c r="E1168" i="15"/>
  <c r="F1168" i="15"/>
  <c r="G1168" i="15"/>
  <c r="H1168" i="15"/>
  <c r="I1168" i="15"/>
  <c r="J1168" i="15"/>
  <c r="K1168" i="15"/>
  <c r="L1168" i="15"/>
  <c r="M1168" i="15"/>
  <c r="N1168" i="15"/>
  <c r="A1169" i="15"/>
  <c r="B1169" i="15"/>
  <c r="C1169" i="15"/>
  <c r="D1169" i="15"/>
  <c r="E1169" i="15"/>
  <c r="F1169" i="15"/>
  <c r="G1169" i="15"/>
  <c r="H1169" i="15"/>
  <c r="I1169" i="15"/>
  <c r="J1169" i="15"/>
  <c r="K1169" i="15"/>
  <c r="L1169" i="15"/>
  <c r="M1169" i="15"/>
  <c r="N1169" i="15"/>
  <c r="A1170" i="15"/>
  <c r="B1170" i="15"/>
  <c r="C1170" i="15"/>
  <c r="D1170" i="15"/>
  <c r="E1170" i="15"/>
  <c r="F1170" i="15"/>
  <c r="G1170" i="15"/>
  <c r="H1170" i="15"/>
  <c r="I1170" i="15"/>
  <c r="J1170" i="15"/>
  <c r="K1170" i="15"/>
  <c r="L1170" i="15"/>
  <c r="M1170" i="15"/>
  <c r="N1170" i="15"/>
  <c r="A1171" i="15"/>
  <c r="B1171" i="15"/>
  <c r="C1171" i="15"/>
  <c r="D1171" i="15"/>
  <c r="E1171" i="15"/>
  <c r="F1171" i="15"/>
  <c r="G1171" i="15"/>
  <c r="H1171" i="15"/>
  <c r="I1171" i="15"/>
  <c r="J1171" i="15"/>
  <c r="K1171" i="15"/>
  <c r="L1171" i="15"/>
  <c r="M1171" i="15"/>
  <c r="N1171" i="15"/>
  <c r="A1172" i="15"/>
  <c r="B1172" i="15"/>
  <c r="C1172" i="15"/>
  <c r="D1172" i="15"/>
  <c r="E1172" i="15"/>
  <c r="F1172" i="15"/>
  <c r="G1172" i="15"/>
  <c r="H1172" i="15"/>
  <c r="I1172" i="15"/>
  <c r="J1172" i="15"/>
  <c r="K1172" i="15"/>
  <c r="L1172" i="15"/>
  <c r="M1172" i="15"/>
  <c r="N1172" i="15"/>
  <c r="A1173" i="15"/>
  <c r="B1173" i="15"/>
  <c r="C1173" i="15"/>
  <c r="D1173" i="15"/>
  <c r="E1173" i="15"/>
  <c r="F1173" i="15"/>
  <c r="G1173" i="15"/>
  <c r="H1173" i="15"/>
  <c r="I1173" i="15"/>
  <c r="J1173" i="15"/>
  <c r="K1173" i="15"/>
  <c r="L1173" i="15"/>
  <c r="M1173" i="15"/>
  <c r="N1173" i="15"/>
  <c r="A1174" i="15"/>
  <c r="B1174" i="15"/>
  <c r="C1174" i="15"/>
  <c r="D1174" i="15"/>
  <c r="E1174" i="15"/>
  <c r="F1174" i="15"/>
  <c r="G1174" i="15"/>
  <c r="H1174" i="15"/>
  <c r="I1174" i="15"/>
  <c r="J1174" i="15"/>
  <c r="K1174" i="15"/>
  <c r="L1174" i="15"/>
  <c r="M1174" i="15"/>
  <c r="N1174" i="15"/>
  <c r="A1175" i="15"/>
  <c r="B1175" i="15"/>
  <c r="C1175" i="15"/>
  <c r="D1175" i="15"/>
  <c r="E1175" i="15"/>
  <c r="F1175" i="15"/>
  <c r="G1175" i="15"/>
  <c r="H1175" i="15"/>
  <c r="I1175" i="15"/>
  <c r="J1175" i="15"/>
  <c r="K1175" i="15"/>
  <c r="L1175" i="15"/>
  <c r="M1175" i="15"/>
  <c r="N1175" i="15"/>
  <c r="A1176" i="15"/>
  <c r="B1176" i="15"/>
  <c r="C1176" i="15"/>
  <c r="D1176" i="15"/>
  <c r="E1176" i="15"/>
  <c r="F1176" i="15"/>
  <c r="G1176" i="15"/>
  <c r="H1176" i="15"/>
  <c r="I1176" i="15"/>
  <c r="J1176" i="15"/>
  <c r="K1176" i="15"/>
  <c r="L1176" i="15"/>
  <c r="M1176" i="15"/>
  <c r="N1176" i="15"/>
  <c r="A1177" i="15"/>
  <c r="B1177" i="15"/>
  <c r="C1177" i="15"/>
  <c r="D1177" i="15"/>
  <c r="E1177" i="15"/>
  <c r="F1177" i="15"/>
  <c r="G1177" i="15"/>
  <c r="H1177" i="15"/>
  <c r="I1177" i="15"/>
  <c r="J1177" i="15"/>
  <c r="K1177" i="15"/>
  <c r="L1177" i="15"/>
  <c r="M1177" i="15"/>
  <c r="N1177" i="15"/>
  <c r="A1178" i="15"/>
  <c r="B1178" i="15"/>
  <c r="C1178" i="15"/>
  <c r="D1178" i="15"/>
  <c r="E1178" i="15"/>
  <c r="F1178" i="15"/>
  <c r="G1178" i="15"/>
  <c r="H1178" i="15"/>
  <c r="I1178" i="15"/>
  <c r="J1178" i="15"/>
  <c r="K1178" i="15"/>
  <c r="L1178" i="15"/>
  <c r="M1178" i="15"/>
  <c r="N1178" i="15"/>
  <c r="A1179" i="15"/>
  <c r="B1179" i="15"/>
  <c r="C1179" i="15"/>
  <c r="D1179" i="15"/>
  <c r="E1179" i="15"/>
  <c r="F1179" i="15"/>
  <c r="G1179" i="15"/>
  <c r="H1179" i="15"/>
  <c r="I1179" i="15"/>
  <c r="J1179" i="15"/>
  <c r="K1179" i="15"/>
  <c r="L1179" i="15"/>
  <c r="M1179" i="15"/>
  <c r="N1179" i="15"/>
  <c r="A1180" i="15"/>
  <c r="B1180" i="15"/>
  <c r="C1180" i="15"/>
  <c r="D1180" i="15"/>
  <c r="E1180" i="15"/>
  <c r="F1180" i="15"/>
  <c r="G1180" i="15"/>
  <c r="H1180" i="15"/>
  <c r="I1180" i="15"/>
  <c r="J1180" i="15"/>
  <c r="K1180" i="15"/>
  <c r="L1180" i="15"/>
  <c r="M1180" i="15"/>
  <c r="N1180" i="15"/>
  <c r="A1181" i="15"/>
  <c r="B1181" i="15"/>
  <c r="C1181" i="15"/>
  <c r="D1181" i="15"/>
  <c r="E1181" i="15"/>
  <c r="F1181" i="15"/>
  <c r="G1181" i="15"/>
  <c r="H1181" i="15"/>
  <c r="I1181" i="15"/>
  <c r="J1181" i="15"/>
  <c r="K1181" i="15"/>
  <c r="L1181" i="15"/>
  <c r="M1181" i="15"/>
  <c r="N1181" i="15"/>
  <c r="A1182" i="15"/>
  <c r="B1182" i="15"/>
  <c r="C1182" i="15"/>
  <c r="D1182" i="15"/>
  <c r="E1182" i="15"/>
  <c r="F1182" i="15"/>
  <c r="G1182" i="15"/>
  <c r="H1182" i="15"/>
  <c r="I1182" i="15"/>
  <c r="J1182" i="15"/>
  <c r="K1182" i="15"/>
  <c r="L1182" i="15"/>
  <c r="M1182" i="15"/>
  <c r="N1182" i="15"/>
  <c r="A1183" i="15"/>
  <c r="B1183" i="15"/>
  <c r="C1183" i="15"/>
  <c r="D1183" i="15"/>
  <c r="E1183" i="15"/>
  <c r="F1183" i="15"/>
  <c r="G1183" i="15"/>
  <c r="H1183" i="15"/>
  <c r="I1183" i="15"/>
  <c r="J1183" i="15"/>
  <c r="K1183" i="15"/>
  <c r="L1183" i="15"/>
  <c r="M1183" i="15"/>
  <c r="N1183" i="15"/>
  <c r="A1184" i="15"/>
  <c r="B1184" i="15"/>
  <c r="C1184" i="15"/>
  <c r="D1184" i="15"/>
  <c r="E1184" i="15"/>
  <c r="F1184" i="15"/>
  <c r="G1184" i="15"/>
  <c r="H1184" i="15"/>
  <c r="I1184" i="15"/>
  <c r="J1184" i="15"/>
  <c r="K1184" i="15"/>
  <c r="L1184" i="15"/>
  <c r="M1184" i="15"/>
  <c r="N1184" i="15"/>
  <c r="A1185" i="15"/>
  <c r="B1185" i="15"/>
  <c r="C1185" i="15"/>
  <c r="D1185" i="15"/>
  <c r="E1185" i="15"/>
  <c r="F1185" i="15"/>
  <c r="G1185" i="15"/>
  <c r="H1185" i="15"/>
  <c r="I1185" i="15"/>
  <c r="J1185" i="15"/>
  <c r="K1185" i="15"/>
  <c r="L1185" i="15"/>
  <c r="M1185" i="15"/>
  <c r="N1185" i="15"/>
  <c r="A1186" i="15"/>
  <c r="B1186" i="15"/>
  <c r="C1186" i="15"/>
  <c r="D1186" i="15"/>
  <c r="E1186" i="15"/>
  <c r="F1186" i="15"/>
  <c r="G1186" i="15"/>
  <c r="H1186" i="15"/>
  <c r="I1186" i="15"/>
  <c r="J1186" i="15"/>
  <c r="K1186" i="15"/>
  <c r="L1186" i="15"/>
  <c r="M1186" i="15"/>
  <c r="N1186" i="15"/>
  <c r="A1187" i="15"/>
  <c r="B1187" i="15"/>
  <c r="C1187" i="15"/>
  <c r="D1187" i="15"/>
  <c r="E1187" i="15"/>
  <c r="F1187" i="15"/>
  <c r="G1187" i="15"/>
  <c r="H1187" i="15"/>
  <c r="I1187" i="15"/>
  <c r="J1187" i="15"/>
  <c r="K1187" i="15"/>
  <c r="L1187" i="15"/>
  <c r="M1187" i="15"/>
  <c r="N1187" i="15"/>
  <c r="A1188" i="15"/>
  <c r="B1188" i="15"/>
  <c r="C1188" i="15"/>
  <c r="D1188" i="15"/>
  <c r="E1188" i="15"/>
  <c r="F1188" i="15"/>
  <c r="G1188" i="15"/>
  <c r="H1188" i="15"/>
  <c r="I1188" i="15"/>
  <c r="J1188" i="15"/>
  <c r="K1188" i="15"/>
  <c r="L1188" i="15"/>
  <c r="M1188" i="15"/>
  <c r="N1188" i="15"/>
  <c r="A1189" i="15"/>
  <c r="B1189" i="15"/>
  <c r="C1189" i="15"/>
  <c r="D1189" i="15"/>
  <c r="E1189" i="15"/>
  <c r="F1189" i="15"/>
  <c r="G1189" i="15"/>
  <c r="H1189" i="15"/>
  <c r="I1189" i="15"/>
  <c r="J1189" i="15"/>
  <c r="K1189" i="15"/>
  <c r="L1189" i="15"/>
  <c r="M1189" i="15"/>
  <c r="N1189" i="15"/>
  <c r="A1190" i="15"/>
  <c r="B1190" i="15"/>
  <c r="C1190" i="15"/>
  <c r="D1190" i="15"/>
  <c r="E1190" i="15"/>
  <c r="F1190" i="15"/>
  <c r="G1190" i="15"/>
  <c r="H1190" i="15"/>
  <c r="I1190" i="15"/>
  <c r="J1190" i="15"/>
  <c r="K1190" i="15"/>
  <c r="L1190" i="15"/>
  <c r="M1190" i="15"/>
  <c r="N1190" i="15"/>
  <c r="A1191" i="15"/>
  <c r="B1191" i="15"/>
  <c r="C1191" i="15"/>
  <c r="D1191" i="15"/>
  <c r="E1191" i="15"/>
  <c r="F1191" i="15"/>
  <c r="G1191" i="15"/>
  <c r="H1191" i="15"/>
  <c r="I1191" i="15"/>
  <c r="J1191" i="15"/>
  <c r="K1191" i="15"/>
  <c r="L1191" i="15"/>
  <c r="M1191" i="15"/>
  <c r="N1191" i="15"/>
  <c r="A1192" i="15"/>
  <c r="B1192" i="15"/>
  <c r="C1192" i="15"/>
  <c r="D1192" i="15"/>
  <c r="E1192" i="15"/>
  <c r="F1192" i="15"/>
  <c r="G1192" i="15"/>
  <c r="H1192" i="15"/>
  <c r="I1192" i="15"/>
  <c r="J1192" i="15"/>
  <c r="K1192" i="15"/>
  <c r="L1192" i="15"/>
  <c r="M1192" i="15"/>
  <c r="N1192" i="15"/>
  <c r="A1193" i="15"/>
  <c r="B1193" i="15"/>
  <c r="C1193" i="15"/>
  <c r="D1193" i="15"/>
  <c r="E1193" i="15"/>
  <c r="F1193" i="15"/>
  <c r="G1193" i="15"/>
  <c r="H1193" i="15"/>
  <c r="I1193" i="15"/>
  <c r="J1193" i="15"/>
  <c r="K1193" i="15"/>
  <c r="L1193" i="15"/>
  <c r="M1193" i="15"/>
  <c r="N1193" i="15"/>
  <c r="A1194" i="15"/>
  <c r="B1194" i="15"/>
  <c r="C1194" i="15"/>
  <c r="D1194" i="15"/>
  <c r="E1194" i="15"/>
  <c r="F1194" i="15"/>
  <c r="G1194" i="15"/>
  <c r="H1194" i="15"/>
  <c r="I1194" i="15"/>
  <c r="J1194" i="15"/>
  <c r="K1194" i="15"/>
  <c r="L1194" i="15"/>
  <c r="M1194" i="15"/>
  <c r="N1194" i="15"/>
  <c r="A1195" i="15"/>
  <c r="B1195" i="15"/>
  <c r="C1195" i="15"/>
  <c r="D1195" i="15"/>
  <c r="E1195" i="15"/>
  <c r="F1195" i="15"/>
  <c r="G1195" i="15"/>
  <c r="H1195" i="15"/>
  <c r="I1195" i="15"/>
  <c r="J1195" i="15"/>
  <c r="K1195" i="15"/>
  <c r="L1195" i="15"/>
  <c r="M1195" i="15"/>
  <c r="N1195" i="15"/>
  <c r="A1196" i="15"/>
  <c r="B1196" i="15"/>
  <c r="C1196" i="15"/>
  <c r="D1196" i="15"/>
  <c r="E1196" i="15"/>
  <c r="F1196" i="15"/>
  <c r="G1196" i="15"/>
  <c r="H1196" i="15"/>
  <c r="I1196" i="15"/>
  <c r="J1196" i="15"/>
  <c r="K1196" i="15"/>
  <c r="L1196" i="15"/>
  <c r="M1196" i="15"/>
  <c r="N1196" i="15"/>
  <c r="A1197" i="15"/>
  <c r="B1197" i="15"/>
  <c r="C1197" i="15"/>
  <c r="D1197" i="15"/>
  <c r="E1197" i="15"/>
  <c r="F1197" i="15"/>
  <c r="G1197" i="15"/>
  <c r="H1197" i="15"/>
  <c r="I1197" i="15"/>
  <c r="J1197" i="15"/>
  <c r="K1197" i="15"/>
  <c r="L1197" i="15"/>
  <c r="M1197" i="15"/>
  <c r="N1197" i="15"/>
  <c r="A1198" i="15"/>
  <c r="B1198" i="15"/>
  <c r="C1198" i="15"/>
  <c r="D1198" i="15"/>
  <c r="E1198" i="15"/>
  <c r="F1198" i="15"/>
  <c r="G1198" i="15"/>
  <c r="H1198" i="15"/>
  <c r="I1198" i="15"/>
  <c r="J1198" i="15"/>
  <c r="K1198" i="15"/>
  <c r="L1198" i="15"/>
  <c r="M1198" i="15"/>
  <c r="N1198" i="15"/>
  <c r="A1199" i="15"/>
  <c r="B1199" i="15"/>
  <c r="C1199" i="15"/>
  <c r="D1199" i="15"/>
  <c r="E1199" i="15"/>
  <c r="F1199" i="15"/>
  <c r="G1199" i="15"/>
  <c r="H1199" i="15"/>
  <c r="I1199" i="15"/>
  <c r="J1199" i="15"/>
  <c r="K1199" i="15"/>
  <c r="L1199" i="15"/>
  <c r="M1199" i="15"/>
  <c r="N1199" i="15"/>
  <c r="A1200" i="15"/>
  <c r="B1200" i="15"/>
  <c r="C1200" i="15"/>
  <c r="D1200" i="15"/>
  <c r="E1200" i="15"/>
  <c r="F1200" i="15"/>
  <c r="G1200" i="15"/>
  <c r="H1200" i="15"/>
  <c r="I1200" i="15"/>
  <c r="J1200" i="15"/>
  <c r="K1200" i="15"/>
  <c r="L1200" i="15"/>
  <c r="M1200" i="15"/>
  <c r="N1200" i="15"/>
  <c r="A1201" i="15"/>
  <c r="B1201" i="15"/>
  <c r="C1201" i="15"/>
  <c r="D1201" i="15"/>
  <c r="E1201" i="15"/>
  <c r="F1201" i="15"/>
  <c r="G1201" i="15"/>
  <c r="H1201" i="15"/>
  <c r="I1201" i="15"/>
  <c r="J1201" i="15"/>
  <c r="K1201" i="15"/>
  <c r="L1201" i="15"/>
  <c r="M1201" i="15"/>
  <c r="N1201" i="15"/>
  <c r="A1202" i="15"/>
  <c r="B1202" i="15"/>
  <c r="C1202" i="15"/>
  <c r="D1202" i="15"/>
  <c r="E1202" i="15"/>
  <c r="F1202" i="15"/>
  <c r="G1202" i="15"/>
  <c r="H1202" i="15"/>
  <c r="I1202" i="15"/>
  <c r="J1202" i="15"/>
  <c r="K1202" i="15"/>
  <c r="L1202" i="15"/>
  <c r="M1202" i="15"/>
  <c r="N1202" i="15"/>
  <c r="A1203" i="15"/>
  <c r="B1203" i="15"/>
  <c r="C1203" i="15"/>
  <c r="D1203" i="15"/>
  <c r="E1203" i="15"/>
  <c r="F1203" i="15"/>
  <c r="G1203" i="15"/>
  <c r="H1203" i="15"/>
  <c r="I1203" i="15"/>
  <c r="J1203" i="15"/>
  <c r="K1203" i="15"/>
  <c r="L1203" i="15"/>
  <c r="M1203" i="15"/>
  <c r="N1203" i="15"/>
  <c r="A1204" i="15"/>
  <c r="B1204" i="15"/>
  <c r="C1204" i="15"/>
  <c r="D1204" i="15"/>
  <c r="E1204" i="15"/>
  <c r="F1204" i="15"/>
  <c r="G1204" i="15"/>
  <c r="H1204" i="15"/>
  <c r="I1204" i="15"/>
  <c r="J1204" i="15"/>
  <c r="K1204" i="15"/>
  <c r="L1204" i="15"/>
  <c r="M1204" i="15"/>
  <c r="N1204" i="15"/>
  <c r="A1205" i="15"/>
  <c r="B1205" i="15"/>
  <c r="C1205" i="15"/>
  <c r="D1205" i="15"/>
  <c r="E1205" i="15"/>
  <c r="F1205" i="15"/>
  <c r="G1205" i="15"/>
  <c r="H1205" i="15"/>
  <c r="I1205" i="15"/>
  <c r="J1205" i="15"/>
  <c r="K1205" i="15"/>
  <c r="L1205" i="15"/>
  <c r="M1205" i="15"/>
  <c r="N1205" i="15"/>
  <c r="A1206" i="15"/>
  <c r="B1206" i="15"/>
  <c r="C1206" i="15"/>
  <c r="D1206" i="15"/>
  <c r="E1206" i="15"/>
  <c r="F1206" i="15"/>
  <c r="G1206" i="15"/>
  <c r="H1206" i="15"/>
  <c r="I1206" i="15"/>
  <c r="J1206" i="15"/>
  <c r="K1206" i="15"/>
  <c r="L1206" i="15"/>
  <c r="M1206" i="15"/>
  <c r="N1206" i="15"/>
  <c r="A1207" i="15"/>
  <c r="B1207" i="15"/>
  <c r="C1207" i="15"/>
  <c r="D1207" i="15"/>
  <c r="E1207" i="15"/>
  <c r="F1207" i="15"/>
  <c r="G1207" i="15"/>
  <c r="H1207" i="15"/>
  <c r="I1207" i="15"/>
  <c r="J1207" i="15"/>
  <c r="K1207" i="15"/>
  <c r="L1207" i="15"/>
  <c r="M1207" i="15"/>
  <c r="N1207" i="15"/>
  <c r="A1208" i="15"/>
  <c r="B1208" i="15"/>
  <c r="C1208" i="15"/>
  <c r="D1208" i="15"/>
  <c r="E1208" i="15"/>
  <c r="F1208" i="15"/>
  <c r="G1208" i="15"/>
  <c r="H1208" i="15"/>
  <c r="I1208" i="15"/>
  <c r="J1208" i="15"/>
  <c r="K1208" i="15"/>
  <c r="L1208" i="15"/>
  <c r="M1208" i="15"/>
  <c r="N1208" i="15"/>
  <c r="A1209" i="15"/>
  <c r="B1209" i="15"/>
  <c r="C1209" i="15"/>
  <c r="D1209" i="15"/>
  <c r="E1209" i="15"/>
  <c r="F1209" i="15"/>
  <c r="G1209" i="15"/>
  <c r="H1209" i="15"/>
  <c r="I1209" i="15"/>
  <c r="J1209" i="15"/>
  <c r="K1209" i="15"/>
  <c r="L1209" i="15"/>
  <c r="M1209" i="15"/>
  <c r="N1209" i="15"/>
  <c r="A1210" i="15"/>
  <c r="B1210" i="15"/>
  <c r="C1210" i="15"/>
  <c r="D1210" i="15"/>
  <c r="E1210" i="15"/>
  <c r="F1210" i="15"/>
  <c r="G1210" i="15"/>
  <c r="H1210" i="15"/>
  <c r="I1210" i="15"/>
  <c r="J1210" i="15"/>
  <c r="K1210" i="15"/>
  <c r="L1210" i="15"/>
  <c r="M1210" i="15"/>
  <c r="N1210" i="15"/>
  <c r="A1211" i="15"/>
  <c r="B1211" i="15"/>
  <c r="C1211" i="15"/>
  <c r="D1211" i="15"/>
  <c r="E1211" i="15"/>
  <c r="F1211" i="15"/>
  <c r="G1211" i="15"/>
  <c r="H1211" i="15"/>
  <c r="I1211" i="15"/>
  <c r="J1211" i="15"/>
  <c r="K1211" i="15"/>
  <c r="L1211" i="15"/>
  <c r="M1211" i="15"/>
  <c r="N1211" i="15"/>
  <c r="A1212" i="15"/>
  <c r="B1212" i="15"/>
  <c r="C1212" i="15"/>
  <c r="D1212" i="15"/>
  <c r="E1212" i="15"/>
  <c r="F1212" i="15"/>
  <c r="G1212" i="15"/>
  <c r="H1212" i="15"/>
  <c r="I1212" i="15"/>
  <c r="J1212" i="15"/>
  <c r="K1212" i="15"/>
  <c r="L1212" i="15"/>
  <c r="M1212" i="15"/>
  <c r="N1212" i="15"/>
  <c r="A1213" i="15"/>
  <c r="B1213" i="15"/>
  <c r="C1213" i="15"/>
  <c r="D1213" i="15"/>
  <c r="E1213" i="15"/>
  <c r="F1213" i="15"/>
  <c r="G1213" i="15"/>
  <c r="H1213" i="15"/>
  <c r="I1213" i="15"/>
  <c r="J1213" i="15"/>
  <c r="K1213" i="15"/>
  <c r="L1213" i="15"/>
  <c r="M1213" i="15"/>
  <c r="N1213" i="15"/>
  <c r="A1214" i="15"/>
  <c r="B1214" i="15"/>
  <c r="C1214" i="15"/>
  <c r="D1214" i="15"/>
  <c r="E1214" i="15"/>
  <c r="F1214" i="15"/>
  <c r="G1214" i="15"/>
  <c r="H1214" i="15"/>
  <c r="I1214" i="15"/>
  <c r="J1214" i="15"/>
  <c r="K1214" i="15"/>
  <c r="L1214" i="15"/>
  <c r="M1214" i="15"/>
  <c r="N1214" i="15"/>
  <c r="A1215" i="15"/>
  <c r="B1215" i="15"/>
  <c r="C1215" i="15"/>
  <c r="D1215" i="15"/>
  <c r="E1215" i="15"/>
  <c r="F1215" i="15"/>
  <c r="G1215" i="15"/>
  <c r="H1215" i="15"/>
  <c r="I1215" i="15"/>
  <c r="J1215" i="15"/>
  <c r="K1215" i="15"/>
  <c r="L1215" i="15"/>
  <c r="M1215" i="15"/>
  <c r="N1215" i="15"/>
  <c r="A1216" i="15"/>
  <c r="B1216" i="15"/>
  <c r="C1216" i="15"/>
  <c r="D1216" i="15"/>
  <c r="E1216" i="15"/>
  <c r="F1216" i="15"/>
  <c r="G1216" i="15"/>
  <c r="H1216" i="15"/>
  <c r="I1216" i="15"/>
  <c r="J1216" i="15"/>
  <c r="K1216" i="15"/>
  <c r="L1216" i="15"/>
  <c r="M1216" i="15"/>
  <c r="N1216" i="15"/>
  <c r="A1217" i="15"/>
  <c r="B1217" i="15"/>
  <c r="C1217" i="15"/>
  <c r="D1217" i="15"/>
  <c r="E1217" i="15"/>
  <c r="F1217" i="15"/>
  <c r="G1217" i="15"/>
  <c r="H1217" i="15"/>
  <c r="I1217" i="15"/>
  <c r="J1217" i="15"/>
  <c r="K1217" i="15"/>
  <c r="L1217" i="15"/>
  <c r="M1217" i="15"/>
  <c r="N1217" i="15"/>
  <c r="A1218" i="15"/>
  <c r="B1218" i="15"/>
  <c r="C1218" i="15"/>
  <c r="D1218" i="15"/>
  <c r="E1218" i="15"/>
  <c r="F1218" i="15"/>
  <c r="G1218" i="15"/>
  <c r="H1218" i="15"/>
  <c r="I1218" i="15"/>
  <c r="J1218" i="15"/>
  <c r="K1218" i="15"/>
  <c r="L1218" i="15"/>
  <c r="M1218" i="15"/>
  <c r="N1218" i="15"/>
  <c r="A1219" i="15"/>
  <c r="B1219" i="15"/>
  <c r="C1219" i="15"/>
  <c r="D1219" i="15"/>
  <c r="E1219" i="15"/>
  <c r="F1219" i="15"/>
  <c r="G1219" i="15"/>
  <c r="H1219" i="15"/>
  <c r="I1219" i="15"/>
  <c r="J1219" i="15"/>
  <c r="K1219" i="15"/>
  <c r="L1219" i="15"/>
  <c r="M1219" i="15"/>
  <c r="N1219" i="15"/>
  <c r="A1220" i="15"/>
  <c r="B1220" i="15"/>
  <c r="C1220" i="15"/>
  <c r="D1220" i="15"/>
  <c r="E1220" i="15"/>
  <c r="F1220" i="15"/>
  <c r="G1220" i="15"/>
  <c r="H1220" i="15"/>
  <c r="I1220" i="15"/>
  <c r="J1220" i="15"/>
  <c r="K1220" i="15"/>
  <c r="L1220" i="15"/>
  <c r="M1220" i="15"/>
  <c r="N1220" i="15"/>
  <c r="A1221" i="15"/>
  <c r="B1221" i="15"/>
  <c r="C1221" i="15"/>
  <c r="D1221" i="15"/>
  <c r="E1221" i="15"/>
  <c r="F1221" i="15"/>
  <c r="G1221" i="15"/>
  <c r="H1221" i="15"/>
  <c r="I1221" i="15"/>
  <c r="J1221" i="15"/>
  <c r="K1221" i="15"/>
  <c r="L1221" i="15"/>
  <c r="M1221" i="15"/>
  <c r="N1221" i="15"/>
  <c r="A1222" i="15"/>
  <c r="B1222" i="15"/>
  <c r="C1222" i="15"/>
  <c r="D1222" i="15"/>
  <c r="E1222" i="15"/>
  <c r="F1222" i="15"/>
  <c r="G1222" i="15"/>
  <c r="H1222" i="15"/>
  <c r="I1222" i="15"/>
  <c r="J1222" i="15"/>
  <c r="K1222" i="15"/>
  <c r="L1222" i="15"/>
  <c r="M1222" i="15"/>
  <c r="N1222" i="15"/>
  <c r="A1223" i="15"/>
  <c r="B1223" i="15"/>
  <c r="C1223" i="15"/>
  <c r="D1223" i="15"/>
  <c r="E1223" i="15"/>
  <c r="F1223" i="15"/>
  <c r="G1223" i="15"/>
  <c r="H1223" i="15"/>
  <c r="I1223" i="15"/>
  <c r="J1223" i="15"/>
  <c r="K1223" i="15"/>
  <c r="L1223" i="15"/>
  <c r="M1223" i="15"/>
  <c r="N1223" i="15"/>
  <c r="A1224" i="15"/>
  <c r="B1224" i="15"/>
  <c r="C1224" i="15"/>
  <c r="D1224" i="15"/>
  <c r="E1224" i="15"/>
  <c r="F1224" i="15"/>
  <c r="G1224" i="15"/>
  <c r="H1224" i="15"/>
  <c r="I1224" i="15"/>
  <c r="J1224" i="15"/>
  <c r="K1224" i="15"/>
  <c r="L1224" i="15"/>
  <c r="M1224" i="15"/>
  <c r="N1224" i="15"/>
  <c r="A1225" i="15"/>
  <c r="B1225" i="15"/>
  <c r="C1225" i="15"/>
  <c r="D1225" i="15"/>
  <c r="E1225" i="15"/>
  <c r="F1225" i="15"/>
  <c r="G1225" i="15"/>
  <c r="H1225" i="15"/>
  <c r="I1225" i="15"/>
  <c r="J1225" i="15"/>
  <c r="K1225" i="15"/>
  <c r="L1225" i="15"/>
  <c r="M1225" i="15"/>
  <c r="N1225" i="15"/>
  <c r="A1226" i="15"/>
  <c r="B1226" i="15"/>
  <c r="C1226" i="15"/>
  <c r="D1226" i="15"/>
  <c r="E1226" i="15"/>
  <c r="F1226" i="15"/>
  <c r="G1226" i="15"/>
  <c r="H1226" i="15"/>
  <c r="I1226" i="15"/>
  <c r="J1226" i="15"/>
  <c r="K1226" i="15"/>
  <c r="L1226" i="15"/>
  <c r="M1226" i="15"/>
  <c r="N1226" i="15"/>
  <c r="A1227" i="15"/>
  <c r="B1227" i="15"/>
  <c r="C1227" i="15"/>
  <c r="D1227" i="15"/>
  <c r="E1227" i="15"/>
  <c r="F1227" i="15"/>
  <c r="G1227" i="15"/>
  <c r="H1227" i="15"/>
  <c r="I1227" i="15"/>
  <c r="J1227" i="15"/>
  <c r="K1227" i="15"/>
  <c r="L1227" i="15"/>
  <c r="M1227" i="15"/>
  <c r="N1227" i="15"/>
  <c r="A1228" i="15"/>
  <c r="B1228" i="15"/>
  <c r="C1228" i="15"/>
  <c r="D1228" i="15"/>
  <c r="E1228" i="15"/>
  <c r="F1228" i="15"/>
  <c r="G1228" i="15"/>
  <c r="H1228" i="15"/>
  <c r="I1228" i="15"/>
  <c r="J1228" i="15"/>
  <c r="K1228" i="15"/>
  <c r="L1228" i="15"/>
  <c r="M1228" i="15"/>
  <c r="N1228" i="15"/>
  <c r="A1229" i="15"/>
  <c r="B1229" i="15"/>
  <c r="C1229" i="15"/>
  <c r="D1229" i="15"/>
  <c r="E1229" i="15"/>
  <c r="F1229" i="15"/>
  <c r="G1229" i="15"/>
  <c r="H1229" i="15"/>
  <c r="I1229" i="15"/>
  <c r="J1229" i="15"/>
  <c r="K1229" i="15"/>
  <c r="L1229" i="15"/>
  <c r="M1229" i="15"/>
  <c r="N1229" i="15"/>
  <c r="A1230" i="15"/>
  <c r="B1230" i="15"/>
  <c r="C1230" i="15"/>
  <c r="D1230" i="15"/>
  <c r="E1230" i="15"/>
  <c r="F1230" i="15"/>
  <c r="G1230" i="15"/>
  <c r="H1230" i="15"/>
  <c r="I1230" i="15"/>
  <c r="J1230" i="15"/>
  <c r="K1230" i="15"/>
  <c r="L1230" i="15"/>
  <c r="M1230" i="15"/>
  <c r="N1230" i="15"/>
  <c r="A1231" i="15"/>
  <c r="B1231" i="15"/>
  <c r="C1231" i="15"/>
  <c r="D1231" i="15"/>
  <c r="E1231" i="15"/>
  <c r="F1231" i="15"/>
  <c r="G1231" i="15"/>
  <c r="H1231" i="15"/>
  <c r="I1231" i="15"/>
  <c r="J1231" i="15"/>
  <c r="K1231" i="15"/>
  <c r="L1231" i="15"/>
  <c r="M1231" i="15"/>
  <c r="N1231" i="15"/>
  <c r="A1232" i="15"/>
  <c r="B1232" i="15"/>
  <c r="C1232" i="15"/>
  <c r="D1232" i="15"/>
  <c r="E1232" i="15"/>
  <c r="F1232" i="15"/>
  <c r="G1232" i="15"/>
  <c r="H1232" i="15"/>
  <c r="I1232" i="15"/>
  <c r="J1232" i="15"/>
  <c r="K1232" i="15"/>
  <c r="L1232" i="15"/>
  <c r="M1232" i="15"/>
  <c r="N1232" i="15"/>
  <c r="A1233" i="15"/>
  <c r="B1233" i="15"/>
  <c r="C1233" i="15"/>
  <c r="D1233" i="15"/>
  <c r="E1233" i="15"/>
  <c r="F1233" i="15"/>
  <c r="G1233" i="15"/>
  <c r="H1233" i="15"/>
  <c r="I1233" i="15"/>
  <c r="J1233" i="15"/>
  <c r="K1233" i="15"/>
  <c r="L1233" i="15"/>
  <c r="M1233" i="15"/>
  <c r="N1233" i="15"/>
  <c r="A1234" i="15"/>
  <c r="B1234" i="15"/>
  <c r="C1234" i="15"/>
  <c r="D1234" i="15"/>
  <c r="E1234" i="15"/>
  <c r="F1234" i="15"/>
  <c r="G1234" i="15"/>
  <c r="H1234" i="15"/>
  <c r="I1234" i="15"/>
  <c r="J1234" i="15"/>
  <c r="K1234" i="15"/>
  <c r="L1234" i="15"/>
  <c r="M1234" i="15"/>
  <c r="N1234" i="15"/>
  <c r="A1235" i="15"/>
  <c r="B1235" i="15"/>
  <c r="C1235" i="15"/>
  <c r="D1235" i="15"/>
  <c r="E1235" i="15"/>
  <c r="F1235" i="15"/>
  <c r="G1235" i="15"/>
  <c r="H1235" i="15"/>
  <c r="I1235" i="15"/>
  <c r="J1235" i="15"/>
  <c r="K1235" i="15"/>
  <c r="L1235" i="15"/>
  <c r="M1235" i="15"/>
  <c r="N1235" i="15"/>
  <c r="A1236" i="15"/>
  <c r="B1236" i="15"/>
  <c r="C1236" i="15"/>
  <c r="D1236" i="15"/>
  <c r="E1236" i="15"/>
  <c r="F1236" i="15"/>
  <c r="G1236" i="15"/>
  <c r="H1236" i="15"/>
  <c r="I1236" i="15"/>
  <c r="J1236" i="15"/>
  <c r="K1236" i="15"/>
  <c r="L1236" i="15"/>
  <c r="M1236" i="15"/>
  <c r="N1236" i="15"/>
  <c r="A1237" i="15"/>
  <c r="B1237" i="15"/>
  <c r="C1237" i="15"/>
  <c r="D1237" i="15"/>
  <c r="E1237" i="15"/>
  <c r="F1237" i="15"/>
  <c r="G1237" i="15"/>
  <c r="H1237" i="15"/>
  <c r="I1237" i="15"/>
  <c r="J1237" i="15"/>
  <c r="K1237" i="15"/>
  <c r="L1237" i="15"/>
  <c r="M1237" i="15"/>
  <c r="N1237" i="15"/>
  <c r="A1238" i="15"/>
  <c r="B1238" i="15"/>
  <c r="C1238" i="15"/>
  <c r="D1238" i="15"/>
  <c r="E1238" i="15"/>
  <c r="F1238" i="15"/>
  <c r="G1238" i="15"/>
  <c r="H1238" i="15"/>
  <c r="I1238" i="15"/>
  <c r="J1238" i="15"/>
  <c r="K1238" i="15"/>
  <c r="L1238" i="15"/>
  <c r="M1238" i="15"/>
  <c r="N1238" i="15"/>
  <c r="A1239" i="15"/>
  <c r="B1239" i="15"/>
  <c r="C1239" i="15"/>
  <c r="D1239" i="15"/>
  <c r="E1239" i="15"/>
  <c r="F1239" i="15"/>
  <c r="G1239" i="15"/>
  <c r="H1239" i="15"/>
  <c r="I1239" i="15"/>
  <c r="J1239" i="15"/>
  <c r="K1239" i="15"/>
  <c r="L1239" i="15"/>
  <c r="M1239" i="15"/>
  <c r="N1239" i="15"/>
  <c r="A1240" i="15"/>
  <c r="B1240" i="15"/>
  <c r="C1240" i="15"/>
  <c r="D1240" i="15"/>
  <c r="E1240" i="15"/>
  <c r="F1240" i="15"/>
  <c r="G1240" i="15"/>
  <c r="H1240" i="15"/>
  <c r="I1240" i="15"/>
  <c r="J1240" i="15"/>
  <c r="K1240" i="15"/>
  <c r="L1240" i="15"/>
  <c r="M1240" i="15"/>
  <c r="N1240" i="15"/>
  <c r="A1241" i="15"/>
  <c r="B1241" i="15"/>
  <c r="C1241" i="15"/>
  <c r="D1241" i="15"/>
  <c r="E1241" i="15"/>
  <c r="F1241" i="15"/>
  <c r="G1241" i="15"/>
  <c r="H1241" i="15"/>
  <c r="I1241" i="15"/>
  <c r="J1241" i="15"/>
  <c r="K1241" i="15"/>
  <c r="L1241" i="15"/>
  <c r="M1241" i="15"/>
  <c r="N1241" i="15"/>
  <c r="A1242" i="15"/>
  <c r="B1242" i="15"/>
  <c r="C1242" i="15"/>
  <c r="D1242" i="15"/>
  <c r="E1242" i="15"/>
  <c r="F1242" i="15"/>
  <c r="G1242" i="15"/>
  <c r="H1242" i="15"/>
  <c r="I1242" i="15"/>
  <c r="J1242" i="15"/>
  <c r="K1242" i="15"/>
  <c r="L1242" i="15"/>
  <c r="M1242" i="15"/>
  <c r="N1242" i="15"/>
  <c r="A1243" i="15"/>
  <c r="B1243" i="15"/>
  <c r="C1243" i="15"/>
  <c r="D1243" i="15"/>
  <c r="E1243" i="15"/>
  <c r="F1243" i="15"/>
  <c r="G1243" i="15"/>
  <c r="H1243" i="15"/>
  <c r="I1243" i="15"/>
  <c r="J1243" i="15"/>
  <c r="K1243" i="15"/>
  <c r="L1243" i="15"/>
  <c r="M1243" i="15"/>
  <c r="N1243" i="15"/>
  <c r="A1244" i="15"/>
  <c r="B1244" i="15"/>
  <c r="C1244" i="15"/>
  <c r="D1244" i="15"/>
  <c r="E1244" i="15"/>
  <c r="F1244" i="15"/>
  <c r="G1244" i="15"/>
  <c r="H1244" i="15"/>
  <c r="I1244" i="15"/>
  <c r="J1244" i="15"/>
  <c r="K1244" i="15"/>
  <c r="L1244" i="15"/>
  <c r="M1244" i="15"/>
  <c r="N1244" i="15"/>
  <c r="A1245" i="15"/>
  <c r="B1245" i="15"/>
  <c r="C1245" i="15"/>
  <c r="D1245" i="15"/>
  <c r="E1245" i="15"/>
  <c r="F1245" i="15"/>
  <c r="G1245" i="15"/>
  <c r="H1245" i="15"/>
  <c r="I1245" i="15"/>
  <c r="J1245" i="15"/>
  <c r="K1245" i="15"/>
  <c r="L1245" i="15"/>
  <c r="M1245" i="15"/>
  <c r="N1245" i="15"/>
  <c r="A1246" i="15"/>
  <c r="B1246" i="15"/>
  <c r="C1246" i="15"/>
  <c r="D1246" i="15"/>
  <c r="E1246" i="15"/>
  <c r="F1246" i="15"/>
  <c r="G1246" i="15"/>
  <c r="H1246" i="15"/>
  <c r="I1246" i="15"/>
  <c r="J1246" i="15"/>
  <c r="K1246" i="15"/>
  <c r="L1246" i="15"/>
  <c r="M1246" i="15"/>
  <c r="N1246" i="15"/>
  <c r="A1247" i="15"/>
  <c r="B1247" i="15"/>
  <c r="C1247" i="15"/>
  <c r="D1247" i="15"/>
  <c r="E1247" i="15"/>
  <c r="F1247" i="15"/>
  <c r="G1247" i="15"/>
  <c r="H1247" i="15"/>
  <c r="I1247" i="15"/>
  <c r="J1247" i="15"/>
  <c r="K1247" i="15"/>
  <c r="L1247" i="15"/>
  <c r="M1247" i="15"/>
  <c r="N1247" i="15"/>
  <c r="A1248" i="15"/>
  <c r="B1248" i="15"/>
  <c r="C1248" i="15"/>
  <c r="D1248" i="15"/>
  <c r="E1248" i="15"/>
  <c r="F1248" i="15"/>
  <c r="G1248" i="15"/>
  <c r="H1248" i="15"/>
  <c r="I1248" i="15"/>
  <c r="J1248" i="15"/>
  <c r="K1248" i="15"/>
  <c r="L1248" i="15"/>
  <c r="M1248" i="15"/>
  <c r="N1248" i="15"/>
  <c r="A1249" i="15"/>
  <c r="B1249" i="15"/>
  <c r="C1249" i="15"/>
  <c r="D1249" i="15"/>
  <c r="E1249" i="15"/>
  <c r="F1249" i="15"/>
  <c r="G1249" i="15"/>
  <c r="H1249" i="15"/>
  <c r="I1249" i="15"/>
  <c r="J1249" i="15"/>
  <c r="K1249" i="15"/>
  <c r="L1249" i="15"/>
  <c r="M1249" i="15"/>
  <c r="N1249" i="15"/>
  <c r="A1250" i="15"/>
  <c r="B1250" i="15"/>
  <c r="C1250" i="15"/>
  <c r="D1250" i="15"/>
  <c r="E1250" i="15"/>
  <c r="F1250" i="15"/>
  <c r="G1250" i="15"/>
  <c r="H1250" i="15"/>
  <c r="I1250" i="15"/>
  <c r="J1250" i="15"/>
  <c r="K1250" i="15"/>
  <c r="L1250" i="15"/>
  <c r="M1250" i="15"/>
  <c r="N1250" i="15"/>
  <c r="A1251" i="15"/>
  <c r="B1251" i="15"/>
  <c r="C1251" i="15"/>
  <c r="D1251" i="15"/>
  <c r="E1251" i="15"/>
  <c r="F1251" i="15"/>
  <c r="G1251" i="15"/>
  <c r="H1251" i="15"/>
  <c r="I1251" i="15"/>
  <c r="J1251" i="15"/>
  <c r="K1251" i="15"/>
  <c r="L1251" i="15"/>
  <c r="M1251" i="15"/>
  <c r="N1251" i="15"/>
  <c r="A1252" i="15"/>
  <c r="B1252" i="15"/>
  <c r="C1252" i="15"/>
  <c r="D1252" i="15"/>
  <c r="E1252" i="15"/>
  <c r="F1252" i="15"/>
  <c r="G1252" i="15"/>
  <c r="H1252" i="15"/>
  <c r="I1252" i="15"/>
  <c r="J1252" i="15"/>
  <c r="K1252" i="15"/>
  <c r="L1252" i="15"/>
  <c r="M1252" i="15"/>
  <c r="N1252" i="15"/>
  <c r="A1253" i="15"/>
  <c r="B1253" i="15"/>
  <c r="C1253" i="15"/>
  <c r="D1253" i="15"/>
  <c r="E1253" i="15"/>
  <c r="F1253" i="15"/>
  <c r="G1253" i="15"/>
  <c r="H1253" i="15"/>
  <c r="I1253" i="15"/>
  <c r="J1253" i="15"/>
  <c r="K1253" i="15"/>
  <c r="L1253" i="15"/>
  <c r="M1253" i="15"/>
  <c r="N1253" i="15"/>
  <c r="A1254" i="15"/>
  <c r="B1254" i="15"/>
  <c r="C1254" i="15"/>
  <c r="D1254" i="15"/>
  <c r="E1254" i="15"/>
  <c r="F1254" i="15"/>
  <c r="G1254" i="15"/>
  <c r="H1254" i="15"/>
  <c r="I1254" i="15"/>
  <c r="J1254" i="15"/>
  <c r="K1254" i="15"/>
  <c r="L1254" i="15"/>
  <c r="M1254" i="15"/>
  <c r="N1254" i="15"/>
  <c r="A1255" i="15"/>
  <c r="B1255" i="15"/>
  <c r="C1255" i="15"/>
  <c r="D1255" i="15"/>
  <c r="E1255" i="15"/>
  <c r="F1255" i="15"/>
  <c r="G1255" i="15"/>
  <c r="H1255" i="15"/>
  <c r="I1255" i="15"/>
  <c r="J1255" i="15"/>
  <c r="K1255" i="15"/>
  <c r="L1255" i="15"/>
  <c r="M1255" i="15"/>
  <c r="N1255" i="15"/>
  <c r="A1256" i="15"/>
  <c r="B1256" i="15"/>
  <c r="C1256" i="15"/>
  <c r="D1256" i="15"/>
  <c r="E1256" i="15"/>
  <c r="F1256" i="15"/>
  <c r="G1256" i="15"/>
  <c r="H1256" i="15"/>
  <c r="I1256" i="15"/>
  <c r="J1256" i="15"/>
  <c r="K1256" i="15"/>
  <c r="L1256" i="15"/>
  <c r="M1256" i="15"/>
  <c r="N1256" i="15"/>
  <c r="A1257" i="15"/>
  <c r="B1257" i="15"/>
  <c r="C1257" i="15"/>
  <c r="D1257" i="15"/>
  <c r="E1257" i="15"/>
  <c r="F1257" i="15"/>
  <c r="G1257" i="15"/>
  <c r="H1257" i="15"/>
  <c r="I1257" i="15"/>
  <c r="J1257" i="15"/>
  <c r="K1257" i="15"/>
  <c r="L1257" i="15"/>
  <c r="M1257" i="15"/>
  <c r="N1257" i="15"/>
  <c r="A1258" i="15"/>
  <c r="B1258" i="15"/>
  <c r="C1258" i="15"/>
  <c r="D1258" i="15"/>
  <c r="E1258" i="15"/>
  <c r="F1258" i="15"/>
  <c r="G1258" i="15"/>
  <c r="H1258" i="15"/>
  <c r="I1258" i="15"/>
  <c r="J1258" i="15"/>
  <c r="K1258" i="15"/>
  <c r="L1258" i="15"/>
  <c r="M1258" i="15"/>
  <c r="N1258" i="15"/>
  <c r="A1259" i="15"/>
  <c r="B1259" i="15"/>
  <c r="C1259" i="15"/>
  <c r="D1259" i="15"/>
  <c r="E1259" i="15"/>
  <c r="F1259" i="15"/>
  <c r="G1259" i="15"/>
  <c r="H1259" i="15"/>
  <c r="I1259" i="15"/>
  <c r="J1259" i="15"/>
  <c r="K1259" i="15"/>
  <c r="L1259" i="15"/>
  <c r="M1259" i="15"/>
  <c r="N1259" i="15"/>
  <c r="A1260" i="15"/>
  <c r="B1260" i="15"/>
  <c r="C1260" i="15"/>
  <c r="D1260" i="15"/>
  <c r="E1260" i="15"/>
  <c r="F1260" i="15"/>
  <c r="G1260" i="15"/>
  <c r="H1260" i="15"/>
  <c r="I1260" i="15"/>
  <c r="J1260" i="15"/>
  <c r="K1260" i="15"/>
  <c r="L1260" i="15"/>
  <c r="M1260" i="15"/>
  <c r="N1260" i="15"/>
  <c r="A1261" i="15"/>
  <c r="B1261" i="15"/>
  <c r="C1261" i="15"/>
  <c r="D1261" i="15"/>
  <c r="E1261" i="15"/>
  <c r="F1261" i="15"/>
  <c r="G1261" i="15"/>
  <c r="H1261" i="15"/>
  <c r="I1261" i="15"/>
  <c r="J1261" i="15"/>
  <c r="K1261" i="15"/>
  <c r="L1261" i="15"/>
  <c r="M1261" i="15"/>
  <c r="N1261" i="15"/>
  <c r="A1262" i="15"/>
  <c r="B1262" i="15"/>
  <c r="C1262" i="15"/>
  <c r="D1262" i="15"/>
  <c r="E1262" i="15"/>
  <c r="F1262" i="15"/>
  <c r="G1262" i="15"/>
  <c r="H1262" i="15"/>
  <c r="I1262" i="15"/>
  <c r="J1262" i="15"/>
  <c r="K1262" i="15"/>
  <c r="L1262" i="15"/>
  <c r="M1262" i="15"/>
  <c r="N1262" i="15"/>
  <c r="A1263" i="15"/>
  <c r="B1263" i="15"/>
  <c r="C1263" i="15"/>
  <c r="D1263" i="15"/>
  <c r="E1263" i="15"/>
  <c r="F1263" i="15"/>
  <c r="G1263" i="15"/>
  <c r="H1263" i="15"/>
  <c r="I1263" i="15"/>
  <c r="J1263" i="15"/>
  <c r="K1263" i="15"/>
  <c r="L1263" i="15"/>
  <c r="M1263" i="15"/>
  <c r="N1263" i="15"/>
  <c r="A1264" i="15"/>
  <c r="B1264" i="15"/>
  <c r="C1264" i="15"/>
  <c r="D1264" i="15"/>
  <c r="E1264" i="15"/>
  <c r="F1264" i="15"/>
  <c r="G1264" i="15"/>
  <c r="H1264" i="15"/>
  <c r="I1264" i="15"/>
  <c r="J1264" i="15"/>
  <c r="K1264" i="15"/>
  <c r="L1264" i="15"/>
  <c r="M1264" i="15"/>
  <c r="N1264" i="15"/>
  <c r="A1265" i="15"/>
  <c r="B1265" i="15"/>
  <c r="C1265" i="15"/>
  <c r="D1265" i="15"/>
  <c r="E1265" i="15"/>
  <c r="F1265" i="15"/>
  <c r="G1265" i="15"/>
  <c r="H1265" i="15"/>
  <c r="I1265" i="15"/>
  <c r="J1265" i="15"/>
  <c r="K1265" i="15"/>
  <c r="L1265" i="15"/>
  <c r="M1265" i="15"/>
  <c r="N1265" i="15"/>
  <c r="A1266" i="15"/>
  <c r="B1266" i="15"/>
  <c r="C1266" i="15"/>
  <c r="D1266" i="15"/>
  <c r="E1266" i="15"/>
  <c r="F1266" i="15"/>
  <c r="G1266" i="15"/>
  <c r="H1266" i="15"/>
  <c r="I1266" i="15"/>
  <c r="J1266" i="15"/>
  <c r="K1266" i="15"/>
  <c r="L1266" i="15"/>
  <c r="M1266" i="15"/>
  <c r="N1266" i="15"/>
  <c r="A1267" i="15"/>
  <c r="B1267" i="15"/>
  <c r="C1267" i="15"/>
  <c r="D1267" i="15"/>
  <c r="E1267" i="15"/>
  <c r="F1267" i="15"/>
  <c r="G1267" i="15"/>
  <c r="H1267" i="15"/>
  <c r="I1267" i="15"/>
  <c r="J1267" i="15"/>
  <c r="K1267" i="15"/>
  <c r="L1267" i="15"/>
  <c r="M1267" i="15"/>
  <c r="N1267" i="15"/>
  <c r="A1268" i="15"/>
  <c r="B1268" i="15"/>
  <c r="C1268" i="15"/>
  <c r="D1268" i="15"/>
  <c r="E1268" i="15"/>
  <c r="F1268" i="15"/>
  <c r="G1268" i="15"/>
  <c r="H1268" i="15"/>
  <c r="I1268" i="15"/>
  <c r="J1268" i="15"/>
  <c r="K1268" i="15"/>
  <c r="L1268" i="15"/>
  <c r="M1268" i="15"/>
  <c r="N1268" i="15"/>
  <c r="A1269" i="15"/>
  <c r="B1269" i="15"/>
  <c r="C1269" i="15"/>
  <c r="D1269" i="15"/>
  <c r="E1269" i="15"/>
  <c r="F1269" i="15"/>
  <c r="G1269" i="15"/>
  <c r="H1269" i="15"/>
  <c r="I1269" i="15"/>
  <c r="J1269" i="15"/>
  <c r="K1269" i="15"/>
  <c r="L1269" i="15"/>
  <c r="M1269" i="15"/>
  <c r="N1269" i="15"/>
  <c r="A1270" i="15"/>
  <c r="B1270" i="15"/>
  <c r="C1270" i="15"/>
  <c r="D1270" i="15"/>
  <c r="E1270" i="15"/>
  <c r="F1270" i="15"/>
  <c r="G1270" i="15"/>
  <c r="H1270" i="15"/>
  <c r="I1270" i="15"/>
  <c r="J1270" i="15"/>
  <c r="K1270" i="15"/>
  <c r="L1270" i="15"/>
  <c r="M1270" i="15"/>
  <c r="N1270" i="15"/>
  <c r="A1271" i="15"/>
  <c r="B1271" i="15"/>
  <c r="C1271" i="15"/>
  <c r="D1271" i="15"/>
  <c r="E1271" i="15"/>
  <c r="F1271" i="15"/>
  <c r="G1271" i="15"/>
  <c r="H1271" i="15"/>
  <c r="I1271" i="15"/>
  <c r="J1271" i="15"/>
  <c r="K1271" i="15"/>
  <c r="L1271" i="15"/>
  <c r="M1271" i="15"/>
  <c r="N1271" i="15"/>
  <c r="A1272" i="15"/>
  <c r="B1272" i="15"/>
  <c r="C1272" i="15"/>
  <c r="D1272" i="15"/>
  <c r="E1272" i="15"/>
  <c r="F1272" i="15"/>
  <c r="G1272" i="15"/>
  <c r="H1272" i="15"/>
  <c r="I1272" i="15"/>
  <c r="J1272" i="15"/>
  <c r="K1272" i="15"/>
  <c r="L1272" i="15"/>
  <c r="M1272" i="15"/>
  <c r="N1272" i="15"/>
  <c r="A1273" i="15"/>
  <c r="B1273" i="15"/>
  <c r="C1273" i="15"/>
  <c r="D1273" i="15"/>
  <c r="E1273" i="15"/>
  <c r="F1273" i="15"/>
  <c r="G1273" i="15"/>
  <c r="H1273" i="15"/>
  <c r="I1273" i="15"/>
  <c r="J1273" i="15"/>
  <c r="K1273" i="15"/>
  <c r="L1273" i="15"/>
  <c r="M1273" i="15"/>
  <c r="N1273" i="15"/>
  <c r="A1274" i="15"/>
  <c r="B1274" i="15"/>
  <c r="C1274" i="15"/>
  <c r="D1274" i="15"/>
  <c r="E1274" i="15"/>
  <c r="F1274" i="15"/>
  <c r="G1274" i="15"/>
  <c r="H1274" i="15"/>
  <c r="I1274" i="15"/>
  <c r="J1274" i="15"/>
  <c r="K1274" i="15"/>
  <c r="L1274" i="15"/>
  <c r="M1274" i="15"/>
  <c r="N1274" i="15"/>
  <c r="A1275" i="15"/>
  <c r="B1275" i="15"/>
  <c r="C1275" i="15"/>
  <c r="D1275" i="15"/>
  <c r="E1275" i="15"/>
  <c r="F1275" i="15"/>
  <c r="G1275" i="15"/>
  <c r="H1275" i="15"/>
  <c r="I1275" i="15"/>
  <c r="J1275" i="15"/>
  <c r="K1275" i="15"/>
  <c r="L1275" i="15"/>
  <c r="M1275" i="15"/>
  <c r="N1275" i="15"/>
  <c r="A1276" i="15"/>
  <c r="B1276" i="15"/>
  <c r="C1276" i="15"/>
  <c r="D1276" i="15"/>
  <c r="E1276" i="15"/>
  <c r="F1276" i="15"/>
  <c r="G1276" i="15"/>
  <c r="H1276" i="15"/>
  <c r="I1276" i="15"/>
  <c r="J1276" i="15"/>
  <c r="K1276" i="15"/>
  <c r="L1276" i="15"/>
  <c r="M1276" i="15"/>
  <c r="N1276" i="15"/>
  <c r="A1277" i="15"/>
  <c r="B1277" i="15"/>
  <c r="C1277" i="15"/>
  <c r="D1277" i="15"/>
  <c r="E1277" i="15"/>
  <c r="F1277" i="15"/>
  <c r="G1277" i="15"/>
  <c r="H1277" i="15"/>
  <c r="I1277" i="15"/>
  <c r="J1277" i="15"/>
  <c r="K1277" i="15"/>
  <c r="L1277" i="15"/>
  <c r="M1277" i="15"/>
  <c r="N1277" i="15"/>
  <c r="A1278" i="15"/>
  <c r="B1278" i="15"/>
  <c r="C1278" i="15"/>
  <c r="D1278" i="15"/>
  <c r="E1278" i="15"/>
  <c r="F1278" i="15"/>
  <c r="G1278" i="15"/>
  <c r="H1278" i="15"/>
  <c r="I1278" i="15"/>
  <c r="J1278" i="15"/>
  <c r="K1278" i="15"/>
  <c r="L1278" i="15"/>
  <c r="M1278" i="15"/>
  <c r="N1278" i="15"/>
  <c r="A1279" i="15"/>
  <c r="B1279" i="15"/>
  <c r="C1279" i="15"/>
  <c r="D1279" i="15"/>
  <c r="E1279" i="15"/>
  <c r="F1279" i="15"/>
  <c r="G1279" i="15"/>
  <c r="H1279" i="15"/>
  <c r="I1279" i="15"/>
  <c r="J1279" i="15"/>
  <c r="K1279" i="15"/>
  <c r="L1279" i="15"/>
  <c r="M1279" i="15"/>
  <c r="N1279" i="15"/>
  <c r="A1280" i="15"/>
  <c r="B1280" i="15"/>
  <c r="C1280" i="15"/>
  <c r="D1280" i="15"/>
  <c r="E1280" i="15"/>
  <c r="F1280" i="15"/>
  <c r="G1280" i="15"/>
  <c r="H1280" i="15"/>
  <c r="I1280" i="15"/>
  <c r="J1280" i="15"/>
  <c r="K1280" i="15"/>
  <c r="L1280" i="15"/>
  <c r="M1280" i="15"/>
  <c r="N1280" i="15"/>
  <c r="A1281" i="15"/>
  <c r="B1281" i="15"/>
  <c r="C1281" i="15"/>
  <c r="D1281" i="15"/>
  <c r="E1281" i="15"/>
  <c r="F1281" i="15"/>
  <c r="G1281" i="15"/>
  <c r="H1281" i="15"/>
  <c r="I1281" i="15"/>
  <c r="J1281" i="15"/>
  <c r="K1281" i="15"/>
  <c r="L1281" i="15"/>
  <c r="M1281" i="15"/>
  <c r="N1281" i="15"/>
  <c r="A1282" i="15"/>
  <c r="B1282" i="15"/>
  <c r="C1282" i="15"/>
  <c r="D1282" i="15"/>
  <c r="E1282" i="15"/>
  <c r="F1282" i="15"/>
  <c r="G1282" i="15"/>
  <c r="H1282" i="15"/>
  <c r="I1282" i="15"/>
  <c r="J1282" i="15"/>
  <c r="K1282" i="15"/>
  <c r="L1282" i="15"/>
  <c r="M1282" i="15"/>
  <c r="N1282" i="15"/>
  <c r="A1283" i="15"/>
  <c r="B1283" i="15"/>
  <c r="C1283" i="15"/>
  <c r="D1283" i="15"/>
  <c r="E1283" i="15"/>
  <c r="F1283" i="15"/>
  <c r="G1283" i="15"/>
  <c r="H1283" i="15"/>
  <c r="I1283" i="15"/>
  <c r="J1283" i="15"/>
  <c r="K1283" i="15"/>
  <c r="L1283" i="15"/>
  <c r="M1283" i="15"/>
  <c r="N1283" i="15"/>
  <c r="A1284" i="15"/>
  <c r="B1284" i="15"/>
  <c r="C1284" i="15"/>
  <c r="D1284" i="15"/>
  <c r="E1284" i="15"/>
  <c r="F1284" i="15"/>
  <c r="G1284" i="15"/>
  <c r="H1284" i="15"/>
  <c r="I1284" i="15"/>
  <c r="J1284" i="15"/>
  <c r="K1284" i="15"/>
  <c r="L1284" i="15"/>
  <c r="M1284" i="15"/>
  <c r="N1284" i="15"/>
  <c r="A1285" i="15"/>
  <c r="B1285" i="15"/>
  <c r="C1285" i="15"/>
  <c r="D1285" i="15"/>
  <c r="E1285" i="15"/>
  <c r="F1285" i="15"/>
  <c r="G1285" i="15"/>
  <c r="H1285" i="15"/>
  <c r="I1285" i="15"/>
  <c r="J1285" i="15"/>
  <c r="K1285" i="15"/>
  <c r="L1285" i="15"/>
  <c r="M1285" i="15"/>
  <c r="N1285" i="15"/>
  <c r="A1286" i="15"/>
  <c r="B1286" i="15"/>
  <c r="C1286" i="15"/>
  <c r="D1286" i="15"/>
  <c r="E1286" i="15"/>
  <c r="F1286" i="15"/>
  <c r="G1286" i="15"/>
  <c r="H1286" i="15"/>
  <c r="I1286" i="15"/>
  <c r="J1286" i="15"/>
  <c r="K1286" i="15"/>
  <c r="L1286" i="15"/>
  <c r="M1286" i="15"/>
  <c r="N1286" i="15"/>
  <c r="A1287" i="15"/>
  <c r="B1287" i="15"/>
  <c r="C1287" i="15"/>
  <c r="D1287" i="15"/>
  <c r="E1287" i="15"/>
  <c r="F1287" i="15"/>
  <c r="G1287" i="15"/>
  <c r="H1287" i="15"/>
  <c r="I1287" i="15"/>
  <c r="J1287" i="15"/>
  <c r="K1287" i="15"/>
  <c r="L1287" i="15"/>
  <c r="M1287" i="15"/>
  <c r="N1287" i="15"/>
  <c r="A1288" i="15"/>
  <c r="B1288" i="15"/>
  <c r="C1288" i="15"/>
  <c r="D1288" i="15"/>
  <c r="E1288" i="15"/>
  <c r="F1288" i="15"/>
  <c r="G1288" i="15"/>
  <c r="H1288" i="15"/>
  <c r="I1288" i="15"/>
  <c r="J1288" i="15"/>
  <c r="K1288" i="15"/>
  <c r="L1288" i="15"/>
  <c r="M1288" i="15"/>
  <c r="N1288" i="15"/>
  <c r="A1289" i="15"/>
  <c r="B1289" i="15"/>
  <c r="C1289" i="15"/>
  <c r="D1289" i="15"/>
  <c r="E1289" i="15"/>
  <c r="F1289" i="15"/>
  <c r="G1289" i="15"/>
  <c r="H1289" i="15"/>
  <c r="I1289" i="15"/>
  <c r="J1289" i="15"/>
  <c r="K1289" i="15"/>
  <c r="L1289" i="15"/>
  <c r="M1289" i="15"/>
  <c r="N1289" i="15"/>
  <c r="A1290" i="15"/>
  <c r="B1290" i="15"/>
  <c r="C1290" i="15"/>
  <c r="D1290" i="15"/>
  <c r="E1290" i="15"/>
  <c r="F1290" i="15"/>
  <c r="G1290" i="15"/>
  <c r="H1290" i="15"/>
  <c r="I1290" i="15"/>
  <c r="J1290" i="15"/>
  <c r="K1290" i="15"/>
  <c r="L1290" i="15"/>
  <c r="M1290" i="15"/>
  <c r="N1290" i="15"/>
  <c r="A1291" i="15"/>
  <c r="B1291" i="15"/>
  <c r="C1291" i="15"/>
  <c r="D1291" i="15"/>
  <c r="E1291" i="15"/>
  <c r="F1291" i="15"/>
  <c r="G1291" i="15"/>
  <c r="H1291" i="15"/>
  <c r="I1291" i="15"/>
  <c r="J1291" i="15"/>
  <c r="K1291" i="15"/>
  <c r="L1291" i="15"/>
  <c r="M1291" i="15"/>
  <c r="N1291" i="15"/>
  <c r="A1292" i="15"/>
  <c r="B1292" i="15"/>
  <c r="C1292" i="15"/>
  <c r="D1292" i="15"/>
  <c r="E1292" i="15"/>
  <c r="F1292" i="15"/>
  <c r="G1292" i="15"/>
  <c r="H1292" i="15"/>
  <c r="I1292" i="15"/>
  <c r="J1292" i="15"/>
  <c r="K1292" i="15"/>
  <c r="L1292" i="15"/>
  <c r="M1292" i="15"/>
  <c r="N1292" i="15"/>
  <c r="A1293" i="15"/>
  <c r="B1293" i="15"/>
  <c r="C1293" i="15"/>
  <c r="D1293" i="15"/>
  <c r="E1293" i="15"/>
  <c r="F1293" i="15"/>
  <c r="G1293" i="15"/>
  <c r="H1293" i="15"/>
  <c r="I1293" i="15"/>
  <c r="J1293" i="15"/>
  <c r="K1293" i="15"/>
  <c r="L1293" i="15"/>
  <c r="M1293" i="15"/>
  <c r="N1293" i="15"/>
  <c r="A1294" i="15"/>
  <c r="B1294" i="15"/>
  <c r="C1294" i="15"/>
  <c r="D1294" i="15"/>
  <c r="E1294" i="15"/>
  <c r="F1294" i="15"/>
  <c r="G1294" i="15"/>
  <c r="H1294" i="15"/>
  <c r="I1294" i="15"/>
  <c r="J1294" i="15"/>
  <c r="K1294" i="15"/>
  <c r="L1294" i="15"/>
  <c r="M1294" i="15"/>
  <c r="N1294" i="15"/>
  <c r="A1295" i="15"/>
  <c r="B1295" i="15"/>
  <c r="C1295" i="15"/>
  <c r="D1295" i="15"/>
  <c r="E1295" i="15"/>
  <c r="F1295" i="15"/>
  <c r="G1295" i="15"/>
  <c r="H1295" i="15"/>
  <c r="I1295" i="15"/>
  <c r="J1295" i="15"/>
  <c r="K1295" i="15"/>
  <c r="L1295" i="15"/>
  <c r="M1295" i="15"/>
  <c r="N1295" i="15"/>
  <c r="A1296" i="15"/>
  <c r="B1296" i="15"/>
  <c r="C1296" i="15"/>
  <c r="D1296" i="15"/>
  <c r="E1296" i="15"/>
  <c r="F1296" i="15"/>
  <c r="G1296" i="15"/>
  <c r="H1296" i="15"/>
  <c r="I1296" i="15"/>
  <c r="J1296" i="15"/>
  <c r="K1296" i="15"/>
  <c r="L1296" i="15"/>
  <c r="M1296" i="15"/>
  <c r="N1296" i="15"/>
  <c r="A1297" i="15"/>
  <c r="B1297" i="15"/>
  <c r="C1297" i="15"/>
  <c r="D1297" i="15"/>
  <c r="E1297" i="15"/>
  <c r="F1297" i="15"/>
  <c r="G1297" i="15"/>
  <c r="H1297" i="15"/>
  <c r="I1297" i="15"/>
  <c r="J1297" i="15"/>
  <c r="K1297" i="15"/>
  <c r="L1297" i="15"/>
  <c r="M1297" i="15"/>
  <c r="N1297" i="15"/>
  <c r="A1298" i="15"/>
  <c r="B1298" i="15"/>
  <c r="C1298" i="15"/>
  <c r="D1298" i="15"/>
  <c r="E1298" i="15"/>
  <c r="F1298" i="15"/>
  <c r="G1298" i="15"/>
  <c r="H1298" i="15"/>
  <c r="I1298" i="15"/>
  <c r="J1298" i="15"/>
  <c r="K1298" i="15"/>
  <c r="L1298" i="15"/>
  <c r="M1298" i="15"/>
  <c r="N1298" i="15"/>
  <c r="A1299" i="15"/>
  <c r="B1299" i="15"/>
  <c r="C1299" i="15"/>
  <c r="D1299" i="15"/>
  <c r="E1299" i="15"/>
  <c r="F1299" i="15"/>
  <c r="G1299" i="15"/>
  <c r="H1299" i="15"/>
  <c r="I1299" i="15"/>
  <c r="J1299" i="15"/>
  <c r="K1299" i="15"/>
  <c r="L1299" i="15"/>
  <c r="M1299" i="15"/>
  <c r="N1299" i="15"/>
  <c r="A1300" i="15"/>
  <c r="B1300" i="15"/>
  <c r="C1300" i="15"/>
  <c r="D1300" i="15"/>
  <c r="E1300" i="15"/>
  <c r="F1300" i="15"/>
  <c r="G1300" i="15"/>
  <c r="H1300" i="15"/>
  <c r="I1300" i="15"/>
  <c r="J1300" i="15"/>
  <c r="K1300" i="15"/>
  <c r="L1300" i="15"/>
  <c r="M1300" i="15"/>
  <c r="N1300" i="15"/>
  <c r="A1301" i="15"/>
  <c r="B1301" i="15"/>
  <c r="C1301" i="15"/>
  <c r="D1301" i="15"/>
  <c r="E1301" i="15"/>
  <c r="F1301" i="15"/>
  <c r="G1301" i="15"/>
  <c r="H1301" i="15"/>
  <c r="I1301" i="15"/>
  <c r="J1301" i="15"/>
  <c r="K1301" i="15"/>
  <c r="L1301" i="15"/>
  <c r="M1301" i="15"/>
  <c r="N1301" i="15"/>
  <c r="A1302" i="15"/>
  <c r="B1302" i="15"/>
  <c r="C1302" i="15"/>
  <c r="D1302" i="15"/>
  <c r="E1302" i="15"/>
  <c r="F1302" i="15"/>
  <c r="G1302" i="15"/>
  <c r="H1302" i="15"/>
  <c r="I1302" i="15"/>
  <c r="J1302" i="15"/>
  <c r="K1302" i="15"/>
  <c r="L1302" i="15"/>
  <c r="M1302" i="15"/>
  <c r="N1302" i="15"/>
  <c r="A1303" i="15"/>
  <c r="B1303" i="15"/>
  <c r="C1303" i="15"/>
  <c r="D1303" i="15"/>
  <c r="E1303" i="15"/>
  <c r="F1303" i="15"/>
  <c r="G1303" i="15"/>
  <c r="H1303" i="15"/>
  <c r="I1303" i="15"/>
  <c r="J1303" i="15"/>
  <c r="K1303" i="15"/>
  <c r="L1303" i="15"/>
  <c r="M1303" i="15"/>
  <c r="N1303" i="15"/>
  <c r="A1304" i="15"/>
  <c r="B1304" i="15"/>
  <c r="C1304" i="15"/>
  <c r="D1304" i="15"/>
  <c r="E1304" i="15"/>
  <c r="F1304" i="15"/>
  <c r="G1304" i="15"/>
  <c r="H1304" i="15"/>
  <c r="I1304" i="15"/>
  <c r="J1304" i="15"/>
  <c r="K1304" i="15"/>
  <c r="L1304" i="15"/>
  <c r="M1304" i="15"/>
  <c r="N1304" i="15"/>
  <c r="A1305" i="15"/>
  <c r="B1305" i="15"/>
  <c r="C1305" i="15"/>
  <c r="D1305" i="15"/>
  <c r="E1305" i="15"/>
  <c r="F1305" i="15"/>
  <c r="G1305" i="15"/>
  <c r="H1305" i="15"/>
  <c r="I1305" i="15"/>
  <c r="J1305" i="15"/>
  <c r="K1305" i="15"/>
  <c r="L1305" i="15"/>
  <c r="M1305" i="15"/>
  <c r="N1305" i="15"/>
  <c r="A1306" i="15"/>
  <c r="B1306" i="15"/>
  <c r="C1306" i="15"/>
  <c r="D1306" i="15"/>
  <c r="E1306" i="15"/>
  <c r="F1306" i="15"/>
  <c r="G1306" i="15"/>
  <c r="H1306" i="15"/>
  <c r="I1306" i="15"/>
  <c r="J1306" i="15"/>
  <c r="K1306" i="15"/>
  <c r="L1306" i="15"/>
  <c r="M1306" i="15"/>
  <c r="N1306" i="15"/>
  <c r="A1307" i="15"/>
  <c r="B1307" i="15"/>
  <c r="C1307" i="15"/>
  <c r="D1307" i="15"/>
  <c r="E1307" i="15"/>
  <c r="F1307" i="15"/>
  <c r="G1307" i="15"/>
  <c r="H1307" i="15"/>
  <c r="I1307" i="15"/>
  <c r="J1307" i="15"/>
  <c r="K1307" i="15"/>
  <c r="L1307" i="15"/>
  <c r="M1307" i="15"/>
  <c r="N1307" i="15"/>
  <c r="A1308" i="15"/>
  <c r="B1308" i="15"/>
  <c r="C1308" i="15"/>
  <c r="D1308" i="15"/>
  <c r="E1308" i="15"/>
  <c r="F1308" i="15"/>
  <c r="G1308" i="15"/>
  <c r="H1308" i="15"/>
  <c r="I1308" i="15"/>
  <c r="J1308" i="15"/>
  <c r="K1308" i="15"/>
  <c r="L1308" i="15"/>
  <c r="M1308" i="15"/>
  <c r="N1308" i="15"/>
  <c r="A1309" i="15"/>
  <c r="B1309" i="15"/>
  <c r="C1309" i="15"/>
  <c r="D1309" i="15"/>
  <c r="E1309" i="15"/>
  <c r="F1309" i="15"/>
  <c r="G1309" i="15"/>
  <c r="H1309" i="15"/>
  <c r="I1309" i="15"/>
  <c r="J1309" i="15"/>
  <c r="K1309" i="15"/>
  <c r="L1309" i="15"/>
  <c r="M1309" i="15"/>
  <c r="N1309" i="15"/>
  <c r="A1310" i="15"/>
  <c r="B1310" i="15"/>
  <c r="C1310" i="15"/>
  <c r="D1310" i="15"/>
  <c r="E1310" i="15"/>
  <c r="F1310" i="15"/>
  <c r="G1310" i="15"/>
  <c r="H1310" i="15"/>
  <c r="I1310" i="15"/>
  <c r="J1310" i="15"/>
  <c r="K1310" i="15"/>
  <c r="L1310" i="15"/>
  <c r="M1310" i="15"/>
  <c r="N1310" i="15"/>
  <c r="A1311" i="15"/>
  <c r="B1311" i="15"/>
  <c r="C1311" i="15"/>
  <c r="D1311" i="15"/>
  <c r="E1311" i="15"/>
  <c r="F1311" i="15"/>
  <c r="G1311" i="15"/>
  <c r="H1311" i="15"/>
  <c r="I1311" i="15"/>
  <c r="J1311" i="15"/>
  <c r="K1311" i="15"/>
  <c r="L1311" i="15"/>
  <c r="M1311" i="15"/>
  <c r="N1311" i="15"/>
  <c r="A1312" i="15"/>
  <c r="B1312" i="15"/>
  <c r="C1312" i="15"/>
  <c r="D1312" i="15"/>
  <c r="E1312" i="15"/>
  <c r="F1312" i="15"/>
  <c r="G1312" i="15"/>
  <c r="H1312" i="15"/>
  <c r="I1312" i="15"/>
  <c r="J1312" i="15"/>
  <c r="K1312" i="15"/>
  <c r="L1312" i="15"/>
  <c r="M1312" i="15"/>
  <c r="N1312" i="15"/>
  <c r="A1313" i="15"/>
  <c r="B1313" i="15"/>
  <c r="C1313" i="15"/>
  <c r="D1313" i="15"/>
  <c r="E1313" i="15"/>
  <c r="F1313" i="15"/>
  <c r="G1313" i="15"/>
  <c r="H1313" i="15"/>
  <c r="I1313" i="15"/>
  <c r="J1313" i="15"/>
  <c r="K1313" i="15"/>
  <c r="L1313" i="15"/>
  <c r="M1313" i="15"/>
  <c r="N1313" i="15"/>
  <c r="A1314" i="15"/>
  <c r="B1314" i="15"/>
  <c r="C1314" i="15"/>
  <c r="D1314" i="15"/>
  <c r="E1314" i="15"/>
  <c r="F1314" i="15"/>
  <c r="G1314" i="15"/>
  <c r="H1314" i="15"/>
  <c r="I1314" i="15"/>
  <c r="J1314" i="15"/>
  <c r="K1314" i="15"/>
  <c r="L1314" i="15"/>
  <c r="M1314" i="15"/>
  <c r="N1314" i="15"/>
  <c r="A1315" i="15"/>
  <c r="B1315" i="15"/>
  <c r="C1315" i="15"/>
  <c r="D1315" i="15"/>
  <c r="E1315" i="15"/>
  <c r="F1315" i="15"/>
  <c r="G1315" i="15"/>
  <c r="H1315" i="15"/>
  <c r="I1315" i="15"/>
  <c r="J1315" i="15"/>
  <c r="K1315" i="15"/>
  <c r="L1315" i="15"/>
  <c r="M1315" i="15"/>
  <c r="N1315" i="15"/>
  <c r="A1316" i="15"/>
  <c r="B1316" i="15"/>
  <c r="C1316" i="15"/>
  <c r="D1316" i="15"/>
  <c r="E1316" i="15"/>
  <c r="F1316" i="15"/>
  <c r="G1316" i="15"/>
  <c r="H1316" i="15"/>
  <c r="I1316" i="15"/>
  <c r="J1316" i="15"/>
  <c r="K1316" i="15"/>
  <c r="L1316" i="15"/>
  <c r="M1316" i="15"/>
  <c r="N1316" i="15"/>
  <c r="A1317" i="15"/>
  <c r="B1317" i="15"/>
  <c r="C1317" i="15"/>
  <c r="D1317" i="15"/>
  <c r="E1317" i="15"/>
  <c r="F1317" i="15"/>
  <c r="G1317" i="15"/>
  <c r="H1317" i="15"/>
  <c r="I1317" i="15"/>
  <c r="J1317" i="15"/>
  <c r="K1317" i="15"/>
  <c r="L1317" i="15"/>
  <c r="M1317" i="15"/>
  <c r="N1317" i="15"/>
  <c r="A1318" i="15"/>
  <c r="B1318" i="15"/>
  <c r="C1318" i="15"/>
  <c r="D1318" i="15"/>
  <c r="E1318" i="15"/>
  <c r="F1318" i="15"/>
  <c r="G1318" i="15"/>
  <c r="H1318" i="15"/>
  <c r="I1318" i="15"/>
  <c r="J1318" i="15"/>
  <c r="K1318" i="15"/>
  <c r="L1318" i="15"/>
  <c r="M1318" i="15"/>
  <c r="N1318" i="15"/>
  <c r="A1319" i="15"/>
  <c r="B1319" i="15"/>
  <c r="C1319" i="15"/>
  <c r="D1319" i="15"/>
  <c r="E1319" i="15"/>
  <c r="F1319" i="15"/>
  <c r="G1319" i="15"/>
  <c r="H1319" i="15"/>
  <c r="I1319" i="15"/>
  <c r="J1319" i="15"/>
  <c r="K1319" i="15"/>
  <c r="L1319" i="15"/>
  <c r="M1319" i="15"/>
  <c r="N1319" i="15"/>
  <c r="A1320" i="15"/>
  <c r="B1320" i="15"/>
  <c r="C1320" i="15"/>
  <c r="D1320" i="15"/>
  <c r="E1320" i="15"/>
  <c r="F1320" i="15"/>
  <c r="G1320" i="15"/>
  <c r="H1320" i="15"/>
  <c r="I1320" i="15"/>
  <c r="J1320" i="15"/>
  <c r="K1320" i="15"/>
  <c r="L1320" i="15"/>
  <c r="M1320" i="15"/>
  <c r="N1320" i="15"/>
  <c r="A1321" i="15"/>
  <c r="B1321" i="15"/>
  <c r="C1321" i="15"/>
  <c r="D1321" i="15"/>
  <c r="E1321" i="15"/>
  <c r="F1321" i="15"/>
  <c r="G1321" i="15"/>
  <c r="H1321" i="15"/>
  <c r="I1321" i="15"/>
  <c r="J1321" i="15"/>
  <c r="K1321" i="15"/>
  <c r="L1321" i="15"/>
  <c r="M1321" i="15"/>
  <c r="N1321" i="15"/>
  <c r="A1322" i="15"/>
  <c r="B1322" i="15"/>
  <c r="C1322" i="15"/>
  <c r="D1322" i="15"/>
  <c r="E1322" i="15"/>
  <c r="F1322" i="15"/>
  <c r="G1322" i="15"/>
  <c r="H1322" i="15"/>
  <c r="I1322" i="15"/>
  <c r="J1322" i="15"/>
  <c r="K1322" i="15"/>
  <c r="L1322" i="15"/>
  <c r="M1322" i="15"/>
  <c r="N1322" i="15"/>
  <c r="A1323" i="15"/>
  <c r="B1323" i="15"/>
  <c r="C1323" i="15"/>
  <c r="D1323" i="15"/>
  <c r="E1323" i="15"/>
  <c r="F1323" i="15"/>
  <c r="G1323" i="15"/>
  <c r="H1323" i="15"/>
  <c r="I1323" i="15"/>
  <c r="J1323" i="15"/>
  <c r="K1323" i="15"/>
  <c r="L1323" i="15"/>
  <c r="M1323" i="15"/>
  <c r="N1323" i="15"/>
  <c r="A1324" i="15"/>
  <c r="B1324" i="15"/>
  <c r="C1324" i="15"/>
  <c r="D1324" i="15"/>
  <c r="E1324" i="15"/>
  <c r="F1324" i="15"/>
  <c r="G1324" i="15"/>
  <c r="H1324" i="15"/>
  <c r="I1324" i="15"/>
  <c r="J1324" i="15"/>
  <c r="K1324" i="15"/>
  <c r="L1324" i="15"/>
  <c r="M1324" i="15"/>
  <c r="N1324" i="15"/>
  <c r="A1325" i="15"/>
  <c r="B1325" i="15"/>
  <c r="C1325" i="15"/>
  <c r="D1325" i="15"/>
  <c r="E1325" i="15"/>
  <c r="F1325" i="15"/>
  <c r="G1325" i="15"/>
  <c r="H1325" i="15"/>
  <c r="I1325" i="15"/>
  <c r="J1325" i="15"/>
  <c r="K1325" i="15"/>
  <c r="L1325" i="15"/>
  <c r="M1325" i="15"/>
  <c r="N1325" i="15"/>
  <c r="A1326" i="15"/>
  <c r="B1326" i="15"/>
  <c r="C1326" i="15"/>
  <c r="D1326" i="15"/>
  <c r="E1326" i="15"/>
  <c r="F1326" i="15"/>
  <c r="G1326" i="15"/>
  <c r="H1326" i="15"/>
  <c r="I1326" i="15"/>
  <c r="J1326" i="15"/>
  <c r="K1326" i="15"/>
  <c r="L1326" i="15"/>
  <c r="M1326" i="15"/>
  <c r="N1326" i="15"/>
  <c r="A1327" i="15"/>
  <c r="B1327" i="15"/>
  <c r="C1327" i="15"/>
  <c r="D1327" i="15"/>
  <c r="E1327" i="15"/>
  <c r="F1327" i="15"/>
  <c r="G1327" i="15"/>
  <c r="H1327" i="15"/>
  <c r="I1327" i="15"/>
  <c r="J1327" i="15"/>
  <c r="K1327" i="15"/>
  <c r="L1327" i="15"/>
  <c r="M1327" i="15"/>
  <c r="N1327" i="15"/>
  <c r="A1328" i="15"/>
  <c r="B1328" i="15"/>
  <c r="C1328" i="15"/>
  <c r="D1328" i="15"/>
  <c r="E1328" i="15"/>
  <c r="F1328" i="15"/>
  <c r="G1328" i="15"/>
  <c r="H1328" i="15"/>
  <c r="I1328" i="15"/>
  <c r="J1328" i="15"/>
  <c r="K1328" i="15"/>
  <c r="L1328" i="15"/>
  <c r="M1328" i="15"/>
  <c r="N1328" i="15"/>
  <c r="A1329" i="15"/>
  <c r="B1329" i="15"/>
  <c r="C1329" i="15"/>
  <c r="D1329" i="15"/>
  <c r="E1329" i="15"/>
  <c r="F1329" i="15"/>
  <c r="G1329" i="15"/>
  <c r="H1329" i="15"/>
  <c r="I1329" i="15"/>
  <c r="J1329" i="15"/>
  <c r="K1329" i="15"/>
  <c r="L1329" i="15"/>
  <c r="M1329" i="15"/>
  <c r="N1329" i="15"/>
  <c r="A1330" i="15"/>
  <c r="B1330" i="15"/>
  <c r="C1330" i="15"/>
  <c r="D1330" i="15"/>
  <c r="E1330" i="15"/>
  <c r="F1330" i="15"/>
  <c r="G1330" i="15"/>
  <c r="H1330" i="15"/>
  <c r="I1330" i="15"/>
  <c r="J1330" i="15"/>
  <c r="K1330" i="15"/>
  <c r="L1330" i="15"/>
  <c r="M1330" i="15"/>
  <c r="N1330" i="15"/>
  <c r="A1331" i="15"/>
  <c r="B1331" i="15"/>
  <c r="C1331" i="15"/>
  <c r="D1331" i="15"/>
  <c r="E1331" i="15"/>
  <c r="F1331" i="15"/>
  <c r="G1331" i="15"/>
  <c r="H1331" i="15"/>
  <c r="I1331" i="15"/>
  <c r="J1331" i="15"/>
  <c r="K1331" i="15"/>
  <c r="L1331" i="15"/>
  <c r="M1331" i="15"/>
  <c r="N1331" i="15"/>
  <c r="A1332" i="15"/>
  <c r="B1332" i="15"/>
  <c r="C1332" i="15"/>
  <c r="D1332" i="15"/>
  <c r="E1332" i="15"/>
  <c r="F1332" i="15"/>
  <c r="G1332" i="15"/>
  <c r="H1332" i="15"/>
  <c r="I1332" i="15"/>
  <c r="J1332" i="15"/>
  <c r="K1332" i="15"/>
  <c r="L1332" i="15"/>
  <c r="M1332" i="15"/>
  <c r="N1332" i="15"/>
  <c r="A1333" i="15"/>
  <c r="B1333" i="15"/>
  <c r="C1333" i="15"/>
  <c r="D1333" i="15"/>
  <c r="E1333" i="15"/>
  <c r="F1333" i="15"/>
  <c r="G1333" i="15"/>
  <c r="H1333" i="15"/>
  <c r="I1333" i="15"/>
  <c r="J1333" i="15"/>
  <c r="K1333" i="15"/>
  <c r="L1333" i="15"/>
  <c r="M1333" i="15"/>
  <c r="N1333" i="15"/>
  <c r="A1334" i="15"/>
  <c r="B1334" i="15"/>
  <c r="C1334" i="15"/>
  <c r="D1334" i="15"/>
  <c r="E1334" i="15"/>
  <c r="F1334" i="15"/>
  <c r="G1334" i="15"/>
  <c r="H1334" i="15"/>
  <c r="I1334" i="15"/>
  <c r="J1334" i="15"/>
  <c r="K1334" i="15"/>
  <c r="L1334" i="15"/>
  <c r="M1334" i="15"/>
  <c r="N1334" i="15"/>
  <c r="A1335" i="15"/>
  <c r="B1335" i="15"/>
  <c r="C1335" i="15"/>
  <c r="D1335" i="15"/>
  <c r="E1335" i="15"/>
  <c r="F1335" i="15"/>
  <c r="G1335" i="15"/>
  <c r="H1335" i="15"/>
  <c r="I1335" i="15"/>
  <c r="J1335" i="15"/>
  <c r="K1335" i="15"/>
  <c r="L1335" i="15"/>
  <c r="M1335" i="15"/>
  <c r="N1335" i="15"/>
  <c r="A1336" i="15"/>
  <c r="B1336" i="15"/>
  <c r="C1336" i="15"/>
  <c r="D1336" i="15"/>
  <c r="E1336" i="15"/>
  <c r="F1336" i="15"/>
  <c r="G1336" i="15"/>
  <c r="H1336" i="15"/>
  <c r="I1336" i="15"/>
  <c r="J1336" i="15"/>
  <c r="K1336" i="15"/>
  <c r="L1336" i="15"/>
  <c r="M1336" i="15"/>
  <c r="N1336" i="15"/>
  <c r="A1337" i="15"/>
  <c r="B1337" i="15"/>
  <c r="C1337" i="15"/>
  <c r="D1337" i="15"/>
  <c r="E1337" i="15"/>
  <c r="F1337" i="15"/>
  <c r="G1337" i="15"/>
  <c r="H1337" i="15"/>
  <c r="I1337" i="15"/>
  <c r="J1337" i="15"/>
  <c r="K1337" i="15"/>
  <c r="L1337" i="15"/>
  <c r="M1337" i="15"/>
  <c r="N1337" i="15"/>
  <c r="A1338" i="15"/>
  <c r="B1338" i="15"/>
  <c r="C1338" i="15"/>
  <c r="D1338" i="15"/>
  <c r="E1338" i="15"/>
  <c r="F1338" i="15"/>
  <c r="G1338" i="15"/>
  <c r="H1338" i="15"/>
  <c r="I1338" i="15"/>
  <c r="J1338" i="15"/>
  <c r="K1338" i="15"/>
  <c r="L1338" i="15"/>
  <c r="M1338" i="15"/>
  <c r="N1338" i="15"/>
  <c r="A1339" i="15"/>
  <c r="B1339" i="15"/>
  <c r="C1339" i="15"/>
  <c r="D1339" i="15"/>
  <c r="E1339" i="15"/>
  <c r="F1339" i="15"/>
  <c r="G1339" i="15"/>
  <c r="H1339" i="15"/>
  <c r="I1339" i="15"/>
  <c r="J1339" i="15"/>
  <c r="K1339" i="15"/>
  <c r="L1339" i="15"/>
  <c r="M1339" i="15"/>
  <c r="N1339" i="15"/>
  <c r="A1340" i="15"/>
  <c r="B1340" i="15"/>
  <c r="C1340" i="15"/>
  <c r="D1340" i="15"/>
  <c r="E1340" i="15"/>
  <c r="F1340" i="15"/>
  <c r="G1340" i="15"/>
  <c r="H1340" i="15"/>
  <c r="I1340" i="15"/>
  <c r="J1340" i="15"/>
  <c r="K1340" i="15"/>
  <c r="L1340" i="15"/>
  <c r="M1340" i="15"/>
  <c r="N1340" i="15"/>
  <c r="A1341" i="15"/>
  <c r="B1341" i="15"/>
  <c r="C1341" i="15"/>
  <c r="D1341" i="15"/>
  <c r="E1341" i="15"/>
  <c r="F1341" i="15"/>
  <c r="G1341" i="15"/>
  <c r="H1341" i="15"/>
  <c r="I1341" i="15"/>
  <c r="J1341" i="15"/>
  <c r="K1341" i="15"/>
  <c r="L1341" i="15"/>
  <c r="M1341" i="15"/>
  <c r="N1341" i="15"/>
  <c r="A1342" i="15"/>
  <c r="B1342" i="15"/>
  <c r="C1342" i="15"/>
  <c r="D1342" i="15"/>
  <c r="E1342" i="15"/>
  <c r="F1342" i="15"/>
  <c r="G1342" i="15"/>
  <c r="H1342" i="15"/>
  <c r="I1342" i="15"/>
  <c r="J1342" i="15"/>
  <c r="K1342" i="15"/>
  <c r="L1342" i="15"/>
  <c r="M1342" i="15"/>
  <c r="N1342" i="15"/>
  <c r="A1343" i="15"/>
  <c r="B1343" i="15"/>
  <c r="C1343" i="15"/>
  <c r="D1343" i="15"/>
  <c r="E1343" i="15"/>
  <c r="F1343" i="15"/>
  <c r="G1343" i="15"/>
  <c r="H1343" i="15"/>
  <c r="I1343" i="15"/>
  <c r="J1343" i="15"/>
  <c r="K1343" i="15"/>
  <c r="L1343" i="15"/>
  <c r="M1343" i="15"/>
  <c r="N1343" i="15"/>
  <c r="A1344" i="15"/>
  <c r="B1344" i="15"/>
  <c r="C1344" i="15"/>
  <c r="D1344" i="15"/>
  <c r="E1344" i="15"/>
  <c r="F1344" i="15"/>
  <c r="G1344" i="15"/>
  <c r="H1344" i="15"/>
  <c r="I1344" i="15"/>
  <c r="J1344" i="15"/>
  <c r="K1344" i="15"/>
  <c r="L1344" i="15"/>
  <c r="M1344" i="15"/>
  <c r="N1344" i="15"/>
  <c r="A1345" i="15"/>
  <c r="B1345" i="15"/>
  <c r="C1345" i="15"/>
  <c r="D1345" i="15"/>
  <c r="E1345" i="15"/>
  <c r="F1345" i="15"/>
  <c r="G1345" i="15"/>
  <c r="H1345" i="15"/>
  <c r="I1345" i="15"/>
  <c r="J1345" i="15"/>
  <c r="K1345" i="15"/>
  <c r="L1345" i="15"/>
  <c r="M1345" i="15"/>
  <c r="N1345" i="15"/>
  <c r="A1346" i="15"/>
  <c r="B1346" i="15"/>
  <c r="C1346" i="15"/>
  <c r="D1346" i="15"/>
  <c r="E1346" i="15"/>
  <c r="F1346" i="15"/>
  <c r="G1346" i="15"/>
  <c r="H1346" i="15"/>
  <c r="I1346" i="15"/>
  <c r="J1346" i="15"/>
  <c r="K1346" i="15"/>
  <c r="L1346" i="15"/>
  <c r="M1346" i="15"/>
  <c r="N1346" i="15"/>
  <c r="A1347" i="15"/>
  <c r="B1347" i="15"/>
  <c r="C1347" i="15"/>
  <c r="D1347" i="15"/>
  <c r="E1347" i="15"/>
  <c r="F1347" i="15"/>
  <c r="G1347" i="15"/>
  <c r="H1347" i="15"/>
  <c r="I1347" i="15"/>
  <c r="J1347" i="15"/>
  <c r="K1347" i="15"/>
  <c r="L1347" i="15"/>
  <c r="M1347" i="15"/>
  <c r="N1347" i="15"/>
  <c r="A1348" i="15"/>
  <c r="B1348" i="15"/>
  <c r="C1348" i="15"/>
  <c r="D1348" i="15"/>
  <c r="E1348" i="15"/>
  <c r="F1348" i="15"/>
  <c r="G1348" i="15"/>
  <c r="H1348" i="15"/>
  <c r="I1348" i="15"/>
  <c r="J1348" i="15"/>
  <c r="K1348" i="15"/>
  <c r="L1348" i="15"/>
  <c r="M1348" i="15"/>
  <c r="N1348" i="15"/>
  <c r="A1349" i="15"/>
  <c r="B1349" i="15"/>
  <c r="C1349" i="15"/>
  <c r="D1349" i="15"/>
  <c r="E1349" i="15"/>
  <c r="F1349" i="15"/>
  <c r="G1349" i="15"/>
  <c r="H1349" i="15"/>
  <c r="I1349" i="15"/>
  <c r="J1349" i="15"/>
  <c r="K1349" i="15"/>
  <c r="L1349" i="15"/>
  <c r="M1349" i="15"/>
  <c r="N1349" i="15"/>
  <c r="A1350" i="15"/>
  <c r="B1350" i="15"/>
  <c r="C1350" i="15"/>
  <c r="D1350" i="15"/>
  <c r="E1350" i="15"/>
  <c r="F1350" i="15"/>
  <c r="G1350" i="15"/>
  <c r="H1350" i="15"/>
  <c r="I1350" i="15"/>
  <c r="J1350" i="15"/>
  <c r="K1350" i="15"/>
  <c r="L1350" i="15"/>
  <c r="M1350" i="15"/>
  <c r="N1350" i="15"/>
  <c r="A1351" i="15"/>
  <c r="B1351" i="15"/>
  <c r="C1351" i="15"/>
  <c r="D1351" i="15"/>
  <c r="E1351" i="15"/>
  <c r="F1351" i="15"/>
  <c r="G1351" i="15"/>
  <c r="H1351" i="15"/>
  <c r="I1351" i="15"/>
  <c r="J1351" i="15"/>
  <c r="K1351" i="15"/>
  <c r="L1351" i="15"/>
  <c r="M1351" i="15"/>
  <c r="N1351" i="15"/>
  <c r="A1352" i="15"/>
  <c r="B1352" i="15"/>
  <c r="C1352" i="15"/>
  <c r="D1352" i="15"/>
  <c r="E1352" i="15"/>
  <c r="F1352" i="15"/>
  <c r="G1352" i="15"/>
  <c r="H1352" i="15"/>
  <c r="I1352" i="15"/>
  <c r="J1352" i="15"/>
  <c r="K1352" i="15"/>
  <c r="L1352" i="15"/>
  <c r="M1352" i="15"/>
  <c r="N1352" i="15"/>
  <c r="A1353" i="15"/>
  <c r="B1353" i="15"/>
  <c r="C1353" i="15"/>
  <c r="D1353" i="15"/>
  <c r="E1353" i="15"/>
  <c r="F1353" i="15"/>
  <c r="G1353" i="15"/>
  <c r="H1353" i="15"/>
  <c r="I1353" i="15"/>
  <c r="J1353" i="15"/>
  <c r="K1353" i="15"/>
  <c r="L1353" i="15"/>
  <c r="M1353" i="15"/>
  <c r="N1353" i="15"/>
  <c r="A1354" i="15"/>
  <c r="B1354" i="15"/>
  <c r="C1354" i="15"/>
  <c r="D1354" i="15"/>
  <c r="E1354" i="15"/>
  <c r="F1354" i="15"/>
  <c r="G1354" i="15"/>
  <c r="H1354" i="15"/>
  <c r="I1354" i="15"/>
  <c r="J1354" i="15"/>
  <c r="K1354" i="15"/>
  <c r="L1354" i="15"/>
  <c r="M1354" i="15"/>
  <c r="N1354" i="15"/>
  <c r="A1355" i="15"/>
  <c r="B1355" i="15"/>
  <c r="C1355" i="15"/>
  <c r="D1355" i="15"/>
  <c r="E1355" i="15"/>
  <c r="F1355" i="15"/>
  <c r="G1355" i="15"/>
  <c r="H1355" i="15"/>
  <c r="I1355" i="15"/>
  <c r="J1355" i="15"/>
  <c r="K1355" i="15"/>
  <c r="L1355" i="15"/>
  <c r="M1355" i="15"/>
  <c r="N1355" i="15"/>
  <c r="A1356" i="15"/>
  <c r="B1356" i="15"/>
  <c r="C1356" i="15"/>
  <c r="D1356" i="15"/>
  <c r="E1356" i="15"/>
  <c r="F1356" i="15"/>
  <c r="G1356" i="15"/>
  <c r="H1356" i="15"/>
  <c r="I1356" i="15"/>
  <c r="J1356" i="15"/>
  <c r="K1356" i="15"/>
  <c r="L1356" i="15"/>
  <c r="M1356" i="15"/>
  <c r="N1356" i="15"/>
  <c r="A1357" i="15"/>
  <c r="B1357" i="15"/>
  <c r="C1357" i="15"/>
  <c r="D1357" i="15"/>
  <c r="E1357" i="15"/>
  <c r="F1357" i="15"/>
  <c r="G1357" i="15"/>
  <c r="H1357" i="15"/>
  <c r="I1357" i="15"/>
  <c r="J1357" i="15"/>
  <c r="K1357" i="15"/>
  <c r="L1357" i="15"/>
  <c r="M1357" i="15"/>
  <c r="N1357" i="15"/>
  <c r="A1358" i="15"/>
  <c r="B1358" i="15"/>
  <c r="C1358" i="15"/>
  <c r="D1358" i="15"/>
  <c r="E1358" i="15"/>
  <c r="F1358" i="15"/>
  <c r="G1358" i="15"/>
  <c r="H1358" i="15"/>
  <c r="I1358" i="15"/>
  <c r="J1358" i="15"/>
  <c r="K1358" i="15"/>
  <c r="L1358" i="15"/>
  <c r="M1358" i="15"/>
  <c r="N1358" i="15"/>
  <c r="A1359" i="15"/>
  <c r="B1359" i="15"/>
  <c r="C1359" i="15"/>
  <c r="D1359" i="15"/>
  <c r="E1359" i="15"/>
  <c r="F1359" i="15"/>
  <c r="G1359" i="15"/>
  <c r="H1359" i="15"/>
  <c r="I1359" i="15"/>
  <c r="J1359" i="15"/>
  <c r="K1359" i="15"/>
  <c r="L1359" i="15"/>
  <c r="M1359" i="15"/>
  <c r="N1359" i="15"/>
  <c r="A1360" i="15"/>
  <c r="B1360" i="15"/>
  <c r="C1360" i="15"/>
  <c r="D1360" i="15"/>
  <c r="E1360" i="15"/>
  <c r="F1360" i="15"/>
  <c r="G1360" i="15"/>
  <c r="H1360" i="15"/>
  <c r="I1360" i="15"/>
  <c r="J1360" i="15"/>
  <c r="K1360" i="15"/>
  <c r="L1360" i="15"/>
  <c r="M1360" i="15"/>
  <c r="N1360" i="15"/>
  <c r="A1361" i="15"/>
  <c r="B1361" i="15"/>
  <c r="C1361" i="15"/>
  <c r="D1361" i="15"/>
  <c r="E1361" i="15"/>
  <c r="F1361" i="15"/>
  <c r="G1361" i="15"/>
  <c r="H1361" i="15"/>
  <c r="I1361" i="15"/>
  <c r="J1361" i="15"/>
  <c r="K1361" i="15"/>
  <c r="L1361" i="15"/>
  <c r="M1361" i="15"/>
  <c r="N1361" i="15"/>
  <c r="A1362" i="15"/>
  <c r="B1362" i="15"/>
  <c r="C1362" i="15"/>
  <c r="D1362" i="15"/>
  <c r="E1362" i="15"/>
  <c r="F1362" i="15"/>
  <c r="G1362" i="15"/>
  <c r="H1362" i="15"/>
  <c r="I1362" i="15"/>
  <c r="J1362" i="15"/>
  <c r="K1362" i="15"/>
  <c r="L1362" i="15"/>
  <c r="M1362" i="15"/>
  <c r="N1362" i="15"/>
  <c r="A1363" i="15"/>
  <c r="B1363" i="15"/>
  <c r="C1363" i="15"/>
  <c r="D1363" i="15"/>
  <c r="E1363" i="15"/>
  <c r="F1363" i="15"/>
  <c r="G1363" i="15"/>
  <c r="H1363" i="15"/>
  <c r="I1363" i="15"/>
  <c r="J1363" i="15"/>
  <c r="K1363" i="15"/>
  <c r="L1363" i="15"/>
  <c r="M1363" i="15"/>
  <c r="N1363" i="15"/>
  <c r="A1364" i="15"/>
  <c r="B1364" i="15"/>
  <c r="C1364" i="15"/>
  <c r="D1364" i="15"/>
  <c r="E1364" i="15"/>
  <c r="F1364" i="15"/>
  <c r="G1364" i="15"/>
  <c r="H1364" i="15"/>
  <c r="I1364" i="15"/>
  <c r="J1364" i="15"/>
  <c r="K1364" i="15"/>
  <c r="L1364" i="15"/>
  <c r="M1364" i="15"/>
  <c r="N1364" i="15"/>
  <c r="A1365" i="15"/>
  <c r="B1365" i="15"/>
  <c r="C1365" i="15"/>
  <c r="D1365" i="15"/>
  <c r="E1365" i="15"/>
  <c r="F1365" i="15"/>
  <c r="G1365" i="15"/>
  <c r="H1365" i="15"/>
  <c r="I1365" i="15"/>
  <c r="J1365" i="15"/>
  <c r="K1365" i="15"/>
  <c r="L1365" i="15"/>
  <c r="M1365" i="15"/>
  <c r="N1365" i="15"/>
  <c r="A1366" i="15"/>
  <c r="B1366" i="15"/>
  <c r="C1366" i="15"/>
  <c r="D1366" i="15"/>
  <c r="E1366" i="15"/>
  <c r="F1366" i="15"/>
  <c r="G1366" i="15"/>
  <c r="H1366" i="15"/>
  <c r="I1366" i="15"/>
  <c r="J1366" i="15"/>
  <c r="K1366" i="15"/>
  <c r="L1366" i="15"/>
  <c r="M1366" i="15"/>
  <c r="N1366" i="15"/>
  <c r="A1367" i="15"/>
  <c r="B1367" i="15"/>
  <c r="C1367" i="15"/>
  <c r="D1367" i="15"/>
  <c r="E1367" i="15"/>
  <c r="F1367" i="15"/>
  <c r="G1367" i="15"/>
  <c r="H1367" i="15"/>
  <c r="I1367" i="15"/>
  <c r="J1367" i="15"/>
  <c r="K1367" i="15"/>
  <c r="L1367" i="15"/>
  <c r="M1367" i="15"/>
  <c r="N1367" i="15"/>
  <c r="A1368" i="15"/>
  <c r="B1368" i="15"/>
  <c r="C1368" i="15"/>
  <c r="D1368" i="15"/>
  <c r="E1368" i="15"/>
  <c r="F1368" i="15"/>
  <c r="G1368" i="15"/>
  <c r="H1368" i="15"/>
  <c r="I1368" i="15"/>
  <c r="J1368" i="15"/>
  <c r="K1368" i="15"/>
  <c r="L1368" i="15"/>
  <c r="M1368" i="15"/>
  <c r="N1368" i="15"/>
  <c r="A1369" i="15"/>
  <c r="B1369" i="15"/>
  <c r="C1369" i="15"/>
  <c r="D1369" i="15"/>
  <c r="E1369" i="15"/>
  <c r="F1369" i="15"/>
  <c r="G1369" i="15"/>
  <c r="H1369" i="15"/>
  <c r="I1369" i="15"/>
  <c r="J1369" i="15"/>
  <c r="K1369" i="15"/>
  <c r="L1369" i="15"/>
  <c r="M1369" i="15"/>
  <c r="N1369" i="15"/>
  <c r="A1370" i="15"/>
  <c r="B1370" i="15"/>
  <c r="C1370" i="15"/>
  <c r="D1370" i="15"/>
  <c r="E1370" i="15"/>
  <c r="F1370" i="15"/>
  <c r="G1370" i="15"/>
  <c r="H1370" i="15"/>
  <c r="I1370" i="15"/>
  <c r="J1370" i="15"/>
  <c r="K1370" i="15"/>
  <c r="L1370" i="15"/>
  <c r="M1370" i="15"/>
  <c r="N1370" i="15"/>
  <c r="A1371" i="15"/>
  <c r="B1371" i="15"/>
  <c r="C1371" i="15"/>
  <c r="D1371" i="15"/>
  <c r="E1371" i="15"/>
  <c r="F1371" i="15"/>
  <c r="G1371" i="15"/>
  <c r="H1371" i="15"/>
  <c r="I1371" i="15"/>
  <c r="J1371" i="15"/>
  <c r="K1371" i="15"/>
  <c r="L1371" i="15"/>
  <c r="M1371" i="15"/>
  <c r="N1371" i="15"/>
  <c r="A1372" i="15"/>
  <c r="B1372" i="15"/>
  <c r="C1372" i="15"/>
  <c r="D1372" i="15"/>
  <c r="E1372" i="15"/>
  <c r="F1372" i="15"/>
  <c r="G1372" i="15"/>
  <c r="H1372" i="15"/>
  <c r="I1372" i="15"/>
  <c r="J1372" i="15"/>
  <c r="K1372" i="15"/>
  <c r="L1372" i="15"/>
  <c r="M1372" i="15"/>
  <c r="N1372" i="15"/>
  <c r="A1373" i="15"/>
  <c r="B1373" i="15"/>
  <c r="C1373" i="15"/>
  <c r="D1373" i="15"/>
  <c r="E1373" i="15"/>
  <c r="F1373" i="15"/>
  <c r="G1373" i="15"/>
  <c r="H1373" i="15"/>
  <c r="I1373" i="15"/>
  <c r="J1373" i="15"/>
  <c r="K1373" i="15"/>
  <c r="L1373" i="15"/>
  <c r="M1373" i="15"/>
  <c r="N1373" i="15"/>
  <c r="A1374" i="15"/>
  <c r="B1374" i="15"/>
  <c r="C1374" i="15"/>
  <c r="D1374" i="15"/>
  <c r="E1374" i="15"/>
  <c r="F1374" i="15"/>
  <c r="G1374" i="15"/>
  <c r="H1374" i="15"/>
  <c r="I1374" i="15"/>
  <c r="J1374" i="15"/>
  <c r="K1374" i="15"/>
  <c r="L1374" i="15"/>
  <c r="M1374" i="15"/>
  <c r="N1374" i="15"/>
  <c r="A1375" i="15"/>
  <c r="B1375" i="15"/>
  <c r="C1375" i="15"/>
  <c r="D1375" i="15"/>
  <c r="E1375" i="15"/>
  <c r="F1375" i="15"/>
  <c r="G1375" i="15"/>
  <c r="H1375" i="15"/>
  <c r="I1375" i="15"/>
  <c r="J1375" i="15"/>
  <c r="K1375" i="15"/>
  <c r="L1375" i="15"/>
  <c r="M1375" i="15"/>
  <c r="N1375" i="15"/>
  <c r="A1376" i="15"/>
  <c r="B1376" i="15"/>
  <c r="C1376" i="15"/>
  <c r="D1376" i="15"/>
  <c r="E1376" i="15"/>
  <c r="F1376" i="15"/>
  <c r="G1376" i="15"/>
  <c r="H1376" i="15"/>
  <c r="I1376" i="15"/>
  <c r="J1376" i="15"/>
  <c r="K1376" i="15"/>
  <c r="L1376" i="15"/>
  <c r="M1376" i="15"/>
  <c r="N1376" i="15"/>
  <c r="A1377" i="15"/>
  <c r="B1377" i="15"/>
  <c r="C1377" i="15"/>
  <c r="D1377" i="15"/>
  <c r="E1377" i="15"/>
  <c r="F1377" i="15"/>
  <c r="G1377" i="15"/>
  <c r="H1377" i="15"/>
  <c r="I1377" i="15"/>
  <c r="J1377" i="15"/>
  <c r="K1377" i="15"/>
  <c r="L1377" i="15"/>
  <c r="M1377" i="15"/>
  <c r="N1377" i="15"/>
  <c r="A1378" i="15"/>
  <c r="B1378" i="15"/>
  <c r="C1378" i="15"/>
  <c r="D1378" i="15"/>
  <c r="E1378" i="15"/>
  <c r="F1378" i="15"/>
  <c r="G1378" i="15"/>
  <c r="H1378" i="15"/>
  <c r="I1378" i="15"/>
  <c r="J1378" i="15"/>
  <c r="K1378" i="15"/>
  <c r="L1378" i="15"/>
  <c r="M1378" i="15"/>
  <c r="N1378" i="15"/>
  <c r="A1379" i="15"/>
  <c r="B1379" i="15"/>
  <c r="C1379" i="15"/>
  <c r="D1379" i="15"/>
  <c r="E1379" i="15"/>
  <c r="F1379" i="15"/>
  <c r="G1379" i="15"/>
  <c r="H1379" i="15"/>
  <c r="I1379" i="15"/>
  <c r="J1379" i="15"/>
  <c r="K1379" i="15"/>
  <c r="L1379" i="15"/>
  <c r="M1379" i="15"/>
  <c r="N1379" i="15"/>
  <c r="A1380" i="15"/>
  <c r="B1380" i="15"/>
  <c r="C1380" i="15"/>
  <c r="D1380" i="15"/>
  <c r="E1380" i="15"/>
  <c r="F1380" i="15"/>
  <c r="G1380" i="15"/>
  <c r="H1380" i="15"/>
  <c r="I1380" i="15"/>
  <c r="J1380" i="15"/>
  <c r="K1380" i="15"/>
  <c r="L1380" i="15"/>
  <c r="M1380" i="15"/>
  <c r="N1380" i="15"/>
  <c r="A1381" i="15"/>
  <c r="B1381" i="15"/>
  <c r="C1381" i="15"/>
  <c r="D1381" i="15"/>
  <c r="E1381" i="15"/>
  <c r="F1381" i="15"/>
  <c r="G1381" i="15"/>
  <c r="H1381" i="15"/>
  <c r="I1381" i="15"/>
  <c r="J1381" i="15"/>
  <c r="K1381" i="15"/>
  <c r="L1381" i="15"/>
  <c r="M1381" i="15"/>
  <c r="N1381" i="15"/>
  <c r="A1382" i="15"/>
  <c r="B1382" i="15"/>
  <c r="C1382" i="15"/>
  <c r="D1382" i="15"/>
  <c r="E1382" i="15"/>
  <c r="F1382" i="15"/>
  <c r="G1382" i="15"/>
  <c r="H1382" i="15"/>
  <c r="I1382" i="15"/>
  <c r="J1382" i="15"/>
  <c r="K1382" i="15"/>
  <c r="L1382" i="15"/>
  <c r="M1382" i="15"/>
  <c r="N1382" i="15"/>
  <c r="A1383" i="15"/>
  <c r="B1383" i="15"/>
  <c r="C1383" i="15"/>
  <c r="D1383" i="15"/>
  <c r="E1383" i="15"/>
  <c r="F1383" i="15"/>
  <c r="G1383" i="15"/>
  <c r="H1383" i="15"/>
  <c r="I1383" i="15"/>
  <c r="J1383" i="15"/>
  <c r="K1383" i="15"/>
  <c r="L1383" i="15"/>
  <c r="M1383" i="15"/>
  <c r="N1383" i="15"/>
  <c r="A1384" i="15"/>
  <c r="B1384" i="15"/>
  <c r="C1384" i="15"/>
  <c r="D1384" i="15"/>
  <c r="E1384" i="15"/>
  <c r="F1384" i="15"/>
  <c r="G1384" i="15"/>
  <c r="H1384" i="15"/>
  <c r="I1384" i="15"/>
  <c r="J1384" i="15"/>
  <c r="K1384" i="15"/>
  <c r="L1384" i="15"/>
  <c r="M1384" i="15"/>
  <c r="N1384" i="15"/>
  <c r="A1385" i="15"/>
  <c r="B1385" i="15"/>
  <c r="C1385" i="15"/>
  <c r="D1385" i="15"/>
  <c r="E1385" i="15"/>
  <c r="F1385" i="15"/>
  <c r="G1385" i="15"/>
  <c r="H1385" i="15"/>
  <c r="I1385" i="15"/>
  <c r="J1385" i="15"/>
  <c r="K1385" i="15"/>
  <c r="L1385" i="15"/>
  <c r="M1385" i="15"/>
  <c r="N1385" i="15"/>
  <c r="A1386" i="15"/>
  <c r="B1386" i="15"/>
  <c r="C1386" i="15"/>
  <c r="D1386" i="15"/>
  <c r="E1386" i="15"/>
  <c r="F1386" i="15"/>
  <c r="G1386" i="15"/>
  <c r="H1386" i="15"/>
  <c r="I1386" i="15"/>
  <c r="J1386" i="15"/>
  <c r="K1386" i="15"/>
  <c r="L1386" i="15"/>
  <c r="M1386" i="15"/>
  <c r="N1386" i="15"/>
  <c r="A1387" i="15"/>
  <c r="B1387" i="15"/>
  <c r="C1387" i="15"/>
  <c r="D1387" i="15"/>
  <c r="E1387" i="15"/>
  <c r="F1387" i="15"/>
  <c r="G1387" i="15"/>
  <c r="H1387" i="15"/>
  <c r="I1387" i="15"/>
  <c r="J1387" i="15"/>
  <c r="K1387" i="15"/>
  <c r="L1387" i="15"/>
  <c r="M1387" i="15"/>
  <c r="N1387" i="15"/>
  <c r="A1388" i="15"/>
  <c r="B1388" i="15"/>
  <c r="C1388" i="15"/>
  <c r="D1388" i="15"/>
  <c r="E1388" i="15"/>
  <c r="F1388" i="15"/>
  <c r="G1388" i="15"/>
  <c r="H1388" i="15"/>
  <c r="I1388" i="15"/>
  <c r="J1388" i="15"/>
  <c r="K1388" i="15"/>
  <c r="L1388" i="15"/>
  <c r="M1388" i="15"/>
  <c r="N1388" i="15"/>
  <c r="A1389" i="15"/>
  <c r="B1389" i="15"/>
  <c r="C1389" i="15"/>
  <c r="D1389" i="15"/>
  <c r="E1389" i="15"/>
  <c r="F1389" i="15"/>
  <c r="G1389" i="15"/>
  <c r="H1389" i="15"/>
  <c r="I1389" i="15"/>
  <c r="J1389" i="15"/>
  <c r="K1389" i="15"/>
  <c r="L1389" i="15"/>
  <c r="M1389" i="15"/>
  <c r="N1389" i="15"/>
  <c r="A1390" i="15"/>
  <c r="B1390" i="15"/>
  <c r="C1390" i="15"/>
  <c r="D1390" i="15"/>
  <c r="E1390" i="15"/>
  <c r="F1390" i="15"/>
  <c r="G1390" i="15"/>
  <c r="H1390" i="15"/>
  <c r="I1390" i="15"/>
  <c r="J1390" i="15"/>
  <c r="K1390" i="15"/>
  <c r="L1390" i="15"/>
  <c r="M1390" i="15"/>
  <c r="N1390" i="15"/>
  <c r="A1391" i="15"/>
  <c r="B1391" i="15"/>
  <c r="C1391" i="15"/>
  <c r="D1391" i="15"/>
  <c r="E1391" i="15"/>
  <c r="F1391" i="15"/>
  <c r="G1391" i="15"/>
  <c r="H1391" i="15"/>
  <c r="I1391" i="15"/>
  <c r="J1391" i="15"/>
  <c r="K1391" i="15"/>
  <c r="L1391" i="15"/>
  <c r="M1391" i="15"/>
  <c r="N1391" i="15"/>
  <c r="A1392" i="15"/>
  <c r="B1392" i="15"/>
  <c r="C1392" i="15"/>
  <c r="D1392" i="15"/>
  <c r="E1392" i="15"/>
  <c r="F1392" i="15"/>
  <c r="G1392" i="15"/>
  <c r="H1392" i="15"/>
  <c r="I1392" i="15"/>
  <c r="J1392" i="15"/>
  <c r="K1392" i="15"/>
  <c r="L1392" i="15"/>
  <c r="M1392" i="15"/>
  <c r="N1392" i="15"/>
  <c r="A1393" i="15"/>
  <c r="B1393" i="15"/>
  <c r="C1393" i="15"/>
  <c r="D1393" i="15"/>
  <c r="E1393" i="15"/>
  <c r="F1393" i="15"/>
  <c r="G1393" i="15"/>
  <c r="H1393" i="15"/>
  <c r="I1393" i="15"/>
  <c r="J1393" i="15"/>
  <c r="K1393" i="15"/>
  <c r="L1393" i="15"/>
  <c r="M1393" i="15"/>
  <c r="N1393" i="15"/>
  <c r="A1394" i="15"/>
  <c r="B1394" i="15"/>
  <c r="C1394" i="15"/>
  <c r="D1394" i="15"/>
  <c r="E1394" i="15"/>
  <c r="F1394" i="15"/>
  <c r="G1394" i="15"/>
  <c r="H1394" i="15"/>
  <c r="I1394" i="15"/>
  <c r="J1394" i="15"/>
  <c r="K1394" i="15"/>
  <c r="L1394" i="15"/>
  <c r="M1394" i="15"/>
  <c r="N1394" i="15"/>
  <c r="A1395" i="15"/>
  <c r="B1395" i="15"/>
  <c r="C1395" i="15"/>
  <c r="D1395" i="15"/>
  <c r="E1395" i="15"/>
  <c r="F1395" i="15"/>
  <c r="G1395" i="15"/>
  <c r="H1395" i="15"/>
  <c r="I1395" i="15"/>
  <c r="J1395" i="15"/>
  <c r="K1395" i="15"/>
  <c r="L1395" i="15"/>
  <c r="M1395" i="15"/>
  <c r="N1395" i="15"/>
  <c r="A1396" i="15"/>
  <c r="B1396" i="15"/>
  <c r="C1396" i="15"/>
  <c r="D1396" i="15"/>
  <c r="E1396" i="15"/>
  <c r="F1396" i="15"/>
  <c r="G1396" i="15"/>
  <c r="H1396" i="15"/>
  <c r="I1396" i="15"/>
  <c r="J1396" i="15"/>
  <c r="K1396" i="15"/>
  <c r="L1396" i="15"/>
  <c r="M1396" i="15"/>
  <c r="N1396" i="15"/>
  <c r="A1397" i="15"/>
  <c r="B1397" i="15"/>
  <c r="C1397" i="15"/>
  <c r="D1397" i="15"/>
  <c r="E1397" i="15"/>
  <c r="F1397" i="15"/>
  <c r="G1397" i="15"/>
  <c r="H1397" i="15"/>
  <c r="I1397" i="15"/>
  <c r="J1397" i="15"/>
  <c r="K1397" i="15"/>
  <c r="L1397" i="15"/>
  <c r="M1397" i="15"/>
  <c r="N1397" i="15"/>
  <c r="A1398" i="15"/>
  <c r="B1398" i="15"/>
  <c r="C1398" i="15"/>
  <c r="D1398" i="15"/>
  <c r="E1398" i="15"/>
  <c r="F1398" i="15"/>
  <c r="G1398" i="15"/>
  <c r="H1398" i="15"/>
  <c r="I1398" i="15"/>
  <c r="J1398" i="15"/>
  <c r="K1398" i="15"/>
  <c r="L1398" i="15"/>
  <c r="M1398" i="15"/>
  <c r="N1398" i="15"/>
  <c r="A1399" i="15"/>
  <c r="B1399" i="15"/>
  <c r="C1399" i="15"/>
  <c r="D1399" i="15"/>
  <c r="E1399" i="15"/>
  <c r="F1399" i="15"/>
  <c r="G1399" i="15"/>
  <c r="H1399" i="15"/>
  <c r="I1399" i="15"/>
  <c r="J1399" i="15"/>
  <c r="K1399" i="15"/>
  <c r="L1399" i="15"/>
  <c r="M1399" i="15"/>
  <c r="N1399" i="15"/>
  <c r="A1400" i="15"/>
  <c r="B1400" i="15"/>
  <c r="C1400" i="15"/>
  <c r="D1400" i="15"/>
  <c r="E1400" i="15"/>
  <c r="F1400" i="15"/>
  <c r="G1400" i="15"/>
  <c r="H1400" i="15"/>
  <c r="I1400" i="15"/>
  <c r="J1400" i="15"/>
  <c r="K1400" i="15"/>
  <c r="L1400" i="15"/>
  <c r="M1400" i="15"/>
  <c r="N1400" i="15"/>
  <c r="A1401" i="15"/>
  <c r="B1401" i="15"/>
  <c r="C1401" i="15"/>
  <c r="D1401" i="15"/>
  <c r="E1401" i="15"/>
  <c r="F1401" i="15"/>
  <c r="G1401" i="15"/>
  <c r="H1401" i="15"/>
  <c r="I1401" i="15"/>
  <c r="J1401" i="15"/>
  <c r="K1401" i="15"/>
  <c r="L1401" i="15"/>
  <c r="M1401" i="15"/>
  <c r="N1401" i="15"/>
  <c r="A1402" i="15"/>
  <c r="B1402" i="15"/>
  <c r="C1402" i="15"/>
  <c r="D1402" i="15"/>
  <c r="E1402" i="15"/>
  <c r="F1402" i="15"/>
  <c r="G1402" i="15"/>
  <c r="H1402" i="15"/>
  <c r="I1402" i="15"/>
  <c r="J1402" i="15"/>
  <c r="K1402" i="15"/>
  <c r="L1402" i="15"/>
  <c r="M1402" i="15"/>
  <c r="N1402" i="15"/>
  <c r="A1403" i="15"/>
  <c r="B1403" i="15"/>
  <c r="C1403" i="15"/>
  <c r="D1403" i="15"/>
  <c r="E1403" i="15"/>
  <c r="F1403" i="15"/>
  <c r="G1403" i="15"/>
  <c r="H1403" i="15"/>
  <c r="I1403" i="15"/>
  <c r="J1403" i="15"/>
  <c r="K1403" i="15"/>
  <c r="L1403" i="15"/>
  <c r="M1403" i="15"/>
  <c r="N1403" i="15"/>
  <c r="A1404" i="15"/>
  <c r="B1404" i="15"/>
  <c r="C1404" i="15"/>
  <c r="D1404" i="15"/>
  <c r="E1404" i="15"/>
  <c r="F1404" i="15"/>
  <c r="G1404" i="15"/>
  <c r="H1404" i="15"/>
  <c r="I1404" i="15"/>
  <c r="J1404" i="15"/>
  <c r="K1404" i="15"/>
  <c r="L1404" i="15"/>
  <c r="M1404" i="15"/>
  <c r="N1404" i="15"/>
  <c r="A1405" i="15"/>
  <c r="B1405" i="15"/>
  <c r="C1405" i="15"/>
  <c r="D1405" i="15"/>
  <c r="E1405" i="15"/>
  <c r="F1405" i="15"/>
  <c r="G1405" i="15"/>
  <c r="H1405" i="15"/>
  <c r="I1405" i="15"/>
  <c r="J1405" i="15"/>
  <c r="K1405" i="15"/>
  <c r="L1405" i="15"/>
  <c r="M1405" i="15"/>
  <c r="N1405" i="15"/>
  <c r="A1406" i="15"/>
  <c r="B1406" i="15"/>
  <c r="C1406" i="15"/>
  <c r="D1406" i="15"/>
  <c r="E1406" i="15"/>
  <c r="F1406" i="15"/>
  <c r="G1406" i="15"/>
  <c r="H1406" i="15"/>
  <c r="I1406" i="15"/>
  <c r="J1406" i="15"/>
  <c r="K1406" i="15"/>
  <c r="L1406" i="15"/>
  <c r="M1406" i="15"/>
  <c r="N1406" i="15"/>
  <c r="A1407" i="15"/>
  <c r="B1407" i="15"/>
  <c r="C1407" i="15"/>
  <c r="D1407" i="15"/>
  <c r="E1407" i="15"/>
  <c r="F1407" i="15"/>
  <c r="G1407" i="15"/>
  <c r="H1407" i="15"/>
  <c r="I1407" i="15"/>
  <c r="J1407" i="15"/>
  <c r="K1407" i="15"/>
  <c r="L1407" i="15"/>
  <c r="M1407" i="15"/>
  <c r="N1407" i="15"/>
  <c r="A1408" i="15"/>
  <c r="B1408" i="15"/>
  <c r="C1408" i="15"/>
  <c r="D1408" i="15"/>
  <c r="E1408" i="15"/>
  <c r="F1408" i="15"/>
  <c r="G1408" i="15"/>
  <c r="H1408" i="15"/>
  <c r="I1408" i="15"/>
  <c r="J1408" i="15"/>
  <c r="K1408" i="15"/>
  <c r="L1408" i="15"/>
  <c r="M1408" i="15"/>
  <c r="N1408" i="15"/>
  <c r="A1409" i="15"/>
  <c r="B1409" i="15"/>
  <c r="C1409" i="15"/>
  <c r="D1409" i="15"/>
  <c r="E1409" i="15"/>
  <c r="F1409" i="15"/>
  <c r="G1409" i="15"/>
  <c r="H1409" i="15"/>
  <c r="I1409" i="15"/>
  <c r="J1409" i="15"/>
  <c r="K1409" i="15"/>
  <c r="L1409" i="15"/>
  <c r="M1409" i="15"/>
  <c r="N1409" i="15"/>
  <c r="A1410" i="15"/>
  <c r="B1410" i="15"/>
  <c r="C1410" i="15"/>
  <c r="D1410" i="15"/>
  <c r="E1410" i="15"/>
  <c r="F1410" i="15"/>
  <c r="G1410" i="15"/>
  <c r="H1410" i="15"/>
  <c r="I1410" i="15"/>
  <c r="J1410" i="15"/>
  <c r="K1410" i="15"/>
  <c r="L1410" i="15"/>
  <c r="M1410" i="15"/>
  <c r="N1410" i="15"/>
  <c r="A1411" i="15"/>
  <c r="B1411" i="15"/>
  <c r="C1411" i="15"/>
  <c r="D1411" i="15"/>
  <c r="E1411" i="15"/>
  <c r="F1411" i="15"/>
  <c r="G1411" i="15"/>
  <c r="H1411" i="15"/>
  <c r="I1411" i="15"/>
  <c r="J1411" i="15"/>
  <c r="K1411" i="15"/>
  <c r="L1411" i="15"/>
  <c r="M1411" i="15"/>
  <c r="N1411" i="15"/>
  <c r="A1412" i="15"/>
  <c r="B1412" i="15"/>
  <c r="C1412" i="15"/>
  <c r="D1412" i="15"/>
  <c r="E1412" i="15"/>
  <c r="F1412" i="15"/>
  <c r="G1412" i="15"/>
  <c r="H1412" i="15"/>
  <c r="I1412" i="15"/>
  <c r="J1412" i="15"/>
  <c r="K1412" i="15"/>
  <c r="L1412" i="15"/>
  <c r="M1412" i="15"/>
  <c r="N1412" i="15"/>
  <c r="A1413" i="15"/>
  <c r="B1413" i="15"/>
  <c r="C1413" i="15"/>
  <c r="D1413" i="15"/>
  <c r="E1413" i="15"/>
  <c r="F1413" i="15"/>
  <c r="G1413" i="15"/>
  <c r="H1413" i="15"/>
  <c r="I1413" i="15"/>
  <c r="J1413" i="15"/>
  <c r="K1413" i="15"/>
  <c r="L1413" i="15"/>
  <c r="M1413" i="15"/>
  <c r="N1413" i="15"/>
  <c r="A1414" i="15"/>
  <c r="B1414" i="15"/>
  <c r="C1414" i="15"/>
  <c r="D1414" i="15"/>
  <c r="E1414" i="15"/>
  <c r="F1414" i="15"/>
  <c r="G1414" i="15"/>
  <c r="H1414" i="15"/>
  <c r="I1414" i="15"/>
  <c r="J1414" i="15"/>
  <c r="K1414" i="15"/>
  <c r="L1414" i="15"/>
  <c r="M1414" i="15"/>
  <c r="N1414" i="15"/>
  <c r="A1415" i="15"/>
  <c r="B1415" i="15"/>
  <c r="C1415" i="15"/>
  <c r="D1415" i="15"/>
  <c r="E1415" i="15"/>
  <c r="F1415" i="15"/>
  <c r="G1415" i="15"/>
  <c r="H1415" i="15"/>
  <c r="I1415" i="15"/>
  <c r="J1415" i="15"/>
  <c r="K1415" i="15"/>
  <c r="L1415" i="15"/>
  <c r="M1415" i="15"/>
  <c r="N1415" i="15"/>
  <c r="A1416" i="15"/>
  <c r="B1416" i="15"/>
  <c r="C1416" i="15"/>
  <c r="D1416" i="15"/>
  <c r="E1416" i="15"/>
  <c r="F1416" i="15"/>
  <c r="G1416" i="15"/>
  <c r="H1416" i="15"/>
  <c r="I1416" i="15"/>
  <c r="J1416" i="15"/>
  <c r="K1416" i="15"/>
  <c r="L1416" i="15"/>
  <c r="M1416" i="15"/>
  <c r="N1416" i="15"/>
  <c r="A1417" i="15"/>
  <c r="B1417" i="15"/>
  <c r="C1417" i="15"/>
  <c r="D1417" i="15"/>
  <c r="E1417" i="15"/>
  <c r="F1417" i="15"/>
  <c r="G1417" i="15"/>
  <c r="H1417" i="15"/>
  <c r="I1417" i="15"/>
  <c r="J1417" i="15"/>
  <c r="K1417" i="15"/>
  <c r="L1417" i="15"/>
  <c r="M1417" i="15"/>
  <c r="N1417" i="15"/>
  <c r="A1418" i="15"/>
  <c r="B1418" i="15"/>
  <c r="C1418" i="15"/>
  <c r="D1418" i="15"/>
  <c r="E1418" i="15"/>
  <c r="F1418" i="15"/>
  <c r="G1418" i="15"/>
  <c r="H1418" i="15"/>
  <c r="I1418" i="15"/>
  <c r="J1418" i="15"/>
  <c r="K1418" i="15"/>
  <c r="L1418" i="15"/>
  <c r="M1418" i="15"/>
  <c r="N1418" i="15"/>
  <c r="A1419" i="15"/>
  <c r="B1419" i="15"/>
  <c r="C1419" i="15"/>
  <c r="D1419" i="15"/>
  <c r="E1419" i="15"/>
  <c r="F1419" i="15"/>
  <c r="G1419" i="15"/>
  <c r="H1419" i="15"/>
  <c r="I1419" i="15"/>
  <c r="J1419" i="15"/>
  <c r="K1419" i="15"/>
  <c r="L1419" i="15"/>
  <c r="M1419" i="15"/>
  <c r="N1419" i="15"/>
  <c r="A1420" i="15"/>
  <c r="B1420" i="15"/>
  <c r="C1420" i="15"/>
  <c r="D1420" i="15"/>
  <c r="E1420" i="15"/>
  <c r="F1420" i="15"/>
  <c r="G1420" i="15"/>
  <c r="H1420" i="15"/>
  <c r="I1420" i="15"/>
  <c r="J1420" i="15"/>
  <c r="K1420" i="15"/>
  <c r="L1420" i="15"/>
  <c r="M1420" i="15"/>
  <c r="N1420" i="15"/>
  <c r="A1421" i="15"/>
  <c r="B1421" i="15"/>
  <c r="C1421" i="15"/>
  <c r="D1421" i="15"/>
  <c r="E1421" i="15"/>
  <c r="F1421" i="15"/>
  <c r="G1421" i="15"/>
  <c r="H1421" i="15"/>
  <c r="I1421" i="15"/>
  <c r="J1421" i="15"/>
  <c r="K1421" i="15"/>
  <c r="L1421" i="15"/>
  <c r="M1421" i="15"/>
  <c r="N1421" i="15"/>
  <c r="A1422" i="15"/>
  <c r="B1422" i="15"/>
  <c r="C1422" i="15"/>
  <c r="D1422" i="15"/>
  <c r="E1422" i="15"/>
  <c r="F1422" i="15"/>
  <c r="G1422" i="15"/>
  <c r="H1422" i="15"/>
  <c r="I1422" i="15"/>
  <c r="J1422" i="15"/>
  <c r="K1422" i="15"/>
  <c r="L1422" i="15"/>
  <c r="M1422" i="15"/>
  <c r="N1422" i="15"/>
  <c r="A1423" i="15"/>
  <c r="B1423" i="15"/>
  <c r="C1423" i="15"/>
  <c r="D1423" i="15"/>
  <c r="E1423" i="15"/>
  <c r="F1423" i="15"/>
  <c r="G1423" i="15"/>
  <c r="H1423" i="15"/>
  <c r="I1423" i="15"/>
  <c r="J1423" i="15"/>
  <c r="K1423" i="15"/>
  <c r="L1423" i="15"/>
  <c r="M1423" i="15"/>
  <c r="N1423" i="15"/>
  <c r="A1424" i="15"/>
  <c r="B1424" i="15"/>
  <c r="C1424" i="15"/>
  <c r="D1424" i="15"/>
  <c r="E1424" i="15"/>
  <c r="F1424" i="15"/>
  <c r="G1424" i="15"/>
  <c r="H1424" i="15"/>
  <c r="I1424" i="15"/>
  <c r="J1424" i="15"/>
  <c r="K1424" i="15"/>
  <c r="L1424" i="15"/>
  <c r="M1424" i="15"/>
  <c r="N1424" i="15"/>
  <c r="A1425" i="15"/>
  <c r="B1425" i="15"/>
  <c r="C1425" i="15"/>
  <c r="D1425" i="15"/>
  <c r="E1425" i="15"/>
  <c r="F1425" i="15"/>
  <c r="G1425" i="15"/>
  <c r="H1425" i="15"/>
  <c r="I1425" i="15"/>
  <c r="J1425" i="15"/>
  <c r="K1425" i="15"/>
  <c r="L1425" i="15"/>
  <c r="M1425" i="15"/>
  <c r="N1425" i="15"/>
  <c r="A1426" i="15"/>
  <c r="B1426" i="15"/>
  <c r="C1426" i="15"/>
  <c r="D1426" i="15"/>
  <c r="E1426" i="15"/>
  <c r="F1426" i="15"/>
  <c r="G1426" i="15"/>
  <c r="H1426" i="15"/>
  <c r="I1426" i="15"/>
  <c r="J1426" i="15"/>
  <c r="K1426" i="15"/>
  <c r="L1426" i="15"/>
  <c r="M1426" i="15"/>
  <c r="N1426" i="15"/>
  <c r="A1427" i="15"/>
  <c r="B1427" i="15"/>
  <c r="C1427" i="15"/>
  <c r="D1427" i="15"/>
  <c r="E1427" i="15"/>
  <c r="F1427" i="15"/>
  <c r="G1427" i="15"/>
  <c r="H1427" i="15"/>
  <c r="I1427" i="15"/>
  <c r="J1427" i="15"/>
  <c r="K1427" i="15"/>
  <c r="L1427" i="15"/>
  <c r="M1427" i="15"/>
  <c r="N1427" i="15"/>
  <c r="A1428" i="15"/>
  <c r="B1428" i="15"/>
  <c r="C1428" i="15"/>
  <c r="D1428" i="15"/>
  <c r="E1428" i="15"/>
  <c r="F1428" i="15"/>
  <c r="G1428" i="15"/>
  <c r="H1428" i="15"/>
  <c r="I1428" i="15"/>
  <c r="J1428" i="15"/>
  <c r="K1428" i="15"/>
  <c r="L1428" i="15"/>
  <c r="M1428" i="15"/>
  <c r="N1428" i="15"/>
  <c r="A1429" i="15"/>
  <c r="B1429" i="15"/>
  <c r="C1429" i="15"/>
  <c r="D1429" i="15"/>
  <c r="E1429" i="15"/>
  <c r="F1429" i="15"/>
  <c r="G1429" i="15"/>
  <c r="H1429" i="15"/>
  <c r="I1429" i="15"/>
  <c r="J1429" i="15"/>
  <c r="K1429" i="15"/>
  <c r="L1429" i="15"/>
  <c r="M1429" i="15"/>
  <c r="N1429" i="15"/>
  <c r="A1430" i="15"/>
  <c r="B1430" i="15"/>
  <c r="C1430" i="15"/>
  <c r="D1430" i="15"/>
  <c r="E1430" i="15"/>
  <c r="F1430" i="15"/>
  <c r="G1430" i="15"/>
  <c r="H1430" i="15"/>
  <c r="I1430" i="15"/>
  <c r="J1430" i="15"/>
  <c r="K1430" i="15"/>
  <c r="L1430" i="15"/>
  <c r="M1430" i="15"/>
  <c r="N1430" i="15"/>
  <c r="A1431" i="15"/>
  <c r="B1431" i="15"/>
  <c r="C1431" i="15"/>
  <c r="D1431" i="15"/>
  <c r="E1431" i="15"/>
  <c r="F1431" i="15"/>
  <c r="G1431" i="15"/>
  <c r="H1431" i="15"/>
  <c r="I1431" i="15"/>
  <c r="J1431" i="15"/>
  <c r="K1431" i="15"/>
  <c r="L1431" i="15"/>
  <c r="M1431" i="15"/>
  <c r="N1431" i="15"/>
  <c r="A1432" i="15"/>
  <c r="B1432" i="15"/>
  <c r="C1432" i="15"/>
  <c r="D1432" i="15"/>
  <c r="E1432" i="15"/>
  <c r="F1432" i="15"/>
  <c r="G1432" i="15"/>
  <c r="H1432" i="15"/>
  <c r="I1432" i="15"/>
  <c r="J1432" i="15"/>
  <c r="K1432" i="15"/>
  <c r="L1432" i="15"/>
  <c r="M1432" i="15"/>
  <c r="N1432" i="15"/>
  <c r="A1433" i="15"/>
  <c r="B1433" i="15"/>
  <c r="C1433" i="15"/>
  <c r="D1433" i="15"/>
  <c r="E1433" i="15"/>
  <c r="F1433" i="15"/>
  <c r="G1433" i="15"/>
  <c r="H1433" i="15"/>
  <c r="I1433" i="15"/>
  <c r="J1433" i="15"/>
  <c r="K1433" i="15"/>
  <c r="L1433" i="15"/>
  <c r="M1433" i="15"/>
  <c r="N1433" i="15"/>
  <c r="A1434" i="15"/>
  <c r="B1434" i="15"/>
  <c r="C1434" i="15"/>
  <c r="D1434" i="15"/>
  <c r="E1434" i="15"/>
  <c r="F1434" i="15"/>
  <c r="G1434" i="15"/>
  <c r="H1434" i="15"/>
  <c r="I1434" i="15"/>
  <c r="J1434" i="15"/>
  <c r="K1434" i="15"/>
  <c r="L1434" i="15"/>
  <c r="M1434" i="15"/>
  <c r="N1434" i="15"/>
  <c r="A1435" i="15"/>
  <c r="B1435" i="15"/>
  <c r="C1435" i="15"/>
  <c r="D1435" i="15"/>
  <c r="E1435" i="15"/>
  <c r="F1435" i="15"/>
  <c r="G1435" i="15"/>
  <c r="H1435" i="15"/>
  <c r="I1435" i="15"/>
  <c r="J1435" i="15"/>
  <c r="K1435" i="15"/>
  <c r="L1435" i="15"/>
  <c r="M1435" i="15"/>
  <c r="N1435" i="15"/>
  <c r="A1436" i="15"/>
  <c r="B1436" i="15"/>
  <c r="C1436" i="15"/>
  <c r="D1436" i="15"/>
  <c r="E1436" i="15"/>
  <c r="F1436" i="15"/>
  <c r="G1436" i="15"/>
  <c r="H1436" i="15"/>
  <c r="I1436" i="15"/>
  <c r="J1436" i="15"/>
  <c r="K1436" i="15"/>
  <c r="L1436" i="15"/>
  <c r="M1436" i="15"/>
  <c r="N1436" i="15"/>
  <c r="A1437" i="15"/>
  <c r="B1437" i="15"/>
  <c r="C1437" i="15"/>
  <c r="D1437" i="15"/>
  <c r="E1437" i="15"/>
  <c r="F1437" i="15"/>
  <c r="G1437" i="15"/>
  <c r="H1437" i="15"/>
  <c r="I1437" i="15"/>
  <c r="J1437" i="15"/>
  <c r="K1437" i="15"/>
  <c r="L1437" i="15"/>
  <c r="M1437" i="15"/>
  <c r="N1437" i="15"/>
  <c r="A1438" i="15"/>
  <c r="B1438" i="15"/>
  <c r="C1438" i="15"/>
  <c r="D1438" i="15"/>
  <c r="E1438" i="15"/>
  <c r="F1438" i="15"/>
  <c r="G1438" i="15"/>
  <c r="H1438" i="15"/>
  <c r="I1438" i="15"/>
  <c r="J1438" i="15"/>
  <c r="K1438" i="15"/>
  <c r="L1438" i="15"/>
  <c r="M1438" i="15"/>
  <c r="N1438" i="15"/>
  <c r="A1439" i="15"/>
  <c r="B1439" i="15"/>
  <c r="C1439" i="15"/>
  <c r="D1439" i="15"/>
  <c r="E1439" i="15"/>
  <c r="F1439" i="15"/>
  <c r="G1439" i="15"/>
  <c r="H1439" i="15"/>
  <c r="I1439" i="15"/>
  <c r="J1439" i="15"/>
  <c r="K1439" i="15"/>
  <c r="L1439" i="15"/>
  <c r="M1439" i="15"/>
  <c r="N1439" i="15"/>
  <c r="A1440" i="15"/>
  <c r="B1440" i="15"/>
  <c r="C1440" i="15"/>
  <c r="D1440" i="15"/>
  <c r="E1440" i="15"/>
  <c r="F1440" i="15"/>
  <c r="G1440" i="15"/>
  <c r="H1440" i="15"/>
  <c r="I1440" i="15"/>
  <c r="J1440" i="15"/>
  <c r="K1440" i="15"/>
  <c r="L1440" i="15"/>
  <c r="M1440" i="15"/>
  <c r="N1440" i="15"/>
  <c r="A1441" i="15"/>
  <c r="B1441" i="15"/>
  <c r="C1441" i="15"/>
  <c r="D1441" i="15"/>
  <c r="E1441" i="15"/>
  <c r="F1441" i="15"/>
  <c r="G1441" i="15"/>
  <c r="H1441" i="15"/>
  <c r="I1441" i="15"/>
  <c r="J1441" i="15"/>
  <c r="K1441" i="15"/>
  <c r="L1441" i="15"/>
  <c r="M1441" i="15"/>
  <c r="N1441" i="15"/>
  <c r="A1442" i="15"/>
  <c r="B1442" i="15"/>
  <c r="C1442" i="15"/>
  <c r="D1442" i="15"/>
  <c r="E1442" i="15"/>
  <c r="F1442" i="15"/>
  <c r="G1442" i="15"/>
  <c r="H1442" i="15"/>
  <c r="I1442" i="15"/>
  <c r="J1442" i="15"/>
  <c r="K1442" i="15"/>
  <c r="L1442" i="15"/>
  <c r="M1442" i="15"/>
  <c r="N1442" i="15"/>
  <c r="A1443" i="15"/>
  <c r="B1443" i="15"/>
  <c r="C1443" i="15"/>
  <c r="D1443" i="15"/>
  <c r="E1443" i="15"/>
  <c r="F1443" i="15"/>
  <c r="G1443" i="15"/>
  <c r="H1443" i="15"/>
  <c r="I1443" i="15"/>
  <c r="J1443" i="15"/>
  <c r="K1443" i="15"/>
  <c r="L1443" i="15"/>
  <c r="M1443" i="15"/>
  <c r="N1443" i="15"/>
  <c r="A1444" i="15"/>
  <c r="B1444" i="15"/>
  <c r="C1444" i="15"/>
  <c r="D1444" i="15"/>
  <c r="E1444" i="15"/>
  <c r="F1444" i="15"/>
  <c r="G1444" i="15"/>
  <c r="H1444" i="15"/>
  <c r="I1444" i="15"/>
  <c r="J1444" i="15"/>
  <c r="K1444" i="15"/>
  <c r="L1444" i="15"/>
  <c r="M1444" i="15"/>
  <c r="N1444" i="15"/>
  <c r="A1445" i="15"/>
  <c r="B1445" i="15"/>
  <c r="C1445" i="15"/>
  <c r="D1445" i="15"/>
  <c r="E1445" i="15"/>
  <c r="F1445" i="15"/>
  <c r="G1445" i="15"/>
  <c r="H1445" i="15"/>
  <c r="I1445" i="15"/>
  <c r="J1445" i="15"/>
  <c r="K1445" i="15"/>
  <c r="L1445" i="15"/>
  <c r="M1445" i="15"/>
  <c r="N1445" i="15"/>
  <c r="A1446" i="15"/>
  <c r="B1446" i="15"/>
  <c r="C1446" i="15"/>
  <c r="D1446" i="15"/>
  <c r="E1446" i="15"/>
  <c r="F1446" i="15"/>
  <c r="G1446" i="15"/>
  <c r="H1446" i="15"/>
  <c r="I1446" i="15"/>
  <c r="J1446" i="15"/>
  <c r="K1446" i="15"/>
  <c r="L1446" i="15"/>
  <c r="M1446" i="15"/>
  <c r="N1446" i="15"/>
  <c r="A1447" i="15"/>
  <c r="B1447" i="15"/>
  <c r="C1447" i="15"/>
  <c r="D1447" i="15"/>
  <c r="E1447" i="15"/>
  <c r="F1447" i="15"/>
  <c r="G1447" i="15"/>
  <c r="H1447" i="15"/>
  <c r="I1447" i="15"/>
  <c r="J1447" i="15"/>
  <c r="K1447" i="15"/>
  <c r="L1447" i="15"/>
  <c r="M1447" i="15"/>
  <c r="N1447" i="15"/>
  <c r="A1448" i="15"/>
  <c r="B1448" i="15"/>
  <c r="C1448" i="15"/>
  <c r="D1448" i="15"/>
  <c r="E1448" i="15"/>
  <c r="F1448" i="15"/>
  <c r="G1448" i="15"/>
  <c r="H1448" i="15"/>
  <c r="I1448" i="15"/>
  <c r="J1448" i="15"/>
  <c r="K1448" i="15"/>
  <c r="L1448" i="15"/>
  <c r="M1448" i="15"/>
  <c r="N1448" i="15"/>
  <c r="A1449" i="15"/>
  <c r="B1449" i="15"/>
  <c r="C1449" i="15"/>
  <c r="D1449" i="15"/>
  <c r="E1449" i="15"/>
  <c r="F1449" i="15"/>
  <c r="G1449" i="15"/>
  <c r="H1449" i="15"/>
  <c r="I1449" i="15"/>
  <c r="J1449" i="15"/>
  <c r="K1449" i="15"/>
  <c r="L1449" i="15"/>
  <c r="M1449" i="15"/>
  <c r="N1449" i="15"/>
  <c r="A1450" i="15"/>
  <c r="B1450" i="15"/>
  <c r="C1450" i="15"/>
  <c r="D1450" i="15"/>
  <c r="E1450" i="15"/>
  <c r="F1450" i="15"/>
  <c r="G1450" i="15"/>
  <c r="H1450" i="15"/>
  <c r="I1450" i="15"/>
  <c r="J1450" i="15"/>
  <c r="K1450" i="15"/>
  <c r="L1450" i="15"/>
  <c r="M1450" i="15"/>
  <c r="N1450" i="15"/>
  <c r="A1451" i="15"/>
  <c r="B1451" i="15"/>
  <c r="C1451" i="15"/>
  <c r="D1451" i="15"/>
  <c r="E1451" i="15"/>
  <c r="F1451" i="15"/>
  <c r="G1451" i="15"/>
  <c r="H1451" i="15"/>
  <c r="I1451" i="15"/>
  <c r="J1451" i="15"/>
  <c r="K1451" i="15"/>
  <c r="L1451" i="15"/>
  <c r="M1451" i="15"/>
  <c r="N1451" i="15"/>
  <c r="A1452" i="15"/>
  <c r="B1452" i="15"/>
  <c r="C1452" i="15"/>
  <c r="D1452" i="15"/>
  <c r="E1452" i="15"/>
  <c r="F1452" i="15"/>
  <c r="G1452" i="15"/>
  <c r="H1452" i="15"/>
  <c r="I1452" i="15"/>
  <c r="J1452" i="15"/>
  <c r="K1452" i="15"/>
  <c r="L1452" i="15"/>
  <c r="M1452" i="15"/>
  <c r="N1452" i="15"/>
  <c r="A1453" i="15"/>
  <c r="B1453" i="15"/>
  <c r="C1453" i="15"/>
  <c r="D1453" i="15"/>
  <c r="E1453" i="15"/>
  <c r="F1453" i="15"/>
  <c r="G1453" i="15"/>
  <c r="H1453" i="15"/>
  <c r="I1453" i="15"/>
  <c r="J1453" i="15"/>
  <c r="K1453" i="15"/>
  <c r="L1453" i="15"/>
  <c r="M1453" i="15"/>
  <c r="N1453" i="15"/>
  <c r="A1454" i="15"/>
  <c r="B1454" i="15"/>
  <c r="C1454" i="15"/>
  <c r="D1454" i="15"/>
  <c r="E1454" i="15"/>
  <c r="F1454" i="15"/>
  <c r="G1454" i="15"/>
  <c r="H1454" i="15"/>
  <c r="I1454" i="15"/>
  <c r="J1454" i="15"/>
  <c r="K1454" i="15"/>
  <c r="L1454" i="15"/>
  <c r="M1454" i="15"/>
  <c r="N1454" i="15"/>
  <c r="A1455" i="15"/>
  <c r="B1455" i="15"/>
  <c r="C1455" i="15"/>
  <c r="D1455" i="15"/>
  <c r="E1455" i="15"/>
  <c r="F1455" i="15"/>
  <c r="G1455" i="15"/>
  <c r="H1455" i="15"/>
  <c r="I1455" i="15"/>
  <c r="J1455" i="15"/>
  <c r="K1455" i="15"/>
  <c r="L1455" i="15"/>
  <c r="M1455" i="15"/>
  <c r="N1455" i="15"/>
  <c r="A1456" i="15"/>
  <c r="B1456" i="15"/>
  <c r="C1456" i="15"/>
  <c r="D1456" i="15"/>
  <c r="E1456" i="15"/>
  <c r="F1456" i="15"/>
  <c r="G1456" i="15"/>
  <c r="H1456" i="15"/>
  <c r="I1456" i="15"/>
  <c r="J1456" i="15"/>
  <c r="K1456" i="15"/>
  <c r="L1456" i="15"/>
  <c r="M1456" i="15"/>
  <c r="N1456" i="15"/>
  <c r="A1457" i="15"/>
  <c r="B1457" i="15"/>
  <c r="C1457" i="15"/>
  <c r="D1457" i="15"/>
  <c r="E1457" i="15"/>
  <c r="F1457" i="15"/>
  <c r="G1457" i="15"/>
  <c r="H1457" i="15"/>
  <c r="I1457" i="15"/>
  <c r="J1457" i="15"/>
  <c r="K1457" i="15"/>
  <c r="L1457" i="15"/>
  <c r="M1457" i="15"/>
  <c r="N1457" i="15"/>
  <c r="A1458" i="15"/>
  <c r="B1458" i="15"/>
  <c r="C1458" i="15"/>
  <c r="D1458" i="15"/>
  <c r="E1458" i="15"/>
  <c r="F1458" i="15"/>
  <c r="G1458" i="15"/>
  <c r="H1458" i="15"/>
  <c r="I1458" i="15"/>
  <c r="J1458" i="15"/>
  <c r="K1458" i="15"/>
  <c r="L1458" i="15"/>
  <c r="M1458" i="15"/>
  <c r="N1458" i="15"/>
  <c r="A1459" i="15"/>
  <c r="B1459" i="15"/>
  <c r="C1459" i="15"/>
  <c r="D1459" i="15"/>
  <c r="E1459" i="15"/>
  <c r="F1459" i="15"/>
  <c r="G1459" i="15"/>
  <c r="H1459" i="15"/>
  <c r="I1459" i="15"/>
  <c r="J1459" i="15"/>
  <c r="K1459" i="15"/>
  <c r="L1459" i="15"/>
  <c r="M1459" i="15"/>
  <c r="N1459" i="15"/>
  <c r="A1460" i="15"/>
  <c r="B1460" i="15"/>
  <c r="C1460" i="15"/>
  <c r="D1460" i="15"/>
  <c r="E1460" i="15"/>
  <c r="F1460" i="15"/>
  <c r="G1460" i="15"/>
  <c r="H1460" i="15"/>
  <c r="I1460" i="15"/>
  <c r="J1460" i="15"/>
  <c r="K1460" i="15"/>
  <c r="L1460" i="15"/>
  <c r="M1460" i="15"/>
  <c r="N1460" i="15"/>
  <c r="A1461" i="15"/>
  <c r="B1461" i="15"/>
  <c r="C1461" i="15"/>
  <c r="D1461" i="15"/>
  <c r="E1461" i="15"/>
  <c r="F1461" i="15"/>
  <c r="G1461" i="15"/>
  <c r="H1461" i="15"/>
  <c r="I1461" i="15"/>
  <c r="J1461" i="15"/>
  <c r="K1461" i="15"/>
  <c r="L1461" i="15"/>
  <c r="M1461" i="15"/>
  <c r="N1461" i="15"/>
  <c r="A1462" i="15"/>
  <c r="B1462" i="15"/>
  <c r="C1462" i="15"/>
  <c r="D1462" i="15"/>
  <c r="E1462" i="15"/>
  <c r="F1462" i="15"/>
  <c r="G1462" i="15"/>
  <c r="H1462" i="15"/>
  <c r="I1462" i="15"/>
  <c r="J1462" i="15"/>
  <c r="K1462" i="15"/>
  <c r="L1462" i="15"/>
  <c r="M1462" i="15"/>
  <c r="N1462" i="15"/>
  <c r="A1463" i="15"/>
  <c r="B1463" i="15"/>
  <c r="C1463" i="15"/>
  <c r="D1463" i="15"/>
  <c r="E1463" i="15"/>
  <c r="F1463" i="15"/>
  <c r="G1463" i="15"/>
  <c r="H1463" i="15"/>
  <c r="I1463" i="15"/>
  <c r="J1463" i="15"/>
  <c r="K1463" i="15"/>
  <c r="L1463" i="15"/>
  <c r="M1463" i="15"/>
  <c r="N1463" i="15"/>
  <c r="A1464" i="15"/>
  <c r="B1464" i="15"/>
  <c r="C1464" i="15"/>
  <c r="D1464" i="15"/>
  <c r="E1464" i="15"/>
  <c r="F1464" i="15"/>
  <c r="G1464" i="15"/>
  <c r="H1464" i="15"/>
  <c r="I1464" i="15"/>
  <c r="J1464" i="15"/>
  <c r="K1464" i="15"/>
  <c r="L1464" i="15"/>
  <c r="M1464" i="15"/>
  <c r="N1464" i="15"/>
  <c r="A1465" i="15"/>
  <c r="B1465" i="15"/>
  <c r="C1465" i="15"/>
  <c r="D1465" i="15"/>
  <c r="E1465" i="15"/>
  <c r="F1465" i="15"/>
  <c r="G1465" i="15"/>
  <c r="H1465" i="15"/>
  <c r="I1465" i="15"/>
  <c r="J1465" i="15"/>
  <c r="K1465" i="15"/>
  <c r="L1465" i="15"/>
  <c r="M1465" i="15"/>
  <c r="N1465" i="15"/>
  <c r="A1466" i="15"/>
  <c r="B1466" i="15"/>
  <c r="C1466" i="15"/>
  <c r="D1466" i="15"/>
  <c r="E1466" i="15"/>
  <c r="F1466" i="15"/>
  <c r="G1466" i="15"/>
  <c r="H1466" i="15"/>
  <c r="I1466" i="15"/>
  <c r="J1466" i="15"/>
  <c r="K1466" i="15"/>
  <c r="L1466" i="15"/>
  <c r="M1466" i="15"/>
  <c r="N1466" i="15"/>
  <c r="A1467" i="15"/>
  <c r="B1467" i="15"/>
  <c r="C1467" i="15"/>
  <c r="D1467" i="15"/>
  <c r="E1467" i="15"/>
  <c r="F1467" i="15"/>
  <c r="G1467" i="15"/>
  <c r="H1467" i="15"/>
  <c r="I1467" i="15"/>
  <c r="J1467" i="15"/>
  <c r="K1467" i="15"/>
  <c r="L1467" i="15"/>
  <c r="M1467" i="15"/>
  <c r="N1467" i="15"/>
  <c r="A1468" i="15"/>
  <c r="B1468" i="15"/>
  <c r="C1468" i="15"/>
  <c r="D1468" i="15"/>
  <c r="E1468" i="15"/>
  <c r="F1468" i="15"/>
  <c r="G1468" i="15"/>
  <c r="H1468" i="15"/>
  <c r="I1468" i="15"/>
  <c r="J1468" i="15"/>
  <c r="K1468" i="15"/>
  <c r="L1468" i="15"/>
  <c r="M1468" i="15"/>
  <c r="N1468" i="15"/>
  <c r="A1469" i="15"/>
  <c r="B1469" i="15"/>
  <c r="C1469" i="15"/>
  <c r="D1469" i="15"/>
  <c r="E1469" i="15"/>
  <c r="F1469" i="15"/>
  <c r="G1469" i="15"/>
  <c r="H1469" i="15"/>
  <c r="I1469" i="15"/>
  <c r="J1469" i="15"/>
  <c r="K1469" i="15"/>
  <c r="L1469" i="15"/>
  <c r="M1469" i="15"/>
  <c r="N1469" i="15"/>
  <c r="A1470" i="15"/>
  <c r="B1470" i="15"/>
  <c r="C1470" i="15"/>
  <c r="D1470" i="15"/>
  <c r="E1470" i="15"/>
  <c r="F1470" i="15"/>
  <c r="G1470" i="15"/>
  <c r="H1470" i="15"/>
  <c r="I1470" i="15"/>
  <c r="J1470" i="15"/>
  <c r="K1470" i="15"/>
  <c r="L1470" i="15"/>
  <c r="M1470" i="15"/>
  <c r="N1470" i="15"/>
  <c r="A1471" i="15"/>
  <c r="B1471" i="15"/>
  <c r="C1471" i="15"/>
  <c r="D1471" i="15"/>
  <c r="E1471" i="15"/>
  <c r="F1471" i="15"/>
  <c r="G1471" i="15"/>
  <c r="H1471" i="15"/>
  <c r="I1471" i="15"/>
  <c r="J1471" i="15"/>
  <c r="K1471" i="15"/>
  <c r="L1471" i="15"/>
  <c r="M1471" i="15"/>
  <c r="N1471" i="15"/>
  <c r="A1472" i="15"/>
  <c r="B1472" i="15"/>
  <c r="C1472" i="15"/>
  <c r="D1472" i="15"/>
  <c r="E1472" i="15"/>
  <c r="F1472" i="15"/>
  <c r="G1472" i="15"/>
  <c r="H1472" i="15"/>
  <c r="I1472" i="15"/>
  <c r="J1472" i="15"/>
  <c r="K1472" i="15"/>
  <c r="L1472" i="15"/>
  <c r="M1472" i="15"/>
  <c r="N1472" i="15"/>
  <c r="A1473" i="15"/>
  <c r="B1473" i="15"/>
  <c r="C1473" i="15"/>
  <c r="D1473" i="15"/>
  <c r="E1473" i="15"/>
  <c r="F1473" i="15"/>
  <c r="G1473" i="15"/>
  <c r="H1473" i="15"/>
  <c r="I1473" i="15"/>
  <c r="J1473" i="15"/>
  <c r="K1473" i="15"/>
  <c r="L1473" i="15"/>
  <c r="M1473" i="15"/>
  <c r="N1473" i="15"/>
  <c r="A1474" i="15"/>
  <c r="B1474" i="15"/>
  <c r="C1474" i="15"/>
  <c r="D1474" i="15"/>
  <c r="E1474" i="15"/>
  <c r="F1474" i="15"/>
  <c r="G1474" i="15"/>
  <c r="H1474" i="15"/>
  <c r="I1474" i="15"/>
  <c r="J1474" i="15"/>
  <c r="K1474" i="15"/>
  <c r="L1474" i="15"/>
  <c r="M1474" i="15"/>
  <c r="N1474" i="15"/>
  <c r="A1475" i="15"/>
  <c r="B1475" i="15"/>
  <c r="C1475" i="15"/>
  <c r="D1475" i="15"/>
  <c r="E1475" i="15"/>
  <c r="F1475" i="15"/>
  <c r="G1475" i="15"/>
  <c r="H1475" i="15"/>
  <c r="I1475" i="15"/>
  <c r="J1475" i="15"/>
  <c r="K1475" i="15"/>
  <c r="L1475" i="15"/>
  <c r="M1475" i="15"/>
  <c r="N1475" i="15"/>
  <c r="A1476" i="15"/>
  <c r="B1476" i="15"/>
  <c r="C1476" i="15"/>
  <c r="D1476" i="15"/>
  <c r="E1476" i="15"/>
  <c r="F1476" i="15"/>
  <c r="G1476" i="15"/>
  <c r="H1476" i="15"/>
  <c r="I1476" i="15"/>
  <c r="J1476" i="15"/>
  <c r="K1476" i="15"/>
  <c r="L1476" i="15"/>
  <c r="M1476" i="15"/>
  <c r="N1476" i="15"/>
  <c r="A1477" i="15"/>
  <c r="B1477" i="15"/>
  <c r="C1477" i="15"/>
  <c r="D1477" i="15"/>
  <c r="E1477" i="15"/>
  <c r="F1477" i="15"/>
  <c r="G1477" i="15"/>
  <c r="H1477" i="15"/>
  <c r="I1477" i="15"/>
  <c r="J1477" i="15"/>
  <c r="K1477" i="15"/>
  <c r="L1477" i="15"/>
  <c r="M1477" i="15"/>
  <c r="N1477" i="15"/>
  <c r="A1478" i="15"/>
  <c r="B1478" i="15"/>
  <c r="C1478" i="15"/>
  <c r="D1478" i="15"/>
  <c r="E1478" i="15"/>
  <c r="F1478" i="15"/>
  <c r="G1478" i="15"/>
  <c r="H1478" i="15"/>
  <c r="I1478" i="15"/>
  <c r="J1478" i="15"/>
  <c r="K1478" i="15"/>
  <c r="L1478" i="15"/>
  <c r="M1478" i="15"/>
  <c r="N1478" i="15"/>
  <c r="A1479" i="15"/>
  <c r="B1479" i="15"/>
  <c r="C1479" i="15"/>
  <c r="D1479" i="15"/>
  <c r="E1479" i="15"/>
  <c r="F1479" i="15"/>
  <c r="G1479" i="15"/>
  <c r="H1479" i="15"/>
  <c r="I1479" i="15"/>
  <c r="J1479" i="15"/>
  <c r="K1479" i="15"/>
  <c r="L1479" i="15"/>
  <c r="M1479" i="15"/>
  <c r="N1479" i="15"/>
  <c r="A1480" i="15"/>
  <c r="B1480" i="15"/>
  <c r="C1480" i="15"/>
  <c r="D1480" i="15"/>
  <c r="E1480" i="15"/>
  <c r="F1480" i="15"/>
  <c r="G1480" i="15"/>
  <c r="H1480" i="15"/>
  <c r="I1480" i="15"/>
  <c r="J1480" i="15"/>
  <c r="K1480" i="15"/>
  <c r="L1480" i="15"/>
  <c r="M1480" i="15"/>
  <c r="N1480" i="15"/>
  <c r="A1481" i="15"/>
  <c r="B1481" i="15"/>
  <c r="C1481" i="15"/>
  <c r="D1481" i="15"/>
  <c r="E1481" i="15"/>
  <c r="F1481" i="15"/>
  <c r="G1481" i="15"/>
  <c r="H1481" i="15"/>
  <c r="I1481" i="15"/>
  <c r="J1481" i="15"/>
  <c r="K1481" i="15"/>
  <c r="L1481" i="15"/>
  <c r="M1481" i="15"/>
  <c r="N1481" i="15"/>
  <c r="A1482" i="15"/>
  <c r="B1482" i="15"/>
  <c r="C1482" i="15"/>
  <c r="D1482" i="15"/>
  <c r="E1482" i="15"/>
  <c r="F1482" i="15"/>
  <c r="G1482" i="15"/>
  <c r="H1482" i="15"/>
  <c r="I1482" i="15"/>
  <c r="J1482" i="15"/>
  <c r="K1482" i="15"/>
  <c r="L1482" i="15"/>
  <c r="M1482" i="15"/>
  <c r="N1482" i="15"/>
  <c r="A1483" i="15"/>
  <c r="B1483" i="15"/>
  <c r="C1483" i="15"/>
  <c r="D1483" i="15"/>
  <c r="E1483" i="15"/>
  <c r="F1483" i="15"/>
  <c r="G1483" i="15"/>
  <c r="H1483" i="15"/>
  <c r="I1483" i="15"/>
  <c r="J1483" i="15"/>
  <c r="K1483" i="15"/>
  <c r="L1483" i="15"/>
  <c r="M1483" i="15"/>
  <c r="N1483" i="15"/>
  <c r="A1484" i="15"/>
  <c r="B1484" i="15"/>
  <c r="C1484" i="15"/>
  <c r="D1484" i="15"/>
  <c r="E1484" i="15"/>
  <c r="F1484" i="15"/>
  <c r="G1484" i="15"/>
  <c r="H1484" i="15"/>
  <c r="I1484" i="15"/>
  <c r="J1484" i="15"/>
  <c r="K1484" i="15"/>
  <c r="L1484" i="15"/>
  <c r="M1484" i="15"/>
  <c r="N1484" i="15"/>
  <c r="A1485" i="15"/>
  <c r="B1485" i="15"/>
  <c r="C1485" i="15"/>
  <c r="D1485" i="15"/>
  <c r="E1485" i="15"/>
  <c r="F1485" i="15"/>
  <c r="G1485" i="15"/>
  <c r="H1485" i="15"/>
  <c r="I1485" i="15"/>
  <c r="J1485" i="15"/>
  <c r="K1485" i="15"/>
  <c r="L1485" i="15"/>
  <c r="M1485" i="15"/>
  <c r="N1485" i="15"/>
  <c r="A1486" i="15"/>
  <c r="B1486" i="15"/>
  <c r="C1486" i="15"/>
  <c r="D1486" i="15"/>
  <c r="E1486" i="15"/>
  <c r="F1486" i="15"/>
  <c r="G1486" i="15"/>
  <c r="H1486" i="15"/>
  <c r="I1486" i="15"/>
  <c r="J1486" i="15"/>
  <c r="K1486" i="15"/>
  <c r="L1486" i="15"/>
  <c r="M1486" i="15"/>
  <c r="N1486" i="15"/>
  <c r="A1487" i="15"/>
  <c r="B1487" i="15"/>
  <c r="C1487" i="15"/>
  <c r="D1487" i="15"/>
  <c r="E1487" i="15"/>
  <c r="F1487" i="15"/>
  <c r="G1487" i="15"/>
  <c r="H1487" i="15"/>
  <c r="I1487" i="15"/>
  <c r="J1487" i="15"/>
  <c r="K1487" i="15"/>
  <c r="L1487" i="15"/>
  <c r="M1487" i="15"/>
  <c r="N1487" i="15"/>
  <c r="A1488" i="15"/>
  <c r="B1488" i="15"/>
  <c r="C1488" i="15"/>
  <c r="D1488" i="15"/>
  <c r="E1488" i="15"/>
  <c r="F1488" i="15"/>
  <c r="G1488" i="15"/>
  <c r="H1488" i="15"/>
  <c r="I1488" i="15"/>
  <c r="J1488" i="15"/>
  <c r="K1488" i="15"/>
  <c r="L1488" i="15"/>
  <c r="M1488" i="15"/>
  <c r="N1488" i="15"/>
  <c r="A1489" i="15"/>
  <c r="B1489" i="15"/>
  <c r="C1489" i="15"/>
  <c r="D1489" i="15"/>
  <c r="E1489" i="15"/>
  <c r="F1489" i="15"/>
  <c r="G1489" i="15"/>
  <c r="H1489" i="15"/>
  <c r="I1489" i="15"/>
  <c r="J1489" i="15"/>
  <c r="K1489" i="15"/>
  <c r="L1489" i="15"/>
  <c r="M1489" i="15"/>
  <c r="N1489" i="15"/>
  <c r="A1490" i="15"/>
  <c r="B1490" i="15"/>
  <c r="C1490" i="15"/>
  <c r="D1490" i="15"/>
  <c r="E1490" i="15"/>
  <c r="F1490" i="15"/>
  <c r="G1490" i="15"/>
  <c r="H1490" i="15"/>
  <c r="I1490" i="15"/>
  <c r="J1490" i="15"/>
  <c r="K1490" i="15"/>
  <c r="L1490" i="15"/>
  <c r="M1490" i="15"/>
  <c r="N1490" i="15"/>
  <c r="A1491" i="15"/>
  <c r="B1491" i="15"/>
  <c r="C1491" i="15"/>
  <c r="D1491" i="15"/>
  <c r="E1491" i="15"/>
  <c r="F1491" i="15"/>
  <c r="G1491" i="15"/>
  <c r="H1491" i="15"/>
  <c r="I1491" i="15"/>
  <c r="J1491" i="15"/>
  <c r="K1491" i="15"/>
  <c r="L1491" i="15"/>
  <c r="M1491" i="15"/>
  <c r="N1491" i="15"/>
  <c r="A1492" i="15"/>
  <c r="B1492" i="15"/>
  <c r="C1492" i="15"/>
  <c r="D1492" i="15"/>
  <c r="E1492" i="15"/>
  <c r="F1492" i="15"/>
  <c r="G1492" i="15"/>
  <c r="H1492" i="15"/>
  <c r="I1492" i="15"/>
  <c r="J1492" i="15"/>
  <c r="K1492" i="15"/>
  <c r="L1492" i="15"/>
  <c r="M1492" i="15"/>
  <c r="N1492" i="15"/>
  <c r="A1493" i="15"/>
  <c r="B1493" i="15"/>
  <c r="C1493" i="15"/>
  <c r="D1493" i="15"/>
  <c r="E1493" i="15"/>
  <c r="F1493" i="15"/>
  <c r="G1493" i="15"/>
  <c r="H1493" i="15"/>
  <c r="I1493" i="15"/>
  <c r="J1493" i="15"/>
  <c r="K1493" i="15"/>
  <c r="L1493" i="15"/>
  <c r="M1493" i="15"/>
  <c r="N1493" i="15"/>
  <c r="A1494" i="15"/>
  <c r="B1494" i="15"/>
  <c r="C1494" i="15"/>
  <c r="D1494" i="15"/>
  <c r="E1494" i="15"/>
  <c r="F1494" i="15"/>
  <c r="G1494" i="15"/>
  <c r="H1494" i="15"/>
  <c r="I1494" i="15"/>
  <c r="J1494" i="15"/>
  <c r="K1494" i="15"/>
  <c r="L1494" i="15"/>
  <c r="M1494" i="15"/>
  <c r="N1494" i="15"/>
  <c r="A1495" i="15"/>
  <c r="B1495" i="15"/>
  <c r="C1495" i="15"/>
  <c r="D1495" i="15"/>
  <c r="E1495" i="15"/>
  <c r="F1495" i="15"/>
  <c r="G1495" i="15"/>
  <c r="H1495" i="15"/>
  <c r="I1495" i="15"/>
  <c r="J1495" i="15"/>
  <c r="K1495" i="15"/>
  <c r="L1495" i="15"/>
  <c r="M1495" i="15"/>
  <c r="N1495" i="15"/>
  <c r="A1496" i="15"/>
  <c r="B1496" i="15"/>
  <c r="C1496" i="15"/>
  <c r="D1496" i="15"/>
  <c r="E1496" i="15"/>
  <c r="F1496" i="15"/>
  <c r="G1496" i="15"/>
  <c r="H1496" i="15"/>
  <c r="I1496" i="15"/>
  <c r="J1496" i="15"/>
  <c r="K1496" i="15"/>
  <c r="L1496" i="15"/>
  <c r="M1496" i="15"/>
  <c r="N1496" i="15"/>
  <c r="A1497" i="15"/>
  <c r="B1497" i="15"/>
  <c r="C1497" i="15"/>
  <c r="D1497" i="15"/>
  <c r="E1497" i="15"/>
  <c r="F1497" i="15"/>
  <c r="G1497" i="15"/>
  <c r="H1497" i="15"/>
  <c r="I1497" i="15"/>
  <c r="J1497" i="15"/>
  <c r="K1497" i="15"/>
  <c r="L1497" i="15"/>
  <c r="M1497" i="15"/>
  <c r="N1497" i="15"/>
  <c r="A1498" i="15"/>
  <c r="B1498" i="15"/>
  <c r="C1498" i="15"/>
  <c r="D1498" i="15"/>
  <c r="E1498" i="15"/>
  <c r="F1498" i="15"/>
  <c r="G1498" i="15"/>
  <c r="H1498" i="15"/>
  <c r="I1498" i="15"/>
  <c r="J1498" i="15"/>
  <c r="K1498" i="15"/>
  <c r="L1498" i="15"/>
  <c r="M1498" i="15"/>
  <c r="N1498" i="15"/>
  <c r="A1499" i="15"/>
  <c r="B1499" i="15"/>
  <c r="C1499" i="15"/>
  <c r="D1499" i="15"/>
  <c r="E1499" i="15"/>
  <c r="F1499" i="15"/>
  <c r="G1499" i="15"/>
  <c r="H1499" i="15"/>
  <c r="I1499" i="15"/>
  <c r="J1499" i="15"/>
  <c r="K1499" i="15"/>
  <c r="L1499" i="15"/>
  <c r="M1499" i="15"/>
  <c r="N1499" i="15"/>
  <c r="A1500" i="15"/>
  <c r="B1500" i="15"/>
  <c r="C1500" i="15"/>
  <c r="D1500" i="15"/>
  <c r="E1500" i="15"/>
  <c r="F1500" i="15"/>
  <c r="G1500" i="15"/>
  <c r="H1500" i="15"/>
  <c r="I1500" i="15"/>
  <c r="J1500" i="15"/>
  <c r="K1500" i="15"/>
  <c r="L1500" i="15"/>
  <c r="M1500" i="15"/>
  <c r="N1500" i="15"/>
  <c r="A1501" i="15"/>
  <c r="B1501" i="15"/>
  <c r="C1501" i="15"/>
  <c r="D1501" i="15"/>
  <c r="E1501" i="15"/>
  <c r="F1501" i="15"/>
  <c r="G1501" i="15"/>
  <c r="H1501" i="15"/>
  <c r="I1501" i="15"/>
  <c r="J1501" i="15"/>
  <c r="K1501" i="15"/>
  <c r="L1501" i="15"/>
  <c r="M1501" i="15"/>
  <c r="N1501" i="15"/>
  <c r="A1502" i="15"/>
  <c r="B1502" i="15"/>
  <c r="C1502" i="15"/>
  <c r="D1502" i="15"/>
  <c r="E1502" i="15"/>
  <c r="F1502" i="15"/>
  <c r="G1502" i="15"/>
  <c r="H1502" i="15"/>
  <c r="I1502" i="15"/>
  <c r="J1502" i="15"/>
  <c r="K1502" i="15"/>
  <c r="L1502" i="15"/>
  <c r="M1502" i="15"/>
  <c r="N1502" i="15"/>
  <c r="A1503" i="15"/>
  <c r="B1503" i="15"/>
  <c r="C1503" i="15"/>
  <c r="D1503" i="15"/>
  <c r="E1503" i="15"/>
  <c r="F1503" i="15"/>
  <c r="G1503" i="15"/>
  <c r="H1503" i="15"/>
  <c r="I1503" i="15"/>
  <c r="J1503" i="15"/>
  <c r="K1503" i="15"/>
  <c r="L1503" i="15"/>
  <c r="M1503" i="15"/>
  <c r="N1503" i="15"/>
  <c r="A1504" i="15"/>
  <c r="B1504" i="15"/>
  <c r="C1504" i="15"/>
  <c r="D1504" i="15"/>
  <c r="E1504" i="15"/>
  <c r="F1504" i="15"/>
  <c r="G1504" i="15"/>
  <c r="H1504" i="15"/>
  <c r="I1504" i="15"/>
  <c r="J1504" i="15"/>
  <c r="K1504" i="15"/>
  <c r="L1504" i="15"/>
  <c r="M1504" i="15"/>
  <c r="N1504" i="15"/>
  <c r="A1505" i="15"/>
  <c r="B1505" i="15"/>
  <c r="C1505" i="15"/>
  <c r="D1505" i="15"/>
  <c r="E1505" i="15"/>
  <c r="F1505" i="15"/>
  <c r="G1505" i="15"/>
  <c r="H1505" i="15"/>
  <c r="I1505" i="15"/>
  <c r="J1505" i="15"/>
  <c r="K1505" i="15"/>
  <c r="L1505" i="15"/>
  <c r="M1505" i="15"/>
  <c r="N1505" i="15"/>
  <c r="A1506" i="15"/>
  <c r="B1506" i="15"/>
  <c r="C1506" i="15"/>
  <c r="D1506" i="15"/>
  <c r="E1506" i="15"/>
  <c r="F1506" i="15"/>
  <c r="G1506" i="15"/>
  <c r="H1506" i="15"/>
  <c r="I1506" i="15"/>
  <c r="J1506" i="15"/>
  <c r="K1506" i="15"/>
  <c r="L1506" i="15"/>
  <c r="M1506" i="15"/>
  <c r="N1506" i="15"/>
  <c r="A1507" i="15"/>
  <c r="B1507" i="15"/>
  <c r="C1507" i="15"/>
  <c r="D1507" i="15"/>
  <c r="E1507" i="15"/>
  <c r="F1507" i="15"/>
  <c r="G1507" i="15"/>
  <c r="H1507" i="15"/>
  <c r="I1507" i="15"/>
  <c r="J1507" i="15"/>
  <c r="K1507" i="15"/>
  <c r="L1507" i="15"/>
  <c r="M1507" i="15"/>
  <c r="N1507" i="15"/>
  <c r="A1508" i="15"/>
  <c r="B1508" i="15"/>
  <c r="C1508" i="15"/>
  <c r="D1508" i="15"/>
  <c r="E1508" i="15"/>
  <c r="F1508" i="15"/>
  <c r="G1508" i="15"/>
  <c r="H1508" i="15"/>
  <c r="I1508" i="15"/>
  <c r="J1508" i="15"/>
  <c r="K1508" i="15"/>
  <c r="L1508" i="15"/>
  <c r="M1508" i="15"/>
  <c r="N1508" i="15"/>
  <c r="A1509" i="15"/>
  <c r="B1509" i="15"/>
  <c r="C1509" i="15"/>
  <c r="D1509" i="15"/>
  <c r="E1509" i="15"/>
  <c r="F1509" i="15"/>
  <c r="G1509" i="15"/>
  <c r="H1509" i="15"/>
  <c r="I1509" i="15"/>
  <c r="J1509" i="15"/>
  <c r="K1509" i="15"/>
  <c r="L1509" i="15"/>
  <c r="M1509" i="15"/>
  <c r="N1509" i="15"/>
  <c r="A1510" i="15"/>
  <c r="B1510" i="15"/>
  <c r="C1510" i="15"/>
  <c r="D1510" i="15"/>
  <c r="E1510" i="15"/>
  <c r="F1510" i="15"/>
  <c r="G1510" i="15"/>
  <c r="H1510" i="15"/>
  <c r="I1510" i="15"/>
  <c r="J1510" i="15"/>
  <c r="K1510" i="15"/>
  <c r="L1510" i="15"/>
  <c r="M1510" i="15"/>
  <c r="N1510" i="15"/>
  <c r="A1511" i="15"/>
  <c r="B1511" i="15"/>
  <c r="C1511" i="15"/>
  <c r="D1511" i="15"/>
  <c r="E1511" i="15"/>
  <c r="F1511" i="15"/>
  <c r="G1511" i="15"/>
  <c r="H1511" i="15"/>
  <c r="I1511" i="15"/>
  <c r="J1511" i="15"/>
  <c r="K1511" i="15"/>
  <c r="L1511" i="15"/>
  <c r="M1511" i="15"/>
  <c r="N1511" i="15"/>
  <c r="A1512" i="15"/>
  <c r="B1512" i="15"/>
  <c r="C1512" i="15"/>
  <c r="D1512" i="15"/>
  <c r="E1512" i="15"/>
  <c r="F1512" i="15"/>
  <c r="G1512" i="15"/>
  <c r="H1512" i="15"/>
  <c r="I1512" i="15"/>
  <c r="J1512" i="15"/>
  <c r="K1512" i="15"/>
  <c r="L1512" i="15"/>
  <c r="M1512" i="15"/>
  <c r="N1512" i="15"/>
  <c r="A1513" i="15"/>
  <c r="B1513" i="15"/>
  <c r="C1513" i="15"/>
  <c r="D1513" i="15"/>
  <c r="E1513" i="15"/>
  <c r="F1513" i="15"/>
  <c r="G1513" i="15"/>
  <c r="H1513" i="15"/>
  <c r="I1513" i="15"/>
  <c r="J1513" i="15"/>
  <c r="K1513" i="15"/>
  <c r="L1513" i="15"/>
  <c r="M1513" i="15"/>
  <c r="N1513" i="15"/>
  <c r="A1514" i="15"/>
  <c r="B1514" i="15"/>
  <c r="C1514" i="15"/>
  <c r="D1514" i="15"/>
  <c r="E1514" i="15"/>
  <c r="F1514" i="15"/>
  <c r="G1514" i="15"/>
  <c r="H1514" i="15"/>
  <c r="I1514" i="15"/>
  <c r="J1514" i="15"/>
  <c r="K1514" i="15"/>
  <c r="L1514" i="15"/>
  <c r="M1514" i="15"/>
  <c r="N1514" i="15"/>
  <c r="A1515" i="15"/>
  <c r="B1515" i="15"/>
  <c r="C1515" i="15"/>
  <c r="D1515" i="15"/>
  <c r="E1515" i="15"/>
  <c r="F1515" i="15"/>
  <c r="G1515" i="15"/>
  <c r="H1515" i="15"/>
  <c r="I1515" i="15"/>
  <c r="J1515" i="15"/>
  <c r="K1515" i="15"/>
  <c r="L1515" i="15"/>
  <c r="M1515" i="15"/>
  <c r="N1515" i="15"/>
  <c r="A1516" i="15"/>
  <c r="B1516" i="15"/>
  <c r="C1516" i="15"/>
  <c r="D1516" i="15"/>
  <c r="E1516" i="15"/>
  <c r="F1516" i="15"/>
  <c r="G1516" i="15"/>
  <c r="H1516" i="15"/>
  <c r="I1516" i="15"/>
  <c r="J1516" i="15"/>
  <c r="K1516" i="15"/>
  <c r="L1516" i="15"/>
  <c r="M1516" i="15"/>
  <c r="N1516" i="15"/>
  <c r="A1517" i="15"/>
  <c r="B1517" i="15"/>
  <c r="C1517" i="15"/>
  <c r="D1517" i="15"/>
  <c r="E1517" i="15"/>
  <c r="F1517" i="15"/>
  <c r="G1517" i="15"/>
  <c r="H1517" i="15"/>
  <c r="I1517" i="15"/>
  <c r="J1517" i="15"/>
  <c r="K1517" i="15"/>
  <c r="L1517" i="15"/>
  <c r="M1517" i="15"/>
  <c r="N1517" i="15"/>
  <c r="A1518" i="15"/>
  <c r="B1518" i="15"/>
  <c r="C1518" i="15"/>
  <c r="D1518" i="15"/>
  <c r="E1518" i="15"/>
  <c r="F1518" i="15"/>
  <c r="G1518" i="15"/>
  <c r="H1518" i="15"/>
  <c r="I1518" i="15"/>
  <c r="J1518" i="15"/>
  <c r="K1518" i="15"/>
  <c r="L1518" i="15"/>
  <c r="M1518" i="15"/>
  <c r="N1518" i="15"/>
  <c r="A1519" i="15"/>
  <c r="B1519" i="15"/>
  <c r="C1519" i="15"/>
  <c r="D1519" i="15"/>
  <c r="E1519" i="15"/>
  <c r="F1519" i="15"/>
  <c r="G1519" i="15"/>
  <c r="H1519" i="15"/>
  <c r="I1519" i="15"/>
  <c r="J1519" i="15"/>
  <c r="K1519" i="15"/>
  <c r="L1519" i="15"/>
  <c r="M1519" i="15"/>
  <c r="N1519" i="15"/>
  <c r="A1520" i="15"/>
  <c r="B1520" i="15"/>
  <c r="C1520" i="15"/>
  <c r="D1520" i="15"/>
  <c r="E1520" i="15"/>
  <c r="F1520" i="15"/>
  <c r="G1520" i="15"/>
  <c r="H1520" i="15"/>
  <c r="I1520" i="15"/>
  <c r="J1520" i="15"/>
  <c r="K1520" i="15"/>
  <c r="L1520" i="15"/>
  <c r="M1520" i="15"/>
  <c r="N1520" i="15"/>
  <c r="A1521" i="15"/>
  <c r="B1521" i="15"/>
  <c r="C1521" i="15"/>
  <c r="D1521" i="15"/>
  <c r="E1521" i="15"/>
  <c r="F1521" i="15"/>
  <c r="G1521" i="15"/>
  <c r="H1521" i="15"/>
  <c r="I1521" i="15"/>
  <c r="J1521" i="15"/>
  <c r="K1521" i="15"/>
  <c r="L1521" i="15"/>
  <c r="M1521" i="15"/>
  <c r="N1521" i="15"/>
  <c r="A1522" i="15"/>
  <c r="B1522" i="15"/>
  <c r="C1522" i="15"/>
  <c r="D1522" i="15"/>
  <c r="E1522" i="15"/>
  <c r="F1522" i="15"/>
  <c r="G1522" i="15"/>
  <c r="H1522" i="15"/>
  <c r="I1522" i="15"/>
  <c r="J1522" i="15"/>
  <c r="K1522" i="15"/>
  <c r="L1522" i="15"/>
  <c r="M1522" i="15"/>
  <c r="N1522" i="15"/>
  <c r="A1523" i="15"/>
  <c r="B1523" i="15"/>
  <c r="C1523" i="15"/>
  <c r="D1523" i="15"/>
  <c r="E1523" i="15"/>
  <c r="F1523" i="15"/>
  <c r="G1523" i="15"/>
  <c r="H1523" i="15"/>
  <c r="I1523" i="15"/>
  <c r="J1523" i="15"/>
  <c r="K1523" i="15"/>
  <c r="L1523" i="15"/>
  <c r="M1523" i="15"/>
  <c r="N1523" i="15"/>
  <c r="A1524" i="15"/>
  <c r="B1524" i="15"/>
  <c r="C1524" i="15"/>
  <c r="D1524" i="15"/>
  <c r="E1524" i="15"/>
  <c r="F1524" i="15"/>
  <c r="G1524" i="15"/>
  <c r="H1524" i="15"/>
  <c r="I1524" i="15"/>
  <c r="J1524" i="15"/>
  <c r="K1524" i="15"/>
  <c r="L1524" i="15"/>
  <c r="M1524" i="15"/>
  <c r="N1524" i="15"/>
  <c r="A1525" i="15"/>
  <c r="B1525" i="15"/>
  <c r="C1525" i="15"/>
  <c r="D1525" i="15"/>
  <c r="E1525" i="15"/>
  <c r="F1525" i="15"/>
  <c r="G1525" i="15"/>
  <c r="H1525" i="15"/>
  <c r="I1525" i="15"/>
  <c r="J1525" i="15"/>
  <c r="K1525" i="15"/>
  <c r="L1525" i="15"/>
  <c r="M1525" i="15"/>
  <c r="N1525" i="15"/>
  <c r="A1526" i="15"/>
  <c r="B1526" i="15"/>
  <c r="C1526" i="15"/>
  <c r="D1526" i="15"/>
  <c r="E1526" i="15"/>
  <c r="F1526" i="15"/>
  <c r="G1526" i="15"/>
  <c r="H1526" i="15"/>
  <c r="I1526" i="15"/>
  <c r="J1526" i="15"/>
  <c r="K1526" i="15"/>
  <c r="L1526" i="15"/>
  <c r="M1526" i="15"/>
  <c r="N1526" i="15"/>
  <c r="A1527" i="15"/>
  <c r="B1527" i="15"/>
  <c r="C1527" i="15"/>
  <c r="D1527" i="15"/>
  <c r="E1527" i="15"/>
  <c r="F1527" i="15"/>
  <c r="G1527" i="15"/>
  <c r="H1527" i="15"/>
  <c r="I1527" i="15"/>
  <c r="J1527" i="15"/>
  <c r="K1527" i="15"/>
  <c r="L1527" i="15"/>
  <c r="M1527" i="15"/>
  <c r="N1527" i="15"/>
  <c r="A1528" i="15"/>
  <c r="B1528" i="15"/>
  <c r="C1528" i="15"/>
  <c r="D1528" i="15"/>
  <c r="E1528" i="15"/>
  <c r="F1528" i="15"/>
  <c r="G1528" i="15"/>
  <c r="H1528" i="15"/>
  <c r="I1528" i="15"/>
  <c r="J1528" i="15"/>
  <c r="K1528" i="15"/>
  <c r="L1528" i="15"/>
  <c r="M1528" i="15"/>
  <c r="N1528" i="15"/>
  <c r="A1529" i="15"/>
  <c r="B1529" i="15"/>
  <c r="C1529" i="15"/>
  <c r="D1529" i="15"/>
  <c r="E1529" i="15"/>
  <c r="F1529" i="15"/>
  <c r="G1529" i="15"/>
  <c r="H1529" i="15"/>
  <c r="I1529" i="15"/>
  <c r="J1529" i="15"/>
  <c r="K1529" i="15"/>
  <c r="L1529" i="15"/>
  <c r="M1529" i="15"/>
  <c r="N1529" i="15"/>
  <c r="A1530" i="15"/>
  <c r="B1530" i="15"/>
  <c r="C1530" i="15"/>
  <c r="D1530" i="15"/>
  <c r="E1530" i="15"/>
  <c r="F1530" i="15"/>
  <c r="G1530" i="15"/>
  <c r="H1530" i="15"/>
  <c r="I1530" i="15"/>
  <c r="J1530" i="15"/>
  <c r="K1530" i="15"/>
  <c r="L1530" i="15"/>
  <c r="M1530" i="15"/>
  <c r="N1530" i="15"/>
  <c r="A1531" i="15"/>
  <c r="B1531" i="15"/>
  <c r="C1531" i="15"/>
  <c r="D1531" i="15"/>
  <c r="E1531" i="15"/>
  <c r="F1531" i="15"/>
  <c r="G1531" i="15"/>
  <c r="H1531" i="15"/>
  <c r="I1531" i="15"/>
  <c r="J1531" i="15"/>
  <c r="K1531" i="15"/>
  <c r="L1531" i="15"/>
  <c r="M1531" i="15"/>
  <c r="N1531" i="15"/>
  <c r="A1532" i="15"/>
  <c r="B1532" i="15"/>
  <c r="C1532" i="15"/>
  <c r="D1532" i="15"/>
  <c r="E1532" i="15"/>
  <c r="F1532" i="15"/>
  <c r="G1532" i="15"/>
  <c r="H1532" i="15"/>
  <c r="I1532" i="15"/>
  <c r="J1532" i="15"/>
  <c r="K1532" i="15"/>
  <c r="L1532" i="15"/>
  <c r="M1532" i="15"/>
  <c r="N1532" i="15"/>
  <c r="A1533" i="15"/>
  <c r="B1533" i="15"/>
  <c r="C1533" i="15"/>
  <c r="D1533" i="15"/>
  <c r="E1533" i="15"/>
  <c r="F1533" i="15"/>
  <c r="G1533" i="15"/>
  <c r="H1533" i="15"/>
  <c r="I1533" i="15"/>
  <c r="J1533" i="15"/>
  <c r="K1533" i="15"/>
  <c r="L1533" i="15"/>
  <c r="M1533" i="15"/>
  <c r="N1533" i="15"/>
  <c r="A1534" i="15"/>
  <c r="B1534" i="15"/>
  <c r="C1534" i="15"/>
  <c r="D1534" i="15"/>
  <c r="E1534" i="15"/>
  <c r="F1534" i="15"/>
  <c r="G1534" i="15"/>
  <c r="H1534" i="15"/>
  <c r="I1534" i="15"/>
  <c r="J1534" i="15"/>
  <c r="K1534" i="15"/>
  <c r="L1534" i="15"/>
  <c r="M1534" i="15"/>
  <c r="N1534" i="15"/>
  <c r="A1535" i="15"/>
  <c r="B1535" i="15"/>
  <c r="C1535" i="15"/>
  <c r="D1535" i="15"/>
  <c r="E1535" i="15"/>
  <c r="F1535" i="15"/>
  <c r="G1535" i="15"/>
  <c r="H1535" i="15"/>
  <c r="I1535" i="15"/>
  <c r="J1535" i="15"/>
  <c r="K1535" i="15"/>
  <c r="L1535" i="15"/>
  <c r="M1535" i="15"/>
  <c r="N1535" i="15"/>
  <c r="A1536" i="15"/>
  <c r="B1536" i="15"/>
  <c r="C1536" i="15"/>
  <c r="D1536" i="15"/>
  <c r="E1536" i="15"/>
  <c r="F1536" i="15"/>
  <c r="G1536" i="15"/>
  <c r="H1536" i="15"/>
  <c r="I1536" i="15"/>
  <c r="J1536" i="15"/>
  <c r="K1536" i="15"/>
  <c r="L1536" i="15"/>
  <c r="M1536" i="15"/>
  <c r="N1536" i="15"/>
  <c r="A1537" i="15"/>
  <c r="B1537" i="15"/>
  <c r="C1537" i="15"/>
  <c r="D1537" i="15"/>
  <c r="E1537" i="15"/>
  <c r="F1537" i="15"/>
  <c r="G1537" i="15"/>
  <c r="H1537" i="15"/>
  <c r="I1537" i="15"/>
  <c r="J1537" i="15"/>
  <c r="K1537" i="15"/>
  <c r="L1537" i="15"/>
  <c r="M1537" i="15"/>
  <c r="N1537" i="15"/>
  <c r="A1538" i="15"/>
  <c r="B1538" i="15"/>
  <c r="C1538" i="15"/>
  <c r="D1538" i="15"/>
  <c r="E1538" i="15"/>
  <c r="F1538" i="15"/>
  <c r="G1538" i="15"/>
  <c r="H1538" i="15"/>
  <c r="I1538" i="15"/>
  <c r="J1538" i="15"/>
  <c r="K1538" i="15"/>
  <c r="L1538" i="15"/>
  <c r="M1538" i="15"/>
  <c r="N1538" i="15"/>
  <c r="A1539" i="15"/>
  <c r="B1539" i="15"/>
  <c r="C1539" i="15"/>
  <c r="D1539" i="15"/>
  <c r="E1539" i="15"/>
  <c r="F1539" i="15"/>
  <c r="G1539" i="15"/>
  <c r="H1539" i="15"/>
  <c r="I1539" i="15"/>
  <c r="J1539" i="15"/>
  <c r="K1539" i="15"/>
  <c r="L1539" i="15"/>
  <c r="M1539" i="15"/>
  <c r="N1539" i="15"/>
  <c r="A1540" i="15"/>
  <c r="B1540" i="15"/>
  <c r="C1540" i="15"/>
  <c r="D1540" i="15"/>
  <c r="E1540" i="15"/>
  <c r="F1540" i="15"/>
  <c r="G1540" i="15"/>
  <c r="H1540" i="15"/>
  <c r="I1540" i="15"/>
  <c r="J1540" i="15"/>
  <c r="K1540" i="15"/>
  <c r="L1540" i="15"/>
  <c r="M1540" i="15"/>
  <c r="N1540" i="15"/>
  <c r="A1541" i="15"/>
  <c r="B1541" i="15"/>
  <c r="C1541" i="15"/>
  <c r="D1541" i="15"/>
  <c r="E1541" i="15"/>
  <c r="F1541" i="15"/>
  <c r="G1541" i="15"/>
  <c r="H1541" i="15"/>
  <c r="I1541" i="15"/>
  <c r="J1541" i="15"/>
  <c r="K1541" i="15"/>
  <c r="L1541" i="15"/>
  <c r="M1541" i="15"/>
  <c r="N1541" i="15"/>
  <c r="A1542" i="15"/>
  <c r="B1542" i="15"/>
  <c r="C1542" i="15"/>
  <c r="D1542" i="15"/>
  <c r="E1542" i="15"/>
  <c r="F1542" i="15"/>
  <c r="G1542" i="15"/>
  <c r="H1542" i="15"/>
  <c r="I1542" i="15"/>
  <c r="J1542" i="15"/>
  <c r="K1542" i="15"/>
  <c r="L1542" i="15"/>
  <c r="M1542" i="15"/>
  <c r="N1542" i="15"/>
  <c r="A1543" i="15"/>
  <c r="B1543" i="15"/>
  <c r="C1543" i="15"/>
  <c r="D1543" i="15"/>
  <c r="E1543" i="15"/>
  <c r="F1543" i="15"/>
  <c r="G1543" i="15"/>
  <c r="H1543" i="15"/>
  <c r="I1543" i="15"/>
  <c r="J1543" i="15"/>
  <c r="K1543" i="15"/>
  <c r="L1543" i="15"/>
  <c r="M1543" i="15"/>
  <c r="N1543" i="15"/>
  <c r="A1544" i="15"/>
  <c r="B1544" i="15"/>
  <c r="C1544" i="15"/>
  <c r="D1544" i="15"/>
  <c r="E1544" i="15"/>
  <c r="F1544" i="15"/>
  <c r="G1544" i="15"/>
  <c r="H1544" i="15"/>
  <c r="I1544" i="15"/>
  <c r="J1544" i="15"/>
  <c r="K1544" i="15"/>
  <c r="L1544" i="15"/>
  <c r="M1544" i="15"/>
  <c r="N1544" i="15"/>
  <c r="A1545" i="15"/>
  <c r="B1545" i="15"/>
  <c r="C1545" i="15"/>
  <c r="D1545" i="15"/>
  <c r="E1545" i="15"/>
  <c r="F1545" i="15"/>
  <c r="G1545" i="15"/>
  <c r="H1545" i="15"/>
  <c r="I1545" i="15"/>
  <c r="J1545" i="15"/>
  <c r="K1545" i="15"/>
  <c r="L1545" i="15"/>
  <c r="M1545" i="15"/>
  <c r="N1545" i="15"/>
  <c r="A1546" i="15"/>
  <c r="B1546" i="15"/>
  <c r="C1546" i="15"/>
  <c r="D1546" i="15"/>
  <c r="E1546" i="15"/>
  <c r="F1546" i="15"/>
  <c r="G1546" i="15"/>
  <c r="H1546" i="15"/>
  <c r="I1546" i="15"/>
  <c r="J1546" i="15"/>
  <c r="K1546" i="15"/>
  <c r="L1546" i="15"/>
  <c r="M1546" i="15"/>
  <c r="N1546" i="15"/>
  <c r="A1547" i="15"/>
  <c r="B1547" i="15"/>
  <c r="C1547" i="15"/>
  <c r="D1547" i="15"/>
  <c r="E1547" i="15"/>
  <c r="F1547" i="15"/>
  <c r="G1547" i="15"/>
  <c r="H1547" i="15"/>
  <c r="I1547" i="15"/>
  <c r="J1547" i="15"/>
  <c r="K1547" i="15"/>
  <c r="L1547" i="15"/>
  <c r="M1547" i="15"/>
  <c r="N1547" i="15"/>
  <c r="A1548" i="15"/>
  <c r="B1548" i="15"/>
  <c r="C1548" i="15"/>
  <c r="D1548" i="15"/>
  <c r="E1548" i="15"/>
  <c r="F1548" i="15"/>
  <c r="G1548" i="15"/>
  <c r="H1548" i="15"/>
  <c r="I1548" i="15"/>
  <c r="J1548" i="15"/>
  <c r="K1548" i="15"/>
  <c r="L1548" i="15"/>
  <c r="M1548" i="15"/>
  <c r="N1548" i="15"/>
  <c r="A1549" i="15"/>
  <c r="B1549" i="15"/>
  <c r="C1549" i="15"/>
  <c r="D1549" i="15"/>
  <c r="E1549" i="15"/>
  <c r="F1549" i="15"/>
  <c r="G1549" i="15"/>
  <c r="H1549" i="15"/>
  <c r="I1549" i="15"/>
  <c r="J1549" i="15"/>
  <c r="K1549" i="15"/>
  <c r="L1549" i="15"/>
  <c r="M1549" i="15"/>
  <c r="N1549" i="15"/>
  <c r="A1550" i="15"/>
  <c r="B1550" i="15"/>
  <c r="C1550" i="15"/>
  <c r="D1550" i="15"/>
  <c r="E1550" i="15"/>
  <c r="F1550" i="15"/>
  <c r="G1550" i="15"/>
  <c r="H1550" i="15"/>
  <c r="I1550" i="15"/>
  <c r="J1550" i="15"/>
  <c r="K1550" i="15"/>
  <c r="L1550" i="15"/>
  <c r="M1550" i="15"/>
  <c r="N1550" i="15"/>
  <c r="A1551" i="15"/>
  <c r="B1551" i="15"/>
  <c r="C1551" i="15"/>
  <c r="D1551" i="15"/>
  <c r="E1551" i="15"/>
  <c r="F1551" i="15"/>
  <c r="G1551" i="15"/>
  <c r="H1551" i="15"/>
  <c r="I1551" i="15"/>
  <c r="J1551" i="15"/>
  <c r="K1551" i="15"/>
  <c r="L1551" i="15"/>
  <c r="M1551" i="15"/>
  <c r="N1551" i="15"/>
  <c r="A1552" i="15"/>
  <c r="B1552" i="15"/>
  <c r="C1552" i="15"/>
  <c r="D1552" i="15"/>
  <c r="E1552" i="15"/>
  <c r="F1552" i="15"/>
  <c r="G1552" i="15"/>
  <c r="H1552" i="15"/>
  <c r="I1552" i="15"/>
  <c r="J1552" i="15"/>
  <c r="K1552" i="15"/>
  <c r="L1552" i="15"/>
  <c r="M1552" i="15"/>
  <c r="N1552" i="15"/>
  <c r="A1553" i="15"/>
  <c r="B1553" i="15"/>
  <c r="C1553" i="15"/>
  <c r="D1553" i="15"/>
  <c r="E1553" i="15"/>
  <c r="F1553" i="15"/>
  <c r="G1553" i="15"/>
  <c r="H1553" i="15"/>
  <c r="I1553" i="15"/>
  <c r="J1553" i="15"/>
  <c r="K1553" i="15"/>
  <c r="L1553" i="15"/>
  <c r="M1553" i="15"/>
  <c r="N1553" i="15"/>
  <c r="A1554" i="15"/>
  <c r="B1554" i="15"/>
  <c r="C1554" i="15"/>
  <c r="D1554" i="15"/>
  <c r="E1554" i="15"/>
  <c r="F1554" i="15"/>
  <c r="G1554" i="15"/>
  <c r="H1554" i="15"/>
  <c r="I1554" i="15"/>
  <c r="J1554" i="15"/>
  <c r="K1554" i="15"/>
  <c r="L1554" i="15"/>
  <c r="M1554" i="15"/>
  <c r="N1554" i="15"/>
  <c r="A1555" i="15"/>
  <c r="B1555" i="15"/>
  <c r="C1555" i="15"/>
  <c r="D1555" i="15"/>
  <c r="E1555" i="15"/>
  <c r="F1555" i="15"/>
  <c r="G1555" i="15"/>
  <c r="H1555" i="15"/>
  <c r="I1555" i="15"/>
  <c r="J1555" i="15"/>
  <c r="K1555" i="15"/>
  <c r="L1555" i="15"/>
  <c r="M1555" i="15"/>
  <c r="N1555" i="15"/>
  <c r="A1556" i="15"/>
  <c r="B1556" i="15"/>
  <c r="C1556" i="15"/>
  <c r="D1556" i="15"/>
  <c r="E1556" i="15"/>
  <c r="F1556" i="15"/>
  <c r="G1556" i="15"/>
  <c r="H1556" i="15"/>
  <c r="I1556" i="15"/>
  <c r="J1556" i="15"/>
  <c r="K1556" i="15"/>
  <c r="L1556" i="15"/>
  <c r="M1556" i="15"/>
  <c r="N1556" i="15"/>
  <c r="A1557" i="15"/>
  <c r="B1557" i="15"/>
  <c r="C1557" i="15"/>
  <c r="D1557" i="15"/>
  <c r="E1557" i="15"/>
  <c r="F1557" i="15"/>
  <c r="G1557" i="15"/>
  <c r="H1557" i="15"/>
  <c r="I1557" i="15"/>
  <c r="J1557" i="15"/>
  <c r="K1557" i="15"/>
  <c r="L1557" i="15"/>
  <c r="M1557" i="15"/>
  <c r="N1557" i="15"/>
  <c r="A1558" i="15"/>
  <c r="B1558" i="15"/>
  <c r="C1558" i="15"/>
  <c r="D1558" i="15"/>
  <c r="E1558" i="15"/>
  <c r="F1558" i="15"/>
  <c r="G1558" i="15"/>
  <c r="H1558" i="15"/>
  <c r="I1558" i="15"/>
  <c r="J1558" i="15"/>
  <c r="K1558" i="15"/>
  <c r="L1558" i="15"/>
  <c r="M1558" i="15"/>
  <c r="N1558" i="15"/>
  <c r="A1559" i="15"/>
  <c r="B1559" i="15"/>
  <c r="C1559" i="15"/>
  <c r="D1559" i="15"/>
  <c r="E1559" i="15"/>
  <c r="F1559" i="15"/>
  <c r="G1559" i="15"/>
  <c r="H1559" i="15"/>
  <c r="I1559" i="15"/>
  <c r="J1559" i="15"/>
  <c r="K1559" i="15"/>
  <c r="L1559" i="15"/>
  <c r="M1559" i="15"/>
  <c r="N1559" i="15"/>
  <c r="A1560" i="15"/>
  <c r="B1560" i="15"/>
  <c r="C1560" i="15"/>
  <c r="D1560" i="15"/>
  <c r="E1560" i="15"/>
  <c r="F1560" i="15"/>
  <c r="G1560" i="15"/>
  <c r="H1560" i="15"/>
  <c r="I1560" i="15"/>
  <c r="J1560" i="15"/>
  <c r="K1560" i="15"/>
  <c r="L1560" i="15"/>
  <c r="M1560" i="15"/>
  <c r="N1560" i="15"/>
  <c r="A1561" i="15"/>
  <c r="B1561" i="15"/>
  <c r="C1561" i="15"/>
  <c r="D1561" i="15"/>
  <c r="E1561" i="15"/>
  <c r="F1561" i="15"/>
  <c r="G1561" i="15"/>
  <c r="H1561" i="15"/>
  <c r="I1561" i="15"/>
  <c r="J1561" i="15"/>
  <c r="K1561" i="15"/>
  <c r="L1561" i="15"/>
  <c r="M1561" i="15"/>
  <c r="N1561" i="15"/>
  <c r="A1562" i="15"/>
  <c r="B1562" i="15"/>
  <c r="C1562" i="15"/>
  <c r="D1562" i="15"/>
  <c r="E1562" i="15"/>
  <c r="F1562" i="15"/>
  <c r="G1562" i="15"/>
  <c r="H1562" i="15"/>
  <c r="I1562" i="15"/>
  <c r="J1562" i="15"/>
  <c r="K1562" i="15"/>
  <c r="L1562" i="15"/>
  <c r="M1562" i="15"/>
  <c r="N1562" i="15"/>
  <c r="A1563" i="15"/>
  <c r="B1563" i="15"/>
  <c r="C1563" i="15"/>
  <c r="D1563" i="15"/>
  <c r="E1563" i="15"/>
  <c r="F1563" i="15"/>
  <c r="G1563" i="15"/>
  <c r="H1563" i="15"/>
  <c r="I1563" i="15"/>
  <c r="J1563" i="15"/>
  <c r="K1563" i="15"/>
  <c r="L1563" i="15"/>
  <c r="M1563" i="15"/>
  <c r="N1563" i="15"/>
  <c r="A1564" i="15"/>
  <c r="B1564" i="15"/>
  <c r="C1564" i="15"/>
  <c r="D1564" i="15"/>
  <c r="E1564" i="15"/>
  <c r="F1564" i="15"/>
  <c r="G1564" i="15"/>
  <c r="H1564" i="15"/>
  <c r="I1564" i="15"/>
  <c r="J1564" i="15"/>
  <c r="K1564" i="15"/>
  <c r="L1564" i="15"/>
  <c r="M1564" i="15"/>
  <c r="N1564" i="15"/>
  <c r="A1565" i="15"/>
  <c r="B1565" i="15"/>
  <c r="C1565" i="15"/>
  <c r="D1565" i="15"/>
  <c r="E1565" i="15"/>
  <c r="F1565" i="15"/>
  <c r="G1565" i="15"/>
  <c r="H1565" i="15"/>
  <c r="I1565" i="15"/>
  <c r="J1565" i="15"/>
  <c r="K1565" i="15"/>
  <c r="L1565" i="15"/>
  <c r="M1565" i="15"/>
  <c r="N1565" i="15"/>
  <c r="A1566" i="15"/>
  <c r="B1566" i="15"/>
  <c r="C1566" i="15"/>
  <c r="D1566" i="15"/>
  <c r="E1566" i="15"/>
  <c r="F1566" i="15"/>
  <c r="G1566" i="15"/>
  <c r="H1566" i="15"/>
  <c r="I1566" i="15"/>
  <c r="J1566" i="15"/>
  <c r="K1566" i="15"/>
  <c r="L1566" i="15"/>
  <c r="M1566" i="15"/>
  <c r="N1566" i="15"/>
  <c r="A1567" i="15"/>
  <c r="B1567" i="15"/>
  <c r="C1567" i="15"/>
  <c r="D1567" i="15"/>
  <c r="E1567" i="15"/>
  <c r="F1567" i="15"/>
  <c r="G1567" i="15"/>
  <c r="H1567" i="15"/>
  <c r="I1567" i="15"/>
  <c r="J1567" i="15"/>
  <c r="K1567" i="15"/>
  <c r="L1567" i="15"/>
  <c r="M1567" i="15"/>
  <c r="N1567" i="15"/>
  <c r="A1568" i="15"/>
  <c r="B1568" i="15"/>
  <c r="C1568" i="15"/>
  <c r="D1568" i="15"/>
  <c r="E1568" i="15"/>
  <c r="F1568" i="15"/>
  <c r="G1568" i="15"/>
  <c r="H1568" i="15"/>
  <c r="I1568" i="15"/>
  <c r="J1568" i="15"/>
  <c r="K1568" i="15"/>
  <c r="L1568" i="15"/>
  <c r="M1568" i="15"/>
  <c r="N1568" i="15"/>
  <c r="A1569" i="15"/>
  <c r="B1569" i="15"/>
  <c r="C1569" i="15"/>
  <c r="D1569" i="15"/>
  <c r="E1569" i="15"/>
  <c r="F1569" i="15"/>
  <c r="G1569" i="15"/>
  <c r="H1569" i="15"/>
  <c r="I1569" i="15"/>
  <c r="J1569" i="15"/>
  <c r="K1569" i="15"/>
  <c r="L1569" i="15"/>
  <c r="M1569" i="15"/>
  <c r="N1569" i="15"/>
  <c r="A1570" i="15"/>
  <c r="B1570" i="15"/>
  <c r="C1570" i="15"/>
  <c r="D1570" i="15"/>
  <c r="E1570" i="15"/>
  <c r="F1570" i="15"/>
  <c r="G1570" i="15"/>
  <c r="H1570" i="15"/>
  <c r="I1570" i="15"/>
  <c r="J1570" i="15"/>
  <c r="K1570" i="15"/>
  <c r="L1570" i="15"/>
  <c r="M1570" i="15"/>
  <c r="N1570" i="15"/>
  <c r="A1571" i="15"/>
  <c r="B1571" i="15"/>
  <c r="C1571" i="15"/>
  <c r="D1571" i="15"/>
  <c r="E1571" i="15"/>
  <c r="F1571" i="15"/>
  <c r="G1571" i="15"/>
  <c r="H1571" i="15"/>
  <c r="I1571" i="15"/>
  <c r="J1571" i="15"/>
  <c r="K1571" i="15"/>
  <c r="L1571" i="15"/>
  <c r="M1571" i="15"/>
  <c r="N1571" i="15"/>
  <c r="A1572" i="15"/>
  <c r="B1572" i="15"/>
  <c r="C1572" i="15"/>
  <c r="D1572" i="15"/>
  <c r="E1572" i="15"/>
  <c r="F1572" i="15"/>
  <c r="G1572" i="15"/>
  <c r="H1572" i="15"/>
  <c r="I1572" i="15"/>
  <c r="J1572" i="15"/>
  <c r="K1572" i="15"/>
  <c r="L1572" i="15"/>
  <c r="M1572" i="15"/>
  <c r="N1572" i="15"/>
  <c r="A1573" i="15"/>
  <c r="B1573" i="15"/>
  <c r="C1573" i="15"/>
  <c r="D1573" i="15"/>
  <c r="E1573" i="15"/>
  <c r="F1573" i="15"/>
  <c r="G1573" i="15"/>
  <c r="H1573" i="15"/>
  <c r="I1573" i="15"/>
  <c r="J1573" i="15"/>
  <c r="K1573" i="15"/>
  <c r="L1573" i="15"/>
  <c r="M1573" i="15"/>
  <c r="N1573" i="15"/>
  <c r="A1574" i="15"/>
  <c r="B1574" i="15"/>
  <c r="C1574" i="15"/>
  <c r="D1574" i="15"/>
  <c r="E1574" i="15"/>
  <c r="F1574" i="15"/>
  <c r="G1574" i="15"/>
  <c r="H1574" i="15"/>
  <c r="I1574" i="15"/>
  <c r="J1574" i="15"/>
  <c r="K1574" i="15"/>
  <c r="L1574" i="15"/>
  <c r="M1574" i="15"/>
  <c r="N1574" i="15"/>
  <c r="A1575" i="15"/>
  <c r="B1575" i="15"/>
  <c r="C1575" i="15"/>
  <c r="D1575" i="15"/>
  <c r="E1575" i="15"/>
  <c r="F1575" i="15"/>
  <c r="G1575" i="15"/>
  <c r="H1575" i="15"/>
  <c r="I1575" i="15"/>
  <c r="J1575" i="15"/>
  <c r="K1575" i="15"/>
  <c r="L1575" i="15"/>
  <c r="M1575" i="15"/>
  <c r="N1575" i="15"/>
  <c r="A1576" i="15"/>
  <c r="B1576" i="15"/>
  <c r="C1576" i="15"/>
  <c r="D1576" i="15"/>
  <c r="E1576" i="15"/>
  <c r="F1576" i="15"/>
  <c r="G1576" i="15"/>
  <c r="H1576" i="15"/>
  <c r="I1576" i="15"/>
  <c r="J1576" i="15"/>
  <c r="K1576" i="15"/>
  <c r="L1576" i="15"/>
  <c r="M1576" i="15"/>
  <c r="N1576" i="15"/>
  <c r="A1577" i="15"/>
  <c r="B1577" i="15"/>
  <c r="C1577" i="15"/>
  <c r="D1577" i="15"/>
  <c r="E1577" i="15"/>
  <c r="F1577" i="15"/>
  <c r="G1577" i="15"/>
  <c r="H1577" i="15"/>
  <c r="I1577" i="15"/>
  <c r="J1577" i="15"/>
  <c r="K1577" i="15"/>
  <c r="L1577" i="15"/>
  <c r="M1577" i="15"/>
  <c r="N1577" i="15"/>
  <c r="A1578" i="15"/>
  <c r="B1578" i="15"/>
  <c r="C1578" i="15"/>
  <c r="D1578" i="15"/>
  <c r="E1578" i="15"/>
  <c r="F1578" i="15"/>
  <c r="G1578" i="15"/>
  <c r="H1578" i="15"/>
  <c r="I1578" i="15"/>
  <c r="J1578" i="15"/>
  <c r="K1578" i="15"/>
  <c r="L1578" i="15"/>
  <c r="M1578" i="15"/>
  <c r="N1578" i="15"/>
  <c r="A1579" i="15"/>
  <c r="B1579" i="15"/>
  <c r="C1579" i="15"/>
  <c r="D1579" i="15"/>
  <c r="E1579" i="15"/>
  <c r="F1579" i="15"/>
  <c r="G1579" i="15"/>
  <c r="H1579" i="15"/>
  <c r="I1579" i="15"/>
  <c r="J1579" i="15"/>
  <c r="K1579" i="15"/>
  <c r="L1579" i="15"/>
  <c r="M1579" i="15"/>
  <c r="N1579" i="15"/>
  <c r="A1580" i="15"/>
  <c r="B1580" i="15"/>
  <c r="C1580" i="15"/>
  <c r="D1580" i="15"/>
  <c r="E1580" i="15"/>
  <c r="F1580" i="15"/>
  <c r="G1580" i="15"/>
  <c r="H1580" i="15"/>
  <c r="I1580" i="15"/>
  <c r="J1580" i="15"/>
  <c r="K1580" i="15"/>
  <c r="L1580" i="15"/>
  <c r="M1580" i="15"/>
  <c r="N1580" i="15"/>
  <c r="A1581" i="15"/>
  <c r="B1581" i="15"/>
  <c r="C1581" i="15"/>
  <c r="D1581" i="15"/>
  <c r="E1581" i="15"/>
  <c r="F1581" i="15"/>
  <c r="G1581" i="15"/>
  <c r="H1581" i="15"/>
  <c r="I1581" i="15"/>
  <c r="J1581" i="15"/>
  <c r="K1581" i="15"/>
  <c r="L1581" i="15"/>
  <c r="M1581" i="15"/>
  <c r="N1581" i="15"/>
  <c r="A1582" i="15"/>
  <c r="B1582" i="15"/>
  <c r="C1582" i="15"/>
  <c r="D1582" i="15"/>
  <c r="E1582" i="15"/>
  <c r="F1582" i="15"/>
  <c r="G1582" i="15"/>
  <c r="H1582" i="15"/>
  <c r="I1582" i="15"/>
  <c r="J1582" i="15"/>
  <c r="K1582" i="15"/>
  <c r="L1582" i="15"/>
  <c r="M1582" i="15"/>
  <c r="N1582" i="15"/>
  <c r="A1583" i="15"/>
  <c r="B1583" i="15"/>
  <c r="C1583" i="15"/>
  <c r="D1583" i="15"/>
  <c r="E1583" i="15"/>
  <c r="F1583" i="15"/>
  <c r="G1583" i="15"/>
  <c r="H1583" i="15"/>
  <c r="I1583" i="15"/>
  <c r="J1583" i="15"/>
  <c r="K1583" i="15"/>
  <c r="L1583" i="15"/>
  <c r="M1583" i="15"/>
  <c r="N1583" i="15"/>
  <c r="A1584" i="15"/>
  <c r="B1584" i="15"/>
  <c r="C1584" i="15"/>
  <c r="D1584" i="15"/>
  <c r="E1584" i="15"/>
  <c r="F1584" i="15"/>
  <c r="G1584" i="15"/>
  <c r="H1584" i="15"/>
  <c r="I1584" i="15"/>
  <c r="J1584" i="15"/>
  <c r="K1584" i="15"/>
  <c r="L1584" i="15"/>
  <c r="M1584" i="15"/>
  <c r="N1584" i="15"/>
  <c r="A1585" i="15"/>
  <c r="B1585" i="15"/>
  <c r="C1585" i="15"/>
  <c r="D1585" i="15"/>
  <c r="E1585" i="15"/>
  <c r="F1585" i="15"/>
  <c r="G1585" i="15"/>
  <c r="H1585" i="15"/>
  <c r="I1585" i="15"/>
  <c r="J1585" i="15"/>
  <c r="K1585" i="15"/>
  <c r="L1585" i="15"/>
  <c r="M1585" i="15"/>
  <c r="N1585" i="15"/>
  <c r="A1586" i="15"/>
  <c r="B1586" i="15"/>
  <c r="C1586" i="15"/>
  <c r="D1586" i="15"/>
  <c r="E1586" i="15"/>
  <c r="F1586" i="15"/>
  <c r="G1586" i="15"/>
  <c r="H1586" i="15"/>
  <c r="I1586" i="15"/>
  <c r="J1586" i="15"/>
  <c r="K1586" i="15"/>
  <c r="L1586" i="15"/>
  <c r="M1586" i="15"/>
  <c r="N1586" i="15"/>
  <c r="A1587" i="15"/>
  <c r="B1587" i="15"/>
  <c r="C1587" i="15"/>
  <c r="D1587" i="15"/>
  <c r="E1587" i="15"/>
  <c r="F1587" i="15"/>
  <c r="G1587" i="15"/>
  <c r="H1587" i="15"/>
  <c r="I1587" i="15"/>
  <c r="J1587" i="15"/>
  <c r="K1587" i="15"/>
  <c r="L1587" i="15"/>
  <c r="M1587" i="15"/>
  <c r="N1587" i="15"/>
  <c r="A1588" i="15"/>
  <c r="B1588" i="15"/>
  <c r="C1588" i="15"/>
  <c r="D1588" i="15"/>
  <c r="E1588" i="15"/>
  <c r="F1588" i="15"/>
  <c r="G1588" i="15"/>
  <c r="H1588" i="15"/>
  <c r="I1588" i="15"/>
  <c r="J1588" i="15"/>
  <c r="K1588" i="15"/>
  <c r="L1588" i="15"/>
  <c r="M1588" i="15"/>
  <c r="N1588" i="15"/>
  <c r="A1589" i="15"/>
  <c r="B1589" i="15"/>
  <c r="C1589" i="15"/>
  <c r="D1589" i="15"/>
  <c r="E1589" i="15"/>
  <c r="F1589" i="15"/>
  <c r="G1589" i="15"/>
  <c r="H1589" i="15"/>
  <c r="I1589" i="15"/>
  <c r="J1589" i="15"/>
  <c r="K1589" i="15"/>
  <c r="L1589" i="15"/>
  <c r="M1589" i="15"/>
  <c r="N1589" i="15"/>
  <c r="A1590" i="15"/>
  <c r="B1590" i="15"/>
  <c r="C1590" i="15"/>
  <c r="D1590" i="15"/>
  <c r="E1590" i="15"/>
  <c r="F1590" i="15"/>
  <c r="G1590" i="15"/>
  <c r="H1590" i="15"/>
  <c r="I1590" i="15"/>
  <c r="J1590" i="15"/>
  <c r="K1590" i="15"/>
  <c r="L1590" i="15"/>
  <c r="M1590" i="15"/>
  <c r="N1590" i="15"/>
  <c r="A1591" i="15"/>
  <c r="B1591" i="15"/>
  <c r="C1591" i="15"/>
  <c r="D1591" i="15"/>
  <c r="E1591" i="15"/>
  <c r="F1591" i="15"/>
  <c r="G1591" i="15"/>
  <c r="H1591" i="15"/>
  <c r="I1591" i="15"/>
  <c r="J1591" i="15"/>
  <c r="K1591" i="15"/>
  <c r="L1591" i="15"/>
  <c r="M1591" i="15"/>
  <c r="N1591" i="15"/>
  <c r="A1592" i="15"/>
  <c r="B1592" i="15"/>
  <c r="C1592" i="15"/>
  <c r="D1592" i="15"/>
  <c r="E1592" i="15"/>
  <c r="F1592" i="15"/>
  <c r="G1592" i="15"/>
  <c r="H1592" i="15"/>
  <c r="I1592" i="15"/>
  <c r="J1592" i="15"/>
  <c r="K1592" i="15"/>
  <c r="L1592" i="15"/>
  <c r="M1592" i="15"/>
  <c r="N1592" i="15"/>
  <c r="A1593" i="15"/>
  <c r="B1593" i="15"/>
  <c r="C1593" i="15"/>
  <c r="D1593" i="15"/>
  <c r="E1593" i="15"/>
  <c r="F1593" i="15"/>
  <c r="G1593" i="15"/>
  <c r="H1593" i="15"/>
  <c r="I1593" i="15"/>
  <c r="J1593" i="15"/>
  <c r="K1593" i="15"/>
  <c r="L1593" i="15"/>
  <c r="M1593" i="15"/>
  <c r="N1593" i="15"/>
  <c r="A1594" i="15"/>
  <c r="B1594" i="15"/>
  <c r="C1594" i="15"/>
  <c r="D1594" i="15"/>
  <c r="E1594" i="15"/>
  <c r="F1594" i="15"/>
  <c r="G1594" i="15"/>
  <c r="H1594" i="15"/>
  <c r="I1594" i="15"/>
  <c r="J1594" i="15"/>
  <c r="K1594" i="15"/>
  <c r="L1594" i="15"/>
  <c r="M1594" i="15"/>
  <c r="N1594" i="15"/>
  <c r="A1595" i="15"/>
  <c r="B1595" i="15"/>
  <c r="C1595" i="15"/>
  <c r="D1595" i="15"/>
  <c r="E1595" i="15"/>
  <c r="F1595" i="15"/>
  <c r="G1595" i="15"/>
  <c r="H1595" i="15"/>
  <c r="I1595" i="15"/>
  <c r="J1595" i="15"/>
  <c r="K1595" i="15"/>
  <c r="L1595" i="15"/>
  <c r="M1595" i="15"/>
  <c r="N1595" i="15"/>
  <c r="A1596" i="15"/>
  <c r="B1596" i="15"/>
  <c r="C1596" i="15"/>
  <c r="D1596" i="15"/>
  <c r="E1596" i="15"/>
  <c r="F1596" i="15"/>
  <c r="G1596" i="15"/>
  <c r="H1596" i="15"/>
  <c r="I1596" i="15"/>
  <c r="J1596" i="15"/>
  <c r="K1596" i="15"/>
  <c r="L1596" i="15"/>
  <c r="M1596" i="15"/>
  <c r="N1596" i="15"/>
  <c r="A1597" i="15"/>
  <c r="B1597" i="15"/>
  <c r="C1597" i="15"/>
  <c r="D1597" i="15"/>
  <c r="E1597" i="15"/>
  <c r="F1597" i="15"/>
  <c r="G1597" i="15"/>
  <c r="H1597" i="15"/>
  <c r="I1597" i="15"/>
  <c r="J1597" i="15"/>
  <c r="K1597" i="15"/>
  <c r="L1597" i="15"/>
  <c r="M1597" i="15"/>
  <c r="N1597" i="15"/>
  <c r="A1598" i="15"/>
  <c r="B1598" i="15"/>
  <c r="C1598" i="15"/>
  <c r="D1598" i="15"/>
  <c r="E1598" i="15"/>
  <c r="F1598" i="15"/>
  <c r="G1598" i="15"/>
  <c r="H1598" i="15"/>
  <c r="I1598" i="15"/>
  <c r="J1598" i="15"/>
  <c r="K1598" i="15"/>
  <c r="L1598" i="15"/>
  <c r="M1598" i="15"/>
  <c r="N1598" i="15"/>
  <c r="A1599" i="15"/>
  <c r="B1599" i="15"/>
  <c r="C1599" i="15"/>
  <c r="D1599" i="15"/>
  <c r="E1599" i="15"/>
  <c r="F1599" i="15"/>
  <c r="G1599" i="15"/>
  <c r="H1599" i="15"/>
  <c r="I1599" i="15"/>
  <c r="J1599" i="15"/>
  <c r="K1599" i="15"/>
  <c r="L1599" i="15"/>
  <c r="M1599" i="15"/>
  <c r="N1599" i="15"/>
  <c r="A1600" i="15"/>
  <c r="B1600" i="15"/>
  <c r="C1600" i="15"/>
  <c r="D1600" i="15"/>
  <c r="E1600" i="15"/>
  <c r="F1600" i="15"/>
  <c r="G1600" i="15"/>
  <c r="H1600" i="15"/>
  <c r="I1600" i="15"/>
  <c r="J1600" i="15"/>
  <c r="K1600" i="15"/>
  <c r="L1600" i="15"/>
  <c r="M1600" i="15"/>
  <c r="N1600" i="15"/>
  <c r="A1601" i="15"/>
  <c r="B1601" i="15"/>
  <c r="C1601" i="15"/>
  <c r="D1601" i="15"/>
  <c r="E1601" i="15"/>
  <c r="F1601" i="15"/>
  <c r="G1601" i="15"/>
  <c r="H1601" i="15"/>
  <c r="I1601" i="15"/>
  <c r="J1601" i="15"/>
  <c r="K1601" i="15"/>
  <c r="L1601" i="15"/>
  <c r="M1601" i="15"/>
  <c r="N1601" i="15"/>
  <c r="A1602" i="15"/>
  <c r="B1602" i="15"/>
  <c r="C1602" i="15"/>
  <c r="D1602" i="15"/>
  <c r="E1602" i="15"/>
  <c r="F1602" i="15"/>
  <c r="G1602" i="15"/>
  <c r="H1602" i="15"/>
  <c r="I1602" i="15"/>
  <c r="J1602" i="15"/>
  <c r="K1602" i="15"/>
  <c r="L1602" i="15"/>
  <c r="M1602" i="15"/>
  <c r="N1602" i="15"/>
  <c r="A1603" i="15"/>
  <c r="B1603" i="15"/>
  <c r="C1603" i="15"/>
  <c r="D1603" i="15"/>
  <c r="E1603" i="15"/>
  <c r="F1603" i="15"/>
  <c r="G1603" i="15"/>
  <c r="H1603" i="15"/>
  <c r="I1603" i="15"/>
  <c r="J1603" i="15"/>
  <c r="K1603" i="15"/>
  <c r="L1603" i="15"/>
  <c r="M1603" i="15"/>
  <c r="N1603" i="15"/>
  <c r="A1604" i="15"/>
  <c r="B1604" i="15"/>
  <c r="C1604" i="15"/>
  <c r="D1604" i="15"/>
  <c r="E1604" i="15"/>
  <c r="F1604" i="15"/>
  <c r="G1604" i="15"/>
  <c r="H1604" i="15"/>
  <c r="I1604" i="15"/>
  <c r="J1604" i="15"/>
  <c r="K1604" i="15"/>
  <c r="L1604" i="15"/>
  <c r="M1604" i="15"/>
  <c r="N1604" i="15"/>
  <c r="A1605" i="15"/>
  <c r="B1605" i="15"/>
  <c r="C1605" i="15"/>
  <c r="D1605" i="15"/>
  <c r="E1605" i="15"/>
  <c r="F1605" i="15"/>
  <c r="G1605" i="15"/>
  <c r="H1605" i="15"/>
  <c r="I1605" i="15"/>
  <c r="J1605" i="15"/>
  <c r="K1605" i="15"/>
  <c r="L1605" i="15"/>
  <c r="M1605" i="15"/>
  <c r="N1605" i="15"/>
  <c r="A1606" i="15"/>
  <c r="B1606" i="15"/>
  <c r="C1606" i="15"/>
  <c r="D1606" i="15"/>
  <c r="E1606" i="15"/>
  <c r="F1606" i="15"/>
  <c r="G1606" i="15"/>
  <c r="H1606" i="15"/>
  <c r="I1606" i="15"/>
  <c r="J1606" i="15"/>
  <c r="K1606" i="15"/>
  <c r="L1606" i="15"/>
  <c r="M1606" i="15"/>
  <c r="N1606" i="15"/>
  <c r="A1607" i="15"/>
  <c r="B1607" i="15"/>
  <c r="C1607" i="15"/>
  <c r="D1607" i="15"/>
  <c r="E1607" i="15"/>
  <c r="F1607" i="15"/>
  <c r="G1607" i="15"/>
  <c r="H1607" i="15"/>
  <c r="I1607" i="15"/>
  <c r="J1607" i="15"/>
  <c r="K1607" i="15"/>
  <c r="L1607" i="15"/>
  <c r="M1607" i="15"/>
  <c r="N1607" i="15"/>
  <c r="A1608" i="15"/>
  <c r="B1608" i="15"/>
  <c r="C1608" i="15"/>
  <c r="D1608" i="15"/>
  <c r="E1608" i="15"/>
  <c r="F1608" i="15"/>
  <c r="G1608" i="15"/>
  <c r="H1608" i="15"/>
  <c r="I1608" i="15"/>
  <c r="J1608" i="15"/>
  <c r="K1608" i="15"/>
  <c r="L1608" i="15"/>
  <c r="M1608" i="15"/>
  <c r="N1608" i="15"/>
  <c r="A1609" i="15"/>
  <c r="B1609" i="15"/>
  <c r="C1609" i="15"/>
  <c r="D1609" i="15"/>
  <c r="E1609" i="15"/>
  <c r="F1609" i="15"/>
  <c r="G1609" i="15"/>
  <c r="H1609" i="15"/>
  <c r="I1609" i="15"/>
  <c r="J1609" i="15"/>
  <c r="K1609" i="15"/>
  <c r="L1609" i="15"/>
  <c r="M1609" i="15"/>
  <c r="N1609" i="15"/>
  <c r="A1610" i="15"/>
  <c r="B1610" i="15"/>
  <c r="C1610" i="15"/>
  <c r="D1610" i="15"/>
  <c r="E1610" i="15"/>
  <c r="F1610" i="15"/>
  <c r="G1610" i="15"/>
  <c r="H1610" i="15"/>
  <c r="I1610" i="15"/>
  <c r="J1610" i="15"/>
  <c r="K1610" i="15"/>
  <c r="L1610" i="15"/>
  <c r="M1610" i="15"/>
  <c r="N1610" i="15"/>
  <c r="A1611" i="15"/>
  <c r="B1611" i="15"/>
  <c r="C1611" i="15"/>
  <c r="D1611" i="15"/>
  <c r="E1611" i="15"/>
  <c r="F1611" i="15"/>
  <c r="G1611" i="15"/>
  <c r="H1611" i="15"/>
  <c r="I1611" i="15"/>
  <c r="J1611" i="15"/>
  <c r="K1611" i="15"/>
  <c r="L1611" i="15"/>
  <c r="M1611" i="15"/>
  <c r="N1611" i="15"/>
  <c r="A1612" i="15"/>
  <c r="B1612" i="15"/>
  <c r="C1612" i="15"/>
  <c r="D1612" i="15"/>
  <c r="E1612" i="15"/>
  <c r="F1612" i="15"/>
  <c r="G1612" i="15"/>
  <c r="H1612" i="15"/>
  <c r="I1612" i="15"/>
  <c r="J1612" i="15"/>
  <c r="K1612" i="15"/>
  <c r="L1612" i="15"/>
  <c r="M1612" i="15"/>
  <c r="N1612" i="15"/>
  <c r="A1613" i="15"/>
  <c r="B1613" i="15"/>
  <c r="C1613" i="15"/>
  <c r="D1613" i="15"/>
  <c r="E1613" i="15"/>
  <c r="F1613" i="15"/>
  <c r="G1613" i="15"/>
  <c r="H1613" i="15"/>
  <c r="I1613" i="15"/>
  <c r="J1613" i="15"/>
  <c r="K1613" i="15"/>
  <c r="L1613" i="15"/>
  <c r="M1613" i="15"/>
  <c r="N1613" i="15"/>
  <c r="A1614" i="15"/>
  <c r="B1614" i="15"/>
  <c r="C1614" i="15"/>
  <c r="D1614" i="15"/>
  <c r="E1614" i="15"/>
  <c r="F1614" i="15"/>
  <c r="G1614" i="15"/>
  <c r="H1614" i="15"/>
  <c r="I1614" i="15"/>
  <c r="J1614" i="15"/>
  <c r="K1614" i="15"/>
  <c r="L1614" i="15"/>
  <c r="M1614" i="15"/>
  <c r="N1614" i="15"/>
  <c r="A1615" i="15"/>
  <c r="B1615" i="15"/>
  <c r="C1615" i="15"/>
  <c r="D1615" i="15"/>
  <c r="E1615" i="15"/>
  <c r="F1615" i="15"/>
  <c r="G1615" i="15"/>
  <c r="H1615" i="15"/>
  <c r="I1615" i="15"/>
  <c r="J1615" i="15"/>
  <c r="K1615" i="15"/>
  <c r="L1615" i="15"/>
  <c r="M1615" i="15"/>
  <c r="N1615" i="15"/>
  <c r="A1616" i="15"/>
  <c r="B1616" i="15"/>
  <c r="C1616" i="15"/>
  <c r="D1616" i="15"/>
  <c r="E1616" i="15"/>
  <c r="F1616" i="15"/>
  <c r="G1616" i="15"/>
  <c r="H1616" i="15"/>
  <c r="I1616" i="15"/>
  <c r="J1616" i="15"/>
  <c r="K1616" i="15"/>
  <c r="L1616" i="15"/>
  <c r="M1616" i="15"/>
  <c r="N1616" i="15"/>
  <c r="A1617" i="15"/>
  <c r="B1617" i="15"/>
  <c r="C1617" i="15"/>
  <c r="D1617" i="15"/>
  <c r="E1617" i="15"/>
  <c r="F1617" i="15"/>
  <c r="G1617" i="15"/>
  <c r="H1617" i="15"/>
  <c r="I1617" i="15"/>
  <c r="J1617" i="15"/>
  <c r="K1617" i="15"/>
  <c r="L1617" i="15"/>
  <c r="M1617" i="15"/>
  <c r="N1617" i="15"/>
  <c r="A1618" i="15"/>
  <c r="B1618" i="15"/>
  <c r="C1618" i="15"/>
  <c r="D1618" i="15"/>
  <c r="E1618" i="15"/>
  <c r="F1618" i="15"/>
  <c r="G1618" i="15"/>
  <c r="H1618" i="15"/>
  <c r="I1618" i="15"/>
  <c r="J1618" i="15"/>
  <c r="K1618" i="15"/>
  <c r="L1618" i="15"/>
  <c r="M1618" i="15"/>
  <c r="N1618" i="15"/>
  <c r="A1619" i="15"/>
  <c r="B1619" i="15"/>
  <c r="C1619" i="15"/>
  <c r="D1619" i="15"/>
  <c r="E1619" i="15"/>
  <c r="F1619" i="15"/>
  <c r="G1619" i="15"/>
  <c r="H1619" i="15"/>
  <c r="I1619" i="15"/>
  <c r="J1619" i="15"/>
  <c r="K1619" i="15"/>
  <c r="L1619" i="15"/>
  <c r="M1619" i="15"/>
  <c r="N1619" i="15"/>
  <c r="A1620" i="15"/>
  <c r="B1620" i="15"/>
  <c r="C1620" i="15"/>
  <c r="D1620" i="15"/>
  <c r="E1620" i="15"/>
  <c r="F1620" i="15"/>
  <c r="G1620" i="15"/>
  <c r="H1620" i="15"/>
  <c r="I1620" i="15"/>
  <c r="J1620" i="15"/>
  <c r="K1620" i="15"/>
  <c r="L1620" i="15"/>
  <c r="M1620" i="15"/>
  <c r="N1620" i="15"/>
  <c r="A1621" i="15"/>
  <c r="B1621" i="15"/>
  <c r="C1621" i="15"/>
  <c r="D1621" i="15"/>
  <c r="E1621" i="15"/>
  <c r="F1621" i="15"/>
  <c r="G1621" i="15"/>
  <c r="H1621" i="15"/>
  <c r="I1621" i="15"/>
  <c r="J1621" i="15"/>
  <c r="K1621" i="15"/>
  <c r="L1621" i="15"/>
  <c r="M1621" i="15"/>
  <c r="N1621" i="15"/>
  <c r="A1622" i="15"/>
  <c r="B1622" i="15"/>
  <c r="C1622" i="15"/>
  <c r="D1622" i="15"/>
  <c r="E1622" i="15"/>
  <c r="F1622" i="15"/>
  <c r="G1622" i="15"/>
  <c r="H1622" i="15"/>
  <c r="I1622" i="15"/>
  <c r="J1622" i="15"/>
  <c r="K1622" i="15"/>
  <c r="L1622" i="15"/>
  <c r="M1622" i="15"/>
  <c r="N1622" i="15"/>
  <c r="A1623" i="15"/>
  <c r="B1623" i="15"/>
  <c r="C1623" i="15"/>
  <c r="D1623" i="15"/>
  <c r="E1623" i="15"/>
  <c r="F1623" i="15"/>
  <c r="G1623" i="15"/>
  <c r="H1623" i="15"/>
  <c r="I1623" i="15"/>
  <c r="J1623" i="15"/>
  <c r="K1623" i="15"/>
  <c r="L1623" i="15"/>
  <c r="M1623" i="15"/>
  <c r="N1623" i="15"/>
  <c r="A1624" i="15"/>
  <c r="B1624" i="15"/>
  <c r="C1624" i="15"/>
  <c r="D1624" i="15"/>
  <c r="E1624" i="15"/>
  <c r="F1624" i="15"/>
  <c r="G1624" i="15"/>
  <c r="H1624" i="15"/>
  <c r="I1624" i="15"/>
  <c r="J1624" i="15"/>
  <c r="K1624" i="15"/>
  <c r="L1624" i="15"/>
  <c r="M1624" i="15"/>
  <c r="N1624" i="15"/>
  <c r="A1625" i="15"/>
  <c r="B1625" i="15"/>
  <c r="C1625" i="15"/>
  <c r="D1625" i="15"/>
  <c r="E1625" i="15"/>
  <c r="F1625" i="15"/>
  <c r="G1625" i="15"/>
  <c r="H1625" i="15"/>
  <c r="I1625" i="15"/>
  <c r="J1625" i="15"/>
  <c r="K1625" i="15"/>
  <c r="L1625" i="15"/>
  <c r="M1625" i="15"/>
  <c r="N1625" i="15"/>
  <c r="A1626" i="15"/>
  <c r="B1626" i="15"/>
  <c r="C1626" i="15"/>
  <c r="D1626" i="15"/>
  <c r="E1626" i="15"/>
  <c r="F1626" i="15"/>
  <c r="G1626" i="15"/>
  <c r="H1626" i="15"/>
  <c r="I1626" i="15"/>
  <c r="J1626" i="15"/>
  <c r="K1626" i="15"/>
  <c r="L1626" i="15"/>
  <c r="M1626" i="15"/>
  <c r="N1626" i="15"/>
  <c r="A1627" i="15"/>
  <c r="B1627" i="15"/>
  <c r="C1627" i="15"/>
  <c r="D1627" i="15"/>
  <c r="E1627" i="15"/>
  <c r="F1627" i="15"/>
  <c r="G1627" i="15"/>
  <c r="H1627" i="15"/>
  <c r="I1627" i="15"/>
  <c r="J1627" i="15"/>
  <c r="K1627" i="15"/>
  <c r="L1627" i="15"/>
  <c r="M1627" i="15"/>
  <c r="N1627" i="15"/>
  <c r="A1628" i="15"/>
  <c r="B1628" i="15"/>
  <c r="C1628" i="15"/>
  <c r="D1628" i="15"/>
  <c r="E1628" i="15"/>
  <c r="F1628" i="15"/>
  <c r="G1628" i="15"/>
  <c r="H1628" i="15"/>
  <c r="I1628" i="15"/>
  <c r="J1628" i="15"/>
  <c r="K1628" i="15"/>
  <c r="L1628" i="15"/>
  <c r="M1628" i="15"/>
  <c r="N1628" i="15"/>
  <c r="A1629" i="15"/>
  <c r="B1629" i="15"/>
  <c r="C1629" i="15"/>
  <c r="D1629" i="15"/>
  <c r="E1629" i="15"/>
  <c r="F1629" i="15"/>
  <c r="G1629" i="15"/>
  <c r="H1629" i="15"/>
  <c r="I1629" i="15"/>
  <c r="J1629" i="15"/>
  <c r="K1629" i="15"/>
  <c r="L1629" i="15"/>
  <c r="M1629" i="15"/>
  <c r="N1629" i="15"/>
  <c r="A1630" i="15"/>
  <c r="B1630" i="15"/>
  <c r="C1630" i="15"/>
  <c r="D1630" i="15"/>
  <c r="E1630" i="15"/>
  <c r="F1630" i="15"/>
  <c r="G1630" i="15"/>
  <c r="H1630" i="15"/>
  <c r="I1630" i="15"/>
  <c r="J1630" i="15"/>
  <c r="K1630" i="15"/>
  <c r="L1630" i="15"/>
  <c r="M1630" i="15"/>
  <c r="N1630" i="15"/>
  <c r="A1631" i="15"/>
  <c r="B1631" i="15"/>
  <c r="C1631" i="15"/>
  <c r="D1631" i="15"/>
  <c r="E1631" i="15"/>
  <c r="F1631" i="15"/>
  <c r="G1631" i="15"/>
  <c r="H1631" i="15"/>
  <c r="I1631" i="15"/>
  <c r="J1631" i="15"/>
  <c r="K1631" i="15"/>
  <c r="L1631" i="15"/>
  <c r="M1631" i="15"/>
  <c r="N1631" i="15"/>
  <c r="A1632" i="15"/>
  <c r="B1632" i="15"/>
  <c r="C1632" i="15"/>
  <c r="D1632" i="15"/>
  <c r="E1632" i="15"/>
  <c r="F1632" i="15"/>
  <c r="G1632" i="15"/>
  <c r="H1632" i="15"/>
  <c r="I1632" i="15"/>
  <c r="J1632" i="15"/>
  <c r="K1632" i="15"/>
  <c r="L1632" i="15"/>
  <c r="M1632" i="15"/>
  <c r="N1632" i="15"/>
  <c r="A1633" i="15"/>
  <c r="B1633" i="15"/>
  <c r="C1633" i="15"/>
  <c r="D1633" i="15"/>
  <c r="E1633" i="15"/>
  <c r="F1633" i="15"/>
  <c r="G1633" i="15"/>
  <c r="H1633" i="15"/>
  <c r="I1633" i="15"/>
  <c r="J1633" i="15"/>
  <c r="K1633" i="15"/>
  <c r="L1633" i="15"/>
  <c r="M1633" i="15"/>
  <c r="N1633" i="15"/>
  <c r="A1634" i="15"/>
  <c r="B1634" i="15"/>
  <c r="C1634" i="15"/>
  <c r="D1634" i="15"/>
  <c r="E1634" i="15"/>
  <c r="F1634" i="15"/>
  <c r="G1634" i="15"/>
  <c r="H1634" i="15"/>
  <c r="I1634" i="15"/>
  <c r="J1634" i="15"/>
  <c r="K1634" i="15"/>
  <c r="L1634" i="15"/>
  <c r="M1634" i="15"/>
  <c r="N1634" i="15"/>
  <c r="A1635" i="15"/>
  <c r="B1635" i="15"/>
  <c r="C1635" i="15"/>
  <c r="D1635" i="15"/>
  <c r="E1635" i="15"/>
  <c r="F1635" i="15"/>
  <c r="G1635" i="15"/>
  <c r="H1635" i="15"/>
  <c r="I1635" i="15"/>
  <c r="J1635" i="15"/>
  <c r="K1635" i="15"/>
  <c r="L1635" i="15"/>
  <c r="M1635" i="15"/>
  <c r="N1635" i="15"/>
  <c r="A1636" i="15"/>
  <c r="B1636" i="15"/>
  <c r="C1636" i="15"/>
  <c r="D1636" i="15"/>
  <c r="E1636" i="15"/>
  <c r="F1636" i="15"/>
  <c r="G1636" i="15"/>
  <c r="H1636" i="15"/>
  <c r="I1636" i="15"/>
  <c r="J1636" i="15"/>
  <c r="K1636" i="15"/>
  <c r="L1636" i="15"/>
  <c r="M1636" i="15"/>
  <c r="N1636" i="15"/>
  <c r="A1637" i="15"/>
  <c r="B1637" i="15"/>
  <c r="C1637" i="15"/>
  <c r="D1637" i="15"/>
  <c r="E1637" i="15"/>
  <c r="F1637" i="15"/>
  <c r="G1637" i="15"/>
  <c r="H1637" i="15"/>
  <c r="I1637" i="15"/>
  <c r="J1637" i="15"/>
  <c r="K1637" i="15"/>
  <c r="L1637" i="15"/>
  <c r="M1637" i="15"/>
  <c r="N1637" i="15"/>
  <c r="A1638" i="15"/>
  <c r="B1638" i="15"/>
  <c r="C1638" i="15"/>
  <c r="D1638" i="15"/>
  <c r="E1638" i="15"/>
  <c r="F1638" i="15"/>
  <c r="G1638" i="15"/>
  <c r="H1638" i="15"/>
  <c r="I1638" i="15"/>
  <c r="J1638" i="15"/>
  <c r="K1638" i="15"/>
  <c r="L1638" i="15"/>
  <c r="M1638" i="15"/>
  <c r="N1638" i="15"/>
  <c r="A1639" i="15"/>
  <c r="B1639" i="15"/>
  <c r="C1639" i="15"/>
  <c r="D1639" i="15"/>
  <c r="E1639" i="15"/>
  <c r="F1639" i="15"/>
  <c r="G1639" i="15"/>
  <c r="H1639" i="15"/>
  <c r="I1639" i="15"/>
  <c r="J1639" i="15"/>
  <c r="K1639" i="15"/>
  <c r="L1639" i="15"/>
  <c r="M1639" i="15"/>
  <c r="N1639" i="15"/>
  <c r="A1640" i="15"/>
  <c r="B1640" i="15"/>
  <c r="C1640" i="15"/>
  <c r="D1640" i="15"/>
  <c r="E1640" i="15"/>
  <c r="F1640" i="15"/>
  <c r="G1640" i="15"/>
  <c r="H1640" i="15"/>
  <c r="I1640" i="15"/>
  <c r="J1640" i="15"/>
  <c r="K1640" i="15"/>
  <c r="L1640" i="15"/>
  <c r="M1640" i="15"/>
  <c r="N1640" i="15"/>
  <c r="A1641" i="15"/>
  <c r="B1641" i="15"/>
  <c r="C1641" i="15"/>
  <c r="D1641" i="15"/>
  <c r="E1641" i="15"/>
  <c r="F1641" i="15"/>
  <c r="G1641" i="15"/>
  <c r="H1641" i="15"/>
  <c r="I1641" i="15"/>
  <c r="J1641" i="15"/>
  <c r="K1641" i="15"/>
  <c r="L1641" i="15"/>
  <c r="M1641" i="15"/>
  <c r="N1641" i="15"/>
  <c r="A1642" i="15"/>
  <c r="B1642" i="15"/>
  <c r="C1642" i="15"/>
  <c r="D1642" i="15"/>
  <c r="E1642" i="15"/>
  <c r="F1642" i="15"/>
  <c r="G1642" i="15"/>
  <c r="H1642" i="15"/>
  <c r="I1642" i="15"/>
  <c r="J1642" i="15"/>
  <c r="K1642" i="15"/>
  <c r="L1642" i="15"/>
  <c r="M1642" i="15"/>
  <c r="N1642" i="15"/>
  <c r="A1643" i="15"/>
  <c r="B1643" i="15"/>
  <c r="C1643" i="15"/>
  <c r="D1643" i="15"/>
  <c r="E1643" i="15"/>
  <c r="F1643" i="15"/>
  <c r="G1643" i="15"/>
  <c r="H1643" i="15"/>
  <c r="I1643" i="15"/>
  <c r="J1643" i="15"/>
  <c r="K1643" i="15"/>
  <c r="L1643" i="15"/>
  <c r="M1643" i="15"/>
  <c r="N1643" i="15"/>
  <c r="A1644" i="15"/>
  <c r="B1644" i="15"/>
  <c r="C1644" i="15"/>
  <c r="D1644" i="15"/>
  <c r="E1644" i="15"/>
  <c r="F1644" i="15"/>
  <c r="G1644" i="15"/>
  <c r="H1644" i="15"/>
  <c r="I1644" i="15"/>
  <c r="J1644" i="15"/>
  <c r="K1644" i="15"/>
  <c r="L1644" i="15"/>
  <c r="M1644" i="15"/>
  <c r="N1644" i="15"/>
  <c r="A1645" i="15"/>
  <c r="B1645" i="15"/>
  <c r="C1645" i="15"/>
  <c r="D1645" i="15"/>
  <c r="E1645" i="15"/>
  <c r="F1645" i="15"/>
  <c r="G1645" i="15"/>
  <c r="H1645" i="15"/>
  <c r="I1645" i="15"/>
  <c r="J1645" i="15"/>
  <c r="K1645" i="15"/>
  <c r="L1645" i="15"/>
  <c r="M1645" i="15"/>
  <c r="N1645" i="15"/>
  <c r="A1646" i="15"/>
  <c r="B1646" i="15"/>
  <c r="C1646" i="15"/>
  <c r="D1646" i="15"/>
  <c r="E1646" i="15"/>
  <c r="F1646" i="15"/>
  <c r="G1646" i="15"/>
  <c r="H1646" i="15"/>
  <c r="I1646" i="15"/>
  <c r="J1646" i="15"/>
  <c r="K1646" i="15"/>
  <c r="L1646" i="15"/>
  <c r="M1646" i="15"/>
  <c r="N1646" i="15"/>
  <c r="A1647" i="15"/>
  <c r="B1647" i="15"/>
  <c r="C1647" i="15"/>
  <c r="D1647" i="15"/>
  <c r="E1647" i="15"/>
  <c r="F1647" i="15"/>
  <c r="G1647" i="15"/>
  <c r="H1647" i="15"/>
  <c r="I1647" i="15"/>
  <c r="J1647" i="15"/>
  <c r="K1647" i="15"/>
  <c r="L1647" i="15"/>
  <c r="M1647" i="15"/>
  <c r="N1647" i="15"/>
  <c r="A1648" i="15"/>
  <c r="B1648" i="15"/>
  <c r="C1648" i="15"/>
  <c r="D1648" i="15"/>
  <c r="E1648" i="15"/>
  <c r="F1648" i="15"/>
  <c r="G1648" i="15"/>
  <c r="H1648" i="15"/>
  <c r="I1648" i="15"/>
  <c r="J1648" i="15"/>
  <c r="K1648" i="15"/>
  <c r="L1648" i="15"/>
  <c r="M1648" i="15"/>
  <c r="N1648" i="15"/>
  <c r="A1649" i="15"/>
  <c r="B1649" i="15"/>
  <c r="C1649" i="15"/>
  <c r="D1649" i="15"/>
  <c r="E1649" i="15"/>
  <c r="F1649" i="15"/>
  <c r="G1649" i="15"/>
  <c r="H1649" i="15"/>
  <c r="I1649" i="15"/>
  <c r="J1649" i="15"/>
  <c r="K1649" i="15"/>
  <c r="L1649" i="15"/>
  <c r="M1649" i="15"/>
  <c r="N1649" i="15"/>
  <c r="A1650" i="15"/>
  <c r="B1650" i="15"/>
  <c r="C1650" i="15"/>
  <c r="D1650" i="15"/>
  <c r="E1650" i="15"/>
  <c r="F1650" i="15"/>
  <c r="G1650" i="15"/>
  <c r="H1650" i="15"/>
  <c r="I1650" i="15"/>
  <c r="J1650" i="15"/>
  <c r="K1650" i="15"/>
  <c r="L1650" i="15"/>
  <c r="M1650" i="15"/>
  <c r="N1650" i="15"/>
  <c r="A1651" i="15"/>
  <c r="B1651" i="15"/>
  <c r="C1651" i="15"/>
  <c r="D1651" i="15"/>
  <c r="E1651" i="15"/>
  <c r="F1651" i="15"/>
  <c r="G1651" i="15"/>
  <c r="H1651" i="15"/>
  <c r="I1651" i="15"/>
  <c r="J1651" i="15"/>
  <c r="K1651" i="15"/>
  <c r="L1651" i="15"/>
  <c r="M1651" i="15"/>
  <c r="N1651" i="15"/>
  <c r="A1652" i="15"/>
  <c r="B1652" i="15"/>
  <c r="C1652" i="15"/>
  <c r="D1652" i="15"/>
  <c r="E1652" i="15"/>
  <c r="F1652" i="15"/>
  <c r="G1652" i="15"/>
  <c r="H1652" i="15"/>
  <c r="I1652" i="15"/>
  <c r="J1652" i="15"/>
  <c r="K1652" i="15"/>
  <c r="L1652" i="15"/>
  <c r="M1652" i="15"/>
  <c r="N1652" i="15"/>
  <c r="A1653" i="15"/>
  <c r="B1653" i="15"/>
  <c r="C1653" i="15"/>
  <c r="D1653" i="15"/>
  <c r="E1653" i="15"/>
  <c r="F1653" i="15"/>
  <c r="G1653" i="15"/>
  <c r="H1653" i="15"/>
  <c r="I1653" i="15"/>
  <c r="J1653" i="15"/>
  <c r="K1653" i="15"/>
  <c r="L1653" i="15"/>
  <c r="M1653" i="15"/>
  <c r="N1653" i="15"/>
  <c r="A1654" i="15"/>
  <c r="B1654" i="15"/>
  <c r="C1654" i="15"/>
  <c r="D1654" i="15"/>
  <c r="E1654" i="15"/>
  <c r="F1654" i="15"/>
  <c r="G1654" i="15"/>
  <c r="H1654" i="15"/>
  <c r="I1654" i="15"/>
  <c r="J1654" i="15"/>
  <c r="K1654" i="15"/>
  <c r="L1654" i="15"/>
  <c r="M1654" i="15"/>
  <c r="N1654" i="15"/>
  <c r="A1655" i="15"/>
  <c r="B1655" i="15"/>
  <c r="C1655" i="15"/>
  <c r="D1655" i="15"/>
  <c r="E1655" i="15"/>
  <c r="F1655" i="15"/>
  <c r="G1655" i="15"/>
  <c r="H1655" i="15"/>
  <c r="I1655" i="15"/>
  <c r="J1655" i="15"/>
  <c r="K1655" i="15"/>
  <c r="L1655" i="15"/>
  <c r="M1655" i="15"/>
  <c r="N1655" i="15"/>
  <c r="A1656" i="15"/>
  <c r="B1656" i="15"/>
  <c r="C1656" i="15"/>
  <c r="D1656" i="15"/>
  <c r="E1656" i="15"/>
  <c r="F1656" i="15"/>
  <c r="G1656" i="15"/>
  <c r="H1656" i="15"/>
  <c r="I1656" i="15"/>
  <c r="J1656" i="15"/>
  <c r="K1656" i="15"/>
  <c r="L1656" i="15"/>
  <c r="M1656" i="15"/>
  <c r="N1656" i="15"/>
  <c r="A1657" i="15"/>
  <c r="B1657" i="15"/>
  <c r="C1657" i="15"/>
  <c r="D1657" i="15"/>
  <c r="E1657" i="15"/>
  <c r="F1657" i="15"/>
  <c r="G1657" i="15"/>
  <c r="H1657" i="15"/>
  <c r="I1657" i="15"/>
  <c r="J1657" i="15"/>
  <c r="K1657" i="15"/>
  <c r="L1657" i="15"/>
  <c r="M1657" i="15"/>
  <c r="N1657" i="15"/>
  <c r="A1658" i="15"/>
  <c r="B1658" i="15"/>
  <c r="C1658" i="15"/>
  <c r="D1658" i="15"/>
  <c r="E1658" i="15"/>
  <c r="F1658" i="15"/>
  <c r="G1658" i="15"/>
  <c r="H1658" i="15"/>
  <c r="I1658" i="15"/>
  <c r="J1658" i="15"/>
  <c r="K1658" i="15"/>
  <c r="L1658" i="15"/>
  <c r="M1658" i="15"/>
  <c r="N1658" i="15"/>
  <c r="A1659" i="15"/>
  <c r="B1659" i="15"/>
  <c r="C1659" i="15"/>
  <c r="D1659" i="15"/>
  <c r="E1659" i="15"/>
  <c r="F1659" i="15"/>
  <c r="G1659" i="15"/>
  <c r="H1659" i="15"/>
  <c r="I1659" i="15"/>
  <c r="J1659" i="15"/>
  <c r="K1659" i="15"/>
  <c r="L1659" i="15"/>
  <c r="M1659" i="15"/>
  <c r="N1659" i="15"/>
  <c r="A1660" i="15"/>
  <c r="B1660" i="15"/>
  <c r="C1660" i="15"/>
  <c r="D1660" i="15"/>
  <c r="E1660" i="15"/>
  <c r="F1660" i="15"/>
  <c r="G1660" i="15"/>
  <c r="H1660" i="15"/>
  <c r="I1660" i="15"/>
  <c r="J1660" i="15"/>
  <c r="K1660" i="15"/>
  <c r="L1660" i="15"/>
  <c r="M1660" i="15"/>
  <c r="N1660" i="15"/>
  <c r="A1661" i="15"/>
  <c r="B1661" i="15"/>
  <c r="C1661" i="15"/>
  <c r="D1661" i="15"/>
  <c r="E1661" i="15"/>
  <c r="F1661" i="15"/>
  <c r="G1661" i="15"/>
  <c r="H1661" i="15"/>
  <c r="I1661" i="15"/>
  <c r="J1661" i="15"/>
  <c r="K1661" i="15"/>
  <c r="L1661" i="15"/>
  <c r="M1661" i="15"/>
  <c r="N1661" i="15"/>
  <c r="A1662" i="15"/>
  <c r="B1662" i="15"/>
  <c r="C1662" i="15"/>
  <c r="D1662" i="15"/>
  <c r="E1662" i="15"/>
  <c r="F1662" i="15"/>
  <c r="G1662" i="15"/>
  <c r="H1662" i="15"/>
  <c r="I1662" i="15"/>
  <c r="J1662" i="15"/>
  <c r="K1662" i="15"/>
  <c r="L1662" i="15"/>
  <c r="M1662" i="15"/>
  <c r="N1662" i="15"/>
  <c r="A1663" i="15"/>
  <c r="B1663" i="15"/>
  <c r="C1663" i="15"/>
  <c r="D1663" i="15"/>
  <c r="E1663" i="15"/>
  <c r="F1663" i="15"/>
  <c r="G1663" i="15"/>
  <c r="H1663" i="15"/>
  <c r="I1663" i="15"/>
  <c r="J1663" i="15"/>
  <c r="K1663" i="15"/>
  <c r="L1663" i="15"/>
  <c r="M1663" i="15"/>
  <c r="N1663" i="15"/>
  <c r="A1664" i="15"/>
  <c r="B1664" i="15"/>
  <c r="C1664" i="15"/>
  <c r="D1664" i="15"/>
  <c r="E1664" i="15"/>
  <c r="F1664" i="15"/>
  <c r="G1664" i="15"/>
  <c r="H1664" i="15"/>
  <c r="I1664" i="15"/>
  <c r="J1664" i="15"/>
  <c r="K1664" i="15"/>
  <c r="L1664" i="15"/>
  <c r="M1664" i="15"/>
  <c r="N1664" i="15"/>
  <c r="A1665" i="15"/>
  <c r="B1665" i="15"/>
  <c r="C1665" i="15"/>
  <c r="D1665" i="15"/>
  <c r="E1665" i="15"/>
  <c r="F1665" i="15"/>
  <c r="G1665" i="15"/>
  <c r="H1665" i="15"/>
  <c r="I1665" i="15"/>
  <c r="J1665" i="15"/>
  <c r="K1665" i="15"/>
  <c r="L1665" i="15"/>
  <c r="M1665" i="15"/>
  <c r="N1665" i="15"/>
  <c r="A1666" i="15"/>
  <c r="B1666" i="15"/>
  <c r="C1666" i="15"/>
  <c r="D1666" i="15"/>
  <c r="E1666" i="15"/>
  <c r="F1666" i="15"/>
  <c r="G1666" i="15"/>
  <c r="H1666" i="15"/>
  <c r="I1666" i="15"/>
  <c r="J1666" i="15"/>
  <c r="K1666" i="15"/>
  <c r="L1666" i="15"/>
  <c r="M1666" i="15"/>
  <c r="N1666" i="15"/>
  <c r="A1667" i="15"/>
  <c r="B1667" i="15"/>
  <c r="C1667" i="15"/>
  <c r="D1667" i="15"/>
  <c r="E1667" i="15"/>
  <c r="F1667" i="15"/>
  <c r="G1667" i="15"/>
  <c r="H1667" i="15"/>
  <c r="I1667" i="15"/>
  <c r="J1667" i="15"/>
  <c r="K1667" i="15"/>
  <c r="L1667" i="15"/>
  <c r="M1667" i="15"/>
  <c r="N1667" i="15"/>
  <c r="A1668" i="15"/>
  <c r="B1668" i="15"/>
  <c r="C1668" i="15"/>
  <c r="D1668" i="15"/>
  <c r="E1668" i="15"/>
  <c r="F1668" i="15"/>
  <c r="G1668" i="15"/>
  <c r="H1668" i="15"/>
  <c r="I1668" i="15"/>
  <c r="J1668" i="15"/>
  <c r="K1668" i="15"/>
  <c r="L1668" i="15"/>
  <c r="M1668" i="15"/>
  <c r="N1668" i="15"/>
  <c r="A1669" i="15"/>
  <c r="B1669" i="15"/>
  <c r="C1669" i="15"/>
  <c r="D1669" i="15"/>
  <c r="E1669" i="15"/>
  <c r="F1669" i="15"/>
  <c r="G1669" i="15"/>
  <c r="H1669" i="15"/>
  <c r="I1669" i="15"/>
  <c r="J1669" i="15"/>
  <c r="K1669" i="15"/>
  <c r="L1669" i="15"/>
  <c r="M1669" i="15"/>
  <c r="N1669" i="15"/>
  <c r="A1670" i="15"/>
  <c r="B1670" i="15"/>
  <c r="C1670" i="15"/>
  <c r="D1670" i="15"/>
  <c r="E1670" i="15"/>
  <c r="F1670" i="15"/>
  <c r="G1670" i="15"/>
  <c r="H1670" i="15"/>
  <c r="I1670" i="15"/>
  <c r="J1670" i="15"/>
  <c r="K1670" i="15"/>
  <c r="L1670" i="15"/>
  <c r="M1670" i="15"/>
  <c r="N1670" i="15"/>
  <c r="A1671" i="15"/>
  <c r="B1671" i="15"/>
  <c r="C1671" i="15"/>
  <c r="D1671" i="15"/>
  <c r="E1671" i="15"/>
  <c r="F1671" i="15"/>
  <c r="G1671" i="15"/>
  <c r="H1671" i="15"/>
  <c r="I1671" i="15"/>
  <c r="J1671" i="15"/>
  <c r="K1671" i="15"/>
  <c r="L1671" i="15"/>
  <c r="M1671" i="15"/>
  <c r="N1671" i="15"/>
  <c r="A1672" i="15"/>
  <c r="B1672" i="15"/>
  <c r="C1672" i="15"/>
  <c r="D1672" i="15"/>
  <c r="E1672" i="15"/>
  <c r="F1672" i="15"/>
  <c r="G1672" i="15"/>
  <c r="H1672" i="15"/>
  <c r="I1672" i="15"/>
  <c r="J1672" i="15"/>
  <c r="K1672" i="15"/>
  <c r="L1672" i="15"/>
  <c r="M1672" i="15"/>
  <c r="N1672" i="15"/>
  <c r="A1673" i="15"/>
  <c r="B1673" i="15"/>
  <c r="C1673" i="15"/>
  <c r="D1673" i="15"/>
  <c r="E1673" i="15"/>
  <c r="F1673" i="15"/>
  <c r="G1673" i="15"/>
  <c r="H1673" i="15"/>
  <c r="I1673" i="15"/>
  <c r="J1673" i="15"/>
  <c r="K1673" i="15"/>
  <c r="L1673" i="15"/>
  <c r="M1673" i="15"/>
  <c r="N1673" i="15"/>
  <c r="A1674" i="15"/>
  <c r="B1674" i="15"/>
  <c r="C1674" i="15"/>
  <c r="D1674" i="15"/>
  <c r="E1674" i="15"/>
  <c r="F1674" i="15"/>
  <c r="G1674" i="15"/>
  <c r="H1674" i="15"/>
  <c r="I1674" i="15"/>
  <c r="J1674" i="15"/>
  <c r="K1674" i="15"/>
  <c r="L1674" i="15"/>
  <c r="M1674" i="15"/>
  <c r="N1674" i="15"/>
  <c r="A1675" i="15"/>
  <c r="B1675" i="15"/>
  <c r="C1675" i="15"/>
  <c r="D1675" i="15"/>
  <c r="E1675" i="15"/>
  <c r="F1675" i="15"/>
  <c r="G1675" i="15"/>
  <c r="H1675" i="15"/>
  <c r="I1675" i="15"/>
  <c r="J1675" i="15"/>
  <c r="K1675" i="15"/>
  <c r="L1675" i="15"/>
  <c r="M1675" i="15"/>
  <c r="N1675" i="15"/>
  <c r="A1676" i="15"/>
  <c r="B1676" i="15"/>
  <c r="C1676" i="15"/>
  <c r="D1676" i="15"/>
  <c r="E1676" i="15"/>
  <c r="F1676" i="15"/>
  <c r="G1676" i="15"/>
  <c r="H1676" i="15"/>
  <c r="I1676" i="15"/>
  <c r="J1676" i="15"/>
  <c r="K1676" i="15"/>
  <c r="L1676" i="15"/>
  <c r="M1676" i="15"/>
  <c r="N1676" i="15"/>
  <c r="A1677" i="15"/>
  <c r="B1677" i="15"/>
  <c r="C1677" i="15"/>
  <c r="D1677" i="15"/>
  <c r="E1677" i="15"/>
  <c r="F1677" i="15"/>
  <c r="G1677" i="15"/>
  <c r="H1677" i="15"/>
  <c r="I1677" i="15"/>
  <c r="J1677" i="15"/>
  <c r="K1677" i="15"/>
  <c r="L1677" i="15"/>
  <c r="M1677" i="15"/>
  <c r="N1677" i="15"/>
  <c r="A1678" i="15"/>
  <c r="B1678" i="15"/>
  <c r="C1678" i="15"/>
  <c r="D1678" i="15"/>
  <c r="E1678" i="15"/>
  <c r="F1678" i="15"/>
  <c r="G1678" i="15"/>
  <c r="H1678" i="15"/>
  <c r="I1678" i="15"/>
  <c r="J1678" i="15"/>
  <c r="K1678" i="15"/>
  <c r="L1678" i="15"/>
  <c r="M1678" i="15"/>
  <c r="N1678" i="15"/>
  <c r="A1679" i="15"/>
  <c r="B1679" i="15"/>
  <c r="C1679" i="15"/>
  <c r="D1679" i="15"/>
  <c r="E1679" i="15"/>
  <c r="F1679" i="15"/>
  <c r="G1679" i="15"/>
  <c r="H1679" i="15"/>
  <c r="I1679" i="15"/>
  <c r="J1679" i="15"/>
  <c r="K1679" i="15"/>
  <c r="L1679" i="15"/>
  <c r="M1679" i="15"/>
  <c r="N1679" i="15"/>
  <c r="A1680" i="15"/>
  <c r="B1680" i="15"/>
  <c r="C1680" i="15"/>
  <c r="D1680" i="15"/>
  <c r="E1680" i="15"/>
  <c r="F1680" i="15"/>
  <c r="G1680" i="15"/>
  <c r="H1680" i="15"/>
  <c r="I1680" i="15"/>
  <c r="J1680" i="15"/>
  <c r="K1680" i="15"/>
  <c r="L1680" i="15"/>
  <c r="M1680" i="15"/>
  <c r="N1680" i="15"/>
  <c r="A1681" i="15"/>
  <c r="B1681" i="15"/>
  <c r="C1681" i="15"/>
  <c r="D1681" i="15"/>
  <c r="E1681" i="15"/>
  <c r="F1681" i="15"/>
  <c r="G1681" i="15"/>
  <c r="H1681" i="15"/>
  <c r="I1681" i="15"/>
  <c r="J1681" i="15"/>
  <c r="K1681" i="15"/>
  <c r="L1681" i="15"/>
  <c r="M1681" i="15"/>
  <c r="N1681" i="15"/>
  <c r="A1682" i="15"/>
  <c r="B1682" i="15"/>
  <c r="C1682" i="15"/>
  <c r="D1682" i="15"/>
  <c r="E1682" i="15"/>
  <c r="F1682" i="15"/>
  <c r="G1682" i="15"/>
  <c r="H1682" i="15"/>
  <c r="I1682" i="15"/>
  <c r="J1682" i="15"/>
  <c r="K1682" i="15"/>
  <c r="L1682" i="15"/>
  <c r="M1682" i="15"/>
  <c r="N1682" i="15"/>
  <c r="A1683" i="15"/>
  <c r="B1683" i="15"/>
  <c r="C1683" i="15"/>
  <c r="D1683" i="15"/>
  <c r="E1683" i="15"/>
  <c r="F1683" i="15"/>
  <c r="G1683" i="15"/>
  <c r="H1683" i="15"/>
  <c r="I1683" i="15"/>
  <c r="J1683" i="15"/>
  <c r="K1683" i="15"/>
  <c r="L1683" i="15"/>
  <c r="M1683" i="15"/>
  <c r="N1683" i="15"/>
  <c r="A1684" i="15"/>
  <c r="B1684" i="15"/>
  <c r="C1684" i="15"/>
  <c r="D1684" i="15"/>
  <c r="E1684" i="15"/>
  <c r="F1684" i="15"/>
  <c r="G1684" i="15"/>
  <c r="H1684" i="15"/>
  <c r="I1684" i="15"/>
  <c r="J1684" i="15"/>
  <c r="K1684" i="15"/>
  <c r="L1684" i="15"/>
  <c r="M1684" i="15"/>
  <c r="N1684" i="15"/>
  <c r="A1685" i="15"/>
  <c r="B1685" i="15"/>
  <c r="C1685" i="15"/>
  <c r="D1685" i="15"/>
  <c r="E1685" i="15"/>
  <c r="F1685" i="15"/>
  <c r="G1685" i="15"/>
  <c r="H1685" i="15"/>
  <c r="I1685" i="15"/>
  <c r="J1685" i="15"/>
  <c r="K1685" i="15"/>
  <c r="L1685" i="15"/>
  <c r="M1685" i="15"/>
  <c r="N1685" i="15"/>
  <c r="A1686" i="15"/>
  <c r="B1686" i="15"/>
  <c r="C1686" i="15"/>
  <c r="D1686" i="15"/>
  <c r="E1686" i="15"/>
  <c r="F1686" i="15"/>
  <c r="G1686" i="15"/>
  <c r="H1686" i="15"/>
  <c r="I1686" i="15"/>
  <c r="J1686" i="15"/>
  <c r="K1686" i="15"/>
  <c r="L1686" i="15"/>
  <c r="M1686" i="15"/>
  <c r="N1686" i="15"/>
  <c r="A1687" i="15"/>
  <c r="B1687" i="15"/>
  <c r="C1687" i="15"/>
  <c r="D1687" i="15"/>
  <c r="E1687" i="15"/>
  <c r="F1687" i="15"/>
  <c r="G1687" i="15"/>
  <c r="H1687" i="15"/>
  <c r="I1687" i="15"/>
  <c r="J1687" i="15"/>
  <c r="K1687" i="15"/>
  <c r="L1687" i="15"/>
  <c r="M1687" i="15"/>
  <c r="N1687" i="15"/>
  <c r="A1688" i="15"/>
  <c r="B1688" i="15"/>
  <c r="C1688" i="15"/>
  <c r="D1688" i="15"/>
  <c r="E1688" i="15"/>
  <c r="F1688" i="15"/>
  <c r="G1688" i="15"/>
  <c r="H1688" i="15"/>
  <c r="I1688" i="15"/>
  <c r="J1688" i="15"/>
  <c r="K1688" i="15"/>
  <c r="L1688" i="15"/>
  <c r="M1688" i="15"/>
  <c r="N1688" i="15"/>
  <c r="A1689" i="15"/>
  <c r="B1689" i="15"/>
  <c r="C1689" i="15"/>
  <c r="D1689" i="15"/>
  <c r="E1689" i="15"/>
  <c r="F1689" i="15"/>
  <c r="G1689" i="15"/>
  <c r="H1689" i="15"/>
  <c r="I1689" i="15"/>
  <c r="J1689" i="15"/>
  <c r="K1689" i="15"/>
  <c r="L1689" i="15"/>
  <c r="M1689" i="15"/>
  <c r="N1689" i="15"/>
  <c r="A1690" i="15"/>
  <c r="B1690" i="15"/>
  <c r="C1690" i="15"/>
  <c r="D1690" i="15"/>
  <c r="E1690" i="15"/>
  <c r="F1690" i="15"/>
  <c r="G1690" i="15"/>
  <c r="H1690" i="15"/>
  <c r="I1690" i="15"/>
  <c r="J1690" i="15"/>
  <c r="K1690" i="15"/>
  <c r="L1690" i="15"/>
  <c r="M1690" i="15"/>
  <c r="N1690" i="15"/>
  <c r="A1691" i="15"/>
  <c r="B1691" i="15"/>
  <c r="C1691" i="15"/>
  <c r="D1691" i="15"/>
  <c r="E1691" i="15"/>
  <c r="F1691" i="15"/>
  <c r="G1691" i="15"/>
  <c r="H1691" i="15"/>
  <c r="I1691" i="15"/>
  <c r="J1691" i="15"/>
  <c r="K1691" i="15"/>
  <c r="L1691" i="15"/>
  <c r="M1691" i="15"/>
  <c r="N1691" i="15"/>
  <c r="A1692" i="15"/>
  <c r="B1692" i="15"/>
  <c r="C1692" i="15"/>
  <c r="D1692" i="15"/>
  <c r="E1692" i="15"/>
  <c r="F1692" i="15"/>
  <c r="G1692" i="15"/>
  <c r="H1692" i="15"/>
  <c r="I1692" i="15"/>
  <c r="J1692" i="15"/>
  <c r="K1692" i="15"/>
  <c r="L1692" i="15"/>
  <c r="M1692" i="15"/>
  <c r="N1692" i="15"/>
  <c r="A1693" i="15"/>
  <c r="B1693" i="15"/>
  <c r="C1693" i="15"/>
  <c r="D1693" i="15"/>
  <c r="E1693" i="15"/>
  <c r="F1693" i="15"/>
  <c r="G1693" i="15"/>
  <c r="H1693" i="15"/>
  <c r="I1693" i="15"/>
  <c r="J1693" i="15"/>
  <c r="K1693" i="15"/>
  <c r="L1693" i="15"/>
  <c r="M1693" i="15"/>
  <c r="N1693" i="15"/>
  <c r="A1694" i="15"/>
  <c r="B1694" i="15"/>
  <c r="C1694" i="15"/>
  <c r="D1694" i="15"/>
  <c r="E1694" i="15"/>
  <c r="F1694" i="15"/>
  <c r="G1694" i="15"/>
  <c r="H1694" i="15"/>
  <c r="I1694" i="15"/>
  <c r="J1694" i="15"/>
  <c r="K1694" i="15"/>
  <c r="L1694" i="15"/>
  <c r="M1694" i="15"/>
  <c r="N1694" i="15"/>
  <c r="A1695" i="15"/>
  <c r="B1695" i="15"/>
  <c r="C1695" i="15"/>
  <c r="D1695" i="15"/>
  <c r="E1695" i="15"/>
  <c r="F1695" i="15"/>
  <c r="G1695" i="15"/>
  <c r="H1695" i="15"/>
  <c r="I1695" i="15"/>
  <c r="J1695" i="15"/>
  <c r="K1695" i="15"/>
  <c r="L1695" i="15"/>
  <c r="M1695" i="15"/>
  <c r="N1695" i="15"/>
  <c r="A1696" i="15"/>
  <c r="B1696" i="15"/>
  <c r="C1696" i="15"/>
  <c r="D1696" i="15"/>
  <c r="E1696" i="15"/>
  <c r="F1696" i="15"/>
  <c r="G1696" i="15"/>
  <c r="H1696" i="15"/>
  <c r="I1696" i="15"/>
  <c r="J1696" i="15"/>
  <c r="K1696" i="15"/>
  <c r="L1696" i="15"/>
  <c r="M1696" i="15"/>
  <c r="N1696" i="15"/>
  <c r="A1697" i="15"/>
  <c r="B1697" i="15"/>
  <c r="C1697" i="15"/>
  <c r="D1697" i="15"/>
  <c r="E1697" i="15"/>
  <c r="F1697" i="15"/>
  <c r="G1697" i="15"/>
  <c r="H1697" i="15"/>
  <c r="I1697" i="15"/>
  <c r="J1697" i="15"/>
  <c r="K1697" i="15"/>
  <c r="L1697" i="15"/>
  <c r="M1697" i="15"/>
  <c r="N1697" i="15"/>
  <c r="A1698" i="15"/>
  <c r="B1698" i="15"/>
  <c r="C1698" i="15"/>
  <c r="D1698" i="15"/>
  <c r="E1698" i="15"/>
  <c r="F1698" i="15"/>
  <c r="G1698" i="15"/>
  <c r="H1698" i="15"/>
  <c r="I1698" i="15"/>
  <c r="J1698" i="15"/>
  <c r="K1698" i="15"/>
  <c r="L1698" i="15"/>
  <c r="M1698" i="15"/>
  <c r="N1698" i="15"/>
  <c r="A1699" i="15"/>
  <c r="B1699" i="15"/>
  <c r="C1699" i="15"/>
  <c r="D1699" i="15"/>
  <c r="E1699" i="15"/>
  <c r="F1699" i="15"/>
  <c r="G1699" i="15"/>
  <c r="H1699" i="15"/>
  <c r="I1699" i="15"/>
  <c r="J1699" i="15"/>
  <c r="K1699" i="15"/>
  <c r="L1699" i="15"/>
  <c r="M1699" i="15"/>
  <c r="N1699" i="15"/>
  <c r="A1700" i="15"/>
  <c r="B1700" i="15"/>
  <c r="C1700" i="15"/>
  <c r="D1700" i="15"/>
  <c r="E1700" i="15"/>
  <c r="F1700" i="15"/>
  <c r="G1700" i="15"/>
  <c r="H1700" i="15"/>
  <c r="I1700" i="15"/>
  <c r="J1700" i="15"/>
  <c r="K1700" i="15"/>
  <c r="L1700" i="15"/>
  <c r="M1700" i="15"/>
  <c r="N1700" i="15"/>
  <c r="A1701" i="15"/>
  <c r="B1701" i="15"/>
  <c r="C1701" i="15"/>
  <c r="D1701" i="15"/>
  <c r="E1701" i="15"/>
  <c r="F1701" i="15"/>
  <c r="G1701" i="15"/>
  <c r="H1701" i="15"/>
  <c r="I1701" i="15"/>
  <c r="J1701" i="15"/>
  <c r="K1701" i="15"/>
  <c r="L1701" i="15"/>
  <c r="M1701" i="15"/>
  <c r="N1701" i="15"/>
  <c r="A1702" i="15"/>
  <c r="B1702" i="15"/>
  <c r="C1702" i="15"/>
  <c r="D1702" i="15"/>
  <c r="E1702" i="15"/>
  <c r="F1702" i="15"/>
  <c r="G1702" i="15"/>
  <c r="H1702" i="15"/>
  <c r="I1702" i="15"/>
  <c r="J1702" i="15"/>
  <c r="K1702" i="15"/>
  <c r="L1702" i="15"/>
  <c r="M1702" i="15"/>
  <c r="N1702" i="15"/>
  <c r="A1703" i="15"/>
  <c r="B1703" i="15"/>
  <c r="C1703" i="15"/>
  <c r="D1703" i="15"/>
  <c r="E1703" i="15"/>
  <c r="F1703" i="15"/>
  <c r="G1703" i="15"/>
  <c r="H1703" i="15"/>
  <c r="I1703" i="15"/>
  <c r="J1703" i="15"/>
  <c r="K1703" i="15"/>
  <c r="L1703" i="15"/>
  <c r="M1703" i="15"/>
  <c r="N1703" i="15"/>
  <c r="A1704" i="15"/>
  <c r="B1704" i="15"/>
  <c r="C1704" i="15"/>
  <c r="D1704" i="15"/>
  <c r="E1704" i="15"/>
  <c r="F1704" i="15"/>
  <c r="G1704" i="15"/>
  <c r="H1704" i="15"/>
  <c r="I1704" i="15"/>
  <c r="J1704" i="15"/>
  <c r="K1704" i="15"/>
  <c r="L1704" i="15"/>
  <c r="M1704" i="15"/>
  <c r="N1704" i="15"/>
  <c r="A1705" i="15"/>
  <c r="B1705" i="15"/>
  <c r="C1705" i="15"/>
  <c r="D1705" i="15"/>
  <c r="E1705" i="15"/>
  <c r="F1705" i="15"/>
  <c r="G1705" i="15"/>
  <c r="H1705" i="15"/>
  <c r="I1705" i="15"/>
  <c r="J1705" i="15"/>
  <c r="K1705" i="15"/>
  <c r="L1705" i="15"/>
  <c r="M1705" i="15"/>
  <c r="N1705" i="15"/>
  <c r="A1706" i="15"/>
  <c r="B1706" i="15"/>
  <c r="C1706" i="15"/>
  <c r="D1706" i="15"/>
  <c r="E1706" i="15"/>
  <c r="F1706" i="15"/>
  <c r="G1706" i="15"/>
  <c r="H1706" i="15"/>
  <c r="I1706" i="15"/>
  <c r="J1706" i="15"/>
  <c r="K1706" i="15"/>
  <c r="L1706" i="15"/>
  <c r="M1706" i="15"/>
  <c r="N1706" i="15"/>
  <c r="A1707" i="15"/>
  <c r="B1707" i="15"/>
  <c r="C1707" i="15"/>
  <c r="D1707" i="15"/>
  <c r="E1707" i="15"/>
  <c r="F1707" i="15"/>
  <c r="G1707" i="15"/>
  <c r="H1707" i="15"/>
  <c r="I1707" i="15"/>
  <c r="J1707" i="15"/>
  <c r="K1707" i="15"/>
  <c r="L1707" i="15"/>
  <c r="M1707" i="15"/>
  <c r="N1707" i="15"/>
  <c r="A1708" i="15"/>
  <c r="B1708" i="15"/>
  <c r="C1708" i="15"/>
  <c r="D1708" i="15"/>
  <c r="E1708" i="15"/>
  <c r="F1708" i="15"/>
  <c r="G1708" i="15"/>
  <c r="H1708" i="15"/>
  <c r="I1708" i="15"/>
  <c r="J1708" i="15"/>
  <c r="K1708" i="15"/>
  <c r="L1708" i="15"/>
  <c r="M1708" i="15"/>
  <c r="N1708" i="15"/>
  <c r="A1709" i="15"/>
  <c r="B1709" i="15"/>
  <c r="C1709" i="15"/>
  <c r="D1709" i="15"/>
  <c r="E1709" i="15"/>
  <c r="F1709" i="15"/>
  <c r="G1709" i="15"/>
  <c r="H1709" i="15"/>
  <c r="I1709" i="15"/>
  <c r="J1709" i="15"/>
  <c r="K1709" i="15"/>
  <c r="L1709" i="15"/>
  <c r="M1709" i="15"/>
  <c r="N1709" i="15"/>
  <c r="A1710" i="15"/>
  <c r="B1710" i="15"/>
  <c r="C1710" i="15"/>
  <c r="D1710" i="15"/>
  <c r="E1710" i="15"/>
  <c r="F1710" i="15"/>
  <c r="G1710" i="15"/>
  <c r="H1710" i="15"/>
  <c r="I1710" i="15"/>
  <c r="J1710" i="15"/>
  <c r="K1710" i="15"/>
  <c r="L1710" i="15"/>
  <c r="M1710" i="15"/>
  <c r="N1710" i="15"/>
  <c r="A1711" i="15"/>
  <c r="B1711" i="15"/>
  <c r="C1711" i="15"/>
  <c r="D1711" i="15"/>
  <c r="E1711" i="15"/>
  <c r="F1711" i="15"/>
  <c r="G1711" i="15"/>
  <c r="H1711" i="15"/>
  <c r="I1711" i="15"/>
  <c r="J1711" i="15"/>
  <c r="K1711" i="15"/>
  <c r="L1711" i="15"/>
  <c r="M1711" i="15"/>
  <c r="N1711" i="15"/>
  <c r="A1712" i="15"/>
  <c r="B1712" i="15"/>
  <c r="C1712" i="15"/>
  <c r="D1712" i="15"/>
  <c r="E1712" i="15"/>
  <c r="F1712" i="15"/>
  <c r="G1712" i="15"/>
  <c r="H1712" i="15"/>
  <c r="I1712" i="15"/>
  <c r="J1712" i="15"/>
  <c r="K1712" i="15"/>
  <c r="L1712" i="15"/>
  <c r="M1712" i="15"/>
  <c r="N1712" i="15"/>
  <c r="A1713" i="15"/>
  <c r="B1713" i="15"/>
  <c r="C1713" i="15"/>
  <c r="D1713" i="15"/>
  <c r="E1713" i="15"/>
  <c r="F1713" i="15"/>
  <c r="G1713" i="15"/>
  <c r="H1713" i="15"/>
  <c r="I1713" i="15"/>
  <c r="J1713" i="15"/>
  <c r="K1713" i="15"/>
  <c r="L1713" i="15"/>
  <c r="M1713" i="15"/>
  <c r="N1713" i="15"/>
  <c r="A1714" i="15"/>
  <c r="B1714" i="15"/>
  <c r="C1714" i="15"/>
  <c r="D1714" i="15"/>
  <c r="E1714" i="15"/>
  <c r="F1714" i="15"/>
  <c r="G1714" i="15"/>
  <c r="H1714" i="15"/>
  <c r="I1714" i="15"/>
  <c r="J1714" i="15"/>
  <c r="K1714" i="15"/>
  <c r="L1714" i="15"/>
  <c r="M1714" i="15"/>
  <c r="N1714" i="15"/>
  <c r="A1715" i="15"/>
  <c r="B1715" i="15"/>
  <c r="C1715" i="15"/>
  <c r="D1715" i="15"/>
  <c r="E1715" i="15"/>
  <c r="F1715" i="15"/>
  <c r="G1715" i="15"/>
  <c r="H1715" i="15"/>
  <c r="I1715" i="15"/>
  <c r="J1715" i="15"/>
  <c r="K1715" i="15"/>
  <c r="L1715" i="15"/>
  <c r="M1715" i="15"/>
  <c r="N1715" i="15"/>
  <c r="A1716" i="15"/>
  <c r="B1716" i="15"/>
  <c r="C1716" i="15"/>
  <c r="D1716" i="15"/>
  <c r="E1716" i="15"/>
  <c r="F1716" i="15"/>
  <c r="G1716" i="15"/>
  <c r="H1716" i="15"/>
  <c r="I1716" i="15"/>
  <c r="J1716" i="15"/>
  <c r="K1716" i="15"/>
  <c r="L1716" i="15"/>
  <c r="M1716" i="15"/>
  <c r="N1716" i="15"/>
  <c r="A1717" i="15"/>
  <c r="B1717" i="15"/>
  <c r="C1717" i="15"/>
  <c r="D1717" i="15"/>
  <c r="E1717" i="15"/>
  <c r="F1717" i="15"/>
  <c r="G1717" i="15"/>
  <c r="H1717" i="15"/>
  <c r="I1717" i="15"/>
  <c r="J1717" i="15"/>
  <c r="K1717" i="15"/>
  <c r="L1717" i="15"/>
  <c r="M1717" i="15"/>
  <c r="N1717" i="15"/>
  <c r="A1718" i="15"/>
  <c r="B1718" i="15"/>
  <c r="C1718" i="15"/>
  <c r="D1718" i="15"/>
  <c r="E1718" i="15"/>
  <c r="F1718" i="15"/>
  <c r="G1718" i="15"/>
  <c r="H1718" i="15"/>
  <c r="I1718" i="15"/>
  <c r="J1718" i="15"/>
  <c r="K1718" i="15"/>
  <c r="L1718" i="15"/>
  <c r="M1718" i="15"/>
  <c r="N1718" i="15"/>
  <c r="A1719" i="15"/>
  <c r="B1719" i="15"/>
  <c r="C1719" i="15"/>
  <c r="D1719" i="15"/>
  <c r="E1719" i="15"/>
  <c r="F1719" i="15"/>
  <c r="G1719" i="15"/>
  <c r="H1719" i="15"/>
  <c r="I1719" i="15"/>
  <c r="J1719" i="15"/>
  <c r="K1719" i="15"/>
  <c r="L1719" i="15"/>
  <c r="M1719" i="15"/>
  <c r="N1719" i="15"/>
  <c r="A1720" i="15"/>
  <c r="B1720" i="15"/>
  <c r="C1720" i="15"/>
  <c r="D1720" i="15"/>
  <c r="E1720" i="15"/>
  <c r="F1720" i="15"/>
  <c r="G1720" i="15"/>
  <c r="H1720" i="15"/>
  <c r="I1720" i="15"/>
  <c r="J1720" i="15"/>
  <c r="K1720" i="15"/>
  <c r="L1720" i="15"/>
  <c r="M1720" i="15"/>
  <c r="N1720" i="15"/>
  <c r="A1721" i="15"/>
  <c r="B1721" i="15"/>
  <c r="C1721" i="15"/>
  <c r="D1721" i="15"/>
  <c r="E1721" i="15"/>
  <c r="F1721" i="15"/>
  <c r="G1721" i="15"/>
  <c r="H1721" i="15"/>
  <c r="I1721" i="15"/>
  <c r="J1721" i="15"/>
  <c r="K1721" i="15"/>
  <c r="L1721" i="15"/>
  <c r="M1721" i="15"/>
  <c r="N1721" i="15"/>
  <c r="A1722" i="15"/>
  <c r="B1722" i="15"/>
  <c r="C1722" i="15"/>
  <c r="D1722" i="15"/>
  <c r="E1722" i="15"/>
  <c r="F1722" i="15"/>
  <c r="G1722" i="15"/>
  <c r="H1722" i="15"/>
  <c r="I1722" i="15"/>
  <c r="J1722" i="15"/>
  <c r="K1722" i="15"/>
  <c r="L1722" i="15"/>
  <c r="M1722" i="15"/>
  <c r="N1722" i="15"/>
  <c r="A1723" i="15"/>
  <c r="B1723" i="15"/>
  <c r="C1723" i="15"/>
  <c r="D1723" i="15"/>
  <c r="E1723" i="15"/>
  <c r="F1723" i="15"/>
  <c r="G1723" i="15"/>
  <c r="H1723" i="15"/>
  <c r="I1723" i="15"/>
  <c r="J1723" i="15"/>
  <c r="K1723" i="15"/>
  <c r="L1723" i="15"/>
  <c r="M1723" i="15"/>
  <c r="N1723" i="15"/>
  <c r="A1724" i="15"/>
  <c r="B1724" i="15"/>
  <c r="C1724" i="15"/>
  <c r="D1724" i="15"/>
  <c r="E1724" i="15"/>
  <c r="F1724" i="15"/>
  <c r="G1724" i="15"/>
  <c r="H1724" i="15"/>
  <c r="I1724" i="15"/>
  <c r="J1724" i="15"/>
  <c r="K1724" i="15"/>
  <c r="L1724" i="15"/>
  <c r="M1724" i="15"/>
  <c r="N1724" i="15"/>
  <c r="A1725" i="15"/>
  <c r="B1725" i="15"/>
  <c r="C1725" i="15"/>
  <c r="D1725" i="15"/>
  <c r="E1725" i="15"/>
  <c r="F1725" i="15"/>
  <c r="G1725" i="15"/>
  <c r="H1725" i="15"/>
  <c r="I1725" i="15"/>
  <c r="J1725" i="15"/>
  <c r="K1725" i="15"/>
  <c r="L1725" i="15"/>
  <c r="M1725" i="15"/>
  <c r="N1725" i="15"/>
  <c r="A1726" i="15"/>
  <c r="B1726" i="15"/>
  <c r="C1726" i="15"/>
  <c r="D1726" i="15"/>
  <c r="E1726" i="15"/>
  <c r="F1726" i="15"/>
  <c r="G1726" i="15"/>
  <c r="H1726" i="15"/>
  <c r="I1726" i="15"/>
  <c r="J1726" i="15"/>
  <c r="K1726" i="15"/>
  <c r="L1726" i="15"/>
  <c r="M1726" i="15"/>
  <c r="N1726" i="15"/>
  <c r="A1727" i="15"/>
  <c r="B1727" i="15"/>
  <c r="C1727" i="15"/>
  <c r="D1727" i="15"/>
  <c r="E1727" i="15"/>
  <c r="F1727" i="15"/>
  <c r="G1727" i="15"/>
  <c r="H1727" i="15"/>
  <c r="I1727" i="15"/>
  <c r="J1727" i="15"/>
  <c r="K1727" i="15"/>
  <c r="L1727" i="15"/>
  <c r="M1727" i="15"/>
  <c r="N1727" i="15"/>
  <c r="A1728" i="15"/>
  <c r="B1728" i="15"/>
  <c r="C1728" i="15"/>
  <c r="D1728" i="15"/>
  <c r="E1728" i="15"/>
  <c r="F1728" i="15"/>
  <c r="G1728" i="15"/>
  <c r="H1728" i="15"/>
  <c r="I1728" i="15"/>
  <c r="J1728" i="15"/>
  <c r="K1728" i="15"/>
  <c r="L1728" i="15"/>
  <c r="M1728" i="15"/>
  <c r="N1728" i="15"/>
  <c r="A1729" i="15"/>
  <c r="B1729" i="15"/>
  <c r="C1729" i="15"/>
  <c r="D1729" i="15"/>
  <c r="E1729" i="15"/>
  <c r="F1729" i="15"/>
  <c r="G1729" i="15"/>
  <c r="H1729" i="15"/>
  <c r="I1729" i="15"/>
  <c r="J1729" i="15"/>
  <c r="K1729" i="15"/>
  <c r="L1729" i="15"/>
  <c r="M1729" i="15"/>
  <c r="N1729" i="15"/>
  <c r="A1730" i="15"/>
  <c r="B1730" i="15"/>
  <c r="C1730" i="15"/>
  <c r="D1730" i="15"/>
  <c r="E1730" i="15"/>
  <c r="F1730" i="15"/>
  <c r="G1730" i="15"/>
  <c r="H1730" i="15"/>
  <c r="I1730" i="15"/>
  <c r="J1730" i="15"/>
  <c r="K1730" i="15"/>
  <c r="L1730" i="15"/>
  <c r="M1730" i="15"/>
  <c r="N1730" i="15"/>
  <c r="A1731" i="15"/>
  <c r="B1731" i="15"/>
  <c r="C1731" i="15"/>
  <c r="D1731" i="15"/>
  <c r="E1731" i="15"/>
  <c r="F1731" i="15"/>
  <c r="G1731" i="15"/>
  <c r="H1731" i="15"/>
  <c r="I1731" i="15"/>
  <c r="J1731" i="15"/>
  <c r="K1731" i="15"/>
  <c r="L1731" i="15"/>
  <c r="M1731" i="15"/>
  <c r="N1731" i="15"/>
  <c r="A1732" i="15"/>
  <c r="B1732" i="15"/>
  <c r="C1732" i="15"/>
  <c r="D1732" i="15"/>
  <c r="E1732" i="15"/>
  <c r="F1732" i="15"/>
  <c r="G1732" i="15"/>
  <c r="H1732" i="15"/>
  <c r="I1732" i="15"/>
  <c r="J1732" i="15"/>
  <c r="K1732" i="15"/>
  <c r="L1732" i="15"/>
  <c r="M1732" i="15"/>
  <c r="N1732" i="15"/>
  <c r="A1733" i="15"/>
  <c r="B1733" i="15"/>
  <c r="C1733" i="15"/>
  <c r="D1733" i="15"/>
  <c r="E1733" i="15"/>
  <c r="F1733" i="15"/>
  <c r="G1733" i="15"/>
  <c r="H1733" i="15"/>
  <c r="I1733" i="15"/>
  <c r="J1733" i="15"/>
  <c r="K1733" i="15"/>
  <c r="L1733" i="15"/>
  <c r="M1733" i="15"/>
  <c r="N1733" i="15"/>
  <c r="A1734" i="15"/>
  <c r="B1734" i="15"/>
  <c r="C1734" i="15"/>
  <c r="D1734" i="15"/>
  <c r="E1734" i="15"/>
  <c r="F1734" i="15"/>
  <c r="G1734" i="15"/>
  <c r="H1734" i="15"/>
  <c r="I1734" i="15"/>
  <c r="J1734" i="15"/>
  <c r="K1734" i="15"/>
  <c r="L1734" i="15"/>
  <c r="M1734" i="15"/>
  <c r="N1734" i="15"/>
  <c r="A1735" i="15"/>
  <c r="B1735" i="15"/>
  <c r="C1735" i="15"/>
  <c r="D1735" i="15"/>
  <c r="E1735" i="15"/>
  <c r="F1735" i="15"/>
  <c r="G1735" i="15"/>
  <c r="H1735" i="15"/>
  <c r="I1735" i="15"/>
  <c r="J1735" i="15"/>
  <c r="K1735" i="15"/>
  <c r="L1735" i="15"/>
  <c r="M1735" i="15"/>
  <c r="N1735" i="15"/>
  <c r="A1736" i="15"/>
  <c r="B1736" i="15"/>
  <c r="C1736" i="15"/>
  <c r="D1736" i="15"/>
  <c r="E1736" i="15"/>
  <c r="F1736" i="15"/>
  <c r="G1736" i="15"/>
  <c r="H1736" i="15"/>
  <c r="I1736" i="15"/>
  <c r="J1736" i="15"/>
  <c r="K1736" i="15"/>
  <c r="L1736" i="15"/>
  <c r="M1736" i="15"/>
  <c r="N1736" i="15"/>
  <c r="A1737" i="15"/>
  <c r="B1737" i="15"/>
  <c r="C1737" i="15"/>
  <c r="D1737" i="15"/>
  <c r="E1737" i="15"/>
  <c r="F1737" i="15"/>
  <c r="G1737" i="15"/>
  <c r="H1737" i="15"/>
  <c r="I1737" i="15"/>
  <c r="J1737" i="15"/>
  <c r="K1737" i="15"/>
  <c r="L1737" i="15"/>
  <c r="M1737" i="15"/>
  <c r="N1737" i="15"/>
  <c r="A1738" i="15"/>
  <c r="B1738" i="15"/>
  <c r="C1738" i="15"/>
  <c r="D1738" i="15"/>
  <c r="E1738" i="15"/>
  <c r="F1738" i="15"/>
  <c r="G1738" i="15"/>
  <c r="H1738" i="15"/>
  <c r="I1738" i="15"/>
  <c r="J1738" i="15"/>
  <c r="K1738" i="15"/>
  <c r="L1738" i="15"/>
  <c r="M1738" i="15"/>
  <c r="N1738" i="15"/>
  <c r="A1739" i="15"/>
  <c r="B1739" i="15"/>
  <c r="C1739" i="15"/>
  <c r="D1739" i="15"/>
  <c r="E1739" i="15"/>
  <c r="F1739" i="15"/>
  <c r="G1739" i="15"/>
  <c r="H1739" i="15"/>
  <c r="I1739" i="15"/>
  <c r="J1739" i="15"/>
  <c r="K1739" i="15"/>
  <c r="L1739" i="15"/>
  <c r="M1739" i="15"/>
  <c r="N1739" i="15"/>
  <c r="A1740" i="15"/>
  <c r="B1740" i="15"/>
  <c r="C1740" i="15"/>
  <c r="D1740" i="15"/>
  <c r="E1740" i="15"/>
  <c r="F1740" i="15"/>
  <c r="G1740" i="15"/>
  <c r="H1740" i="15"/>
  <c r="I1740" i="15"/>
  <c r="J1740" i="15"/>
  <c r="K1740" i="15"/>
  <c r="L1740" i="15"/>
  <c r="M1740" i="15"/>
  <c r="N1740" i="15"/>
  <c r="A1741" i="15"/>
  <c r="B1741" i="15"/>
  <c r="C1741" i="15"/>
  <c r="D1741" i="15"/>
  <c r="E1741" i="15"/>
  <c r="F1741" i="15"/>
  <c r="G1741" i="15"/>
  <c r="H1741" i="15"/>
  <c r="I1741" i="15"/>
  <c r="J1741" i="15"/>
  <c r="K1741" i="15"/>
  <c r="L1741" i="15"/>
  <c r="M1741" i="15"/>
  <c r="N1741" i="15"/>
  <c r="A1742" i="15"/>
  <c r="B1742" i="15"/>
  <c r="C1742" i="15"/>
  <c r="D1742" i="15"/>
  <c r="E1742" i="15"/>
  <c r="F1742" i="15"/>
  <c r="G1742" i="15"/>
  <c r="H1742" i="15"/>
  <c r="I1742" i="15"/>
  <c r="J1742" i="15"/>
  <c r="K1742" i="15"/>
  <c r="L1742" i="15"/>
  <c r="M1742" i="15"/>
  <c r="N1742" i="15"/>
  <c r="A1743" i="15"/>
  <c r="B1743" i="15"/>
  <c r="C1743" i="15"/>
  <c r="D1743" i="15"/>
  <c r="E1743" i="15"/>
  <c r="F1743" i="15"/>
  <c r="G1743" i="15"/>
  <c r="H1743" i="15"/>
  <c r="I1743" i="15"/>
  <c r="J1743" i="15"/>
  <c r="K1743" i="15"/>
  <c r="L1743" i="15"/>
  <c r="M1743" i="15"/>
  <c r="N1743" i="15"/>
  <c r="A1744" i="15"/>
  <c r="B1744" i="15"/>
  <c r="C1744" i="15"/>
  <c r="D1744" i="15"/>
  <c r="E1744" i="15"/>
  <c r="F1744" i="15"/>
  <c r="G1744" i="15"/>
  <c r="H1744" i="15"/>
  <c r="I1744" i="15"/>
  <c r="J1744" i="15"/>
  <c r="K1744" i="15"/>
  <c r="L1744" i="15"/>
  <c r="M1744" i="15"/>
  <c r="N1744" i="15"/>
  <c r="A1745" i="15"/>
  <c r="B1745" i="15"/>
  <c r="C1745" i="15"/>
  <c r="D1745" i="15"/>
  <c r="E1745" i="15"/>
  <c r="F1745" i="15"/>
  <c r="G1745" i="15"/>
  <c r="H1745" i="15"/>
  <c r="I1745" i="15"/>
  <c r="J1745" i="15"/>
  <c r="K1745" i="15"/>
  <c r="L1745" i="15"/>
  <c r="M1745" i="15"/>
  <c r="N1745" i="15"/>
  <c r="A1746" i="15"/>
  <c r="B1746" i="15"/>
  <c r="C1746" i="15"/>
  <c r="D1746" i="15"/>
  <c r="E1746" i="15"/>
  <c r="F1746" i="15"/>
  <c r="G1746" i="15"/>
  <c r="H1746" i="15"/>
  <c r="I1746" i="15"/>
  <c r="J1746" i="15"/>
  <c r="K1746" i="15"/>
  <c r="L1746" i="15"/>
  <c r="M1746" i="15"/>
  <c r="N1746" i="15"/>
  <c r="A1747" i="15"/>
  <c r="B1747" i="15"/>
  <c r="C1747" i="15"/>
  <c r="D1747" i="15"/>
  <c r="E1747" i="15"/>
  <c r="F1747" i="15"/>
  <c r="G1747" i="15"/>
  <c r="H1747" i="15"/>
  <c r="I1747" i="15"/>
  <c r="J1747" i="15"/>
  <c r="K1747" i="15"/>
  <c r="L1747" i="15"/>
  <c r="M1747" i="15"/>
  <c r="N1747" i="15"/>
  <c r="A1748" i="15"/>
  <c r="B1748" i="15"/>
  <c r="C1748" i="15"/>
  <c r="D1748" i="15"/>
  <c r="E1748" i="15"/>
  <c r="F1748" i="15"/>
  <c r="G1748" i="15"/>
  <c r="H1748" i="15"/>
  <c r="I1748" i="15"/>
  <c r="J1748" i="15"/>
  <c r="K1748" i="15"/>
  <c r="L1748" i="15"/>
  <c r="M1748" i="15"/>
  <c r="N1748" i="15"/>
  <c r="A1749" i="15"/>
  <c r="B1749" i="15"/>
  <c r="C1749" i="15"/>
  <c r="D1749" i="15"/>
  <c r="E1749" i="15"/>
  <c r="F1749" i="15"/>
  <c r="G1749" i="15"/>
  <c r="H1749" i="15"/>
  <c r="I1749" i="15"/>
  <c r="J1749" i="15"/>
  <c r="K1749" i="15"/>
  <c r="L1749" i="15"/>
  <c r="M1749" i="15"/>
  <c r="N1749" i="15"/>
  <c r="A1750" i="15"/>
  <c r="B1750" i="15"/>
  <c r="C1750" i="15"/>
  <c r="D1750" i="15"/>
  <c r="E1750" i="15"/>
  <c r="F1750" i="15"/>
  <c r="G1750" i="15"/>
  <c r="H1750" i="15"/>
  <c r="I1750" i="15"/>
  <c r="J1750" i="15"/>
  <c r="K1750" i="15"/>
  <c r="L1750" i="15"/>
  <c r="M1750" i="15"/>
  <c r="N1750" i="15"/>
  <c r="A1751" i="15"/>
  <c r="B1751" i="15"/>
  <c r="C1751" i="15"/>
  <c r="D1751" i="15"/>
  <c r="E1751" i="15"/>
  <c r="F1751" i="15"/>
  <c r="G1751" i="15"/>
  <c r="H1751" i="15"/>
  <c r="I1751" i="15"/>
  <c r="J1751" i="15"/>
  <c r="K1751" i="15"/>
  <c r="L1751" i="15"/>
  <c r="M1751" i="15"/>
  <c r="N1751" i="15"/>
  <c r="A1752" i="15"/>
  <c r="B1752" i="15"/>
  <c r="C1752" i="15"/>
  <c r="D1752" i="15"/>
  <c r="E1752" i="15"/>
  <c r="F1752" i="15"/>
  <c r="G1752" i="15"/>
  <c r="H1752" i="15"/>
  <c r="I1752" i="15"/>
  <c r="J1752" i="15"/>
  <c r="K1752" i="15"/>
  <c r="L1752" i="15"/>
  <c r="M1752" i="15"/>
  <c r="N1752" i="15"/>
  <c r="A1753" i="15"/>
  <c r="B1753" i="15"/>
  <c r="C1753" i="15"/>
  <c r="D1753" i="15"/>
  <c r="E1753" i="15"/>
  <c r="F1753" i="15"/>
  <c r="G1753" i="15"/>
  <c r="H1753" i="15"/>
  <c r="I1753" i="15"/>
  <c r="J1753" i="15"/>
  <c r="K1753" i="15"/>
  <c r="L1753" i="15"/>
  <c r="M1753" i="15"/>
  <c r="N1753" i="15"/>
  <c r="A1754" i="15"/>
  <c r="B1754" i="15"/>
  <c r="C1754" i="15"/>
  <c r="D1754" i="15"/>
  <c r="E1754" i="15"/>
  <c r="F1754" i="15"/>
  <c r="G1754" i="15"/>
  <c r="H1754" i="15"/>
  <c r="I1754" i="15"/>
  <c r="J1754" i="15"/>
  <c r="K1754" i="15"/>
  <c r="L1754" i="15"/>
  <c r="M1754" i="15"/>
  <c r="N1754" i="15"/>
  <c r="A1755" i="15"/>
  <c r="B1755" i="15"/>
  <c r="C1755" i="15"/>
  <c r="D1755" i="15"/>
  <c r="E1755" i="15"/>
  <c r="F1755" i="15"/>
  <c r="G1755" i="15"/>
  <c r="H1755" i="15"/>
  <c r="I1755" i="15"/>
  <c r="J1755" i="15"/>
  <c r="K1755" i="15"/>
  <c r="L1755" i="15"/>
  <c r="M1755" i="15"/>
  <c r="N1755" i="15"/>
  <c r="A1756" i="15"/>
  <c r="B1756" i="15"/>
  <c r="C1756" i="15"/>
  <c r="D1756" i="15"/>
  <c r="E1756" i="15"/>
  <c r="F1756" i="15"/>
  <c r="G1756" i="15"/>
  <c r="H1756" i="15"/>
  <c r="I1756" i="15"/>
  <c r="J1756" i="15"/>
  <c r="K1756" i="15"/>
  <c r="L1756" i="15"/>
  <c r="M1756" i="15"/>
  <c r="N1756" i="15"/>
  <c r="A1757" i="15"/>
  <c r="B1757" i="15"/>
  <c r="C1757" i="15"/>
  <c r="D1757" i="15"/>
  <c r="E1757" i="15"/>
  <c r="F1757" i="15"/>
  <c r="G1757" i="15"/>
  <c r="H1757" i="15"/>
  <c r="I1757" i="15"/>
  <c r="J1757" i="15"/>
  <c r="K1757" i="15"/>
  <c r="L1757" i="15"/>
  <c r="M1757" i="15"/>
  <c r="N1757" i="15"/>
  <c r="A1758" i="15"/>
  <c r="B1758" i="15"/>
  <c r="C1758" i="15"/>
  <c r="D1758" i="15"/>
  <c r="E1758" i="15"/>
  <c r="F1758" i="15"/>
  <c r="G1758" i="15"/>
  <c r="H1758" i="15"/>
  <c r="I1758" i="15"/>
  <c r="J1758" i="15"/>
  <c r="K1758" i="15"/>
  <c r="L1758" i="15"/>
  <c r="M1758" i="15"/>
  <c r="N1758" i="15"/>
  <c r="A1759" i="15"/>
  <c r="B1759" i="15"/>
  <c r="C1759" i="15"/>
  <c r="D1759" i="15"/>
  <c r="E1759" i="15"/>
  <c r="F1759" i="15"/>
  <c r="G1759" i="15"/>
  <c r="H1759" i="15"/>
  <c r="I1759" i="15"/>
  <c r="J1759" i="15"/>
  <c r="K1759" i="15"/>
  <c r="L1759" i="15"/>
  <c r="M1759" i="15"/>
  <c r="N1759" i="15"/>
  <c r="A1760" i="15"/>
  <c r="B1760" i="15"/>
  <c r="C1760" i="15"/>
  <c r="D1760" i="15"/>
  <c r="E1760" i="15"/>
  <c r="F1760" i="15"/>
  <c r="G1760" i="15"/>
  <c r="H1760" i="15"/>
  <c r="I1760" i="15"/>
  <c r="J1760" i="15"/>
  <c r="K1760" i="15"/>
  <c r="L1760" i="15"/>
  <c r="M1760" i="15"/>
  <c r="N1760" i="15"/>
  <c r="A1761" i="15"/>
  <c r="B1761" i="15"/>
  <c r="C1761" i="15"/>
  <c r="D1761" i="15"/>
  <c r="E1761" i="15"/>
  <c r="F1761" i="15"/>
  <c r="G1761" i="15"/>
  <c r="H1761" i="15"/>
  <c r="I1761" i="15"/>
  <c r="J1761" i="15"/>
  <c r="K1761" i="15"/>
  <c r="L1761" i="15"/>
  <c r="M1761" i="15"/>
  <c r="N1761" i="15"/>
  <c r="A1762" i="15"/>
  <c r="B1762" i="15"/>
  <c r="C1762" i="15"/>
  <c r="D1762" i="15"/>
  <c r="E1762" i="15"/>
  <c r="F1762" i="15"/>
  <c r="G1762" i="15"/>
  <c r="H1762" i="15"/>
  <c r="I1762" i="15"/>
  <c r="J1762" i="15"/>
  <c r="K1762" i="15"/>
  <c r="L1762" i="15"/>
  <c r="M1762" i="15"/>
  <c r="N1762" i="15"/>
  <c r="A1763" i="15"/>
  <c r="B1763" i="15"/>
  <c r="C1763" i="15"/>
  <c r="D1763" i="15"/>
  <c r="E1763" i="15"/>
  <c r="F1763" i="15"/>
  <c r="G1763" i="15"/>
  <c r="H1763" i="15"/>
  <c r="I1763" i="15"/>
  <c r="J1763" i="15"/>
  <c r="K1763" i="15"/>
  <c r="L1763" i="15"/>
  <c r="M1763" i="15"/>
  <c r="N1763" i="15"/>
  <c r="A1764" i="15"/>
  <c r="B1764" i="15"/>
  <c r="C1764" i="15"/>
  <c r="D1764" i="15"/>
  <c r="E1764" i="15"/>
  <c r="F1764" i="15"/>
  <c r="G1764" i="15"/>
  <c r="H1764" i="15"/>
  <c r="I1764" i="15"/>
  <c r="J1764" i="15"/>
  <c r="K1764" i="15"/>
  <c r="L1764" i="15"/>
  <c r="M1764" i="15"/>
  <c r="N1764" i="15"/>
  <c r="A1765" i="15"/>
  <c r="B1765" i="15"/>
  <c r="C1765" i="15"/>
  <c r="D1765" i="15"/>
  <c r="E1765" i="15"/>
  <c r="F1765" i="15"/>
  <c r="G1765" i="15"/>
  <c r="H1765" i="15"/>
  <c r="I1765" i="15"/>
  <c r="J1765" i="15"/>
  <c r="K1765" i="15"/>
  <c r="L1765" i="15"/>
  <c r="M1765" i="15"/>
  <c r="N1765" i="15"/>
  <c r="A1766" i="15"/>
  <c r="B1766" i="15"/>
  <c r="C1766" i="15"/>
  <c r="D1766" i="15"/>
  <c r="E1766" i="15"/>
  <c r="F1766" i="15"/>
  <c r="G1766" i="15"/>
  <c r="H1766" i="15"/>
  <c r="I1766" i="15"/>
  <c r="J1766" i="15"/>
  <c r="K1766" i="15"/>
  <c r="L1766" i="15"/>
  <c r="M1766" i="15"/>
  <c r="N1766" i="15"/>
  <c r="A1767" i="15"/>
  <c r="B1767" i="15"/>
  <c r="C1767" i="15"/>
  <c r="D1767" i="15"/>
  <c r="E1767" i="15"/>
  <c r="F1767" i="15"/>
  <c r="G1767" i="15"/>
  <c r="H1767" i="15"/>
  <c r="I1767" i="15"/>
  <c r="J1767" i="15"/>
  <c r="K1767" i="15"/>
  <c r="L1767" i="15"/>
  <c r="M1767" i="15"/>
  <c r="N1767" i="15"/>
  <c r="A1768" i="15"/>
  <c r="B1768" i="15"/>
  <c r="C1768" i="15"/>
  <c r="D1768" i="15"/>
  <c r="E1768" i="15"/>
  <c r="F1768" i="15"/>
  <c r="G1768" i="15"/>
  <c r="H1768" i="15"/>
  <c r="I1768" i="15"/>
  <c r="J1768" i="15"/>
  <c r="K1768" i="15"/>
  <c r="L1768" i="15"/>
  <c r="M1768" i="15"/>
  <c r="N1768" i="15"/>
  <c r="A1769" i="15"/>
  <c r="B1769" i="15"/>
  <c r="C1769" i="15"/>
  <c r="D1769" i="15"/>
  <c r="E1769" i="15"/>
  <c r="F1769" i="15"/>
  <c r="G1769" i="15"/>
  <c r="H1769" i="15"/>
  <c r="I1769" i="15"/>
  <c r="J1769" i="15"/>
  <c r="K1769" i="15"/>
  <c r="L1769" i="15"/>
  <c r="M1769" i="15"/>
  <c r="N1769" i="15"/>
  <c r="A1770" i="15"/>
  <c r="B1770" i="15"/>
  <c r="C1770" i="15"/>
  <c r="D1770" i="15"/>
  <c r="E1770" i="15"/>
  <c r="F1770" i="15"/>
  <c r="G1770" i="15"/>
  <c r="H1770" i="15"/>
  <c r="I1770" i="15"/>
  <c r="J1770" i="15"/>
  <c r="K1770" i="15"/>
  <c r="L1770" i="15"/>
  <c r="M1770" i="15"/>
  <c r="N1770" i="15"/>
  <c r="A1771" i="15"/>
  <c r="B1771" i="15"/>
  <c r="C1771" i="15"/>
  <c r="D1771" i="15"/>
  <c r="E1771" i="15"/>
  <c r="F1771" i="15"/>
  <c r="G1771" i="15"/>
  <c r="H1771" i="15"/>
  <c r="I1771" i="15"/>
  <c r="J1771" i="15"/>
  <c r="K1771" i="15"/>
  <c r="L1771" i="15"/>
  <c r="M1771" i="15"/>
  <c r="N1771" i="15"/>
  <c r="A1772" i="15"/>
  <c r="B1772" i="15"/>
  <c r="C1772" i="15"/>
  <c r="D1772" i="15"/>
  <c r="E1772" i="15"/>
  <c r="F1772" i="15"/>
  <c r="G1772" i="15"/>
  <c r="H1772" i="15"/>
  <c r="I1772" i="15"/>
  <c r="J1772" i="15"/>
  <c r="K1772" i="15"/>
  <c r="L1772" i="15"/>
  <c r="M1772" i="15"/>
  <c r="N1772" i="15"/>
  <c r="A1773" i="15"/>
  <c r="B1773" i="15"/>
  <c r="C1773" i="15"/>
  <c r="D1773" i="15"/>
  <c r="E1773" i="15"/>
  <c r="F1773" i="15"/>
  <c r="G1773" i="15"/>
  <c r="H1773" i="15"/>
  <c r="I1773" i="15"/>
  <c r="J1773" i="15"/>
  <c r="K1773" i="15"/>
  <c r="L1773" i="15"/>
  <c r="M1773" i="15"/>
  <c r="N1773" i="15"/>
  <c r="A1774" i="15"/>
  <c r="B1774" i="15"/>
  <c r="C1774" i="15"/>
  <c r="D1774" i="15"/>
  <c r="E1774" i="15"/>
  <c r="F1774" i="15"/>
  <c r="G1774" i="15"/>
  <c r="H1774" i="15"/>
  <c r="I1774" i="15"/>
  <c r="J1774" i="15"/>
  <c r="K1774" i="15"/>
  <c r="L1774" i="15"/>
  <c r="M1774" i="15"/>
  <c r="N1774" i="15"/>
  <c r="A1775" i="15"/>
  <c r="B1775" i="15"/>
  <c r="C1775" i="15"/>
  <c r="D1775" i="15"/>
  <c r="E1775" i="15"/>
  <c r="F1775" i="15"/>
  <c r="G1775" i="15"/>
  <c r="H1775" i="15"/>
  <c r="I1775" i="15"/>
  <c r="J1775" i="15"/>
  <c r="K1775" i="15"/>
  <c r="L1775" i="15"/>
  <c r="M1775" i="15"/>
  <c r="N1775" i="15"/>
  <c r="A1776" i="15"/>
  <c r="B1776" i="15"/>
  <c r="C1776" i="15"/>
  <c r="D1776" i="15"/>
  <c r="E1776" i="15"/>
  <c r="F1776" i="15"/>
  <c r="G1776" i="15"/>
  <c r="H1776" i="15"/>
  <c r="I1776" i="15"/>
  <c r="J1776" i="15"/>
  <c r="K1776" i="15"/>
  <c r="L1776" i="15"/>
  <c r="M1776" i="15"/>
  <c r="N1776" i="15"/>
  <c r="A1777" i="15"/>
  <c r="B1777" i="15"/>
  <c r="C1777" i="15"/>
  <c r="D1777" i="15"/>
  <c r="E1777" i="15"/>
  <c r="F1777" i="15"/>
  <c r="G1777" i="15"/>
  <c r="H1777" i="15"/>
  <c r="I1777" i="15"/>
  <c r="J1777" i="15"/>
  <c r="K1777" i="15"/>
  <c r="L1777" i="15"/>
  <c r="M1777" i="15"/>
  <c r="N1777" i="15"/>
  <c r="A1778" i="15"/>
  <c r="B1778" i="15"/>
  <c r="C1778" i="15"/>
  <c r="D1778" i="15"/>
  <c r="E1778" i="15"/>
  <c r="F1778" i="15"/>
  <c r="G1778" i="15"/>
  <c r="H1778" i="15"/>
  <c r="I1778" i="15"/>
  <c r="J1778" i="15"/>
  <c r="K1778" i="15"/>
  <c r="L1778" i="15"/>
  <c r="M1778" i="15"/>
  <c r="N1778" i="15"/>
  <c r="A1779" i="15"/>
  <c r="B1779" i="15"/>
  <c r="C1779" i="15"/>
  <c r="D1779" i="15"/>
  <c r="E1779" i="15"/>
  <c r="F1779" i="15"/>
  <c r="G1779" i="15"/>
  <c r="H1779" i="15"/>
  <c r="I1779" i="15"/>
  <c r="J1779" i="15"/>
  <c r="K1779" i="15"/>
  <c r="L1779" i="15"/>
  <c r="M1779" i="15"/>
  <c r="N1779" i="15"/>
  <c r="A1780" i="15"/>
  <c r="B1780" i="15"/>
  <c r="C1780" i="15"/>
  <c r="D1780" i="15"/>
  <c r="E1780" i="15"/>
  <c r="F1780" i="15"/>
  <c r="G1780" i="15"/>
  <c r="H1780" i="15"/>
  <c r="I1780" i="15"/>
  <c r="J1780" i="15"/>
  <c r="K1780" i="15"/>
  <c r="L1780" i="15"/>
  <c r="M1780" i="15"/>
  <c r="N1780" i="15"/>
  <c r="A1781" i="15"/>
  <c r="B1781" i="15"/>
  <c r="C1781" i="15"/>
  <c r="D1781" i="15"/>
  <c r="E1781" i="15"/>
  <c r="F1781" i="15"/>
  <c r="G1781" i="15"/>
  <c r="H1781" i="15"/>
  <c r="I1781" i="15"/>
  <c r="J1781" i="15"/>
  <c r="K1781" i="15"/>
  <c r="L1781" i="15"/>
  <c r="M1781" i="15"/>
  <c r="N1781" i="15"/>
  <c r="A1782" i="15"/>
  <c r="B1782" i="15"/>
  <c r="C1782" i="15"/>
  <c r="D1782" i="15"/>
  <c r="E1782" i="15"/>
  <c r="F1782" i="15"/>
  <c r="G1782" i="15"/>
  <c r="H1782" i="15"/>
  <c r="I1782" i="15"/>
  <c r="J1782" i="15"/>
  <c r="K1782" i="15"/>
  <c r="L1782" i="15"/>
  <c r="M1782" i="15"/>
  <c r="N1782" i="15"/>
  <c r="A1783" i="15"/>
  <c r="B1783" i="15"/>
  <c r="C1783" i="15"/>
  <c r="D1783" i="15"/>
  <c r="E1783" i="15"/>
  <c r="F1783" i="15"/>
  <c r="G1783" i="15"/>
  <c r="H1783" i="15"/>
  <c r="I1783" i="15"/>
  <c r="J1783" i="15"/>
  <c r="K1783" i="15"/>
  <c r="L1783" i="15"/>
  <c r="M1783" i="15"/>
  <c r="N1783" i="15"/>
  <c r="A1784" i="15"/>
  <c r="B1784" i="15"/>
  <c r="C1784" i="15"/>
  <c r="D1784" i="15"/>
  <c r="E1784" i="15"/>
  <c r="F1784" i="15"/>
  <c r="G1784" i="15"/>
  <c r="H1784" i="15"/>
  <c r="I1784" i="15"/>
  <c r="J1784" i="15"/>
  <c r="K1784" i="15"/>
  <c r="L1784" i="15"/>
  <c r="M1784" i="15"/>
  <c r="N1784" i="15"/>
  <c r="A1785" i="15"/>
  <c r="B1785" i="15"/>
  <c r="C1785" i="15"/>
  <c r="D1785" i="15"/>
  <c r="E1785" i="15"/>
  <c r="F1785" i="15"/>
  <c r="G1785" i="15"/>
  <c r="H1785" i="15"/>
  <c r="I1785" i="15"/>
  <c r="J1785" i="15"/>
  <c r="K1785" i="15"/>
  <c r="L1785" i="15"/>
  <c r="M1785" i="15"/>
  <c r="N1785" i="15"/>
  <c r="A1786" i="15"/>
  <c r="B1786" i="15"/>
  <c r="C1786" i="15"/>
  <c r="D1786" i="15"/>
  <c r="E1786" i="15"/>
  <c r="F1786" i="15"/>
  <c r="G1786" i="15"/>
  <c r="H1786" i="15"/>
  <c r="I1786" i="15"/>
  <c r="J1786" i="15"/>
  <c r="K1786" i="15"/>
  <c r="L1786" i="15"/>
  <c r="M1786" i="15"/>
  <c r="N1786" i="15"/>
  <c r="A1787" i="15"/>
  <c r="B1787" i="15"/>
  <c r="C1787" i="15"/>
  <c r="D1787" i="15"/>
  <c r="E1787" i="15"/>
  <c r="F1787" i="15"/>
  <c r="G1787" i="15"/>
  <c r="H1787" i="15"/>
  <c r="I1787" i="15"/>
  <c r="J1787" i="15"/>
  <c r="K1787" i="15"/>
  <c r="L1787" i="15"/>
  <c r="M1787" i="15"/>
  <c r="N1787" i="15"/>
  <c r="A1788" i="15"/>
  <c r="B1788" i="15"/>
  <c r="C1788" i="15"/>
  <c r="D1788" i="15"/>
  <c r="E1788" i="15"/>
  <c r="F1788" i="15"/>
  <c r="G1788" i="15"/>
  <c r="H1788" i="15"/>
  <c r="I1788" i="15"/>
  <c r="J1788" i="15"/>
  <c r="K1788" i="15"/>
  <c r="L1788" i="15"/>
  <c r="M1788" i="15"/>
  <c r="N1788" i="15"/>
  <c r="A1789" i="15"/>
  <c r="B1789" i="15"/>
  <c r="C1789" i="15"/>
  <c r="D1789" i="15"/>
  <c r="E1789" i="15"/>
  <c r="F1789" i="15"/>
  <c r="G1789" i="15"/>
  <c r="H1789" i="15"/>
  <c r="I1789" i="15"/>
  <c r="J1789" i="15"/>
  <c r="K1789" i="15"/>
  <c r="L1789" i="15"/>
  <c r="M1789" i="15"/>
  <c r="N1789" i="15"/>
  <c r="A1790" i="15"/>
  <c r="B1790" i="15"/>
  <c r="C1790" i="15"/>
  <c r="D1790" i="15"/>
  <c r="E1790" i="15"/>
  <c r="F1790" i="15"/>
  <c r="G1790" i="15"/>
  <c r="H1790" i="15"/>
  <c r="I1790" i="15"/>
  <c r="J1790" i="15"/>
  <c r="K1790" i="15"/>
  <c r="L1790" i="15"/>
  <c r="M1790" i="15"/>
  <c r="N1790" i="15"/>
  <c r="A1791" i="15"/>
  <c r="B1791" i="15"/>
  <c r="C1791" i="15"/>
  <c r="D1791" i="15"/>
  <c r="E1791" i="15"/>
  <c r="F1791" i="15"/>
  <c r="G1791" i="15"/>
  <c r="H1791" i="15"/>
  <c r="I1791" i="15"/>
  <c r="J1791" i="15"/>
  <c r="K1791" i="15"/>
  <c r="L1791" i="15"/>
  <c r="M1791" i="15"/>
  <c r="N1791" i="15"/>
  <c r="A1792" i="15"/>
  <c r="B1792" i="15"/>
  <c r="C1792" i="15"/>
  <c r="D1792" i="15"/>
  <c r="E1792" i="15"/>
  <c r="F1792" i="15"/>
  <c r="G1792" i="15"/>
  <c r="H1792" i="15"/>
  <c r="I1792" i="15"/>
  <c r="J1792" i="15"/>
  <c r="K1792" i="15"/>
  <c r="L1792" i="15"/>
  <c r="M1792" i="15"/>
  <c r="N1792" i="15"/>
  <c r="A1793" i="15"/>
  <c r="B1793" i="15"/>
  <c r="C1793" i="15"/>
  <c r="D1793" i="15"/>
  <c r="E1793" i="15"/>
  <c r="F1793" i="15"/>
  <c r="G1793" i="15"/>
  <c r="H1793" i="15"/>
  <c r="I1793" i="15"/>
  <c r="J1793" i="15"/>
  <c r="K1793" i="15"/>
  <c r="L1793" i="15"/>
  <c r="M1793" i="15"/>
  <c r="N1793" i="15"/>
  <c r="A1794" i="15"/>
  <c r="B1794" i="15"/>
  <c r="C1794" i="15"/>
  <c r="D1794" i="15"/>
  <c r="E1794" i="15"/>
  <c r="F1794" i="15"/>
  <c r="G1794" i="15"/>
  <c r="H1794" i="15"/>
  <c r="I1794" i="15"/>
  <c r="J1794" i="15"/>
  <c r="K1794" i="15"/>
  <c r="L1794" i="15"/>
  <c r="M1794" i="15"/>
  <c r="N1794" i="15"/>
  <c r="A1795" i="15"/>
  <c r="B1795" i="15"/>
  <c r="C1795" i="15"/>
  <c r="D1795" i="15"/>
  <c r="E1795" i="15"/>
  <c r="F1795" i="15"/>
  <c r="G1795" i="15"/>
  <c r="H1795" i="15"/>
  <c r="I1795" i="15"/>
  <c r="J1795" i="15"/>
  <c r="K1795" i="15"/>
  <c r="L1795" i="15"/>
  <c r="M1795" i="15"/>
  <c r="N1795" i="15"/>
  <c r="A1796" i="15"/>
  <c r="B1796" i="15"/>
  <c r="C1796" i="15"/>
  <c r="D1796" i="15"/>
  <c r="E1796" i="15"/>
  <c r="F1796" i="15"/>
  <c r="G1796" i="15"/>
  <c r="H1796" i="15"/>
  <c r="I1796" i="15"/>
  <c r="J1796" i="15"/>
  <c r="K1796" i="15"/>
  <c r="L1796" i="15"/>
  <c r="M1796" i="15"/>
  <c r="N1796" i="15"/>
  <c r="A1797" i="15"/>
  <c r="B1797" i="15"/>
  <c r="C1797" i="15"/>
  <c r="D1797" i="15"/>
  <c r="E1797" i="15"/>
  <c r="F1797" i="15"/>
  <c r="G1797" i="15"/>
  <c r="H1797" i="15"/>
  <c r="I1797" i="15"/>
  <c r="J1797" i="15"/>
  <c r="K1797" i="15"/>
  <c r="L1797" i="15"/>
  <c r="M1797" i="15"/>
  <c r="N1797" i="15"/>
  <c r="A1798" i="15"/>
  <c r="B1798" i="15"/>
  <c r="C1798" i="15"/>
  <c r="D1798" i="15"/>
  <c r="E1798" i="15"/>
  <c r="F1798" i="15"/>
  <c r="G1798" i="15"/>
  <c r="H1798" i="15"/>
  <c r="I1798" i="15"/>
  <c r="J1798" i="15"/>
  <c r="K1798" i="15"/>
  <c r="L1798" i="15"/>
  <c r="M1798" i="15"/>
  <c r="N1798" i="15"/>
  <c r="A1799" i="15"/>
  <c r="B1799" i="15"/>
  <c r="C1799" i="15"/>
  <c r="D1799" i="15"/>
  <c r="E1799" i="15"/>
  <c r="F1799" i="15"/>
  <c r="G1799" i="15"/>
  <c r="H1799" i="15"/>
  <c r="I1799" i="15"/>
  <c r="J1799" i="15"/>
  <c r="K1799" i="15"/>
  <c r="L1799" i="15"/>
  <c r="M1799" i="15"/>
  <c r="N1799" i="15"/>
  <c r="A1800" i="15"/>
  <c r="B1800" i="15"/>
  <c r="C1800" i="15"/>
  <c r="D1800" i="15"/>
  <c r="E1800" i="15"/>
  <c r="F1800" i="15"/>
  <c r="G1800" i="15"/>
  <c r="H1800" i="15"/>
  <c r="I1800" i="15"/>
  <c r="J1800" i="15"/>
  <c r="K1800" i="15"/>
  <c r="L1800" i="15"/>
  <c r="M1800" i="15"/>
  <c r="N1800" i="15"/>
  <c r="A1801" i="15"/>
  <c r="B1801" i="15"/>
  <c r="C1801" i="15"/>
  <c r="D1801" i="15"/>
  <c r="E1801" i="15"/>
  <c r="F1801" i="15"/>
  <c r="G1801" i="15"/>
  <c r="H1801" i="15"/>
  <c r="I1801" i="15"/>
  <c r="J1801" i="15"/>
  <c r="K1801" i="15"/>
  <c r="L1801" i="15"/>
  <c r="M1801" i="15"/>
  <c r="N1801" i="15"/>
  <c r="A1802" i="15"/>
  <c r="B1802" i="15"/>
  <c r="C1802" i="15"/>
  <c r="D1802" i="15"/>
  <c r="E1802" i="15"/>
  <c r="F1802" i="15"/>
  <c r="G1802" i="15"/>
  <c r="H1802" i="15"/>
  <c r="I1802" i="15"/>
  <c r="J1802" i="15"/>
  <c r="K1802" i="15"/>
  <c r="L1802" i="15"/>
  <c r="M1802" i="15"/>
  <c r="N1802" i="15"/>
  <c r="A1803" i="15"/>
  <c r="B1803" i="15"/>
  <c r="C1803" i="15"/>
  <c r="D1803" i="15"/>
  <c r="E1803" i="15"/>
  <c r="F1803" i="15"/>
  <c r="G1803" i="15"/>
  <c r="H1803" i="15"/>
  <c r="I1803" i="15"/>
  <c r="J1803" i="15"/>
  <c r="K1803" i="15"/>
  <c r="L1803" i="15"/>
  <c r="M1803" i="15"/>
  <c r="N1803" i="15"/>
  <c r="A1804" i="15"/>
  <c r="B1804" i="15"/>
  <c r="C1804" i="15"/>
  <c r="D1804" i="15"/>
  <c r="E1804" i="15"/>
  <c r="F1804" i="15"/>
  <c r="G1804" i="15"/>
  <c r="H1804" i="15"/>
  <c r="I1804" i="15"/>
  <c r="J1804" i="15"/>
  <c r="K1804" i="15"/>
  <c r="L1804" i="15"/>
  <c r="M1804" i="15"/>
  <c r="N1804" i="15"/>
  <c r="A1805" i="15"/>
  <c r="B1805" i="15"/>
  <c r="C1805" i="15"/>
  <c r="D1805" i="15"/>
  <c r="E1805" i="15"/>
  <c r="F1805" i="15"/>
  <c r="G1805" i="15"/>
  <c r="H1805" i="15"/>
  <c r="I1805" i="15"/>
  <c r="J1805" i="15"/>
  <c r="K1805" i="15"/>
  <c r="L1805" i="15"/>
  <c r="M1805" i="15"/>
  <c r="N1805" i="15"/>
  <c r="A1806" i="15"/>
  <c r="B1806" i="15"/>
  <c r="C1806" i="15"/>
  <c r="D1806" i="15"/>
  <c r="E1806" i="15"/>
  <c r="F1806" i="15"/>
  <c r="G1806" i="15"/>
  <c r="H1806" i="15"/>
  <c r="I1806" i="15"/>
  <c r="J1806" i="15"/>
  <c r="K1806" i="15"/>
  <c r="L1806" i="15"/>
  <c r="M1806" i="15"/>
  <c r="N1806" i="15"/>
  <c r="A1807" i="15"/>
  <c r="B1807" i="15"/>
  <c r="C1807" i="15"/>
  <c r="D1807" i="15"/>
  <c r="E1807" i="15"/>
  <c r="F1807" i="15"/>
  <c r="G1807" i="15"/>
  <c r="H1807" i="15"/>
  <c r="I1807" i="15"/>
  <c r="J1807" i="15"/>
  <c r="K1807" i="15"/>
  <c r="L1807" i="15"/>
  <c r="M1807" i="15"/>
  <c r="N1807" i="15"/>
  <c r="A1808" i="15"/>
  <c r="B1808" i="15"/>
  <c r="C1808" i="15"/>
  <c r="D1808" i="15"/>
  <c r="E1808" i="15"/>
  <c r="F1808" i="15"/>
  <c r="G1808" i="15"/>
  <c r="H1808" i="15"/>
  <c r="I1808" i="15"/>
  <c r="J1808" i="15"/>
  <c r="K1808" i="15"/>
  <c r="L1808" i="15"/>
  <c r="M1808" i="15"/>
  <c r="N1808" i="15"/>
  <c r="A1809" i="15"/>
  <c r="B1809" i="15"/>
  <c r="C1809" i="15"/>
  <c r="D1809" i="15"/>
  <c r="E1809" i="15"/>
  <c r="F1809" i="15"/>
  <c r="G1809" i="15"/>
  <c r="H1809" i="15"/>
  <c r="I1809" i="15"/>
  <c r="J1809" i="15"/>
  <c r="K1809" i="15"/>
  <c r="L1809" i="15"/>
  <c r="M1809" i="15"/>
  <c r="N1809" i="15"/>
  <c r="A1810" i="15"/>
  <c r="B1810" i="15"/>
  <c r="C1810" i="15"/>
  <c r="D1810" i="15"/>
  <c r="E1810" i="15"/>
  <c r="F1810" i="15"/>
  <c r="G1810" i="15"/>
  <c r="H1810" i="15"/>
  <c r="I1810" i="15"/>
  <c r="J1810" i="15"/>
  <c r="K1810" i="15"/>
  <c r="L1810" i="15"/>
  <c r="M1810" i="15"/>
  <c r="N1810" i="15"/>
  <c r="A1811" i="15"/>
  <c r="B1811" i="15"/>
  <c r="C1811" i="15"/>
  <c r="D1811" i="15"/>
  <c r="E1811" i="15"/>
  <c r="F1811" i="15"/>
  <c r="G1811" i="15"/>
  <c r="H1811" i="15"/>
  <c r="I1811" i="15"/>
  <c r="J1811" i="15"/>
  <c r="K1811" i="15"/>
  <c r="L1811" i="15"/>
  <c r="M1811" i="15"/>
  <c r="N1811" i="15"/>
  <c r="A1812" i="15"/>
  <c r="B1812" i="15"/>
  <c r="C1812" i="15"/>
  <c r="D1812" i="15"/>
  <c r="E1812" i="15"/>
  <c r="F1812" i="15"/>
  <c r="G1812" i="15"/>
  <c r="H1812" i="15"/>
  <c r="I1812" i="15"/>
  <c r="J1812" i="15"/>
  <c r="K1812" i="15"/>
  <c r="L1812" i="15"/>
  <c r="M1812" i="15"/>
  <c r="N1812" i="15"/>
  <c r="A1813" i="15"/>
  <c r="B1813" i="15"/>
  <c r="C1813" i="15"/>
  <c r="D1813" i="15"/>
  <c r="E1813" i="15"/>
  <c r="F1813" i="15"/>
  <c r="G1813" i="15"/>
  <c r="H1813" i="15"/>
  <c r="I1813" i="15"/>
  <c r="J1813" i="15"/>
  <c r="K1813" i="15"/>
  <c r="L1813" i="15"/>
  <c r="M1813" i="15"/>
  <c r="N1813" i="15"/>
  <c r="A1814" i="15"/>
  <c r="B1814" i="15"/>
  <c r="C1814" i="15"/>
  <c r="D1814" i="15"/>
  <c r="E1814" i="15"/>
  <c r="F1814" i="15"/>
  <c r="G1814" i="15"/>
  <c r="H1814" i="15"/>
  <c r="I1814" i="15"/>
  <c r="J1814" i="15"/>
  <c r="K1814" i="15"/>
  <c r="L1814" i="15"/>
  <c r="M1814" i="15"/>
  <c r="N1814" i="15"/>
  <c r="A1815" i="15"/>
  <c r="B1815" i="15"/>
  <c r="C1815" i="15"/>
  <c r="D1815" i="15"/>
  <c r="E1815" i="15"/>
  <c r="F1815" i="15"/>
  <c r="G1815" i="15"/>
  <c r="H1815" i="15"/>
  <c r="I1815" i="15"/>
  <c r="J1815" i="15"/>
  <c r="K1815" i="15"/>
  <c r="L1815" i="15"/>
  <c r="M1815" i="15"/>
  <c r="N1815" i="15"/>
  <c r="A1816" i="15"/>
  <c r="B1816" i="15"/>
  <c r="C1816" i="15"/>
  <c r="D1816" i="15"/>
  <c r="E1816" i="15"/>
  <c r="F1816" i="15"/>
  <c r="G1816" i="15"/>
  <c r="H1816" i="15"/>
  <c r="I1816" i="15"/>
  <c r="J1816" i="15"/>
  <c r="K1816" i="15"/>
  <c r="L1816" i="15"/>
  <c r="M1816" i="15"/>
  <c r="N1816" i="15"/>
  <c r="A1817" i="15"/>
  <c r="B1817" i="15"/>
  <c r="C1817" i="15"/>
  <c r="D1817" i="15"/>
  <c r="E1817" i="15"/>
  <c r="F1817" i="15"/>
  <c r="G1817" i="15"/>
  <c r="H1817" i="15"/>
  <c r="I1817" i="15"/>
  <c r="J1817" i="15"/>
  <c r="K1817" i="15"/>
  <c r="L1817" i="15"/>
  <c r="M1817" i="15"/>
  <c r="N1817" i="15"/>
  <c r="A1818" i="15"/>
  <c r="B1818" i="15"/>
  <c r="C1818" i="15"/>
  <c r="D1818" i="15"/>
  <c r="E1818" i="15"/>
  <c r="F1818" i="15"/>
  <c r="G1818" i="15"/>
  <c r="H1818" i="15"/>
  <c r="I1818" i="15"/>
  <c r="J1818" i="15"/>
  <c r="K1818" i="15"/>
  <c r="L1818" i="15"/>
  <c r="M1818" i="15"/>
  <c r="N1818" i="15"/>
  <c r="A1819" i="15"/>
  <c r="B1819" i="15"/>
  <c r="C1819" i="15"/>
  <c r="D1819" i="15"/>
  <c r="E1819" i="15"/>
  <c r="F1819" i="15"/>
  <c r="G1819" i="15"/>
  <c r="H1819" i="15"/>
  <c r="I1819" i="15"/>
  <c r="J1819" i="15"/>
  <c r="K1819" i="15"/>
  <c r="L1819" i="15"/>
  <c r="M1819" i="15"/>
  <c r="N1819" i="15"/>
  <c r="A1820" i="15"/>
  <c r="B1820" i="15"/>
  <c r="C1820" i="15"/>
  <c r="D1820" i="15"/>
  <c r="E1820" i="15"/>
  <c r="F1820" i="15"/>
  <c r="G1820" i="15"/>
  <c r="H1820" i="15"/>
  <c r="I1820" i="15"/>
  <c r="J1820" i="15"/>
  <c r="K1820" i="15"/>
  <c r="L1820" i="15"/>
  <c r="M1820" i="15"/>
  <c r="N1820" i="15"/>
  <c r="A1821" i="15"/>
  <c r="B1821" i="15"/>
  <c r="C1821" i="15"/>
  <c r="D1821" i="15"/>
  <c r="E1821" i="15"/>
  <c r="F1821" i="15"/>
  <c r="G1821" i="15"/>
  <c r="H1821" i="15"/>
  <c r="I1821" i="15"/>
  <c r="J1821" i="15"/>
  <c r="K1821" i="15"/>
  <c r="L1821" i="15"/>
  <c r="M1821" i="15"/>
  <c r="N1821" i="15"/>
  <c r="A1822" i="15"/>
  <c r="B1822" i="15"/>
  <c r="C1822" i="15"/>
  <c r="D1822" i="15"/>
  <c r="E1822" i="15"/>
  <c r="F1822" i="15"/>
  <c r="G1822" i="15"/>
  <c r="H1822" i="15"/>
  <c r="I1822" i="15"/>
  <c r="J1822" i="15"/>
  <c r="K1822" i="15"/>
  <c r="L1822" i="15"/>
  <c r="M1822" i="15"/>
  <c r="N1822" i="15"/>
  <c r="A1823" i="15"/>
  <c r="B1823" i="15"/>
  <c r="C1823" i="15"/>
  <c r="D1823" i="15"/>
  <c r="E1823" i="15"/>
  <c r="F1823" i="15"/>
  <c r="G1823" i="15"/>
  <c r="H1823" i="15"/>
  <c r="I1823" i="15"/>
  <c r="J1823" i="15"/>
  <c r="K1823" i="15"/>
  <c r="L1823" i="15"/>
  <c r="M1823" i="15"/>
  <c r="N1823" i="15"/>
  <c r="A1824" i="15"/>
  <c r="B1824" i="15"/>
  <c r="C1824" i="15"/>
  <c r="D1824" i="15"/>
  <c r="E1824" i="15"/>
  <c r="F1824" i="15"/>
  <c r="G1824" i="15"/>
  <c r="H1824" i="15"/>
  <c r="I1824" i="15"/>
  <c r="J1824" i="15"/>
  <c r="K1824" i="15"/>
  <c r="L1824" i="15"/>
  <c r="M1824" i="15"/>
  <c r="N1824" i="15"/>
  <c r="A1825" i="15"/>
  <c r="B1825" i="15"/>
  <c r="C1825" i="15"/>
  <c r="D1825" i="15"/>
  <c r="E1825" i="15"/>
  <c r="F1825" i="15"/>
  <c r="G1825" i="15"/>
  <c r="H1825" i="15"/>
  <c r="I1825" i="15"/>
  <c r="J1825" i="15"/>
  <c r="K1825" i="15"/>
  <c r="L1825" i="15"/>
  <c r="M1825" i="15"/>
  <c r="N1825" i="15"/>
  <c r="A1826" i="15"/>
  <c r="B1826" i="15"/>
  <c r="C1826" i="15"/>
  <c r="D1826" i="15"/>
  <c r="E1826" i="15"/>
  <c r="F1826" i="15"/>
  <c r="G1826" i="15"/>
  <c r="H1826" i="15"/>
  <c r="I1826" i="15"/>
  <c r="J1826" i="15"/>
  <c r="K1826" i="15"/>
  <c r="L1826" i="15"/>
  <c r="M1826" i="15"/>
  <c r="N1826" i="15"/>
  <c r="A1827" i="15"/>
  <c r="B1827" i="15"/>
  <c r="C1827" i="15"/>
  <c r="D1827" i="15"/>
  <c r="E1827" i="15"/>
  <c r="F1827" i="15"/>
  <c r="G1827" i="15"/>
  <c r="H1827" i="15"/>
  <c r="I1827" i="15"/>
  <c r="J1827" i="15"/>
  <c r="K1827" i="15"/>
  <c r="L1827" i="15"/>
  <c r="M1827" i="15"/>
  <c r="N1827" i="15"/>
  <c r="A1828" i="15"/>
  <c r="B1828" i="15"/>
  <c r="C1828" i="15"/>
  <c r="D1828" i="15"/>
  <c r="E1828" i="15"/>
  <c r="F1828" i="15"/>
  <c r="G1828" i="15"/>
  <c r="H1828" i="15"/>
  <c r="I1828" i="15"/>
  <c r="J1828" i="15"/>
  <c r="K1828" i="15"/>
  <c r="L1828" i="15"/>
  <c r="M1828" i="15"/>
  <c r="N1828" i="15"/>
  <c r="A1829" i="15"/>
  <c r="B1829" i="15"/>
  <c r="C1829" i="15"/>
  <c r="D1829" i="15"/>
  <c r="E1829" i="15"/>
  <c r="F1829" i="15"/>
  <c r="G1829" i="15"/>
  <c r="H1829" i="15"/>
  <c r="I1829" i="15"/>
  <c r="J1829" i="15"/>
  <c r="K1829" i="15"/>
  <c r="L1829" i="15"/>
  <c r="M1829" i="15"/>
  <c r="N1829" i="15"/>
  <c r="A1830" i="15"/>
  <c r="B1830" i="15"/>
  <c r="C1830" i="15"/>
  <c r="D1830" i="15"/>
  <c r="E1830" i="15"/>
  <c r="F1830" i="15"/>
  <c r="G1830" i="15"/>
  <c r="H1830" i="15"/>
  <c r="I1830" i="15"/>
  <c r="J1830" i="15"/>
  <c r="K1830" i="15"/>
  <c r="L1830" i="15"/>
  <c r="M1830" i="15"/>
  <c r="N1830" i="15"/>
  <c r="A1831" i="15"/>
  <c r="B1831" i="15"/>
  <c r="C1831" i="15"/>
  <c r="D1831" i="15"/>
  <c r="E1831" i="15"/>
  <c r="F1831" i="15"/>
  <c r="G1831" i="15"/>
  <c r="H1831" i="15"/>
  <c r="I1831" i="15"/>
  <c r="J1831" i="15"/>
  <c r="K1831" i="15"/>
  <c r="L1831" i="15"/>
  <c r="M1831" i="15"/>
  <c r="N1831" i="15"/>
  <c r="A1832" i="15"/>
  <c r="B1832" i="15"/>
  <c r="C1832" i="15"/>
  <c r="D1832" i="15"/>
  <c r="E1832" i="15"/>
  <c r="F1832" i="15"/>
  <c r="G1832" i="15"/>
  <c r="H1832" i="15"/>
  <c r="I1832" i="15"/>
  <c r="J1832" i="15"/>
  <c r="K1832" i="15"/>
  <c r="L1832" i="15"/>
  <c r="M1832" i="15"/>
  <c r="N1832" i="15"/>
  <c r="A1833" i="15"/>
  <c r="B1833" i="15"/>
  <c r="C1833" i="15"/>
  <c r="D1833" i="15"/>
  <c r="E1833" i="15"/>
  <c r="F1833" i="15"/>
  <c r="G1833" i="15"/>
  <c r="H1833" i="15"/>
  <c r="I1833" i="15"/>
  <c r="J1833" i="15"/>
  <c r="K1833" i="15"/>
  <c r="L1833" i="15"/>
  <c r="M1833" i="15"/>
  <c r="N1833" i="15"/>
  <c r="A1834" i="15"/>
  <c r="B1834" i="15"/>
  <c r="C1834" i="15"/>
  <c r="D1834" i="15"/>
  <c r="E1834" i="15"/>
  <c r="F1834" i="15"/>
  <c r="G1834" i="15"/>
  <c r="H1834" i="15"/>
  <c r="I1834" i="15"/>
  <c r="J1834" i="15"/>
  <c r="K1834" i="15"/>
  <c r="L1834" i="15"/>
  <c r="M1834" i="15"/>
  <c r="N1834" i="15"/>
  <c r="A1835" i="15"/>
  <c r="B1835" i="15"/>
  <c r="C1835" i="15"/>
  <c r="D1835" i="15"/>
  <c r="E1835" i="15"/>
  <c r="F1835" i="15"/>
  <c r="G1835" i="15"/>
  <c r="H1835" i="15"/>
  <c r="I1835" i="15"/>
  <c r="J1835" i="15"/>
  <c r="K1835" i="15"/>
  <c r="L1835" i="15"/>
  <c r="M1835" i="15"/>
  <c r="N1835" i="15"/>
  <c r="A1836" i="15"/>
  <c r="B1836" i="15"/>
  <c r="C1836" i="15"/>
  <c r="D1836" i="15"/>
  <c r="E1836" i="15"/>
  <c r="F1836" i="15"/>
  <c r="G1836" i="15"/>
  <c r="H1836" i="15"/>
  <c r="I1836" i="15"/>
  <c r="J1836" i="15"/>
  <c r="K1836" i="15"/>
  <c r="L1836" i="15"/>
  <c r="M1836" i="15"/>
  <c r="N1836" i="15"/>
  <c r="A1837" i="15"/>
  <c r="B1837" i="15"/>
  <c r="C1837" i="15"/>
  <c r="D1837" i="15"/>
  <c r="E1837" i="15"/>
  <c r="F1837" i="15"/>
  <c r="G1837" i="15"/>
  <c r="H1837" i="15"/>
  <c r="I1837" i="15"/>
  <c r="J1837" i="15"/>
  <c r="K1837" i="15"/>
  <c r="L1837" i="15"/>
  <c r="M1837" i="15"/>
  <c r="N1837" i="15"/>
  <c r="A1838" i="15"/>
  <c r="B1838" i="15"/>
  <c r="C1838" i="15"/>
  <c r="D1838" i="15"/>
  <c r="E1838" i="15"/>
  <c r="F1838" i="15"/>
  <c r="G1838" i="15"/>
  <c r="H1838" i="15"/>
  <c r="I1838" i="15"/>
  <c r="J1838" i="15"/>
  <c r="K1838" i="15"/>
  <c r="L1838" i="15"/>
  <c r="M1838" i="15"/>
  <c r="N1838" i="15"/>
  <c r="A1839" i="15"/>
  <c r="B1839" i="15"/>
  <c r="C1839" i="15"/>
  <c r="D1839" i="15"/>
  <c r="E1839" i="15"/>
  <c r="F1839" i="15"/>
  <c r="G1839" i="15"/>
  <c r="H1839" i="15"/>
  <c r="I1839" i="15"/>
  <c r="J1839" i="15"/>
  <c r="K1839" i="15"/>
  <c r="L1839" i="15"/>
  <c r="M1839" i="15"/>
  <c r="N1839" i="15"/>
  <c r="A1840" i="15"/>
  <c r="B1840" i="15"/>
  <c r="C1840" i="15"/>
  <c r="D1840" i="15"/>
  <c r="E1840" i="15"/>
  <c r="F1840" i="15"/>
  <c r="G1840" i="15"/>
  <c r="H1840" i="15"/>
  <c r="I1840" i="15"/>
  <c r="J1840" i="15"/>
  <c r="K1840" i="15"/>
  <c r="L1840" i="15"/>
  <c r="M1840" i="15"/>
  <c r="N1840" i="15"/>
  <c r="A1841" i="15"/>
  <c r="B1841" i="15"/>
  <c r="C1841" i="15"/>
  <c r="D1841" i="15"/>
  <c r="E1841" i="15"/>
  <c r="F1841" i="15"/>
  <c r="G1841" i="15"/>
  <c r="H1841" i="15"/>
  <c r="I1841" i="15"/>
  <c r="J1841" i="15"/>
  <c r="K1841" i="15"/>
  <c r="L1841" i="15"/>
  <c r="M1841" i="15"/>
  <c r="N1841" i="15"/>
  <c r="A1842" i="15"/>
  <c r="B1842" i="15"/>
  <c r="C1842" i="15"/>
  <c r="D1842" i="15"/>
  <c r="E1842" i="15"/>
  <c r="F1842" i="15"/>
  <c r="G1842" i="15"/>
  <c r="H1842" i="15"/>
  <c r="I1842" i="15"/>
  <c r="J1842" i="15"/>
  <c r="K1842" i="15"/>
  <c r="L1842" i="15"/>
  <c r="M1842" i="15"/>
  <c r="N1842" i="15"/>
  <c r="A1843" i="15"/>
  <c r="B1843" i="15"/>
  <c r="C1843" i="15"/>
  <c r="D1843" i="15"/>
  <c r="E1843" i="15"/>
  <c r="F1843" i="15"/>
  <c r="G1843" i="15"/>
  <c r="H1843" i="15"/>
  <c r="I1843" i="15"/>
  <c r="J1843" i="15"/>
  <c r="K1843" i="15"/>
  <c r="L1843" i="15"/>
  <c r="M1843" i="15"/>
  <c r="N1843" i="15"/>
  <c r="A1844" i="15"/>
  <c r="B1844" i="15"/>
  <c r="C1844" i="15"/>
  <c r="D1844" i="15"/>
  <c r="E1844" i="15"/>
  <c r="F1844" i="15"/>
  <c r="G1844" i="15"/>
  <c r="H1844" i="15"/>
  <c r="I1844" i="15"/>
  <c r="J1844" i="15"/>
  <c r="K1844" i="15"/>
  <c r="L1844" i="15"/>
  <c r="M1844" i="15"/>
  <c r="N1844" i="15"/>
  <c r="A1845" i="15"/>
  <c r="B1845" i="15"/>
  <c r="C1845" i="15"/>
  <c r="D1845" i="15"/>
  <c r="E1845" i="15"/>
  <c r="F1845" i="15"/>
  <c r="G1845" i="15"/>
  <c r="H1845" i="15"/>
  <c r="I1845" i="15"/>
  <c r="J1845" i="15"/>
  <c r="K1845" i="15"/>
  <c r="L1845" i="15"/>
  <c r="M1845" i="15"/>
  <c r="N1845" i="15"/>
  <c r="A1846" i="15"/>
  <c r="B1846" i="15"/>
  <c r="C1846" i="15"/>
  <c r="D1846" i="15"/>
  <c r="E1846" i="15"/>
  <c r="F1846" i="15"/>
  <c r="G1846" i="15"/>
  <c r="H1846" i="15"/>
  <c r="I1846" i="15"/>
  <c r="J1846" i="15"/>
  <c r="K1846" i="15"/>
  <c r="L1846" i="15"/>
  <c r="M1846" i="15"/>
  <c r="N1846" i="15"/>
  <c r="A1847" i="15"/>
  <c r="B1847" i="15"/>
  <c r="C1847" i="15"/>
  <c r="D1847" i="15"/>
  <c r="E1847" i="15"/>
  <c r="F1847" i="15"/>
  <c r="G1847" i="15"/>
  <c r="H1847" i="15"/>
  <c r="I1847" i="15"/>
  <c r="J1847" i="15"/>
  <c r="K1847" i="15"/>
  <c r="L1847" i="15"/>
  <c r="M1847" i="15"/>
  <c r="N1847" i="15"/>
  <c r="A1848" i="15"/>
  <c r="B1848" i="15"/>
  <c r="C1848" i="15"/>
  <c r="D1848" i="15"/>
  <c r="E1848" i="15"/>
  <c r="F1848" i="15"/>
  <c r="G1848" i="15"/>
  <c r="H1848" i="15"/>
  <c r="I1848" i="15"/>
  <c r="J1848" i="15"/>
  <c r="K1848" i="15"/>
  <c r="L1848" i="15"/>
  <c r="M1848" i="15"/>
  <c r="N1848" i="15"/>
  <c r="A1849" i="15"/>
  <c r="B1849" i="15"/>
  <c r="C1849" i="15"/>
  <c r="D1849" i="15"/>
  <c r="E1849" i="15"/>
  <c r="F1849" i="15"/>
  <c r="G1849" i="15"/>
  <c r="H1849" i="15"/>
  <c r="I1849" i="15"/>
  <c r="J1849" i="15"/>
  <c r="K1849" i="15"/>
  <c r="L1849" i="15"/>
  <c r="M1849" i="15"/>
  <c r="N1849" i="15"/>
  <c r="A1850" i="15"/>
  <c r="B1850" i="15"/>
  <c r="C1850" i="15"/>
  <c r="D1850" i="15"/>
  <c r="E1850" i="15"/>
  <c r="F1850" i="15"/>
  <c r="G1850" i="15"/>
  <c r="H1850" i="15"/>
  <c r="I1850" i="15"/>
  <c r="J1850" i="15"/>
  <c r="K1850" i="15"/>
  <c r="L1850" i="15"/>
  <c r="M1850" i="15"/>
  <c r="N1850" i="15"/>
  <c r="A1851" i="15"/>
  <c r="B1851" i="15"/>
  <c r="C1851" i="15"/>
  <c r="D1851" i="15"/>
  <c r="E1851" i="15"/>
  <c r="F1851" i="15"/>
  <c r="G1851" i="15"/>
  <c r="H1851" i="15"/>
  <c r="I1851" i="15"/>
  <c r="J1851" i="15"/>
  <c r="K1851" i="15"/>
  <c r="L1851" i="15"/>
  <c r="M1851" i="15"/>
  <c r="N1851" i="15"/>
  <c r="A1852" i="15"/>
  <c r="B1852" i="15"/>
  <c r="C1852" i="15"/>
  <c r="D1852" i="15"/>
  <c r="E1852" i="15"/>
  <c r="F1852" i="15"/>
  <c r="G1852" i="15"/>
  <c r="H1852" i="15"/>
  <c r="I1852" i="15"/>
  <c r="J1852" i="15"/>
  <c r="K1852" i="15"/>
  <c r="L1852" i="15"/>
  <c r="M1852" i="15"/>
  <c r="N1852" i="15"/>
  <c r="A1853" i="15"/>
  <c r="B1853" i="15"/>
  <c r="C1853" i="15"/>
  <c r="D1853" i="15"/>
  <c r="E1853" i="15"/>
  <c r="F1853" i="15"/>
  <c r="G1853" i="15"/>
  <c r="H1853" i="15"/>
  <c r="I1853" i="15"/>
  <c r="J1853" i="15"/>
  <c r="K1853" i="15"/>
  <c r="L1853" i="15"/>
  <c r="M1853" i="15"/>
  <c r="N1853" i="15"/>
  <c r="A1854" i="15"/>
  <c r="B1854" i="15"/>
  <c r="C1854" i="15"/>
  <c r="D1854" i="15"/>
  <c r="E1854" i="15"/>
  <c r="F1854" i="15"/>
  <c r="G1854" i="15"/>
  <c r="H1854" i="15"/>
  <c r="I1854" i="15"/>
  <c r="J1854" i="15"/>
  <c r="K1854" i="15"/>
  <c r="L1854" i="15"/>
  <c r="M1854" i="15"/>
  <c r="N1854" i="15"/>
  <c r="A1855" i="15"/>
  <c r="B1855" i="15"/>
  <c r="C1855" i="15"/>
  <c r="D1855" i="15"/>
  <c r="E1855" i="15"/>
  <c r="F1855" i="15"/>
  <c r="G1855" i="15"/>
  <c r="H1855" i="15"/>
  <c r="I1855" i="15"/>
  <c r="J1855" i="15"/>
  <c r="K1855" i="15"/>
  <c r="L1855" i="15"/>
  <c r="M1855" i="15"/>
  <c r="N1855" i="15"/>
  <c r="A1856" i="15"/>
  <c r="B1856" i="15"/>
  <c r="C1856" i="15"/>
  <c r="D1856" i="15"/>
  <c r="E1856" i="15"/>
  <c r="F1856" i="15"/>
  <c r="G1856" i="15"/>
  <c r="H1856" i="15"/>
  <c r="I1856" i="15"/>
  <c r="J1856" i="15"/>
  <c r="K1856" i="15"/>
  <c r="L1856" i="15"/>
  <c r="M1856" i="15"/>
  <c r="N1856" i="15"/>
  <c r="A1857" i="15"/>
  <c r="B1857" i="15"/>
  <c r="C1857" i="15"/>
  <c r="D1857" i="15"/>
  <c r="E1857" i="15"/>
  <c r="F1857" i="15"/>
  <c r="G1857" i="15"/>
  <c r="H1857" i="15"/>
  <c r="I1857" i="15"/>
  <c r="J1857" i="15"/>
  <c r="K1857" i="15"/>
  <c r="L1857" i="15"/>
  <c r="M1857" i="15"/>
  <c r="N1857" i="15"/>
  <c r="A1858" i="15"/>
  <c r="B1858" i="15"/>
  <c r="C1858" i="15"/>
  <c r="D1858" i="15"/>
  <c r="E1858" i="15"/>
  <c r="F1858" i="15"/>
  <c r="G1858" i="15"/>
  <c r="H1858" i="15"/>
  <c r="I1858" i="15"/>
  <c r="J1858" i="15"/>
  <c r="K1858" i="15"/>
  <c r="L1858" i="15"/>
  <c r="M1858" i="15"/>
  <c r="N1858" i="15"/>
  <c r="A1859" i="15"/>
  <c r="B1859" i="15"/>
  <c r="C1859" i="15"/>
  <c r="D1859" i="15"/>
  <c r="E1859" i="15"/>
  <c r="F1859" i="15"/>
  <c r="G1859" i="15"/>
  <c r="H1859" i="15"/>
  <c r="I1859" i="15"/>
  <c r="J1859" i="15"/>
  <c r="K1859" i="15"/>
  <c r="L1859" i="15"/>
  <c r="M1859" i="15"/>
  <c r="N1859" i="15"/>
  <c r="A1860" i="15"/>
  <c r="B1860" i="15"/>
  <c r="C1860" i="15"/>
  <c r="D1860" i="15"/>
  <c r="E1860" i="15"/>
  <c r="F1860" i="15"/>
  <c r="G1860" i="15"/>
  <c r="H1860" i="15"/>
  <c r="I1860" i="15"/>
  <c r="J1860" i="15"/>
  <c r="K1860" i="15"/>
  <c r="L1860" i="15"/>
  <c r="M1860" i="15"/>
  <c r="N1860" i="15"/>
  <c r="A1861" i="15"/>
  <c r="B1861" i="15"/>
  <c r="C1861" i="15"/>
  <c r="D1861" i="15"/>
  <c r="E1861" i="15"/>
  <c r="F1861" i="15"/>
  <c r="G1861" i="15"/>
  <c r="H1861" i="15"/>
  <c r="I1861" i="15"/>
  <c r="J1861" i="15"/>
  <c r="K1861" i="15"/>
  <c r="L1861" i="15"/>
  <c r="M1861" i="15"/>
  <c r="N1861" i="15"/>
  <c r="A1862" i="15"/>
  <c r="B1862" i="15"/>
  <c r="C1862" i="15"/>
  <c r="D1862" i="15"/>
  <c r="E1862" i="15"/>
  <c r="F1862" i="15"/>
  <c r="G1862" i="15"/>
  <c r="H1862" i="15"/>
  <c r="I1862" i="15"/>
  <c r="J1862" i="15"/>
  <c r="K1862" i="15"/>
  <c r="L1862" i="15"/>
  <c r="M1862" i="15"/>
  <c r="N1862" i="15"/>
  <c r="A1863" i="15"/>
  <c r="B1863" i="15"/>
  <c r="C1863" i="15"/>
  <c r="D1863" i="15"/>
  <c r="E1863" i="15"/>
  <c r="F1863" i="15"/>
  <c r="G1863" i="15"/>
  <c r="H1863" i="15"/>
  <c r="I1863" i="15"/>
  <c r="J1863" i="15"/>
  <c r="K1863" i="15"/>
  <c r="L1863" i="15"/>
  <c r="M1863" i="15"/>
  <c r="N1863" i="15"/>
  <c r="A1864" i="15"/>
  <c r="B1864" i="15"/>
  <c r="C1864" i="15"/>
  <c r="D1864" i="15"/>
  <c r="E1864" i="15"/>
  <c r="F1864" i="15"/>
  <c r="G1864" i="15"/>
  <c r="H1864" i="15"/>
  <c r="I1864" i="15"/>
  <c r="J1864" i="15"/>
  <c r="K1864" i="15"/>
  <c r="L1864" i="15"/>
  <c r="M1864" i="15"/>
  <c r="N1864" i="15"/>
  <c r="A1865" i="15"/>
  <c r="B1865" i="15"/>
  <c r="C1865" i="15"/>
  <c r="D1865" i="15"/>
  <c r="E1865" i="15"/>
  <c r="F1865" i="15"/>
  <c r="G1865" i="15"/>
  <c r="H1865" i="15"/>
  <c r="I1865" i="15"/>
  <c r="J1865" i="15"/>
  <c r="K1865" i="15"/>
  <c r="L1865" i="15"/>
  <c r="M1865" i="15"/>
  <c r="N1865" i="15"/>
  <c r="A1866" i="15"/>
  <c r="B1866" i="15"/>
  <c r="C1866" i="15"/>
  <c r="D1866" i="15"/>
  <c r="E1866" i="15"/>
  <c r="F1866" i="15"/>
  <c r="G1866" i="15"/>
  <c r="H1866" i="15"/>
  <c r="I1866" i="15"/>
  <c r="J1866" i="15"/>
  <c r="K1866" i="15"/>
  <c r="L1866" i="15"/>
  <c r="M1866" i="15"/>
  <c r="N1866" i="15"/>
  <c r="A1867" i="15"/>
  <c r="B1867" i="15"/>
  <c r="C1867" i="15"/>
  <c r="D1867" i="15"/>
  <c r="E1867" i="15"/>
  <c r="F1867" i="15"/>
  <c r="G1867" i="15"/>
  <c r="H1867" i="15"/>
  <c r="I1867" i="15"/>
  <c r="J1867" i="15"/>
  <c r="K1867" i="15"/>
  <c r="L1867" i="15"/>
  <c r="M1867" i="15"/>
  <c r="N1867" i="15"/>
  <c r="A1868" i="15"/>
  <c r="B1868" i="15"/>
  <c r="C1868" i="15"/>
  <c r="D1868" i="15"/>
  <c r="E1868" i="15"/>
  <c r="F1868" i="15"/>
  <c r="G1868" i="15"/>
  <c r="H1868" i="15"/>
  <c r="I1868" i="15"/>
  <c r="J1868" i="15"/>
  <c r="K1868" i="15"/>
  <c r="L1868" i="15"/>
  <c r="M1868" i="15"/>
  <c r="N1868" i="15"/>
  <c r="A1869" i="15"/>
  <c r="B1869" i="15"/>
  <c r="C1869" i="15"/>
  <c r="D1869" i="15"/>
  <c r="E1869" i="15"/>
  <c r="F1869" i="15"/>
  <c r="G1869" i="15"/>
  <c r="H1869" i="15"/>
  <c r="I1869" i="15"/>
  <c r="J1869" i="15"/>
  <c r="K1869" i="15"/>
  <c r="L1869" i="15"/>
  <c r="M1869" i="15"/>
  <c r="N1869" i="15"/>
  <c r="A1870" i="15"/>
  <c r="B1870" i="15"/>
  <c r="C1870" i="15"/>
  <c r="D1870" i="15"/>
  <c r="E1870" i="15"/>
  <c r="F1870" i="15"/>
  <c r="G1870" i="15"/>
  <c r="H1870" i="15"/>
  <c r="I1870" i="15"/>
  <c r="J1870" i="15"/>
  <c r="K1870" i="15"/>
  <c r="L1870" i="15"/>
  <c r="M1870" i="15"/>
  <c r="N1870" i="15"/>
  <c r="A1871" i="15"/>
  <c r="B1871" i="15"/>
  <c r="C1871" i="15"/>
  <c r="D1871" i="15"/>
  <c r="E1871" i="15"/>
  <c r="F1871" i="15"/>
  <c r="G1871" i="15"/>
  <c r="H1871" i="15"/>
  <c r="I1871" i="15"/>
  <c r="J1871" i="15"/>
  <c r="K1871" i="15"/>
  <c r="L1871" i="15"/>
  <c r="M1871" i="15"/>
  <c r="N1871" i="15"/>
  <c r="A1872" i="15"/>
  <c r="B1872" i="15"/>
  <c r="C1872" i="15"/>
  <c r="D1872" i="15"/>
  <c r="E1872" i="15"/>
  <c r="F1872" i="15"/>
  <c r="G1872" i="15"/>
  <c r="H1872" i="15"/>
  <c r="I1872" i="15"/>
  <c r="J1872" i="15"/>
  <c r="K1872" i="15"/>
  <c r="L1872" i="15"/>
  <c r="M1872" i="15"/>
  <c r="N1872" i="15"/>
  <c r="A1873" i="15"/>
  <c r="B1873" i="15"/>
  <c r="C1873" i="15"/>
  <c r="D1873" i="15"/>
  <c r="E1873" i="15"/>
  <c r="F1873" i="15"/>
  <c r="G1873" i="15"/>
  <c r="H1873" i="15"/>
  <c r="I1873" i="15"/>
  <c r="J1873" i="15"/>
  <c r="K1873" i="15"/>
  <c r="L1873" i="15"/>
  <c r="M1873" i="15"/>
  <c r="N1873" i="15"/>
  <c r="A1874" i="15"/>
  <c r="B1874" i="15"/>
  <c r="C1874" i="15"/>
  <c r="D1874" i="15"/>
  <c r="E1874" i="15"/>
  <c r="F1874" i="15"/>
  <c r="G1874" i="15"/>
  <c r="H1874" i="15"/>
  <c r="I1874" i="15"/>
  <c r="J1874" i="15"/>
  <c r="K1874" i="15"/>
  <c r="L1874" i="15"/>
  <c r="M1874" i="15"/>
  <c r="N1874" i="15"/>
  <c r="A1875" i="15"/>
  <c r="B1875" i="15"/>
  <c r="C1875" i="15"/>
  <c r="D1875" i="15"/>
  <c r="E1875" i="15"/>
  <c r="F1875" i="15"/>
  <c r="G1875" i="15"/>
  <c r="H1875" i="15"/>
  <c r="I1875" i="15"/>
  <c r="J1875" i="15"/>
  <c r="K1875" i="15"/>
  <c r="L1875" i="15"/>
  <c r="M1875" i="15"/>
  <c r="N1875" i="15"/>
  <c r="A1876" i="15"/>
  <c r="B1876" i="15"/>
  <c r="C1876" i="15"/>
  <c r="D1876" i="15"/>
  <c r="E1876" i="15"/>
  <c r="F1876" i="15"/>
  <c r="G1876" i="15"/>
  <c r="H1876" i="15"/>
  <c r="I1876" i="15"/>
  <c r="J1876" i="15"/>
  <c r="K1876" i="15"/>
  <c r="L1876" i="15"/>
  <c r="M1876" i="15"/>
  <c r="N1876" i="15"/>
  <c r="A1877" i="15"/>
  <c r="B1877" i="15"/>
  <c r="C1877" i="15"/>
  <c r="D1877" i="15"/>
  <c r="E1877" i="15"/>
  <c r="F1877" i="15"/>
  <c r="G1877" i="15"/>
  <c r="H1877" i="15"/>
  <c r="I1877" i="15"/>
  <c r="J1877" i="15"/>
  <c r="K1877" i="15"/>
  <c r="L1877" i="15"/>
  <c r="M1877" i="15"/>
  <c r="N1877" i="15"/>
  <c r="A1878" i="15"/>
  <c r="B1878" i="15"/>
  <c r="C1878" i="15"/>
  <c r="D1878" i="15"/>
  <c r="E1878" i="15"/>
  <c r="F1878" i="15"/>
  <c r="G1878" i="15"/>
  <c r="H1878" i="15"/>
  <c r="I1878" i="15"/>
  <c r="J1878" i="15"/>
  <c r="K1878" i="15"/>
  <c r="L1878" i="15"/>
  <c r="M1878" i="15"/>
  <c r="N1878" i="15"/>
  <c r="A1879" i="15"/>
  <c r="B1879" i="15"/>
  <c r="C1879" i="15"/>
  <c r="D1879" i="15"/>
  <c r="E1879" i="15"/>
  <c r="F1879" i="15"/>
  <c r="G1879" i="15"/>
  <c r="H1879" i="15"/>
  <c r="I1879" i="15"/>
  <c r="J1879" i="15"/>
  <c r="K1879" i="15"/>
  <c r="L1879" i="15"/>
  <c r="M1879" i="15"/>
  <c r="N1879" i="15"/>
  <c r="A1880" i="15"/>
  <c r="B1880" i="15"/>
  <c r="C1880" i="15"/>
  <c r="D1880" i="15"/>
  <c r="E1880" i="15"/>
  <c r="F1880" i="15"/>
  <c r="G1880" i="15"/>
  <c r="H1880" i="15"/>
  <c r="I1880" i="15"/>
  <c r="J1880" i="15"/>
  <c r="K1880" i="15"/>
  <c r="L1880" i="15"/>
  <c r="M1880" i="15"/>
  <c r="N1880" i="15"/>
  <c r="A1881" i="15"/>
  <c r="B1881" i="15"/>
  <c r="C1881" i="15"/>
  <c r="D1881" i="15"/>
  <c r="E1881" i="15"/>
  <c r="F1881" i="15"/>
  <c r="G1881" i="15"/>
  <c r="H1881" i="15"/>
  <c r="I1881" i="15"/>
  <c r="J1881" i="15"/>
  <c r="K1881" i="15"/>
  <c r="L1881" i="15"/>
  <c r="M1881" i="15"/>
  <c r="N1881" i="15"/>
  <c r="A1882" i="15"/>
  <c r="B1882" i="15"/>
  <c r="C1882" i="15"/>
  <c r="D1882" i="15"/>
  <c r="E1882" i="15"/>
  <c r="F1882" i="15"/>
  <c r="G1882" i="15"/>
  <c r="H1882" i="15"/>
  <c r="I1882" i="15"/>
  <c r="J1882" i="15"/>
  <c r="K1882" i="15"/>
  <c r="L1882" i="15"/>
  <c r="M1882" i="15"/>
  <c r="N1882" i="15"/>
  <c r="A1883" i="15"/>
  <c r="B1883" i="15"/>
  <c r="C1883" i="15"/>
  <c r="D1883" i="15"/>
  <c r="E1883" i="15"/>
  <c r="F1883" i="15"/>
  <c r="G1883" i="15"/>
  <c r="H1883" i="15"/>
  <c r="I1883" i="15"/>
  <c r="J1883" i="15"/>
  <c r="K1883" i="15"/>
  <c r="L1883" i="15"/>
  <c r="M1883" i="15"/>
  <c r="N1883" i="15"/>
  <c r="A1884" i="15"/>
  <c r="B1884" i="15"/>
  <c r="C1884" i="15"/>
  <c r="D1884" i="15"/>
  <c r="E1884" i="15"/>
  <c r="F1884" i="15"/>
  <c r="G1884" i="15"/>
  <c r="H1884" i="15"/>
  <c r="I1884" i="15"/>
  <c r="J1884" i="15"/>
  <c r="K1884" i="15"/>
  <c r="L1884" i="15"/>
  <c r="M1884" i="15"/>
  <c r="N1884" i="15"/>
  <c r="A1885" i="15"/>
  <c r="B1885" i="15"/>
  <c r="C1885" i="15"/>
  <c r="D1885" i="15"/>
  <c r="E1885" i="15"/>
  <c r="F1885" i="15"/>
  <c r="G1885" i="15"/>
  <c r="H1885" i="15"/>
  <c r="I1885" i="15"/>
  <c r="J1885" i="15"/>
  <c r="K1885" i="15"/>
  <c r="L1885" i="15"/>
  <c r="M1885" i="15"/>
  <c r="N1885" i="15"/>
  <c r="A1886" i="15"/>
  <c r="B1886" i="15"/>
  <c r="C1886" i="15"/>
  <c r="D1886" i="15"/>
  <c r="E1886" i="15"/>
  <c r="F1886" i="15"/>
  <c r="G1886" i="15"/>
  <c r="H1886" i="15"/>
  <c r="I1886" i="15"/>
  <c r="J1886" i="15"/>
  <c r="K1886" i="15"/>
  <c r="L1886" i="15"/>
  <c r="M1886" i="15"/>
  <c r="N1886" i="15"/>
  <c r="A1887" i="15"/>
  <c r="B1887" i="15"/>
  <c r="C1887" i="15"/>
  <c r="D1887" i="15"/>
  <c r="E1887" i="15"/>
  <c r="F1887" i="15"/>
  <c r="G1887" i="15"/>
  <c r="H1887" i="15"/>
  <c r="I1887" i="15"/>
  <c r="J1887" i="15"/>
  <c r="K1887" i="15"/>
  <c r="L1887" i="15"/>
  <c r="M1887" i="15"/>
  <c r="N1887" i="15"/>
  <c r="A1888" i="15"/>
  <c r="B1888" i="15"/>
  <c r="C1888" i="15"/>
  <c r="D1888" i="15"/>
  <c r="E1888" i="15"/>
  <c r="F1888" i="15"/>
  <c r="G1888" i="15"/>
  <c r="H1888" i="15"/>
  <c r="I1888" i="15"/>
  <c r="J1888" i="15"/>
  <c r="K1888" i="15"/>
  <c r="L1888" i="15"/>
  <c r="M1888" i="15"/>
  <c r="N1888" i="15"/>
  <c r="A1889" i="15"/>
  <c r="B1889" i="15"/>
  <c r="C1889" i="15"/>
  <c r="D1889" i="15"/>
  <c r="E1889" i="15"/>
  <c r="F1889" i="15"/>
  <c r="G1889" i="15"/>
  <c r="H1889" i="15"/>
  <c r="I1889" i="15"/>
  <c r="J1889" i="15"/>
  <c r="K1889" i="15"/>
  <c r="L1889" i="15"/>
  <c r="M1889" i="15"/>
  <c r="N1889" i="15"/>
  <c r="A1890" i="15"/>
  <c r="B1890" i="15"/>
  <c r="C1890" i="15"/>
  <c r="D1890" i="15"/>
  <c r="E1890" i="15"/>
  <c r="F1890" i="15"/>
  <c r="G1890" i="15"/>
  <c r="H1890" i="15"/>
  <c r="I1890" i="15"/>
  <c r="J1890" i="15"/>
  <c r="K1890" i="15"/>
  <c r="L1890" i="15"/>
  <c r="M1890" i="15"/>
  <c r="N1890" i="15"/>
  <c r="A1891" i="15"/>
  <c r="B1891" i="15"/>
  <c r="C1891" i="15"/>
  <c r="D1891" i="15"/>
  <c r="E1891" i="15"/>
  <c r="F1891" i="15"/>
  <c r="G1891" i="15"/>
  <c r="H1891" i="15"/>
  <c r="I1891" i="15"/>
  <c r="J1891" i="15"/>
  <c r="K1891" i="15"/>
  <c r="L1891" i="15"/>
  <c r="M1891" i="15"/>
  <c r="N1891" i="15"/>
  <c r="A1892" i="15"/>
  <c r="B1892" i="15"/>
  <c r="C1892" i="15"/>
  <c r="D1892" i="15"/>
  <c r="E1892" i="15"/>
  <c r="F1892" i="15"/>
  <c r="G1892" i="15"/>
  <c r="H1892" i="15"/>
  <c r="I1892" i="15"/>
  <c r="J1892" i="15"/>
  <c r="K1892" i="15"/>
  <c r="L1892" i="15"/>
  <c r="M1892" i="15"/>
  <c r="N1892" i="15"/>
  <c r="A1893" i="15"/>
  <c r="B1893" i="15"/>
  <c r="C1893" i="15"/>
  <c r="D1893" i="15"/>
  <c r="E1893" i="15"/>
  <c r="F1893" i="15"/>
  <c r="G1893" i="15"/>
  <c r="H1893" i="15"/>
  <c r="I1893" i="15"/>
  <c r="J1893" i="15"/>
  <c r="K1893" i="15"/>
  <c r="L1893" i="15"/>
  <c r="M1893" i="15"/>
  <c r="N1893" i="15"/>
  <c r="A1894" i="15"/>
  <c r="B1894" i="15"/>
  <c r="C1894" i="15"/>
  <c r="D1894" i="15"/>
  <c r="E1894" i="15"/>
  <c r="F1894" i="15"/>
  <c r="G1894" i="15"/>
  <c r="H1894" i="15"/>
  <c r="I1894" i="15"/>
  <c r="J1894" i="15"/>
  <c r="K1894" i="15"/>
  <c r="L1894" i="15"/>
  <c r="M1894" i="15"/>
  <c r="N1894" i="15"/>
  <c r="A1895" i="15"/>
  <c r="B1895" i="15"/>
  <c r="C1895" i="15"/>
  <c r="D1895" i="15"/>
  <c r="E1895" i="15"/>
  <c r="F1895" i="15"/>
  <c r="G1895" i="15"/>
  <c r="H1895" i="15"/>
  <c r="I1895" i="15"/>
  <c r="J1895" i="15"/>
  <c r="K1895" i="15"/>
  <c r="L1895" i="15"/>
  <c r="M1895" i="15"/>
  <c r="N1895" i="15"/>
  <c r="A1896" i="15"/>
  <c r="B1896" i="15"/>
  <c r="C1896" i="15"/>
  <c r="D1896" i="15"/>
  <c r="E1896" i="15"/>
  <c r="F1896" i="15"/>
  <c r="G1896" i="15"/>
  <c r="H1896" i="15"/>
  <c r="I1896" i="15"/>
  <c r="J1896" i="15"/>
  <c r="K1896" i="15"/>
  <c r="L1896" i="15"/>
  <c r="M1896" i="15"/>
  <c r="N1896" i="15"/>
  <c r="A1897" i="15"/>
  <c r="B1897" i="15"/>
  <c r="C1897" i="15"/>
  <c r="D1897" i="15"/>
  <c r="E1897" i="15"/>
  <c r="F1897" i="15"/>
  <c r="G1897" i="15"/>
  <c r="H1897" i="15"/>
  <c r="I1897" i="15"/>
  <c r="J1897" i="15"/>
  <c r="K1897" i="15"/>
  <c r="L1897" i="15"/>
  <c r="M1897" i="15"/>
  <c r="N1897" i="15"/>
  <c r="A1898" i="15"/>
  <c r="B1898" i="15"/>
  <c r="C1898" i="15"/>
  <c r="D1898" i="15"/>
  <c r="E1898" i="15"/>
  <c r="F1898" i="15"/>
  <c r="G1898" i="15"/>
  <c r="H1898" i="15"/>
  <c r="I1898" i="15"/>
  <c r="J1898" i="15"/>
  <c r="K1898" i="15"/>
  <c r="L1898" i="15"/>
  <c r="M1898" i="15"/>
  <c r="N1898" i="15"/>
  <c r="A1899" i="15"/>
  <c r="B1899" i="15"/>
  <c r="C1899" i="15"/>
  <c r="D1899" i="15"/>
  <c r="E1899" i="15"/>
  <c r="F1899" i="15"/>
  <c r="G1899" i="15"/>
  <c r="H1899" i="15"/>
  <c r="I1899" i="15"/>
  <c r="J1899" i="15"/>
  <c r="K1899" i="15"/>
  <c r="L1899" i="15"/>
  <c r="M1899" i="15"/>
  <c r="N1899" i="15"/>
  <c r="A1900" i="15"/>
  <c r="B1900" i="15"/>
  <c r="C1900" i="15"/>
  <c r="D1900" i="15"/>
  <c r="E1900" i="15"/>
  <c r="F1900" i="15"/>
  <c r="G1900" i="15"/>
  <c r="H1900" i="15"/>
  <c r="I1900" i="15"/>
  <c r="J1900" i="15"/>
  <c r="K1900" i="15"/>
  <c r="L1900" i="15"/>
  <c r="M1900" i="15"/>
  <c r="N1900" i="15"/>
  <c r="A1901" i="15"/>
  <c r="B1901" i="15"/>
  <c r="C1901" i="15"/>
  <c r="D1901" i="15"/>
  <c r="E1901" i="15"/>
  <c r="F1901" i="15"/>
  <c r="G1901" i="15"/>
  <c r="H1901" i="15"/>
  <c r="I1901" i="15"/>
  <c r="J1901" i="15"/>
  <c r="K1901" i="15"/>
  <c r="L1901" i="15"/>
  <c r="M1901" i="15"/>
  <c r="N1901" i="15"/>
  <c r="A1902" i="15"/>
  <c r="B1902" i="15"/>
  <c r="C1902" i="15"/>
  <c r="D1902" i="15"/>
  <c r="E1902" i="15"/>
  <c r="F1902" i="15"/>
  <c r="G1902" i="15"/>
  <c r="H1902" i="15"/>
  <c r="I1902" i="15"/>
  <c r="J1902" i="15"/>
  <c r="K1902" i="15"/>
  <c r="L1902" i="15"/>
  <c r="M1902" i="15"/>
  <c r="N1902" i="15"/>
  <c r="A1903" i="15"/>
  <c r="B1903" i="15"/>
  <c r="C1903" i="15"/>
  <c r="D1903" i="15"/>
  <c r="E1903" i="15"/>
  <c r="F1903" i="15"/>
  <c r="G1903" i="15"/>
  <c r="H1903" i="15"/>
  <c r="I1903" i="15"/>
  <c r="J1903" i="15"/>
  <c r="K1903" i="15"/>
  <c r="L1903" i="15"/>
  <c r="M1903" i="15"/>
  <c r="N1903" i="15"/>
  <c r="A1904" i="15"/>
  <c r="B1904" i="15"/>
  <c r="C1904" i="15"/>
  <c r="D1904" i="15"/>
  <c r="E1904" i="15"/>
  <c r="F1904" i="15"/>
  <c r="G1904" i="15"/>
  <c r="H1904" i="15"/>
  <c r="I1904" i="15"/>
  <c r="J1904" i="15"/>
  <c r="K1904" i="15"/>
  <c r="L1904" i="15"/>
  <c r="M1904" i="15"/>
  <c r="N1904" i="15"/>
  <c r="A1905" i="15"/>
  <c r="B1905" i="15"/>
  <c r="C1905" i="15"/>
  <c r="D1905" i="15"/>
  <c r="E1905" i="15"/>
  <c r="F1905" i="15"/>
  <c r="G1905" i="15"/>
  <c r="H1905" i="15"/>
  <c r="I1905" i="15"/>
  <c r="J1905" i="15"/>
  <c r="K1905" i="15"/>
  <c r="L1905" i="15"/>
  <c r="M1905" i="15"/>
  <c r="N1905" i="15"/>
  <c r="A1906" i="15"/>
  <c r="B1906" i="15"/>
  <c r="C1906" i="15"/>
  <c r="D1906" i="15"/>
  <c r="E1906" i="15"/>
  <c r="F1906" i="15"/>
  <c r="G1906" i="15"/>
  <c r="H1906" i="15"/>
  <c r="I1906" i="15"/>
  <c r="J1906" i="15"/>
  <c r="K1906" i="15"/>
  <c r="L1906" i="15"/>
  <c r="M1906" i="15"/>
  <c r="N1906" i="15"/>
  <c r="A1907" i="15"/>
  <c r="B1907" i="15"/>
  <c r="C1907" i="15"/>
  <c r="D1907" i="15"/>
  <c r="E1907" i="15"/>
  <c r="F1907" i="15"/>
  <c r="G1907" i="15"/>
  <c r="H1907" i="15"/>
  <c r="I1907" i="15"/>
  <c r="J1907" i="15"/>
  <c r="K1907" i="15"/>
  <c r="L1907" i="15"/>
  <c r="M1907" i="15"/>
  <c r="N1907" i="15"/>
  <c r="A1908" i="15"/>
  <c r="B1908" i="15"/>
  <c r="C1908" i="15"/>
  <c r="D1908" i="15"/>
  <c r="E1908" i="15"/>
  <c r="F1908" i="15"/>
  <c r="G1908" i="15"/>
  <c r="H1908" i="15"/>
  <c r="I1908" i="15"/>
  <c r="J1908" i="15"/>
  <c r="K1908" i="15"/>
  <c r="L1908" i="15"/>
  <c r="M1908" i="15"/>
  <c r="N1908" i="15"/>
  <c r="A1909" i="15"/>
  <c r="B1909" i="15"/>
  <c r="C1909" i="15"/>
  <c r="D1909" i="15"/>
  <c r="E1909" i="15"/>
  <c r="F1909" i="15"/>
  <c r="G1909" i="15"/>
  <c r="H1909" i="15"/>
  <c r="I1909" i="15"/>
  <c r="J1909" i="15"/>
  <c r="K1909" i="15"/>
  <c r="L1909" i="15"/>
  <c r="M1909" i="15"/>
  <c r="N1909" i="15"/>
  <c r="A1910" i="15"/>
  <c r="B1910" i="15"/>
  <c r="C1910" i="15"/>
  <c r="D1910" i="15"/>
  <c r="E1910" i="15"/>
  <c r="F1910" i="15"/>
  <c r="G1910" i="15"/>
  <c r="H1910" i="15"/>
  <c r="I1910" i="15"/>
  <c r="J1910" i="15"/>
  <c r="K1910" i="15"/>
  <c r="L1910" i="15"/>
  <c r="M1910" i="15"/>
  <c r="N1910" i="15"/>
  <c r="A1911" i="15"/>
  <c r="B1911" i="15"/>
  <c r="C1911" i="15"/>
  <c r="D1911" i="15"/>
  <c r="E1911" i="15"/>
  <c r="F1911" i="15"/>
  <c r="G1911" i="15"/>
  <c r="H1911" i="15"/>
  <c r="I1911" i="15"/>
  <c r="J1911" i="15"/>
  <c r="K1911" i="15"/>
  <c r="L1911" i="15"/>
  <c r="M1911" i="15"/>
  <c r="N1911" i="15"/>
  <c r="A1912" i="15"/>
  <c r="B1912" i="15"/>
  <c r="C1912" i="15"/>
  <c r="D1912" i="15"/>
  <c r="E1912" i="15"/>
  <c r="F1912" i="15"/>
  <c r="G1912" i="15"/>
  <c r="H1912" i="15"/>
  <c r="I1912" i="15"/>
  <c r="J1912" i="15"/>
  <c r="K1912" i="15"/>
  <c r="L1912" i="15"/>
  <c r="M1912" i="15"/>
  <c r="N1912" i="15"/>
  <c r="A1913" i="15"/>
  <c r="B1913" i="15"/>
  <c r="C1913" i="15"/>
  <c r="D1913" i="15"/>
  <c r="E1913" i="15"/>
  <c r="F1913" i="15"/>
  <c r="G1913" i="15"/>
  <c r="H1913" i="15"/>
  <c r="I1913" i="15"/>
  <c r="J1913" i="15"/>
  <c r="K1913" i="15"/>
  <c r="L1913" i="15"/>
  <c r="M1913" i="15"/>
  <c r="N1913" i="15"/>
  <c r="A1914" i="15"/>
  <c r="B1914" i="15"/>
  <c r="C1914" i="15"/>
  <c r="D1914" i="15"/>
  <c r="E1914" i="15"/>
  <c r="F1914" i="15"/>
  <c r="G1914" i="15"/>
  <c r="H1914" i="15"/>
  <c r="I1914" i="15"/>
  <c r="J1914" i="15"/>
  <c r="K1914" i="15"/>
  <c r="L1914" i="15"/>
  <c r="M1914" i="15"/>
  <c r="N1914" i="15"/>
  <c r="A1915" i="15"/>
  <c r="B1915" i="15"/>
  <c r="C1915" i="15"/>
  <c r="D1915" i="15"/>
  <c r="E1915" i="15"/>
  <c r="F1915" i="15"/>
  <c r="G1915" i="15"/>
  <c r="H1915" i="15"/>
  <c r="I1915" i="15"/>
  <c r="J1915" i="15"/>
  <c r="K1915" i="15"/>
  <c r="L1915" i="15"/>
  <c r="M1915" i="15"/>
  <c r="N1915" i="15"/>
  <c r="A1916" i="15"/>
  <c r="B1916" i="15"/>
  <c r="C1916" i="15"/>
  <c r="D1916" i="15"/>
  <c r="E1916" i="15"/>
  <c r="F1916" i="15"/>
  <c r="G1916" i="15"/>
  <c r="H1916" i="15"/>
  <c r="I1916" i="15"/>
  <c r="J1916" i="15"/>
  <c r="K1916" i="15"/>
  <c r="L1916" i="15"/>
  <c r="M1916" i="15"/>
  <c r="N1916" i="15"/>
  <c r="A1917" i="15"/>
  <c r="B1917" i="15"/>
  <c r="C1917" i="15"/>
  <c r="D1917" i="15"/>
  <c r="E1917" i="15"/>
  <c r="F1917" i="15"/>
  <c r="G1917" i="15"/>
  <c r="H1917" i="15"/>
  <c r="I1917" i="15"/>
  <c r="J1917" i="15"/>
  <c r="K1917" i="15"/>
  <c r="L1917" i="15"/>
  <c r="M1917" i="15"/>
  <c r="N1917" i="15"/>
  <c r="A1918" i="15"/>
  <c r="B1918" i="15"/>
  <c r="C1918" i="15"/>
  <c r="D1918" i="15"/>
  <c r="E1918" i="15"/>
  <c r="F1918" i="15"/>
  <c r="G1918" i="15"/>
  <c r="H1918" i="15"/>
  <c r="I1918" i="15"/>
  <c r="J1918" i="15"/>
  <c r="K1918" i="15"/>
  <c r="L1918" i="15"/>
  <c r="M1918" i="15"/>
  <c r="N1918" i="15"/>
  <c r="A1919" i="15"/>
  <c r="B1919" i="15"/>
  <c r="C1919" i="15"/>
  <c r="D1919" i="15"/>
  <c r="E1919" i="15"/>
  <c r="F1919" i="15"/>
  <c r="G1919" i="15"/>
  <c r="H1919" i="15"/>
  <c r="I1919" i="15"/>
  <c r="J1919" i="15"/>
  <c r="K1919" i="15"/>
  <c r="L1919" i="15"/>
  <c r="M1919" i="15"/>
  <c r="N1919" i="15"/>
  <c r="A1920" i="15"/>
  <c r="B1920" i="15"/>
  <c r="C1920" i="15"/>
  <c r="D1920" i="15"/>
  <c r="E1920" i="15"/>
  <c r="F1920" i="15"/>
  <c r="G1920" i="15"/>
  <c r="H1920" i="15"/>
  <c r="I1920" i="15"/>
  <c r="J1920" i="15"/>
  <c r="K1920" i="15"/>
  <c r="L1920" i="15"/>
  <c r="M1920" i="15"/>
  <c r="N1920" i="15"/>
  <c r="A1921" i="15"/>
  <c r="B1921" i="15"/>
  <c r="C1921" i="15"/>
  <c r="D1921" i="15"/>
  <c r="E1921" i="15"/>
  <c r="F1921" i="15"/>
  <c r="G1921" i="15"/>
  <c r="H1921" i="15"/>
  <c r="I1921" i="15"/>
  <c r="J1921" i="15"/>
  <c r="K1921" i="15"/>
  <c r="L1921" i="15"/>
  <c r="M1921" i="15"/>
  <c r="N1921" i="15"/>
  <c r="A1922" i="15"/>
  <c r="B1922" i="15"/>
  <c r="C1922" i="15"/>
  <c r="D1922" i="15"/>
  <c r="E1922" i="15"/>
  <c r="F1922" i="15"/>
  <c r="G1922" i="15"/>
  <c r="H1922" i="15"/>
  <c r="I1922" i="15"/>
  <c r="J1922" i="15"/>
  <c r="K1922" i="15"/>
  <c r="L1922" i="15"/>
  <c r="M1922" i="15"/>
  <c r="N1922" i="15"/>
  <c r="A1923" i="15"/>
  <c r="B1923" i="15"/>
  <c r="C1923" i="15"/>
  <c r="D1923" i="15"/>
  <c r="E1923" i="15"/>
  <c r="F1923" i="15"/>
  <c r="G1923" i="15"/>
  <c r="H1923" i="15"/>
  <c r="I1923" i="15"/>
  <c r="J1923" i="15"/>
  <c r="K1923" i="15"/>
  <c r="L1923" i="15"/>
  <c r="M1923" i="15"/>
  <c r="N1923" i="15"/>
  <c r="A1924" i="15"/>
  <c r="B1924" i="15"/>
  <c r="C1924" i="15"/>
  <c r="D1924" i="15"/>
  <c r="E1924" i="15"/>
  <c r="F1924" i="15"/>
  <c r="G1924" i="15"/>
  <c r="H1924" i="15"/>
  <c r="I1924" i="15"/>
  <c r="J1924" i="15"/>
  <c r="K1924" i="15"/>
  <c r="L1924" i="15"/>
  <c r="M1924" i="15"/>
  <c r="N1924" i="15"/>
  <c r="A1925" i="15"/>
  <c r="B1925" i="15"/>
  <c r="C1925" i="15"/>
  <c r="D1925" i="15"/>
  <c r="E1925" i="15"/>
  <c r="F1925" i="15"/>
  <c r="G1925" i="15"/>
  <c r="H1925" i="15"/>
  <c r="I1925" i="15"/>
  <c r="J1925" i="15"/>
  <c r="K1925" i="15"/>
  <c r="L1925" i="15"/>
  <c r="M1925" i="15"/>
  <c r="N1925" i="15"/>
  <c r="A1926" i="15"/>
  <c r="B1926" i="15"/>
  <c r="C1926" i="15"/>
  <c r="D1926" i="15"/>
  <c r="E1926" i="15"/>
  <c r="F1926" i="15"/>
  <c r="G1926" i="15"/>
  <c r="H1926" i="15"/>
  <c r="I1926" i="15"/>
  <c r="J1926" i="15"/>
  <c r="K1926" i="15"/>
  <c r="L1926" i="15"/>
  <c r="M1926" i="15"/>
  <c r="N1926" i="15"/>
  <c r="A1927" i="15"/>
  <c r="B1927" i="15"/>
  <c r="C1927" i="15"/>
  <c r="D1927" i="15"/>
  <c r="E1927" i="15"/>
  <c r="F1927" i="15"/>
  <c r="G1927" i="15"/>
  <c r="H1927" i="15"/>
  <c r="I1927" i="15"/>
  <c r="J1927" i="15"/>
  <c r="K1927" i="15"/>
  <c r="L1927" i="15"/>
  <c r="M1927" i="15"/>
  <c r="N1927" i="15"/>
  <c r="A1928" i="15"/>
  <c r="B1928" i="15"/>
  <c r="C1928" i="15"/>
  <c r="D1928" i="15"/>
  <c r="E1928" i="15"/>
  <c r="F1928" i="15"/>
  <c r="G1928" i="15"/>
  <c r="H1928" i="15"/>
  <c r="I1928" i="15"/>
  <c r="J1928" i="15"/>
  <c r="K1928" i="15"/>
  <c r="L1928" i="15"/>
  <c r="M1928" i="15"/>
  <c r="N1928" i="15"/>
  <c r="A1929" i="15"/>
  <c r="B1929" i="15"/>
  <c r="C1929" i="15"/>
  <c r="D1929" i="15"/>
  <c r="E1929" i="15"/>
  <c r="F1929" i="15"/>
  <c r="G1929" i="15"/>
  <c r="H1929" i="15"/>
  <c r="I1929" i="15"/>
  <c r="J1929" i="15"/>
  <c r="K1929" i="15"/>
  <c r="L1929" i="15"/>
  <c r="M1929" i="15"/>
  <c r="N1929" i="15"/>
  <c r="A1930" i="15"/>
  <c r="B1930" i="15"/>
  <c r="C1930" i="15"/>
  <c r="D1930" i="15"/>
  <c r="E1930" i="15"/>
  <c r="F1930" i="15"/>
  <c r="G1930" i="15"/>
  <c r="H1930" i="15"/>
  <c r="I1930" i="15"/>
  <c r="J1930" i="15"/>
  <c r="K1930" i="15"/>
  <c r="L1930" i="15"/>
  <c r="M1930" i="15"/>
  <c r="N1930" i="15"/>
  <c r="A1931" i="15"/>
  <c r="B1931" i="15"/>
  <c r="C1931" i="15"/>
  <c r="D1931" i="15"/>
  <c r="E1931" i="15"/>
  <c r="F1931" i="15"/>
  <c r="G1931" i="15"/>
  <c r="H1931" i="15"/>
  <c r="I1931" i="15"/>
  <c r="J1931" i="15"/>
  <c r="K1931" i="15"/>
  <c r="L1931" i="15"/>
  <c r="M1931" i="15"/>
  <c r="N1931" i="15"/>
  <c r="A1932" i="15"/>
  <c r="B1932" i="15"/>
  <c r="C1932" i="15"/>
  <c r="D1932" i="15"/>
  <c r="E1932" i="15"/>
  <c r="F1932" i="15"/>
  <c r="G1932" i="15"/>
  <c r="H1932" i="15"/>
  <c r="I1932" i="15"/>
  <c r="J1932" i="15"/>
  <c r="K1932" i="15"/>
  <c r="L1932" i="15"/>
  <c r="M1932" i="15"/>
  <c r="N1932" i="15"/>
  <c r="A1933" i="15"/>
  <c r="B1933" i="15"/>
  <c r="C1933" i="15"/>
  <c r="D1933" i="15"/>
  <c r="E1933" i="15"/>
  <c r="F1933" i="15"/>
  <c r="G1933" i="15"/>
  <c r="H1933" i="15"/>
  <c r="I1933" i="15"/>
  <c r="J1933" i="15"/>
  <c r="K1933" i="15"/>
  <c r="L1933" i="15"/>
  <c r="M1933" i="15"/>
  <c r="N1933" i="15"/>
  <c r="A1934" i="15"/>
  <c r="B1934" i="15"/>
  <c r="C1934" i="15"/>
  <c r="D1934" i="15"/>
  <c r="E1934" i="15"/>
  <c r="F1934" i="15"/>
  <c r="G1934" i="15"/>
  <c r="H1934" i="15"/>
  <c r="I1934" i="15"/>
  <c r="J1934" i="15"/>
  <c r="K1934" i="15"/>
  <c r="L1934" i="15"/>
  <c r="M1934" i="15"/>
  <c r="N1934" i="15"/>
  <c r="A1935" i="15"/>
  <c r="B1935" i="15"/>
  <c r="C1935" i="15"/>
  <c r="D1935" i="15"/>
  <c r="E1935" i="15"/>
  <c r="F1935" i="15"/>
  <c r="G1935" i="15"/>
  <c r="H1935" i="15"/>
  <c r="I1935" i="15"/>
  <c r="J1935" i="15"/>
  <c r="K1935" i="15"/>
  <c r="L1935" i="15"/>
  <c r="M1935" i="15"/>
  <c r="N1935" i="15"/>
  <c r="A1936" i="15"/>
  <c r="B1936" i="15"/>
  <c r="C1936" i="15"/>
  <c r="D1936" i="15"/>
  <c r="E1936" i="15"/>
  <c r="F1936" i="15"/>
  <c r="G1936" i="15"/>
  <c r="H1936" i="15"/>
  <c r="I1936" i="15"/>
  <c r="J1936" i="15"/>
  <c r="K1936" i="15"/>
  <c r="L1936" i="15"/>
  <c r="M1936" i="15"/>
  <c r="N1936" i="15"/>
  <c r="A1937" i="15"/>
  <c r="B1937" i="15"/>
  <c r="C1937" i="15"/>
  <c r="D1937" i="15"/>
  <c r="E1937" i="15"/>
  <c r="F1937" i="15"/>
  <c r="G1937" i="15"/>
  <c r="H1937" i="15"/>
  <c r="I1937" i="15"/>
  <c r="J1937" i="15"/>
  <c r="K1937" i="15"/>
  <c r="L1937" i="15"/>
  <c r="M1937" i="15"/>
  <c r="N1937" i="15"/>
  <c r="A1938" i="15"/>
  <c r="B1938" i="15"/>
  <c r="C1938" i="15"/>
  <c r="D1938" i="15"/>
  <c r="E1938" i="15"/>
  <c r="F1938" i="15"/>
  <c r="G1938" i="15"/>
  <c r="H1938" i="15"/>
  <c r="I1938" i="15"/>
  <c r="J1938" i="15"/>
  <c r="K1938" i="15"/>
  <c r="L1938" i="15"/>
  <c r="M1938" i="15"/>
  <c r="N1938" i="15"/>
  <c r="A1939" i="15"/>
  <c r="B1939" i="15"/>
  <c r="C1939" i="15"/>
  <c r="D1939" i="15"/>
  <c r="E1939" i="15"/>
  <c r="F1939" i="15"/>
  <c r="G1939" i="15"/>
  <c r="H1939" i="15"/>
  <c r="I1939" i="15"/>
  <c r="J1939" i="15"/>
  <c r="K1939" i="15"/>
  <c r="L1939" i="15"/>
  <c r="M1939" i="15"/>
  <c r="N1939" i="15"/>
  <c r="A1940" i="15"/>
  <c r="B1940" i="15"/>
  <c r="C1940" i="15"/>
  <c r="D1940" i="15"/>
  <c r="E1940" i="15"/>
  <c r="F1940" i="15"/>
  <c r="G1940" i="15"/>
  <c r="H1940" i="15"/>
  <c r="I1940" i="15"/>
  <c r="J1940" i="15"/>
  <c r="K1940" i="15"/>
  <c r="L1940" i="15"/>
  <c r="M1940" i="15"/>
  <c r="N1940" i="15"/>
  <c r="A1941" i="15"/>
  <c r="B1941" i="15"/>
  <c r="C1941" i="15"/>
  <c r="D1941" i="15"/>
  <c r="E1941" i="15"/>
  <c r="F1941" i="15"/>
  <c r="G1941" i="15"/>
  <c r="H1941" i="15"/>
  <c r="I1941" i="15"/>
  <c r="J1941" i="15"/>
  <c r="K1941" i="15"/>
  <c r="L1941" i="15"/>
  <c r="M1941" i="15"/>
  <c r="N1941" i="15"/>
  <c r="A1942" i="15"/>
  <c r="B1942" i="15"/>
  <c r="C1942" i="15"/>
  <c r="D1942" i="15"/>
  <c r="E1942" i="15"/>
  <c r="F1942" i="15"/>
  <c r="G1942" i="15"/>
  <c r="H1942" i="15"/>
  <c r="I1942" i="15"/>
  <c r="J1942" i="15"/>
  <c r="K1942" i="15"/>
  <c r="L1942" i="15"/>
  <c r="M1942" i="15"/>
  <c r="N1942" i="15"/>
  <c r="A1943" i="15"/>
  <c r="B1943" i="15"/>
  <c r="C1943" i="15"/>
  <c r="D1943" i="15"/>
  <c r="E1943" i="15"/>
  <c r="F1943" i="15"/>
  <c r="G1943" i="15"/>
  <c r="H1943" i="15"/>
  <c r="I1943" i="15"/>
  <c r="J1943" i="15"/>
  <c r="K1943" i="15"/>
  <c r="L1943" i="15"/>
  <c r="M1943" i="15"/>
  <c r="N1943" i="15"/>
  <c r="A1944" i="15"/>
  <c r="B1944" i="15"/>
  <c r="C1944" i="15"/>
  <c r="D1944" i="15"/>
  <c r="E1944" i="15"/>
  <c r="F1944" i="15"/>
  <c r="G1944" i="15"/>
  <c r="H1944" i="15"/>
  <c r="I1944" i="15"/>
  <c r="J1944" i="15"/>
  <c r="K1944" i="15"/>
  <c r="L1944" i="15"/>
  <c r="M1944" i="15"/>
  <c r="N1944" i="15"/>
  <c r="A1945" i="15"/>
  <c r="B1945" i="15"/>
  <c r="C1945" i="15"/>
  <c r="D1945" i="15"/>
  <c r="E1945" i="15"/>
  <c r="F1945" i="15"/>
  <c r="G1945" i="15"/>
  <c r="H1945" i="15"/>
  <c r="I1945" i="15"/>
  <c r="J1945" i="15"/>
  <c r="K1945" i="15"/>
  <c r="L1945" i="15"/>
  <c r="M1945" i="15"/>
  <c r="N1945" i="15"/>
  <c r="A1946" i="15"/>
  <c r="B1946" i="15"/>
  <c r="C1946" i="15"/>
  <c r="D1946" i="15"/>
  <c r="E1946" i="15"/>
  <c r="F1946" i="15"/>
  <c r="G1946" i="15"/>
  <c r="H1946" i="15"/>
  <c r="I1946" i="15"/>
  <c r="J1946" i="15"/>
  <c r="K1946" i="15"/>
  <c r="L1946" i="15"/>
  <c r="M1946" i="15"/>
  <c r="N1946" i="15"/>
  <c r="A1947" i="15"/>
  <c r="B1947" i="15"/>
  <c r="C1947" i="15"/>
  <c r="D1947" i="15"/>
  <c r="E1947" i="15"/>
  <c r="F1947" i="15"/>
  <c r="G1947" i="15"/>
  <c r="H1947" i="15"/>
  <c r="I1947" i="15"/>
  <c r="J1947" i="15"/>
  <c r="K1947" i="15"/>
  <c r="L1947" i="15"/>
  <c r="M1947" i="15"/>
  <c r="N1947" i="15"/>
  <c r="A1948" i="15"/>
  <c r="B1948" i="15"/>
  <c r="C1948" i="15"/>
  <c r="D1948" i="15"/>
  <c r="E1948" i="15"/>
  <c r="F1948" i="15"/>
  <c r="G1948" i="15"/>
  <c r="H1948" i="15"/>
  <c r="I1948" i="15"/>
  <c r="J1948" i="15"/>
  <c r="K1948" i="15"/>
  <c r="L1948" i="15"/>
  <c r="M1948" i="15"/>
  <c r="N1948" i="15"/>
  <c r="A1949" i="15"/>
  <c r="B1949" i="15"/>
  <c r="C1949" i="15"/>
  <c r="D1949" i="15"/>
  <c r="E1949" i="15"/>
  <c r="F1949" i="15"/>
  <c r="G1949" i="15"/>
  <c r="H1949" i="15"/>
  <c r="I1949" i="15"/>
  <c r="J1949" i="15"/>
  <c r="K1949" i="15"/>
  <c r="L1949" i="15"/>
  <c r="M1949" i="15"/>
  <c r="N1949" i="15"/>
  <c r="A1950" i="15"/>
  <c r="B1950" i="15"/>
  <c r="C1950" i="15"/>
  <c r="D1950" i="15"/>
  <c r="E1950" i="15"/>
  <c r="F1950" i="15"/>
  <c r="G1950" i="15"/>
  <c r="H1950" i="15"/>
  <c r="I1950" i="15"/>
  <c r="J1950" i="15"/>
  <c r="K1950" i="15"/>
  <c r="L1950" i="15"/>
  <c r="M1950" i="15"/>
  <c r="N1950" i="15"/>
  <c r="A1951" i="15"/>
  <c r="B1951" i="15"/>
  <c r="C1951" i="15"/>
  <c r="D1951" i="15"/>
  <c r="E1951" i="15"/>
  <c r="F1951" i="15"/>
  <c r="G1951" i="15"/>
  <c r="H1951" i="15"/>
  <c r="I1951" i="15"/>
  <c r="J1951" i="15"/>
  <c r="K1951" i="15"/>
  <c r="L1951" i="15"/>
  <c r="M1951" i="15"/>
  <c r="N1951" i="15"/>
  <c r="A1952" i="15"/>
  <c r="B1952" i="15"/>
  <c r="C1952" i="15"/>
  <c r="D1952" i="15"/>
  <c r="E1952" i="15"/>
  <c r="F1952" i="15"/>
  <c r="G1952" i="15"/>
  <c r="H1952" i="15"/>
  <c r="I1952" i="15"/>
  <c r="J1952" i="15"/>
  <c r="K1952" i="15"/>
  <c r="L1952" i="15"/>
  <c r="M1952" i="15"/>
  <c r="N1952" i="15"/>
  <c r="A1953" i="15"/>
  <c r="B1953" i="15"/>
  <c r="C1953" i="15"/>
  <c r="D1953" i="15"/>
  <c r="E1953" i="15"/>
  <c r="F1953" i="15"/>
  <c r="G1953" i="15"/>
  <c r="H1953" i="15"/>
  <c r="I1953" i="15"/>
  <c r="J1953" i="15"/>
  <c r="K1953" i="15"/>
  <c r="L1953" i="15"/>
  <c r="M1953" i="15"/>
  <c r="N1953" i="15"/>
  <c r="A1954" i="15"/>
  <c r="B1954" i="15"/>
  <c r="C1954" i="15"/>
  <c r="D1954" i="15"/>
  <c r="E1954" i="15"/>
  <c r="F1954" i="15"/>
  <c r="G1954" i="15"/>
  <c r="H1954" i="15"/>
  <c r="I1954" i="15"/>
  <c r="J1954" i="15"/>
  <c r="K1954" i="15"/>
  <c r="L1954" i="15"/>
  <c r="M1954" i="15"/>
  <c r="N1954" i="15"/>
  <c r="A1955" i="15"/>
  <c r="B1955" i="15"/>
  <c r="C1955" i="15"/>
  <c r="D1955" i="15"/>
  <c r="E1955" i="15"/>
  <c r="F1955" i="15"/>
  <c r="G1955" i="15"/>
  <c r="H1955" i="15"/>
  <c r="I1955" i="15"/>
  <c r="J1955" i="15"/>
  <c r="K1955" i="15"/>
  <c r="L1955" i="15"/>
  <c r="M1955" i="15"/>
  <c r="N1955" i="15"/>
  <c r="A1956" i="15"/>
  <c r="B1956" i="15"/>
  <c r="C1956" i="15"/>
  <c r="D1956" i="15"/>
  <c r="E1956" i="15"/>
  <c r="F1956" i="15"/>
  <c r="G1956" i="15"/>
  <c r="H1956" i="15"/>
  <c r="I1956" i="15"/>
  <c r="J1956" i="15"/>
  <c r="K1956" i="15"/>
  <c r="L1956" i="15"/>
  <c r="M1956" i="15"/>
  <c r="N1956" i="15"/>
  <c r="A1957" i="15"/>
  <c r="B1957" i="15"/>
  <c r="C1957" i="15"/>
  <c r="D1957" i="15"/>
  <c r="E1957" i="15"/>
  <c r="F1957" i="15"/>
  <c r="G1957" i="15"/>
  <c r="H1957" i="15"/>
  <c r="I1957" i="15"/>
  <c r="J1957" i="15"/>
  <c r="K1957" i="15"/>
  <c r="L1957" i="15"/>
  <c r="M1957" i="15"/>
  <c r="N1957" i="15"/>
  <c r="A1958" i="15"/>
  <c r="B1958" i="15"/>
  <c r="C1958" i="15"/>
  <c r="D1958" i="15"/>
  <c r="E1958" i="15"/>
  <c r="F1958" i="15"/>
  <c r="G1958" i="15"/>
  <c r="H1958" i="15"/>
  <c r="I1958" i="15"/>
  <c r="J1958" i="15"/>
  <c r="K1958" i="15"/>
  <c r="L1958" i="15"/>
  <c r="M1958" i="15"/>
  <c r="N1958" i="15"/>
  <c r="A1959" i="15"/>
  <c r="B1959" i="15"/>
  <c r="C1959" i="15"/>
  <c r="D1959" i="15"/>
  <c r="E1959" i="15"/>
  <c r="F1959" i="15"/>
  <c r="G1959" i="15"/>
  <c r="H1959" i="15"/>
  <c r="I1959" i="15"/>
  <c r="J1959" i="15"/>
  <c r="K1959" i="15"/>
  <c r="L1959" i="15"/>
  <c r="M1959" i="15"/>
  <c r="N1959" i="15"/>
  <c r="A1960" i="15"/>
  <c r="B1960" i="15"/>
  <c r="C1960" i="15"/>
  <c r="D1960" i="15"/>
  <c r="E1960" i="15"/>
  <c r="F1960" i="15"/>
  <c r="G1960" i="15"/>
  <c r="H1960" i="15"/>
  <c r="I1960" i="15"/>
  <c r="J1960" i="15"/>
  <c r="K1960" i="15"/>
  <c r="L1960" i="15"/>
  <c r="M1960" i="15"/>
  <c r="N1960" i="15"/>
  <c r="A1961" i="15"/>
  <c r="B1961" i="15"/>
  <c r="C1961" i="15"/>
  <c r="D1961" i="15"/>
  <c r="E1961" i="15"/>
  <c r="F1961" i="15"/>
  <c r="G1961" i="15"/>
  <c r="H1961" i="15"/>
  <c r="I1961" i="15"/>
  <c r="J1961" i="15"/>
  <c r="K1961" i="15"/>
  <c r="L1961" i="15"/>
  <c r="M1961" i="15"/>
  <c r="N1961" i="15"/>
  <c r="A1962" i="15"/>
  <c r="B1962" i="15"/>
  <c r="C1962" i="15"/>
  <c r="D1962" i="15"/>
  <c r="E1962" i="15"/>
  <c r="F1962" i="15"/>
  <c r="G1962" i="15"/>
  <c r="H1962" i="15"/>
  <c r="I1962" i="15"/>
  <c r="J1962" i="15"/>
  <c r="K1962" i="15"/>
  <c r="L1962" i="15"/>
  <c r="M1962" i="15"/>
  <c r="N1962" i="15"/>
  <c r="A1963" i="15"/>
  <c r="B1963" i="15"/>
  <c r="C1963" i="15"/>
  <c r="D1963" i="15"/>
  <c r="E1963" i="15"/>
  <c r="F1963" i="15"/>
  <c r="G1963" i="15"/>
  <c r="H1963" i="15"/>
  <c r="I1963" i="15"/>
  <c r="J1963" i="15"/>
  <c r="K1963" i="15"/>
  <c r="L1963" i="15"/>
  <c r="M1963" i="15"/>
  <c r="N1963" i="15"/>
  <c r="A1964" i="15"/>
  <c r="B1964" i="15"/>
  <c r="C1964" i="15"/>
  <c r="D1964" i="15"/>
  <c r="E1964" i="15"/>
  <c r="F1964" i="15"/>
  <c r="G1964" i="15"/>
  <c r="H1964" i="15"/>
  <c r="I1964" i="15"/>
  <c r="J1964" i="15"/>
  <c r="K1964" i="15"/>
  <c r="L1964" i="15"/>
  <c r="M1964" i="15"/>
  <c r="N1964" i="15"/>
  <c r="A1965" i="15"/>
  <c r="B1965" i="15"/>
  <c r="C1965" i="15"/>
  <c r="D1965" i="15"/>
  <c r="E1965" i="15"/>
  <c r="F1965" i="15"/>
  <c r="G1965" i="15"/>
  <c r="H1965" i="15"/>
  <c r="I1965" i="15"/>
  <c r="J1965" i="15"/>
  <c r="K1965" i="15"/>
  <c r="L1965" i="15"/>
  <c r="M1965" i="15"/>
  <c r="N1965" i="15"/>
  <c r="A1966" i="15"/>
  <c r="B1966" i="15"/>
  <c r="C1966" i="15"/>
  <c r="D1966" i="15"/>
  <c r="E1966" i="15"/>
  <c r="F1966" i="15"/>
  <c r="G1966" i="15"/>
  <c r="H1966" i="15"/>
  <c r="I1966" i="15"/>
  <c r="J1966" i="15"/>
  <c r="K1966" i="15"/>
  <c r="L1966" i="15"/>
  <c r="M1966" i="15"/>
  <c r="N1966" i="15"/>
  <c r="A1967" i="15"/>
  <c r="B1967" i="15"/>
  <c r="C1967" i="15"/>
  <c r="D1967" i="15"/>
  <c r="E1967" i="15"/>
  <c r="F1967" i="15"/>
  <c r="G1967" i="15"/>
  <c r="H1967" i="15"/>
  <c r="I1967" i="15"/>
  <c r="J1967" i="15"/>
  <c r="K1967" i="15"/>
  <c r="L1967" i="15"/>
  <c r="M1967" i="15"/>
  <c r="N1967" i="15"/>
  <c r="A1968" i="15"/>
  <c r="B1968" i="15"/>
  <c r="C1968" i="15"/>
  <c r="D1968" i="15"/>
  <c r="E1968" i="15"/>
  <c r="F1968" i="15"/>
  <c r="G1968" i="15"/>
  <c r="H1968" i="15"/>
  <c r="I1968" i="15"/>
  <c r="J1968" i="15"/>
  <c r="K1968" i="15"/>
  <c r="L1968" i="15"/>
  <c r="M1968" i="15"/>
  <c r="N1968" i="15"/>
  <c r="A1969" i="15"/>
  <c r="B1969" i="15"/>
  <c r="C1969" i="15"/>
  <c r="D1969" i="15"/>
  <c r="E1969" i="15"/>
  <c r="F1969" i="15"/>
  <c r="G1969" i="15"/>
  <c r="H1969" i="15"/>
  <c r="I1969" i="15"/>
  <c r="J1969" i="15"/>
  <c r="K1969" i="15"/>
  <c r="L1969" i="15"/>
  <c r="M1969" i="15"/>
  <c r="N1969" i="15"/>
  <c r="A1970" i="15"/>
  <c r="B1970" i="15"/>
  <c r="C1970" i="15"/>
  <c r="D1970" i="15"/>
  <c r="E1970" i="15"/>
  <c r="F1970" i="15"/>
  <c r="G1970" i="15"/>
  <c r="H1970" i="15"/>
  <c r="I1970" i="15"/>
  <c r="J1970" i="15"/>
  <c r="K1970" i="15"/>
  <c r="L1970" i="15"/>
  <c r="M1970" i="15"/>
  <c r="N1970" i="15"/>
  <c r="A1971" i="15"/>
  <c r="B1971" i="15"/>
  <c r="C1971" i="15"/>
  <c r="D1971" i="15"/>
  <c r="E1971" i="15"/>
  <c r="F1971" i="15"/>
  <c r="G1971" i="15"/>
  <c r="H1971" i="15"/>
  <c r="I1971" i="15"/>
  <c r="J1971" i="15"/>
  <c r="K1971" i="15"/>
  <c r="L1971" i="15"/>
  <c r="M1971" i="15"/>
  <c r="N1971" i="15"/>
  <c r="A1972" i="15"/>
  <c r="B1972" i="15"/>
  <c r="C1972" i="15"/>
  <c r="D1972" i="15"/>
  <c r="E1972" i="15"/>
  <c r="F1972" i="15"/>
  <c r="G1972" i="15"/>
  <c r="H1972" i="15"/>
  <c r="I1972" i="15"/>
  <c r="J1972" i="15"/>
  <c r="K1972" i="15"/>
  <c r="L1972" i="15"/>
  <c r="M1972" i="15"/>
  <c r="N1972" i="15"/>
  <c r="A1973" i="15"/>
  <c r="B1973" i="15"/>
  <c r="C1973" i="15"/>
  <c r="D1973" i="15"/>
  <c r="E1973" i="15"/>
  <c r="F1973" i="15"/>
  <c r="G1973" i="15"/>
  <c r="H1973" i="15"/>
  <c r="I1973" i="15"/>
  <c r="J1973" i="15"/>
  <c r="K1973" i="15"/>
  <c r="L1973" i="15"/>
  <c r="M1973" i="15"/>
  <c r="N1973" i="15"/>
  <c r="A1974" i="15"/>
  <c r="B1974" i="15"/>
  <c r="C1974" i="15"/>
  <c r="D1974" i="15"/>
  <c r="E1974" i="15"/>
  <c r="F1974" i="15"/>
  <c r="G1974" i="15"/>
  <c r="H1974" i="15"/>
  <c r="I1974" i="15"/>
  <c r="J1974" i="15"/>
  <c r="K1974" i="15"/>
  <c r="L1974" i="15"/>
  <c r="M1974" i="15"/>
  <c r="N1974" i="15"/>
  <c r="A1975" i="15"/>
  <c r="B1975" i="15"/>
  <c r="C1975" i="15"/>
  <c r="D1975" i="15"/>
  <c r="E1975" i="15"/>
  <c r="F1975" i="15"/>
  <c r="G1975" i="15"/>
  <c r="H1975" i="15"/>
  <c r="I1975" i="15"/>
  <c r="J1975" i="15"/>
  <c r="K1975" i="15"/>
  <c r="L1975" i="15"/>
  <c r="M1975" i="15"/>
  <c r="N1975" i="15"/>
  <c r="A1976" i="15"/>
  <c r="B1976" i="15"/>
  <c r="C1976" i="15"/>
  <c r="D1976" i="15"/>
  <c r="E1976" i="15"/>
  <c r="F1976" i="15"/>
  <c r="G1976" i="15"/>
  <c r="H1976" i="15"/>
  <c r="I1976" i="15"/>
  <c r="J1976" i="15"/>
  <c r="K1976" i="15"/>
  <c r="L1976" i="15"/>
  <c r="M1976" i="15"/>
  <c r="N1976" i="15"/>
  <c r="A1977" i="15"/>
  <c r="B1977" i="15"/>
  <c r="C1977" i="15"/>
  <c r="D1977" i="15"/>
  <c r="E1977" i="15"/>
  <c r="F1977" i="15"/>
  <c r="G1977" i="15"/>
  <c r="H1977" i="15"/>
  <c r="I1977" i="15"/>
  <c r="J1977" i="15"/>
  <c r="K1977" i="15"/>
  <c r="L1977" i="15"/>
  <c r="M1977" i="15"/>
  <c r="N1977" i="15"/>
  <c r="A1978" i="15"/>
  <c r="B1978" i="15"/>
  <c r="C1978" i="15"/>
  <c r="D1978" i="15"/>
  <c r="E1978" i="15"/>
  <c r="F1978" i="15"/>
  <c r="G1978" i="15"/>
  <c r="H1978" i="15"/>
  <c r="I1978" i="15"/>
  <c r="J1978" i="15"/>
  <c r="K1978" i="15"/>
  <c r="L1978" i="15"/>
  <c r="M1978" i="15"/>
  <c r="N1978" i="15"/>
  <c r="A1979" i="15"/>
  <c r="B1979" i="15"/>
  <c r="C1979" i="15"/>
  <c r="D1979" i="15"/>
  <c r="E1979" i="15"/>
  <c r="F1979" i="15"/>
  <c r="G1979" i="15"/>
  <c r="H1979" i="15"/>
  <c r="I1979" i="15"/>
  <c r="J1979" i="15"/>
  <c r="K1979" i="15"/>
  <c r="L1979" i="15"/>
  <c r="M1979" i="15"/>
  <c r="N1979" i="15"/>
  <c r="A1980" i="15"/>
  <c r="B1980" i="15"/>
  <c r="C1980" i="15"/>
  <c r="D1980" i="15"/>
  <c r="E1980" i="15"/>
  <c r="F1980" i="15"/>
  <c r="G1980" i="15"/>
  <c r="H1980" i="15"/>
  <c r="I1980" i="15"/>
  <c r="J1980" i="15"/>
  <c r="K1980" i="15"/>
  <c r="L1980" i="15"/>
  <c r="M1980" i="15"/>
  <c r="N1980" i="15"/>
  <c r="A1981" i="15"/>
  <c r="B1981" i="15"/>
  <c r="C1981" i="15"/>
  <c r="D1981" i="15"/>
  <c r="E1981" i="15"/>
  <c r="F1981" i="15"/>
  <c r="G1981" i="15"/>
  <c r="H1981" i="15"/>
  <c r="I1981" i="15"/>
  <c r="J1981" i="15"/>
  <c r="K1981" i="15"/>
  <c r="L1981" i="15"/>
  <c r="M1981" i="15"/>
  <c r="N1981" i="15"/>
  <c r="A1982" i="15"/>
  <c r="B1982" i="15"/>
  <c r="C1982" i="15"/>
  <c r="D1982" i="15"/>
  <c r="E1982" i="15"/>
  <c r="F1982" i="15"/>
  <c r="G1982" i="15"/>
  <c r="H1982" i="15"/>
  <c r="I1982" i="15"/>
  <c r="J1982" i="15"/>
  <c r="K1982" i="15"/>
  <c r="L1982" i="15"/>
  <c r="M1982" i="15"/>
  <c r="N1982" i="15"/>
  <c r="A1983" i="15"/>
  <c r="B1983" i="15"/>
  <c r="C1983" i="15"/>
  <c r="D1983" i="15"/>
  <c r="E1983" i="15"/>
  <c r="F1983" i="15"/>
  <c r="G1983" i="15"/>
  <c r="H1983" i="15"/>
  <c r="I1983" i="15"/>
  <c r="J1983" i="15"/>
  <c r="K1983" i="15"/>
  <c r="L1983" i="15"/>
  <c r="M1983" i="15"/>
  <c r="N1983" i="15"/>
  <c r="A1984" i="15"/>
  <c r="B1984" i="15"/>
  <c r="C1984" i="15"/>
  <c r="D1984" i="15"/>
  <c r="E1984" i="15"/>
  <c r="F1984" i="15"/>
  <c r="G1984" i="15"/>
  <c r="H1984" i="15"/>
  <c r="I1984" i="15"/>
  <c r="J1984" i="15"/>
  <c r="K1984" i="15"/>
  <c r="L1984" i="15"/>
  <c r="M1984" i="15"/>
  <c r="N1984" i="15"/>
  <c r="A1985" i="15"/>
  <c r="B1985" i="15"/>
  <c r="C1985" i="15"/>
  <c r="D1985" i="15"/>
  <c r="E1985" i="15"/>
  <c r="F1985" i="15"/>
  <c r="G1985" i="15"/>
  <c r="H1985" i="15"/>
  <c r="I1985" i="15"/>
  <c r="J1985" i="15"/>
  <c r="K1985" i="15"/>
  <c r="L1985" i="15"/>
  <c r="M1985" i="15"/>
  <c r="N1985" i="15"/>
  <c r="A1986" i="15"/>
  <c r="B1986" i="15"/>
  <c r="C1986" i="15"/>
  <c r="D1986" i="15"/>
  <c r="E1986" i="15"/>
  <c r="F1986" i="15"/>
  <c r="G1986" i="15"/>
  <c r="H1986" i="15"/>
  <c r="I1986" i="15"/>
  <c r="J1986" i="15"/>
  <c r="K1986" i="15"/>
  <c r="L1986" i="15"/>
  <c r="M1986" i="15"/>
  <c r="N1986" i="15"/>
  <c r="A1987" i="15"/>
  <c r="B1987" i="15"/>
  <c r="C1987" i="15"/>
  <c r="D1987" i="15"/>
  <c r="E1987" i="15"/>
  <c r="F1987" i="15"/>
  <c r="G1987" i="15"/>
  <c r="H1987" i="15"/>
  <c r="I1987" i="15"/>
  <c r="J1987" i="15"/>
  <c r="K1987" i="15"/>
  <c r="L1987" i="15"/>
  <c r="M1987" i="15"/>
  <c r="N1987" i="15"/>
  <c r="A1988" i="15"/>
  <c r="B1988" i="15"/>
  <c r="C1988" i="15"/>
  <c r="D1988" i="15"/>
  <c r="E1988" i="15"/>
  <c r="F1988" i="15"/>
  <c r="G1988" i="15"/>
  <c r="H1988" i="15"/>
  <c r="I1988" i="15"/>
  <c r="J1988" i="15"/>
  <c r="K1988" i="15"/>
  <c r="L1988" i="15"/>
  <c r="M1988" i="15"/>
  <c r="N1988" i="15"/>
  <c r="A1989" i="15"/>
  <c r="B1989" i="15"/>
  <c r="C1989" i="15"/>
  <c r="D1989" i="15"/>
  <c r="E1989" i="15"/>
  <c r="F1989" i="15"/>
  <c r="G1989" i="15"/>
  <c r="H1989" i="15"/>
  <c r="I1989" i="15"/>
  <c r="J1989" i="15"/>
  <c r="K1989" i="15"/>
  <c r="L1989" i="15"/>
  <c r="M1989" i="15"/>
  <c r="N1989" i="15"/>
  <c r="A1990" i="15"/>
  <c r="B1990" i="15"/>
  <c r="C1990" i="15"/>
  <c r="D1990" i="15"/>
  <c r="E1990" i="15"/>
  <c r="F1990" i="15"/>
  <c r="G1990" i="15"/>
  <c r="H1990" i="15"/>
  <c r="I1990" i="15"/>
  <c r="J1990" i="15"/>
  <c r="K1990" i="15"/>
  <c r="L1990" i="15"/>
  <c r="M1990" i="15"/>
  <c r="N1990" i="15"/>
  <c r="A1991" i="15"/>
  <c r="B1991" i="15"/>
  <c r="C1991" i="15"/>
  <c r="D1991" i="15"/>
  <c r="E1991" i="15"/>
  <c r="F1991" i="15"/>
  <c r="G1991" i="15"/>
  <c r="H1991" i="15"/>
  <c r="I1991" i="15"/>
  <c r="J1991" i="15"/>
  <c r="K1991" i="15"/>
  <c r="L1991" i="15"/>
  <c r="M1991" i="15"/>
  <c r="N1991" i="15"/>
  <c r="A1992" i="15"/>
  <c r="B1992" i="15"/>
  <c r="C1992" i="15"/>
  <c r="D1992" i="15"/>
  <c r="E1992" i="15"/>
  <c r="F1992" i="15"/>
  <c r="G1992" i="15"/>
  <c r="H1992" i="15"/>
  <c r="I1992" i="15"/>
  <c r="J1992" i="15"/>
  <c r="K1992" i="15"/>
  <c r="L1992" i="15"/>
  <c r="M1992" i="15"/>
  <c r="N1992" i="15"/>
  <c r="A1993" i="15"/>
  <c r="B1993" i="15"/>
  <c r="C1993" i="15"/>
  <c r="D1993" i="15"/>
  <c r="E1993" i="15"/>
  <c r="F1993" i="15"/>
  <c r="G1993" i="15"/>
  <c r="H1993" i="15"/>
  <c r="I1993" i="15"/>
  <c r="J1993" i="15"/>
  <c r="K1993" i="15"/>
  <c r="L1993" i="15"/>
  <c r="M1993" i="15"/>
  <c r="N1993" i="15"/>
  <c r="A1994" i="15"/>
  <c r="B1994" i="15"/>
  <c r="C1994" i="15"/>
  <c r="D1994" i="15"/>
  <c r="E1994" i="15"/>
  <c r="F1994" i="15"/>
  <c r="G1994" i="15"/>
  <c r="H1994" i="15"/>
  <c r="I1994" i="15"/>
  <c r="J1994" i="15"/>
  <c r="K1994" i="15"/>
  <c r="L1994" i="15"/>
  <c r="M1994" i="15"/>
  <c r="N1994" i="15"/>
  <c r="A1995" i="15"/>
  <c r="B1995" i="15"/>
  <c r="C1995" i="15"/>
  <c r="D1995" i="15"/>
  <c r="E1995" i="15"/>
  <c r="F1995" i="15"/>
  <c r="G1995" i="15"/>
  <c r="H1995" i="15"/>
  <c r="I1995" i="15"/>
  <c r="J1995" i="15"/>
  <c r="K1995" i="15"/>
  <c r="L1995" i="15"/>
  <c r="M1995" i="15"/>
  <c r="N1995" i="15"/>
  <c r="A1996" i="15"/>
  <c r="B1996" i="15"/>
  <c r="C1996" i="15"/>
  <c r="D1996" i="15"/>
  <c r="E1996" i="15"/>
  <c r="F1996" i="15"/>
  <c r="G1996" i="15"/>
  <c r="H1996" i="15"/>
  <c r="I1996" i="15"/>
  <c r="J1996" i="15"/>
  <c r="K1996" i="15"/>
  <c r="L1996" i="15"/>
  <c r="M1996" i="15"/>
  <c r="N1996" i="15"/>
  <c r="A1997" i="15"/>
  <c r="B1997" i="15"/>
  <c r="C1997" i="15"/>
  <c r="D1997" i="15"/>
  <c r="E1997" i="15"/>
  <c r="F1997" i="15"/>
  <c r="G1997" i="15"/>
  <c r="H1997" i="15"/>
  <c r="I1997" i="15"/>
  <c r="J1997" i="15"/>
  <c r="K1997" i="15"/>
  <c r="L1997" i="15"/>
  <c r="M1997" i="15"/>
  <c r="N1997" i="15"/>
  <c r="A1998" i="15"/>
  <c r="B1998" i="15"/>
  <c r="C1998" i="15"/>
  <c r="D1998" i="15"/>
  <c r="E1998" i="15"/>
  <c r="F1998" i="15"/>
  <c r="G1998" i="15"/>
  <c r="H1998" i="15"/>
  <c r="I1998" i="15"/>
  <c r="J1998" i="15"/>
  <c r="K1998" i="15"/>
  <c r="L1998" i="15"/>
  <c r="M1998" i="15"/>
  <c r="N1998" i="15"/>
  <c r="A1999" i="15"/>
  <c r="B1999" i="15"/>
  <c r="C1999" i="15"/>
  <c r="D1999" i="15"/>
  <c r="E1999" i="15"/>
  <c r="F1999" i="15"/>
  <c r="G1999" i="15"/>
  <c r="H1999" i="15"/>
  <c r="I1999" i="15"/>
  <c r="J1999" i="15"/>
  <c r="K1999" i="15"/>
  <c r="L1999" i="15"/>
  <c r="M1999" i="15"/>
  <c r="N1999" i="15"/>
  <c r="A2000" i="15"/>
  <c r="B2000" i="15"/>
  <c r="C2000" i="15"/>
  <c r="D2000" i="15"/>
  <c r="E2000" i="15"/>
  <c r="F2000" i="15"/>
  <c r="G2000" i="15"/>
  <c r="H2000" i="15"/>
  <c r="I2000" i="15"/>
  <c r="J2000" i="15"/>
  <c r="K2000" i="15"/>
  <c r="L2000" i="15"/>
  <c r="M2000" i="15"/>
  <c r="N2000" i="15"/>
  <c r="A2001" i="15"/>
  <c r="B2001" i="15"/>
  <c r="C2001" i="15"/>
  <c r="D2001" i="15"/>
  <c r="E2001" i="15"/>
  <c r="F2001" i="15"/>
  <c r="G2001" i="15"/>
  <c r="H2001" i="15"/>
  <c r="I2001" i="15"/>
  <c r="J2001" i="15"/>
  <c r="K2001" i="15"/>
  <c r="L2001" i="15"/>
  <c r="M2001" i="15"/>
  <c r="N2001" i="15"/>
  <c r="A2002" i="15"/>
  <c r="B2002" i="15"/>
  <c r="C2002" i="15"/>
  <c r="D2002" i="15"/>
  <c r="E2002" i="15"/>
  <c r="F2002" i="15"/>
  <c r="G2002" i="15"/>
  <c r="H2002" i="15"/>
  <c r="I2002" i="15"/>
  <c r="J2002" i="15"/>
  <c r="K2002" i="15"/>
  <c r="L2002" i="15"/>
  <c r="M2002" i="15"/>
  <c r="N2002" i="15"/>
  <c r="A2003" i="15"/>
  <c r="B2003" i="15"/>
  <c r="C2003" i="15"/>
  <c r="D2003" i="15"/>
  <c r="E2003" i="15"/>
  <c r="F2003" i="15"/>
  <c r="G2003" i="15"/>
  <c r="H2003" i="15"/>
  <c r="I2003" i="15"/>
  <c r="J2003" i="15"/>
  <c r="K2003" i="15"/>
  <c r="L2003" i="15"/>
  <c r="M2003" i="15"/>
  <c r="N2003" i="15"/>
  <c r="A2004" i="15"/>
  <c r="B2004" i="15"/>
  <c r="C2004" i="15"/>
  <c r="D2004" i="15"/>
  <c r="E2004" i="15"/>
  <c r="F2004" i="15"/>
  <c r="G2004" i="15"/>
  <c r="H2004" i="15"/>
  <c r="I2004" i="15"/>
  <c r="J2004" i="15"/>
  <c r="K2004" i="15"/>
  <c r="L2004" i="15"/>
  <c r="M2004" i="15"/>
  <c r="N2004" i="15"/>
  <c r="A2005" i="15"/>
  <c r="B2005" i="15"/>
  <c r="C2005" i="15"/>
  <c r="D2005" i="15"/>
  <c r="E2005" i="15"/>
  <c r="F2005" i="15"/>
  <c r="G2005" i="15"/>
  <c r="H2005" i="15"/>
  <c r="I2005" i="15"/>
  <c r="J2005" i="15"/>
  <c r="K2005" i="15"/>
  <c r="L2005" i="15"/>
  <c r="M2005" i="15"/>
  <c r="N2005" i="15"/>
  <c r="A2006" i="15"/>
  <c r="B2006" i="15"/>
  <c r="C2006" i="15"/>
  <c r="D2006" i="15"/>
  <c r="E2006" i="15"/>
  <c r="F2006" i="15"/>
  <c r="G2006" i="15"/>
  <c r="H2006" i="15"/>
  <c r="I2006" i="15"/>
  <c r="J2006" i="15"/>
  <c r="K2006" i="15"/>
  <c r="L2006" i="15"/>
  <c r="M2006" i="15"/>
  <c r="N2006" i="15"/>
  <c r="A2007" i="15"/>
  <c r="B2007" i="15"/>
  <c r="C2007" i="15"/>
  <c r="D2007" i="15"/>
  <c r="E2007" i="15"/>
  <c r="F2007" i="15"/>
  <c r="G2007" i="15"/>
  <c r="H2007" i="15"/>
  <c r="I2007" i="15"/>
  <c r="J2007" i="15"/>
  <c r="K2007" i="15"/>
  <c r="L2007" i="15"/>
  <c r="M2007" i="15"/>
  <c r="N2007" i="15"/>
  <c r="A2008" i="15"/>
  <c r="B2008" i="15"/>
  <c r="C2008" i="15"/>
  <c r="D2008" i="15"/>
  <c r="E2008" i="15"/>
  <c r="F2008" i="15"/>
  <c r="G2008" i="15"/>
  <c r="H2008" i="15"/>
  <c r="I2008" i="15"/>
  <c r="J2008" i="15"/>
  <c r="K2008" i="15"/>
  <c r="L2008" i="15"/>
  <c r="M2008" i="15"/>
  <c r="N2008" i="15"/>
  <c r="A2009" i="15"/>
  <c r="B2009" i="15"/>
  <c r="C2009" i="15"/>
  <c r="D2009" i="15"/>
  <c r="E2009" i="15"/>
  <c r="F2009" i="15"/>
  <c r="G2009" i="15"/>
  <c r="H2009" i="15"/>
  <c r="I2009" i="15"/>
  <c r="J2009" i="15"/>
  <c r="K2009" i="15"/>
  <c r="L2009" i="15"/>
  <c r="M2009" i="15"/>
  <c r="N2009" i="15"/>
  <c r="A2010" i="15"/>
  <c r="B2010" i="15"/>
  <c r="C2010" i="15"/>
  <c r="D2010" i="15"/>
  <c r="E2010" i="15"/>
  <c r="F2010" i="15"/>
  <c r="G2010" i="15"/>
  <c r="H2010" i="15"/>
  <c r="I2010" i="15"/>
  <c r="J2010" i="15"/>
  <c r="K2010" i="15"/>
  <c r="L2010" i="15"/>
  <c r="M2010" i="15"/>
  <c r="N2010" i="15"/>
  <c r="A2011" i="15"/>
  <c r="B2011" i="15"/>
  <c r="C2011" i="15"/>
  <c r="D2011" i="15"/>
  <c r="E2011" i="15"/>
  <c r="F2011" i="15"/>
  <c r="G2011" i="15"/>
  <c r="H2011" i="15"/>
  <c r="I2011" i="15"/>
  <c r="J2011" i="15"/>
  <c r="K2011" i="15"/>
  <c r="L2011" i="15"/>
  <c r="M2011" i="15"/>
  <c r="N2011" i="15"/>
  <c r="A2012" i="15"/>
  <c r="B2012" i="15"/>
  <c r="C2012" i="15"/>
  <c r="D2012" i="15"/>
  <c r="E2012" i="15"/>
  <c r="F2012" i="15"/>
  <c r="G2012" i="15"/>
  <c r="H2012" i="15"/>
  <c r="I2012" i="15"/>
  <c r="J2012" i="15"/>
  <c r="K2012" i="15"/>
  <c r="L2012" i="15"/>
  <c r="M2012" i="15"/>
  <c r="N2012" i="15"/>
  <c r="A2013" i="15"/>
  <c r="B2013" i="15"/>
  <c r="C2013" i="15"/>
  <c r="D2013" i="15"/>
  <c r="E2013" i="15"/>
  <c r="F2013" i="15"/>
  <c r="G2013" i="15"/>
  <c r="H2013" i="15"/>
  <c r="I2013" i="15"/>
  <c r="J2013" i="15"/>
  <c r="K2013" i="15"/>
  <c r="L2013" i="15"/>
  <c r="M2013" i="15"/>
  <c r="N2013" i="15"/>
  <c r="A2014" i="15"/>
  <c r="B2014" i="15"/>
  <c r="C2014" i="15"/>
  <c r="D2014" i="15"/>
  <c r="E2014" i="15"/>
  <c r="F2014" i="15"/>
  <c r="G2014" i="15"/>
  <c r="H2014" i="15"/>
  <c r="I2014" i="15"/>
  <c r="J2014" i="15"/>
  <c r="K2014" i="15"/>
  <c r="L2014" i="15"/>
  <c r="M2014" i="15"/>
  <c r="N2014" i="15"/>
  <c r="A2015" i="15"/>
  <c r="B2015" i="15"/>
  <c r="C2015" i="15"/>
  <c r="D2015" i="15"/>
  <c r="E2015" i="15"/>
  <c r="F2015" i="15"/>
  <c r="G2015" i="15"/>
  <c r="H2015" i="15"/>
  <c r="I2015" i="15"/>
  <c r="J2015" i="15"/>
  <c r="K2015" i="15"/>
  <c r="L2015" i="15"/>
  <c r="M2015" i="15"/>
  <c r="N2015" i="15"/>
  <c r="A2016" i="15"/>
  <c r="B2016" i="15"/>
  <c r="C2016" i="15"/>
  <c r="D2016" i="15"/>
  <c r="E2016" i="15"/>
  <c r="F2016" i="15"/>
  <c r="G2016" i="15"/>
  <c r="H2016" i="15"/>
  <c r="I2016" i="15"/>
  <c r="J2016" i="15"/>
  <c r="K2016" i="15"/>
  <c r="L2016" i="15"/>
  <c r="M2016" i="15"/>
  <c r="N2016" i="15"/>
  <c r="A2017" i="15"/>
  <c r="B2017" i="15"/>
  <c r="C2017" i="15"/>
  <c r="D2017" i="15"/>
  <c r="E2017" i="15"/>
  <c r="F2017" i="15"/>
  <c r="G2017" i="15"/>
  <c r="H2017" i="15"/>
  <c r="I2017" i="15"/>
  <c r="J2017" i="15"/>
  <c r="K2017" i="15"/>
  <c r="L2017" i="15"/>
  <c r="M2017" i="15"/>
  <c r="N2017" i="15"/>
  <c r="A2018" i="15"/>
  <c r="B2018" i="15"/>
  <c r="C2018" i="15"/>
  <c r="D2018" i="15"/>
  <c r="E2018" i="15"/>
  <c r="F2018" i="15"/>
  <c r="G2018" i="15"/>
  <c r="H2018" i="15"/>
  <c r="I2018" i="15"/>
  <c r="J2018" i="15"/>
  <c r="K2018" i="15"/>
  <c r="L2018" i="15"/>
  <c r="M2018" i="15"/>
  <c r="N2018" i="15"/>
  <c r="A2019" i="15"/>
  <c r="B2019" i="15"/>
  <c r="C2019" i="15"/>
  <c r="D2019" i="15"/>
  <c r="E2019" i="15"/>
  <c r="F2019" i="15"/>
  <c r="G2019" i="15"/>
  <c r="H2019" i="15"/>
  <c r="I2019" i="15"/>
  <c r="J2019" i="15"/>
  <c r="K2019" i="15"/>
  <c r="L2019" i="15"/>
  <c r="M2019" i="15"/>
  <c r="N2019" i="15"/>
  <c r="A2020" i="15"/>
  <c r="B2020" i="15"/>
  <c r="C2020" i="15"/>
  <c r="D2020" i="15"/>
  <c r="E2020" i="15"/>
  <c r="F2020" i="15"/>
  <c r="G2020" i="15"/>
  <c r="H2020" i="15"/>
  <c r="I2020" i="15"/>
  <c r="J2020" i="15"/>
  <c r="K2020" i="15"/>
  <c r="L2020" i="15"/>
  <c r="M2020" i="15"/>
  <c r="N2020" i="15"/>
  <c r="A2021" i="15"/>
  <c r="B2021" i="15"/>
  <c r="C2021" i="15"/>
  <c r="D2021" i="15"/>
  <c r="E2021" i="15"/>
  <c r="F2021" i="15"/>
  <c r="G2021" i="15"/>
  <c r="H2021" i="15"/>
  <c r="I2021" i="15"/>
  <c r="J2021" i="15"/>
  <c r="K2021" i="15"/>
  <c r="L2021" i="15"/>
  <c r="M2021" i="15"/>
  <c r="N2021" i="15"/>
  <c r="A2022" i="15"/>
  <c r="B2022" i="15"/>
  <c r="C2022" i="15"/>
  <c r="D2022" i="15"/>
  <c r="E2022" i="15"/>
  <c r="F2022" i="15"/>
  <c r="G2022" i="15"/>
  <c r="H2022" i="15"/>
  <c r="I2022" i="15"/>
  <c r="J2022" i="15"/>
  <c r="K2022" i="15"/>
  <c r="L2022" i="15"/>
  <c r="M2022" i="15"/>
  <c r="N2022" i="15"/>
  <c r="A2023" i="15"/>
  <c r="B2023" i="15"/>
  <c r="C2023" i="15"/>
  <c r="D2023" i="15"/>
  <c r="E2023" i="15"/>
  <c r="F2023" i="15"/>
  <c r="G2023" i="15"/>
  <c r="H2023" i="15"/>
  <c r="I2023" i="15"/>
  <c r="J2023" i="15"/>
  <c r="K2023" i="15"/>
  <c r="L2023" i="15"/>
  <c r="M2023" i="15"/>
  <c r="N2023" i="15"/>
  <c r="A2024" i="15"/>
  <c r="B2024" i="15"/>
  <c r="C2024" i="15"/>
  <c r="D2024" i="15"/>
  <c r="E2024" i="15"/>
  <c r="F2024" i="15"/>
  <c r="G2024" i="15"/>
  <c r="H2024" i="15"/>
  <c r="I2024" i="15"/>
  <c r="J2024" i="15"/>
  <c r="K2024" i="15"/>
  <c r="L2024" i="15"/>
  <c r="M2024" i="15"/>
  <c r="N2024" i="15"/>
  <c r="A2025" i="15"/>
  <c r="B2025" i="15"/>
  <c r="C2025" i="15"/>
  <c r="D2025" i="15"/>
  <c r="E2025" i="15"/>
  <c r="F2025" i="15"/>
  <c r="G2025" i="15"/>
  <c r="H2025" i="15"/>
  <c r="I2025" i="15"/>
  <c r="J2025" i="15"/>
  <c r="K2025" i="15"/>
  <c r="L2025" i="15"/>
  <c r="M2025" i="15"/>
  <c r="N2025" i="15"/>
  <c r="A2026" i="15"/>
  <c r="B2026" i="15"/>
  <c r="C2026" i="15"/>
  <c r="D2026" i="15"/>
  <c r="E2026" i="15"/>
  <c r="F2026" i="15"/>
  <c r="G2026" i="15"/>
  <c r="H2026" i="15"/>
  <c r="I2026" i="15"/>
  <c r="J2026" i="15"/>
  <c r="K2026" i="15"/>
  <c r="L2026" i="15"/>
  <c r="M2026" i="15"/>
  <c r="N2026" i="15"/>
  <c r="A2027" i="15"/>
  <c r="B2027" i="15"/>
  <c r="C2027" i="15"/>
  <c r="D2027" i="15"/>
  <c r="E2027" i="15"/>
  <c r="F2027" i="15"/>
  <c r="G2027" i="15"/>
  <c r="H2027" i="15"/>
  <c r="I2027" i="15"/>
  <c r="J2027" i="15"/>
  <c r="K2027" i="15"/>
  <c r="L2027" i="15"/>
  <c r="M2027" i="15"/>
  <c r="N2027" i="15"/>
  <c r="A2028" i="15"/>
  <c r="B2028" i="15"/>
  <c r="C2028" i="15"/>
  <c r="D2028" i="15"/>
  <c r="E2028" i="15"/>
  <c r="F2028" i="15"/>
  <c r="G2028" i="15"/>
  <c r="H2028" i="15"/>
  <c r="I2028" i="15"/>
  <c r="J2028" i="15"/>
  <c r="K2028" i="15"/>
  <c r="L2028" i="15"/>
  <c r="M2028" i="15"/>
  <c r="N2028" i="15"/>
  <c r="A2029" i="15"/>
  <c r="B2029" i="15"/>
  <c r="C2029" i="15"/>
  <c r="D2029" i="15"/>
  <c r="E2029" i="15"/>
  <c r="F2029" i="15"/>
  <c r="G2029" i="15"/>
  <c r="H2029" i="15"/>
  <c r="I2029" i="15"/>
  <c r="J2029" i="15"/>
  <c r="K2029" i="15"/>
  <c r="L2029" i="15"/>
  <c r="M2029" i="15"/>
  <c r="N2029" i="15"/>
  <c r="A2030" i="15"/>
  <c r="B2030" i="15"/>
  <c r="C2030" i="15"/>
  <c r="D2030" i="15"/>
  <c r="E2030" i="15"/>
  <c r="F2030" i="15"/>
  <c r="G2030" i="15"/>
  <c r="H2030" i="15"/>
  <c r="I2030" i="15"/>
  <c r="J2030" i="15"/>
  <c r="K2030" i="15"/>
  <c r="L2030" i="15"/>
  <c r="M2030" i="15"/>
  <c r="N2030" i="15"/>
  <c r="A2031" i="15"/>
  <c r="B2031" i="15"/>
  <c r="C2031" i="15"/>
  <c r="D2031" i="15"/>
  <c r="E2031" i="15"/>
  <c r="F2031" i="15"/>
  <c r="G2031" i="15"/>
  <c r="H2031" i="15"/>
  <c r="I2031" i="15"/>
  <c r="J2031" i="15"/>
  <c r="K2031" i="15"/>
  <c r="L2031" i="15"/>
  <c r="M2031" i="15"/>
  <c r="N2031" i="15"/>
  <c r="A2032" i="15"/>
  <c r="B2032" i="15"/>
  <c r="C2032" i="15"/>
  <c r="D2032" i="15"/>
  <c r="E2032" i="15"/>
  <c r="F2032" i="15"/>
  <c r="G2032" i="15"/>
  <c r="H2032" i="15"/>
  <c r="I2032" i="15"/>
  <c r="J2032" i="15"/>
  <c r="K2032" i="15"/>
  <c r="L2032" i="15"/>
  <c r="M2032" i="15"/>
  <c r="N2032" i="15"/>
  <c r="A2033" i="15"/>
  <c r="B2033" i="15"/>
  <c r="C2033" i="15"/>
  <c r="D2033" i="15"/>
  <c r="E2033" i="15"/>
  <c r="F2033" i="15"/>
  <c r="G2033" i="15"/>
  <c r="H2033" i="15"/>
  <c r="I2033" i="15"/>
  <c r="J2033" i="15"/>
  <c r="K2033" i="15"/>
  <c r="L2033" i="15"/>
  <c r="M2033" i="15"/>
  <c r="N2033" i="15"/>
  <c r="A2034" i="15"/>
  <c r="B2034" i="15"/>
  <c r="C2034" i="15"/>
  <c r="D2034" i="15"/>
  <c r="E2034" i="15"/>
  <c r="F2034" i="15"/>
  <c r="G2034" i="15"/>
  <c r="H2034" i="15"/>
  <c r="I2034" i="15"/>
  <c r="J2034" i="15"/>
  <c r="K2034" i="15"/>
  <c r="L2034" i="15"/>
  <c r="M2034" i="15"/>
  <c r="N2034" i="15"/>
  <c r="A2035" i="15"/>
  <c r="B2035" i="15"/>
  <c r="C2035" i="15"/>
  <c r="D2035" i="15"/>
  <c r="E2035" i="15"/>
  <c r="F2035" i="15"/>
  <c r="G2035" i="15"/>
  <c r="H2035" i="15"/>
  <c r="I2035" i="15"/>
  <c r="J2035" i="15"/>
  <c r="K2035" i="15"/>
  <c r="L2035" i="15"/>
  <c r="M2035" i="15"/>
  <c r="N2035" i="15"/>
  <c r="A2036" i="15"/>
  <c r="B2036" i="15"/>
  <c r="C2036" i="15"/>
  <c r="D2036" i="15"/>
  <c r="E2036" i="15"/>
  <c r="F2036" i="15"/>
  <c r="G2036" i="15"/>
  <c r="H2036" i="15"/>
  <c r="I2036" i="15"/>
  <c r="J2036" i="15"/>
  <c r="K2036" i="15"/>
  <c r="L2036" i="15"/>
  <c r="M2036" i="15"/>
  <c r="N2036" i="15"/>
  <c r="A2037" i="15"/>
  <c r="B2037" i="15"/>
  <c r="C2037" i="15"/>
  <c r="D2037" i="15"/>
  <c r="E2037" i="15"/>
  <c r="F2037" i="15"/>
  <c r="G2037" i="15"/>
  <c r="H2037" i="15"/>
  <c r="I2037" i="15"/>
  <c r="J2037" i="15"/>
  <c r="K2037" i="15"/>
  <c r="L2037" i="15"/>
  <c r="M2037" i="15"/>
  <c r="N2037" i="15"/>
  <c r="A2038" i="15"/>
  <c r="B2038" i="15"/>
  <c r="C2038" i="15"/>
  <c r="D2038" i="15"/>
  <c r="E2038" i="15"/>
  <c r="F2038" i="15"/>
  <c r="G2038" i="15"/>
  <c r="H2038" i="15"/>
  <c r="I2038" i="15"/>
  <c r="J2038" i="15"/>
  <c r="K2038" i="15"/>
  <c r="L2038" i="15"/>
  <c r="M2038" i="15"/>
  <c r="N2038" i="15"/>
  <c r="A2039" i="15"/>
  <c r="B2039" i="15"/>
  <c r="C2039" i="15"/>
  <c r="D2039" i="15"/>
  <c r="E2039" i="15"/>
  <c r="F2039" i="15"/>
  <c r="G2039" i="15"/>
  <c r="H2039" i="15"/>
  <c r="I2039" i="15"/>
  <c r="J2039" i="15"/>
  <c r="K2039" i="15"/>
  <c r="L2039" i="15"/>
  <c r="M2039" i="15"/>
  <c r="N2039" i="15"/>
  <c r="A2040" i="15"/>
  <c r="B2040" i="15"/>
  <c r="C2040" i="15"/>
  <c r="D2040" i="15"/>
  <c r="E2040" i="15"/>
  <c r="F2040" i="15"/>
  <c r="G2040" i="15"/>
  <c r="H2040" i="15"/>
  <c r="I2040" i="15"/>
  <c r="J2040" i="15"/>
  <c r="K2040" i="15"/>
  <c r="L2040" i="15"/>
  <c r="M2040" i="15"/>
  <c r="N2040" i="15"/>
  <c r="A2041" i="15"/>
  <c r="B2041" i="15"/>
  <c r="C2041" i="15"/>
  <c r="D2041" i="15"/>
  <c r="E2041" i="15"/>
  <c r="F2041" i="15"/>
  <c r="G2041" i="15"/>
  <c r="H2041" i="15"/>
  <c r="I2041" i="15"/>
  <c r="J2041" i="15"/>
  <c r="K2041" i="15"/>
  <c r="L2041" i="15"/>
  <c r="M2041" i="15"/>
  <c r="N2041" i="15"/>
  <c r="A2042" i="15"/>
  <c r="B2042" i="15"/>
  <c r="C2042" i="15"/>
  <c r="D2042" i="15"/>
  <c r="E2042" i="15"/>
  <c r="F2042" i="15"/>
  <c r="G2042" i="15"/>
  <c r="H2042" i="15"/>
  <c r="I2042" i="15"/>
  <c r="J2042" i="15"/>
  <c r="K2042" i="15"/>
  <c r="L2042" i="15"/>
  <c r="M2042" i="15"/>
  <c r="N2042" i="15"/>
  <c r="A2043" i="15"/>
  <c r="B2043" i="15"/>
  <c r="C2043" i="15"/>
  <c r="D2043" i="15"/>
  <c r="E2043" i="15"/>
  <c r="F2043" i="15"/>
  <c r="G2043" i="15"/>
  <c r="H2043" i="15"/>
  <c r="I2043" i="15"/>
  <c r="J2043" i="15"/>
  <c r="K2043" i="15"/>
  <c r="L2043" i="15"/>
  <c r="M2043" i="15"/>
  <c r="N2043" i="15"/>
  <c r="A2044" i="15"/>
  <c r="B2044" i="15"/>
  <c r="C2044" i="15"/>
  <c r="D2044" i="15"/>
  <c r="E2044" i="15"/>
  <c r="F2044" i="15"/>
  <c r="G2044" i="15"/>
  <c r="H2044" i="15"/>
  <c r="I2044" i="15"/>
  <c r="J2044" i="15"/>
  <c r="K2044" i="15"/>
  <c r="L2044" i="15"/>
  <c r="M2044" i="15"/>
  <c r="N2044" i="15"/>
  <c r="A2045" i="15"/>
  <c r="B2045" i="15"/>
  <c r="C2045" i="15"/>
  <c r="D2045" i="15"/>
  <c r="E2045" i="15"/>
  <c r="F2045" i="15"/>
  <c r="G2045" i="15"/>
  <c r="H2045" i="15"/>
  <c r="I2045" i="15"/>
  <c r="J2045" i="15"/>
  <c r="K2045" i="15"/>
  <c r="L2045" i="15"/>
  <c r="M2045" i="15"/>
  <c r="N2045" i="15"/>
  <c r="A2046" i="15"/>
  <c r="B2046" i="15"/>
  <c r="C2046" i="15"/>
  <c r="D2046" i="15"/>
  <c r="E2046" i="15"/>
  <c r="F2046" i="15"/>
  <c r="G2046" i="15"/>
  <c r="H2046" i="15"/>
  <c r="I2046" i="15"/>
  <c r="J2046" i="15"/>
  <c r="K2046" i="15"/>
  <c r="L2046" i="15"/>
  <c r="M2046" i="15"/>
  <c r="N2046" i="15"/>
  <c r="A2047" i="15"/>
  <c r="B2047" i="15"/>
  <c r="C2047" i="15"/>
  <c r="D2047" i="15"/>
  <c r="E2047" i="15"/>
  <c r="F2047" i="15"/>
  <c r="G2047" i="15"/>
  <c r="H2047" i="15"/>
  <c r="I2047" i="15"/>
  <c r="J2047" i="15"/>
  <c r="K2047" i="15"/>
  <c r="L2047" i="15"/>
  <c r="M2047" i="15"/>
  <c r="N2047" i="15"/>
  <c r="A2048" i="15"/>
  <c r="B2048" i="15"/>
  <c r="C2048" i="15"/>
  <c r="D2048" i="15"/>
  <c r="E2048" i="15"/>
  <c r="F2048" i="15"/>
  <c r="G2048" i="15"/>
  <c r="H2048" i="15"/>
  <c r="I2048" i="15"/>
  <c r="J2048" i="15"/>
  <c r="K2048" i="15"/>
  <c r="L2048" i="15"/>
  <c r="M2048" i="15"/>
  <c r="N2048" i="15"/>
  <c r="A2049" i="15"/>
  <c r="B2049" i="15"/>
  <c r="C2049" i="15"/>
  <c r="D2049" i="15"/>
  <c r="E2049" i="15"/>
  <c r="F2049" i="15"/>
  <c r="G2049" i="15"/>
  <c r="H2049" i="15"/>
  <c r="I2049" i="15"/>
  <c r="J2049" i="15"/>
  <c r="K2049" i="15"/>
  <c r="L2049" i="15"/>
  <c r="M2049" i="15"/>
  <c r="N2049" i="15"/>
  <c r="A2050" i="15"/>
  <c r="B2050" i="15"/>
  <c r="C2050" i="15"/>
  <c r="D2050" i="15"/>
  <c r="E2050" i="15"/>
  <c r="F2050" i="15"/>
  <c r="G2050" i="15"/>
  <c r="H2050" i="15"/>
  <c r="I2050" i="15"/>
  <c r="J2050" i="15"/>
  <c r="K2050" i="15"/>
  <c r="L2050" i="15"/>
  <c r="M2050" i="15"/>
  <c r="N2050" i="15"/>
  <c r="A2051" i="15"/>
  <c r="B2051" i="15"/>
  <c r="C2051" i="15"/>
  <c r="D2051" i="15"/>
  <c r="E2051" i="15"/>
  <c r="F2051" i="15"/>
  <c r="G2051" i="15"/>
  <c r="H2051" i="15"/>
  <c r="I2051" i="15"/>
  <c r="J2051" i="15"/>
  <c r="K2051" i="15"/>
  <c r="L2051" i="15"/>
  <c r="M2051" i="15"/>
  <c r="N2051" i="15"/>
  <c r="A2052" i="15"/>
  <c r="B2052" i="15"/>
  <c r="C2052" i="15"/>
  <c r="D2052" i="15"/>
  <c r="E2052" i="15"/>
  <c r="F2052" i="15"/>
  <c r="G2052" i="15"/>
  <c r="H2052" i="15"/>
  <c r="I2052" i="15"/>
  <c r="J2052" i="15"/>
  <c r="K2052" i="15"/>
  <c r="L2052" i="15"/>
  <c r="M2052" i="15"/>
  <c r="N2052" i="15"/>
  <c r="A2053" i="15"/>
  <c r="B2053" i="15"/>
  <c r="C2053" i="15"/>
  <c r="D2053" i="15"/>
  <c r="E2053" i="15"/>
  <c r="F2053" i="15"/>
  <c r="G2053" i="15"/>
  <c r="H2053" i="15"/>
  <c r="I2053" i="15"/>
  <c r="J2053" i="15"/>
  <c r="K2053" i="15"/>
  <c r="L2053" i="15"/>
  <c r="M2053" i="15"/>
  <c r="N2053" i="15"/>
  <c r="A2054" i="15"/>
  <c r="B2054" i="15"/>
  <c r="C2054" i="15"/>
  <c r="D2054" i="15"/>
  <c r="E2054" i="15"/>
  <c r="F2054" i="15"/>
  <c r="G2054" i="15"/>
  <c r="H2054" i="15"/>
  <c r="I2054" i="15"/>
  <c r="J2054" i="15"/>
  <c r="K2054" i="15"/>
  <c r="L2054" i="15"/>
  <c r="M2054" i="15"/>
  <c r="N2054" i="15"/>
  <c r="A2055" i="15"/>
  <c r="B2055" i="15"/>
  <c r="C2055" i="15"/>
  <c r="D2055" i="15"/>
  <c r="E2055" i="15"/>
  <c r="F2055" i="15"/>
  <c r="G2055" i="15"/>
  <c r="H2055" i="15"/>
  <c r="I2055" i="15"/>
  <c r="J2055" i="15"/>
  <c r="K2055" i="15"/>
  <c r="L2055" i="15"/>
  <c r="M2055" i="15"/>
  <c r="N2055" i="15"/>
  <c r="A2056" i="15"/>
  <c r="B2056" i="15"/>
  <c r="C2056" i="15"/>
  <c r="D2056" i="15"/>
  <c r="E2056" i="15"/>
  <c r="F2056" i="15"/>
  <c r="G2056" i="15"/>
  <c r="H2056" i="15"/>
  <c r="I2056" i="15"/>
  <c r="J2056" i="15"/>
  <c r="K2056" i="15"/>
  <c r="L2056" i="15"/>
  <c r="M2056" i="15"/>
  <c r="N2056" i="15"/>
  <c r="A2057" i="15"/>
  <c r="B2057" i="15"/>
  <c r="C2057" i="15"/>
  <c r="D2057" i="15"/>
  <c r="E2057" i="15"/>
  <c r="F2057" i="15"/>
  <c r="G2057" i="15"/>
  <c r="H2057" i="15"/>
  <c r="I2057" i="15"/>
  <c r="J2057" i="15"/>
  <c r="K2057" i="15"/>
  <c r="L2057" i="15"/>
  <c r="M2057" i="15"/>
  <c r="N2057" i="15"/>
  <c r="A2058" i="15"/>
  <c r="B2058" i="15"/>
  <c r="C2058" i="15"/>
  <c r="D2058" i="15"/>
  <c r="E2058" i="15"/>
  <c r="F2058" i="15"/>
  <c r="G2058" i="15"/>
  <c r="H2058" i="15"/>
  <c r="I2058" i="15"/>
  <c r="J2058" i="15"/>
  <c r="K2058" i="15"/>
  <c r="L2058" i="15"/>
  <c r="M2058" i="15"/>
  <c r="N2058" i="15"/>
  <c r="A2059" i="15"/>
  <c r="B2059" i="15"/>
  <c r="C2059" i="15"/>
  <c r="D2059" i="15"/>
  <c r="E2059" i="15"/>
  <c r="F2059" i="15"/>
  <c r="G2059" i="15"/>
  <c r="H2059" i="15"/>
  <c r="I2059" i="15"/>
  <c r="J2059" i="15"/>
  <c r="K2059" i="15"/>
  <c r="L2059" i="15"/>
  <c r="M2059" i="15"/>
  <c r="N2059" i="15"/>
  <c r="A2060" i="15"/>
  <c r="B2060" i="15"/>
  <c r="C2060" i="15"/>
  <c r="D2060" i="15"/>
  <c r="E2060" i="15"/>
  <c r="F2060" i="15"/>
  <c r="G2060" i="15"/>
  <c r="H2060" i="15"/>
  <c r="I2060" i="15"/>
  <c r="J2060" i="15"/>
  <c r="K2060" i="15"/>
  <c r="L2060" i="15"/>
  <c r="M2060" i="15"/>
  <c r="N2060" i="15"/>
  <c r="A2061" i="15"/>
  <c r="B2061" i="15"/>
  <c r="C2061" i="15"/>
  <c r="D2061" i="15"/>
  <c r="E2061" i="15"/>
  <c r="F2061" i="15"/>
  <c r="G2061" i="15"/>
  <c r="H2061" i="15"/>
  <c r="I2061" i="15"/>
  <c r="J2061" i="15"/>
  <c r="K2061" i="15"/>
  <c r="L2061" i="15"/>
  <c r="M2061" i="15"/>
  <c r="N2061" i="15"/>
  <c r="A2062" i="15"/>
  <c r="B2062" i="15"/>
  <c r="C2062" i="15"/>
  <c r="D2062" i="15"/>
  <c r="E2062" i="15"/>
  <c r="F2062" i="15"/>
  <c r="G2062" i="15"/>
  <c r="H2062" i="15"/>
  <c r="I2062" i="15"/>
  <c r="J2062" i="15"/>
  <c r="K2062" i="15"/>
  <c r="L2062" i="15"/>
  <c r="M2062" i="15"/>
  <c r="N2062" i="15"/>
  <c r="A2063" i="15"/>
  <c r="B2063" i="15"/>
  <c r="C2063" i="15"/>
  <c r="D2063" i="15"/>
  <c r="E2063" i="15"/>
  <c r="F2063" i="15"/>
  <c r="G2063" i="15"/>
  <c r="H2063" i="15"/>
  <c r="I2063" i="15"/>
  <c r="J2063" i="15"/>
  <c r="K2063" i="15"/>
  <c r="L2063" i="15"/>
  <c r="M2063" i="15"/>
  <c r="N2063" i="15"/>
  <c r="A2064" i="15"/>
  <c r="B2064" i="15"/>
  <c r="C2064" i="15"/>
  <c r="D2064" i="15"/>
  <c r="E2064" i="15"/>
  <c r="F2064" i="15"/>
  <c r="G2064" i="15"/>
  <c r="H2064" i="15"/>
  <c r="I2064" i="15"/>
  <c r="J2064" i="15"/>
  <c r="K2064" i="15"/>
  <c r="L2064" i="15"/>
  <c r="M2064" i="15"/>
  <c r="N2064" i="15"/>
  <c r="A2065" i="15"/>
  <c r="B2065" i="15"/>
  <c r="C2065" i="15"/>
  <c r="D2065" i="15"/>
  <c r="E2065" i="15"/>
  <c r="F2065" i="15"/>
  <c r="G2065" i="15"/>
  <c r="H2065" i="15"/>
  <c r="I2065" i="15"/>
  <c r="J2065" i="15"/>
  <c r="K2065" i="15"/>
  <c r="L2065" i="15"/>
  <c r="M2065" i="15"/>
  <c r="N2065" i="15"/>
  <c r="A2066" i="15"/>
  <c r="B2066" i="15"/>
  <c r="C2066" i="15"/>
  <c r="D2066" i="15"/>
  <c r="E2066" i="15"/>
  <c r="F2066" i="15"/>
  <c r="G2066" i="15"/>
  <c r="H2066" i="15"/>
  <c r="I2066" i="15"/>
  <c r="J2066" i="15"/>
  <c r="K2066" i="15"/>
  <c r="L2066" i="15"/>
  <c r="M2066" i="15"/>
  <c r="N2066" i="15"/>
  <c r="A2067" i="15"/>
  <c r="B2067" i="15"/>
  <c r="C2067" i="15"/>
  <c r="D2067" i="15"/>
  <c r="E2067" i="15"/>
  <c r="F2067" i="15"/>
  <c r="G2067" i="15"/>
  <c r="H2067" i="15"/>
  <c r="I2067" i="15"/>
  <c r="J2067" i="15"/>
  <c r="K2067" i="15"/>
  <c r="L2067" i="15"/>
  <c r="M2067" i="15"/>
  <c r="N2067" i="15"/>
  <c r="A2068" i="15"/>
  <c r="B2068" i="15"/>
  <c r="C2068" i="15"/>
  <c r="D2068" i="15"/>
  <c r="E2068" i="15"/>
  <c r="F2068" i="15"/>
  <c r="G2068" i="15"/>
  <c r="H2068" i="15"/>
  <c r="I2068" i="15"/>
  <c r="J2068" i="15"/>
  <c r="K2068" i="15"/>
  <c r="L2068" i="15"/>
  <c r="M2068" i="15"/>
  <c r="N2068" i="15"/>
  <c r="A2069" i="15"/>
  <c r="B2069" i="15"/>
  <c r="C2069" i="15"/>
  <c r="D2069" i="15"/>
  <c r="E2069" i="15"/>
  <c r="F2069" i="15"/>
  <c r="G2069" i="15"/>
  <c r="H2069" i="15"/>
  <c r="I2069" i="15"/>
  <c r="J2069" i="15"/>
  <c r="K2069" i="15"/>
  <c r="L2069" i="15"/>
  <c r="M2069" i="15"/>
  <c r="N2069" i="15"/>
  <c r="A2070" i="15"/>
  <c r="B2070" i="15"/>
  <c r="C2070" i="15"/>
  <c r="D2070" i="15"/>
  <c r="E2070" i="15"/>
  <c r="F2070" i="15"/>
  <c r="G2070" i="15"/>
  <c r="H2070" i="15"/>
  <c r="I2070" i="15"/>
  <c r="J2070" i="15"/>
  <c r="K2070" i="15"/>
  <c r="L2070" i="15"/>
  <c r="M2070" i="15"/>
  <c r="N2070" i="15"/>
  <c r="A2071" i="15"/>
  <c r="B2071" i="15"/>
  <c r="C2071" i="15"/>
  <c r="D2071" i="15"/>
  <c r="E2071" i="15"/>
  <c r="F2071" i="15"/>
  <c r="G2071" i="15"/>
  <c r="H2071" i="15"/>
  <c r="I2071" i="15"/>
  <c r="J2071" i="15"/>
  <c r="K2071" i="15"/>
  <c r="L2071" i="15"/>
  <c r="M2071" i="15"/>
  <c r="N2071" i="15"/>
  <c r="A2072" i="15"/>
  <c r="B2072" i="15"/>
  <c r="C2072" i="15"/>
  <c r="D2072" i="15"/>
  <c r="E2072" i="15"/>
  <c r="F2072" i="15"/>
  <c r="G2072" i="15"/>
  <c r="H2072" i="15"/>
  <c r="I2072" i="15"/>
  <c r="J2072" i="15"/>
  <c r="K2072" i="15"/>
  <c r="L2072" i="15"/>
  <c r="M2072" i="15"/>
  <c r="N2072" i="15"/>
  <c r="A2073" i="15"/>
  <c r="B2073" i="15"/>
  <c r="C2073" i="15"/>
  <c r="D2073" i="15"/>
  <c r="E2073" i="15"/>
  <c r="F2073" i="15"/>
  <c r="G2073" i="15"/>
  <c r="H2073" i="15"/>
  <c r="I2073" i="15"/>
  <c r="J2073" i="15"/>
  <c r="K2073" i="15"/>
  <c r="L2073" i="15"/>
  <c r="M2073" i="15"/>
  <c r="N2073" i="15"/>
  <c r="A2074" i="15"/>
  <c r="B2074" i="15"/>
  <c r="C2074" i="15"/>
  <c r="D2074" i="15"/>
  <c r="E2074" i="15"/>
  <c r="F2074" i="15"/>
  <c r="G2074" i="15"/>
  <c r="H2074" i="15"/>
  <c r="I2074" i="15"/>
  <c r="J2074" i="15"/>
  <c r="K2074" i="15"/>
  <c r="L2074" i="15"/>
  <c r="M2074" i="15"/>
  <c r="N2074" i="15"/>
  <c r="A2075" i="15"/>
  <c r="B2075" i="15"/>
  <c r="C2075" i="15"/>
  <c r="D2075" i="15"/>
  <c r="E2075" i="15"/>
  <c r="F2075" i="15"/>
  <c r="G2075" i="15"/>
  <c r="H2075" i="15"/>
  <c r="I2075" i="15"/>
  <c r="J2075" i="15"/>
  <c r="K2075" i="15"/>
  <c r="L2075" i="15"/>
  <c r="M2075" i="15"/>
  <c r="N2075" i="15"/>
  <c r="A2076" i="15"/>
  <c r="B2076" i="15"/>
  <c r="C2076" i="15"/>
  <c r="D2076" i="15"/>
  <c r="E2076" i="15"/>
  <c r="F2076" i="15"/>
  <c r="G2076" i="15"/>
  <c r="H2076" i="15"/>
  <c r="I2076" i="15"/>
  <c r="J2076" i="15"/>
  <c r="K2076" i="15"/>
  <c r="L2076" i="15"/>
  <c r="M2076" i="15"/>
  <c r="N2076" i="15"/>
  <c r="A2077" i="15"/>
  <c r="B2077" i="15"/>
  <c r="C2077" i="15"/>
  <c r="D2077" i="15"/>
  <c r="E2077" i="15"/>
  <c r="F2077" i="15"/>
  <c r="G2077" i="15"/>
  <c r="H2077" i="15"/>
  <c r="I2077" i="15"/>
  <c r="J2077" i="15"/>
  <c r="K2077" i="15"/>
  <c r="L2077" i="15"/>
  <c r="M2077" i="15"/>
  <c r="N2077" i="15"/>
  <c r="A2078" i="15"/>
  <c r="B2078" i="15"/>
  <c r="C2078" i="15"/>
  <c r="D2078" i="15"/>
  <c r="E2078" i="15"/>
  <c r="F2078" i="15"/>
  <c r="G2078" i="15"/>
  <c r="H2078" i="15"/>
  <c r="I2078" i="15"/>
  <c r="J2078" i="15"/>
  <c r="K2078" i="15"/>
  <c r="L2078" i="15"/>
  <c r="M2078" i="15"/>
  <c r="N2078" i="15"/>
  <c r="A2079" i="15"/>
  <c r="B2079" i="15"/>
  <c r="C2079" i="15"/>
  <c r="D2079" i="15"/>
  <c r="E2079" i="15"/>
  <c r="F2079" i="15"/>
  <c r="G2079" i="15"/>
  <c r="H2079" i="15"/>
  <c r="I2079" i="15"/>
  <c r="J2079" i="15"/>
  <c r="K2079" i="15"/>
  <c r="L2079" i="15"/>
  <c r="M2079" i="15"/>
  <c r="N2079" i="15"/>
  <c r="A2080" i="15"/>
  <c r="B2080" i="15"/>
  <c r="C2080" i="15"/>
  <c r="D2080" i="15"/>
  <c r="E2080" i="15"/>
  <c r="F2080" i="15"/>
  <c r="G2080" i="15"/>
  <c r="H2080" i="15"/>
  <c r="I2080" i="15"/>
  <c r="J2080" i="15"/>
  <c r="K2080" i="15"/>
  <c r="L2080" i="15"/>
  <c r="M2080" i="15"/>
  <c r="N2080" i="15"/>
  <c r="A2081" i="15"/>
  <c r="B2081" i="15"/>
  <c r="C2081" i="15"/>
  <c r="D2081" i="15"/>
  <c r="E2081" i="15"/>
  <c r="F2081" i="15"/>
  <c r="G2081" i="15"/>
  <c r="H2081" i="15"/>
  <c r="I2081" i="15"/>
  <c r="J2081" i="15"/>
  <c r="K2081" i="15"/>
  <c r="L2081" i="15"/>
  <c r="M2081" i="15"/>
  <c r="N2081" i="15"/>
  <c r="A2082" i="15"/>
  <c r="B2082" i="15"/>
  <c r="C2082" i="15"/>
  <c r="D2082" i="15"/>
  <c r="E2082" i="15"/>
  <c r="F2082" i="15"/>
  <c r="G2082" i="15"/>
  <c r="H2082" i="15"/>
  <c r="I2082" i="15"/>
  <c r="J2082" i="15"/>
  <c r="K2082" i="15"/>
  <c r="L2082" i="15"/>
  <c r="M2082" i="15"/>
  <c r="N2082" i="15"/>
  <c r="A2083" i="15"/>
  <c r="B2083" i="15"/>
  <c r="C2083" i="15"/>
  <c r="D2083" i="15"/>
  <c r="E2083" i="15"/>
  <c r="F2083" i="15"/>
  <c r="G2083" i="15"/>
  <c r="H2083" i="15"/>
  <c r="I2083" i="15"/>
  <c r="J2083" i="15"/>
  <c r="K2083" i="15"/>
  <c r="L2083" i="15"/>
  <c r="M2083" i="15"/>
  <c r="N2083" i="15"/>
  <c r="A2084" i="15"/>
  <c r="B2084" i="15"/>
  <c r="C2084" i="15"/>
  <c r="D2084" i="15"/>
  <c r="E2084" i="15"/>
  <c r="F2084" i="15"/>
  <c r="G2084" i="15"/>
  <c r="H2084" i="15"/>
  <c r="I2084" i="15"/>
  <c r="J2084" i="15"/>
  <c r="K2084" i="15"/>
  <c r="L2084" i="15"/>
  <c r="M2084" i="15"/>
  <c r="N2084" i="15"/>
  <c r="A2085" i="15"/>
  <c r="B2085" i="15"/>
  <c r="C2085" i="15"/>
  <c r="D2085" i="15"/>
  <c r="E2085" i="15"/>
  <c r="F2085" i="15"/>
  <c r="G2085" i="15"/>
  <c r="H2085" i="15"/>
  <c r="I2085" i="15"/>
  <c r="J2085" i="15"/>
  <c r="K2085" i="15"/>
  <c r="L2085" i="15"/>
  <c r="M2085" i="15"/>
  <c r="N2085" i="15"/>
  <c r="A2086" i="15"/>
  <c r="B2086" i="15"/>
  <c r="C2086" i="15"/>
  <c r="D2086" i="15"/>
  <c r="E2086" i="15"/>
  <c r="F2086" i="15"/>
  <c r="G2086" i="15"/>
  <c r="H2086" i="15"/>
  <c r="I2086" i="15"/>
  <c r="J2086" i="15"/>
  <c r="K2086" i="15"/>
  <c r="L2086" i="15"/>
  <c r="M2086" i="15"/>
  <c r="N2086" i="15"/>
  <c r="A2087" i="15"/>
  <c r="B2087" i="15"/>
  <c r="C2087" i="15"/>
  <c r="D2087" i="15"/>
  <c r="E2087" i="15"/>
  <c r="F2087" i="15"/>
  <c r="G2087" i="15"/>
  <c r="H2087" i="15"/>
  <c r="I2087" i="15"/>
  <c r="J2087" i="15"/>
  <c r="K2087" i="15"/>
  <c r="L2087" i="15"/>
  <c r="M2087" i="15"/>
  <c r="N2087" i="15"/>
  <c r="A2088" i="15"/>
  <c r="B2088" i="15"/>
  <c r="C2088" i="15"/>
  <c r="D2088" i="15"/>
  <c r="E2088" i="15"/>
  <c r="F2088" i="15"/>
  <c r="G2088" i="15"/>
  <c r="H2088" i="15"/>
  <c r="I2088" i="15"/>
  <c r="J2088" i="15"/>
  <c r="K2088" i="15"/>
  <c r="L2088" i="15"/>
  <c r="M2088" i="15"/>
  <c r="N2088" i="15"/>
  <c r="A2089" i="15"/>
  <c r="B2089" i="15"/>
  <c r="C2089" i="15"/>
  <c r="D2089" i="15"/>
  <c r="E2089" i="15"/>
  <c r="F2089" i="15"/>
  <c r="G2089" i="15"/>
  <c r="H2089" i="15"/>
  <c r="I2089" i="15"/>
  <c r="J2089" i="15"/>
  <c r="K2089" i="15"/>
  <c r="L2089" i="15"/>
  <c r="M2089" i="15"/>
  <c r="N2089" i="15"/>
  <c r="A2090" i="15"/>
  <c r="B2090" i="15"/>
  <c r="C2090" i="15"/>
  <c r="D2090" i="15"/>
  <c r="E2090" i="15"/>
  <c r="F2090" i="15"/>
  <c r="G2090" i="15"/>
  <c r="H2090" i="15"/>
  <c r="I2090" i="15"/>
  <c r="J2090" i="15"/>
  <c r="K2090" i="15"/>
  <c r="L2090" i="15"/>
  <c r="M2090" i="15"/>
  <c r="N2090" i="15"/>
  <c r="A2091" i="15"/>
  <c r="B2091" i="15"/>
  <c r="C2091" i="15"/>
  <c r="D2091" i="15"/>
  <c r="E2091" i="15"/>
  <c r="F2091" i="15"/>
  <c r="G2091" i="15"/>
  <c r="H2091" i="15"/>
  <c r="I2091" i="15"/>
  <c r="J2091" i="15"/>
  <c r="K2091" i="15"/>
  <c r="L2091" i="15"/>
  <c r="M2091" i="15"/>
  <c r="N2091" i="15"/>
  <c r="A2092" i="15"/>
  <c r="B2092" i="15"/>
  <c r="C2092" i="15"/>
  <c r="D2092" i="15"/>
  <c r="E2092" i="15"/>
  <c r="F2092" i="15"/>
  <c r="G2092" i="15"/>
  <c r="H2092" i="15"/>
  <c r="I2092" i="15"/>
  <c r="J2092" i="15"/>
  <c r="K2092" i="15"/>
  <c r="L2092" i="15"/>
  <c r="M2092" i="15"/>
  <c r="N2092" i="15"/>
  <c r="A2093" i="15"/>
  <c r="B2093" i="15"/>
  <c r="C2093" i="15"/>
  <c r="D2093" i="15"/>
  <c r="E2093" i="15"/>
  <c r="F2093" i="15"/>
  <c r="G2093" i="15"/>
  <c r="H2093" i="15"/>
  <c r="I2093" i="15"/>
  <c r="J2093" i="15"/>
  <c r="K2093" i="15"/>
  <c r="L2093" i="15"/>
  <c r="M2093" i="15"/>
  <c r="N2093" i="15"/>
  <c r="A2094" i="15"/>
  <c r="B2094" i="15"/>
  <c r="C2094" i="15"/>
  <c r="D2094" i="15"/>
  <c r="E2094" i="15"/>
  <c r="F2094" i="15"/>
  <c r="G2094" i="15"/>
  <c r="H2094" i="15"/>
  <c r="I2094" i="15"/>
  <c r="J2094" i="15"/>
  <c r="K2094" i="15"/>
  <c r="L2094" i="15"/>
  <c r="M2094" i="15"/>
  <c r="N2094" i="15"/>
  <c r="A2095" i="15"/>
  <c r="B2095" i="15"/>
  <c r="C2095" i="15"/>
  <c r="D2095" i="15"/>
  <c r="E2095" i="15"/>
  <c r="F2095" i="15"/>
  <c r="G2095" i="15"/>
  <c r="H2095" i="15"/>
  <c r="I2095" i="15"/>
  <c r="J2095" i="15"/>
  <c r="K2095" i="15"/>
  <c r="L2095" i="15"/>
  <c r="M2095" i="15"/>
  <c r="N2095" i="15"/>
  <c r="A2096" i="15"/>
  <c r="B2096" i="15"/>
  <c r="C2096" i="15"/>
  <c r="D2096" i="15"/>
  <c r="E2096" i="15"/>
  <c r="F2096" i="15"/>
  <c r="G2096" i="15"/>
  <c r="H2096" i="15"/>
  <c r="I2096" i="15"/>
  <c r="J2096" i="15"/>
  <c r="K2096" i="15"/>
  <c r="L2096" i="15"/>
  <c r="M2096" i="15"/>
  <c r="N2096" i="15"/>
  <c r="A2097" i="15"/>
  <c r="B2097" i="15"/>
  <c r="C2097" i="15"/>
  <c r="D2097" i="15"/>
  <c r="E2097" i="15"/>
  <c r="F2097" i="15"/>
  <c r="G2097" i="15"/>
  <c r="H2097" i="15"/>
  <c r="I2097" i="15"/>
  <c r="J2097" i="15"/>
  <c r="K2097" i="15"/>
  <c r="L2097" i="15"/>
  <c r="M2097" i="15"/>
  <c r="N2097" i="15"/>
  <c r="A2098" i="15"/>
  <c r="B2098" i="15"/>
  <c r="C2098" i="15"/>
  <c r="D2098" i="15"/>
  <c r="E2098" i="15"/>
  <c r="F2098" i="15"/>
  <c r="G2098" i="15"/>
  <c r="H2098" i="15"/>
  <c r="I2098" i="15"/>
  <c r="J2098" i="15"/>
  <c r="K2098" i="15"/>
  <c r="L2098" i="15"/>
  <c r="M2098" i="15"/>
  <c r="N2098" i="15"/>
  <c r="A2099" i="15"/>
  <c r="B2099" i="15"/>
  <c r="C2099" i="15"/>
  <c r="D2099" i="15"/>
  <c r="E2099" i="15"/>
  <c r="F2099" i="15"/>
  <c r="G2099" i="15"/>
  <c r="H2099" i="15"/>
  <c r="I2099" i="15"/>
  <c r="J2099" i="15"/>
  <c r="K2099" i="15"/>
  <c r="L2099" i="15"/>
  <c r="M2099" i="15"/>
  <c r="N2099" i="15"/>
  <c r="A2100" i="15"/>
  <c r="B2100" i="15"/>
  <c r="C2100" i="15"/>
  <c r="D2100" i="15"/>
  <c r="E2100" i="15"/>
  <c r="F2100" i="15"/>
  <c r="G2100" i="15"/>
  <c r="H2100" i="15"/>
  <c r="I2100" i="15"/>
  <c r="J2100" i="15"/>
  <c r="K2100" i="15"/>
  <c r="L2100" i="15"/>
  <c r="M2100" i="15"/>
  <c r="N2100" i="15"/>
  <c r="A2101" i="15"/>
  <c r="B2101" i="15"/>
  <c r="C2101" i="15"/>
  <c r="D2101" i="15"/>
  <c r="E2101" i="15"/>
  <c r="F2101" i="15"/>
  <c r="G2101" i="15"/>
  <c r="H2101" i="15"/>
  <c r="I2101" i="15"/>
  <c r="J2101" i="15"/>
  <c r="K2101" i="15"/>
  <c r="L2101" i="15"/>
  <c r="M2101" i="15"/>
  <c r="N2101" i="15"/>
  <c r="A2102" i="15"/>
  <c r="B2102" i="15"/>
  <c r="C2102" i="15"/>
  <c r="D2102" i="15"/>
  <c r="E2102" i="15"/>
  <c r="F2102" i="15"/>
  <c r="G2102" i="15"/>
  <c r="H2102" i="15"/>
  <c r="I2102" i="15"/>
  <c r="J2102" i="15"/>
  <c r="K2102" i="15"/>
  <c r="L2102" i="15"/>
  <c r="M2102" i="15"/>
  <c r="N2102" i="15"/>
  <c r="A2103" i="15"/>
  <c r="B2103" i="15"/>
  <c r="C2103" i="15"/>
  <c r="D2103" i="15"/>
  <c r="E2103" i="15"/>
  <c r="F2103" i="15"/>
  <c r="G2103" i="15"/>
  <c r="H2103" i="15"/>
  <c r="I2103" i="15"/>
  <c r="J2103" i="15"/>
  <c r="K2103" i="15"/>
  <c r="L2103" i="15"/>
  <c r="M2103" i="15"/>
  <c r="N2103" i="15"/>
  <c r="A2104" i="15"/>
  <c r="B2104" i="15"/>
  <c r="C2104" i="15"/>
  <c r="D2104" i="15"/>
  <c r="E2104" i="15"/>
  <c r="F2104" i="15"/>
  <c r="G2104" i="15"/>
  <c r="H2104" i="15"/>
  <c r="I2104" i="15"/>
  <c r="J2104" i="15"/>
  <c r="K2104" i="15"/>
  <c r="L2104" i="15"/>
  <c r="M2104" i="15"/>
  <c r="N2104" i="15"/>
  <c r="A2105" i="15"/>
  <c r="B2105" i="15"/>
  <c r="C2105" i="15"/>
  <c r="D2105" i="15"/>
  <c r="E2105" i="15"/>
  <c r="F2105" i="15"/>
  <c r="G2105" i="15"/>
  <c r="H2105" i="15"/>
  <c r="I2105" i="15"/>
  <c r="J2105" i="15"/>
  <c r="K2105" i="15"/>
  <c r="L2105" i="15"/>
  <c r="M2105" i="15"/>
  <c r="N2105" i="15"/>
  <c r="A2106" i="15"/>
  <c r="B2106" i="15"/>
  <c r="C2106" i="15"/>
  <c r="D2106" i="15"/>
  <c r="E2106" i="15"/>
  <c r="F2106" i="15"/>
  <c r="G2106" i="15"/>
  <c r="H2106" i="15"/>
  <c r="I2106" i="15"/>
  <c r="J2106" i="15"/>
  <c r="K2106" i="15"/>
  <c r="L2106" i="15"/>
  <c r="M2106" i="15"/>
  <c r="N2106" i="15"/>
  <c r="A2107" i="15"/>
  <c r="B2107" i="15"/>
  <c r="C2107" i="15"/>
  <c r="D2107" i="15"/>
  <c r="E2107" i="15"/>
  <c r="F2107" i="15"/>
  <c r="G2107" i="15"/>
  <c r="H2107" i="15"/>
  <c r="I2107" i="15"/>
  <c r="J2107" i="15"/>
  <c r="K2107" i="15"/>
  <c r="L2107" i="15"/>
  <c r="M2107" i="15"/>
  <c r="N2107" i="15"/>
  <c r="A2108" i="15"/>
  <c r="B2108" i="15"/>
  <c r="C2108" i="15"/>
  <c r="D2108" i="15"/>
  <c r="E2108" i="15"/>
  <c r="F2108" i="15"/>
  <c r="G2108" i="15"/>
  <c r="H2108" i="15"/>
  <c r="I2108" i="15"/>
  <c r="J2108" i="15"/>
  <c r="K2108" i="15"/>
  <c r="L2108" i="15"/>
  <c r="M2108" i="15"/>
  <c r="N2108" i="15"/>
  <c r="A2109" i="15"/>
  <c r="B2109" i="15"/>
  <c r="C2109" i="15"/>
  <c r="D2109" i="15"/>
  <c r="E2109" i="15"/>
  <c r="F2109" i="15"/>
  <c r="G2109" i="15"/>
  <c r="H2109" i="15"/>
  <c r="I2109" i="15"/>
  <c r="J2109" i="15"/>
  <c r="K2109" i="15"/>
  <c r="L2109" i="15"/>
  <c r="M2109" i="15"/>
  <c r="N2109" i="15"/>
  <c r="A2110" i="15"/>
  <c r="B2110" i="15"/>
  <c r="C2110" i="15"/>
  <c r="D2110" i="15"/>
  <c r="E2110" i="15"/>
  <c r="F2110" i="15"/>
  <c r="G2110" i="15"/>
  <c r="H2110" i="15"/>
  <c r="I2110" i="15"/>
  <c r="J2110" i="15"/>
  <c r="K2110" i="15"/>
  <c r="L2110" i="15"/>
  <c r="M2110" i="15"/>
  <c r="N2110" i="15"/>
  <c r="A2111" i="15"/>
  <c r="B2111" i="15"/>
  <c r="C2111" i="15"/>
  <c r="D2111" i="15"/>
  <c r="E2111" i="15"/>
  <c r="F2111" i="15"/>
  <c r="G2111" i="15"/>
  <c r="H2111" i="15"/>
  <c r="I2111" i="15"/>
  <c r="J2111" i="15"/>
  <c r="K2111" i="15"/>
  <c r="L2111" i="15"/>
  <c r="M2111" i="15"/>
  <c r="N2111" i="15"/>
  <c r="A2112" i="15"/>
  <c r="B2112" i="15"/>
  <c r="C2112" i="15"/>
  <c r="D2112" i="15"/>
  <c r="E2112" i="15"/>
  <c r="F2112" i="15"/>
  <c r="G2112" i="15"/>
  <c r="H2112" i="15"/>
  <c r="I2112" i="15"/>
  <c r="J2112" i="15"/>
  <c r="K2112" i="15"/>
  <c r="L2112" i="15"/>
  <c r="M2112" i="15"/>
  <c r="N2112" i="15"/>
  <c r="A2113" i="15"/>
  <c r="B2113" i="15"/>
  <c r="C2113" i="15"/>
  <c r="D2113" i="15"/>
  <c r="E2113" i="15"/>
  <c r="F2113" i="15"/>
  <c r="G2113" i="15"/>
  <c r="H2113" i="15"/>
  <c r="I2113" i="15"/>
  <c r="J2113" i="15"/>
  <c r="K2113" i="15"/>
  <c r="L2113" i="15"/>
  <c r="M2113" i="15"/>
  <c r="N2113" i="15"/>
  <c r="A2114" i="15"/>
  <c r="B2114" i="15"/>
  <c r="C2114" i="15"/>
  <c r="D2114" i="15"/>
  <c r="E2114" i="15"/>
  <c r="F2114" i="15"/>
  <c r="G2114" i="15"/>
  <c r="H2114" i="15"/>
  <c r="I2114" i="15"/>
  <c r="J2114" i="15"/>
  <c r="K2114" i="15"/>
  <c r="L2114" i="15"/>
  <c r="M2114" i="15"/>
  <c r="N2114" i="15"/>
  <c r="A2115" i="15"/>
  <c r="B2115" i="15"/>
  <c r="C2115" i="15"/>
  <c r="D2115" i="15"/>
  <c r="E2115" i="15"/>
  <c r="F2115" i="15"/>
  <c r="G2115" i="15"/>
  <c r="H2115" i="15"/>
  <c r="I2115" i="15"/>
  <c r="J2115" i="15"/>
  <c r="K2115" i="15"/>
  <c r="L2115" i="15"/>
  <c r="M2115" i="15"/>
  <c r="N2115" i="15"/>
  <c r="A2116" i="15"/>
  <c r="B2116" i="15"/>
  <c r="C2116" i="15"/>
  <c r="D2116" i="15"/>
  <c r="E2116" i="15"/>
  <c r="F2116" i="15"/>
  <c r="G2116" i="15"/>
  <c r="H2116" i="15"/>
  <c r="I2116" i="15"/>
  <c r="J2116" i="15"/>
  <c r="K2116" i="15"/>
  <c r="L2116" i="15"/>
  <c r="M2116" i="15"/>
  <c r="N2116" i="15"/>
  <c r="A2117" i="15"/>
  <c r="B2117" i="15"/>
  <c r="C2117" i="15"/>
  <c r="D2117" i="15"/>
  <c r="E2117" i="15"/>
  <c r="F2117" i="15"/>
  <c r="G2117" i="15"/>
  <c r="H2117" i="15"/>
  <c r="I2117" i="15"/>
  <c r="J2117" i="15"/>
  <c r="K2117" i="15"/>
  <c r="L2117" i="15"/>
  <c r="M2117" i="15"/>
  <c r="N2117" i="15"/>
  <c r="A2118" i="15"/>
  <c r="B2118" i="15"/>
  <c r="C2118" i="15"/>
  <c r="D2118" i="15"/>
  <c r="E2118" i="15"/>
  <c r="F2118" i="15"/>
  <c r="G2118" i="15"/>
  <c r="H2118" i="15"/>
  <c r="I2118" i="15"/>
  <c r="J2118" i="15"/>
  <c r="K2118" i="15"/>
  <c r="L2118" i="15"/>
  <c r="M2118" i="15"/>
  <c r="N2118" i="15"/>
  <c r="A2119" i="15"/>
  <c r="B2119" i="15"/>
  <c r="C2119" i="15"/>
  <c r="D2119" i="15"/>
  <c r="E2119" i="15"/>
  <c r="F2119" i="15"/>
  <c r="G2119" i="15"/>
  <c r="H2119" i="15"/>
  <c r="I2119" i="15"/>
  <c r="J2119" i="15"/>
  <c r="K2119" i="15"/>
  <c r="L2119" i="15"/>
  <c r="M2119" i="15"/>
  <c r="N2119" i="15"/>
  <c r="A2120" i="15"/>
  <c r="B2120" i="15"/>
  <c r="C2120" i="15"/>
  <c r="D2120" i="15"/>
  <c r="E2120" i="15"/>
  <c r="F2120" i="15"/>
  <c r="G2120" i="15"/>
  <c r="H2120" i="15"/>
  <c r="I2120" i="15"/>
  <c r="J2120" i="15"/>
  <c r="K2120" i="15"/>
  <c r="L2120" i="15"/>
  <c r="M2120" i="15"/>
  <c r="N2120" i="15"/>
  <c r="A2121" i="15"/>
  <c r="B2121" i="15"/>
  <c r="C2121" i="15"/>
  <c r="D2121" i="15"/>
  <c r="E2121" i="15"/>
  <c r="F2121" i="15"/>
  <c r="G2121" i="15"/>
  <c r="H2121" i="15"/>
  <c r="I2121" i="15"/>
  <c r="J2121" i="15"/>
  <c r="K2121" i="15"/>
  <c r="L2121" i="15"/>
  <c r="M2121" i="15"/>
  <c r="N2121" i="15"/>
  <c r="A2122" i="15"/>
  <c r="B2122" i="15"/>
  <c r="C2122" i="15"/>
  <c r="D2122" i="15"/>
  <c r="E2122" i="15"/>
  <c r="F2122" i="15"/>
  <c r="G2122" i="15"/>
  <c r="H2122" i="15"/>
  <c r="I2122" i="15"/>
  <c r="J2122" i="15"/>
  <c r="K2122" i="15"/>
  <c r="L2122" i="15"/>
  <c r="M2122" i="15"/>
  <c r="N2122" i="15"/>
  <c r="A2123" i="15"/>
  <c r="B2123" i="15"/>
  <c r="C2123" i="15"/>
  <c r="D2123" i="15"/>
  <c r="E2123" i="15"/>
  <c r="F2123" i="15"/>
  <c r="G2123" i="15"/>
  <c r="H2123" i="15"/>
  <c r="I2123" i="15"/>
  <c r="J2123" i="15"/>
  <c r="K2123" i="15"/>
  <c r="L2123" i="15"/>
  <c r="M2123" i="15"/>
  <c r="N2123" i="15"/>
  <c r="A2124" i="15"/>
  <c r="B2124" i="15"/>
  <c r="C2124" i="15"/>
  <c r="D2124" i="15"/>
  <c r="E2124" i="15"/>
  <c r="F2124" i="15"/>
  <c r="G2124" i="15"/>
  <c r="H2124" i="15"/>
  <c r="I2124" i="15"/>
  <c r="J2124" i="15"/>
  <c r="K2124" i="15"/>
  <c r="L2124" i="15"/>
  <c r="M2124" i="15"/>
  <c r="N2124" i="15"/>
  <c r="A2125" i="15"/>
  <c r="B2125" i="15"/>
  <c r="C2125" i="15"/>
  <c r="D2125" i="15"/>
  <c r="E2125" i="15"/>
  <c r="F2125" i="15"/>
  <c r="G2125" i="15"/>
  <c r="H2125" i="15"/>
  <c r="I2125" i="15"/>
  <c r="J2125" i="15"/>
  <c r="K2125" i="15"/>
  <c r="L2125" i="15"/>
  <c r="M2125" i="15"/>
  <c r="N2125" i="15"/>
  <c r="A2126" i="15"/>
  <c r="B2126" i="15"/>
  <c r="C2126" i="15"/>
  <c r="D2126" i="15"/>
  <c r="E2126" i="15"/>
  <c r="F2126" i="15"/>
  <c r="G2126" i="15"/>
  <c r="H2126" i="15"/>
  <c r="I2126" i="15"/>
  <c r="J2126" i="15"/>
  <c r="K2126" i="15"/>
  <c r="L2126" i="15"/>
  <c r="M2126" i="15"/>
  <c r="N2126" i="15"/>
  <c r="A2127" i="15"/>
  <c r="B2127" i="15"/>
  <c r="C2127" i="15"/>
  <c r="D2127" i="15"/>
  <c r="E2127" i="15"/>
  <c r="F2127" i="15"/>
  <c r="G2127" i="15"/>
  <c r="H2127" i="15"/>
  <c r="I2127" i="15"/>
  <c r="J2127" i="15"/>
  <c r="K2127" i="15"/>
  <c r="L2127" i="15"/>
  <c r="M2127" i="15"/>
  <c r="N2127" i="15"/>
  <c r="A2128" i="15"/>
  <c r="B2128" i="15"/>
  <c r="C2128" i="15"/>
  <c r="D2128" i="15"/>
  <c r="E2128" i="15"/>
  <c r="F2128" i="15"/>
  <c r="G2128" i="15"/>
  <c r="H2128" i="15"/>
  <c r="I2128" i="15"/>
  <c r="J2128" i="15"/>
  <c r="K2128" i="15"/>
  <c r="L2128" i="15"/>
  <c r="M2128" i="15"/>
  <c r="N2128" i="15"/>
  <c r="A2129" i="15"/>
  <c r="B2129" i="15"/>
  <c r="C2129" i="15"/>
  <c r="D2129" i="15"/>
  <c r="E2129" i="15"/>
  <c r="F2129" i="15"/>
  <c r="G2129" i="15"/>
  <c r="H2129" i="15"/>
  <c r="I2129" i="15"/>
  <c r="J2129" i="15"/>
  <c r="K2129" i="15"/>
  <c r="L2129" i="15"/>
  <c r="M2129" i="15"/>
  <c r="N2129" i="15"/>
  <c r="A2130" i="15"/>
  <c r="B2130" i="15"/>
  <c r="C2130" i="15"/>
  <c r="D2130" i="15"/>
  <c r="E2130" i="15"/>
  <c r="F2130" i="15"/>
  <c r="G2130" i="15"/>
  <c r="H2130" i="15"/>
  <c r="I2130" i="15"/>
  <c r="J2130" i="15"/>
  <c r="K2130" i="15"/>
  <c r="L2130" i="15"/>
  <c r="M2130" i="15"/>
  <c r="N2130" i="15"/>
  <c r="A2131" i="15"/>
  <c r="B2131" i="15"/>
  <c r="C2131" i="15"/>
  <c r="D2131" i="15"/>
  <c r="E2131" i="15"/>
  <c r="F2131" i="15"/>
  <c r="G2131" i="15"/>
  <c r="H2131" i="15"/>
  <c r="I2131" i="15"/>
  <c r="J2131" i="15"/>
  <c r="K2131" i="15"/>
  <c r="L2131" i="15"/>
  <c r="M2131" i="15"/>
  <c r="N2131" i="15"/>
  <c r="A2132" i="15"/>
  <c r="B2132" i="15"/>
  <c r="C2132" i="15"/>
  <c r="D2132" i="15"/>
  <c r="E2132" i="15"/>
  <c r="F2132" i="15"/>
  <c r="G2132" i="15"/>
  <c r="H2132" i="15"/>
  <c r="I2132" i="15"/>
  <c r="J2132" i="15"/>
  <c r="K2132" i="15"/>
  <c r="L2132" i="15"/>
  <c r="M2132" i="15"/>
  <c r="N2132" i="15"/>
  <c r="A2133" i="15"/>
  <c r="B2133" i="15"/>
  <c r="C2133" i="15"/>
  <c r="D2133" i="15"/>
  <c r="E2133" i="15"/>
  <c r="F2133" i="15"/>
  <c r="G2133" i="15"/>
  <c r="H2133" i="15"/>
  <c r="I2133" i="15"/>
  <c r="J2133" i="15"/>
  <c r="K2133" i="15"/>
  <c r="L2133" i="15"/>
  <c r="M2133" i="15"/>
  <c r="N2133" i="15"/>
  <c r="A2134" i="15"/>
  <c r="B2134" i="15"/>
  <c r="C2134" i="15"/>
  <c r="D2134" i="15"/>
  <c r="E2134" i="15"/>
  <c r="F2134" i="15"/>
  <c r="G2134" i="15"/>
  <c r="H2134" i="15"/>
  <c r="I2134" i="15"/>
  <c r="J2134" i="15"/>
  <c r="K2134" i="15"/>
  <c r="L2134" i="15"/>
  <c r="M2134" i="15"/>
  <c r="N2134" i="15"/>
  <c r="A2135" i="15"/>
  <c r="B2135" i="15"/>
  <c r="C2135" i="15"/>
  <c r="D2135" i="15"/>
  <c r="E2135" i="15"/>
  <c r="F2135" i="15"/>
  <c r="G2135" i="15"/>
  <c r="H2135" i="15"/>
  <c r="I2135" i="15"/>
  <c r="J2135" i="15"/>
  <c r="K2135" i="15"/>
  <c r="L2135" i="15"/>
  <c r="M2135" i="15"/>
  <c r="N2135" i="15"/>
  <c r="A2136" i="15"/>
  <c r="B2136" i="15"/>
  <c r="C2136" i="15"/>
  <c r="D2136" i="15"/>
  <c r="E2136" i="15"/>
  <c r="F2136" i="15"/>
  <c r="G2136" i="15"/>
  <c r="H2136" i="15"/>
  <c r="I2136" i="15"/>
  <c r="J2136" i="15"/>
  <c r="K2136" i="15"/>
  <c r="L2136" i="15"/>
  <c r="M2136" i="15"/>
  <c r="N2136" i="15"/>
  <c r="A2137" i="15"/>
  <c r="B2137" i="15"/>
  <c r="C2137" i="15"/>
  <c r="D2137" i="15"/>
  <c r="E2137" i="15"/>
  <c r="F2137" i="15"/>
  <c r="G2137" i="15"/>
  <c r="H2137" i="15"/>
  <c r="I2137" i="15"/>
  <c r="J2137" i="15"/>
  <c r="K2137" i="15"/>
  <c r="L2137" i="15"/>
  <c r="M2137" i="15"/>
  <c r="N2137" i="15"/>
  <c r="A2138" i="15"/>
  <c r="B2138" i="15"/>
  <c r="C2138" i="15"/>
  <c r="D2138" i="15"/>
  <c r="E2138" i="15"/>
  <c r="F2138" i="15"/>
  <c r="G2138" i="15"/>
  <c r="H2138" i="15"/>
  <c r="I2138" i="15"/>
  <c r="J2138" i="15"/>
  <c r="K2138" i="15"/>
  <c r="L2138" i="15"/>
  <c r="M2138" i="15"/>
  <c r="N2138" i="15"/>
  <c r="A2139" i="15"/>
  <c r="B2139" i="15"/>
  <c r="C2139" i="15"/>
  <c r="D2139" i="15"/>
  <c r="E2139" i="15"/>
  <c r="F2139" i="15"/>
  <c r="G2139" i="15"/>
  <c r="H2139" i="15"/>
  <c r="I2139" i="15"/>
  <c r="J2139" i="15"/>
  <c r="K2139" i="15"/>
  <c r="L2139" i="15"/>
  <c r="M2139" i="15"/>
  <c r="N2139" i="15"/>
  <c r="A2140" i="15"/>
  <c r="B2140" i="15"/>
  <c r="C2140" i="15"/>
  <c r="D2140" i="15"/>
  <c r="E2140" i="15"/>
  <c r="F2140" i="15"/>
  <c r="G2140" i="15"/>
  <c r="H2140" i="15"/>
  <c r="I2140" i="15"/>
  <c r="J2140" i="15"/>
  <c r="K2140" i="15"/>
  <c r="L2140" i="15"/>
  <c r="M2140" i="15"/>
  <c r="N2140" i="15"/>
  <c r="A2141" i="15"/>
  <c r="B2141" i="15"/>
  <c r="C2141" i="15"/>
  <c r="D2141" i="15"/>
  <c r="E2141" i="15"/>
  <c r="F2141" i="15"/>
  <c r="G2141" i="15"/>
  <c r="H2141" i="15"/>
  <c r="I2141" i="15"/>
  <c r="J2141" i="15"/>
  <c r="K2141" i="15"/>
  <c r="L2141" i="15"/>
  <c r="M2141" i="15"/>
  <c r="N2141" i="15"/>
  <c r="A2142" i="15"/>
  <c r="B2142" i="15"/>
  <c r="C2142" i="15"/>
  <c r="D2142" i="15"/>
  <c r="E2142" i="15"/>
  <c r="F2142" i="15"/>
  <c r="G2142" i="15"/>
  <c r="H2142" i="15"/>
  <c r="I2142" i="15"/>
  <c r="J2142" i="15"/>
  <c r="K2142" i="15"/>
  <c r="L2142" i="15"/>
  <c r="M2142" i="15"/>
  <c r="N2142" i="15"/>
  <c r="A2143" i="15"/>
  <c r="B2143" i="15"/>
  <c r="C2143" i="15"/>
  <c r="D2143" i="15"/>
  <c r="E2143" i="15"/>
  <c r="F2143" i="15"/>
  <c r="G2143" i="15"/>
  <c r="H2143" i="15"/>
  <c r="I2143" i="15"/>
  <c r="J2143" i="15"/>
  <c r="K2143" i="15"/>
  <c r="L2143" i="15"/>
  <c r="M2143" i="15"/>
  <c r="N2143" i="15"/>
  <c r="A2144" i="15"/>
  <c r="B2144" i="15"/>
  <c r="C2144" i="15"/>
  <c r="D2144" i="15"/>
  <c r="E2144" i="15"/>
  <c r="F2144" i="15"/>
  <c r="G2144" i="15"/>
  <c r="H2144" i="15"/>
  <c r="I2144" i="15"/>
  <c r="J2144" i="15"/>
  <c r="K2144" i="15"/>
  <c r="L2144" i="15"/>
  <c r="M2144" i="15"/>
  <c r="N2144" i="15"/>
  <c r="A2145" i="15"/>
  <c r="B2145" i="15"/>
  <c r="C2145" i="15"/>
  <c r="D2145" i="15"/>
  <c r="E2145" i="15"/>
  <c r="F2145" i="15"/>
  <c r="G2145" i="15"/>
  <c r="H2145" i="15"/>
  <c r="I2145" i="15"/>
  <c r="J2145" i="15"/>
  <c r="K2145" i="15"/>
  <c r="L2145" i="15"/>
  <c r="M2145" i="15"/>
  <c r="N2145" i="15"/>
  <c r="A2146" i="15"/>
  <c r="B2146" i="15"/>
  <c r="C2146" i="15"/>
  <c r="D2146" i="15"/>
  <c r="E2146" i="15"/>
  <c r="F2146" i="15"/>
  <c r="G2146" i="15"/>
  <c r="H2146" i="15"/>
  <c r="I2146" i="15"/>
  <c r="J2146" i="15"/>
  <c r="K2146" i="15"/>
  <c r="L2146" i="15"/>
  <c r="M2146" i="15"/>
  <c r="N2146" i="15"/>
  <c r="A2147" i="15"/>
  <c r="B2147" i="15"/>
  <c r="C2147" i="15"/>
  <c r="D2147" i="15"/>
  <c r="E2147" i="15"/>
  <c r="F2147" i="15"/>
  <c r="G2147" i="15"/>
  <c r="H2147" i="15"/>
  <c r="I2147" i="15"/>
  <c r="J2147" i="15"/>
  <c r="K2147" i="15"/>
  <c r="L2147" i="15"/>
  <c r="M2147" i="15"/>
  <c r="N2147" i="15"/>
  <c r="A2148" i="15"/>
  <c r="B2148" i="15"/>
  <c r="C2148" i="15"/>
  <c r="D2148" i="15"/>
  <c r="E2148" i="15"/>
  <c r="F2148" i="15"/>
  <c r="G2148" i="15"/>
  <c r="H2148" i="15"/>
  <c r="I2148" i="15"/>
  <c r="J2148" i="15"/>
  <c r="K2148" i="15"/>
  <c r="L2148" i="15"/>
  <c r="M2148" i="15"/>
  <c r="N2148" i="15"/>
  <c r="A2149" i="15"/>
  <c r="B2149" i="15"/>
  <c r="C2149" i="15"/>
  <c r="D2149" i="15"/>
  <c r="E2149" i="15"/>
  <c r="F2149" i="15"/>
  <c r="G2149" i="15"/>
  <c r="H2149" i="15"/>
  <c r="I2149" i="15"/>
  <c r="J2149" i="15"/>
  <c r="K2149" i="15"/>
  <c r="L2149" i="15"/>
  <c r="M2149" i="15"/>
  <c r="N2149" i="15"/>
  <c r="A2150" i="15"/>
  <c r="B2150" i="15"/>
  <c r="C2150" i="15"/>
  <c r="D2150" i="15"/>
  <c r="E2150" i="15"/>
  <c r="F2150" i="15"/>
  <c r="G2150" i="15"/>
  <c r="H2150" i="15"/>
  <c r="I2150" i="15"/>
  <c r="J2150" i="15"/>
  <c r="K2150" i="15"/>
  <c r="L2150" i="15"/>
  <c r="M2150" i="15"/>
  <c r="N2150" i="15"/>
  <c r="A2151" i="15"/>
  <c r="B2151" i="15"/>
  <c r="C2151" i="15"/>
  <c r="D2151" i="15"/>
  <c r="E2151" i="15"/>
  <c r="F2151" i="15"/>
  <c r="G2151" i="15"/>
  <c r="H2151" i="15"/>
  <c r="I2151" i="15"/>
  <c r="J2151" i="15"/>
  <c r="K2151" i="15"/>
  <c r="L2151" i="15"/>
  <c r="M2151" i="15"/>
  <c r="N2151" i="15"/>
  <c r="A2152" i="15"/>
  <c r="B2152" i="15"/>
  <c r="C2152" i="15"/>
  <c r="D2152" i="15"/>
  <c r="E2152" i="15"/>
  <c r="F2152" i="15"/>
  <c r="G2152" i="15"/>
  <c r="H2152" i="15"/>
  <c r="I2152" i="15"/>
  <c r="J2152" i="15"/>
  <c r="K2152" i="15"/>
  <c r="L2152" i="15"/>
  <c r="M2152" i="15"/>
  <c r="N2152" i="15"/>
  <c r="A2153" i="15"/>
  <c r="B2153" i="15"/>
  <c r="C2153" i="15"/>
  <c r="D2153" i="15"/>
  <c r="E2153" i="15"/>
  <c r="F2153" i="15"/>
  <c r="G2153" i="15"/>
  <c r="H2153" i="15"/>
  <c r="I2153" i="15"/>
  <c r="J2153" i="15"/>
  <c r="K2153" i="15"/>
  <c r="L2153" i="15"/>
  <c r="M2153" i="15"/>
  <c r="N2153" i="15"/>
  <c r="A2154" i="15"/>
  <c r="B2154" i="15"/>
  <c r="C2154" i="15"/>
  <c r="D2154" i="15"/>
  <c r="E2154" i="15"/>
  <c r="F2154" i="15"/>
  <c r="G2154" i="15"/>
  <c r="H2154" i="15"/>
  <c r="I2154" i="15"/>
  <c r="J2154" i="15"/>
  <c r="K2154" i="15"/>
  <c r="L2154" i="15"/>
  <c r="M2154" i="15"/>
  <c r="N2154" i="15"/>
  <c r="A2155" i="15"/>
  <c r="B2155" i="15"/>
  <c r="C2155" i="15"/>
  <c r="D2155" i="15"/>
  <c r="E2155" i="15"/>
  <c r="F2155" i="15"/>
  <c r="G2155" i="15"/>
  <c r="H2155" i="15"/>
  <c r="I2155" i="15"/>
  <c r="J2155" i="15"/>
  <c r="K2155" i="15"/>
  <c r="L2155" i="15"/>
  <c r="M2155" i="15"/>
  <c r="N2155" i="15"/>
  <c r="A2156" i="15"/>
  <c r="B2156" i="15"/>
  <c r="C2156" i="15"/>
  <c r="D2156" i="15"/>
  <c r="E2156" i="15"/>
  <c r="F2156" i="15"/>
  <c r="G2156" i="15"/>
  <c r="H2156" i="15"/>
  <c r="I2156" i="15"/>
  <c r="J2156" i="15"/>
  <c r="K2156" i="15"/>
  <c r="L2156" i="15"/>
  <c r="M2156" i="15"/>
  <c r="N2156" i="15"/>
  <c r="A2157" i="15"/>
  <c r="B2157" i="15"/>
  <c r="C2157" i="15"/>
  <c r="D2157" i="15"/>
  <c r="E2157" i="15"/>
  <c r="F2157" i="15"/>
  <c r="G2157" i="15"/>
  <c r="H2157" i="15"/>
  <c r="I2157" i="15"/>
  <c r="J2157" i="15"/>
  <c r="K2157" i="15"/>
  <c r="L2157" i="15"/>
  <c r="M2157" i="15"/>
  <c r="N2157" i="15"/>
  <c r="A2158" i="15"/>
  <c r="B2158" i="15"/>
  <c r="C2158" i="15"/>
  <c r="D2158" i="15"/>
  <c r="E2158" i="15"/>
  <c r="F2158" i="15"/>
  <c r="G2158" i="15"/>
  <c r="H2158" i="15"/>
  <c r="I2158" i="15"/>
  <c r="J2158" i="15"/>
  <c r="K2158" i="15"/>
  <c r="L2158" i="15"/>
  <c r="M2158" i="15"/>
  <c r="N2158" i="15"/>
  <c r="A2159" i="15"/>
  <c r="B2159" i="15"/>
  <c r="C2159" i="15"/>
  <c r="D2159" i="15"/>
  <c r="E2159" i="15"/>
  <c r="F2159" i="15"/>
  <c r="G2159" i="15"/>
  <c r="H2159" i="15"/>
  <c r="I2159" i="15"/>
  <c r="J2159" i="15"/>
  <c r="K2159" i="15"/>
  <c r="L2159" i="15"/>
  <c r="M2159" i="15"/>
  <c r="N2159" i="15"/>
  <c r="A2160" i="15"/>
  <c r="B2160" i="15"/>
  <c r="C2160" i="15"/>
  <c r="D2160" i="15"/>
  <c r="E2160" i="15"/>
  <c r="F2160" i="15"/>
  <c r="G2160" i="15"/>
  <c r="H2160" i="15"/>
  <c r="I2160" i="15"/>
  <c r="J2160" i="15"/>
  <c r="K2160" i="15"/>
  <c r="L2160" i="15"/>
  <c r="M2160" i="15"/>
  <c r="N2160" i="15"/>
  <c r="A2161" i="15"/>
  <c r="B2161" i="15"/>
  <c r="C2161" i="15"/>
  <c r="D2161" i="15"/>
  <c r="E2161" i="15"/>
  <c r="F2161" i="15"/>
  <c r="G2161" i="15"/>
  <c r="H2161" i="15"/>
  <c r="I2161" i="15"/>
  <c r="J2161" i="15"/>
  <c r="K2161" i="15"/>
  <c r="L2161" i="15"/>
  <c r="M2161" i="15"/>
  <c r="N2161" i="15"/>
  <c r="A2162" i="15"/>
  <c r="B2162" i="15"/>
  <c r="C2162" i="15"/>
  <c r="D2162" i="15"/>
  <c r="E2162" i="15"/>
  <c r="F2162" i="15"/>
  <c r="G2162" i="15"/>
  <c r="H2162" i="15"/>
  <c r="I2162" i="15"/>
  <c r="J2162" i="15"/>
  <c r="K2162" i="15"/>
  <c r="L2162" i="15"/>
  <c r="M2162" i="15"/>
  <c r="N2162" i="15"/>
  <c r="A2163" i="15"/>
  <c r="B2163" i="15"/>
  <c r="C2163" i="15"/>
  <c r="D2163" i="15"/>
  <c r="E2163" i="15"/>
  <c r="F2163" i="15"/>
  <c r="G2163" i="15"/>
  <c r="H2163" i="15"/>
  <c r="I2163" i="15"/>
  <c r="J2163" i="15"/>
  <c r="K2163" i="15"/>
  <c r="L2163" i="15"/>
  <c r="M2163" i="15"/>
  <c r="N2163" i="15"/>
  <c r="A2164" i="15"/>
  <c r="B2164" i="15"/>
  <c r="C2164" i="15"/>
  <c r="D2164" i="15"/>
  <c r="E2164" i="15"/>
  <c r="F2164" i="15"/>
  <c r="G2164" i="15"/>
  <c r="H2164" i="15"/>
  <c r="I2164" i="15"/>
  <c r="J2164" i="15"/>
  <c r="K2164" i="15"/>
  <c r="L2164" i="15"/>
  <c r="M2164" i="15"/>
  <c r="N2164" i="15"/>
  <c r="A2165" i="15"/>
  <c r="B2165" i="15"/>
  <c r="C2165" i="15"/>
  <c r="D2165" i="15"/>
  <c r="E2165" i="15"/>
  <c r="F2165" i="15"/>
  <c r="G2165" i="15"/>
  <c r="H2165" i="15"/>
  <c r="I2165" i="15"/>
  <c r="J2165" i="15"/>
  <c r="K2165" i="15"/>
  <c r="L2165" i="15"/>
  <c r="M2165" i="15"/>
  <c r="N2165" i="15"/>
  <c r="A2166" i="15"/>
  <c r="B2166" i="15"/>
  <c r="C2166" i="15"/>
  <c r="D2166" i="15"/>
  <c r="E2166" i="15"/>
  <c r="F2166" i="15"/>
  <c r="G2166" i="15"/>
  <c r="H2166" i="15"/>
  <c r="I2166" i="15"/>
  <c r="J2166" i="15"/>
  <c r="K2166" i="15"/>
  <c r="L2166" i="15"/>
  <c r="M2166" i="15"/>
  <c r="N2166" i="15"/>
  <c r="A2167" i="15"/>
  <c r="B2167" i="15"/>
  <c r="C2167" i="15"/>
  <c r="D2167" i="15"/>
  <c r="E2167" i="15"/>
  <c r="F2167" i="15"/>
  <c r="G2167" i="15"/>
  <c r="H2167" i="15"/>
  <c r="I2167" i="15"/>
  <c r="J2167" i="15"/>
  <c r="K2167" i="15"/>
  <c r="L2167" i="15"/>
  <c r="M2167" i="15"/>
  <c r="N2167" i="15"/>
  <c r="A2168" i="15"/>
  <c r="B2168" i="15"/>
  <c r="C2168" i="15"/>
  <c r="D2168" i="15"/>
  <c r="E2168" i="15"/>
  <c r="F2168" i="15"/>
  <c r="G2168" i="15"/>
  <c r="H2168" i="15"/>
  <c r="I2168" i="15"/>
  <c r="J2168" i="15"/>
  <c r="K2168" i="15"/>
  <c r="L2168" i="15"/>
  <c r="M2168" i="15"/>
  <c r="N2168" i="15"/>
  <c r="A2169" i="15"/>
  <c r="B2169" i="15"/>
  <c r="C2169" i="15"/>
  <c r="D2169" i="15"/>
  <c r="E2169" i="15"/>
  <c r="F2169" i="15"/>
  <c r="G2169" i="15"/>
  <c r="H2169" i="15"/>
  <c r="I2169" i="15"/>
  <c r="J2169" i="15"/>
  <c r="K2169" i="15"/>
  <c r="L2169" i="15"/>
  <c r="M2169" i="15"/>
  <c r="N2169" i="15"/>
  <c r="A2170" i="15"/>
  <c r="B2170" i="15"/>
  <c r="C2170" i="15"/>
  <c r="D2170" i="15"/>
  <c r="E2170" i="15"/>
  <c r="F2170" i="15"/>
  <c r="G2170" i="15"/>
  <c r="H2170" i="15"/>
  <c r="I2170" i="15"/>
  <c r="J2170" i="15"/>
  <c r="K2170" i="15"/>
  <c r="L2170" i="15"/>
  <c r="M2170" i="15"/>
  <c r="N2170" i="15"/>
  <c r="A2171" i="15"/>
  <c r="B2171" i="15"/>
  <c r="C2171" i="15"/>
  <c r="D2171" i="15"/>
  <c r="E2171" i="15"/>
  <c r="F2171" i="15"/>
  <c r="G2171" i="15"/>
  <c r="H2171" i="15"/>
  <c r="I2171" i="15"/>
  <c r="J2171" i="15"/>
  <c r="K2171" i="15"/>
  <c r="L2171" i="15"/>
  <c r="M2171" i="15"/>
  <c r="N2171" i="15"/>
  <c r="A2172" i="15"/>
  <c r="B2172" i="15"/>
  <c r="C2172" i="15"/>
  <c r="D2172" i="15"/>
  <c r="E2172" i="15"/>
  <c r="F2172" i="15"/>
  <c r="G2172" i="15"/>
  <c r="H2172" i="15"/>
  <c r="I2172" i="15"/>
  <c r="J2172" i="15"/>
  <c r="K2172" i="15"/>
  <c r="L2172" i="15"/>
  <c r="M2172" i="15"/>
  <c r="N2172" i="15"/>
  <c r="A2173" i="15"/>
  <c r="B2173" i="15"/>
  <c r="C2173" i="15"/>
  <c r="D2173" i="15"/>
  <c r="E2173" i="15"/>
  <c r="F2173" i="15"/>
  <c r="G2173" i="15"/>
  <c r="H2173" i="15"/>
  <c r="I2173" i="15"/>
  <c r="J2173" i="15"/>
  <c r="K2173" i="15"/>
  <c r="L2173" i="15"/>
  <c r="M2173" i="15"/>
  <c r="N2173" i="15"/>
  <c r="A2174" i="15"/>
  <c r="B2174" i="15"/>
  <c r="C2174" i="15"/>
  <c r="D2174" i="15"/>
  <c r="E2174" i="15"/>
  <c r="F2174" i="15"/>
  <c r="G2174" i="15"/>
  <c r="H2174" i="15"/>
  <c r="I2174" i="15"/>
  <c r="J2174" i="15"/>
  <c r="K2174" i="15"/>
  <c r="L2174" i="15"/>
  <c r="M2174" i="15"/>
  <c r="N2174" i="15"/>
  <c r="A2175" i="15"/>
  <c r="B2175" i="15"/>
  <c r="C2175" i="15"/>
  <c r="D2175" i="15"/>
  <c r="E2175" i="15"/>
  <c r="F2175" i="15"/>
  <c r="G2175" i="15"/>
  <c r="H2175" i="15"/>
  <c r="I2175" i="15"/>
  <c r="J2175" i="15"/>
  <c r="K2175" i="15"/>
  <c r="L2175" i="15"/>
  <c r="M2175" i="15"/>
  <c r="N2175" i="15"/>
  <c r="A2176" i="15"/>
  <c r="B2176" i="15"/>
  <c r="C2176" i="15"/>
  <c r="D2176" i="15"/>
  <c r="E2176" i="15"/>
  <c r="F2176" i="15"/>
  <c r="G2176" i="15"/>
  <c r="H2176" i="15"/>
  <c r="I2176" i="15"/>
  <c r="J2176" i="15"/>
  <c r="K2176" i="15"/>
  <c r="L2176" i="15"/>
  <c r="M2176" i="15"/>
  <c r="N2176" i="15"/>
  <c r="A2177" i="15"/>
  <c r="B2177" i="15"/>
  <c r="C2177" i="15"/>
  <c r="D2177" i="15"/>
  <c r="E2177" i="15"/>
  <c r="F2177" i="15"/>
  <c r="G2177" i="15"/>
  <c r="H2177" i="15"/>
  <c r="I2177" i="15"/>
  <c r="J2177" i="15"/>
  <c r="K2177" i="15"/>
  <c r="L2177" i="15"/>
  <c r="M2177" i="15"/>
  <c r="N2177" i="15"/>
  <c r="A2178" i="15"/>
  <c r="B2178" i="15"/>
  <c r="C2178" i="15"/>
  <c r="D2178" i="15"/>
  <c r="E2178" i="15"/>
  <c r="F2178" i="15"/>
  <c r="G2178" i="15"/>
  <c r="H2178" i="15"/>
  <c r="I2178" i="15"/>
  <c r="J2178" i="15"/>
  <c r="K2178" i="15"/>
  <c r="L2178" i="15"/>
  <c r="M2178" i="15"/>
  <c r="N2178" i="15"/>
  <c r="A2179" i="15"/>
  <c r="B2179" i="15"/>
  <c r="C2179" i="15"/>
  <c r="D2179" i="15"/>
  <c r="E2179" i="15"/>
  <c r="F2179" i="15"/>
  <c r="G2179" i="15"/>
  <c r="H2179" i="15"/>
  <c r="I2179" i="15"/>
  <c r="J2179" i="15"/>
  <c r="K2179" i="15"/>
  <c r="L2179" i="15"/>
  <c r="M2179" i="15"/>
  <c r="N2179" i="15"/>
  <c r="A2180" i="15"/>
  <c r="B2180" i="15"/>
  <c r="C2180" i="15"/>
  <c r="D2180" i="15"/>
  <c r="E2180" i="15"/>
  <c r="F2180" i="15"/>
  <c r="G2180" i="15"/>
  <c r="H2180" i="15"/>
  <c r="I2180" i="15"/>
  <c r="J2180" i="15"/>
  <c r="K2180" i="15"/>
  <c r="L2180" i="15"/>
  <c r="M2180" i="15"/>
  <c r="N2180" i="15"/>
  <c r="A2181" i="15"/>
  <c r="B2181" i="15"/>
  <c r="C2181" i="15"/>
  <c r="D2181" i="15"/>
  <c r="E2181" i="15"/>
  <c r="F2181" i="15"/>
  <c r="G2181" i="15"/>
  <c r="H2181" i="15"/>
  <c r="I2181" i="15"/>
  <c r="J2181" i="15"/>
  <c r="K2181" i="15"/>
  <c r="L2181" i="15"/>
  <c r="M2181" i="15"/>
  <c r="N2181" i="15"/>
  <c r="A2182" i="15"/>
  <c r="B2182" i="15"/>
  <c r="C2182" i="15"/>
  <c r="D2182" i="15"/>
  <c r="E2182" i="15"/>
  <c r="F2182" i="15"/>
  <c r="G2182" i="15"/>
  <c r="H2182" i="15"/>
  <c r="I2182" i="15"/>
  <c r="J2182" i="15"/>
  <c r="K2182" i="15"/>
  <c r="L2182" i="15"/>
  <c r="M2182" i="15"/>
  <c r="N2182" i="15"/>
  <c r="A2183" i="15"/>
  <c r="B2183" i="15"/>
  <c r="C2183" i="15"/>
  <c r="D2183" i="15"/>
  <c r="E2183" i="15"/>
  <c r="F2183" i="15"/>
  <c r="G2183" i="15"/>
  <c r="H2183" i="15"/>
  <c r="I2183" i="15"/>
  <c r="J2183" i="15"/>
  <c r="K2183" i="15"/>
  <c r="L2183" i="15"/>
  <c r="M2183" i="15"/>
  <c r="N2183" i="15"/>
  <c r="A2184" i="15"/>
  <c r="B2184" i="15"/>
  <c r="C2184" i="15"/>
  <c r="D2184" i="15"/>
  <c r="E2184" i="15"/>
  <c r="F2184" i="15"/>
  <c r="G2184" i="15"/>
  <c r="H2184" i="15"/>
  <c r="I2184" i="15"/>
  <c r="J2184" i="15"/>
  <c r="K2184" i="15"/>
  <c r="L2184" i="15"/>
  <c r="M2184" i="15"/>
  <c r="N2184" i="15"/>
  <c r="A2185" i="15"/>
  <c r="B2185" i="15"/>
  <c r="C2185" i="15"/>
  <c r="D2185" i="15"/>
  <c r="E2185" i="15"/>
  <c r="F2185" i="15"/>
  <c r="G2185" i="15"/>
  <c r="H2185" i="15"/>
  <c r="I2185" i="15"/>
  <c r="J2185" i="15"/>
  <c r="K2185" i="15"/>
  <c r="L2185" i="15"/>
  <c r="M2185" i="15"/>
  <c r="N2185" i="15"/>
  <c r="A2186" i="15"/>
  <c r="B2186" i="15"/>
  <c r="C2186" i="15"/>
  <c r="D2186" i="15"/>
  <c r="E2186" i="15"/>
  <c r="F2186" i="15"/>
  <c r="G2186" i="15"/>
  <c r="H2186" i="15"/>
  <c r="I2186" i="15"/>
  <c r="J2186" i="15"/>
  <c r="K2186" i="15"/>
  <c r="L2186" i="15"/>
  <c r="M2186" i="15"/>
  <c r="N2186" i="15"/>
  <c r="A2187" i="15"/>
  <c r="B2187" i="15"/>
  <c r="C2187" i="15"/>
  <c r="D2187" i="15"/>
  <c r="E2187" i="15"/>
  <c r="F2187" i="15"/>
  <c r="G2187" i="15"/>
  <c r="H2187" i="15"/>
  <c r="I2187" i="15"/>
  <c r="J2187" i="15"/>
  <c r="K2187" i="15"/>
  <c r="L2187" i="15"/>
  <c r="M2187" i="15"/>
  <c r="N2187" i="15"/>
  <c r="A2188" i="15"/>
  <c r="B2188" i="15"/>
  <c r="C2188" i="15"/>
  <c r="D2188" i="15"/>
  <c r="E2188" i="15"/>
  <c r="F2188" i="15"/>
  <c r="G2188" i="15"/>
  <c r="H2188" i="15"/>
  <c r="I2188" i="15"/>
  <c r="J2188" i="15"/>
  <c r="K2188" i="15"/>
  <c r="L2188" i="15"/>
  <c r="M2188" i="15"/>
  <c r="N2188" i="15"/>
  <c r="A2189" i="15"/>
  <c r="B2189" i="15"/>
  <c r="C2189" i="15"/>
  <c r="D2189" i="15"/>
  <c r="E2189" i="15"/>
  <c r="F2189" i="15"/>
  <c r="G2189" i="15"/>
  <c r="H2189" i="15"/>
  <c r="I2189" i="15"/>
  <c r="J2189" i="15"/>
  <c r="K2189" i="15"/>
  <c r="L2189" i="15"/>
  <c r="M2189" i="15"/>
  <c r="N2189" i="15"/>
  <c r="A2190" i="15"/>
  <c r="B2190" i="15"/>
  <c r="C2190" i="15"/>
  <c r="D2190" i="15"/>
  <c r="E2190" i="15"/>
  <c r="F2190" i="15"/>
  <c r="G2190" i="15"/>
  <c r="H2190" i="15"/>
  <c r="I2190" i="15"/>
  <c r="J2190" i="15"/>
  <c r="K2190" i="15"/>
  <c r="L2190" i="15"/>
  <c r="M2190" i="15"/>
  <c r="N2190" i="15"/>
  <c r="A2191" i="15"/>
  <c r="B2191" i="15"/>
  <c r="C2191" i="15"/>
  <c r="D2191" i="15"/>
  <c r="E2191" i="15"/>
  <c r="F2191" i="15"/>
  <c r="G2191" i="15"/>
  <c r="H2191" i="15"/>
  <c r="I2191" i="15"/>
  <c r="J2191" i="15"/>
  <c r="K2191" i="15"/>
  <c r="L2191" i="15"/>
  <c r="M2191" i="15"/>
  <c r="N2191" i="15"/>
  <c r="A2192" i="15"/>
  <c r="B2192" i="15"/>
  <c r="C2192" i="15"/>
  <c r="D2192" i="15"/>
  <c r="E2192" i="15"/>
  <c r="F2192" i="15"/>
  <c r="G2192" i="15"/>
  <c r="H2192" i="15"/>
  <c r="I2192" i="15"/>
  <c r="J2192" i="15"/>
  <c r="K2192" i="15"/>
  <c r="L2192" i="15"/>
  <c r="M2192" i="15"/>
  <c r="N2192" i="15"/>
  <c r="A2193" i="15"/>
  <c r="B2193" i="15"/>
  <c r="C2193" i="15"/>
  <c r="D2193" i="15"/>
  <c r="E2193" i="15"/>
  <c r="F2193" i="15"/>
  <c r="G2193" i="15"/>
  <c r="H2193" i="15"/>
  <c r="I2193" i="15"/>
  <c r="J2193" i="15"/>
  <c r="K2193" i="15"/>
  <c r="L2193" i="15"/>
  <c r="M2193" i="15"/>
  <c r="N2193" i="15"/>
  <c r="A2194" i="15"/>
  <c r="B2194" i="15"/>
  <c r="C2194" i="15"/>
  <c r="D2194" i="15"/>
  <c r="E2194" i="15"/>
  <c r="F2194" i="15"/>
  <c r="G2194" i="15"/>
  <c r="H2194" i="15"/>
  <c r="I2194" i="15"/>
  <c r="J2194" i="15"/>
  <c r="K2194" i="15"/>
  <c r="L2194" i="15"/>
  <c r="M2194" i="15"/>
  <c r="N2194" i="15"/>
  <c r="A2195" i="15"/>
  <c r="B2195" i="15"/>
  <c r="C2195" i="15"/>
  <c r="D2195" i="15"/>
  <c r="E2195" i="15"/>
  <c r="F2195" i="15"/>
  <c r="G2195" i="15"/>
  <c r="H2195" i="15"/>
  <c r="I2195" i="15"/>
  <c r="J2195" i="15"/>
  <c r="K2195" i="15"/>
  <c r="L2195" i="15"/>
  <c r="M2195" i="15"/>
  <c r="N2195" i="15"/>
  <c r="A2196" i="15"/>
  <c r="B2196" i="15"/>
  <c r="C2196" i="15"/>
  <c r="D2196" i="15"/>
  <c r="E2196" i="15"/>
  <c r="F2196" i="15"/>
  <c r="G2196" i="15"/>
  <c r="H2196" i="15"/>
  <c r="I2196" i="15"/>
  <c r="J2196" i="15"/>
  <c r="K2196" i="15"/>
  <c r="L2196" i="15"/>
  <c r="M2196" i="15"/>
  <c r="N2196" i="15"/>
  <c r="A2197" i="15"/>
  <c r="B2197" i="15"/>
  <c r="C2197" i="15"/>
  <c r="D2197" i="15"/>
  <c r="E2197" i="15"/>
  <c r="F2197" i="15"/>
  <c r="G2197" i="15"/>
  <c r="H2197" i="15"/>
  <c r="I2197" i="15"/>
  <c r="J2197" i="15"/>
  <c r="K2197" i="15"/>
  <c r="L2197" i="15"/>
  <c r="M2197" i="15"/>
  <c r="N2197" i="15"/>
  <c r="A2198" i="15"/>
  <c r="B2198" i="15"/>
  <c r="C2198" i="15"/>
  <c r="D2198" i="15"/>
  <c r="E2198" i="15"/>
  <c r="F2198" i="15"/>
  <c r="G2198" i="15"/>
  <c r="H2198" i="15"/>
  <c r="I2198" i="15"/>
  <c r="J2198" i="15"/>
  <c r="K2198" i="15"/>
  <c r="L2198" i="15"/>
  <c r="M2198" i="15"/>
  <c r="N2198" i="15"/>
  <c r="A2199" i="15"/>
  <c r="B2199" i="15"/>
  <c r="C2199" i="15"/>
  <c r="D2199" i="15"/>
  <c r="E2199" i="15"/>
  <c r="F2199" i="15"/>
  <c r="G2199" i="15"/>
  <c r="H2199" i="15"/>
  <c r="I2199" i="15"/>
  <c r="J2199" i="15"/>
  <c r="K2199" i="15"/>
  <c r="L2199" i="15"/>
  <c r="M2199" i="15"/>
  <c r="N2199" i="15"/>
  <c r="A2200" i="15"/>
  <c r="B2200" i="15"/>
  <c r="C2200" i="15"/>
  <c r="D2200" i="15"/>
  <c r="E2200" i="15"/>
  <c r="F2200" i="15"/>
  <c r="G2200" i="15"/>
  <c r="H2200" i="15"/>
  <c r="I2200" i="15"/>
  <c r="J2200" i="15"/>
  <c r="K2200" i="15"/>
  <c r="L2200" i="15"/>
  <c r="M2200" i="15"/>
  <c r="N2200" i="15"/>
  <c r="A2201" i="15"/>
  <c r="B2201" i="15"/>
  <c r="C2201" i="15"/>
  <c r="D2201" i="15"/>
  <c r="E2201" i="15"/>
  <c r="F2201" i="15"/>
  <c r="G2201" i="15"/>
  <c r="H2201" i="15"/>
  <c r="I2201" i="15"/>
  <c r="J2201" i="15"/>
  <c r="K2201" i="15"/>
  <c r="L2201" i="15"/>
  <c r="M2201" i="15"/>
  <c r="N2201" i="15"/>
  <c r="A2202" i="15"/>
  <c r="B2202" i="15"/>
  <c r="C2202" i="15"/>
  <c r="D2202" i="15"/>
  <c r="E2202" i="15"/>
  <c r="F2202" i="15"/>
  <c r="G2202" i="15"/>
  <c r="H2202" i="15"/>
  <c r="I2202" i="15"/>
  <c r="J2202" i="15"/>
  <c r="K2202" i="15"/>
  <c r="L2202" i="15"/>
  <c r="M2202" i="15"/>
  <c r="N2202" i="15"/>
  <c r="A2203" i="15"/>
  <c r="B2203" i="15"/>
  <c r="C2203" i="15"/>
  <c r="D2203" i="15"/>
  <c r="E2203" i="15"/>
  <c r="F2203" i="15"/>
  <c r="G2203" i="15"/>
  <c r="H2203" i="15"/>
  <c r="I2203" i="15"/>
  <c r="J2203" i="15"/>
  <c r="K2203" i="15"/>
  <c r="L2203" i="15"/>
  <c r="M2203" i="15"/>
  <c r="N2203" i="15"/>
  <c r="A2204" i="15"/>
  <c r="B2204" i="15"/>
  <c r="C2204" i="15"/>
  <c r="D2204" i="15"/>
  <c r="E2204" i="15"/>
  <c r="F2204" i="15"/>
  <c r="G2204" i="15"/>
  <c r="H2204" i="15"/>
  <c r="I2204" i="15"/>
  <c r="J2204" i="15"/>
  <c r="K2204" i="15"/>
  <c r="L2204" i="15"/>
  <c r="M2204" i="15"/>
  <c r="N2204" i="15"/>
  <c r="A2205" i="15"/>
  <c r="B2205" i="15"/>
  <c r="C2205" i="15"/>
  <c r="D2205" i="15"/>
  <c r="E2205" i="15"/>
  <c r="F2205" i="15"/>
  <c r="G2205" i="15"/>
  <c r="H2205" i="15"/>
  <c r="I2205" i="15"/>
  <c r="J2205" i="15"/>
  <c r="K2205" i="15"/>
  <c r="L2205" i="15"/>
  <c r="M2205" i="15"/>
  <c r="N2205" i="15"/>
  <c r="A2206" i="15"/>
  <c r="B2206" i="15"/>
  <c r="C2206" i="15"/>
  <c r="D2206" i="15"/>
  <c r="E2206" i="15"/>
  <c r="F2206" i="15"/>
  <c r="G2206" i="15"/>
  <c r="H2206" i="15"/>
  <c r="I2206" i="15"/>
  <c r="J2206" i="15"/>
  <c r="K2206" i="15"/>
  <c r="L2206" i="15"/>
  <c r="M2206" i="15"/>
  <c r="N2206" i="15"/>
  <c r="A2207" i="15"/>
  <c r="B2207" i="15"/>
  <c r="C2207" i="15"/>
  <c r="D2207" i="15"/>
  <c r="E2207" i="15"/>
  <c r="F2207" i="15"/>
  <c r="G2207" i="15"/>
  <c r="H2207" i="15"/>
  <c r="I2207" i="15"/>
  <c r="J2207" i="15"/>
  <c r="K2207" i="15"/>
  <c r="L2207" i="15"/>
  <c r="M2207" i="15"/>
  <c r="N2207" i="15"/>
  <c r="A2208" i="15"/>
  <c r="B2208" i="15"/>
  <c r="C2208" i="15"/>
  <c r="D2208" i="15"/>
  <c r="E2208" i="15"/>
  <c r="F2208" i="15"/>
  <c r="G2208" i="15"/>
  <c r="H2208" i="15"/>
  <c r="I2208" i="15"/>
  <c r="J2208" i="15"/>
  <c r="K2208" i="15"/>
  <c r="L2208" i="15"/>
  <c r="M2208" i="15"/>
  <c r="N2208" i="15"/>
  <c r="A2209" i="15"/>
  <c r="B2209" i="15"/>
  <c r="C2209" i="15"/>
  <c r="D2209" i="15"/>
  <c r="E2209" i="15"/>
  <c r="F2209" i="15"/>
  <c r="G2209" i="15"/>
  <c r="H2209" i="15"/>
  <c r="I2209" i="15"/>
  <c r="J2209" i="15"/>
  <c r="K2209" i="15"/>
  <c r="L2209" i="15"/>
  <c r="M2209" i="15"/>
  <c r="N2209" i="15"/>
  <c r="A2210" i="15"/>
  <c r="B2210" i="15"/>
  <c r="C2210" i="15"/>
  <c r="D2210" i="15"/>
  <c r="E2210" i="15"/>
  <c r="F2210" i="15"/>
  <c r="G2210" i="15"/>
  <c r="H2210" i="15"/>
  <c r="I2210" i="15"/>
  <c r="J2210" i="15"/>
  <c r="K2210" i="15"/>
  <c r="L2210" i="15"/>
  <c r="M2210" i="15"/>
  <c r="N2210" i="15"/>
  <c r="A2211" i="15"/>
  <c r="B2211" i="15"/>
  <c r="C2211" i="15"/>
  <c r="D2211" i="15"/>
  <c r="E2211" i="15"/>
  <c r="F2211" i="15"/>
  <c r="G2211" i="15"/>
  <c r="H2211" i="15"/>
  <c r="I2211" i="15"/>
  <c r="J2211" i="15"/>
  <c r="K2211" i="15"/>
  <c r="L2211" i="15"/>
  <c r="M2211" i="15"/>
  <c r="N2211" i="15"/>
  <c r="A2212" i="15"/>
  <c r="B2212" i="15"/>
  <c r="C2212" i="15"/>
  <c r="D2212" i="15"/>
  <c r="E2212" i="15"/>
  <c r="F2212" i="15"/>
  <c r="G2212" i="15"/>
  <c r="H2212" i="15"/>
  <c r="I2212" i="15"/>
  <c r="J2212" i="15"/>
  <c r="K2212" i="15"/>
  <c r="L2212" i="15"/>
  <c r="M2212" i="15"/>
  <c r="N2212" i="15"/>
  <c r="A2213" i="15"/>
  <c r="B2213" i="15"/>
  <c r="C2213" i="15"/>
  <c r="D2213" i="15"/>
  <c r="E2213" i="15"/>
  <c r="F2213" i="15"/>
  <c r="G2213" i="15"/>
  <c r="H2213" i="15"/>
  <c r="I2213" i="15"/>
  <c r="J2213" i="15"/>
  <c r="K2213" i="15"/>
  <c r="L2213" i="15"/>
  <c r="M2213" i="15"/>
  <c r="N2213" i="15"/>
  <c r="A2214" i="15"/>
  <c r="B2214" i="15"/>
  <c r="C2214" i="15"/>
  <c r="D2214" i="15"/>
  <c r="E2214" i="15"/>
  <c r="F2214" i="15"/>
  <c r="G2214" i="15"/>
  <c r="H2214" i="15"/>
  <c r="I2214" i="15"/>
  <c r="J2214" i="15"/>
  <c r="K2214" i="15"/>
  <c r="L2214" i="15"/>
  <c r="M2214" i="15"/>
  <c r="N2214" i="15"/>
  <c r="A2215" i="15"/>
  <c r="B2215" i="15"/>
  <c r="C2215" i="15"/>
  <c r="D2215" i="15"/>
  <c r="E2215" i="15"/>
  <c r="F2215" i="15"/>
  <c r="G2215" i="15"/>
  <c r="H2215" i="15"/>
  <c r="I2215" i="15"/>
  <c r="J2215" i="15"/>
  <c r="K2215" i="15"/>
  <c r="L2215" i="15"/>
  <c r="M2215" i="15"/>
  <c r="N2215" i="15"/>
  <c r="A2216" i="15"/>
  <c r="B2216" i="15"/>
  <c r="C2216" i="15"/>
  <c r="D2216" i="15"/>
  <c r="E2216" i="15"/>
  <c r="F2216" i="15"/>
  <c r="G2216" i="15"/>
  <c r="H2216" i="15"/>
  <c r="I2216" i="15"/>
  <c r="J2216" i="15"/>
  <c r="K2216" i="15"/>
  <c r="L2216" i="15"/>
  <c r="M2216" i="15"/>
  <c r="N2216" i="15"/>
  <c r="A2217" i="15"/>
  <c r="B2217" i="15"/>
  <c r="C2217" i="15"/>
  <c r="D2217" i="15"/>
  <c r="E2217" i="15"/>
  <c r="F2217" i="15"/>
  <c r="G2217" i="15"/>
  <c r="H2217" i="15"/>
  <c r="I2217" i="15"/>
  <c r="J2217" i="15"/>
  <c r="K2217" i="15"/>
  <c r="L2217" i="15"/>
  <c r="M2217" i="15"/>
  <c r="N2217" i="15"/>
  <c r="A2218" i="15"/>
  <c r="B2218" i="15"/>
  <c r="C2218" i="15"/>
  <c r="D2218" i="15"/>
  <c r="E2218" i="15"/>
  <c r="F2218" i="15"/>
  <c r="G2218" i="15"/>
  <c r="H2218" i="15"/>
  <c r="I2218" i="15"/>
  <c r="J2218" i="15"/>
  <c r="K2218" i="15"/>
  <c r="L2218" i="15"/>
  <c r="M2218" i="15"/>
  <c r="N2218" i="15"/>
  <c r="A2219" i="15"/>
  <c r="B2219" i="15"/>
  <c r="C2219" i="15"/>
  <c r="D2219" i="15"/>
  <c r="E2219" i="15"/>
  <c r="F2219" i="15"/>
  <c r="G2219" i="15"/>
  <c r="H2219" i="15"/>
  <c r="I2219" i="15"/>
  <c r="J2219" i="15"/>
  <c r="K2219" i="15"/>
  <c r="L2219" i="15"/>
  <c r="M2219" i="15"/>
  <c r="N2219" i="15"/>
  <c r="A2220" i="15"/>
  <c r="B2220" i="15"/>
  <c r="C2220" i="15"/>
  <c r="D2220" i="15"/>
  <c r="E2220" i="15"/>
  <c r="F2220" i="15"/>
  <c r="G2220" i="15"/>
  <c r="H2220" i="15"/>
  <c r="I2220" i="15"/>
  <c r="J2220" i="15"/>
  <c r="K2220" i="15"/>
  <c r="L2220" i="15"/>
  <c r="M2220" i="15"/>
  <c r="N2220" i="15"/>
  <c r="A2221" i="15"/>
  <c r="B2221" i="15"/>
  <c r="C2221" i="15"/>
  <c r="D2221" i="15"/>
  <c r="E2221" i="15"/>
  <c r="F2221" i="15"/>
  <c r="G2221" i="15"/>
  <c r="H2221" i="15"/>
  <c r="I2221" i="15"/>
  <c r="J2221" i="15"/>
  <c r="K2221" i="15"/>
  <c r="L2221" i="15"/>
  <c r="M2221" i="15"/>
  <c r="N2221" i="15"/>
  <c r="A2222" i="15"/>
  <c r="B2222" i="15"/>
  <c r="C2222" i="15"/>
  <c r="D2222" i="15"/>
  <c r="E2222" i="15"/>
  <c r="F2222" i="15"/>
  <c r="G2222" i="15"/>
  <c r="H2222" i="15"/>
  <c r="I2222" i="15"/>
  <c r="J2222" i="15"/>
  <c r="K2222" i="15"/>
  <c r="L2222" i="15"/>
  <c r="M2222" i="15"/>
  <c r="N2222" i="15"/>
  <c r="A2223" i="15"/>
  <c r="B2223" i="15"/>
  <c r="C2223" i="15"/>
  <c r="D2223" i="15"/>
  <c r="E2223" i="15"/>
  <c r="F2223" i="15"/>
  <c r="G2223" i="15"/>
  <c r="H2223" i="15"/>
  <c r="I2223" i="15"/>
  <c r="J2223" i="15"/>
  <c r="K2223" i="15"/>
  <c r="L2223" i="15"/>
  <c r="M2223" i="15"/>
  <c r="N2223" i="15"/>
  <c r="A2224" i="15"/>
  <c r="B2224" i="15"/>
  <c r="C2224" i="15"/>
  <c r="D2224" i="15"/>
  <c r="E2224" i="15"/>
  <c r="F2224" i="15"/>
  <c r="G2224" i="15"/>
  <c r="H2224" i="15"/>
  <c r="I2224" i="15"/>
  <c r="J2224" i="15"/>
  <c r="K2224" i="15"/>
  <c r="L2224" i="15"/>
  <c r="M2224" i="15"/>
  <c r="N2224" i="15"/>
  <c r="A2225" i="15"/>
  <c r="B2225" i="15"/>
  <c r="C2225" i="15"/>
  <c r="D2225" i="15"/>
  <c r="E2225" i="15"/>
  <c r="F2225" i="15"/>
  <c r="G2225" i="15"/>
  <c r="H2225" i="15"/>
  <c r="I2225" i="15"/>
  <c r="J2225" i="15"/>
  <c r="K2225" i="15"/>
  <c r="L2225" i="15"/>
  <c r="M2225" i="15"/>
  <c r="N2225" i="15"/>
  <c r="A2226" i="15"/>
  <c r="B2226" i="15"/>
  <c r="C2226" i="15"/>
  <c r="D2226" i="15"/>
  <c r="E2226" i="15"/>
  <c r="F2226" i="15"/>
  <c r="G2226" i="15"/>
  <c r="H2226" i="15"/>
  <c r="I2226" i="15"/>
  <c r="J2226" i="15"/>
  <c r="K2226" i="15"/>
  <c r="L2226" i="15"/>
  <c r="M2226" i="15"/>
  <c r="N2226" i="15"/>
  <c r="A2227" i="15"/>
  <c r="B2227" i="15"/>
  <c r="C2227" i="15"/>
  <c r="D2227" i="15"/>
  <c r="E2227" i="15"/>
  <c r="F2227" i="15"/>
  <c r="G2227" i="15"/>
  <c r="H2227" i="15"/>
  <c r="I2227" i="15"/>
  <c r="J2227" i="15"/>
  <c r="K2227" i="15"/>
  <c r="L2227" i="15"/>
  <c r="M2227" i="15"/>
  <c r="N2227" i="15"/>
  <c r="A2228" i="15"/>
  <c r="B2228" i="15"/>
  <c r="C2228" i="15"/>
  <c r="D2228" i="15"/>
  <c r="E2228" i="15"/>
  <c r="F2228" i="15"/>
  <c r="G2228" i="15"/>
  <c r="H2228" i="15"/>
  <c r="I2228" i="15"/>
  <c r="J2228" i="15"/>
  <c r="K2228" i="15"/>
  <c r="L2228" i="15"/>
  <c r="M2228" i="15"/>
  <c r="N2228" i="15"/>
  <c r="A2229" i="15"/>
  <c r="B2229" i="15"/>
  <c r="C2229" i="15"/>
  <c r="D2229" i="15"/>
  <c r="E2229" i="15"/>
  <c r="F2229" i="15"/>
  <c r="G2229" i="15"/>
  <c r="H2229" i="15"/>
  <c r="I2229" i="15"/>
  <c r="J2229" i="15"/>
  <c r="K2229" i="15"/>
  <c r="L2229" i="15"/>
  <c r="M2229" i="15"/>
  <c r="N2229" i="15"/>
  <c r="A2230" i="15"/>
  <c r="B2230" i="15"/>
  <c r="C2230" i="15"/>
  <c r="D2230" i="15"/>
  <c r="E2230" i="15"/>
  <c r="F2230" i="15"/>
  <c r="G2230" i="15"/>
  <c r="H2230" i="15"/>
  <c r="I2230" i="15"/>
  <c r="J2230" i="15"/>
  <c r="K2230" i="15"/>
  <c r="L2230" i="15"/>
  <c r="M2230" i="15"/>
  <c r="N2230" i="15"/>
  <c r="A2231" i="15"/>
  <c r="B2231" i="15"/>
  <c r="C2231" i="15"/>
  <c r="D2231" i="15"/>
  <c r="E2231" i="15"/>
  <c r="F2231" i="15"/>
  <c r="G2231" i="15"/>
  <c r="H2231" i="15"/>
  <c r="I2231" i="15"/>
  <c r="J2231" i="15"/>
  <c r="K2231" i="15"/>
  <c r="L2231" i="15"/>
  <c r="M2231" i="15"/>
  <c r="N2231" i="15"/>
  <c r="A2232" i="15"/>
  <c r="B2232" i="15"/>
  <c r="C2232" i="15"/>
  <c r="D2232" i="15"/>
  <c r="E2232" i="15"/>
  <c r="F2232" i="15"/>
  <c r="G2232" i="15"/>
  <c r="H2232" i="15"/>
  <c r="I2232" i="15"/>
  <c r="J2232" i="15"/>
  <c r="K2232" i="15"/>
  <c r="L2232" i="15"/>
  <c r="M2232" i="15"/>
  <c r="N2232" i="15"/>
  <c r="A2233" i="15"/>
  <c r="B2233" i="15"/>
  <c r="C2233" i="15"/>
  <c r="D2233" i="15"/>
  <c r="E2233" i="15"/>
  <c r="F2233" i="15"/>
  <c r="G2233" i="15"/>
  <c r="H2233" i="15"/>
  <c r="I2233" i="15"/>
  <c r="J2233" i="15"/>
  <c r="K2233" i="15"/>
  <c r="L2233" i="15"/>
  <c r="M2233" i="15"/>
  <c r="N2233" i="15"/>
  <c r="A2234" i="15"/>
  <c r="B2234" i="15"/>
  <c r="C2234" i="15"/>
  <c r="D2234" i="15"/>
  <c r="E2234" i="15"/>
  <c r="F2234" i="15"/>
  <c r="G2234" i="15"/>
  <c r="H2234" i="15"/>
  <c r="I2234" i="15"/>
  <c r="J2234" i="15"/>
  <c r="K2234" i="15"/>
  <c r="L2234" i="15"/>
  <c r="M2234" i="15"/>
  <c r="N2234" i="15"/>
  <c r="A2235" i="15"/>
  <c r="B2235" i="15"/>
  <c r="C2235" i="15"/>
  <c r="D2235" i="15"/>
  <c r="E2235" i="15"/>
  <c r="F2235" i="15"/>
  <c r="G2235" i="15"/>
  <c r="H2235" i="15"/>
  <c r="I2235" i="15"/>
  <c r="J2235" i="15"/>
  <c r="K2235" i="15"/>
  <c r="L2235" i="15"/>
  <c r="M2235" i="15"/>
  <c r="N2235" i="15"/>
  <c r="A2236" i="15"/>
  <c r="B2236" i="15"/>
  <c r="C2236" i="15"/>
  <c r="D2236" i="15"/>
  <c r="E2236" i="15"/>
  <c r="F2236" i="15"/>
  <c r="G2236" i="15"/>
  <c r="H2236" i="15"/>
  <c r="I2236" i="15"/>
  <c r="J2236" i="15"/>
  <c r="K2236" i="15"/>
  <c r="L2236" i="15"/>
  <c r="M2236" i="15"/>
  <c r="N2236" i="15"/>
  <c r="A2237" i="15"/>
  <c r="B2237" i="15"/>
  <c r="C2237" i="15"/>
  <c r="D2237" i="15"/>
  <c r="E2237" i="15"/>
  <c r="F2237" i="15"/>
  <c r="G2237" i="15"/>
  <c r="H2237" i="15"/>
  <c r="I2237" i="15"/>
  <c r="J2237" i="15"/>
  <c r="K2237" i="15"/>
  <c r="L2237" i="15"/>
  <c r="M2237" i="15"/>
  <c r="N2237" i="15"/>
  <c r="A2238" i="15"/>
  <c r="B2238" i="15"/>
  <c r="C2238" i="15"/>
  <c r="D2238" i="15"/>
  <c r="E2238" i="15"/>
  <c r="F2238" i="15"/>
  <c r="G2238" i="15"/>
  <c r="H2238" i="15"/>
  <c r="I2238" i="15"/>
  <c r="J2238" i="15"/>
  <c r="K2238" i="15"/>
  <c r="L2238" i="15"/>
  <c r="M2238" i="15"/>
  <c r="N2238" i="15"/>
  <c r="A2239" i="15"/>
  <c r="B2239" i="15"/>
  <c r="C2239" i="15"/>
  <c r="D2239" i="15"/>
  <c r="E2239" i="15"/>
  <c r="F2239" i="15"/>
  <c r="G2239" i="15"/>
  <c r="H2239" i="15"/>
  <c r="I2239" i="15"/>
  <c r="J2239" i="15"/>
  <c r="K2239" i="15"/>
  <c r="L2239" i="15"/>
  <c r="M2239" i="15"/>
  <c r="N2239" i="15"/>
  <c r="A2240" i="15"/>
  <c r="B2240" i="15"/>
  <c r="C2240" i="15"/>
  <c r="D2240" i="15"/>
  <c r="E2240" i="15"/>
  <c r="F2240" i="15"/>
  <c r="G2240" i="15"/>
  <c r="H2240" i="15"/>
  <c r="I2240" i="15"/>
  <c r="J2240" i="15"/>
  <c r="K2240" i="15"/>
  <c r="L2240" i="15"/>
  <c r="M2240" i="15"/>
  <c r="N2240" i="15"/>
  <c r="A2241" i="15"/>
  <c r="B2241" i="15"/>
  <c r="C2241" i="15"/>
  <c r="D2241" i="15"/>
  <c r="E2241" i="15"/>
  <c r="F2241" i="15"/>
  <c r="G2241" i="15"/>
  <c r="H2241" i="15"/>
  <c r="I2241" i="15"/>
  <c r="J2241" i="15"/>
  <c r="K2241" i="15"/>
  <c r="L2241" i="15"/>
  <c r="M2241" i="15"/>
  <c r="N2241" i="15"/>
  <c r="A2242" i="15"/>
  <c r="B2242" i="15"/>
  <c r="C2242" i="15"/>
  <c r="D2242" i="15"/>
  <c r="E2242" i="15"/>
  <c r="F2242" i="15"/>
  <c r="G2242" i="15"/>
  <c r="H2242" i="15"/>
  <c r="I2242" i="15"/>
  <c r="J2242" i="15"/>
  <c r="K2242" i="15"/>
  <c r="L2242" i="15"/>
  <c r="M2242" i="15"/>
  <c r="N2242" i="15"/>
  <c r="A2243" i="15"/>
  <c r="B2243" i="15"/>
  <c r="C2243" i="15"/>
  <c r="D2243" i="15"/>
  <c r="E2243" i="15"/>
  <c r="F2243" i="15"/>
  <c r="G2243" i="15"/>
  <c r="H2243" i="15"/>
  <c r="I2243" i="15"/>
  <c r="J2243" i="15"/>
  <c r="K2243" i="15"/>
  <c r="L2243" i="15"/>
  <c r="M2243" i="15"/>
  <c r="N2243" i="15"/>
  <c r="A2244" i="15"/>
  <c r="B2244" i="15"/>
  <c r="C2244" i="15"/>
  <c r="D2244" i="15"/>
  <c r="E2244" i="15"/>
  <c r="F2244" i="15"/>
  <c r="G2244" i="15"/>
  <c r="H2244" i="15"/>
  <c r="I2244" i="15"/>
  <c r="J2244" i="15"/>
  <c r="K2244" i="15"/>
  <c r="L2244" i="15"/>
  <c r="M2244" i="15"/>
  <c r="N2244" i="15"/>
  <c r="A2245" i="15"/>
  <c r="B2245" i="15"/>
  <c r="C2245" i="15"/>
  <c r="D2245" i="15"/>
  <c r="E2245" i="15"/>
  <c r="F2245" i="15"/>
  <c r="G2245" i="15"/>
  <c r="H2245" i="15"/>
  <c r="I2245" i="15"/>
  <c r="J2245" i="15"/>
  <c r="K2245" i="15"/>
  <c r="L2245" i="15"/>
  <c r="M2245" i="15"/>
  <c r="N2245" i="15"/>
  <c r="A2246" i="15"/>
  <c r="B2246" i="15"/>
  <c r="C2246" i="15"/>
  <c r="D2246" i="15"/>
  <c r="E2246" i="15"/>
  <c r="F2246" i="15"/>
  <c r="G2246" i="15"/>
  <c r="H2246" i="15"/>
  <c r="I2246" i="15"/>
  <c r="J2246" i="15"/>
  <c r="K2246" i="15"/>
  <c r="L2246" i="15"/>
  <c r="M2246" i="15"/>
  <c r="N2246" i="15"/>
  <c r="A2247" i="15"/>
  <c r="B2247" i="15"/>
  <c r="C2247" i="15"/>
  <c r="D2247" i="15"/>
  <c r="E2247" i="15"/>
  <c r="F2247" i="15"/>
  <c r="G2247" i="15"/>
  <c r="H2247" i="15"/>
  <c r="I2247" i="15"/>
  <c r="J2247" i="15"/>
  <c r="K2247" i="15"/>
  <c r="L2247" i="15"/>
  <c r="M2247" i="15"/>
  <c r="N2247" i="15"/>
  <c r="A2248" i="15"/>
  <c r="B2248" i="15"/>
  <c r="C2248" i="15"/>
  <c r="D2248" i="15"/>
  <c r="E2248" i="15"/>
  <c r="F2248" i="15"/>
  <c r="G2248" i="15"/>
  <c r="H2248" i="15"/>
  <c r="I2248" i="15"/>
  <c r="J2248" i="15"/>
  <c r="K2248" i="15"/>
  <c r="L2248" i="15"/>
  <c r="M2248" i="15"/>
  <c r="N2248" i="15"/>
  <c r="A2249" i="15"/>
  <c r="B2249" i="15"/>
  <c r="C2249" i="15"/>
  <c r="D2249" i="15"/>
  <c r="E2249" i="15"/>
  <c r="F2249" i="15"/>
  <c r="G2249" i="15"/>
  <c r="H2249" i="15"/>
  <c r="I2249" i="15"/>
  <c r="J2249" i="15"/>
  <c r="K2249" i="15"/>
  <c r="L2249" i="15"/>
  <c r="M2249" i="15"/>
  <c r="N2249" i="15"/>
  <c r="A2250" i="15"/>
  <c r="B2250" i="15"/>
  <c r="C2250" i="15"/>
  <c r="D2250" i="15"/>
  <c r="E2250" i="15"/>
  <c r="F2250" i="15"/>
  <c r="G2250" i="15"/>
  <c r="H2250" i="15"/>
  <c r="I2250" i="15"/>
  <c r="J2250" i="15"/>
  <c r="K2250" i="15"/>
  <c r="L2250" i="15"/>
  <c r="M2250" i="15"/>
  <c r="N2250" i="15"/>
  <c r="A2251" i="15"/>
  <c r="B2251" i="15"/>
  <c r="C2251" i="15"/>
  <c r="D2251" i="15"/>
  <c r="E2251" i="15"/>
  <c r="F2251" i="15"/>
  <c r="G2251" i="15"/>
  <c r="H2251" i="15"/>
  <c r="I2251" i="15"/>
  <c r="J2251" i="15"/>
  <c r="K2251" i="15"/>
  <c r="L2251" i="15"/>
  <c r="M2251" i="15"/>
  <c r="N2251" i="15"/>
  <c r="A2252" i="15"/>
  <c r="B2252" i="15"/>
  <c r="C2252" i="15"/>
  <c r="D2252" i="15"/>
  <c r="E2252" i="15"/>
  <c r="F2252" i="15"/>
  <c r="G2252" i="15"/>
  <c r="H2252" i="15"/>
  <c r="I2252" i="15"/>
  <c r="J2252" i="15"/>
  <c r="K2252" i="15"/>
  <c r="L2252" i="15"/>
  <c r="M2252" i="15"/>
  <c r="N2252" i="15"/>
  <c r="A2253" i="15"/>
  <c r="B2253" i="15"/>
  <c r="C2253" i="15"/>
  <c r="D2253" i="15"/>
  <c r="E2253" i="15"/>
  <c r="F2253" i="15"/>
  <c r="G2253" i="15"/>
  <c r="H2253" i="15"/>
  <c r="I2253" i="15"/>
  <c r="J2253" i="15"/>
  <c r="K2253" i="15"/>
  <c r="L2253" i="15"/>
  <c r="M2253" i="15"/>
  <c r="N2253" i="15"/>
  <c r="A2254" i="15"/>
  <c r="B2254" i="15"/>
  <c r="C2254" i="15"/>
  <c r="D2254" i="15"/>
  <c r="E2254" i="15"/>
  <c r="F2254" i="15"/>
  <c r="G2254" i="15"/>
  <c r="H2254" i="15"/>
  <c r="I2254" i="15"/>
  <c r="J2254" i="15"/>
  <c r="K2254" i="15"/>
  <c r="L2254" i="15"/>
  <c r="M2254" i="15"/>
  <c r="N2254" i="15"/>
  <c r="A2255" i="15"/>
  <c r="B2255" i="15"/>
  <c r="C2255" i="15"/>
  <c r="D2255" i="15"/>
  <c r="E2255" i="15"/>
  <c r="F2255" i="15"/>
  <c r="G2255" i="15"/>
  <c r="H2255" i="15"/>
  <c r="I2255" i="15"/>
  <c r="J2255" i="15"/>
  <c r="K2255" i="15"/>
  <c r="L2255" i="15"/>
  <c r="M2255" i="15"/>
  <c r="N2255" i="15"/>
  <c r="A2256" i="15"/>
  <c r="B2256" i="15"/>
  <c r="C2256" i="15"/>
  <c r="D2256" i="15"/>
  <c r="E2256" i="15"/>
  <c r="F2256" i="15"/>
  <c r="G2256" i="15"/>
  <c r="H2256" i="15"/>
  <c r="I2256" i="15"/>
  <c r="J2256" i="15"/>
  <c r="K2256" i="15"/>
  <c r="L2256" i="15"/>
  <c r="M2256" i="15"/>
  <c r="N2256" i="15"/>
  <c r="A2257" i="15"/>
  <c r="B2257" i="15"/>
  <c r="C2257" i="15"/>
  <c r="D2257" i="15"/>
  <c r="E2257" i="15"/>
  <c r="F2257" i="15"/>
  <c r="G2257" i="15"/>
  <c r="H2257" i="15"/>
  <c r="I2257" i="15"/>
  <c r="J2257" i="15"/>
  <c r="K2257" i="15"/>
  <c r="L2257" i="15"/>
  <c r="M2257" i="15"/>
  <c r="N2257" i="15"/>
  <c r="A2258" i="15"/>
  <c r="B2258" i="15"/>
  <c r="C2258" i="15"/>
  <c r="D2258" i="15"/>
  <c r="E2258" i="15"/>
  <c r="F2258" i="15"/>
  <c r="G2258" i="15"/>
  <c r="H2258" i="15"/>
  <c r="I2258" i="15"/>
  <c r="J2258" i="15"/>
  <c r="K2258" i="15"/>
  <c r="L2258" i="15"/>
  <c r="M2258" i="15"/>
  <c r="N2258" i="15"/>
  <c r="A2259" i="15"/>
  <c r="B2259" i="15"/>
  <c r="C2259" i="15"/>
  <c r="D2259" i="15"/>
  <c r="E2259" i="15"/>
  <c r="F2259" i="15"/>
  <c r="G2259" i="15"/>
  <c r="H2259" i="15"/>
  <c r="I2259" i="15"/>
  <c r="J2259" i="15"/>
  <c r="K2259" i="15"/>
  <c r="L2259" i="15"/>
  <c r="M2259" i="15"/>
  <c r="N2259" i="15"/>
  <c r="A2260" i="15"/>
  <c r="B2260" i="15"/>
  <c r="C2260" i="15"/>
  <c r="D2260" i="15"/>
  <c r="E2260" i="15"/>
  <c r="F2260" i="15"/>
  <c r="G2260" i="15"/>
  <c r="H2260" i="15"/>
  <c r="I2260" i="15"/>
  <c r="J2260" i="15"/>
  <c r="K2260" i="15"/>
  <c r="L2260" i="15"/>
  <c r="M2260" i="15"/>
  <c r="N2260" i="15"/>
  <c r="A2261" i="15"/>
  <c r="B2261" i="15"/>
  <c r="C2261" i="15"/>
  <c r="D2261" i="15"/>
  <c r="E2261" i="15"/>
  <c r="F2261" i="15"/>
  <c r="G2261" i="15"/>
  <c r="H2261" i="15"/>
  <c r="I2261" i="15"/>
  <c r="J2261" i="15"/>
  <c r="K2261" i="15"/>
  <c r="L2261" i="15"/>
  <c r="M2261" i="15"/>
  <c r="N2261" i="15"/>
  <c r="A2262" i="15"/>
  <c r="B2262" i="15"/>
  <c r="C2262" i="15"/>
  <c r="D2262" i="15"/>
  <c r="E2262" i="15"/>
  <c r="F2262" i="15"/>
  <c r="G2262" i="15"/>
  <c r="H2262" i="15"/>
  <c r="I2262" i="15"/>
  <c r="J2262" i="15"/>
  <c r="K2262" i="15"/>
  <c r="L2262" i="15"/>
  <c r="M2262" i="15"/>
  <c r="N2262" i="15"/>
  <c r="A2263" i="15"/>
  <c r="B2263" i="15"/>
  <c r="C2263" i="15"/>
  <c r="D2263" i="15"/>
  <c r="E2263" i="15"/>
  <c r="F2263" i="15"/>
  <c r="G2263" i="15"/>
  <c r="H2263" i="15"/>
  <c r="I2263" i="15"/>
  <c r="J2263" i="15"/>
  <c r="K2263" i="15"/>
  <c r="L2263" i="15"/>
  <c r="M2263" i="15"/>
  <c r="N2263" i="15"/>
  <c r="A2264" i="15"/>
  <c r="B2264" i="15"/>
  <c r="C2264" i="15"/>
  <c r="D2264" i="15"/>
  <c r="E2264" i="15"/>
  <c r="F2264" i="15"/>
  <c r="G2264" i="15"/>
  <c r="H2264" i="15"/>
  <c r="I2264" i="15"/>
  <c r="J2264" i="15"/>
  <c r="K2264" i="15"/>
  <c r="L2264" i="15"/>
  <c r="M2264" i="15"/>
  <c r="N2264" i="15"/>
  <c r="A2265" i="15"/>
  <c r="B2265" i="15"/>
  <c r="C2265" i="15"/>
  <c r="D2265" i="15"/>
  <c r="E2265" i="15"/>
  <c r="F2265" i="15"/>
  <c r="G2265" i="15"/>
  <c r="H2265" i="15"/>
  <c r="I2265" i="15"/>
  <c r="J2265" i="15"/>
  <c r="K2265" i="15"/>
  <c r="L2265" i="15"/>
  <c r="M2265" i="15"/>
  <c r="N2265" i="15"/>
  <c r="A2266" i="15"/>
  <c r="B2266" i="15"/>
  <c r="C2266" i="15"/>
  <c r="D2266" i="15"/>
  <c r="E2266" i="15"/>
  <c r="F2266" i="15"/>
  <c r="G2266" i="15"/>
  <c r="H2266" i="15"/>
  <c r="I2266" i="15"/>
  <c r="J2266" i="15"/>
  <c r="K2266" i="15"/>
  <c r="L2266" i="15"/>
  <c r="M2266" i="15"/>
  <c r="N2266" i="15"/>
  <c r="A2267" i="15"/>
  <c r="B2267" i="15"/>
  <c r="C2267" i="15"/>
  <c r="D2267" i="15"/>
  <c r="E2267" i="15"/>
  <c r="F2267" i="15"/>
  <c r="G2267" i="15"/>
  <c r="H2267" i="15"/>
  <c r="I2267" i="15"/>
  <c r="J2267" i="15"/>
  <c r="K2267" i="15"/>
  <c r="L2267" i="15"/>
  <c r="M2267" i="15"/>
  <c r="N2267" i="15"/>
  <c r="A2268" i="15"/>
  <c r="B2268" i="15"/>
  <c r="C2268" i="15"/>
  <c r="D2268" i="15"/>
  <c r="E2268" i="15"/>
  <c r="F2268" i="15"/>
  <c r="G2268" i="15"/>
  <c r="H2268" i="15"/>
  <c r="I2268" i="15"/>
  <c r="J2268" i="15"/>
  <c r="K2268" i="15"/>
  <c r="L2268" i="15"/>
  <c r="M2268" i="15"/>
  <c r="N2268" i="15"/>
  <c r="A2269" i="15"/>
  <c r="B2269" i="15"/>
  <c r="C2269" i="15"/>
  <c r="D2269" i="15"/>
  <c r="E2269" i="15"/>
  <c r="F2269" i="15"/>
  <c r="G2269" i="15"/>
  <c r="H2269" i="15"/>
  <c r="I2269" i="15"/>
  <c r="J2269" i="15"/>
  <c r="K2269" i="15"/>
  <c r="L2269" i="15"/>
  <c r="M2269" i="15"/>
  <c r="N2269" i="15"/>
  <c r="A2270" i="15"/>
  <c r="B2270" i="15"/>
  <c r="C2270" i="15"/>
  <c r="D2270" i="15"/>
  <c r="E2270" i="15"/>
  <c r="F2270" i="15"/>
  <c r="G2270" i="15"/>
  <c r="H2270" i="15"/>
  <c r="I2270" i="15"/>
  <c r="J2270" i="15"/>
  <c r="K2270" i="15"/>
  <c r="L2270" i="15"/>
  <c r="M2270" i="15"/>
  <c r="N2270" i="15"/>
  <c r="A2271" i="15"/>
  <c r="B2271" i="15"/>
  <c r="C2271" i="15"/>
  <c r="D2271" i="15"/>
  <c r="E2271" i="15"/>
  <c r="F2271" i="15"/>
  <c r="G2271" i="15"/>
  <c r="H2271" i="15"/>
  <c r="I2271" i="15"/>
  <c r="J2271" i="15"/>
  <c r="K2271" i="15"/>
  <c r="L2271" i="15"/>
  <c r="M2271" i="15"/>
  <c r="N2271" i="15"/>
  <c r="A2272" i="15"/>
  <c r="B2272" i="15"/>
  <c r="C2272" i="15"/>
  <c r="D2272" i="15"/>
  <c r="E2272" i="15"/>
  <c r="F2272" i="15"/>
  <c r="G2272" i="15"/>
  <c r="H2272" i="15"/>
  <c r="I2272" i="15"/>
  <c r="J2272" i="15"/>
  <c r="K2272" i="15"/>
  <c r="L2272" i="15"/>
  <c r="M2272" i="15"/>
  <c r="N2272" i="15"/>
  <c r="A2273" i="15"/>
  <c r="B2273" i="15"/>
  <c r="C2273" i="15"/>
  <c r="D2273" i="15"/>
  <c r="E2273" i="15"/>
  <c r="F2273" i="15"/>
  <c r="G2273" i="15"/>
  <c r="H2273" i="15"/>
  <c r="I2273" i="15"/>
  <c r="J2273" i="15"/>
  <c r="K2273" i="15"/>
  <c r="L2273" i="15"/>
  <c r="M2273" i="15"/>
  <c r="N2273" i="15"/>
  <c r="A2274" i="15"/>
  <c r="B2274" i="15"/>
  <c r="C2274" i="15"/>
  <c r="D2274" i="15"/>
  <c r="E2274" i="15"/>
  <c r="F2274" i="15"/>
  <c r="G2274" i="15"/>
  <c r="H2274" i="15"/>
  <c r="I2274" i="15"/>
  <c r="J2274" i="15"/>
  <c r="K2274" i="15"/>
  <c r="L2274" i="15"/>
  <c r="M2274" i="15"/>
  <c r="N2274" i="15"/>
  <c r="A2275" i="15"/>
  <c r="B2275" i="15"/>
  <c r="C2275" i="15"/>
  <c r="D2275" i="15"/>
  <c r="E2275" i="15"/>
  <c r="F2275" i="15"/>
  <c r="G2275" i="15"/>
  <c r="H2275" i="15"/>
  <c r="I2275" i="15"/>
  <c r="J2275" i="15"/>
  <c r="K2275" i="15"/>
  <c r="L2275" i="15"/>
  <c r="M2275" i="15"/>
  <c r="N2275" i="15"/>
  <c r="A2276" i="15"/>
  <c r="B2276" i="15"/>
  <c r="C2276" i="15"/>
  <c r="D2276" i="15"/>
  <c r="E2276" i="15"/>
  <c r="F2276" i="15"/>
  <c r="G2276" i="15"/>
  <c r="H2276" i="15"/>
  <c r="I2276" i="15"/>
  <c r="J2276" i="15"/>
  <c r="K2276" i="15"/>
  <c r="L2276" i="15"/>
  <c r="M2276" i="15"/>
  <c r="N2276" i="15"/>
  <c r="A2277" i="15"/>
  <c r="B2277" i="15"/>
  <c r="C2277" i="15"/>
  <c r="D2277" i="15"/>
  <c r="E2277" i="15"/>
  <c r="F2277" i="15"/>
  <c r="G2277" i="15"/>
  <c r="H2277" i="15"/>
  <c r="I2277" i="15"/>
  <c r="J2277" i="15"/>
  <c r="K2277" i="15"/>
  <c r="L2277" i="15"/>
  <c r="M2277" i="15"/>
  <c r="N2277" i="15"/>
  <c r="A2278" i="15"/>
  <c r="B2278" i="15"/>
  <c r="C2278" i="15"/>
  <c r="D2278" i="15"/>
  <c r="E2278" i="15"/>
  <c r="F2278" i="15"/>
  <c r="G2278" i="15"/>
  <c r="H2278" i="15"/>
  <c r="I2278" i="15"/>
  <c r="J2278" i="15"/>
  <c r="K2278" i="15"/>
  <c r="L2278" i="15"/>
  <c r="M2278" i="15"/>
  <c r="N2278" i="15"/>
  <c r="A2279" i="15"/>
  <c r="B2279" i="15"/>
  <c r="C2279" i="15"/>
  <c r="D2279" i="15"/>
  <c r="E2279" i="15"/>
  <c r="F2279" i="15"/>
  <c r="G2279" i="15"/>
  <c r="H2279" i="15"/>
  <c r="I2279" i="15"/>
  <c r="J2279" i="15"/>
  <c r="K2279" i="15"/>
  <c r="L2279" i="15"/>
  <c r="M2279" i="15"/>
  <c r="N2279" i="15"/>
  <c r="A2280" i="15"/>
  <c r="B2280" i="15"/>
  <c r="C2280" i="15"/>
  <c r="D2280" i="15"/>
  <c r="E2280" i="15"/>
  <c r="F2280" i="15"/>
  <c r="G2280" i="15"/>
  <c r="H2280" i="15"/>
  <c r="I2280" i="15"/>
  <c r="J2280" i="15"/>
  <c r="K2280" i="15"/>
  <c r="L2280" i="15"/>
  <c r="M2280" i="15"/>
  <c r="N2280" i="15"/>
  <c r="A2281" i="15"/>
  <c r="B2281" i="15"/>
  <c r="C2281" i="15"/>
  <c r="D2281" i="15"/>
  <c r="E2281" i="15"/>
  <c r="F2281" i="15"/>
  <c r="G2281" i="15"/>
  <c r="H2281" i="15"/>
  <c r="I2281" i="15"/>
  <c r="J2281" i="15"/>
  <c r="K2281" i="15"/>
  <c r="L2281" i="15"/>
  <c r="M2281" i="15"/>
  <c r="N2281" i="15"/>
  <c r="A2282" i="15"/>
  <c r="B2282" i="15"/>
  <c r="C2282" i="15"/>
  <c r="D2282" i="15"/>
  <c r="E2282" i="15"/>
  <c r="F2282" i="15"/>
  <c r="G2282" i="15"/>
  <c r="H2282" i="15"/>
  <c r="I2282" i="15"/>
  <c r="J2282" i="15"/>
  <c r="K2282" i="15"/>
  <c r="L2282" i="15"/>
  <c r="M2282" i="15"/>
  <c r="N2282" i="15"/>
  <c r="A2283" i="15"/>
  <c r="B2283" i="15"/>
  <c r="C2283" i="15"/>
  <c r="D2283" i="15"/>
  <c r="E2283" i="15"/>
  <c r="F2283" i="15"/>
  <c r="G2283" i="15"/>
  <c r="H2283" i="15"/>
  <c r="I2283" i="15"/>
  <c r="J2283" i="15"/>
  <c r="K2283" i="15"/>
  <c r="L2283" i="15"/>
  <c r="M2283" i="15"/>
  <c r="N2283" i="15"/>
  <c r="A2284" i="15"/>
  <c r="B2284" i="15"/>
  <c r="C2284" i="15"/>
  <c r="D2284" i="15"/>
  <c r="E2284" i="15"/>
  <c r="F2284" i="15"/>
  <c r="G2284" i="15"/>
  <c r="H2284" i="15"/>
  <c r="I2284" i="15"/>
  <c r="J2284" i="15"/>
  <c r="K2284" i="15"/>
  <c r="L2284" i="15"/>
  <c r="M2284" i="15"/>
  <c r="N2284" i="15"/>
  <c r="A2285" i="15"/>
  <c r="B2285" i="15"/>
  <c r="C2285" i="15"/>
  <c r="D2285" i="15"/>
  <c r="E2285" i="15"/>
  <c r="F2285" i="15"/>
  <c r="G2285" i="15"/>
  <c r="H2285" i="15"/>
  <c r="I2285" i="15"/>
  <c r="J2285" i="15"/>
  <c r="K2285" i="15"/>
  <c r="L2285" i="15"/>
  <c r="M2285" i="15"/>
  <c r="N2285" i="15"/>
  <c r="A2286" i="15"/>
  <c r="B2286" i="15"/>
  <c r="C2286" i="15"/>
  <c r="D2286" i="15"/>
  <c r="E2286" i="15"/>
  <c r="F2286" i="15"/>
  <c r="G2286" i="15"/>
  <c r="H2286" i="15"/>
  <c r="I2286" i="15"/>
  <c r="J2286" i="15"/>
  <c r="K2286" i="15"/>
  <c r="L2286" i="15"/>
  <c r="M2286" i="15"/>
  <c r="N2286" i="15"/>
  <c r="A2287" i="15"/>
  <c r="B2287" i="15"/>
  <c r="C2287" i="15"/>
  <c r="D2287" i="15"/>
  <c r="E2287" i="15"/>
  <c r="F2287" i="15"/>
  <c r="G2287" i="15"/>
  <c r="H2287" i="15"/>
  <c r="I2287" i="15"/>
  <c r="J2287" i="15"/>
  <c r="K2287" i="15"/>
  <c r="L2287" i="15"/>
  <c r="M2287" i="15"/>
  <c r="N2287" i="15"/>
  <c r="A2288" i="15"/>
  <c r="B2288" i="15"/>
  <c r="C2288" i="15"/>
  <c r="D2288" i="15"/>
  <c r="E2288" i="15"/>
  <c r="F2288" i="15"/>
  <c r="G2288" i="15"/>
  <c r="H2288" i="15"/>
  <c r="I2288" i="15"/>
  <c r="J2288" i="15"/>
  <c r="K2288" i="15"/>
  <c r="L2288" i="15"/>
  <c r="M2288" i="15"/>
  <c r="N2288" i="15"/>
  <c r="A2289" i="15"/>
  <c r="B2289" i="15"/>
  <c r="C2289" i="15"/>
  <c r="D2289" i="15"/>
  <c r="E2289" i="15"/>
  <c r="F2289" i="15"/>
  <c r="G2289" i="15"/>
  <c r="H2289" i="15"/>
  <c r="I2289" i="15"/>
  <c r="J2289" i="15"/>
  <c r="K2289" i="15"/>
  <c r="L2289" i="15"/>
  <c r="M2289" i="15"/>
  <c r="N2289" i="15"/>
  <c r="A2290" i="15"/>
  <c r="B2290" i="15"/>
  <c r="C2290" i="15"/>
  <c r="D2290" i="15"/>
  <c r="E2290" i="15"/>
  <c r="F2290" i="15"/>
  <c r="G2290" i="15"/>
  <c r="H2290" i="15"/>
  <c r="I2290" i="15"/>
  <c r="J2290" i="15"/>
  <c r="K2290" i="15"/>
  <c r="L2290" i="15"/>
  <c r="M2290" i="15"/>
  <c r="N2290" i="15"/>
  <c r="A2291" i="15"/>
  <c r="B2291" i="15"/>
  <c r="C2291" i="15"/>
  <c r="D2291" i="15"/>
  <c r="E2291" i="15"/>
  <c r="F2291" i="15"/>
  <c r="G2291" i="15"/>
  <c r="H2291" i="15"/>
  <c r="I2291" i="15"/>
  <c r="J2291" i="15"/>
  <c r="K2291" i="15"/>
  <c r="L2291" i="15"/>
  <c r="M2291" i="15"/>
  <c r="N2291" i="15"/>
  <c r="A2292" i="15"/>
  <c r="B2292" i="15"/>
  <c r="C2292" i="15"/>
  <c r="D2292" i="15"/>
  <c r="E2292" i="15"/>
  <c r="F2292" i="15"/>
  <c r="G2292" i="15"/>
  <c r="H2292" i="15"/>
  <c r="I2292" i="15"/>
  <c r="J2292" i="15"/>
  <c r="K2292" i="15"/>
  <c r="L2292" i="15"/>
  <c r="M2292" i="15"/>
  <c r="N2292" i="15"/>
  <c r="A2293" i="15"/>
  <c r="B2293" i="15"/>
  <c r="C2293" i="15"/>
  <c r="D2293" i="15"/>
  <c r="E2293" i="15"/>
  <c r="F2293" i="15"/>
  <c r="G2293" i="15"/>
  <c r="H2293" i="15"/>
  <c r="I2293" i="15"/>
  <c r="J2293" i="15"/>
  <c r="K2293" i="15"/>
  <c r="L2293" i="15"/>
  <c r="M2293" i="15"/>
  <c r="N2293" i="15"/>
  <c r="A2294" i="15"/>
  <c r="B2294" i="15"/>
  <c r="C2294" i="15"/>
  <c r="D2294" i="15"/>
  <c r="E2294" i="15"/>
  <c r="F2294" i="15"/>
  <c r="G2294" i="15"/>
  <c r="H2294" i="15"/>
  <c r="I2294" i="15"/>
  <c r="J2294" i="15"/>
  <c r="K2294" i="15"/>
  <c r="L2294" i="15"/>
  <c r="M2294" i="15"/>
  <c r="N2294" i="15"/>
  <c r="A2295" i="15"/>
  <c r="B2295" i="15"/>
  <c r="C2295" i="15"/>
  <c r="D2295" i="15"/>
  <c r="E2295" i="15"/>
  <c r="F2295" i="15"/>
  <c r="G2295" i="15"/>
  <c r="H2295" i="15"/>
  <c r="I2295" i="15"/>
  <c r="J2295" i="15"/>
  <c r="K2295" i="15"/>
  <c r="L2295" i="15"/>
  <c r="M2295" i="15"/>
  <c r="N2295" i="15"/>
  <c r="A2296" i="15"/>
  <c r="B2296" i="15"/>
  <c r="C2296" i="15"/>
  <c r="D2296" i="15"/>
  <c r="E2296" i="15"/>
  <c r="F2296" i="15"/>
  <c r="G2296" i="15"/>
  <c r="H2296" i="15"/>
  <c r="I2296" i="15"/>
  <c r="J2296" i="15"/>
  <c r="K2296" i="15"/>
  <c r="L2296" i="15"/>
  <c r="M2296" i="15"/>
  <c r="N2296" i="15"/>
  <c r="A2297" i="15"/>
  <c r="B2297" i="15"/>
  <c r="C2297" i="15"/>
  <c r="D2297" i="15"/>
  <c r="E2297" i="15"/>
  <c r="F2297" i="15"/>
  <c r="G2297" i="15"/>
  <c r="H2297" i="15"/>
  <c r="I2297" i="15"/>
  <c r="J2297" i="15"/>
  <c r="K2297" i="15"/>
  <c r="L2297" i="15"/>
  <c r="M2297" i="15"/>
  <c r="N2297" i="15"/>
  <c r="A2298" i="15"/>
  <c r="B2298" i="15"/>
  <c r="C2298" i="15"/>
  <c r="D2298" i="15"/>
  <c r="E2298" i="15"/>
  <c r="F2298" i="15"/>
  <c r="G2298" i="15"/>
  <c r="H2298" i="15"/>
  <c r="I2298" i="15"/>
  <c r="J2298" i="15"/>
  <c r="K2298" i="15"/>
  <c r="L2298" i="15"/>
  <c r="M2298" i="15"/>
  <c r="N2298" i="15"/>
  <c r="A2299" i="15"/>
  <c r="B2299" i="15"/>
  <c r="C2299" i="15"/>
  <c r="D2299" i="15"/>
  <c r="E2299" i="15"/>
  <c r="F2299" i="15"/>
  <c r="G2299" i="15"/>
  <c r="H2299" i="15"/>
  <c r="I2299" i="15"/>
  <c r="J2299" i="15"/>
  <c r="K2299" i="15"/>
  <c r="L2299" i="15"/>
  <c r="M2299" i="15"/>
  <c r="N2299" i="15"/>
  <c r="A2300" i="15"/>
  <c r="B2300" i="15"/>
  <c r="C2300" i="15"/>
  <c r="D2300" i="15"/>
  <c r="E2300" i="15"/>
  <c r="F2300" i="15"/>
  <c r="G2300" i="15"/>
  <c r="H2300" i="15"/>
  <c r="I2300" i="15"/>
  <c r="J2300" i="15"/>
  <c r="K2300" i="15"/>
  <c r="L2300" i="15"/>
  <c r="M2300" i="15"/>
  <c r="N2300" i="15"/>
  <c r="A2301" i="15"/>
  <c r="B2301" i="15"/>
  <c r="C2301" i="15"/>
  <c r="D2301" i="15"/>
  <c r="E2301" i="15"/>
  <c r="F2301" i="15"/>
  <c r="G2301" i="15"/>
  <c r="H2301" i="15"/>
  <c r="I2301" i="15"/>
  <c r="J2301" i="15"/>
  <c r="K2301" i="15"/>
  <c r="L2301" i="15"/>
  <c r="M2301" i="15"/>
  <c r="N2301" i="15"/>
  <c r="A2302" i="15"/>
  <c r="B2302" i="15"/>
  <c r="C2302" i="15"/>
  <c r="D2302" i="15"/>
  <c r="E2302" i="15"/>
  <c r="F2302" i="15"/>
  <c r="G2302" i="15"/>
  <c r="H2302" i="15"/>
  <c r="I2302" i="15"/>
  <c r="J2302" i="15"/>
  <c r="K2302" i="15"/>
  <c r="L2302" i="15"/>
  <c r="M2302" i="15"/>
  <c r="N2302" i="15"/>
  <c r="A2303" i="15"/>
  <c r="B2303" i="15"/>
  <c r="C2303" i="15"/>
  <c r="D2303" i="15"/>
  <c r="E2303" i="15"/>
  <c r="F2303" i="15"/>
  <c r="G2303" i="15"/>
  <c r="H2303" i="15"/>
  <c r="I2303" i="15"/>
  <c r="J2303" i="15"/>
  <c r="K2303" i="15"/>
  <c r="L2303" i="15"/>
  <c r="M2303" i="15"/>
  <c r="N2303" i="15"/>
  <c r="A2304" i="15"/>
  <c r="B2304" i="15"/>
  <c r="C2304" i="15"/>
  <c r="D2304" i="15"/>
  <c r="E2304" i="15"/>
  <c r="F2304" i="15"/>
  <c r="G2304" i="15"/>
  <c r="H2304" i="15"/>
  <c r="I2304" i="15"/>
  <c r="J2304" i="15"/>
  <c r="K2304" i="15"/>
  <c r="L2304" i="15"/>
  <c r="M2304" i="15"/>
  <c r="N2304" i="15"/>
  <c r="A2305" i="15"/>
  <c r="B2305" i="15"/>
  <c r="C2305" i="15"/>
  <c r="D2305" i="15"/>
  <c r="E2305" i="15"/>
  <c r="F2305" i="15"/>
  <c r="G2305" i="15"/>
  <c r="H2305" i="15"/>
  <c r="I2305" i="15"/>
  <c r="J2305" i="15"/>
  <c r="K2305" i="15"/>
  <c r="L2305" i="15"/>
  <c r="M2305" i="15"/>
  <c r="N2305" i="15"/>
  <c r="A2306" i="15"/>
  <c r="B2306" i="15"/>
  <c r="C2306" i="15"/>
  <c r="D2306" i="15"/>
  <c r="E2306" i="15"/>
  <c r="F2306" i="15"/>
  <c r="G2306" i="15"/>
  <c r="H2306" i="15"/>
  <c r="I2306" i="15"/>
  <c r="J2306" i="15"/>
  <c r="K2306" i="15"/>
  <c r="L2306" i="15"/>
  <c r="M2306" i="15"/>
  <c r="N2306" i="15"/>
  <c r="A2307" i="15"/>
  <c r="B2307" i="15"/>
  <c r="C2307" i="15"/>
  <c r="D2307" i="15"/>
  <c r="E2307" i="15"/>
  <c r="F2307" i="15"/>
  <c r="G2307" i="15"/>
  <c r="H2307" i="15"/>
  <c r="I2307" i="15"/>
  <c r="J2307" i="15"/>
  <c r="K2307" i="15"/>
  <c r="L2307" i="15"/>
  <c r="M2307" i="15"/>
  <c r="N2307" i="15"/>
  <c r="A2308" i="15"/>
  <c r="B2308" i="15"/>
  <c r="C2308" i="15"/>
  <c r="D2308" i="15"/>
  <c r="E2308" i="15"/>
  <c r="F2308" i="15"/>
  <c r="G2308" i="15"/>
  <c r="H2308" i="15"/>
  <c r="I2308" i="15"/>
  <c r="J2308" i="15"/>
  <c r="K2308" i="15"/>
  <c r="L2308" i="15"/>
  <c r="M2308" i="15"/>
  <c r="N2308" i="15"/>
  <c r="A2309" i="15"/>
  <c r="B2309" i="15"/>
  <c r="C2309" i="15"/>
  <c r="D2309" i="15"/>
  <c r="E2309" i="15"/>
  <c r="F2309" i="15"/>
  <c r="G2309" i="15"/>
  <c r="H2309" i="15"/>
  <c r="I2309" i="15"/>
  <c r="J2309" i="15"/>
  <c r="K2309" i="15"/>
  <c r="L2309" i="15"/>
  <c r="M2309" i="15"/>
  <c r="N2309" i="15"/>
  <c r="A2310" i="15"/>
  <c r="B2310" i="15"/>
  <c r="C2310" i="15"/>
  <c r="D2310" i="15"/>
  <c r="E2310" i="15"/>
  <c r="F2310" i="15"/>
  <c r="G2310" i="15"/>
  <c r="H2310" i="15"/>
  <c r="I2310" i="15"/>
  <c r="J2310" i="15"/>
  <c r="K2310" i="15"/>
  <c r="L2310" i="15"/>
  <c r="M2310" i="15"/>
  <c r="N2310" i="15"/>
  <c r="A2311" i="15"/>
  <c r="B2311" i="15"/>
  <c r="C2311" i="15"/>
  <c r="D2311" i="15"/>
  <c r="E2311" i="15"/>
  <c r="F2311" i="15"/>
  <c r="G2311" i="15"/>
  <c r="H2311" i="15"/>
  <c r="I2311" i="15"/>
  <c r="J2311" i="15"/>
  <c r="K2311" i="15"/>
  <c r="L2311" i="15"/>
  <c r="M2311" i="15"/>
  <c r="N2311" i="15"/>
  <c r="A2312" i="15"/>
  <c r="B2312" i="15"/>
  <c r="C2312" i="15"/>
  <c r="D2312" i="15"/>
  <c r="E2312" i="15"/>
  <c r="F2312" i="15"/>
  <c r="G2312" i="15"/>
  <c r="H2312" i="15"/>
  <c r="I2312" i="15"/>
  <c r="J2312" i="15"/>
  <c r="K2312" i="15"/>
  <c r="L2312" i="15"/>
  <c r="M2312" i="15"/>
  <c r="N2312" i="15"/>
  <c r="A2313" i="15"/>
  <c r="B2313" i="15"/>
  <c r="C2313" i="15"/>
  <c r="D2313" i="15"/>
  <c r="E2313" i="15"/>
  <c r="F2313" i="15"/>
  <c r="G2313" i="15"/>
  <c r="H2313" i="15"/>
  <c r="I2313" i="15"/>
  <c r="J2313" i="15"/>
  <c r="K2313" i="15"/>
  <c r="L2313" i="15"/>
  <c r="M2313" i="15"/>
  <c r="N2313" i="15"/>
  <c r="A2314" i="15"/>
  <c r="B2314" i="15"/>
  <c r="C2314" i="15"/>
  <c r="D2314" i="15"/>
  <c r="E2314" i="15"/>
  <c r="F2314" i="15"/>
  <c r="G2314" i="15"/>
  <c r="H2314" i="15"/>
  <c r="I2314" i="15"/>
  <c r="J2314" i="15"/>
  <c r="K2314" i="15"/>
  <c r="L2314" i="15"/>
  <c r="M2314" i="15"/>
  <c r="N2314" i="15"/>
  <c r="A2315" i="15"/>
  <c r="B2315" i="15"/>
  <c r="C2315" i="15"/>
  <c r="D2315" i="15"/>
  <c r="E2315" i="15"/>
  <c r="F2315" i="15"/>
  <c r="G2315" i="15"/>
  <c r="H2315" i="15"/>
  <c r="I2315" i="15"/>
  <c r="J2315" i="15"/>
  <c r="K2315" i="15"/>
  <c r="L2315" i="15"/>
  <c r="M2315" i="15"/>
  <c r="N2315" i="15"/>
  <c r="A2316" i="15"/>
  <c r="B2316" i="15"/>
  <c r="C2316" i="15"/>
  <c r="D2316" i="15"/>
  <c r="E2316" i="15"/>
  <c r="F2316" i="15"/>
  <c r="G2316" i="15"/>
  <c r="H2316" i="15"/>
  <c r="I2316" i="15"/>
  <c r="J2316" i="15"/>
  <c r="K2316" i="15"/>
  <c r="L2316" i="15"/>
  <c r="M2316" i="15"/>
  <c r="N2316" i="15"/>
  <c r="A2317" i="15"/>
  <c r="B2317" i="15"/>
  <c r="C2317" i="15"/>
  <c r="D2317" i="15"/>
  <c r="E2317" i="15"/>
  <c r="F2317" i="15"/>
  <c r="G2317" i="15"/>
  <c r="H2317" i="15"/>
  <c r="I2317" i="15"/>
  <c r="J2317" i="15"/>
  <c r="K2317" i="15"/>
  <c r="L2317" i="15"/>
  <c r="M2317" i="15"/>
  <c r="N2317" i="15"/>
  <c r="A2318" i="15"/>
  <c r="B2318" i="15"/>
  <c r="C2318" i="15"/>
  <c r="D2318" i="15"/>
  <c r="E2318" i="15"/>
  <c r="F2318" i="15"/>
  <c r="G2318" i="15"/>
  <c r="H2318" i="15"/>
  <c r="I2318" i="15"/>
  <c r="J2318" i="15"/>
  <c r="K2318" i="15"/>
  <c r="L2318" i="15"/>
  <c r="M2318" i="15"/>
  <c r="N2318" i="15"/>
  <c r="A2319" i="15"/>
  <c r="B2319" i="15"/>
  <c r="C2319" i="15"/>
  <c r="D2319" i="15"/>
  <c r="E2319" i="15"/>
  <c r="F2319" i="15"/>
  <c r="G2319" i="15"/>
  <c r="H2319" i="15"/>
  <c r="I2319" i="15"/>
  <c r="J2319" i="15"/>
  <c r="K2319" i="15"/>
  <c r="L2319" i="15"/>
  <c r="M2319" i="15"/>
  <c r="N2319" i="15"/>
  <c r="A2320" i="15"/>
  <c r="B2320" i="15"/>
  <c r="C2320" i="15"/>
  <c r="D2320" i="15"/>
  <c r="E2320" i="15"/>
  <c r="F2320" i="15"/>
  <c r="G2320" i="15"/>
  <c r="H2320" i="15"/>
  <c r="I2320" i="15"/>
  <c r="J2320" i="15"/>
  <c r="K2320" i="15"/>
  <c r="L2320" i="15"/>
  <c r="M2320" i="15"/>
  <c r="N2320" i="15"/>
  <c r="A2321" i="15"/>
  <c r="B2321" i="15"/>
  <c r="C2321" i="15"/>
  <c r="D2321" i="15"/>
  <c r="E2321" i="15"/>
  <c r="F2321" i="15"/>
  <c r="G2321" i="15"/>
  <c r="H2321" i="15"/>
  <c r="I2321" i="15"/>
  <c r="J2321" i="15"/>
  <c r="K2321" i="15"/>
  <c r="L2321" i="15"/>
  <c r="M2321" i="15"/>
  <c r="N2321" i="15"/>
  <c r="A2322" i="15"/>
  <c r="B2322" i="15"/>
  <c r="C2322" i="15"/>
  <c r="D2322" i="15"/>
  <c r="E2322" i="15"/>
  <c r="F2322" i="15"/>
  <c r="G2322" i="15"/>
  <c r="H2322" i="15"/>
  <c r="I2322" i="15"/>
  <c r="J2322" i="15"/>
  <c r="K2322" i="15"/>
  <c r="L2322" i="15"/>
  <c r="M2322" i="15"/>
  <c r="N2322" i="15"/>
  <c r="A2323" i="15"/>
  <c r="B2323" i="15"/>
  <c r="C2323" i="15"/>
  <c r="D2323" i="15"/>
  <c r="E2323" i="15"/>
  <c r="F2323" i="15"/>
  <c r="G2323" i="15"/>
  <c r="H2323" i="15"/>
  <c r="I2323" i="15"/>
  <c r="J2323" i="15"/>
  <c r="K2323" i="15"/>
  <c r="L2323" i="15"/>
  <c r="M2323" i="15"/>
  <c r="N2323" i="15"/>
  <c r="A2324" i="15"/>
  <c r="B2324" i="15"/>
  <c r="C2324" i="15"/>
  <c r="D2324" i="15"/>
  <c r="E2324" i="15"/>
  <c r="F2324" i="15"/>
  <c r="G2324" i="15"/>
  <c r="H2324" i="15"/>
  <c r="I2324" i="15"/>
  <c r="J2324" i="15"/>
  <c r="K2324" i="15"/>
  <c r="L2324" i="15"/>
  <c r="M2324" i="15"/>
  <c r="N2324" i="15"/>
  <c r="A2325" i="15"/>
  <c r="B2325" i="15"/>
  <c r="C2325" i="15"/>
  <c r="D2325" i="15"/>
  <c r="E2325" i="15"/>
  <c r="F2325" i="15"/>
  <c r="G2325" i="15"/>
  <c r="H2325" i="15"/>
  <c r="I2325" i="15"/>
  <c r="J2325" i="15"/>
  <c r="K2325" i="15"/>
  <c r="L2325" i="15"/>
  <c r="M2325" i="15"/>
  <c r="N2325" i="15"/>
  <c r="A2326" i="15"/>
  <c r="B2326" i="15"/>
  <c r="C2326" i="15"/>
  <c r="D2326" i="15"/>
  <c r="E2326" i="15"/>
  <c r="F2326" i="15"/>
  <c r="G2326" i="15"/>
  <c r="H2326" i="15"/>
  <c r="I2326" i="15"/>
  <c r="J2326" i="15"/>
  <c r="K2326" i="15"/>
  <c r="L2326" i="15"/>
  <c r="M2326" i="15"/>
  <c r="N2326" i="15"/>
  <c r="A2327" i="15"/>
  <c r="B2327" i="15"/>
  <c r="C2327" i="15"/>
  <c r="D2327" i="15"/>
  <c r="E2327" i="15"/>
  <c r="F2327" i="15"/>
  <c r="G2327" i="15"/>
  <c r="H2327" i="15"/>
  <c r="I2327" i="15"/>
  <c r="J2327" i="15"/>
  <c r="K2327" i="15"/>
  <c r="L2327" i="15"/>
  <c r="M2327" i="15"/>
  <c r="N2327" i="15"/>
  <c r="A2328" i="15"/>
  <c r="B2328" i="15"/>
  <c r="C2328" i="15"/>
  <c r="D2328" i="15"/>
  <c r="E2328" i="15"/>
  <c r="F2328" i="15"/>
  <c r="G2328" i="15"/>
  <c r="H2328" i="15"/>
  <c r="I2328" i="15"/>
  <c r="J2328" i="15"/>
  <c r="K2328" i="15"/>
  <c r="L2328" i="15"/>
  <c r="M2328" i="15"/>
  <c r="N2328" i="15"/>
  <c r="A2329" i="15"/>
  <c r="B2329" i="15"/>
  <c r="C2329" i="15"/>
  <c r="D2329" i="15"/>
  <c r="E2329" i="15"/>
  <c r="F2329" i="15"/>
  <c r="G2329" i="15"/>
  <c r="H2329" i="15"/>
  <c r="I2329" i="15"/>
  <c r="J2329" i="15"/>
  <c r="K2329" i="15"/>
  <c r="L2329" i="15"/>
  <c r="M2329" i="15"/>
  <c r="N2329" i="15"/>
  <c r="A2330" i="15"/>
  <c r="B2330" i="15"/>
  <c r="C2330" i="15"/>
  <c r="D2330" i="15"/>
  <c r="E2330" i="15"/>
  <c r="F2330" i="15"/>
  <c r="G2330" i="15"/>
  <c r="H2330" i="15"/>
  <c r="I2330" i="15"/>
  <c r="J2330" i="15"/>
  <c r="K2330" i="15"/>
  <c r="L2330" i="15"/>
  <c r="M2330" i="15"/>
  <c r="N2330" i="15"/>
  <c r="A2331" i="15"/>
  <c r="B2331" i="15"/>
  <c r="C2331" i="15"/>
  <c r="D2331" i="15"/>
  <c r="E2331" i="15"/>
  <c r="F2331" i="15"/>
  <c r="G2331" i="15"/>
  <c r="H2331" i="15"/>
  <c r="I2331" i="15"/>
  <c r="J2331" i="15"/>
  <c r="K2331" i="15"/>
  <c r="L2331" i="15"/>
  <c r="M2331" i="15"/>
  <c r="N2331" i="15"/>
  <c r="A2332" i="15"/>
  <c r="B2332" i="15"/>
  <c r="C2332" i="15"/>
  <c r="D2332" i="15"/>
  <c r="E2332" i="15"/>
  <c r="F2332" i="15"/>
  <c r="G2332" i="15"/>
  <c r="H2332" i="15"/>
  <c r="I2332" i="15"/>
  <c r="J2332" i="15"/>
  <c r="K2332" i="15"/>
  <c r="L2332" i="15"/>
  <c r="M2332" i="15"/>
  <c r="N2332" i="15"/>
  <c r="A2333" i="15"/>
  <c r="B2333" i="15"/>
  <c r="C2333" i="15"/>
  <c r="D2333" i="15"/>
  <c r="E2333" i="15"/>
  <c r="F2333" i="15"/>
  <c r="G2333" i="15"/>
  <c r="H2333" i="15"/>
  <c r="I2333" i="15"/>
  <c r="J2333" i="15"/>
  <c r="K2333" i="15"/>
  <c r="L2333" i="15"/>
  <c r="M2333" i="15"/>
  <c r="N2333" i="15"/>
  <c r="A2334" i="15"/>
  <c r="B2334" i="15"/>
  <c r="C2334" i="15"/>
  <c r="D2334" i="15"/>
  <c r="E2334" i="15"/>
  <c r="F2334" i="15"/>
  <c r="G2334" i="15"/>
  <c r="H2334" i="15"/>
  <c r="I2334" i="15"/>
  <c r="J2334" i="15"/>
  <c r="K2334" i="15"/>
  <c r="L2334" i="15"/>
  <c r="M2334" i="15"/>
  <c r="N2334" i="15"/>
  <c r="A2335" i="15"/>
  <c r="B2335" i="15"/>
  <c r="C2335" i="15"/>
  <c r="D2335" i="15"/>
  <c r="E2335" i="15"/>
  <c r="F2335" i="15"/>
  <c r="G2335" i="15"/>
  <c r="H2335" i="15"/>
  <c r="I2335" i="15"/>
  <c r="J2335" i="15"/>
  <c r="K2335" i="15"/>
  <c r="L2335" i="15"/>
  <c r="M2335" i="15"/>
  <c r="N2335" i="15"/>
  <c r="A2336" i="15"/>
  <c r="B2336" i="15"/>
  <c r="C2336" i="15"/>
  <c r="D2336" i="15"/>
  <c r="E2336" i="15"/>
  <c r="F2336" i="15"/>
  <c r="G2336" i="15"/>
  <c r="H2336" i="15"/>
  <c r="I2336" i="15"/>
  <c r="J2336" i="15"/>
  <c r="K2336" i="15"/>
  <c r="L2336" i="15"/>
  <c r="M2336" i="15"/>
  <c r="N2336" i="15"/>
  <c r="A2337" i="15"/>
  <c r="B2337" i="15"/>
  <c r="C2337" i="15"/>
  <c r="D2337" i="15"/>
  <c r="E2337" i="15"/>
  <c r="F2337" i="15"/>
  <c r="G2337" i="15"/>
  <c r="H2337" i="15"/>
  <c r="I2337" i="15"/>
  <c r="J2337" i="15"/>
  <c r="K2337" i="15"/>
  <c r="L2337" i="15"/>
  <c r="M2337" i="15"/>
  <c r="N2337" i="15"/>
  <c r="A2338" i="15"/>
  <c r="B2338" i="15"/>
  <c r="C2338" i="15"/>
  <c r="D2338" i="15"/>
  <c r="E2338" i="15"/>
  <c r="F2338" i="15"/>
  <c r="G2338" i="15"/>
  <c r="H2338" i="15"/>
  <c r="I2338" i="15"/>
  <c r="J2338" i="15"/>
  <c r="K2338" i="15"/>
  <c r="L2338" i="15"/>
  <c r="M2338" i="15"/>
  <c r="N2338" i="15"/>
  <c r="A2339" i="15"/>
  <c r="B2339" i="15"/>
  <c r="C2339" i="15"/>
  <c r="D2339" i="15"/>
  <c r="E2339" i="15"/>
  <c r="F2339" i="15"/>
  <c r="G2339" i="15"/>
  <c r="H2339" i="15"/>
  <c r="I2339" i="15"/>
  <c r="J2339" i="15"/>
  <c r="K2339" i="15"/>
  <c r="L2339" i="15"/>
  <c r="M2339" i="15"/>
  <c r="N2339" i="15"/>
  <c r="A2340" i="15"/>
  <c r="B2340" i="15"/>
  <c r="C2340" i="15"/>
  <c r="D2340" i="15"/>
  <c r="E2340" i="15"/>
  <c r="F2340" i="15"/>
  <c r="G2340" i="15"/>
  <c r="H2340" i="15"/>
  <c r="I2340" i="15"/>
  <c r="J2340" i="15"/>
  <c r="K2340" i="15"/>
  <c r="L2340" i="15"/>
  <c r="M2340" i="15"/>
  <c r="N2340" i="15"/>
  <c r="A2341" i="15"/>
  <c r="B2341" i="15"/>
  <c r="C2341" i="15"/>
  <c r="D2341" i="15"/>
  <c r="E2341" i="15"/>
  <c r="F2341" i="15"/>
  <c r="G2341" i="15"/>
  <c r="H2341" i="15"/>
  <c r="I2341" i="15"/>
  <c r="J2341" i="15"/>
  <c r="K2341" i="15"/>
  <c r="L2341" i="15"/>
  <c r="M2341" i="15"/>
  <c r="N2341" i="15"/>
  <c r="A2342" i="15"/>
  <c r="B2342" i="15"/>
  <c r="C2342" i="15"/>
  <c r="D2342" i="15"/>
  <c r="E2342" i="15"/>
  <c r="F2342" i="15"/>
  <c r="G2342" i="15"/>
  <c r="H2342" i="15"/>
  <c r="I2342" i="15"/>
  <c r="J2342" i="15"/>
  <c r="K2342" i="15"/>
  <c r="L2342" i="15"/>
  <c r="M2342" i="15"/>
  <c r="N2342" i="15"/>
  <c r="A2343" i="15"/>
  <c r="B2343" i="15"/>
  <c r="C2343" i="15"/>
  <c r="D2343" i="15"/>
  <c r="E2343" i="15"/>
  <c r="F2343" i="15"/>
  <c r="G2343" i="15"/>
  <c r="H2343" i="15"/>
  <c r="I2343" i="15"/>
  <c r="J2343" i="15"/>
  <c r="K2343" i="15"/>
  <c r="L2343" i="15"/>
  <c r="M2343" i="15"/>
  <c r="N2343" i="15"/>
  <c r="A2344" i="15"/>
  <c r="B2344" i="15"/>
  <c r="C2344" i="15"/>
  <c r="D2344" i="15"/>
  <c r="E2344" i="15"/>
  <c r="F2344" i="15"/>
  <c r="G2344" i="15"/>
  <c r="H2344" i="15"/>
  <c r="I2344" i="15"/>
  <c r="J2344" i="15"/>
  <c r="K2344" i="15"/>
  <c r="L2344" i="15"/>
  <c r="M2344" i="15"/>
  <c r="N2344" i="15"/>
  <c r="A2345" i="15"/>
  <c r="B2345" i="15"/>
  <c r="C2345" i="15"/>
  <c r="D2345" i="15"/>
  <c r="E2345" i="15"/>
  <c r="F2345" i="15"/>
  <c r="G2345" i="15"/>
  <c r="H2345" i="15"/>
  <c r="I2345" i="15"/>
  <c r="J2345" i="15"/>
  <c r="K2345" i="15"/>
  <c r="L2345" i="15"/>
  <c r="M2345" i="15"/>
  <c r="N2345" i="15"/>
  <c r="A2346" i="15"/>
  <c r="B2346" i="15"/>
  <c r="C2346" i="15"/>
  <c r="D2346" i="15"/>
  <c r="E2346" i="15"/>
  <c r="F2346" i="15"/>
  <c r="G2346" i="15"/>
  <c r="H2346" i="15"/>
  <c r="I2346" i="15"/>
  <c r="J2346" i="15"/>
  <c r="K2346" i="15"/>
  <c r="L2346" i="15"/>
  <c r="M2346" i="15"/>
  <c r="N2346" i="15"/>
  <c r="A2347" i="15"/>
  <c r="B2347" i="15"/>
  <c r="C2347" i="15"/>
  <c r="D2347" i="15"/>
  <c r="E2347" i="15"/>
  <c r="F2347" i="15"/>
  <c r="G2347" i="15"/>
  <c r="H2347" i="15"/>
  <c r="I2347" i="15"/>
  <c r="J2347" i="15"/>
  <c r="K2347" i="15"/>
  <c r="L2347" i="15"/>
  <c r="M2347" i="15"/>
  <c r="N2347" i="15"/>
  <c r="A2348" i="15"/>
  <c r="B2348" i="15"/>
  <c r="C2348" i="15"/>
  <c r="D2348" i="15"/>
  <c r="E2348" i="15"/>
  <c r="F2348" i="15"/>
  <c r="G2348" i="15"/>
  <c r="H2348" i="15"/>
  <c r="I2348" i="15"/>
  <c r="J2348" i="15"/>
  <c r="K2348" i="15"/>
  <c r="L2348" i="15"/>
  <c r="M2348" i="15"/>
  <c r="N2348" i="15"/>
  <c r="A2349" i="15"/>
  <c r="B2349" i="15"/>
  <c r="C2349" i="15"/>
  <c r="D2349" i="15"/>
  <c r="E2349" i="15"/>
  <c r="F2349" i="15"/>
  <c r="G2349" i="15"/>
  <c r="H2349" i="15"/>
  <c r="I2349" i="15"/>
  <c r="J2349" i="15"/>
  <c r="K2349" i="15"/>
  <c r="L2349" i="15"/>
  <c r="M2349" i="15"/>
  <c r="N2349" i="15"/>
  <c r="A2350" i="15"/>
  <c r="B2350" i="15"/>
  <c r="C2350" i="15"/>
  <c r="D2350" i="15"/>
  <c r="E2350" i="15"/>
  <c r="F2350" i="15"/>
  <c r="G2350" i="15"/>
  <c r="H2350" i="15"/>
  <c r="I2350" i="15"/>
  <c r="J2350" i="15"/>
  <c r="K2350" i="15"/>
  <c r="L2350" i="15"/>
  <c r="M2350" i="15"/>
  <c r="N2350" i="15"/>
  <c r="A2351" i="15"/>
  <c r="B2351" i="15"/>
  <c r="C2351" i="15"/>
  <c r="D2351" i="15"/>
  <c r="E2351" i="15"/>
  <c r="F2351" i="15"/>
  <c r="G2351" i="15"/>
  <c r="H2351" i="15"/>
  <c r="I2351" i="15"/>
  <c r="J2351" i="15"/>
  <c r="K2351" i="15"/>
  <c r="L2351" i="15"/>
  <c r="M2351" i="15"/>
  <c r="N2351" i="15"/>
  <c r="A2352" i="15"/>
  <c r="B2352" i="15"/>
  <c r="C2352" i="15"/>
  <c r="D2352" i="15"/>
  <c r="E2352" i="15"/>
  <c r="F2352" i="15"/>
  <c r="G2352" i="15"/>
  <c r="H2352" i="15"/>
  <c r="I2352" i="15"/>
  <c r="J2352" i="15"/>
  <c r="K2352" i="15"/>
  <c r="L2352" i="15"/>
  <c r="M2352" i="15"/>
  <c r="N2352" i="15"/>
  <c r="A2353" i="15"/>
  <c r="B2353" i="15"/>
  <c r="C2353" i="15"/>
  <c r="D2353" i="15"/>
  <c r="E2353" i="15"/>
  <c r="F2353" i="15"/>
  <c r="G2353" i="15"/>
  <c r="H2353" i="15"/>
  <c r="I2353" i="15"/>
  <c r="J2353" i="15"/>
  <c r="K2353" i="15"/>
  <c r="L2353" i="15"/>
  <c r="M2353" i="15"/>
  <c r="N2353" i="15"/>
  <c r="A2354" i="15"/>
  <c r="B2354" i="15"/>
  <c r="C2354" i="15"/>
  <c r="D2354" i="15"/>
  <c r="E2354" i="15"/>
  <c r="F2354" i="15"/>
  <c r="G2354" i="15"/>
  <c r="H2354" i="15"/>
  <c r="I2354" i="15"/>
  <c r="J2354" i="15"/>
  <c r="K2354" i="15"/>
  <c r="L2354" i="15"/>
  <c r="M2354" i="15"/>
  <c r="N2354" i="15"/>
  <c r="A2355" i="15"/>
  <c r="B2355" i="15"/>
  <c r="C2355" i="15"/>
  <c r="D2355" i="15"/>
  <c r="E2355" i="15"/>
  <c r="F2355" i="15"/>
  <c r="G2355" i="15"/>
  <c r="H2355" i="15"/>
  <c r="I2355" i="15"/>
  <c r="J2355" i="15"/>
  <c r="K2355" i="15"/>
  <c r="L2355" i="15"/>
  <c r="M2355" i="15"/>
  <c r="N2355" i="15"/>
  <c r="A2356" i="15"/>
  <c r="B2356" i="15"/>
  <c r="C2356" i="15"/>
  <c r="D2356" i="15"/>
  <c r="E2356" i="15"/>
  <c r="F2356" i="15"/>
  <c r="G2356" i="15"/>
  <c r="H2356" i="15"/>
  <c r="I2356" i="15"/>
  <c r="J2356" i="15"/>
  <c r="K2356" i="15"/>
  <c r="L2356" i="15"/>
  <c r="M2356" i="15"/>
  <c r="N2356" i="15"/>
  <c r="A2357" i="15"/>
  <c r="B2357" i="15"/>
  <c r="C2357" i="15"/>
  <c r="D2357" i="15"/>
  <c r="E2357" i="15"/>
  <c r="F2357" i="15"/>
  <c r="G2357" i="15"/>
  <c r="H2357" i="15"/>
  <c r="I2357" i="15"/>
  <c r="J2357" i="15"/>
  <c r="K2357" i="15"/>
  <c r="L2357" i="15"/>
  <c r="M2357" i="15"/>
  <c r="N2357" i="15"/>
  <c r="A2358" i="15"/>
  <c r="B2358" i="15"/>
  <c r="C2358" i="15"/>
  <c r="D2358" i="15"/>
  <c r="E2358" i="15"/>
  <c r="F2358" i="15"/>
  <c r="G2358" i="15"/>
  <c r="H2358" i="15"/>
  <c r="I2358" i="15"/>
  <c r="J2358" i="15"/>
  <c r="K2358" i="15"/>
  <c r="L2358" i="15"/>
  <c r="M2358" i="15"/>
  <c r="N2358" i="15"/>
  <c r="A2359" i="15"/>
  <c r="B2359" i="15"/>
  <c r="C2359" i="15"/>
  <c r="D2359" i="15"/>
  <c r="E2359" i="15"/>
  <c r="F2359" i="15"/>
  <c r="G2359" i="15"/>
  <c r="H2359" i="15"/>
  <c r="I2359" i="15"/>
  <c r="J2359" i="15"/>
  <c r="K2359" i="15"/>
  <c r="L2359" i="15"/>
  <c r="M2359" i="15"/>
  <c r="N2359" i="15"/>
  <c r="A2360" i="15"/>
  <c r="B2360" i="15"/>
  <c r="C2360" i="15"/>
  <c r="D2360" i="15"/>
  <c r="E2360" i="15"/>
  <c r="F2360" i="15"/>
  <c r="G2360" i="15"/>
  <c r="H2360" i="15"/>
  <c r="I2360" i="15"/>
  <c r="J2360" i="15"/>
  <c r="K2360" i="15"/>
  <c r="L2360" i="15"/>
  <c r="M2360" i="15"/>
  <c r="N2360" i="15"/>
  <c r="A2361" i="15"/>
  <c r="B2361" i="15"/>
  <c r="C2361" i="15"/>
  <c r="D2361" i="15"/>
  <c r="E2361" i="15"/>
  <c r="F2361" i="15"/>
  <c r="G2361" i="15"/>
  <c r="H2361" i="15"/>
  <c r="I2361" i="15"/>
  <c r="J2361" i="15"/>
  <c r="K2361" i="15"/>
  <c r="L2361" i="15"/>
  <c r="M2361" i="15"/>
  <c r="N2361" i="15"/>
  <c r="A2362" i="15"/>
  <c r="B2362" i="15"/>
  <c r="C2362" i="15"/>
  <c r="D2362" i="15"/>
  <c r="E2362" i="15"/>
  <c r="F2362" i="15"/>
  <c r="G2362" i="15"/>
  <c r="H2362" i="15"/>
  <c r="I2362" i="15"/>
  <c r="J2362" i="15"/>
  <c r="K2362" i="15"/>
  <c r="L2362" i="15"/>
  <c r="M2362" i="15"/>
  <c r="N2362" i="15"/>
  <c r="A2363" i="15"/>
  <c r="B2363" i="15"/>
  <c r="C2363" i="15"/>
  <c r="D2363" i="15"/>
  <c r="E2363" i="15"/>
  <c r="F2363" i="15"/>
  <c r="G2363" i="15"/>
  <c r="H2363" i="15"/>
  <c r="I2363" i="15"/>
  <c r="J2363" i="15"/>
  <c r="K2363" i="15"/>
  <c r="L2363" i="15"/>
  <c r="M2363" i="15"/>
  <c r="N2363" i="15"/>
  <c r="A2364" i="15"/>
  <c r="B2364" i="15"/>
  <c r="C2364" i="15"/>
  <c r="D2364" i="15"/>
  <c r="E2364" i="15"/>
  <c r="F2364" i="15"/>
  <c r="G2364" i="15"/>
  <c r="H2364" i="15"/>
  <c r="I2364" i="15"/>
  <c r="J2364" i="15"/>
  <c r="K2364" i="15"/>
  <c r="L2364" i="15"/>
  <c r="M2364" i="15"/>
  <c r="N2364" i="15"/>
  <c r="A2365" i="15"/>
  <c r="B2365" i="15"/>
  <c r="C2365" i="15"/>
  <c r="D2365" i="15"/>
  <c r="E2365" i="15"/>
  <c r="F2365" i="15"/>
  <c r="G2365" i="15"/>
  <c r="H2365" i="15"/>
  <c r="I2365" i="15"/>
  <c r="J2365" i="15"/>
  <c r="K2365" i="15"/>
  <c r="L2365" i="15"/>
  <c r="M2365" i="15"/>
  <c r="N2365" i="15"/>
  <c r="A2366" i="15"/>
  <c r="B2366" i="15"/>
  <c r="C2366" i="15"/>
  <c r="D2366" i="15"/>
  <c r="E2366" i="15"/>
  <c r="F2366" i="15"/>
  <c r="G2366" i="15"/>
  <c r="H2366" i="15"/>
  <c r="I2366" i="15"/>
  <c r="J2366" i="15"/>
  <c r="K2366" i="15"/>
  <c r="L2366" i="15"/>
  <c r="M2366" i="15"/>
  <c r="N2366" i="15"/>
  <c r="A2367" i="15"/>
  <c r="B2367" i="15"/>
  <c r="C2367" i="15"/>
  <c r="D2367" i="15"/>
  <c r="E2367" i="15"/>
  <c r="F2367" i="15"/>
  <c r="G2367" i="15"/>
  <c r="H2367" i="15"/>
  <c r="I2367" i="15"/>
  <c r="J2367" i="15"/>
  <c r="K2367" i="15"/>
  <c r="L2367" i="15"/>
  <c r="M2367" i="15"/>
  <c r="N2367" i="15"/>
  <c r="A2368" i="15"/>
  <c r="B2368" i="15"/>
  <c r="C2368" i="15"/>
  <c r="D2368" i="15"/>
  <c r="E2368" i="15"/>
  <c r="F2368" i="15"/>
  <c r="G2368" i="15"/>
  <c r="H2368" i="15"/>
  <c r="I2368" i="15"/>
  <c r="J2368" i="15"/>
  <c r="K2368" i="15"/>
  <c r="L2368" i="15"/>
  <c r="M2368" i="15"/>
  <c r="N2368" i="15"/>
  <c r="A2369" i="15"/>
  <c r="B2369" i="15"/>
  <c r="C2369" i="15"/>
  <c r="D2369" i="15"/>
  <c r="E2369" i="15"/>
  <c r="F2369" i="15"/>
  <c r="G2369" i="15"/>
  <c r="H2369" i="15"/>
  <c r="I2369" i="15"/>
  <c r="J2369" i="15"/>
  <c r="K2369" i="15"/>
  <c r="L2369" i="15"/>
  <c r="M2369" i="15"/>
  <c r="N2369" i="15"/>
  <c r="A2370" i="15"/>
  <c r="B2370" i="15"/>
  <c r="C2370" i="15"/>
  <c r="D2370" i="15"/>
  <c r="E2370" i="15"/>
  <c r="F2370" i="15"/>
  <c r="G2370" i="15"/>
  <c r="H2370" i="15"/>
  <c r="I2370" i="15"/>
  <c r="J2370" i="15"/>
  <c r="K2370" i="15"/>
  <c r="L2370" i="15"/>
  <c r="M2370" i="15"/>
  <c r="N2370" i="15"/>
  <c r="A2371" i="15"/>
  <c r="B2371" i="15"/>
  <c r="C2371" i="15"/>
  <c r="D2371" i="15"/>
  <c r="E2371" i="15"/>
  <c r="F2371" i="15"/>
  <c r="G2371" i="15"/>
  <c r="H2371" i="15"/>
  <c r="I2371" i="15"/>
  <c r="J2371" i="15"/>
  <c r="K2371" i="15"/>
  <c r="L2371" i="15"/>
  <c r="M2371" i="15"/>
  <c r="N2371" i="15"/>
  <c r="A2372" i="15"/>
  <c r="B2372" i="15"/>
  <c r="C2372" i="15"/>
  <c r="D2372" i="15"/>
  <c r="E2372" i="15"/>
  <c r="F2372" i="15"/>
  <c r="G2372" i="15"/>
  <c r="H2372" i="15"/>
  <c r="I2372" i="15"/>
  <c r="J2372" i="15"/>
  <c r="K2372" i="15"/>
  <c r="L2372" i="15"/>
  <c r="M2372" i="15"/>
  <c r="N2372" i="15"/>
  <c r="A2373" i="15"/>
  <c r="B2373" i="15"/>
  <c r="C2373" i="15"/>
  <c r="D2373" i="15"/>
  <c r="E2373" i="15"/>
  <c r="F2373" i="15"/>
  <c r="G2373" i="15"/>
  <c r="H2373" i="15"/>
  <c r="I2373" i="15"/>
  <c r="J2373" i="15"/>
  <c r="K2373" i="15"/>
  <c r="L2373" i="15"/>
  <c r="M2373" i="15"/>
  <c r="N2373" i="15"/>
  <c r="A2374" i="15"/>
  <c r="B2374" i="15"/>
  <c r="C2374" i="15"/>
  <c r="D2374" i="15"/>
  <c r="E2374" i="15"/>
  <c r="F2374" i="15"/>
  <c r="G2374" i="15"/>
  <c r="H2374" i="15"/>
  <c r="I2374" i="15"/>
  <c r="J2374" i="15"/>
  <c r="K2374" i="15"/>
  <c r="L2374" i="15"/>
  <c r="M2374" i="15"/>
  <c r="N2374" i="15"/>
  <c r="A2375" i="15"/>
  <c r="B2375" i="15"/>
  <c r="C2375" i="15"/>
  <c r="D2375" i="15"/>
  <c r="E2375" i="15"/>
  <c r="F2375" i="15"/>
  <c r="G2375" i="15"/>
  <c r="H2375" i="15"/>
  <c r="I2375" i="15"/>
  <c r="J2375" i="15"/>
  <c r="K2375" i="15"/>
  <c r="L2375" i="15"/>
  <c r="M2375" i="15"/>
  <c r="N2375" i="15"/>
  <c r="A2376" i="15"/>
  <c r="B2376" i="15"/>
  <c r="C2376" i="15"/>
  <c r="D2376" i="15"/>
  <c r="E2376" i="15"/>
  <c r="F2376" i="15"/>
  <c r="G2376" i="15"/>
  <c r="H2376" i="15"/>
  <c r="I2376" i="15"/>
  <c r="J2376" i="15"/>
  <c r="K2376" i="15"/>
  <c r="L2376" i="15"/>
  <c r="M2376" i="15"/>
  <c r="N2376" i="15"/>
  <c r="A2377" i="15"/>
  <c r="B2377" i="15"/>
  <c r="C2377" i="15"/>
  <c r="D2377" i="15"/>
  <c r="E2377" i="15"/>
  <c r="F2377" i="15"/>
  <c r="G2377" i="15"/>
  <c r="H2377" i="15"/>
  <c r="I2377" i="15"/>
  <c r="J2377" i="15"/>
  <c r="K2377" i="15"/>
  <c r="L2377" i="15"/>
  <c r="M2377" i="15"/>
  <c r="N2377" i="15"/>
  <c r="A2378" i="15"/>
  <c r="B2378" i="15"/>
  <c r="C2378" i="15"/>
  <c r="D2378" i="15"/>
  <c r="E2378" i="15"/>
  <c r="F2378" i="15"/>
  <c r="G2378" i="15"/>
  <c r="H2378" i="15"/>
  <c r="I2378" i="15"/>
  <c r="J2378" i="15"/>
  <c r="K2378" i="15"/>
  <c r="L2378" i="15"/>
  <c r="M2378" i="15"/>
  <c r="N2378" i="15"/>
  <c r="A2379" i="15"/>
  <c r="B2379" i="15"/>
  <c r="C2379" i="15"/>
  <c r="D2379" i="15"/>
  <c r="E2379" i="15"/>
  <c r="F2379" i="15"/>
  <c r="G2379" i="15"/>
  <c r="H2379" i="15"/>
  <c r="I2379" i="15"/>
  <c r="J2379" i="15"/>
  <c r="K2379" i="15"/>
  <c r="L2379" i="15"/>
  <c r="M2379" i="15"/>
  <c r="N2379" i="15"/>
  <c r="A2380" i="15"/>
  <c r="B2380" i="15"/>
  <c r="C2380" i="15"/>
  <c r="D2380" i="15"/>
  <c r="E2380" i="15"/>
  <c r="F2380" i="15"/>
  <c r="G2380" i="15"/>
  <c r="H2380" i="15"/>
  <c r="I2380" i="15"/>
  <c r="J2380" i="15"/>
  <c r="K2380" i="15"/>
  <c r="L2380" i="15"/>
  <c r="M2380" i="15"/>
  <c r="N2380" i="15"/>
  <c r="A2381" i="15"/>
  <c r="B2381" i="15"/>
  <c r="C2381" i="15"/>
  <c r="D2381" i="15"/>
  <c r="E2381" i="15"/>
  <c r="F2381" i="15"/>
  <c r="G2381" i="15"/>
  <c r="H2381" i="15"/>
  <c r="I2381" i="15"/>
  <c r="J2381" i="15"/>
  <c r="K2381" i="15"/>
  <c r="L2381" i="15"/>
  <c r="M2381" i="15"/>
  <c r="N2381" i="15"/>
  <c r="A2382" i="15"/>
  <c r="B2382" i="15"/>
  <c r="C2382" i="15"/>
  <c r="D2382" i="15"/>
  <c r="E2382" i="15"/>
  <c r="F2382" i="15"/>
  <c r="G2382" i="15"/>
  <c r="H2382" i="15"/>
  <c r="I2382" i="15"/>
  <c r="J2382" i="15"/>
  <c r="K2382" i="15"/>
  <c r="L2382" i="15"/>
  <c r="M2382" i="15"/>
  <c r="N2382" i="15"/>
  <c r="A2383" i="15"/>
  <c r="B2383" i="15"/>
  <c r="C2383" i="15"/>
  <c r="D2383" i="15"/>
  <c r="E2383" i="15"/>
  <c r="F2383" i="15"/>
  <c r="G2383" i="15"/>
  <c r="H2383" i="15"/>
  <c r="I2383" i="15"/>
  <c r="J2383" i="15"/>
  <c r="K2383" i="15"/>
  <c r="L2383" i="15"/>
  <c r="M2383" i="15"/>
  <c r="N2383" i="15"/>
  <c r="A2384" i="15"/>
  <c r="B2384" i="15"/>
  <c r="C2384" i="15"/>
  <c r="D2384" i="15"/>
  <c r="E2384" i="15"/>
  <c r="F2384" i="15"/>
  <c r="G2384" i="15"/>
  <c r="H2384" i="15"/>
  <c r="I2384" i="15"/>
  <c r="J2384" i="15"/>
  <c r="K2384" i="15"/>
  <c r="L2384" i="15"/>
  <c r="M2384" i="15"/>
  <c r="N2384" i="15"/>
  <c r="A2385" i="15"/>
  <c r="B2385" i="15"/>
  <c r="C2385" i="15"/>
  <c r="D2385" i="15"/>
  <c r="E2385" i="15"/>
  <c r="F2385" i="15"/>
  <c r="G2385" i="15"/>
  <c r="H2385" i="15"/>
  <c r="I2385" i="15"/>
  <c r="J2385" i="15"/>
  <c r="K2385" i="15"/>
  <c r="L2385" i="15"/>
  <c r="M2385" i="15"/>
  <c r="N2385" i="15"/>
  <c r="A2386" i="15"/>
  <c r="B2386" i="15"/>
  <c r="C2386" i="15"/>
  <c r="D2386" i="15"/>
  <c r="E2386" i="15"/>
  <c r="F2386" i="15"/>
  <c r="G2386" i="15"/>
  <c r="H2386" i="15"/>
  <c r="I2386" i="15"/>
  <c r="J2386" i="15"/>
  <c r="K2386" i="15"/>
  <c r="L2386" i="15"/>
  <c r="M2386" i="15"/>
  <c r="N2386" i="15"/>
  <c r="A2387" i="15"/>
  <c r="B2387" i="15"/>
  <c r="C2387" i="15"/>
  <c r="D2387" i="15"/>
  <c r="E2387" i="15"/>
  <c r="F2387" i="15"/>
  <c r="G2387" i="15"/>
  <c r="H2387" i="15"/>
  <c r="I2387" i="15"/>
  <c r="J2387" i="15"/>
  <c r="K2387" i="15"/>
  <c r="L2387" i="15"/>
  <c r="M2387" i="15"/>
  <c r="N2387" i="15"/>
  <c r="A2388" i="15"/>
  <c r="B2388" i="15"/>
  <c r="C2388" i="15"/>
  <c r="D2388" i="15"/>
  <c r="E2388" i="15"/>
  <c r="F2388" i="15"/>
  <c r="G2388" i="15"/>
  <c r="H2388" i="15"/>
  <c r="I2388" i="15"/>
  <c r="J2388" i="15"/>
  <c r="K2388" i="15"/>
  <c r="L2388" i="15"/>
  <c r="M2388" i="15"/>
  <c r="N2388" i="15"/>
  <c r="A2389" i="15"/>
  <c r="B2389" i="15"/>
  <c r="C2389" i="15"/>
  <c r="D2389" i="15"/>
  <c r="E2389" i="15"/>
  <c r="F2389" i="15"/>
  <c r="G2389" i="15"/>
  <c r="H2389" i="15"/>
  <c r="I2389" i="15"/>
  <c r="J2389" i="15"/>
  <c r="K2389" i="15"/>
  <c r="L2389" i="15"/>
  <c r="M2389" i="15"/>
  <c r="N2389" i="15"/>
  <c r="A2390" i="15"/>
  <c r="B2390" i="15"/>
  <c r="C2390" i="15"/>
  <c r="D2390" i="15"/>
  <c r="E2390" i="15"/>
  <c r="F2390" i="15"/>
  <c r="G2390" i="15"/>
  <c r="H2390" i="15"/>
  <c r="I2390" i="15"/>
  <c r="J2390" i="15"/>
  <c r="K2390" i="15"/>
  <c r="L2390" i="15"/>
  <c r="M2390" i="15"/>
  <c r="N2390" i="15"/>
  <c r="A2391" i="15"/>
  <c r="B2391" i="15"/>
  <c r="C2391" i="15"/>
  <c r="D2391" i="15"/>
  <c r="E2391" i="15"/>
  <c r="F2391" i="15"/>
  <c r="G2391" i="15"/>
  <c r="H2391" i="15"/>
  <c r="I2391" i="15"/>
  <c r="J2391" i="15"/>
  <c r="K2391" i="15"/>
  <c r="L2391" i="15"/>
  <c r="M2391" i="15"/>
  <c r="N2391" i="15"/>
  <c r="A2392" i="15"/>
  <c r="B2392" i="15"/>
  <c r="C2392" i="15"/>
  <c r="D2392" i="15"/>
  <c r="E2392" i="15"/>
  <c r="F2392" i="15"/>
  <c r="G2392" i="15"/>
  <c r="H2392" i="15"/>
  <c r="I2392" i="15"/>
  <c r="J2392" i="15"/>
  <c r="K2392" i="15"/>
  <c r="L2392" i="15"/>
  <c r="M2392" i="15"/>
  <c r="N2392" i="15"/>
  <c r="A2393" i="15"/>
  <c r="B2393" i="15"/>
  <c r="C2393" i="15"/>
  <c r="D2393" i="15"/>
  <c r="E2393" i="15"/>
  <c r="F2393" i="15"/>
  <c r="G2393" i="15"/>
  <c r="H2393" i="15"/>
  <c r="I2393" i="15"/>
  <c r="J2393" i="15"/>
  <c r="K2393" i="15"/>
  <c r="L2393" i="15"/>
  <c r="M2393" i="15"/>
  <c r="N2393" i="15"/>
  <c r="A2394" i="15"/>
  <c r="B2394" i="15"/>
  <c r="C2394" i="15"/>
  <c r="D2394" i="15"/>
  <c r="E2394" i="15"/>
  <c r="F2394" i="15"/>
  <c r="G2394" i="15"/>
  <c r="H2394" i="15"/>
  <c r="I2394" i="15"/>
  <c r="J2394" i="15"/>
  <c r="K2394" i="15"/>
  <c r="L2394" i="15"/>
  <c r="M2394" i="15"/>
  <c r="N2394" i="15"/>
  <c r="A2395" i="15"/>
  <c r="B2395" i="15"/>
  <c r="C2395" i="15"/>
  <c r="D2395" i="15"/>
  <c r="E2395" i="15"/>
  <c r="F2395" i="15"/>
  <c r="G2395" i="15"/>
  <c r="H2395" i="15"/>
  <c r="I2395" i="15"/>
  <c r="J2395" i="15"/>
  <c r="K2395" i="15"/>
  <c r="L2395" i="15"/>
  <c r="M2395" i="15"/>
  <c r="N2395" i="15"/>
  <c r="A2396" i="15"/>
  <c r="B2396" i="15"/>
  <c r="C2396" i="15"/>
  <c r="D2396" i="15"/>
  <c r="E2396" i="15"/>
  <c r="F2396" i="15"/>
  <c r="G2396" i="15"/>
  <c r="H2396" i="15"/>
  <c r="I2396" i="15"/>
  <c r="J2396" i="15"/>
  <c r="K2396" i="15"/>
  <c r="L2396" i="15"/>
  <c r="M2396" i="15"/>
  <c r="N2396" i="15"/>
  <c r="A2397" i="15"/>
  <c r="B2397" i="15"/>
  <c r="C2397" i="15"/>
  <c r="D2397" i="15"/>
  <c r="E2397" i="15"/>
  <c r="F2397" i="15"/>
  <c r="G2397" i="15"/>
  <c r="H2397" i="15"/>
  <c r="I2397" i="15"/>
  <c r="J2397" i="15"/>
  <c r="K2397" i="15"/>
  <c r="L2397" i="15"/>
  <c r="M2397" i="15"/>
  <c r="N2397" i="15"/>
  <c r="A2398" i="15"/>
  <c r="B2398" i="15"/>
  <c r="C2398" i="15"/>
  <c r="D2398" i="15"/>
  <c r="E2398" i="15"/>
  <c r="F2398" i="15"/>
  <c r="G2398" i="15"/>
  <c r="H2398" i="15"/>
  <c r="I2398" i="15"/>
  <c r="J2398" i="15"/>
  <c r="K2398" i="15"/>
  <c r="L2398" i="15"/>
  <c r="M2398" i="15"/>
  <c r="N2398" i="15"/>
  <c r="A2399" i="15"/>
  <c r="B2399" i="15"/>
  <c r="C2399" i="15"/>
  <c r="D2399" i="15"/>
  <c r="E2399" i="15"/>
  <c r="F2399" i="15"/>
  <c r="G2399" i="15"/>
  <c r="H2399" i="15"/>
  <c r="I2399" i="15"/>
  <c r="J2399" i="15"/>
  <c r="K2399" i="15"/>
  <c r="L2399" i="15"/>
  <c r="M2399" i="15"/>
  <c r="N2399" i="15"/>
  <c r="A2400" i="15"/>
  <c r="B2400" i="15"/>
  <c r="C2400" i="15"/>
  <c r="D2400" i="15"/>
  <c r="E2400" i="15"/>
  <c r="F2400" i="15"/>
  <c r="G2400" i="15"/>
  <c r="H2400" i="15"/>
  <c r="I2400" i="15"/>
  <c r="J2400" i="15"/>
  <c r="K2400" i="15"/>
  <c r="L2400" i="15"/>
  <c r="M2400" i="15"/>
  <c r="N2400" i="15"/>
  <c r="A2401" i="15"/>
  <c r="B2401" i="15"/>
  <c r="C2401" i="15"/>
  <c r="D2401" i="15"/>
  <c r="E2401" i="15"/>
  <c r="F2401" i="15"/>
  <c r="G2401" i="15"/>
  <c r="H2401" i="15"/>
  <c r="I2401" i="15"/>
  <c r="J2401" i="15"/>
  <c r="K2401" i="15"/>
  <c r="L2401" i="15"/>
  <c r="M2401" i="15"/>
  <c r="N2401" i="15"/>
  <c r="A2402" i="15"/>
  <c r="B2402" i="15"/>
  <c r="C2402" i="15"/>
  <c r="D2402" i="15"/>
  <c r="E2402" i="15"/>
  <c r="F2402" i="15"/>
  <c r="G2402" i="15"/>
  <c r="H2402" i="15"/>
  <c r="I2402" i="15"/>
  <c r="J2402" i="15"/>
  <c r="K2402" i="15"/>
  <c r="L2402" i="15"/>
  <c r="M2402" i="15"/>
  <c r="N2402" i="15"/>
  <c r="A2403" i="15"/>
  <c r="B2403" i="15"/>
  <c r="C2403" i="15"/>
  <c r="D2403" i="15"/>
  <c r="E2403" i="15"/>
  <c r="F2403" i="15"/>
  <c r="G2403" i="15"/>
  <c r="H2403" i="15"/>
  <c r="I2403" i="15"/>
  <c r="J2403" i="15"/>
  <c r="K2403" i="15"/>
  <c r="L2403" i="15"/>
  <c r="M2403" i="15"/>
  <c r="N2403" i="15"/>
  <c r="A2404" i="15"/>
  <c r="B2404" i="15"/>
  <c r="C2404" i="15"/>
  <c r="D2404" i="15"/>
  <c r="E2404" i="15"/>
  <c r="F2404" i="15"/>
  <c r="G2404" i="15"/>
  <c r="H2404" i="15"/>
  <c r="I2404" i="15"/>
  <c r="J2404" i="15"/>
  <c r="K2404" i="15"/>
  <c r="L2404" i="15"/>
  <c r="M2404" i="15"/>
  <c r="N2404" i="15"/>
  <c r="A2405" i="15"/>
  <c r="B2405" i="15"/>
  <c r="C2405" i="15"/>
  <c r="D2405" i="15"/>
  <c r="E2405" i="15"/>
  <c r="F2405" i="15"/>
  <c r="G2405" i="15"/>
  <c r="H2405" i="15"/>
  <c r="I2405" i="15"/>
  <c r="J2405" i="15"/>
  <c r="K2405" i="15"/>
  <c r="L2405" i="15"/>
  <c r="M2405" i="15"/>
  <c r="N2405" i="15"/>
  <c r="A2406" i="15"/>
  <c r="B2406" i="15"/>
  <c r="C2406" i="15"/>
  <c r="D2406" i="15"/>
  <c r="E2406" i="15"/>
  <c r="F2406" i="15"/>
  <c r="G2406" i="15"/>
  <c r="H2406" i="15"/>
  <c r="I2406" i="15"/>
  <c r="J2406" i="15"/>
  <c r="K2406" i="15"/>
  <c r="L2406" i="15"/>
  <c r="M2406" i="15"/>
  <c r="N2406" i="15"/>
  <c r="A2407" i="15"/>
  <c r="B2407" i="15"/>
  <c r="C2407" i="15"/>
  <c r="D2407" i="15"/>
  <c r="E2407" i="15"/>
  <c r="F2407" i="15"/>
  <c r="G2407" i="15"/>
  <c r="H2407" i="15"/>
  <c r="I2407" i="15"/>
  <c r="J2407" i="15"/>
  <c r="K2407" i="15"/>
  <c r="L2407" i="15"/>
  <c r="M2407" i="15"/>
  <c r="N2407" i="15"/>
  <c r="A2408" i="15"/>
  <c r="B2408" i="15"/>
  <c r="C2408" i="15"/>
  <c r="D2408" i="15"/>
  <c r="E2408" i="15"/>
  <c r="F2408" i="15"/>
  <c r="G2408" i="15"/>
  <c r="H2408" i="15"/>
  <c r="I2408" i="15"/>
  <c r="J2408" i="15"/>
  <c r="K2408" i="15"/>
  <c r="L2408" i="15"/>
  <c r="M2408" i="15"/>
  <c r="N2408" i="15"/>
  <c r="A2409" i="15"/>
  <c r="B2409" i="15"/>
  <c r="C2409" i="15"/>
  <c r="D2409" i="15"/>
  <c r="E2409" i="15"/>
  <c r="F2409" i="15"/>
  <c r="G2409" i="15"/>
  <c r="H2409" i="15"/>
  <c r="I2409" i="15"/>
  <c r="J2409" i="15"/>
  <c r="K2409" i="15"/>
  <c r="L2409" i="15"/>
  <c r="M2409" i="15"/>
  <c r="N2409" i="15"/>
  <c r="A2410" i="15"/>
  <c r="B2410" i="15"/>
  <c r="C2410" i="15"/>
  <c r="D2410" i="15"/>
  <c r="E2410" i="15"/>
  <c r="F2410" i="15"/>
  <c r="G2410" i="15"/>
  <c r="H2410" i="15"/>
  <c r="I2410" i="15"/>
  <c r="J2410" i="15"/>
  <c r="K2410" i="15"/>
  <c r="L2410" i="15"/>
  <c r="M2410" i="15"/>
  <c r="N2410" i="15"/>
  <c r="A2411" i="15"/>
  <c r="B2411" i="15"/>
  <c r="C2411" i="15"/>
  <c r="D2411" i="15"/>
  <c r="E2411" i="15"/>
  <c r="F2411" i="15"/>
  <c r="G2411" i="15"/>
  <c r="H2411" i="15"/>
  <c r="I2411" i="15"/>
  <c r="J2411" i="15"/>
  <c r="K2411" i="15"/>
  <c r="L2411" i="15"/>
  <c r="M2411" i="15"/>
  <c r="N2411" i="15"/>
  <c r="A2412" i="15"/>
  <c r="B2412" i="15"/>
  <c r="C2412" i="15"/>
  <c r="D2412" i="15"/>
  <c r="E2412" i="15"/>
  <c r="F2412" i="15"/>
  <c r="G2412" i="15"/>
  <c r="H2412" i="15"/>
  <c r="I2412" i="15"/>
  <c r="J2412" i="15"/>
  <c r="K2412" i="15"/>
  <c r="L2412" i="15"/>
  <c r="M2412" i="15"/>
  <c r="N2412" i="15"/>
  <c r="A2413" i="15"/>
  <c r="B2413" i="15"/>
  <c r="C2413" i="15"/>
  <c r="D2413" i="15"/>
  <c r="E2413" i="15"/>
  <c r="F2413" i="15"/>
  <c r="G2413" i="15"/>
  <c r="H2413" i="15"/>
  <c r="I2413" i="15"/>
  <c r="J2413" i="15"/>
  <c r="K2413" i="15"/>
  <c r="L2413" i="15"/>
  <c r="M2413" i="15"/>
  <c r="N2413" i="15"/>
  <c r="A2414" i="15"/>
  <c r="B2414" i="15"/>
  <c r="C2414" i="15"/>
  <c r="D2414" i="15"/>
  <c r="E2414" i="15"/>
  <c r="F2414" i="15"/>
  <c r="G2414" i="15"/>
  <c r="H2414" i="15"/>
  <c r="I2414" i="15"/>
  <c r="J2414" i="15"/>
  <c r="K2414" i="15"/>
  <c r="L2414" i="15"/>
  <c r="M2414" i="15"/>
  <c r="N2414" i="15"/>
  <c r="A2415" i="15"/>
  <c r="B2415" i="15"/>
  <c r="C2415" i="15"/>
  <c r="D2415" i="15"/>
  <c r="E2415" i="15"/>
  <c r="F2415" i="15"/>
  <c r="G2415" i="15"/>
  <c r="H2415" i="15"/>
  <c r="I2415" i="15"/>
  <c r="J2415" i="15"/>
  <c r="K2415" i="15"/>
  <c r="L2415" i="15"/>
  <c r="M2415" i="15"/>
  <c r="N2415" i="15"/>
  <c r="A2416" i="15"/>
  <c r="B2416" i="15"/>
  <c r="C2416" i="15"/>
  <c r="D2416" i="15"/>
  <c r="E2416" i="15"/>
  <c r="F2416" i="15"/>
  <c r="G2416" i="15"/>
  <c r="H2416" i="15"/>
  <c r="I2416" i="15"/>
  <c r="J2416" i="15"/>
  <c r="K2416" i="15"/>
  <c r="L2416" i="15"/>
  <c r="M2416" i="15"/>
  <c r="N2416" i="15"/>
  <c r="A2417" i="15"/>
  <c r="B2417" i="15"/>
  <c r="C2417" i="15"/>
  <c r="D2417" i="15"/>
  <c r="E2417" i="15"/>
  <c r="F2417" i="15"/>
  <c r="G2417" i="15"/>
  <c r="H2417" i="15"/>
  <c r="I2417" i="15"/>
  <c r="J2417" i="15"/>
  <c r="K2417" i="15"/>
  <c r="L2417" i="15"/>
  <c r="M2417" i="15"/>
  <c r="N2417" i="15"/>
  <c r="A2418" i="15"/>
  <c r="B2418" i="15"/>
  <c r="C2418" i="15"/>
  <c r="D2418" i="15"/>
  <c r="E2418" i="15"/>
  <c r="F2418" i="15"/>
  <c r="G2418" i="15"/>
  <c r="H2418" i="15"/>
  <c r="I2418" i="15"/>
  <c r="J2418" i="15"/>
  <c r="K2418" i="15"/>
  <c r="L2418" i="15"/>
  <c r="M2418" i="15"/>
  <c r="N2418" i="15"/>
  <c r="A2419" i="15"/>
  <c r="B2419" i="15"/>
  <c r="C2419" i="15"/>
  <c r="D2419" i="15"/>
  <c r="E2419" i="15"/>
  <c r="F2419" i="15"/>
  <c r="G2419" i="15"/>
  <c r="H2419" i="15"/>
  <c r="I2419" i="15"/>
  <c r="J2419" i="15"/>
  <c r="K2419" i="15"/>
  <c r="L2419" i="15"/>
  <c r="M2419" i="15"/>
  <c r="N2419" i="15"/>
  <c r="A2420" i="15"/>
  <c r="B2420" i="15"/>
  <c r="C2420" i="15"/>
  <c r="D2420" i="15"/>
  <c r="E2420" i="15"/>
  <c r="F2420" i="15"/>
  <c r="G2420" i="15"/>
  <c r="H2420" i="15"/>
  <c r="I2420" i="15"/>
  <c r="J2420" i="15"/>
  <c r="K2420" i="15"/>
  <c r="L2420" i="15"/>
  <c r="M2420" i="15"/>
  <c r="N2420" i="15"/>
  <c r="A2421" i="15"/>
  <c r="B2421" i="15"/>
  <c r="C2421" i="15"/>
  <c r="D2421" i="15"/>
  <c r="E2421" i="15"/>
  <c r="F2421" i="15"/>
  <c r="G2421" i="15"/>
  <c r="H2421" i="15"/>
  <c r="I2421" i="15"/>
  <c r="J2421" i="15"/>
  <c r="K2421" i="15"/>
  <c r="L2421" i="15"/>
  <c r="M2421" i="15"/>
  <c r="N2421" i="15"/>
  <c r="A2422" i="15"/>
  <c r="B2422" i="15"/>
  <c r="C2422" i="15"/>
  <c r="D2422" i="15"/>
  <c r="E2422" i="15"/>
  <c r="F2422" i="15"/>
  <c r="G2422" i="15"/>
  <c r="H2422" i="15"/>
  <c r="I2422" i="15"/>
  <c r="J2422" i="15"/>
  <c r="K2422" i="15"/>
  <c r="L2422" i="15"/>
  <c r="M2422" i="15"/>
  <c r="N2422" i="15"/>
  <c r="A2423" i="15"/>
  <c r="B2423" i="15"/>
  <c r="C2423" i="15"/>
  <c r="D2423" i="15"/>
  <c r="E2423" i="15"/>
  <c r="F2423" i="15"/>
  <c r="G2423" i="15"/>
  <c r="H2423" i="15"/>
  <c r="I2423" i="15"/>
  <c r="J2423" i="15"/>
  <c r="K2423" i="15"/>
  <c r="L2423" i="15"/>
  <c r="M2423" i="15"/>
  <c r="N2423" i="15"/>
  <c r="A2424" i="15"/>
  <c r="B2424" i="15"/>
  <c r="C2424" i="15"/>
  <c r="D2424" i="15"/>
  <c r="E2424" i="15"/>
  <c r="F2424" i="15"/>
  <c r="G2424" i="15"/>
  <c r="H2424" i="15"/>
  <c r="I2424" i="15"/>
  <c r="J2424" i="15"/>
  <c r="K2424" i="15"/>
  <c r="L2424" i="15"/>
  <c r="M2424" i="15"/>
  <c r="N2424" i="15"/>
  <c r="A2425" i="15"/>
  <c r="B2425" i="15"/>
  <c r="C2425" i="15"/>
  <c r="D2425" i="15"/>
  <c r="E2425" i="15"/>
  <c r="F2425" i="15"/>
  <c r="G2425" i="15"/>
  <c r="H2425" i="15"/>
  <c r="I2425" i="15"/>
  <c r="J2425" i="15"/>
  <c r="K2425" i="15"/>
  <c r="L2425" i="15"/>
  <c r="M2425" i="15"/>
  <c r="N2425" i="15"/>
  <c r="A2426" i="15"/>
  <c r="B2426" i="15"/>
  <c r="C2426" i="15"/>
  <c r="D2426" i="15"/>
  <c r="E2426" i="15"/>
  <c r="F2426" i="15"/>
  <c r="G2426" i="15"/>
  <c r="H2426" i="15"/>
  <c r="I2426" i="15"/>
  <c r="J2426" i="15"/>
  <c r="K2426" i="15"/>
  <c r="L2426" i="15"/>
  <c r="M2426" i="15"/>
  <c r="N2426" i="15"/>
  <c r="A2427" i="15"/>
  <c r="B2427" i="15"/>
  <c r="C2427" i="15"/>
  <c r="D2427" i="15"/>
  <c r="E2427" i="15"/>
  <c r="F2427" i="15"/>
  <c r="G2427" i="15"/>
  <c r="H2427" i="15"/>
  <c r="I2427" i="15"/>
  <c r="J2427" i="15"/>
  <c r="K2427" i="15"/>
  <c r="L2427" i="15"/>
  <c r="M2427" i="15"/>
  <c r="N2427" i="15"/>
  <c r="A2428" i="15"/>
  <c r="B2428" i="15"/>
  <c r="C2428" i="15"/>
  <c r="D2428" i="15"/>
  <c r="E2428" i="15"/>
  <c r="F2428" i="15"/>
  <c r="G2428" i="15"/>
  <c r="H2428" i="15"/>
  <c r="I2428" i="15"/>
  <c r="J2428" i="15"/>
  <c r="K2428" i="15"/>
  <c r="L2428" i="15"/>
  <c r="M2428" i="15"/>
  <c r="N2428" i="15"/>
  <c r="A2429" i="15"/>
  <c r="B2429" i="15"/>
  <c r="C2429" i="15"/>
  <c r="D2429" i="15"/>
  <c r="E2429" i="15"/>
  <c r="F2429" i="15"/>
  <c r="G2429" i="15"/>
  <c r="H2429" i="15"/>
  <c r="I2429" i="15"/>
  <c r="J2429" i="15"/>
  <c r="K2429" i="15"/>
  <c r="L2429" i="15"/>
  <c r="M2429" i="15"/>
  <c r="N2429" i="15"/>
  <c r="A2430" i="15"/>
  <c r="B2430" i="15"/>
  <c r="C2430" i="15"/>
  <c r="D2430" i="15"/>
  <c r="E2430" i="15"/>
  <c r="F2430" i="15"/>
  <c r="G2430" i="15"/>
  <c r="H2430" i="15"/>
  <c r="I2430" i="15"/>
  <c r="J2430" i="15"/>
  <c r="K2430" i="15"/>
  <c r="L2430" i="15"/>
  <c r="M2430" i="15"/>
  <c r="N2430" i="15"/>
  <c r="A2431" i="15"/>
  <c r="B2431" i="15"/>
  <c r="C2431" i="15"/>
  <c r="D2431" i="15"/>
  <c r="E2431" i="15"/>
  <c r="F2431" i="15"/>
  <c r="G2431" i="15"/>
  <c r="H2431" i="15"/>
  <c r="I2431" i="15"/>
  <c r="J2431" i="15"/>
  <c r="K2431" i="15"/>
  <c r="L2431" i="15"/>
  <c r="M2431" i="15"/>
  <c r="N2431" i="15"/>
  <c r="A2432" i="15"/>
  <c r="B2432" i="15"/>
  <c r="C2432" i="15"/>
  <c r="D2432" i="15"/>
  <c r="E2432" i="15"/>
  <c r="F2432" i="15"/>
  <c r="G2432" i="15"/>
  <c r="H2432" i="15"/>
  <c r="I2432" i="15"/>
  <c r="J2432" i="15"/>
  <c r="K2432" i="15"/>
  <c r="L2432" i="15"/>
  <c r="M2432" i="15"/>
  <c r="N2432" i="15"/>
  <c r="A2433" i="15"/>
  <c r="B2433" i="15"/>
  <c r="C2433" i="15"/>
  <c r="D2433" i="15"/>
  <c r="E2433" i="15"/>
  <c r="F2433" i="15"/>
  <c r="G2433" i="15"/>
  <c r="H2433" i="15"/>
  <c r="I2433" i="15"/>
  <c r="J2433" i="15"/>
  <c r="K2433" i="15"/>
  <c r="L2433" i="15"/>
  <c r="M2433" i="15"/>
  <c r="N2433" i="15"/>
  <c r="A2434" i="15"/>
  <c r="B2434" i="15"/>
  <c r="C2434" i="15"/>
  <c r="D2434" i="15"/>
  <c r="E2434" i="15"/>
  <c r="F2434" i="15"/>
  <c r="G2434" i="15"/>
  <c r="H2434" i="15"/>
  <c r="I2434" i="15"/>
  <c r="J2434" i="15"/>
  <c r="K2434" i="15"/>
  <c r="L2434" i="15"/>
  <c r="M2434" i="15"/>
  <c r="N2434" i="15"/>
  <c r="A2435" i="15"/>
  <c r="B2435" i="15"/>
  <c r="C2435" i="15"/>
  <c r="D2435" i="15"/>
  <c r="E2435" i="15"/>
  <c r="F2435" i="15"/>
  <c r="G2435" i="15"/>
  <c r="H2435" i="15"/>
  <c r="I2435" i="15"/>
  <c r="J2435" i="15"/>
  <c r="K2435" i="15"/>
  <c r="L2435" i="15"/>
  <c r="M2435" i="15"/>
  <c r="N2435" i="15"/>
  <c r="A2436" i="15"/>
  <c r="B2436" i="15"/>
  <c r="C2436" i="15"/>
  <c r="D2436" i="15"/>
  <c r="E2436" i="15"/>
  <c r="F2436" i="15"/>
  <c r="G2436" i="15"/>
  <c r="H2436" i="15"/>
  <c r="I2436" i="15"/>
  <c r="J2436" i="15"/>
  <c r="K2436" i="15"/>
  <c r="L2436" i="15"/>
  <c r="M2436" i="15"/>
  <c r="N2436" i="15"/>
  <c r="A2437" i="15"/>
  <c r="B2437" i="15"/>
  <c r="C2437" i="15"/>
  <c r="D2437" i="15"/>
  <c r="E2437" i="15"/>
  <c r="F2437" i="15"/>
  <c r="G2437" i="15"/>
  <c r="H2437" i="15"/>
  <c r="I2437" i="15"/>
  <c r="J2437" i="15"/>
  <c r="K2437" i="15"/>
  <c r="L2437" i="15"/>
  <c r="M2437" i="15"/>
  <c r="N2437" i="15"/>
  <c r="A2438" i="15"/>
  <c r="B2438" i="15"/>
  <c r="C2438" i="15"/>
  <c r="D2438" i="15"/>
  <c r="E2438" i="15"/>
  <c r="F2438" i="15"/>
  <c r="G2438" i="15"/>
  <c r="H2438" i="15"/>
  <c r="I2438" i="15"/>
  <c r="J2438" i="15"/>
  <c r="K2438" i="15"/>
  <c r="L2438" i="15"/>
  <c r="M2438" i="15"/>
  <c r="N2438" i="15"/>
  <c r="A2439" i="15"/>
  <c r="B2439" i="15"/>
  <c r="C2439" i="15"/>
  <c r="D2439" i="15"/>
  <c r="E2439" i="15"/>
  <c r="F2439" i="15"/>
  <c r="G2439" i="15"/>
  <c r="H2439" i="15"/>
  <c r="I2439" i="15"/>
  <c r="J2439" i="15"/>
  <c r="K2439" i="15"/>
  <c r="L2439" i="15"/>
  <c r="M2439" i="15"/>
  <c r="N2439" i="15"/>
  <c r="A2440" i="15"/>
  <c r="B2440" i="15"/>
  <c r="C2440" i="15"/>
  <c r="D2440" i="15"/>
  <c r="E2440" i="15"/>
  <c r="F2440" i="15"/>
  <c r="G2440" i="15"/>
  <c r="H2440" i="15"/>
  <c r="I2440" i="15"/>
  <c r="J2440" i="15"/>
  <c r="K2440" i="15"/>
  <c r="L2440" i="15"/>
  <c r="M2440" i="15"/>
  <c r="N2440" i="15"/>
  <c r="A2441" i="15"/>
  <c r="B2441" i="15"/>
  <c r="C2441" i="15"/>
  <c r="D2441" i="15"/>
  <c r="E2441" i="15"/>
  <c r="F2441" i="15"/>
  <c r="G2441" i="15"/>
  <c r="H2441" i="15"/>
  <c r="I2441" i="15"/>
  <c r="J2441" i="15"/>
  <c r="K2441" i="15"/>
  <c r="L2441" i="15"/>
  <c r="M2441" i="15"/>
  <c r="N2441" i="15"/>
  <c r="A2442" i="15"/>
  <c r="B2442" i="15"/>
  <c r="C2442" i="15"/>
  <c r="D2442" i="15"/>
  <c r="E2442" i="15"/>
  <c r="F2442" i="15"/>
  <c r="G2442" i="15"/>
  <c r="H2442" i="15"/>
  <c r="I2442" i="15"/>
  <c r="J2442" i="15"/>
  <c r="K2442" i="15"/>
  <c r="L2442" i="15"/>
  <c r="M2442" i="15"/>
  <c r="N2442" i="15"/>
  <c r="A2443" i="15"/>
  <c r="B2443" i="15"/>
  <c r="C2443" i="15"/>
  <c r="D2443" i="15"/>
  <c r="E2443" i="15"/>
  <c r="F2443" i="15"/>
  <c r="G2443" i="15"/>
  <c r="H2443" i="15"/>
  <c r="I2443" i="15"/>
  <c r="J2443" i="15"/>
  <c r="K2443" i="15"/>
  <c r="L2443" i="15"/>
  <c r="M2443" i="15"/>
  <c r="N2443" i="15"/>
  <c r="A2444" i="15"/>
  <c r="B2444" i="15"/>
  <c r="C2444" i="15"/>
  <c r="D2444" i="15"/>
  <c r="E2444" i="15"/>
  <c r="F2444" i="15"/>
  <c r="G2444" i="15"/>
  <c r="H2444" i="15"/>
  <c r="I2444" i="15"/>
  <c r="J2444" i="15"/>
  <c r="K2444" i="15"/>
  <c r="L2444" i="15"/>
  <c r="M2444" i="15"/>
  <c r="N2444" i="15"/>
  <c r="A2445" i="15"/>
  <c r="B2445" i="15"/>
  <c r="C2445" i="15"/>
  <c r="D2445" i="15"/>
  <c r="E2445" i="15"/>
  <c r="F2445" i="15"/>
  <c r="G2445" i="15"/>
  <c r="H2445" i="15"/>
  <c r="I2445" i="15"/>
  <c r="J2445" i="15"/>
  <c r="K2445" i="15"/>
  <c r="L2445" i="15"/>
  <c r="M2445" i="15"/>
  <c r="N2445" i="15"/>
  <c r="A2446" i="15"/>
  <c r="B2446" i="15"/>
  <c r="C2446" i="15"/>
  <c r="D2446" i="15"/>
  <c r="E2446" i="15"/>
  <c r="F2446" i="15"/>
  <c r="G2446" i="15"/>
  <c r="H2446" i="15"/>
  <c r="I2446" i="15"/>
  <c r="J2446" i="15"/>
  <c r="K2446" i="15"/>
  <c r="L2446" i="15"/>
  <c r="M2446" i="15"/>
  <c r="N2446" i="15"/>
  <c r="A2447" i="15"/>
  <c r="B2447" i="15"/>
  <c r="C2447" i="15"/>
  <c r="D2447" i="15"/>
  <c r="E2447" i="15"/>
  <c r="F2447" i="15"/>
  <c r="G2447" i="15"/>
  <c r="H2447" i="15"/>
  <c r="I2447" i="15"/>
  <c r="J2447" i="15"/>
  <c r="K2447" i="15"/>
  <c r="L2447" i="15"/>
  <c r="M2447" i="15"/>
  <c r="N2447" i="15"/>
  <c r="A2448" i="15"/>
  <c r="B2448" i="15"/>
  <c r="C2448" i="15"/>
  <c r="D2448" i="15"/>
  <c r="E2448" i="15"/>
  <c r="F2448" i="15"/>
  <c r="G2448" i="15"/>
  <c r="H2448" i="15"/>
  <c r="I2448" i="15"/>
  <c r="J2448" i="15"/>
  <c r="K2448" i="15"/>
  <c r="L2448" i="15"/>
  <c r="M2448" i="15"/>
  <c r="N2448" i="15"/>
  <c r="A2449" i="15"/>
  <c r="B2449" i="15"/>
  <c r="C2449" i="15"/>
  <c r="D2449" i="15"/>
  <c r="E2449" i="15"/>
  <c r="F2449" i="15"/>
  <c r="G2449" i="15"/>
  <c r="H2449" i="15"/>
  <c r="I2449" i="15"/>
  <c r="J2449" i="15"/>
  <c r="K2449" i="15"/>
  <c r="L2449" i="15"/>
  <c r="M2449" i="15"/>
  <c r="N2449" i="15"/>
  <c r="A2450" i="15"/>
  <c r="B2450" i="15"/>
  <c r="C2450" i="15"/>
  <c r="D2450" i="15"/>
  <c r="E2450" i="15"/>
  <c r="F2450" i="15"/>
  <c r="G2450" i="15"/>
  <c r="H2450" i="15"/>
  <c r="I2450" i="15"/>
  <c r="J2450" i="15"/>
  <c r="K2450" i="15"/>
  <c r="L2450" i="15"/>
  <c r="M2450" i="15"/>
  <c r="N2450" i="15"/>
  <c r="A2451" i="15"/>
  <c r="B2451" i="15"/>
  <c r="C2451" i="15"/>
  <c r="D2451" i="15"/>
  <c r="E2451" i="15"/>
  <c r="F2451" i="15"/>
  <c r="G2451" i="15"/>
  <c r="H2451" i="15"/>
  <c r="I2451" i="15"/>
  <c r="J2451" i="15"/>
  <c r="K2451" i="15"/>
  <c r="L2451" i="15"/>
  <c r="M2451" i="15"/>
  <c r="N2451" i="15"/>
  <c r="A2452" i="15"/>
  <c r="B2452" i="15"/>
  <c r="C2452" i="15"/>
  <c r="D2452" i="15"/>
  <c r="E2452" i="15"/>
  <c r="F2452" i="15"/>
  <c r="G2452" i="15"/>
  <c r="H2452" i="15"/>
  <c r="I2452" i="15"/>
  <c r="J2452" i="15"/>
  <c r="K2452" i="15"/>
  <c r="L2452" i="15"/>
  <c r="M2452" i="15"/>
  <c r="N2452" i="15"/>
  <c r="A2453" i="15"/>
  <c r="B2453" i="15"/>
  <c r="C2453" i="15"/>
  <c r="D2453" i="15"/>
  <c r="E2453" i="15"/>
  <c r="F2453" i="15"/>
  <c r="G2453" i="15"/>
  <c r="H2453" i="15"/>
  <c r="I2453" i="15"/>
  <c r="J2453" i="15"/>
  <c r="K2453" i="15"/>
  <c r="L2453" i="15"/>
  <c r="M2453" i="15"/>
  <c r="N2453" i="15"/>
  <c r="A2454" i="15"/>
  <c r="B2454" i="15"/>
  <c r="C2454" i="15"/>
  <c r="D2454" i="15"/>
  <c r="E2454" i="15"/>
  <c r="F2454" i="15"/>
  <c r="G2454" i="15"/>
  <c r="H2454" i="15"/>
  <c r="I2454" i="15"/>
  <c r="J2454" i="15"/>
  <c r="K2454" i="15"/>
  <c r="L2454" i="15"/>
  <c r="M2454" i="15"/>
  <c r="N2454" i="15"/>
  <c r="A2455" i="15"/>
  <c r="B2455" i="15"/>
  <c r="C2455" i="15"/>
  <c r="D2455" i="15"/>
  <c r="E2455" i="15"/>
  <c r="F2455" i="15"/>
  <c r="G2455" i="15"/>
  <c r="H2455" i="15"/>
  <c r="I2455" i="15"/>
  <c r="J2455" i="15"/>
  <c r="K2455" i="15"/>
  <c r="L2455" i="15"/>
  <c r="M2455" i="15"/>
  <c r="N2455" i="15"/>
  <c r="A2456" i="15"/>
  <c r="B2456" i="15"/>
  <c r="C2456" i="15"/>
  <c r="D2456" i="15"/>
  <c r="E2456" i="15"/>
  <c r="F2456" i="15"/>
  <c r="G2456" i="15"/>
  <c r="H2456" i="15"/>
  <c r="I2456" i="15"/>
  <c r="J2456" i="15"/>
  <c r="K2456" i="15"/>
  <c r="L2456" i="15"/>
  <c r="M2456" i="15"/>
  <c r="N2456" i="15"/>
  <c r="A2457" i="15"/>
  <c r="B2457" i="15"/>
  <c r="C2457" i="15"/>
  <c r="D2457" i="15"/>
  <c r="E2457" i="15"/>
  <c r="F2457" i="15"/>
  <c r="G2457" i="15"/>
  <c r="H2457" i="15"/>
  <c r="I2457" i="15"/>
  <c r="J2457" i="15"/>
  <c r="K2457" i="15"/>
  <c r="L2457" i="15"/>
  <c r="M2457" i="15"/>
  <c r="N2457" i="15"/>
  <c r="A2458" i="15"/>
  <c r="B2458" i="15"/>
  <c r="C2458" i="15"/>
  <c r="D2458" i="15"/>
  <c r="E2458" i="15"/>
  <c r="F2458" i="15"/>
  <c r="G2458" i="15"/>
  <c r="H2458" i="15"/>
  <c r="I2458" i="15"/>
  <c r="J2458" i="15"/>
  <c r="K2458" i="15"/>
  <c r="L2458" i="15"/>
  <c r="M2458" i="15"/>
  <c r="N2458" i="15"/>
  <c r="A2459" i="15"/>
  <c r="B2459" i="15"/>
  <c r="C2459" i="15"/>
  <c r="D2459" i="15"/>
  <c r="E2459" i="15"/>
  <c r="F2459" i="15"/>
  <c r="G2459" i="15"/>
  <c r="H2459" i="15"/>
  <c r="I2459" i="15"/>
  <c r="J2459" i="15"/>
  <c r="K2459" i="15"/>
  <c r="L2459" i="15"/>
  <c r="M2459" i="15"/>
  <c r="N2459" i="15"/>
  <c r="A2460" i="15"/>
  <c r="B2460" i="15"/>
  <c r="C2460" i="15"/>
  <c r="D2460" i="15"/>
  <c r="E2460" i="15"/>
  <c r="F2460" i="15"/>
  <c r="G2460" i="15"/>
  <c r="H2460" i="15"/>
  <c r="I2460" i="15"/>
  <c r="J2460" i="15"/>
  <c r="K2460" i="15"/>
  <c r="L2460" i="15"/>
  <c r="M2460" i="15"/>
  <c r="N2460" i="15"/>
  <c r="A2461" i="15"/>
  <c r="B2461" i="15"/>
  <c r="C2461" i="15"/>
  <c r="D2461" i="15"/>
  <c r="E2461" i="15"/>
  <c r="F2461" i="15"/>
  <c r="G2461" i="15"/>
  <c r="H2461" i="15"/>
  <c r="I2461" i="15"/>
  <c r="J2461" i="15"/>
  <c r="K2461" i="15"/>
  <c r="L2461" i="15"/>
  <c r="M2461" i="15"/>
  <c r="N2461" i="15"/>
  <c r="A2462" i="15"/>
  <c r="B2462" i="15"/>
  <c r="C2462" i="15"/>
  <c r="D2462" i="15"/>
  <c r="E2462" i="15"/>
  <c r="F2462" i="15"/>
  <c r="G2462" i="15"/>
  <c r="H2462" i="15"/>
  <c r="I2462" i="15"/>
  <c r="J2462" i="15"/>
  <c r="K2462" i="15"/>
  <c r="L2462" i="15"/>
  <c r="M2462" i="15"/>
  <c r="N2462" i="15"/>
  <c r="A2463" i="15"/>
  <c r="B2463" i="15"/>
  <c r="C2463" i="15"/>
  <c r="D2463" i="15"/>
  <c r="E2463" i="15"/>
  <c r="F2463" i="15"/>
  <c r="G2463" i="15"/>
  <c r="H2463" i="15"/>
  <c r="I2463" i="15"/>
  <c r="J2463" i="15"/>
  <c r="K2463" i="15"/>
  <c r="L2463" i="15"/>
  <c r="M2463" i="15"/>
  <c r="N2463" i="15"/>
  <c r="A2464" i="15"/>
  <c r="B2464" i="15"/>
  <c r="C2464" i="15"/>
  <c r="D2464" i="15"/>
  <c r="E2464" i="15"/>
  <c r="F2464" i="15"/>
  <c r="G2464" i="15"/>
  <c r="H2464" i="15"/>
  <c r="I2464" i="15"/>
  <c r="J2464" i="15"/>
  <c r="K2464" i="15"/>
  <c r="L2464" i="15"/>
  <c r="M2464" i="15"/>
  <c r="N2464" i="15"/>
  <c r="A2465" i="15"/>
  <c r="B2465" i="15"/>
  <c r="C2465" i="15"/>
  <c r="D2465" i="15"/>
  <c r="E2465" i="15"/>
  <c r="F2465" i="15"/>
  <c r="G2465" i="15"/>
  <c r="H2465" i="15"/>
  <c r="I2465" i="15"/>
  <c r="J2465" i="15"/>
  <c r="K2465" i="15"/>
  <c r="L2465" i="15"/>
  <c r="M2465" i="15"/>
  <c r="N2465" i="15"/>
  <c r="A2466" i="15"/>
  <c r="B2466" i="15"/>
  <c r="C2466" i="15"/>
  <c r="D2466" i="15"/>
  <c r="E2466" i="15"/>
  <c r="F2466" i="15"/>
  <c r="G2466" i="15"/>
  <c r="H2466" i="15"/>
  <c r="I2466" i="15"/>
  <c r="J2466" i="15"/>
  <c r="K2466" i="15"/>
  <c r="L2466" i="15"/>
  <c r="M2466" i="15"/>
  <c r="N2466" i="15"/>
  <c r="A2467" i="15"/>
  <c r="B2467" i="15"/>
  <c r="C2467" i="15"/>
  <c r="D2467" i="15"/>
  <c r="E2467" i="15"/>
  <c r="F2467" i="15"/>
  <c r="G2467" i="15"/>
  <c r="H2467" i="15"/>
  <c r="I2467" i="15"/>
  <c r="J2467" i="15"/>
  <c r="K2467" i="15"/>
  <c r="L2467" i="15"/>
  <c r="M2467" i="15"/>
  <c r="N2467" i="15"/>
  <c r="A2468" i="15"/>
  <c r="B2468" i="15"/>
  <c r="C2468" i="15"/>
  <c r="D2468" i="15"/>
  <c r="E2468" i="15"/>
  <c r="F2468" i="15"/>
  <c r="G2468" i="15"/>
  <c r="H2468" i="15"/>
  <c r="I2468" i="15"/>
  <c r="J2468" i="15"/>
  <c r="K2468" i="15"/>
  <c r="L2468" i="15"/>
  <c r="M2468" i="15"/>
  <c r="N2468" i="15"/>
  <c r="A2469" i="15"/>
  <c r="B2469" i="15"/>
  <c r="C2469" i="15"/>
  <c r="D2469" i="15"/>
  <c r="E2469" i="15"/>
  <c r="F2469" i="15"/>
  <c r="G2469" i="15"/>
  <c r="H2469" i="15"/>
  <c r="I2469" i="15"/>
  <c r="J2469" i="15"/>
  <c r="K2469" i="15"/>
  <c r="L2469" i="15"/>
  <c r="M2469" i="15"/>
  <c r="N2469" i="15"/>
  <c r="A2470" i="15"/>
  <c r="B2470" i="15"/>
  <c r="C2470" i="15"/>
  <c r="D2470" i="15"/>
  <c r="E2470" i="15"/>
  <c r="F2470" i="15"/>
  <c r="G2470" i="15"/>
  <c r="H2470" i="15"/>
  <c r="I2470" i="15"/>
  <c r="J2470" i="15"/>
  <c r="K2470" i="15"/>
  <c r="L2470" i="15"/>
  <c r="M2470" i="15"/>
  <c r="N2470" i="15"/>
  <c r="A2471" i="15"/>
  <c r="B2471" i="15"/>
  <c r="C2471" i="15"/>
  <c r="D2471" i="15"/>
  <c r="E2471" i="15"/>
  <c r="F2471" i="15"/>
  <c r="G2471" i="15"/>
  <c r="H2471" i="15"/>
  <c r="I2471" i="15"/>
  <c r="J2471" i="15"/>
  <c r="K2471" i="15"/>
  <c r="L2471" i="15"/>
  <c r="M2471" i="15"/>
  <c r="N2471" i="15"/>
  <c r="A2472" i="15"/>
  <c r="B2472" i="15"/>
  <c r="C2472" i="15"/>
  <c r="D2472" i="15"/>
  <c r="E2472" i="15"/>
  <c r="F2472" i="15"/>
  <c r="G2472" i="15"/>
  <c r="H2472" i="15"/>
  <c r="I2472" i="15"/>
  <c r="J2472" i="15"/>
  <c r="K2472" i="15"/>
  <c r="L2472" i="15"/>
  <c r="M2472" i="15"/>
  <c r="N2472" i="15"/>
  <c r="A2473" i="15"/>
  <c r="B2473" i="15"/>
  <c r="C2473" i="15"/>
  <c r="D2473" i="15"/>
  <c r="E2473" i="15"/>
  <c r="F2473" i="15"/>
  <c r="G2473" i="15"/>
  <c r="H2473" i="15"/>
  <c r="I2473" i="15"/>
  <c r="J2473" i="15"/>
  <c r="K2473" i="15"/>
  <c r="L2473" i="15"/>
  <c r="M2473" i="15"/>
  <c r="N2473" i="15"/>
  <c r="A2474" i="15"/>
  <c r="B2474" i="15"/>
  <c r="C2474" i="15"/>
  <c r="D2474" i="15"/>
  <c r="E2474" i="15"/>
  <c r="F2474" i="15"/>
  <c r="G2474" i="15"/>
  <c r="H2474" i="15"/>
  <c r="I2474" i="15"/>
  <c r="J2474" i="15"/>
  <c r="K2474" i="15"/>
  <c r="L2474" i="15"/>
  <c r="M2474" i="15"/>
  <c r="N2474" i="15"/>
  <c r="A2475" i="15"/>
  <c r="B2475" i="15"/>
  <c r="C2475" i="15"/>
  <c r="D2475" i="15"/>
  <c r="E2475" i="15"/>
  <c r="F2475" i="15"/>
  <c r="G2475" i="15"/>
  <c r="H2475" i="15"/>
  <c r="I2475" i="15"/>
  <c r="J2475" i="15"/>
  <c r="K2475" i="15"/>
  <c r="L2475" i="15"/>
  <c r="M2475" i="15"/>
  <c r="N2475" i="15"/>
  <c r="A2476" i="15"/>
  <c r="B2476" i="15"/>
  <c r="C2476" i="15"/>
  <c r="D2476" i="15"/>
  <c r="E2476" i="15"/>
  <c r="F2476" i="15"/>
  <c r="G2476" i="15"/>
  <c r="H2476" i="15"/>
  <c r="I2476" i="15"/>
  <c r="J2476" i="15"/>
  <c r="K2476" i="15"/>
  <c r="L2476" i="15"/>
  <c r="M2476" i="15"/>
  <c r="N2476" i="15"/>
  <c r="A2477" i="15"/>
  <c r="B2477" i="15"/>
  <c r="C2477" i="15"/>
  <c r="D2477" i="15"/>
  <c r="E2477" i="15"/>
  <c r="F2477" i="15"/>
  <c r="G2477" i="15"/>
  <c r="H2477" i="15"/>
  <c r="I2477" i="15"/>
  <c r="J2477" i="15"/>
  <c r="K2477" i="15"/>
  <c r="L2477" i="15"/>
  <c r="M2477" i="15"/>
  <c r="N2477" i="15"/>
  <c r="A2478" i="15"/>
  <c r="B2478" i="15"/>
  <c r="C2478" i="15"/>
  <c r="D2478" i="15"/>
  <c r="E2478" i="15"/>
  <c r="F2478" i="15"/>
  <c r="G2478" i="15"/>
  <c r="H2478" i="15"/>
  <c r="I2478" i="15"/>
  <c r="J2478" i="15"/>
  <c r="K2478" i="15"/>
  <c r="L2478" i="15"/>
  <c r="M2478" i="15"/>
  <c r="N2478" i="15"/>
  <c r="A2479" i="15"/>
  <c r="B2479" i="15"/>
  <c r="C2479" i="15"/>
  <c r="D2479" i="15"/>
  <c r="E2479" i="15"/>
  <c r="F2479" i="15"/>
  <c r="G2479" i="15"/>
  <c r="H2479" i="15"/>
  <c r="I2479" i="15"/>
  <c r="J2479" i="15"/>
  <c r="K2479" i="15"/>
  <c r="L2479" i="15"/>
  <c r="M2479" i="15"/>
  <c r="N2479" i="15"/>
  <c r="A2480" i="15"/>
  <c r="B2480" i="15"/>
  <c r="C2480" i="15"/>
  <c r="D2480" i="15"/>
  <c r="E2480" i="15"/>
  <c r="F2480" i="15"/>
  <c r="G2480" i="15"/>
  <c r="H2480" i="15"/>
  <c r="I2480" i="15"/>
  <c r="J2480" i="15"/>
  <c r="K2480" i="15"/>
  <c r="L2480" i="15"/>
  <c r="M2480" i="15"/>
  <c r="N2480" i="15"/>
  <c r="A2481" i="15"/>
  <c r="B2481" i="15"/>
  <c r="C2481" i="15"/>
  <c r="D2481" i="15"/>
  <c r="E2481" i="15"/>
  <c r="F2481" i="15"/>
  <c r="G2481" i="15"/>
  <c r="H2481" i="15"/>
  <c r="I2481" i="15"/>
  <c r="J2481" i="15"/>
  <c r="K2481" i="15"/>
  <c r="L2481" i="15"/>
  <c r="M2481" i="15"/>
  <c r="N2481" i="15"/>
  <c r="A2482" i="15"/>
  <c r="B2482" i="15"/>
  <c r="C2482" i="15"/>
  <c r="D2482" i="15"/>
  <c r="E2482" i="15"/>
  <c r="F2482" i="15"/>
  <c r="G2482" i="15"/>
  <c r="H2482" i="15"/>
  <c r="I2482" i="15"/>
  <c r="J2482" i="15"/>
  <c r="K2482" i="15"/>
  <c r="L2482" i="15"/>
  <c r="M2482" i="15"/>
  <c r="N2482" i="15"/>
  <c r="A2483" i="15"/>
  <c r="B2483" i="15"/>
  <c r="C2483" i="15"/>
  <c r="D2483" i="15"/>
  <c r="E2483" i="15"/>
  <c r="F2483" i="15"/>
  <c r="G2483" i="15"/>
  <c r="H2483" i="15"/>
  <c r="I2483" i="15"/>
  <c r="J2483" i="15"/>
  <c r="K2483" i="15"/>
  <c r="L2483" i="15"/>
  <c r="M2483" i="15"/>
  <c r="N2483" i="15"/>
  <c r="A2484" i="15"/>
  <c r="B2484" i="15"/>
  <c r="C2484" i="15"/>
  <c r="D2484" i="15"/>
  <c r="E2484" i="15"/>
  <c r="F2484" i="15"/>
  <c r="G2484" i="15"/>
  <c r="H2484" i="15"/>
  <c r="I2484" i="15"/>
  <c r="J2484" i="15"/>
  <c r="K2484" i="15"/>
  <c r="L2484" i="15"/>
  <c r="M2484" i="15"/>
  <c r="N2484" i="15"/>
  <c r="A2485" i="15"/>
  <c r="B2485" i="15"/>
  <c r="C2485" i="15"/>
  <c r="D2485" i="15"/>
  <c r="E2485" i="15"/>
  <c r="F2485" i="15"/>
  <c r="G2485" i="15"/>
  <c r="H2485" i="15"/>
  <c r="I2485" i="15"/>
  <c r="J2485" i="15"/>
  <c r="K2485" i="15"/>
  <c r="L2485" i="15"/>
  <c r="M2485" i="15"/>
  <c r="N2485" i="15"/>
  <c r="A2486" i="15"/>
  <c r="B2486" i="15"/>
  <c r="C2486" i="15"/>
  <c r="D2486" i="15"/>
  <c r="E2486" i="15"/>
  <c r="F2486" i="15"/>
  <c r="G2486" i="15"/>
  <c r="H2486" i="15"/>
  <c r="I2486" i="15"/>
  <c r="J2486" i="15"/>
  <c r="K2486" i="15"/>
  <c r="L2486" i="15"/>
  <c r="M2486" i="15"/>
  <c r="N2486" i="15"/>
  <c r="A2487" i="15"/>
  <c r="B2487" i="15"/>
  <c r="C2487" i="15"/>
  <c r="D2487" i="15"/>
  <c r="E2487" i="15"/>
  <c r="F2487" i="15"/>
  <c r="G2487" i="15"/>
  <c r="H2487" i="15"/>
  <c r="I2487" i="15"/>
  <c r="J2487" i="15"/>
  <c r="K2487" i="15"/>
  <c r="L2487" i="15"/>
  <c r="M2487" i="15"/>
  <c r="N2487" i="15"/>
  <c r="A2488" i="15"/>
  <c r="B2488" i="15"/>
  <c r="C2488" i="15"/>
  <c r="D2488" i="15"/>
  <c r="E2488" i="15"/>
  <c r="F2488" i="15"/>
  <c r="G2488" i="15"/>
  <c r="H2488" i="15"/>
  <c r="I2488" i="15"/>
  <c r="J2488" i="15"/>
  <c r="K2488" i="15"/>
  <c r="L2488" i="15"/>
  <c r="M2488" i="15"/>
  <c r="N2488" i="15"/>
  <c r="A2489" i="15"/>
  <c r="B2489" i="15"/>
  <c r="C2489" i="15"/>
  <c r="D2489" i="15"/>
  <c r="E2489" i="15"/>
  <c r="F2489" i="15"/>
  <c r="G2489" i="15"/>
  <c r="H2489" i="15"/>
  <c r="I2489" i="15"/>
  <c r="J2489" i="15"/>
  <c r="K2489" i="15"/>
  <c r="L2489" i="15"/>
  <c r="M2489" i="15"/>
  <c r="N2489" i="15"/>
  <c r="A2490" i="15"/>
  <c r="B2490" i="15"/>
  <c r="C2490" i="15"/>
  <c r="D2490" i="15"/>
  <c r="E2490" i="15"/>
  <c r="F2490" i="15"/>
  <c r="G2490" i="15"/>
  <c r="H2490" i="15"/>
  <c r="I2490" i="15"/>
  <c r="J2490" i="15"/>
  <c r="K2490" i="15"/>
  <c r="L2490" i="15"/>
  <c r="M2490" i="15"/>
  <c r="N2490" i="15"/>
  <c r="A2491" i="15"/>
  <c r="B2491" i="15"/>
  <c r="C2491" i="15"/>
  <c r="D2491" i="15"/>
  <c r="E2491" i="15"/>
  <c r="F2491" i="15"/>
  <c r="G2491" i="15"/>
  <c r="H2491" i="15"/>
  <c r="I2491" i="15"/>
  <c r="J2491" i="15"/>
  <c r="K2491" i="15"/>
  <c r="L2491" i="15"/>
  <c r="M2491" i="15"/>
  <c r="N2491" i="15"/>
  <c r="A2492" i="15"/>
  <c r="B2492" i="15"/>
  <c r="C2492" i="15"/>
  <c r="D2492" i="15"/>
  <c r="E2492" i="15"/>
  <c r="F2492" i="15"/>
  <c r="G2492" i="15"/>
  <c r="H2492" i="15"/>
  <c r="I2492" i="15"/>
  <c r="J2492" i="15"/>
  <c r="K2492" i="15"/>
  <c r="L2492" i="15"/>
  <c r="M2492" i="15"/>
  <c r="N2492" i="15"/>
  <c r="A2493" i="15"/>
  <c r="B2493" i="15"/>
  <c r="C2493" i="15"/>
  <c r="D2493" i="15"/>
  <c r="E2493" i="15"/>
  <c r="F2493" i="15"/>
  <c r="G2493" i="15"/>
  <c r="H2493" i="15"/>
  <c r="I2493" i="15"/>
  <c r="J2493" i="15"/>
  <c r="K2493" i="15"/>
  <c r="L2493" i="15"/>
  <c r="M2493" i="15"/>
  <c r="N2493" i="15"/>
  <c r="A2494" i="15"/>
  <c r="B2494" i="15"/>
  <c r="C2494" i="15"/>
  <c r="D2494" i="15"/>
  <c r="E2494" i="15"/>
  <c r="F2494" i="15"/>
  <c r="G2494" i="15"/>
  <c r="H2494" i="15"/>
  <c r="I2494" i="15"/>
  <c r="J2494" i="15"/>
  <c r="K2494" i="15"/>
  <c r="L2494" i="15"/>
  <c r="M2494" i="15"/>
  <c r="N2494" i="15"/>
  <c r="A2495" i="15"/>
  <c r="B2495" i="15"/>
  <c r="C2495" i="15"/>
  <c r="D2495" i="15"/>
  <c r="E2495" i="15"/>
  <c r="F2495" i="15"/>
  <c r="G2495" i="15"/>
  <c r="H2495" i="15"/>
  <c r="I2495" i="15"/>
  <c r="J2495" i="15"/>
  <c r="K2495" i="15"/>
  <c r="L2495" i="15"/>
  <c r="M2495" i="15"/>
  <c r="N2495" i="15"/>
  <c r="A2496" i="15"/>
  <c r="B2496" i="15"/>
  <c r="C2496" i="15"/>
  <c r="D2496" i="15"/>
  <c r="E2496" i="15"/>
  <c r="F2496" i="15"/>
  <c r="G2496" i="15"/>
  <c r="H2496" i="15"/>
  <c r="I2496" i="15"/>
  <c r="J2496" i="15"/>
  <c r="K2496" i="15"/>
  <c r="L2496" i="15"/>
  <c r="M2496" i="15"/>
  <c r="N2496" i="15"/>
  <c r="A2497" i="15"/>
  <c r="B2497" i="15"/>
  <c r="C2497" i="15"/>
  <c r="D2497" i="15"/>
  <c r="E2497" i="15"/>
  <c r="F2497" i="15"/>
  <c r="G2497" i="15"/>
  <c r="H2497" i="15"/>
  <c r="I2497" i="15"/>
  <c r="J2497" i="15"/>
  <c r="K2497" i="15"/>
  <c r="L2497" i="15"/>
  <c r="M2497" i="15"/>
  <c r="N2497" i="15"/>
  <c r="A2498" i="15"/>
  <c r="B2498" i="15"/>
  <c r="C2498" i="15"/>
  <c r="D2498" i="15"/>
  <c r="E2498" i="15"/>
  <c r="F2498" i="15"/>
  <c r="G2498" i="15"/>
  <c r="H2498" i="15"/>
  <c r="I2498" i="15"/>
  <c r="J2498" i="15"/>
  <c r="K2498" i="15"/>
  <c r="L2498" i="15"/>
  <c r="M2498" i="15"/>
  <c r="N2498" i="15"/>
  <c r="A2499" i="15"/>
  <c r="B2499" i="15"/>
  <c r="C2499" i="15"/>
  <c r="D2499" i="15"/>
  <c r="E2499" i="15"/>
  <c r="F2499" i="15"/>
  <c r="G2499" i="15"/>
  <c r="H2499" i="15"/>
  <c r="I2499" i="15"/>
  <c r="J2499" i="15"/>
  <c r="K2499" i="15"/>
  <c r="L2499" i="15"/>
  <c r="M2499" i="15"/>
  <c r="N2499" i="15"/>
  <c r="A2500" i="15"/>
  <c r="B2500" i="15"/>
  <c r="C2500" i="15"/>
  <c r="D2500" i="15"/>
  <c r="E2500" i="15"/>
  <c r="F2500" i="15"/>
  <c r="G2500" i="15"/>
  <c r="H2500" i="15"/>
  <c r="I2500" i="15"/>
  <c r="J2500" i="15"/>
  <c r="K2500" i="15"/>
  <c r="L2500" i="15"/>
  <c r="M2500" i="15"/>
  <c r="N2500" i="15"/>
  <c r="A2501" i="15"/>
  <c r="B2501" i="15"/>
  <c r="C2501" i="15"/>
  <c r="D2501" i="15"/>
  <c r="E2501" i="15"/>
  <c r="F2501" i="15"/>
  <c r="G2501" i="15"/>
  <c r="H2501" i="15"/>
  <c r="I2501" i="15"/>
  <c r="J2501" i="15"/>
  <c r="K2501" i="15"/>
  <c r="L2501" i="15"/>
  <c r="M2501" i="15"/>
  <c r="N2501" i="15"/>
  <c r="A2502" i="15"/>
  <c r="B2502" i="15"/>
  <c r="C2502" i="15"/>
  <c r="D2502" i="15"/>
  <c r="E2502" i="15"/>
  <c r="F2502" i="15"/>
  <c r="G2502" i="15"/>
  <c r="H2502" i="15"/>
  <c r="I2502" i="15"/>
  <c r="J2502" i="15"/>
  <c r="K2502" i="15"/>
  <c r="L2502" i="15"/>
  <c r="M2502" i="15"/>
  <c r="N2502" i="15"/>
  <c r="A2503" i="15"/>
  <c r="B2503" i="15"/>
  <c r="C2503" i="15"/>
  <c r="D2503" i="15"/>
  <c r="E2503" i="15"/>
  <c r="F2503" i="15"/>
  <c r="G2503" i="15"/>
  <c r="H2503" i="15"/>
  <c r="I2503" i="15"/>
  <c r="J2503" i="15"/>
  <c r="K2503" i="15"/>
  <c r="L2503" i="15"/>
  <c r="M2503" i="15"/>
  <c r="N2503" i="15"/>
  <c r="A2504" i="15"/>
  <c r="B2504" i="15"/>
  <c r="C2504" i="15"/>
  <c r="D2504" i="15"/>
  <c r="E2504" i="15"/>
  <c r="F2504" i="15"/>
  <c r="G2504" i="15"/>
  <c r="H2504" i="15"/>
  <c r="I2504" i="15"/>
  <c r="J2504" i="15"/>
  <c r="K2504" i="15"/>
  <c r="L2504" i="15"/>
  <c r="M2504" i="15"/>
  <c r="N2504" i="15"/>
  <c r="A2505" i="15"/>
  <c r="B2505" i="15"/>
  <c r="C2505" i="15"/>
  <c r="D2505" i="15"/>
  <c r="E2505" i="15"/>
  <c r="F2505" i="15"/>
  <c r="G2505" i="15"/>
  <c r="H2505" i="15"/>
  <c r="I2505" i="15"/>
  <c r="J2505" i="15"/>
  <c r="K2505" i="15"/>
  <c r="L2505" i="15"/>
  <c r="M2505" i="15"/>
  <c r="N2505" i="15"/>
  <c r="A2506" i="15"/>
  <c r="B2506" i="15"/>
  <c r="C2506" i="15"/>
  <c r="D2506" i="15"/>
  <c r="E2506" i="15"/>
  <c r="F2506" i="15"/>
  <c r="G2506" i="15"/>
  <c r="H2506" i="15"/>
  <c r="I2506" i="15"/>
  <c r="J2506" i="15"/>
  <c r="K2506" i="15"/>
  <c r="L2506" i="15"/>
  <c r="M2506" i="15"/>
  <c r="N2506" i="15"/>
  <c r="A2507" i="15"/>
  <c r="B2507" i="15"/>
  <c r="C2507" i="15"/>
  <c r="D2507" i="15"/>
  <c r="E2507" i="15"/>
  <c r="F2507" i="15"/>
  <c r="G2507" i="15"/>
  <c r="H2507" i="15"/>
  <c r="I2507" i="15"/>
  <c r="J2507" i="15"/>
  <c r="K2507" i="15"/>
  <c r="L2507" i="15"/>
  <c r="M2507" i="15"/>
  <c r="N2507" i="15"/>
  <c r="A2508" i="15"/>
  <c r="B2508" i="15"/>
  <c r="C2508" i="15"/>
  <c r="D2508" i="15"/>
  <c r="E2508" i="15"/>
  <c r="F2508" i="15"/>
  <c r="G2508" i="15"/>
  <c r="H2508" i="15"/>
  <c r="I2508" i="15"/>
  <c r="J2508" i="15"/>
  <c r="K2508" i="15"/>
  <c r="L2508" i="15"/>
  <c r="M2508" i="15"/>
  <c r="N2508" i="15"/>
  <c r="A2509" i="15"/>
  <c r="B2509" i="15"/>
  <c r="C2509" i="15"/>
  <c r="D2509" i="15"/>
  <c r="E2509" i="15"/>
  <c r="F2509" i="15"/>
  <c r="G2509" i="15"/>
  <c r="H2509" i="15"/>
  <c r="I2509" i="15"/>
  <c r="J2509" i="15"/>
  <c r="K2509" i="15"/>
  <c r="L2509" i="15"/>
  <c r="M2509" i="15"/>
  <c r="N2509" i="15"/>
  <c r="A2510" i="15"/>
  <c r="B2510" i="15"/>
  <c r="C2510" i="15"/>
  <c r="D2510" i="15"/>
  <c r="E2510" i="15"/>
  <c r="F2510" i="15"/>
  <c r="G2510" i="15"/>
  <c r="H2510" i="15"/>
  <c r="I2510" i="15"/>
  <c r="J2510" i="15"/>
  <c r="K2510" i="15"/>
  <c r="L2510" i="15"/>
  <c r="M2510" i="15"/>
  <c r="N2510" i="15"/>
  <c r="A2511" i="15"/>
  <c r="B2511" i="15"/>
  <c r="C2511" i="15"/>
  <c r="D2511" i="15"/>
  <c r="E2511" i="15"/>
  <c r="F2511" i="15"/>
  <c r="G2511" i="15"/>
  <c r="H2511" i="15"/>
  <c r="I2511" i="15"/>
  <c r="J2511" i="15"/>
  <c r="K2511" i="15"/>
  <c r="L2511" i="15"/>
  <c r="M2511" i="15"/>
  <c r="N2511" i="15"/>
  <c r="A2512" i="15"/>
  <c r="B2512" i="15"/>
  <c r="C2512" i="15"/>
  <c r="D2512" i="15"/>
  <c r="E2512" i="15"/>
  <c r="F2512" i="15"/>
  <c r="G2512" i="15"/>
  <c r="H2512" i="15"/>
  <c r="I2512" i="15"/>
  <c r="J2512" i="15"/>
  <c r="K2512" i="15"/>
  <c r="L2512" i="15"/>
  <c r="M2512" i="15"/>
  <c r="N2512" i="15"/>
  <c r="A2513" i="15"/>
  <c r="B2513" i="15"/>
  <c r="C2513" i="15"/>
  <c r="D2513" i="15"/>
  <c r="E2513" i="15"/>
  <c r="F2513" i="15"/>
  <c r="G2513" i="15"/>
  <c r="H2513" i="15"/>
  <c r="I2513" i="15"/>
  <c r="J2513" i="15"/>
  <c r="K2513" i="15"/>
  <c r="L2513" i="15"/>
  <c r="M2513" i="15"/>
  <c r="N2513" i="15"/>
  <c r="A2514" i="15"/>
  <c r="B2514" i="15"/>
  <c r="C2514" i="15"/>
  <c r="D2514" i="15"/>
  <c r="E2514" i="15"/>
  <c r="F2514" i="15"/>
  <c r="G2514" i="15"/>
  <c r="H2514" i="15"/>
  <c r="I2514" i="15"/>
  <c r="J2514" i="15"/>
  <c r="K2514" i="15"/>
  <c r="L2514" i="15"/>
  <c r="M2514" i="15"/>
  <c r="N2514" i="15"/>
  <c r="A2515" i="15"/>
  <c r="B2515" i="15"/>
  <c r="C2515" i="15"/>
  <c r="D2515" i="15"/>
  <c r="E2515" i="15"/>
  <c r="F2515" i="15"/>
  <c r="G2515" i="15"/>
  <c r="H2515" i="15"/>
  <c r="I2515" i="15"/>
  <c r="J2515" i="15"/>
  <c r="K2515" i="15"/>
  <c r="L2515" i="15"/>
  <c r="M2515" i="15"/>
  <c r="N2515" i="15"/>
  <c r="A2516" i="15"/>
  <c r="B2516" i="15"/>
  <c r="C2516" i="15"/>
  <c r="D2516" i="15"/>
  <c r="E2516" i="15"/>
  <c r="F2516" i="15"/>
  <c r="G2516" i="15"/>
  <c r="H2516" i="15"/>
  <c r="I2516" i="15"/>
  <c r="J2516" i="15"/>
  <c r="K2516" i="15"/>
  <c r="L2516" i="15"/>
  <c r="M2516" i="15"/>
  <c r="N2516" i="15"/>
  <c r="A2517" i="15"/>
  <c r="B2517" i="15"/>
  <c r="C2517" i="15"/>
  <c r="D2517" i="15"/>
  <c r="E2517" i="15"/>
  <c r="F2517" i="15"/>
  <c r="G2517" i="15"/>
  <c r="H2517" i="15"/>
  <c r="I2517" i="15"/>
  <c r="J2517" i="15"/>
  <c r="K2517" i="15"/>
  <c r="L2517" i="15"/>
  <c r="M2517" i="15"/>
  <c r="N2517" i="15"/>
  <c r="A2518" i="15"/>
  <c r="B2518" i="15"/>
  <c r="C2518" i="15"/>
  <c r="D2518" i="15"/>
  <c r="E2518" i="15"/>
  <c r="F2518" i="15"/>
  <c r="G2518" i="15"/>
  <c r="H2518" i="15"/>
  <c r="I2518" i="15"/>
  <c r="J2518" i="15"/>
  <c r="K2518" i="15"/>
  <c r="L2518" i="15"/>
  <c r="M2518" i="15"/>
  <c r="N2518" i="15"/>
  <c r="A2519" i="15"/>
  <c r="B2519" i="15"/>
  <c r="C2519" i="15"/>
  <c r="D2519" i="15"/>
  <c r="E2519" i="15"/>
  <c r="F2519" i="15"/>
  <c r="G2519" i="15"/>
  <c r="H2519" i="15"/>
  <c r="I2519" i="15"/>
  <c r="J2519" i="15"/>
  <c r="K2519" i="15"/>
  <c r="L2519" i="15"/>
  <c r="M2519" i="15"/>
  <c r="N2519" i="15"/>
  <c r="A2520" i="15"/>
  <c r="B2520" i="15"/>
  <c r="C2520" i="15"/>
  <c r="D2520" i="15"/>
  <c r="E2520" i="15"/>
  <c r="F2520" i="15"/>
  <c r="G2520" i="15"/>
  <c r="H2520" i="15"/>
  <c r="I2520" i="15"/>
  <c r="J2520" i="15"/>
  <c r="K2520" i="15"/>
  <c r="L2520" i="15"/>
  <c r="M2520" i="15"/>
  <c r="N2520" i="15"/>
  <c r="A2521" i="15"/>
  <c r="B2521" i="15"/>
  <c r="C2521" i="15"/>
  <c r="D2521" i="15"/>
  <c r="E2521" i="15"/>
  <c r="F2521" i="15"/>
  <c r="G2521" i="15"/>
  <c r="H2521" i="15"/>
  <c r="I2521" i="15"/>
  <c r="J2521" i="15"/>
  <c r="K2521" i="15"/>
  <c r="L2521" i="15"/>
  <c r="M2521" i="15"/>
  <c r="N2521" i="15"/>
  <c r="A2522" i="15"/>
  <c r="B2522" i="15"/>
  <c r="C2522" i="15"/>
  <c r="D2522" i="15"/>
  <c r="E2522" i="15"/>
  <c r="F2522" i="15"/>
  <c r="G2522" i="15"/>
  <c r="H2522" i="15"/>
  <c r="I2522" i="15"/>
  <c r="J2522" i="15"/>
  <c r="K2522" i="15"/>
  <c r="L2522" i="15"/>
  <c r="M2522" i="15"/>
  <c r="N2522" i="15"/>
  <c r="A2523" i="15"/>
  <c r="B2523" i="15"/>
  <c r="C2523" i="15"/>
  <c r="D2523" i="15"/>
  <c r="E2523" i="15"/>
  <c r="F2523" i="15"/>
  <c r="G2523" i="15"/>
  <c r="H2523" i="15"/>
  <c r="I2523" i="15"/>
  <c r="J2523" i="15"/>
  <c r="K2523" i="15"/>
  <c r="L2523" i="15"/>
  <c r="M2523" i="15"/>
  <c r="N2523" i="15"/>
  <c r="A2524" i="15"/>
  <c r="B2524" i="15"/>
  <c r="C2524" i="15"/>
  <c r="D2524" i="15"/>
  <c r="E2524" i="15"/>
  <c r="F2524" i="15"/>
  <c r="G2524" i="15"/>
  <c r="H2524" i="15"/>
  <c r="I2524" i="15"/>
  <c r="J2524" i="15"/>
  <c r="K2524" i="15"/>
  <c r="L2524" i="15"/>
  <c r="M2524" i="15"/>
  <c r="N2524" i="15"/>
  <c r="A2525" i="15"/>
  <c r="B2525" i="15"/>
  <c r="C2525" i="15"/>
  <c r="D2525" i="15"/>
  <c r="E2525" i="15"/>
  <c r="F2525" i="15"/>
  <c r="G2525" i="15"/>
  <c r="H2525" i="15"/>
  <c r="I2525" i="15"/>
  <c r="J2525" i="15"/>
  <c r="K2525" i="15"/>
  <c r="L2525" i="15"/>
  <c r="M2525" i="15"/>
  <c r="N2525" i="15"/>
  <c r="A2526" i="15"/>
  <c r="B2526" i="15"/>
  <c r="C2526" i="15"/>
  <c r="D2526" i="15"/>
  <c r="E2526" i="15"/>
  <c r="F2526" i="15"/>
  <c r="G2526" i="15"/>
  <c r="H2526" i="15"/>
  <c r="I2526" i="15"/>
  <c r="J2526" i="15"/>
  <c r="K2526" i="15"/>
  <c r="L2526" i="15"/>
  <c r="M2526" i="15"/>
  <c r="N2526" i="15"/>
  <c r="A2527" i="15"/>
  <c r="B2527" i="15"/>
  <c r="C2527" i="15"/>
  <c r="D2527" i="15"/>
  <c r="E2527" i="15"/>
  <c r="F2527" i="15"/>
  <c r="G2527" i="15"/>
  <c r="H2527" i="15"/>
  <c r="I2527" i="15"/>
  <c r="J2527" i="15"/>
  <c r="K2527" i="15"/>
  <c r="L2527" i="15"/>
  <c r="M2527" i="15"/>
  <c r="N2527" i="15"/>
  <c r="A2528" i="15"/>
  <c r="B2528" i="15"/>
  <c r="C2528" i="15"/>
  <c r="D2528" i="15"/>
  <c r="E2528" i="15"/>
  <c r="F2528" i="15"/>
  <c r="G2528" i="15"/>
  <c r="H2528" i="15"/>
  <c r="I2528" i="15"/>
  <c r="J2528" i="15"/>
  <c r="K2528" i="15"/>
  <c r="L2528" i="15"/>
  <c r="M2528" i="15"/>
  <c r="N2528" i="15"/>
  <c r="A2529" i="15"/>
  <c r="B2529" i="15"/>
  <c r="C2529" i="15"/>
  <c r="D2529" i="15"/>
  <c r="E2529" i="15"/>
  <c r="F2529" i="15"/>
  <c r="G2529" i="15"/>
  <c r="H2529" i="15"/>
  <c r="I2529" i="15"/>
  <c r="J2529" i="15"/>
  <c r="K2529" i="15"/>
  <c r="L2529" i="15"/>
  <c r="M2529" i="15"/>
  <c r="N2529" i="15"/>
  <c r="A2530" i="15"/>
  <c r="B2530" i="15"/>
  <c r="C2530" i="15"/>
  <c r="D2530" i="15"/>
  <c r="E2530" i="15"/>
  <c r="F2530" i="15"/>
  <c r="G2530" i="15"/>
  <c r="H2530" i="15"/>
  <c r="I2530" i="15"/>
  <c r="J2530" i="15"/>
  <c r="K2530" i="15"/>
  <c r="L2530" i="15"/>
  <c r="M2530" i="15"/>
  <c r="N2530" i="15"/>
  <c r="A2531" i="15"/>
  <c r="B2531" i="15"/>
  <c r="C2531" i="15"/>
  <c r="D2531" i="15"/>
  <c r="E2531" i="15"/>
  <c r="F2531" i="15"/>
  <c r="G2531" i="15"/>
  <c r="H2531" i="15"/>
  <c r="I2531" i="15"/>
  <c r="J2531" i="15"/>
  <c r="K2531" i="15"/>
  <c r="L2531" i="15"/>
  <c r="M2531" i="15"/>
  <c r="N2531" i="15"/>
  <c r="A2532" i="15"/>
  <c r="B2532" i="15"/>
  <c r="C2532" i="15"/>
  <c r="D2532" i="15"/>
  <c r="E2532" i="15"/>
  <c r="F2532" i="15"/>
  <c r="G2532" i="15"/>
  <c r="H2532" i="15"/>
  <c r="I2532" i="15"/>
  <c r="J2532" i="15"/>
  <c r="K2532" i="15"/>
  <c r="L2532" i="15"/>
  <c r="M2532" i="15"/>
  <c r="N2532" i="15"/>
  <c r="A2533" i="15"/>
  <c r="B2533" i="15"/>
  <c r="C2533" i="15"/>
  <c r="D2533" i="15"/>
  <c r="E2533" i="15"/>
  <c r="F2533" i="15"/>
  <c r="G2533" i="15"/>
  <c r="H2533" i="15"/>
  <c r="I2533" i="15"/>
  <c r="J2533" i="15"/>
  <c r="K2533" i="15"/>
  <c r="L2533" i="15"/>
  <c r="M2533" i="15"/>
  <c r="N2533" i="15"/>
  <c r="A2534" i="15"/>
  <c r="B2534" i="15"/>
  <c r="C2534" i="15"/>
  <c r="D2534" i="15"/>
  <c r="E2534" i="15"/>
  <c r="F2534" i="15"/>
  <c r="G2534" i="15"/>
  <c r="H2534" i="15"/>
  <c r="I2534" i="15"/>
  <c r="J2534" i="15"/>
  <c r="K2534" i="15"/>
  <c r="L2534" i="15"/>
  <c r="M2534" i="15"/>
  <c r="N2534" i="15"/>
  <c r="A2535" i="15"/>
  <c r="B2535" i="15"/>
  <c r="C2535" i="15"/>
  <c r="D2535" i="15"/>
  <c r="E2535" i="15"/>
  <c r="F2535" i="15"/>
  <c r="G2535" i="15"/>
  <c r="H2535" i="15"/>
  <c r="I2535" i="15"/>
  <c r="J2535" i="15"/>
  <c r="K2535" i="15"/>
  <c r="L2535" i="15"/>
  <c r="M2535" i="15"/>
  <c r="N2535" i="15"/>
  <c r="A2536" i="15"/>
  <c r="B2536" i="15"/>
  <c r="C2536" i="15"/>
  <c r="D2536" i="15"/>
  <c r="E2536" i="15"/>
  <c r="F2536" i="15"/>
  <c r="G2536" i="15"/>
  <c r="H2536" i="15"/>
  <c r="I2536" i="15"/>
  <c r="J2536" i="15"/>
  <c r="K2536" i="15"/>
  <c r="L2536" i="15"/>
  <c r="M2536" i="15"/>
  <c r="N2536" i="15"/>
  <c r="A2537" i="15"/>
  <c r="B2537" i="15"/>
  <c r="C2537" i="15"/>
  <c r="D2537" i="15"/>
  <c r="E2537" i="15"/>
  <c r="F2537" i="15"/>
  <c r="G2537" i="15"/>
  <c r="H2537" i="15"/>
  <c r="I2537" i="15"/>
  <c r="J2537" i="15"/>
  <c r="K2537" i="15"/>
  <c r="L2537" i="15"/>
  <c r="M2537" i="15"/>
  <c r="N2537" i="15"/>
  <c r="A2538" i="15"/>
  <c r="B2538" i="15"/>
  <c r="C2538" i="15"/>
  <c r="D2538" i="15"/>
  <c r="E2538" i="15"/>
  <c r="F2538" i="15"/>
  <c r="G2538" i="15"/>
  <c r="H2538" i="15"/>
  <c r="I2538" i="15"/>
  <c r="J2538" i="15"/>
  <c r="K2538" i="15"/>
  <c r="L2538" i="15"/>
  <c r="M2538" i="15"/>
  <c r="N2538" i="15"/>
  <c r="A2539" i="15"/>
  <c r="B2539" i="15"/>
  <c r="C2539" i="15"/>
  <c r="D2539" i="15"/>
  <c r="E2539" i="15"/>
  <c r="F2539" i="15"/>
  <c r="G2539" i="15"/>
  <c r="H2539" i="15"/>
  <c r="I2539" i="15"/>
  <c r="J2539" i="15"/>
  <c r="K2539" i="15"/>
  <c r="L2539" i="15"/>
  <c r="M2539" i="15"/>
  <c r="N2539" i="15"/>
  <c r="A2540" i="15"/>
  <c r="B2540" i="15"/>
  <c r="C2540" i="15"/>
  <c r="D2540" i="15"/>
  <c r="E2540" i="15"/>
  <c r="F2540" i="15"/>
  <c r="G2540" i="15"/>
  <c r="H2540" i="15"/>
  <c r="I2540" i="15"/>
  <c r="J2540" i="15"/>
  <c r="K2540" i="15"/>
  <c r="L2540" i="15"/>
  <c r="M2540" i="15"/>
  <c r="N2540" i="15"/>
  <c r="A2541" i="15"/>
  <c r="B2541" i="15"/>
  <c r="C2541" i="15"/>
  <c r="D2541" i="15"/>
  <c r="E2541" i="15"/>
  <c r="F2541" i="15"/>
  <c r="G2541" i="15"/>
  <c r="H2541" i="15"/>
  <c r="I2541" i="15"/>
  <c r="J2541" i="15"/>
  <c r="K2541" i="15"/>
  <c r="L2541" i="15"/>
  <c r="M2541" i="15"/>
  <c r="N2541" i="15"/>
  <c r="A2542" i="15"/>
  <c r="B2542" i="15"/>
  <c r="C2542" i="15"/>
  <c r="D2542" i="15"/>
  <c r="E2542" i="15"/>
  <c r="F2542" i="15"/>
  <c r="G2542" i="15"/>
  <c r="H2542" i="15"/>
  <c r="I2542" i="15"/>
  <c r="J2542" i="15"/>
  <c r="K2542" i="15"/>
  <c r="L2542" i="15"/>
  <c r="M2542" i="15"/>
  <c r="N2542" i="15"/>
  <c r="A2543" i="15"/>
  <c r="B2543" i="15"/>
  <c r="C2543" i="15"/>
  <c r="D2543" i="15"/>
  <c r="E2543" i="15"/>
  <c r="F2543" i="15"/>
  <c r="G2543" i="15"/>
  <c r="H2543" i="15"/>
  <c r="I2543" i="15"/>
  <c r="J2543" i="15"/>
  <c r="K2543" i="15"/>
  <c r="L2543" i="15"/>
  <c r="M2543" i="15"/>
  <c r="N2543" i="15"/>
  <c r="A2544" i="15"/>
  <c r="B2544" i="15"/>
  <c r="C2544" i="15"/>
  <c r="D2544" i="15"/>
  <c r="E2544" i="15"/>
  <c r="F2544" i="15"/>
  <c r="G2544" i="15"/>
  <c r="H2544" i="15"/>
  <c r="I2544" i="15"/>
  <c r="J2544" i="15"/>
  <c r="K2544" i="15"/>
  <c r="L2544" i="15"/>
  <c r="M2544" i="15"/>
  <c r="N2544" i="15"/>
  <c r="A2545" i="15"/>
  <c r="B2545" i="15"/>
  <c r="C2545" i="15"/>
  <c r="D2545" i="15"/>
  <c r="E2545" i="15"/>
  <c r="F2545" i="15"/>
  <c r="G2545" i="15"/>
  <c r="H2545" i="15"/>
  <c r="I2545" i="15"/>
  <c r="J2545" i="15"/>
  <c r="K2545" i="15"/>
  <c r="L2545" i="15"/>
  <c r="M2545" i="15"/>
  <c r="N2545" i="15"/>
  <c r="A2546" i="15"/>
  <c r="B2546" i="15"/>
  <c r="C2546" i="15"/>
  <c r="D2546" i="15"/>
  <c r="E2546" i="15"/>
  <c r="F2546" i="15"/>
  <c r="G2546" i="15"/>
  <c r="H2546" i="15"/>
  <c r="I2546" i="15"/>
  <c r="J2546" i="15"/>
  <c r="K2546" i="15"/>
  <c r="L2546" i="15"/>
  <c r="M2546" i="15"/>
  <c r="N2546" i="15"/>
  <c r="A2547" i="15"/>
  <c r="B2547" i="15"/>
  <c r="C2547" i="15"/>
  <c r="D2547" i="15"/>
  <c r="E2547" i="15"/>
  <c r="F2547" i="15"/>
  <c r="G2547" i="15"/>
  <c r="H2547" i="15"/>
  <c r="I2547" i="15"/>
  <c r="J2547" i="15"/>
  <c r="K2547" i="15"/>
  <c r="L2547" i="15"/>
  <c r="M2547" i="15"/>
  <c r="N2547" i="15"/>
  <c r="A2548" i="15"/>
  <c r="B2548" i="15"/>
  <c r="C2548" i="15"/>
  <c r="D2548" i="15"/>
  <c r="E2548" i="15"/>
  <c r="F2548" i="15"/>
  <c r="G2548" i="15"/>
  <c r="H2548" i="15"/>
  <c r="I2548" i="15"/>
  <c r="J2548" i="15"/>
  <c r="K2548" i="15"/>
  <c r="L2548" i="15"/>
  <c r="M2548" i="15"/>
  <c r="N2548" i="15"/>
  <c r="A2549" i="15"/>
  <c r="B2549" i="15"/>
  <c r="C2549" i="15"/>
  <c r="D2549" i="15"/>
  <c r="E2549" i="15"/>
  <c r="F2549" i="15"/>
  <c r="G2549" i="15"/>
  <c r="H2549" i="15"/>
  <c r="I2549" i="15"/>
  <c r="J2549" i="15"/>
  <c r="K2549" i="15"/>
  <c r="L2549" i="15"/>
  <c r="M2549" i="15"/>
  <c r="N2549" i="15"/>
  <c r="A2550" i="15"/>
  <c r="B2550" i="15"/>
  <c r="C2550" i="15"/>
  <c r="D2550" i="15"/>
  <c r="E2550" i="15"/>
  <c r="F2550" i="15"/>
  <c r="G2550" i="15"/>
  <c r="H2550" i="15"/>
  <c r="I2550" i="15"/>
  <c r="J2550" i="15"/>
  <c r="K2550" i="15"/>
  <c r="L2550" i="15"/>
  <c r="M2550" i="15"/>
  <c r="N2550" i="15"/>
  <c r="A2551" i="15"/>
  <c r="B2551" i="15"/>
  <c r="C2551" i="15"/>
  <c r="D2551" i="15"/>
  <c r="E2551" i="15"/>
  <c r="F2551" i="15"/>
  <c r="G2551" i="15"/>
  <c r="H2551" i="15"/>
  <c r="I2551" i="15"/>
  <c r="J2551" i="15"/>
  <c r="K2551" i="15"/>
  <c r="L2551" i="15"/>
  <c r="M2551" i="15"/>
  <c r="N2551" i="15"/>
  <c r="A2552" i="15"/>
  <c r="B2552" i="15"/>
  <c r="C2552" i="15"/>
  <c r="D2552" i="15"/>
  <c r="E2552" i="15"/>
  <c r="F2552" i="15"/>
  <c r="G2552" i="15"/>
  <c r="H2552" i="15"/>
  <c r="I2552" i="15"/>
  <c r="J2552" i="15"/>
  <c r="K2552" i="15"/>
  <c r="L2552" i="15"/>
  <c r="M2552" i="15"/>
  <c r="N2552" i="15"/>
  <c r="A2553" i="15"/>
  <c r="B2553" i="15"/>
  <c r="C2553" i="15"/>
  <c r="D2553" i="15"/>
  <c r="E2553" i="15"/>
  <c r="F2553" i="15"/>
  <c r="G2553" i="15"/>
  <c r="H2553" i="15"/>
  <c r="I2553" i="15"/>
  <c r="J2553" i="15"/>
  <c r="K2553" i="15"/>
  <c r="L2553" i="15"/>
  <c r="M2553" i="15"/>
  <c r="N2553" i="15"/>
  <c r="A2554" i="15"/>
  <c r="B2554" i="15"/>
  <c r="C2554" i="15"/>
  <c r="D2554" i="15"/>
  <c r="E2554" i="15"/>
  <c r="F2554" i="15"/>
  <c r="G2554" i="15"/>
  <c r="H2554" i="15"/>
  <c r="I2554" i="15"/>
  <c r="J2554" i="15"/>
  <c r="K2554" i="15"/>
  <c r="L2554" i="15"/>
  <c r="M2554" i="15"/>
  <c r="N2554" i="15"/>
  <c r="A2555" i="15"/>
  <c r="B2555" i="15"/>
  <c r="C2555" i="15"/>
  <c r="D2555" i="15"/>
  <c r="E2555" i="15"/>
  <c r="F2555" i="15"/>
  <c r="G2555" i="15"/>
  <c r="H2555" i="15"/>
  <c r="I2555" i="15"/>
  <c r="J2555" i="15"/>
  <c r="K2555" i="15"/>
  <c r="L2555" i="15"/>
  <c r="M2555" i="15"/>
  <c r="N2555" i="15"/>
  <c r="A2556" i="15"/>
  <c r="B2556" i="15"/>
  <c r="C2556" i="15"/>
  <c r="D2556" i="15"/>
  <c r="E2556" i="15"/>
  <c r="F2556" i="15"/>
  <c r="G2556" i="15"/>
  <c r="H2556" i="15"/>
  <c r="I2556" i="15"/>
  <c r="J2556" i="15"/>
  <c r="K2556" i="15"/>
  <c r="L2556" i="15"/>
  <c r="M2556" i="15"/>
  <c r="N2556" i="15"/>
  <c r="A2557" i="15"/>
  <c r="B2557" i="15"/>
  <c r="C2557" i="15"/>
  <c r="D2557" i="15"/>
  <c r="E2557" i="15"/>
  <c r="F2557" i="15"/>
  <c r="G2557" i="15"/>
  <c r="H2557" i="15"/>
  <c r="I2557" i="15"/>
  <c r="J2557" i="15"/>
  <c r="K2557" i="15"/>
  <c r="L2557" i="15"/>
  <c r="M2557" i="15"/>
  <c r="N2557" i="15"/>
  <c r="A2558" i="15"/>
  <c r="B2558" i="15"/>
  <c r="C2558" i="15"/>
  <c r="D2558" i="15"/>
  <c r="E2558" i="15"/>
  <c r="F2558" i="15"/>
  <c r="G2558" i="15"/>
  <c r="H2558" i="15"/>
  <c r="I2558" i="15"/>
  <c r="J2558" i="15"/>
  <c r="K2558" i="15"/>
  <c r="L2558" i="15"/>
  <c r="M2558" i="15"/>
  <c r="N2558" i="15"/>
  <c r="A2559" i="15"/>
  <c r="B2559" i="15"/>
  <c r="C2559" i="15"/>
  <c r="D2559" i="15"/>
  <c r="E2559" i="15"/>
  <c r="F2559" i="15"/>
  <c r="G2559" i="15"/>
  <c r="H2559" i="15"/>
  <c r="I2559" i="15"/>
  <c r="J2559" i="15"/>
  <c r="K2559" i="15"/>
  <c r="L2559" i="15"/>
  <c r="M2559" i="15"/>
  <c r="N2559" i="15"/>
  <c r="A2560" i="15"/>
  <c r="B2560" i="15"/>
  <c r="C2560" i="15"/>
  <c r="D2560" i="15"/>
  <c r="E2560" i="15"/>
  <c r="F2560" i="15"/>
  <c r="G2560" i="15"/>
  <c r="H2560" i="15"/>
  <c r="I2560" i="15"/>
  <c r="J2560" i="15"/>
  <c r="K2560" i="15"/>
  <c r="L2560" i="15"/>
  <c r="M2560" i="15"/>
  <c r="N2560" i="15"/>
  <c r="A2561" i="15"/>
  <c r="B2561" i="15"/>
  <c r="C2561" i="15"/>
  <c r="D2561" i="15"/>
  <c r="E2561" i="15"/>
  <c r="F2561" i="15"/>
  <c r="G2561" i="15"/>
  <c r="H2561" i="15"/>
  <c r="I2561" i="15"/>
  <c r="J2561" i="15"/>
  <c r="K2561" i="15"/>
  <c r="L2561" i="15"/>
  <c r="M2561" i="15"/>
  <c r="N2561" i="15"/>
  <c r="A2562" i="15"/>
  <c r="B2562" i="15"/>
  <c r="C2562" i="15"/>
  <c r="D2562" i="15"/>
  <c r="E2562" i="15"/>
  <c r="F2562" i="15"/>
  <c r="G2562" i="15"/>
  <c r="H2562" i="15"/>
  <c r="I2562" i="15"/>
  <c r="J2562" i="15"/>
  <c r="K2562" i="15"/>
  <c r="L2562" i="15"/>
  <c r="M2562" i="15"/>
  <c r="N2562" i="15"/>
  <c r="A2563" i="15"/>
  <c r="B2563" i="15"/>
  <c r="C2563" i="15"/>
  <c r="D2563" i="15"/>
  <c r="E2563" i="15"/>
  <c r="F2563" i="15"/>
  <c r="G2563" i="15"/>
  <c r="H2563" i="15"/>
  <c r="I2563" i="15"/>
  <c r="J2563" i="15"/>
  <c r="K2563" i="15"/>
  <c r="L2563" i="15"/>
  <c r="M2563" i="15"/>
  <c r="N2563" i="15"/>
  <c r="A2564" i="15"/>
  <c r="B2564" i="15"/>
  <c r="C2564" i="15"/>
  <c r="D2564" i="15"/>
  <c r="E2564" i="15"/>
  <c r="F2564" i="15"/>
  <c r="G2564" i="15"/>
  <c r="H2564" i="15"/>
  <c r="I2564" i="15"/>
  <c r="J2564" i="15"/>
  <c r="K2564" i="15"/>
  <c r="L2564" i="15"/>
  <c r="M2564" i="15"/>
  <c r="N2564" i="15"/>
  <c r="A2565" i="15"/>
  <c r="B2565" i="15"/>
  <c r="C2565" i="15"/>
  <c r="D2565" i="15"/>
  <c r="E2565" i="15"/>
  <c r="F2565" i="15"/>
  <c r="G2565" i="15"/>
  <c r="H2565" i="15"/>
  <c r="I2565" i="15"/>
  <c r="J2565" i="15"/>
  <c r="K2565" i="15"/>
  <c r="L2565" i="15"/>
  <c r="M2565" i="15"/>
  <c r="N2565" i="15"/>
  <c r="A2566" i="15"/>
  <c r="B2566" i="15"/>
  <c r="C2566" i="15"/>
  <c r="D2566" i="15"/>
  <c r="E2566" i="15"/>
  <c r="F2566" i="15"/>
  <c r="G2566" i="15"/>
  <c r="H2566" i="15"/>
  <c r="I2566" i="15"/>
  <c r="J2566" i="15"/>
  <c r="K2566" i="15"/>
  <c r="L2566" i="15"/>
  <c r="M2566" i="15"/>
  <c r="N2566" i="15"/>
  <c r="A2567" i="15"/>
  <c r="B2567" i="15"/>
  <c r="C2567" i="15"/>
  <c r="D2567" i="15"/>
  <c r="E2567" i="15"/>
  <c r="F2567" i="15"/>
  <c r="G2567" i="15"/>
  <c r="H2567" i="15"/>
  <c r="I2567" i="15"/>
  <c r="J2567" i="15"/>
  <c r="K2567" i="15"/>
  <c r="L2567" i="15"/>
  <c r="M2567" i="15"/>
  <c r="N2567" i="15"/>
  <c r="A2568" i="15"/>
  <c r="B2568" i="15"/>
  <c r="C2568" i="15"/>
  <c r="D2568" i="15"/>
  <c r="E2568" i="15"/>
  <c r="F2568" i="15"/>
  <c r="G2568" i="15"/>
  <c r="H2568" i="15"/>
  <c r="I2568" i="15"/>
  <c r="J2568" i="15"/>
  <c r="K2568" i="15"/>
  <c r="L2568" i="15"/>
  <c r="M2568" i="15"/>
  <c r="N2568" i="15"/>
  <c r="A2569" i="15"/>
  <c r="B2569" i="15"/>
  <c r="C2569" i="15"/>
  <c r="D2569" i="15"/>
  <c r="E2569" i="15"/>
  <c r="F2569" i="15"/>
  <c r="G2569" i="15"/>
  <c r="H2569" i="15"/>
  <c r="I2569" i="15"/>
  <c r="J2569" i="15"/>
  <c r="K2569" i="15"/>
  <c r="L2569" i="15"/>
  <c r="M2569" i="15"/>
  <c r="N2569" i="15"/>
  <c r="A2570" i="15"/>
  <c r="B2570" i="15"/>
  <c r="C2570" i="15"/>
  <c r="D2570" i="15"/>
  <c r="E2570" i="15"/>
  <c r="F2570" i="15"/>
  <c r="G2570" i="15"/>
  <c r="H2570" i="15"/>
  <c r="I2570" i="15"/>
  <c r="J2570" i="15"/>
  <c r="K2570" i="15"/>
  <c r="L2570" i="15"/>
  <c r="M2570" i="15"/>
  <c r="N2570" i="15"/>
  <c r="A2571" i="15"/>
  <c r="B2571" i="15"/>
  <c r="C2571" i="15"/>
  <c r="D2571" i="15"/>
  <c r="E2571" i="15"/>
  <c r="F2571" i="15"/>
  <c r="G2571" i="15"/>
  <c r="H2571" i="15"/>
  <c r="I2571" i="15"/>
  <c r="J2571" i="15"/>
  <c r="K2571" i="15"/>
  <c r="L2571" i="15"/>
  <c r="M2571" i="15"/>
  <c r="N2571" i="15"/>
  <c r="A2572" i="15"/>
  <c r="B2572" i="15"/>
  <c r="C2572" i="15"/>
  <c r="D2572" i="15"/>
  <c r="E2572" i="15"/>
  <c r="F2572" i="15"/>
  <c r="G2572" i="15"/>
  <c r="H2572" i="15"/>
  <c r="I2572" i="15"/>
  <c r="J2572" i="15"/>
  <c r="K2572" i="15"/>
  <c r="L2572" i="15"/>
  <c r="M2572" i="15"/>
  <c r="N2572" i="15"/>
  <c r="A2573" i="15"/>
  <c r="B2573" i="15"/>
  <c r="C2573" i="15"/>
  <c r="D2573" i="15"/>
  <c r="E2573" i="15"/>
  <c r="F2573" i="15"/>
  <c r="G2573" i="15"/>
  <c r="H2573" i="15"/>
  <c r="I2573" i="15"/>
  <c r="J2573" i="15"/>
  <c r="K2573" i="15"/>
  <c r="L2573" i="15"/>
  <c r="M2573" i="15"/>
  <c r="N2573" i="15"/>
  <c r="A2574" i="15"/>
  <c r="B2574" i="15"/>
  <c r="C2574" i="15"/>
  <c r="D2574" i="15"/>
  <c r="E2574" i="15"/>
  <c r="F2574" i="15"/>
  <c r="G2574" i="15"/>
  <c r="H2574" i="15"/>
  <c r="I2574" i="15"/>
  <c r="J2574" i="15"/>
  <c r="K2574" i="15"/>
  <c r="L2574" i="15"/>
  <c r="M2574" i="15"/>
  <c r="N2574" i="15"/>
  <c r="A2575" i="15"/>
  <c r="B2575" i="15"/>
  <c r="C2575" i="15"/>
  <c r="D2575" i="15"/>
  <c r="E2575" i="15"/>
  <c r="F2575" i="15"/>
  <c r="G2575" i="15"/>
  <c r="H2575" i="15"/>
  <c r="I2575" i="15"/>
  <c r="J2575" i="15"/>
  <c r="K2575" i="15"/>
  <c r="L2575" i="15"/>
  <c r="M2575" i="15"/>
  <c r="N2575" i="15"/>
  <c r="A2576" i="15"/>
  <c r="B2576" i="15"/>
  <c r="C2576" i="15"/>
  <c r="D2576" i="15"/>
  <c r="E2576" i="15"/>
  <c r="F2576" i="15"/>
  <c r="G2576" i="15"/>
  <c r="H2576" i="15"/>
  <c r="I2576" i="15"/>
  <c r="J2576" i="15"/>
  <c r="K2576" i="15"/>
  <c r="L2576" i="15"/>
  <c r="M2576" i="15"/>
  <c r="N2576" i="15"/>
  <c r="A2577" i="15"/>
  <c r="B2577" i="15"/>
  <c r="C2577" i="15"/>
  <c r="D2577" i="15"/>
  <c r="E2577" i="15"/>
  <c r="F2577" i="15"/>
  <c r="G2577" i="15"/>
  <c r="H2577" i="15"/>
  <c r="I2577" i="15"/>
  <c r="J2577" i="15"/>
  <c r="K2577" i="15"/>
  <c r="L2577" i="15"/>
  <c r="M2577" i="15"/>
  <c r="N2577" i="15"/>
  <c r="A2578" i="15"/>
  <c r="B2578" i="15"/>
  <c r="C2578" i="15"/>
  <c r="D2578" i="15"/>
  <c r="E2578" i="15"/>
  <c r="F2578" i="15"/>
  <c r="G2578" i="15"/>
  <c r="H2578" i="15"/>
  <c r="I2578" i="15"/>
  <c r="J2578" i="15"/>
  <c r="K2578" i="15"/>
  <c r="L2578" i="15"/>
  <c r="M2578" i="15"/>
  <c r="N2578" i="15"/>
  <c r="A2579" i="15"/>
  <c r="B2579" i="15"/>
  <c r="C2579" i="15"/>
  <c r="D2579" i="15"/>
  <c r="E2579" i="15"/>
  <c r="F2579" i="15"/>
  <c r="G2579" i="15"/>
  <c r="H2579" i="15"/>
  <c r="I2579" i="15"/>
  <c r="J2579" i="15"/>
  <c r="K2579" i="15"/>
  <c r="L2579" i="15"/>
  <c r="M2579" i="15"/>
  <c r="N2579" i="15"/>
  <c r="A2580" i="15"/>
  <c r="B2580" i="15"/>
  <c r="C2580" i="15"/>
  <c r="D2580" i="15"/>
  <c r="E2580" i="15"/>
  <c r="F2580" i="15"/>
  <c r="G2580" i="15"/>
  <c r="H2580" i="15"/>
  <c r="I2580" i="15"/>
  <c r="J2580" i="15"/>
  <c r="K2580" i="15"/>
  <c r="L2580" i="15"/>
  <c r="M2580" i="15"/>
  <c r="N2580" i="15"/>
  <c r="A2581" i="15"/>
  <c r="B2581" i="15"/>
  <c r="C2581" i="15"/>
  <c r="D2581" i="15"/>
  <c r="E2581" i="15"/>
  <c r="F2581" i="15"/>
  <c r="G2581" i="15"/>
  <c r="H2581" i="15"/>
  <c r="I2581" i="15"/>
  <c r="J2581" i="15"/>
  <c r="K2581" i="15"/>
  <c r="L2581" i="15"/>
  <c r="M2581" i="15"/>
  <c r="N2581" i="15"/>
  <c r="A2582" i="15"/>
  <c r="B2582" i="15"/>
  <c r="C2582" i="15"/>
  <c r="D2582" i="15"/>
  <c r="E2582" i="15"/>
  <c r="F2582" i="15"/>
  <c r="G2582" i="15"/>
  <c r="H2582" i="15"/>
  <c r="I2582" i="15"/>
  <c r="J2582" i="15"/>
  <c r="K2582" i="15"/>
  <c r="L2582" i="15"/>
  <c r="M2582" i="15"/>
  <c r="N2582" i="15"/>
  <c r="A2583" i="15"/>
  <c r="B2583" i="15"/>
  <c r="C2583" i="15"/>
  <c r="D2583" i="15"/>
  <c r="E2583" i="15"/>
  <c r="F2583" i="15"/>
  <c r="G2583" i="15"/>
  <c r="H2583" i="15"/>
  <c r="I2583" i="15"/>
  <c r="J2583" i="15"/>
  <c r="K2583" i="15"/>
  <c r="L2583" i="15"/>
  <c r="M2583" i="15"/>
  <c r="N2583" i="15"/>
  <c r="A2584" i="15"/>
  <c r="B2584" i="15"/>
  <c r="C2584" i="15"/>
  <c r="D2584" i="15"/>
  <c r="E2584" i="15"/>
  <c r="F2584" i="15"/>
  <c r="G2584" i="15"/>
  <c r="H2584" i="15"/>
  <c r="I2584" i="15"/>
  <c r="J2584" i="15"/>
  <c r="K2584" i="15"/>
  <c r="L2584" i="15"/>
  <c r="M2584" i="15"/>
  <c r="N2584" i="15"/>
  <c r="A2585" i="15"/>
  <c r="B2585" i="15"/>
  <c r="C2585" i="15"/>
  <c r="D2585" i="15"/>
  <c r="E2585" i="15"/>
  <c r="F2585" i="15"/>
  <c r="G2585" i="15"/>
  <c r="H2585" i="15"/>
  <c r="I2585" i="15"/>
  <c r="J2585" i="15"/>
  <c r="K2585" i="15"/>
  <c r="L2585" i="15"/>
  <c r="M2585" i="15"/>
  <c r="N2585" i="15"/>
  <c r="A2586" i="15"/>
  <c r="B2586" i="15"/>
  <c r="C2586" i="15"/>
  <c r="D2586" i="15"/>
  <c r="E2586" i="15"/>
  <c r="F2586" i="15"/>
  <c r="G2586" i="15"/>
  <c r="H2586" i="15"/>
  <c r="I2586" i="15"/>
  <c r="J2586" i="15"/>
  <c r="K2586" i="15"/>
  <c r="L2586" i="15"/>
  <c r="M2586" i="15"/>
  <c r="N2586" i="15"/>
  <c r="A2587" i="15"/>
  <c r="B2587" i="15"/>
  <c r="C2587" i="15"/>
  <c r="D2587" i="15"/>
  <c r="E2587" i="15"/>
  <c r="F2587" i="15"/>
  <c r="G2587" i="15"/>
  <c r="H2587" i="15"/>
  <c r="I2587" i="15"/>
  <c r="J2587" i="15"/>
  <c r="K2587" i="15"/>
  <c r="L2587" i="15"/>
  <c r="M2587" i="15"/>
  <c r="N2587" i="15"/>
  <c r="A2588" i="15"/>
  <c r="B2588" i="15"/>
  <c r="C2588" i="15"/>
  <c r="D2588" i="15"/>
  <c r="E2588" i="15"/>
  <c r="F2588" i="15"/>
  <c r="G2588" i="15"/>
  <c r="H2588" i="15"/>
  <c r="I2588" i="15"/>
  <c r="J2588" i="15"/>
  <c r="K2588" i="15"/>
  <c r="L2588" i="15"/>
  <c r="M2588" i="15"/>
  <c r="N2588" i="15"/>
  <c r="A2589" i="15"/>
  <c r="B2589" i="15"/>
  <c r="C2589" i="15"/>
  <c r="D2589" i="15"/>
  <c r="E2589" i="15"/>
  <c r="F2589" i="15"/>
  <c r="G2589" i="15"/>
  <c r="H2589" i="15"/>
  <c r="I2589" i="15"/>
  <c r="J2589" i="15"/>
  <c r="K2589" i="15"/>
  <c r="L2589" i="15"/>
  <c r="M2589" i="15"/>
  <c r="N2589" i="15"/>
  <c r="A2590" i="15"/>
  <c r="B2590" i="15"/>
  <c r="C2590" i="15"/>
  <c r="D2590" i="15"/>
  <c r="E2590" i="15"/>
  <c r="F2590" i="15"/>
  <c r="G2590" i="15"/>
  <c r="H2590" i="15"/>
  <c r="I2590" i="15"/>
  <c r="J2590" i="15"/>
  <c r="K2590" i="15"/>
  <c r="L2590" i="15"/>
  <c r="M2590" i="15"/>
  <c r="N2590" i="15"/>
  <c r="A2591" i="15"/>
  <c r="B2591" i="15"/>
  <c r="C2591" i="15"/>
  <c r="D2591" i="15"/>
  <c r="E2591" i="15"/>
  <c r="F2591" i="15"/>
  <c r="G2591" i="15"/>
  <c r="H2591" i="15"/>
  <c r="I2591" i="15"/>
  <c r="J2591" i="15"/>
  <c r="K2591" i="15"/>
  <c r="L2591" i="15"/>
  <c r="M2591" i="15"/>
  <c r="N2591" i="15"/>
  <c r="A2592" i="15"/>
  <c r="B2592" i="15"/>
  <c r="C2592" i="15"/>
  <c r="D2592" i="15"/>
  <c r="E2592" i="15"/>
  <c r="F2592" i="15"/>
  <c r="G2592" i="15"/>
  <c r="H2592" i="15"/>
  <c r="I2592" i="15"/>
  <c r="J2592" i="15"/>
  <c r="K2592" i="15"/>
  <c r="L2592" i="15"/>
  <c r="M2592" i="15"/>
  <c r="N2592" i="15"/>
  <c r="A2593" i="15"/>
  <c r="B2593" i="15"/>
  <c r="C2593" i="15"/>
  <c r="D2593" i="15"/>
  <c r="E2593" i="15"/>
  <c r="F2593" i="15"/>
  <c r="G2593" i="15"/>
  <c r="H2593" i="15"/>
  <c r="I2593" i="15"/>
  <c r="J2593" i="15"/>
  <c r="K2593" i="15"/>
  <c r="L2593" i="15"/>
  <c r="M2593" i="15"/>
  <c r="N2593" i="15"/>
  <c r="A2594" i="15"/>
  <c r="B2594" i="15"/>
  <c r="C2594" i="15"/>
  <c r="D2594" i="15"/>
  <c r="E2594" i="15"/>
  <c r="F2594" i="15"/>
  <c r="G2594" i="15"/>
  <c r="H2594" i="15"/>
  <c r="I2594" i="15"/>
  <c r="J2594" i="15"/>
  <c r="K2594" i="15"/>
  <c r="L2594" i="15"/>
  <c r="M2594" i="15"/>
  <c r="N2594" i="15"/>
  <c r="A2595" i="15"/>
  <c r="B2595" i="15"/>
  <c r="C2595" i="15"/>
  <c r="D2595" i="15"/>
  <c r="E2595" i="15"/>
  <c r="F2595" i="15"/>
  <c r="G2595" i="15"/>
  <c r="H2595" i="15"/>
  <c r="I2595" i="15"/>
  <c r="J2595" i="15"/>
  <c r="K2595" i="15"/>
  <c r="L2595" i="15"/>
  <c r="M2595" i="15"/>
  <c r="N2595" i="15"/>
  <c r="A2596" i="15"/>
  <c r="B2596" i="15"/>
  <c r="C2596" i="15"/>
  <c r="D2596" i="15"/>
  <c r="E2596" i="15"/>
  <c r="F2596" i="15"/>
  <c r="G2596" i="15"/>
  <c r="H2596" i="15"/>
  <c r="I2596" i="15"/>
  <c r="J2596" i="15"/>
  <c r="K2596" i="15"/>
  <c r="L2596" i="15"/>
  <c r="M2596" i="15"/>
  <c r="N2596" i="15"/>
  <c r="A2597" i="15"/>
  <c r="B2597" i="15"/>
  <c r="C2597" i="15"/>
  <c r="D2597" i="15"/>
  <c r="E2597" i="15"/>
  <c r="F2597" i="15"/>
  <c r="G2597" i="15"/>
  <c r="H2597" i="15"/>
  <c r="I2597" i="15"/>
  <c r="J2597" i="15"/>
  <c r="K2597" i="15"/>
  <c r="L2597" i="15"/>
  <c r="M2597" i="15"/>
  <c r="N2597" i="15"/>
  <c r="A2598" i="15"/>
  <c r="B2598" i="15"/>
  <c r="C2598" i="15"/>
  <c r="D2598" i="15"/>
  <c r="E2598" i="15"/>
  <c r="F2598" i="15"/>
  <c r="G2598" i="15"/>
  <c r="H2598" i="15"/>
  <c r="I2598" i="15"/>
  <c r="J2598" i="15"/>
  <c r="K2598" i="15"/>
  <c r="L2598" i="15"/>
  <c r="M2598" i="15"/>
  <c r="N2598" i="15"/>
  <c r="A2599" i="15"/>
  <c r="B2599" i="15"/>
  <c r="C2599" i="15"/>
  <c r="D2599" i="15"/>
  <c r="E2599" i="15"/>
  <c r="F2599" i="15"/>
  <c r="G2599" i="15"/>
  <c r="H2599" i="15"/>
  <c r="I2599" i="15"/>
  <c r="J2599" i="15"/>
  <c r="K2599" i="15"/>
  <c r="L2599" i="15"/>
  <c r="M2599" i="15"/>
  <c r="N2599" i="15"/>
  <c r="A2600" i="15"/>
  <c r="B2600" i="15"/>
  <c r="C2600" i="15"/>
  <c r="D2600" i="15"/>
  <c r="E2600" i="15"/>
  <c r="F2600" i="15"/>
  <c r="G2600" i="15"/>
  <c r="H2600" i="15"/>
  <c r="I2600" i="15"/>
  <c r="J2600" i="15"/>
  <c r="K2600" i="15"/>
  <c r="L2600" i="15"/>
  <c r="M2600" i="15"/>
  <c r="N2600" i="15"/>
  <c r="A2601" i="15"/>
  <c r="B2601" i="15"/>
  <c r="C2601" i="15"/>
  <c r="D2601" i="15"/>
  <c r="E2601" i="15"/>
  <c r="F2601" i="15"/>
  <c r="G2601" i="15"/>
  <c r="H2601" i="15"/>
  <c r="I2601" i="15"/>
  <c r="J2601" i="15"/>
  <c r="K2601" i="15"/>
  <c r="L2601" i="15"/>
  <c r="M2601" i="15"/>
  <c r="N2601" i="15"/>
  <c r="A2602" i="15"/>
  <c r="B2602" i="15"/>
  <c r="C2602" i="15"/>
  <c r="D2602" i="15"/>
  <c r="E2602" i="15"/>
  <c r="F2602" i="15"/>
  <c r="G2602" i="15"/>
  <c r="H2602" i="15"/>
  <c r="I2602" i="15"/>
  <c r="J2602" i="15"/>
  <c r="K2602" i="15"/>
  <c r="L2602" i="15"/>
  <c r="M2602" i="15"/>
  <c r="N2602" i="15"/>
  <c r="A2603" i="15"/>
  <c r="B2603" i="15"/>
  <c r="C2603" i="15"/>
  <c r="D2603" i="15"/>
  <c r="E2603" i="15"/>
  <c r="F2603" i="15"/>
  <c r="G2603" i="15"/>
  <c r="H2603" i="15"/>
  <c r="I2603" i="15"/>
  <c r="J2603" i="15"/>
  <c r="K2603" i="15"/>
  <c r="L2603" i="15"/>
  <c r="M2603" i="15"/>
  <c r="N2603" i="15"/>
  <c r="A2604" i="15"/>
  <c r="B2604" i="15"/>
  <c r="C2604" i="15"/>
  <c r="D2604" i="15"/>
  <c r="E2604" i="15"/>
  <c r="F2604" i="15"/>
  <c r="G2604" i="15"/>
  <c r="H2604" i="15"/>
  <c r="I2604" i="15"/>
  <c r="J2604" i="15"/>
  <c r="K2604" i="15"/>
  <c r="L2604" i="15"/>
  <c r="M2604" i="15"/>
  <c r="N2604" i="15"/>
  <c r="A2605" i="15"/>
  <c r="B2605" i="15"/>
  <c r="C2605" i="15"/>
  <c r="D2605" i="15"/>
  <c r="E2605" i="15"/>
  <c r="F2605" i="15"/>
  <c r="G2605" i="15"/>
  <c r="H2605" i="15"/>
  <c r="I2605" i="15"/>
  <c r="J2605" i="15"/>
  <c r="K2605" i="15"/>
  <c r="L2605" i="15"/>
  <c r="M2605" i="15"/>
  <c r="N2605" i="15"/>
  <c r="A2606" i="15"/>
  <c r="B2606" i="15"/>
  <c r="C2606" i="15"/>
  <c r="D2606" i="15"/>
  <c r="E2606" i="15"/>
  <c r="F2606" i="15"/>
  <c r="G2606" i="15"/>
  <c r="H2606" i="15"/>
  <c r="I2606" i="15"/>
  <c r="J2606" i="15"/>
  <c r="K2606" i="15"/>
  <c r="L2606" i="15"/>
  <c r="M2606" i="15"/>
  <c r="N2606" i="15"/>
  <c r="A2607" i="15"/>
  <c r="B2607" i="15"/>
  <c r="C2607" i="15"/>
  <c r="D2607" i="15"/>
  <c r="E2607" i="15"/>
  <c r="F2607" i="15"/>
  <c r="G2607" i="15"/>
  <c r="H2607" i="15"/>
  <c r="I2607" i="15"/>
  <c r="J2607" i="15"/>
  <c r="K2607" i="15"/>
  <c r="L2607" i="15"/>
  <c r="M2607" i="15"/>
  <c r="N2607" i="15"/>
  <c r="A2608" i="15"/>
  <c r="B2608" i="15"/>
  <c r="C2608" i="15"/>
  <c r="D2608" i="15"/>
  <c r="E2608" i="15"/>
  <c r="F2608" i="15"/>
  <c r="G2608" i="15"/>
  <c r="H2608" i="15"/>
  <c r="I2608" i="15"/>
  <c r="J2608" i="15"/>
  <c r="K2608" i="15"/>
  <c r="L2608" i="15"/>
  <c r="M2608" i="15"/>
  <c r="N2608" i="15"/>
  <c r="A2609" i="15"/>
  <c r="B2609" i="15"/>
  <c r="C2609" i="15"/>
  <c r="D2609" i="15"/>
  <c r="E2609" i="15"/>
  <c r="F2609" i="15"/>
  <c r="G2609" i="15"/>
  <c r="H2609" i="15"/>
  <c r="I2609" i="15"/>
  <c r="J2609" i="15"/>
  <c r="K2609" i="15"/>
  <c r="L2609" i="15"/>
  <c r="M2609" i="15"/>
  <c r="N2609" i="15"/>
  <c r="A2610" i="15"/>
  <c r="B2610" i="15"/>
  <c r="C2610" i="15"/>
  <c r="D2610" i="15"/>
  <c r="E2610" i="15"/>
  <c r="F2610" i="15"/>
  <c r="G2610" i="15"/>
  <c r="H2610" i="15"/>
  <c r="I2610" i="15"/>
  <c r="J2610" i="15"/>
  <c r="K2610" i="15"/>
  <c r="L2610" i="15"/>
  <c r="M2610" i="15"/>
  <c r="N2610" i="15"/>
  <c r="A2611" i="15"/>
  <c r="B2611" i="15"/>
  <c r="C2611" i="15"/>
  <c r="D2611" i="15"/>
  <c r="E2611" i="15"/>
  <c r="F2611" i="15"/>
  <c r="G2611" i="15"/>
  <c r="H2611" i="15"/>
  <c r="I2611" i="15"/>
  <c r="J2611" i="15"/>
  <c r="K2611" i="15"/>
  <c r="L2611" i="15"/>
  <c r="M2611" i="15"/>
  <c r="N2611" i="15"/>
  <c r="A2612" i="15"/>
  <c r="B2612" i="15"/>
  <c r="C2612" i="15"/>
  <c r="D2612" i="15"/>
  <c r="E2612" i="15"/>
  <c r="F2612" i="15"/>
  <c r="G2612" i="15"/>
  <c r="H2612" i="15"/>
  <c r="I2612" i="15"/>
  <c r="J2612" i="15"/>
  <c r="K2612" i="15"/>
  <c r="L2612" i="15"/>
  <c r="M2612" i="15"/>
  <c r="N2612" i="15"/>
  <c r="A2613" i="15"/>
  <c r="B2613" i="15"/>
  <c r="C2613" i="15"/>
  <c r="D2613" i="15"/>
  <c r="E2613" i="15"/>
  <c r="F2613" i="15"/>
  <c r="G2613" i="15"/>
  <c r="H2613" i="15"/>
  <c r="I2613" i="15"/>
  <c r="J2613" i="15"/>
  <c r="K2613" i="15"/>
  <c r="L2613" i="15"/>
  <c r="M2613" i="15"/>
  <c r="N2613" i="15"/>
  <c r="A2614" i="15"/>
  <c r="B2614" i="15"/>
  <c r="C2614" i="15"/>
  <c r="D2614" i="15"/>
  <c r="E2614" i="15"/>
  <c r="F2614" i="15"/>
  <c r="G2614" i="15"/>
  <c r="H2614" i="15"/>
  <c r="I2614" i="15"/>
  <c r="J2614" i="15"/>
  <c r="K2614" i="15"/>
  <c r="L2614" i="15"/>
  <c r="M2614" i="15"/>
  <c r="N2614" i="15"/>
  <c r="A2615" i="15"/>
  <c r="B2615" i="15"/>
  <c r="C2615" i="15"/>
  <c r="D2615" i="15"/>
  <c r="E2615" i="15"/>
  <c r="F2615" i="15"/>
  <c r="G2615" i="15"/>
  <c r="H2615" i="15"/>
  <c r="I2615" i="15"/>
  <c r="J2615" i="15"/>
  <c r="K2615" i="15"/>
  <c r="L2615" i="15"/>
  <c r="M2615" i="15"/>
  <c r="N2615" i="15"/>
  <c r="A2616" i="15"/>
  <c r="B2616" i="15"/>
  <c r="C2616" i="15"/>
  <c r="D2616" i="15"/>
  <c r="E2616" i="15"/>
  <c r="F2616" i="15"/>
  <c r="G2616" i="15"/>
  <c r="H2616" i="15"/>
  <c r="I2616" i="15"/>
  <c r="J2616" i="15"/>
  <c r="K2616" i="15"/>
  <c r="L2616" i="15"/>
  <c r="M2616" i="15"/>
  <c r="N2616" i="15"/>
  <c r="A2617" i="15"/>
  <c r="B2617" i="15"/>
  <c r="C2617" i="15"/>
  <c r="D2617" i="15"/>
  <c r="E2617" i="15"/>
  <c r="F2617" i="15"/>
  <c r="G2617" i="15"/>
  <c r="H2617" i="15"/>
  <c r="I2617" i="15"/>
  <c r="J2617" i="15"/>
  <c r="K2617" i="15"/>
  <c r="L2617" i="15"/>
  <c r="M2617" i="15"/>
  <c r="N2617" i="15"/>
  <c r="A2618" i="15"/>
  <c r="B2618" i="15"/>
  <c r="C2618" i="15"/>
  <c r="D2618" i="15"/>
  <c r="E2618" i="15"/>
  <c r="F2618" i="15"/>
  <c r="G2618" i="15"/>
  <c r="H2618" i="15"/>
  <c r="I2618" i="15"/>
  <c r="J2618" i="15"/>
  <c r="K2618" i="15"/>
  <c r="L2618" i="15"/>
  <c r="M2618" i="15"/>
  <c r="N2618" i="15"/>
  <c r="A2619" i="15"/>
  <c r="B2619" i="15"/>
  <c r="C2619" i="15"/>
  <c r="D2619" i="15"/>
  <c r="E2619" i="15"/>
  <c r="F2619" i="15"/>
  <c r="G2619" i="15"/>
  <c r="H2619" i="15"/>
  <c r="I2619" i="15"/>
  <c r="J2619" i="15"/>
  <c r="K2619" i="15"/>
  <c r="L2619" i="15"/>
  <c r="M2619" i="15"/>
  <c r="N2619" i="15"/>
  <c r="A2620" i="15"/>
  <c r="B2620" i="15"/>
  <c r="C2620" i="15"/>
  <c r="D2620" i="15"/>
  <c r="E2620" i="15"/>
  <c r="F2620" i="15"/>
  <c r="G2620" i="15"/>
  <c r="H2620" i="15"/>
  <c r="I2620" i="15"/>
  <c r="J2620" i="15"/>
  <c r="K2620" i="15"/>
  <c r="L2620" i="15"/>
  <c r="M2620" i="15"/>
  <c r="N2620" i="15"/>
  <c r="A2621" i="15"/>
  <c r="B2621" i="15"/>
  <c r="C2621" i="15"/>
  <c r="D2621" i="15"/>
  <c r="E2621" i="15"/>
  <c r="F2621" i="15"/>
  <c r="G2621" i="15"/>
  <c r="H2621" i="15"/>
  <c r="I2621" i="15"/>
  <c r="J2621" i="15"/>
  <c r="K2621" i="15"/>
  <c r="L2621" i="15"/>
  <c r="M2621" i="15"/>
  <c r="N2621" i="15"/>
  <c r="A2622" i="15"/>
  <c r="B2622" i="15"/>
  <c r="C2622" i="15"/>
  <c r="D2622" i="15"/>
  <c r="E2622" i="15"/>
  <c r="F2622" i="15"/>
  <c r="G2622" i="15"/>
  <c r="H2622" i="15"/>
  <c r="I2622" i="15"/>
  <c r="J2622" i="15"/>
  <c r="K2622" i="15"/>
  <c r="L2622" i="15"/>
  <c r="M2622" i="15"/>
  <c r="N2622" i="15"/>
  <c r="A2623" i="15"/>
  <c r="B2623" i="15"/>
  <c r="C2623" i="15"/>
  <c r="D2623" i="15"/>
  <c r="E2623" i="15"/>
  <c r="F2623" i="15"/>
  <c r="G2623" i="15"/>
  <c r="H2623" i="15"/>
  <c r="I2623" i="15"/>
  <c r="J2623" i="15"/>
  <c r="K2623" i="15"/>
  <c r="L2623" i="15"/>
  <c r="M2623" i="15"/>
  <c r="N2623" i="15"/>
  <c r="A2624" i="15"/>
  <c r="B2624" i="15"/>
  <c r="C2624" i="15"/>
  <c r="D2624" i="15"/>
  <c r="E2624" i="15"/>
  <c r="F2624" i="15"/>
  <c r="G2624" i="15"/>
  <c r="H2624" i="15"/>
  <c r="I2624" i="15"/>
  <c r="J2624" i="15"/>
  <c r="K2624" i="15"/>
  <c r="L2624" i="15"/>
  <c r="M2624" i="15"/>
  <c r="N2624" i="15"/>
  <c r="A2625" i="15"/>
  <c r="B2625" i="15"/>
  <c r="C2625" i="15"/>
  <c r="D2625" i="15"/>
  <c r="E2625" i="15"/>
  <c r="F2625" i="15"/>
  <c r="G2625" i="15"/>
  <c r="H2625" i="15"/>
  <c r="I2625" i="15"/>
  <c r="J2625" i="15"/>
  <c r="K2625" i="15"/>
  <c r="L2625" i="15"/>
  <c r="M2625" i="15"/>
  <c r="N2625" i="15"/>
  <c r="A2626" i="15"/>
  <c r="B2626" i="15"/>
  <c r="C2626" i="15"/>
  <c r="D2626" i="15"/>
  <c r="E2626" i="15"/>
  <c r="F2626" i="15"/>
  <c r="G2626" i="15"/>
  <c r="H2626" i="15"/>
  <c r="I2626" i="15"/>
  <c r="J2626" i="15"/>
  <c r="K2626" i="15"/>
  <c r="L2626" i="15"/>
  <c r="M2626" i="15"/>
  <c r="N2626" i="15"/>
  <c r="A2627" i="15"/>
  <c r="B2627" i="15"/>
  <c r="C2627" i="15"/>
  <c r="D2627" i="15"/>
  <c r="E2627" i="15"/>
  <c r="F2627" i="15"/>
  <c r="G2627" i="15"/>
  <c r="H2627" i="15"/>
  <c r="I2627" i="15"/>
  <c r="J2627" i="15"/>
  <c r="K2627" i="15"/>
  <c r="L2627" i="15"/>
  <c r="M2627" i="15"/>
  <c r="N2627" i="15"/>
  <c r="A2628" i="15"/>
  <c r="B2628" i="15"/>
  <c r="C2628" i="15"/>
  <c r="D2628" i="15"/>
  <c r="E2628" i="15"/>
  <c r="F2628" i="15"/>
  <c r="G2628" i="15"/>
  <c r="H2628" i="15"/>
  <c r="I2628" i="15"/>
  <c r="J2628" i="15"/>
  <c r="K2628" i="15"/>
  <c r="L2628" i="15"/>
  <c r="M2628" i="15"/>
  <c r="N2628" i="15"/>
  <c r="A2629" i="15"/>
  <c r="B2629" i="15"/>
  <c r="C2629" i="15"/>
  <c r="D2629" i="15"/>
  <c r="E2629" i="15"/>
  <c r="F2629" i="15"/>
  <c r="G2629" i="15"/>
  <c r="H2629" i="15"/>
  <c r="I2629" i="15"/>
  <c r="J2629" i="15"/>
  <c r="K2629" i="15"/>
  <c r="L2629" i="15"/>
  <c r="M2629" i="15"/>
  <c r="N2629" i="15"/>
  <c r="A2630" i="15"/>
  <c r="B2630" i="15"/>
  <c r="C2630" i="15"/>
  <c r="D2630" i="15"/>
  <c r="E2630" i="15"/>
  <c r="F2630" i="15"/>
  <c r="G2630" i="15"/>
  <c r="H2630" i="15"/>
  <c r="I2630" i="15"/>
  <c r="J2630" i="15"/>
  <c r="K2630" i="15"/>
  <c r="L2630" i="15"/>
  <c r="M2630" i="15"/>
  <c r="N2630" i="15"/>
  <c r="A2631" i="15"/>
  <c r="B2631" i="15"/>
  <c r="C2631" i="15"/>
  <c r="D2631" i="15"/>
  <c r="E2631" i="15"/>
  <c r="F2631" i="15"/>
  <c r="G2631" i="15"/>
  <c r="H2631" i="15"/>
  <c r="I2631" i="15"/>
  <c r="J2631" i="15"/>
  <c r="K2631" i="15"/>
  <c r="L2631" i="15"/>
  <c r="M2631" i="15"/>
  <c r="N2631" i="15"/>
  <c r="A2632" i="15"/>
  <c r="B2632" i="15"/>
  <c r="C2632" i="15"/>
  <c r="D2632" i="15"/>
  <c r="E2632" i="15"/>
  <c r="F2632" i="15"/>
  <c r="G2632" i="15"/>
  <c r="H2632" i="15"/>
  <c r="I2632" i="15"/>
  <c r="J2632" i="15"/>
  <c r="K2632" i="15"/>
  <c r="L2632" i="15"/>
  <c r="M2632" i="15"/>
  <c r="N2632" i="15"/>
  <c r="A2633" i="15"/>
  <c r="B2633" i="15"/>
  <c r="C2633" i="15"/>
  <c r="D2633" i="15"/>
  <c r="E2633" i="15"/>
  <c r="F2633" i="15"/>
  <c r="G2633" i="15"/>
  <c r="H2633" i="15"/>
  <c r="I2633" i="15"/>
  <c r="J2633" i="15"/>
  <c r="K2633" i="15"/>
  <c r="L2633" i="15"/>
  <c r="M2633" i="15"/>
  <c r="N2633" i="15"/>
  <c r="A2634" i="15"/>
  <c r="B2634" i="15"/>
  <c r="C2634" i="15"/>
  <c r="D2634" i="15"/>
  <c r="E2634" i="15"/>
  <c r="F2634" i="15"/>
  <c r="G2634" i="15"/>
  <c r="H2634" i="15"/>
  <c r="I2634" i="15"/>
  <c r="J2634" i="15"/>
  <c r="K2634" i="15"/>
  <c r="L2634" i="15"/>
  <c r="M2634" i="15"/>
  <c r="N2634" i="15"/>
  <c r="A2635" i="15"/>
  <c r="B2635" i="15"/>
  <c r="C2635" i="15"/>
  <c r="D2635" i="15"/>
  <c r="E2635" i="15"/>
  <c r="F2635" i="15"/>
  <c r="G2635" i="15"/>
  <c r="H2635" i="15"/>
  <c r="I2635" i="15"/>
  <c r="J2635" i="15"/>
  <c r="K2635" i="15"/>
  <c r="L2635" i="15"/>
  <c r="M2635" i="15"/>
  <c r="N2635" i="15"/>
  <c r="A2636" i="15"/>
  <c r="B2636" i="15"/>
  <c r="C2636" i="15"/>
  <c r="D2636" i="15"/>
  <c r="E2636" i="15"/>
  <c r="F2636" i="15"/>
  <c r="G2636" i="15"/>
  <c r="H2636" i="15"/>
  <c r="I2636" i="15"/>
  <c r="J2636" i="15"/>
  <c r="K2636" i="15"/>
  <c r="L2636" i="15"/>
  <c r="M2636" i="15"/>
  <c r="N2636" i="15"/>
  <c r="A2637" i="15"/>
  <c r="B2637" i="15"/>
  <c r="C2637" i="15"/>
  <c r="D2637" i="15"/>
  <c r="E2637" i="15"/>
  <c r="F2637" i="15"/>
  <c r="G2637" i="15"/>
  <c r="H2637" i="15"/>
  <c r="I2637" i="15"/>
  <c r="J2637" i="15"/>
  <c r="K2637" i="15"/>
  <c r="L2637" i="15"/>
  <c r="M2637" i="15"/>
  <c r="N2637" i="15"/>
  <c r="A2638" i="15"/>
  <c r="B2638" i="15"/>
  <c r="C2638" i="15"/>
  <c r="D2638" i="15"/>
  <c r="E2638" i="15"/>
  <c r="F2638" i="15"/>
  <c r="G2638" i="15"/>
  <c r="H2638" i="15"/>
  <c r="I2638" i="15"/>
  <c r="J2638" i="15"/>
  <c r="K2638" i="15"/>
  <c r="L2638" i="15"/>
  <c r="M2638" i="15"/>
  <c r="N2638" i="15"/>
  <c r="A2639" i="15"/>
  <c r="B2639" i="15"/>
  <c r="C2639" i="15"/>
  <c r="D2639" i="15"/>
  <c r="E2639" i="15"/>
  <c r="F2639" i="15"/>
  <c r="G2639" i="15"/>
  <c r="H2639" i="15"/>
  <c r="I2639" i="15"/>
  <c r="J2639" i="15"/>
  <c r="K2639" i="15"/>
  <c r="L2639" i="15"/>
  <c r="M2639" i="15"/>
  <c r="N2639" i="15"/>
  <c r="A2640" i="15"/>
  <c r="B2640" i="15"/>
  <c r="C2640" i="15"/>
  <c r="D2640" i="15"/>
  <c r="E2640" i="15"/>
  <c r="F2640" i="15"/>
  <c r="G2640" i="15"/>
  <c r="H2640" i="15"/>
  <c r="I2640" i="15"/>
  <c r="J2640" i="15"/>
  <c r="K2640" i="15"/>
  <c r="L2640" i="15"/>
  <c r="M2640" i="15"/>
  <c r="N2640" i="15"/>
  <c r="A2641" i="15"/>
  <c r="B2641" i="15"/>
  <c r="C2641" i="15"/>
  <c r="D2641" i="15"/>
  <c r="E2641" i="15"/>
  <c r="F2641" i="15"/>
  <c r="G2641" i="15"/>
  <c r="H2641" i="15"/>
  <c r="I2641" i="15"/>
  <c r="J2641" i="15"/>
  <c r="K2641" i="15"/>
  <c r="L2641" i="15"/>
  <c r="M2641" i="15"/>
  <c r="N2641" i="15"/>
  <c r="A2642" i="15"/>
  <c r="B2642" i="15"/>
  <c r="C2642" i="15"/>
  <c r="D2642" i="15"/>
  <c r="E2642" i="15"/>
  <c r="F2642" i="15"/>
  <c r="G2642" i="15"/>
  <c r="H2642" i="15"/>
  <c r="I2642" i="15"/>
  <c r="J2642" i="15"/>
  <c r="K2642" i="15"/>
  <c r="L2642" i="15"/>
  <c r="M2642" i="15"/>
  <c r="N2642" i="15"/>
  <c r="A2643" i="15"/>
  <c r="B2643" i="15"/>
  <c r="C2643" i="15"/>
  <c r="D2643" i="15"/>
  <c r="E2643" i="15"/>
  <c r="F2643" i="15"/>
  <c r="G2643" i="15"/>
  <c r="H2643" i="15"/>
  <c r="I2643" i="15"/>
  <c r="J2643" i="15"/>
  <c r="K2643" i="15"/>
  <c r="L2643" i="15"/>
  <c r="M2643" i="15"/>
  <c r="N2643" i="15"/>
  <c r="A2644" i="15"/>
  <c r="B2644" i="15"/>
  <c r="C2644" i="15"/>
  <c r="D2644" i="15"/>
  <c r="E2644" i="15"/>
  <c r="F2644" i="15"/>
  <c r="G2644" i="15"/>
  <c r="H2644" i="15"/>
  <c r="I2644" i="15"/>
  <c r="J2644" i="15"/>
  <c r="K2644" i="15"/>
  <c r="L2644" i="15"/>
  <c r="M2644" i="15"/>
  <c r="N2644" i="15"/>
  <c r="A2645" i="15"/>
  <c r="B2645" i="15"/>
  <c r="C2645" i="15"/>
  <c r="D2645" i="15"/>
  <c r="E2645" i="15"/>
  <c r="F2645" i="15"/>
  <c r="G2645" i="15"/>
  <c r="H2645" i="15"/>
  <c r="I2645" i="15"/>
  <c r="J2645" i="15"/>
  <c r="K2645" i="15"/>
  <c r="L2645" i="15"/>
  <c r="M2645" i="15"/>
  <c r="N2645" i="15"/>
  <c r="A2646" i="15"/>
  <c r="B2646" i="15"/>
  <c r="C2646" i="15"/>
  <c r="D2646" i="15"/>
  <c r="E2646" i="15"/>
  <c r="F2646" i="15"/>
  <c r="G2646" i="15"/>
  <c r="H2646" i="15"/>
  <c r="I2646" i="15"/>
  <c r="J2646" i="15"/>
  <c r="K2646" i="15"/>
  <c r="L2646" i="15"/>
  <c r="M2646" i="15"/>
  <c r="N2646" i="15"/>
  <c r="A2647" i="15"/>
  <c r="B2647" i="15"/>
  <c r="C2647" i="15"/>
  <c r="D2647" i="15"/>
  <c r="E2647" i="15"/>
  <c r="F2647" i="15"/>
  <c r="G2647" i="15"/>
  <c r="H2647" i="15"/>
  <c r="I2647" i="15"/>
  <c r="J2647" i="15"/>
  <c r="K2647" i="15"/>
  <c r="L2647" i="15"/>
  <c r="M2647" i="15"/>
  <c r="N2647" i="15"/>
  <c r="A2648" i="15"/>
  <c r="B2648" i="15"/>
  <c r="C2648" i="15"/>
  <c r="D2648" i="15"/>
  <c r="E2648" i="15"/>
  <c r="F2648" i="15"/>
  <c r="G2648" i="15"/>
  <c r="H2648" i="15"/>
  <c r="I2648" i="15"/>
  <c r="J2648" i="15"/>
  <c r="K2648" i="15"/>
  <c r="L2648" i="15"/>
  <c r="M2648" i="15"/>
  <c r="N2648" i="15"/>
  <c r="A2649" i="15"/>
  <c r="B2649" i="15"/>
  <c r="C2649" i="15"/>
  <c r="D2649" i="15"/>
  <c r="E2649" i="15"/>
  <c r="F2649" i="15"/>
  <c r="G2649" i="15"/>
  <c r="H2649" i="15"/>
  <c r="I2649" i="15"/>
  <c r="J2649" i="15"/>
  <c r="K2649" i="15"/>
  <c r="L2649" i="15"/>
  <c r="M2649" i="15"/>
  <c r="N2649" i="15"/>
  <c r="A2650" i="15"/>
  <c r="B2650" i="15"/>
  <c r="C2650" i="15"/>
  <c r="D2650" i="15"/>
  <c r="E2650" i="15"/>
  <c r="F2650" i="15"/>
  <c r="G2650" i="15"/>
  <c r="H2650" i="15"/>
  <c r="I2650" i="15"/>
  <c r="J2650" i="15"/>
  <c r="K2650" i="15"/>
  <c r="L2650" i="15"/>
  <c r="M2650" i="15"/>
  <c r="N2650" i="15"/>
  <c r="A2651" i="15"/>
  <c r="B2651" i="15"/>
  <c r="C2651" i="15"/>
  <c r="D2651" i="15"/>
  <c r="E2651" i="15"/>
  <c r="F2651" i="15"/>
  <c r="G2651" i="15"/>
  <c r="H2651" i="15"/>
  <c r="I2651" i="15"/>
  <c r="J2651" i="15"/>
  <c r="K2651" i="15"/>
  <c r="L2651" i="15"/>
  <c r="M2651" i="15"/>
  <c r="N2651" i="15"/>
  <c r="A2652" i="15"/>
  <c r="B2652" i="15"/>
  <c r="C2652" i="15"/>
  <c r="D2652" i="15"/>
  <c r="E2652" i="15"/>
  <c r="F2652" i="15"/>
  <c r="G2652" i="15"/>
  <c r="H2652" i="15"/>
  <c r="I2652" i="15"/>
  <c r="J2652" i="15"/>
  <c r="K2652" i="15"/>
  <c r="L2652" i="15"/>
  <c r="M2652" i="15"/>
  <c r="N2652" i="15"/>
  <c r="A2653" i="15"/>
  <c r="B2653" i="15"/>
  <c r="C2653" i="15"/>
  <c r="D2653" i="15"/>
  <c r="E2653" i="15"/>
  <c r="F2653" i="15"/>
  <c r="G2653" i="15"/>
  <c r="H2653" i="15"/>
  <c r="I2653" i="15"/>
  <c r="J2653" i="15"/>
  <c r="K2653" i="15"/>
  <c r="L2653" i="15"/>
  <c r="M2653" i="15"/>
  <c r="N2653" i="15"/>
  <c r="A2654" i="15"/>
  <c r="B2654" i="15"/>
  <c r="C2654" i="15"/>
  <c r="D2654" i="15"/>
  <c r="E2654" i="15"/>
  <c r="F2654" i="15"/>
  <c r="G2654" i="15"/>
  <c r="H2654" i="15"/>
  <c r="I2654" i="15"/>
  <c r="J2654" i="15"/>
  <c r="K2654" i="15"/>
  <c r="L2654" i="15"/>
  <c r="M2654" i="15"/>
  <c r="N2654" i="15"/>
  <c r="A2655" i="15"/>
  <c r="B2655" i="15"/>
  <c r="C2655" i="15"/>
  <c r="D2655" i="15"/>
  <c r="E2655" i="15"/>
  <c r="F2655" i="15"/>
  <c r="G2655" i="15"/>
  <c r="H2655" i="15"/>
  <c r="I2655" i="15"/>
  <c r="J2655" i="15"/>
  <c r="K2655" i="15"/>
  <c r="L2655" i="15"/>
  <c r="M2655" i="15"/>
  <c r="N2655" i="15"/>
  <c r="A2656" i="15"/>
  <c r="B2656" i="15"/>
  <c r="C2656" i="15"/>
  <c r="D2656" i="15"/>
  <c r="E2656" i="15"/>
  <c r="F2656" i="15"/>
  <c r="G2656" i="15"/>
  <c r="H2656" i="15"/>
  <c r="I2656" i="15"/>
  <c r="J2656" i="15"/>
  <c r="K2656" i="15"/>
  <c r="L2656" i="15"/>
  <c r="M2656" i="15"/>
  <c r="N2656" i="15"/>
  <c r="A2657" i="15"/>
  <c r="B2657" i="15"/>
  <c r="C2657" i="15"/>
  <c r="D2657" i="15"/>
  <c r="E2657" i="15"/>
  <c r="F2657" i="15"/>
  <c r="G2657" i="15"/>
  <c r="H2657" i="15"/>
  <c r="I2657" i="15"/>
  <c r="J2657" i="15"/>
  <c r="K2657" i="15"/>
  <c r="L2657" i="15"/>
  <c r="M2657" i="15"/>
  <c r="N2657" i="15"/>
  <c r="A2658" i="15"/>
  <c r="B2658" i="15"/>
  <c r="C2658" i="15"/>
  <c r="D2658" i="15"/>
  <c r="E2658" i="15"/>
  <c r="F2658" i="15"/>
  <c r="G2658" i="15"/>
  <c r="H2658" i="15"/>
  <c r="I2658" i="15"/>
  <c r="J2658" i="15"/>
  <c r="K2658" i="15"/>
  <c r="L2658" i="15"/>
  <c r="M2658" i="15"/>
  <c r="N2658" i="15"/>
  <c r="A2659" i="15"/>
  <c r="B2659" i="15"/>
  <c r="C2659" i="15"/>
  <c r="D2659" i="15"/>
  <c r="E2659" i="15"/>
  <c r="F2659" i="15"/>
  <c r="G2659" i="15"/>
  <c r="H2659" i="15"/>
  <c r="I2659" i="15"/>
  <c r="J2659" i="15"/>
  <c r="K2659" i="15"/>
  <c r="L2659" i="15"/>
  <c r="M2659" i="15"/>
  <c r="N2659" i="15"/>
  <c r="A2660" i="15"/>
  <c r="B2660" i="15"/>
  <c r="C2660" i="15"/>
  <c r="D2660" i="15"/>
  <c r="E2660" i="15"/>
  <c r="F2660" i="15"/>
  <c r="G2660" i="15"/>
  <c r="H2660" i="15"/>
  <c r="I2660" i="15"/>
  <c r="J2660" i="15"/>
  <c r="K2660" i="15"/>
  <c r="L2660" i="15"/>
  <c r="M2660" i="15"/>
  <c r="N2660" i="15"/>
  <c r="A2661" i="15"/>
  <c r="B2661" i="15"/>
  <c r="C2661" i="15"/>
  <c r="D2661" i="15"/>
  <c r="E2661" i="15"/>
  <c r="F2661" i="15"/>
  <c r="G2661" i="15"/>
  <c r="H2661" i="15"/>
  <c r="I2661" i="15"/>
  <c r="J2661" i="15"/>
  <c r="K2661" i="15"/>
  <c r="L2661" i="15"/>
  <c r="M2661" i="15"/>
  <c r="N2661" i="15"/>
  <c r="A2662" i="15"/>
  <c r="B2662" i="15"/>
  <c r="C2662" i="15"/>
  <c r="D2662" i="15"/>
  <c r="E2662" i="15"/>
  <c r="F2662" i="15"/>
  <c r="G2662" i="15"/>
  <c r="H2662" i="15"/>
  <c r="I2662" i="15"/>
  <c r="J2662" i="15"/>
  <c r="K2662" i="15"/>
  <c r="L2662" i="15"/>
  <c r="M2662" i="15"/>
  <c r="N2662" i="15"/>
  <c r="A2663" i="15"/>
  <c r="B2663" i="15"/>
  <c r="C2663" i="15"/>
  <c r="D2663" i="15"/>
  <c r="E2663" i="15"/>
  <c r="F2663" i="15"/>
  <c r="G2663" i="15"/>
  <c r="H2663" i="15"/>
  <c r="I2663" i="15"/>
  <c r="J2663" i="15"/>
  <c r="K2663" i="15"/>
  <c r="L2663" i="15"/>
  <c r="M2663" i="15"/>
  <c r="N2663" i="15"/>
  <c r="A2664" i="15"/>
  <c r="B2664" i="15"/>
  <c r="C2664" i="15"/>
  <c r="D2664" i="15"/>
  <c r="E2664" i="15"/>
  <c r="F2664" i="15"/>
  <c r="G2664" i="15"/>
  <c r="H2664" i="15"/>
  <c r="I2664" i="15"/>
  <c r="J2664" i="15"/>
  <c r="K2664" i="15"/>
  <c r="L2664" i="15"/>
  <c r="M2664" i="15"/>
  <c r="N2664" i="15"/>
  <c r="A2665" i="15"/>
  <c r="B2665" i="15"/>
  <c r="C2665" i="15"/>
  <c r="D2665" i="15"/>
  <c r="E2665" i="15"/>
  <c r="F2665" i="15"/>
  <c r="G2665" i="15"/>
  <c r="H2665" i="15"/>
  <c r="I2665" i="15"/>
  <c r="J2665" i="15"/>
  <c r="K2665" i="15"/>
  <c r="L2665" i="15"/>
  <c r="M2665" i="15"/>
  <c r="N2665" i="15"/>
  <c r="A2666" i="15"/>
  <c r="B2666" i="15"/>
  <c r="C2666" i="15"/>
  <c r="D2666" i="15"/>
  <c r="E2666" i="15"/>
  <c r="F2666" i="15"/>
  <c r="G2666" i="15"/>
  <c r="H2666" i="15"/>
  <c r="I2666" i="15"/>
  <c r="J2666" i="15"/>
  <c r="K2666" i="15"/>
  <c r="L2666" i="15"/>
  <c r="M2666" i="15"/>
  <c r="N2666" i="15"/>
  <c r="A2667" i="15"/>
  <c r="B2667" i="15"/>
  <c r="C2667" i="15"/>
  <c r="D2667" i="15"/>
  <c r="E2667" i="15"/>
  <c r="F2667" i="15"/>
  <c r="G2667" i="15"/>
  <c r="H2667" i="15"/>
  <c r="I2667" i="15"/>
  <c r="J2667" i="15"/>
  <c r="K2667" i="15"/>
  <c r="L2667" i="15"/>
  <c r="M2667" i="15"/>
  <c r="N2667" i="15"/>
  <c r="A2668" i="15"/>
  <c r="B2668" i="15"/>
  <c r="C2668" i="15"/>
  <c r="D2668" i="15"/>
  <c r="E2668" i="15"/>
  <c r="F2668" i="15"/>
  <c r="G2668" i="15"/>
  <c r="H2668" i="15"/>
  <c r="I2668" i="15"/>
  <c r="J2668" i="15"/>
  <c r="K2668" i="15"/>
  <c r="L2668" i="15"/>
  <c r="M2668" i="15"/>
  <c r="N2668" i="15"/>
  <c r="A2669" i="15"/>
  <c r="B2669" i="15"/>
  <c r="C2669" i="15"/>
  <c r="D2669" i="15"/>
  <c r="E2669" i="15"/>
  <c r="F2669" i="15"/>
  <c r="G2669" i="15"/>
  <c r="H2669" i="15"/>
  <c r="I2669" i="15"/>
  <c r="J2669" i="15"/>
  <c r="K2669" i="15"/>
  <c r="L2669" i="15"/>
  <c r="M2669" i="15"/>
  <c r="N2669" i="15"/>
  <c r="A2670" i="15"/>
  <c r="B2670" i="15"/>
  <c r="C2670" i="15"/>
  <c r="D2670" i="15"/>
  <c r="E2670" i="15"/>
  <c r="F2670" i="15"/>
  <c r="G2670" i="15"/>
  <c r="H2670" i="15"/>
  <c r="I2670" i="15"/>
  <c r="J2670" i="15"/>
  <c r="K2670" i="15"/>
  <c r="L2670" i="15"/>
  <c r="M2670" i="15"/>
  <c r="N2670" i="15"/>
  <c r="A2671" i="15"/>
  <c r="B2671" i="15"/>
  <c r="C2671" i="15"/>
  <c r="D2671" i="15"/>
  <c r="E2671" i="15"/>
  <c r="F2671" i="15"/>
  <c r="G2671" i="15"/>
  <c r="H2671" i="15"/>
  <c r="I2671" i="15"/>
  <c r="J2671" i="15"/>
  <c r="K2671" i="15"/>
  <c r="L2671" i="15"/>
  <c r="M2671" i="15"/>
  <c r="N2671" i="15"/>
  <c r="A2672" i="15"/>
  <c r="B2672" i="15"/>
  <c r="C2672" i="15"/>
  <c r="D2672" i="15"/>
  <c r="E2672" i="15"/>
  <c r="F2672" i="15"/>
  <c r="G2672" i="15"/>
  <c r="H2672" i="15"/>
  <c r="I2672" i="15"/>
  <c r="J2672" i="15"/>
  <c r="K2672" i="15"/>
  <c r="L2672" i="15"/>
  <c r="M2672" i="15"/>
  <c r="N2672" i="15"/>
  <c r="A2673" i="15"/>
  <c r="B2673" i="15"/>
  <c r="C2673" i="15"/>
  <c r="D2673" i="15"/>
  <c r="E2673" i="15"/>
  <c r="F2673" i="15"/>
  <c r="G2673" i="15"/>
  <c r="H2673" i="15"/>
  <c r="I2673" i="15"/>
  <c r="J2673" i="15"/>
  <c r="K2673" i="15"/>
  <c r="L2673" i="15"/>
  <c r="M2673" i="15"/>
  <c r="N2673" i="15"/>
  <c r="A2674" i="15"/>
  <c r="B2674" i="15"/>
  <c r="C2674" i="15"/>
  <c r="D2674" i="15"/>
  <c r="E2674" i="15"/>
  <c r="F2674" i="15"/>
  <c r="G2674" i="15"/>
  <c r="H2674" i="15"/>
  <c r="I2674" i="15"/>
  <c r="J2674" i="15"/>
  <c r="K2674" i="15"/>
  <c r="L2674" i="15"/>
  <c r="M2674" i="15"/>
  <c r="N2674" i="15"/>
  <c r="A2675" i="15"/>
  <c r="B2675" i="15"/>
  <c r="C2675" i="15"/>
  <c r="D2675" i="15"/>
  <c r="E2675" i="15"/>
  <c r="F2675" i="15"/>
  <c r="G2675" i="15"/>
  <c r="H2675" i="15"/>
  <c r="I2675" i="15"/>
  <c r="J2675" i="15"/>
  <c r="K2675" i="15"/>
  <c r="L2675" i="15"/>
  <c r="M2675" i="15"/>
  <c r="N2675" i="15"/>
  <c r="A2676" i="15"/>
  <c r="B2676" i="15"/>
  <c r="C2676" i="15"/>
  <c r="D2676" i="15"/>
  <c r="E2676" i="15"/>
  <c r="F2676" i="15"/>
  <c r="G2676" i="15"/>
  <c r="H2676" i="15"/>
  <c r="I2676" i="15"/>
  <c r="J2676" i="15"/>
  <c r="K2676" i="15"/>
  <c r="L2676" i="15"/>
  <c r="M2676" i="15"/>
  <c r="N2676" i="15"/>
  <c r="A2677" i="15"/>
  <c r="B2677" i="15"/>
  <c r="C2677" i="15"/>
  <c r="D2677" i="15"/>
  <c r="E2677" i="15"/>
  <c r="F2677" i="15"/>
  <c r="G2677" i="15"/>
  <c r="H2677" i="15"/>
  <c r="I2677" i="15"/>
  <c r="J2677" i="15"/>
  <c r="K2677" i="15"/>
  <c r="L2677" i="15"/>
  <c r="M2677" i="15"/>
  <c r="N2677" i="15"/>
  <c r="A2678" i="15"/>
  <c r="B2678" i="15"/>
  <c r="C2678" i="15"/>
  <c r="D2678" i="15"/>
  <c r="E2678" i="15"/>
  <c r="F2678" i="15"/>
  <c r="G2678" i="15"/>
  <c r="H2678" i="15"/>
  <c r="I2678" i="15"/>
  <c r="J2678" i="15"/>
  <c r="K2678" i="15"/>
  <c r="L2678" i="15"/>
  <c r="M2678" i="15"/>
  <c r="N2678" i="15"/>
  <c r="A2679" i="15"/>
  <c r="B2679" i="15"/>
  <c r="C2679" i="15"/>
  <c r="D2679" i="15"/>
  <c r="E2679" i="15"/>
  <c r="F2679" i="15"/>
  <c r="G2679" i="15"/>
  <c r="H2679" i="15"/>
  <c r="I2679" i="15"/>
  <c r="J2679" i="15"/>
  <c r="K2679" i="15"/>
  <c r="L2679" i="15"/>
  <c r="M2679" i="15"/>
  <c r="N2679" i="15"/>
  <c r="A2680" i="15"/>
  <c r="B2680" i="15"/>
  <c r="C2680" i="15"/>
  <c r="D2680" i="15"/>
  <c r="E2680" i="15"/>
  <c r="F2680" i="15"/>
  <c r="G2680" i="15"/>
  <c r="H2680" i="15"/>
  <c r="I2680" i="15"/>
  <c r="J2680" i="15"/>
  <c r="K2680" i="15"/>
  <c r="L2680" i="15"/>
  <c r="M2680" i="15"/>
  <c r="N2680" i="15"/>
  <c r="A2681" i="15"/>
  <c r="B2681" i="15"/>
  <c r="C2681" i="15"/>
  <c r="D2681" i="15"/>
  <c r="E2681" i="15"/>
  <c r="F2681" i="15"/>
  <c r="G2681" i="15"/>
  <c r="H2681" i="15"/>
  <c r="I2681" i="15"/>
  <c r="J2681" i="15"/>
  <c r="K2681" i="15"/>
  <c r="L2681" i="15"/>
  <c r="M2681" i="15"/>
  <c r="N2681" i="15"/>
  <c r="A2682" i="15"/>
  <c r="B2682" i="15"/>
  <c r="C2682" i="15"/>
  <c r="D2682" i="15"/>
  <c r="E2682" i="15"/>
  <c r="F2682" i="15"/>
  <c r="G2682" i="15"/>
  <c r="H2682" i="15"/>
  <c r="I2682" i="15"/>
  <c r="J2682" i="15"/>
  <c r="K2682" i="15"/>
  <c r="L2682" i="15"/>
  <c r="M2682" i="15"/>
  <c r="N2682" i="15"/>
  <c r="A2683" i="15"/>
  <c r="B2683" i="15"/>
  <c r="C2683" i="15"/>
  <c r="D2683" i="15"/>
  <c r="E2683" i="15"/>
  <c r="F2683" i="15"/>
  <c r="G2683" i="15"/>
  <c r="H2683" i="15"/>
  <c r="I2683" i="15"/>
  <c r="J2683" i="15"/>
  <c r="K2683" i="15"/>
  <c r="L2683" i="15"/>
  <c r="M2683" i="15"/>
  <c r="N2683" i="15"/>
  <c r="A2684" i="15"/>
  <c r="B2684" i="15"/>
  <c r="C2684" i="15"/>
  <c r="D2684" i="15"/>
  <c r="E2684" i="15"/>
  <c r="F2684" i="15"/>
  <c r="G2684" i="15"/>
  <c r="H2684" i="15"/>
  <c r="I2684" i="15"/>
  <c r="J2684" i="15"/>
  <c r="K2684" i="15"/>
  <c r="L2684" i="15"/>
  <c r="M2684" i="15"/>
  <c r="N2684" i="15"/>
  <c r="A2685" i="15"/>
  <c r="B2685" i="15"/>
  <c r="C2685" i="15"/>
  <c r="D2685" i="15"/>
  <c r="E2685" i="15"/>
  <c r="F2685" i="15"/>
  <c r="G2685" i="15"/>
  <c r="H2685" i="15"/>
  <c r="I2685" i="15"/>
  <c r="J2685" i="15"/>
  <c r="K2685" i="15"/>
  <c r="L2685" i="15"/>
  <c r="M2685" i="15"/>
  <c r="N2685" i="15"/>
  <c r="A2686" i="15"/>
  <c r="B2686" i="15"/>
  <c r="C2686" i="15"/>
  <c r="D2686" i="15"/>
  <c r="E2686" i="15"/>
  <c r="F2686" i="15"/>
  <c r="G2686" i="15"/>
  <c r="H2686" i="15"/>
  <c r="I2686" i="15"/>
  <c r="J2686" i="15"/>
  <c r="K2686" i="15"/>
  <c r="L2686" i="15"/>
  <c r="M2686" i="15"/>
  <c r="N2686" i="15"/>
  <c r="A2687" i="15"/>
  <c r="B2687" i="15"/>
  <c r="C2687" i="15"/>
  <c r="D2687" i="15"/>
  <c r="E2687" i="15"/>
  <c r="F2687" i="15"/>
  <c r="G2687" i="15"/>
  <c r="H2687" i="15"/>
  <c r="I2687" i="15"/>
  <c r="J2687" i="15"/>
  <c r="K2687" i="15"/>
  <c r="L2687" i="15"/>
  <c r="M2687" i="15"/>
  <c r="N2687" i="15"/>
  <c r="A2688" i="15"/>
  <c r="B2688" i="15"/>
  <c r="C2688" i="15"/>
  <c r="D2688" i="15"/>
  <c r="E2688" i="15"/>
  <c r="F2688" i="15"/>
  <c r="G2688" i="15"/>
  <c r="H2688" i="15"/>
  <c r="I2688" i="15"/>
  <c r="J2688" i="15"/>
  <c r="K2688" i="15"/>
  <c r="L2688" i="15"/>
  <c r="M2688" i="15"/>
  <c r="N2688" i="15"/>
  <c r="A2689" i="15"/>
  <c r="B2689" i="15"/>
  <c r="C2689" i="15"/>
  <c r="D2689" i="15"/>
  <c r="E2689" i="15"/>
  <c r="F2689" i="15"/>
  <c r="G2689" i="15"/>
  <c r="H2689" i="15"/>
  <c r="I2689" i="15"/>
  <c r="J2689" i="15"/>
  <c r="K2689" i="15"/>
  <c r="L2689" i="15"/>
  <c r="M2689" i="15"/>
  <c r="N2689" i="15"/>
  <c r="A2690" i="15"/>
  <c r="B2690" i="15"/>
  <c r="C2690" i="15"/>
  <c r="D2690" i="15"/>
  <c r="E2690" i="15"/>
  <c r="F2690" i="15"/>
  <c r="G2690" i="15"/>
  <c r="H2690" i="15"/>
  <c r="I2690" i="15"/>
  <c r="J2690" i="15"/>
  <c r="K2690" i="15"/>
  <c r="L2690" i="15"/>
  <c r="M2690" i="15"/>
  <c r="N2690" i="15"/>
  <c r="A2691" i="15"/>
  <c r="B2691" i="15"/>
  <c r="C2691" i="15"/>
  <c r="D2691" i="15"/>
  <c r="E2691" i="15"/>
  <c r="F2691" i="15"/>
  <c r="G2691" i="15"/>
  <c r="H2691" i="15"/>
  <c r="I2691" i="15"/>
  <c r="J2691" i="15"/>
  <c r="K2691" i="15"/>
  <c r="L2691" i="15"/>
  <c r="M2691" i="15"/>
  <c r="N2691" i="15"/>
  <c r="A2692" i="15"/>
  <c r="B2692" i="15"/>
  <c r="C2692" i="15"/>
  <c r="D2692" i="15"/>
  <c r="E2692" i="15"/>
  <c r="F2692" i="15"/>
  <c r="G2692" i="15"/>
  <c r="H2692" i="15"/>
  <c r="I2692" i="15"/>
  <c r="J2692" i="15"/>
  <c r="K2692" i="15"/>
  <c r="L2692" i="15"/>
  <c r="M2692" i="15"/>
  <c r="N2692" i="15"/>
  <c r="A2693" i="15"/>
  <c r="B2693" i="15"/>
  <c r="C2693" i="15"/>
  <c r="D2693" i="15"/>
  <c r="E2693" i="15"/>
  <c r="F2693" i="15"/>
  <c r="G2693" i="15"/>
  <c r="H2693" i="15"/>
  <c r="I2693" i="15"/>
  <c r="J2693" i="15"/>
  <c r="K2693" i="15"/>
  <c r="L2693" i="15"/>
  <c r="M2693" i="15"/>
  <c r="N2693" i="15"/>
  <c r="A2694" i="15"/>
  <c r="B2694" i="15"/>
  <c r="C2694" i="15"/>
  <c r="D2694" i="15"/>
  <c r="E2694" i="15"/>
  <c r="F2694" i="15"/>
  <c r="G2694" i="15"/>
  <c r="H2694" i="15"/>
  <c r="I2694" i="15"/>
  <c r="J2694" i="15"/>
  <c r="K2694" i="15"/>
  <c r="L2694" i="15"/>
  <c r="M2694" i="15"/>
  <c r="N2694" i="15"/>
  <c r="A2695" i="15"/>
  <c r="B2695" i="15"/>
  <c r="C2695" i="15"/>
  <c r="D2695" i="15"/>
  <c r="E2695" i="15"/>
  <c r="F2695" i="15"/>
  <c r="G2695" i="15"/>
  <c r="H2695" i="15"/>
  <c r="I2695" i="15"/>
  <c r="J2695" i="15"/>
  <c r="K2695" i="15"/>
  <c r="L2695" i="15"/>
  <c r="M2695" i="15"/>
  <c r="N2695" i="15"/>
  <c r="A2696" i="15"/>
  <c r="B2696" i="15"/>
  <c r="C2696" i="15"/>
  <c r="D2696" i="15"/>
  <c r="E2696" i="15"/>
  <c r="F2696" i="15"/>
  <c r="G2696" i="15"/>
  <c r="H2696" i="15"/>
  <c r="I2696" i="15"/>
  <c r="J2696" i="15"/>
  <c r="K2696" i="15"/>
  <c r="L2696" i="15"/>
  <c r="M2696" i="15"/>
  <c r="N2696" i="15"/>
  <c r="A2697" i="15"/>
  <c r="B2697" i="15"/>
  <c r="C2697" i="15"/>
  <c r="D2697" i="15"/>
  <c r="E2697" i="15"/>
  <c r="F2697" i="15"/>
  <c r="G2697" i="15"/>
  <c r="H2697" i="15"/>
  <c r="I2697" i="15"/>
  <c r="J2697" i="15"/>
  <c r="K2697" i="15"/>
  <c r="L2697" i="15"/>
  <c r="M2697" i="15"/>
  <c r="N2697" i="15"/>
  <c r="A2698" i="15"/>
  <c r="B2698" i="15"/>
  <c r="C2698" i="15"/>
  <c r="D2698" i="15"/>
  <c r="E2698" i="15"/>
  <c r="F2698" i="15"/>
  <c r="G2698" i="15"/>
  <c r="H2698" i="15"/>
  <c r="I2698" i="15"/>
  <c r="J2698" i="15"/>
  <c r="K2698" i="15"/>
  <c r="L2698" i="15"/>
  <c r="M2698" i="15"/>
  <c r="N2698" i="15"/>
  <c r="A2699" i="15"/>
  <c r="B2699" i="15"/>
  <c r="C2699" i="15"/>
  <c r="D2699" i="15"/>
  <c r="E2699" i="15"/>
  <c r="F2699" i="15"/>
  <c r="G2699" i="15"/>
  <c r="H2699" i="15"/>
  <c r="I2699" i="15"/>
  <c r="J2699" i="15"/>
  <c r="K2699" i="15"/>
  <c r="L2699" i="15"/>
  <c r="M2699" i="15"/>
  <c r="N2699" i="15"/>
  <c r="A2700" i="15"/>
  <c r="B2700" i="15"/>
  <c r="C2700" i="15"/>
  <c r="D2700" i="15"/>
  <c r="E2700" i="15"/>
  <c r="F2700" i="15"/>
  <c r="G2700" i="15"/>
  <c r="H2700" i="15"/>
  <c r="I2700" i="15"/>
  <c r="J2700" i="15"/>
  <c r="K2700" i="15"/>
  <c r="L2700" i="15"/>
  <c r="M2700" i="15"/>
  <c r="N2700" i="15"/>
  <c r="A2701" i="15"/>
  <c r="B2701" i="15"/>
  <c r="C2701" i="15"/>
  <c r="D2701" i="15"/>
  <c r="E2701" i="15"/>
  <c r="F2701" i="15"/>
  <c r="G2701" i="15"/>
  <c r="H2701" i="15"/>
  <c r="I2701" i="15"/>
  <c r="J2701" i="15"/>
  <c r="K2701" i="15"/>
  <c r="L2701" i="15"/>
  <c r="M2701" i="15"/>
  <c r="N2701" i="15"/>
  <c r="A2702" i="15"/>
  <c r="B2702" i="15"/>
  <c r="C2702" i="15"/>
  <c r="D2702" i="15"/>
  <c r="E2702" i="15"/>
  <c r="F2702" i="15"/>
  <c r="G2702" i="15"/>
  <c r="H2702" i="15"/>
  <c r="I2702" i="15"/>
  <c r="J2702" i="15"/>
  <c r="K2702" i="15"/>
  <c r="L2702" i="15"/>
  <c r="M2702" i="15"/>
  <c r="N2702" i="15"/>
  <c r="A2703" i="15"/>
  <c r="B2703" i="15"/>
  <c r="C2703" i="15"/>
  <c r="D2703" i="15"/>
  <c r="E2703" i="15"/>
  <c r="F2703" i="15"/>
  <c r="G2703" i="15"/>
  <c r="H2703" i="15"/>
  <c r="I2703" i="15"/>
  <c r="J2703" i="15"/>
  <c r="K2703" i="15"/>
  <c r="L2703" i="15"/>
  <c r="M2703" i="15"/>
  <c r="N2703" i="15"/>
  <c r="A2704" i="15"/>
  <c r="B2704" i="15"/>
  <c r="C2704" i="15"/>
  <c r="D2704" i="15"/>
  <c r="E2704" i="15"/>
  <c r="F2704" i="15"/>
  <c r="G2704" i="15"/>
  <c r="H2704" i="15"/>
  <c r="I2704" i="15"/>
  <c r="J2704" i="15"/>
  <c r="K2704" i="15"/>
  <c r="L2704" i="15"/>
  <c r="M2704" i="15"/>
  <c r="N2704" i="15"/>
  <c r="A2705" i="15"/>
  <c r="B2705" i="15"/>
  <c r="C2705" i="15"/>
  <c r="D2705" i="15"/>
  <c r="E2705" i="15"/>
  <c r="F2705" i="15"/>
  <c r="G2705" i="15"/>
  <c r="H2705" i="15"/>
  <c r="I2705" i="15"/>
  <c r="J2705" i="15"/>
  <c r="K2705" i="15"/>
  <c r="L2705" i="15"/>
  <c r="M2705" i="15"/>
  <c r="N2705" i="15"/>
  <c r="A2706" i="15"/>
  <c r="B2706" i="15"/>
  <c r="C2706" i="15"/>
  <c r="D2706" i="15"/>
  <c r="E2706" i="15"/>
  <c r="F2706" i="15"/>
  <c r="G2706" i="15"/>
  <c r="H2706" i="15"/>
  <c r="I2706" i="15"/>
  <c r="J2706" i="15"/>
  <c r="K2706" i="15"/>
  <c r="L2706" i="15"/>
  <c r="M2706" i="15"/>
  <c r="N2706" i="15"/>
  <c r="A2707" i="15"/>
  <c r="B2707" i="15"/>
  <c r="C2707" i="15"/>
  <c r="D2707" i="15"/>
  <c r="E2707" i="15"/>
  <c r="F2707" i="15"/>
  <c r="G2707" i="15"/>
  <c r="H2707" i="15"/>
  <c r="I2707" i="15"/>
  <c r="J2707" i="15"/>
  <c r="K2707" i="15"/>
  <c r="L2707" i="15"/>
  <c r="M2707" i="15"/>
  <c r="N2707" i="15"/>
  <c r="A2708" i="15"/>
  <c r="B2708" i="15"/>
  <c r="C2708" i="15"/>
  <c r="D2708" i="15"/>
  <c r="E2708" i="15"/>
  <c r="F2708" i="15"/>
  <c r="G2708" i="15"/>
  <c r="H2708" i="15"/>
  <c r="I2708" i="15"/>
  <c r="J2708" i="15"/>
  <c r="K2708" i="15"/>
  <c r="L2708" i="15"/>
  <c r="M2708" i="15"/>
  <c r="N2708" i="15"/>
  <c r="A2709" i="15"/>
  <c r="B2709" i="15"/>
  <c r="C2709" i="15"/>
  <c r="D2709" i="15"/>
  <c r="E2709" i="15"/>
  <c r="F2709" i="15"/>
  <c r="G2709" i="15"/>
  <c r="H2709" i="15"/>
  <c r="I2709" i="15"/>
  <c r="J2709" i="15"/>
  <c r="K2709" i="15"/>
  <c r="L2709" i="15"/>
  <c r="M2709" i="15"/>
  <c r="N2709" i="15"/>
  <c r="A2710" i="15"/>
  <c r="B2710" i="15"/>
  <c r="C2710" i="15"/>
  <c r="D2710" i="15"/>
  <c r="E2710" i="15"/>
  <c r="F2710" i="15"/>
  <c r="G2710" i="15"/>
  <c r="H2710" i="15"/>
  <c r="I2710" i="15"/>
  <c r="J2710" i="15"/>
  <c r="K2710" i="15"/>
  <c r="L2710" i="15"/>
  <c r="M2710" i="15"/>
  <c r="N2710" i="15"/>
  <c r="A2711" i="15"/>
  <c r="B2711" i="15"/>
  <c r="C2711" i="15"/>
  <c r="D2711" i="15"/>
  <c r="E2711" i="15"/>
  <c r="F2711" i="15"/>
  <c r="G2711" i="15"/>
  <c r="H2711" i="15"/>
  <c r="I2711" i="15"/>
  <c r="J2711" i="15"/>
  <c r="K2711" i="15"/>
  <c r="L2711" i="15"/>
  <c r="M2711" i="15"/>
  <c r="N2711" i="15"/>
  <c r="A2712" i="15"/>
  <c r="B2712" i="15"/>
  <c r="C2712" i="15"/>
  <c r="D2712" i="15"/>
  <c r="E2712" i="15"/>
  <c r="F2712" i="15"/>
  <c r="G2712" i="15"/>
  <c r="H2712" i="15"/>
  <c r="I2712" i="15"/>
  <c r="J2712" i="15"/>
  <c r="K2712" i="15"/>
  <c r="L2712" i="15"/>
  <c r="M2712" i="15"/>
  <c r="N2712" i="15"/>
  <c r="A2713" i="15"/>
  <c r="B2713" i="15"/>
  <c r="C2713" i="15"/>
  <c r="D2713" i="15"/>
  <c r="E2713" i="15"/>
  <c r="F2713" i="15"/>
  <c r="G2713" i="15"/>
  <c r="H2713" i="15"/>
  <c r="I2713" i="15"/>
  <c r="J2713" i="15"/>
  <c r="K2713" i="15"/>
  <c r="L2713" i="15"/>
  <c r="M2713" i="15"/>
  <c r="N2713" i="15"/>
  <c r="A2714" i="15"/>
  <c r="B2714" i="15"/>
  <c r="C2714" i="15"/>
  <c r="D2714" i="15"/>
  <c r="E2714" i="15"/>
  <c r="F2714" i="15"/>
  <c r="G2714" i="15"/>
  <c r="H2714" i="15"/>
  <c r="I2714" i="15"/>
  <c r="J2714" i="15"/>
  <c r="K2714" i="15"/>
  <c r="L2714" i="15"/>
  <c r="M2714" i="15"/>
  <c r="N2714" i="15"/>
  <c r="A2715" i="15"/>
  <c r="B2715" i="15"/>
  <c r="C2715" i="15"/>
  <c r="D2715" i="15"/>
  <c r="E2715" i="15"/>
  <c r="F2715" i="15"/>
  <c r="G2715" i="15"/>
  <c r="H2715" i="15"/>
  <c r="I2715" i="15"/>
  <c r="J2715" i="15"/>
  <c r="K2715" i="15"/>
  <c r="L2715" i="15"/>
  <c r="M2715" i="15"/>
  <c r="N2715" i="15"/>
  <c r="A2716" i="15"/>
  <c r="B2716" i="15"/>
  <c r="C2716" i="15"/>
  <c r="D2716" i="15"/>
  <c r="E2716" i="15"/>
  <c r="F2716" i="15"/>
  <c r="G2716" i="15"/>
  <c r="H2716" i="15"/>
  <c r="I2716" i="15"/>
  <c r="J2716" i="15"/>
  <c r="K2716" i="15"/>
  <c r="L2716" i="15"/>
  <c r="M2716" i="15"/>
  <c r="N2716" i="15"/>
  <c r="A2717" i="15"/>
  <c r="B2717" i="15"/>
  <c r="C2717" i="15"/>
  <c r="D2717" i="15"/>
  <c r="E2717" i="15"/>
  <c r="F2717" i="15"/>
  <c r="G2717" i="15"/>
  <c r="H2717" i="15"/>
  <c r="I2717" i="15"/>
  <c r="J2717" i="15"/>
  <c r="K2717" i="15"/>
  <c r="L2717" i="15"/>
  <c r="M2717" i="15"/>
  <c r="N2717" i="15"/>
  <c r="A2718" i="15"/>
  <c r="B2718" i="15"/>
  <c r="C2718" i="15"/>
  <c r="D2718" i="15"/>
  <c r="E2718" i="15"/>
  <c r="F2718" i="15"/>
  <c r="G2718" i="15"/>
  <c r="H2718" i="15"/>
  <c r="I2718" i="15"/>
  <c r="J2718" i="15"/>
  <c r="K2718" i="15"/>
  <c r="L2718" i="15"/>
  <c r="M2718" i="15"/>
  <c r="N2718" i="15"/>
  <c r="A2719" i="15"/>
  <c r="B2719" i="15"/>
  <c r="C2719" i="15"/>
  <c r="D2719" i="15"/>
  <c r="E2719" i="15"/>
  <c r="F2719" i="15"/>
  <c r="G2719" i="15"/>
  <c r="H2719" i="15"/>
  <c r="I2719" i="15"/>
  <c r="J2719" i="15"/>
  <c r="K2719" i="15"/>
  <c r="L2719" i="15"/>
  <c r="M2719" i="15"/>
  <c r="N2719" i="15"/>
  <c r="A2720" i="15"/>
  <c r="B2720" i="15"/>
  <c r="C2720" i="15"/>
  <c r="D2720" i="15"/>
  <c r="E2720" i="15"/>
  <c r="F2720" i="15"/>
  <c r="G2720" i="15"/>
  <c r="H2720" i="15"/>
  <c r="I2720" i="15"/>
  <c r="J2720" i="15"/>
  <c r="K2720" i="15"/>
  <c r="L2720" i="15"/>
  <c r="M2720" i="15"/>
  <c r="N2720" i="15"/>
  <c r="A2721" i="15"/>
  <c r="B2721" i="15"/>
  <c r="C2721" i="15"/>
  <c r="D2721" i="15"/>
  <c r="E2721" i="15"/>
  <c r="F2721" i="15"/>
  <c r="G2721" i="15"/>
  <c r="H2721" i="15"/>
  <c r="I2721" i="15"/>
  <c r="J2721" i="15"/>
  <c r="K2721" i="15"/>
  <c r="L2721" i="15"/>
  <c r="M2721" i="15"/>
  <c r="N2721" i="15"/>
  <c r="A2722" i="15"/>
  <c r="B2722" i="15"/>
  <c r="C2722" i="15"/>
  <c r="D2722" i="15"/>
  <c r="E2722" i="15"/>
  <c r="F2722" i="15"/>
  <c r="G2722" i="15"/>
  <c r="H2722" i="15"/>
  <c r="I2722" i="15"/>
  <c r="J2722" i="15"/>
  <c r="K2722" i="15"/>
  <c r="L2722" i="15"/>
  <c r="M2722" i="15"/>
  <c r="N2722" i="15"/>
  <c r="A2723" i="15"/>
  <c r="B2723" i="15"/>
  <c r="C2723" i="15"/>
  <c r="D2723" i="15"/>
  <c r="E2723" i="15"/>
  <c r="F2723" i="15"/>
  <c r="G2723" i="15"/>
  <c r="H2723" i="15"/>
  <c r="I2723" i="15"/>
  <c r="J2723" i="15"/>
  <c r="K2723" i="15"/>
  <c r="L2723" i="15"/>
  <c r="M2723" i="15"/>
  <c r="N2723" i="15"/>
  <c r="A2724" i="15"/>
  <c r="B2724" i="15"/>
  <c r="C2724" i="15"/>
  <c r="D2724" i="15"/>
  <c r="E2724" i="15"/>
  <c r="F2724" i="15"/>
  <c r="G2724" i="15"/>
  <c r="H2724" i="15"/>
  <c r="I2724" i="15"/>
  <c r="J2724" i="15"/>
  <c r="K2724" i="15"/>
  <c r="L2724" i="15"/>
  <c r="M2724" i="15"/>
  <c r="N2724" i="15"/>
  <c r="A2725" i="15"/>
  <c r="B2725" i="15"/>
  <c r="C2725" i="15"/>
  <c r="D2725" i="15"/>
  <c r="E2725" i="15"/>
  <c r="F2725" i="15"/>
  <c r="G2725" i="15"/>
  <c r="H2725" i="15"/>
  <c r="I2725" i="15"/>
  <c r="J2725" i="15"/>
  <c r="K2725" i="15"/>
  <c r="L2725" i="15"/>
  <c r="M2725" i="15"/>
  <c r="N2725" i="15"/>
  <c r="A2726" i="15"/>
  <c r="B2726" i="15"/>
  <c r="C2726" i="15"/>
  <c r="D2726" i="15"/>
  <c r="E2726" i="15"/>
  <c r="F2726" i="15"/>
  <c r="G2726" i="15"/>
  <c r="H2726" i="15"/>
  <c r="I2726" i="15"/>
  <c r="J2726" i="15"/>
  <c r="K2726" i="15"/>
  <c r="L2726" i="15"/>
  <c r="M2726" i="15"/>
  <c r="N2726" i="15"/>
  <c r="A2727" i="15"/>
  <c r="B2727" i="15"/>
  <c r="C2727" i="15"/>
  <c r="D2727" i="15"/>
  <c r="E2727" i="15"/>
  <c r="F2727" i="15"/>
  <c r="G2727" i="15"/>
  <c r="H2727" i="15"/>
  <c r="I2727" i="15"/>
  <c r="J2727" i="15"/>
  <c r="K2727" i="15"/>
  <c r="L2727" i="15"/>
  <c r="M2727" i="15"/>
  <c r="N2727" i="15"/>
  <c r="A2728" i="15"/>
  <c r="B2728" i="15"/>
  <c r="C2728" i="15"/>
  <c r="D2728" i="15"/>
  <c r="E2728" i="15"/>
  <c r="F2728" i="15"/>
  <c r="G2728" i="15"/>
  <c r="H2728" i="15"/>
  <c r="I2728" i="15"/>
  <c r="J2728" i="15"/>
  <c r="K2728" i="15"/>
  <c r="L2728" i="15"/>
  <c r="M2728" i="15"/>
  <c r="N2728" i="15"/>
  <c r="A2729" i="15"/>
  <c r="B2729" i="15"/>
  <c r="C2729" i="15"/>
  <c r="D2729" i="15"/>
  <c r="E2729" i="15"/>
  <c r="F2729" i="15"/>
  <c r="G2729" i="15"/>
  <c r="H2729" i="15"/>
  <c r="I2729" i="15"/>
  <c r="J2729" i="15"/>
  <c r="K2729" i="15"/>
  <c r="L2729" i="15"/>
  <c r="M2729" i="15"/>
  <c r="N2729" i="15"/>
  <c r="A2730" i="15"/>
  <c r="B2730" i="15"/>
  <c r="C2730" i="15"/>
  <c r="D2730" i="15"/>
  <c r="E2730" i="15"/>
  <c r="F2730" i="15"/>
  <c r="G2730" i="15"/>
  <c r="H2730" i="15"/>
  <c r="I2730" i="15"/>
  <c r="J2730" i="15"/>
  <c r="K2730" i="15"/>
  <c r="L2730" i="15"/>
  <c r="M2730" i="15"/>
  <c r="N2730" i="15"/>
  <c r="A2731" i="15"/>
  <c r="B2731" i="15"/>
  <c r="C2731" i="15"/>
  <c r="D2731" i="15"/>
  <c r="E2731" i="15"/>
  <c r="F2731" i="15"/>
  <c r="G2731" i="15"/>
  <c r="H2731" i="15"/>
  <c r="I2731" i="15"/>
  <c r="J2731" i="15"/>
  <c r="K2731" i="15"/>
  <c r="L2731" i="15"/>
  <c r="M2731" i="15"/>
  <c r="N2731" i="15"/>
  <c r="A2732" i="15"/>
  <c r="B2732" i="15"/>
  <c r="C2732" i="15"/>
  <c r="D2732" i="15"/>
  <c r="E2732" i="15"/>
  <c r="F2732" i="15"/>
  <c r="G2732" i="15"/>
  <c r="H2732" i="15"/>
  <c r="I2732" i="15"/>
  <c r="J2732" i="15"/>
  <c r="K2732" i="15"/>
  <c r="L2732" i="15"/>
  <c r="M2732" i="15"/>
  <c r="N2732" i="15"/>
  <c r="A2733" i="15"/>
  <c r="B2733" i="15"/>
  <c r="C2733" i="15"/>
  <c r="D2733" i="15"/>
  <c r="E2733" i="15"/>
  <c r="F2733" i="15"/>
  <c r="G2733" i="15"/>
  <c r="H2733" i="15"/>
  <c r="I2733" i="15"/>
  <c r="J2733" i="15"/>
  <c r="K2733" i="15"/>
  <c r="L2733" i="15"/>
  <c r="M2733" i="15"/>
  <c r="N2733" i="15"/>
  <c r="A2734" i="15"/>
  <c r="B2734" i="15"/>
  <c r="C2734" i="15"/>
  <c r="D2734" i="15"/>
  <c r="E2734" i="15"/>
  <c r="F2734" i="15"/>
  <c r="G2734" i="15"/>
  <c r="H2734" i="15"/>
  <c r="I2734" i="15"/>
  <c r="J2734" i="15"/>
  <c r="K2734" i="15"/>
  <c r="L2734" i="15"/>
  <c r="M2734" i="15"/>
  <c r="N2734" i="15"/>
  <c r="A2735" i="15"/>
  <c r="B2735" i="15"/>
  <c r="C2735" i="15"/>
  <c r="D2735" i="15"/>
  <c r="E2735" i="15"/>
  <c r="F2735" i="15"/>
  <c r="G2735" i="15"/>
  <c r="H2735" i="15"/>
  <c r="I2735" i="15"/>
  <c r="J2735" i="15"/>
  <c r="K2735" i="15"/>
  <c r="L2735" i="15"/>
  <c r="M2735" i="15"/>
  <c r="N2735" i="15"/>
  <c r="A2736" i="15"/>
  <c r="B2736" i="15"/>
  <c r="C2736" i="15"/>
  <c r="D2736" i="15"/>
  <c r="E2736" i="15"/>
  <c r="F2736" i="15"/>
  <c r="G2736" i="15"/>
  <c r="H2736" i="15"/>
  <c r="I2736" i="15"/>
  <c r="J2736" i="15"/>
  <c r="K2736" i="15"/>
  <c r="L2736" i="15"/>
  <c r="M2736" i="15"/>
  <c r="N2736" i="15"/>
  <c r="A2737" i="15"/>
  <c r="B2737" i="15"/>
  <c r="C2737" i="15"/>
  <c r="D2737" i="15"/>
  <c r="E2737" i="15"/>
  <c r="F2737" i="15"/>
  <c r="G2737" i="15"/>
  <c r="H2737" i="15"/>
  <c r="I2737" i="15"/>
  <c r="J2737" i="15"/>
  <c r="K2737" i="15"/>
  <c r="L2737" i="15"/>
  <c r="M2737" i="15"/>
  <c r="N2737" i="15"/>
  <c r="A2738" i="15"/>
  <c r="B2738" i="15"/>
  <c r="C2738" i="15"/>
  <c r="D2738" i="15"/>
  <c r="E2738" i="15"/>
  <c r="F2738" i="15"/>
  <c r="G2738" i="15"/>
  <c r="H2738" i="15"/>
  <c r="I2738" i="15"/>
  <c r="J2738" i="15"/>
  <c r="K2738" i="15"/>
  <c r="L2738" i="15"/>
  <c r="M2738" i="15"/>
  <c r="N2738" i="15"/>
  <c r="A2739" i="15"/>
  <c r="B2739" i="15"/>
  <c r="C2739" i="15"/>
  <c r="D2739" i="15"/>
  <c r="E2739" i="15"/>
  <c r="F2739" i="15"/>
  <c r="G2739" i="15"/>
  <c r="H2739" i="15"/>
  <c r="I2739" i="15"/>
  <c r="J2739" i="15"/>
  <c r="K2739" i="15"/>
  <c r="L2739" i="15"/>
  <c r="M2739" i="15"/>
  <c r="N2739" i="15"/>
  <c r="A2740" i="15"/>
  <c r="B2740" i="15"/>
  <c r="C2740" i="15"/>
  <c r="D2740" i="15"/>
  <c r="E2740" i="15"/>
  <c r="F2740" i="15"/>
  <c r="G2740" i="15"/>
  <c r="H2740" i="15"/>
  <c r="I2740" i="15"/>
  <c r="J2740" i="15"/>
  <c r="K2740" i="15"/>
  <c r="L2740" i="15"/>
  <c r="M2740" i="15"/>
  <c r="N2740" i="15"/>
  <c r="A2741" i="15"/>
  <c r="B2741" i="15"/>
  <c r="C2741" i="15"/>
  <c r="D2741" i="15"/>
  <c r="E2741" i="15"/>
  <c r="F2741" i="15"/>
  <c r="G2741" i="15"/>
  <c r="H2741" i="15"/>
  <c r="I2741" i="15"/>
  <c r="J2741" i="15"/>
  <c r="K2741" i="15"/>
  <c r="L2741" i="15"/>
  <c r="M2741" i="15"/>
  <c r="N2741" i="15"/>
  <c r="A2742" i="15"/>
  <c r="B2742" i="15"/>
  <c r="C2742" i="15"/>
  <c r="D2742" i="15"/>
  <c r="E2742" i="15"/>
  <c r="F2742" i="15"/>
  <c r="G2742" i="15"/>
  <c r="H2742" i="15"/>
  <c r="I2742" i="15"/>
  <c r="J2742" i="15"/>
  <c r="K2742" i="15"/>
  <c r="L2742" i="15"/>
  <c r="M2742" i="15"/>
  <c r="N2742" i="15"/>
  <c r="A2743" i="15"/>
  <c r="B2743" i="15"/>
  <c r="C2743" i="15"/>
  <c r="D2743" i="15"/>
  <c r="E2743" i="15"/>
  <c r="F2743" i="15"/>
  <c r="G2743" i="15"/>
  <c r="H2743" i="15"/>
  <c r="I2743" i="15"/>
  <c r="J2743" i="15"/>
  <c r="K2743" i="15"/>
  <c r="L2743" i="15"/>
  <c r="M2743" i="15"/>
  <c r="N2743" i="15"/>
  <c r="A2744" i="15"/>
  <c r="B2744" i="15"/>
  <c r="C2744" i="15"/>
  <c r="D2744" i="15"/>
  <c r="E2744" i="15"/>
  <c r="F2744" i="15"/>
  <c r="G2744" i="15"/>
  <c r="H2744" i="15"/>
  <c r="I2744" i="15"/>
  <c r="J2744" i="15"/>
  <c r="K2744" i="15"/>
  <c r="L2744" i="15"/>
  <c r="M2744" i="15"/>
  <c r="N2744" i="15"/>
  <c r="A2745" i="15"/>
  <c r="B2745" i="15"/>
  <c r="C2745" i="15"/>
  <c r="D2745" i="15"/>
  <c r="E2745" i="15"/>
  <c r="F2745" i="15"/>
  <c r="G2745" i="15"/>
  <c r="H2745" i="15"/>
  <c r="I2745" i="15"/>
  <c r="J2745" i="15"/>
  <c r="K2745" i="15"/>
  <c r="L2745" i="15"/>
  <c r="M2745" i="15"/>
  <c r="N2745" i="15"/>
  <c r="A2746" i="15"/>
  <c r="B2746" i="15"/>
  <c r="C2746" i="15"/>
  <c r="D2746" i="15"/>
  <c r="E2746" i="15"/>
  <c r="F2746" i="15"/>
  <c r="G2746" i="15"/>
  <c r="H2746" i="15"/>
  <c r="I2746" i="15"/>
  <c r="J2746" i="15"/>
  <c r="K2746" i="15"/>
  <c r="L2746" i="15"/>
  <c r="M2746" i="15"/>
  <c r="N2746" i="15"/>
  <c r="A2747" i="15"/>
  <c r="B2747" i="15"/>
  <c r="C2747" i="15"/>
  <c r="D2747" i="15"/>
  <c r="E2747" i="15"/>
  <c r="F2747" i="15"/>
  <c r="G2747" i="15"/>
  <c r="H2747" i="15"/>
  <c r="I2747" i="15"/>
  <c r="J2747" i="15"/>
  <c r="K2747" i="15"/>
  <c r="L2747" i="15"/>
  <c r="M2747" i="15"/>
  <c r="N2747" i="15"/>
  <c r="A2748" i="15"/>
  <c r="B2748" i="15"/>
  <c r="C2748" i="15"/>
  <c r="D2748" i="15"/>
  <c r="E2748" i="15"/>
  <c r="F2748" i="15"/>
  <c r="G2748" i="15"/>
  <c r="H2748" i="15"/>
  <c r="I2748" i="15"/>
  <c r="J2748" i="15"/>
  <c r="K2748" i="15"/>
  <c r="L2748" i="15"/>
  <c r="M2748" i="15"/>
  <c r="N2748" i="15"/>
  <c r="A2749" i="15"/>
  <c r="B2749" i="15"/>
  <c r="C2749" i="15"/>
  <c r="D2749" i="15"/>
  <c r="E2749" i="15"/>
  <c r="F2749" i="15"/>
  <c r="G2749" i="15"/>
  <c r="H2749" i="15"/>
  <c r="I2749" i="15"/>
  <c r="J2749" i="15"/>
  <c r="K2749" i="15"/>
  <c r="L2749" i="15"/>
  <c r="M2749" i="15"/>
  <c r="N2749" i="15"/>
  <c r="A2750" i="15"/>
  <c r="B2750" i="15"/>
  <c r="C2750" i="15"/>
  <c r="D2750" i="15"/>
  <c r="E2750" i="15"/>
  <c r="F2750" i="15"/>
  <c r="G2750" i="15"/>
  <c r="H2750" i="15"/>
  <c r="I2750" i="15"/>
  <c r="J2750" i="15"/>
  <c r="K2750" i="15"/>
  <c r="L2750" i="15"/>
  <c r="M2750" i="15"/>
  <c r="N2750" i="15"/>
  <c r="A2751" i="15"/>
  <c r="B2751" i="15"/>
  <c r="C2751" i="15"/>
  <c r="D2751" i="15"/>
  <c r="E2751" i="15"/>
  <c r="F2751" i="15"/>
  <c r="G2751" i="15"/>
  <c r="H2751" i="15"/>
  <c r="I2751" i="15"/>
  <c r="J2751" i="15"/>
  <c r="K2751" i="15"/>
  <c r="L2751" i="15"/>
  <c r="M2751" i="15"/>
  <c r="N2751" i="15"/>
  <c r="A2752" i="15"/>
  <c r="B2752" i="15"/>
  <c r="C2752" i="15"/>
  <c r="D2752" i="15"/>
  <c r="E2752" i="15"/>
  <c r="F2752" i="15"/>
  <c r="G2752" i="15"/>
  <c r="H2752" i="15"/>
  <c r="I2752" i="15"/>
  <c r="J2752" i="15"/>
  <c r="K2752" i="15"/>
  <c r="L2752" i="15"/>
  <c r="M2752" i="15"/>
  <c r="N2752" i="15"/>
  <c r="A2753" i="15"/>
  <c r="B2753" i="15"/>
  <c r="C2753" i="15"/>
  <c r="D2753" i="15"/>
  <c r="E2753" i="15"/>
  <c r="F2753" i="15"/>
  <c r="G2753" i="15"/>
  <c r="H2753" i="15"/>
  <c r="I2753" i="15"/>
  <c r="J2753" i="15"/>
  <c r="K2753" i="15"/>
  <c r="L2753" i="15"/>
  <c r="M2753" i="15"/>
  <c r="N2753" i="15"/>
  <c r="A2754" i="15"/>
  <c r="B2754" i="15"/>
  <c r="C2754" i="15"/>
  <c r="D2754" i="15"/>
  <c r="E2754" i="15"/>
  <c r="F2754" i="15"/>
  <c r="G2754" i="15"/>
  <c r="H2754" i="15"/>
  <c r="I2754" i="15"/>
  <c r="J2754" i="15"/>
  <c r="K2754" i="15"/>
  <c r="L2754" i="15"/>
  <c r="M2754" i="15"/>
  <c r="N2754" i="15"/>
  <c r="A2755" i="15"/>
  <c r="B2755" i="15"/>
  <c r="C2755" i="15"/>
  <c r="D2755" i="15"/>
  <c r="E2755" i="15"/>
  <c r="F2755" i="15"/>
  <c r="G2755" i="15"/>
  <c r="H2755" i="15"/>
  <c r="I2755" i="15"/>
  <c r="J2755" i="15"/>
  <c r="K2755" i="15"/>
  <c r="L2755" i="15"/>
  <c r="M2755" i="15"/>
  <c r="N2755" i="15"/>
  <c r="A2756" i="15"/>
  <c r="B2756" i="15"/>
  <c r="C2756" i="15"/>
  <c r="D2756" i="15"/>
  <c r="E2756" i="15"/>
  <c r="F2756" i="15"/>
  <c r="G2756" i="15"/>
  <c r="H2756" i="15"/>
  <c r="I2756" i="15"/>
  <c r="J2756" i="15"/>
  <c r="K2756" i="15"/>
  <c r="L2756" i="15"/>
  <c r="M2756" i="15"/>
  <c r="N2756" i="15"/>
  <c r="A2757" i="15"/>
  <c r="B2757" i="15"/>
  <c r="C2757" i="15"/>
  <c r="D2757" i="15"/>
  <c r="E2757" i="15"/>
  <c r="F2757" i="15"/>
  <c r="G2757" i="15"/>
  <c r="H2757" i="15"/>
  <c r="I2757" i="15"/>
  <c r="J2757" i="15"/>
  <c r="K2757" i="15"/>
  <c r="L2757" i="15"/>
  <c r="M2757" i="15"/>
  <c r="N2757" i="15"/>
  <c r="A2758" i="15"/>
  <c r="B2758" i="15"/>
  <c r="C2758" i="15"/>
  <c r="D2758" i="15"/>
  <c r="E2758" i="15"/>
  <c r="F2758" i="15"/>
  <c r="G2758" i="15"/>
  <c r="H2758" i="15"/>
  <c r="I2758" i="15"/>
  <c r="J2758" i="15"/>
  <c r="K2758" i="15"/>
  <c r="L2758" i="15"/>
  <c r="M2758" i="15"/>
  <c r="N2758" i="15"/>
  <c r="A2759" i="15"/>
  <c r="B2759" i="15"/>
  <c r="C2759" i="15"/>
  <c r="D2759" i="15"/>
  <c r="E2759" i="15"/>
  <c r="F2759" i="15"/>
  <c r="G2759" i="15"/>
  <c r="H2759" i="15"/>
  <c r="I2759" i="15"/>
  <c r="J2759" i="15"/>
  <c r="K2759" i="15"/>
  <c r="L2759" i="15"/>
  <c r="M2759" i="15"/>
  <c r="N2759" i="15"/>
  <c r="A2760" i="15"/>
  <c r="B2760" i="15"/>
  <c r="C2760" i="15"/>
  <c r="D2760" i="15"/>
  <c r="E2760" i="15"/>
  <c r="F2760" i="15"/>
  <c r="G2760" i="15"/>
  <c r="H2760" i="15"/>
  <c r="I2760" i="15"/>
  <c r="J2760" i="15"/>
  <c r="K2760" i="15"/>
  <c r="L2760" i="15"/>
  <c r="M2760" i="15"/>
  <c r="N2760" i="15"/>
  <c r="A2761" i="15"/>
  <c r="B2761" i="15"/>
  <c r="C2761" i="15"/>
  <c r="D2761" i="15"/>
  <c r="E2761" i="15"/>
  <c r="F2761" i="15"/>
  <c r="G2761" i="15"/>
  <c r="H2761" i="15"/>
  <c r="I2761" i="15"/>
  <c r="J2761" i="15"/>
  <c r="K2761" i="15"/>
  <c r="L2761" i="15"/>
  <c r="M2761" i="15"/>
  <c r="N2761" i="15"/>
  <c r="A2762" i="15"/>
  <c r="B2762" i="15"/>
  <c r="C2762" i="15"/>
  <c r="D2762" i="15"/>
  <c r="E2762" i="15"/>
  <c r="F2762" i="15"/>
  <c r="G2762" i="15"/>
  <c r="H2762" i="15"/>
  <c r="I2762" i="15"/>
  <c r="J2762" i="15"/>
  <c r="K2762" i="15"/>
  <c r="L2762" i="15"/>
  <c r="M2762" i="15"/>
  <c r="N2762" i="15"/>
  <c r="A2763" i="15"/>
  <c r="B2763" i="15"/>
  <c r="C2763" i="15"/>
  <c r="D2763" i="15"/>
  <c r="E2763" i="15"/>
  <c r="F2763" i="15"/>
  <c r="G2763" i="15"/>
  <c r="H2763" i="15"/>
  <c r="I2763" i="15"/>
  <c r="J2763" i="15"/>
  <c r="K2763" i="15"/>
  <c r="L2763" i="15"/>
  <c r="M2763" i="15"/>
  <c r="N2763" i="15"/>
  <c r="A2764" i="15"/>
  <c r="B2764" i="15"/>
  <c r="C2764" i="15"/>
  <c r="D2764" i="15"/>
  <c r="E2764" i="15"/>
  <c r="F2764" i="15"/>
  <c r="G2764" i="15"/>
  <c r="H2764" i="15"/>
  <c r="I2764" i="15"/>
  <c r="J2764" i="15"/>
  <c r="K2764" i="15"/>
  <c r="L2764" i="15"/>
  <c r="M2764" i="15"/>
  <c r="N2764" i="15"/>
  <c r="A2765" i="15"/>
  <c r="B2765" i="15"/>
  <c r="C2765" i="15"/>
  <c r="D2765" i="15"/>
  <c r="E2765" i="15"/>
  <c r="F2765" i="15"/>
  <c r="G2765" i="15"/>
  <c r="H2765" i="15"/>
  <c r="I2765" i="15"/>
  <c r="J2765" i="15"/>
  <c r="K2765" i="15"/>
  <c r="L2765" i="15"/>
  <c r="M2765" i="15"/>
  <c r="N2765" i="15"/>
  <c r="A2766" i="15"/>
  <c r="B2766" i="15"/>
  <c r="C2766" i="15"/>
  <c r="D2766" i="15"/>
  <c r="E2766" i="15"/>
  <c r="F2766" i="15"/>
  <c r="G2766" i="15"/>
  <c r="H2766" i="15"/>
  <c r="I2766" i="15"/>
  <c r="J2766" i="15"/>
  <c r="K2766" i="15"/>
  <c r="L2766" i="15"/>
  <c r="M2766" i="15"/>
  <c r="N2766" i="15"/>
  <c r="A2767" i="15"/>
  <c r="B2767" i="15"/>
  <c r="C2767" i="15"/>
  <c r="D2767" i="15"/>
  <c r="E2767" i="15"/>
  <c r="F2767" i="15"/>
  <c r="G2767" i="15"/>
  <c r="H2767" i="15"/>
  <c r="I2767" i="15"/>
  <c r="J2767" i="15"/>
  <c r="K2767" i="15"/>
  <c r="L2767" i="15"/>
  <c r="M2767" i="15"/>
  <c r="N2767" i="15"/>
  <c r="A2768" i="15"/>
  <c r="B2768" i="15"/>
  <c r="C2768" i="15"/>
  <c r="D2768" i="15"/>
  <c r="E2768" i="15"/>
  <c r="F2768" i="15"/>
  <c r="G2768" i="15"/>
  <c r="H2768" i="15"/>
  <c r="I2768" i="15"/>
  <c r="J2768" i="15"/>
  <c r="K2768" i="15"/>
  <c r="L2768" i="15"/>
  <c r="M2768" i="15"/>
  <c r="N2768" i="15"/>
  <c r="A2769" i="15"/>
  <c r="B2769" i="15"/>
  <c r="C2769" i="15"/>
  <c r="D2769" i="15"/>
  <c r="E2769" i="15"/>
  <c r="F2769" i="15"/>
  <c r="G2769" i="15"/>
  <c r="H2769" i="15"/>
  <c r="I2769" i="15"/>
  <c r="J2769" i="15"/>
  <c r="K2769" i="15"/>
  <c r="L2769" i="15"/>
  <c r="M2769" i="15"/>
  <c r="N2769" i="15"/>
  <c r="A2770" i="15"/>
  <c r="B2770" i="15"/>
  <c r="C2770" i="15"/>
  <c r="D2770" i="15"/>
  <c r="E2770" i="15"/>
  <c r="F2770" i="15"/>
  <c r="G2770" i="15"/>
  <c r="H2770" i="15"/>
  <c r="I2770" i="15"/>
  <c r="J2770" i="15"/>
  <c r="K2770" i="15"/>
  <c r="L2770" i="15"/>
  <c r="M2770" i="15"/>
  <c r="N2770" i="15"/>
  <c r="A2771" i="15"/>
  <c r="B2771" i="15"/>
  <c r="C2771" i="15"/>
  <c r="D2771" i="15"/>
  <c r="E2771" i="15"/>
  <c r="F2771" i="15"/>
  <c r="G2771" i="15"/>
  <c r="H2771" i="15"/>
  <c r="I2771" i="15"/>
  <c r="J2771" i="15"/>
  <c r="K2771" i="15"/>
  <c r="L2771" i="15"/>
  <c r="M2771" i="15"/>
  <c r="N2771" i="15"/>
  <c r="A2772" i="15"/>
  <c r="B2772" i="15"/>
  <c r="C2772" i="15"/>
  <c r="D2772" i="15"/>
  <c r="E2772" i="15"/>
  <c r="F2772" i="15"/>
  <c r="G2772" i="15"/>
  <c r="H2772" i="15"/>
  <c r="I2772" i="15"/>
  <c r="J2772" i="15"/>
  <c r="K2772" i="15"/>
  <c r="L2772" i="15"/>
  <c r="M2772" i="15"/>
  <c r="N2772" i="15"/>
  <c r="A2773" i="15"/>
  <c r="B2773" i="15"/>
  <c r="C2773" i="15"/>
  <c r="D2773" i="15"/>
  <c r="E2773" i="15"/>
  <c r="F2773" i="15"/>
  <c r="G2773" i="15"/>
  <c r="H2773" i="15"/>
  <c r="I2773" i="15"/>
  <c r="J2773" i="15"/>
  <c r="K2773" i="15"/>
  <c r="L2773" i="15"/>
  <c r="M2773" i="15"/>
  <c r="N2773" i="15"/>
  <c r="A2774" i="15"/>
  <c r="B2774" i="15"/>
  <c r="C2774" i="15"/>
  <c r="D2774" i="15"/>
  <c r="E2774" i="15"/>
  <c r="F2774" i="15"/>
  <c r="G2774" i="15"/>
  <c r="H2774" i="15"/>
  <c r="I2774" i="15"/>
  <c r="J2774" i="15"/>
  <c r="K2774" i="15"/>
  <c r="L2774" i="15"/>
  <c r="M2774" i="15"/>
  <c r="N2774" i="15"/>
  <c r="A2775" i="15"/>
  <c r="B2775" i="15"/>
  <c r="C2775" i="15"/>
  <c r="D2775" i="15"/>
  <c r="E2775" i="15"/>
  <c r="F2775" i="15"/>
  <c r="G2775" i="15"/>
  <c r="H2775" i="15"/>
  <c r="I2775" i="15"/>
  <c r="J2775" i="15"/>
  <c r="K2775" i="15"/>
  <c r="L2775" i="15"/>
  <c r="M2775" i="15"/>
  <c r="N2775" i="15"/>
  <c r="A2776" i="15"/>
  <c r="B2776" i="15"/>
  <c r="C2776" i="15"/>
  <c r="D2776" i="15"/>
  <c r="E2776" i="15"/>
  <c r="F2776" i="15"/>
  <c r="G2776" i="15"/>
  <c r="H2776" i="15"/>
  <c r="I2776" i="15"/>
  <c r="J2776" i="15"/>
  <c r="K2776" i="15"/>
  <c r="L2776" i="15"/>
  <c r="M2776" i="15"/>
  <c r="N2776" i="15"/>
  <c r="A2777" i="15"/>
  <c r="B2777" i="15"/>
  <c r="C2777" i="15"/>
  <c r="D2777" i="15"/>
  <c r="E2777" i="15"/>
  <c r="F2777" i="15"/>
  <c r="G2777" i="15"/>
  <c r="H2777" i="15"/>
  <c r="I2777" i="15"/>
  <c r="J2777" i="15"/>
  <c r="K2777" i="15"/>
  <c r="L2777" i="15"/>
  <c r="M2777" i="15"/>
  <c r="N2777" i="15"/>
  <c r="A2778" i="15"/>
  <c r="B2778" i="15"/>
  <c r="C2778" i="15"/>
  <c r="D2778" i="15"/>
  <c r="E2778" i="15"/>
  <c r="F2778" i="15"/>
  <c r="G2778" i="15"/>
  <c r="H2778" i="15"/>
  <c r="I2778" i="15"/>
  <c r="J2778" i="15"/>
  <c r="K2778" i="15"/>
  <c r="L2778" i="15"/>
  <c r="M2778" i="15"/>
  <c r="N2778" i="15"/>
  <c r="A2779" i="15"/>
  <c r="B2779" i="15"/>
  <c r="C2779" i="15"/>
  <c r="D2779" i="15"/>
  <c r="E2779" i="15"/>
  <c r="F2779" i="15"/>
  <c r="G2779" i="15"/>
  <c r="H2779" i="15"/>
  <c r="I2779" i="15"/>
  <c r="J2779" i="15"/>
  <c r="K2779" i="15"/>
  <c r="L2779" i="15"/>
  <c r="M2779" i="15"/>
  <c r="N2779" i="15"/>
  <c r="A2780" i="15"/>
  <c r="B2780" i="15"/>
  <c r="C2780" i="15"/>
  <c r="D2780" i="15"/>
  <c r="E2780" i="15"/>
  <c r="F2780" i="15"/>
  <c r="G2780" i="15"/>
  <c r="H2780" i="15"/>
  <c r="I2780" i="15"/>
  <c r="J2780" i="15"/>
  <c r="K2780" i="15"/>
  <c r="L2780" i="15"/>
  <c r="M2780" i="15"/>
  <c r="N2780" i="15"/>
  <c r="A2781" i="15"/>
  <c r="B2781" i="15"/>
  <c r="C2781" i="15"/>
  <c r="D2781" i="15"/>
  <c r="E2781" i="15"/>
  <c r="F2781" i="15"/>
  <c r="G2781" i="15"/>
  <c r="H2781" i="15"/>
  <c r="I2781" i="15"/>
  <c r="J2781" i="15"/>
  <c r="K2781" i="15"/>
  <c r="L2781" i="15"/>
  <c r="M2781" i="15"/>
  <c r="N2781" i="15"/>
  <c r="A2782" i="15"/>
  <c r="B2782" i="15"/>
  <c r="C2782" i="15"/>
  <c r="D2782" i="15"/>
  <c r="E2782" i="15"/>
  <c r="F2782" i="15"/>
  <c r="G2782" i="15"/>
  <c r="H2782" i="15"/>
  <c r="I2782" i="15"/>
  <c r="J2782" i="15"/>
  <c r="K2782" i="15"/>
  <c r="L2782" i="15"/>
  <c r="M2782" i="15"/>
  <c r="N2782" i="15"/>
  <c r="A2783" i="15"/>
  <c r="B2783" i="15"/>
  <c r="C2783" i="15"/>
  <c r="D2783" i="15"/>
  <c r="E2783" i="15"/>
  <c r="F2783" i="15"/>
  <c r="G2783" i="15"/>
  <c r="H2783" i="15"/>
  <c r="I2783" i="15"/>
  <c r="J2783" i="15"/>
  <c r="K2783" i="15"/>
  <c r="L2783" i="15"/>
  <c r="M2783" i="15"/>
  <c r="N2783" i="15"/>
  <c r="A2784" i="15"/>
  <c r="B2784" i="15"/>
  <c r="C2784" i="15"/>
  <c r="D2784" i="15"/>
  <c r="E2784" i="15"/>
  <c r="F2784" i="15"/>
  <c r="G2784" i="15"/>
  <c r="H2784" i="15"/>
  <c r="I2784" i="15"/>
  <c r="J2784" i="15"/>
  <c r="K2784" i="15"/>
  <c r="L2784" i="15"/>
  <c r="M2784" i="15"/>
  <c r="N2784" i="15"/>
  <c r="A2785" i="15"/>
  <c r="B2785" i="15"/>
  <c r="C2785" i="15"/>
  <c r="D2785" i="15"/>
  <c r="E2785" i="15"/>
  <c r="F2785" i="15"/>
  <c r="G2785" i="15"/>
  <c r="H2785" i="15"/>
  <c r="I2785" i="15"/>
  <c r="J2785" i="15"/>
  <c r="K2785" i="15"/>
  <c r="L2785" i="15"/>
  <c r="M2785" i="15"/>
  <c r="N2785" i="15"/>
  <c r="A2786" i="15"/>
  <c r="B2786" i="15"/>
  <c r="C2786" i="15"/>
  <c r="D2786" i="15"/>
  <c r="E2786" i="15"/>
  <c r="F2786" i="15"/>
  <c r="G2786" i="15"/>
  <c r="H2786" i="15"/>
  <c r="I2786" i="15"/>
  <c r="J2786" i="15"/>
  <c r="K2786" i="15"/>
  <c r="L2786" i="15"/>
  <c r="M2786" i="15"/>
  <c r="N2786" i="15"/>
  <c r="A2787" i="15"/>
  <c r="B2787" i="15"/>
  <c r="C2787" i="15"/>
  <c r="D2787" i="15"/>
  <c r="E2787" i="15"/>
  <c r="F2787" i="15"/>
  <c r="G2787" i="15"/>
  <c r="H2787" i="15"/>
  <c r="I2787" i="15"/>
  <c r="J2787" i="15"/>
  <c r="K2787" i="15"/>
  <c r="L2787" i="15"/>
  <c r="M2787" i="15"/>
  <c r="N2787" i="15"/>
  <c r="A2788" i="15"/>
  <c r="B2788" i="15"/>
  <c r="C2788" i="15"/>
  <c r="D2788" i="15"/>
  <c r="E2788" i="15"/>
  <c r="F2788" i="15"/>
  <c r="G2788" i="15"/>
  <c r="H2788" i="15"/>
  <c r="I2788" i="15"/>
  <c r="J2788" i="15"/>
  <c r="K2788" i="15"/>
  <c r="L2788" i="15"/>
  <c r="M2788" i="15"/>
  <c r="N2788" i="15"/>
  <c r="A2789" i="15"/>
  <c r="B2789" i="15"/>
  <c r="C2789" i="15"/>
  <c r="D2789" i="15"/>
  <c r="E2789" i="15"/>
  <c r="F2789" i="15"/>
  <c r="G2789" i="15"/>
  <c r="H2789" i="15"/>
  <c r="I2789" i="15"/>
  <c r="J2789" i="15"/>
  <c r="K2789" i="15"/>
  <c r="L2789" i="15"/>
  <c r="M2789" i="15"/>
  <c r="N2789" i="15"/>
  <c r="A2790" i="15"/>
  <c r="B2790" i="15"/>
  <c r="C2790" i="15"/>
  <c r="D2790" i="15"/>
  <c r="E2790" i="15"/>
  <c r="F2790" i="15"/>
  <c r="G2790" i="15"/>
  <c r="H2790" i="15"/>
  <c r="I2790" i="15"/>
  <c r="J2790" i="15"/>
  <c r="K2790" i="15"/>
  <c r="L2790" i="15"/>
  <c r="M2790" i="15"/>
  <c r="N2790" i="15"/>
  <c r="A2791" i="15"/>
  <c r="B2791" i="15"/>
  <c r="C2791" i="15"/>
  <c r="D2791" i="15"/>
  <c r="E2791" i="15"/>
  <c r="F2791" i="15"/>
  <c r="G2791" i="15"/>
  <c r="H2791" i="15"/>
  <c r="I2791" i="15"/>
  <c r="J2791" i="15"/>
  <c r="K2791" i="15"/>
  <c r="L2791" i="15"/>
  <c r="M2791" i="15"/>
  <c r="N2791" i="15"/>
  <c r="A2792" i="15"/>
  <c r="B2792" i="15"/>
  <c r="C2792" i="15"/>
  <c r="D2792" i="15"/>
  <c r="E2792" i="15"/>
  <c r="F2792" i="15"/>
  <c r="G2792" i="15"/>
  <c r="H2792" i="15"/>
  <c r="I2792" i="15"/>
  <c r="J2792" i="15"/>
  <c r="K2792" i="15"/>
  <c r="L2792" i="15"/>
  <c r="M2792" i="15"/>
  <c r="N2792" i="15"/>
  <c r="A2793" i="15"/>
  <c r="B2793" i="15"/>
  <c r="C2793" i="15"/>
  <c r="D2793" i="15"/>
  <c r="E2793" i="15"/>
  <c r="F2793" i="15"/>
  <c r="G2793" i="15"/>
  <c r="H2793" i="15"/>
  <c r="I2793" i="15"/>
  <c r="J2793" i="15"/>
  <c r="K2793" i="15"/>
  <c r="L2793" i="15"/>
  <c r="M2793" i="15"/>
  <c r="N2793" i="15"/>
  <c r="A2794" i="15"/>
  <c r="B2794" i="15"/>
  <c r="C2794" i="15"/>
  <c r="D2794" i="15"/>
  <c r="E2794" i="15"/>
  <c r="F2794" i="15"/>
  <c r="G2794" i="15"/>
  <c r="H2794" i="15"/>
  <c r="I2794" i="15"/>
  <c r="J2794" i="15"/>
  <c r="K2794" i="15"/>
  <c r="L2794" i="15"/>
  <c r="M2794" i="15"/>
  <c r="N2794" i="15"/>
  <c r="A2795" i="15"/>
  <c r="B2795" i="15"/>
  <c r="C2795" i="15"/>
  <c r="D2795" i="15"/>
  <c r="E2795" i="15"/>
  <c r="F2795" i="15"/>
  <c r="G2795" i="15"/>
  <c r="H2795" i="15"/>
  <c r="I2795" i="15"/>
  <c r="J2795" i="15"/>
  <c r="K2795" i="15"/>
  <c r="L2795" i="15"/>
  <c r="M2795" i="15"/>
  <c r="N2795" i="15"/>
  <c r="A2796" i="15"/>
  <c r="B2796" i="15"/>
  <c r="C2796" i="15"/>
  <c r="D2796" i="15"/>
  <c r="E2796" i="15"/>
  <c r="F2796" i="15"/>
  <c r="G2796" i="15"/>
  <c r="H2796" i="15"/>
  <c r="I2796" i="15"/>
  <c r="J2796" i="15"/>
  <c r="K2796" i="15"/>
  <c r="L2796" i="15"/>
  <c r="M2796" i="15"/>
  <c r="N2796" i="15"/>
  <c r="A2797" i="15"/>
  <c r="B2797" i="15"/>
  <c r="C2797" i="15"/>
  <c r="D2797" i="15"/>
  <c r="E2797" i="15"/>
  <c r="F2797" i="15"/>
  <c r="G2797" i="15"/>
  <c r="H2797" i="15"/>
  <c r="I2797" i="15"/>
  <c r="J2797" i="15"/>
  <c r="K2797" i="15"/>
  <c r="L2797" i="15"/>
  <c r="M2797" i="15"/>
  <c r="N2797" i="15"/>
  <c r="A2798" i="15"/>
  <c r="B2798" i="15"/>
  <c r="C2798" i="15"/>
  <c r="D2798" i="15"/>
  <c r="E2798" i="15"/>
  <c r="F2798" i="15"/>
  <c r="G2798" i="15"/>
  <c r="H2798" i="15"/>
  <c r="I2798" i="15"/>
  <c r="J2798" i="15"/>
  <c r="K2798" i="15"/>
  <c r="L2798" i="15"/>
  <c r="M2798" i="15"/>
  <c r="N2798" i="15"/>
  <c r="A2799" i="15"/>
  <c r="B2799" i="15"/>
  <c r="C2799" i="15"/>
  <c r="D2799" i="15"/>
  <c r="E2799" i="15"/>
  <c r="F2799" i="15"/>
  <c r="G2799" i="15"/>
  <c r="H2799" i="15"/>
  <c r="I2799" i="15"/>
  <c r="J2799" i="15"/>
  <c r="K2799" i="15"/>
  <c r="L2799" i="15"/>
  <c r="M2799" i="15"/>
  <c r="N2799" i="15"/>
  <c r="A2800" i="15"/>
  <c r="B2800" i="15"/>
  <c r="C2800" i="15"/>
  <c r="D2800" i="15"/>
  <c r="E2800" i="15"/>
  <c r="F2800" i="15"/>
  <c r="G2800" i="15"/>
  <c r="H2800" i="15"/>
  <c r="I2800" i="15"/>
  <c r="J2800" i="15"/>
  <c r="K2800" i="15"/>
  <c r="L2800" i="15"/>
  <c r="M2800" i="15"/>
  <c r="N2800" i="15"/>
  <c r="A2801" i="15"/>
  <c r="B2801" i="15"/>
  <c r="C2801" i="15"/>
  <c r="D2801" i="15"/>
  <c r="E2801" i="15"/>
  <c r="F2801" i="15"/>
  <c r="G2801" i="15"/>
  <c r="H2801" i="15"/>
  <c r="I2801" i="15"/>
  <c r="J2801" i="15"/>
  <c r="K2801" i="15"/>
  <c r="L2801" i="15"/>
  <c r="M2801" i="15"/>
  <c r="N2801" i="15"/>
  <c r="A2802" i="15"/>
  <c r="B2802" i="15"/>
  <c r="C2802" i="15"/>
  <c r="D2802" i="15"/>
  <c r="E2802" i="15"/>
  <c r="F2802" i="15"/>
  <c r="G2802" i="15"/>
  <c r="H2802" i="15"/>
  <c r="I2802" i="15"/>
  <c r="J2802" i="15"/>
  <c r="K2802" i="15"/>
  <c r="L2802" i="15"/>
  <c r="M2802" i="15"/>
  <c r="N2802" i="15"/>
  <c r="A2803" i="15"/>
  <c r="B2803" i="15"/>
  <c r="C2803" i="15"/>
  <c r="D2803" i="15"/>
  <c r="E2803" i="15"/>
  <c r="F2803" i="15"/>
  <c r="G2803" i="15"/>
  <c r="H2803" i="15"/>
  <c r="I2803" i="15"/>
  <c r="J2803" i="15"/>
  <c r="K2803" i="15"/>
  <c r="L2803" i="15"/>
  <c r="M2803" i="15"/>
  <c r="N2803" i="15"/>
  <c r="A2804" i="15"/>
  <c r="B2804" i="15"/>
  <c r="C2804" i="15"/>
  <c r="D2804" i="15"/>
  <c r="E2804" i="15"/>
  <c r="F2804" i="15"/>
  <c r="G2804" i="15"/>
  <c r="H2804" i="15"/>
  <c r="I2804" i="15"/>
  <c r="J2804" i="15"/>
  <c r="K2804" i="15"/>
  <c r="L2804" i="15"/>
  <c r="M2804" i="15"/>
  <c r="N2804" i="15"/>
  <c r="A2805" i="15"/>
  <c r="B2805" i="15"/>
  <c r="C2805" i="15"/>
  <c r="D2805" i="15"/>
  <c r="E2805" i="15"/>
  <c r="F2805" i="15"/>
  <c r="G2805" i="15"/>
  <c r="H2805" i="15"/>
  <c r="I2805" i="15"/>
  <c r="J2805" i="15"/>
  <c r="K2805" i="15"/>
  <c r="L2805" i="15"/>
  <c r="M2805" i="15"/>
  <c r="N2805" i="15"/>
  <c r="A2806" i="15"/>
  <c r="B2806" i="15"/>
  <c r="C2806" i="15"/>
  <c r="D2806" i="15"/>
  <c r="E2806" i="15"/>
  <c r="F2806" i="15"/>
  <c r="G2806" i="15"/>
  <c r="H2806" i="15"/>
  <c r="I2806" i="15"/>
  <c r="J2806" i="15"/>
  <c r="K2806" i="15"/>
  <c r="L2806" i="15"/>
  <c r="M2806" i="15"/>
  <c r="N2806" i="15"/>
  <c r="A2807" i="15"/>
  <c r="B2807" i="15"/>
  <c r="C2807" i="15"/>
  <c r="D2807" i="15"/>
  <c r="E2807" i="15"/>
  <c r="F2807" i="15"/>
  <c r="G2807" i="15"/>
  <c r="H2807" i="15"/>
  <c r="I2807" i="15"/>
  <c r="J2807" i="15"/>
  <c r="K2807" i="15"/>
  <c r="L2807" i="15"/>
  <c r="M2807" i="15"/>
  <c r="N2807" i="15"/>
  <c r="A2808" i="15"/>
  <c r="B2808" i="15"/>
  <c r="C2808" i="15"/>
  <c r="D2808" i="15"/>
  <c r="E2808" i="15"/>
  <c r="F2808" i="15"/>
  <c r="G2808" i="15"/>
  <c r="H2808" i="15"/>
  <c r="I2808" i="15"/>
  <c r="J2808" i="15"/>
  <c r="K2808" i="15"/>
  <c r="L2808" i="15"/>
  <c r="M2808" i="15"/>
  <c r="N2808" i="15"/>
  <c r="A2809" i="15"/>
  <c r="B2809" i="15"/>
  <c r="C2809" i="15"/>
  <c r="D2809" i="15"/>
  <c r="E2809" i="15"/>
  <c r="F2809" i="15"/>
  <c r="G2809" i="15"/>
  <c r="H2809" i="15"/>
  <c r="I2809" i="15"/>
  <c r="J2809" i="15"/>
  <c r="K2809" i="15"/>
  <c r="L2809" i="15"/>
  <c r="M2809" i="15"/>
  <c r="N2809" i="15"/>
  <c r="A2810" i="15"/>
  <c r="B2810" i="15"/>
  <c r="C2810" i="15"/>
  <c r="D2810" i="15"/>
  <c r="E2810" i="15"/>
  <c r="F2810" i="15"/>
  <c r="G2810" i="15"/>
  <c r="H2810" i="15"/>
  <c r="I2810" i="15"/>
  <c r="J2810" i="15"/>
  <c r="K2810" i="15"/>
  <c r="L2810" i="15"/>
  <c r="M2810" i="15"/>
  <c r="N2810" i="15"/>
  <c r="A2811" i="15"/>
  <c r="B2811" i="15"/>
  <c r="C2811" i="15"/>
  <c r="D2811" i="15"/>
  <c r="E2811" i="15"/>
  <c r="F2811" i="15"/>
  <c r="G2811" i="15"/>
  <c r="H2811" i="15"/>
  <c r="I2811" i="15"/>
  <c r="J2811" i="15"/>
  <c r="K2811" i="15"/>
  <c r="L2811" i="15"/>
  <c r="M2811" i="15"/>
  <c r="N2811" i="15"/>
  <c r="A2812" i="15"/>
  <c r="B2812" i="15"/>
  <c r="C2812" i="15"/>
  <c r="D2812" i="15"/>
  <c r="E2812" i="15"/>
  <c r="F2812" i="15"/>
  <c r="G2812" i="15"/>
  <c r="H2812" i="15"/>
  <c r="I2812" i="15"/>
  <c r="J2812" i="15"/>
  <c r="K2812" i="15"/>
  <c r="L2812" i="15"/>
  <c r="M2812" i="15"/>
  <c r="N2812" i="15"/>
  <c r="A2813" i="15"/>
  <c r="B2813" i="15"/>
  <c r="C2813" i="15"/>
  <c r="D2813" i="15"/>
  <c r="E2813" i="15"/>
  <c r="F2813" i="15"/>
  <c r="G2813" i="15"/>
  <c r="H2813" i="15"/>
  <c r="I2813" i="15"/>
  <c r="J2813" i="15"/>
  <c r="K2813" i="15"/>
  <c r="L2813" i="15"/>
  <c r="M2813" i="15"/>
  <c r="N2813" i="15"/>
  <c r="A2814" i="15"/>
  <c r="B2814" i="15"/>
  <c r="C2814" i="15"/>
  <c r="D2814" i="15"/>
  <c r="E2814" i="15"/>
  <c r="F2814" i="15"/>
  <c r="G2814" i="15"/>
  <c r="H2814" i="15"/>
  <c r="I2814" i="15"/>
  <c r="J2814" i="15"/>
  <c r="K2814" i="15"/>
  <c r="L2814" i="15"/>
  <c r="M2814" i="15"/>
  <c r="N2814" i="15"/>
  <c r="A2815" i="15"/>
  <c r="B2815" i="15"/>
  <c r="C2815" i="15"/>
  <c r="D2815" i="15"/>
  <c r="E2815" i="15"/>
  <c r="F2815" i="15"/>
  <c r="G2815" i="15"/>
  <c r="H2815" i="15"/>
  <c r="I2815" i="15"/>
  <c r="J2815" i="15"/>
  <c r="K2815" i="15"/>
  <c r="L2815" i="15"/>
  <c r="M2815" i="15"/>
  <c r="N2815" i="15"/>
  <c r="A2816" i="15"/>
  <c r="B2816" i="15"/>
  <c r="C2816" i="15"/>
  <c r="D2816" i="15"/>
  <c r="E2816" i="15"/>
  <c r="F2816" i="15"/>
  <c r="G2816" i="15"/>
  <c r="H2816" i="15"/>
  <c r="I2816" i="15"/>
  <c r="J2816" i="15"/>
  <c r="K2816" i="15"/>
  <c r="L2816" i="15"/>
  <c r="M2816" i="15"/>
  <c r="N2816" i="15"/>
  <c r="A2817" i="15"/>
  <c r="B2817" i="15"/>
  <c r="C2817" i="15"/>
  <c r="D2817" i="15"/>
  <c r="E2817" i="15"/>
  <c r="F2817" i="15"/>
  <c r="G2817" i="15"/>
  <c r="H2817" i="15"/>
  <c r="I2817" i="15"/>
  <c r="J2817" i="15"/>
  <c r="K2817" i="15"/>
  <c r="L2817" i="15"/>
  <c r="M2817" i="15"/>
  <c r="N2817" i="15"/>
  <c r="A2818" i="15"/>
  <c r="B2818" i="15"/>
  <c r="C2818" i="15"/>
  <c r="D2818" i="15"/>
  <c r="E2818" i="15"/>
  <c r="F2818" i="15"/>
  <c r="G2818" i="15"/>
  <c r="H2818" i="15"/>
  <c r="I2818" i="15"/>
  <c r="J2818" i="15"/>
  <c r="K2818" i="15"/>
  <c r="L2818" i="15"/>
  <c r="M2818" i="15"/>
  <c r="N2818" i="15"/>
  <c r="A2819" i="15"/>
  <c r="B2819" i="15"/>
  <c r="C2819" i="15"/>
  <c r="D2819" i="15"/>
  <c r="E2819" i="15"/>
  <c r="F2819" i="15"/>
  <c r="G2819" i="15"/>
  <c r="H2819" i="15"/>
  <c r="I2819" i="15"/>
  <c r="J2819" i="15"/>
  <c r="K2819" i="15"/>
  <c r="L2819" i="15"/>
  <c r="M2819" i="15"/>
  <c r="N2819" i="15"/>
  <c r="A2820" i="15"/>
  <c r="B2820" i="15"/>
  <c r="C2820" i="15"/>
  <c r="D2820" i="15"/>
  <c r="E2820" i="15"/>
  <c r="F2820" i="15"/>
  <c r="G2820" i="15"/>
  <c r="H2820" i="15"/>
  <c r="I2820" i="15"/>
  <c r="J2820" i="15"/>
  <c r="K2820" i="15"/>
  <c r="L2820" i="15"/>
  <c r="M2820" i="15"/>
  <c r="N2820" i="15"/>
  <c r="A2821" i="15"/>
  <c r="B2821" i="15"/>
  <c r="C2821" i="15"/>
  <c r="D2821" i="15"/>
  <c r="E2821" i="15"/>
  <c r="F2821" i="15"/>
  <c r="G2821" i="15"/>
  <c r="H2821" i="15"/>
  <c r="I2821" i="15"/>
  <c r="J2821" i="15"/>
  <c r="K2821" i="15"/>
  <c r="L2821" i="15"/>
  <c r="M2821" i="15"/>
  <c r="N2821" i="15"/>
  <c r="A2822" i="15"/>
  <c r="B2822" i="15"/>
  <c r="C2822" i="15"/>
  <c r="D2822" i="15"/>
  <c r="E2822" i="15"/>
  <c r="F2822" i="15"/>
  <c r="G2822" i="15"/>
  <c r="H2822" i="15"/>
  <c r="I2822" i="15"/>
  <c r="J2822" i="15"/>
  <c r="K2822" i="15"/>
  <c r="L2822" i="15"/>
  <c r="M2822" i="15"/>
  <c r="N2822" i="15"/>
  <c r="A2823" i="15"/>
  <c r="B2823" i="15"/>
  <c r="C2823" i="15"/>
  <c r="D2823" i="15"/>
  <c r="E2823" i="15"/>
  <c r="F2823" i="15"/>
  <c r="G2823" i="15"/>
  <c r="H2823" i="15"/>
  <c r="I2823" i="15"/>
  <c r="J2823" i="15"/>
  <c r="K2823" i="15"/>
  <c r="L2823" i="15"/>
  <c r="M2823" i="15"/>
  <c r="N2823" i="15"/>
  <c r="A2824" i="15"/>
  <c r="B2824" i="15"/>
  <c r="C2824" i="15"/>
  <c r="D2824" i="15"/>
  <c r="E2824" i="15"/>
  <c r="F2824" i="15"/>
  <c r="G2824" i="15"/>
  <c r="H2824" i="15"/>
  <c r="I2824" i="15"/>
  <c r="J2824" i="15"/>
  <c r="K2824" i="15"/>
  <c r="L2824" i="15"/>
  <c r="M2824" i="15"/>
  <c r="N2824" i="15"/>
  <c r="A2825" i="15"/>
  <c r="B2825" i="15"/>
  <c r="C2825" i="15"/>
  <c r="D2825" i="15"/>
  <c r="E2825" i="15"/>
  <c r="F2825" i="15"/>
  <c r="G2825" i="15"/>
  <c r="H2825" i="15"/>
  <c r="I2825" i="15"/>
  <c r="J2825" i="15"/>
  <c r="K2825" i="15"/>
  <c r="L2825" i="15"/>
  <c r="M2825" i="15"/>
  <c r="N2825" i="15"/>
  <c r="A2826" i="15"/>
  <c r="B2826" i="15"/>
  <c r="C2826" i="15"/>
  <c r="D2826" i="15"/>
  <c r="E2826" i="15"/>
  <c r="F2826" i="15"/>
  <c r="G2826" i="15"/>
  <c r="H2826" i="15"/>
  <c r="I2826" i="15"/>
  <c r="J2826" i="15"/>
  <c r="K2826" i="15"/>
  <c r="L2826" i="15"/>
  <c r="M2826" i="15"/>
  <c r="N2826" i="15"/>
  <c r="A2827" i="15"/>
  <c r="B2827" i="15"/>
  <c r="C2827" i="15"/>
  <c r="D2827" i="15"/>
  <c r="E2827" i="15"/>
  <c r="F2827" i="15"/>
  <c r="G2827" i="15"/>
  <c r="H2827" i="15"/>
  <c r="I2827" i="15"/>
  <c r="J2827" i="15"/>
  <c r="K2827" i="15"/>
  <c r="L2827" i="15"/>
  <c r="M2827" i="15"/>
  <c r="N2827" i="15"/>
  <c r="A2828" i="15"/>
  <c r="B2828" i="15"/>
  <c r="C2828" i="15"/>
  <c r="D2828" i="15"/>
  <c r="E2828" i="15"/>
  <c r="F2828" i="15"/>
  <c r="G2828" i="15"/>
  <c r="H2828" i="15"/>
  <c r="I2828" i="15"/>
  <c r="J2828" i="15"/>
  <c r="K2828" i="15"/>
  <c r="L2828" i="15"/>
  <c r="M2828" i="15"/>
  <c r="N2828" i="15"/>
  <c r="A2829" i="15"/>
  <c r="B2829" i="15"/>
  <c r="C2829" i="15"/>
  <c r="D2829" i="15"/>
  <c r="E2829" i="15"/>
  <c r="F2829" i="15"/>
  <c r="G2829" i="15"/>
  <c r="H2829" i="15"/>
  <c r="I2829" i="15"/>
  <c r="J2829" i="15"/>
  <c r="K2829" i="15"/>
  <c r="L2829" i="15"/>
  <c r="M2829" i="15"/>
  <c r="N2829" i="15"/>
  <c r="A2830" i="15"/>
  <c r="B2830" i="15"/>
  <c r="C2830" i="15"/>
  <c r="D2830" i="15"/>
  <c r="E2830" i="15"/>
  <c r="F2830" i="15"/>
  <c r="G2830" i="15"/>
  <c r="H2830" i="15"/>
  <c r="I2830" i="15"/>
  <c r="J2830" i="15"/>
  <c r="K2830" i="15"/>
  <c r="L2830" i="15"/>
  <c r="M2830" i="15"/>
  <c r="N2830" i="15"/>
  <c r="A2831" i="15"/>
  <c r="B2831" i="15"/>
  <c r="C2831" i="15"/>
  <c r="D2831" i="15"/>
  <c r="E2831" i="15"/>
  <c r="F2831" i="15"/>
  <c r="G2831" i="15"/>
  <c r="H2831" i="15"/>
  <c r="I2831" i="15"/>
  <c r="J2831" i="15"/>
  <c r="K2831" i="15"/>
  <c r="L2831" i="15"/>
  <c r="M2831" i="15"/>
  <c r="N2831" i="15"/>
  <c r="A2832" i="15"/>
  <c r="B2832" i="15"/>
  <c r="C2832" i="15"/>
  <c r="D2832" i="15"/>
  <c r="E2832" i="15"/>
  <c r="F2832" i="15"/>
  <c r="G2832" i="15"/>
  <c r="H2832" i="15"/>
  <c r="I2832" i="15"/>
  <c r="J2832" i="15"/>
  <c r="K2832" i="15"/>
  <c r="L2832" i="15"/>
  <c r="M2832" i="15"/>
  <c r="N2832" i="15"/>
  <c r="A2833" i="15"/>
  <c r="B2833" i="15"/>
  <c r="C2833" i="15"/>
  <c r="D2833" i="15"/>
  <c r="E2833" i="15"/>
  <c r="F2833" i="15"/>
  <c r="G2833" i="15"/>
  <c r="H2833" i="15"/>
  <c r="I2833" i="15"/>
  <c r="J2833" i="15"/>
  <c r="K2833" i="15"/>
  <c r="L2833" i="15"/>
  <c r="M2833" i="15"/>
  <c r="N2833" i="15"/>
  <c r="A2834" i="15"/>
  <c r="B2834" i="15"/>
  <c r="C2834" i="15"/>
  <c r="D2834" i="15"/>
  <c r="E2834" i="15"/>
  <c r="F2834" i="15"/>
  <c r="G2834" i="15"/>
  <c r="H2834" i="15"/>
  <c r="I2834" i="15"/>
  <c r="J2834" i="15"/>
  <c r="K2834" i="15"/>
  <c r="L2834" i="15"/>
  <c r="M2834" i="15"/>
  <c r="N2834" i="15"/>
  <c r="A2835" i="15"/>
  <c r="B2835" i="15"/>
  <c r="C2835" i="15"/>
  <c r="D2835" i="15"/>
  <c r="E2835" i="15"/>
  <c r="F2835" i="15"/>
  <c r="G2835" i="15"/>
  <c r="H2835" i="15"/>
  <c r="I2835" i="15"/>
  <c r="J2835" i="15"/>
  <c r="K2835" i="15"/>
  <c r="L2835" i="15"/>
  <c r="M2835" i="15"/>
  <c r="N2835" i="15"/>
  <c r="A2836" i="15"/>
  <c r="B2836" i="15"/>
  <c r="C2836" i="15"/>
  <c r="D2836" i="15"/>
  <c r="E2836" i="15"/>
  <c r="F2836" i="15"/>
  <c r="G2836" i="15"/>
  <c r="H2836" i="15"/>
  <c r="I2836" i="15"/>
  <c r="J2836" i="15"/>
  <c r="K2836" i="15"/>
  <c r="L2836" i="15"/>
  <c r="M2836" i="15"/>
  <c r="N2836" i="15"/>
  <c r="A2837" i="15"/>
  <c r="B2837" i="15"/>
  <c r="C2837" i="15"/>
  <c r="D2837" i="15"/>
  <c r="E2837" i="15"/>
  <c r="F2837" i="15"/>
  <c r="G2837" i="15"/>
  <c r="H2837" i="15"/>
  <c r="I2837" i="15"/>
  <c r="J2837" i="15"/>
  <c r="K2837" i="15"/>
  <c r="L2837" i="15"/>
  <c r="M2837" i="15"/>
  <c r="N2837" i="15"/>
  <c r="A2838" i="15"/>
  <c r="B2838" i="15"/>
  <c r="C2838" i="15"/>
  <c r="D2838" i="15"/>
  <c r="E2838" i="15"/>
  <c r="F2838" i="15"/>
  <c r="G2838" i="15"/>
  <c r="H2838" i="15"/>
  <c r="I2838" i="15"/>
  <c r="J2838" i="15"/>
  <c r="K2838" i="15"/>
  <c r="L2838" i="15"/>
  <c r="M2838" i="15"/>
  <c r="N2838" i="15"/>
  <c r="A2839" i="15"/>
  <c r="B2839" i="15"/>
  <c r="C2839" i="15"/>
  <c r="D2839" i="15"/>
  <c r="E2839" i="15"/>
  <c r="F2839" i="15"/>
  <c r="G2839" i="15"/>
  <c r="H2839" i="15"/>
  <c r="I2839" i="15"/>
  <c r="J2839" i="15"/>
  <c r="K2839" i="15"/>
  <c r="L2839" i="15"/>
  <c r="M2839" i="15"/>
  <c r="N2839" i="15"/>
  <c r="A2840" i="15"/>
  <c r="B2840" i="15"/>
  <c r="C2840" i="15"/>
  <c r="D2840" i="15"/>
  <c r="E2840" i="15"/>
  <c r="F2840" i="15"/>
  <c r="G2840" i="15"/>
  <c r="H2840" i="15"/>
  <c r="I2840" i="15"/>
  <c r="J2840" i="15"/>
  <c r="K2840" i="15"/>
  <c r="L2840" i="15"/>
  <c r="M2840" i="15"/>
  <c r="N2840" i="15"/>
  <c r="A2841" i="15"/>
  <c r="B2841" i="15"/>
  <c r="C2841" i="15"/>
  <c r="D2841" i="15"/>
  <c r="E2841" i="15"/>
  <c r="F2841" i="15"/>
  <c r="G2841" i="15"/>
  <c r="H2841" i="15"/>
  <c r="I2841" i="15"/>
  <c r="J2841" i="15"/>
  <c r="K2841" i="15"/>
  <c r="L2841" i="15"/>
  <c r="M2841" i="15"/>
  <c r="N2841" i="15"/>
  <c r="A2842" i="15"/>
  <c r="B2842" i="15"/>
  <c r="C2842" i="15"/>
  <c r="D2842" i="15"/>
  <c r="E2842" i="15"/>
  <c r="F2842" i="15"/>
  <c r="G2842" i="15"/>
  <c r="H2842" i="15"/>
  <c r="I2842" i="15"/>
  <c r="J2842" i="15"/>
  <c r="K2842" i="15"/>
  <c r="L2842" i="15"/>
  <c r="M2842" i="15"/>
  <c r="N2842" i="15"/>
  <c r="A2843" i="15"/>
  <c r="B2843" i="15"/>
  <c r="C2843" i="15"/>
  <c r="D2843" i="15"/>
  <c r="E2843" i="15"/>
  <c r="F2843" i="15"/>
  <c r="G2843" i="15"/>
  <c r="H2843" i="15"/>
  <c r="I2843" i="15"/>
  <c r="J2843" i="15"/>
  <c r="K2843" i="15"/>
  <c r="L2843" i="15"/>
  <c r="M2843" i="15"/>
  <c r="N2843" i="15"/>
  <c r="A2844" i="15"/>
  <c r="B2844" i="15"/>
  <c r="C2844" i="15"/>
  <c r="D2844" i="15"/>
  <c r="E2844" i="15"/>
  <c r="F2844" i="15"/>
  <c r="G2844" i="15"/>
  <c r="H2844" i="15"/>
  <c r="I2844" i="15"/>
  <c r="J2844" i="15"/>
  <c r="K2844" i="15"/>
  <c r="L2844" i="15"/>
  <c r="M2844" i="15"/>
  <c r="N2844" i="15"/>
  <c r="A2845" i="15"/>
  <c r="B2845" i="15"/>
  <c r="C2845" i="15"/>
  <c r="D2845" i="15"/>
  <c r="E2845" i="15"/>
  <c r="F2845" i="15"/>
  <c r="G2845" i="15"/>
  <c r="H2845" i="15"/>
  <c r="I2845" i="15"/>
  <c r="J2845" i="15"/>
  <c r="K2845" i="15"/>
  <c r="L2845" i="15"/>
  <c r="M2845" i="15"/>
  <c r="N2845" i="15"/>
  <c r="A2846" i="15"/>
  <c r="B2846" i="15"/>
  <c r="C2846" i="15"/>
  <c r="D2846" i="15"/>
  <c r="E2846" i="15"/>
  <c r="F2846" i="15"/>
  <c r="G2846" i="15"/>
  <c r="H2846" i="15"/>
  <c r="I2846" i="15"/>
  <c r="J2846" i="15"/>
  <c r="K2846" i="15"/>
  <c r="L2846" i="15"/>
  <c r="M2846" i="15"/>
  <c r="N2846" i="15"/>
  <c r="A2847" i="15"/>
  <c r="B2847" i="15"/>
  <c r="C2847" i="15"/>
  <c r="D2847" i="15"/>
  <c r="E2847" i="15"/>
  <c r="F2847" i="15"/>
  <c r="G2847" i="15"/>
  <c r="H2847" i="15"/>
  <c r="I2847" i="15"/>
  <c r="J2847" i="15"/>
  <c r="K2847" i="15"/>
  <c r="L2847" i="15"/>
  <c r="M2847" i="15"/>
  <c r="N2847" i="15"/>
  <c r="A2848" i="15"/>
  <c r="B2848" i="15"/>
  <c r="C2848" i="15"/>
  <c r="D2848" i="15"/>
  <c r="E2848" i="15"/>
  <c r="F2848" i="15"/>
  <c r="G2848" i="15"/>
  <c r="H2848" i="15"/>
  <c r="I2848" i="15"/>
  <c r="J2848" i="15"/>
  <c r="K2848" i="15"/>
  <c r="L2848" i="15"/>
  <c r="M2848" i="15"/>
  <c r="N2848" i="15"/>
  <c r="A2849" i="15"/>
  <c r="B2849" i="15"/>
  <c r="C2849" i="15"/>
  <c r="D2849" i="15"/>
  <c r="E2849" i="15"/>
  <c r="F2849" i="15"/>
  <c r="G2849" i="15"/>
  <c r="H2849" i="15"/>
  <c r="I2849" i="15"/>
  <c r="J2849" i="15"/>
  <c r="K2849" i="15"/>
  <c r="L2849" i="15"/>
  <c r="M2849" i="15"/>
  <c r="N2849" i="15"/>
  <c r="A2850" i="15"/>
  <c r="B2850" i="15"/>
  <c r="C2850" i="15"/>
  <c r="D2850" i="15"/>
  <c r="E2850" i="15"/>
  <c r="F2850" i="15"/>
  <c r="G2850" i="15"/>
  <c r="H2850" i="15"/>
  <c r="I2850" i="15"/>
  <c r="J2850" i="15"/>
  <c r="K2850" i="15"/>
  <c r="L2850" i="15"/>
  <c r="M2850" i="15"/>
  <c r="N2850" i="15"/>
  <c r="A2851" i="15"/>
  <c r="B2851" i="15"/>
  <c r="C2851" i="15"/>
  <c r="D2851" i="15"/>
  <c r="E2851" i="15"/>
  <c r="F2851" i="15"/>
  <c r="G2851" i="15"/>
  <c r="H2851" i="15"/>
  <c r="I2851" i="15"/>
  <c r="J2851" i="15"/>
  <c r="K2851" i="15"/>
  <c r="L2851" i="15"/>
  <c r="M2851" i="15"/>
  <c r="N2851" i="15"/>
  <c r="A2852" i="15"/>
  <c r="B2852" i="15"/>
  <c r="C2852" i="15"/>
  <c r="D2852" i="15"/>
  <c r="E2852" i="15"/>
  <c r="F2852" i="15"/>
  <c r="G2852" i="15"/>
  <c r="H2852" i="15"/>
  <c r="I2852" i="15"/>
  <c r="J2852" i="15"/>
  <c r="K2852" i="15"/>
  <c r="L2852" i="15"/>
  <c r="M2852" i="15"/>
  <c r="N2852" i="15"/>
  <c r="A2853" i="15"/>
  <c r="B2853" i="15"/>
  <c r="C2853" i="15"/>
  <c r="D2853" i="15"/>
  <c r="E2853" i="15"/>
  <c r="F2853" i="15"/>
  <c r="G2853" i="15"/>
  <c r="H2853" i="15"/>
  <c r="I2853" i="15"/>
  <c r="J2853" i="15"/>
  <c r="K2853" i="15"/>
  <c r="L2853" i="15"/>
  <c r="M2853" i="15"/>
  <c r="N2853" i="15"/>
  <c r="A2854" i="15"/>
  <c r="B2854" i="15"/>
  <c r="C2854" i="15"/>
  <c r="D2854" i="15"/>
  <c r="E2854" i="15"/>
  <c r="F2854" i="15"/>
  <c r="G2854" i="15"/>
  <c r="H2854" i="15"/>
  <c r="I2854" i="15"/>
  <c r="J2854" i="15"/>
  <c r="K2854" i="15"/>
  <c r="L2854" i="15"/>
  <c r="M2854" i="15"/>
  <c r="N2854" i="15"/>
  <c r="A2855" i="15"/>
  <c r="B2855" i="15"/>
  <c r="C2855" i="15"/>
  <c r="D2855" i="15"/>
  <c r="E2855" i="15"/>
  <c r="F2855" i="15"/>
  <c r="G2855" i="15"/>
  <c r="H2855" i="15"/>
  <c r="I2855" i="15"/>
  <c r="J2855" i="15"/>
  <c r="K2855" i="15"/>
  <c r="L2855" i="15"/>
  <c r="M2855" i="15"/>
  <c r="N2855" i="15"/>
  <c r="A2856" i="15"/>
  <c r="B2856" i="15"/>
  <c r="C2856" i="15"/>
  <c r="D2856" i="15"/>
  <c r="E2856" i="15"/>
  <c r="F2856" i="15"/>
  <c r="G2856" i="15"/>
  <c r="H2856" i="15"/>
  <c r="I2856" i="15"/>
  <c r="J2856" i="15"/>
  <c r="K2856" i="15"/>
  <c r="L2856" i="15"/>
  <c r="M2856" i="15"/>
  <c r="N2856" i="15"/>
  <c r="A2857" i="15"/>
  <c r="B2857" i="15"/>
  <c r="C2857" i="15"/>
  <c r="D2857" i="15"/>
  <c r="E2857" i="15"/>
  <c r="F2857" i="15"/>
  <c r="G2857" i="15"/>
  <c r="H2857" i="15"/>
  <c r="I2857" i="15"/>
  <c r="J2857" i="15"/>
  <c r="K2857" i="15"/>
  <c r="L2857" i="15"/>
  <c r="M2857" i="15"/>
  <c r="N2857" i="15"/>
  <c r="A2858" i="15"/>
  <c r="B2858" i="15"/>
  <c r="C2858" i="15"/>
  <c r="D2858" i="15"/>
  <c r="E2858" i="15"/>
  <c r="F2858" i="15"/>
  <c r="G2858" i="15"/>
  <c r="H2858" i="15"/>
  <c r="I2858" i="15"/>
  <c r="J2858" i="15"/>
  <c r="K2858" i="15"/>
  <c r="L2858" i="15"/>
  <c r="M2858" i="15"/>
  <c r="N2858" i="15"/>
  <c r="A2859" i="15"/>
  <c r="B2859" i="15"/>
  <c r="C2859" i="15"/>
  <c r="D2859" i="15"/>
  <c r="E2859" i="15"/>
  <c r="F2859" i="15"/>
  <c r="G2859" i="15"/>
  <c r="H2859" i="15"/>
  <c r="I2859" i="15"/>
  <c r="J2859" i="15"/>
  <c r="K2859" i="15"/>
  <c r="L2859" i="15"/>
  <c r="M2859" i="15"/>
  <c r="N2859" i="15"/>
  <c r="A2860" i="15"/>
  <c r="B2860" i="15"/>
  <c r="C2860" i="15"/>
  <c r="D2860" i="15"/>
  <c r="E2860" i="15"/>
  <c r="F2860" i="15"/>
  <c r="G2860" i="15"/>
  <c r="H2860" i="15"/>
  <c r="I2860" i="15"/>
  <c r="J2860" i="15"/>
  <c r="K2860" i="15"/>
  <c r="L2860" i="15"/>
  <c r="M2860" i="15"/>
  <c r="N2860" i="15"/>
  <c r="A2861" i="15"/>
  <c r="B2861" i="15"/>
  <c r="C2861" i="15"/>
  <c r="D2861" i="15"/>
  <c r="E2861" i="15"/>
  <c r="F2861" i="15"/>
  <c r="G2861" i="15"/>
  <c r="H2861" i="15"/>
  <c r="I2861" i="15"/>
  <c r="J2861" i="15"/>
  <c r="K2861" i="15"/>
  <c r="L2861" i="15"/>
  <c r="M2861" i="15"/>
  <c r="N2861" i="15"/>
  <c r="A2862" i="15"/>
  <c r="B2862" i="15"/>
  <c r="C2862" i="15"/>
  <c r="D2862" i="15"/>
  <c r="E2862" i="15"/>
  <c r="F2862" i="15"/>
  <c r="G2862" i="15"/>
  <c r="H2862" i="15"/>
  <c r="I2862" i="15"/>
  <c r="J2862" i="15"/>
  <c r="K2862" i="15"/>
  <c r="L2862" i="15"/>
  <c r="M2862" i="15"/>
  <c r="N2862" i="15"/>
  <c r="A2863" i="15"/>
  <c r="B2863" i="15"/>
  <c r="C2863" i="15"/>
  <c r="D2863" i="15"/>
  <c r="E2863" i="15"/>
  <c r="F2863" i="15"/>
  <c r="G2863" i="15"/>
  <c r="H2863" i="15"/>
  <c r="I2863" i="15"/>
  <c r="J2863" i="15"/>
  <c r="K2863" i="15"/>
  <c r="L2863" i="15"/>
  <c r="M2863" i="15"/>
  <c r="N2863" i="15"/>
  <c r="A2864" i="15"/>
  <c r="B2864" i="15"/>
  <c r="C2864" i="15"/>
  <c r="D2864" i="15"/>
  <c r="E2864" i="15"/>
  <c r="F2864" i="15"/>
  <c r="G2864" i="15"/>
  <c r="H2864" i="15"/>
  <c r="I2864" i="15"/>
  <c r="J2864" i="15"/>
  <c r="K2864" i="15"/>
  <c r="L2864" i="15"/>
  <c r="M2864" i="15"/>
  <c r="N2864" i="15"/>
  <c r="A2865" i="15"/>
  <c r="B2865" i="15"/>
  <c r="C2865" i="15"/>
  <c r="D2865" i="15"/>
  <c r="E2865" i="15"/>
  <c r="F2865" i="15"/>
  <c r="G2865" i="15"/>
  <c r="H2865" i="15"/>
  <c r="I2865" i="15"/>
  <c r="J2865" i="15"/>
  <c r="K2865" i="15"/>
  <c r="L2865" i="15"/>
  <c r="M2865" i="15"/>
  <c r="N2865" i="15"/>
  <c r="A2866" i="15"/>
  <c r="B2866" i="15"/>
  <c r="C2866" i="15"/>
  <c r="D2866" i="15"/>
  <c r="E2866" i="15"/>
  <c r="F2866" i="15"/>
  <c r="G2866" i="15"/>
  <c r="H2866" i="15"/>
  <c r="I2866" i="15"/>
  <c r="J2866" i="15"/>
  <c r="K2866" i="15"/>
  <c r="L2866" i="15"/>
  <c r="M2866" i="15"/>
  <c r="N2866" i="15"/>
  <c r="A2867" i="15"/>
  <c r="B2867" i="15"/>
  <c r="C2867" i="15"/>
  <c r="D2867" i="15"/>
  <c r="E2867" i="15"/>
  <c r="F2867" i="15"/>
  <c r="G2867" i="15"/>
  <c r="H2867" i="15"/>
  <c r="I2867" i="15"/>
  <c r="J2867" i="15"/>
  <c r="K2867" i="15"/>
  <c r="L2867" i="15"/>
  <c r="M2867" i="15"/>
  <c r="N2867" i="15"/>
  <c r="A2868" i="15"/>
  <c r="B2868" i="15"/>
  <c r="C2868" i="15"/>
  <c r="D2868" i="15"/>
  <c r="E2868" i="15"/>
  <c r="F2868" i="15"/>
  <c r="G2868" i="15"/>
  <c r="H2868" i="15"/>
  <c r="I2868" i="15"/>
  <c r="J2868" i="15"/>
  <c r="K2868" i="15"/>
  <c r="L2868" i="15"/>
  <c r="M2868" i="15"/>
  <c r="N2868" i="15"/>
  <c r="A2869" i="15"/>
  <c r="B2869" i="15"/>
  <c r="C2869" i="15"/>
  <c r="D2869" i="15"/>
  <c r="E2869" i="15"/>
  <c r="F2869" i="15"/>
  <c r="G2869" i="15"/>
  <c r="H2869" i="15"/>
  <c r="I2869" i="15"/>
  <c r="J2869" i="15"/>
  <c r="K2869" i="15"/>
  <c r="L2869" i="15"/>
  <c r="M2869" i="15"/>
  <c r="N2869" i="15"/>
  <c r="A2870" i="15"/>
  <c r="B2870" i="15"/>
  <c r="C2870" i="15"/>
  <c r="D2870" i="15"/>
  <c r="E2870" i="15"/>
  <c r="F2870" i="15"/>
  <c r="G2870" i="15"/>
  <c r="H2870" i="15"/>
  <c r="I2870" i="15"/>
  <c r="J2870" i="15"/>
  <c r="K2870" i="15"/>
  <c r="L2870" i="15"/>
  <c r="M2870" i="15"/>
  <c r="N2870" i="15"/>
  <c r="A2871" i="15"/>
  <c r="B2871" i="15"/>
  <c r="C2871" i="15"/>
  <c r="D2871" i="15"/>
  <c r="E2871" i="15"/>
  <c r="F2871" i="15"/>
  <c r="G2871" i="15"/>
  <c r="H2871" i="15"/>
  <c r="I2871" i="15"/>
  <c r="J2871" i="15"/>
  <c r="K2871" i="15"/>
  <c r="L2871" i="15"/>
  <c r="M2871" i="15"/>
  <c r="N2871" i="15"/>
  <c r="A2872" i="15"/>
  <c r="B2872" i="15"/>
  <c r="C2872" i="15"/>
  <c r="D2872" i="15"/>
  <c r="E2872" i="15"/>
  <c r="F2872" i="15"/>
  <c r="G2872" i="15"/>
  <c r="H2872" i="15"/>
  <c r="I2872" i="15"/>
  <c r="J2872" i="15"/>
  <c r="K2872" i="15"/>
  <c r="L2872" i="15"/>
  <c r="M2872" i="15"/>
  <c r="N2872" i="15"/>
  <c r="A2873" i="15"/>
  <c r="B2873" i="15"/>
  <c r="C2873" i="15"/>
  <c r="D2873" i="15"/>
  <c r="E2873" i="15"/>
  <c r="F2873" i="15"/>
  <c r="G2873" i="15"/>
  <c r="H2873" i="15"/>
  <c r="I2873" i="15"/>
  <c r="J2873" i="15"/>
  <c r="K2873" i="15"/>
  <c r="L2873" i="15"/>
  <c r="M2873" i="15"/>
  <c r="N2873" i="15"/>
  <c r="A2874" i="15"/>
  <c r="B2874" i="15"/>
  <c r="C2874" i="15"/>
  <c r="D2874" i="15"/>
  <c r="E2874" i="15"/>
  <c r="F2874" i="15"/>
  <c r="G2874" i="15"/>
  <c r="H2874" i="15"/>
  <c r="I2874" i="15"/>
  <c r="J2874" i="15"/>
  <c r="K2874" i="15"/>
  <c r="L2874" i="15"/>
  <c r="M2874" i="15"/>
  <c r="N2874" i="15"/>
  <c r="A2875" i="15"/>
  <c r="B2875" i="15"/>
  <c r="C2875" i="15"/>
  <c r="D2875" i="15"/>
  <c r="E2875" i="15"/>
  <c r="F2875" i="15"/>
  <c r="G2875" i="15"/>
  <c r="H2875" i="15"/>
  <c r="I2875" i="15"/>
  <c r="J2875" i="15"/>
  <c r="K2875" i="15"/>
  <c r="L2875" i="15"/>
  <c r="M2875" i="15"/>
  <c r="N2875" i="15"/>
  <c r="A2876" i="15"/>
  <c r="B2876" i="15"/>
  <c r="C2876" i="15"/>
  <c r="D2876" i="15"/>
  <c r="E2876" i="15"/>
  <c r="F2876" i="15"/>
  <c r="G2876" i="15"/>
  <c r="H2876" i="15"/>
  <c r="I2876" i="15"/>
  <c r="J2876" i="15"/>
  <c r="K2876" i="15"/>
  <c r="L2876" i="15"/>
  <c r="M2876" i="15"/>
  <c r="N2876" i="15"/>
  <c r="A2877" i="15"/>
  <c r="B2877" i="15"/>
  <c r="C2877" i="15"/>
  <c r="D2877" i="15"/>
  <c r="E2877" i="15"/>
  <c r="F2877" i="15"/>
  <c r="G2877" i="15"/>
  <c r="H2877" i="15"/>
  <c r="I2877" i="15"/>
  <c r="J2877" i="15"/>
  <c r="K2877" i="15"/>
  <c r="L2877" i="15"/>
  <c r="M2877" i="15"/>
  <c r="N2877" i="15"/>
  <c r="A2878" i="15"/>
  <c r="B2878" i="15"/>
  <c r="C2878" i="15"/>
  <c r="D2878" i="15"/>
  <c r="E2878" i="15"/>
  <c r="F2878" i="15"/>
  <c r="G2878" i="15"/>
  <c r="H2878" i="15"/>
  <c r="I2878" i="15"/>
  <c r="J2878" i="15"/>
  <c r="K2878" i="15"/>
  <c r="L2878" i="15"/>
  <c r="M2878" i="15"/>
  <c r="N2878" i="15"/>
  <c r="A2879" i="15"/>
  <c r="B2879" i="15"/>
  <c r="C2879" i="15"/>
  <c r="D2879" i="15"/>
  <c r="E2879" i="15"/>
  <c r="F2879" i="15"/>
  <c r="G2879" i="15"/>
  <c r="H2879" i="15"/>
  <c r="I2879" i="15"/>
  <c r="J2879" i="15"/>
  <c r="K2879" i="15"/>
  <c r="L2879" i="15"/>
  <c r="M2879" i="15"/>
  <c r="N2879" i="15"/>
  <c r="A2880" i="15"/>
  <c r="B2880" i="15"/>
  <c r="C2880" i="15"/>
  <c r="D2880" i="15"/>
  <c r="E2880" i="15"/>
  <c r="F2880" i="15"/>
  <c r="G2880" i="15"/>
  <c r="H2880" i="15"/>
  <c r="I2880" i="15"/>
  <c r="J2880" i="15"/>
  <c r="K2880" i="15"/>
  <c r="L2880" i="15"/>
  <c r="M2880" i="15"/>
  <c r="N2880" i="15"/>
  <c r="A2881" i="15"/>
  <c r="B2881" i="15"/>
  <c r="C2881" i="15"/>
  <c r="D2881" i="15"/>
  <c r="E2881" i="15"/>
  <c r="F2881" i="15"/>
  <c r="G2881" i="15"/>
  <c r="H2881" i="15"/>
  <c r="I2881" i="15"/>
  <c r="J2881" i="15"/>
  <c r="K2881" i="15"/>
  <c r="L2881" i="15"/>
  <c r="M2881" i="15"/>
  <c r="N2881" i="15"/>
  <c r="A2882" i="15"/>
  <c r="B2882" i="15"/>
  <c r="C2882" i="15"/>
  <c r="D2882" i="15"/>
  <c r="E2882" i="15"/>
  <c r="F2882" i="15"/>
  <c r="G2882" i="15"/>
  <c r="H2882" i="15"/>
  <c r="I2882" i="15"/>
  <c r="J2882" i="15"/>
  <c r="K2882" i="15"/>
  <c r="L2882" i="15"/>
  <c r="M2882" i="15"/>
  <c r="N2882" i="15"/>
  <c r="A2883" i="15"/>
  <c r="B2883" i="15"/>
  <c r="C2883" i="15"/>
  <c r="D2883" i="15"/>
  <c r="E2883" i="15"/>
  <c r="F2883" i="15"/>
  <c r="G2883" i="15"/>
  <c r="H2883" i="15"/>
  <c r="I2883" i="15"/>
  <c r="J2883" i="15"/>
  <c r="K2883" i="15"/>
  <c r="L2883" i="15"/>
  <c r="M2883" i="15"/>
  <c r="N2883" i="15"/>
  <c r="A2884" i="15"/>
  <c r="B2884" i="15"/>
  <c r="C2884" i="15"/>
  <c r="D2884" i="15"/>
  <c r="E2884" i="15"/>
  <c r="F2884" i="15"/>
  <c r="G2884" i="15"/>
  <c r="H2884" i="15"/>
  <c r="I2884" i="15"/>
  <c r="J2884" i="15"/>
  <c r="K2884" i="15"/>
  <c r="L2884" i="15"/>
  <c r="M2884" i="15"/>
  <c r="N2884" i="15"/>
  <c r="A2885" i="15"/>
  <c r="B2885" i="15"/>
  <c r="C2885" i="15"/>
  <c r="D2885" i="15"/>
  <c r="E2885" i="15"/>
  <c r="F2885" i="15"/>
  <c r="G2885" i="15"/>
  <c r="H2885" i="15"/>
  <c r="I2885" i="15"/>
  <c r="J2885" i="15"/>
  <c r="K2885" i="15"/>
  <c r="L2885" i="15"/>
  <c r="M2885" i="15"/>
  <c r="N2885" i="15"/>
  <c r="A2886" i="15"/>
  <c r="B2886" i="15"/>
  <c r="C2886" i="15"/>
  <c r="D2886" i="15"/>
  <c r="E2886" i="15"/>
  <c r="F2886" i="15"/>
  <c r="G2886" i="15"/>
  <c r="H2886" i="15"/>
  <c r="I2886" i="15"/>
  <c r="J2886" i="15"/>
  <c r="K2886" i="15"/>
  <c r="L2886" i="15"/>
  <c r="M2886" i="15"/>
  <c r="N2886" i="15"/>
  <c r="A2887" i="15"/>
  <c r="B2887" i="15"/>
  <c r="C2887" i="15"/>
  <c r="D2887" i="15"/>
  <c r="E2887" i="15"/>
  <c r="F2887" i="15"/>
  <c r="G2887" i="15"/>
  <c r="H2887" i="15"/>
  <c r="I2887" i="15"/>
  <c r="J2887" i="15"/>
  <c r="K2887" i="15"/>
  <c r="L2887" i="15"/>
  <c r="M2887" i="15"/>
  <c r="N2887" i="15"/>
  <c r="A2888" i="15"/>
  <c r="B2888" i="15"/>
  <c r="C2888" i="15"/>
  <c r="D2888" i="15"/>
  <c r="E2888" i="15"/>
  <c r="F2888" i="15"/>
  <c r="G2888" i="15"/>
  <c r="H2888" i="15"/>
  <c r="I2888" i="15"/>
  <c r="J2888" i="15"/>
  <c r="K2888" i="15"/>
  <c r="L2888" i="15"/>
  <c r="M2888" i="15"/>
  <c r="N2888" i="15"/>
  <c r="A2889" i="15"/>
  <c r="B2889" i="15"/>
  <c r="C2889" i="15"/>
  <c r="D2889" i="15"/>
  <c r="E2889" i="15"/>
  <c r="F2889" i="15"/>
  <c r="G2889" i="15"/>
  <c r="H2889" i="15"/>
  <c r="I2889" i="15"/>
  <c r="J2889" i="15"/>
  <c r="K2889" i="15"/>
  <c r="L2889" i="15"/>
  <c r="M2889" i="15"/>
  <c r="N2889" i="15"/>
  <c r="A2890" i="15"/>
  <c r="B2890" i="15"/>
  <c r="C2890" i="15"/>
  <c r="D2890" i="15"/>
  <c r="E2890" i="15"/>
  <c r="F2890" i="15"/>
  <c r="G2890" i="15"/>
  <c r="H2890" i="15"/>
  <c r="I2890" i="15"/>
  <c r="J2890" i="15"/>
  <c r="K2890" i="15"/>
  <c r="L2890" i="15"/>
  <c r="M2890" i="15"/>
  <c r="N2890" i="15"/>
  <c r="A2891" i="15"/>
  <c r="B2891" i="15"/>
  <c r="C2891" i="15"/>
  <c r="D2891" i="15"/>
  <c r="E2891" i="15"/>
  <c r="F2891" i="15"/>
  <c r="G2891" i="15"/>
  <c r="H2891" i="15"/>
  <c r="I2891" i="15"/>
  <c r="J2891" i="15"/>
  <c r="K2891" i="15"/>
  <c r="L2891" i="15"/>
  <c r="M2891" i="15"/>
  <c r="N2891" i="15"/>
  <c r="A2892" i="15"/>
  <c r="B2892" i="15"/>
  <c r="C2892" i="15"/>
  <c r="D2892" i="15"/>
  <c r="E2892" i="15"/>
  <c r="F2892" i="15"/>
  <c r="G2892" i="15"/>
  <c r="H2892" i="15"/>
  <c r="I2892" i="15"/>
  <c r="J2892" i="15"/>
  <c r="K2892" i="15"/>
  <c r="L2892" i="15"/>
  <c r="M2892" i="15"/>
  <c r="N2892" i="15"/>
  <c r="A2893" i="15"/>
  <c r="B2893" i="15"/>
  <c r="C2893" i="15"/>
  <c r="D2893" i="15"/>
  <c r="E2893" i="15"/>
  <c r="F2893" i="15"/>
  <c r="G2893" i="15"/>
  <c r="H2893" i="15"/>
  <c r="I2893" i="15"/>
  <c r="J2893" i="15"/>
  <c r="K2893" i="15"/>
  <c r="L2893" i="15"/>
  <c r="M2893" i="15"/>
  <c r="N2893" i="15"/>
  <c r="A2894" i="15"/>
  <c r="B2894" i="15"/>
  <c r="C2894" i="15"/>
  <c r="D2894" i="15"/>
  <c r="E2894" i="15"/>
  <c r="F2894" i="15"/>
  <c r="G2894" i="15"/>
  <c r="H2894" i="15"/>
  <c r="I2894" i="15"/>
  <c r="J2894" i="15"/>
  <c r="K2894" i="15"/>
  <c r="L2894" i="15"/>
  <c r="M2894" i="15"/>
  <c r="N2894" i="15"/>
  <c r="A2895" i="15"/>
  <c r="B2895" i="15"/>
  <c r="C2895" i="15"/>
  <c r="D2895" i="15"/>
  <c r="E2895" i="15"/>
  <c r="F2895" i="15"/>
  <c r="G2895" i="15"/>
  <c r="H2895" i="15"/>
  <c r="I2895" i="15"/>
  <c r="J2895" i="15"/>
  <c r="K2895" i="15"/>
  <c r="L2895" i="15"/>
  <c r="M2895" i="15"/>
  <c r="N2895" i="15"/>
  <c r="A2896" i="15"/>
  <c r="B2896" i="15"/>
  <c r="C2896" i="15"/>
  <c r="D2896" i="15"/>
  <c r="E2896" i="15"/>
  <c r="F2896" i="15"/>
  <c r="G2896" i="15"/>
  <c r="H2896" i="15"/>
  <c r="I2896" i="15"/>
  <c r="J2896" i="15"/>
  <c r="K2896" i="15"/>
  <c r="L2896" i="15"/>
  <c r="M2896" i="15"/>
  <c r="N2896" i="15"/>
  <c r="A2897" i="15"/>
  <c r="B2897" i="15"/>
  <c r="C2897" i="15"/>
  <c r="D2897" i="15"/>
  <c r="E2897" i="15"/>
  <c r="F2897" i="15"/>
  <c r="G2897" i="15"/>
  <c r="H2897" i="15"/>
  <c r="I2897" i="15"/>
  <c r="J2897" i="15"/>
  <c r="K2897" i="15"/>
  <c r="L2897" i="15"/>
  <c r="M2897" i="15"/>
  <c r="N2897" i="15"/>
  <c r="A2898" i="15"/>
  <c r="B2898" i="15"/>
  <c r="C2898" i="15"/>
  <c r="D2898" i="15"/>
  <c r="E2898" i="15"/>
  <c r="F2898" i="15"/>
  <c r="G2898" i="15"/>
  <c r="H2898" i="15"/>
  <c r="I2898" i="15"/>
  <c r="J2898" i="15"/>
  <c r="K2898" i="15"/>
  <c r="L2898" i="15"/>
  <c r="M2898" i="15"/>
  <c r="N2898" i="15"/>
  <c r="A2899" i="15"/>
  <c r="B2899" i="15"/>
  <c r="C2899" i="15"/>
  <c r="D2899" i="15"/>
  <c r="E2899" i="15"/>
  <c r="F2899" i="15"/>
  <c r="G2899" i="15"/>
  <c r="H2899" i="15"/>
  <c r="I2899" i="15"/>
  <c r="J2899" i="15"/>
  <c r="K2899" i="15"/>
  <c r="L2899" i="15"/>
  <c r="M2899" i="15"/>
  <c r="N2899" i="15"/>
  <c r="A2900" i="15"/>
  <c r="B2900" i="15"/>
  <c r="C2900" i="15"/>
  <c r="D2900" i="15"/>
  <c r="E2900" i="15"/>
  <c r="F2900" i="15"/>
  <c r="G2900" i="15"/>
  <c r="H2900" i="15"/>
  <c r="I2900" i="15"/>
  <c r="J2900" i="15"/>
  <c r="K2900" i="15"/>
  <c r="L2900" i="15"/>
  <c r="M2900" i="15"/>
  <c r="N2900" i="15"/>
  <c r="A2901" i="15"/>
  <c r="B2901" i="15"/>
  <c r="C2901" i="15"/>
  <c r="D2901" i="15"/>
  <c r="E2901" i="15"/>
  <c r="F2901" i="15"/>
  <c r="G2901" i="15"/>
  <c r="H2901" i="15"/>
  <c r="I2901" i="15"/>
  <c r="J2901" i="15"/>
  <c r="K2901" i="15"/>
  <c r="L2901" i="15"/>
  <c r="M2901" i="15"/>
  <c r="N2901" i="15"/>
  <c r="A2902" i="15"/>
  <c r="B2902" i="15"/>
  <c r="C2902" i="15"/>
  <c r="D2902" i="15"/>
  <c r="E2902" i="15"/>
  <c r="F2902" i="15"/>
  <c r="G2902" i="15"/>
  <c r="H2902" i="15"/>
  <c r="I2902" i="15"/>
  <c r="J2902" i="15"/>
  <c r="K2902" i="15"/>
  <c r="L2902" i="15"/>
  <c r="M2902" i="15"/>
  <c r="N2902" i="15"/>
  <c r="A2903" i="15"/>
  <c r="B2903" i="15"/>
  <c r="C2903" i="15"/>
  <c r="D2903" i="15"/>
  <c r="E2903" i="15"/>
  <c r="F2903" i="15"/>
  <c r="G2903" i="15"/>
  <c r="H2903" i="15"/>
  <c r="I2903" i="15"/>
  <c r="J2903" i="15"/>
  <c r="K2903" i="15"/>
  <c r="L2903" i="15"/>
  <c r="M2903" i="15"/>
  <c r="N2903" i="15"/>
  <c r="A2904" i="15"/>
  <c r="B2904" i="15"/>
  <c r="C2904" i="15"/>
  <c r="D2904" i="15"/>
  <c r="E2904" i="15"/>
  <c r="F2904" i="15"/>
  <c r="G2904" i="15"/>
  <c r="H2904" i="15"/>
  <c r="I2904" i="15"/>
  <c r="J2904" i="15"/>
  <c r="K2904" i="15"/>
  <c r="L2904" i="15"/>
  <c r="M2904" i="15"/>
  <c r="N2904" i="15"/>
  <c r="A2905" i="15"/>
  <c r="B2905" i="15"/>
  <c r="C2905" i="15"/>
  <c r="D2905" i="15"/>
  <c r="E2905" i="15"/>
  <c r="F2905" i="15"/>
  <c r="G2905" i="15"/>
  <c r="H2905" i="15"/>
  <c r="I2905" i="15"/>
  <c r="J2905" i="15"/>
  <c r="K2905" i="15"/>
  <c r="L2905" i="15"/>
  <c r="M2905" i="15"/>
  <c r="N2905" i="15"/>
  <c r="A2906" i="15"/>
  <c r="B2906" i="15"/>
  <c r="C2906" i="15"/>
  <c r="D2906" i="15"/>
  <c r="E2906" i="15"/>
  <c r="F2906" i="15"/>
  <c r="G2906" i="15"/>
  <c r="H2906" i="15"/>
  <c r="I2906" i="15"/>
  <c r="J2906" i="15"/>
  <c r="K2906" i="15"/>
  <c r="L2906" i="15"/>
  <c r="M2906" i="15"/>
  <c r="N2906" i="15"/>
  <c r="A2907" i="15"/>
  <c r="B2907" i="15"/>
  <c r="C2907" i="15"/>
  <c r="D2907" i="15"/>
  <c r="E2907" i="15"/>
  <c r="F2907" i="15"/>
  <c r="G2907" i="15"/>
  <c r="H2907" i="15"/>
  <c r="I2907" i="15"/>
  <c r="J2907" i="15"/>
  <c r="K2907" i="15"/>
  <c r="L2907" i="15"/>
  <c r="M2907" i="15"/>
  <c r="N2907" i="15"/>
  <c r="A2908" i="15"/>
  <c r="B2908" i="15"/>
  <c r="C2908" i="15"/>
  <c r="D2908" i="15"/>
  <c r="E2908" i="15"/>
  <c r="F2908" i="15"/>
  <c r="G2908" i="15"/>
  <c r="H2908" i="15"/>
  <c r="I2908" i="15"/>
  <c r="J2908" i="15"/>
  <c r="K2908" i="15"/>
  <c r="L2908" i="15"/>
  <c r="M2908" i="15"/>
  <c r="N2908" i="15"/>
  <c r="A2909" i="15"/>
  <c r="B2909" i="15"/>
  <c r="C2909" i="15"/>
  <c r="D2909" i="15"/>
  <c r="E2909" i="15"/>
  <c r="F2909" i="15"/>
  <c r="G2909" i="15"/>
  <c r="H2909" i="15"/>
  <c r="I2909" i="15"/>
  <c r="J2909" i="15"/>
  <c r="K2909" i="15"/>
  <c r="L2909" i="15"/>
  <c r="M2909" i="15"/>
  <c r="N2909" i="15"/>
  <c r="A2910" i="15"/>
  <c r="B2910" i="15"/>
  <c r="C2910" i="15"/>
  <c r="D2910" i="15"/>
  <c r="E2910" i="15"/>
  <c r="F2910" i="15"/>
  <c r="G2910" i="15"/>
  <c r="H2910" i="15"/>
  <c r="I2910" i="15"/>
  <c r="J2910" i="15"/>
  <c r="K2910" i="15"/>
  <c r="L2910" i="15"/>
  <c r="M2910" i="15"/>
  <c r="N2910" i="15"/>
  <c r="A2911" i="15"/>
  <c r="B2911" i="15"/>
  <c r="C2911" i="15"/>
  <c r="D2911" i="15"/>
  <c r="E2911" i="15"/>
  <c r="F2911" i="15"/>
  <c r="G2911" i="15"/>
  <c r="H2911" i="15"/>
  <c r="I2911" i="15"/>
  <c r="J2911" i="15"/>
  <c r="K2911" i="15"/>
  <c r="L2911" i="15"/>
  <c r="M2911" i="15"/>
  <c r="N2911" i="15"/>
  <c r="A2912" i="15"/>
  <c r="B2912" i="15"/>
  <c r="C2912" i="15"/>
  <c r="D2912" i="15"/>
  <c r="E2912" i="15"/>
  <c r="F2912" i="15"/>
  <c r="G2912" i="15"/>
  <c r="H2912" i="15"/>
  <c r="I2912" i="15"/>
  <c r="J2912" i="15"/>
  <c r="K2912" i="15"/>
  <c r="L2912" i="15"/>
  <c r="M2912" i="15"/>
  <c r="N2912" i="15"/>
  <c r="A2913" i="15"/>
  <c r="B2913" i="15"/>
  <c r="C2913" i="15"/>
  <c r="D2913" i="15"/>
  <c r="E2913" i="15"/>
  <c r="F2913" i="15"/>
  <c r="G2913" i="15"/>
  <c r="H2913" i="15"/>
  <c r="I2913" i="15"/>
  <c r="J2913" i="15"/>
  <c r="K2913" i="15"/>
  <c r="L2913" i="15"/>
  <c r="M2913" i="15"/>
  <c r="N2913" i="15"/>
  <c r="A2914" i="15"/>
  <c r="B2914" i="15"/>
  <c r="C2914" i="15"/>
  <c r="D2914" i="15"/>
  <c r="E2914" i="15"/>
  <c r="F2914" i="15"/>
  <c r="G2914" i="15"/>
  <c r="H2914" i="15"/>
  <c r="I2914" i="15"/>
  <c r="J2914" i="15"/>
  <c r="K2914" i="15"/>
  <c r="L2914" i="15"/>
  <c r="M2914" i="15"/>
  <c r="N2914" i="15"/>
  <c r="A2915" i="15"/>
  <c r="B2915" i="15"/>
  <c r="C2915" i="15"/>
  <c r="D2915" i="15"/>
  <c r="E2915" i="15"/>
  <c r="F2915" i="15"/>
  <c r="G2915" i="15"/>
  <c r="H2915" i="15"/>
  <c r="I2915" i="15"/>
  <c r="J2915" i="15"/>
  <c r="K2915" i="15"/>
  <c r="L2915" i="15"/>
  <c r="M2915" i="15"/>
  <c r="N2915" i="15"/>
  <c r="A2916" i="15"/>
  <c r="B2916" i="15"/>
  <c r="C2916" i="15"/>
  <c r="D2916" i="15"/>
  <c r="E2916" i="15"/>
  <c r="F2916" i="15"/>
  <c r="G2916" i="15"/>
  <c r="H2916" i="15"/>
  <c r="I2916" i="15"/>
  <c r="J2916" i="15"/>
  <c r="K2916" i="15"/>
  <c r="L2916" i="15"/>
  <c r="M2916" i="15"/>
  <c r="N2916" i="15"/>
  <c r="A2917" i="15"/>
  <c r="B2917" i="15"/>
  <c r="C2917" i="15"/>
  <c r="D2917" i="15"/>
  <c r="E2917" i="15"/>
  <c r="F2917" i="15"/>
  <c r="G2917" i="15"/>
  <c r="H2917" i="15"/>
  <c r="I2917" i="15"/>
  <c r="J2917" i="15"/>
  <c r="K2917" i="15"/>
  <c r="L2917" i="15"/>
  <c r="M2917" i="15"/>
  <c r="N2917" i="15"/>
  <c r="A2918" i="15"/>
  <c r="B2918" i="15"/>
  <c r="C2918" i="15"/>
  <c r="D2918" i="15"/>
  <c r="E2918" i="15"/>
  <c r="F2918" i="15"/>
  <c r="G2918" i="15"/>
  <c r="H2918" i="15"/>
  <c r="I2918" i="15"/>
  <c r="J2918" i="15"/>
  <c r="K2918" i="15"/>
  <c r="L2918" i="15"/>
  <c r="M2918" i="15"/>
  <c r="N2918" i="15"/>
  <c r="A2919" i="15"/>
  <c r="B2919" i="15"/>
  <c r="C2919" i="15"/>
  <c r="D2919" i="15"/>
  <c r="E2919" i="15"/>
  <c r="F2919" i="15"/>
  <c r="G2919" i="15"/>
  <c r="H2919" i="15"/>
  <c r="I2919" i="15"/>
  <c r="J2919" i="15"/>
  <c r="K2919" i="15"/>
  <c r="L2919" i="15"/>
  <c r="M2919" i="15"/>
  <c r="N2919" i="15"/>
  <c r="A2920" i="15"/>
  <c r="B2920" i="15"/>
  <c r="C2920" i="15"/>
  <c r="D2920" i="15"/>
  <c r="E2920" i="15"/>
  <c r="F2920" i="15"/>
  <c r="G2920" i="15"/>
  <c r="H2920" i="15"/>
  <c r="I2920" i="15"/>
  <c r="J2920" i="15"/>
  <c r="K2920" i="15"/>
  <c r="L2920" i="15"/>
  <c r="M2920" i="15"/>
  <c r="N2920" i="15"/>
  <c r="A2921" i="15"/>
  <c r="B2921" i="15"/>
  <c r="C2921" i="15"/>
  <c r="D2921" i="15"/>
  <c r="E2921" i="15"/>
  <c r="F2921" i="15"/>
  <c r="G2921" i="15"/>
  <c r="H2921" i="15"/>
  <c r="I2921" i="15"/>
  <c r="J2921" i="15"/>
  <c r="K2921" i="15"/>
  <c r="L2921" i="15"/>
  <c r="M2921" i="15"/>
  <c r="N2921" i="15"/>
  <c r="A2922" i="15"/>
  <c r="B2922" i="15"/>
  <c r="C2922" i="15"/>
  <c r="D2922" i="15"/>
  <c r="E2922" i="15"/>
  <c r="F2922" i="15"/>
  <c r="G2922" i="15"/>
  <c r="H2922" i="15"/>
  <c r="I2922" i="15"/>
  <c r="J2922" i="15"/>
  <c r="K2922" i="15"/>
  <c r="L2922" i="15"/>
  <c r="M2922" i="15"/>
  <c r="N2922" i="15"/>
  <c r="A2923" i="15"/>
  <c r="B2923" i="15"/>
  <c r="C2923" i="15"/>
  <c r="D2923" i="15"/>
  <c r="E2923" i="15"/>
  <c r="F2923" i="15"/>
  <c r="G2923" i="15"/>
  <c r="H2923" i="15"/>
  <c r="I2923" i="15"/>
  <c r="J2923" i="15"/>
  <c r="K2923" i="15"/>
  <c r="L2923" i="15"/>
  <c r="M2923" i="15"/>
  <c r="N2923" i="15"/>
  <c r="A2924" i="15"/>
  <c r="B2924" i="15"/>
  <c r="C2924" i="15"/>
  <c r="D2924" i="15"/>
  <c r="E2924" i="15"/>
  <c r="F2924" i="15"/>
  <c r="G2924" i="15"/>
  <c r="H2924" i="15"/>
  <c r="I2924" i="15"/>
  <c r="J2924" i="15"/>
  <c r="K2924" i="15"/>
  <c r="L2924" i="15"/>
  <c r="M2924" i="15"/>
  <c r="N2924" i="15"/>
  <c r="A2925" i="15"/>
  <c r="B2925" i="15"/>
  <c r="C2925" i="15"/>
  <c r="D2925" i="15"/>
  <c r="E2925" i="15"/>
  <c r="F2925" i="15"/>
  <c r="G2925" i="15"/>
  <c r="H2925" i="15"/>
  <c r="I2925" i="15"/>
  <c r="J2925" i="15"/>
  <c r="K2925" i="15"/>
  <c r="L2925" i="15"/>
  <c r="M2925" i="15"/>
  <c r="N2925" i="15"/>
  <c r="A2926" i="15"/>
  <c r="B2926" i="15"/>
  <c r="C2926" i="15"/>
  <c r="D2926" i="15"/>
  <c r="E2926" i="15"/>
  <c r="F2926" i="15"/>
  <c r="G2926" i="15"/>
  <c r="H2926" i="15"/>
  <c r="I2926" i="15"/>
  <c r="J2926" i="15"/>
  <c r="K2926" i="15"/>
  <c r="L2926" i="15"/>
  <c r="M2926" i="15"/>
  <c r="N2926" i="15"/>
  <c r="A2927" i="15"/>
  <c r="B2927" i="15"/>
  <c r="C2927" i="15"/>
  <c r="D2927" i="15"/>
  <c r="E2927" i="15"/>
  <c r="F2927" i="15"/>
  <c r="G2927" i="15"/>
  <c r="H2927" i="15"/>
  <c r="I2927" i="15"/>
  <c r="J2927" i="15"/>
  <c r="K2927" i="15"/>
  <c r="L2927" i="15"/>
  <c r="M2927" i="15"/>
  <c r="N2927" i="15"/>
  <c r="A2928" i="15"/>
  <c r="B2928" i="15"/>
  <c r="C2928" i="15"/>
  <c r="D2928" i="15"/>
  <c r="E2928" i="15"/>
  <c r="F2928" i="15"/>
  <c r="G2928" i="15"/>
  <c r="H2928" i="15"/>
  <c r="I2928" i="15"/>
  <c r="J2928" i="15"/>
  <c r="K2928" i="15"/>
  <c r="L2928" i="15"/>
  <c r="M2928" i="15"/>
  <c r="N2928" i="15"/>
  <c r="A2929" i="15"/>
  <c r="B2929" i="15"/>
  <c r="C2929" i="15"/>
  <c r="D2929" i="15"/>
  <c r="E2929" i="15"/>
  <c r="F2929" i="15"/>
  <c r="G2929" i="15"/>
  <c r="H2929" i="15"/>
  <c r="I2929" i="15"/>
  <c r="J2929" i="15"/>
  <c r="K2929" i="15"/>
  <c r="L2929" i="15"/>
  <c r="M2929" i="15"/>
  <c r="N2929" i="15"/>
  <c r="A2930" i="15"/>
  <c r="B2930" i="15"/>
  <c r="C2930" i="15"/>
  <c r="D2930" i="15"/>
  <c r="E2930" i="15"/>
  <c r="F2930" i="15"/>
  <c r="G2930" i="15"/>
  <c r="H2930" i="15"/>
  <c r="I2930" i="15"/>
  <c r="J2930" i="15"/>
  <c r="K2930" i="15"/>
  <c r="L2930" i="15"/>
  <c r="M2930" i="15"/>
  <c r="N2930" i="15"/>
  <c r="A2931" i="15"/>
  <c r="B2931" i="15"/>
  <c r="C2931" i="15"/>
  <c r="D2931" i="15"/>
  <c r="E2931" i="15"/>
  <c r="F2931" i="15"/>
  <c r="G2931" i="15"/>
  <c r="H2931" i="15"/>
  <c r="I2931" i="15"/>
  <c r="J2931" i="15"/>
  <c r="K2931" i="15"/>
  <c r="L2931" i="15"/>
  <c r="M2931" i="15"/>
  <c r="N2931" i="15"/>
  <c r="A2932" i="15"/>
  <c r="B2932" i="15"/>
  <c r="C2932" i="15"/>
  <c r="D2932" i="15"/>
  <c r="E2932" i="15"/>
  <c r="F2932" i="15"/>
  <c r="G2932" i="15"/>
  <c r="H2932" i="15"/>
  <c r="I2932" i="15"/>
  <c r="J2932" i="15"/>
  <c r="K2932" i="15"/>
  <c r="L2932" i="15"/>
  <c r="M2932" i="15"/>
  <c r="N2932" i="15"/>
  <c r="A2933" i="15"/>
  <c r="B2933" i="15"/>
  <c r="C2933" i="15"/>
  <c r="D2933" i="15"/>
  <c r="E2933" i="15"/>
  <c r="F2933" i="15"/>
  <c r="G2933" i="15"/>
  <c r="H2933" i="15"/>
  <c r="I2933" i="15"/>
  <c r="J2933" i="15"/>
  <c r="K2933" i="15"/>
  <c r="L2933" i="15"/>
  <c r="M2933" i="15"/>
  <c r="N2933" i="15"/>
  <c r="A2934" i="15"/>
  <c r="B2934" i="15"/>
  <c r="C2934" i="15"/>
  <c r="D2934" i="15"/>
  <c r="E2934" i="15"/>
  <c r="F2934" i="15"/>
  <c r="G2934" i="15"/>
  <c r="H2934" i="15"/>
  <c r="I2934" i="15"/>
  <c r="J2934" i="15"/>
  <c r="K2934" i="15"/>
  <c r="L2934" i="15"/>
  <c r="M2934" i="15"/>
  <c r="N2934" i="15"/>
  <c r="A2935" i="15"/>
  <c r="B2935" i="15"/>
  <c r="C2935" i="15"/>
  <c r="D2935" i="15"/>
  <c r="E2935" i="15"/>
  <c r="F2935" i="15"/>
  <c r="G2935" i="15"/>
  <c r="H2935" i="15"/>
  <c r="I2935" i="15"/>
  <c r="J2935" i="15"/>
  <c r="K2935" i="15"/>
  <c r="L2935" i="15"/>
  <c r="M2935" i="15"/>
  <c r="N2935" i="15"/>
  <c r="A2936" i="15"/>
  <c r="B2936" i="15"/>
  <c r="C2936" i="15"/>
  <c r="D2936" i="15"/>
  <c r="E2936" i="15"/>
  <c r="F2936" i="15"/>
  <c r="G2936" i="15"/>
  <c r="H2936" i="15"/>
  <c r="I2936" i="15"/>
  <c r="J2936" i="15"/>
  <c r="K2936" i="15"/>
  <c r="L2936" i="15"/>
  <c r="M2936" i="15"/>
  <c r="N2936" i="15"/>
  <c r="A2937" i="15"/>
  <c r="B2937" i="15"/>
  <c r="C2937" i="15"/>
  <c r="D2937" i="15"/>
  <c r="E2937" i="15"/>
  <c r="F2937" i="15"/>
  <c r="G2937" i="15"/>
  <c r="H2937" i="15"/>
  <c r="I2937" i="15"/>
  <c r="J2937" i="15"/>
  <c r="K2937" i="15"/>
  <c r="L2937" i="15"/>
  <c r="M2937" i="15"/>
  <c r="N2937" i="15"/>
  <c r="A2938" i="15"/>
  <c r="B2938" i="15"/>
  <c r="C2938" i="15"/>
  <c r="D2938" i="15"/>
  <c r="E2938" i="15"/>
  <c r="F2938" i="15"/>
  <c r="G2938" i="15"/>
  <c r="H2938" i="15"/>
  <c r="I2938" i="15"/>
  <c r="J2938" i="15"/>
  <c r="K2938" i="15"/>
  <c r="L2938" i="15"/>
  <c r="M2938" i="15"/>
  <c r="N2938" i="15"/>
  <c r="A2939" i="15"/>
  <c r="B2939" i="15"/>
  <c r="C2939" i="15"/>
  <c r="D2939" i="15"/>
  <c r="E2939" i="15"/>
  <c r="F2939" i="15"/>
  <c r="G2939" i="15"/>
  <c r="H2939" i="15"/>
  <c r="I2939" i="15"/>
  <c r="J2939" i="15"/>
  <c r="K2939" i="15"/>
  <c r="L2939" i="15"/>
  <c r="M2939" i="15"/>
  <c r="N2939" i="15"/>
  <c r="A2940" i="15"/>
  <c r="B2940" i="15"/>
  <c r="C2940" i="15"/>
  <c r="D2940" i="15"/>
  <c r="E2940" i="15"/>
  <c r="F2940" i="15"/>
  <c r="G2940" i="15"/>
  <c r="H2940" i="15"/>
  <c r="I2940" i="15"/>
  <c r="J2940" i="15"/>
  <c r="K2940" i="15"/>
  <c r="L2940" i="15"/>
  <c r="M2940" i="15"/>
  <c r="N2940" i="15"/>
  <c r="A2941" i="15"/>
  <c r="B2941" i="15"/>
  <c r="C2941" i="15"/>
  <c r="D2941" i="15"/>
  <c r="E2941" i="15"/>
  <c r="F2941" i="15"/>
  <c r="G2941" i="15"/>
  <c r="H2941" i="15"/>
  <c r="I2941" i="15"/>
  <c r="J2941" i="15"/>
  <c r="K2941" i="15"/>
  <c r="L2941" i="15"/>
  <c r="M2941" i="15"/>
  <c r="N2941" i="15"/>
  <c r="A2942" i="15"/>
  <c r="B2942" i="15"/>
  <c r="C2942" i="15"/>
  <c r="D2942" i="15"/>
  <c r="E2942" i="15"/>
  <c r="F2942" i="15"/>
  <c r="G2942" i="15"/>
  <c r="H2942" i="15"/>
  <c r="I2942" i="15"/>
  <c r="J2942" i="15"/>
  <c r="K2942" i="15"/>
  <c r="L2942" i="15"/>
  <c r="M2942" i="15"/>
  <c r="N2942" i="15"/>
  <c r="A2943" i="15"/>
  <c r="B2943" i="15"/>
  <c r="C2943" i="15"/>
  <c r="D2943" i="15"/>
  <c r="E2943" i="15"/>
  <c r="F2943" i="15"/>
  <c r="G2943" i="15"/>
  <c r="H2943" i="15"/>
  <c r="I2943" i="15"/>
  <c r="J2943" i="15"/>
  <c r="K2943" i="15"/>
  <c r="L2943" i="15"/>
  <c r="M2943" i="15"/>
  <c r="N2943" i="15"/>
  <c r="A2944" i="15"/>
  <c r="B2944" i="15"/>
  <c r="C2944" i="15"/>
  <c r="D2944" i="15"/>
  <c r="E2944" i="15"/>
  <c r="F2944" i="15"/>
  <c r="G2944" i="15"/>
  <c r="H2944" i="15"/>
  <c r="I2944" i="15"/>
  <c r="J2944" i="15"/>
  <c r="K2944" i="15"/>
  <c r="L2944" i="15"/>
  <c r="M2944" i="15"/>
  <c r="N2944" i="15"/>
  <c r="A2945" i="15"/>
  <c r="B2945" i="15"/>
  <c r="C2945" i="15"/>
  <c r="D2945" i="15"/>
  <c r="E2945" i="15"/>
  <c r="F2945" i="15"/>
  <c r="G2945" i="15"/>
  <c r="H2945" i="15"/>
  <c r="I2945" i="15"/>
  <c r="J2945" i="15"/>
  <c r="K2945" i="15"/>
  <c r="L2945" i="15"/>
  <c r="M2945" i="15"/>
  <c r="N2945" i="15"/>
  <c r="A2946" i="15"/>
  <c r="B2946" i="15"/>
  <c r="C2946" i="15"/>
  <c r="D2946" i="15"/>
  <c r="E2946" i="15"/>
  <c r="F2946" i="15"/>
  <c r="G2946" i="15"/>
  <c r="H2946" i="15"/>
  <c r="I2946" i="15"/>
  <c r="J2946" i="15"/>
  <c r="K2946" i="15"/>
  <c r="L2946" i="15"/>
  <c r="M2946" i="15"/>
  <c r="N2946" i="15"/>
  <c r="A2947" i="15"/>
  <c r="B2947" i="15"/>
  <c r="C2947" i="15"/>
  <c r="D2947" i="15"/>
  <c r="E2947" i="15"/>
  <c r="F2947" i="15"/>
  <c r="G2947" i="15"/>
  <c r="H2947" i="15"/>
  <c r="I2947" i="15"/>
  <c r="J2947" i="15"/>
  <c r="K2947" i="15"/>
  <c r="L2947" i="15"/>
  <c r="M2947" i="15"/>
  <c r="N2947" i="15"/>
  <c r="A2948" i="15"/>
  <c r="B2948" i="15"/>
  <c r="C2948" i="15"/>
  <c r="D2948" i="15"/>
  <c r="E2948" i="15"/>
  <c r="F2948" i="15"/>
  <c r="G2948" i="15"/>
  <c r="H2948" i="15"/>
  <c r="I2948" i="15"/>
  <c r="J2948" i="15"/>
  <c r="K2948" i="15"/>
  <c r="L2948" i="15"/>
  <c r="M2948" i="15"/>
  <c r="N2948" i="15"/>
  <c r="A2949" i="15"/>
  <c r="B2949" i="15"/>
  <c r="C2949" i="15"/>
  <c r="D2949" i="15"/>
  <c r="E2949" i="15"/>
  <c r="F2949" i="15"/>
  <c r="G2949" i="15"/>
  <c r="H2949" i="15"/>
  <c r="I2949" i="15"/>
  <c r="J2949" i="15"/>
  <c r="K2949" i="15"/>
  <c r="L2949" i="15"/>
  <c r="M2949" i="15"/>
  <c r="N2949" i="15"/>
  <c r="A2950" i="15"/>
  <c r="B2950" i="15"/>
  <c r="C2950" i="15"/>
  <c r="D2950" i="15"/>
  <c r="E2950" i="15"/>
  <c r="F2950" i="15"/>
  <c r="G2950" i="15"/>
  <c r="H2950" i="15"/>
  <c r="I2950" i="15"/>
  <c r="J2950" i="15"/>
  <c r="K2950" i="15"/>
  <c r="L2950" i="15"/>
  <c r="M2950" i="15"/>
  <c r="N2950" i="15"/>
  <c r="A2951" i="15"/>
  <c r="B2951" i="15"/>
  <c r="C2951" i="15"/>
  <c r="D2951" i="15"/>
  <c r="E2951" i="15"/>
  <c r="F2951" i="15"/>
  <c r="G2951" i="15"/>
  <c r="H2951" i="15"/>
  <c r="I2951" i="15"/>
  <c r="J2951" i="15"/>
  <c r="K2951" i="15"/>
  <c r="L2951" i="15"/>
  <c r="M2951" i="15"/>
  <c r="N2951" i="15"/>
  <c r="A2952" i="15"/>
  <c r="B2952" i="15"/>
  <c r="C2952" i="15"/>
  <c r="D2952" i="15"/>
  <c r="E2952" i="15"/>
  <c r="F2952" i="15"/>
  <c r="G2952" i="15"/>
  <c r="H2952" i="15"/>
  <c r="I2952" i="15"/>
  <c r="J2952" i="15"/>
  <c r="K2952" i="15"/>
  <c r="L2952" i="15"/>
  <c r="M2952" i="15"/>
  <c r="N2952" i="15"/>
  <c r="A2953" i="15"/>
  <c r="B2953" i="15"/>
  <c r="C2953" i="15"/>
  <c r="D2953" i="15"/>
  <c r="E2953" i="15"/>
  <c r="F2953" i="15"/>
  <c r="G2953" i="15"/>
  <c r="H2953" i="15"/>
  <c r="I2953" i="15"/>
  <c r="J2953" i="15"/>
  <c r="K2953" i="15"/>
  <c r="L2953" i="15"/>
  <c r="M2953" i="15"/>
  <c r="N2953" i="15"/>
  <c r="A2954" i="15"/>
  <c r="B2954" i="15"/>
  <c r="C2954" i="15"/>
  <c r="D2954" i="15"/>
  <c r="E2954" i="15"/>
  <c r="F2954" i="15"/>
  <c r="G2954" i="15"/>
  <c r="H2954" i="15"/>
  <c r="I2954" i="15"/>
  <c r="J2954" i="15"/>
  <c r="K2954" i="15"/>
  <c r="L2954" i="15"/>
  <c r="M2954" i="15"/>
  <c r="N2954" i="15"/>
  <c r="A2955" i="15"/>
  <c r="B2955" i="15"/>
  <c r="C2955" i="15"/>
  <c r="D2955" i="15"/>
  <c r="E2955" i="15"/>
  <c r="F2955" i="15"/>
  <c r="G2955" i="15"/>
  <c r="H2955" i="15"/>
  <c r="I2955" i="15"/>
  <c r="J2955" i="15"/>
  <c r="K2955" i="15"/>
  <c r="L2955" i="15"/>
  <c r="M2955" i="15"/>
  <c r="N2955" i="15"/>
  <c r="A2956" i="15"/>
  <c r="B2956" i="15"/>
  <c r="C2956" i="15"/>
  <c r="D2956" i="15"/>
  <c r="E2956" i="15"/>
  <c r="F2956" i="15"/>
  <c r="G2956" i="15"/>
  <c r="H2956" i="15"/>
  <c r="I2956" i="15"/>
  <c r="J2956" i="15"/>
  <c r="K2956" i="15"/>
  <c r="L2956" i="15"/>
  <c r="M2956" i="15"/>
  <c r="N2956" i="15"/>
  <c r="A2957" i="15"/>
  <c r="B2957" i="15"/>
  <c r="C2957" i="15"/>
  <c r="D2957" i="15"/>
  <c r="E2957" i="15"/>
  <c r="F2957" i="15"/>
  <c r="G2957" i="15"/>
  <c r="H2957" i="15"/>
  <c r="I2957" i="15"/>
  <c r="J2957" i="15"/>
  <c r="K2957" i="15"/>
  <c r="L2957" i="15"/>
  <c r="M2957" i="15"/>
  <c r="N2957" i="15"/>
  <c r="A2958" i="15"/>
  <c r="B2958" i="15"/>
  <c r="C2958" i="15"/>
  <c r="D2958" i="15"/>
  <c r="E2958" i="15"/>
  <c r="F2958" i="15"/>
  <c r="G2958" i="15"/>
  <c r="H2958" i="15"/>
  <c r="I2958" i="15"/>
  <c r="J2958" i="15"/>
  <c r="K2958" i="15"/>
  <c r="L2958" i="15"/>
  <c r="M2958" i="15"/>
  <c r="N2958" i="15"/>
  <c r="A2959" i="15"/>
  <c r="B2959" i="15"/>
  <c r="C2959" i="15"/>
  <c r="D2959" i="15"/>
  <c r="E2959" i="15"/>
  <c r="F2959" i="15"/>
  <c r="G2959" i="15"/>
  <c r="H2959" i="15"/>
  <c r="I2959" i="15"/>
  <c r="J2959" i="15"/>
  <c r="K2959" i="15"/>
  <c r="L2959" i="15"/>
  <c r="M2959" i="15"/>
  <c r="N2959" i="15"/>
  <c r="A2960" i="15"/>
  <c r="B2960" i="15"/>
  <c r="C2960" i="15"/>
  <c r="D2960" i="15"/>
  <c r="E2960" i="15"/>
  <c r="F2960" i="15"/>
  <c r="G2960" i="15"/>
  <c r="H2960" i="15"/>
  <c r="I2960" i="15"/>
  <c r="J2960" i="15"/>
  <c r="K2960" i="15"/>
  <c r="L2960" i="15"/>
  <c r="M2960" i="15"/>
  <c r="N2960" i="15"/>
  <c r="A2961" i="15"/>
  <c r="B2961" i="15"/>
  <c r="C2961" i="15"/>
  <c r="D2961" i="15"/>
  <c r="E2961" i="15"/>
  <c r="F2961" i="15"/>
  <c r="G2961" i="15"/>
  <c r="H2961" i="15"/>
  <c r="I2961" i="15"/>
  <c r="J2961" i="15"/>
  <c r="K2961" i="15"/>
  <c r="L2961" i="15"/>
  <c r="M2961" i="15"/>
  <c r="N2961" i="15"/>
  <c r="A2962" i="15"/>
  <c r="B2962" i="15"/>
  <c r="C2962" i="15"/>
  <c r="D2962" i="15"/>
  <c r="E2962" i="15"/>
  <c r="F2962" i="15"/>
  <c r="G2962" i="15"/>
  <c r="H2962" i="15"/>
  <c r="I2962" i="15"/>
  <c r="J2962" i="15"/>
  <c r="K2962" i="15"/>
  <c r="L2962" i="15"/>
  <c r="M2962" i="15"/>
  <c r="N2962" i="15"/>
  <c r="A2963" i="15"/>
  <c r="B2963" i="15"/>
  <c r="C2963" i="15"/>
  <c r="D2963" i="15"/>
  <c r="E2963" i="15"/>
  <c r="F2963" i="15"/>
  <c r="G2963" i="15"/>
  <c r="H2963" i="15"/>
  <c r="I2963" i="15"/>
  <c r="J2963" i="15"/>
  <c r="K2963" i="15"/>
  <c r="L2963" i="15"/>
  <c r="M2963" i="15"/>
  <c r="N2963" i="15"/>
  <c r="A2964" i="15"/>
  <c r="B2964" i="15"/>
  <c r="C2964" i="15"/>
  <c r="D2964" i="15"/>
  <c r="E2964" i="15"/>
  <c r="F2964" i="15"/>
  <c r="G2964" i="15"/>
  <c r="H2964" i="15"/>
  <c r="I2964" i="15"/>
  <c r="J2964" i="15"/>
  <c r="K2964" i="15"/>
  <c r="L2964" i="15"/>
  <c r="M2964" i="15"/>
  <c r="N2964" i="15"/>
  <c r="A2965" i="15"/>
  <c r="B2965" i="15"/>
  <c r="C2965" i="15"/>
  <c r="D2965" i="15"/>
  <c r="E2965" i="15"/>
  <c r="F2965" i="15"/>
  <c r="G2965" i="15"/>
  <c r="H2965" i="15"/>
  <c r="I2965" i="15"/>
  <c r="J2965" i="15"/>
  <c r="K2965" i="15"/>
  <c r="L2965" i="15"/>
  <c r="M2965" i="15"/>
  <c r="N2965" i="15"/>
  <c r="A2966" i="15"/>
  <c r="B2966" i="15"/>
  <c r="C2966" i="15"/>
  <c r="D2966" i="15"/>
  <c r="E2966" i="15"/>
  <c r="F2966" i="15"/>
  <c r="G2966" i="15"/>
  <c r="H2966" i="15"/>
  <c r="I2966" i="15"/>
  <c r="J2966" i="15"/>
  <c r="K2966" i="15"/>
  <c r="L2966" i="15"/>
  <c r="M2966" i="15"/>
  <c r="N2966" i="15"/>
  <c r="A2967" i="15"/>
  <c r="B2967" i="15"/>
  <c r="C2967" i="15"/>
  <c r="D2967" i="15"/>
  <c r="E2967" i="15"/>
  <c r="F2967" i="15"/>
  <c r="G2967" i="15"/>
  <c r="H2967" i="15"/>
  <c r="I2967" i="15"/>
  <c r="J2967" i="15"/>
  <c r="K2967" i="15"/>
  <c r="L2967" i="15"/>
  <c r="M2967" i="15"/>
  <c r="N2967" i="15"/>
  <c r="A2968" i="15"/>
  <c r="B2968" i="15"/>
  <c r="C2968" i="15"/>
  <c r="D2968" i="15"/>
  <c r="E2968" i="15"/>
  <c r="F2968" i="15"/>
  <c r="G2968" i="15"/>
  <c r="H2968" i="15"/>
  <c r="I2968" i="15"/>
  <c r="J2968" i="15"/>
  <c r="K2968" i="15"/>
  <c r="L2968" i="15"/>
  <c r="M2968" i="15"/>
  <c r="N2968" i="15"/>
  <c r="A2969" i="15"/>
  <c r="B2969" i="15"/>
  <c r="C2969" i="15"/>
  <c r="D2969" i="15"/>
  <c r="E2969" i="15"/>
  <c r="F2969" i="15"/>
  <c r="G2969" i="15"/>
  <c r="H2969" i="15"/>
  <c r="I2969" i="15"/>
  <c r="J2969" i="15"/>
  <c r="K2969" i="15"/>
  <c r="L2969" i="15"/>
  <c r="M2969" i="15"/>
  <c r="N2969" i="15"/>
  <c r="A2970" i="15"/>
  <c r="B2970" i="15"/>
  <c r="C2970" i="15"/>
  <c r="D2970" i="15"/>
  <c r="E2970" i="15"/>
  <c r="F2970" i="15"/>
  <c r="G2970" i="15"/>
  <c r="H2970" i="15"/>
  <c r="I2970" i="15"/>
  <c r="J2970" i="15"/>
  <c r="K2970" i="15"/>
  <c r="L2970" i="15"/>
  <c r="M2970" i="15"/>
  <c r="N2970" i="15"/>
  <c r="A2971" i="15"/>
  <c r="B2971" i="15"/>
  <c r="C2971" i="15"/>
  <c r="D2971" i="15"/>
  <c r="E2971" i="15"/>
  <c r="F2971" i="15"/>
  <c r="G2971" i="15"/>
  <c r="H2971" i="15"/>
  <c r="I2971" i="15"/>
  <c r="J2971" i="15"/>
  <c r="K2971" i="15"/>
  <c r="L2971" i="15"/>
  <c r="M2971" i="15"/>
  <c r="N2971" i="15"/>
  <c r="A2972" i="15"/>
  <c r="B2972" i="15"/>
  <c r="C2972" i="15"/>
  <c r="D2972" i="15"/>
  <c r="E2972" i="15"/>
  <c r="F2972" i="15"/>
  <c r="G2972" i="15"/>
  <c r="H2972" i="15"/>
  <c r="I2972" i="15"/>
  <c r="J2972" i="15"/>
  <c r="K2972" i="15"/>
  <c r="L2972" i="15"/>
  <c r="M2972" i="15"/>
  <c r="N2972" i="15"/>
  <c r="A2973" i="15"/>
  <c r="B2973" i="15"/>
  <c r="C2973" i="15"/>
  <c r="D2973" i="15"/>
  <c r="E2973" i="15"/>
  <c r="F2973" i="15"/>
  <c r="G2973" i="15"/>
  <c r="H2973" i="15"/>
  <c r="I2973" i="15"/>
  <c r="J2973" i="15"/>
  <c r="K2973" i="15"/>
  <c r="L2973" i="15"/>
  <c r="M2973" i="15"/>
  <c r="N2973" i="15"/>
  <c r="A2974" i="15"/>
  <c r="B2974" i="15"/>
  <c r="C2974" i="15"/>
  <c r="D2974" i="15"/>
  <c r="E2974" i="15"/>
  <c r="F2974" i="15"/>
  <c r="G2974" i="15"/>
  <c r="H2974" i="15"/>
  <c r="I2974" i="15"/>
  <c r="J2974" i="15"/>
  <c r="K2974" i="15"/>
  <c r="L2974" i="15"/>
  <c r="M2974" i="15"/>
  <c r="N2974" i="15"/>
  <c r="A2975" i="15"/>
  <c r="B2975" i="15"/>
  <c r="C2975" i="15"/>
  <c r="D2975" i="15"/>
  <c r="E2975" i="15"/>
  <c r="F2975" i="15"/>
  <c r="G2975" i="15"/>
  <c r="H2975" i="15"/>
  <c r="I2975" i="15"/>
  <c r="J2975" i="15"/>
  <c r="K2975" i="15"/>
  <c r="L2975" i="15"/>
  <c r="M2975" i="15"/>
  <c r="N2975" i="15"/>
  <c r="A2976" i="15"/>
  <c r="B2976" i="15"/>
  <c r="C2976" i="15"/>
  <c r="D2976" i="15"/>
  <c r="E2976" i="15"/>
  <c r="F2976" i="15"/>
  <c r="G2976" i="15"/>
  <c r="H2976" i="15"/>
  <c r="I2976" i="15"/>
  <c r="J2976" i="15"/>
  <c r="K2976" i="15"/>
  <c r="L2976" i="15"/>
  <c r="M2976" i="15"/>
  <c r="N2976" i="15"/>
  <c r="A2977" i="15"/>
  <c r="B2977" i="15"/>
  <c r="C2977" i="15"/>
  <c r="D2977" i="15"/>
  <c r="E2977" i="15"/>
  <c r="F2977" i="15"/>
  <c r="G2977" i="15"/>
  <c r="H2977" i="15"/>
  <c r="I2977" i="15"/>
  <c r="J2977" i="15"/>
  <c r="K2977" i="15"/>
  <c r="L2977" i="15"/>
  <c r="M2977" i="15"/>
  <c r="N2977" i="15"/>
  <c r="A2978" i="15"/>
  <c r="B2978" i="15"/>
  <c r="C2978" i="15"/>
  <c r="D2978" i="15"/>
  <c r="E2978" i="15"/>
  <c r="F2978" i="15"/>
  <c r="G2978" i="15"/>
  <c r="H2978" i="15"/>
  <c r="I2978" i="15"/>
  <c r="J2978" i="15"/>
  <c r="K2978" i="15"/>
  <c r="L2978" i="15"/>
  <c r="M2978" i="15"/>
  <c r="N2978" i="15"/>
  <c r="A2979" i="15"/>
  <c r="B2979" i="15"/>
  <c r="C2979" i="15"/>
  <c r="D2979" i="15"/>
  <c r="E2979" i="15"/>
  <c r="F2979" i="15"/>
  <c r="G2979" i="15"/>
  <c r="H2979" i="15"/>
  <c r="I2979" i="15"/>
  <c r="J2979" i="15"/>
  <c r="K2979" i="15"/>
  <c r="L2979" i="15"/>
  <c r="M2979" i="15"/>
  <c r="N2979" i="15"/>
  <c r="A2980" i="15"/>
  <c r="B2980" i="15"/>
  <c r="C2980" i="15"/>
  <c r="D2980" i="15"/>
  <c r="E2980" i="15"/>
  <c r="F2980" i="15"/>
  <c r="G2980" i="15"/>
  <c r="H2980" i="15"/>
  <c r="I2980" i="15"/>
  <c r="J2980" i="15"/>
  <c r="K2980" i="15"/>
  <c r="L2980" i="15"/>
  <c r="M2980" i="15"/>
  <c r="N2980" i="15"/>
  <c r="A2981" i="15"/>
  <c r="B2981" i="15"/>
  <c r="C2981" i="15"/>
  <c r="D2981" i="15"/>
  <c r="E2981" i="15"/>
  <c r="F2981" i="15"/>
  <c r="G2981" i="15"/>
  <c r="H2981" i="15"/>
  <c r="I2981" i="15"/>
  <c r="J2981" i="15"/>
  <c r="K2981" i="15"/>
  <c r="L2981" i="15"/>
  <c r="M2981" i="15"/>
  <c r="N2981" i="15"/>
  <c r="A2982" i="15"/>
  <c r="B2982" i="15"/>
  <c r="C2982" i="15"/>
  <c r="D2982" i="15"/>
  <c r="E2982" i="15"/>
  <c r="F2982" i="15"/>
  <c r="G2982" i="15"/>
  <c r="H2982" i="15"/>
  <c r="I2982" i="15"/>
  <c r="J2982" i="15"/>
  <c r="K2982" i="15"/>
  <c r="L2982" i="15"/>
  <c r="M2982" i="15"/>
  <c r="N2982" i="15"/>
  <c r="A2983" i="15"/>
  <c r="B2983" i="15"/>
  <c r="C2983" i="15"/>
  <c r="D2983" i="15"/>
  <c r="E2983" i="15"/>
  <c r="F2983" i="15"/>
  <c r="G2983" i="15"/>
  <c r="H2983" i="15"/>
  <c r="I2983" i="15"/>
  <c r="J2983" i="15"/>
  <c r="K2983" i="15"/>
  <c r="L2983" i="15"/>
  <c r="M2983" i="15"/>
  <c r="N2983" i="15"/>
  <c r="A2984" i="15"/>
  <c r="B2984" i="15"/>
  <c r="C2984" i="15"/>
  <c r="D2984" i="15"/>
  <c r="E2984" i="15"/>
  <c r="F2984" i="15"/>
  <c r="G2984" i="15"/>
  <c r="H2984" i="15"/>
  <c r="I2984" i="15"/>
  <c r="J2984" i="15"/>
  <c r="K2984" i="15"/>
  <c r="L2984" i="15"/>
  <c r="M2984" i="15"/>
  <c r="N2984" i="15"/>
  <c r="A2985" i="15"/>
  <c r="B2985" i="15"/>
  <c r="C2985" i="15"/>
  <c r="D2985" i="15"/>
  <c r="E2985" i="15"/>
  <c r="F2985" i="15"/>
  <c r="G2985" i="15"/>
  <c r="H2985" i="15"/>
  <c r="I2985" i="15"/>
  <c r="J2985" i="15"/>
  <c r="K2985" i="15"/>
  <c r="L2985" i="15"/>
  <c r="M2985" i="15"/>
  <c r="N2985" i="15"/>
  <c r="A2986" i="15"/>
  <c r="B2986" i="15"/>
  <c r="C2986" i="15"/>
  <c r="D2986" i="15"/>
  <c r="E2986" i="15"/>
  <c r="F2986" i="15"/>
  <c r="G2986" i="15"/>
  <c r="H2986" i="15"/>
  <c r="I2986" i="15"/>
  <c r="J2986" i="15"/>
  <c r="K2986" i="15"/>
  <c r="L2986" i="15"/>
  <c r="M2986" i="15"/>
  <c r="N2986" i="15"/>
  <c r="A2987" i="15"/>
  <c r="B2987" i="15"/>
  <c r="C2987" i="15"/>
  <c r="D2987" i="15"/>
  <c r="E2987" i="15"/>
  <c r="F2987" i="15"/>
  <c r="G2987" i="15"/>
  <c r="H2987" i="15"/>
  <c r="I2987" i="15"/>
  <c r="J2987" i="15"/>
  <c r="K2987" i="15"/>
  <c r="L2987" i="15"/>
  <c r="M2987" i="15"/>
  <c r="N2987" i="15"/>
  <c r="A2988" i="15"/>
  <c r="B2988" i="15"/>
  <c r="C2988" i="15"/>
  <c r="D2988" i="15"/>
  <c r="E2988" i="15"/>
  <c r="F2988" i="15"/>
  <c r="G2988" i="15"/>
  <c r="H2988" i="15"/>
  <c r="I2988" i="15"/>
  <c r="J2988" i="15"/>
  <c r="K2988" i="15"/>
  <c r="L2988" i="15"/>
  <c r="M2988" i="15"/>
  <c r="N2988" i="15"/>
  <c r="A2989" i="15"/>
  <c r="B2989" i="15"/>
  <c r="C2989" i="15"/>
  <c r="D2989" i="15"/>
  <c r="E2989" i="15"/>
  <c r="F2989" i="15"/>
  <c r="G2989" i="15"/>
  <c r="H2989" i="15"/>
  <c r="I2989" i="15"/>
  <c r="J2989" i="15"/>
  <c r="K2989" i="15"/>
  <c r="L2989" i="15"/>
  <c r="M2989" i="15"/>
  <c r="N2989" i="15"/>
  <c r="A2990" i="15"/>
  <c r="B2990" i="15"/>
  <c r="C2990" i="15"/>
  <c r="D2990" i="15"/>
  <c r="E2990" i="15"/>
  <c r="F2990" i="15"/>
  <c r="G2990" i="15"/>
  <c r="H2990" i="15"/>
  <c r="I2990" i="15"/>
  <c r="J2990" i="15"/>
  <c r="K2990" i="15"/>
  <c r="L2990" i="15"/>
  <c r="M2990" i="15"/>
  <c r="N2990" i="15"/>
  <c r="A2991" i="15"/>
  <c r="B2991" i="15"/>
  <c r="C2991" i="15"/>
  <c r="D2991" i="15"/>
  <c r="E2991" i="15"/>
  <c r="F2991" i="15"/>
  <c r="G2991" i="15"/>
  <c r="H2991" i="15"/>
  <c r="I2991" i="15"/>
  <c r="J2991" i="15"/>
  <c r="K2991" i="15"/>
  <c r="L2991" i="15"/>
  <c r="M2991" i="15"/>
  <c r="N2991" i="15"/>
  <c r="A2992" i="15"/>
  <c r="B2992" i="15"/>
  <c r="C2992" i="15"/>
  <c r="D2992" i="15"/>
  <c r="E2992" i="15"/>
  <c r="F2992" i="15"/>
  <c r="G2992" i="15"/>
  <c r="H2992" i="15"/>
  <c r="I2992" i="15"/>
  <c r="J2992" i="15"/>
  <c r="K2992" i="15"/>
  <c r="L2992" i="15"/>
  <c r="M2992" i="15"/>
  <c r="N2992" i="15"/>
  <c r="A2993" i="15"/>
  <c r="B2993" i="15"/>
  <c r="C2993" i="15"/>
  <c r="D2993" i="15"/>
  <c r="E2993" i="15"/>
  <c r="F2993" i="15"/>
  <c r="G2993" i="15"/>
  <c r="H2993" i="15"/>
  <c r="I2993" i="15"/>
  <c r="J2993" i="15"/>
  <c r="K2993" i="15"/>
  <c r="L2993" i="15"/>
  <c r="M2993" i="15"/>
  <c r="N2993" i="15"/>
  <c r="A2994" i="15"/>
  <c r="B2994" i="15"/>
  <c r="C2994" i="15"/>
  <c r="D2994" i="15"/>
  <c r="E2994" i="15"/>
  <c r="F2994" i="15"/>
  <c r="G2994" i="15"/>
  <c r="H2994" i="15"/>
  <c r="I2994" i="15"/>
  <c r="J2994" i="15"/>
  <c r="K2994" i="15"/>
  <c r="L2994" i="15"/>
  <c r="M2994" i="15"/>
  <c r="N2994" i="15"/>
  <c r="A2995" i="15"/>
  <c r="B2995" i="15"/>
  <c r="C2995" i="15"/>
  <c r="D2995" i="15"/>
  <c r="E2995" i="15"/>
  <c r="F2995" i="15"/>
  <c r="G2995" i="15"/>
  <c r="H2995" i="15"/>
  <c r="I2995" i="15"/>
  <c r="J2995" i="15"/>
  <c r="K2995" i="15"/>
  <c r="L2995" i="15"/>
  <c r="M2995" i="15"/>
  <c r="N2995" i="15"/>
  <c r="A2996" i="15"/>
  <c r="B2996" i="15"/>
  <c r="C2996" i="15"/>
  <c r="D2996" i="15"/>
  <c r="E2996" i="15"/>
  <c r="F2996" i="15"/>
  <c r="G2996" i="15"/>
  <c r="H2996" i="15"/>
  <c r="I2996" i="15"/>
  <c r="J2996" i="15"/>
  <c r="K2996" i="15"/>
  <c r="L2996" i="15"/>
  <c r="M2996" i="15"/>
  <c r="N2996" i="15"/>
  <c r="A2997" i="15"/>
  <c r="B2997" i="15"/>
  <c r="C2997" i="15"/>
  <c r="D2997" i="15"/>
  <c r="E2997" i="15"/>
  <c r="F2997" i="15"/>
  <c r="G2997" i="15"/>
  <c r="H2997" i="15"/>
  <c r="I2997" i="15"/>
  <c r="J2997" i="15"/>
  <c r="K2997" i="15"/>
  <c r="L2997" i="15"/>
  <c r="M2997" i="15"/>
  <c r="N2997" i="15"/>
  <c r="A2998" i="15"/>
  <c r="B2998" i="15"/>
  <c r="C2998" i="15"/>
  <c r="D2998" i="15"/>
  <c r="E2998" i="15"/>
  <c r="F2998" i="15"/>
  <c r="G2998" i="15"/>
  <c r="H2998" i="15"/>
  <c r="I2998" i="15"/>
  <c r="J2998" i="15"/>
  <c r="K2998" i="15"/>
  <c r="L2998" i="15"/>
  <c r="M2998" i="15"/>
  <c r="N2998" i="15"/>
  <c r="A2999" i="15"/>
  <c r="B2999" i="15"/>
  <c r="C2999" i="15"/>
  <c r="D2999" i="15"/>
  <c r="E2999" i="15"/>
  <c r="F2999" i="15"/>
  <c r="G2999" i="15"/>
  <c r="H2999" i="15"/>
  <c r="I2999" i="15"/>
  <c r="J2999" i="15"/>
  <c r="K2999" i="15"/>
  <c r="L2999" i="15"/>
  <c r="M2999" i="15"/>
  <c r="N2999" i="15"/>
  <c r="A3000" i="15"/>
  <c r="B3000" i="15"/>
  <c r="C3000" i="15"/>
  <c r="D3000" i="15"/>
  <c r="E3000" i="15"/>
  <c r="F3000" i="15"/>
  <c r="G3000" i="15"/>
  <c r="H3000" i="15"/>
  <c r="I3000" i="15"/>
  <c r="J3000" i="15"/>
  <c r="K3000" i="15"/>
  <c r="L3000" i="15"/>
  <c r="M3000" i="15"/>
  <c r="N3000" i="15"/>
  <c r="A3001" i="15"/>
  <c r="B3001" i="15"/>
  <c r="C3001" i="15"/>
  <c r="D3001" i="15"/>
  <c r="E3001" i="15"/>
  <c r="F3001" i="15"/>
  <c r="G3001" i="15"/>
  <c r="H3001" i="15"/>
  <c r="I3001" i="15"/>
  <c r="J3001" i="15"/>
  <c r="K3001" i="15"/>
  <c r="L3001" i="15"/>
  <c r="M3001" i="15"/>
  <c r="N3001" i="15"/>
  <c r="A3002" i="15"/>
  <c r="B3002" i="15"/>
  <c r="C3002" i="15"/>
  <c r="D3002" i="15"/>
  <c r="E3002" i="15"/>
  <c r="F3002" i="15"/>
  <c r="G3002" i="15"/>
  <c r="H3002" i="15"/>
  <c r="I3002" i="15"/>
  <c r="J3002" i="15"/>
  <c r="K3002" i="15"/>
  <c r="L3002" i="15"/>
  <c r="M3002" i="15"/>
  <c r="N3002" i="15"/>
  <c r="A3003" i="15"/>
  <c r="B3003" i="15"/>
  <c r="C3003" i="15"/>
  <c r="D3003" i="15"/>
  <c r="E3003" i="15"/>
  <c r="F3003" i="15"/>
  <c r="G3003" i="15"/>
  <c r="H3003" i="15"/>
  <c r="I3003" i="15"/>
  <c r="J3003" i="15"/>
  <c r="K3003" i="15"/>
  <c r="L3003" i="15"/>
  <c r="M3003" i="15"/>
  <c r="N3003" i="15"/>
  <c r="A3004" i="15"/>
  <c r="B3004" i="15"/>
  <c r="C3004" i="15"/>
  <c r="D3004" i="15"/>
  <c r="E3004" i="15"/>
  <c r="F3004" i="15"/>
  <c r="G3004" i="15"/>
  <c r="H3004" i="15"/>
  <c r="I3004" i="15"/>
  <c r="J3004" i="15"/>
  <c r="K3004" i="15"/>
  <c r="L3004" i="15"/>
  <c r="M3004" i="15"/>
  <c r="N3004" i="15"/>
  <c r="A3005" i="15"/>
  <c r="B3005" i="15"/>
  <c r="C3005" i="15"/>
  <c r="D3005" i="15"/>
  <c r="E3005" i="15"/>
  <c r="F3005" i="15"/>
  <c r="G3005" i="15"/>
  <c r="H3005" i="15"/>
  <c r="I3005" i="15"/>
  <c r="J3005" i="15"/>
  <c r="K3005" i="15"/>
  <c r="L3005" i="15"/>
  <c r="M3005" i="15"/>
  <c r="N3005" i="15"/>
  <c r="A3006" i="15"/>
  <c r="B3006" i="15"/>
  <c r="C3006" i="15"/>
  <c r="D3006" i="15"/>
  <c r="E3006" i="15"/>
  <c r="F3006" i="15"/>
  <c r="G3006" i="15"/>
  <c r="H3006" i="15"/>
  <c r="I3006" i="15"/>
  <c r="J3006" i="15"/>
  <c r="K3006" i="15"/>
  <c r="L3006" i="15"/>
  <c r="M3006" i="15"/>
  <c r="N3006" i="15"/>
  <c r="A3007" i="15"/>
  <c r="B3007" i="15"/>
  <c r="C3007" i="15"/>
  <c r="D3007" i="15"/>
  <c r="E3007" i="15"/>
  <c r="F3007" i="15"/>
  <c r="G3007" i="15"/>
  <c r="H3007" i="15"/>
  <c r="I3007" i="15"/>
  <c r="J3007" i="15"/>
  <c r="K3007" i="15"/>
  <c r="L3007" i="15"/>
  <c r="M3007" i="15"/>
  <c r="N3007" i="15"/>
  <c r="A3008" i="15"/>
  <c r="B3008" i="15"/>
  <c r="C3008" i="15"/>
  <c r="D3008" i="15"/>
  <c r="E3008" i="15"/>
  <c r="F3008" i="15"/>
  <c r="G3008" i="15"/>
  <c r="H3008" i="15"/>
  <c r="I3008" i="15"/>
  <c r="J3008" i="15"/>
  <c r="K3008" i="15"/>
  <c r="L3008" i="15"/>
  <c r="M3008" i="15"/>
  <c r="N3008" i="15"/>
  <c r="A3009" i="15"/>
  <c r="B3009" i="15"/>
  <c r="C3009" i="15"/>
  <c r="D3009" i="15"/>
  <c r="E3009" i="15"/>
  <c r="F3009" i="15"/>
  <c r="G3009" i="15"/>
  <c r="H3009" i="15"/>
  <c r="I3009" i="15"/>
  <c r="J3009" i="15"/>
  <c r="K3009" i="15"/>
  <c r="L3009" i="15"/>
  <c r="M3009" i="15"/>
  <c r="N3009" i="15"/>
  <c r="A3010" i="15"/>
  <c r="B3010" i="15"/>
  <c r="C3010" i="15"/>
  <c r="D3010" i="15"/>
  <c r="E3010" i="15"/>
  <c r="F3010" i="15"/>
  <c r="G3010" i="15"/>
  <c r="H3010" i="15"/>
  <c r="I3010" i="15"/>
  <c r="J3010" i="15"/>
  <c r="K3010" i="15"/>
  <c r="L3010" i="15"/>
  <c r="M3010" i="15"/>
  <c r="N3010" i="15"/>
  <c r="A3011" i="15"/>
  <c r="B3011" i="15"/>
  <c r="C3011" i="15"/>
  <c r="D3011" i="15"/>
  <c r="E3011" i="15"/>
  <c r="F3011" i="15"/>
  <c r="G3011" i="15"/>
  <c r="H3011" i="15"/>
  <c r="I3011" i="15"/>
  <c r="J3011" i="15"/>
  <c r="K3011" i="15"/>
  <c r="L3011" i="15"/>
  <c r="M3011" i="15"/>
  <c r="N3011" i="15"/>
  <c r="A3012" i="15"/>
  <c r="B3012" i="15"/>
  <c r="C3012" i="15"/>
  <c r="D3012" i="15"/>
  <c r="E3012" i="15"/>
  <c r="F3012" i="15"/>
  <c r="G3012" i="15"/>
  <c r="H3012" i="15"/>
  <c r="I3012" i="15"/>
  <c r="J3012" i="15"/>
  <c r="K3012" i="15"/>
  <c r="L3012" i="15"/>
  <c r="M3012" i="15"/>
  <c r="N3012" i="15"/>
  <c r="A3013" i="15"/>
  <c r="B3013" i="15"/>
  <c r="C3013" i="15"/>
  <c r="D3013" i="15"/>
  <c r="E3013" i="15"/>
  <c r="F3013" i="15"/>
  <c r="G3013" i="15"/>
  <c r="H3013" i="15"/>
  <c r="I3013" i="15"/>
  <c r="J3013" i="15"/>
  <c r="K3013" i="15"/>
  <c r="L3013" i="15"/>
  <c r="M3013" i="15"/>
  <c r="N3013" i="15"/>
  <c r="A3014" i="15"/>
  <c r="B3014" i="15"/>
  <c r="C3014" i="15"/>
  <c r="D3014" i="15"/>
  <c r="E3014" i="15"/>
  <c r="F3014" i="15"/>
  <c r="G3014" i="15"/>
  <c r="H3014" i="15"/>
  <c r="I3014" i="15"/>
  <c r="J3014" i="15"/>
  <c r="K3014" i="15"/>
  <c r="L3014" i="15"/>
  <c r="M3014" i="15"/>
  <c r="N3014" i="15"/>
  <c r="A3015" i="15"/>
  <c r="B3015" i="15"/>
  <c r="C3015" i="15"/>
  <c r="D3015" i="15"/>
  <c r="E3015" i="15"/>
  <c r="F3015" i="15"/>
  <c r="G3015" i="15"/>
  <c r="H3015" i="15"/>
  <c r="I3015" i="15"/>
  <c r="J3015" i="15"/>
  <c r="K3015" i="15"/>
  <c r="L3015" i="15"/>
  <c r="M3015" i="15"/>
  <c r="N3015" i="15"/>
  <c r="A3016" i="15"/>
  <c r="B3016" i="15"/>
  <c r="C3016" i="15"/>
  <c r="D3016" i="15"/>
  <c r="E3016" i="15"/>
  <c r="F3016" i="15"/>
  <c r="G3016" i="15"/>
  <c r="H3016" i="15"/>
  <c r="I3016" i="15"/>
  <c r="J3016" i="15"/>
  <c r="K3016" i="15"/>
  <c r="L3016" i="15"/>
  <c r="M3016" i="15"/>
  <c r="N3016" i="15"/>
  <c r="A3017" i="15"/>
  <c r="B3017" i="15"/>
  <c r="C3017" i="15"/>
  <c r="D3017" i="15"/>
  <c r="E3017" i="15"/>
  <c r="F3017" i="15"/>
  <c r="G3017" i="15"/>
  <c r="H3017" i="15"/>
  <c r="I3017" i="15"/>
  <c r="J3017" i="15"/>
  <c r="K3017" i="15"/>
  <c r="L3017" i="15"/>
  <c r="M3017" i="15"/>
  <c r="N3017" i="15"/>
  <c r="A3018" i="15"/>
  <c r="B3018" i="15"/>
  <c r="C3018" i="15"/>
  <c r="D3018" i="15"/>
  <c r="E3018" i="15"/>
  <c r="F3018" i="15"/>
  <c r="G3018" i="15"/>
  <c r="H3018" i="15"/>
  <c r="I3018" i="15"/>
  <c r="J3018" i="15"/>
  <c r="K3018" i="15"/>
  <c r="L3018" i="15"/>
  <c r="M3018" i="15"/>
  <c r="N3018" i="15"/>
  <c r="A3019" i="15"/>
  <c r="B3019" i="15"/>
  <c r="C3019" i="15"/>
  <c r="D3019" i="15"/>
  <c r="E3019" i="15"/>
  <c r="F3019" i="15"/>
  <c r="G3019" i="15"/>
  <c r="H3019" i="15"/>
  <c r="I3019" i="15"/>
  <c r="J3019" i="15"/>
  <c r="K3019" i="15"/>
  <c r="L3019" i="15"/>
  <c r="M3019" i="15"/>
  <c r="N3019" i="15"/>
  <c r="A3020" i="15"/>
  <c r="B3020" i="15"/>
  <c r="C3020" i="15"/>
  <c r="D3020" i="15"/>
  <c r="E3020" i="15"/>
  <c r="F3020" i="15"/>
  <c r="G3020" i="15"/>
  <c r="H3020" i="15"/>
  <c r="I3020" i="15"/>
  <c r="J3020" i="15"/>
  <c r="K3020" i="15"/>
  <c r="L3020" i="15"/>
  <c r="M3020" i="15"/>
  <c r="N3020" i="15"/>
  <c r="A3021" i="15"/>
  <c r="B3021" i="15"/>
  <c r="C3021" i="15"/>
  <c r="D3021" i="15"/>
  <c r="E3021" i="15"/>
  <c r="F3021" i="15"/>
  <c r="G3021" i="15"/>
  <c r="H3021" i="15"/>
  <c r="I3021" i="15"/>
  <c r="J3021" i="15"/>
  <c r="K3021" i="15"/>
  <c r="L3021" i="15"/>
  <c r="M3021" i="15"/>
  <c r="N3021" i="15"/>
  <c r="A3022" i="15"/>
  <c r="B3022" i="15"/>
  <c r="C3022" i="15"/>
  <c r="D3022" i="15"/>
  <c r="E3022" i="15"/>
  <c r="F3022" i="15"/>
  <c r="G3022" i="15"/>
  <c r="H3022" i="15"/>
  <c r="I3022" i="15"/>
  <c r="J3022" i="15"/>
  <c r="K3022" i="15"/>
  <c r="L3022" i="15"/>
  <c r="M3022" i="15"/>
  <c r="N3022" i="15"/>
  <c r="A3023" i="15"/>
  <c r="B3023" i="15"/>
  <c r="C3023" i="15"/>
  <c r="D3023" i="15"/>
  <c r="E3023" i="15"/>
  <c r="F3023" i="15"/>
  <c r="G3023" i="15"/>
  <c r="H3023" i="15"/>
  <c r="I3023" i="15"/>
  <c r="J3023" i="15"/>
  <c r="K3023" i="15"/>
  <c r="L3023" i="15"/>
  <c r="M3023" i="15"/>
  <c r="N3023" i="15"/>
  <c r="A3024" i="15"/>
  <c r="B3024" i="15"/>
  <c r="C3024" i="15"/>
  <c r="D3024" i="15"/>
  <c r="E3024" i="15"/>
  <c r="F3024" i="15"/>
  <c r="G3024" i="15"/>
  <c r="H3024" i="15"/>
  <c r="I3024" i="15"/>
  <c r="J3024" i="15"/>
  <c r="K3024" i="15"/>
  <c r="L3024" i="15"/>
  <c r="M3024" i="15"/>
  <c r="N3024" i="15"/>
  <c r="A3025" i="15"/>
  <c r="B3025" i="15"/>
  <c r="C3025" i="15"/>
  <c r="D3025" i="15"/>
  <c r="E3025" i="15"/>
  <c r="F3025" i="15"/>
  <c r="G3025" i="15"/>
  <c r="H3025" i="15"/>
  <c r="I3025" i="15"/>
  <c r="J3025" i="15"/>
  <c r="K3025" i="15"/>
  <c r="L3025" i="15"/>
  <c r="M3025" i="15"/>
  <c r="N3025" i="15"/>
  <c r="A3026" i="15"/>
  <c r="B3026" i="15"/>
  <c r="C3026" i="15"/>
  <c r="D3026" i="15"/>
  <c r="E3026" i="15"/>
  <c r="F3026" i="15"/>
  <c r="G3026" i="15"/>
  <c r="H3026" i="15"/>
  <c r="I3026" i="15"/>
  <c r="J3026" i="15"/>
  <c r="K3026" i="15"/>
  <c r="L3026" i="15"/>
  <c r="M3026" i="15"/>
  <c r="N3026" i="15"/>
  <c r="A3027" i="15"/>
  <c r="B3027" i="15"/>
  <c r="C3027" i="15"/>
  <c r="D3027" i="15"/>
  <c r="E3027" i="15"/>
  <c r="F3027" i="15"/>
  <c r="G3027" i="15"/>
  <c r="H3027" i="15"/>
  <c r="I3027" i="15"/>
  <c r="J3027" i="15"/>
  <c r="K3027" i="15"/>
  <c r="L3027" i="15"/>
  <c r="M3027" i="15"/>
  <c r="N3027" i="15"/>
  <c r="A3028" i="15"/>
  <c r="B3028" i="15"/>
  <c r="C3028" i="15"/>
  <c r="D3028" i="15"/>
  <c r="E3028" i="15"/>
  <c r="F3028" i="15"/>
  <c r="G3028" i="15"/>
  <c r="H3028" i="15"/>
  <c r="I3028" i="15"/>
  <c r="J3028" i="15"/>
  <c r="K3028" i="15"/>
  <c r="L3028" i="15"/>
  <c r="M3028" i="15"/>
  <c r="N3028" i="15"/>
  <c r="A3029" i="15"/>
  <c r="B3029" i="15"/>
  <c r="C3029" i="15"/>
  <c r="D3029" i="15"/>
  <c r="E3029" i="15"/>
  <c r="F3029" i="15"/>
  <c r="G3029" i="15"/>
  <c r="H3029" i="15"/>
  <c r="I3029" i="15"/>
  <c r="J3029" i="15"/>
  <c r="K3029" i="15"/>
  <c r="L3029" i="15"/>
  <c r="M3029" i="15"/>
  <c r="N3029" i="15"/>
  <c r="A3030" i="15"/>
  <c r="B3030" i="15"/>
  <c r="C3030" i="15"/>
  <c r="D3030" i="15"/>
  <c r="E3030" i="15"/>
  <c r="F3030" i="15"/>
  <c r="G3030" i="15"/>
  <c r="H3030" i="15"/>
  <c r="I3030" i="15"/>
  <c r="J3030" i="15"/>
  <c r="K3030" i="15"/>
  <c r="L3030" i="15"/>
  <c r="M3030" i="15"/>
  <c r="N3030" i="15"/>
  <c r="A3031" i="15"/>
  <c r="B3031" i="15"/>
  <c r="C3031" i="15"/>
  <c r="D3031" i="15"/>
  <c r="E3031" i="15"/>
  <c r="F3031" i="15"/>
  <c r="G3031" i="15"/>
  <c r="H3031" i="15"/>
  <c r="I3031" i="15"/>
  <c r="J3031" i="15"/>
  <c r="K3031" i="15"/>
  <c r="L3031" i="15"/>
  <c r="M3031" i="15"/>
  <c r="N3031" i="15"/>
  <c r="A3032" i="15"/>
  <c r="B3032" i="15"/>
  <c r="C3032" i="15"/>
  <c r="D3032" i="15"/>
  <c r="E3032" i="15"/>
  <c r="F3032" i="15"/>
  <c r="G3032" i="15"/>
  <c r="H3032" i="15"/>
  <c r="I3032" i="15"/>
  <c r="J3032" i="15"/>
  <c r="K3032" i="15"/>
  <c r="L3032" i="15"/>
  <c r="M3032" i="15"/>
  <c r="N3032" i="15"/>
  <c r="A3033" i="15"/>
  <c r="B3033" i="15"/>
  <c r="C3033" i="15"/>
  <c r="D3033" i="15"/>
  <c r="E3033" i="15"/>
  <c r="F3033" i="15"/>
  <c r="G3033" i="15"/>
  <c r="H3033" i="15"/>
  <c r="I3033" i="15"/>
  <c r="J3033" i="15"/>
  <c r="K3033" i="15"/>
  <c r="L3033" i="15"/>
  <c r="M3033" i="15"/>
  <c r="N3033" i="15"/>
  <c r="A3034" i="15"/>
  <c r="B3034" i="15"/>
  <c r="C3034" i="15"/>
  <c r="D3034" i="15"/>
  <c r="E3034" i="15"/>
  <c r="F3034" i="15"/>
  <c r="G3034" i="15"/>
  <c r="H3034" i="15"/>
  <c r="I3034" i="15"/>
  <c r="J3034" i="15"/>
  <c r="K3034" i="15"/>
  <c r="L3034" i="15"/>
  <c r="M3034" i="15"/>
  <c r="N3034" i="15"/>
  <c r="A3035" i="15"/>
  <c r="B3035" i="15"/>
  <c r="C3035" i="15"/>
  <c r="D3035" i="15"/>
  <c r="E3035" i="15"/>
  <c r="F3035" i="15"/>
  <c r="G3035" i="15"/>
  <c r="H3035" i="15"/>
  <c r="I3035" i="15"/>
  <c r="J3035" i="15"/>
  <c r="K3035" i="15"/>
  <c r="L3035" i="15"/>
  <c r="M3035" i="15"/>
  <c r="N3035" i="15"/>
  <c r="A3036" i="15"/>
  <c r="B3036" i="15"/>
  <c r="C3036" i="15"/>
  <c r="D3036" i="15"/>
  <c r="E3036" i="15"/>
  <c r="F3036" i="15"/>
  <c r="G3036" i="15"/>
  <c r="H3036" i="15"/>
  <c r="I3036" i="15"/>
  <c r="J3036" i="15"/>
  <c r="K3036" i="15"/>
  <c r="L3036" i="15"/>
  <c r="M3036" i="15"/>
  <c r="N3036" i="15"/>
  <c r="A3037" i="15"/>
  <c r="B3037" i="15"/>
  <c r="C3037" i="15"/>
  <c r="D3037" i="15"/>
  <c r="E3037" i="15"/>
  <c r="F3037" i="15"/>
  <c r="G3037" i="15"/>
  <c r="H3037" i="15"/>
  <c r="I3037" i="15"/>
  <c r="J3037" i="15"/>
  <c r="K3037" i="15"/>
  <c r="L3037" i="15"/>
  <c r="M3037" i="15"/>
  <c r="N3037" i="15"/>
  <c r="A3038" i="15"/>
  <c r="B3038" i="15"/>
  <c r="C3038" i="15"/>
  <c r="D3038" i="15"/>
  <c r="E3038" i="15"/>
  <c r="F3038" i="15"/>
  <c r="G3038" i="15"/>
  <c r="H3038" i="15"/>
  <c r="I3038" i="15"/>
  <c r="J3038" i="15"/>
  <c r="K3038" i="15"/>
  <c r="L3038" i="15"/>
  <c r="M3038" i="15"/>
  <c r="N3038" i="15"/>
  <c r="A3039" i="15"/>
  <c r="B3039" i="15"/>
  <c r="C3039" i="15"/>
  <c r="D3039" i="15"/>
  <c r="E3039" i="15"/>
  <c r="F3039" i="15"/>
  <c r="G3039" i="15"/>
  <c r="H3039" i="15"/>
  <c r="I3039" i="15"/>
  <c r="J3039" i="15"/>
  <c r="K3039" i="15"/>
  <c r="L3039" i="15"/>
  <c r="M3039" i="15"/>
  <c r="N3039" i="15"/>
  <c r="A3040" i="15"/>
  <c r="B3040" i="15"/>
  <c r="C3040" i="15"/>
  <c r="D3040" i="15"/>
  <c r="E3040" i="15"/>
  <c r="F3040" i="15"/>
  <c r="G3040" i="15"/>
  <c r="H3040" i="15"/>
  <c r="I3040" i="15"/>
  <c r="J3040" i="15"/>
  <c r="K3040" i="15"/>
  <c r="L3040" i="15"/>
  <c r="M3040" i="15"/>
  <c r="N3040" i="15"/>
  <c r="A3041" i="15"/>
  <c r="B3041" i="15"/>
  <c r="C3041" i="15"/>
  <c r="D3041" i="15"/>
  <c r="E3041" i="15"/>
  <c r="F3041" i="15"/>
  <c r="G3041" i="15"/>
  <c r="H3041" i="15"/>
  <c r="I3041" i="15"/>
  <c r="J3041" i="15"/>
  <c r="K3041" i="15"/>
  <c r="L3041" i="15"/>
  <c r="M3041" i="15"/>
  <c r="N3041" i="15"/>
  <c r="A3042" i="15"/>
  <c r="B3042" i="15"/>
  <c r="C3042" i="15"/>
  <c r="D3042" i="15"/>
  <c r="E3042" i="15"/>
  <c r="F3042" i="15"/>
  <c r="G3042" i="15"/>
  <c r="H3042" i="15"/>
  <c r="I3042" i="15"/>
  <c r="J3042" i="15"/>
  <c r="K3042" i="15"/>
  <c r="L3042" i="15"/>
  <c r="M3042" i="15"/>
  <c r="N3042" i="15"/>
  <c r="A3043" i="15"/>
  <c r="B3043" i="15"/>
  <c r="C3043" i="15"/>
  <c r="D3043" i="15"/>
  <c r="E3043" i="15"/>
  <c r="F3043" i="15"/>
  <c r="G3043" i="15"/>
  <c r="H3043" i="15"/>
  <c r="I3043" i="15"/>
  <c r="J3043" i="15"/>
  <c r="K3043" i="15"/>
  <c r="L3043" i="15"/>
  <c r="M3043" i="15"/>
  <c r="N3043" i="15"/>
  <c r="A3044" i="15"/>
  <c r="B3044" i="15"/>
  <c r="C3044" i="15"/>
  <c r="D3044" i="15"/>
  <c r="E3044" i="15"/>
  <c r="F3044" i="15"/>
  <c r="G3044" i="15"/>
  <c r="H3044" i="15"/>
  <c r="I3044" i="15"/>
  <c r="J3044" i="15"/>
  <c r="K3044" i="15"/>
  <c r="L3044" i="15"/>
  <c r="M3044" i="15"/>
  <c r="N3044" i="15"/>
  <c r="A3045" i="15"/>
  <c r="B3045" i="15"/>
  <c r="C3045" i="15"/>
  <c r="D3045" i="15"/>
  <c r="E3045" i="15"/>
  <c r="F3045" i="15"/>
  <c r="G3045" i="15"/>
  <c r="H3045" i="15"/>
  <c r="I3045" i="15"/>
  <c r="J3045" i="15"/>
  <c r="K3045" i="15"/>
  <c r="L3045" i="15"/>
  <c r="M3045" i="15"/>
  <c r="N3045" i="15"/>
  <c r="A3046" i="15"/>
  <c r="B3046" i="15"/>
  <c r="C3046" i="15"/>
  <c r="D3046" i="15"/>
  <c r="E3046" i="15"/>
  <c r="F3046" i="15"/>
  <c r="G3046" i="15"/>
  <c r="H3046" i="15"/>
  <c r="I3046" i="15"/>
  <c r="J3046" i="15"/>
  <c r="K3046" i="15"/>
  <c r="L3046" i="15"/>
  <c r="M3046" i="15"/>
  <c r="N3046" i="15"/>
  <c r="A3047" i="15"/>
  <c r="B3047" i="15"/>
  <c r="C3047" i="15"/>
  <c r="D3047" i="15"/>
  <c r="E3047" i="15"/>
  <c r="F3047" i="15"/>
  <c r="G3047" i="15"/>
  <c r="H3047" i="15"/>
  <c r="I3047" i="15"/>
  <c r="J3047" i="15"/>
  <c r="K3047" i="15"/>
  <c r="L3047" i="15"/>
  <c r="M3047" i="15"/>
  <c r="N3047" i="15"/>
  <c r="A3048" i="15"/>
  <c r="B3048" i="15"/>
  <c r="C3048" i="15"/>
  <c r="D3048" i="15"/>
  <c r="E3048" i="15"/>
  <c r="F3048" i="15"/>
  <c r="G3048" i="15"/>
  <c r="H3048" i="15"/>
  <c r="I3048" i="15"/>
  <c r="J3048" i="15"/>
  <c r="K3048" i="15"/>
  <c r="L3048" i="15"/>
  <c r="M3048" i="15"/>
  <c r="N3048" i="15"/>
  <c r="A3049" i="15"/>
  <c r="B3049" i="15"/>
  <c r="C3049" i="15"/>
  <c r="D3049" i="15"/>
  <c r="E3049" i="15"/>
  <c r="F3049" i="15"/>
  <c r="G3049" i="15"/>
  <c r="H3049" i="15"/>
  <c r="I3049" i="15"/>
  <c r="J3049" i="15"/>
  <c r="K3049" i="15"/>
  <c r="L3049" i="15"/>
  <c r="M3049" i="15"/>
  <c r="N3049" i="15"/>
  <c r="A3050" i="15"/>
  <c r="B3050" i="15"/>
  <c r="C3050" i="15"/>
  <c r="D3050" i="15"/>
  <c r="E3050" i="15"/>
  <c r="F3050" i="15"/>
  <c r="G3050" i="15"/>
  <c r="H3050" i="15"/>
  <c r="I3050" i="15"/>
  <c r="J3050" i="15"/>
  <c r="K3050" i="15"/>
  <c r="L3050" i="15"/>
  <c r="M3050" i="15"/>
  <c r="N3050" i="15"/>
  <c r="A3051" i="15"/>
  <c r="B3051" i="15"/>
  <c r="C3051" i="15"/>
  <c r="D3051" i="15"/>
  <c r="E3051" i="15"/>
  <c r="F3051" i="15"/>
  <c r="G3051" i="15"/>
  <c r="H3051" i="15"/>
  <c r="I3051" i="15"/>
  <c r="J3051" i="15"/>
  <c r="K3051" i="15"/>
  <c r="L3051" i="15"/>
  <c r="M3051" i="15"/>
  <c r="N3051" i="15"/>
  <c r="A3052" i="15"/>
  <c r="B3052" i="15"/>
  <c r="C3052" i="15"/>
  <c r="D3052" i="15"/>
  <c r="E3052" i="15"/>
  <c r="F3052" i="15"/>
  <c r="G3052" i="15"/>
  <c r="H3052" i="15"/>
  <c r="I3052" i="15"/>
  <c r="J3052" i="15"/>
  <c r="K3052" i="15"/>
  <c r="L3052" i="15"/>
  <c r="M3052" i="15"/>
  <c r="N3052" i="15"/>
  <c r="A3053" i="15"/>
  <c r="B3053" i="15"/>
  <c r="C3053" i="15"/>
  <c r="D3053" i="15"/>
  <c r="E3053" i="15"/>
  <c r="F3053" i="15"/>
  <c r="G3053" i="15"/>
  <c r="H3053" i="15"/>
  <c r="I3053" i="15"/>
  <c r="J3053" i="15"/>
  <c r="K3053" i="15"/>
  <c r="L3053" i="15"/>
  <c r="M3053" i="15"/>
  <c r="N3053" i="15"/>
  <c r="A3054" i="15"/>
  <c r="B3054" i="15"/>
  <c r="C3054" i="15"/>
  <c r="D3054" i="15"/>
  <c r="E3054" i="15"/>
  <c r="F3054" i="15"/>
  <c r="G3054" i="15"/>
  <c r="H3054" i="15"/>
  <c r="I3054" i="15"/>
  <c r="J3054" i="15"/>
  <c r="K3054" i="15"/>
  <c r="L3054" i="15"/>
  <c r="M3054" i="15"/>
  <c r="N3054" i="15"/>
  <c r="A3055" i="15"/>
  <c r="B3055" i="15"/>
  <c r="C3055" i="15"/>
  <c r="D3055" i="15"/>
  <c r="E3055" i="15"/>
  <c r="F3055" i="15"/>
  <c r="G3055" i="15"/>
  <c r="H3055" i="15"/>
  <c r="I3055" i="15"/>
  <c r="J3055" i="15"/>
  <c r="K3055" i="15"/>
  <c r="L3055" i="15"/>
  <c r="M3055" i="15"/>
  <c r="N3055" i="15"/>
  <c r="A3056" i="15"/>
  <c r="B3056" i="15"/>
  <c r="C3056" i="15"/>
  <c r="D3056" i="15"/>
  <c r="E3056" i="15"/>
  <c r="F3056" i="15"/>
  <c r="G3056" i="15"/>
  <c r="H3056" i="15"/>
  <c r="I3056" i="15"/>
  <c r="J3056" i="15"/>
  <c r="K3056" i="15"/>
  <c r="L3056" i="15"/>
  <c r="M3056" i="15"/>
  <c r="N3056" i="15"/>
  <c r="A3057" i="15"/>
  <c r="B3057" i="15"/>
  <c r="C3057" i="15"/>
  <c r="D3057" i="15"/>
  <c r="E3057" i="15"/>
  <c r="F3057" i="15"/>
  <c r="G3057" i="15"/>
  <c r="H3057" i="15"/>
  <c r="I3057" i="15"/>
  <c r="J3057" i="15"/>
  <c r="K3057" i="15"/>
  <c r="L3057" i="15"/>
  <c r="M3057" i="15"/>
  <c r="N3057" i="15"/>
  <c r="A3058" i="15"/>
  <c r="B3058" i="15"/>
  <c r="C3058" i="15"/>
  <c r="D3058" i="15"/>
  <c r="E3058" i="15"/>
  <c r="F3058" i="15"/>
  <c r="G3058" i="15"/>
  <c r="H3058" i="15"/>
  <c r="I3058" i="15"/>
  <c r="J3058" i="15"/>
  <c r="K3058" i="15"/>
  <c r="L3058" i="15"/>
  <c r="M3058" i="15"/>
  <c r="N3058" i="15"/>
  <c r="A3059" i="15"/>
  <c r="B3059" i="15"/>
  <c r="C3059" i="15"/>
  <c r="D3059" i="15"/>
  <c r="E3059" i="15"/>
  <c r="F3059" i="15"/>
  <c r="G3059" i="15"/>
  <c r="H3059" i="15"/>
  <c r="I3059" i="15"/>
  <c r="J3059" i="15"/>
  <c r="K3059" i="15"/>
  <c r="L3059" i="15"/>
  <c r="M3059" i="15"/>
  <c r="N3059" i="15"/>
  <c r="A3060" i="15"/>
  <c r="B3060" i="15"/>
  <c r="C3060" i="15"/>
  <c r="D3060" i="15"/>
  <c r="E3060" i="15"/>
  <c r="F3060" i="15"/>
  <c r="G3060" i="15"/>
  <c r="H3060" i="15"/>
  <c r="I3060" i="15"/>
  <c r="J3060" i="15"/>
  <c r="K3060" i="15"/>
  <c r="L3060" i="15"/>
  <c r="M3060" i="15"/>
  <c r="N3060" i="15"/>
  <c r="A3061" i="15"/>
  <c r="B3061" i="15"/>
  <c r="C3061" i="15"/>
  <c r="D3061" i="15"/>
  <c r="E3061" i="15"/>
  <c r="F3061" i="15"/>
  <c r="G3061" i="15"/>
  <c r="H3061" i="15"/>
  <c r="I3061" i="15"/>
  <c r="J3061" i="15"/>
  <c r="K3061" i="15"/>
  <c r="L3061" i="15"/>
  <c r="M3061" i="15"/>
  <c r="N3061" i="15"/>
  <c r="A3062" i="15"/>
  <c r="B3062" i="15"/>
  <c r="C3062" i="15"/>
  <c r="D3062" i="15"/>
  <c r="E3062" i="15"/>
  <c r="F3062" i="15"/>
  <c r="G3062" i="15"/>
  <c r="H3062" i="15"/>
  <c r="I3062" i="15"/>
  <c r="J3062" i="15"/>
  <c r="K3062" i="15"/>
  <c r="L3062" i="15"/>
  <c r="M3062" i="15"/>
  <c r="N3062" i="15"/>
  <c r="A3063" i="15"/>
  <c r="B3063" i="15"/>
  <c r="C3063" i="15"/>
  <c r="D3063" i="15"/>
  <c r="E3063" i="15"/>
  <c r="F3063" i="15"/>
  <c r="G3063" i="15"/>
  <c r="H3063" i="15"/>
  <c r="I3063" i="15"/>
  <c r="J3063" i="15"/>
  <c r="K3063" i="15"/>
  <c r="L3063" i="15"/>
  <c r="M3063" i="15"/>
  <c r="N3063" i="15"/>
  <c r="A3064" i="15"/>
  <c r="B3064" i="15"/>
  <c r="C3064" i="15"/>
  <c r="D3064" i="15"/>
  <c r="E3064" i="15"/>
  <c r="F3064" i="15"/>
  <c r="G3064" i="15"/>
  <c r="H3064" i="15"/>
  <c r="I3064" i="15"/>
  <c r="J3064" i="15"/>
  <c r="K3064" i="15"/>
  <c r="L3064" i="15"/>
  <c r="M3064" i="15"/>
  <c r="N3064" i="15"/>
  <c r="A3065" i="15"/>
  <c r="B3065" i="15"/>
  <c r="C3065" i="15"/>
  <c r="D3065" i="15"/>
  <c r="E3065" i="15"/>
  <c r="F3065" i="15"/>
  <c r="G3065" i="15"/>
  <c r="H3065" i="15"/>
  <c r="I3065" i="15"/>
  <c r="J3065" i="15"/>
  <c r="K3065" i="15"/>
  <c r="L3065" i="15"/>
  <c r="M3065" i="15"/>
  <c r="N3065" i="15"/>
  <c r="A3066" i="15"/>
  <c r="B3066" i="15"/>
  <c r="C3066" i="15"/>
  <c r="D3066" i="15"/>
  <c r="E3066" i="15"/>
  <c r="F3066" i="15"/>
  <c r="G3066" i="15"/>
  <c r="H3066" i="15"/>
  <c r="I3066" i="15"/>
  <c r="J3066" i="15"/>
  <c r="K3066" i="15"/>
  <c r="L3066" i="15"/>
  <c r="M3066" i="15"/>
  <c r="N3066" i="15"/>
  <c r="A3067" i="15"/>
  <c r="B3067" i="15"/>
  <c r="C3067" i="15"/>
  <c r="D3067" i="15"/>
  <c r="E3067" i="15"/>
  <c r="F3067" i="15"/>
  <c r="G3067" i="15"/>
  <c r="H3067" i="15"/>
  <c r="I3067" i="15"/>
  <c r="J3067" i="15"/>
  <c r="K3067" i="15"/>
  <c r="L3067" i="15"/>
  <c r="M3067" i="15"/>
  <c r="N3067" i="15"/>
  <c r="A3068" i="15"/>
  <c r="B3068" i="15"/>
  <c r="C3068" i="15"/>
  <c r="D3068" i="15"/>
  <c r="E3068" i="15"/>
  <c r="F3068" i="15"/>
  <c r="G3068" i="15"/>
  <c r="H3068" i="15"/>
  <c r="I3068" i="15"/>
  <c r="J3068" i="15"/>
  <c r="K3068" i="15"/>
  <c r="L3068" i="15"/>
  <c r="M3068" i="15"/>
  <c r="N3068" i="15"/>
  <c r="A3069" i="15"/>
  <c r="B3069" i="15"/>
  <c r="C3069" i="15"/>
  <c r="D3069" i="15"/>
  <c r="E3069" i="15"/>
  <c r="F3069" i="15"/>
  <c r="G3069" i="15"/>
  <c r="H3069" i="15"/>
  <c r="I3069" i="15"/>
  <c r="J3069" i="15"/>
  <c r="K3069" i="15"/>
  <c r="L3069" i="15"/>
  <c r="M3069" i="15"/>
  <c r="N3069" i="15"/>
  <c r="A3070" i="15"/>
  <c r="B3070" i="15"/>
  <c r="C3070" i="15"/>
  <c r="D3070" i="15"/>
  <c r="E3070" i="15"/>
  <c r="F3070" i="15"/>
  <c r="G3070" i="15"/>
  <c r="H3070" i="15"/>
  <c r="I3070" i="15"/>
  <c r="J3070" i="15"/>
  <c r="K3070" i="15"/>
  <c r="L3070" i="15"/>
  <c r="M3070" i="15"/>
  <c r="N3070" i="15"/>
  <c r="A3071" i="15"/>
  <c r="B3071" i="15"/>
  <c r="C3071" i="15"/>
  <c r="D3071" i="15"/>
  <c r="E3071" i="15"/>
  <c r="F3071" i="15"/>
  <c r="G3071" i="15"/>
  <c r="H3071" i="15"/>
  <c r="I3071" i="15"/>
  <c r="J3071" i="15"/>
  <c r="K3071" i="15"/>
  <c r="L3071" i="15"/>
  <c r="M3071" i="15"/>
  <c r="N3071" i="15"/>
  <c r="A3072" i="15"/>
  <c r="B3072" i="15"/>
  <c r="C3072" i="15"/>
  <c r="D3072" i="15"/>
  <c r="E3072" i="15"/>
  <c r="F3072" i="15"/>
  <c r="G3072" i="15"/>
  <c r="H3072" i="15"/>
  <c r="I3072" i="15"/>
  <c r="J3072" i="15"/>
  <c r="K3072" i="15"/>
  <c r="L3072" i="15"/>
  <c r="M3072" i="15"/>
  <c r="N3072" i="15"/>
  <c r="A3073" i="15"/>
  <c r="B3073" i="15"/>
  <c r="C3073" i="15"/>
  <c r="D3073" i="15"/>
  <c r="E3073" i="15"/>
  <c r="F3073" i="15"/>
  <c r="G3073" i="15"/>
  <c r="H3073" i="15"/>
  <c r="I3073" i="15"/>
  <c r="J3073" i="15"/>
  <c r="K3073" i="15"/>
  <c r="L3073" i="15"/>
  <c r="M3073" i="15"/>
  <c r="N3073" i="15"/>
  <c r="A3074" i="15"/>
  <c r="B3074" i="15"/>
  <c r="C3074" i="15"/>
  <c r="D3074" i="15"/>
  <c r="E3074" i="15"/>
  <c r="F3074" i="15"/>
  <c r="G3074" i="15"/>
  <c r="H3074" i="15"/>
  <c r="I3074" i="15"/>
  <c r="J3074" i="15"/>
  <c r="K3074" i="15"/>
  <c r="L3074" i="15"/>
  <c r="M3074" i="15"/>
  <c r="N3074" i="15"/>
  <c r="A3075" i="15"/>
  <c r="B3075" i="15"/>
  <c r="C3075" i="15"/>
  <c r="D3075" i="15"/>
  <c r="E3075" i="15"/>
  <c r="F3075" i="15"/>
  <c r="G3075" i="15"/>
  <c r="H3075" i="15"/>
  <c r="I3075" i="15"/>
  <c r="J3075" i="15"/>
  <c r="K3075" i="15"/>
  <c r="L3075" i="15"/>
  <c r="M3075" i="15"/>
  <c r="N3075" i="15"/>
  <c r="A3076" i="15"/>
  <c r="B3076" i="15"/>
  <c r="C3076" i="15"/>
  <c r="D3076" i="15"/>
  <c r="E3076" i="15"/>
  <c r="F3076" i="15"/>
  <c r="G3076" i="15"/>
  <c r="H3076" i="15"/>
  <c r="I3076" i="15"/>
  <c r="J3076" i="15"/>
  <c r="K3076" i="15"/>
  <c r="L3076" i="15"/>
  <c r="M3076" i="15"/>
  <c r="N3076" i="15"/>
  <c r="A3077" i="15"/>
  <c r="B3077" i="15"/>
  <c r="C3077" i="15"/>
  <c r="D3077" i="15"/>
  <c r="E3077" i="15"/>
  <c r="F3077" i="15"/>
  <c r="G3077" i="15"/>
  <c r="H3077" i="15"/>
  <c r="I3077" i="15"/>
  <c r="J3077" i="15"/>
  <c r="K3077" i="15"/>
  <c r="L3077" i="15"/>
  <c r="M3077" i="15"/>
  <c r="N3077" i="15"/>
  <c r="A3078" i="15"/>
  <c r="B3078" i="15"/>
  <c r="C3078" i="15"/>
  <c r="D3078" i="15"/>
  <c r="E3078" i="15"/>
  <c r="F3078" i="15"/>
  <c r="G3078" i="15"/>
  <c r="H3078" i="15"/>
  <c r="I3078" i="15"/>
  <c r="J3078" i="15"/>
  <c r="K3078" i="15"/>
  <c r="L3078" i="15"/>
  <c r="M3078" i="15"/>
  <c r="N3078" i="15"/>
  <c r="A3079" i="15"/>
  <c r="B3079" i="15"/>
  <c r="C3079" i="15"/>
  <c r="D3079" i="15"/>
  <c r="E3079" i="15"/>
  <c r="F3079" i="15"/>
  <c r="G3079" i="15"/>
  <c r="H3079" i="15"/>
  <c r="I3079" i="15"/>
  <c r="J3079" i="15"/>
  <c r="K3079" i="15"/>
  <c r="L3079" i="15"/>
  <c r="M3079" i="15"/>
  <c r="N3079" i="15"/>
  <c r="A3080" i="15"/>
  <c r="B3080" i="15"/>
  <c r="C3080" i="15"/>
  <c r="D3080" i="15"/>
  <c r="E3080" i="15"/>
  <c r="F3080" i="15"/>
  <c r="G3080" i="15"/>
  <c r="H3080" i="15"/>
  <c r="I3080" i="15"/>
  <c r="J3080" i="15"/>
  <c r="K3080" i="15"/>
  <c r="L3080" i="15"/>
  <c r="M3080" i="15"/>
  <c r="N3080" i="15"/>
  <c r="A3081" i="15"/>
  <c r="B3081" i="15"/>
  <c r="C3081" i="15"/>
  <c r="D3081" i="15"/>
  <c r="E3081" i="15"/>
  <c r="F3081" i="15"/>
  <c r="G3081" i="15"/>
  <c r="H3081" i="15"/>
  <c r="I3081" i="15"/>
  <c r="J3081" i="15"/>
  <c r="K3081" i="15"/>
  <c r="L3081" i="15"/>
  <c r="M3081" i="15"/>
  <c r="N3081" i="15"/>
  <c r="A3082" i="15"/>
  <c r="B3082" i="15"/>
  <c r="C3082" i="15"/>
  <c r="D3082" i="15"/>
  <c r="E3082" i="15"/>
  <c r="F3082" i="15"/>
  <c r="G3082" i="15"/>
  <c r="H3082" i="15"/>
  <c r="I3082" i="15"/>
  <c r="J3082" i="15"/>
  <c r="K3082" i="15"/>
  <c r="L3082" i="15"/>
  <c r="M3082" i="15"/>
  <c r="N3082" i="15"/>
  <c r="A3083" i="15"/>
  <c r="B3083" i="15"/>
  <c r="C3083" i="15"/>
  <c r="D3083" i="15"/>
  <c r="E3083" i="15"/>
  <c r="F3083" i="15"/>
  <c r="G3083" i="15"/>
  <c r="H3083" i="15"/>
  <c r="I3083" i="15"/>
  <c r="J3083" i="15"/>
  <c r="K3083" i="15"/>
  <c r="L3083" i="15"/>
  <c r="M3083" i="15"/>
  <c r="N3083" i="15"/>
  <c r="A3084" i="15"/>
  <c r="B3084" i="15"/>
  <c r="C3084" i="15"/>
  <c r="D3084" i="15"/>
  <c r="E3084" i="15"/>
  <c r="F3084" i="15"/>
  <c r="G3084" i="15"/>
  <c r="H3084" i="15"/>
  <c r="I3084" i="15"/>
  <c r="J3084" i="15"/>
  <c r="K3084" i="15"/>
  <c r="L3084" i="15"/>
  <c r="M3084" i="15"/>
  <c r="N3084" i="15"/>
  <c r="A3085" i="15"/>
  <c r="B3085" i="15"/>
  <c r="C3085" i="15"/>
  <c r="D3085" i="15"/>
  <c r="E3085" i="15"/>
  <c r="F3085" i="15"/>
  <c r="G3085" i="15"/>
  <c r="H3085" i="15"/>
  <c r="I3085" i="15"/>
  <c r="J3085" i="15"/>
  <c r="K3085" i="15"/>
  <c r="L3085" i="15"/>
  <c r="M3085" i="15"/>
  <c r="N3085" i="15"/>
  <c r="A3086" i="15"/>
  <c r="B3086" i="15"/>
  <c r="C3086" i="15"/>
  <c r="D3086" i="15"/>
  <c r="E3086" i="15"/>
  <c r="F3086" i="15"/>
  <c r="G3086" i="15"/>
  <c r="H3086" i="15"/>
  <c r="I3086" i="15"/>
  <c r="J3086" i="15"/>
  <c r="K3086" i="15"/>
  <c r="L3086" i="15"/>
  <c r="M3086" i="15"/>
  <c r="N3086" i="15"/>
  <c r="A3087" i="15"/>
  <c r="B3087" i="15"/>
  <c r="C3087" i="15"/>
  <c r="D3087" i="15"/>
  <c r="E3087" i="15"/>
  <c r="F3087" i="15"/>
  <c r="G3087" i="15"/>
  <c r="H3087" i="15"/>
  <c r="I3087" i="15"/>
  <c r="J3087" i="15"/>
  <c r="K3087" i="15"/>
  <c r="L3087" i="15"/>
  <c r="M3087" i="15"/>
  <c r="N3087" i="15"/>
  <c r="A3088" i="15"/>
  <c r="B3088" i="15"/>
  <c r="C3088" i="15"/>
  <c r="D3088" i="15"/>
  <c r="E3088" i="15"/>
  <c r="F3088" i="15"/>
  <c r="G3088" i="15"/>
  <c r="H3088" i="15"/>
  <c r="I3088" i="15"/>
  <c r="J3088" i="15"/>
  <c r="K3088" i="15"/>
  <c r="L3088" i="15"/>
  <c r="M3088" i="15"/>
  <c r="N3088" i="15"/>
  <c r="A3089" i="15"/>
  <c r="B3089" i="15"/>
  <c r="C3089" i="15"/>
  <c r="D3089" i="15"/>
  <c r="E3089" i="15"/>
  <c r="F3089" i="15"/>
  <c r="G3089" i="15"/>
  <c r="H3089" i="15"/>
  <c r="I3089" i="15"/>
  <c r="J3089" i="15"/>
  <c r="K3089" i="15"/>
  <c r="L3089" i="15"/>
  <c r="M3089" i="15"/>
  <c r="N3089" i="15"/>
  <c r="A3090" i="15"/>
  <c r="B3090" i="15"/>
  <c r="C3090" i="15"/>
  <c r="D3090" i="15"/>
  <c r="E3090" i="15"/>
  <c r="F3090" i="15"/>
  <c r="G3090" i="15"/>
  <c r="H3090" i="15"/>
  <c r="I3090" i="15"/>
  <c r="J3090" i="15"/>
  <c r="K3090" i="15"/>
  <c r="L3090" i="15"/>
  <c r="M3090" i="15"/>
  <c r="N3090" i="15"/>
  <c r="A3091" i="15"/>
  <c r="B3091" i="15"/>
  <c r="C3091" i="15"/>
  <c r="D3091" i="15"/>
  <c r="E3091" i="15"/>
  <c r="F3091" i="15"/>
  <c r="G3091" i="15"/>
  <c r="H3091" i="15"/>
  <c r="I3091" i="15"/>
  <c r="J3091" i="15"/>
  <c r="K3091" i="15"/>
  <c r="L3091" i="15"/>
  <c r="M3091" i="15"/>
  <c r="N3091" i="15"/>
  <c r="A3092" i="15"/>
  <c r="B3092" i="15"/>
  <c r="C3092" i="15"/>
  <c r="D3092" i="15"/>
  <c r="E3092" i="15"/>
  <c r="F3092" i="15"/>
  <c r="G3092" i="15"/>
  <c r="H3092" i="15"/>
  <c r="I3092" i="15"/>
  <c r="J3092" i="15"/>
  <c r="K3092" i="15"/>
  <c r="L3092" i="15"/>
  <c r="M3092" i="15"/>
  <c r="N3092" i="15"/>
  <c r="A3093" i="15"/>
  <c r="B3093" i="15"/>
  <c r="C3093" i="15"/>
  <c r="D3093" i="15"/>
  <c r="E3093" i="15"/>
  <c r="F3093" i="15"/>
  <c r="G3093" i="15"/>
  <c r="H3093" i="15"/>
  <c r="I3093" i="15"/>
  <c r="J3093" i="15"/>
  <c r="K3093" i="15"/>
  <c r="L3093" i="15"/>
  <c r="M3093" i="15"/>
  <c r="N3093" i="15"/>
  <c r="A3094" i="15"/>
  <c r="B3094" i="15"/>
  <c r="C3094" i="15"/>
  <c r="D3094" i="15"/>
  <c r="E3094" i="15"/>
  <c r="F3094" i="15"/>
  <c r="G3094" i="15"/>
  <c r="H3094" i="15"/>
  <c r="I3094" i="15"/>
  <c r="J3094" i="15"/>
  <c r="K3094" i="15"/>
  <c r="L3094" i="15"/>
  <c r="M3094" i="15"/>
  <c r="N3094" i="15"/>
  <c r="A3095" i="15"/>
  <c r="B3095" i="15"/>
  <c r="C3095" i="15"/>
  <c r="D3095" i="15"/>
  <c r="E3095" i="15"/>
  <c r="F3095" i="15"/>
  <c r="G3095" i="15"/>
  <c r="H3095" i="15"/>
  <c r="I3095" i="15"/>
  <c r="J3095" i="15"/>
  <c r="K3095" i="15"/>
  <c r="L3095" i="15"/>
  <c r="M3095" i="15"/>
  <c r="N3095" i="15"/>
  <c r="A3096" i="15"/>
  <c r="B3096" i="15"/>
  <c r="C3096" i="15"/>
  <c r="D3096" i="15"/>
  <c r="E3096" i="15"/>
  <c r="F3096" i="15"/>
  <c r="G3096" i="15"/>
  <c r="H3096" i="15"/>
  <c r="I3096" i="15"/>
  <c r="J3096" i="15"/>
  <c r="K3096" i="15"/>
  <c r="L3096" i="15"/>
  <c r="M3096" i="15"/>
  <c r="N3096" i="15"/>
  <c r="A3097" i="15"/>
  <c r="B3097" i="15"/>
  <c r="C3097" i="15"/>
  <c r="D3097" i="15"/>
  <c r="E3097" i="15"/>
  <c r="F3097" i="15"/>
  <c r="G3097" i="15"/>
  <c r="H3097" i="15"/>
  <c r="I3097" i="15"/>
  <c r="J3097" i="15"/>
  <c r="K3097" i="15"/>
  <c r="L3097" i="15"/>
  <c r="M3097" i="15"/>
  <c r="N3097" i="15"/>
  <c r="A3098" i="15"/>
  <c r="B3098" i="15"/>
  <c r="C3098" i="15"/>
  <c r="D3098" i="15"/>
  <c r="E3098" i="15"/>
  <c r="F3098" i="15"/>
  <c r="G3098" i="15"/>
  <c r="H3098" i="15"/>
  <c r="I3098" i="15"/>
  <c r="J3098" i="15"/>
  <c r="K3098" i="15"/>
  <c r="L3098" i="15"/>
  <c r="M3098" i="15"/>
  <c r="N3098" i="15"/>
  <c r="A3099" i="15"/>
  <c r="B3099" i="15"/>
  <c r="C3099" i="15"/>
  <c r="D3099" i="15"/>
  <c r="E3099" i="15"/>
  <c r="F3099" i="15"/>
  <c r="G3099" i="15"/>
  <c r="H3099" i="15"/>
  <c r="I3099" i="15"/>
  <c r="J3099" i="15"/>
  <c r="K3099" i="15"/>
  <c r="L3099" i="15"/>
  <c r="M3099" i="15"/>
  <c r="N3099" i="15"/>
  <c r="A3100" i="15"/>
  <c r="B3100" i="15"/>
  <c r="C3100" i="15"/>
  <c r="D3100" i="15"/>
  <c r="E3100" i="15"/>
  <c r="F3100" i="15"/>
  <c r="G3100" i="15"/>
  <c r="H3100" i="15"/>
  <c r="I3100" i="15"/>
  <c r="J3100" i="15"/>
  <c r="K3100" i="15"/>
  <c r="L3100" i="15"/>
  <c r="M3100" i="15"/>
  <c r="N3100" i="15"/>
  <c r="A3101" i="15"/>
  <c r="B3101" i="15"/>
  <c r="C3101" i="15"/>
  <c r="D3101" i="15"/>
  <c r="E3101" i="15"/>
  <c r="F3101" i="15"/>
  <c r="G3101" i="15"/>
  <c r="H3101" i="15"/>
  <c r="I3101" i="15"/>
  <c r="J3101" i="15"/>
  <c r="K3101" i="15"/>
  <c r="L3101" i="15"/>
  <c r="M3101" i="15"/>
  <c r="N3101" i="15"/>
  <c r="A3102" i="15"/>
  <c r="B3102" i="15"/>
  <c r="C3102" i="15"/>
  <c r="D3102" i="15"/>
  <c r="E3102" i="15"/>
  <c r="F3102" i="15"/>
  <c r="G3102" i="15"/>
  <c r="H3102" i="15"/>
  <c r="I3102" i="15"/>
  <c r="J3102" i="15"/>
  <c r="K3102" i="15"/>
  <c r="L3102" i="15"/>
  <c r="M3102" i="15"/>
  <c r="N3102" i="15"/>
  <c r="A3103" i="15"/>
  <c r="B3103" i="15"/>
  <c r="C3103" i="15"/>
  <c r="D3103" i="15"/>
  <c r="E3103" i="15"/>
  <c r="F3103" i="15"/>
  <c r="G3103" i="15"/>
  <c r="H3103" i="15"/>
  <c r="I3103" i="15"/>
  <c r="J3103" i="15"/>
  <c r="K3103" i="15"/>
  <c r="L3103" i="15"/>
  <c r="M3103" i="15"/>
  <c r="N3103" i="15"/>
  <c r="A3104" i="15"/>
  <c r="B3104" i="15"/>
  <c r="C3104" i="15"/>
  <c r="D3104" i="15"/>
  <c r="E3104" i="15"/>
  <c r="F3104" i="15"/>
  <c r="G3104" i="15"/>
  <c r="H3104" i="15"/>
  <c r="I3104" i="15"/>
  <c r="J3104" i="15"/>
  <c r="K3104" i="15"/>
  <c r="L3104" i="15"/>
  <c r="M3104" i="15"/>
  <c r="N3104" i="15"/>
  <c r="A3105" i="15"/>
  <c r="B3105" i="15"/>
  <c r="C3105" i="15"/>
  <c r="D3105" i="15"/>
  <c r="E3105" i="15"/>
  <c r="F3105" i="15"/>
  <c r="G3105" i="15"/>
  <c r="H3105" i="15"/>
  <c r="I3105" i="15"/>
  <c r="J3105" i="15"/>
  <c r="K3105" i="15"/>
  <c r="L3105" i="15"/>
  <c r="M3105" i="15"/>
  <c r="N3105" i="15"/>
  <c r="A3106" i="15"/>
  <c r="B3106" i="15"/>
  <c r="C3106" i="15"/>
  <c r="D3106" i="15"/>
  <c r="E3106" i="15"/>
  <c r="F3106" i="15"/>
  <c r="G3106" i="15"/>
  <c r="H3106" i="15"/>
  <c r="I3106" i="15"/>
  <c r="J3106" i="15"/>
  <c r="K3106" i="15"/>
  <c r="L3106" i="15"/>
  <c r="M3106" i="15"/>
  <c r="N3106" i="15"/>
  <c r="A3107" i="15"/>
  <c r="B3107" i="15"/>
  <c r="C3107" i="15"/>
  <c r="D3107" i="15"/>
  <c r="E3107" i="15"/>
  <c r="F3107" i="15"/>
  <c r="G3107" i="15"/>
  <c r="H3107" i="15"/>
  <c r="I3107" i="15"/>
  <c r="J3107" i="15"/>
  <c r="K3107" i="15"/>
  <c r="L3107" i="15"/>
  <c r="M3107" i="15"/>
  <c r="N3107" i="15"/>
  <c r="A3108" i="15"/>
  <c r="B3108" i="15"/>
  <c r="C3108" i="15"/>
  <c r="D3108" i="15"/>
  <c r="E3108" i="15"/>
  <c r="F3108" i="15"/>
  <c r="G3108" i="15"/>
  <c r="H3108" i="15"/>
  <c r="I3108" i="15"/>
  <c r="J3108" i="15"/>
  <c r="K3108" i="15"/>
  <c r="L3108" i="15"/>
  <c r="M3108" i="15"/>
  <c r="N3108" i="15"/>
  <c r="A3109" i="15"/>
  <c r="B3109" i="15"/>
  <c r="C3109" i="15"/>
  <c r="D3109" i="15"/>
  <c r="E3109" i="15"/>
  <c r="F3109" i="15"/>
  <c r="G3109" i="15"/>
  <c r="H3109" i="15"/>
  <c r="I3109" i="15"/>
  <c r="J3109" i="15"/>
  <c r="K3109" i="15"/>
  <c r="L3109" i="15"/>
  <c r="M3109" i="15"/>
  <c r="N3109" i="15"/>
  <c r="A3110" i="15"/>
  <c r="B3110" i="15"/>
  <c r="C3110" i="15"/>
  <c r="D3110" i="15"/>
  <c r="E3110" i="15"/>
  <c r="F3110" i="15"/>
  <c r="G3110" i="15"/>
  <c r="H3110" i="15"/>
  <c r="I3110" i="15"/>
  <c r="J3110" i="15"/>
  <c r="K3110" i="15"/>
  <c r="L3110" i="15"/>
  <c r="M3110" i="15"/>
  <c r="N3110" i="15"/>
  <c r="A3111" i="15"/>
  <c r="B3111" i="15"/>
  <c r="C3111" i="15"/>
  <c r="D3111" i="15"/>
  <c r="E3111" i="15"/>
  <c r="F3111" i="15"/>
  <c r="G3111" i="15"/>
  <c r="H3111" i="15"/>
  <c r="I3111" i="15"/>
  <c r="J3111" i="15"/>
  <c r="K3111" i="15"/>
  <c r="L3111" i="15"/>
  <c r="M3111" i="15"/>
  <c r="N3111" i="15"/>
  <c r="A3112" i="15"/>
  <c r="B3112" i="15"/>
  <c r="C3112" i="15"/>
  <c r="D3112" i="15"/>
  <c r="E3112" i="15"/>
  <c r="F3112" i="15"/>
  <c r="G3112" i="15"/>
  <c r="H3112" i="15"/>
  <c r="I3112" i="15"/>
  <c r="J3112" i="15"/>
  <c r="K3112" i="15"/>
  <c r="L3112" i="15"/>
  <c r="M3112" i="15"/>
  <c r="N3112" i="15"/>
  <c r="A3113" i="15"/>
  <c r="B3113" i="15"/>
  <c r="C3113" i="15"/>
  <c r="D3113" i="15"/>
  <c r="E3113" i="15"/>
  <c r="F3113" i="15"/>
  <c r="G3113" i="15"/>
  <c r="H3113" i="15"/>
  <c r="I3113" i="15"/>
  <c r="J3113" i="15"/>
  <c r="K3113" i="15"/>
  <c r="L3113" i="15"/>
  <c r="M3113" i="15"/>
  <c r="N3113" i="15"/>
  <c r="A3114" i="15"/>
  <c r="B3114" i="15"/>
  <c r="C3114" i="15"/>
  <c r="D3114" i="15"/>
  <c r="E3114" i="15"/>
  <c r="F3114" i="15"/>
  <c r="G3114" i="15"/>
  <c r="H3114" i="15"/>
  <c r="I3114" i="15"/>
  <c r="J3114" i="15"/>
  <c r="K3114" i="15"/>
  <c r="L3114" i="15"/>
  <c r="M3114" i="15"/>
  <c r="N3114" i="15"/>
  <c r="A3115" i="15"/>
  <c r="B3115" i="15"/>
  <c r="C3115" i="15"/>
  <c r="D3115" i="15"/>
  <c r="E3115" i="15"/>
  <c r="F3115" i="15"/>
  <c r="G3115" i="15"/>
  <c r="H3115" i="15"/>
  <c r="I3115" i="15"/>
  <c r="J3115" i="15"/>
  <c r="K3115" i="15"/>
  <c r="L3115" i="15"/>
  <c r="M3115" i="15"/>
  <c r="N3115" i="15"/>
  <c r="A3116" i="15"/>
  <c r="B3116" i="15"/>
  <c r="C3116" i="15"/>
  <c r="D3116" i="15"/>
  <c r="E3116" i="15"/>
  <c r="F3116" i="15"/>
  <c r="G3116" i="15"/>
  <c r="H3116" i="15"/>
  <c r="I3116" i="15"/>
  <c r="J3116" i="15"/>
  <c r="K3116" i="15"/>
  <c r="L3116" i="15"/>
  <c r="M3116" i="15"/>
  <c r="N3116" i="15"/>
  <c r="A3117" i="15"/>
  <c r="B3117" i="15"/>
  <c r="C3117" i="15"/>
  <c r="D3117" i="15"/>
  <c r="E3117" i="15"/>
  <c r="F3117" i="15"/>
  <c r="G3117" i="15"/>
  <c r="H3117" i="15"/>
  <c r="I3117" i="15"/>
  <c r="J3117" i="15"/>
  <c r="K3117" i="15"/>
  <c r="L3117" i="15"/>
  <c r="M3117" i="15"/>
  <c r="N3117" i="15"/>
  <c r="A3118" i="15"/>
  <c r="B3118" i="15"/>
  <c r="C3118" i="15"/>
  <c r="D3118" i="15"/>
  <c r="E3118" i="15"/>
  <c r="F3118" i="15"/>
  <c r="G3118" i="15"/>
  <c r="H3118" i="15"/>
  <c r="I3118" i="15"/>
  <c r="J3118" i="15"/>
  <c r="K3118" i="15"/>
  <c r="L3118" i="15"/>
  <c r="M3118" i="15"/>
  <c r="N3118" i="15"/>
  <c r="A3119" i="15"/>
  <c r="B3119" i="15"/>
  <c r="C3119" i="15"/>
  <c r="D3119" i="15"/>
  <c r="E3119" i="15"/>
  <c r="F3119" i="15"/>
  <c r="G3119" i="15"/>
  <c r="H3119" i="15"/>
  <c r="I3119" i="15"/>
  <c r="J3119" i="15"/>
  <c r="K3119" i="15"/>
  <c r="L3119" i="15"/>
  <c r="M3119" i="15"/>
  <c r="N3119" i="15"/>
  <c r="A3120" i="15"/>
  <c r="B3120" i="15"/>
  <c r="C3120" i="15"/>
  <c r="D3120" i="15"/>
  <c r="E3120" i="15"/>
  <c r="F3120" i="15"/>
  <c r="G3120" i="15"/>
  <c r="H3120" i="15"/>
  <c r="I3120" i="15"/>
  <c r="J3120" i="15"/>
  <c r="K3120" i="15"/>
  <c r="L3120" i="15"/>
  <c r="M3120" i="15"/>
  <c r="N3120" i="15"/>
  <c r="A3121" i="15"/>
  <c r="B3121" i="15"/>
  <c r="C3121" i="15"/>
  <c r="D3121" i="15"/>
  <c r="E3121" i="15"/>
  <c r="F3121" i="15"/>
  <c r="G3121" i="15"/>
  <c r="H3121" i="15"/>
  <c r="I3121" i="15"/>
  <c r="J3121" i="15"/>
  <c r="K3121" i="15"/>
  <c r="L3121" i="15"/>
  <c r="M3121" i="15"/>
  <c r="N3121" i="15"/>
  <c r="A3122" i="15"/>
  <c r="B3122" i="15"/>
  <c r="C3122" i="15"/>
  <c r="D3122" i="15"/>
  <c r="E3122" i="15"/>
  <c r="F3122" i="15"/>
  <c r="G3122" i="15"/>
  <c r="H3122" i="15"/>
  <c r="I3122" i="15"/>
  <c r="J3122" i="15"/>
  <c r="K3122" i="15"/>
  <c r="L3122" i="15"/>
  <c r="M3122" i="15"/>
  <c r="N3122" i="15"/>
  <c r="A3123" i="15"/>
  <c r="B3123" i="15"/>
  <c r="C3123" i="15"/>
  <c r="D3123" i="15"/>
  <c r="E3123" i="15"/>
  <c r="F3123" i="15"/>
  <c r="G3123" i="15"/>
  <c r="H3123" i="15"/>
  <c r="I3123" i="15"/>
  <c r="J3123" i="15"/>
  <c r="K3123" i="15"/>
  <c r="L3123" i="15"/>
  <c r="M3123" i="15"/>
  <c r="N3123" i="15"/>
  <c r="A3124" i="15"/>
  <c r="B3124" i="15"/>
  <c r="C3124" i="15"/>
  <c r="D3124" i="15"/>
  <c r="E3124" i="15"/>
  <c r="F3124" i="15"/>
  <c r="G3124" i="15"/>
  <c r="H3124" i="15"/>
  <c r="I3124" i="15"/>
  <c r="J3124" i="15"/>
  <c r="K3124" i="15"/>
  <c r="L3124" i="15"/>
  <c r="M3124" i="15"/>
  <c r="N3124" i="15"/>
  <c r="A3125" i="15"/>
  <c r="B3125" i="15"/>
  <c r="C3125" i="15"/>
  <c r="D3125" i="15"/>
  <c r="E3125" i="15"/>
  <c r="F3125" i="15"/>
  <c r="G3125" i="15"/>
  <c r="H3125" i="15"/>
  <c r="I3125" i="15"/>
  <c r="J3125" i="15"/>
  <c r="K3125" i="15"/>
  <c r="L3125" i="15"/>
  <c r="M3125" i="15"/>
  <c r="N3125" i="15"/>
  <c r="A3126" i="15"/>
  <c r="B3126" i="15"/>
  <c r="C3126" i="15"/>
  <c r="D3126" i="15"/>
  <c r="E3126" i="15"/>
  <c r="F3126" i="15"/>
  <c r="G3126" i="15"/>
  <c r="H3126" i="15"/>
  <c r="I3126" i="15"/>
  <c r="J3126" i="15"/>
  <c r="K3126" i="15"/>
  <c r="L3126" i="15"/>
  <c r="M3126" i="15"/>
  <c r="N3126" i="15"/>
  <c r="A3127" i="15"/>
  <c r="B3127" i="15"/>
  <c r="C3127" i="15"/>
  <c r="D3127" i="15"/>
  <c r="E3127" i="15"/>
  <c r="F3127" i="15"/>
  <c r="G3127" i="15"/>
  <c r="H3127" i="15"/>
  <c r="I3127" i="15"/>
  <c r="J3127" i="15"/>
  <c r="K3127" i="15"/>
  <c r="L3127" i="15"/>
  <c r="M3127" i="15"/>
  <c r="N3127" i="15"/>
  <c r="A3128" i="15"/>
  <c r="B3128" i="15"/>
  <c r="C3128" i="15"/>
  <c r="D3128" i="15"/>
  <c r="E3128" i="15"/>
  <c r="F3128" i="15"/>
  <c r="G3128" i="15"/>
  <c r="H3128" i="15"/>
  <c r="I3128" i="15"/>
  <c r="J3128" i="15"/>
  <c r="K3128" i="15"/>
  <c r="L3128" i="15"/>
  <c r="M3128" i="15"/>
  <c r="N3128" i="15"/>
  <c r="A3129" i="15"/>
  <c r="B3129" i="15"/>
  <c r="C3129" i="15"/>
  <c r="D3129" i="15"/>
  <c r="E3129" i="15"/>
  <c r="F3129" i="15"/>
  <c r="G3129" i="15"/>
  <c r="H3129" i="15"/>
  <c r="I3129" i="15"/>
  <c r="J3129" i="15"/>
  <c r="K3129" i="15"/>
  <c r="L3129" i="15"/>
  <c r="M3129" i="15"/>
  <c r="N3129" i="15"/>
  <c r="A3130" i="15"/>
  <c r="B3130" i="15"/>
  <c r="C3130" i="15"/>
  <c r="D3130" i="15"/>
  <c r="E3130" i="15"/>
  <c r="F3130" i="15"/>
  <c r="G3130" i="15"/>
  <c r="H3130" i="15"/>
  <c r="I3130" i="15"/>
  <c r="J3130" i="15"/>
  <c r="K3130" i="15"/>
  <c r="L3130" i="15"/>
  <c r="M3130" i="15"/>
  <c r="N3130" i="15"/>
  <c r="A3131" i="15"/>
  <c r="B3131" i="15"/>
  <c r="C3131" i="15"/>
  <c r="D3131" i="15"/>
  <c r="E3131" i="15"/>
  <c r="F3131" i="15"/>
  <c r="G3131" i="15"/>
  <c r="H3131" i="15"/>
  <c r="I3131" i="15"/>
  <c r="J3131" i="15"/>
  <c r="K3131" i="15"/>
  <c r="L3131" i="15"/>
  <c r="M3131" i="15"/>
  <c r="N3131" i="15"/>
  <c r="A3132" i="15"/>
  <c r="B3132" i="15"/>
  <c r="C3132" i="15"/>
  <c r="D3132" i="15"/>
  <c r="E3132" i="15"/>
  <c r="F3132" i="15"/>
  <c r="G3132" i="15"/>
  <c r="H3132" i="15"/>
  <c r="I3132" i="15"/>
  <c r="J3132" i="15"/>
  <c r="K3132" i="15"/>
  <c r="L3132" i="15"/>
  <c r="M3132" i="15"/>
  <c r="N3132" i="15"/>
  <c r="A3133" i="15"/>
  <c r="B3133" i="15"/>
  <c r="C3133" i="15"/>
  <c r="D3133" i="15"/>
  <c r="E3133" i="15"/>
  <c r="F3133" i="15"/>
  <c r="G3133" i="15"/>
  <c r="H3133" i="15"/>
  <c r="I3133" i="15"/>
  <c r="J3133" i="15"/>
  <c r="K3133" i="15"/>
  <c r="L3133" i="15"/>
  <c r="M3133" i="15"/>
  <c r="N3133" i="15"/>
  <c r="A3134" i="15"/>
  <c r="B3134" i="15"/>
  <c r="C3134" i="15"/>
  <c r="D3134" i="15"/>
  <c r="E3134" i="15"/>
  <c r="F3134" i="15"/>
  <c r="G3134" i="15"/>
  <c r="H3134" i="15"/>
  <c r="I3134" i="15"/>
  <c r="J3134" i="15"/>
  <c r="K3134" i="15"/>
  <c r="L3134" i="15"/>
  <c r="M3134" i="15"/>
  <c r="N3134" i="15"/>
  <c r="A3135" i="15"/>
  <c r="B3135" i="15"/>
  <c r="C3135" i="15"/>
  <c r="D3135" i="15"/>
  <c r="E3135" i="15"/>
  <c r="F3135" i="15"/>
  <c r="G3135" i="15"/>
  <c r="H3135" i="15"/>
  <c r="I3135" i="15"/>
  <c r="J3135" i="15"/>
  <c r="K3135" i="15"/>
  <c r="L3135" i="15"/>
  <c r="M3135" i="15"/>
  <c r="N3135" i="15"/>
  <c r="A3136" i="15"/>
  <c r="B3136" i="15"/>
  <c r="C3136" i="15"/>
  <c r="D3136" i="15"/>
  <c r="E3136" i="15"/>
  <c r="F3136" i="15"/>
  <c r="G3136" i="15"/>
  <c r="H3136" i="15"/>
  <c r="I3136" i="15"/>
  <c r="J3136" i="15"/>
  <c r="K3136" i="15"/>
  <c r="L3136" i="15"/>
  <c r="M3136" i="15"/>
  <c r="N3136" i="15"/>
  <c r="A3137" i="15"/>
  <c r="B3137" i="15"/>
  <c r="C3137" i="15"/>
  <c r="D3137" i="15"/>
  <c r="E3137" i="15"/>
  <c r="F3137" i="15"/>
  <c r="G3137" i="15"/>
  <c r="H3137" i="15"/>
  <c r="I3137" i="15"/>
  <c r="J3137" i="15"/>
  <c r="K3137" i="15"/>
  <c r="L3137" i="15"/>
  <c r="M3137" i="15"/>
  <c r="N3137" i="15"/>
  <c r="A3138" i="15"/>
  <c r="B3138" i="15"/>
  <c r="C3138" i="15"/>
  <c r="D3138" i="15"/>
  <c r="E3138" i="15"/>
  <c r="F3138" i="15"/>
  <c r="G3138" i="15"/>
  <c r="H3138" i="15"/>
  <c r="I3138" i="15"/>
  <c r="J3138" i="15"/>
  <c r="K3138" i="15"/>
  <c r="L3138" i="15"/>
  <c r="M3138" i="15"/>
  <c r="N3138" i="15"/>
  <c r="A3139" i="15"/>
  <c r="B3139" i="15"/>
  <c r="C3139" i="15"/>
  <c r="D3139" i="15"/>
  <c r="E3139" i="15"/>
  <c r="F3139" i="15"/>
  <c r="G3139" i="15"/>
  <c r="H3139" i="15"/>
  <c r="I3139" i="15"/>
  <c r="J3139" i="15"/>
  <c r="K3139" i="15"/>
  <c r="L3139" i="15"/>
  <c r="M3139" i="15"/>
  <c r="N3139" i="15"/>
  <c r="A3140" i="15"/>
  <c r="B3140" i="15"/>
  <c r="C3140" i="15"/>
  <c r="D3140" i="15"/>
  <c r="E3140" i="15"/>
  <c r="F3140" i="15"/>
  <c r="G3140" i="15"/>
  <c r="H3140" i="15"/>
  <c r="I3140" i="15"/>
  <c r="J3140" i="15"/>
  <c r="K3140" i="15"/>
  <c r="L3140" i="15"/>
  <c r="M3140" i="15"/>
  <c r="N3140" i="15"/>
  <c r="A3141" i="15"/>
  <c r="B3141" i="15"/>
  <c r="C3141" i="15"/>
  <c r="D3141" i="15"/>
  <c r="E3141" i="15"/>
  <c r="F3141" i="15"/>
  <c r="G3141" i="15"/>
  <c r="H3141" i="15"/>
  <c r="I3141" i="15"/>
  <c r="J3141" i="15"/>
  <c r="K3141" i="15"/>
  <c r="L3141" i="15"/>
  <c r="M3141" i="15"/>
  <c r="N3141" i="15"/>
  <c r="A3142" i="15"/>
  <c r="B3142" i="15"/>
  <c r="C3142" i="15"/>
  <c r="D3142" i="15"/>
  <c r="E3142" i="15"/>
  <c r="F3142" i="15"/>
  <c r="G3142" i="15"/>
  <c r="H3142" i="15"/>
  <c r="I3142" i="15"/>
  <c r="J3142" i="15"/>
  <c r="K3142" i="15"/>
  <c r="L3142" i="15"/>
  <c r="M3142" i="15"/>
  <c r="N3142" i="15"/>
  <c r="A3143" i="15"/>
  <c r="B3143" i="15"/>
  <c r="C3143" i="15"/>
  <c r="D3143" i="15"/>
  <c r="E3143" i="15"/>
  <c r="F3143" i="15"/>
  <c r="G3143" i="15"/>
  <c r="H3143" i="15"/>
  <c r="I3143" i="15"/>
  <c r="J3143" i="15"/>
  <c r="K3143" i="15"/>
  <c r="L3143" i="15"/>
  <c r="M3143" i="15"/>
  <c r="N3143" i="15"/>
  <c r="A3144" i="15"/>
  <c r="B3144" i="15"/>
  <c r="C3144" i="15"/>
  <c r="D3144" i="15"/>
  <c r="E3144" i="15"/>
  <c r="F3144" i="15"/>
  <c r="G3144" i="15"/>
  <c r="H3144" i="15"/>
  <c r="I3144" i="15"/>
  <c r="J3144" i="15"/>
  <c r="K3144" i="15"/>
  <c r="L3144" i="15"/>
  <c r="M3144" i="15"/>
  <c r="N3144" i="15"/>
  <c r="A3145" i="15"/>
  <c r="B3145" i="15"/>
  <c r="C3145" i="15"/>
  <c r="D3145" i="15"/>
  <c r="E3145" i="15"/>
  <c r="F3145" i="15"/>
  <c r="G3145" i="15"/>
  <c r="H3145" i="15"/>
  <c r="I3145" i="15"/>
  <c r="J3145" i="15"/>
  <c r="K3145" i="15"/>
  <c r="L3145" i="15"/>
  <c r="M3145" i="15"/>
  <c r="N3145" i="15"/>
  <c r="A3146" i="15"/>
  <c r="B3146" i="15"/>
  <c r="C3146" i="15"/>
  <c r="D3146" i="15"/>
  <c r="E3146" i="15"/>
  <c r="F3146" i="15"/>
  <c r="G3146" i="15"/>
  <c r="H3146" i="15"/>
  <c r="I3146" i="15"/>
  <c r="J3146" i="15"/>
  <c r="K3146" i="15"/>
  <c r="L3146" i="15"/>
  <c r="M3146" i="15"/>
  <c r="N3146" i="15"/>
  <c r="A3147" i="15"/>
  <c r="B3147" i="15"/>
  <c r="C3147" i="15"/>
  <c r="D3147" i="15"/>
  <c r="E3147" i="15"/>
  <c r="F3147" i="15"/>
  <c r="G3147" i="15"/>
  <c r="H3147" i="15"/>
  <c r="I3147" i="15"/>
  <c r="J3147" i="15"/>
  <c r="K3147" i="15"/>
  <c r="L3147" i="15"/>
  <c r="M3147" i="15"/>
  <c r="N3147" i="15"/>
  <c r="A3148" i="15"/>
  <c r="B3148" i="15"/>
  <c r="C3148" i="15"/>
  <c r="D3148" i="15"/>
  <c r="E3148" i="15"/>
  <c r="F3148" i="15"/>
  <c r="G3148" i="15"/>
  <c r="H3148" i="15"/>
  <c r="I3148" i="15"/>
  <c r="J3148" i="15"/>
  <c r="K3148" i="15"/>
  <c r="L3148" i="15"/>
  <c r="M3148" i="15"/>
  <c r="N3148" i="15"/>
  <c r="A3149" i="15"/>
  <c r="B3149" i="15"/>
  <c r="C3149" i="15"/>
  <c r="D3149" i="15"/>
  <c r="E3149" i="15"/>
  <c r="F3149" i="15"/>
  <c r="G3149" i="15"/>
  <c r="H3149" i="15"/>
  <c r="I3149" i="15"/>
  <c r="J3149" i="15"/>
  <c r="K3149" i="15"/>
  <c r="L3149" i="15"/>
  <c r="M3149" i="15"/>
  <c r="N3149" i="15"/>
  <c r="A3150" i="15"/>
  <c r="B3150" i="15"/>
  <c r="C3150" i="15"/>
  <c r="D3150" i="15"/>
  <c r="E3150" i="15"/>
  <c r="F3150" i="15"/>
  <c r="G3150" i="15"/>
  <c r="H3150" i="15"/>
  <c r="I3150" i="15"/>
  <c r="J3150" i="15"/>
  <c r="K3150" i="15"/>
  <c r="L3150" i="15"/>
  <c r="M3150" i="15"/>
  <c r="N3150" i="15"/>
  <c r="A3151" i="15"/>
  <c r="B3151" i="15"/>
  <c r="C3151" i="15"/>
  <c r="D3151" i="15"/>
  <c r="E3151" i="15"/>
  <c r="F3151" i="15"/>
  <c r="G3151" i="15"/>
  <c r="H3151" i="15"/>
  <c r="I3151" i="15"/>
  <c r="J3151" i="15"/>
  <c r="K3151" i="15"/>
  <c r="L3151" i="15"/>
  <c r="M3151" i="15"/>
  <c r="N3151" i="15"/>
  <c r="A3152" i="15"/>
  <c r="B3152" i="15"/>
  <c r="C3152" i="15"/>
  <c r="D3152" i="15"/>
  <c r="E3152" i="15"/>
  <c r="F3152" i="15"/>
  <c r="G3152" i="15"/>
  <c r="H3152" i="15"/>
  <c r="I3152" i="15"/>
  <c r="J3152" i="15"/>
  <c r="K3152" i="15"/>
  <c r="L3152" i="15"/>
  <c r="M3152" i="15"/>
  <c r="N3152" i="15"/>
  <c r="A3153" i="15"/>
  <c r="B3153" i="15"/>
  <c r="C3153" i="15"/>
  <c r="D3153" i="15"/>
  <c r="E3153" i="15"/>
  <c r="F3153" i="15"/>
  <c r="G3153" i="15"/>
  <c r="H3153" i="15"/>
  <c r="I3153" i="15"/>
  <c r="J3153" i="15"/>
  <c r="K3153" i="15"/>
  <c r="L3153" i="15"/>
  <c r="M3153" i="15"/>
  <c r="N3153" i="15"/>
  <c r="A3154" i="15"/>
  <c r="B3154" i="15"/>
  <c r="C3154" i="15"/>
  <c r="D3154" i="15"/>
  <c r="E3154" i="15"/>
  <c r="F3154" i="15"/>
  <c r="G3154" i="15"/>
  <c r="H3154" i="15"/>
  <c r="I3154" i="15"/>
  <c r="J3154" i="15"/>
  <c r="K3154" i="15"/>
  <c r="L3154" i="15"/>
  <c r="M3154" i="15"/>
  <c r="N3154" i="15"/>
  <c r="A3155" i="15"/>
  <c r="B3155" i="15"/>
  <c r="C3155" i="15"/>
  <c r="D3155" i="15"/>
  <c r="E3155" i="15"/>
  <c r="F3155" i="15"/>
  <c r="G3155" i="15"/>
  <c r="H3155" i="15"/>
  <c r="I3155" i="15"/>
  <c r="J3155" i="15"/>
  <c r="K3155" i="15"/>
  <c r="L3155" i="15"/>
  <c r="M3155" i="15"/>
  <c r="N3155" i="15"/>
  <c r="A3156" i="15"/>
  <c r="B3156" i="15"/>
  <c r="C3156" i="15"/>
  <c r="D3156" i="15"/>
  <c r="E3156" i="15"/>
  <c r="F3156" i="15"/>
  <c r="G3156" i="15"/>
  <c r="H3156" i="15"/>
  <c r="I3156" i="15"/>
  <c r="J3156" i="15"/>
  <c r="K3156" i="15"/>
  <c r="L3156" i="15"/>
  <c r="M3156" i="15"/>
  <c r="N3156" i="15"/>
  <c r="A3157" i="15"/>
  <c r="B3157" i="15"/>
  <c r="C3157" i="15"/>
  <c r="D3157" i="15"/>
  <c r="E3157" i="15"/>
  <c r="F3157" i="15"/>
  <c r="G3157" i="15"/>
  <c r="H3157" i="15"/>
  <c r="I3157" i="15"/>
  <c r="J3157" i="15"/>
  <c r="K3157" i="15"/>
  <c r="L3157" i="15"/>
  <c r="M3157" i="15"/>
  <c r="N3157" i="15"/>
  <c r="A3158" i="15"/>
  <c r="B3158" i="15"/>
  <c r="C3158" i="15"/>
  <c r="D3158" i="15"/>
  <c r="E3158" i="15"/>
  <c r="F3158" i="15"/>
  <c r="G3158" i="15"/>
  <c r="H3158" i="15"/>
  <c r="I3158" i="15"/>
  <c r="J3158" i="15"/>
  <c r="K3158" i="15"/>
  <c r="L3158" i="15"/>
  <c r="M3158" i="15"/>
  <c r="N3158" i="15"/>
  <c r="A3159" i="15"/>
  <c r="B3159" i="15"/>
  <c r="C3159" i="15"/>
  <c r="D3159" i="15"/>
  <c r="E3159" i="15"/>
  <c r="F3159" i="15"/>
  <c r="G3159" i="15"/>
  <c r="H3159" i="15"/>
  <c r="I3159" i="15"/>
  <c r="J3159" i="15"/>
  <c r="K3159" i="15"/>
  <c r="L3159" i="15"/>
  <c r="M3159" i="15"/>
  <c r="N3159" i="15"/>
  <c r="A3160" i="15"/>
  <c r="B3160" i="15"/>
  <c r="C3160" i="15"/>
  <c r="D3160" i="15"/>
  <c r="E3160" i="15"/>
  <c r="F3160" i="15"/>
  <c r="G3160" i="15"/>
  <c r="H3160" i="15"/>
  <c r="I3160" i="15"/>
  <c r="J3160" i="15"/>
  <c r="K3160" i="15"/>
  <c r="L3160" i="15"/>
  <c r="M3160" i="15"/>
  <c r="N3160" i="15"/>
  <c r="A3161" i="15"/>
  <c r="B3161" i="15"/>
  <c r="C3161" i="15"/>
  <c r="D3161" i="15"/>
  <c r="E3161" i="15"/>
  <c r="F3161" i="15"/>
  <c r="G3161" i="15"/>
  <c r="H3161" i="15"/>
  <c r="I3161" i="15"/>
  <c r="J3161" i="15"/>
  <c r="K3161" i="15"/>
  <c r="L3161" i="15"/>
  <c r="M3161" i="15"/>
  <c r="N3161" i="15"/>
  <c r="A3162" i="15"/>
  <c r="B3162" i="15"/>
  <c r="C3162" i="15"/>
  <c r="D3162" i="15"/>
  <c r="E3162" i="15"/>
  <c r="F3162" i="15"/>
  <c r="G3162" i="15"/>
  <c r="H3162" i="15"/>
  <c r="I3162" i="15"/>
  <c r="J3162" i="15"/>
  <c r="K3162" i="15"/>
  <c r="L3162" i="15"/>
  <c r="M3162" i="15"/>
  <c r="N3162" i="15"/>
  <c r="A3163" i="15"/>
  <c r="B3163" i="15"/>
  <c r="C3163" i="15"/>
  <c r="D3163" i="15"/>
  <c r="E3163" i="15"/>
  <c r="F3163" i="15"/>
  <c r="G3163" i="15"/>
  <c r="H3163" i="15"/>
  <c r="I3163" i="15"/>
  <c r="J3163" i="15"/>
  <c r="K3163" i="15"/>
  <c r="L3163" i="15"/>
  <c r="M3163" i="15"/>
  <c r="N3163" i="15"/>
  <c r="A3164" i="15"/>
  <c r="B3164" i="15"/>
  <c r="C3164" i="15"/>
  <c r="D3164" i="15"/>
  <c r="E3164" i="15"/>
  <c r="F3164" i="15"/>
  <c r="G3164" i="15"/>
  <c r="H3164" i="15"/>
  <c r="I3164" i="15"/>
  <c r="J3164" i="15"/>
  <c r="K3164" i="15"/>
  <c r="L3164" i="15"/>
  <c r="M3164" i="15"/>
  <c r="N3164" i="15"/>
  <c r="A3165" i="15"/>
  <c r="B3165" i="15"/>
  <c r="C3165" i="15"/>
  <c r="D3165" i="15"/>
  <c r="E3165" i="15"/>
  <c r="F3165" i="15"/>
  <c r="G3165" i="15"/>
  <c r="H3165" i="15"/>
  <c r="I3165" i="15"/>
  <c r="J3165" i="15"/>
  <c r="K3165" i="15"/>
  <c r="L3165" i="15"/>
  <c r="M3165" i="15"/>
  <c r="N3165" i="15"/>
  <c r="A3166" i="15"/>
  <c r="B3166" i="15"/>
  <c r="C3166" i="15"/>
  <c r="D3166" i="15"/>
  <c r="E3166" i="15"/>
  <c r="F3166" i="15"/>
  <c r="G3166" i="15"/>
  <c r="H3166" i="15"/>
  <c r="I3166" i="15"/>
  <c r="J3166" i="15"/>
  <c r="K3166" i="15"/>
  <c r="L3166" i="15"/>
  <c r="M3166" i="15"/>
  <c r="N3166" i="15"/>
  <c r="A3167" i="15"/>
  <c r="B3167" i="15"/>
  <c r="C3167" i="15"/>
  <c r="D3167" i="15"/>
  <c r="E3167" i="15"/>
  <c r="F3167" i="15"/>
  <c r="G3167" i="15"/>
  <c r="H3167" i="15"/>
  <c r="I3167" i="15"/>
  <c r="J3167" i="15"/>
  <c r="K3167" i="15"/>
  <c r="L3167" i="15"/>
  <c r="M3167" i="15"/>
  <c r="N3167" i="15"/>
  <c r="A3168" i="15"/>
  <c r="B3168" i="15"/>
  <c r="C3168" i="15"/>
  <c r="D3168" i="15"/>
  <c r="E3168" i="15"/>
  <c r="F3168" i="15"/>
  <c r="G3168" i="15"/>
  <c r="H3168" i="15"/>
  <c r="I3168" i="15"/>
  <c r="J3168" i="15"/>
  <c r="K3168" i="15"/>
  <c r="L3168" i="15"/>
  <c r="M3168" i="15"/>
  <c r="N3168" i="15"/>
  <c r="A3169" i="15"/>
  <c r="B3169" i="15"/>
  <c r="C3169" i="15"/>
  <c r="D3169" i="15"/>
  <c r="E3169" i="15"/>
  <c r="F3169" i="15"/>
  <c r="G3169" i="15"/>
  <c r="H3169" i="15"/>
  <c r="I3169" i="15"/>
  <c r="J3169" i="15"/>
  <c r="K3169" i="15"/>
  <c r="L3169" i="15"/>
  <c r="M3169" i="15"/>
  <c r="N3169" i="15"/>
  <c r="A3170" i="15"/>
  <c r="B3170" i="15"/>
  <c r="C3170" i="15"/>
  <c r="D3170" i="15"/>
  <c r="E3170" i="15"/>
  <c r="F3170" i="15"/>
  <c r="G3170" i="15"/>
  <c r="H3170" i="15"/>
  <c r="I3170" i="15"/>
  <c r="J3170" i="15"/>
  <c r="K3170" i="15"/>
  <c r="L3170" i="15"/>
  <c r="M3170" i="15"/>
  <c r="N3170" i="15"/>
  <c r="A3171" i="15"/>
  <c r="B3171" i="15"/>
  <c r="C3171" i="15"/>
  <c r="D3171" i="15"/>
  <c r="E3171" i="15"/>
  <c r="F3171" i="15"/>
  <c r="G3171" i="15"/>
  <c r="H3171" i="15"/>
  <c r="I3171" i="15"/>
  <c r="J3171" i="15"/>
  <c r="K3171" i="15"/>
  <c r="L3171" i="15"/>
  <c r="M3171" i="15"/>
  <c r="N3171" i="15"/>
  <c r="A3172" i="15"/>
  <c r="B3172" i="15"/>
  <c r="C3172" i="15"/>
  <c r="D3172" i="15"/>
  <c r="E3172" i="15"/>
  <c r="F3172" i="15"/>
  <c r="G3172" i="15"/>
  <c r="H3172" i="15"/>
  <c r="I3172" i="15"/>
  <c r="J3172" i="15"/>
  <c r="K3172" i="15"/>
  <c r="L3172" i="15"/>
  <c r="M3172" i="15"/>
  <c r="N3172" i="15"/>
  <c r="A3173" i="15"/>
  <c r="B3173" i="15"/>
  <c r="C3173" i="15"/>
  <c r="D3173" i="15"/>
  <c r="E3173" i="15"/>
  <c r="F3173" i="15"/>
  <c r="G3173" i="15"/>
  <c r="H3173" i="15"/>
  <c r="I3173" i="15"/>
  <c r="J3173" i="15"/>
  <c r="K3173" i="15"/>
  <c r="L3173" i="15"/>
  <c r="M3173" i="15"/>
  <c r="N3173" i="15"/>
  <c r="A3174" i="15"/>
  <c r="B3174" i="15"/>
  <c r="C3174" i="15"/>
  <c r="D3174" i="15"/>
  <c r="E3174" i="15"/>
  <c r="F3174" i="15"/>
  <c r="G3174" i="15"/>
  <c r="H3174" i="15"/>
  <c r="I3174" i="15"/>
  <c r="J3174" i="15"/>
  <c r="K3174" i="15"/>
  <c r="L3174" i="15"/>
  <c r="M3174" i="15"/>
  <c r="N3174" i="15"/>
  <c r="A3175" i="15"/>
  <c r="B3175" i="15"/>
  <c r="C3175" i="15"/>
  <c r="D3175" i="15"/>
  <c r="E3175" i="15"/>
  <c r="F3175" i="15"/>
  <c r="G3175" i="15"/>
  <c r="H3175" i="15"/>
  <c r="I3175" i="15"/>
  <c r="J3175" i="15"/>
  <c r="K3175" i="15"/>
  <c r="L3175" i="15"/>
  <c r="M3175" i="15"/>
  <c r="N3175" i="15"/>
  <c r="A3176" i="15"/>
  <c r="B3176" i="15"/>
  <c r="C3176" i="15"/>
  <c r="D3176" i="15"/>
  <c r="E3176" i="15"/>
  <c r="F3176" i="15"/>
  <c r="G3176" i="15"/>
  <c r="H3176" i="15"/>
  <c r="I3176" i="15"/>
  <c r="J3176" i="15"/>
  <c r="K3176" i="15"/>
  <c r="L3176" i="15"/>
  <c r="M3176" i="15"/>
  <c r="N3176" i="15"/>
  <c r="A3177" i="15"/>
  <c r="B3177" i="15"/>
  <c r="C3177" i="15"/>
  <c r="D3177" i="15"/>
  <c r="E3177" i="15"/>
  <c r="F3177" i="15"/>
  <c r="G3177" i="15"/>
  <c r="H3177" i="15"/>
  <c r="I3177" i="15"/>
  <c r="J3177" i="15"/>
  <c r="K3177" i="15"/>
  <c r="L3177" i="15"/>
  <c r="M3177" i="15"/>
  <c r="N3177" i="15"/>
  <c r="A3178" i="15"/>
  <c r="B3178" i="15"/>
  <c r="C3178" i="15"/>
  <c r="D3178" i="15"/>
  <c r="E3178" i="15"/>
  <c r="F3178" i="15"/>
  <c r="G3178" i="15"/>
  <c r="H3178" i="15"/>
  <c r="I3178" i="15"/>
  <c r="J3178" i="15"/>
  <c r="K3178" i="15"/>
  <c r="L3178" i="15"/>
  <c r="M3178" i="15"/>
  <c r="N3178" i="15"/>
  <c r="A3179" i="15"/>
  <c r="B3179" i="15"/>
  <c r="C3179" i="15"/>
  <c r="D3179" i="15"/>
  <c r="E3179" i="15"/>
  <c r="F3179" i="15"/>
  <c r="G3179" i="15"/>
  <c r="H3179" i="15"/>
  <c r="I3179" i="15"/>
  <c r="J3179" i="15"/>
  <c r="K3179" i="15"/>
  <c r="L3179" i="15"/>
  <c r="M3179" i="15"/>
  <c r="N3179" i="15"/>
  <c r="A3180" i="15"/>
  <c r="B3180" i="15"/>
  <c r="C3180" i="15"/>
  <c r="D3180" i="15"/>
  <c r="E3180" i="15"/>
  <c r="F3180" i="15"/>
  <c r="G3180" i="15"/>
  <c r="H3180" i="15"/>
  <c r="I3180" i="15"/>
  <c r="J3180" i="15"/>
  <c r="K3180" i="15"/>
  <c r="L3180" i="15"/>
  <c r="M3180" i="15"/>
  <c r="N3180" i="15"/>
  <c r="A3181" i="15"/>
  <c r="B3181" i="15"/>
  <c r="C3181" i="15"/>
  <c r="D3181" i="15"/>
  <c r="E3181" i="15"/>
  <c r="F3181" i="15"/>
  <c r="G3181" i="15"/>
  <c r="H3181" i="15"/>
  <c r="I3181" i="15"/>
  <c r="J3181" i="15"/>
  <c r="K3181" i="15"/>
  <c r="L3181" i="15"/>
  <c r="M3181" i="15"/>
  <c r="N3181" i="15"/>
  <c r="A3182" i="15"/>
  <c r="B3182" i="15"/>
  <c r="C3182" i="15"/>
  <c r="D3182" i="15"/>
  <c r="E3182" i="15"/>
  <c r="F3182" i="15"/>
  <c r="G3182" i="15"/>
  <c r="H3182" i="15"/>
  <c r="I3182" i="15"/>
  <c r="J3182" i="15"/>
  <c r="K3182" i="15"/>
  <c r="L3182" i="15"/>
  <c r="M3182" i="15"/>
  <c r="N3182" i="15"/>
  <c r="A3183" i="15"/>
  <c r="B3183" i="15"/>
  <c r="C3183" i="15"/>
  <c r="D3183" i="15"/>
  <c r="E3183" i="15"/>
  <c r="F3183" i="15"/>
  <c r="G3183" i="15"/>
  <c r="H3183" i="15"/>
  <c r="I3183" i="15"/>
  <c r="J3183" i="15"/>
  <c r="K3183" i="15"/>
  <c r="L3183" i="15"/>
  <c r="M3183" i="15"/>
  <c r="N3183" i="15"/>
  <c r="A3184" i="15"/>
  <c r="B3184" i="15"/>
  <c r="C3184" i="15"/>
  <c r="D3184" i="15"/>
  <c r="E3184" i="15"/>
  <c r="F3184" i="15"/>
  <c r="G3184" i="15"/>
  <c r="H3184" i="15"/>
  <c r="I3184" i="15"/>
  <c r="J3184" i="15"/>
  <c r="K3184" i="15"/>
  <c r="L3184" i="15"/>
  <c r="M3184" i="15"/>
  <c r="N3184" i="15"/>
  <c r="A3185" i="15"/>
  <c r="B3185" i="15"/>
  <c r="C3185" i="15"/>
  <c r="D3185" i="15"/>
  <c r="E3185" i="15"/>
  <c r="F3185" i="15"/>
  <c r="G3185" i="15"/>
  <c r="H3185" i="15"/>
  <c r="I3185" i="15"/>
  <c r="J3185" i="15"/>
  <c r="K3185" i="15"/>
  <c r="L3185" i="15"/>
  <c r="M3185" i="15"/>
  <c r="N3185" i="15"/>
  <c r="A3186" i="15"/>
  <c r="B3186" i="15"/>
  <c r="C3186" i="15"/>
  <c r="D3186" i="15"/>
  <c r="E3186" i="15"/>
  <c r="F3186" i="15"/>
  <c r="G3186" i="15"/>
  <c r="H3186" i="15"/>
  <c r="I3186" i="15"/>
  <c r="J3186" i="15"/>
  <c r="K3186" i="15"/>
  <c r="L3186" i="15"/>
  <c r="M3186" i="15"/>
  <c r="N3186" i="15"/>
  <c r="A3187" i="15"/>
  <c r="B3187" i="15"/>
  <c r="C3187" i="15"/>
  <c r="D3187" i="15"/>
  <c r="E3187" i="15"/>
  <c r="F3187" i="15"/>
  <c r="G3187" i="15"/>
  <c r="H3187" i="15"/>
  <c r="I3187" i="15"/>
  <c r="J3187" i="15"/>
  <c r="K3187" i="15"/>
  <c r="L3187" i="15"/>
  <c r="M3187" i="15"/>
  <c r="N3187" i="15"/>
  <c r="A3188" i="15"/>
  <c r="B3188" i="15"/>
  <c r="C3188" i="15"/>
  <c r="D3188" i="15"/>
  <c r="E3188" i="15"/>
  <c r="F3188" i="15"/>
  <c r="G3188" i="15"/>
  <c r="H3188" i="15"/>
  <c r="I3188" i="15"/>
  <c r="J3188" i="15"/>
  <c r="K3188" i="15"/>
  <c r="L3188" i="15"/>
  <c r="M3188" i="15"/>
  <c r="N3188" i="15"/>
  <c r="A3189" i="15"/>
  <c r="B3189" i="15"/>
  <c r="C3189" i="15"/>
  <c r="D3189" i="15"/>
  <c r="E3189" i="15"/>
  <c r="F3189" i="15"/>
  <c r="G3189" i="15"/>
  <c r="H3189" i="15"/>
  <c r="I3189" i="15"/>
  <c r="J3189" i="15"/>
  <c r="K3189" i="15"/>
  <c r="L3189" i="15"/>
  <c r="M3189" i="15"/>
  <c r="N3189" i="15"/>
  <c r="A3190" i="15"/>
  <c r="B3190" i="15"/>
  <c r="C3190" i="15"/>
  <c r="D3190" i="15"/>
  <c r="E3190" i="15"/>
  <c r="F3190" i="15"/>
  <c r="G3190" i="15"/>
  <c r="H3190" i="15"/>
  <c r="I3190" i="15"/>
  <c r="J3190" i="15"/>
  <c r="K3190" i="15"/>
  <c r="L3190" i="15"/>
  <c r="M3190" i="15"/>
  <c r="N3190" i="15"/>
  <c r="A3191" i="15"/>
  <c r="B3191" i="15"/>
  <c r="C3191" i="15"/>
  <c r="D3191" i="15"/>
  <c r="E3191" i="15"/>
  <c r="F3191" i="15"/>
  <c r="G3191" i="15"/>
  <c r="H3191" i="15"/>
  <c r="I3191" i="15"/>
  <c r="J3191" i="15"/>
  <c r="K3191" i="15"/>
  <c r="L3191" i="15"/>
  <c r="M3191" i="15"/>
  <c r="N3191" i="15"/>
  <c r="A3192" i="15"/>
  <c r="B3192" i="15"/>
  <c r="C3192" i="15"/>
  <c r="D3192" i="15"/>
  <c r="E3192" i="15"/>
  <c r="F3192" i="15"/>
  <c r="G3192" i="15"/>
  <c r="H3192" i="15"/>
  <c r="I3192" i="15"/>
  <c r="J3192" i="15"/>
  <c r="K3192" i="15"/>
  <c r="L3192" i="15"/>
  <c r="M3192" i="15"/>
  <c r="N3192" i="15"/>
  <c r="A3193" i="15"/>
  <c r="B3193" i="15"/>
  <c r="C3193" i="15"/>
  <c r="D3193" i="15"/>
  <c r="E3193" i="15"/>
  <c r="F3193" i="15"/>
  <c r="G3193" i="15"/>
  <c r="H3193" i="15"/>
  <c r="I3193" i="15"/>
  <c r="J3193" i="15"/>
  <c r="K3193" i="15"/>
  <c r="L3193" i="15"/>
  <c r="M3193" i="15"/>
  <c r="N3193" i="15"/>
  <c r="A3194" i="15"/>
  <c r="B3194" i="15"/>
  <c r="C3194" i="15"/>
  <c r="D3194" i="15"/>
  <c r="E3194" i="15"/>
  <c r="F3194" i="15"/>
  <c r="G3194" i="15"/>
  <c r="H3194" i="15"/>
  <c r="I3194" i="15"/>
  <c r="J3194" i="15"/>
  <c r="K3194" i="15"/>
  <c r="L3194" i="15"/>
  <c r="M3194" i="15"/>
  <c r="N3194" i="15"/>
  <c r="A3195" i="15"/>
  <c r="B3195" i="15"/>
  <c r="C3195" i="15"/>
  <c r="D3195" i="15"/>
  <c r="E3195" i="15"/>
  <c r="F3195" i="15"/>
  <c r="G3195" i="15"/>
  <c r="H3195" i="15"/>
  <c r="I3195" i="15"/>
  <c r="J3195" i="15"/>
  <c r="K3195" i="15"/>
  <c r="L3195" i="15"/>
  <c r="M3195" i="15"/>
  <c r="N3195" i="15"/>
  <c r="A3196" i="15"/>
  <c r="B3196" i="15"/>
  <c r="C3196" i="15"/>
  <c r="D3196" i="15"/>
  <c r="E3196" i="15"/>
  <c r="F3196" i="15"/>
  <c r="G3196" i="15"/>
  <c r="H3196" i="15"/>
  <c r="I3196" i="15"/>
  <c r="J3196" i="15"/>
  <c r="K3196" i="15"/>
  <c r="L3196" i="15"/>
  <c r="M3196" i="15"/>
  <c r="N3196" i="15"/>
  <c r="A3197" i="15"/>
  <c r="B3197" i="15"/>
  <c r="C3197" i="15"/>
  <c r="D3197" i="15"/>
  <c r="E3197" i="15"/>
  <c r="F3197" i="15"/>
  <c r="G3197" i="15"/>
  <c r="H3197" i="15"/>
  <c r="I3197" i="15"/>
  <c r="J3197" i="15"/>
  <c r="K3197" i="15"/>
  <c r="L3197" i="15"/>
  <c r="M3197" i="15"/>
  <c r="N3197" i="15"/>
  <c r="A3198" i="15"/>
  <c r="B3198" i="15"/>
  <c r="C3198" i="15"/>
  <c r="D3198" i="15"/>
  <c r="E3198" i="15"/>
  <c r="F3198" i="15"/>
  <c r="G3198" i="15"/>
  <c r="H3198" i="15"/>
  <c r="I3198" i="15"/>
  <c r="J3198" i="15"/>
  <c r="K3198" i="15"/>
  <c r="L3198" i="15"/>
  <c r="M3198" i="15"/>
  <c r="N3198" i="15"/>
  <c r="A3199" i="15"/>
  <c r="B3199" i="15"/>
  <c r="C3199" i="15"/>
  <c r="D3199" i="15"/>
  <c r="E3199" i="15"/>
  <c r="F3199" i="15"/>
  <c r="G3199" i="15"/>
  <c r="H3199" i="15"/>
  <c r="I3199" i="15"/>
  <c r="J3199" i="15"/>
  <c r="K3199" i="15"/>
  <c r="L3199" i="15"/>
  <c r="M3199" i="15"/>
  <c r="N3199" i="15"/>
  <c r="A3200" i="15"/>
  <c r="B3200" i="15"/>
  <c r="C3200" i="15"/>
  <c r="D3200" i="15"/>
  <c r="E3200" i="15"/>
  <c r="F3200" i="15"/>
  <c r="G3200" i="15"/>
  <c r="H3200" i="15"/>
  <c r="I3200" i="15"/>
  <c r="J3200" i="15"/>
  <c r="K3200" i="15"/>
  <c r="L3200" i="15"/>
  <c r="M3200" i="15"/>
  <c r="N3200" i="15"/>
  <c r="A3201" i="15"/>
  <c r="B3201" i="15"/>
  <c r="C3201" i="15"/>
  <c r="D3201" i="15"/>
  <c r="E3201" i="15"/>
  <c r="F3201" i="15"/>
  <c r="G3201" i="15"/>
  <c r="H3201" i="15"/>
  <c r="I3201" i="15"/>
  <c r="J3201" i="15"/>
  <c r="K3201" i="15"/>
  <c r="L3201" i="15"/>
  <c r="M3201" i="15"/>
  <c r="N3201" i="15"/>
  <c r="A3202" i="15"/>
  <c r="B3202" i="15"/>
  <c r="C3202" i="15"/>
  <c r="D3202" i="15"/>
  <c r="E3202" i="15"/>
  <c r="F3202" i="15"/>
  <c r="G3202" i="15"/>
  <c r="H3202" i="15"/>
  <c r="I3202" i="15"/>
  <c r="J3202" i="15"/>
  <c r="K3202" i="15"/>
  <c r="L3202" i="15"/>
  <c r="M3202" i="15"/>
  <c r="N3202" i="15"/>
  <c r="A3203" i="15"/>
  <c r="B3203" i="15"/>
  <c r="C3203" i="15"/>
  <c r="D3203" i="15"/>
  <c r="E3203" i="15"/>
  <c r="F3203" i="15"/>
  <c r="G3203" i="15"/>
  <c r="H3203" i="15"/>
  <c r="I3203" i="15"/>
  <c r="J3203" i="15"/>
  <c r="K3203" i="15"/>
  <c r="L3203" i="15"/>
  <c r="M3203" i="15"/>
  <c r="N3203" i="15"/>
  <c r="A3204" i="15"/>
  <c r="B3204" i="15"/>
  <c r="C3204" i="15"/>
  <c r="D3204" i="15"/>
  <c r="E3204" i="15"/>
  <c r="F3204" i="15"/>
  <c r="G3204" i="15"/>
  <c r="H3204" i="15"/>
  <c r="I3204" i="15"/>
  <c r="J3204" i="15"/>
  <c r="K3204" i="15"/>
  <c r="L3204" i="15"/>
  <c r="M3204" i="15"/>
  <c r="N3204" i="15"/>
  <c r="A3205" i="15"/>
  <c r="B3205" i="15"/>
  <c r="C3205" i="15"/>
  <c r="D3205" i="15"/>
  <c r="E3205" i="15"/>
  <c r="F3205" i="15"/>
  <c r="G3205" i="15"/>
  <c r="H3205" i="15"/>
  <c r="I3205" i="15"/>
  <c r="J3205" i="15"/>
  <c r="K3205" i="15"/>
  <c r="L3205" i="15"/>
  <c r="M3205" i="15"/>
  <c r="N3205" i="15"/>
  <c r="A3206" i="15"/>
  <c r="B3206" i="15"/>
  <c r="C3206" i="15"/>
  <c r="D3206" i="15"/>
  <c r="E3206" i="15"/>
  <c r="F3206" i="15"/>
  <c r="G3206" i="15"/>
  <c r="H3206" i="15"/>
  <c r="I3206" i="15"/>
  <c r="J3206" i="15"/>
  <c r="K3206" i="15"/>
  <c r="L3206" i="15"/>
  <c r="M3206" i="15"/>
  <c r="N3206" i="15"/>
  <c r="A3207" i="15"/>
  <c r="B3207" i="15"/>
  <c r="C3207" i="15"/>
  <c r="D3207" i="15"/>
  <c r="E3207" i="15"/>
  <c r="F3207" i="15"/>
  <c r="G3207" i="15"/>
  <c r="H3207" i="15"/>
  <c r="I3207" i="15"/>
  <c r="J3207" i="15"/>
  <c r="K3207" i="15"/>
  <c r="L3207" i="15"/>
  <c r="M3207" i="15"/>
  <c r="N3207" i="15"/>
  <c r="A3208" i="15"/>
  <c r="B3208" i="15"/>
  <c r="C3208" i="15"/>
  <c r="D3208" i="15"/>
  <c r="E3208" i="15"/>
  <c r="F3208" i="15"/>
  <c r="G3208" i="15"/>
  <c r="H3208" i="15"/>
  <c r="I3208" i="15"/>
  <c r="J3208" i="15"/>
  <c r="K3208" i="15"/>
  <c r="L3208" i="15"/>
  <c r="M3208" i="15"/>
  <c r="N3208" i="15"/>
  <c r="A3209" i="15"/>
  <c r="B3209" i="15"/>
  <c r="C3209" i="15"/>
  <c r="D3209" i="15"/>
  <c r="E3209" i="15"/>
  <c r="F3209" i="15"/>
  <c r="G3209" i="15"/>
  <c r="H3209" i="15"/>
  <c r="I3209" i="15"/>
  <c r="J3209" i="15"/>
  <c r="K3209" i="15"/>
  <c r="L3209" i="15"/>
  <c r="M3209" i="15"/>
  <c r="N3209" i="15"/>
  <c r="A3210" i="15"/>
  <c r="B3210" i="15"/>
  <c r="C3210" i="15"/>
  <c r="D3210" i="15"/>
  <c r="E3210" i="15"/>
  <c r="F3210" i="15"/>
  <c r="G3210" i="15"/>
  <c r="H3210" i="15"/>
  <c r="I3210" i="15"/>
  <c r="J3210" i="15"/>
  <c r="K3210" i="15"/>
  <c r="L3210" i="15"/>
  <c r="M3210" i="15"/>
  <c r="N3210" i="15"/>
  <c r="A3211" i="15"/>
  <c r="B3211" i="15"/>
  <c r="C3211" i="15"/>
  <c r="D3211" i="15"/>
  <c r="E3211" i="15"/>
  <c r="F3211" i="15"/>
  <c r="G3211" i="15"/>
  <c r="H3211" i="15"/>
  <c r="I3211" i="15"/>
  <c r="J3211" i="15"/>
  <c r="K3211" i="15"/>
  <c r="L3211" i="15"/>
  <c r="M3211" i="15"/>
  <c r="N3211" i="15"/>
  <c r="A3212" i="15"/>
  <c r="B3212" i="15"/>
  <c r="C3212" i="15"/>
  <c r="D3212" i="15"/>
  <c r="E3212" i="15"/>
  <c r="F3212" i="15"/>
  <c r="G3212" i="15"/>
  <c r="H3212" i="15"/>
  <c r="I3212" i="15"/>
  <c r="J3212" i="15"/>
  <c r="K3212" i="15"/>
  <c r="L3212" i="15"/>
  <c r="M3212" i="15"/>
  <c r="N3212" i="15"/>
  <c r="A3213" i="15"/>
  <c r="B3213" i="15"/>
  <c r="C3213" i="15"/>
  <c r="D3213" i="15"/>
  <c r="E3213" i="15"/>
  <c r="F3213" i="15"/>
  <c r="G3213" i="15"/>
  <c r="H3213" i="15"/>
  <c r="I3213" i="15"/>
  <c r="J3213" i="15"/>
  <c r="K3213" i="15"/>
  <c r="L3213" i="15"/>
  <c r="M3213" i="15"/>
  <c r="N3213" i="15"/>
  <c r="A3214" i="15"/>
  <c r="B3214" i="15"/>
  <c r="C3214" i="15"/>
  <c r="D3214" i="15"/>
  <c r="E3214" i="15"/>
  <c r="F3214" i="15"/>
  <c r="G3214" i="15"/>
  <c r="H3214" i="15"/>
  <c r="I3214" i="15"/>
  <c r="J3214" i="15"/>
  <c r="K3214" i="15"/>
  <c r="L3214" i="15"/>
  <c r="M3214" i="15"/>
  <c r="N3214" i="15"/>
  <c r="A3215" i="15"/>
  <c r="B3215" i="15"/>
  <c r="C3215" i="15"/>
  <c r="D3215" i="15"/>
  <c r="E3215" i="15"/>
  <c r="F3215" i="15"/>
  <c r="G3215" i="15"/>
  <c r="H3215" i="15"/>
  <c r="I3215" i="15"/>
  <c r="J3215" i="15"/>
  <c r="K3215" i="15"/>
  <c r="L3215" i="15"/>
  <c r="M3215" i="15"/>
  <c r="N3215" i="15"/>
  <c r="A3216" i="15"/>
  <c r="B3216" i="15"/>
  <c r="C3216" i="15"/>
  <c r="D3216" i="15"/>
  <c r="E3216" i="15"/>
  <c r="F3216" i="15"/>
  <c r="G3216" i="15"/>
  <c r="H3216" i="15"/>
  <c r="I3216" i="15"/>
  <c r="J3216" i="15"/>
  <c r="K3216" i="15"/>
  <c r="L3216" i="15"/>
  <c r="M3216" i="15"/>
  <c r="N3216" i="15"/>
  <c r="A3217" i="15"/>
  <c r="B3217" i="15"/>
  <c r="C3217" i="15"/>
  <c r="D3217" i="15"/>
  <c r="E3217" i="15"/>
  <c r="F3217" i="15"/>
  <c r="G3217" i="15"/>
  <c r="H3217" i="15"/>
  <c r="I3217" i="15"/>
  <c r="J3217" i="15"/>
  <c r="K3217" i="15"/>
  <c r="L3217" i="15"/>
  <c r="M3217" i="15"/>
  <c r="N3217" i="15"/>
  <c r="A3218" i="15"/>
  <c r="B3218" i="15"/>
  <c r="C3218" i="15"/>
  <c r="D3218" i="15"/>
  <c r="E3218" i="15"/>
  <c r="F3218" i="15"/>
  <c r="G3218" i="15"/>
  <c r="H3218" i="15"/>
  <c r="I3218" i="15"/>
  <c r="J3218" i="15"/>
  <c r="K3218" i="15"/>
  <c r="L3218" i="15"/>
  <c r="M3218" i="15"/>
  <c r="N3218" i="15"/>
  <c r="A3219" i="15"/>
  <c r="B3219" i="15"/>
  <c r="C3219" i="15"/>
  <c r="D3219" i="15"/>
  <c r="E3219" i="15"/>
  <c r="F3219" i="15"/>
  <c r="G3219" i="15"/>
  <c r="H3219" i="15"/>
  <c r="I3219" i="15"/>
  <c r="J3219" i="15"/>
  <c r="K3219" i="15"/>
  <c r="L3219" i="15"/>
  <c r="M3219" i="15"/>
  <c r="N3219" i="15"/>
  <c r="A3220" i="15"/>
  <c r="B3220" i="15"/>
  <c r="C3220" i="15"/>
  <c r="D3220" i="15"/>
  <c r="E3220" i="15"/>
  <c r="F3220" i="15"/>
  <c r="G3220" i="15"/>
  <c r="H3220" i="15"/>
  <c r="I3220" i="15"/>
  <c r="J3220" i="15"/>
  <c r="K3220" i="15"/>
  <c r="L3220" i="15"/>
  <c r="M3220" i="15"/>
  <c r="N3220" i="15"/>
  <c r="A3221" i="15"/>
  <c r="B3221" i="15"/>
  <c r="C3221" i="15"/>
  <c r="D3221" i="15"/>
  <c r="E3221" i="15"/>
  <c r="F3221" i="15"/>
  <c r="G3221" i="15"/>
  <c r="H3221" i="15"/>
  <c r="I3221" i="15"/>
  <c r="J3221" i="15"/>
  <c r="K3221" i="15"/>
  <c r="L3221" i="15"/>
  <c r="M3221" i="15"/>
  <c r="N3221" i="15"/>
  <c r="A3222" i="15"/>
  <c r="B3222" i="15"/>
  <c r="C3222" i="15"/>
  <c r="D3222" i="15"/>
  <c r="E3222" i="15"/>
  <c r="F3222" i="15"/>
  <c r="G3222" i="15"/>
  <c r="H3222" i="15"/>
  <c r="I3222" i="15"/>
  <c r="J3222" i="15"/>
  <c r="K3222" i="15"/>
  <c r="L3222" i="15"/>
  <c r="M3222" i="15"/>
  <c r="N3222" i="15"/>
  <c r="A3223" i="15"/>
  <c r="B3223" i="15"/>
  <c r="C3223" i="15"/>
  <c r="D3223" i="15"/>
  <c r="E3223" i="15"/>
  <c r="F3223" i="15"/>
  <c r="G3223" i="15"/>
  <c r="H3223" i="15"/>
  <c r="I3223" i="15"/>
  <c r="J3223" i="15"/>
  <c r="K3223" i="15"/>
  <c r="L3223" i="15"/>
  <c r="M3223" i="15"/>
  <c r="N3223" i="15"/>
  <c r="A3224" i="15"/>
  <c r="B3224" i="15"/>
  <c r="C3224" i="15"/>
  <c r="D3224" i="15"/>
  <c r="E3224" i="15"/>
  <c r="F3224" i="15"/>
  <c r="G3224" i="15"/>
  <c r="H3224" i="15"/>
  <c r="I3224" i="15"/>
  <c r="J3224" i="15"/>
  <c r="K3224" i="15"/>
  <c r="L3224" i="15"/>
  <c r="M3224" i="15"/>
  <c r="N3224" i="15"/>
  <c r="A3225" i="15"/>
  <c r="B3225" i="15"/>
  <c r="C3225" i="15"/>
  <c r="D3225" i="15"/>
  <c r="E3225" i="15"/>
  <c r="F3225" i="15"/>
  <c r="G3225" i="15"/>
  <c r="H3225" i="15"/>
  <c r="I3225" i="15"/>
  <c r="J3225" i="15"/>
  <c r="K3225" i="15"/>
  <c r="L3225" i="15"/>
  <c r="M3225" i="15"/>
  <c r="N3225" i="15"/>
  <c r="A3226" i="15"/>
  <c r="B3226" i="15"/>
  <c r="C3226" i="15"/>
  <c r="D3226" i="15"/>
  <c r="E3226" i="15"/>
  <c r="F3226" i="15"/>
  <c r="G3226" i="15"/>
  <c r="H3226" i="15"/>
  <c r="I3226" i="15"/>
  <c r="J3226" i="15"/>
  <c r="K3226" i="15"/>
  <c r="L3226" i="15"/>
  <c r="M3226" i="15"/>
  <c r="N3226" i="15"/>
  <c r="A3227" i="15"/>
  <c r="B3227" i="15"/>
  <c r="C3227" i="15"/>
  <c r="D3227" i="15"/>
  <c r="E3227" i="15"/>
  <c r="F3227" i="15"/>
  <c r="G3227" i="15"/>
  <c r="H3227" i="15"/>
  <c r="I3227" i="15"/>
  <c r="J3227" i="15"/>
  <c r="K3227" i="15"/>
  <c r="L3227" i="15"/>
  <c r="M3227" i="15"/>
  <c r="N3227" i="15"/>
  <c r="A3228" i="15"/>
  <c r="B3228" i="15"/>
  <c r="C3228" i="15"/>
  <c r="D3228" i="15"/>
  <c r="E3228" i="15"/>
  <c r="F3228" i="15"/>
  <c r="G3228" i="15"/>
  <c r="H3228" i="15"/>
  <c r="I3228" i="15"/>
  <c r="J3228" i="15"/>
  <c r="K3228" i="15"/>
  <c r="L3228" i="15"/>
  <c r="M3228" i="15"/>
  <c r="N3228" i="15"/>
  <c r="A3229" i="15"/>
  <c r="B3229" i="15"/>
  <c r="C3229" i="15"/>
  <c r="D3229" i="15"/>
  <c r="E3229" i="15"/>
  <c r="F3229" i="15"/>
  <c r="G3229" i="15"/>
  <c r="H3229" i="15"/>
  <c r="I3229" i="15"/>
  <c r="J3229" i="15"/>
  <c r="K3229" i="15"/>
  <c r="L3229" i="15"/>
  <c r="M3229" i="15"/>
  <c r="N3229" i="15"/>
  <c r="A3230" i="15"/>
  <c r="B3230" i="15"/>
  <c r="C3230" i="15"/>
  <c r="D3230" i="15"/>
  <c r="E3230" i="15"/>
  <c r="F3230" i="15"/>
  <c r="G3230" i="15"/>
  <c r="H3230" i="15"/>
  <c r="I3230" i="15"/>
  <c r="J3230" i="15"/>
  <c r="K3230" i="15"/>
  <c r="L3230" i="15"/>
  <c r="M3230" i="15"/>
  <c r="N3230" i="15"/>
  <c r="A3231" i="15"/>
  <c r="B3231" i="15"/>
  <c r="C3231" i="15"/>
  <c r="D3231" i="15"/>
  <c r="E3231" i="15"/>
  <c r="F3231" i="15"/>
  <c r="G3231" i="15"/>
  <c r="H3231" i="15"/>
  <c r="I3231" i="15"/>
  <c r="J3231" i="15"/>
  <c r="K3231" i="15"/>
  <c r="L3231" i="15"/>
  <c r="M3231" i="15"/>
  <c r="N3231" i="15"/>
  <c r="A3232" i="15"/>
  <c r="B3232" i="15"/>
  <c r="C3232" i="15"/>
  <c r="D3232" i="15"/>
  <c r="E3232" i="15"/>
  <c r="F3232" i="15"/>
  <c r="G3232" i="15"/>
  <c r="H3232" i="15"/>
  <c r="I3232" i="15"/>
  <c r="J3232" i="15"/>
  <c r="K3232" i="15"/>
  <c r="L3232" i="15"/>
  <c r="M3232" i="15"/>
  <c r="N3232" i="15"/>
  <c r="A3233" i="15"/>
  <c r="B3233" i="15"/>
  <c r="C3233" i="15"/>
  <c r="D3233" i="15"/>
  <c r="E3233" i="15"/>
  <c r="F3233" i="15"/>
  <c r="G3233" i="15"/>
  <c r="H3233" i="15"/>
  <c r="I3233" i="15"/>
  <c r="J3233" i="15"/>
  <c r="K3233" i="15"/>
  <c r="L3233" i="15"/>
  <c r="M3233" i="15"/>
  <c r="N3233" i="15"/>
  <c r="A3234" i="15"/>
  <c r="B3234" i="15"/>
  <c r="C3234" i="15"/>
  <c r="D3234" i="15"/>
  <c r="E3234" i="15"/>
  <c r="F3234" i="15"/>
  <c r="G3234" i="15"/>
  <c r="H3234" i="15"/>
  <c r="I3234" i="15"/>
  <c r="J3234" i="15"/>
  <c r="K3234" i="15"/>
  <c r="L3234" i="15"/>
  <c r="M3234" i="15"/>
  <c r="N3234" i="15"/>
  <c r="A3235" i="15"/>
  <c r="B3235" i="15"/>
  <c r="C3235" i="15"/>
  <c r="D3235" i="15"/>
  <c r="E3235" i="15"/>
  <c r="F3235" i="15"/>
  <c r="G3235" i="15"/>
  <c r="H3235" i="15"/>
  <c r="I3235" i="15"/>
  <c r="J3235" i="15"/>
  <c r="K3235" i="15"/>
  <c r="L3235" i="15"/>
  <c r="M3235" i="15"/>
  <c r="N3235" i="15"/>
  <c r="A3236" i="15"/>
  <c r="B3236" i="15"/>
  <c r="C3236" i="15"/>
  <c r="D3236" i="15"/>
  <c r="E3236" i="15"/>
  <c r="F3236" i="15"/>
  <c r="G3236" i="15"/>
  <c r="H3236" i="15"/>
  <c r="I3236" i="15"/>
  <c r="J3236" i="15"/>
  <c r="K3236" i="15"/>
  <c r="L3236" i="15"/>
  <c r="M3236" i="15"/>
  <c r="N3236" i="15"/>
  <c r="A3237" i="15"/>
  <c r="B3237" i="15"/>
  <c r="C3237" i="15"/>
  <c r="D3237" i="15"/>
  <c r="E3237" i="15"/>
  <c r="F3237" i="15"/>
  <c r="G3237" i="15"/>
  <c r="H3237" i="15"/>
  <c r="I3237" i="15"/>
  <c r="J3237" i="15"/>
  <c r="K3237" i="15"/>
  <c r="L3237" i="15"/>
  <c r="M3237" i="15"/>
  <c r="N3237" i="15"/>
  <c r="A3238" i="15"/>
  <c r="B3238" i="15"/>
  <c r="C3238" i="15"/>
  <c r="D3238" i="15"/>
  <c r="E3238" i="15"/>
  <c r="F3238" i="15"/>
  <c r="G3238" i="15"/>
  <c r="H3238" i="15"/>
  <c r="I3238" i="15"/>
  <c r="J3238" i="15"/>
  <c r="K3238" i="15"/>
  <c r="L3238" i="15"/>
  <c r="M3238" i="15"/>
  <c r="N3238" i="15"/>
  <c r="A3239" i="15"/>
  <c r="B3239" i="15"/>
  <c r="C3239" i="15"/>
  <c r="D3239" i="15"/>
  <c r="E3239" i="15"/>
  <c r="F3239" i="15"/>
  <c r="G3239" i="15"/>
  <c r="H3239" i="15"/>
  <c r="I3239" i="15"/>
  <c r="J3239" i="15"/>
  <c r="K3239" i="15"/>
  <c r="L3239" i="15"/>
  <c r="M3239" i="15"/>
  <c r="N3239" i="15"/>
  <c r="A3240" i="15"/>
  <c r="B3240" i="15"/>
  <c r="C3240" i="15"/>
  <c r="D3240" i="15"/>
  <c r="E3240" i="15"/>
  <c r="F3240" i="15"/>
  <c r="G3240" i="15"/>
  <c r="H3240" i="15"/>
  <c r="I3240" i="15"/>
  <c r="J3240" i="15"/>
  <c r="K3240" i="15"/>
  <c r="L3240" i="15"/>
  <c r="M3240" i="15"/>
  <c r="N3240" i="15"/>
  <c r="A3241" i="15"/>
  <c r="B3241" i="15"/>
  <c r="C3241" i="15"/>
  <c r="D3241" i="15"/>
  <c r="E3241" i="15"/>
  <c r="F3241" i="15"/>
  <c r="G3241" i="15"/>
  <c r="H3241" i="15"/>
  <c r="I3241" i="15"/>
  <c r="J3241" i="15"/>
  <c r="K3241" i="15"/>
  <c r="L3241" i="15"/>
  <c r="M3241" i="15"/>
  <c r="N3241" i="15"/>
  <c r="A3242" i="15"/>
  <c r="B3242" i="15"/>
  <c r="C3242" i="15"/>
  <c r="D3242" i="15"/>
  <c r="E3242" i="15"/>
  <c r="F3242" i="15"/>
  <c r="G3242" i="15"/>
  <c r="H3242" i="15"/>
  <c r="I3242" i="15"/>
  <c r="J3242" i="15"/>
  <c r="K3242" i="15"/>
  <c r="L3242" i="15"/>
  <c r="M3242" i="15"/>
  <c r="N3242" i="15"/>
  <c r="A3243" i="15"/>
  <c r="B3243" i="15"/>
  <c r="C3243" i="15"/>
  <c r="D3243" i="15"/>
  <c r="E3243" i="15"/>
  <c r="F3243" i="15"/>
  <c r="G3243" i="15"/>
  <c r="H3243" i="15"/>
  <c r="I3243" i="15"/>
  <c r="J3243" i="15"/>
  <c r="K3243" i="15"/>
  <c r="L3243" i="15"/>
  <c r="M3243" i="15"/>
  <c r="N3243" i="15"/>
  <c r="A3244" i="15"/>
  <c r="B3244" i="15"/>
  <c r="C3244" i="15"/>
  <c r="D3244" i="15"/>
  <c r="E3244" i="15"/>
  <c r="F3244" i="15"/>
  <c r="G3244" i="15"/>
  <c r="H3244" i="15"/>
  <c r="I3244" i="15"/>
  <c r="J3244" i="15"/>
  <c r="K3244" i="15"/>
  <c r="L3244" i="15"/>
  <c r="M3244" i="15"/>
  <c r="N3244" i="15"/>
  <c r="A3245" i="15"/>
  <c r="B3245" i="15"/>
  <c r="C3245" i="15"/>
  <c r="D3245" i="15"/>
  <c r="E3245" i="15"/>
  <c r="F3245" i="15"/>
  <c r="G3245" i="15"/>
  <c r="H3245" i="15"/>
  <c r="I3245" i="15"/>
  <c r="J3245" i="15"/>
  <c r="K3245" i="15"/>
  <c r="L3245" i="15"/>
  <c r="M3245" i="15"/>
  <c r="N3245" i="15"/>
  <c r="A3246" i="15"/>
  <c r="B3246" i="15"/>
  <c r="C3246" i="15"/>
  <c r="D3246" i="15"/>
  <c r="E3246" i="15"/>
  <c r="F3246" i="15"/>
  <c r="G3246" i="15"/>
  <c r="H3246" i="15"/>
  <c r="I3246" i="15"/>
  <c r="J3246" i="15"/>
  <c r="K3246" i="15"/>
  <c r="L3246" i="15"/>
  <c r="M3246" i="15"/>
  <c r="N3246" i="15"/>
  <c r="A3247" i="15"/>
  <c r="B3247" i="15"/>
  <c r="C3247" i="15"/>
  <c r="D3247" i="15"/>
  <c r="E3247" i="15"/>
  <c r="F3247" i="15"/>
  <c r="G3247" i="15"/>
  <c r="H3247" i="15"/>
  <c r="I3247" i="15"/>
  <c r="J3247" i="15"/>
  <c r="K3247" i="15"/>
  <c r="L3247" i="15"/>
  <c r="M3247" i="15"/>
  <c r="N3247" i="15"/>
  <c r="A3248" i="15"/>
  <c r="B3248" i="15"/>
  <c r="C3248" i="15"/>
  <c r="D3248" i="15"/>
  <c r="E3248" i="15"/>
  <c r="F3248" i="15"/>
  <c r="G3248" i="15"/>
  <c r="H3248" i="15"/>
  <c r="I3248" i="15"/>
  <c r="J3248" i="15"/>
  <c r="K3248" i="15"/>
  <c r="L3248" i="15"/>
  <c r="M3248" i="15"/>
  <c r="N3248" i="15"/>
  <c r="A3249" i="15"/>
  <c r="B3249" i="15"/>
  <c r="C3249" i="15"/>
  <c r="D3249" i="15"/>
  <c r="E3249" i="15"/>
  <c r="F3249" i="15"/>
  <c r="G3249" i="15"/>
  <c r="H3249" i="15"/>
  <c r="I3249" i="15"/>
  <c r="J3249" i="15"/>
  <c r="K3249" i="15"/>
  <c r="L3249" i="15"/>
  <c r="M3249" i="15"/>
  <c r="N3249" i="15"/>
  <c r="A3250" i="15"/>
  <c r="B3250" i="15"/>
  <c r="C3250" i="15"/>
  <c r="D3250" i="15"/>
  <c r="E3250" i="15"/>
  <c r="F3250" i="15"/>
  <c r="G3250" i="15"/>
  <c r="H3250" i="15"/>
  <c r="I3250" i="15"/>
  <c r="J3250" i="15"/>
  <c r="K3250" i="15"/>
  <c r="L3250" i="15"/>
  <c r="M3250" i="15"/>
  <c r="N3250" i="15"/>
  <c r="A3251" i="15"/>
  <c r="B3251" i="15"/>
  <c r="C3251" i="15"/>
  <c r="D3251" i="15"/>
  <c r="E3251" i="15"/>
  <c r="F3251" i="15"/>
  <c r="G3251" i="15"/>
  <c r="H3251" i="15"/>
  <c r="I3251" i="15"/>
  <c r="J3251" i="15"/>
  <c r="K3251" i="15"/>
  <c r="L3251" i="15"/>
  <c r="M3251" i="15"/>
  <c r="N3251" i="15"/>
  <c r="A3252" i="15"/>
  <c r="B3252" i="15"/>
  <c r="C3252" i="15"/>
  <c r="D3252" i="15"/>
  <c r="E3252" i="15"/>
  <c r="F3252" i="15"/>
  <c r="G3252" i="15"/>
  <c r="H3252" i="15"/>
  <c r="I3252" i="15"/>
  <c r="J3252" i="15"/>
  <c r="K3252" i="15"/>
  <c r="L3252" i="15"/>
  <c r="M3252" i="15"/>
  <c r="N3252" i="15"/>
  <c r="A3253" i="15"/>
  <c r="B3253" i="15"/>
  <c r="C3253" i="15"/>
  <c r="D3253" i="15"/>
  <c r="E3253" i="15"/>
  <c r="F3253" i="15"/>
  <c r="G3253" i="15"/>
  <c r="H3253" i="15"/>
  <c r="I3253" i="15"/>
  <c r="J3253" i="15"/>
  <c r="K3253" i="15"/>
  <c r="L3253" i="15"/>
  <c r="M3253" i="15"/>
  <c r="N3253" i="15"/>
  <c r="A3254" i="15"/>
  <c r="B3254" i="15"/>
  <c r="C3254" i="15"/>
  <c r="D3254" i="15"/>
  <c r="E3254" i="15"/>
  <c r="F3254" i="15"/>
  <c r="G3254" i="15"/>
  <c r="H3254" i="15"/>
  <c r="I3254" i="15"/>
  <c r="J3254" i="15"/>
  <c r="K3254" i="15"/>
  <c r="L3254" i="15"/>
  <c r="M3254" i="15"/>
  <c r="N3254" i="15"/>
  <c r="A3255" i="15"/>
  <c r="B3255" i="15"/>
  <c r="C3255" i="15"/>
  <c r="D3255" i="15"/>
  <c r="E3255" i="15"/>
  <c r="F3255" i="15"/>
  <c r="G3255" i="15"/>
  <c r="H3255" i="15"/>
  <c r="I3255" i="15"/>
  <c r="J3255" i="15"/>
  <c r="K3255" i="15"/>
  <c r="L3255" i="15"/>
  <c r="M3255" i="15"/>
  <c r="N3255" i="15"/>
  <c r="A3256" i="15"/>
  <c r="B3256" i="15"/>
  <c r="C3256" i="15"/>
  <c r="D3256" i="15"/>
  <c r="E3256" i="15"/>
  <c r="F3256" i="15"/>
  <c r="G3256" i="15"/>
  <c r="H3256" i="15"/>
  <c r="I3256" i="15"/>
  <c r="J3256" i="15"/>
  <c r="K3256" i="15"/>
  <c r="L3256" i="15"/>
  <c r="M3256" i="15"/>
  <c r="N3256" i="15"/>
  <c r="A3257" i="15"/>
  <c r="B3257" i="15"/>
  <c r="C3257" i="15"/>
  <c r="D3257" i="15"/>
  <c r="E3257" i="15"/>
  <c r="F3257" i="15"/>
  <c r="G3257" i="15"/>
  <c r="H3257" i="15"/>
  <c r="I3257" i="15"/>
  <c r="J3257" i="15"/>
  <c r="K3257" i="15"/>
  <c r="L3257" i="15"/>
  <c r="M3257" i="15"/>
  <c r="N3257" i="15"/>
  <c r="A3258" i="15"/>
  <c r="B3258" i="15"/>
  <c r="C3258" i="15"/>
  <c r="D3258" i="15"/>
  <c r="E3258" i="15"/>
  <c r="F3258" i="15"/>
  <c r="G3258" i="15"/>
  <c r="H3258" i="15"/>
  <c r="I3258" i="15"/>
  <c r="J3258" i="15"/>
  <c r="K3258" i="15"/>
  <c r="L3258" i="15"/>
  <c r="M3258" i="15"/>
  <c r="N3258" i="15"/>
  <c r="A3259" i="15"/>
  <c r="B3259" i="15"/>
  <c r="C3259" i="15"/>
  <c r="D3259" i="15"/>
  <c r="E3259" i="15"/>
  <c r="F3259" i="15"/>
  <c r="G3259" i="15"/>
  <c r="H3259" i="15"/>
  <c r="I3259" i="15"/>
  <c r="J3259" i="15"/>
  <c r="K3259" i="15"/>
  <c r="L3259" i="15"/>
  <c r="M3259" i="15"/>
  <c r="N3259" i="15"/>
  <c r="A3260" i="15"/>
  <c r="B3260" i="15"/>
  <c r="C3260" i="15"/>
  <c r="D3260" i="15"/>
  <c r="E3260" i="15"/>
  <c r="F3260" i="15"/>
  <c r="G3260" i="15"/>
  <c r="H3260" i="15"/>
  <c r="I3260" i="15"/>
  <c r="J3260" i="15"/>
  <c r="K3260" i="15"/>
  <c r="L3260" i="15"/>
  <c r="M3260" i="15"/>
  <c r="N3260" i="15"/>
  <c r="A3261" i="15"/>
  <c r="B3261" i="15"/>
  <c r="C3261" i="15"/>
  <c r="D3261" i="15"/>
  <c r="E3261" i="15"/>
  <c r="F3261" i="15"/>
  <c r="G3261" i="15"/>
  <c r="H3261" i="15"/>
  <c r="I3261" i="15"/>
  <c r="J3261" i="15"/>
  <c r="K3261" i="15"/>
  <c r="L3261" i="15"/>
  <c r="M3261" i="15"/>
  <c r="N3261" i="15"/>
  <c r="A3262" i="15"/>
  <c r="B3262" i="15"/>
  <c r="C3262" i="15"/>
  <c r="D3262" i="15"/>
  <c r="E3262" i="15"/>
  <c r="F3262" i="15"/>
  <c r="G3262" i="15"/>
  <c r="H3262" i="15"/>
  <c r="I3262" i="15"/>
  <c r="J3262" i="15"/>
  <c r="K3262" i="15"/>
  <c r="L3262" i="15"/>
  <c r="M3262" i="15"/>
  <c r="N3262" i="15"/>
  <c r="A3263" i="15"/>
  <c r="B3263" i="15"/>
  <c r="C3263" i="15"/>
  <c r="D3263" i="15"/>
  <c r="E3263" i="15"/>
  <c r="F3263" i="15"/>
  <c r="G3263" i="15"/>
  <c r="H3263" i="15"/>
  <c r="I3263" i="15"/>
  <c r="J3263" i="15"/>
  <c r="K3263" i="15"/>
  <c r="L3263" i="15"/>
  <c r="M3263" i="15"/>
  <c r="N3263" i="15"/>
  <c r="A3264" i="15"/>
  <c r="B3264" i="15"/>
  <c r="C3264" i="15"/>
  <c r="D3264" i="15"/>
  <c r="E3264" i="15"/>
  <c r="F3264" i="15"/>
  <c r="G3264" i="15"/>
  <c r="H3264" i="15"/>
  <c r="I3264" i="15"/>
  <c r="J3264" i="15"/>
  <c r="K3264" i="15"/>
  <c r="L3264" i="15"/>
  <c r="M3264" i="15"/>
  <c r="N3264" i="15"/>
  <c r="A3265" i="15"/>
  <c r="B3265" i="15"/>
  <c r="C3265" i="15"/>
  <c r="D3265" i="15"/>
  <c r="E3265" i="15"/>
  <c r="F3265" i="15"/>
  <c r="G3265" i="15"/>
  <c r="H3265" i="15"/>
  <c r="I3265" i="15"/>
  <c r="J3265" i="15"/>
  <c r="K3265" i="15"/>
  <c r="L3265" i="15"/>
  <c r="M3265" i="15"/>
  <c r="N3265" i="15"/>
  <c r="A3266" i="15"/>
  <c r="B3266" i="15"/>
  <c r="C3266" i="15"/>
  <c r="D3266" i="15"/>
  <c r="E3266" i="15"/>
  <c r="F3266" i="15"/>
  <c r="G3266" i="15"/>
  <c r="H3266" i="15"/>
  <c r="I3266" i="15"/>
  <c r="J3266" i="15"/>
  <c r="K3266" i="15"/>
  <c r="L3266" i="15"/>
  <c r="M3266" i="15"/>
  <c r="N3266" i="15"/>
  <c r="A3267" i="15"/>
  <c r="B3267" i="15"/>
  <c r="C3267" i="15"/>
  <c r="D3267" i="15"/>
  <c r="E3267" i="15"/>
  <c r="F3267" i="15"/>
  <c r="G3267" i="15"/>
  <c r="H3267" i="15"/>
  <c r="I3267" i="15"/>
  <c r="J3267" i="15"/>
  <c r="K3267" i="15"/>
  <c r="L3267" i="15"/>
  <c r="M3267" i="15"/>
  <c r="N3267" i="15"/>
  <c r="A3268" i="15"/>
  <c r="B3268" i="15"/>
  <c r="C3268" i="15"/>
  <c r="D3268" i="15"/>
  <c r="E3268" i="15"/>
  <c r="F3268" i="15"/>
  <c r="G3268" i="15"/>
  <c r="H3268" i="15"/>
  <c r="I3268" i="15"/>
  <c r="J3268" i="15"/>
  <c r="K3268" i="15"/>
  <c r="L3268" i="15"/>
  <c r="M3268" i="15"/>
  <c r="N3268" i="15"/>
  <c r="A3269" i="15"/>
  <c r="B3269" i="15"/>
  <c r="C3269" i="15"/>
  <c r="D3269" i="15"/>
  <c r="E3269" i="15"/>
  <c r="F3269" i="15"/>
  <c r="G3269" i="15"/>
  <c r="H3269" i="15"/>
  <c r="I3269" i="15"/>
  <c r="J3269" i="15"/>
  <c r="K3269" i="15"/>
  <c r="L3269" i="15"/>
  <c r="M3269" i="15"/>
  <c r="N3269" i="15"/>
  <c r="A3270" i="15"/>
  <c r="B3270" i="15"/>
  <c r="C3270" i="15"/>
  <c r="D3270" i="15"/>
  <c r="E3270" i="15"/>
  <c r="F3270" i="15"/>
  <c r="G3270" i="15"/>
  <c r="H3270" i="15"/>
  <c r="I3270" i="15"/>
  <c r="J3270" i="15"/>
  <c r="K3270" i="15"/>
  <c r="L3270" i="15"/>
  <c r="M3270" i="15"/>
  <c r="N3270" i="15"/>
  <c r="A3271" i="15"/>
  <c r="B3271" i="15"/>
  <c r="C3271" i="15"/>
  <c r="D3271" i="15"/>
  <c r="E3271" i="15"/>
  <c r="F3271" i="15"/>
  <c r="G3271" i="15"/>
  <c r="H3271" i="15"/>
  <c r="I3271" i="15"/>
  <c r="J3271" i="15"/>
  <c r="K3271" i="15"/>
  <c r="L3271" i="15"/>
  <c r="M3271" i="15"/>
  <c r="N3271" i="15"/>
  <c r="A3272" i="15"/>
  <c r="B3272" i="15"/>
  <c r="C3272" i="15"/>
  <c r="D3272" i="15"/>
  <c r="E3272" i="15"/>
  <c r="F3272" i="15"/>
  <c r="G3272" i="15"/>
  <c r="H3272" i="15"/>
  <c r="I3272" i="15"/>
  <c r="J3272" i="15"/>
  <c r="K3272" i="15"/>
  <c r="L3272" i="15"/>
  <c r="M3272" i="15"/>
  <c r="N3272" i="15"/>
  <c r="A3273" i="15"/>
  <c r="B3273" i="15"/>
  <c r="C3273" i="15"/>
  <c r="D3273" i="15"/>
  <c r="E3273" i="15"/>
  <c r="F3273" i="15"/>
  <c r="G3273" i="15"/>
  <c r="H3273" i="15"/>
  <c r="I3273" i="15"/>
  <c r="J3273" i="15"/>
  <c r="K3273" i="15"/>
  <c r="L3273" i="15"/>
  <c r="M3273" i="15"/>
  <c r="N3273" i="15"/>
  <c r="A3274" i="15"/>
  <c r="B3274" i="15"/>
  <c r="C3274" i="15"/>
  <c r="D3274" i="15"/>
  <c r="E3274" i="15"/>
  <c r="F3274" i="15"/>
  <c r="G3274" i="15"/>
  <c r="H3274" i="15"/>
  <c r="I3274" i="15"/>
  <c r="J3274" i="15"/>
  <c r="K3274" i="15"/>
  <c r="L3274" i="15"/>
  <c r="M3274" i="15"/>
  <c r="N3274" i="15"/>
  <c r="A3275" i="15"/>
  <c r="B3275" i="15"/>
  <c r="C3275" i="15"/>
  <c r="D3275" i="15"/>
  <c r="E3275" i="15"/>
  <c r="F3275" i="15"/>
  <c r="G3275" i="15"/>
  <c r="H3275" i="15"/>
  <c r="I3275" i="15"/>
  <c r="J3275" i="15"/>
  <c r="K3275" i="15"/>
  <c r="L3275" i="15"/>
  <c r="M3275" i="15"/>
  <c r="N3275" i="15"/>
  <c r="A3276" i="15"/>
  <c r="B3276" i="15"/>
  <c r="C3276" i="15"/>
  <c r="D3276" i="15"/>
  <c r="E3276" i="15"/>
  <c r="F3276" i="15"/>
  <c r="G3276" i="15"/>
  <c r="H3276" i="15"/>
  <c r="I3276" i="15"/>
  <c r="J3276" i="15"/>
  <c r="K3276" i="15"/>
  <c r="L3276" i="15"/>
  <c r="M3276" i="15"/>
  <c r="N3276" i="15"/>
  <c r="A3277" i="15"/>
  <c r="B3277" i="15"/>
  <c r="C3277" i="15"/>
  <c r="D3277" i="15"/>
  <c r="E3277" i="15"/>
  <c r="F3277" i="15"/>
  <c r="G3277" i="15"/>
  <c r="H3277" i="15"/>
  <c r="I3277" i="15"/>
  <c r="J3277" i="15"/>
  <c r="K3277" i="15"/>
  <c r="L3277" i="15"/>
  <c r="M3277" i="15"/>
  <c r="N3277" i="15"/>
  <c r="A3278" i="15"/>
  <c r="B3278" i="15"/>
  <c r="C3278" i="15"/>
  <c r="D3278" i="15"/>
  <c r="E3278" i="15"/>
  <c r="F3278" i="15"/>
  <c r="G3278" i="15"/>
  <c r="H3278" i="15"/>
  <c r="I3278" i="15"/>
  <c r="J3278" i="15"/>
  <c r="K3278" i="15"/>
  <c r="L3278" i="15"/>
  <c r="M3278" i="15"/>
  <c r="N3278" i="15"/>
  <c r="A3279" i="15"/>
  <c r="B3279" i="15"/>
  <c r="C3279" i="15"/>
  <c r="D3279" i="15"/>
  <c r="E3279" i="15"/>
  <c r="F3279" i="15"/>
  <c r="G3279" i="15"/>
  <c r="H3279" i="15"/>
  <c r="I3279" i="15"/>
  <c r="J3279" i="15"/>
  <c r="K3279" i="15"/>
  <c r="L3279" i="15"/>
  <c r="M3279" i="15"/>
  <c r="N3279" i="15"/>
  <c r="A3280" i="15"/>
  <c r="B3280" i="15"/>
  <c r="C3280" i="15"/>
  <c r="D3280" i="15"/>
  <c r="E3280" i="15"/>
  <c r="F3280" i="15"/>
  <c r="G3280" i="15"/>
  <c r="H3280" i="15"/>
  <c r="I3280" i="15"/>
  <c r="J3280" i="15"/>
  <c r="K3280" i="15"/>
  <c r="L3280" i="15"/>
  <c r="M3280" i="15"/>
  <c r="N3280" i="15"/>
  <c r="A3281" i="15"/>
  <c r="B3281" i="15"/>
  <c r="C3281" i="15"/>
  <c r="D3281" i="15"/>
  <c r="E3281" i="15"/>
  <c r="F3281" i="15"/>
  <c r="G3281" i="15"/>
  <c r="H3281" i="15"/>
  <c r="I3281" i="15"/>
  <c r="J3281" i="15"/>
  <c r="K3281" i="15"/>
  <c r="L3281" i="15"/>
  <c r="M3281" i="15"/>
  <c r="N3281" i="15"/>
  <c r="A3282" i="15"/>
  <c r="B3282" i="15"/>
  <c r="C3282" i="15"/>
  <c r="D3282" i="15"/>
  <c r="E3282" i="15"/>
  <c r="F3282" i="15"/>
  <c r="G3282" i="15"/>
  <c r="H3282" i="15"/>
  <c r="I3282" i="15"/>
  <c r="J3282" i="15"/>
  <c r="K3282" i="15"/>
  <c r="L3282" i="15"/>
  <c r="M3282" i="15"/>
  <c r="N3282" i="15"/>
  <c r="A3283" i="15"/>
  <c r="B3283" i="15"/>
  <c r="C3283" i="15"/>
  <c r="D3283" i="15"/>
  <c r="E3283" i="15"/>
  <c r="F3283" i="15"/>
  <c r="G3283" i="15"/>
  <c r="H3283" i="15"/>
  <c r="I3283" i="15"/>
  <c r="J3283" i="15"/>
  <c r="K3283" i="15"/>
  <c r="L3283" i="15"/>
  <c r="M3283" i="15"/>
  <c r="N3283" i="15"/>
  <c r="A3284" i="15"/>
  <c r="B3284" i="15"/>
  <c r="C3284" i="15"/>
  <c r="D3284" i="15"/>
  <c r="E3284" i="15"/>
  <c r="F3284" i="15"/>
  <c r="G3284" i="15"/>
  <c r="H3284" i="15"/>
  <c r="I3284" i="15"/>
  <c r="J3284" i="15"/>
  <c r="K3284" i="15"/>
  <c r="L3284" i="15"/>
  <c r="M3284" i="15"/>
  <c r="N3284" i="15"/>
  <c r="A3285" i="15"/>
  <c r="B3285" i="15"/>
  <c r="C3285" i="15"/>
  <c r="D3285" i="15"/>
  <c r="E3285" i="15"/>
  <c r="F3285" i="15"/>
  <c r="G3285" i="15"/>
  <c r="H3285" i="15"/>
  <c r="I3285" i="15"/>
  <c r="J3285" i="15"/>
  <c r="K3285" i="15"/>
  <c r="L3285" i="15"/>
  <c r="M3285" i="15"/>
  <c r="N3285" i="15"/>
  <c r="A3286" i="15"/>
  <c r="B3286" i="15"/>
  <c r="C3286" i="15"/>
  <c r="D3286" i="15"/>
  <c r="E3286" i="15"/>
  <c r="F3286" i="15"/>
  <c r="G3286" i="15"/>
  <c r="H3286" i="15"/>
  <c r="I3286" i="15"/>
  <c r="J3286" i="15"/>
  <c r="K3286" i="15"/>
  <c r="L3286" i="15"/>
  <c r="M3286" i="15"/>
  <c r="N3286" i="15"/>
  <c r="A3287" i="15"/>
  <c r="B3287" i="15"/>
  <c r="C3287" i="15"/>
  <c r="D3287" i="15"/>
  <c r="E3287" i="15"/>
  <c r="F3287" i="15"/>
  <c r="G3287" i="15"/>
  <c r="H3287" i="15"/>
  <c r="I3287" i="15"/>
  <c r="J3287" i="15"/>
  <c r="K3287" i="15"/>
  <c r="L3287" i="15"/>
  <c r="M3287" i="15"/>
  <c r="N3287" i="15"/>
  <c r="A3288" i="15"/>
  <c r="B3288" i="15"/>
  <c r="C3288" i="15"/>
  <c r="D3288" i="15"/>
  <c r="E3288" i="15"/>
  <c r="F3288" i="15"/>
  <c r="G3288" i="15"/>
  <c r="H3288" i="15"/>
  <c r="I3288" i="15"/>
  <c r="J3288" i="15"/>
  <c r="K3288" i="15"/>
  <c r="L3288" i="15"/>
  <c r="M3288" i="15"/>
  <c r="N3288" i="15"/>
  <c r="A3289" i="15"/>
  <c r="B3289" i="15"/>
  <c r="C3289" i="15"/>
  <c r="D3289" i="15"/>
  <c r="E3289" i="15"/>
  <c r="F3289" i="15"/>
  <c r="G3289" i="15"/>
  <c r="H3289" i="15"/>
  <c r="I3289" i="15"/>
  <c r="J3289" i="15"/>
  <c r="K3289" i="15"/>
  <c r="L3289" i="15"/>
  <c r="M3289" i="15"/>
  <c r="N3289" i="15"/>
  <c r="A3290" i="15"/>
  <c r="B3290" i="15"/>
  <c r="C3290" i="15"/>
  <c r="D3290" i="15"/>
  <c r="E3290" i="15"/>
  <c r="F3290" i="15"/>
  <c r="G3290" i="15"/>
  <c r="H3290" i="15"/>
  <c r="I3290" i="15"/>
  <c r="J3290" i="15"/>
  <c r="K3290" i="15"/>
  <c r="L3290" i="15"/>
  <c r="M3290" i="15"/>
  <c r="N3290" i="15"/>
  <c r="A3291" i="15"/>
  <c r="B3291" i="15"/>
  <c r="C3291" i="15"/>
  <c r="D3291" i="15"/>
  <c r="E3291" i="15"/>
  <c r="F3291" i="15"/>
  <c r="G3291" i="15"/>
  <c r="H3291" i="15"/>
  <c r="I3291" i="15"/>
  <c r="J3291" i="15"/>
  <c r="K3291" i="15"/>
  <c r="L3291" i="15"/>
  <c r="M3291" i="15"/>
  <c r="N3291" i="15"/>
  <c r="A3292" i="15"/>
  <c r="B3292" i="15"/>
  <c r="C3292" i="15"/>
  <c r="D3292" i="15"/>
  <c r="E3292" i="15"/>
  <c r="F3292" i="15"/>
  <c r="G3292" i="15"/>
  <c r="H3292" i="15"/>
  <c r="I3292" i="15"/>
  <c r="J3292" i="15"/>
  <c r="K3292" i="15"/>
  <c r="L3292" i="15"/>
  <c r="M3292" i="15"/>
  <c r="N3292" i="15"/>
  <c r="A3293" i="15"/>
  <c r="B3293" i="15"/>
  <c r="C3293" i="15"/>
  <c r="D3293" i="15"/>
  <c r="E3293" i="15"/>
  <c r="F3293" i="15"/>
  <c r="G3293" i="15"/>
  <c r="H3293" i="15"/>
  <c r="I3293" i="15"/>
  <c r="J3293" i="15"/>
  <c r="K3293" i="15"/>
  <c r="L3293" i="15"/>
  <c r="M3293" i="15"/>
  <c r="N3293" i="15"/>
  <c r="A3294" i="15"/>
  <c r="B3294" i="15"/>
  <c r="C3294" i="15"/>
  <c r="D3294" i="15"/>
  <c r="E3294" i="15"/>
  <c r="F3294" i="15"/>
  <c r="G3294" i="15"/>
  <c r="H3294" i="15"/>
  <c r="I3294" i="15"/>
  <c r="J3294" i="15"/>
  <c r="K3294" i="15"/>
  <c r="L3294" i="15"/>
  <c r="M3294" i="15"/>
  <c r="N3294" i="15"/>
  <c r="A3295" i="15"/>
  <c r="B3295" i="15"/>
  <c r="C3295" i="15"/>
  <c r="D3295" i="15"/>
  <c r="E3295" i="15"/>
  <c r="F3295" i="15"/>
  <c r="G3295" i="15"/>
  <c r="H3295" i="15"/>
  <c r="I3295" i="15"/>
  <c r="J3295" i="15"/>
  <c r="K3295" i="15"/>
  <c r="L3295" i="15"/>
  <c r="M3295" i="15"/>
  <c r="N3295" i="15"/>
  <c r="A3296" i="15"/>
  <c r="B3296" i="15"/>
  <c r="C3296" i="15"/>
  <c r="D3296" i="15"/>
  <c r="E3296" i="15"/>
  <c r="F3296" i="15"/>
  <c r="G3296" i="15"/>
  <c r="H3296" i="15"/>
  <c r="I3296" i="15"/>
  <c r="J3296" i="15"/>
  <c r="K3296" i="15"/>
  <c r="L3296" i="15"/>
  <c r="M3296" i="15"/>
  <c r="N3296" i="15"/>
  <c r="A3297" i="15"/>
  <c r="B3297" i="15"/>
  <c r="C3297" i="15"/>
  <c r="D3297" i="15"/>
  <c r="E3297" i="15"/>
  <c r="F3297" i="15"/>
  <c r="G3297" i="15"/>
  <c r="H3297" i="15"/>
  <c r="I3297" i="15"/>
  <c r="J3297" i="15"/>
  <c r="K3297" i="15"/>
  <c r="L3297" i="15"/>
  <c r="M3297" i="15"/>
  <c r="N3297" i="15"/>
  <c r="A3298" i="15"/>
  <c r="B3298" i="15"/>
  <c r="C3298" i="15"/>
  <c r="D3298" i="15"/>
  <c r="E3298" i="15"/>
  <c r="F3298" i="15"/>
  <c r="G3298" i="15"/>
  <c r="H3298" i="15"/>
  <c r="I3298" i="15"/>
  <c r="J3298" i="15"/>
  <c r="K3298" i="15"/>
  <c r="L3298" i="15"/>
  <c r="M3298" i="15"/>
  <c r="N3298" i="15"/>
  <c r="A3299" i="15"/>
  <c r="B3299" i="15"/>
  <c r="C3299" i="15"/>
  <c r="D3299" i="15"/>
  <c r="E3299" i="15"/>
  <c r="F3299" i="15"/>
  <c r="G3299" i="15"/>
  <c r="H3299" i="15"/>
  <c r="I3299" i="15"/>
  <c r="J3299" i="15"/>
  <c r="K3299" i="15"/>
  <c r="L3299" i="15"/>
  <c r="M3299" i="15"/>
  <c r="N3299" i="15"/>
  <c r="A3300" i="15"/>
  <c r="B3300" i="15"/>
  <c r="C3300" i="15"/>
  <c r="D3300" i="15"/>
  <c r="E3300" i="15"/>
  <c r="F3300" i="15"/>
  <c r="G3300" i="15"/>
  <c r="H3300" i="15"/>
  <c r="I3300" i="15"/>
  <c r="J3300" i="15"/>
  <c r="K3300" i="15"/>
  <c r="L3300" i="15"/>
  <c r="M3300" i="15"/>
  <c r="N3300" i="15"/>
  <c r="A3301" i="15"/>
  <c r="B3301" i="15"/>
  <c r="C3301" i="15"/>
  <c r="D3301" i="15"/>
  <c r="E3301" i="15"/>
  <c r="F3301" i="15"/>
  <c r="G3301" i="15"/>
  <c r="H3301" i="15"/>
  <c r="I3301" i="15"/>
  <c r="J3301" i="15"/>
  <c r="K3301" i="15"/>
  <c r="L3301" i="15"/>
  <c r="M3301" i="15"/>
  <c r="N3301" i="15"/>
  <c r="A3302" i="15"/>
  <c r="B3302" i="15"/>
  <c r="C3302" i="15"/>
  <c r="D3302" i="15"/>
  <c r="E3302" i="15"/>
  <c r="F3302" i="15"/>
  <c r="G3302" i="15"/>
  <c r="H3302" i="15"/>
  <c r="I3302" i="15"/>
  <c r="J3302" i="15"/>
  <c r="K3302" i="15"/>
  <c r="L3302" i="15"/>
  <c r="M3302" i="15"/>
  <c r="N3302" i="15"/>
  <c r="A3303" i="15"/>
  <c r="B3303" i="15"/>
  <c r="C3303" i="15"/>
  <c r="D3303" i="15"/>
  <c r="E3303" i="15"/>
  <c r="F3303" i="15"/>
  <c r="G3303" i="15"/>
  <c r="H3303" i="15"/>
  <c r="I3303" i="15"/>
  <c r="J3303" i="15"/>
  <c r="K3303" i="15"/>
  <c r="L3303" i="15"/>
  <c r="M3303" i="15"/>
  <c r="N3303" i="15"/>
  <c r="A3304" i="15"/>
  <c r="B3304" i="15"/>
  <c r="C3304" i="15"/>
  <c r="D3304" i="15"/>
  <c r="E3304" i="15"/>
  <c r="F3304" i="15"/>
  <c r="G3304" i="15"/>
  <c r="H3304" i="15"/>
  <c r="I3304" i="15"/>
  <c r="J3304" i="15"/>
  <c r="K3304" i="15"/>
  <c r="L3304" i="15"/>
  <c r="M3304" i="15"/>
  <c r="N3304" i="15"/>
  <c r="A3305" i="15"/>
  <c r="B3305" i="15"/>
  <c r="C3305" i="15"/>
  <c r="D3305" i="15"/>
  <c r="E3305" i="15"/>
  <c r="F3305" i="15"/>
  <c r="G3305" i="15"/>
  <c r="H3305" i="15"/>
  <c r="I3305" i="15"/>
  <c r="J3305" i="15"/>
  <c r="K3305" i="15"/>
  <c r="L3305" i="15"/>
  <c r="M3305" i="15"/>
  <c r="N3305" i="15"/>
  <c r="A3306" i="15"/>
  <c r="B3306" i="15"/>
  <c r="C3306" i="15"/>
  <c r="D3306" i="15"/>
  <c r="E3306" i="15"/>
  <c r="F3306" i="15"/>
  <c r="G3306" i="15"/>
  <c r="H3306" i="15"/>
  <c r="I3306" i="15"/>
  <c r="J3306" i="15"/>
  <c r="K3306" i="15"/>
  <c r="L3306" i="15"/>
  <c r="M3306" i="15"/>
  <c r="N3306" i="15"/>
  <c r="A3307" i="15"/>
  <c r="B3307" i="15"/>
  <c r="C3307" i="15"/>
  <c r="D3307" i="15"/>
  <c r="E3307" i="15"/>
  <c r="F3307" i="15"/>
  <c r="G3307" i="15"/>
  <c r="H3307" i="15"/>
  <c r="I3307" i="15"/>
  <c r="J3307" i="15"/>
  <c r="K3307" i="15"/>
  <c r="L3307" i="15"/>
  <c r="M3307" i="15"/>
  <c r="N3307" i="15"/>
  <c r="A3308" i="15"/>
  <c r="B3308" i="15"/>
  <c r="C3308" i="15"/>
  <c r="D3308" i="15"/>
  <c r="E3308" i="15"/>
  <c r="F3308" i="15"/>
  <c r="G3308" i="15"/>
  <c r="H3308" i="15"/>
  <c r="I3308" i="15"/>
  <c r="J3308" i="15"/>
  <c r="K3308" i="15"/>
  <c r="L3308" i="15"/>
  <c r="M3308" i="15"/>
  <c r="N3308" i="15"/>
  <c r="A3309" i="15"/>
  <c r="B3309" i="15"/>
  <c r="C3309" i="15"/>
  <c r="D3309" i="15"/>
  <c r="E3309" i="15"/>
  <c r="F3309" i="15"/>
  <c r="G3309" i="15"/>
  <c r="H3309" i="15"/>
  <c r="I3309" i="15"/>
  <c r="J3309" i="15"/>
  <c r="K3309" i="15"/>
  <c r="L3309" i="15"/>
  <c r="M3309" i="15"/>
  <c r="N3309" i="15"/>
  <c r="A3310" i="15"/>
  <c r="B3310" i="15"/>
  <c r="C3310" i="15"/>
  <c r="D3310" i="15"/>
  <c r="E3310" i="15"/>
  <c r="F3310" i="15"/>
  <c r="G3310" i="15"/>
  <c r="H3310" i="15"/>
  <c r="I3310" i="15"/>
  <c r="J3310" i="15"/>
  <c r="K3310" i="15"/>
  <c r="L3310" i="15"/>
  <c r="M3310" i="15"/>
  <c r="N3310" i="15"/>
  <c r="A3311" i="15"/>
  <c r="B3311" i="15"/>
  <c r="C3311" i="15"/>
  <c r="D3311" i="15"/>
  <c r="E3311" i="15"/>
  <c r="F3311" i="15"/>
  <c r="G3311" i="15"/>
  <c r="H3311" i="15"/>
  <c r="I3311" i="15"/>
  <c r="J3311" i="15"/>
  <c r="K3311" i="15"/>
  <c r="L3311" i="15"/>
  <c r="M3311" i="15"/>
  <c r="N3311" i="15"/>
  <c r="A3312" i="15"/>
  <c r="B3312" i="15"/>
  <c r="C3312" i="15"/>
  <c r="D3312" i="15"/>
  <c r="E3312" i="15"/>
  <c r="F3312" i="15"/>
  <c r="G3312" i="15"/>
  <c r="H3312" i="15"/>
  <c r="I3312" i="15"/>
  <c r="J3312" i="15"/>
  <c r="K3312" i="15"/>
  <c r="L3312" i="15"/>
  <c r="M3312" i="15"/>
  <c r="N3312" i="15"/>
  <c r="A3313" i="15"/>
  <c r="B3313" i="15"/>
  <c r="C3313" i="15"/>
  <c r="D3313" i="15"/>
  <c r="E3313" i="15"/>
  <c r="F3313" i="15"/>
  <c r="G3313" i="15"/>
  <c r="H3313" i="15"/>
  <c r="I3313" i="15"/>
  <c r="J3313" i="15"/>
  <c r="K3313" i="15"/>
  <c r="L3313" i="15"/>
  <c r="M3313" i="15"/>
  <c r="N3313" i="15"/>
  <c r="A3314" i="15"/>
  <c r="B3314" i="15"/>
  <c r="C3314" i="15"/>
  <c r="D3314" i="15"/>
  <c r="E3314" i="15"/>
  <c r="F3314" i="15"/>
  <c r="G3314" i="15"/>
  <c r="H3314" i="15"/>
  <c r="I3314" i="15"/>
  <c r="J3314" i="15"/>
  <c r="K3314" i="15"/>
  <c r="L3314" i="15"/>
  <c r="M3314" i="15"/>
  <c r="N3314" i="15"/>
  <c r="A3315" i="15"/>
  <c r="B3315" i="15"/>
  <c r="C3315" i="15"/>
  <c r="D3315" i="15"/>
  <c r="E3315" i="15"/>
  <c r="F3315" i="15"/>
  <c r="G3315" i="15"/>
  <c r="H3315" i="15"/>
  <c r="I3315" i="15"/>
  <c r="J3315" i="15"/>
  <c r="K3315" i="15"/>
  <c r="L3315" i="15"/>
  <c r="M3315" i="15"/>
  <c r="N3315" i="15"/>
  <c r="A3316" i="15"/>
  <c r="B3316" i="15"/>
  <c r="C3316" i="15"/>
  <c r="D3316" i="15"/>
  <c r="E3316" i="15"/>
  <c r="F3316" i="15"/>
  <c r="G3316" i="15"/>
  <c r="H3316" i="15"/>
  <c r="I3316" i="15"/>
  <c r="J3316" i="15"/>
  <c r="K3316" i="15"/>
  <c r="L3316" i="15"/>
  <c r="M3316" i="15"/>
  <c r="N3316" i="15"/>
  <c r="A3317" i="15"/>
  <c r="B3317" i="15"/>
  <c r="C3317" i="15"/>
  <c r="D3317" i="15"/>
  <c r="E3317" i="15"/>
  <c r="F3317" i="15"/>
  <c r="G3317" i="15"/>
  <c r="H3317" i="15"/>
  <c r="I3317" i="15"/>
  <c r="J3317" i="15"/>
  <c r="K3317" i="15"/>
  <c r="L3317" i="15"/>
  <c r="M3317" i="15"/>
  <c r="N3317" i="15"/>
  <c r="A3318" i="15"/>
  <c r="B3318" i="15"/>
  <c r="C3318" i="15"/>
  <c r="D3318" i="15"/>
  <c r="E3318" i="15"/>
  <c r="F3318" i="15"/>
  <c r="G3318" i="15"/>
  <c r="H3318" i="15"/>
  <c r="I3318" i="15"/>
  <c r="J3318" i="15"/>
  <c r="K3318" i="15"/>
  <c r="L3318" i="15"/>
  <c r="M3318" i="15"/>
  <c r="N3318" i="15"/>
  <c r="A3319" i="15"/>
  <c r="B3319" i="15"/>
  <c r="C3319" i="15"/>
  <c r="D3319" i="15"/>
  <c r="E3319" i="15"/>
  <c r="F3319" i="15"/>
  <c r="G3319" i="15"/>
  <c r="H3319" i="15"/>
  <c r="I3319" i="15"/>
  <c r="J3319" i="15"/>
  <c r="K3319" i="15"/>
  <c r="L3319" i="15"/>
  <c r="M3319" i="15"/>
  <c r="N3319" i="15"/>
  <c r="A3320" i="15"/>
  <c r="B3320" i="15"/>
  <c r="C3320" i="15"/>
  <c r="D3320" i="15"/>
  <c r="E3320" i="15"/>
  <c r="F3320" i="15"/>
  <c r="G3320" i="15"/>
  <c r="H3320" i="15"/>
  <c r="I3320" i="15"/>
  <c r="J3320" i="15"/>
  <c r="K3320" i="15"/>
  <c r="L3320" i="15"/>
  <c r="M3320" i="15"/>
  <c r="N3320" i="15"/>
  <c r="A3321" i="15"/>
  <c r="B3321" i="15"/>
  <c r="C3321" i="15"/>
  <c r="D3321" i="15"/>
  <c r="E3321" i="15"/>
  <c r="F3321" i="15"/>
  <c r="G3321" i="15"/>
  <c r="H3321" i="15"/>
  <c r="I3321" i="15"/>
  <c r="J3321" i="15"/>
  <c r="K3321" i="15"/>
  <c r="L3321" i="15"/>
  <c r="M3321" i="15"/>
  <c r="N3321" i="15"/>
  <c r="A3322" i="15"/>
  <c r="B3322" i="15"/>
  <c r="C3322" i="15"/>
  <c r="D3322" i="15"/>
  <c r="E3322" i="15"/>
  <c r="F3322" i="15"/>
  <c r="G3322" i="15"/>
  <c r="H3322" i="15"/>
  <c r="I3322" i="15"/>
  <c r="J3322" i="15"/>
  <c r="K3322" i="15"/>
  <c r="L3322" i="15"/>
  <c r="M3322" i="15"/>
  <c r="N3322" i="15"/>
  <c r="A3323" i="15"/>
  <c r="B3323" i="15"/>
  <c r="C3323" i="15"/>
  <c r="D3323" i="15"/>
  <c r="E3323" i="15"/>
  <c r="F3323" i="15"/>
  <c r="G3323" i="15"/>
  <c r="H3323" i="15"/>
  <c r="I3323" i="15"/>
  <c r="J3323" i="15"/>
  <c r="K3323" i="15"/>
  <c r="L3323" i="15"/>
  <c r="M3323" i="15"/>
  <c r="N3323" i="15"/>
  <c r="A3324" i="15"/>
  <c r="B3324" i="15"/>
  <c r="C3324" i="15"/>
  <c r="D3324" i="15"/>
  <c r="E3324" i="15"/>
  <c r="F3324" i="15"/>
  <c r="G3324" i="15"/>
  <c r="H3324" i="15"/>
  <c r="I3324" i="15"/>
  <c r="J3324" i="15"/>
  <c r="K3324" i="15"/>
  <c r="L3324" i="15"/>
  <c r="M3324" i="15"/>
  <c r="N3324" i="15"/>
  <c r="A3325" i="15"/>
  <c r="B3325" i="15"/>
  <c r="C3325" i="15"/>
  <c r="D3325" i="15"/>
  <c r="E3325" i="15"/>
  <c r="F3325" i="15"/>
  <c r="G3325" i="15"/>
  <c r="H3325" i="15"/>
  <c r="I3325" i="15"/>
  <c r="J3325" i="15"/>
  <c r="K3325" i="15"/>
  <c r="L3325" i="15"/>
  <c r="M3325" i="15"/>
  <c r="N3325" i="15"/>
  <c r="A3326" i="15"/>
  <c r="B3326" i="15"/>
  <c r="C3326" i="15"/>
  <c r="D3326" i="15"/>
  <c r="E3326" i="15"/>
  <c r="F3326" i="15"/>
  <c r="G3326" i="15"/>
  <c r="H3326" i="15"/>
  <c r="I3326" i="15"/>
  <c r="J3326" i="15"/>
  <c r="K3326" i="15"/>
  <c r="L3326" i="15"/>
  <c r="M3326" i="15"/>
  <c r="N3326" i="15"/>
  <c r="A3327" i="15"/>
  <c r="B3327" i="15"/>
  <c r="C3327" i="15"/>
  <c r="D3327" i="15"/>
  <c r="E3327" i="15"/>
  <c r="F3327" i="15"/>
  <c r="G3327" i="15"/>
  <c r="H3327" i="15"/>
  <c r="I3327" i="15"/>
  <c r="J3327" i="15"/>
  <c r="K3327" i="15"/>
  <c r="L3327" i="15"/>
  <c r="M3327" i="15"/>
  <c r="N3327" i="15"/>
  <c r="A3328" i="15"/>
  <c r="B3328" i="15"/>
  <c r="C3328" i="15"/>
  <c r="D3328" i="15"/>
  <c r="E3328" i="15"/>
  <c r="F3328" i="15"/>
  <c r="G3328" i="15"/>
  <c r="H3328" i="15"/>
  <c r="I3328" i="15"/>
  <c r="J3328" i="15"/>
  <c r="K3328" i="15"/>
  <c r="L3328" i="15"/>
  <c r="M3328" i="15"/>
  <c r="N3328" i="15"/>
  <c r="A3329" i="15"/>
  <c r="B3329" i="15"/>
  <c r="C3329" i="15"/>
  <c r="D3329" i="15"/>
  <c r="E3329" i="15"/>
  <c r="F3329" i="15"/>
  <c r="G3329" i="15"/>
  <c r="H3329" i="15"/>
  <c r="I3329" i="15"/>
  <c r="J3329" i="15"/>
  <c r="K3329" i="15"/>
  <c r="L3329" i="15"/>
  <c r="M3329" i="15"/>
  <c r="N3329" i="15"/>
  <c r="A3330" i="15"/>
  <c r="B3330" i="15"/>
  <c r="C3330" i="15"/>
  <c r="D3330" i="15"/>
  <c r="E3330" i="15"/>
  <c r="F3330" i="15"/>
  <c r="G3330" i="15"/>
  <c r="H3330" i="15"/>
  <c r="I3330" i="15"/>
  <c r="J3330" i="15"/>
  <c r="K3330" i="15"/>
  <c r="L3330" i="15"/>
  <c r="M3330" i="15"/>
  <c r="N3330" i="15"/>
  <c r="A3331" i="15"/>
  <c r="B3331" i="15"/>
  <c r="C3331" i="15"/>
  <c r="D3331" i="15"/>
  <c r="E3331" i="15"/>
  <c r="F3331" i="15"/>
  <c r="G3331" i="15"/>
  <c r="H3331" i="15"/>
  <c r="I3331" i="15"/>
  <c r="J3331" i="15"/>
  <c r="K3331" i="15"/>
  <c r="L3331" i="15"/>
  <c r="M3331" i="15"/>
  <c r="N3331" i="15"/>
  <c r="A3332" i="15"/>
  <c r="B3332" i="15"/>
  <c r="C3332" i="15"/>
  <c r="D3332" i="15"/>
  <c r="E3332" i="15"/>
  <c r="F3332" i="15"/>
  <c r="G3332" i="15"/>
  <c r="H3332" i="15"/>
  <c r="I3332" i="15"/>
  <c r="J3332" i="15"/>
  <c r="K3332" i="15"/>
  <c r="L3332" i="15"/>
  <c r="M3332" i="15"/>
  <c r="N3332" i="15"/>
  <c r="A3333" i="15"/>
  <c r="B3333" i="15"/>
  <c r="C3333" i="15"/>
  <c r="D3333" i="15"/>
  <c r="E3333" i="15"/>
  <c r="F3333" i="15"/>
  <c r="G3333" i="15"/>
  <c r="H3333" i="15"/>
  <c r="I3333" i="15"/>
  <c r="J3333" i="15"/>
  <c r="K3333" i="15"/>
  <c r="L3333" i="15"/>
  <c r="M3333" i="15"/>
  <c r="N3333" i="15"/>
  <c r="A3334" i="15"/>
  <c r="B3334" i="15"/>
  <c r="C3334" i="15"/>
  <c r="D3334" i="15"/>
  <c r="E3334" i="15"/>
  <c r="F3334" i="15"/>
  <c r="G3334" i="15"/>
  <c r="H3334" i="15"/>
  <c r="I3334" i="15"/>
  <c r="J3334" i="15"/>
  <c r="K3334" i="15"/>
  <c r="L3334" i="15"/>
  <c r="M3334" i="15"/>
  <c r="N3334" i="15"/>
  <c r="A3335" i="15"/>
  <c r="B3335" i="15"/>
  <c r="C3335" i="15"/>
  <c r="D3335" i="15"/>
  <c r="E3335" i="15"/>
  <c r="F3335" i="15"/>
  <c r="G3335" i="15"/>
  <c r="H3335" i="15"/>
  <c r="I3335" i="15"/>
  <c r="J3335" i="15"/>
  <c r="K3335" i="15"/>
  <c r="L3335" i="15"/>
  <c r="M3335" i="15"/>
  <c r="N3335" i="15"/>
  <c r="A3336" i="15"/>
  <c r="B3336" i="15"/>
  <c r="C3336" i="15"/>
  <c r="D3336" i="15"/>
  <c r="E3336" i="15"/>
  <c r="F3336" i="15"/>
  <c r="G3336" i="15"/>
  <c r="H3336" i="15"/>
  <c r="I3336" i="15"/>
  <c r="J3336" i="15"/>
  <c r="K3336" i="15"/>
  <c r="L3336" i="15"/>
  <c r="M3336" i="15"/>
  <c r="N3336" i="15"/>
  <c r="A3337" i="15"/>
  <c r="B3337" i="15"/>
  <c r="C3337" i="15"/>
  <c r="D3337" i="15"/>
  <c r="E3337" i="15"/>
  <c r="F3337" i="15"/>
  <c r="G3337" i="15"/>
  <c r="H3337" i="15"/>
  <c r="I3337" i="15"/>
  <c r="J3337" i="15"/>
  <c r="K3337" i="15"/>
  <c r="L3337" i="15"/>
  <c r="M3337" i="15"/>
  <c r="N3337" i="15"/>
  <c r="A3338" i="15"/>
  <c r="B3338" i="15"/>
  <c r="C3338" i="15"/>
  <c r="D3338" i="15"/>
  <c r="E3338" i="15"/>
  <c r="F3338" i="15"/>
  <c r="G3338" i="15"/>
  <c r="H3338" i="15"/>
  <c r="I3338" i="15"/>
  <c r="J3338" i="15"/>
  <c r="K3338" i="15"/>
  <c r="L3338" i="15"/>
  <c r="M3338" i="15"/>
  <c r="N3338" i="15"/>
  <c r="A3339" i="15"/>
  <c r="B3339" i="15"/>
  <c r="C3339" i="15"/>
  <c r="D3339" i="15"/>
  <c r="E3339" i="15"/>
  <c r="F3339" i="15"/>
  <c r="G3339" i="15"/>
  <c r="H3339" i="15"/>
  <c r="I3339" i="15"/>
  <c r="J3339" i="15"/>
  <c r="K3339" i="15"/>
  <c r="L3339" i="15"/>
  <c r="M3339" i="15"/>
  <c r="N3339" i="15"/>
  <c r="A3340" i="15"/>
  <c r="B3340" i="15"/>
  <c r="C3340" i="15"/>
  <c r="D3340" i="15"/>
  <c r="E3340" i="15"/>
  <c r="F3340" i="15"/>
  <c r="G3340" i="15"/>
  <c r="H3340" i="15"/>
  <c r="I3340" i="15"/>
  <c r="J3340" i="15"/>
  <c r="K3340" i="15"/>
  <c r="L3340" i="15"/>
  <c r="M3340" i="15"/>
  <c r="N3340" i="15"/>
  <c r="A3341" i="15"/>
  <c r="B3341" i="15"/>
  <c r="C3341" i="15"/>
  <c r="D3341" i="15"/>
  <c r="E3341" i="15"/>
  <c r="F3341" i="15"/>
  <c r="G3341" i="15"/>
  <c r="H3341" i="15"/>
  <c r="I3341" i="15"/>
  <c r="J3341" i="15"/>
  <c r="K3341" i="15"/>
  <c r="L3341" i="15"/>
  <c r="M3341" i="15"/>
  <c r="N3341" i="15"/>
  <c r="A3342" i="15"/>
  <c r="B3342" i="15"/>
  <c r="C3342" i="15"/>
  <c r="D3342" i="15"/>
  <c r="E3342" i="15"/>
  <c r="F3342" i="15"/>
  <c r="G3342" i="15"/>
  <c r="H3342" i="15"/>
  <c r="I3342" i="15"/>
  <c r="J3342" i="15"/>
  <c r="K3342" i="15"/>
  <c r="L3342" i="15"/>
  <c r="M3342" i="15"/>
  <c r="N3342" i="15"/>
  <c r="A3343" i="15"/>
  <c r="B3343" i="15"/>
  <c r="C3343" i="15"/>
  <c r="D3343" i="15"/>
  <c r="E3343" i="15"/>
  <c r="F3343" i="15"/>
  <c r="G3343" i="15"/>
  <c r="H3343" i="15"/>
  <c r="I3343" i="15"/>
  <c r="J3343" i="15"/>
  <c r="K3343" i="15"/>
  <c r="L3343" i="15"/>
  <c r="M3343" i="15"/>
  <c r="N3343" i="15"/>
  <c r="A3344" i="15"/>
  <c r="B3344" i="15"/>
  <c r="C3344" i="15"/>
  <c r="D3344" i="15"/>
  <c r="E3344" i="15"/>
  <c r="F3344" i="15"/>
  <c r="G3344" i="15"/>
  <c r="H3344" i="15"/>
  <c r="I3344" i="15"/>
  <c r="J3344" i="15"/>
  <c r="K3344" i="15"/>
  <c r="L3344" i="15"/>
  <c r="M3344" i="15"/>
  <c r="N3344" i="15"/>
  <c r="A3345" i="15"/>
  <c r="B3345" i="15"/>
  <c r="C3345" i="15"/>
  <c r="D3345" i="15"/>
  <c r="E3345" i="15"/>
  <c r="F3345" i="15"/>
  <c r="G3345" i="15"/>
  <c r="H3345" i="15"/>
  <c r="I3345" i="15"/>
  <c r="J3345" i="15"/>
  <c r="K3345" i="15"/>
  <c r="L3345" i="15"/>
  <c r="M3345" i="15"/>
  <c r="N3345" i="15"/>
  <c r="A3346" i="15"/>
  <c r="B3346" i="15"/>
  <c r="C3346" i="15"/>
  <c r="D3346" i="15"/>
  <c r="E3346" i="15"/>
  <c r="F3346" i="15"/>
  <c r="G3346" i="15"/>
  <c r="H3346" i="15"/>
  <c r="I3346" i="15"/>
  <c r="J3346" i="15"/>
  <c r="K3346" i="15"/>
  <c r="L3346" i="15"/>
  <c r="M3346" i="15"/>
  <c r="N3346" i="15"/>
  <c r="A3347" i="15"/>
  <c r="B3347" i="15"/>
  <c r="C3347" i="15"/>
  <c r="D3347" i="15"/>
  <c r="E3347" i="15"/>
  <c r="F3347" i="15"/>
  <c r="G3347" i="15"/>
  <c r="H3347" i="15"/>
  <c r="I3347" i="15"/>
  <c r="J3347" i="15"/>
  <c r="K3347" i="15"/>
  <c r="L3347" i="15"/>
  <c r="M3347" i="15"/>
  <c r="N3347" i="15"/>
  <c r="A3348" i="15"/>
  <c r="B3348" i="15"/>
  <c r="C3348" i="15"/>
  <c r="D3348" i="15"/>
  <c r="E3348" i="15"/>
  <c r="F3348" i="15"/>
  <c r="G3348" i="15"/>
  <c r="H3348" i="15"/>
  <c r="I3348" i="15"/>
  <c r="J3348" i="15"/>
  <c r="K3348" i="15"/>
  <c r="L3348" i="15"/>
  <c r="M3348" i="15"/>
  <c r="N3348" i="15"/>
  <c r="A3349" i="15"/>
  <c r="B3349" i="15"/>
  <c r="C3349" i="15"/>
  <c r="D3349" i="15"/>
  <c r="E3349" i="15"/>
  <c r="F3349" i="15"/>
  <c r="G3349" i="15"/>
  <c r="H3349" i="15"/>
  <c r="I3349" i="15"/>
  <c r="J3349" i="15"/>
  <c r="K3349" i="15"/>
  <c r="L3349" i="15"/>
  <c r="M3349" i="15"/>
  <c r="N3349" i="15"/>
  <c r="A3350" i="15"/>
  <c r="B3350" i="15"/>
  <c r="C3350" i="15"/>
  <c r="D3350" i="15"/>
  <c r="E3350" i="15"/>
  <c r="F3350" i="15"/>
  <c r="G3350" i="15"/>
  <c r="H3350" i="15"/>
  <c r="I3350" i="15"/>
  <c r="J3350" i="15"/>
  <c r="K3350" i="15"/>
  <c r="L3350" i="15"/>
  <c r="M3350" i="15"/>
  <c r="N3350" i="15"/>
  <c r="A3351" i="15"/>
  <c r="B3351" i="15"/>
  <c r="C3351" i="15"/>
  <c r="D3351" i="15"/>
  <c r="E3351" i="15"/>
  <c r="F3351" i="15"/>
  <c r="G3351" i="15"/>
  <c r="H3351" i="15"/>
  <c r="I3351" i="15"/>
  <c r="J3351" i="15"/>
  <c r="K3351" i="15"/>
  <c r="L3351" i="15"/>
  <c r="M3351" i="15"/>
  <c r="N3351" i="15"/>
  <c r="A3352" i="15"/>
  <c r="B3352" i="15"/>
  <c r="C3352" i="15"/>
  <c r="D3352" i="15"/>
  <c r="E3352" i="15"/>
  <c r="F3352" i="15"/>
  <c r="G3352" i="15"/>
  <c r="H3352" i="15"/>
  <c r="I3352" i="15"/>
  <c r="J3352" i="15"/>
  <c r="K3352" i="15"/>
  <c r="L3352" i="15"/>
  <c r="M3352" i="15"/>
  <c r="N3352" i="15"/>
  <c r="A3353" i="15"/>
  <c r="B3353" i="15"/>
  <c r="C3353" i="15"/>
  <c r="D3353" i="15"/>
  <c r="E3353" i="15"/>
  <c r="F3353" i="15"/>
  <c r="G3353" i="15"/>
  <c r="H3353" i="15"/>
  <c r="I3353" i="15"/>
  <c r="J3353" i="15"/>
  <c r="K3353" i="15"/>
  <c r="L3353" i="15"/>
  <c r="M3353" i="15"/>
  <c r="N3353" i="15"/>
  <c r="A3354" i="15"/>
  <c r="B3354" i="15"/>
  <c r="C3354" i="15"/>
  <c r="D3354" i="15"/>
  <c r="E3354" i="15"/>
  <c r="F3354" i="15"/>
  <c r="G3354" i="15"/>
  <c r="H3354" i="15"/>
  <c r="I3354" i="15"/>
  <c r="J3354" i="15"/>
  <c r="K3354" i="15"/>
  <c r="L3354" i="15"/>
  <c r="M3354" i="15"/>
  <c r="N3354" i="15"/>
  <c r="A3355" i="15"/>
  <c r="B3355" i="15"/>
  <c r="C3355" i="15"/>
  <c r="D3355" i="15"/>
  <c r="E3355" i="15"/>
  <c r="F3355" i="15"/>
  <c r="G3355" i="15"/>
  <c r="H3355" i="15"/>
  <c r="I3355" i="15"/>
  <c r="J3355" i="15"/>
  <c r="K3355" i="15"/>
  <c r="L3355" i="15"/>
  <c r="M3355" i="15"/>
  <c r="N3355" i="15"/>
  <c r="A3356" i="15"/>
  <c r="B3356" i="15"/>
  <c r="C3356" i="15"/>
  <c r="D3356" i="15"/>
  <c r="E3356" i="15"/>
  <c r="F3356" i="15"/>
  <c r="G3356" i="15"/>
  <c r="H3356" i="15"/>
  <c r="I3356" i="15"/>
  <c r="J3356" i="15"/>
  <c r="K3356" i="15"/>
  <c r="L3356" i="15"/>
  <c r="M3356" i="15"/>
  <c r="N3356" i="15"/>
  <c r="A3357" i="15"/>
  <c r="B3357" i="15"/>
  <c r="C3357" i="15"/>
  <c r="D3357" i="15"/>
  <c r="E3357" i="15"/>
  <c r="F3357" i="15"/>
  <c r="G3357" i="15"/>
  <c r="H3357" i="15"/>
  <c r="I3357" i="15"/>
  <c r="J3357" i="15"/>
  <c r="K3357" i="15"/>
  <c r="L3357" i="15"/>
  <c r="M3357" i="15"/>
  <c r="N3357" i="15"/>
  <c r="A3358" i="15"/>
  <c r="B3358" i="15"/>
  <c r="C3358" i="15"/>
  <c r="D3358" i="15"/>
  <c r="E3358" i="15"/>
  <c r="F3358" i="15"/>
  <c r="G3358" i="15"/>
  <c r="H3358" i="15"/>
  <c r="I3358" i="15"/>
  <c r="J3358" i="15"/>
  <c r="K3358" i="15"/>
  <c r="L3358" i="15"/>
  <c r="M3358" i="15"/>
  <c r="N3358" i="15"/>
  <c r="A3359" i="15"/>
  <c r="B3359" i="15"/>
  <c r="C3359" i="15"/>
  <c r="D3359" i="15"/>
  <c r="E3359" i="15"/>
  <c r="F3359" i="15"/>
  <c r="G3359" i="15"/>
  <c r="H3359" i="15"/>
  <c r="I3359" i="15"/>
  <c r="J3359" i="15"/>
  <c r="K3359" i="15"/>
  <c r="L3359" i="15"/>
  <c r="M3359" i="15"/>
  <c r="N3359" i="15"/>
  <c r="A3360" i="15"/>
  <c r="B3360" i="15"/>
  <c r="C3360" i="15"/>
  <c r="D3360" i="15"/>
  <c r="E3360" i="15"/>
  <c r="F3360" i="15"/>
  <c r="G3360" i="15"/>
  <c r="H3360" i="15"/>
  <c r="I3360" i="15"/>
  <c r="J3360" i="15"/>
  <c r="K3360" i="15"/>
  <c r="L3360" i="15"/>
  <c r="M3360" i="15"/>
  <c r="N3360" i="15"/>
  <c r="A3361" i="15"/>
  <c r="B3361" i="15"/>
  <c r="C3361" i="15"/>
  <c r="D3361" i="15"/>
  <c r="E3361" i="15"/>
  <c r="F3361" i="15"/>
  <c r="G3361" i="15"/>
  <c r="H3361" i="15"/>
  <c r="I3361" i="15"/>
  <c r="J3361" i="15"/>
  <c r="K3361" i="15"/>
  <c r="L3361" i="15"/>
  <c r="M3361" i="15"/>
  <c r="N3361" i="15"/>
  <c r="A3362" i="15"/>
  <c r="B3362" i="15"/>
  <c r="C3362" i="15"/>
  <c r="D3362" i="15"/>
  <c r="E3362" i="15"/>
  <c r="F3362" i="15"/>
  <c r="G3362" i="15"/>
  <c r="H3362" i="15"/>
  <c r="I3362" i="15"/>
  <c r="J3362" i="15"/>
  <c r="K3362" i="15"/>
  <c r="L3362" i="15"/>
  <c r="M3362" i="15"/>
  <c r="N3362" i="15"/>
  <c r="A3363" i="15"/>
  <c r="B3363" i="15"/>
  <c r="C3363" i="15"/>
  <c r="D3363" i="15"/>
  <c r="E3363" i="15"/>
  <c r="F3363" i="15"/>
  <c r="G3363" i="15"/>
  <c r="H3363" i="15"/>
  <c r="I3363" i="15"/>
  <c r="J3363" i="15"/>
  <c r="K3363" i="15"/>
  <c r="L3363" i="15"/>
  <c r="M3363" i="15"/>
  <c r="N3363" i="15"/>
  <c r="A3364" i="15"/>
  <c r="B3364" i="15"/>
  <c r="C3364" i="15"/>
  <c r="D3364" i="15"/>
  <c r="E3364" i="15"/>
  <c r="F3364" i="15"/>
  <c r="G3364" i="15"/>
  <c r="H3364" i="15"/>
  <c r="I3364" i="15"/>
  <c r="J3364" i="15"/>
  <c r="K3364" i="15"/>
  <c r="L3364" i="15"/>
  <c r="M3364" i="15"/>
  <c r="N3364" i="15"/>
  <c r="A3365" i="15"/>
  <c r="B3365" i="15"/>
  <c r="C3365" i="15"/>
  <c r="D3365" i="15"/>
  <c r="E3365" i="15"/>
  <c r="F3365" i="15"/>
  <c r="G3365" i="15"/>
  <c r="H3365" i="15"/>
  <c r="I3365" i="15"/>
  <c r="J3365" i="15"/>
  <c r="K3365" i="15"/>
  <c r="L3365" i="15"/>
  <c r="M3365" i="15"/>
  <c r="N3365" i="15"/>
  <c r="A3366" i="15"/>
  <c r="B3366" i="15"/>
  <c r="C3366" i="15"/>
  <c r="D3366" i="15"/>
  <c r="E3366" i="15"/>
  <c r="F3366" i="15"/>
  <c r="G3366" i="15"/>
  <c r="H3366" i="15"/>
  <c r="I3366" i="15"/>
  <c r="J3366" i="15"/>
  <c r="K3366" i="15"/>
  <c r="L3366" i="15"/>
  <c r="M3366" i="15"/>
  <c r="N3366" i="15"/>
  <c r="A3367" i="15"/>
  <c r="B3367" i="15"/>
  <c r="C3367" i="15"/>
  <c r="D3367" i="15"/>
  <c r="E3367" i="15"/>
  <c r="F3367" i="15"/>
  <c r="G3367" i="15"/>
  <c r="H3367" i="15"/>
  <c r="I3367" i="15"/>
  <c r="J3367" i="15"/>
  <c r="K3367" i="15"/>
  <c r="L3367" i="15"/>
  <c r="M3367" i="15"/>
  <c r="N3367" i="15"/>
  <c r="A3368" i="15"/>
  <c r="B3368" i="15"/>
  <c r="C3368" i="15"/>
  <c r="D3368" i="15"/>
  <c r="E3368" i="15"/>
  <c r="F3368" i="15"/>
  <c r="G3368" i="15"/>
  <c r="H3368" i="15"/>
  <c r="I3368" i="15"/>
  <c r="J3368" i="15"/>
  <c r="K3368" i="15"/>
  <c r="L3368" i="15"/>
  <c r="M3368" i="15"/>
  <c r="N3368" i="15"/>
  <c r="A3369" i="15"/>
  <c r="B3369" i="15"/>
  <c r="C3369" i="15"/>
  <c r="D3369" i="15"/>
  <c r="E3369" i="15"/>
  <c r="F3369" i="15"/>
  <c r="G3369" i="15"/>
  <c r="H3369" i="15"/>
  <c r="I3369" i="15"/>
  <c r="J3369" i="15"/>
  <c r="K3369" i="15"/>
  <c r="L3369" i="15"/>
  <c r="M3369" i="15"/>
  <c r="N3369" i="15"/>
  <c r="A3370" i="15"/>
  <c r="B3370" i="15"/>
  <c r="C3370" i="15"/>
  <c r="D3370" i="15"/>
  <c r="E3370" i="15"/>
  <c r="F3370" i="15"/>
  <c r="G3370" i="15"/>
  <c r="H3370" i="15"/>
  <c r="I3370" i="15"/>
  <c r="J3370" i="15"/>
  <c r="K3370" i="15"/>
  <c r="L3370" i="15"/>
  <c r="M3370" i="15"/>
  <c r="N3370" i="15"/>
  <c r="A3371" i="15"/>
  <c r="B3371" i="15"/>
  <c r="C3371" i="15"/>
  <c r="D3371" i="15"/>
  <c r="E3371" i="15"/>
  <c r="F3371" i="15"/>
  <c r="G3371" i="15"/>
  <c r="H3371" i="15"/>
  <c r="I3371" i="15"/>
  <c r="J3371" i="15"/>
  <c r="K3371" i="15"/>
  <c r="L3371" i="15"/>
  <c r="M3371" i="15"/>
  <c r="N3371" i="15"/>
  <c r="A3372" i="15"/>
  <c r="B3372" i="15"/>
  <c r="C3372" i="15"/>
  <c r="D3372" i="15"/>
  <c r="E3372" i="15"/>
  <c r="F3372" i="15"/>
  <c r="G3372" i="15"/>
  <c r="H3372" i="15"/>
  <c r="I3372" i="15"/>
  <c r="J3372" i="15"/>
  <c r="K3372" i="15"/>
  <c r="L3372" i="15"/>
  <c r="M3372" i="15"/>
  <c r="N3372" i="15"/>
  <c r="A3373" i="15"/>
  <c r="B3373" i="15"/>
  <c r="C3373" i="15"/>
  <c r="D3373" i="15"/>
  <c r="E3373" i="15"/>
  <c r="F3373" i="15"/>
  <c r="G3373" i="15"/>
  <c r="H3373" i="15"/>
  <c r="I3373" i="15"/>
  <c r="J3373" i="15"/>
  <c r="K3373" i="15"/>
  <c r="L3373" i="15"/>
  <c r="M3373" i="15"/>
  <c r="N3373" i="15"/>
  <c r="A3374" i="15"/>
  <c r="B3374" i="15"/>
  <c r="C3374" i="15"/>
  <c r="D3374" i="15"/>
  <c r="E3374" i="15"/>
  <c r="F3374" i="15"/>
  <c r="G3374" i="15"/>
  <c r="H3374" i="15"/>
  <c r="I3374" i="15"/>
  <c r="J3374" i="15"/>
  <c r="K3374" i="15"/>
  <c r="L3374" i="15"/>
  <c r="M3374" i="15"/>
  <c r="N3374" i="15"/>
  <c r="A3375" i="15"/>
  <c r="B3375" i="15"/>
  <c r="C3375" i="15"/>
  <c r="D3375" i="15"/>
  <c r="E3375" i="15"/>
  <c r="F3375" i="15"/>
  <c r="G3375" i="15"/>
  <c r="H3375" i="15"/>
  <c r="I3375" i="15"/>
  <c r="J3375" i="15"/>
  <c r="K3375" i="15"/>
  <c r="L3375" i="15"/>
  <c r="M3375" i="15"/>
  <c r="N3375" i="15"/>
  <c r="B1" i="15"/>
  <c r="C1" i="15"/>
  <c r="D1" i="15"/>
  <c r="E1" i="15"/>
  <c r="F1" i="15"/>
  <c r="G1" i="15"/>
  <c r="H1" i="15"/>
  <c r="I1" i="15"/>
  <c r="J1" i="15"/>
  <c r="K1" i="15"/>
  <c r="L1" i="15"/>
  <c r="M1" i="15"/>
  <c r="N1" i="15"/>
  <c r="A1" i="15"/>
  <c r="A2" i="14"/>
  <c r="B2" i="14"/>
  <c r="C2" i="14"/>
  <c r="D2" i="14"/>
  <c r="E2" i="14"/>
  <c r="F2" i="14"/>
  <c r="G2" i="14"/>
  <c r="H2" i="14"/>
  <c r="A3" i="14"/>
  <c r="B3" i="14"/>
  <c r="C3" i="14"/>
  <c r="D3" i="14"/>
  <c r="E3" i="14"/>
  <c r="F3" i="14"/>
  <c r="G3" i="14"/>
  <c r="H3" i="14"/>
  <c r="A4" i="14"/>
  <c r="B4" i="14"/>
  <c r="C4" i="14"/>
  <c r="D4" i="14"/>
  <c r="E4" i="14"/>
  <c r="F4" i="14"/>
  <c r="G4" i="14"/>
  <c r="H4" i="14"/>
  <c r="A5" i="14"/>
  <c r="B5" i="14"/>
  <c r="C5" i="14"/>
  <c r="D5" i="14"/>
  <c r="E5" i="14"/>
  <c r="F5" i="14"/>
  <c r="G5" i="14"/>
  <c r="H5" i="14"/>
  <c r="A6" i="14"/>
  <c r="B6" i="14"/>
  <c r="C6" i="14"/>
  <c r="D6" i="14"/>
  <c r="E6" i="14"/>
  <c r="F6" i="14"/>
  <c r="G6" i="14"/>
  <c r="H6" i="14"/>
  <c r="A7" i="14"/>
  <c r="B7" i="14"/>
  <c r="C7" i="14"/>
  <c r="D7" i="14"/>
  <c r="E7" i="14"/>
  <c r="F7" i="14"/>
  <c r="G7" i="14"/>
  <c r="H7" i="14"/>
  <c r="A8" i="14"/>
  <c r="B8" i="14"/>
  <c r="C8" i="14"/>
  <c r="D8" i="14"/>
  <c r="E8" i="14"/>
  <c r="F8" i="14"/>
  <c r="G8" i="14"/>
  <c r="H8" i="14"/>
  <c r="A9" i="14"/>
  <c r="B9" i="14"/>
  <c r="C9" i="14"/>
  <c r="D9" i="14"/>
  <c r="E9" i="14"/>
  <c r="F9" i="14"/>
  <c r="G9" i="14"/>
  <c r="H9" i="14"/>
  <c r="A10" i="14"/>
  <c r="B10" i="14"/>
  <c r="C10" i="14"/>
  <c r="D10" i="14"/>
  <c r="E10" i="14"/>
  <c r="F10" i="14"/>
  <c r="G10" i="14"/>
  <c r="H10" i="14"/>
  <c r="A11" i="14"/>
  <c r="B11" i="14"/>
  <c r="C11" i="14"/>
  <c r="D11" i="14"/>
  <c r="E11" i="14"/>
  <c r="F11" i="14"/>
  <c r="G11" i="14"/>
  <c r="H11" i="14"/>
  <c r="A12" i="14"/>
  <c r="B12" i="14"/>
  <c r="C12" i="14"/>
  <c r="D12" i="14"/>
  <c r="E12" i="14"/>
  <c r="F12" i="14"/>
  <c r="G12" i="14"/>
  <c r="H12" i="14"/>
  <c r="A13" i="14"/>
  <c r="B13" i="14"/>
  <c r="C13" i="14"/>
  <c r="D13" i="14"/>
  <c r="E13" i="14"/>
  <c r="F13" i="14"/>
  <c r="G13" i="14"/>
  <c r="H13" i="14"/>
  <c r="A14" i="14"/>
  <c r="B14" i="14"/>
  <c r="C14" i="14"/>
  <c r="D14" i="14"/>
  <c r="E14" i="14"/>
  <c r="F14" i="14"/>
  <c r="G14" i="14"/>
  <c r="H14" i="14"/>
  <c r="A15" i="14"/>
  <c r="B15" i="14"/>
  <c r="C15" i="14"/>
  <c r="D15" i="14"/>
  <c r="E15" i="14"/>
  <c r="F15" i="14"/>
  <c r="G15" i="14"/>
  <c r="H15" i="14"/>
  <c r="A16" i="14"/>
  <c r="B16" i="14"/>
  <c r="C16" i="14"/>
  <c r="D16" i="14"/>
  <c r="E16" i="14"/>
  <c r="F16" i="14"/>
  <c r="G16" i="14"/>
  <c r="H16" i="14"/>
  <c r="A17" i="14"/>
  <c r="B17" i="14"/>
  <c r="C17" i="14"/>
  <c r="D17" i="14"/>
  <c r="E17" i="14"/>
  <c r="F17" i="14"/>
  <c r="G17" i="14"/>
  <c r="H17" i="14"/>
  <c r="A18" i="14"/>
  <c r="B18" i="14"/>
  <c r="C18" i="14"/>
  <c r="D18" i="14"/>
  <c r="E18" i="14"/>
  <c r="F18" i="14"/>
  <c r="G18" i="14"/>
  <c r="H18" i="14"/>
  <c r="A19" i="14"/>
  <c r="B19" i="14"/>
  <c r="C19" i="14"/>
  <c r="D19" i="14"/>
  <c r="E19" i="14"/>
  <c r="F19" i="14"/>
  <c r="G19" i="14"/>
  <c r="H19" i="14"/>
  <c r="A20" i="14"/>
  <c r="B20" i="14"/>
  <c r="C20" i="14"/>
  <c r="D20" i="14"/>
  <c r="E20" i="14"/>
  <c r="F20" i="14"/>
  <c r="G20" i="14"/>
  <c r="H20" i="14"/>
  <c r="A21" i="14"/>
  <c r="B21" i="14"/>
  <c r="C21" i="14"/>
  <c r="D21" i="14"/>
  <c r="E21" i="14"/>
  <c r="F21" i="14"/>
  <c r="G21" i="14"/>
  <c r="H21" i="14"/>
  <c r="A22" i="14"/>
  <c r="B22" i="14"/>
  <c r="C22" i="14"/>
  <c r="D22" i="14"/>
  <c r="E22" i="14"/>
  <c r="F22" i="14"/>
  <c r="G22" i="14"/>
  <c r="H22" i="14"/>
  <c r="A23" i="14"/>
  <c r="B23" i="14"/>
  <c r="C23" i="14"/>
  <c r="D23" i="14"/>
  <c r="E23" i="14"/>
  <c r="F23" i="14"/>
  <c r="G23" i="14"/>
  <c r="H23" i="14"/>
  <c r="A24" i="14"/>
  <c r="B24" i="14"/>
  <c r="C24" i="14"/>
  <c r="D24" i="14"/>
  <c r="E24" i="14"/>
  <c r="F24" i="14"/>
  <c r="G24" i="14"/>
  <c r="H24" i="14"/>
  <c r="A25" i="14"/>
  <c r="B25" i="14"/>
  <c r="C25" i="14"/>
  <c r="D25" i="14"/>
  <c r="E25" i="14"/>
  <c r="F25" i="14"/>
  <c r="G25" i="14"/>
  <c r="H25" i="14"/>
  <c r="A26" i="14"/>
  <c r="B26" i="14"/>
  <c r="C26" i="14"/>
  <c r="D26" i="14"/>
  <c r="E26" i="14"/>
  <c r="F26" i="14"/>
  <c r="G26" i="14"/>
  <c r="H26" i="14"/>
  <c r="A27" i="14"/>
  <c r="B27" i="14"/>
  <c r="C27" i="14"/>
  <c r="D27" i="14"/>
  <c r="E27" i="14"/>
  <c r="F27" i="14"/>
  <c r="G27" i="14"/>
  <c r="H27" i="14"/>
  <c r="A28" i="14"/>
  <c r="B28" i="14"/>
  <c r="C28" i="14"/>
  <c r="D28" i="14"/>
  <c r="E28" i="14"/>
  <c r="F28" i="14"/>
  <c r="G28" i="14"/>
  <c r="H28" i="14"/>
  <c r="A29" i="14"/>
  <c r="B29" i="14"/>
  <c r="C29" i="14"/>
  <c r="D29" i="14"/>
  <c r="E29" i="14"/>
  <c r="F29" i="14"/>
  <c r="G29" i="14"/>
  <c r="H29" i="14"/>
  <c r="A30" i="14"/>
  <c r="B30" i="14"/>
  <c r="C30" i="14"/>
  <c r="D30" i="14"/>
  <c r="E30" i="14"/>
  <c r="F30" i="14"/>
  <c r="G30" i="14"/>
  <c r="H30" i="14"/>
  <c r="A31" i="14"/>
  <c r="B31" i="14"/>
  <c r="C31" i="14"/>
  <c r="D31" i="14"/>
  <c r="E31" i="14"/>
  <c r="F31" i="14"/>
  <c r="G31" i="14"/>
  <c r="H31" i="14"/>
  <c r="A32" i="14"/>
  <c r="B32" i="14"/>
  <c r="C32" i="14"/>
  <c r="D32" i="14"/>
  <c r="E32" i="14"/>
  <c r="F32" i="14"/>
  <c r="G32" i="14"/>
  <c r="H32" i="14"/>
  <c r="A33" i="14"/>
  <c r="B33" i="14"/>
  <c r="C33" i="14"/>
  <c r="D33" i="14"/>
  <c r="E33" i="14"/>
  <c r="F33" i="14"/>
  <c r="G33" i="14"/>
  <c r="H33" i="14"/>
  <c r="A34" i="14"/>
  <c r="B34" i="14"/>
  <c r="C34" i="14"/>
  <c r="D34" i="14"/>
  <c r="E34" i="14"/>
  <c r="F34" i="14"/>
  <c r="G34" i="14"/>
  <c r="H34" i="14"/>
  <c r="A35" i="14"/>
  <c r="B35" i="14"/>
  <c r="C35" i="14"/>
  <c r="D35" i="14"/>
  <c r="E35" i="14"/>
  <c r="F35" i="14"/>
  <c r="G35" i="14"/>
  <c r="H35" i="14"/>
  <c r="A36" i="14"/>
  <c r="B36" i="14"/>
  <c r="C36" i="14"/>
  <c r="D36" i="14"/>
  <c r="E36" i="14"/>
  <c r="F36" i="14"/>
  <c r="G36" i="14"/>
  <c r="H36" i="14"/>
  <c r="A37" i="14"/>
  <c r="B37" i="14"/>
  <c r="C37" i="14"/>
  <c r="D37" i="14"/>
  <c r="E37" i="14"/>
  <c r="F37" i="14"/>
  <c r="G37" i="14"/>
  <c r="H37" i="14"/>
  <c r="A38" i="14"/>
  <c r="B38" i="14"/>
  <c r="C38" i="14"/>
  <c r="D38" i="14"/>
  <c r="E38" i="14"/>
  <c r="F38" i="14"/>
  <c r="G38" i="14"/>
  <c r="H38" i="14"/>
  <c r="A39" i="14"/>
  <c r="B39" i="14"/>
  <c r="C39" i="14"/>
  <c r="D39" i="14"/>
  <c r="E39" i="14"/>
  <c r="F39" i="14"/>
  <c r="G39" i="14"/>
  <c r="H39" i="14"/>
  <c r="A40" i="14"/>
  <c r="B40" i="14"/>
  <c r="C40" i="14"/>
  <c r="D40" i="14"/>
  <c r="E40" i="14"/>
  <c r="F40" i="14"/>
  <c r="G40" i="14"/>
  <c r="H40" i="14"/>
  <c r="A41" i="14"/>
  <c r="B41" i="14"/>
  <c r="C41" i="14"/>
  <c r="D41" i="14"/>
  <c r="E41" i="14"/>
  <c r="F41" i="14"/>
  <c r="G41" i="14"/>
  <c r="H41" i="14"/>
  <c r="A42" i="14"/>
  <c r="B42" i="14"/>
  <c r="C42" i="14"/>
  <c r="D42" i="14"/>
  <c r="E42" i="14"/>
  <c r="F42" i="14"/>
  <c r="G42" i="14"/>
  <c r="H42" i="14"/>
  <c r="A43" i="14"/>
  <c r="B43" i="14"/>
  <c r="C43" i="14"/>
  <c r="D43" i="14"/>
  <c r="E43" i="14"/>
  <c r="F43" i="14"/>
  <c r="G43" i="14"/>
  <c r="H43" i="14"/>
  <c r="A44" i="14"/>
  <c r="B44" i="14"/>
  <c r="C44" i="14"/>
  <c r="D44" i="14"/>
  <c r="E44" i="14"/>
  <c r="F44" i="14"/>
  <c r="G44" i="14"/>
  <c r="H44" i="14"/>
  <c r="A45" i="14"/>
  <c r="B45" i="14"/>
  <c r="C45" i="14"/>
  <c r="D45" i="14"/>
  <c r="E45" i="14"/>
  <c r="F45" i="14"/>
  <c r="G45" i="14"/>
  <c r="H45" i="14"/>
  <c r="A46" i="14"/>
  <c r="B46" i="14"/>
  <c r="C46" i="14"/>
  <c r="D46" i="14"/>
  <c r="E46" i="14"/>
  <c r="F46" i="14"/>
  <c r="G46" i="14"/>
  <c r="H46" i="14"/>
  <c r="A47" i="14"/>
  <c r="B47" i="14"/>
  <c r="C47" i="14"/>
  <c r="D47" i="14"/>
  <c r="E47" i="14"/>
  <c r="F47" i="14"/>
  <c r="G47" i="14"/>
  <c r="H47" i="14"/>
  <c r="A48" i="14"/>
  <c r="B48" i="14"/>
  <c r="C48" i="14"/>
  <c r="D48" i="14"/>
  <c r="E48" i="14"/>
  <c r="F48" i="14"/>
  <c r="G48" i="14"/>
  <c r="H48" i="14"/>
  <c r="A49" i="14"/>
  <c r="B49" i="14"/>
  <c r="C49" i="14"/>
  <c r="D49" i="14"/>
  <c r="E49" i="14"/>
  <c r="F49" i="14"/>
  <c r="G49" i="14"/>
  <c r="H49" i="14"/>
  <c r="A50" i="14"/>
  <c r="B50" i="14"/>
  <c r="C50" i="14"/>
  <c r="D50" i="14"/>
  <c r="E50" i="14"/>
  <c r="F50" i="14"/>
  <c r="G50" i="14"/>
  <c r="H50" i="14"/>
  <c r="A51" i="14"/>
  <c r="B51" i="14"/>
  <c r="C51" i="14"/>
  <c r="D51" i="14"/>
  <c r="E51" i="14"/>
  <c r="F51" i="14"/>
  <c r="G51" i="14"/>
  <c r="H51" i="14"/>
  <c r="A52" i="14"/>
  <c r="B52" i="14"/>
  <c r="C52" i="14"/>
  <c r="D52" i="14"/>
  <c r="E52" i="14"/>
  <c r="F52" i="14"/>
  <c r="G52" i="14"/>
  <c r="H52" i="14"/>
  <c r="A53" i="14"/>
  <c r="B53" i="14"/>
  <c r="C53" i="14"/>
  <c r="D53" i="14"/>
  <c r="E53" i="14"/>
  <c r="F53" i="14"/>
  <c r="G53" i="14"/>
  <c r="H53" i="14"/>
  <c r="A54" i="14"/>
  <c r="B54" i="14"/>
  <c r="C54" i="14"/>
  <c r="D54" i="14"/>
  <c r="E54" i="14"/>
  <c r="F54" i="14"/>
  <c r="G54" i="14"/>
  <c r="H54" i="14"/>
  <c r="A55" i="14"/>
  <c r="B55" i="14"/>
  <c r="C55" i="14"/>
  <c r="D55" i="14"/>
  <c r="E55" i="14"/>
  <c r="F55" i="14"/>
  <c r="G55" i="14"/>
  <c r="H55" i="14"/>
  <c r="A56" i="14"/>
  <c r="B56" i="14"/>
  <c r="C56" i="14"/>
  <c r="D56" i="14"/>
  <c r="E56" i="14"/>
  <c r="F56" i="14"/>
  <c r="G56" i="14"/>
  <c r="H56" i="14"/>
  <c r="A57" i="14"/>
  <c r="B57" i="14"/>
  <c r="C57" i="14"/>
  <c r="D57" i="14"/>
  <c r="E57" i="14"/>
  <c r="F57" i="14"/>
  <c r="G57" i="14"/>
  <c r="H57" i="14"/>
  <c r="A58" i="14"/>
  <c r="B58" i="14"/>
  <c r="C58" i="14"/>
  <c r="D58" i="14"/>
  <c r="E58" i="14"/>
  <c r="F58" i="14"/>
  <c r="G58" i="14"/>
  <c r="H58" i="14"/>
  <c r="A59" i="14"/>
  <c r="B59" i="14"/>
  <c r="C59" i="14"/>
  <c r="D59" i="14"/>
  <c r="E59" i="14"/>
  <c r="F59" i="14"/>
  <c r="G59" i="14"/>
  <c r="H59" i="14"/>
  <c r="A60" i="14"/>
  <c r="B60" i="14"/>
  <c r="C60" i="14"/>
  <c r="D60" i="14"/>
  <c r="E60" i="14"/>
  <c r="F60" i="14"/>
  <c r="G60" i="14"/>
  <c r="H60" i="14"/>
  <c r="A61" i="14"/>
  <c r="B61" i="14"/>
  <c r="C61" i="14"/>
  <c r="D61" i="14"/>
  <c r="E61" i="14"/>
  <c r="F61" i="14"/>
  <c r="G61" i="14"/>
  <c r="H61" i="14"/>
  <c r="A62" i="14"/>
  <c r="B62" i="14"/>
  <c r="C62" i="14"/>
  <c r="D62" i="14"/>
  <c r="E62" i="14"/>
  <c r="F62" i="14"/>
  <c r="G62" i="14"/>
  <c r="H62" i="14"/>
  <c r="A63" i="14"/>
  <c r="B63" i="14"/>
  <c r="C63" i="14"/>
  <c r="D63" i="14"/>
  <c r="E63" i="14"/>
  <c r="F63" i="14"/>
  <c r="G63" i="14"/>
  <c r="H63" i="14"/>
  <c r="A64" i="14"/>
  <c r="B64" i="14"/>
  <c r="C64" i="14"/>
  <c r="D64" i="14"/>
  <c r="E64" i="14"/>
  <c r="F64" i="14"/>
  <c r="G64" i="14"/>
  <c r="H64" i="14"/>
  <c r="A65" i="14"/>
  <c r="B65" i="14"/>
  <c r="C65" i="14"/>
  <c r="D65" i="14"/>
  <c r="E65" i="14"/>
  <c r="F65" i="14"/>
  <c r="G65" i="14"/>
  <c r="H65" i="14"/>
  <c r="A66" i="14"/>
  <c r="B66" i="14"/>
  <c r="C66" i="14"/>
  <c r="D66" i="14"/>
  <c r="E66" i="14"/>
  <c r="F66" i="14"/>
  <c r="G66" i="14"/>
  <c r="H66" i="14"/>
  <c r="A67" i="14"/>
  <c r="B67" i="14"/>
  <c r="C67" i="14"/>
  <c r="D67" i="14"/>
  <c r="E67" i="14"/>
  <c r="F67" i="14"/>
  <c r="G67" i="14"/>
  <c r="H67" i="14"/>
  <c r="A68" i="14"/>
  <c r="B68" i="14"/>
  <c r="C68" i="14"/>
  <c r="D68" i="14"/>
  <c r="E68" i="14"/>
  <c r="F68" i="14"/>
  <c r="G68" i="14"/>
  <c r="H68" i="14"/>
  <c r="A69" i="14"/>
  <c r="B69" i="14"/>
  <c r="C69" i="14"/>
  <c r="D69" i="14"/>
  <c r="E69" i="14"/>
  <c r="F69" i="14"/>
  <c r="G69" i="14"/>
  <c r="H69" i="14"/>
  <c r="A70" i="14"/>
  <c r="B70" i="14"/>
  <c r="C70" i="14"/>
  <c r="D70" i="14"/>
  <c r="E70" i="14"/>
  <c r="F70" i="14"/>
  <c r="G70" i="14"/>
  <c r="H70" i="14"/>
  <c r="A71" i="14"/>
  <c r="B71" i="14"/>
  <c r="C71" i="14"/>
  <c r="D71" i="14"/>
  <c r="E71" i="14"/>
  <c r="F71" i="14"/>
  <c r="G71" i="14"/>
  <c r="H71" i="14"/>
  <c r="A72" i="14"/>
  <c r="B72" i="14"/>
  <c r="C72" i="14"/>
  <c r="D72" i="14"/>
  <c r="E72" i="14"/>
  <c r="F72" i="14"/>
  <c r="G72" i="14"/>
  <c r="H72" i="14"/>
  <c r="A73" i="14"/>
  <c r="B73" i="14"/>
  <c r="C73" i="14"/>
  <c r="D73" i="14"/>
  <c r="E73" i="14"/>
  <c r="F73" i="14"/>
  <c r="G73" i="14"/>
  <c r="H73" i="14"/>
  <c r="A74" i="14"/>
  <c r="B74" i="14"/>
  <c r="C74" i="14"/>
  <c r="D74" i="14"/>
  <c r="E74" i="14"/>
  <c r="F74" i="14"/>
  <c r="G74" i="14"/>
  <c r="H74" i="14"/>
  <c r="A75" i="14"/>
  <c r="B75" i="14"/>
  <c r="C75" i="14"/>
  <c r="D75" i="14"/>
  <c r="E75" i="14"/>
  <c r="F75" i="14"/>
  <c r="G75" i="14"/>
  <c r="H75" i="14"/>
  <c r="A76" i="14"/>
  <c r="B76" i="14"/>
  <c r="C76" i="14"/>
  <c r="D76" i="14"/>
  <c r="E76" i="14"/>
  <c r="F76" i="14"/>
  <c r="G76" i="14"/>
  <c r="H76" i="14"/>
  <c r="A77" i="14"/>
  <c r="B77" i="14"/>
  <c r="C77" i="14"/>
  <c r="D77" i="14"/>
  <c r="E77" i="14"/>
  <c r="F77" i="14"/>
  <c r="G77" i="14"/>
  <c r="H77" i="14"/>
  <c r="A78" i="14"/>
  <c r="B78" i="14"/>
  <c r="C78" i="14"/>
  <c r="D78" i="14"/>
  <c r="E78" i="14"/>
  <c r="F78" i="14"/>
  <c r="G78" i="14"/>
  <c r="H78" i="14"/>
  <c r="A79" i="14"/>
  <c r="B79" i="14"/>
  <c r="C79" i="14"/>
  <c r="D79" i="14"/>
  <c r="E79" i="14"/>
  <c r="F79" i="14"/>
  <c r="G79" i="14"/>
  <c r="H79" i="14"/>
  <c r="A80" i="14"/>
  <c r="B80" i="14"/>
  <c r="C80" i="14"/>
  <c r="D80" i="14"/>
  <c r="E80" i="14"/>
  <c r="F80" i="14"/>
  <c r="G80" i="14"/>
  <c r="H80" i="14"/>
  <c r="A81" i="14"/>
  <c r="B81" i="14"/>
  <c r="C81" i="14"/>
  <c r="D81" i="14"/>
  <c r="E81" i="14"/>
  <c r="F81" i="14"/>
  <c r="G81" i="14"/>
  <c r="H81" i="14"/>
  <c r="A82" i="14"/>
  <c r="B82" i="14"/>
  <c r="C82" i="14"/>
  <c r="D82" i="14"/>
  <c r="E82" i="14"/>
  <c r="F82" i="14"/>
  <c r="G82" i="14"/>
  <c r="H82" i="14"/>
  <c r="A83" i="14"/>
  <c r="B83" i="14"/>
  <c r="C83" i="14"/>
  <c r="D83" i="14"/>
  <c r="E83" i="14"/>
  <c r="F83" i="14"/>
  <c r="G83" i="14"/>
  <c r="H83" i="14"/>
  <c r="A84" i="14"/>
  <c r="B84" i="14"/>
  <c r="C84" i="14"/>
  <c r="D84" i="14"/>
  <c r="E84" i="14"/>
  <c r="F84" i="14"/>
  <c r="G84" i="14"/>
  <c r="H84" i="14"/>
  <c r="A85" i="14"/>
  <c r="B85" i="14"/>
  <c r="C85" i="14"/>
  <c r="D85" i="14"/>
  <c r="E85" i="14"/>
  <c r="F85" i="14"/>
  <c r="G85" i="14"/>
  <c r="H85" i="14"/>
  <c r="A86" i="14"/>
  <c r="B86" i="14"/>
  <c r="C86" i="14"/>
  <c r="D86" i="14"/>
  <c r="E86" i="14"/>
  <c r="F86" i="14"/>
  <c r="G86" i="14"/>
  <c r="H86" i="14"/>
  <c r="A87" i="14"/>
  <c r="B87" i="14"/>
  <c r="C87" i="14"/>
  <c r="D87" i="14"/>
  <c r="E87" i="14"/>
  <c r="F87" i="14"/>
  <c r="G87" i="14"/>
  <c r="H87" i="14"/>
  <c r="A88" i="14"/>
  <c r="B88" i="14"/>
  <c r="C88" i="14"/>
  <c r="D88" i="14"/>
  <c r="E88" i="14"/>
  <c r="F88" i="14"/>
  <c r="G88" i="14"/>
  <c r="H88" i="14"/>
  <c r="A89" i="14"/>
  <c r="B89" i="14"/>
  <c r="C89" i="14"/>
  <c r="D89" i="14"/>
  <c r="E89" i="14"/>
  <c r="F89" i="14"/>
  <c r="G89" i="14"/>
  <c r="H89" i="14"/>
  <c r="A90" i="14"/>
  <c r="B90" i="14"/>
  <c r="C90" i="14"/>
  <c r="D90" i="14"/>
  <c r="E90" i="14"/>
  <c r="F90" i="14"/>
  <c r="G90" i="14"/>
  <c r="H90" i="14"/>
  <c r="A91" i="14"/>
  <c r="B91" i="14"/>
  <c r="C91" i="14"/>
  <c r="D91" i="14"/>
  <c r="E91" i="14"/>
  <c r="F91" i="14"/>
  <c r="G91" i="14"/>
  <c r="H91" i="14"/>
  <c r="A92" i="14"/>
  <c r="B92" i="14"/>
  <c r="C92" i="14"/>
  <c r="D92" i="14"/>
  <c r="E92" i="14"/>
  <c r="F92" i="14"/>
  <c r="G92" i="14"/>
  <c r="H92" i="14"/>
  <c r="A93" i="14"/>
  <c r="B93" i="14"/>
  <c r="C93" i="14"/>
  <c r="D93" i="14"/>
  <c r="E93" i="14"/>
  <c r="F93" i="14"/>
  <c r="G93" i="14"/>
  <c r="H93" i="14"/>
  <c r="A94" i="14"/>
  <c r="B94" i="14"/>
  <c r="C94" i="14"/>
  <c r="D94" i="14"/>
  <c r="E94" i="14"/>
  <c r="F94" i="14"/>
  <c r="G94" i="14"/>
  <c r="H94" i="14"/>
  <c r="A95" i="14"/>
  <c r="B95" i="14"/>
  <c r="C95" i="14"/>
  <c r="D95" i="14"/>
  <c r="E95" i="14"/>
  <c r="F95" i="14"/>
  <c r="G95" i="14"/>
  <c r="H95" i="14"/>
  <c r="A96" i="14"/>
  <c r="B96" i="14"/>
  <c r="C96" i="14"/>
  <c r="D96" i="14"/>
  <c r="E96" i="14"/>
  <c r="F96" i="14"/>
  <c r="G96" i="14"/>
  <c r="H96" i="14"/>
  <c r="A97" i="14"/>
  <c r="B97" i="14"/>
  <c r="C97" i="14"/>
  <c r="D97" i="14"/>
  <c r="E97" i="14"/>
  <c r="F97" i="14"/>
  <c r="G97" i="14"/>
  <c r="H97" i="14"/>
  <c r="A98" i="14"/>
  <c r="B98" i="14"/>
  <c r="C98" i="14"/>
  <c r="D98" i="14"/>
  <c r="E98" i="14"/>
  <c r="F98" i="14"/>
  <c r="G98" i="14"/>
  <c r="H98" i="14"/>
  <c r="A99" i="14"/>
  <c r="B99" i="14"/>
  <c r="C99" i="14"/>
  <c r="D99" i="14"/>
  <c r="E99" i="14"/>
  <c r="F99" i="14"/>
  <c r="G99" i="14"/>
  <c r="H99" i="14"/>
  <c r="A100" i="14"/>
  <c r="B100" i="14"/>
  <c r="C100" i="14"/>
  <c r="D100" i="14"/>
  <c r="E100" i="14"/>
  <c r="F100" i="14"/>
  <c r="G100" i="14"/>
  <c r="H100" i="14"/>
  <c r="A101" i="14"/>
  <c r="B101" i="14"/>
  <c r="C101" i="14"/>
  <c r="D101" i="14"/>
  <c r="E101" i="14"/>
  <c r="F101" i="14"/>
  <c r="G101" i="14"/>
  <c r="H101" i="14"/>
  <c r="A102" i="14"/>
  <c r="B102" i="14"/>
  <c r="C102" i="14"/>
  <c r="D102" i="14"/>
  <c r="E102" i="14"/>
  <c r="F102" i="14"/>
  <c r="G102" i="14"/>
  <c r="H102" i="14"/>
  <c r="A103" i="14"/>
  <c r="B103" i="14"/>
  <c r="C103" i="14"/>
  <c r="D103" i="14"/>
  <c r="E103" i="14"/>
  <c r="F103" i="14"/>
  <c r="G103" i="14"/>
  <c r="H103" i="14"/>
  <c r="A104" i="14"/>
  <c r="B104" i="14"/>
  <c r="C104" i="14"/>
  <c r="D104" i="14"/>
  <c r="E104" i="14"/>
  <c r="F104" i="14"/>
  <c r="G104" i="14"/>
  <c r="H104" i="14"/>
  <c r="A105" i="14"/>
  <c r="B105" i="14"/>
  <c r="C105" i="14"/>
  <c r="D105" i="14"/>
  <c r="E105" i="14"/>
  <c r="F105" i="14"/>
  <c r="G105" i="14"/>
  <c r="H105" i="14"/>
  <c r="A106" i="14"/>
  <c r="B106" i="14"/>
  <c r="C106" i="14"/>
  <c r="D106" i="14"/>
  <c r="E106" i="14"/>
  <c r="F106" i="14"/>
  <c r="G106" i="14"/>
  <c r="H106" i="14"/>
  <c r="A107" i="14"/>
  <c r="B107" i="14"/>
  <c r="C107" i="14"/>
  <c r="D107" i="14"/>
  <c r="E107" i="14"/>
  <c r="F107" i="14"/>
  <c r="G107" i="14"/>
  <c r="H107" i="14"/>
  <c r="A108" i="14"/>
  <c r="B108" i="14"/>
  <c r="C108" i="14"/>
  <c r="D108" i="14"/>
  <c r="E108" i="14"/>
  <c r="F108" i="14"/>
  <c r="G108" i="14"/>
  <c r="H108" i="14"/>
  <c r="A109" i="14"/>
  <c r="B109" i="14"/>
  <c r="C109" i="14"/>
  <c r="D109" i="14"/>
  <c r="E109" i="14"/>
  <c r="F109" i="14"/>
  <c r="G109" i="14"/>
  <c r="H109" i="14"/>
  <c r="A110" i="14"/>
  <c r="B110" i="14"/>
  <c r="C110" i="14"/>
  <c r="D110" i="14"/>
  <c r="E110" i="14"/>
  <c r="F110" i="14"/>
  <c r="G110" i="14"/>
  <c r="H110" i="14"/>
  <c r="A111" i="14"/>
  <c r="B111" i="14"/>
  <c r="C111" i="14"/>
  <c r="D111" i="14"/>
  <c r="E111" i="14"/>
  <c r="F111" i="14"/>
  <c r="G111" i="14"/>
  <c r="H111" i="14"/>
  <c r="A112" i="14"/>
  <c r="B112" i="14"/>
  <c r="C112" i="14"/>
  <c r="D112" i="14"/>
  <c r="E112" i="14"/>
  <c r="F112" i="14"/>
  <c r="G112" i="14"/>
  <c r="H112" i="14"/>
  <c r="A113" i="14"/>
  <c r="B113" i="14"/>
  <c r="C113" i="14"/>
  <c r="D113" i="14"/>
  <c r="E113" i="14"/>
  <c r="F113" i="14"/>
  <c r="G113" i="14"/>
  <c r="H113" i="14"/>
  <c r="A114" i="14"/>
  <c r="B114" i="14"/>
  <c r="C114" i="14"/>
  <c r="D114" i="14"/>
  <c r="E114" i="14"/>
  <c r="F114" i="14"/>
  <c r="G114" i="14"/>
  <c r="H114" i="14"/>
  <c r="A115" i="14"/>
  <c r="B115" i="14"/>
  <c r="C115" i="14"/>
  <c r="D115" i="14"/>
  <c r="E115" i="14"/>
  <c r="F115" i="14"/>
  <c r="G115" i="14"/>
  <c r="H115" i="14"/>
  <c r="A116" i="14"/>
  <c r="B116" i="14"/>
  <c r="C116" i="14"/>
  <c r="D116" i="14"/>
  <c r="E116" i="14"/>
  <c r="F116" i="14"/>
  <c r="G116" i="14"/>
  <c r="H116" i="14"/>
  <c r="A117" i="14"/>
  <c r="B117" i="14"/>
  <c r="C117" i="14"/>
  <c r="D117" i="14"/>
  <c r="E117" i="14"/>
  <c r="F117" i="14"/>
  <c r="G117" i="14"/>
  <c r="H117" i="14"/>
  <c r="A118" i="14"/>
  <c r="B118" i="14"/>
  <c r="C118" i="14"/>
  <c r="D118" i="14"/>
  <c r="E118" i="14"/>
  <c r="F118" i="14"/>
  <c r="G118" i="14"/>
  <c r="H118" i="14"/>
  <c r="A119" i="14"/>
  <c r="B119" i="14"/>
  <c r="C119" i="14"/>
  <c r="D119" i="14"/>
  <c r="E119" i="14"/>
  <c r="F119" i="14"/>
  <c r="G119" i="14"/>
  <c r="H119" i="14"/>
  <c r="A120" i="14"/>
  <c r="B120" i="14"/>
  <c r="C120" i="14"/>
  <c r="D120" i="14"/>
  <c r="E120" i="14"/>
  <c r="F120" i="14"/>
  <c r="G120" i="14"/>
  <c r="H120" i="14"/>
  <c r="A121" i="14"/>
  <c r="B121" i="14"/>
  <c r="C121" i="14"/>
  <c r="D121" i="14"/>
  <c r="E121" i="14"/>
  <c r="F121" i="14"/>
  <c r="G121" i="14"/>
  <c r="H121" i="14"/>
  <c r="A122" i="14"/>
  <c r="B122" i="14"/>
  <c r="C122" i="14"/>
  <c r="D122" i="14"/>
  <c r="E122" i="14"/>
  <c r="F122" i="14"/>
  <c r="G122" i="14"/>
  <c r="H122" i="14"/>
  <c r="A123" i="14"/>
  <c r="B123" i="14"/>
  <c r="C123" i="14"/>
  <c r="D123" i="14"/>
  <c r="E123" i="14"/>
  <c r="F123" i="14"/>
  <c r="G123" i="14"/>
  <c r="H123" i="14"/>
  <c r="A124" i="14"/>
  <c r="B124" i="14"/>
  <c r="C124" i="14"/>
  <c r="D124" i="14"/>
  <c r="E124" i="14"/>
  <c r="F124" i="14"/>
  <c r="G124" i="14"/>
  <c r="H124" i="14"/>
  <c r="A125" i="14"/>
  <c r="B125" i="14"/>
  <c r="C125" i="14"/>
  <c r="D125" i="14"/>
  <c r="E125" i="14"/>
  <c r="F125" i="14"/>
  <c r="G125" i="14"/>
  <c r="H125" i="14"/>
  <c r="A126" i="14"/>
  <c r="B126" i="14"/>
  <c r="C126" i="14"/>
  <c r="D126" i="14"/>
  <c r="E126" i="14"/>
  <c r="F126" i="14"/>
  <c r="G126" i="14"/>
  <c r="H126" i="14"/>
  <c r="A127" i="14"/>
  <c r="B127" i="14"/>
  <c r="C127" i="14"/>
  <c r="D127" i="14"/>
  <c r="E127" i="14"/>
  <c r="F127" i="14"/>
  <c r="G127" i="14"/>
  <c r="H127" i="14"/>
  <c r="A128" i="14"/>
  <c r="B128" i="14"/>
  <c r="C128" i="14"/>
  <c r="D128" i="14"/>
  <c r="E128" i="14"/>
  <c r="F128" i="14"/>
  <c r="G128" i="14"/>
  <c r="H128" i="14"/>
  <c r="A129" i="14"/>
  <c r="B129" i="14"/>
  <c r="C129" i="14"/>
  <c r="D129" i="14"/>
  <c r="E129" i="14"/>
  <c r="F129" i="14"/>
  <c r="G129" i="14"/>
  <c r="H129" i="14"/>
  <c r="A130" i="14"/>
  <c r="B130" i="14"/>
  <c r="C130" i="14"/>
  <c r="D130" i="14"/>
  <c r="E130" i="14"/>
  <c r="F130" i="14"/>
  <c r="G130" i="14"/>
  <c r="H130" i="14"/>
  <c r="A131" i="14"/>
  <c r="B131" i="14"/>
  <c r="C131" i="14"/>
  <c r="D131" i="14"/>
  <c r="E131" i="14"/>
  <c r="F131" i="14"/>
  <c r="G131" i="14"/>
  <c r="H131" i="14"/>
  <c r="A132" i="14"/>
  <c r="B132" i="14"/>
  <c r="C132" i="14"/>
  <c r="D132" i="14"/>
  <c r="E132" i="14"/>
  <c r="F132" i="14"/>
  <c r="G132" i="14"/>
  <c r="H132" i="14"/>
  <c r="A133" i="14"/>
  <c r="B133" i="14"/>
  <c r="C133" i="14"/>
  <c r="D133" i="14"/>
  <c r="E133" i="14"/>
  <c r="F133" i="14"/>
  <c r="G133" i="14"/>
  <c r="H133" i="14"/>
  <c r="A134" i="14"/>
  <c r="B134" i="14"/>
  <c r="C134" i="14"/>
  <c r="D134" i="14"/>
  <c r="E134" i="14"/>
  <c r="F134" i="14"/>
  <c r="G134" i="14"/>
  <c r="H134" i="14"/>
  <c r="A135" i="14"/>
  <c r="B135" i="14"/>
  <c r="C135" i="14"/>
  <c r="D135" i="14"/>
  <c r="E135" i="14"/>
  <c r="F135" i="14"/>
  <c r="G135" i="14"/>
  <c r="H135" i="14"/>
  <c r="A136" i="14"/>
  <c r="B136" i="14"/>
  <c r="C136" i="14"/>
  <c r="D136" i="14"/>
  <c r="E136" i="14"/>
  <c r="F136" i="14"/>
  <c r="G136" i="14"/>
  <c r="H136" i="14"/>
  <c r="A137" i="14"/>
  <c r="B137" i="14"/>
  <c r="C137" i="14"/>
  <c r="D137" i="14"/>
  <c r="E137" i="14"/>
  <c r="F137" i="14"/>
  <c r="G137" i="14"/>
  <c r="H137" i="14"/>
  <c r="A138" i="14"/>
  <c r="B138" i="14"/>
  <c r="C138" i="14"/>
  <c r="D138" i="14"/>
  <c r="E138" i="14"/>
  <c r="F138" i="14"/>
  <c r="G138" i="14"/>
  <c r="H138" i="14"/>
  <c r="A139" i="14"/>
  <c r="B139" i="14"/>
  <c r="C139" i="14"/>
  <c r="D139" i="14"/>
  <c r="E139" i="14"/>
  <c r="F139" i="14"/>
  <c r="G139" i="14"/>
  <c r="H139" i="14"/>
  <c r="A140" i="14"/>
  <c r="B140" i="14"/>
  <c r="C140" i="14"/>
  <c r="D140" i="14"/>
  <c r="E140" i="14"/>
  <c r="F140" i="14"/>
  <c r="G140" i="14"/>
  <c r="H140" i="14"/>
  <c r="A141" i="14"/>
  <c r="B141" i="14"/>
  <c r="C141" i="14"/>
  <c r="D141" i="14"/>
  <c r="E141" i="14"/>
  <c r="F141" i="14"/>
  <c r="G141" i="14"/>
  <c r="H141" i="14"/>
  <c r="A142" i="14"/>
  <c r="B142" i="14"/>
  <c r="C142" i="14"/>
  <c r="D142" i="14"/>
  <c r="E142" i="14"/>
  <c r="F142" i="14"/>
  <c r="G142" i="14"/>
  <c r="H142" i="14"/>
  <c r="A143" i="14"/>
  <c r="B143" i="14"/>
  <c r="C143" i="14"/>
  <c r="D143" i="14"/>
  <c r="E143" i="14"/>
  <c r="F143" i="14"/>
  <c r="G143" i="14"/>
  <c r="H143" i="14"/>
  <c r="A144" i="14"/>
  <c r="B144" i="14"/>
  <c r="C144" i="14"/>
  <c r="D144" i="14"/>
  <c r="E144" i="14"/>
  <c r="F144" i="14"/>
  <c r="G144" i="14"/>
  <c r="H144" i="14"/>
  <c r="A145" i="14"/>
  <c r="B145" i="14"/>
  <c r="C145" i="14"/>
  <c r="D145" i="14"/>
  <c r="E145" i="14"/>
  <c r="F145" i="14"/>
  <c r="G145" i="14"/>
  <c r="H145" i="14"/>
  <c r="A146" i="14"/>
  <c r="B146" i="14"/>
  <c r="C146" i="14"/>
  <c r="D146" i="14"/>
  <c r="E146" i="14"/>
  <c r="F146" i="14"/>
  <c r="G146" i="14"/>
  <c r="H146" i="14"/>
  <c r="A147" i="14"/>
  <c r="B147" i="14"/>
  <c r="C147" i="14"/>
  <c r="D147" i="14"/>
  <c r="E147" i="14"/>
  <c r="F147" i="14"/>
  <c r="G147" i="14"/>
  <c r="H147" i="14"/>
  <c r="A148" i="14"/>
  <c r="B148" i="14"/>
  <c r="C148" i="14"/>
  <c r="D148" i="14"/>
  <c r="E148" i="14"/>
  <c r="F148" i="14"/>
  <c r="G148" i="14"/>
  <c r="H148" i="14"/>
  <c r="A149" i="14"/>
  <c r="B149" i="14"/>
  <c r="C149" i="14"/>
  <c r="D149" i="14"/>
  <c r="E149" i="14"/>
  <c r="F149" i="14"/>
  <c r="G149" i="14"/>
  <c r="H149" i="14"/>
  <c r="A150" i="14"/>
  <c r="B150" i="14"/>
  <c r="C150" i="14"/>
  <c r="D150" i="14"/>
  <c r="E150" i="14"/>
  <c r="F150" i="14"/>
  <c r="G150" i="14"/>
  <c r="H150" i="14"/>
  <c r="A151" i="14"/>
  <c r="B151" i="14"/>
  <c r="C151" i="14"/>
  <c r="D151" i="14"/>
  <c r="E151" i="14"/>
  <c r="F151" i="14"/>
  <c r="G151" i="14"/>
  <c r="H151" i="14"/>
  <c r="A152" i="14"/>
  <c r="B152" i="14"/>
  <c r="C152" i="14"/>
  <c r="D152" i="14"/>
  <c r="E152" i="14"/>
  <c r="F152" i="14"/>
  <c r="G152" i="14"/>
  <c r="H152" i="14"/>
  <c r="A153" i="14"/>
  <c r="B153" i="14"/>
  <c r="C153" i="14"/>
  <c r="D153" i="14"/>
  <c r="E153" i="14"/>
  <c r="F153" i="14"/>
  <c r="G153" i="14"/>
  <c r="H153" i="14"/>
  <c r="A154" i="14"/>
  <c r="B154" i="14"/>
  <c r="C154" i="14"/>
  <c r="D154" i="14"/>
  <c r="E154" i="14"/>
  <c r="F154" i="14"/>
  <c r="G154" i="14"/>
  <c r="H154" i="14"/>
  <c r="A155" i="14"/>
  <c r="B155" i="14"/>
  <c r="C155" i="14"/>
  <c r="D155" i="14"/>
  <c r="E155" i="14"/>
  <c r="F155" i="14"/>
  <c r="G155" i="14"/>
  <c r="H155" i="14"/>
  <c r="A156" i="14"/>
  <c r="B156" i="14"/>
  <c r="C156" i="14"/>
  <c r="D156" i="14"/>
  <c r="E156" i="14"/>
  <c r="F156" i="14"/>
  <c r="G156" i="14"/>
  <c r="H156" i="14"/>
  <c r="A157" i="14"/>
  <c r="B157" i="14"/>
  <c r="C157" i="14"/>
  <c r="D157" i="14"/>
  <c r="E157" i="14"/>
  <c r="F157" i="14"/>
  <c r="G157" i="14"/>
  <c r="H157" i="14"/>
  <c r="A158" i="14"/>
  <c r="B158" i="14"/>
  <c r="C158" i="14"/>
  <c r="D158" i="14"/>
  <c r="E158" i="14"/>
  <c r="F158" i="14"/>
  <c r="G158" i="14"/>
  <c r="H158" i="14"/>
  <c r="A159" i="14"/>
  <c r="B159" i="14"/>
  <c r="C159" i="14"/>
  <c r="D159" i="14"/>
  <c r="E159" i="14"/>
  <c r="F159" i="14"/>
  <c r="G159" i="14"/>
  <c r="H159" i="14"/>
  <c r="A160" i="14"/>
  <c r="B160" i="14"/>
  <c r="C160" i="14"/>
  <c r="D160" i="14"/>
  <c r="E160" i="14"/>
  <c r="F160" i="14"/>
  <c r="G160" i="14"/>
  <c r="H160" i="14"/>
  <c r="A161" i="14"/>
  <c r="B161" i="14"/>
  <c r="C161" i="14"/>
  <c r="D161" i="14"/>
  <c r="E161" i="14"/>
  <c r="F161" i="14"/>
  <c r="G161" i="14"/>
  <c r="H161" i="14"/>
  <c r="A162" i="14"/>
  <c r="B162" i="14"/>
  <c r="C162" i="14"/>
  <c r="D162" i="14"/>
  <c r="E162" i="14"/>
  <c r="F162" i="14"/>
  <c r="G162" i="14"/>
  <c r="H162" i="14"/>
  <c r="A163" i="14"/>
  <c r="B163" i="14"/>
  <c r="C163" i="14"/>
  <c r="D163" i="14"/>
  <c r="E163" i="14"/>
  <c r="F163" i="14"/>
  <c r="G163" i="14"/>
  <c r="H163" i="14"/>
  <c r="A164" i="14"/>
  <c r="B164" i="14"/>
  <c r="C164" i="14"/>
  <c r="D164" i="14"/>
  <c r="E164" i="14"/>
  <c r="F164" i="14"/>
  <c r="G164" i="14"/>
  <c r="H164" i="14"/>
  <c r="A165" i="14"/>
  <c r="B165" i="14"/>
  <c r="C165" i="14"/>
  <c r="D165" i="14"/>
  <c r="E165" i="14"/>
  <c r="F165" i="14"/>
  <c r="G165" i="14"/>
  <c r="H165" i="14"/>
  <c r="A166" i="14"/>
  <c r="B166" i="14"/>
  <c r="C166" i="14"/>
  <c r="D166" i="14"/>
  <c r="E166" i="14"/>
  <c r="F166" i="14"/>
  <c r="G166" i="14"/>
  <c r="H166" i="14"/>
  <c r="A167" i="14"/>
  <c r="B167" i="14"/>
  <c r="C167" i="14"/>
  <c r="D167" i="14"/>
  <c r="E167" i="14"/>
  <c r="F167" i="14"/>
  <c r="G167" i="14"/>
  <c r="H167" i="14"/>
  <c r="A168" i="14"/>
  <c r="B168" i="14"/>
  <c r="C168" i="14"/>
  <c r="D168" i="14"/>
  <c r="E168" i="14"/>
  <c r="F168" i="14"/>
  <c r="G168" i="14"/>
  <c r="H168" i="14"/>
  <c r="A169" i="14"/>
  <c r="B169" i="14"/>
  <c r="C169" i="14"/>
  <c r="D169" i="14"/>
  <c r="E169" i="14"/>
  <c r="F169" i="14"/>
  <c r="G169" i="14"/>
  <c r="H169" i="14"/>
  <c r="A170" i="14"/>
  <c r="B170" i="14"/>
  <c r="C170" i="14"/>
  <c r="D170" i="14"/>
  <c r="E170" i="14"/>
  <c r="F170" i="14"/>
  <c r="G170" i="14"/>
  <c r="H170" i="14"/>
  <c r="A171" i="14"/>
  <c r="B171" i="14"/>
  <c r="C171" i="14"/>
  <c r="D171" i="14"/>
  <c r="E171" i="14"/>
  <c r="F171" i="14"/>
  <c r="G171" i="14"/>
  <c r="H171" i="14"/>
  <c r="A172" i="14"/>
  <c r="B172" i="14"/>
  <c r="C172" i="14"/>
  <c r="D172" i="14"/>
  <c r="E172" i="14"/>
  <c r="F172" i="14"/>
  <c r="G172" i="14"/>
  <c r="H172" i="14"/>
  <c r="A173" i="14"/>
  <c r="B173" i="14"/>
  <c r="C173" i="14"/>
  <c r="D173" i="14"/>
  <c r="E173" i="14"/>
  <c r="F173" i="14"/>
  <c r="G173" i="14"/>
  <c r="H173" i="14"/>
  <c r="A174" i="14"/>
  <c r="B174" i="14"/>
  <c r="C174" i="14"/>
  <c r="D174" i="14"/>
  <c r="E174" i="14"/>
  <c r="F174" i="14"/>
  <c r="G174" i="14"/>
  <c r="H174" i="14"/>
  <c r="A175" i="14"/>
  <c r="B175" i="14"/>
  <c r="C175" i="14"/>
  <c r="D175" i="14"/>
  <c r="E175" i="14"/>
  <c r="F175" i="14"/>
  <c r="G175" i="14"/>
  <c r="H175" i="14"/>
  <c r="A176" i="14"/>
  <c r="B176" i="14"/>
  <c r="C176" i="14"/>
  <c r="D176" i="14"/>
  <c r="E176" i="14"/>
  <c r="F176" i="14"/>
  <c r="G176" i="14"/>
  <c r="H176" i="14"/>
  <c r="A177" i="14"/>
  <c r="B177" i="14"/>
  <c r="C177" i="14"/>
  <c r="D177" i="14"/>
  <c r="E177" i="14"/>
  <c r="F177" i="14"/>
  <c r="G177" i="14"/>
  <c r="H177" i="14"/>
  <c r="A178" i="14"/>
  <c r="B178" i="14"/>
  <c r="C178" i="14"/>
  <c r="D178" i="14"/>
  <c r="E178" i="14"/>
  <c r="F178" i="14"/>
  <c r="G178" i="14"/>
  <c r="H178" i="14"/>
  <c r="A179" i="14"/>
  <c r="B179" i="14"/>
  <c r="C179" i="14"/>
  <c r="D179" i="14"/>
  <c r="E179" i="14"/>
  <c r="F179" i="14"/>
  <c r="G179" i="14"/>
  <c r="H179" i="14"/>
  <c r="A180" i="14"/>
  <c r="B180" i="14"/>
  <c r="C180" i="14"/>
  <c r="D180" i="14"/>
  <c r="E180" i="14"/>
  <c r="F180" i="14"/>
  <c r="G180" i="14"/>
  <c r="H180" i="14"/>
  <c r="A181" i="14"/>
  <c r="B181" i="14"/>
  <c r="C181" i="14"/>
  <c r="D181" i="14"/>
  <c r="E181" i="14"/>
  <c r="F181" i="14"/>
  <c r="G181" i="14"/>
  <c r="H181" i="14"/>
  <c r="A182" i="14"/>
  <c r="B182" i="14"/>
  <c r="C182" i="14"/>
  <c r="D182" i="14"/>
  <c r="E182" i="14"/>
  <c r="F182" i="14"/>
  <c r="G182" i="14"/>
  <c r="H182" i="14"/>
  <c r="A183" i="14"/>
  <c r="B183" i="14"/>
  <c r="C183" i="14"/>
  <c r="D183" i="14"/>
  <c r="E183" i="14"/>
  <c r="F183" i="14"/>
  <c r="G183" i="14"/>
  <c r="H183" i="14"/>
  <c r="A184" i="14"/>
  <c r="B184" i="14"/>
  <c r="C184" i="14"/>
  <c r="D184" i="14"/>
  <c r="E184" i="14"/>
  <c r="F184" i="14"/>
  <c r="G184" i="14"/>
  <c r="H184" i="14"/>
  <c r="A185" i="14"/>
  <c r="B185" i="14"/>
  <c r="C185" i="14"/>
  <c r="D185" i="14"/>
  <c r="E185" i="14"/>
  <c r="F185" i="14"/>
  <c r="G185" i="14"/>
  <c r="H185" i="14"/>
  <c r="A186" i="14"/>
  <c r="B186" i="14"/>
  <c r="C186" i="14"/>
  <c r="D186" i="14"/>
  <c r="E186" i="14"/>
  <c r="F186" i="14"/>
  <c r="G186" i="14"/>
  <c r="H186" i="14"/>
  <c r="A187" i="14"/>
  <c r="B187" i="14"/>
  <c r="C187" i="14"/>
  <c r="D187" i="14"/>
  <c r="E187" i="14"/>
  <c r="F187" i="14"/>
  <c r="G187" i="14"/>
  <c r="H187" i="14"/>
  <c r="A188" i="14"/>
  <c r="B188" i="14"/>
  <c r="C188" i="14"/>
  <c r="D188" i="14"/>
  <c r="E188" i="14"/>
  <c r="F188" i="14"/>
  <c r="G188" i="14"/>
  <c r="H188" i="14"/>
  <c r="A189" i="14"/>
  <c r="B189" i="14"/>
  <c r="C189" i="14"/>
  <c r="D189" i="14"/>
  <c r="E189" i="14"/>
  <c r="F189" i="14"/>
  <c r="G189" i="14"/>
  <c r="H189" i="14"/>
  <c r="A190" i="14"/>
  <c r="B190" i="14"/>
  <c r="C190" i="14"/>
  <c r="D190" i="14"/>
  <c r="E190" i="14"/>
  <c r="F190" i="14"/>
  <c r="G190" i="14"/>
  <c r="H190" i="14"/>
  <c r="A191" i="14"/>
  <c r="B191" i="14"/>
  <c r="C191" i="14"/>
  <c r="D191" i="14"/>
  <c r="E191" i="14"/>
  <c r="F191" i="14"/>
  <c r="G191" i="14"/>
  <c r="H191" i="14"/>
  <c r="A192" i="14"/>
  <c r="B192" i="14"/>
  <c r="C192" i="14"/>
  <c r="D192" i="14"/>
  <c r="E192" i="14"/>
  <c r="F192" i="14"/>
  <c r="G192" i="14"/>
  <c r="H192" i="14"/>
  <c r="A193" i="14"/>
  <c r="B193" i="14"/>
  <c r="C193" i="14"/>
  <c r="D193" i="14"/>
  <c r="E193" i="14"/>
  <c r="F193" i="14"/>
  <c r="G193" i="14"/>
  <c r="H193" i="14"/>
  <c r="A194" i="14"/>
  <c r="B194" i="14"/>
  <c r="C194" i="14"/>
  <c r="D194" i="14"/>
  <c r="E194" i="14"/>
  <c r="F194" i="14"/>
  <c r="G194" i="14"/>
  <c r="H194" i="14"/>
  <c r="A195" i="14"/>
  <c r="B195" i="14"/>
  <c r="C195" i="14"/>
  <c r="D195" i="14"/>
  <c r="E195" i="14"/>
  <c r="F195" i="14"/>
  <c r="G195" i="14"/>
  <c r="H195" i="14"/>
  <c r="A196" i="14"/>
  <c r="B196" i="14"/>
  <c r="C196" i="14"/>
  <c r="D196" i="14"/>
  <c r="E196" i="14"/>
  <c r="F196" i="14"/>
  <c r="G196" i="14"/>
  <c r="H196" i="14"/>
  <c r="A197" i="14"/>
  <c r="B197" i="14"/>
  <c r="C197" i="14"/>
  <c r="D197" i="14"/>
  <c r="E197" i="14"/>
  <c r="F197" i="14"/>
  <c r="G197" i="14"/>
  <c r="H197" i="14"/>
  <c r="A198" i="14"/>
  <c r="B198" i="14"/>
  <c r="C198" i="14"/>
  <c r="D198" i="14"/>
  <c r="E198" i="14"/>
  <c r="F198" i="14"/>
  <c r="G198" i="14"/>
  <c r="H198" i="14"/>
  <c r="A199" i="14"/>
  <c r="B199" i="14"/>
  <c r="C199" i="14"/>
  <c r="D199" i="14"/>
  <c r="E199" i="14"/>
  <c r="F199" i="14"/>
  <c r="G199" i="14"/>
  <c r="H199" i="14"/>
  <c r="A200" i="14"/>
  <c r="B200" i="14"/>
  <c r="C200" i="14"/>
  <c r="D200" i="14"/>
  <c r="E200" i="14"/>
  <c r="F200" i="14"/>
  <c r="G200" i="14"/>
  <c r="H200" i="14"/>
  <c r="A201" i="14"/>
  <c r="B201" i="14"/>
  <c r="C201" i="14"/>
  <c r="D201" i="14"/>
  <c r="E201" i="14"/>
  <c r="F201" i="14"/>
  <c r="G201" i="14"/>
  <c r="H201" i="14"/>
  <c r="A202" i="14"/>
  <c r="B202" i="14"/>
  <c r="C202" i="14"/>
  <c r="D202" i="14"/>
  <c r="E202" i="14"/>
  <c r="F202" i="14"/>
  <c r="G202" i="14"/>
  <c r="H202" i="14"/>
  <c r="A203" i="14"/>
  <c r="B203" i="14"/>
  <c r="C203" i="14"/>
  <c r="D203" i="14"/>
  <c r="E203" i="14"/>
  <c r="F203" i="14"/>
  <c r="G203" i="14"/>
  <c r="H203" i="14"/>
  <c r="A204" i="14"/>
  <c r="B204" i="14"/>
  <c r="C204" i="14"/>
  <c r="D204" i="14"/>
  <c r="E204" i="14"/>
  <c r="F204" i="14"/>
  <c r="G204" i="14"/>
  <c r="H204" i="14"/>
  <c r="A205" i="14"/>
  <c r="B205" i="14"/>
  <c r="C205" i="14"/>
  <c r="D205" i="14"/>
  <c r="E205" i="14"/>
  <c r="F205" i="14"/>
  <c r="G205" i="14"/>
  <c r="H205" i="14"/>
  <c r="A206" i="14"/>
  <c r="B206" i="14"/>
  <c r="C206" i="14"/>
  <c r="D206" i="14"/>
  <c r="E206" i="14"/>
  <c r="F206" i="14"/>
  <c r="G206" i="14"/>
  <c r="H206" i="14"/>
  <c r="A207" i="14"/>
  <c r="B207" i="14"/>
  <c r="C207" i="14"/>
  <c r="D207" i="14"/>
  <c r="E207" i="14"/>
  <c r="F207" i="14"/>
  <c r="G207" i="14"/>
  <c r="H207" i="14"/>
  <c r="A208" i="14"/>
  <c r="B208" i="14"/>
  <c r="C208" i="14"/>
  <c r="D208" i="14"/>
  <c r="E208" i="14"/>
  <c r="F208" i="14"/>
  <c r="G208" i="14"/>
  <c r="H208" i="14"/>
  <c r="A209" i="14"/>
  <c r="B209" i="14"/>
  <c r="C209" i="14"/>
  <c r="D209" i="14"/>
  <c r="E209" i="14"/>
  <c r="F209" i="14"/>
  <c r="G209" i="14"/>
  <c r="H209" i="14"/>
  <c r="A210" i="14"/>
  <c r="B210" i="14"/>
  <c r="C210" i="14"/>
  <c r="D210" i="14"/>
  <c r="E210" i="14"/>
  <c r="F210" i="14"/>
  <c r="G210" i="14"/>
  <c r="H210" i="14"/>
  <c r="A211" i="14"/>
  <c r="B211" i="14"/>
  <c r="C211" i="14"/>
  <c r="D211" i="14"/>
  <c r="E211" i="14"/>
  <c r="F211" i="14"/>
  <c r="G211" i="14"/>
  <c r="H211" i="14"/>
  <c r="A212" i="14"/>
  <c r="B212" i="14"/>
  <c r="C212" i="14"/>
  <c r="D212" i="14"/>
  <c r="E212" i="14"/>
  <c r="F212" i="14"/>
  <c r="G212" i="14"/>
  <c r="H212" i="14"/>
  <c r="A213" i="14"/>
  <c r="B213" i="14"/>
  <c r="C213" i="14"/>
  <c r="D213" i="14"/>
  <c r="E213" i="14"/>
  <c r="F213" i="14"/>
  <c r="G213" i="14"/>
  <c r="H213" i="14"/>
  <c r="A214" i="14"/>
  <c r="B214" i="14"/>
  <c r="C214" i="14"/>
  <c r="D214" i="14"/>
  <c r="E214" i="14"/>
  <c r="F214" i="14"/>
  <c r="G214" i="14"/>
  <c r="H214" i="14"/>
  <c r="A215" i="14"/>
  <c r="B215" i="14"/>
  <c r="C215" i="14"/>
  <c r="D215" i="14"/>
  <c r="E215" i="14"/>
  <c r="F215" i="14"/>
  <c r="G215" i="14"/>
  <c r="H215" i="14"/>
  <c r="A216" i="14"/>
  <c r="B216" i="14"/>
  <c r="C216" i="14"/>
  <c r="D216" i="14"/>
  <c r="E216" i="14"/>
  <c r="F216" i="14"/>
  <c r="G216" i="14"/>
  <c r="H216" i="14"/>
  <c r="A217" i="14"/>
  <c r="B217" i="14"/>
  <c r="C217" i="14"/>
  <c r="D217" i="14"/>
  <c r="E217" i="14"/>
  <c r="F217" i="14"/>
  <c r="G217" i="14"/>
  <c r="H217" i="14"/>
  <c r="A218" i="14"/>
  <c r="B218" i="14"/>
  <c r="C218" i="14"/>
  <c r="D218" i="14"/>
  <c r="E218" i="14"/>
  <c r="F218" i="14"/>
  <c r="G218" i="14"/>
  <c r="H218" i="14"/>
  <c r="A219" i="14"/>
  <c r="B219" i="14"/>
  <c r="C219" i="14"/>
  <c r="D219" i="14"/>
  <c r="E219" i="14"/>
  <c r="F219" i="14"/>
  <c r="G219" i="14"/>
  <c r="H219" i="14"/>
  <c r="A220" i="14"/>
  <c r="B220" i="14"/>
  <c r="C220" i="14"/>
  <c r="D220" i="14"/>
  <c r="E220" i="14"/>
  <c r="F220" i="14"/>
  <c r="G220" i="14"/>
  <c r="H220" i="14"/>
  <c r="A221" i="14"/>
  <c r="B221" i="14"/>
  <c r="C221" i="14"/>
  <c r="D221" i="14"/>
  <c r="E221" i="14"/>
  <c r="F221" i="14"/>
  <c r="G221" i="14"/>
  <c r="H221" i="14"/>
  <c r="A222" i="14"/>
  <c r="B222" i="14"/>
  <c r="C222" i="14"/>
  <c r="D222" i="14"/>
  <c r="E222" i="14"/>
  <c r="F222" i="14"/>
  <c r="G222" i="14"/>
  <c r="H222" i="14"/>
  <c r="A223" i="14"/>
  <c r="B223" i="14"/>
  <c r="C223" i="14"/>
  <c r="D223" i="14"/>
  <c r="E223" i="14"/>
  <c r="F223" i="14"/>
  <c r="G223" i="14"/>
  <c r="H223" i="14"/>
  <c r="A224" i="14"/>
  <c r="B224" i="14"/>
  <c r="C224" i="14"/>
  <c r="D224" i="14"/>
  <c r="E224" i="14"/>
  <c r="F224" i="14"/>
  <c r="G224" i="14"/>
  <c r="H224" i="14"/>
  <c r="A225" i="14"/>
  <c r="B225" i="14"/>
  <c r="C225" i="14"/>
  <c r="D225" i="14"/>
  <c r="E225" i="14"/>
  <c r="F225" i="14"/>
  <c r="G225" i="14"/>
  <c r="H225" i="14"/>
  <c r="A226" i="14"/>
  <c r="B226" i="14"/>
  <c r="C226" i="14"/>
  <c r="D226" i="14"/>
  <c r="E226" i="14"/>
  <c r="F226" i="14"/>
  <c r="G226" i="14"/>
  <c r="H226" i="14"/>
  <c r="A227" i="14"/>
  <c r="B227" i="14"/>
  <c r="C227" i="14"/>
  <c r="D227" i="14"/>
  <c r="E227" i="14"/>
  <c r="F227" i="14"/>
  <c r="G227" i="14"/>
  <c r="H227" i="14"/>
  <c r="A228" i="14"/>
  <c r="B228" i="14"/>
  <c r="C228" i="14"/>
  <c r="D228" i="14"/>
  <c r="E228" i="14"/>
  <c r="F228" i="14"/>
  <c r="G228" i="14"/>
  <c r="H228" i="14"/>
  <c r="A229" i="14"/>
  <c r="B229" i="14"/>
  <c r="C229" i="14"/>
  <c r="D229" i="14"/>
  <c r="E229" i="14"/>
  <c r="F229" i="14"/>
  <c r="G229" i="14"/>
  <c r="H229" i="14"/>
  <c r="A230" i="14"/>
  <c r="B230" i="14"/>
  <c r="C230" i="14"/>
  <c r="D230" i="14"/>
  <c r="E230" i="14"/>
  <c r="F230" i="14"/>
  <c r="G230" i="14"/>
  <c r="H230" i="14"/>
  <c r="A231" i="14"/>
  <c r="B231" i="14"/>
  <c r="C231" i="14"/>
  <c r="D231" i="14"/>
  <c r="E231" i="14"/>
  <c r="F231" i="14"/>
  <c r="G231" i="14"/>
  <c r="H231" i="14"/>
  <c r="A232" i="14"/>
  <c r="B232" i="14"/>
  <c r="C232" i="14"/>
  <c r="D232" i="14"/>
  <c r="E232" i="14"/>
  <c r="F232" i="14"/>
  <c r="G232" i="14"/>
  <c r="H232" i="14"/>
  <c r="A233" i="14"/>
  <c r="B233" i="14"/>
  <c r="C233" i="14"/>
  <c r="D233" i="14"/>
  <c r="E233" i="14"/>
  <c r="F233" i="14"/>
  <c r="G233" i="14"/>
  <c r="H233" i="14"/>
  <c r="A234" i="14"/>
  <c r="B234" i="14"/>
  <c r="C234" i="14"/>
  <c r="D234" i="14"/>
  <c r="E234" i="14"/>
  <c r="F234" i="14"/>
  <c r="G234" i="14"/>
  <c r="H234" i="14"/>
  <c r="A235" i="14"/>
  <c r="B235" i="14"/>
  <c r="C235" i="14"/>
  <c r="D235" i="14"/>
  <c r="E235" i="14"/>
  <c r="F235" i="14"/>
  <c r="G235" i="14"/>
  <c r="H235" i="14"/>
  <c r="A236" i="14"/>
  <c r="B236" i="14"/>
  <c r="C236" i="14"/>
  <c r="D236" i="14"/>
  <c r="E236" i="14"/>
  <c r="F236" i="14"/>
  <c r="G236" i="14"/>
  <c r="H236" i="14"/>
  <c r="A237" i="14"/>
  <c r="B237" i="14"/>
  <c r="C237" i="14"/>
  <c r="D237" i="14"/>
  <c r="E237" i="14"/>
  <c r="F237" i="14"/>
  <c r="G237" i="14"/>
  <c r="H237" i="14"/>
  <c r="A238" i="14"/>
  <c r="B238" i="14"/>
  <c r="C238" i="14"/>
  <c r="D238" i="14"/>
  <c r="E238" i="14"/>
  <c r="F238" i="14"/>
  <c r="G238" i="14"/>
  <c r="H238" i="14"/>
  <c r="A239" i="14"/>
  <c r="B239" i="14"/>
  <c r="C239" i="14"/>
  <c r="D239" i="14"/>
  <c r="E239" i="14"/>
  <c r="F239" i="14"/>
  <c r="G239" i="14"/>
  <c r="H239" i="14"/>
  <c r="A240" i="14"/>
  <c r="B240" i="14"/>
  <c r="C240" i="14"/>
  <c r="D240" i="14"/>
  <c r="E240" i="14"/>
  <c r="F240" i="14"/>
  <c r="G240" i="14"/>
  <c r="H240" i="14"/>
  <c r="A241" i="14"/>
  <c r="B241" i="14"/>
  <c r="C241" i="14"/>
  <c r="D241" i="14"/>
  <c r="E241" i="14"/>
  <c r="F241" i="14"/>
  <c r="G241" i="14"/>
  <c r="H241" i="14"/>
  <c r="A242" i="14"/>
  <c r="B242" i="14"/>
  <c r="C242" i="14"/>
  <c r="D242" i="14"/>
  <c r="E242" i="14"/>
  <c r="F242" i="14"/>
  <c r="G242" i="14"/>
  <c r="H242" i="14"/>
  <c r="A243" i="14"/>
  <c r="B243" i="14"/>
  <c r="C243" i="14"/>
  <c r="D243" i="14"/>
  <c r="E243" i="14"/>
  <c r="F243" i="14"/>
  <c r="G243" i="14"/>
  <c r="H243" i="14"/>
  <c r="A244" i="14"/>
  <c r="B244" i="14"/>
  <c r="C244" i="14"/>
  <c r="D244" i="14"/>
  <c r="E244" i="14"/>
  <c r="F244" i="14"/>
  <c r="G244" i="14"/>
  <c r="H244" i="14"/>
  <c r="A245" i="14"/>
  <c r="B245" i="14"/>
  <c r="C245" i="14"/>
  <c r="D245" i="14"/>
  <c r="E245" i="14"/>
  <c r="F245" i="14"/>
  <c r="G245" i="14"/>
  <c r="H245" i="14"/>
  <c r="A246" i="14"/>
  <c r="B246" i="14"/>
  <c r="C246" i="14"/>
  <c r="D246" i="14"/>
  <c r="E246" i="14"/>
  <c r="F246" i="14"/>
  <c r="G246" i="14"/>
  <c r="H246" i="14"/>
  <c r="A247" i="14"/>
  <c r="B247" i="14"/>
  <c r="C247" i="14"/>
  <c r="D247" i="14"/>
  <c r="E247" i="14"/>
  <c r="F247" i="14"/>
  <c r="G247" i="14"/>
  <c r="H247" i="14"/>
  <c r="A248" i="14"/>
  <c r="B248" i="14"/>
  <c r="C248" i="14"/>
  <c r="D248" i="14"/>
  <c r="E248" i="14"/>
  <c r="F248" i="14"/>
  <c r="G248" i="14"/>
  <c r="H248" i="14"/>
  <c r="A249" i="14"/>
  <c r="B249" i="14"/>
  <c r="C249" i="14"/>
  <c r="D249" i="14"/>
  <c r="E249" i="14"/>
  <c r="F249" i="14"/>
  <c r="G249" i="14"/>
  <c r="H249" i="14"/>
  <c r="A250" i="14"/>
  <c r="B250" i="14"/>
  <c r="C250" i="14"/>
  <c r="D250" i="14"/>
  <c r="E250" i="14"/>
  <c r="F250" i="14"/>
  <c r="G250" i="14"/>
  <c r="H250" i="14"/>
  <c r="A251" i="14"/>
  <c r="B251" i="14"/>
  <c r="C251" i="14"/>
  <c r="D251" i="14"/>
  <c r="E251" i="14"/>
  <c r="F251" i="14"/>
  <c r="G251" i="14"/>
  <c r="H251" i="14"/>
  <c r="A252" i="14"/>
  <c r="B252" i="14"/>
  <c r="C252" i="14"/>
  <c r="D252" i="14"/>
  <c r="E252" i="14"/>
  <c r="F252" i="14"/>
  <c r="G252" i="14"/>
  <c r="H252" i="14"/>
  <c r="A253" i="14"/>
  <c r="B253" i="14"/>
  <c r="C253" i="14"/>
  <c r="D253" i="14"/>
  <c r="E253" i="14"/>
  <c r="F253" i="14"/>
  <c r="G253" i="14"/>
  <c r="H253" i="14"/>
  <c r="A254" i="14"/>
  <c r="B254" i="14"/>
  <c r="C254" i="14"/>
  <c r="D254" i="14"/>
  <c r="E254" i="14"/>
  <c r="F254" i="14"/>
  <c r="G254" i="14"/>
  <c r="H254" i="14"/>
  <c r="A255" i="14"/>
  <c r="B255" i="14"/>
  <c r="C255" i="14"/>
  <c r="D255" i="14"/>
  <c r="E255" i="14"/>
  <c r="F255" i="14"/>
  <c r="G255" i="14"/>
  <c r="H255" i="14"/>
  <c r="A256" i="14"/>
  <c r="B256" i="14"/>
  <c r="C256" i="14"/>
  <c r="D256" i="14"/>
  <c r="E256" i="14"/>
  <c r="F256" i="14"/>
  <c r="G256" i="14"/>
  <c r="H256" i="14"/>
  <c r="A257" i="14"/>
  <c r="B257" i="14"/>
  <c r="C257" i="14"/>
  <c r="D257" i="14"/>
  <c r="E257" i="14"/>
  <c r="F257" i="14"/>
  <c r="G257" i="14"/>
  <c r="H257" i="14"/>
  <c r="A258" i="14"/>
  <c r="B258" i="14"/>
  <c r="C258" i="14"/>
  <c r="D258" i="14"/>
  <c r="E258" i="14"/>
  <c r="F258" i="14"/>
  <c r="G258" i="14"/>
  <c r="H258" i="14"/>
  <c r="A259" i="14"/>
  <c r="B259" i="14"/>
  <c r="C259" i="14"/>
  <c r="D259" i="14"/>
  <c r="E259" i="14"/>
  <c r="F259" i="14"/>
  <c r="G259" i="14"/>
  <c r="H259" i="14"/>
  <c r="A260" i="14"/>
  <c r="B260" i="14"/>
  <c r="C260" i="14"/>
  <c r="D260" i="14"/>
  <c r="E260" i="14"/>
  <c r="F260" i="14"/>
  <c r="G260" i="14"/>
  <c r="H260" i="14"/>
  <c r="A261" i="14"/>
  <c r="B261" i="14"/>
  <c r="C261" i="14"/>
  <c r="D261" i="14"/>
  <c r="E261" i="14"/>
  <c r="F261" i="14"/>
  <c r="G261" i="14"/>
  <c r="H261" i="14"/>
  <c r="A262" i="14"/>
  <c r="B262" i="14"/>
  <c r="C262" i="14"/>
  <c r="D262" i="14"/>
  <c r="E262" i="14"/>
  <c r="F262" i="14"/>
  <c r="G262" i="14"/>
  <c r="H262" i="14"/>
  <c r="A263" i="14"/>
  <c r="B263" i="14"/>
  <c r="C263" i="14"/>
  <c r="D263" i="14"/>
  <c r="E263" i="14"/>
  <c r="F263" i="14"/>
  <c r="G263" i="14"/>
  <c r="H263" i="14"/>
  <c r="A264" i="14"/>
  <c r="B264" i="14"/>
  <c r="C264" i="14"/>
  <c r="D264" i="14"/>
  <c r="E264" i="14"/>
  <c r="F264" i="14"/>
  <c r="G264" i="14"/>
  <c r="H264" i="14"/>
  <c r="A265" i="14"/>
  <c r="B265" i="14"/>
  <c r="C265" i="14"/>
  <c r="D265" i="14"/>
  <c r="E265" i="14"/>
  <c r="F265" i="14"/>
  <c r="G265" i="14"/>
  <c r="H265" i="14"/>
  <c r="A266" i="14"/>
  <c r="B266" i="14"/>
  <c r="C266" i="14"/>
  <c r="D266" i="14"/>
  <c r="E266" i="14"/>
  <c r="F266" i="14"/>
  <c r="G266" i="14"/>
  <c r="H266" i="14"/>
  <c r="A267" i="14"/>
  <c r="B267" i="14"/>
  <c r="C267" i="14"/>
  <c r="D267" i="14"/>
  <c r="E267" i="14"/>
  <c r="F267" i="14"/>
  <c r="G267" i="14"/>
  <c r="H267" i="14"/>
  <c r="A268" i="14"/>
  <c r="B268" i="14"/>
  <c r="C268" i="14"/>
  <c r="D268" i="14"/>
  <c r="E268" i="14"/>
  <c r="F268" i="14"/>
  <c r="G268" i="14"/>
  <c r="H268" i="14"/>
  <c r="A269" i="14"/>
  <c r="B269" i="14"/>
  <c r="C269" i="14"/>
  <c r="D269" i="14"/>
  <c r="E269" i="14"/>
  <c r="F269" i="14"/>
  <c r="G269" i="14"/>
  <c r="H269" i="14"/>
  <c r="A270" i="14"/>
  <c r="B270" i="14"/>
  <c r="C270" i="14"/>
  <c r="D270" i="14"/>
  <c r="E270" i="14"/>
  <c r="F270" i="14"/>
  <c r="G270" i="14"/>
  <c r="H270" i="14"/>
  <c r="A271" i="14"/>
  <c r="B271" i="14"/>
  <c r="C271" i="14"/>
  <c r="D271" i="14"/>
  <c r="E271" i="14"/>
  <c r="F271" i="14"/>
  <c r="G271" i="14"/>
  <c r="H271" i="14"/>
  <c r="A272" i="14"/>
  <c r="B272" i="14"/>
  <c r="C272" i="14"/>
  <c r="D272" i="14"/>
  <c r="E272" i="14"/>
  <c r="F272" i="14"/>
  <c r="G272" i="14"/>
  <c r="H272" i="14"/>
  <c r="A273" i="14"/>
  <c r="B273" i="14"/>
  <c r="C273" i="14"/>
  <c r="D273" i="14"/>
  <c r="E273" i="14"/>
  <c r="F273" i="14"/>
  <c r="G273" i="14"/>
  <c r="H273" i="14"/>
  <c r="A274" i="14"/>
  <c r="B274" i="14"/>
  <c r="C274" i="14"/>
  <c r="D274" i="14"/>
  <c r="E274" i="14"/>
  <c r="F274" i="14"/>
  <c r="G274" i="14"/>
  <c r="H274" i="14"/>
  <c r="A275" i="14"/>
  <c r="B275" i="14"/>
  <c r="C275" i="14"/>
  <c r="D275" i="14"/>
  <c r="E275" i="14"/>
  <c r="F275" i="14"/>
  <c r="G275" i="14"/>
  <c r="H275" i="14"/>
  <c r="A276" i="14"/>
  <c r="B276" i="14"/>
  <c r="C276" i="14"/>
  <c r="D276" i="14"/>
  <c r="E276" i="14"/>
  <c r="F276" i="14"/>
  <c r="G276" i="14"/>
  <c r="H276" i="14"/>
  <c r="A277" i="14"/>
  <c r="B277" i="14"/>
  <c r="C277" i="14"/>
  <c r="D277" i="14"/>
  <c r="E277" i="14"/>
  <c r="F277" i="14"/>
  <c r="G277" i="14"/>
  <c r="H277" i="14"/>
  <c r="A278" i="14"/>
  <c r="B278" i="14"/>
  <c r="C278" i="14"/>
  <c r="D278" i="14"/>
  <c r="E278" i="14"/>
  <c r="F278" i="14"/>
  <c r="G278" i="14"/>
  <c r="H278" i="14"/>
  <c r="A279" i="14"/>
  <c r="B279" i="14"/>
  <c r="C279" i="14"/>
  <c r="D279" i="14"/>
  <c r="E279" i="14"/>
  <c r="F279" i="14"/>
  <c r="G279" i="14"/>
  <c r="H279" i="14"/>
  <c r="A280" i="14"/>
  <c r="B280" i="14"/>
  <c r="C280" i="14"/>
  <c r="D280" i="14"/>
  <c r="E280" i="14"/>
  <c r="F280" i="14"/>
  <c r="G280" i="14"/>
  <c r="H280" i="14"/>
  <c r="A281" i="14"/>
  <c r="B281" i="14"/>
  <c r="C281" i="14"/>
  <c r="D281" i="14"/>
  <c r="E281" i="14"/>
  <c r="F281" i="14"/>
  <c r="G281" i="14"/>
  <c r="H281" i="14"/>
  <c r="A282" i="14"/>
  <c r="B282" i="14"/>
  <c r="C282" i="14"/>
  <c r="D282" i="14"/>
  <c r="E282" i="14"/>
  <c r="F282" i="14"/>
  <c r="G282" i="14"/>
  <c r="H282" i="14"/>
  <c r="A283" i="14"/>
  <c r="B283" i="14"/>
  <c r="C283" i="14"/>
  <c r="D283" i="14"/>
  <c r="E283" i="14"/>
  <c r="F283" i="14"/>
  <c r="G283" i="14"/>
  <c r="H283" i="14"/>
  <c r="A284" i="14"/>
  <c r="B284" i="14"/>
  <c r="C284" i="14"/>
  <c r="D284" i="14"/>
  <c r="E284" i="14"/>
  <c r="F284" i="14"/>
  <c r="G284" i="14"/>
  <c r="H284" i="14"/>
  <c r="A285" i="14"/>
  <c r="B285" i="14"/>
  <c r="C285" i="14"/>
  <c r="D285" i="14"/>
  <c r="E285" i="14"/>
  <c r="F285" i="14"/>
  <c r="G285" i="14"/>
  <c r="H285" i="14"/>
  <c r="A286" i="14"/>
  <c r="B286" i="14"/>
  <c r="C286" i="14"/>
  <c r="D286" i="14"/>
  <c r="E286" i="14"/>
  <c r="F286" i="14"/>
  <c r="G286" i="14"/>
  <c r="H286" i="14"/>
  <c r="A287" i="14"/>
  <c r="B287" i="14"/>
  <c r="C287" i="14"/>
  <c r="D287" i="14"/>
  <c r="E287" i="14"/>
  <c r="F287" i="14"/>
  <c r="G287" i="14"/>
  <c r="H287" i="14"/>
  <c r="A288" i="14"/>
  <c r="B288" i="14"/>
  <c r="C288" i="14"/>
  <c r="D288" i="14"/>
  <c r="E288" i="14"/>
  <c r="F288" i="14"/>
  <c r="G288" i="14"/>
  <c r="H288" i="14"/>
  <c r="A289" i="14"/>
  <c r="B289" i="14"/>
  <c r="C289" i="14"/>
  <c r="D289" i="14"/>
  <c r="E289" i="14"/>
  <c r="F289" i="14"/>
  <c r="G289" i="14"/>
  <c r="H289" i="14"/>
  <c r="A290" i="14"/>
  <c r="B290" i="14"/>
  <c r="C290" i="14"/>
  <c r="D290" i="14"/>
  <c r="E290" i="14"/>
  <c r="F290" i="14"/>
  <c r="G290" i="14"/>
  <c r="H290" i="14"/>
  <c r="A291" i="14"/>
  <c r="B291" i="14"/>
  <c r="C291" i="14"/>
  <c r="D291" i="14"/>
  <c r="E291" i="14"/>
  <c r="F291" i="14"/>
  <c r="G291" i="14"/>
  <c r="H291" i="14"/>
  <c r="A292" i="14"/>
  <c r="B292" i="14"/>
  <c r="C292" i="14"/>
  <c r="D292" i="14"/>
  <c r="E292" i="14"/>
  <c r="F292" i="14"/>
  <c r="G292" i="14"/>
  <c r="H292" i="14"/>
  <c r="A293" i="14"/>
  <c r="B293" i="14"/>
  <c r="C293" i="14"/>
  <c r="D293" i="14"/>
  <c r="E293" i="14"/>
  <c r="F293" i="14"/>
  <c r="G293" i="14"/>
  <c r="H293" i="14"/>
  <c r="A294" i="14"/>
  <c r="B294" i="14"/>
  <c r="C294" i="14"/>
  <c r="D294" i="14"/>
  <c r="E294" i="14"/>
  <c r="F294" i="14"/>
  <c r="G294" i="14"/>
  <c r="H294" i="14"/>
  <c r="A295" i="14"/>
  <c r="B295" i="14"/>
  <c r="C295" i="14"/>
  <c r="D295" i="14"/>
  <c r="E295" i="14"/>
  <c r="F295" i="14"/>
  <c r="G295" i="14"/>
  <c r="H295" i="14"/>
  <c r="A296" i="14"/>
  <c r="B296" i="14"/>
  <c r="C296" i="14"/>
  <c r="D296" i="14"/>
  <c r="E296" i="14"/>
  <c r="F296" i="14"/>
  <c r="G296" i="14"/>
  <c r="H296" i="14"/>
  <c r="A297" i="14"/>
  <c r="B297" i="14"/>
  <c r="C297" i="14"/>
  <c r="D297" i="14"/>
  <c r="E297" i="14"/>
  <c r="F297" i="14"/>
  <c r="G297" i="14"/>
  <c r="H297" i="14"/>
  <c r="A298" i="14"/>
  <c r="B298" i="14"/>
  <c r="C298" i="14"/>
  <c r="D298" i="14"/>
  <c r="E298" i="14"/>
  <c r="F298" i="14"/>
  <c r="G298" i="14"/>
  <c r="H298" i="14"/>
  <c r="A299" i="14"/>
  <c r="B299" i="14"/>
  <c r="C299" i="14"/>
  <c r="D299" i="14"/>
  <c r="E299" i="14"/>
  <c r="F299" i="14"/>
  <c r="G299" i="14"/>
  <c r="H299" i="14"/>
  <c r="A300" i="14"/>
  <c r="B300" i="14"/>
  <c r="C300" i="14"/>
  <c r="D300" i="14"/>
  <c r="E300" i="14"/>
  <c r="F300" i="14"/>
  <c r="G300" i="14"/>
  <c r="H300" i="14"/>
  <c r="A301" i="14"/>
  <c r="B301" i="14"/>
  <c r="C301" i="14"/>
  <c r="D301" i="14"/>
  <c r="E301" i="14"/>
  <c r="F301" i="14"/>
  <c r="G301" i="14"/>
  <c r="H301" i="14"/>
  <c r="A302" i="14"/>
  <c r="B302" i="14"/>
  <c r="C302" i="14"/>
  <c r="D302" i="14"/>
  <c r="E302" i="14"/>
  <c r="F302" i="14"/>
  <c r="G302" i="14"/>
  <c r="H302" i="14"/>
  <c r="A303" i="14"/>
  <c r="B303" i="14"/>
  <c r="C303" i="14"/>
  <c r="D303" i="14"/>
  <c r="E303" i="14"/>
  <c r="F303" i="14"/>
  <c r="G303" i="14"/>
  <c r="H303" i="14"/>
  <c r="A304" i="14"/>
  <c r="B304" i="14"/>
  <c r="C304" i="14"/>
  <c r="D304" i="14"/>
  <c r="E304" i="14"/>
  <c r="F304" i="14"/>
  <c r="G304" i="14"/>
  <c r="H304" i="14"/>
  <c r="A305" i="14"/>
  <c r="B305" i="14"/>
  <c r="C305" i="14"/>
  <c r="D305" i="14"/>
  <c r="E305" i="14"/>
  <c r="F305" i="14"/>
  <c r="G305" i="14"/>
  <c r="H305" i="14"/>
  <c r="A306" i="14"/>
  <c r="B306" i="14"/>
  <c r="C306" i="14"/>
  <c r="D306" i="14"/>
  <c r="E306" i="14"/>
  <c r="F306" i="14"/>
  <c r="G306" i="14"/>
  <c r="H306" i="14"/>
  <c r="A307" i="14"/>
  <c r="B307" i="14"/>
  <c r="C307" i="14"/>
  <c r="D307" i="14"/>
  <c r="E307" i="14"/>
  <c r="F307" i="14"/>
  <c r="G307" i="14"/>
  <c r="H307" i="14"/>
  <c r="A308" i="14"/>
  <c r="B308" i="14"/>
  <c r="C308" i="14"/>
  <c r="D308" i="14"/>
  <c r="E308" i="14"/>
  <c r="F308" i="14"/>
  <c r="G308" i="14"/>
  <c r="H308" i="14"/>
  <c r="A309" i="14"/>
  <c r="B309" i="14"/>
  <c r="C309" i="14"/>
  <c r="D309" i="14"/>
  <c r="E309" i="14"/>
  <c r="F309" i="14"/>
  <c r="G309" i="14"/>
  <c r="H309" i="14"/>
  <c r="A310" i="14"/>
  <c r="B310" i="14"/>
  <c r="C310" i="14"/>
  <c r="D310" i="14"/>
  <c r="E310" i="14"/>
  <c r="F310" i="14"/>
  <c r="G310" i="14"/>
  <c r="H310" i="14"/>
  <c r="A311" i="14"/>
  <c r="B311" i="14"/>
  <c r="C311" i="14"/>
  <c r="D311" i="14"/>
  <c r="E311" i="14"/>
  <c r="F311" i="14"/>
  <c r="G311" i="14"/>
  <c r="H311" i="14"/>
  <c r="A312" i="14"/>
  <c r="B312" i="14"/>
  <c r="C312" i="14"/>
  <c r="D312" i="14"/>
  <c r="E312" i="14"/>
  <c r="F312" i="14"/>
  <c r="G312" i="14"/>
  <c r="H312" i="14"/>
  <c r="A313" i="14"/>
  <c r="B313" i="14"/>
  <c r="C313" i="14"/>
  <c r="D313" i="14"/>
  <c r="E313" i="14"/>
  <c r="F313" i="14"/>
  <c r="G313" i="14"/>
  <c r="H313" i="14"/>
  <c r="A314" i="14"/>
  <c r="B314" i="14"/>
  <c r="C314" i="14"/>
  <c r="D314" i="14"/>
  <c r="E314" i="14"/>
  <c r="F314" i="14"/>
  <c r="G314" i="14"/>
  <c r="H314" i="14"/>
  <c r="A315" i="14"/>
  <c r="B315" i="14"/>
  <c r="C315" i="14"/>
  <c r="D315" i="14"/>
  <c r="E315" i="14"/>
  <c r="F315" i="14"/>
  <c r="G315" i="14"/>
  <c r="H315" i="14"/>
  <c r="A316" i="14"/>
  <c r="B316" i="14"/>
  <c r="C316" i="14"/>
  <c r="D316" i="14"/>
  <c r="E316" i="14"/>
  <c r="F316" i="14"/>
  <c r="G316" i="14"/>
  <c r="H316" i="14"/>
  <c r="A317" i="14"/>
  <c r="B317" i="14"/>
  <c r="C317" i="14"/>
  <c r="D317" i="14"/>
  <c r="E317" i="14"/>
  <c r="F317" i="14"/>
  <c r="G317" i="14"/>
  <c r="H317" i="14"/>
  <c r="A318" i="14"/>
  <c r="B318" i="14"/>
  <c r="C318" i="14"/>
  <c r="D318" i="14"/>
  <c r="E318" i="14"/>
  <c r="F318" i="14"/>
  <c r="G318" i="14"/>
  <c r="H318" i="14"/>
  <c r="A319" i="14"/>
  <c r="B319" i="14"/>
  <c r="C319" i="14"/>
  <c r="D319" i="14"/>
  <c r="E319" i="14"/>
  <c r="F319" i="14"/>
  <c r="G319" i="14"/>
  <c r="H319" i="14"/>
  <c r="A320" i="14"/>
  <c r="B320" i="14"/>
  <c r="C320" i="14"/>
  <c r="D320" i="14"/>
  <c r="E320" i="14"/>
  <c r="F320" i="14"/>
  <c r="G320" i="14"/>
  <c r="H320" i="14"/>
  <c r="A321" i="14"/>
  <c r="B321" i="14"/>
  <c r="C321" i="14"/>
  <c r="D321" i="14"/>
  <c r="E321" i="14"/>
  <c r="F321" i="14"/>
  <c r="G321" i="14"/>
  <c r="H321" i="14"/>
  <c r="A322" i="14"/>
  <c r="B322" i="14"/>
  <c r="C322" i="14"/>
  <c r="D322" i="14"/>
  <c r="E322" i="14"/>
  <c r="F322" i="14"/>
  <c r="G322" i="14"/>
  <c r="H322" i="14"/>
  <c r="A323" i="14"/>
  <c r="B323" i="14"/>
  <c r="C323" i="14"/>
  <c r="D323" i="14"/>
  <c r="E323" i="14"/>
  <c r="F323" i="14"/>
  <c r="G323" i="14"/>
  <c r="H323" i="14"/>
  <c r="A324" i="14"/>
  <c r="B324" i="14"/>
  <c r="C324" i="14"/>
  <c r="D324" i="14"/>
  <c r="E324" i="14"/>
  <c r="F324" i="14"/>
  <c r="G324" i="14"/>
  <c r="H324" i="14"/>
  <c r="A325" i="14"/>
  <c r="B325" i="14"/>
  <c r="C325" i="14"/>
  <c r="D325" i="14"/>
  <c r="E325" i="14"/>
  <c r="F325" i="14"/>
  <c r="G325" i="14"/>
  <c r="H325" i="14"/>
  <c r="A326" i="14"/>
  <c r="B326" i="14"/>
  <c r="C326" i="14"/>
  <c r="D326" i="14"/>
  <c r="E326" i="14"/>
  <c r="F326" i="14"/>
  <c r="G326" i="14"/>
  <c r="H326" i="14"/>
  <c r="A327" i="14"/>
  <c r="B327" i="14"/>
  <c r="C327" i="14"/>
  <c r="D327" i="14"/>
  <c r="E327" i="14"/>
  <c r="F327" i="14"/>
  <c r="G327" i="14"/>
  <c r="H327" i="14"/>
  <c r="A328" i="14"/>
  <c r="B328" i="14"/>
  <c r="C328" i="14"/>
  <c r="D328" i="14"/>
  <c r="E328" i="14"/>
  <c r="F328" i="14"/>
  <c r="G328" i="14"/>
  <c r="H328" i="14"/>
  <c r="A329" i="14"/>
  <c r="B329" i="14"/>
  <c r="C329" i="14"/>
  <c r="D329" i="14"/>
  <c r="E329" i="14"/>
  <c r="F329" i="14"/>
  <c r="G329" i="14"/>
  <c r="H329" i="14"/>
  <c r="A330" i="14"/>
  <c r="B330" i="14"/>
  <c r="C330" i="14"/>
  <c r="D330" i="14"/>
  <c r="E330" i="14"/>
  <c r="F330" i="14"/>
  <c r="G330" i="14"/>
  <c r="H330" i="14"/>
  <c r="A331" i="14"/>
  <c r="B331" i="14"/>
  <c r="C331" i="14"/>
  <c r="D331" i="14"/>
  <c r="E331" i="14"/>
  <c r="F331" i="14"/>
  <c r="G331" i="14"/>
  <c r="H331" i="14"/>
  <c r="A332" i="14"/>
  <c r="B332" i="14"/>
  <c r="C332" i="14"/>
  <c r="D332" i="14"/>
  <c r="E332" i="14"/>
  <c r="F332" i="14"/>
  <c r="G332" i="14"/>
  <c r="H332" i="14"/>
  <c r="A333" i="14"/>
  <c r="B333" i="14"/>
  <c r="C333" i="14"/>
  <c r="D333" i="14"/>
  <c r="E333" i="14"/>
  <c r="F333" i="14"/>
  <c r="G333" i="14"/>
  <c r="H333" i="14"/>
  <c r="A334" i="14"/>
  <c r="B334" i="14"/>
  <c r="C334" i="14"/>
  <c r="D334" i="14"/>
  <c r="E334" i="14"/>
  <c r="F334" i="14"/>
  <c r="G334" i="14"/>
  <c r="H334" i="14"/>
  <c r="A335" i="14"/>
  <c r="B335" i="14"/>
  <c r="C335" i="14"/>
  <c r="D335" i="14"/>
  <c r="E335" i="14"/>
  <c r="F335" i="14"/>
  <c r="G335" i="14"/>
  <c r="H335" i="14"/>
  <c r="A336" i="14"/>
  <c r="B336" i="14"/>
  <c r="C336" i="14"/>
  <c r="D336" i="14"/>
  <c r="E336" i="14"/>
  <c r="F336" i="14"/>
  <c r="G336" i="14"/>
  <c r="H336" i="14"/>
  <c r="A337" i="14"/>
  <c r="B337" i="14"/>
  <c r="C337" i="14"/>
  <c r="D337" i="14"/>
  <c r="E337" i="14"/>
  <c r="F337" i="14"/>
  <c r="G337" i="14"/>
  <c r="H337" i="14"/>
  <c r="A338" i="14"/>
  <c r="B338" i="14"/>
  <c r="C338" i="14"/>
  <c r="D338" i="14"/>
  <c r="E338" i="14"/>
  <c r="F338" i="14"/>
  <c r="G338" i="14"/>
  <c r="H338" i="14"/>
  <c r="A339" i="14"/>
  <c r="B339" i="14"/>
  <c r="C339" i="14"/>
  <c r="D339" i="14"/>
  <c r="E339" i="14"/>
  <c r="F339" i="14"/>
  <c r="G339" i="14"/>
  <c r="H339" i="14"/>
  <c r="A340" i="14"/>
  <c r="B340" i="14"/>
  <c r="C340" i="14"/>
  <c r="D340" i="14"/>
  <c r="E340" i="14"/>
  <c r="F340" i="14"/>
  <c r="G340" i="14"/>
  <c r="H340" i="14"/>
  <c r="A341" i="14"/>
  <c r="B341" i="14"/>
  <c r="C341" i="14"/>
  <c r="D341" i="14"/>
  <c r="E341" i="14"/>
  <c r="F341" i="14"/>
  <c r="G341" i="14"/>
  <c r="H341" i="14"/>
  <c r="A342" i="14"/>
  <c r="B342" i="14"/>
  <c r="C342" i="14"/>
  <c r="D342" i="14"/>
  <c r="E342" i="14"/>
  <c r="F342" i="14"/>
  <c r="G342" i="14"/>
  <c r="H342" i="14"/>
  <c r="A343" i="14"/>
  <c r="B343" i="14"/>
  <c r="C343" i="14"/>
  <c r="D343" i="14"/>
  <c r="E343" i="14"/>
  <c r="F343" i="14"/>
  <c r="G343" i="14"/>
  <c r="H343" i="14"/>
  <c r="A344" i="14"/>
  <c r="B344" i="14"/>
  <c r="C344" i="14"/>
  <c r="D344" i="14"/>
  <c r="E344" i="14"/>
  <c r="F344" i="14"/>
  <c r="G344" i="14"/>
  <c r="H344" i="14"/>
  <c r="A345" i="14"/>
  <c r="B345" i="14"/>
  <c r="C345" i="14"/>
  <c r="D345" i="14"/>
  <c r="E345" i="14"/>
  <c r="F345" i="14"/>
  <c r="G345" i="14"/>
  <c r="H345" i="14"/>
  <c r="A346" i="14"/>
  <c r="B346" i="14"/>
  <c r="C346" i="14"/>
  <c r="D346" i="14"/>
  <c r="E346" i="14"/>
  <c r="F346" i="14"/>
  <c r="G346" i="14"/>
  <c r="H346" i="14"/>
  <c r="A347" i="14"/>
  <c r="B347" i="14"/>
  <c r="C347" i="14"/>
  <c r="D347" i="14"/>
  <c r="E347" i="14"/>
  <c r="F347" i="14"/>
  <c r="G347" i="14"/>
  <c r="H347" i="14"/>
  <c r="A348" i="14"/>
  <c r="B348" i="14"/>
  <c r="C348" i="14"/>
  <c r="D348" i="14"/>
  <c r="E348" i="14"/>
  <c r="F348" i="14"/>
  <c r="G348" i="14"/>
  <c r="H348" i="14"/>
  <c r="A349" i="14"/>
  <c r="B349" i="14"/>
  <c r="C349" i="14"/>
  <c r="D349" i="14"/>
  <c r="E349" i="14"/>
  <c r="F349" i="14"/>
  <c r="G349" i="14"/>
  <c r="H349" i="14"/>
  <c r="A350" i="14"/>
  <c r="B350" i="14"/>
  <c r="C350" i="14"/>
  <c r="D350" i="14"/>
  <c r="E350" i="14"/>
  <c r="F350" i="14"/>
  <c r="G350" i="14"/>
  <c r="H350" i="14"/>
  <c r="A351" i="14"/>
  <c r="B351" i="14"/>
  <c r="C351" i="14"/>
  <c r="D351" i="14"/>
  <c r="E351" i="14"/>
  <c r="F351" i="14"/>
  <c r="G351" i="14"/>
  <c r="H351" i="14"/>
  <c r="A352" i="14"/>
  <c r="B352" i="14"/>
  <c r="C352" i="14"/>
  <c r="D352" i="14"/>
  <c r="E352" i="14"/>
  <c r="F352" i="14"/>
  <c r="G352" i="14"/>
  <c r="H352" i="14"/>
  <c r="A353" i="14"/>
  <c r="B353" i="14"/>
  <c r="C353" i="14"/>
  <c r="D353" i="14"/>
  <c r="E353" i="14"/>
  <c r="F353" i="14"/>
  <c r="G353" i="14"/>
  <c r="H353" i="14"/>
  <c r="A354" i="14"/>
  <c r="B354" i="14"/>
  <c r="C354" i="14"/>
  <c r="D354" i="14"/>
  <c r="E354" i="14"/>
  <c r="F354" i="14"/>
  <c r="G354" i="14"/>
  <c r="H354" i="14"/>
  <c r="A355" i="14"/>
  <c r="B355" i="14"/>
  <c r="C355" i="14"/>
  <c r="D355" i="14"/>
  <c r="E355" i="14"/>
  <c r="F355" i="14"/>
  <c r="G355" i="14"/>
  <c r="H355" i="14"/>
  <c r="A356" i="14"/>
  <c r="B356" i="14"/>
  <c r="C356" i="14"/>
  <c r="D356" i="14"/>
  <c r="E356" i="14"/>
  <c r="F356" i="14"/>
  <c r="G356" i="14"/>
  <c r="H356" i="14"/>
  <c r="A357" i="14"/>
  <c r="B357" i="14"/>
  <c r="C357" i="14"/>
  <c r="D357" i="14"/>
  <c r="E357" i="14"/>
  <c r="F357" i="14"/>
  <c r="G357" i="14"/>
  <c r="H357" i="14"/>
  <c r="A358" i="14"/>
  <c r="B358" i="14"/>
  <c r="C358" i="14"/>
  <c r="D358" i="14"/>
  <c r="E358" i="14"/>
  <c r="F358" i="14"/>
  <c r="G358" i="14"/>
  <c r="H358" i="14"/>
  <c r="A359" i="14"/>
  <c r="B359" i="14"/>
  <c r="C359" i="14"/>
  <c r="D359" i="14"/>
  <c r="E359" i="14"/>
  <c r="F359" i="14"/>
  <c r="G359" i="14"/>
  <c r="H359" i="14"/>
  <c r="A360" i="14"/>
  <c r="B360" i="14"/>
  <c r="C360" i="14"/>
  <c r="D360" i="14"/>
  <c r="E360" i="14"/>
  <c r="F360" i="14"/>
  <c r="G360" i="14"/>
  <c r="H360" i="14"/>
  <c r="A361" i="14"/>
  <c r="B361" i="14"/>
  <c r="C361" i="14"/>
  <c r="D361" i="14"/>
  <c r="E361" i="14"/>
  <c r="F361" i="14"/>
  <c r="G361" i="14"/>
  <c r="H361" i="14"/>
  <c r="A362" i="14"/>
  <c r="B362" i="14"/>
  <c r="C362" i="14"/>
  <c r="D362" i="14"/>
  <c r="E362" i="14"/>
  <c r="F362" i="14"/>
  <c r="G362" i="14"/>
  <c r="H362" i="14"/>
  <c r="A363" i="14"/>
  <c r="B363" i="14"/>
  <c r="C363" i="14"/>
  <c r="D363" i="14"/>
  <c r="E363" i="14"/>
  <c r="F363" i="14"/>
  <c r="G363" i="14"/>
  <c r="H363" i="14"/>
  <c r="A364" i="14"/>
  <c r="B364" i="14"/>
  <c r="C364" i="14"/>
  <c r="D364" i="14"/>
  <c r="E364" i="14"/>
  <c r="F364" i="14"/>
  <c r="G364" i="14"/>
  <c r="H364" i="14"/>
  <c r="A365" i="14"/>
  <c r="B365" i="14"/>
  <c r="C365" i="14"/>
  <c r="D365" i="14"/>
  <c r="E365" i="14"/>
  <c r="F365" i="14"/>
  <c r="G365" i="14"/>
  <c r="H365" i="14"/>
  <c r="A366" i="14"/>
  <c r="B366" i="14"/>
  <c r="C366" i="14"/>
  <c r="D366" i="14"/>
  <c r="E366" i="14"/>
  <c r="F366" i="14"/>
  <c r="G366" i="14"/>
  <c r="H366" i="14"/>
  <c r="A367" i="14"/>
  <c r="B367" i="14"/>
  <c r="C367" i="14"/>
  <c r="D367" i="14"/>
  <c r="E367" i="14"/>
  <c r="F367" i="14"/>
  <c r="G367" i="14"/>
  <c r="H367" i="14"/>
  <c r="A368" i="14"/>
  <c r="B368" i="14"/>
  <c r="C368" i="14"/>
  <c r="D368" i="14"/>
  <c r="E368" i="14"/>
  <c r="F368" i="14"/>
  <c r="G368" i="14"/>
  <c r="H368" i="14"/>
  <c r="A369" i="14"/>
  <c r="B369" i="14"/>
  <c r="C369" i="14"/>
  <c r="D369" i="14"/>
  <c r="E369" i="14"/>
  <c r="F369" i="14"/>
  <c r="G369" i="14"/>
  <c r="H369" i="14"/>
  <c r="A370" i="14"/>
  <c r="B370" i="14"/>
  <c r="C370" i="14"/>
  <c r="D370" i="14"/>
  <c r="E370" i="14"/>
  <c r="F370" i="14"/>
  <c r="G370" i="14"/>
  <c r="H370" i="14"/>
  <c r="A371" i="14"/>
  <c r="B371" i="14"/>
  <c r="C371" i="14"/>
  <c r="D371" i="14"/>
  <c r="E371" i="14"/>
  <c r="F371" i="14"/>
  <c r="G371" i="14"/>
  <c r="H371" i="14"/>
  <c r="A372" i="14"/>
  <c r="B372" i="14"/>
  <c r="C372" i="14"/>
  <c r="D372" i="14"/>
  <c r="E372" i="14"/>
  <c r="F372" i="14"/>
  <c r="G372" i="14"/>
  <c r="H372" i="14"/>
  <c r="A373" i="14"/>
  <c r="B373" i="14"/>
  <c r="C373" i="14"/>
  <c r="D373" i="14"/>
  <c r="E373" i="14"/>
  <c r="F373" i="14"/>
  <c r="G373" i="14"/>
  <c r="H373" i="14"/>
  <c r="A374" i="14"/>
  <c r="B374" i="14"/>
  <c r="C374" i="14"/>
  <c r="D374" i="14"/>
  <c r="E374" i="14"/>
  <c r="F374" i="14"/>
  <c r="G374" i="14"/>
  <c r="H374" i="14"/>
  <c r="A375" i="14"/>
  <c r="B375" i="14"/>
  <c r="C375" i="14"/>
  <c r="D375" i="14"/>
  <c r="E375" i="14"/>
  <c r="F375" i="14"/>
  <c r="G375" i="14"/>
  <c r="H375" i="14"/>
  <c r="A376" i="14"/>
  <c r="B376" i="14"/>
  <c r="C376" i="14"/>
  <c r="D376" i="14"/>
  <c r="E376" i="14"/>
  <c r="F376" i="14"/>
  <c r="G376" i="14"/>
  <c r="H376" i="14"/>
  <c r="A377" i="14"/>
  <c r="B377" i="14"/>
  <c r="C377" i="14"/>
  <c r="D377" i="14"/>
  <c r="E377" i="14"/>
  <c r="F377" i="14"/>
  <c r="G377" i="14"/>
  <c r="H377" i="14"/>
  <c r="A378" i="14"/>
  <c r="B378" i="14"/>
  <c r="C378" i="14"/>
  <c r="D378" i="14"/>
  <c r="E378" i="14"/>
  <c r="F378" i="14"/>
  <c r="G378" i="14"/>
  <c r="H378" i="14"/>
  <c r="A379" i="14"/>
  <c r="B379" i="14"/>
  <c r="C379" i="14"/>
  <c r="D379" i="14"/>
  <c r="E379" i="14"/>
  <c r="F379" i="14"/>
  <c r="G379" i="14"/>
  <c r="H379" i="14"/>
  <c r="A380" i="14"/>
  <c r="B380" i="14"/>
  <c r="C380" i="14"/>
  <c r="D380" i="14"/>
  <c r="E380" i="14"/>
  <c r="F380" i="14"/>
  <c r="G380" i="14"/>
  <c r="H380" i="14"/>
  <c r="A381" i="14"/>
  <c r="B381" i="14"/>
  <c r="C381" i="14"/>
  <c r="D381" i="14"/>
  <c r="E381" i="14"/>
  <c r="F381" i="14"/>
  <c r="G381" i="14"/>
  <c r="H381" i="14"/>
  <c r="A382" i="14"/>
  <c r="B382" i="14"/>
  <c r="C382" i="14"/>
  <c r="D382" i="14"/>
  <c r="E382" i="14"/>
  <c r="F382" i="14"/>
  <c r="G382" i="14"/>
  <c r="H382" i="14"/>
  <c r="A383" i="14"/>
  <c r="B383" i="14"/>
  <c r="C383" i="14"/>
  <c r="D383" i="14"/>
  <c r="E383" i="14"/>
  <c r="F383" i="14"/>
  <c r="G383" i="14"/>
  <c r="H383" i="14"/>
  <c r="A384" i="14"/>
  <c r="B384" i="14"/>
  <c r="C384" i="14"/>
  <c r="D384" i="14"/>
  <c r="E384" i="14"/>
  <c r="F384" i="14"/>
  <c r="G384" i="14"/>
  <c r="H384" i="14"/>
  <c r="A385" i="14"/>
  <c r="B385" i="14"/>
  <c r="C385" i="14"/>
  <c r="D385" i="14"/>
  <c r="E385" i="14"/>
  <c r="F385" i="14"/>
  <c r="G385" i="14"/>
  <c r="H385" i="14"/>
  <c r="A386" i="14"/>
  <c r="B386" i="14"/>
  <c r="C386" i="14"/>
  <c r="D386" i="14"/>
  <c r="E386" i="14"/>
  <c r="F386" i="14"/>
  <c r="G386" i="14"/>
  <c r="H386" i="14"/>
  <c r="A387" i="14"/>
  <c r="B387" i="14"/>
  <c r="C387" i="14"/>
  <c r="D387" i="14"/>
  <c r="E387" i="14"/>
  <c r="F387" i="14"/>
  <c r="G387" i="14"/>
  <c r="H387" i="14"/>
  <c r="A388" i="14"/>
  <c r="B388" i="14"/>
  <c r="C388" i="14"/>
  <c r="D388" i="14"/>
  <c r="E388" i="14"/>
  <c r="F388" i="14"/>
  <c r="G388" i="14"/>
  <c r="H388" i="14"/>
  <c r="A389" i="14"/>
  <c r="B389" i="14"/>
  <c r="C389" i="14"/>
  <c r="D389" i="14"/>
  <c r="E389" i="14"/>
  <c r="F389" i="14"/>
  <c r="G389" i="14"/>
  <c r="H389" i="14"/>
  <c r="A390" i="14"/>
  <c r="B390" i="14"/>
  <c r="C390" i="14"/>
  <c r="D390" i="14"/>
  <c r="E390" i="14"/>
  <c r="F390" i="14"/>
  <c r="G390" i="14"/>
  <c r="H390" i="14"/>
  <c r="A391" i="14"/>
  <c r="B391" i="14"/>
  <c r="C391" i="14"/>
  <c r="D391" i="14"/>
  <c r="E391" i="14"/>
  <c r="F391" i="14"/>
  <c r="G391" i="14"/>
  <c r="H391" i="14"/>
  <c r="A392" i="14"/>
  <c r="B392" i="14"/>
  <c r="C392" i="14"/>
  <c r="D392" i="14"/>
  <c r="E392" i="14"/>
  <c r="F392" i="14"/>
  <c r="G392" i="14"/>
  <c r="H392" i="14"/>
  <c r="A393" i="14"/>
  <c r="B393" i="14"/>
  <c r="C393" i="14"/>
  <c r="D393" i="14"/>
  <c r="E393" i="14"/>
  <c r="F393" i="14"/>
  <c r="G393" i="14"/>
  <c r="H393" i="14"/>
  <c r="A394" i="14"/>
  <c r="B394" i="14"/>
  <c r="C394" i="14"/>
  <c r="D394" i="14"/>
  <c r="E394" i="14"/>
  <c r="F394" i="14"/>
  <c r="G394" i="14"/>
  <c r="H394" i="14"/>
  <c r="A395" i="14"/>
  <c r="B395" i="14"/>
  <c r="C395" i="14"/>
  <c r="D395" i="14"/>
  <c r="E395" i="14"/>
  <c r="F395" i="14"/>
  <c r="G395" i="14"/>
  <c r="H395" i="14"/>
  <c r="A396" i="14"/>
  <c r="B396" i="14"/>
  <c r="C396" i="14"/>
  <c r="D396" i="14"/>
  <c r="E396" i="14"/>
  <c r="F396" i="14"/>
  <c r="G396" i="14"/>
  <c r="H396" i="14"/>
  <c r="A397" i="14"/>
  <c r="B397" i="14"/>
  <c r="C397" i="14"/>
  <c r="D397" i="14"/>
  <c r="E397" i="14"/>
  <c r="F397" i="14"/>
  <c r="G397" i="14"/>
  <c r="H397" i="14"/>
  <c r="A398" i="14"/>
  <c r="B398" i="14"/>
  <c r="C398" i="14"/>
  <c r="D398" i="14"/>
  <c r="E398" i="14"/>
  <c r="F398" i="14"/>
  <c r="G398" i="14"/>
  <c r="H398" i="14"/>
  <c r="A399" i="14"/>
  <c r="B399" i="14"/>
  <c r="C399" i="14"/>
  <c r="D399" i="14"/>
  <c r="E399" i="14"/>
  <c r="F399" i="14"/>
  <c r="G399" i="14"/>
  <c r="H399" i="14"/>
  <c r="A400" i="14"/>
  <c r="B400" i="14"/>
  <c r="C400" i="14"/>
  <c r="D400" i="14"/>
  <c r="E400" i="14"/>
  <c r="F400" i="14"/>
  <c r="G400" i="14"/>
  <c r="H400" i="14"/>
  <c r="A401" i="14"/>
  <c r="B401" i="14"/>
  <c r="C401" i="14"/>
  <c r="D401" i="14"/>
  <c r="E401" i="14"/>
  <c r="F401" i="14"/>
  <c r="G401" i="14"/>
  <c r="H401" i="14"/>
  <c r="A402" i="14"/>
  <c r="B402" i="14"/>
  <c r="C402" i="14"/>
  <c r="D402" i="14"/>
  <c r="E402" i="14"/>
  <c r="F402" i="14"/>
  <c r="G402" i="14"/>
  <c r="H402" i="14"/>
  <c r="A403" i="14"/>
  <c r="B403" i="14"/>
  <c r="C403" i="14"/>
  <c r="D403" i="14"/>
  <c r="E403" i="14"/>
  <c r="F403" i="14"/>
  <c r="G403" i="14"/>
  <c r="H403" i="14"/>
  <c r="A404" i="14"/>
  <c r="B404" i="14"/>
  <c r="C404" i="14"/>
  <c r="D404" i="14"/>
  <c r="E404" i="14"/>
  <c r="F404" i="14"/>
  <c r="G404" i="14"/>
  <c r="H404" i="14"/>
  <c r="A405" i="14"/>
  <c r="B405" i="14"/>
  <c r="C405" i="14"/>
  <c r="D405" i="14"/>
  <c r="E405" i="14"/>
  <c r="F405" i="14"/>
  <c r="G405" i="14"/>
  <c r="H405" i="14"/>
  <c r="A406" i="14"/>
  <c r="B406" i="14"/>
  <c r="C406" i="14"/>
  <c r="D406" i="14"/>
  <c r="E406" i="14"/>
  <c r="F406" i="14"/>
  <c r="G406" i="14"/>
  <c r="H406" i="14"/>
  <c r="A407" i="14"/>
  <c r="B407" i="14"/>
  <c r="C407" i="14"/>
  <c r="D407" i="14"/>
  <c r="E407" i="14"/>
  <c r="F407" i="14"/>
  <c r="G407" i="14"/>
  <c r="H407" i="14"/>
  <c r="A408" i="14"/>
  <c r="B408" i="14"/>
  <c r="C408" i="14"/>
  <c r="D408" i="14"/>
  <c r="E408" i="14"/>
  <c r="F408" i="14"/>
  <c r="G408" i="14"/>
  <c r="H408" i="14"/>
  <c r="A409" i="14"/>
  <c r="B409" i="14"/>
  <c r="C409" i="14"/>
  <c r="D409" i="14"/>
  <c r="E409" i="14"/>
  <c r="F409" i="14"/>
  <c r="G409" i="14"/>
  <c r="H409" i="14"/>
  <c r="A410" i="14"/>
  <c r="B410" i="14"/>
  <c r="C410" i="14"/>
  <c r="D410" i="14"/>
  <c r="E410" i="14"/>
  <c r="F410" i="14"/>
  <c r="G410" i="14"/>
  <c r="H410" i="14"/>
  <c r="A411" i="14"/>
  <c r="B411" i="14"/>
  <c r="C411" i="14"/>
  <c r="D411" i="14"/>
  <c r="E411" i="14"/>
  <c r="F411" i="14"/>
  <c r="G411" i="14"/>
  <c r="H411" i="14"/>
  <c r="A412" i="14"/>
  <c r="B412" i="14"/>
  <c r="C412" i="14"/>
  <c r="D412" i="14"/>
  <c r="E412" i="14"/>
  <c r="F412" i="14"/>
  <c r="G412" i="14"/>
  <c r="H412" i="14"/>
  <c r="A413" i="14"/>
  <c r="B413" i="14"/>
  <c r="C413" i="14"/>
  <c r="D413" i="14"/>
  <c r="E413" i="14"/>
  <c r="F413" i="14"/>
  <c r="G413" i="14"/>
  <c r="H413" i="14"/>
  <c r="A414" i="14"/>
  <c r="B414" i="14"/>
  <c r="C414" i="14"/>
  <c r="D414" i="14"/>
  <c r="E414" i="14"/>
  <c r="F414" i="14"/>
  <c r="G414" i="14"/>
  <c r="H414" i="14"/>
  <c r="A415" i="14"/>
  <c r="B415" i="14"/>
  <c r="C415" i="14"/>
  <c r="D415" i="14"/>
  <c r="E415" i="14"/>
  <c r="F415" i="14"/>
  <c r="G415" i="14"/>
  <c r="H415" i="14"/>
  <c r="A416" i="14"/>
  <c r="B416" i="14"/>
  <c r="C416" i="14"/>
  <c r="D416" i="14"/>
  <c r="E416" i="14"/>
  <c r="F416" i="14"/>
  <c r="G416" i="14"/>
  <c r="H416" i="14"/>
  <c r="A417" i="14"/>
  <c r="B417" i="14"/>
  <c r="C417" i="14"/>
  <c r="D417" i="14"/>
  <c r="E417" i="14"/>
  <c r="F417" i="14"/>
  <c r="G417" i="14"/>
  <c r="H417" i="14"/>
  <c r="A418" i="14"/>
  <c r="B418" i="14"/>
  <c r="C418" i="14"/>
  <c r="D418" i="14"/>
  <c r="E418" i="14"/>
  <c r="F418" i="14"/>
  <c r="G418" i="14"/>
  <c r="H418" i="14"/>
  <c r="A419" i="14"/>
  <c r="B419" i="14"/>
  <c r="C419" i="14"/>
  <c r="D419" i="14"/>
  <c r="E419" i="14"/>
  <c r="F419" i="14"/>
  <c r="G419" i="14"/>
  <c r="H419" i="14"/>
  <c r="A420" i="14"/>
  <c r="B420" i="14"/>
  <c r="C420" i="14"/>
  <c r="D420" i="14"/>
  <c r="E420" i="14"/>
  <c r="F420" i="14"/>
  <c r="G420" i="14"/>
  <c r="H420" i="14"/>
  <c r="A421" i="14"/>
  <c r="B421" i="14"/>
  <c r="C421" i="14"/>
  <c r="D421" i="14"/>
  <c r="E421" i="14"/>
  <c r="F421" i="14"/>
  <c r="G421" i="14"/>
  <c r="H421" i="14"/>
  <c r="A422" i="14"/>
  <c r="B422" i="14"/>
  <c r="C422" i="14"/>
  <c r="D422" i="14"/>
  <c r="E422" i="14"/>
  <c r="F422" i="14"/>
  <c r="G422" i="14"/>
  <c r="H422" i="14"/>
  <c r="A423" i="14"/>
  <c r="B423" i="14"/>
  <c r="C423" i="14"/>
  <c r="D423" i="14"/>
  <c r="E423" i="14"/>
  <c r="F423" i="14"/>
  <c r="G423" i="14"/>
  <c r="H423" i="14"/>
  <c r="A424" i="14"/>
  <c r="B424" i="14"/>
  <c r="C424" i="14"/>
  <c r="D424" i="14"/>
  <c r="E424" i="14"/>
  <c r="F424" i="14"/>
  <c r="G424" i="14"/>
  <c r="H424" i="14"/>
  <c r="A425" i="14"/>
  <c r="B425" i="14"/>
  <c r="C425" i="14"/>
  <c r="D425" i="14"/>
  <c r="E425" i="14"/>
  <c r="F425" i="14"/>
  <c r="G425" i="14"/>
  <c r="H425" i="14"/>
  <c r="A426" i="14"/>
  <c r="B426" i="14"/>
  <c r="C426" i="14"/>
  <c r="D426" i="14"/>
  <c r="E426" i="14"/>
  <c r="F426" i="14"/>
  <c r="G426" i="14"/>
  <c r="H426" i="14"/>
  <c r="A427" i="14"/>
  <c r="B427" i="14"/>
  <c r="C427" i="14"/>
  <c r="D427" i="14"/>
  <c r="E427" i="14"/>
  <c r="F427" i="14"/>
  <c r="G427" i="14"/>
  <c r="H427" i="14"/>
  <c r="A428" i="14"/>
  <c r="B428" i="14"/>
  <c r="C428" i="14"/>
  <c r="D428" i="14"/>
  <c r="E428" i="14"/>
  <c r="F428" i="14"/>
  <c r="G428" i="14"/>
  <c r="H428" i="14"/>
  <c r="A429" i="14"/>
  <c r="B429" i="14"/>
  <c r="C429" i="14"/>
  <c r="D429" i="14"/>
  <c r="E429" i="14"/>
  <c r="F429" i="14"/>
  <c r="G429" i="14"/>
  <c r="H429" i="14"/>
  <c r="A430" i="14"/>
  <c r="B430" i="14"/>
  <c r="C430" i="14"/>
  <c r="D430" i="14"/>
  <c r="E430" i="14"/>
  <c r="F430" i="14"/>
  <c r="G430" i="14"/>
  <c r="H430" i="14"/>
  <c r="A431" i="14"/>
  <c r="B431" i="14"/>
  <c r="C431" i="14"/>
  <c r="D431" i="14"/>
  <c r="E431" i="14"/>
  <c r="F431" i="14"/>
  <c r="G431" i="14"/>
  <c r="H431" i="14"/>
  <c r="A432" i="14"/>
  <c r="B432" i="14"/>
  <c r="C432" i="14"/>
  <c r="D432" i="14"/>
  <c r="E432" i="14"/>
  <c r="F432" i="14"/>
  <c r="G432" i="14"/>
  <c r="H432" i="14"/>
  <c r="A433" i="14"/>
  <c r="B433" i="14"/>
  <c r="C433" i="14"/>
  <c r="D433" i="14"/>
  <c r="E433" i="14"/>
  <c r="F433" i="14"/>
  <c r="G433" i="14"/>
  <c r="H433" i="14"/>
  <c r="A434" i="14"/>
  <c r="B434" i="14"/>
  <c r="C434" i="14"/>
  <c r="D434" i="14"/>
  <c r="E434" i="14"/>
  <c r="F434" i="14"/>
  <c r="G434" i="14"/>
  <c r="H434" i="14"/>
  <c r="A435" i="14"/>
  <c r="B435" i="14"/>
  <c r="C435" i="14"/>
  <c r="D435" i="14"/>
  <c r="E435" i="14"/>
  <c r="F435" i="14"/>
  <c r="G435" i="14"/>
  <c r="H435" i="14"/>
  <c r="A436" i="14"/>
  <c r="B436" i="14"/>
  <c r="C436" i="14"/>
  <c r="D436" i="14"/>
  <c r="E436" i="14"/>
  <c r="F436" i="14"/>
  <c r="G436" i="14"/>
  <c r="H436" i="14"/>
  <c r="A437" i="14"/>
  <c r="B437" i="14"/>
  <c r="C437" i="14"/>
  <c r="D437" i="14"/>
  <c r="E437" i="14"/>
  <c r="F437" i="14"/>
  <c r="G437" i="14"/>
  <c r="H437" i="14"/>
  <c r="A438" i="14"/>
  <c r="B438" i="14"/>
  <c r="C438" i="14"/>
  <c r="D438" i="14"/>
  <c r="E438" i="14"/>
  <c r="F438" i="14"/>
  <c r="G438" i="14"/>
  <c r="H438" i="14"/>
  <c r="A439" i="14"/>
  <c r="B439" i="14"/>
  <c r="C439" i="14"/>
  <c r="D439" i="14"/>
  <c r="E439" i="14"/>
  <c r="F439" i="14"/>
  <c r="G439" i="14"/>
  <c r="H439" i="14"/>
  <c r="A440" i="14"/>
  <c r="B440" i="14"/>
  <c r="C440" i="14"/>
  <c r="D440" i="14"/>
  <c r="E440" i="14"/>
  <c r="F440" i="14"/>
  <c r="G440" i="14"/>
  <c r="H440" i="14"/>
  <c r="A441" i="14"/>
  <c r="B441" i="14"/>
  <c r="C441" i="14"/>
  <c r="D441" i="14"/>
  <c r="E441" i="14"/>
  <c r="F441" i="14"/>
  <c r="G441" i="14"/>
  <c r="H441" i="14"/>
  <c r="A442" i="14"/>
  <c r="B442" i="14"/>
  <c r="C442" i="14"/>
  <c r="D442" i="14"/>
  <c r="E442" i="14"/>
  <c r="F442" i="14"/>
  <c r="G442" i="14"/>
  <c r="H442" i="14"/>
  <c r="A443" i="14"/>
  <c r="B443" i="14"/>
  <c r="C443" i="14"/>
  <c r="D443" i="14"/>
  <c r="E443" i="14"/>
  <c r="F443" i="14"/>
  <c r="G443" i="14"/>
  <c r="H443" i="14"/>
  <c r="A444" i="14"/>
  <c r="B444" i="14"/>
  <c r="C444" i="14"/>
  <c r="D444" i="14"/>
  <c r="E444" i="14"/>
  <c r="F444" i="14"/>
  <c r="G444" i="14"/>
  <c r="H444" i="14"/>
  <c r="A445" i="14"/>
  <c r="B445" i="14"/>
  <c r="C445" i="14"/>
  <c r="D445" i="14"/>
  <c r="E445" i="14"/>
  <c r="F445" i="14"/>
  <c r="G445" i="14"/>
  <c r="H445" i="14"/>
  <c r="A446" i="14"/>
  <c r="B446" i="14"/>
  <c r="C446" i="14"/>
  <c r="D446" i="14"/>
  <c r="E446" i="14"/>
  <c r="F446" i="14"/>
  <c r="G446" i="14"/>
  <c r="H446" i="14"/>
  <c r="A447" i="14"/>
  <c r="B447" i="14"/>
  <c r="C447" i="14"/>
  <c r="D447" i="14"/>
  <c r="E447" i="14"/>
  <c r="F447" i="14"/>
  <c r="G447" i="14"/>
  <c r="H447" i="14"/>
  <c r="A448" i="14"/>
  <c r="B448" i="14"/>
  <c r="C448" i="14"/>
  <c r="D448" i="14"/>
  <c r="E448" i="14"/>
  <c r="F448" i="14"/>
  <c r="G448" i="14"/>
  <c r="H448" i="14"/>
  <c r="A449" i="14"/>
  <c r="B449" i="14"/>
  <c r="C449" i="14"/>
  <c r="D449" i="14"/>
  <c r="E449" i="14"/>
  <c r="F449" i="14"/>
  <c r="G449" i="14"/>
  <c r="H449" i="14"/>
  <c r="A450" i="14"/>
  <c r="B450" i="14"/>
  <c r="C450" i="14"/>
  <c r="D450" i="14"/>
  <c r="E450" i="14"/>
  <c r="F450" i="14"/>
  <c r="G450" i="14"/>
  <c r="H450" i="14"/>
  <c r="A451" i="14"/>
  <c r="B451" i="14"/>
  <c r="C451" i="14"/>
  <c r="D451" i="14"/>
  <c r="E451" i="14"/>
  <c r="F451" i="14"/>
  <c r="G451" i="14"/>
  <c r="H451" i="14"/>
  <c r="A452" i="14"/>
  <c r="B452" i="14"/>
  <c r="C452" i="14"/>
  <c r="D452" i="14"/>
  <c r="E452" i="14"/>
  <c r="F452" i="14"/>
  <c r="G452" i="14"/>
  <c r="H452" i="14"/>
  <c r="A453" i="14"/>
  <c r="B453" i="14"/>
  <c r="C453" i="14"/>
  <c r="D453" i="14"/>
  <c r="E453" i="14"/>
  <c r="F453" i="14"/>
  <c r="G453" i="14"/>
  <c r="H453" i="14"/>
  <c r="A454" i="14"/>
  <c r="B454" i="14"/>
  <c r="C454" i="14"/>
  <c r="D454" i="14"/>
  <c r="E454" i="14"/>
  <c r="F454" i="14"/>
  <c r="G454" i="14"/>
  <c r="H454" i="14"/>
  <c r="A455" i="14"/>
  <c r="B455" i="14"/>
  <c r="C455" i="14"/>
  <c r="D455" i="14"/>
  <c r="E455" i="14"/>
  <c r="F455" i="14"/>
  <c r="G455" i="14"/>
  <c r="H455" i="14"/>
  <c r="A456" i="14"/>
  <c r="B456" i="14"/>
  <c r="C456" i="14"/>
  <c r="D456" i="14"/>
  <c r="E456" i="14"/>
  <c r="F456" i="14"/>
  <c r="G456" i="14"/>
  <c r="H456" i="14"/>
  <c r="A457" i="14"/>
  <c r="B457" i="14"/>
  <c r="C457" i="14"/>
  <c r="D457" i="14"/>
  <c r="E457" i="14"/>
  <c r="F457" i="14"/>
  <c r="G457" i="14"/>
  <c r="H457" i="14"/>
  <c r="A458" i="14"/>
  <c r="B458" i="14"/>
  <c r="C458" i="14"/>
  <c r="D458" i="14"/>
  <c r="E458" i="14"/>
  <c r="F458" i="14"/>
  <c r="G458" i="14"/>
  <c r="H458" i="14"/>
  <c r="A459" i="14"/>
  <c r="B459" i="14"/>
  <c r="C459" i="14"/>
  <c r="D459" i="14"/>
  <c r="E459" i="14"/>
  <c r="F459" i="14"/>
  <c r="G459" i="14"/>
  <c r="H459" i="14"/>
  <c r="A460" i="14"/>
  <c r="B460" i="14"/>
  <c r="C460" i="14"/>
  <c r="D460" i="14"/>
  <c r="E460" i="14"/>
  <c r="F460" i="14"/>
  <c r="G460" i="14"/>
  <c r="H460" i="14"/>
  <c r="A461" i="14"/>
  <c r="B461" i="14"/>
  <c r="C461" i="14"/>
  <c r="D461" i="14"/>
  <c r="E461" i="14"/>
  <c r="F461" i="14"/>
  <c r="G461" i="14"/>
  <c r="H461" i="14"/>
  <c r="A462" i="14"/>
  <c r="B462" i="14"/>
  <c r="C462" i="14"/>
  <c r="D462" i="14"/>
  <c r="E462" i="14"/>
  <c r="F462" i="14"/>
  <c r="G462" i="14"/>
  <c r="H462" i="14"/>
  <c r="A463" i="14"/>
  <c r="B463" i="14"/>
  <c r="C463" i="14"/>
  <c r="D463" i="14"/>
  <c r="E463" i="14"/>
  <c r="F463" i="14"/>
  <c r="G463" i="14"/>
  <c r="H463" i="14"/>
  <c r="A464" i="14"/>
  <c r="B464" i="14"/>
  <c r="C464" i="14"/>
  <c r="D464" i="14"/>
  <c r="E464" i="14"/>
  <c r="F464" i="14"/>
  <c r="G464" i="14"/>
  <c r="H464" i="14"/>
  <c r="A465" i="14"/>
  <c r="B465" i="14"/>
  <c r="C465" i="14"/>
  <c r="D465" i="14"/>
  <c r="E465" i="14"/>
  <c r="F465" i="14"/>
  <c r="G465" i="14"/>
  <c r="H465" i="14"/>
  <c r="A466" i="14"/>
  <c r="B466" i="14"/>
  <c r="C466" i="14"/>
  <c r="D466" i="14"/>
  <c r="E466" i="14"/>
  <c r="F466" i="14"/>
  <c r="G466" i="14"/>
  <c r="H466" i="14"/>
  <c r="A467" i="14"/>
  <c r="B467" i="14"/>
  <c r="C467" i="14"/>
  <c r="D467" i="14"/>
  <c r="E467" i="14"/>
  <c r="F467" i="14"/>
  <c r="G467" i="14"/>
  <c r="H467" i="14"/>
  <c r="A468" i="14"/>
  <c r="B468" i="14"/>
  <c r="C468" i="14"/>
  <c r="D468" i="14"/>
  <c r="E468" i="14"/>
  <c r="F468" i="14"/>
  <c r="G468" i="14"/>
  <c r="H468" i="14"/>
  <c r="A469" i="14"/>
  <c r="B469" i="14"/>
  <c r="C469" i="14"/>
  <c r="D469" i="14"/>
  <c r="E469" i="14"/>
  <c r="F469" i="14"/>
  <c r="G469" i="14"/>
  <c r="H469" i="14"/>
  <c r="A470" i="14"/>
  <c r="B470" i="14"/>
  <c r="C470" i="14"/>
  <c r="D470" i="14"/>
  <c r="E470" i="14"/>
  <c r="F470" i="14"/>
  <c r="G470" i="14"/>
  <c r="H470" i="14"/>
  <c r="A471" i="14"/>
  <c r="B471" i="14"/>
  <c r="C471" i="14"/>
  <c r="D471" i="14"/>
  <c r="E471" i="14"/>
  <c r="F471" i="14"/>
  <c r="G471" i="14"/>
  <c r="H471" i="14"/>
  <c r="A472" i="14"/>
  <c r="B472" i="14"/>
  <c r="C472" i="14"/>
  <c r="D472" i="14"/>
  <c r="E472" i="14"/>
  <c r="F472" i="14"/>
  <c r="G472" i="14"/>
  <c r="H472" i="14"/>
  <c r="A473" i="14"/>
  <c r="B473" i="14"/>
  <c r="C473" i="14"/>
  <c r="D473" i="14"/>
  <c r="E473" i="14"/>
  <c r="F473" i="14"/>
  <c r="G473" i="14"/>
  <c r="H473" i="14"/>
  <c r="A474" i="14"/>
  <c r="B474" i="14"/>
  <c r="C474" i="14"/>
  <c r="D474" i="14"/>
  <c r="E474" i="14"/>
  <c r="F474" i="14"/>
  <c r="G474" i="14"/>
  <c r="H474" i="14"/>
  <c r="A475" i="14"/>
  <c r="B475" i="14"/>
  <c r="C475" i="14"/>
  <c r="D475" i="14"/>
  <c r="E475" i="14"/>
  <c r="F475" i="14"/>
  <c r="G475" i="14"/>
  <c r="H475" i="14"/>
  <c r="A476" i="14"/>
  <c r="B476" i="14"/>
  <c r="C476" i="14"/>
  <c r="D476" i="14"/>
  <c r="E476" i="14"/>
  <c r="F476" i="14"/>
  <c r="G476" i="14"/>
  <c r="H476" i="14"/>
  <c r="A477" i="14"/>
  <c r="B477" i="14"/>
  <c r="C477" i="14"/>
  <c r="D477" i="14"/>
  <c r="E477" i="14"/>
  <c r="F477" i="14"/>
  <c r="G477" i="14"/>
  <c r="H477" i="14"/>
  <c r="A478" i="14"/>
  <c r="B478" i="14"/>
  <c r="C478" i="14"/>
  <c r="D478" i="14"/>
  <c r="E478" i="14"/>
  <c r="F478" i="14"/>
  <c r="G478" i="14"/>
  <c r="H478" i="14"/>
  <c r="A479" i="14"/>
  <c r="B479" i="14"/>
  <c r="C479" i="14"/>
  <c r="D479" i="14"/>
  <c r="E479" i="14"/>
  <c r="F479" i="14"/>
  <c r="G479" i="14"/>
  <c r="H479" i="14"/>
  <c r="A480" i="14"/>
  <c r="B480" i="14"/>
  <c r="C480" i="14"/>
  <c r="D480" i="14"/>
  <c r="E480" i="14"/>
  <c r="F480" i="14"/>
  <c r="G480" i="14"/>
  <c r="H480" i="14"/>
  <c r="A481" i="14"/>
  <c r="B481" i="14"/>
  <c r="C481" i="14"/>
  <c r="D481" i="14"/>
  <c r="E481" i="14"/>
  <c r="F481" i="14"/>
  <c r="G481" i="14"/>
  <c r="H481" i="14"/>
  <c r="A482" i="14"/>
  <c r="B482" i="14"/>
  <c r="C482" i="14"/>
  <c r="D482" i="14"/>
  <c r="E482" i="14"/>
  <c r="F482" i="14"/>
  <c r="G482" i="14"/>
  <c r="H482" i="14"/>
  <c r="A483" i="14"/>
  <c r="B483" i="14"/>
  <c r="C483" i="14"/>
  <c r="D483" i="14"/>
  <c r="E483" i="14"/>
  <c r="F483" i="14"/>
  <c r="G483" i="14"/>
  <c r="H483" i="14"/>
  <c r="A484" i="14"/>
  <c r="B484" i="14"/>
  <c r="C484" i="14"/>
  <c r="D484" i="14"/>
  <c r="E484" i="14"/>
  <c r="F484" i="14"/>
  <c r="G484" i="14"/>
  <c r="H484" i="14"/>
  <c r="A485" i="14"/>
  <c r="B485" i="14"/>
  <c r="C485" i="14"/>
  <c r="D485" i="14"/>
  <c r="E485" i="14"/>
  <c r="F485" i="14"/>
  <c r="G485" i="14"/>
  <c r="H485" i="14"/>
  <c r="A486" i="14"/>
  <c r="B486" i="14"/>
  <c r="C486" i="14"/>
  <c r="D486" i="14"/>
  <c r="E486" i="14"/>
  <c r="F486" i="14"/>
  <c r="G486" i="14"/>
  <c r="H486" i="14"/>
  <c r="A487" i="14"/>
  <c r="B487" i="14"/>
  <c r="C487" i="14"/>
  <c r="D487" i="14"/>
  <c r="E487" i="14"/>
  <c r="F487" i="14"/>
  <c r="G487" i="14"/>
  <c r="H487" i="14"/>
  <c r="A488" i="14"/>
  <c r="B488" i="14"/>
  <c r="C488" i="14"/>
  <c r="D488" i="14"/>
  <c r="E488" i="14"/>
  <c r="F488" i="14"/>
  <c r="G488" i="14"/>
  <c r="H488" i="14"/>
  <c r="A489" i="14"/>
  <c r="B489" i="14"/>
  <c r="C489" i="14"/>
  <c r="D489" i="14"/>
  <c r="E489" i="14"/>
  <c r="F489" i="14"/>
  <c r="G489" i="14"/>
  <c r="H489" i="14"/>
  <c r="A490" i="14"/>
  <c r="B490" i="14"/>
  <c r="C490" i="14"/>
  <c r="D490" i="14"/>
  <c r="E490" i="14"/>
  <c r="F490" i="14"/>
  <c r="G490" i="14"/>
  <c r="H490" i="14"/>
  <c r="A491" i="14"/>
  <c r="B491" i="14"/>
  <c r="C491" i="14"/>
  <c r="D491" i="14"/>
  <c r="E491" i="14"/>
  <c r="F491" i="14"/>
  <c r="G491" i="14"/>
  <c r="H491" i="14"/>
  <c r="A492" i="14"/>
  <c r="B492" i="14"/>
  <c r="C492" i="14"/>
  <c r="D492" i="14"/>
  <c r="E492" i="14"/>
  <c r="F492" i="14"/>
  <c r="G492" i="14"/>
  <c r="H492" i="14"/>
  <c r="A493" i="14"/>
  <c r="B493" i="14"/>
  <c r="C493" i="14"/>
  <c r="D493" i="14"/>
  <c r="E493" i="14"/>
  <c r="F493" i="14"/>
  <c r="G493" i="14"/>
  <c r="H493" i="14"/>
  <c r="A494" i="14"/>
  <c r="B494" i="14"/>
  <c r="C494" i="14"/>
  <c r="D494" i="14"/>
  <c r="E494" i="14"/>
  <c r="F494" i="14"/>
  <c r="G494" i="14"/>
  <c r="H494" i="14"/>
  <c r="A495" i="14"/>
  <c r="B495" i="14"/>
  <c r="C495" i="14"/>
  <c r="D495" i="14"/>
  <c r="E495" i="14"/>
  <c r="F495" i="14"/>
  <c r="G495" i="14"/>
  <c r="H495" i="14"/>
  <c r="A496" i="14"/>
  <c r="B496" i="14"/>
  <c r="C496" i="14"/>
  <c r="D496" i="14"/>
  <c r="E496" i="14"/>
  <c r="F496" i="14"/>
  <c r="G496" i="14"/>
  <c r="H496" i="14"/>
  <c r="A497" i="14"/>
  <c r="B497" i="14"/>
  <c r="C497" i="14"/>
  <c r="D497" i="14"/>
  <c r="E497" i="14"/>
  <c r="F497" i="14"/>
  <c r="G497" i="14"/>
  <c r="H497" i="14"/>
  <c r="A498" i="14"/>
  <c r="B498" i="14"/>
  <c r="C498" i="14"/>
  <c r="D498" i="14"/>
  <c r="E498" i="14"/>
  <c r="F498" i="14"/>
  <c r="G498" i="14"/>
  <c r="H498" i="14"/>
  <c r="A499" i="14"/>
  <c r="B499" i="14"/>
  <c r="C499" i="14"/>
  <c r="D499" i="14"/>
  <c r="E499" i="14"/>
  <c r="F499" i="14"/>
  <c r="G499" i="14"/>
  <c r="H499" i="14"/>
  <c r="A500" i="14"/>
  <c r="B500" i="14"/>
  <c r="C500" i="14"/>
  <c r="D500" i="14"/>
  <c r="E500" i="14"/>
  <c r="F500" i="14"/>
  <c r="G500" i="14"/>
  <c r="H500" i="14"/>
  <c r="A501" i="14"/>
  <c r="B501" i="14"/>
  <c r="C501" i="14"/>
  <c r="D501" i="14"/>
  <c r="E501" i="14"/>
  <c r="F501" i="14"/>
  <c r="G501" i="14"/>
  <c r="H501" i="14"/>
  <c r="A502" i="14"/>
  <c r="B502" i="14"/>
  <c r="C502" i="14"/>
  <c r="D502" i="14"/>
  <c r="E502" i="14"/>
  <c r="F502" i="14"/>
  <c r="G502" i="14"/>
  <c r="H502" i="14"/>
  <c r="A503" i="14"/>
  <c r="B503" i="14"/>
  <c r="C503" i="14"/>
  <c r="D503" i="14"/>
  <c r="E503" i="14"/>
  <c r="F503" i="14"/>
  <c r="G503" i="14"/>
  <c r="H503" i="14"/>
  <c r="A504" i="14"/>
  <c r="B504" i="14"/>
  <c r="C504" i="14"/>
  <c r="D504" i="14"/>
  <c r="E504" i="14"/>
  <c r="F504" i="14"/>
  <c r="G504" i="14"/>
  <c r="H504" i="14"/>
  <c r="A505" i="14"/>
  <c r="B505" i="14"/>
  <c r="C505" i="14"/>
  <c r="D505" i="14"/>
  <c r="E505" i="14"/>
  <c r="F505" i="14"/>
  <c r="G505" i="14"/>
  <c r="H505" i="14"/>
  <c r="A506" i="14"/>
  <c r="B506" i="14"/>
  <c r="C506" i="14"/>
  <c r="D506" i="14"/>
  <c r="E506" i="14"/>
  <c r="F506" i="14"/>
  <c r="G506" i="14"/>
  <c r="H506" i="14"/>
  <c r="A507" i="14"/>
  <c r="B507" i="14"/>
  <c r="C507" i="14"/>
  <c r="D507" i="14"/>
  <c r="E507" i="14"/>
  <c r="F507" i="14"/>
  <c r="G507" i="14"/>
  <c r="H507" i="14"/>
  <c r="A508" i="14"/>
  <c r="B508" i="14"/>
  <c r="C508" i="14"/>
  <c r="D508" i="14"/>
  <c r="E508" i="14"/>
  <c r="F508" i="14"/>
  <c r="G508" i="14"/>
  <c r="H508" i="14"/>
  <c r="A509" i="14"/>
  <c r="B509" i="14"/>
  <c r="C509" i="14"/>
  <c r="D509" i="14"/>
  <c r="E509" i="14"/>
  <c r="F509" i="14"/>
  <c r="G509" i="14"/>
  <c r="H509" i="14"/>
  <c r="A510" i="14"/>
  <c r="B510" i="14"/>
  <c r="C510" i="14"/>
  <c r="D510" i="14"/>
  <c r="E510" i="14"/>
  <c r="F510" i="14"/>
  <c r="G510" i="14"/>
  <c r="H510" i="14"/>
  <c r="A511" i="14"/>
  <c r="B511" i="14"/>
  <c r="C511" i="14"/>
  <c r="D511" i="14"/>
  <c r="E511" i="14"/>
  <c r="F511" i="14"/>
  <c r="G511" i="14"/>
  <c r="H511" i="14"/>
  <c r="A512" i="14"/>
  <c r="B512" i="14"/>
  <c r="C512" i="14"/>
  <c r="D512" i="14"/>
  <c r="E512" i="14"/>
  <c r="F512" i="14"/>
  <c r="G512" i="14"/>
  <c r="H512" i="14"/>
  <c r="A513" i="14"/>
  <c r="B513" i="14"/>
  <c r="C513" i="14"/>
  <c r="D513" i="14"/>
  <c r="E513" i="14"/>
  <c r="F513" i="14"/>
  <c r="G513" i="14"/>
  <c r="H513" i="14"/>
  <c r="A514" i="14"/>
  <c r="B514" i="14"/>
  <c r="C514" i="14"/>
  <c r="D514" i="14"/>
  <c r="E514" i="14"/>
  <c r="F514" i="14"/>
  <c r="G514" i="14"/>
  <c r="H514" i="14"/>
  <c r="A515" i="14"/>
  <c r="B515" i="14"/>
  <c r="C515" i="14"/>
  <c r="D515" i="14"/>
  <c r="E515" i="14"/>
  <c r="F515" i="14"/>
  <c r="G515" i="14"/>
  <c r="H515" i="14"/>
  <c r="A516" i="14"/>
  <c r="B516" i="14"/>
  <c r="C516" i="14"/>
  <c r="D516" i="14"/>
  <c r="E516" i="14"/>
  <c r="F516" i="14"/>
  <c r="G516" i="14"/>
  <c r="H516" i="14"/>
  <c r="A517" i="14"/>
  <c r="B517" i="14"/>
  <c r="C517" i="14"/>
  <c r="D517" i="14"/>
  <c r="E517" i="14"/>
  <c r="F517" i="14"/>
  <c r="G517" i="14"/>
  <c r="H517" i="14"/>
  <c r="A518" i="14"/>
  <c r="B518" i="14"/>
  <c r="C518" i="14"/>
  <c r="D518" i="14"/>
  <c r="E518" i="14"/>
  <c r="F518" i="14"/>
  <c r="G518" i="14"/>
  <c r="H518" i="14"/>
  <c r="A519" i="14"/>
  <c r="B519" i="14"/>
  <c r="C519" i="14"/>
  <c r="D519" i="14"/>
  <c r="E519" i="14"/>
  <c r="F519" i="14"/>
  <c r="G519" i="14"/>
  <c r="H519" i="14"/>
  <c r="A520" i="14"/>
  <c r="B520" i="14"/>
  <c r="C520" i="14"/>
  <c r="D520" i="14"/>
  <c r="E520" i="14"/>
  <c r="F520" i="14"/>
  <c r="G520" i="14"/>
  <c r="H520" i="14"/>
  <c r="A521" i="14"/>
  <c r="B521" i="14"/>
  <c r="C521" i="14"/>
  <c r="D521" i="14"/>
  <c r="E521" i="14"/>
  <c r="F521" i="14"/>
  <c r="G521" i="14"/>
  <c r="H521" i="14"/>
  <c r="A522" i="14"/>
  <c r="B522" i="14"/>
  <c r="C522" i="14"/>
  <c r="D522" i="14"/>
  <c r="E522" i="14"/>
  <c r="F522" i="14"/>
  <c r="G522" i="14"/>
  <c r="H522" i="14"/>
  <c r="A523" i="14"/>
  <c r="B523" i="14"/>
  <c r="C523" i="14"/>
  <c r="D523" i="14"/>
  <c r="E523" i="14"/>
  <c r="F523" i="14"/>
  <c r="G523" i="14"/>
  <c r="H523" i="14"/>
  <c r="A524" i="14"/>
  <c r="B524" i="14"/>
  <c r="C524" i="14"/>
  <c r="D524" i="14"/>
  <c r="E524" i="14"/>
  <c r="F524" i="14"/>
  <c r="G524" i="14"/>
  <c r="H524" i="14"/>
  <c r="A525" i="14"/>
  <c r="B525" i="14"/>
  <c r="C525" i="14"/>
  <c r="D525" i="14"/>
  <c r="E525" i="14"/>
  <c r="F525" i="14"/>
  <c r="G525" i="14"/>
  <c r="H525" i="14"/>
  <c r="A526" i="14"/>
  <c r="B526" i="14"/>
  <c r="C526" i="14"/>
  <c r="D526" i="14"/>
  <c r="E526" i="14"/>
  <c r="F526" i="14"/>
  <c r="G526" i="14"/>
  <c r="H526" i="14"/>
  <c r="A527" i="14"/>
  <c r="B527" i="14"/>
  <c r="C527" i="14"/>
  <c r="D527" i="14"/>
  <c r="E527" i="14"/>
  <c r="F527" i="14"/>
  <c r="G527" i="14"/>
  <c r="H527" i="14"/>
  <c r="A528" i="14"/>
  <c r="B528" i="14"/>
  <c r="C528" i="14"/>
  <c r="D528" i="14"/>
  <c r="E528" i="14"/>
  <c r="F528" i="14"/>
  <c r="G528" i="14"/>
  <c r="H528" i="14"/>
  <c r="A529" i="14"/>
  <c r="B529" i="14"/>
  <c r="C529" i="14"/>
  <c r="D529" i="14"/>
  <c r="E529" i="14"/>
  <c r="F529" i="14"/>
  <c r="G529" i="14"/>
  <c r="H529" i="14"/>
  <c r="A530" i="14"/>
  <c r="B530" i="14"/>
  <c r="C530" i="14"/>
  <c r="D530" i="14"/>
  <c r="E530" i="14"/>
  <c r="F530" i="14"/>
  <c r="G530" i="14"/>
  <c r="H530" i="14"/>
  <c r="A531" i="14"/>
  <c r="B531" i="14"/>
  <c r="C531" i="14"/>
  <c r="D531" i="14"/>
  <c r="E531" i="14"/>
  <c r="F531" i="14"/>
  <c r="G531" i="14"/>
  <c r="H531" i="14"/>
  <c r="A532" i="14"/>
  <c r="B532" i="14"/>
  <c r="C532" i="14"/>
  <c r="D532" i="14"/>
  <c r="E532" i="14"/>
  <c r="F532" i="14"/>
  <c r="G532" i="14"/>
  <c r="H532" i="14"/>
  <c r="A533" i="14"/>
  <c r="B533" i="14"/>
  <c r="C533" i="14"/>
  <c r="D533" i="14"/>
  <c r="E533" i="14"/>
  <c r="F533" i="14"/>
  <c r="G533" i="14"/>
  <c r="H533" i="14"/>
  <c r="A534" i="14"/>
  <c r="B534" i="14"/>
  <c r="C534" i="14"/>
  <c r="D534" i="14"/>
  <c r="E534" i="14"/>
  <c r="F534" i="14"/>
  <c r="G534" i="14"/>
  <c r="H534" i="14"/>
  <c r="A535" i="14"/>
  <c r="B535" i="14"/>
  <c r="C535" i="14"/>
  <c r="D535" i="14"/>
  <c r="E535" i="14"/>
  <c r="F535" i="14"/>
  <c r="G535" i="14"/>
  <c r="H535" i="14"/>
  <c r="A536" i="14"/>
  <c r="B536" i="14"/>
  <c r="C536" i="14"/>
  <c r="D536" i="14"/>
  <c r="E536" i="14"/>
  <c r="F536" i="14"/>
  <c r="G536" i="14"/>
  <c r="H536" i="14"/>
  <c r="A537" i="14"/>
  <c r="B537" i="14"/>
  <c r="C537" i="14"/>
  <c r="D537" i="14"/>
  <c r="E537" i="14"/>
  <c r="F537" i="14"/>
  <c r="G537" i="14"/>
  <c r="H537" i="14"/>
  <c r="A538" i="14"/>
  <c r="B538" i="14"/>
  <c r="C538" i="14"/>
  <c r="D538" i="14"/>
  <c r="E538" i="14"/>
  <c r="F538" i="14"/>
  <c r="G538" i="14"/>
  <c r="H538" i="14"/>
  <c r="A539" i="14"/>
  <c r="B539" i="14"/>
  <c r="C539" i="14"/>
  <c r="D539" i="14"/>
  <c r="E539" i="14"/>
  <c r="F539" i="14"/>
  <c r="G539" i="14"/>
  <c r="H539" i="14"/>
  <c r="A540" i="14"/>
  <c r="B540" i="14"/>
  <c r="C540" i="14"/>
  <c r="D540" i="14"/>
  <c r="E540" i="14"/>
  <c r="F540" i="14"/>
  <c r="G540" i="14"/>
  <c r="H540" i="14"/>
  <c r="A541" i="14"/>
  <c r="B541" i="14"/>
  <c r="C541" i="14"/>
  <c r="D541" i="14"/>
  <c r="E541" i="14"/>
  <c r="F541" i="14"/>
  <c r="G541" i="14"/>
  <c r="H541" i="14"/>
  <c r="A542" i="14"/>
  <c r="B542" i="14"/>
  <c r="C542" i="14"/>
  <c r="D542" i="14"/>
  <c r="E542" i="14"/>
  <c r="F542" i="14"/>
  <c r="G542" i="14"/>
  <c r="H542" i="14"/>
  <c r="A543" i="14"/>
  <c r="B543" i="14"/>
  <c r="C543" i="14"/>
  <c r="D543" i="14"/>
  <c r="E543" i="14"/>
  <c r="F543" i="14"/>
  <c r="G543" i="14"/>
  <c r="H543" i="14"/>
  <c r="A544" i="14"/>
  <c r="B544" i="14"/>
  <c r="C544" i="14"/>
  <c r="D544" i="14"/>
  <c r="E544" i="14"/>
  <c r="F544" i="14"/>
  <c r="G544" i="14"/>
  <c r="H544" i="14"/>
  <c r="A545" i="14"/>
  <c r="B545" i="14"/>
  <c r="C545" i="14"/>
  <c r="D545" i="14"/>
  <c r="E545" i="14"/>
  <c r="F545" i="14"/>
  <c r="G545" i="14"/>
  <c r="H545" i="14"/>
  <c r="A546" i="14"/>
  <c r="B546" i="14"/>
  <c r="C546" i="14"/>
  <c r="D546" i="14"/>
  <c r="E546" i="14"/>
  <c r="F546" i="14"/>
  <c r="G546" i="14"/>
  <c r="H546" i="14"/>
  <c r="A547" i="14"/>
  <c r="B547" i="14"/>
  <c r="C547" i="14"/>
  <c r="D547" i="14"/>
  <c r="E547" i="14"/>
  <c r="F547" i="14"/>
  <c r="G547" i="14"/>
  <c r="H547" i="14"/>
  <c r="A548" i="14"/>
  <c r="B548" i="14"/>
  <c r="C548" i="14"/>
  <c r="D548" i="14"/>
  <c r="E548" i="14"/>
  <c r="F548" i="14"/>
  <c r="G548" i="14"/>
  <c r="H548" i="14"/>
  <c r="A549" i="14"/>
  <c r="B549" i="14"/>
  <c r="C549" i="14"/>
  <c r="D549" i="14"/>
  <c r="E549" i="14"/>
  <c r="F549" i="14"/>
  <c r="G549" i="14"/>
  <c r="H549" i="14"/>
  <c r="A550" i="14"/>
  <c r="B550" i="14"/>
  <c r="C550" i="14"/>
  <c r="D550" i="14"/>
  <c r="E550" i="14"/>
  <c r="F550" i="14"/>
  <c r="G550" i="14"/>
  <c r="H550" i="14"/>
  <c r="A551" i="14"/>
  <c r="B551" i="14"/>
  <c r="C551" i="14"/>
  <c r="D551" i="14"/>
  <c r="E551" i="14"/>
  <c r="F551" i="14"/>
  <c r="G551" i="14"/>
  <c r="H551" i="14"/>
  <c r="A552" i="14"/>
  <c r="B552" i="14"/>
  <c r="C552" i="14"/>
  <c r="D552" i="14"/>
  <c r="E552" i="14"/>
  <c r="F552" i="14"/>
  <c r="G552" i="14"/>
  <c r="H552" i="14"/>
  <c r="A553" i="14"/>
  <c r="B553" i="14"/>
  <c r="C553" i="14"/>
  <c r="D553" i="14"/>
  <c r="E553" i="14"/>
  <c r="F553" i="14"/>
  <c r="G553" i="14"/>
  <c r="H553" i="14"/>
  <c r="A554" i="14"/>
  <c r="B554" i="14"/>
  <c r="C554" i="14"/>
  <c r="D554" i="14"/>
  <c r="E554" i="14"/>
  <c r="F554" i="14"/>
  <c r="G554" i="14"/>
  <c r="H554" i="14"/>
  <c r="A555" i="14"/>
  <c r="B555" i="14"/>
  <c r="C555" i="14"/>
  <c r="D555" i="14"/>
  <c r="E555" i="14"/>
  <c r="F555" i="14"/>
  <c r="G555" i="14"/>
  <c r="H555" i="14"/>
  <c r="A556" i="14"/>
  <c r="B556" i="14"/>
  <c r="C556" i="14"/>
  <c r="D556" i="14"/>
  <c r="E556" i="14"/>
  <c r="F556" i="14"/>
  <c r="G556" i="14"/>
  <c r="H556" i="14"/>
  <c r="A557" i="14"/>
  <c r="B557" i="14"/>
  <c r="C557" i="14"/>
  <c r="D557" i="14"/>
  <c r="E557" i="14"/>
  <c r="F557" i="14"/>
  <c r="G557" i="14"/>
  <c r="H557" i="14"/>
  <c r="A558" i="14"/>
  <c r="B558" i="14"/>
  <c r="C558" i="14"/>
  <c r="D558" i="14"/>
  <c r="E558" i="14"/>
  <c r="F558" i="14"/>
  <c r="G558" i="14"/>
  <c r="H558" i="14"/>
  <c r="A559" i="14"/>
  <c r="B559" i="14"/>
  <c r="C559" i="14"/>
  <c r="D559" i="14"/>
  <c r="E559" i="14"/>
  <c r="F559" i="14"/>
  <c r="G559" i="14"/>
  <c r="H559" i="14"/>
  <c r="A560" i="14"/>
  <c r="B560" i="14"/>
  <c r="C560" i="14"/>
  <c r="D560" i="14"/>
  <c r="E560" i="14"/>
  <c r="F560" i="14"/>
  <c r="G560" i="14"/>
  <c r="H560" i="14"/>
  <c r="A561" i="14"/>
  <c r="B561" i="14"/>
  <c r="C561" i="14"/>
  <c r="D561" i="14"/>
  <c r="E561" i="14"/>
  <c r="F561" i="14"/>
  <c r="G561" i="14"/>
  <c r="H561" i="14"/>
  <c r="A562" i="14"/>
  <c r="B562" i="14"/>
  <c r="C562" i="14"/>
  <c r="D562" i="14"/>
  <c r="E562" i="14"/>
  <c r="F562" i="14"/>
  <c r="G562" i="14"/>
  <c r="H562" i="14"/>
  <c r="A563" i="14"/>
  <c r="B563" i="14"/>
  <c r="C563" i="14"/>
  <c r="D563" i="14"/>
  <c r="E563" i="14"/>
  <c r="F563" i="14"/>
  <c r="G563" i="14"/>
  <c r="H563" i="14"/>
  <c r="A564" i="14"/>
  <c r="B564" i="14"/>
  <c r="C564" i="14"/>
  <c r="D564" i="14"/>
  <c r="E564" i="14"/>
  <c r="F564" i="14"/>
  <c r="G564" i="14"/>
  <c r="H564" i="14"/>
  <c r="A565" i="14"/>
  <c r="B565" i="14"/>
  <c r="C565" i="14"/>
  <c r="D565" i="14"/>
  <c r="E565" i="14"/>
  <c r="F565" i="14"/>
  <c r="G565" i="14"/>
  <c r="H565" i="14"/>
  <c r="A566" i="14"/>
  <c r="B566" i="14"/>
  <c r="C566" i="14"/>
  <c r="D566" i="14"/>
  <c r="E566" i="14"/>
  <c r="F566" i="14"/>
  <c r="G566" i="14"/>
  <c r="H566" i="14"/>
  <c r="A567" i="14"/>
  <c r="B567" i="14"/>
  <c r="C567" i="14"/>
  <c r="D567" i="14"/>
  <c r="E567" i="14"/>
  <c r="F567" i="14"/>
  <c r="G567" i="14"/>
  <c r="H567" i="14"/>
  <c r="A568" i="14"/>
  <c r="B568" i="14"/>
  <c r="C568" i="14"/>
  <c r="D568" i="14"/>
  <c r="E568" i="14"/>
  <c r="F568" i="14"/>
  <c r="G568" i="14"/>
  <c r="H568" i="14"/>
  <c r="A569" i="14"/>
  <c r="B569" i="14"/>
  <c r="C569" i="14"/>
  <c r="D569" i="14"/>
  <c r="E569" i="14"/>
  <c r="F569" i="14"/>
  <c r="G569" i="14"/>
  <c r="H569" i="14"/>
  <c r="A570" i="14"/>
  <c r="B570" i="14"/>
  <c r="C570" i="14"/>
  <c r="D570" i="14"/>
  <c r="E570" i="14"/>
  <c r="F570" i="14"/>
  <c r="G570" i="14"/>
  <c r="H570" i="14"/>
  <c r="A571" i="14"/>
  <c r="B571" i="14"/>
  <c r="C571" i="14"/>
  <c r="D571" i="14"/>
  <c r="E571" i="14"/>
  <c r="F571" i="14"/>
  <c r="G571" i="14"/>
  <c r="H571" i="14"/>
  <c r="A572" i="14"/>
  <c r="B572" i="14"/>
  <c r="C572" i="14"/>
  <c r="D572" i="14"/>
  <c r="E572" i="14"/>
  <c r="F572" i="14"/>
  <c r="G572" i="14"/>
  <c r="H572" i="14"/>
  <c r="A573" i="14"/>
  <c r="B573" i="14"/>
  <c r="C573" i="14"/>
  <c r="D573" i="14"/>
  <c r="E573" i="14"/>
  <c r="F573" i="14"/>
  <c r="G573" i="14"/>
  <c r="H573" i="14"/>
  <c r="A574" i="14"/>
  <c r="B574" i="14"/>
  <c r="C574" i="14"/>
  <c r="D574" i="14"/>
  <c r="E574" i="14"/>
  <c r="F574" i="14"/>
  <c r="G574" i="14"/>
  <c r="H574" i="14"/>
  <c r="A575" i="14"/>
  <c r="B575" i="14"/>
  <c r="C575" i="14"/>
  <c r="D575" i="14"/>
  <c r="E575" i="14"/>
  <c r="F575" i="14"/>
  <c r="G575" i="14"/>
  <c r="H575" i="14"/>
  <c r="A576" i="14"/>
  <c r="B576" i="14"/>
  <c r="C576" i="14"/>
  <c r="D576" i="14"/>
  <c r="E576" i="14"/>
  <c r="F576" i="14"/>
  <c r="G576" i="14"/>
  <c r="H576" i="14"/>
  <c r="A577" i="14"/>
  <c r="B577" i="14"/>
  <c r="C577" i="14"/>
  <c r="D577" i="14"/>
  <c r="E577" i="14"/>
  <c r="F577" i="14"/>
  <c r="G577" i="14"/>
  <c r="H577" i="14"/>
  <c r="A578" i="14"/>
  <c r="B578" i="14"/>
  <c r="C578" i="14"/>
  <c r="D578" i="14"/>
  <c r="E578" i="14"/>
  <c r="F578" i="14"/>
  <c r="G578" i="14"/>
  <c r="H578" i="14"/>
  <c r="A579" i="14"/>
  <c r="B579" i="14"/>
  <c r="C579" i="14"/>
  <c r="D579" i="14"/>
  <c r="E579" i="14"/>
  <c r="F579" i="14"/>
  <c r="G579" i="14"/>
  <c r="H579" i="14"/>
  <c r="A580" i="14"/>
  <c r="B580" i="14"/>
  <c r="C580" i="14"/>
  <c r="D580" i="14"/>
  <c r="E580" i="14"/>
  <c r="F580" i="14"/>
  <c r="G580" i="14"/>
  <c r="H580" i="14"/>
  <c r="A581" i="14"/>
  <c r="B581" i="14"/>
  <c r="C581" i="14"/>
  <c r="D581" i="14"/>
  <c r="E581" i="14"/>
  <c r="F581" i="14"/>
  <c r="G581" i="14"/>
  <c r="H581" i="14"/>
  <c r="A582" i="14"/>
  <c r="B582" i="14"/>
  <c r="C582" i="14"/>
  <c r="D582" i="14"/>
  <c r="E582" i="14"/>
  <c r="F582" i="14"/>
  <c r="G582" i="14"/>
  <c r="H582" i="14"/>
  <c r="A583" i="14"/>
  <c r="B583" i="14"/>
  <c r="C583" i="14"/>
  <c r="D583" i="14"/>
  <c r="E583" i="14"/>
  <c r="F583" i="14"/>
  <c r="G583" i="14"/>
  <c r="H583" i="14"/>
  <c r="A584" i="14"/>
  <c r="B584" i="14"/>
  <c r="C584" i="14"/>
  <c r="D584" i="14"/>
  <c r="E584" i="14"/>
  <c r="F584" i="14"/>
  <c r="G584" i="14"/>
  <c r="H584" i="14"/>
  <c r="A585" i="14"/>
  <c r="B585" i="14"/>
  <c r="C585" i="14"/>
  <c r="D585" i="14"/>
  <c r="E585" i="14"/>
  <c r="F585" i="14"/>
  <c r="G585" i="14"/>
  <c r="H585" i="14"/>
  <c r="A586" i="14"/>
  <c r="B586" i="14"/>
  <c r="C586" i="14"/>
  <c r="D586" i="14"/>
  <c r="E586" i="14"/>
  <c r="F586" i="14"/>
  <c r="G586" i="14"/>
  <c r="H586" i="14"/>
  <c r="A587" i="14"/>
  <c r="B587" i="14"/>
  <c r="C587" i="14"/>
  <c r="D587" i="14"/>
  <c r="E587" i="14"/>
  <c r="F587" i="14"/>
  <c r="G587" i="14"/>
  <c r="H587" i="14"/>
  <c r="A588" i="14"/>
  <c r="B588" i="14"/>
  <c r="C588" i="14"/>
  <c r="D588" i="14"/>
  <c r="E588" i="14"/>
  <c r="F588" i="14"/>
  <c r="G588" i="14"/>
  <c r="H588" i="14"/>
  <c r="A589" i="14"/>
  <c r="B589" i="14"/>
  <c r="C589" i="14"/>
  <c r="D589" i="14"/>
  <c r="E589" i="14"/>
  <c r="F589" i="14"/>
  <c r="G589" i="14"/>
  <c r="H589" i="14"/>
  <c r="A590" i="14"/>
  <c r="B590" i="14"/>
  <c r="C590" i="14"/>
  <c r="D590" i="14"/>
  <c r="E590" i="14"/>
  <c r="F590" i="14"/>
  <c r="G590" i="14"/>
  <c r="H590" i="14"/>
  <c r="A591" i="14"/>
  <c r="B591" i="14"/>
  <c r="C591" i="14"/>
  <c r="D591" i="14"/>
  <c r="E591" i="14"/>
  <c r="F591" i="14"/>
  <c r="G591" i="14"/>
  <c r="H591" i="14"/>
  <c r="A592" i="14"/>
  <c r="B592" i="14"/>
  <c r="C592" i="14"/>
  <c r="D592" i="14"/>
  <c r="E592" i="14"/>
  <c r="F592" i="14"/>
  <c r="G592" i="14"/>
  <c r="H592" i="14"/>
  <c r="A593" i="14"/>
  <c r="B593" i="14"/>
  <c r="C593" i="14"/>
  <c r="D593" i="14"/>
  <c r="E593" i="14"/>
  <c r="F593" i="14"/>
  <c r="G593" i="14"/>
  <c r="H593" i="14"/>
  <c r="A594" i="14"/>
  <c r="B594" i="14"/>
  <c r="C594" i="14"/>
  <c r="D594" i="14"/>
  <c r="E594" i="14"/>
  <c r="F594" i="14"/>
  <c r="G594" i="14"/>
  <c r="H594" i="14"/>
  <c r="A595" i="14"/>
  <c r="B595" i="14"/>
  <c r="C595" i="14"/>
  <c r="D595" i="14"/>
  <c r="E595" i="14"/>
  <c r="F595" i="14"/>
  <c r="G595" i="14"/>
  <c r="H595" i="14"/>
  <c r="A596" i="14"/>
  <c r="B596" i="14"/>
  <c r="C596" i="14"/>
  <c r="D596" i="14"/>
  <c r="E596" i="14"/>
  <c r="F596" i="14"/>
  <c r="G596" i="14"/>
  <c r="H596" i="14"/>
  <c r="A597" i="14"/>
  <c r="B597" i="14"/>
  <c r="C597" i="14"/>
  <c r="D597" i="14"/>
  <c r="E597" i="14"/>
  <c r="F597" i="14"/>
  <c r="G597" i="14"/>
  <c r="H597" i="14"/>
  <c r="A598" i="14"/>
  <c r="B598" i="14"/>
  <c r="C598" i="14"/>
  <c r="D598" i="14"/>
  <c r="E598" i="14"/>
  <c r="F598" i="14"/>
  <c r="G598" i="14"/>
  <c r="H598" i="14"/>
  <c r="A599" i="14"/>
  <c r="B599" i="14"/>
  <c r="C599" i="14"/>
  <c r="D599" i="14"/>
  <c r="E599" i="14"/>
  <c r="F599" i="14"/>
  <c r="G599" i="14"/>
  <c r="H599" i="14"/>
  <c r="A600" i="14"/>
  <c r="B600" i="14"/>
  <c r="C600" i="14"/>
  <c r="D600" i="14"/>
  <c r="E600" i="14"/>
  <c r="F600" i="14"/>
  <c r="G600" i="14"/>
  <c r="H600" i="14"/>
  <c r="A601" i="14"/>
  <c r="B601" i="14"/>
  <c r="C601" i="14"/>
  <c r="D601" i="14"/>
  <c r="E601" i="14"/>
  <c r="F601" i="14"/>
  <c r="G601" i="14"/>
  <c r="H601" i="14"/>
  <c r="A602" i="14"/>
  <c r="B602" i="14"/>
  <c r="C602" i="14"/>
  <c r="D602" i="14"/>
  <c r="E602" i="14"/>
  <c r="F602" i="14"/>
  <c r="G602" i="14"/>
  <c r="H602" i="14"/>
  <c r="A603" i="14"/>
  <c r="B603" i="14"/>
  <c r="C603" i="14"/>
  <c r="D603" i="14"/>
  <c r="E603" i="14"/>
  <c r="F603" i="14"/>
  <c r="G603" i="14"/>
  <c r="H603" i="14"/>
  <c r="A604" i="14"/>
  <c r="B604" i="14"/>
  <c r="C604" i="14"/>
  <c r="D604" i="14"/>
  <c r="E604" i="14"/>
  <c r="F604" i="14"/>
  <c r="G604" i="14"/>
  <c r="H604" i="14"/>
  <c r="A605" i="14"/>
  <c r="B605" i="14"/>
  <c r="C605" i="14"/>
  <c r="D605" i="14"/>
  <c r="E605" i="14"/>
  <c r="F605" i="14"/>
  <c r="G605" i="14"/>
  <c r="H605" i="14"/>
  <c r="A606" i="14"/>
  <c r="B606" i="14"/>
  <c r="C606" i="14"/>
  <c r="D606" i="14"/>
  <c r="E606" i="14"/>
  <c r="F606" i="14"/>
  <c r="G606" i="14"/>
  <c r="H606" i="14"/>
  <c r="A607" i="14"/>
  <c r="B607" i="14"/>
  <c r="C607" i="14"/>
  <c r="D607" i="14"/>
  <c r="E607" i="14"/>
  <c r="F607" i="14"/>
  <c r="G607" i="14"/>
  <c r="H607" i="14"/>
  <c r="A608" i="14"/>
  <c r="B608" i="14"/>
  <c r="C608" i="14"/>
  <c r="D608" i="14"/>
  <c r="E608" i="14"/>
  <c r="F608" i="14"/>
  <c r="G608" i="14"/>
  <c r="H608" i="14"/>
  <c r="A609" i="14"/>
  <c r="B609" i="14"/>
  <c r="C609" i="14"/>
  <c r="D609" i="14"/>
  <c r="E609" i="14"/>
  <c r="F609" i="14"/>
  <c r="G609" i="14"/>
  <c r="H609" i="14"/>
  <c r="A610" i="14"/>
  <c r="B610" i="14"/>
  <c r="C610" i="14"/>
  <c r="D610" i="14"/>
  <c r="E610" i="14"/>
  <c r="F610" i="14"/>
  <c r="G610" i="14"/>
  <c r="H610" i="14"/>
  <c r="A611" i="14"/>
  <c r="B611" i="14"/>
  <c r="C611" i="14"/>
  <c r="D611" i="14"/>
  <c r="E611" i="14"/>
  <c r="F611" i="14"/>
  <c r="G611" i="14"/>
  <c r="H611" i="14"/>
  <c r="A612" i="14"/>
  <c r="B612" i="14"/>
  <c r="C612" i="14"/>
  <c r="D612" i="14"/>
  <c r="E612" i="14"/>
  <c r="F612" i="14"/>
  <c r="G612" i="14"/>
  <c r="H612" i="14"/>
  <c r="A613" i="14"/>
  <c r="B613" i="14"/>
  <c r="C613" i="14"/>
  <c r="D613" i="14"/>
  <c r="E613" i="14"/>
  <c r="F613" i="14"/>
  <c r="G613" i="14"/>
  <c r="H613" i="14"/>
  <c r="A614" i="14"/>
  <c r="B614" i="14"/>
  <c r="C614" i="14"/>
  <c r="D614" i="14"/>
  <c r="E614" i="14"/>
  <c r="F614" i="14"/>
  <c r="G614" i="14"/>
  <c r="H614" i="14"/>
  <c r="A615" i="14"/>
  <c r="B615" i="14"/>
  <c r="C615" i="14"/>
  <c r="D615" i="14"/>
  <c r="E615" i="14"/>
  <c r="F615" i="14"/>
  <c r="G615" i="14"/>
  <c r="H615" i="14"/>
  <c r="A616" i="14"/>
  <c r="B616" i="14"/>
  <c r="C616" i="14"/>
  <c r="D616" i="14"/>
  <c r="E616" i="14"/>
  <c r="F616" i="14"/>
  <c r="G616" i="14"/>
  <c r="H616" i="14"/>
  <c r="A617" i="14"/>
  <c r="B617" i="14"/>
  <c r="C617" i="14"/>
  <c r="D617" i="14"/>
  <c r="E617" i="14"/>
  <c r="F617" i="14"/>
  <c r="G617" i="14"/>
  <c r="H617" i="14"/>
  <c r="A618" i="14"/>
  <c r="B618" i="14"/>
  <c r="C618" i="14"/>
  <c r="D618" i="14"/>
  <c r="E618" i="14"/>
  <c r="F618" i="14"/>
  <c r="G618" i="14"/>
  <c r="H618" i="14"/>
  <c r="A619" i="14"/>
  <c r="B619" i="14"/>
  <c r="C619" i="14"/>
  <c r="D619" i="14"/>
  <c r="E619" i="14"/>
  <c r="F619" i="14"/>
  <c r="G619" i="14"/>
  <c r="H619" i="14"/>
  <c r="A620" i="14"/>
  <c r="B620" i="14"/>
  <c r="C620" i="14"/>
  <c r="D620" i="14"/>
  <c r="E620" i="14"/>
  <c r="F620" i="14"/>
  <c r="G620" i="14"/>
  <c r="H620" i="14"/>
  <c r="A621" i="14"/>
  <c r="B621" i="14"/>
  <c r="C621" i="14"/>
  <c r="D621" i="14"/>
  <c r="E621" i="14"/>
  <c r="F621" i="14"/>
  <c r="G621" i="14"/>
  <c r="H621" i="14"/>
  <c r="A622" i="14"/>
  <c r="B622" i="14"/>
  <c r="C622" i="14"/>
  <c r="D622" i="14"/>
  <c r="E622" i="14"/>
  <c r="F622" i="14"/>
  <c r="G622" i="14"/>
  <c r="H622" i="14"/>
  <c r="A623" i="14"/>
  <c r="B623" i="14"/>
  <c r="C623" i="14"/>
  <c r="D623" i="14"/>
  <c r="E623" i="14"/>
  <c r="F623" i="14"/>
  <c r="G623" i="14"/>
  <c r="H623" i="14"/>
  <c r="A624" i="14"/>
  <c r="B624" i="14"/>
  <c r="C624" i="14"/>
  <c r="D624" i="14"/>
  <c r="E624" i="14"/>
  <c r="F624" i="14"/>
  <c r="G624" i="14"/>
  <c r="H624" i="14"/>
  <c r="A625" i="14"/>
  <c r="B625" i="14"/>
  <c r="C625" i="14"/>
  <c r="D625" i="14"/>
  <c r="E625" i="14"/>
  <c r="F625" i="14"/>
  <c r="G625" i="14"/>
  <c r="H625" i="14"/>
  <c r="A626" i="14"/>
  <c r="B626" i="14"/>
  <c r="C626" i="14"/>
  <c r="D626" i="14"/>
  <c r="E626" i="14"/>
  <c r="F626" i="14"/>
  <c r="G626" i="14"/>
  <c r="H626" i="14"/>
  <c r="A627" i="14"/>
  <c r="B627" i="14"/>
  <c r="C627" i="14"/>
  <c r="D627" i="14"/>
  <c r="E627" i="14"/>
  <c r="F627" i="14"/>
  <c r="G627" i="14"/>
  <c r="H627" i="14"/>
  <c r="A628" i="14"/>
  <c r="B628" i="14"/>
  <c r="C628" i="14"/>
  <c r="D628" i="14"/>
  <c r="E628" i="14"/>
  <c r="F628" i="14"/>
  <c r="G628" i="14"/>
  <c r="H628" i="14"/>
  <c r="A629" i="14"/>
  <c r="B629" i="14"/>
  <c r="C629" i="14"/>
  <c r="D629" i="14"/>
  <c r="E629" i="14"/>
  <c r="F629" i="14"/>
  <c r="G629" i="14"/>
  <c r="H629" i="14"/>
  <c r="A630" i="14"/>
  <c r="B630" i="14"/>
  <c r="C630" i="14"/>
  <c r="D630" i="14"/>
  <c r="E630" i="14"/>
  <c r="F630" i="14"/>
  <c r="G630" i="14"/>
  <c r="H630" i="14"/>
  <c r="A631" i="14"/>
  <c r="B631" i="14"/>
  <c r="C631" i="14"/>
  <c r="D631" i="14"/>
  <c r="E631" i="14"/>
  <c r="F631" i="14"/>
  <c r="G631" i="14"/>
  <c r="H631" i="14"/>
  <c r="A632" i="14"/>
  <c r="B632" i="14"/>
  <c r="C632" i="14"/>
  <c r="D632" i="14"/>
  <c r="E632" i="14"/>
  <c r="F632" i="14"/>
  <c r="G632" i="14"/>
  <c r="H632" i="14"/>
  <c r="A633" i="14"/>
  <c r="B633" i="14"/>
  <c r="C633" i="14"/>
  <c r="D633" i="14"/>
  <c r="E633" i="14"/>
  <c r="F633" i="14"/>
  <c r="G633" i="14"/>
  <c r="H633" i="14"/>
  <c r="A634" i="14"/>
  <c r="B634" i="14"/>
  <c r="C634" i="14"/>
  <c r="D634" i="14"/>
  <c r="E634" i="14"/>
  <c r="F634" i="14"/>
  <c r="G634" i="14"/>
  <c r="H634" i="14"/>
  <c r="A635" i="14"/>
  <c r="B635" i="14"/>
  <c r="C635" i="14"/>
  <c r="D635" i="14"/>
  <c r="E635" i="14"/>
  <c r="F635" i="14"/>
  <c r="G635" i="14"/>
  <c r="H635" i="14"/>
  <c r="A636" i="14"/>
  <c r="B636" i="14"/>
  <c r="C636" i="14"/>
  <c r="D636" i="14"/>
  <c r="E636" i="14"/>
  <c r="F636" i="14"/>
  <c r="G636" i="14"/>
  <c r="H636" i="14"/>
  <c r="A637" i="14"/>
  <c r="B637" i="14"/>
  <c r="C637" i="14"/>
  <c r="D637" i="14"/>
  <c r="E637" i="14"/>
  <c r="F637" i="14"/>
  <c r="G637" i="14"/>
  <c r="H637" i="14"/>
  <c r="A638" i="14"/>
  <c r="B638" i="14"/>
  <c r="C638" i="14"/>
  <c r="D638" i="14"/>
  <c r="E638" i="14"/>
  <c r="F638" i="14"/>
  <c r="G638" i="14"/>
  <c r="H638" i="14"/>
  <c r="A639" i="14"/>
  <c r="B639" i="14"/>
  <c r="C639" i="14"/>
  <c r="D639" i="14"/>
  <c r="E639" i="14"/>
  <c r="F639" i="14"/>
  <c r="G639" i="14"/>
  <c r="H639" i="14"/>
  <c r="A640" i="14"/>
  <c r="B640" i="14"/>
  <c r="C640" i="14"/>
  <c r="D640" i="14"/>
  <c r="E640" i="14"/>
  <c r="F640" i="14"/>
  <c r="G640" i="14"/>
  <c r="H640" i="14"/>
  <c r="A641" i="14"/>
  <c r="B641" i="14"/>
  <c r="C641" i="14"/>
  <c r="D641" i="14"/>
  <c r="E641" i="14"/>
  <c r="F641" i="14"/>
  <c r="G641" i="14"/>
  <c r="H641" i="14"/>
  <c r="A642" i="14"/>
  <c r="B642" i="14"/>
  <c r="C642" i="14"/>
  <c r="D642" i="14"/>
  <c r="E642" i="14"/>
  <c r="F642" i="14"/>
  <c r="G642" i="14"/>
  <c r="H642" i="14"/>
  <c r="A643" i="14"/>
  <c r="B643" i="14"/>
  <c r="C643" i="14"/>
  <c r="D643" i="14"/>
  <c r="E643" i="14"/>
  <c r="F643" i="14"/>
  <c r="G643" i="14"/>
  <c r="H643" i="14"/>
  <c r="A644" i="14"/>
  <c r="B644" i="14"/>
  <c r="C644" i="14"/>
  <c r="D644" i="14"/>
  <c r="E644" i="14"/>
  <c r="F644" i="14"/>
  <c r="G644" i="14"/>
  <c r="H644" i="14"/>
  <c r="A645" i="14"/>
  <c r="B645" i="14"/>
  <c r="C645" i="14"/>
  <c r="D645" i="14"/>
  <c r="E645" i="14"/>
  <c r="F645" i="14"/>
  <c r="G645" i="14"/>
  <c r="H645" i="14"/>
  <c r="A646" i="14"/>
  <c r="B646" i="14"/>
  <c r="C646" i="14"/>
  <c r="D646" i="14"/>
  <c r="E646" i="14"/>
  <c r="F646" i="14"/>
  <c r="G646" i="14"/>
  <c r="H646" i="14"/>
  <c r="A647" i="14"/>
  <c r="B647" i="14"/>
  <c r="C647" i="14"/>
  <c r="D647" i="14"/>
  <c r="E647" i="14"/>
  <c r="F647" i="14"/>
  <c r="G647" i="14"/>
  <c r="H647" i="14"/>
  <c r="A648" i="14"/>
  <c r="B648" i="14"/>
  <c r="C648" i="14"/>
  <c r="D648" i="14"/>
  <c r="E648" i="14"/>
  <c r="F648" i="14"/>
  <c r="G648" i="14"/>
  <c r="H648" i="14"/>
  <c r="A649" i="14"/>
  <c r="B649" i="14"/>
  <c r="C649" i="14"/>
  <c r="D649" i="14"/>
  <c r="E649" i="14"/>
  <c r="F649" i="14"/>
  <c r="G649" i="14"/>
  <c r="H649" i="14"/>
  <c r="A650" i="14"/>
  <c r="B650" i="14"/>
  <c r="C650" i="14"/>
  <c r="D650" i="14"/>
  <c r="E650" i="14"/>
  <c r="F650" i="14"/>
  <c r="G650" i="14"/>
  <c r="H650" i="14"/>
  <c r="A651" i="14"/>
  <c r="B651" i="14"/>
  <c r="C651" i="14"/>
  <c r="D651" i="14"/>
  <c r="E651" i="14"/>
  <c r="F651" i="14"/>
  <c r="G651" i="14"/>
  <c r="H651" i="14"/>
  <c r="A652" i="14"/>
  <c r="B652" i="14"/>
  <c r="C652" i="14"/>
  <c r="D652" i="14"/>
  <c r="E652" i="14"/>
  <c r="F652" i="14"/>
  <c r="G652" i="14"/>
  <c r="H652" i="14"/>
  <c r="A653" i="14"/>
  <c r="B653" i="14"/>
  <c r="C653" i="14"/>
  <c r="D653" i="14"/>
  <c r="E653" i="14"/>
  <c r="F653" i="14"/>
  <c r="G653" i="14"/>
  <c r="H653" i="14"/>
  <c r="A654" i="14"/>
  <c r="B654" i="14"/>
  <c r="C654" i="14"/>
  <c r="D654" i="14"/>
  <c r="E654" i="14"/>
  <c r="F654" i="14"/>
  <c r="G654" i="14"/>
  <c r="H654" i="14"/>
  <c r="A655" i="14"/>
  <c r="B655" i="14"/>
  <c r="C655" i="14"/>
  <c r="D655" i="14"/>
  <c r="E655" i="14"/>
  <c r="F655" i="14"/>
  <c r="G655" i="14"/>
  <c r="H655" i="14"/>
  <c r="A656" i="14"/>
  <c r="B656" i="14"/>
  <c r="C656" i="14"/>
  <c r="D656" i="14"/>
  <c r="E656" i="14"/>
  <c r="F656" i="14"/>
  <c r="G656" i="14"/>
  <c r="H656" i="14"/>
  <c r="A657" i="14"/>
  <c r="B657" i="14"/>
  <c r="C657" i="14"/>
  <c r="D657" i="14"/>
  <c r="E657" i="14"/>
  <c r="F657" i="14"/>
  <c r="G657" i="14"/>
  <c r="H657" i="14"/>
  <c r="A658" i="14"/>
  <c r="B658" i="14"/>
  <c r="C658" i="14"/>
  <c r="D658" i="14"/>
  <c r="E658" i="14"/>
  <c r="F658" i="14"/>
  <c r="G658" i="14"/>
  <c r="H658" i="14"/>
  <c r="A659" i="14"/>
  <c r="B659" i="14"/>
  <c r="C659" i="14"/>
  <c r="D659" i="14"/>
  <c r="E659" i="14"/>
  <c r="F659" i="14"/>
  <c r="G659" i="14"/>
  <c r="H659" i="14"/>
  <c r="A660" i="14"/>
  <c r="B660" i="14"/>
  <c r="C660" i="14"/>
  <c r="D660" i="14"/>
  <c r="E660" i="14"/>
  <c r="F660" i="14"/>
  <c r="G660" i="14"/>
  <c r="H660" i="14"/>
  <c r="A661" i="14"/>
  <c r="B661" i="14"/>
  <c r="C661" i="14"/>
  <c r="D661" i="14"/>
  <c r="E661" i="14"/>
  <c r="F661" i="14"/>
  <c r="G661" i="14"/>
  <c r="H661" i="14"/>
  <c r="A662" i="14"/>
  <c r="B662" i="14"/>
  <c r="C662" i="14"/>
  <c r="D662" i="14"/>
  <c r="E662" i="14"/>
  <c r="F662" i="14"/>
  <c r="G662" i="14"/>
  <c r="H662" i="14"/>
  <c r="A663" i="14"/>
  <c r="B663" i="14"/>
  <c r="C663" i="14"/>
  <c r="D663" i="14"/>
  <c r="E663" i="14"/>
  <c r="F663" i="14"/>
  <c r="G663" i="14"/>
  <c r="H663" i="14"/>
  <c r="A664" i="14"/>
  <c r="B664" i="14"/>
  <c r="C664" i="14"/>
  <c r="D664" i="14"/>
  <c r="E664" i="14"/>
  <c r="F664" i="14"/>
  <c r="G664" i="14"/>
  <c r="H664" i="14"/>
  <c r="A665" i="14"/>
  <c r="B665" i="14"/>
  <c r="C665" i="14"/>
  <c r="D665" i="14"/>
  <c r="E665" i="14"/>
  <c r="F665" i="14"/>
  <c r="G665" i="14"/>
  <c r="H665" i="14"/>
  <c r="A666" i="14"/>
  <c r="B666" i="14"/>
  <c r="C666" i="14"/>
  <c r="D666" i="14"/>
  <c r="E666" i="14"/>
  <c r="F666" i="14"/>
  <c r="G666" i="14"/>
  <c r="H666" i="14"/>
  <c r="A667" i="14"/>
  <c r="B667" i="14"/>
  <c r="C667" i="14"/>
  <c r="D667" i="14"/>
  <c r="E667" i="14"/>
  <c r="F667" i="14"/>
  <c r="G667" i="14"/>
  <c r="H667" i="14"/>
  <c r="A668" i="14"/>
  <c r="B668" i="14"/>
  <c r="C668" i="14"/>
  <c r="D668" i="14"/>
  <c r="E668" i="14"/>
  <c r="F668" i="14"/>
  <c r="G668" i="14"/>
  <c r="H668" i="14"/>
  <c r="A669" i="14"/>
  <c r="B669" i="14"/>
  <c r="C669" i="14"/>
  <c r="D669" i="14"/>
  <c r="E669" i="14"/>
  <c r="F669" i="14"/>
  <c r="G669" i="14"/>
  <c r="H669" i="14"/>
  <c r="A670" i="14"/>
  <c r="B670" i="14"/>
  <c r="C670" i="14"/>
  <c r="D670" i="14"/>
  <c r="E670" i="14"/>
  <c r="F670" i="14"/>
  <c r="G670" i="14"/>
  <c r="H670" i="14"/>
  <c r="A671" i="14"/>
  <c r="B671" i="14"/>
  <c r="C671" i="14"/>
  <c r="D671" i="14"/>
  <c r="E671" i="14"/>
  <c r="F671" i="14"/>
  <c r="G671" i="14"/>
  <c r="H671" i="14"/>
  <c r="A672" i="14"/>
  <c r="B672" i="14"/>
  <c r="C672" i="14"/>
  <c r="D672" i="14"/>
  <c r="E672" i="14"/>
  <c r="F672" i="14"/>
  <c r="G672" i="14"/>
  <c r="H672" i="14"/>
  <c r="A673" i="14"/>
  <c r="B673" i="14"/>
  <c r="C673" i="14"/>
  <c r="D673" i="14"/>
  <c r="E673" i="14"/>
  <c r="F673" i="14"/>
  <c r="G673" i="14"/>
  <c r="H673" i="14"/>
  <c r="A674" i="14"/>
  <c r="B674" i="14"/>
  <c r="C674" i="14"/>
  <c r="D674" i="14"/>
  <c r="E674" i="14"/>
  <c r="F674" i="14"/>
  <c r="G674" i="14"/>
  <c r="H674" i="14"/>
  <c r="A675" i="14"/>
  <c r="B675" i="14"/>
  <c r="C675" i="14"/>
  <c r="D675" i="14"/>
  <c r="E675" i="14"/>
  <c r="F675" i="14"/>
  <c r="G675" i="14"/>
  <c r="H675" i="14"/>
  <c r="A676" i="14"/>
  <c r="B676" i="14"/>
  <c r="C676" i="14"/>
  <c r="D676" i="14"/>
  <c r="E676" i="14"/>
  <c r="F676" i="14"/>
  <c r="G676" i="14"/>
  <c r="H676" i="14"/>
  <c r="A677" i="14"/>
  <c r="B677" i="14"/>
  <c r="C677" i="14"/>
  <c r="D677" i="14"/>
  <c r="E677" i="14"/>
  <c r="F677" i="14"/>
  <c r="G677" i="14"/>
  <c r="H677" i="14"/>
  <c r="A678" i="14"/>
  <c r="B678" i="14"/>
  <c r="C678" i="14"/>
  <c r="D678" i="14"/>
  <c r="E678" i="14"/>
  <c r="F678" i="14"/>
  <c r="G678" i="14"/>
  <c r="H678" i="14"/>
  <c r="A679" i="14"/>
  <c r="B679" i="14"/>
  <c r="C679" i="14"/>
  <c r="D679" i="14"/>
  <c r="E679" i="14"/>
  <c r="F679" i="14"/>
  <c r="G679" i="14"/>
  <c r="H679" i="14"/>
  <c r="A680" i="14"/>
  <c r="B680" i="14"/>
  <c r="C680" i="14"/>
  <c r="D680" i="14"/>
  <c r="E680" i="14"/>
  <c r="F680" i="14"/>
  <c r="G680" i="14"/>
  <c r="H680" i="14"/>
  <c r="A681" i="14"/>
  <c r="B681" i="14"/>
  <c r="C681" i="14"/>
  <c r="D681" i="14"/>
  <c r="E681" i="14"/>
  <c r="F681" i="14"/>
  <c r="G681" i="14"/>
  <c r="H681" i="14"/>
  <c r="A682" i="14"/>
  <c r="B682" i="14"/>
  <c r="C682" i="14"/>
  <c r="D682" i="14"/>
  <c r="E682" i="14"/>
  <c r="F682" i="14"/>
  <c r="G682" i="14"/>
  <c r="H682" i="14"/>
  <c r="A683" i="14"/>
  <c r="B683" i="14"/>
  <c r="C683" i="14"/>
  <c r="D683" i="14"/>
  <c r="E683" i="14"/>
  <c r="F683" i="14"/>
  <c r="G683" i="14"/>
  <c r="H683" i="14"/>
  <c r="A684" i="14"/>
  <c r="B684" i="14"/>
  <c r="C684" i="14"/>
  <c r="D684" i="14"/>
  <c r="E684" i="14"/>
  <c r="F684" i="14"/>
  <c r="G684" i="14"/>
  <c r="H684" i="14"/>
  <c r="A685" i="14"/>
  <c r="B685" i="14"/>
  <c r="C685" i="14"/>
  <c r="D685" i="14"/>
  <c r="E685" i="14"/>
  <c r="F685" i="14"/>
  <c r="G685" i="14"/>
  <c r="H685" i="14"/>
  <c r="A686" i="14"/>
  <c r="B686" i="14"/>
  <c r="C686" i="14"/>
  <c r="D686" i="14"/>
  <c r="E686" i="14"/>
  <c r="F686" i="14"/>
  <c r="G686" i="14"/>
  <c r="H686" i="14"/>
  <c r="A687" i="14"/>
  <c r="B687" i="14"/>
  <c r="C687" i="14"/>
  <c r="D687" i="14"/>
  <c r="E687" i="14"/>
  <c r="F687" i="14"/>
  <c r="G687" i="14"/>
  <c r="H687" i="14"/>
  <c r="A688" i="14"/>
  <c r="B688" i="14"/>
  <c r="C688" i="14"/>
  <c r="D688" i="14"/>
  <c r="E688" i="14"/>
  <c r="F688" i="14"/>
  <c r="G688" i="14"/>
  <c r="H688" i="14"/>
  <c r="A689" i="14"/>
  <c r="B689" i="14"/>
  <c r="C689" i="14"/>
  <c r="D689" i="14"/>
  <c r="E689" i="14"/>
  <c r="F689" i="14"/>
  <c r="G689" i="14"/>
  <c r="H689" i="14"/>
  <c r="A690" i="14"/>
  <c r="B690" i="14"/>
  <c r="C690" i="14"/>
  <c r="D690" i="14"/>
  <c r="E690" i="14"/>
  <c r="F690" i="14"/>
  <c r="G690" i="14"/>
  <c r="H690" i="14"/>
  <c r="A691" i="14"/>
  <c r="B691" i="14"/>
  <c r="C691" i="14"/>
  <c r="D691" i="14"/>
  <c r="E691" i="14"/>
  <c r="F691" i="14"/>
  <c r="G691" i="14"/>
  <c r="H691" i="14"/>
  <c r="A692" i="14"/>
  <c r="B692" i="14"/>
  <c r="C692" i="14"/>
  <c r="D692" i="14"/>
  <c r="E692" i="14"/>
  <c r="F692" i="14"/>
  <c r="G692" i="14"/>
  <c r="H692" i="14"/>
  <c r="A693" i="14"/>
  <c r="B693" i="14"/>
  <c r="C693" i="14"/>
  <c r="D693" i="14"/>
  <c r="E693" i="14"/>
  <c r="F693" i="14"/>
  <c r="G693" i="14"/>
  <c r="H693" i="14"/>
  <c r="A694" i="14"/>
  <c r="B694" i="14"/>
  <c r="C694" i="14"/>
  <c r="D694" i="14"/>
  <c r="E694" i="14"/>
  <c r="F694" i="14"/>
  <c r="G694" i="14"/>
  <c r="H694" i="14"/>
  <c r="A695" i="14"/>
  <c r="B695" i="14"/>
  <c r="C695" i="14"/>
  <c r="D695" i="14"/>
  <c r="E695" i="14"/>
  <c r="F695" i="14"/>
  <c r="G695" i="14"/>
  <c r="H695" i="14"/>
  <c r="A696" i="14"/>
  <c r="B696" i="14"/>
  <c r="C696" i="14"/>
  <c r="D696" i="14"/>
  <c r="E696" i="14"/>
  <c r="F696" i="14"/>
  <c r="G696" i="14"/>
  <c r="H696" i="14"/>
  <c r="A697" i="14"/>
  <c r="B697" i="14"/>
  <c r="C697" i="14"/>
  <c r="D697" i="14"/>
  <c r="E697" i="14"/>
  <c r="F697" i="14"/>
  <c r="G697" i="14"/>
  <c r="H697" i="14"/>
  <c r="A698" i="14"/>
  <c r="B698" i="14"/>
  <c r="C698" i="14"/>
  <c r="D698" i="14"/>
  <c r="E698" i="14"/>
  <c r="F698" i="14"/>
  <c r="G698" i="14"/>
  <c r="H698" i="14"/>
  <c r="A699" i="14"/>
  <c r="B699" i="14"/>
  <c r="C699" i="14"/>
  <c r="D699" i="14"/>
  <c r="E699" i="14"/>
  <c r="F699" i="14"/>
  <c r="G699" i="14"/>
  <c r="H699" i="14"/>
  <c r="A700" i="14"/>
  <c r="B700" i="14"/>
  <c r="C700" i="14"/>
  <c r="D700" i="14"/>
  <c r="E700" i="14"/>
  <c r="F700" i="14"/>
  <c r="G700" i="14"/>
  <c r="H700" i="14"/>
  <c r="A701" i="14"/>
  <c r="B701" i="14"/>
  <c r="C701" i="14"/>
  <c r="D701" i="14"/>
  <c r="E701" i="14"/>
  <c r="F701" i="14"/>
  <c r="G701" i="14"/>
  <c r="H701" i="14"/>
  <c r="A702" i="14"/>
  <c r="B702" i="14"/>
  <c r="C702" i="14"/>
  <c r="D702" i="14"/>
  <c r="E702" i="14"/>
  <c r="F702" i="14"/>
  <c r="G702" i="14"/>
  <c r="H702" i="14"/>
  <c r="A703" i="14"/>
  <c r="B703" i="14"/>
  <c r="C703" i="14"/>
  <c r="D703" i="14"/>
  <c r="E703" i="14"/>
  <c r="F703" i="14"/>
  <c r="G703" i="14"/>
  <c r="H703" i="14"/>
  <c r="A704" i="14"/>
  <c r="B704" i="14"/>
  <c r="C704" i="14"/>
  <c r="D704" i="14"/>
  <c r="E704" i="14"/>
  <c r="F704" i="14"/>
  <c r="G704" i="14"/>
  <c r="H704" i="14"/>
  <c r="A705" i="14"/>
  <c r="B705" i="14"/>
  <c r="C705" i="14"/>
  <c r="D705" i="14"/>
  <c r="E705" i="14"/>
  <c r="F705" i="14"/>
  <c r="G705" i="14"/>
  <c r="H705" i="14"/>
  <c r="A706" i="14"/>
  <c r="B706" i="14"/>
  <c r="C706" i="14"/>
  <c r="D706" i="14"/>
  <c r="E706" i="14"/>
  <c r="F706" i="14"/>
  <c r="G706" i="14"/>
  <c r="H706" i="14"/>
  <c r="A707" i="14"/>
  <c r="B707" i="14"/>
  <c r="C707" i="14"/>
  <c r="D707" i="14"/>
  <c r="E707" i="14"/>
  <c r="F707" i="14"/>
  <c r="G707" i="14"/>
  <c r="H707" i="14"/>
  <c r="A708" i="14"/>
  <c r="B708" i="14"/>
  <c r="C708" i="14"/>
  <c r="D708" i="14"/>
  <c r="E708" i="14"/>
  <c r="F708" i="14"/>
  <c r="G708" i="14"/>
  <c r="H708" i="14"/>
  <c r="A709" i="14"/>
  <c r="B709" i="14"/>
  <c r="C709" i="14"/>
  <c r="D709" i="14"/>
  <c r="E709" i="14"/>
  <c r="F709" i="14"/>
  <c r="G709" i="14"/>
  <c r="H709" i="14"/>
  <c r="A710" i="14"/>
  <c r="B710" i="14"/>
  <c r="C710" i="14"/>
  <c r="D710" i="14"/>
  <c r="E710" i="14"/>
  <c r="F710" i="14"/>
  <c r="G710" i="14"/>
  <c r="H710" i="14"/>
  <c r="A711" i="14"/>
  <c r="B711" i="14"/>
  <c r="C711" i="14"/>
  <c r="D711" i="14"/>
  <c r="E711" i="14"/>
  <c r="F711" i="14"/>
  <c r="G711" i="14"/>
  <c r="H711" i="14"/>
  <c r="A712" i="14"/>
  <c r="B712" i="14"/>
  <c r="C712" i="14"/>
  <c r="D712" i="14"/>
  <c r="E712" i="14"/>
  <c r="F712" i="14"/>
  <c r="G712" i="14"/>
  <c r="H712" i="14"/>
  <c r="A713" i="14"/>
  <c r="B713" i="14"/>
  <c r="C713" i="14"/>
  <c r="D713" i="14"/>
  <c r="E713" i="14"/>
  <c r="F713" i="14"/>
  <c r="G713" i="14"/>
  <c r="H713" i="14"/>
  <c r="A714" i="14"/>
  <c r="B714" i="14"/>
  <c r="C714" i="14"/>
  <c r="D714" i="14"/>
  <c r="E714" i="14"/>
  <c r="F714" i="14"/>
  <c r="G714" i="14"/>
  <c r="H714" i="14"/>
  <c r="A715" i="14"/>
  <c r="B715" i="14"/>
  <c r="C715" i="14"/>
  <c r="D715" i="14"/>
  <c r="E715" i="14"/>
  <c r="F715" i="14"/>
  <c r="G715" i="14"/>
  <c r="H715" i="14"/>
  <c r="A716" i="14"/>
  <c r="B716" i="14"/>
  <c r="C716" i="14"/>
  <c r="D716" i="14"/>
  <c r="E716" i="14"/>
  <c r="F716" i="14"/>
  <c r="G716" i="14"/>
  <c r="H716" i="14"/>
  <c r="A717" i="14"/>
  <c r="B717" i="14"/>
  <c r="C717" i="14"/>
  <c r="D717" i="14"/>
  <c r="E717" i="14"/>
  <c r="F717" i="14"/>
  <c r="G717" i="14"/>
  <c r="H717" i="14"/>
  <c r="A718" i="14"/>
  <c r="B718" i="14"/>
  <c r="C718" i="14"/>
  <c r="D718" i="14"/>
  <c r="E718" i="14"/>
  <c r="F718" i="14"/>
  <c r="G718" i="14"/>
  <c r="H718" i="14"/>
  <c r="A719" i="14"/>
  <c r="B719" i="14"/>
  <c r="C719" i="14"/>
  <c r="D719" i="14"/>
  <c r="E719" i="14"/>
  <c r="F719" i="14"/>
  <c r="G719" i="14"/>
  <c r="H719" i="14"/>
  <c r="A720" i="14"/>
  <c r="B720" i="14"/>
  <c r="C720" i="14"/>
  <c r="D720" i="14"/>
  <c r="E720" i="14"/>
  <c r="F720" i="14"/>
  <c r="G720" i="14"/>
  <c r="H720" i="14"/>
  <c r="A721" i="14"/>
  <c r="B721" i="14"/>
  <c r="C721" i="14"/>
  <c r="D721" i="14"/>
  <c r="E721" i="14"/>
  <c r="F721" i="14"/>
  <c r="G721" i="14"/>
  <c r="H721" i="14"/>
  <c r="A722" i="14"/>
  <c r="B722" i="14"/>
  <c r="C722" i="14"/>
  <c r="D722" i="14"/>
  <c r="E722" i="14"/>
  <c r="F722" i="14"/>
  <c r="G722" i="14"/>
  <c r="H722" i="14"/>
  <c r="A723" i="14"/>
  <c r="B723" i="14"/>
  <c r="C723" i="14"/>
  <c r="D723" i="14"/>
  <c r="E723" i="14"/>
  <c r="F723" i="14"/>
  <c r="G723" i="14"/>
  <c r="H723" i="14"/>
  <c r="A724" i="14"/>
  <c r="B724" i="14"/>
  <c r="C724" i="14"/>
  <c r="D724" i="14"/>
  <c r="E724" i="14"/>
  <c r="F724" i="14"/>
  <c r="G724" i="14"/>
  <c r="H724" i="14"/>
  <c r="A725" i="14"/>
  <c r="B725" i="14"/>
  <c r="C725" i="14"/>
  <c r="D725" i="14"/>
  <c r="E725" i="14"/>
  <c r="F725" i="14"/>
  <c r="G725" i="14"/>
  <c r="H725" i="14"/>
  <c r="A726" i="14"/>
  <c r="B726" i="14"/>
  <c r="C726" i="14"/>
  <c r="D726" i="14"/>
  <c r="E726" i="14"/>
  <c r="F726" i="14"/>
  <c r="G726" i="14"/>
  <c r="H726" i="14"/>
  <c r="A727" i="14"/>
  <c r="B727" i="14"/>
  <c r="C727" i="14"/>
  <c r="D727" i="14"/>
  <c r="E727" i="14"/>
  <c r="F727" i="14"/>
  <c r="G727" i="14"/>
  <c r="H727" i="14"/>
  <c r="A728" i="14"/>
  <c r="B728" i="14"/>
  <c r="C728" i="14"/>
  <c r="D728" i="14"/>
  <c r="E728" i="14"/>
  <c r="F728" i="14"/>
  <c r="G728" i="14"/>
  <c r="H728" i="14"/>
  <c r="A729" i="14"/>
  <c r="B729" i="14"/>
  <c r="C729" i="14"/>
  <c r="D729" i="14"/>
  <c r="E729" i="14"/>
  <c r="F729" i="14"/>
  <c r="G729" i="14"/>
  <c r="H729" i="14"/>
  <c r="A730" i="14"/>
  <c r="B730" i="14"/>
  <c r="C730" i="14"/>
  <c r="D730" i="14"/>
  <c r="E730" i="14"/>
  <c r="F730" i="14"/>
  <c r="G730" i="14"/>
  <c r="H730" i="14"/>
  <c r="A731" i="14"/>
  <c r="B731" i="14"/>
  <c r="C731" i="14"/>
  <c r="D731" i="14"/>
  <c r="E731" i="14"/>
  <c r="F731" i="14"/>
  <c r="G731" i="14"/>
  <c r="H731" i="14"/>
  <c r="A732" i="14"/>
  <c r="B732" i="14"/>
  <c r="C732" i="14"/>
  <c r="D732" i="14"/>
  <c r="E732" i="14"/>
  <c r="F732" i="14"/>
  <c r="G732" i="14"/>
  <c r="H732" i="14"/>
  <c r="A733" i="14"/>
  <c r="B733" i="14"/>
  <c r="C733" i="14"/>
  <c r="D733" i="14"/>
  <c r="E733" i="14"/>
  <c r="F733" i="14"/>
  <c r="G733" i="14"/>
  <c r="H733" i="14"/>
  <c r="A734" i="14"/>
  <c r="B734" i="14"/>
  <c r="C734" i="14"/>
  <c r="D734" i="14"/>
  <c r="E734" i="14"/>
  <c r="F734" i="14"/>
  <c r="G734" i="14"/>
  <c r="H734" i="14"/>
  <c r="A735" i="14"/>
  <c r="B735" i="14"/>
  <c r="C735" i="14"/>
  <c r="D735" i="14"/>
  <c r="E735" i="14"/>
  <c r="F735" i="14"/>
  <c r="G735" i="14"/>
  <c r="H735" i="14"/>
  <c r="A736" i="14"/>
  <c r="B736" i="14"/>
  <c r="C736" i="14"/>
  <c r="D736" i="14"/>
  <c r="E736" i="14"/>
  <c r="F736" i="14"/>
  <c r="G736" i="14"/>
  <c r="H736" i="14"/>
  <c r="A737" i="14"/>
  <c r="B737" i="14"/>
  <c r="C737" i="14"/>
  <c r="D737" i="14"/>
  <c r="E737" i="14"/>
  <c r="F737" i="14"/>
  <c r="G737" i="14"/>
  <c r="H737" i="14"/>
  <c r="A738" i="14"/>
  <c r="B738" i="14"/>
  <c r="C738" i="14"/>
  <c r="D738" i="14"/>
  <c r="E738" i="14"/>
  <c r="F738" i="14"/>
  <c r="G738" i="14"/>
  <c r="H738" i="14"/>
  <c r="A739" i="14"/>
  <c r="B739" i="14"/>
  <c r="C739" i="14"/>
  <c r="D739" i="14"/>
  <c r="E739" i="14"/>
  <c r="F739" i="14"/>
  <c r="G739" i="14"/>
  <c r="H739" i="14"/>
  <c r="A740" i="14"/>
  <c r="B740" i="14"/>
  <c r="C740" i="14"/>
  <c r="D740" i="14"/>
  <c r="E740" i="14"/>
  <c r="F740" i="14"/>
  <c r="G740" i="14"/>
  <c r="H740" i="14"/>
  <c r="A741" i="14"/>
  <c r="B741" i="14"/>
  <c r="C741" i="14"/>
  <c r="D741" i="14"/>
  <c r="E741" i="14"/>
  <c r="F741" i="14"/>
  <c r="G741" i="14"/>
  <c r="H741" i="14"/>
  <c r="A742" i="14"/>
  <c r="B742" i="14"/>
  <c r="C742" i="14"/>
  <c r="D742" i="14"/>
  <c r="E742" i="14"/>
  <c r="F742" i="14"/>
  <c r="G742" i="14"/>
  <c r="H742" i="14"/>
  <c r="A743" i="14"/>
  <c r="B743" i="14"/>
  <c r="C743" i="14"/>
  <c r="D743" i="14"/>
  <c r="E743" i="14"/>
  <c r="F743" i="14"/>
  <c r="G743" i="14"/>
  <c r="H743" i="14"/>
  <c r="A744" i="14"/>
  <c r="B744" i="14"/>
  <c r="C744" i="14"/>
  <c r="D744" i="14"/>
  <c r="E744" i="14"/>
  <c r="F744" i="14"/>
  <c r="G744" i="14"/>
  <c r="H744" i="14"/>
  <c r="A745" i="14"/>
  <c r="B745" i="14"/>
  <c r="C745" i="14"/>
  <c r="D745" i="14"/>
  <c r="E745" i="14"/>
  <c r="F745" i="14"/>
  <c r="G745" i="14"/>
  <c r="H745" i="14"/>
  <c r="A746" i="14"/>
  <c r="B746" i="14"/>
  <c r="C746" i="14"/>
  <c r="D746" i="14"/>
  <c r="E746" i="14"/>
  <c r="F746" i="14"/>
  <c r="G746" i="14"/>
  <c r="H746" i="14"/>
  <c r="A747" i="14"/>
  <c r="B747" i="14"/>
  <c r="C747" i="14"/>
  <c r="D747" i="14"/>
  <c r="E747" i="14"/>
  <c r="F747" i="14"/>
  <c r="G747" i="14"/>
  <c r="H747" i="14"/>
  <c r="A748" i="14"/>
  <c r="B748" i="14"/>
  <c r="C748" i="14"/>
  <c r="D748" i="14"/>
  <c r="E748" i="14"/>
  <c r="F748" i="14"/>
  <c r="G748" i="14"/>
  <c r="H748" i="14"/>
  <c r="A749" i="14"/>
  <c r="B749" i="14"/>
  <c r="C749" i="14"/>
  <c r="D749" i="14"/>
  <c r="E749" i="14"/>
  <c r="F749" i="14"/>
  <c r="G749" i="14"/>
  <c r="H749" i="14"/>
  <c r="A750" i="14"/>
  <c r="B750" i="14"/>
  <c r="C750" i="14"/>
  <c r="D750" i="14"/>
  <c r="E750" i="14"/>
  <c r="F750" i="14"/>
  <c r="G750" i="14"/>
  <c r="H750" i="14"/>
  <c r="A751" i="14"/>
  <c r="B751" i="14"/>
  <c r="C751" i="14"/>
  <c r="D751" i="14"/>
  <c r="E751" i="14"/>
  <c r="F751" i="14"/>
  <c r="G751" i="14"/>
  <c r="H751" i="14"/>
  <c r="A752" i="14"/>
  <c r="B752" i="14"/>
  <c r="C752" i="14"/>
  <c r="D752" i="14"/>
  <c r="E752" i="14"/>
  <c r="F752" i="14"/>
  <c r="G752" i="14"/>
  <c r="H752" i="14"/>
  <c r="A753" i="14"/>
  <c r="B753" i="14"/>
  <c r="C753" i="14"/>
  <c r="D753" i="14"/>
  <c r="E753" i="14"/>
  <c r="F753" i="14"/>
  <c r="G753" i="14"/>
  <c r="H753" i="14"/>
  <c r="A754" i="14"/>
  <c r="B754" i="14"/>
  <c r="C754" i="14"/>
  <c r="D754" i="14"/>
  <c r="E754" i="14"/>
  <c r="F754" i="14"/>
  <c r="G754" i="14"/>
  <c r="H754" i="14"/>
  <c r="A755" i="14"/>
  <c r="B755" i="14"/>
  <c r="C755" i="14"/>
  <c r="D755" i="14"/>
  <c r="E755" i="14"/>
  <c r="F755" i="14"/>
  <c r="G755" i="14"/>
  <c r="H755" i="14"/>
  <c r="A756" i="14"/>
  <c r="B756" i="14"/>
  <c r="C756" i="14"/>
  <c r="D756" i="14"/>
  <c r="E756" i="14"/>
  <c r="F756" i="14"/>
  <c r="G756" i="14"/>
  <c r="H756" i="14"/>
  <c r="A757" i="14"/>
  <c r="B757" i="14"/>
  <c r="C757" i="14"/>
  <c r="D757" i="14"/>
  <c r="E757" i="14"/>
  <c r="F757" i="14"/>
  <c r="G757" i="14"/>
  <c r="H757" i="14"/>
  <c r="A758" i="14"/>
  <c r="B758" i="14"/>
  <c r="C758" i="14"/>
  <c r="D758" i="14"/>
  <c r="E758" i="14"/>
  <c r="F758" i="14"/>
  <c r="G758" i="14"/>
  <c r="H758" i="14"/>
  <c r="A759" i="14"/>
  <c r="B759" i="14"/>
  <c r="C759" i="14"/>
  <c r="D759" i="14"/>
  <c r="E759" i="14"/>
  <c r="F759" i="14"/>
  <c r="G759" i="14"/>
  <c r="H759" i="14"/>
  <c r="A760" i="14"/>
  <c r="B760" i="14"/>
  <c r="C760" i="14"/>
  <c r="D760" i="14"/>
  <c r="E760" i="14"/>
  <c r="F760" i="14"/>
  <c r="G760" i="14"/>
  <c r="H760" i="14"/>
  <c r="A761" i="14"/>
  <c r="B761" i="14"/>
  <c r="C761" i="14"/>
  <c r="D761" i="14"/>
  <c r="E761" i="14"/>
  <c r="F761" i="14"/>
  <c r="G761" i="14"/>
  <c r="H761" i="14"/>
  <c r="A762" i="14"/>
  <c r="B762" i="14"/>
  <c r="C762" i="14"/>
  <c r="D762" i="14"/>
  <c r="E762" i="14"/>
  <c r="F762" i="14"/>
  <c r="G762" i="14"/>
  <c r="H762" i="14"/>
  <c r="A763" i="14"/>
  <c r="B763" i="14"/>
  <c r="C763" i="14"/>
  <c r="D763" i="14"/>
  <c r="E763" i="14"/>
  <c r="F763" i="14"/>
  <c r="G763" i="14"/>
  <c r="H763" i="14"/>
  <c r="A764" i="14"/>
  <c r="B764" i="14"/>
  <c r="C764" i="14"/>
  <c r="D764" i="14"/>
  <c r="E764" i="14"/>
  <c r="F764" i="14"/>
  <c r="G764" i="14"/>
  <c r="H764" i="14"/>
  <c r="A765" i="14"/>
  <c r="B765" i="14"/>
  <c r="C765" i="14"/>
  <c r="D765" i="14"/>
  <c r="E765" i="14"/>
  <c r="F765" i="14"/>
  <c r="G765" i="14"/>
  <c r="H765" i="14"/>
  <c r="A766" i="14"/>
  <c r="B766" i="14"/>
  <c r="C766" i="14"/>
  <c r="D766" i="14"/>
  <c r="E766" i="14"/>
  <c r="F766" i="14"/>
  <c r="G766" i="14"/>
  <c r="H766" i="14"/>
  <c r="A767" i="14"/>
  <c r="B767" i="14"/>
  <c r="C767" i="14"/>
  <c r="D767" i="14"/>
  <c r="E767" i="14"/>
  <c r="F767" i="14"/>
  <c r="G767" i="14"/>
  <c r="H767" i="14"/>
  <c r="A768" i="14"/>
  <c r="B768" i="14"/>
  <c r="C768" i="14"/>
  <c r="D768" i="14"/>
  <c r="E768" i="14"/>
  <c r="F768" i="14"/>
  <c r="G768" i="14"/>
  <c r="H768" i="14"/>
  <c r="A769" i="14"/>
  <c r="B769" i="14"/>
  <c r="C769" i="14"/>
  <c r="D769" i="14"/>
  <c r="E769" i="14"/>
  <c r="F769" i="14"/>
  <c r="G769" i="14"/>
  <c r="H769" i="14"/>
  <c r="A770" i="14"/>
  <c r="B770" i="14"/>
  <c r="C770" i="14"/>
  <c r="D770" i="14"/>
  <c r="E770" i="14"/>
  <c r="F770" i="14"/>
  <c r="G770" i="14"/>
  <c r="H770" i="14"/>
  <c r="A771" i="14"/>
  <c r="B771" i="14"/>
  <c r="C771" i="14"/>
  <c r="D771" i="14"/>
  <c r="E771" i="14"/>
  <c r="F771" i="14"/>
  <c r="G771" i="14"/>
  <c r="H771" i="14"/>
  <c r="A772" i="14"/>
  <c r="B772" i="14"/>
  <c r="C772" i="14"/>
  <c r="D772" i="14"/>
  <c r="E772" i="14"/>
  <c r="F772" i="14"/>
  <c r="G772" i="14"/>
  <c r="H772" i="14"/>
  <c r="A773" i="14"/>
  <c r="B773" i="14"/>
  <c r="C773" i="14"/>
  <c r="D773" i="14"/>
  <c r="E773" i="14"/>
  <c r="F773" i="14"/>
  <c r="G773" i="14"/>
  <c r="H773" i="14"/>
  <c r="A774" i="14"/>
  <c r="B774" i="14"/>
  <c r="C774" i="14"/>
  <c r="D774" i="14"/>
  <c r="E774" i="14"/>
  <c r="F774" i="14"/>
  <c r="G774" i="14"/>
  <c r="H774" i="14"/>
  <c r="A775" i="14"/>
  <c r="B775" i="14"/>
  <c r="C775" i="14"/>
  <c r="D775" i="14"/>
  <c r="E775" i="14"/>
  <c r="F775" i="14"/>
  <c r="G775" i="14"/>
  <c r="H775" i="14"/>
  <c r="A776" i="14"/>
  <c r="B776" i="14"/>
  <c r="C776" i="14"/>
  <c r="D776" i="14"/>
  <c r="E776" i="14"/>
  <c r="F776" i="14"/>
  <c r="G776" i="14"/>
  <c r="H776" i="14"/>
  <c r="A777" i="14"/>
  <c r="B777" i="14"/>
  <c r="C777" i="14"/>
  <c r="D777" i="14"/>
  <c r="E777" i="14"/>
  <c r="F777" i="14"/>
  <c r="G777" i="14"/>
  <c r="H777" i="14"/>
  <c r="A778" i="14"/>
  <c r="B778" i="14"/>
  <c r="C778" i="14"/>
  <c r="D778" i="14"/>
  <c r="E778" i="14"/>
  <c r="F778" i="14"/>
  <c r="G778" i="14"/>
  <c r="H778" i="14"/>
  <c r="A779" i="14"/>
  <c r="B779" i="14"/>
  <c r="C779" i="14"/>
  <c r="D779" i="14"/>
  <c r="E779" i="14"/>
  <c r="F779" i="14"/>
  <c r="G779" i="14"/>
  <c r="H779" i="14"/>
  <c r="A780" i="14"/>
  <c r="B780" i="14"/>
  <c r="C780" i="14"/>
  <c r="D780" i="14"/>
  <c r="E780" i="14"/>
  <c r="F780" i="14"/>
  <c r="G780" i="14"/>
  <c r="H780" i="14"/>
  <c r="A781" i="14"/>
  <c r="B781" i="14"/>
  <c r="C781" i="14"/>
  <c r="D781" i="14"/>
  <c r="E781" i="14"/>
  <c r="F781" i="14"/>
  <c r="G781" i="14"/>
  <c r="H781" i="14"/>
  <c r="A782" i="14"/>
  <c r="B782" i="14"/>
  <c r="C782" i="14"/>
  <c r="D782" i="14"/>
  <c r="E782" i="14"/>
  <c r="F782" i="14"/>
  <c r="G782" i="14"/>
  <c r="H782" i="14"/>
  <c r="A783" i="14"/>
  <c r="B783" i="14"/>
  <c r="C783" i="14"/>
  <c r="D783" i="14"/>
  <c r="E783" i="14"/>
  <c r="F783" i="14"/>
  <c r="G783" i="14"/>
  <c r="H783" i="14"/>
  <c r="A784" i="14"/>
  <c r="B784" i="14"/>
  <c r="C784" i="14"/>
  <c r="D784" i="14"/>
  <c r="E784" i="14"/>
  <c r="F784" i="14"/>
  <c r="G784" i="14"/>
  <c r="H784" i="14"/>
  <c r="A785" i="14"/>
  <c r="B785" i="14"/>
  <c r="C785" i="14"/>
  <c r="D785" i="14"/>
  <c r="E785" i="14"/>
  <c r="F785" i="14"/>
  <c r="G785" i="14"/>
  <c r="H785" i="14"/>
  <c r="A786" i="14"/>
  <c r="B786" i="14"/>
  <c r="C786" i="14"/>
  <c r="D786" i="14"/>
  <c r="E786" i="14"/>
  <c r="F786" i="14"/>
  <c r="G786" i="14"/>
  <c r="H786" i="14"/>
  <c r="A787" i="14"/>
  <c r="B787" i="14"/>
  <c r="C787" i="14"/>
  <c r="D787" i="14"/>
  <c r="E787" i="14"/>
  <c r="F787" i="14"/>
  <c r="G787" i="14"/>
  <c r="H787" i="14"/>
  <c r="A788" i="14"/>
  <c r="B788" i="14"/>
  <c r="C788" i="14"/>
  <c r="D788" i="14"/>
  <c r="E788" i="14"/>
  <c r="F788" i="14"/>
  <c r="G788" i="14"/>
  <c r="H788" i="14"/>
  <c r="A789" i="14"/>
  <c r="B789" i="14"/>
  <c r="C789" i="14"/>
  <c r="D789" i="14"/>
  <c r="E789" i="14"/>
  <c r="F789" i="14"/>
  <c r="G789" i="14"/>
  <c r="H789" i="14"/>
  <c r="A790" i="14"/>
  <c r="B790" i="14"/>
  <c r="C790" i="14"/>
  <c r="D790" i="14"/>
  <c r="E790" i="14"/>
  <c r="F790" i="14"/>
  <c r="G790" i="14"/>
  <c r="H790" i="14"/>
  <c r="A791" i="14"/>
  <c r="B791" i="14"/>
  <c r="C791" i="14"/>
  <c r="D791" i="14"/>
  <c r="E791" i="14"/>
  <c r="F791" i="14"/>
  <c r="G791" i="14"/>
  <c r="H791" i="14"/>
  <c r="A792" i="14"/>
  <c r="B792" i="14"/>
  <c r="C792" i="14"/>
  <c r="D792" i="14"/>
  <c r="E792" i="14"/>
  <c r="F792" i="14"/>
  <c r="G792" i="14"/>
  <c r="H792" i="14"/>
  <c r="A793" i="14"/>
  <c r="B793" i="14"/>
  <c r="C793" i="14"/>
  <c r="D793" i="14"/>
  <c r="E793" i="14"/>
  <c r="F793" i="14"/>
  <c r="G793" i="14"/>
  <c r="H793" i="14"/>
  <c r="A794" i="14"/>
  <c r="B794" i="14"/>
  <c r="C794" i="14"/>
  <c r="D794" i="14"/>
  <c r="E794" i="14"/>
  <c r="F794" i="14"/>
  <c r="G794" i="14"/>
  <c r="H794" i="14"/>
  <c r="A795" i="14"/>
  <c r="B795" i="14"/>
  <c r="C795" i="14"/>
  <c r="D795" i="14"/>
  <c r="E795" i="14"/>
  <c r="F795" i="14"/>
  <c r="G795" i="14"/>
  <c r="H795" i="14"/>
  <c r="A796" i="14"/>
  <c r="B796" i="14"/>
  <c r="C796" i="14"/>
  <c r="D796" i="14"/>
  <c r="E796" i="14"/>
  <c r="F796" i="14"/>
  <c r="G796" i="14"/>
  <c r="H796" i="14"/>
  <c r="A797" i="14"/>
  <c r="B797" i="14"/>
  <c r="C797" i="14"/>
  <c r="D797" i="14"/>
  <c r="E797" i="14"/>
  <c r="F797" i="14"/>
  <c r="G797" i="14"/>
  <c r="H797" i="14"/>
  <c r="A798" i="14"/>
  <c r="B798" i="14"/>
  <c r="C798" i="14"/>
  <c r="D798" i="14"/>
  <c r="E798" i="14"/>
  <c r="F798" i="14"/>
  <c r="G798" i="14"/>
  <c r="H798" i="14"/>
  <c r="A799" i="14"/>
  <c r="B799" i="14"/>
  <c r="C799" i="14"/>
  <c r="D799" i="14"/>
  <c r="E799" i="14"/>
  <c r="F799" i="14"/>
  <c r="G799" i="14"/>
  <c r="H799" i="14"/>
  <c r="A800" i="14"/>
  <c r="B800" i="14"/>
  <c r="C800" i="14"/>
  <c r="D800" i="14"/>
  <c r="E800" i="14"/>
  <c r="F800" i="14"/>
  <c r="G800" i="14"/>
  <c r="H800" i="14"/>
  <c r="A801" i="14"/>
  <c r="B801" i="14"/>
  <c r="C801" i="14"/>
  <c r="D801" i="14"/>
  <c r="E801" i="14"/>
  <c r="F801" i="14"/>
  <c r="G801" i="14"/>
  <c r="H801" i="14"/>
  <c r="A802" i="14"/>
  <c r="B802" i="14"/>
  <c r="C802" i="14"/>
  <c r="D802" i="14"/>
  <c r="E802" i="14"/>
  <c r="F802" i="14"/>
  <c r="G802" i="14"/>
  <c r="H802" i="14"/>
  <c r="A803" i="14"/>
  <c r="B803" i="14"/>
  <c r="C803" i="14"/>
  <c r="D803" i="14"/>
  <c r="E803" i="14"/>
  <c r="F803" i="14"/>
  <c r="G803" i="14"/>
  <c r="H803" i="14"/>
  <c r="A804" i="14"/>
  <c r="B804" i="14"/>
  <c r="C804" i="14"/>
  <c r="D804" i="14"/>
  <c r="E804" i="14"/>
  <c r="F804" i="14"/>
  <c r="G804" i="14"/>
  <c r="H804" i="14"/>
  <c r="A805" i="14"/>
  <c r="B805" i="14"/>
  <c r="C805" i="14"/>
  <c r="D805" i="14"/>
  <c r="E805" i="14"/>
  <c r="F805" i="14"/>
  <c r="G805" i="14"/>
  <c r="H805" i="14"/>
  <c r="A806" i="14"/>
  <c r="B806" i="14"/>
  <c r="C806" i="14"/>
  <c r="D806" i="14"/>
  <c r="E806" i="14"/>
  <c r="F806" i="14"/>
  <c r="G806" i="14"/>
  <c r="H806" i="14"/>
  <c r="A807" i="14"/>
  <c r="B807" i="14"/>
  <c r="C807" i="14"/>
  <c r="D807" i="14"/>
  <c r="E807" i="14"/>
  <c r="F807" i="14"/>
  <c r="G807" i="14"/>
  <c r="H807" i="14"/>
  <c r="A808" i="14"/>
  <c r="B808" i="14"/>
  <c r="C808" i="14"/>
  <c r="D808" i="14"/>
  <c r="E808" i="14"/>
  <c r="F808" i="14"/>
  <c r="G808" i="14"/>
  <c r="H808" i="14"/>
  <c r="A809" i="14"/>
  <c r="B809" i="14"/>
  <c r="C809" i="14"/>
  <c r="D809" i="14"/>
  <c r="E809" i="14"/>
  <c r="F809" i="14"/>
  <c r="G809" i="14"/>
  <c r="H809" i="14"/>
  <c r="A810" i="14"/>
  <c r="B810" i="14"/>
  <c r="C810" i="14"/>
  <c r="D810" i="14"/>
  <c r="E810" i="14"/>
  <c r="F810" i="14"/>
  <c r="G810" i="14"/>
  <c r="H810" i="14"/>
  <c r="A811" i="14"/>
  <c r="B811" i="14"/>
  <c r="C811" i="14"/>
  <c r="D811" i="14"/>
  <c r="E811" i="14"/>
  <c r="F811" i="14"/>
  <c r="G811" i="14"/>
  <c r="H811" i="14"/>
  <c r="A812" i="14"/>
  <c r="B812" i="14"/>
  <c r="C812" i="14"/>
  <c r="D812" i="14"/>
  <c r="E812" i="14"/>
  <c r="F812" i="14"/>
  <c r="G812" i="14"/>
  <c r="H812" i="14"/>
  <c r="A813" i="14"/>
  <c r="B813" i="14"/>
  <c r="C813" i="14"/>
  <c r="D813" i="14"/>
  <c r="E813" i="14"/>
  <c r="F813" i="14"/>
  <c r="G813" i="14"/>
  <c r="H813" i="14"/>
  <c r="A814" i="14"/>
  <c r="B814" i="14"/>
  <c r="C814" i="14"/>
  <c r="D814" i="14"/>
  <c r="E814" i="14"/>
  <c r="F814" i="14"/>
  <c r="G814" i="14"/>
  <c r="H814" i="14"/>
  <c r="A815" i="14"/>
  <c r="B815" i="14"/>
  <c r="C815" i="14"/>
  <c r="D815" i="14"/>
  <c r="E815" i="14"/>
  <c r="F815" i="14"/>
  <c r="G815" i="14"/>
  <c r="H815" i="14"/>
  <c r="A816" i="14"/>
  <c r="B816" i="14"/>
  <c r="C816" i="14"/>
  <c r="D816" i="14"/>
  <c r="E816" i="14"/>
  <c r="F816" i="14"/>
  <c r="G816" i="14"/>
  <c r="H816" i="14"/>
  <c r="A817" i="14"/>
  <c r="B817" i="14"/>
  <c r="C817" i="14"/>
  <c r="D817" i="14"/>
  <c r="E817" i="14"/>
  <c r="F817" i="14"/>
  <c r="G817" i="14"/>
  <c r="H817" i="14"/>
  <c r="A818" i="14"/>
  <c r="B818" i="14"/>
  <c r="C818" i="14"/>
  <c r="D818" i="14"/>
  <c r="E818" i="14"/>
  <c r="F818" i="14"/>
  <c r="G818" i="14"/>
  <c r="H818" i="14"/>
  <c r="A819" i="14"/>
  <c r="B819" i="14"/>
  <c r="C819" i="14"/>
  <c r="D819" i="14"/>
  <c r="E819" i="14"/>
  <c r="F819" i="14"/>
  <c r="G819" i="14"/>
  <c r="H819" i="14"/>
  <c r="A820" i="14"/>
  <c r="B820" i="14"/>
  <c r="C820" i="14"/>
  <c r="D820" i="14"/>
  <c r="E820" i="14"/>
  <c r="F820" i="14"/>
  <c r="G820" i="14"/>
  <c r="H820" i="14"/>
  <c r="A821" i="14"/>
  <c r="B821" i="14"/>
  <c r="C821" i="14"/>
  <c r="D821" i="14"/>
  <c r="E821" i="14"/>
  <c r="F821" i="14"/>
  <c r="G821" i="14"/>
  <c r="H821" i="14"/>
  <c r="A822" i="14"/>
  <c r="B822" i="14"/>
  <c r="C822" i="14"/>
  <c r="D822" i="14"/>
  <c r="E822" i="14"/>
  <c r="F822" i="14"/>
  <c r="G822" i="14"/>
  <c r="H822" i="14"/>
  <c r="A823" i="14"/>
  <c r="B823" i="14"/>
  <c r="C823" i="14"/>
  <c r="D823" i="14"/>
  <c r="E823" i="14"/>
  <c r="F823" i="14"/>
  <c r="G823" i="14"/>
  <c r="H823" i="14"/>
  <c r="A824" i="14"/>
  <c r="B824" i="14"/>
  <c r="C824" i="14"/>
  <c r="D824" i="14"/>
  <c r="E824" i="14"/>
  <c r="F824" i="14"/>
  <c r="G824" i="14"/>
  <c r="H824" i="14"/>
  <c r="A825" i="14"/>
  <c r="B825" i="14"/>
  <c r="C825" i="14"/>
  <c r="D825" i="14"/>
  <c r="E825" i="14"/>
  <c r="F825" i="14"/>
  <c r="G825" i="14"/>
  <c r="H825" i="14"/>
  <c r="A826" i="14"/>
  <c r="B826" i="14"/>
  <c r="C826" i="14"/>
  <c r="D826" i="14"/>
  <c r="E826" i="14"/>
  <c r="F826" i="14"/>
  <c r="G826" i="14"/>
  <c r="H826" i="14"/>
  <c r="A827" i="14"/>
  <c r="B827" i="14"/>
  <c r="C827" i="14"/>
  <c r="D827" i="14"/>
  <c r="E827" i="14"/>
  <c r="F827" i="14"/>
  <c r="G827" i="14"/>
  <c r="H827" i="14"/>
  <c r="A828" i="14"/>
  <c r="B828" i="14"/>
  <c r="C828" i="14"/>
  <c r="D828" i="14"/>
  <c r="E828" i="14"/>
  <c r="F828" i="14"/>
  <c r="G828" i="14"/>
  <c r="H828" i="14"/>
  <c r="A829" i="14"/>
  <c r="B829" i="14"/>
  <c r="C829" i="14"/>
  <c r="D829" i="14"/>
  <c r="E829" i="14"/>
  <c r="F829" i="14"/>
  <c r="G829" i="14"/>
  <c r="H829" i="14"/>
  <c r="A830" i="14"/>
  <c r="B830" i="14"/>
  <c r="C830" i="14"/>
  <c r="D830" i="14"/>
  <c r="E830" i="14"/>
  <c r="F830" i="14"/>
  <c r="G830" i="14"/>
  <c r="H830" i="14"/>
  <c r="A831" i="14"/>
  <c r="B831" i="14"/>
  <c r="C831" i="14"/>
  <c r="D831" i="14"/>
  <c r="E831" i="14"/>
  <c r="F831" i="14"/>
  <c r="G831" i="14"/>
  <c r="H831" i="14"/>
  <c r="A832" i="14"/>
  <c r="B832" i="14"/>
  <c r="C832" i="14"/>
  <c r="D832" i="14"/>
  <c r="E832" i="14"/>
  <c r="F832" i="14"/>
  <c r="G832" i="14"/>
  <c r="H832" i="14"/>
  <c r="A833" i="14"/>
  <c r="B833" i="14"/>
  <c r="C833" i="14"/>
  <c r="D833" i="14"/>
  <c r="E833" i="14"/>
  <c r="F833" i="14"/>
  <c r="G833" i="14"/>
  <c r="H833" i="14"/>
  <c r="A834" i="14"/>
  <c r="B834" i="14"/>
  <c r="C834" i="14"/>
  <c r="D834" i="14"/>
  <c r="E834" i="14"/>
  <c r="F834" i="14"/>
  <c r="G834" i="14"/>
  <c r="H834" i="14"/>
  <c r="A835" i="14"/>
  <c r="B835" i="14"/>
  <c r="C835" i="14"/>
  <c r="D835" i="14"/>
  <c r="E835" i="14"/>
  <c r="F835" i="14"/>
  <c r="G835" i="14"/>
  <c r="H835" i="14"/>
  <c r="A836" i="14"/>
  <c r="B836" i="14"/>
  <c r="C836" i="14"/>
  <c r="D836" i="14"/>
  <c r="E836" i="14"/>
  <c r="F836" i="14"/>
  <c r="G836" i="14"/>
  <c r="H836" i="14"/>
  <c r="A837" i="14"/>
  <c r="B837" i="14"/>
  <c r="C837" i="14"/>
  <c r="D837" i="14"/>
  <c r="E837" i="14"/>
  <c r="F837" i="14"/>
  <c r="G837" i="14"/>
  <c r="H837" i="14"/>
  <c r="A838" i="14"/>
  <c r="B838" i="14"/>
  <c r="C838" i="14"/>
  <c r="D838" i="14"/>
  <c r="E838" i="14"/>
  <c r="F838" i="14"/>
  <c r="G838" i="14"/>
  <c r="H838" i="14"/>
  <c r="A839" i="14"/>
  <c r="B839" i="14"/>
  <c r="C839" i="14"/>
  <c r="D839" i="14"/>
  <c r="E839" i="14"/>
  <c r="F839" i="14"/>
  <c r="G839" i="14"/>
  <c r="H839" i="14"/>
  <c r="A840" i="14"/>
  <c r="B840" i="14"/>
  <c r="C840" i="14"/>
  <c r="D840" i="14"/>
  <c r="E840" i="14"/>
  <c r="F840" i="14"/>
  <c r="G840" i="14"/>
  <c r="H840" i="14"/>
  <c r="A841" i="14"/>
  <c r="B841" i="14"/>
  <c r="C841" i="14"/>
  <c r="D841" i="14"/>
  <c r="E841" i="14"/>
  <c r="F841" i="14"/>
  <c r="G841" i="14"/>
  <c r="H841" i="14"/>
  <c r="A842" i="14"/>
  <c r="B842" i="14"/>
  <c r="C842" i="14"/>
  <c r="D842" i="14"/>
  <c r="E842" i="14"/>
  <c r="F842" i="14"/>
  <c r="G842" i="14"/>
  <c r="H842" i="14"/>
  <c r="A843" i="14"/>
  <c r="B843" i="14"/>
  <c r="C843" i="14"/>
  <c r="D843" i="14"/>
  <c r="E843" i="14"/>
  <c r="F843" i="14"/>
  <c r="G843" i="14"/>
  <c r="H843" i="14"/>
  <c r="A844" i="14"/>
  <c r="B844" i="14"/>
  <c r="C844" i="14"/>
  <c r="D844" i="14"/>
  <c r="E844" i="14"/>
  <c r="F844" i="14"/>
  <c r="G844" i="14"/>
  <c r="H844" i="14"/>
  <c r="A845" i="14"/>
  <c r="B845" i="14"/>
  <c r="C845" i="14"/>
  <c r="D845" i="14"/>
  <c r="E845" i="14"/>
  <c r="F845" i="14"/>
  <c r="G845" i="14"/>
  <c r="H845" i="14"/>
  <c r="A846" i="14"/>
  <c r="B846" i="14"/>
  <c r="C846" i="14"/>
  <c r="D846" i="14"/>
  <c r="E846" i="14"/>
  <c r="F846" i="14"/>
  <c r="G846" i="14"/>
  <c r="H846" i="14"/>
  <c r="A847" i="14"/>
  <c r="B847" i="14"/>
  <c r="C847" i="14"/>
  <c r="D847" i="14"/>
  <c r="E847" i="14"/>
  <c r="F847" i="14"/>
  <c r="G847" i="14"/>
  <c r="H847" i="14"/>
  <c r="A848" i="14"/>
  <c r="B848" i="14"/>
  <c r="C848" i="14"/>
  <c r="D848" i="14"/>
  <c r="E848" i="14"/>
  <c r="F848" i="14"/>
  <c r="G848" i="14"/>
  <c r="H848" i="14"/>
  <c r="A849" i="14"/>
  <c r="B849" i="14"/>
  <c r="C849" i="14"/>
  <c r="D849" i="14"/>
  <c r="E849" i="14"/>
  <c r="F849" i="14"/>
  <c r="G849" i="14"/>
  <c r="H849" i="14"/>
  <c r="A850" i="14"/>
  <c r="B850" i="14"/>
  <c r="C850" i="14"/>
  <c r="D850" i="14"/>
  <c r="E850" i="14"/>
  <c r="F850" i="14"/>
  <c r="G850" i="14"/>
  <c r="H850" i="14"/>
  <c r="A851" i="14"/>
  <c r="B851" i="14"/>
  <c r="C851" i="14"/>
  <c r="D851" i="14"/>
  <c r="E851" i="14"/>
  <c r="F851" i="14"/>
  <c r="G851" i="14"/>
  <c r="H851" i="14"/>
  <c r="A852" i="14"/>
  <c r="B852" i="14"/>
  <c r="C852" i="14"/>
  <c r="D852" i="14"/>
  <c r="E852" i="14"/>
  <c r="F852" i="14"/>
  <c r="G852" i="14"/>
  <c r="H852" i="14"/>
  <c r="A853" i="14"/>
  <c r="B853" i="14"/>
  <c r="C853" i="14"/>
  <c r="D853" i="14"/>
  <c r="E853" i="14"/>
  <c r="F853" i="14"/>
  <c r="G853" i="14"/>
  <c r="H853" i="14"/>
  <c r="A854" i="14"/>
  <c r="B854" i="14"/>
  <c r="C854" i="14"/>
  <c r="D854" i="14"/>
  <c r="E854" i="14"/>
  <c r="F854" i="14"/>
  <c r="G854" i="14"/>
  <c r="H854" i="14"/>
  <c r="A855" i="14"/>
  <c r="B855" i="14"/>
  <c r="C855" i="14"/>
  <c r="D855" i="14"/>
  <c r="E855" i="14"/>
  <c r="F855" i="14"/>
  <c r="G855" i="14"/>
  <c r="H855" i="14"/>
  <c r="A856" i="14"/>
  <c r="B856" i="14"/>
  <c r="C856" i="14"/>
  <c r="D856" i="14"/>
  <c r="E856" i="14"/>
  <c r="F856" i="14"/>
  <c r="G856" i="14"/>
  <c r="H856" i="14"/>
  <c r="A857" i="14"/>
  <c r="B857" i="14"/>
  <c r="C857" i="14"/>
  <c r="D857" i="14"/>
  <c r="E857" i="14"/>
  <c r="F857" i="14"/>
  <c r="G857" i="14"/>
  <c r="H857" i="14"/>
  <c r="A858" i="14"/>
  <c r="B858" i="14"/>
  <c r="C858" i="14"/>
  <c r="D858" i="14"/>
  <c r="E858" i="14"/>
  <c r="F858" i="14"/>
  <c r="G858" i="14"/>
  <c r="H858" i="14"/>
  <c r="A859" i="14"/>
  <c r="B859" i="14"/>
  <c r="C859" i="14"/>
  <c r="D859" i="14"/>
  <c r="E859" i="14"/>
  <c r="F859" i="14"/>
  <c r="G859" i="14"/>
  <c r="H859" i="14"/>
  <c r="A860" i="14"/>
  <c r="B860" i="14"/>
  <c r="C860" i="14"/>
  <c r="D860" i="14"/>
  <c r="E860" i="14"/>
  <c r="F860" i="14"/>
  <c r="G860" i="14"/>
  <c r="H860" i="14"/>
  <c r="A861" i="14"/>
  <c r="B861" i="14"/>
  <c r="C861" i="14"/>
  <c r="D861" i="14"/>
  <c r="E861" i="14"/>
  <c r="F861" i="14"/>
  <c r="G861" i="14"/>
  <c r="H861" i="14"/>
  <c r="A862" i="14"/>
  <c r="B862" i="14"/>
  <c r="C862" i="14"/>
  <c r="D862" i="14"/>
  <c r="E862" i="14"/>
  <c r="F862" i="14"/>
  <c r="G862" i="14"/>
  <c r="H862" i="14"/>
  <c r="A863" i="14"/>
  <c r="B863" i="14"/>
  <c r="C863" i="14"/>
  <c r="D863" i="14"/>
  <c r="E863" i="14"/>
  <c r="F863" i="14"/>
  <c r="G863" i="14"/>
  <c r="H863" i="14"/>
  <c r="A864" i="14"/>
  <c r="B864" i="14"/>
  <c r="C864" i="14"/>
  <c r="D864" i="14"/>
  <c r="E864" i="14"/>
  <c r="F864" i="14"/>
  <c r="G864" i="14"/>
  <c r="H864" i="14"/>
  <c r="A865" i="14"/>
  <c r="B865" i="14"/>
  <c r="C865" i="14"/>
  <c r="D865" i="14"/>
  <c r="E865" i="14"/>
  <c r="F865" i="14"/>
  <c r="G865" i="14"/>
  <c r="H865" i="14"/>
  <c r="A866" i="14"/>
  <c r="B866" i="14"/>
  <c r="C866" i="14"/>
  <c r="D866" i="14"/>
  <c r="E866" i="14"/>
  <c r="F866" i="14"/>
  <c r="G866" i="14"/>
  <c r="H866" i="14"/>
  <c r="A867" i="14"/>
  <c r="B867" i="14"/>
  <c r="C867" i="14"/>
  <c r="D867" i="14"/>
  <c r="E867" i="14"/>
  <c r="F867" i="14"/>
  <c r="G867" i="14"/>
  <c r="H867" i="14"/>
  <c r="A868" i="14"/>
  <c r="B868" i="14"/>
  <c r="C868" i="14"/>
  <c r="D868" i="14"/>
  <c r="E868" i="14"/>
  <c r="F868" i="14"/>
  <c r="G868" i="14"/>
  <c r="H868" i="14"/>
  <c r="A869" i="14"/>
  <c r="B869" i="14"/>
  <c r="C869" i="14"/>
  <c r="D869" i="14"/>
  <c r="E869" i="14"/>
  <c r="F869" i="14"/>
  <c r="G869" i="14"/>
  <c r="H869" i="14"/>
  <c r="A870" i="14"/>
  <c r="B870" i="14"/>
  <c r="C870" i="14"/>
  <c r="D870" i="14"/>
  <c r="E870" i="14"/>
  <c r="F870" i="14"/>
  <c r="G870" i="14"/>
  <c r="H870" i="14"/>
  <c r="A871" i="14"/>
  <c r="B871" i="14"/>
  <c r="C871" i="14"/>
  <c r="D871" i="14"/>
  <c r="E871" i="14"/>
  <c r="F871" i="14"/>
  <c r="G871" i="14"/>
  <c r="H871" i="14"/>
  <c r="A872" i="14"/>
  <c r="B872" i="14"/>
  <c r="C872" i="14"/>
  <c r="D872" i="14"/>
  <c r="E872" i="14"/>
  <c r="F872" i="14"/>
  <c r="G872" i="14"/>
  <c r="H872" i="14"/>
  <c r="A873" i="14"/>
  <c r="B873" i="14"/>
  <c r="C873" i="14"/>
  <c r="D873" i="14"/>
  <c r="E873" i="14"/>
  <c r="F873" i="14"/>
  <c r="G873" i="14"/>
  <c r="H873" i="14"/>
  <c r="A874" i="14"/>
  <c r="B874" i="14"/>
  <c r="C874" i="14"/>
  <c r="D874" i="14"/>
  <c r="E874" i="14"/>
  <c r="F874" i="14"/>
  <c r="G874" i="14"/>
  <c r="H874" i="14"/>
  <c r="A875" i="14"/>
  <c r="B875" i="14"/>
  <c r="C875" i="14"/>
  <c r="D875" i="14"/>
  <c r="E875" i="14"/>
  <c r="F875" i="14"/>
  <c r="G875" i="14"/>
  <c r="H875" i="14"/>
  <c r="A876" i="14"/>
  <c r="B876" i="14"/>
  <c r="C876" i="14"/>
  <c r="D876" i="14"/>
  <c r="E876" i="14"/>
  <c r="F876" i="14"/>
  <c r="G876" i="14"/>
  <c r="H876" i="14"/>
  <c r="A877" i="14"/>
  <c r="B877" i="14"/>
  <c r="C877" i="14"/>
  <c r="D877" i="14"/>
  <c r="E877" i="14"/>
  <c r="F877" i="14"/>
  <c r="G877" i="14"/>
  <c r="H877" i="14"/>
  <c r="A878" i="14"/>
  <c r="B878" i="14"/>
  <c r="C878" i="14"/>
  <c r="D878" i="14"/>
  <c r="E878" i="14"/>
  <c r="F878" i="14"/>
  <c r="G878" i="14"/>
  <c r="H878" i="14"/>
  <c r="A879" i="14"/>
  <c r="B879" i="14"/>
  <c r="C879" i="14"/>
  <c r="D879" i="14"/>
  <c r="E879" i="14"/>
  <c r="F879" i="14"/>
  <c r="G879" i="14"/>
  <c r="H879" i="14"/>
  <c r="A880" i="14"/>
  <c r="B880" i="14"/>
  <c r="C880" i="14"/>
  <c r="D880" i="14"/>
  <c r="E880" i="14"/>
  <c r="F880" i="14"/>
  <c r="G880" i="14"/>
  <c r="H880" i="14"/>
  <c r="A881" i="14"/>
  <c r="B881" i="14"/>
  <c r="C881" i="14"/>
  <c r="D881" i="14"/>
  <c r="E881" i="14"/>
  <c r="F881" i="14"/>
  <c r="G881" i="14"/>
  <c r="H881" i="14"/>
  <c r="A882" i="14"/>
  <c r="B882" i="14"/>
  <c r="C882" i="14"/>
  <c r="D882" i="14"/>
  <c r="E882" i="14"/>
  <c r="F882" i="14"/>
  <c r="G882" i="14"/>
  <c r="H882" i="14"/>
  <c r="A883" i="14"/>
  <c r="B883" i="14"/>
  <c r="C883" i="14"/>
  <c r="D883" i="14"/>
  <c r="E883" i="14"/>
  <c r="F883" i="14"/>
  <c r="G883" i="14"/>
  <c r="H883" i="14"/>
  <c r="A884" i="14"/>
  <c r="B884" i="14"/>
  <c r="C884" i="14"/>
  <c r="D884" i="14"/>
  <c r="E884" i="14"/>
  <c r="F884" i="14"/>
  <c r="G884" i="14"/>
  <c r="H884" i="14"/>
  <c r="A885" i="14"/>
  <c r="B885" i="14"/>
  <c r="C885" i="14"/>
  <c r="D885" i="14"/>
  <c r="E885" i="14"/>
  <c r="F885" i="14"/>
  <c r="G885" i="14"/>
  <c r="H885" i="14"/>
  <c r="A886" i="14"/>
  <c r="B886" i="14"/>
  <c r="C886" i="14"/>
  <c r="D886" i="14"/>
  <c r="E886" i="14"/>
  <c r="F886" i="14"/>
  <c r="G886" i="14"/>
  <c r="H886" i="14"/>
  <c r="A887" i="14"/>
  <c r="B887" i="14"/>
  <c r="C887" i="14"/>
  <c r="D887" i="14"/>
  <c r="E887" i="14"/>
  <c r="F887" i="14"/>
  <c r="G887" i="14"/>
  <c r="H887" i="14"/>
  <c r="A888" i="14"/>
  <c r="B888" i="14"/>
  <c r="C888" i="14"/>
  <c r="D888" i="14"/>
  <c r="E888" i="14"/>
  <c r="F888" i="14"/>
  <c r="G888" i="14"/>
  <c r="H888" i="14"/>
  <c r="A889" i="14"/>
  <c r="B889" i="14"/>
  <c r="C889" i="14"/>
  <c r="D889" i="14"/>
  <c r="E889" i="14"/>
  <c r="F889" i="14"/>
  <c r="G889" i="14"/>
  <c r="H889" i="14"/>
  <c r="A890" i="14"/>
  <c r="B890" i="14"/>
  <c r="C890" i="14"/>
  <c r="D890" i="14"/>
  <c r="E890" i="14"/>
  <c r="F890" i="14"/>
  <c r="G890" i="14"/>
  <c r="H890" i="14"/>
  <c r="A891" i="14"/>
  <c r="B891" i="14"/>
  <c r="C891" i="14"/>
  <c r="D891" i="14"/>
  <c r="E891" i="14"/>
  <c r="F891" i="14"/>
  <c r="G891" i="14"/>
  <c r="H891" i="14"/>
  <c r="A892" i="14"/>
  <c r="B892" i="14"/>
  <c r="C892" i="14"/>
  <c r="D892" i="14"/>
  <c r="E892" i="14"/>
  <c r="F892" i="14"/>
  <c r="G892" i="14"/>
  <c r="H892" i="14"/>
  <c r="A893" i="14"/>
  <c r="B893" i="14"/>
  <c r="C893" i="14"/>
  <c r="D893" i="14"/>
  <c r="E893" i="14"/>
  <c r="F893" i="14"/>
  <c r="G893" i="14"/>
  <c r="H893" i="14"/>
  <c r="A894" i="14"/>
  <c r="B894" i="14"/>
  <c r="C894" i="14"/>
  <c r="D894" i="14"/>
  <c r="E894" i="14"/>
  <c r="F894" i="14"/>
  <c r="G894" i="14"/>
  <c r="H894" i="14"/>
  <c r="A895" i="14"/>
  <c r="B895" i="14"/>
  <c r="C895" i="14"/>
  <c r="D895" i="14"/>
  <c r="E895" i="14"/>
  <c r="F895" i="14"/>
  <c r="G895" i="14"/>
  <c r="H895" i="14"/>
  <c r="A896" i="14"/>
  <c r="B896" i="14"/>
  <c r="C896" i="14"/>
  <c r="D896" i="14"/>
  <c r="E896" i="14"/>
  <c r="F896" i="14"/>
  <c r="G896" i="14"/>
  <c r="H896" i="14"/>
  <c r="A897" i="14"/>
  <c r="B897" i="14"/>
  <c r="C897" i="14"/>
  <c r="D897" i="14"/>
  <c r="E897" i="14"/>
  <c r="F897" i="14"/>
  <c r="G897" i="14"/>
  <c r="H897" i="14"/>
  <c r="A898" i="14"/>
  <c r="B898" i="14"/>
  <c r="C898" i="14"/>
  <c r="D898" i="14"/>
  <c r="E898" i="14"/>
  <c r="F898" i="14"/>
  <c r="G898" i="14"/>
  <c r="H898" i="14"/>
  <c r="A899" i="14"/>
  <c r="B899" i="14"/>
  <c r="C899" i="14"/>
  <c r="D899" i="14"/>
  <c r="E899" i="14"/>
  <c r="F899" i="14"/>
  <c r="G899" i="14"/>
  <c r="H899" i="14"/>
  <c r="A900" i="14"/>
  <c r="B900" i="14"/>
  <c r="C900" i="14"/>
  <c r="D900" i="14"/>
  <c r="E900" i="14"/>
  <c r="F900" i="14"/>
  <c r="G900" i="14"/>
  <c r="H900" i="14"/>
  <c r="A901" i="14"/>
  <c r="B901" i="14"/>
  <c r="C901" i="14"/>
  <c r="D901" i="14"/>
  <c r="E901" i="14"/>
  <c r="F901" i="14"/>
  <c r="G901" i="14"/>
  <c r="H901" i="14"/>
  <c r="A902" i="14"/>
  <c r="B902" i="14"/>
  <c r="C902" i="14"/>
  <c r="D902" i="14"/>
  <c r="E902" i="14"/>
  <c r="F902" i="14"/>
  <c r="G902" i="14"/>
  <c r="H902" i="14"/>
  <c r="A903" i="14"/>
  <c r="B903" i="14"/>
  <c r="C903" i="14"/>
  <c r="D903" i="14"/>
  <c r="E903" i="14"/>
  <c r="F903" i="14"/>
  <c r="G903" i="14"/>
  <c r="H903" i="14"/>
  <c r="A904" i="14"/>
  <c r="B904" i="14"/>
  <c r="C904" i="14"/>
  <c r="D904" i="14"/>
  <c r="E904" i="14"/>
  <c r="F904" i="14"/>
  <c r="G904" i="14"/>
  <c r="H904" i="14"/>
  <c r="A905" i="14"/>
  <c r="B905" i="14"/>
  <c r="C905" i="14"/>
  <c r="D905" i="14"/>
  <c r="E905" i="14"/>
  <c r="F905" i="14"/>
  <c r="G905" i="14"/>
  <c r="H905" i="14"/>
  <c r="A906" i="14"/>
  <c r="B906" i="14"/>
  <c r="C906" i="14"/>
  <c r="D906" i="14"/>
  <c r="E906" i="14"/>
  <c r="F906" i="14"/>
  <c r="G906" i="14"/>
  <c r="H906" i="14"/>
  <c r="A907" i="14"/>
  <c r="B907" i="14"/>
  <c r="C907" i="14"/>
  <c r="D907" i="14"/>
  <c r="E907" i="14"/>
  <c r="F907" i="14"/>
  <c r="G907" i="14"/>
  <c r="H907" i="14"/>
  <c r="A908" i="14"/>
  <c r="B908" i="14"/>
  <c r="C908" i="14"/>
  <c r="D908" i="14"/>
  <c r="E908" i="14"/>
  <c r="F908" i="14"/>
  <c r="G908" i="14"/>
  <c r="H908" i="14"/>
  <c r="A909" i="14"/>
  <c r="B909" i="14"/>
  <c r="C909" i="14"/>
  <c r="D909" i="14"/>
  <c r="E909" i="14"/>
  <c r="F909" i="14"/>
  <c r="G909" i="14"/>
  <c r="H909" i="14"/>
  <c r="A910" i="14"/>
  <c r="B910" i="14"/>
  <c r="C910" i="14"/>
  <c r="D910" i="14"/>
  <c r="E910" i="14"/>
  <c r="F910" i="14"/>
  <c r="G910" i="14"/>
  <c r="H910" i="14"/>
  <c r="A911" i="14"/>
  <c r="B911" i="14"/>
  <c r="C911" i="14"/>
  <c r="D911" i="14"/>
  <c r="E911" i="14"/>
  <c r="F911" i="14"/>
  <c r="G911" i="14"/>
  <c r="H911" i="14"/>
  <c r="A912" i="14"/>
  <c r="B912" i="14"/>
  <c r="C912" i="14"/>
  <c r="D912" i="14"/>
  <c r="E912" i="14"/>
  <c r="F912" i="14"/>
  <c r="G912" i="14"/>
  <c r="H912" i="14"/>
  <c r="A913" i="14"/>
  <c r="B913" i="14"/>
  <c r="C913" i="14"/>
  <c r="D913" i="14"/>
  <c r="E913" i="14"/>
  <c r="F913" i="14"/>
  <c r="G913" i="14"/>
  <c r="H913" i="14"/>
  <c r="A914" i="14"/>
  <c r="B914" i="14"/>
  <c r="C914" i="14"/>
  <c r="D914" i="14"/>
  <c r="E914" i="14"/>
  <c r="F914" i="14"/>
  <c r="G914" i="14"/>
  <c r="H914" i="14"/>
  <c r="A915" i="14"/>
  <c r="B915" i="14"/>
  <c r="C915" i="14"/>
  <c r="D915" i="14"/>
  <c r="E915" i="14"/>
  <c r="F915" i="14"/>
  <c r="G915" i="14"/>
  <c r="H915" i="14"/>
  <c r="A916" i="14"/>
  <c r="B916" i="14"/>
  <c r="C916" i="14"/>
  <c r="D916" i="14"/>
  <c r="E916" i="14"/>
  <c r="F916" i="14"/>
  <c r="G916" i="14"/>
  <c r="H916" i="14"/>
  <c r="A917" i="14"/>
  <c r="B917" i="14"/>
  <c r="C917" i="14"/>
  <c r="D917" i="14"/>
  <c r="E917" i="14"/>
  <c r="F917" i="14"/>
  <c r="G917" i="14"/>
  <c r="H917" i="14"/>
  <c r="A918" i="14"/>
  <c r="B918" i="14"/>
  <c r="C918" i="14"/>
  <c r="D918" i="14"/>
  <c r="E918" i="14"/>
  <c r="F918" i="14"/>
  <c r="G918" i="14"/>
  <c r="H918" i="14"/>
  <c r="A919" i="14"/>
  <c r="B919" i="14"/>
  <c r="C919" i="14"/>
  <c r="D919" i="14"/>
  <c r="E919" i="14"/>
  <c r="F919" i="14"/>
  <c r="G919" i="14"/>
  <c r="H919" i="14"/>
  <c r="A920" i="14"/>
  <c r="B920" i="14"/>
  <c r="C920" i="14"/>
  <c r="D920" i="14"/>
  <c r="E920" i="14"/>
  <c r="F920" i="14"/>
  <c r="G920" i="14"/>
  <c r="H920" i="14"/>
  <c r="A921" i="14"/>
  <c r="B921" i="14"/>
  <c r="C921" i="14"/>
  <c r="D921" i="14"/>
  <c r="E921" i="14"/>
  <c r="F921" i="14"/>
  <c r="G921" i="14"/>
  <c r="H921" i="14"/>
  <c r="A922" i="14"/>
  <c r="B922" i="14"/>
  <c r="C922" i="14"/>
  <c r="D922" i="14"/>
  <c r="E922" i="14"/>
  <c r="F922" i="14"/>
  <c r="G922" i="14"/>
  <c r="H922" i="14"/>
  <c r="A923" i="14"/>
  <c r="B923" i="14"/>
  <c r="C923" i="14"/>
  <c r="D923" i="14"/>
  <c r="E923" i="14"/>
  <c r="F923" i="14"/>
  <c r="G923" i="14"/>
  <c r="H923" i="14"/>
  <c r="A924" i="14"/>
  <c r="B924" i="14"/>
  <c r="C924" i="14"/>
  <c r="D924" i="14"/>
  <c r="E924" i="14"/>
  <c r="F924" i="14"/>
  <c r="G924" i="14"/>
  <c r="H924" i="14"/>
  <c r="A925" i="14"/>
  <c r="B925" i="14"/>
  <c r="C925" i="14"/>
  <c r="D925" i="14"/>
  <c r="E925" i="14"/>
  <c r="F925" i="14"/>
  <c r="G925" i="14"/>
  <c r="H925" i="14"/>
  <c r="A926" i="14"/>
  <c r="B926" i="14"/>
  <c r="C926" i="14"/>
  <c r="D926" i="14"/>
  <c r="E926" i="14"/>
  <c r="F926" i="14"/>
  <c r="G926" i="14"/>
  <c r="H926" i="14"/>
  <c r="A927" i="14"/>
  <c r="B927" i="14"/>
  <c r="C927" i="14"/>
  <c r="D927" i="14"/>
  <c r="E927" i="14"/>
  <c r="F927" i="14"/>
  <c r="G927" i="14"/>
  <c r="H927" i="14"/>
  <c r="A928" i="14"/>
  <c r="B928" i="14"/>
  <c r="C928" i="14"/>
  <c r="D928" i="14"/>
  <c r="E928" i="14"/>
  <c r="F928" i="14"/>
  <c r="G928" i="14"/>
  <c r="H928" i="14"/>
  <c r="A929" i="14"/>
  <c r="B929" i="14"/>
  <c r="C929" i="14"/>
  <c r="D929" i="14"/>
  <c r="E929" i="14"/>
  <c r="F929" i="14"/>
  <c r="G929" i="14"/>
  <c r="H929" i="14"/>
  <c r="A930" i="14"/>
  <c r="B930" i="14"/>
  <c r="C930" i="14"/>
  <c r="D930" i="14"/>
  <c r="E930" i="14"/>
  <c r="F930" i="14"/>
  <c r="G930" i="14"/>
  <c r="H930" i="14"/>
  <c r="A931" i="14"/>
  <c r="B931" i="14"/>
  <c r="C931" i="14"/>
  <c r="D931" i="14"/>
  <c r="E931" i="14"/>
  <c r="F931" i="14"/>
  <c r="G931" i="14"/>
  <c r="H931" i="14"/>
  <c r="A932" i="14"/>
  <c r="B932" i="14"/>
  <c r="C932" i="14"/>
  <c r="D932" i="14"/>
  <c r="E932" i="14"/>
  <c r="F932" i="14"/>
  <c r="G932" i="14"/>
  <c r="H932" i="14"/>
  <c r="A933" i="14"/>
  <c r="B933" i="14"/>
  <c r="C933" i="14"/>
  <c r="D933" i="14"/>
  <c r="E933" i="14"/>
  <c r="F933" i="14"/>
  <c r="G933" i="14"/>
  <c r="H933" i="14"/>
  <c r="A934" i="14"/>
  <c r="B934" i="14"/>
  <c r="C934" i="14"/>
  <c r="D934" i="14"/>
  <c r="E934" i="14"/>
  <c r="F934" i="14"/>
  <c r="G934" i="14"/>
  <c r="H934" i="14"/>
  <c r="A935" i="14"/>
  <c r="B935" i="14"/>
  <c r="C935" i="14"/>
  <c r="D935" i="14"/>
  <c r="E935" i="14"/>
  <c r="F935" i="14"/>
  <c r="G935" i="14"/>
  <c r="H935" i="14"/>
  <c r="A936" i="14"/>
  <c r="B936" i="14"/>
  <c r="C936" i="14"/>
  <c r="D936" i="14"/>
  <c r="E936" i="14"/>
  <c r="F936" i="14"/>
  <c r="G936" i="14"/>
  <c r="H936" i="14"/>
  <c r="A937" i="14"/>
  <c r="B937" i="14"/>
  <c r="C937" i="14"/>
  <c r="D937" i="14"/>
  <c r="E937" i="14"/>
  <c r="F937" i="14"/>
  <c r="G937" i="14"/>
  <c r="H937" i="14"/>
  <c r="A938" i="14"/>
  <c r="B938" i="14"/>
  <c r="C938" i="14"/>
  <c r="D938" i="14"/>
  <c r="E938" i="14"/>
  <c r="F938" i="14"/>
  <c r="G938" i="14"/>
  <c r="H938" i="14"/>
  <c r="A939" i="14"/>
  <c r="B939" i="14"/>
  <c r="C939" i="14"/>
  <c r="D939" i="14"/>
  <c r="E939" i="14"/>
  <c r="F939" i="14"/>
  <c r="G939" i="14"/>
  <c r="H939" i="14"/>
  <c r="A940" i="14"/>
  <c r="B940" i="14"/>
  <c r="C940" i="14"/>
  <c r="D940" i="14"/>
  <c r="E940" i="14"/>
  <c r="F940" i="14"/>
  <c r="G940" i="14"/>
  <c r="H940" i="14"/>
  <c r="A941" i="14"/>
  <c r="B941" i="14"/>
  <c r="C941" i="14"/>
  <c r="D941" i="14"/>
  <c r="E941" i="14"/>
  <c r="F941" i="14"/>
  <c r="G941" i="14"/>
  <c r="H941" i="14"/>
  <c r="A942" i="14"/>
  <c r="B942" i="14"/>
  <c r="C942" i="14"/>
  <c r="D942" i="14"/>
  <c r="E942" i="14"/>
  <c r="F942" i="14"/>
  <c r="G942" i="14"/>
  <c r="H942" i="14"/>
  <c r="A943" i="14"/>
  <c r="B943" i="14"/>
  <c r="C943" i="14"/>
  <c r="D943" i="14"/>
  <c r="E943" i="14"/>
  <c r="F943" i="14"/>
  <c r="G943" i="14"/>
  <c r="H943" i="14"/>
  <c r="A944" i="14"/>
  <c r="B944" i="14"/>
  <c r="C944" i="14"/>
  <c r="D944" i="14"/>
  <c r="E944" i="14"/>
  <c r="F944" i="14"/>
  <c r="G944" i="14"/>
  <c r="H944" i="14"/>
  <c r="A945" i="14"/>
  <c r="B945" i="14"/>
  <c r="C945" i="14"/>
  <c r="D945" i="14"/>
  <c r="E945" i="14"/>
  <c r="F945" i="14"/>
  <c r="G945" i="14"/>
  <c r="H945" i="14"/>
  <c r="A946" i="14"/>
  <c r="B946" i="14"/>
  <c r="C946" i="14"/>
  <c r="D946" i="14"/>
  <c r="E946" i="14"/>
  <c r="F946" i="14"/>
  <c r="G946" i="14"/>
  <c r="H946" i="14"/>
  <c r="A947" i="14"/>
  <c r="B947" i="14"/>
  <c r="C947" i="14"/>
  <c r="D947" i="14"/>
  <c r="E947" i="14"/>
  <c r="F947" i="14"/>
  <c r="G947" i="14"/>
  <c r="H947" i="14"/>
  <c r="A948" i="14"/>
  <c r="B948" i="14"/>
  <c r="C948" i="14"/>
  <c r="D948" i="14"/>
  <c r="E948" i="14"/>
  <c r="F948" i="14"/>
  <c r="G948" i="14"/>
  <c r="H948" i="14"/>
  <c r="A949" i="14"/>
  <c r="B949" i="14"/>
  <c r="C949" i="14"/>
  <c r="D949" i="14"/>
  <c r="E949" i="14"/>
  <c r="F949" i="14"/>
  <c r="G949" i="14"/>
  <c r="H949" i="14"/>
  <c r="A950" i="14"/>
  <c r="B950" i="14"/>
  <c r="C950" i="14"/>
  <c r="D950" i="14"/>
  <c r="E950" i="14"/>
  <c r="F950" i="14"/>
  <c r="G950" i="14"/>
  <c r="H950" i="14"/>
  <c r="A951" i="14"/>
  <c r="B951" i="14"/>
  <c r="C951" i="14"/>
  <c r="D951" i="14"/>
  <c r="E951" i="14"/>
  <c r="F951" i="14"/>
  <c r="G951" i="14"/>
  <c r="H951" i="14"/>
  <c r="A952" i="14"/>
  <c r="B952" i="14"/>
  <c r="C952" i="14"/>
  <c r="D952" i="14"/>
  <c r="E952" i="14"/>
  <c r="F952" i="14"/>
  <c r="G952" i="14"/>
  <c r="H952" i="14"/>
  <c r="A953" i="14"/>
  <c r="B953" i="14"/>
  <c r="C953" i="14"/>
  <c r="D953" i="14"/>
  <c r="E953" i="14"/>
  <c r="F953" i="14"/>
  <c r="G953" i="14"/>
  <c r="H953" i="14"/>
  <c r="A954" i="14"/>
  <c r="B954" i="14"/>
  <c r="C954" i="14"/>
  <c r="D954" i="14"/>
  <c r="E954" i="14"/>
  <c r="F954" i="14"/>
  <c r="G954" i="14"/>
  <c r="H954" i="14"/>
  <c r="A955" i="14"/>
  <c r="B955" i="14"/>
  <c r="C955" i="14"/>
  <c r="D955" i="14"/>
  <c r="E955" i="14"/>
  <c r="F955" i="14"/>
  <c r="G955" i="14"/>
  <c r="H955" i="14"/>
  <c r="A956" i="14"/>
  <c r="B956" i="14"/>
  <c r="C956" i="14"/>
  <c r="D956" i="14"/>
  <c r="E956" i="14"/>
  <c r="F956" i="14"/>
  <c r="G956" i="14"/>
  <c r="H956" i="14"/>
  <c r="A957" i="14"/>
  <c r="B957" i="14"/>
  <c r="C957" i="14"/>
  <c r="D957" i="14"/>
  <c r="E957" i="14"/>
  <c r="F957" i="14"/>
  <c r="G957" i="14"/>
  <c r="H957" i="14"/>
  <c r="A958" i="14"/>
  <c r="B958" i="14"/>
  <c r="C958" i="14"/>
  <c r="D958" i="14"/>
  <c r="E958" i="14"/>
  <c r="F958" i="14"/>
  <c r="G958" i="14"/>
  <c r="H958" i="14"/>
  <c r="A959" i="14"/>
  <c r="B959" i="14"/>
  <c r="C959" i="14"/>
  <c r="D959" i="14"/>
  <c r="E959" i="14"/>
  <c r="F959" i="14"/>
  <c r="G959" i="14"/>
  <c r="H959" i="14"/>
  <c r="A960" i="14"/>
  <c r="B960" i="14"/>
  <c r="C960" i="14"/>
  <c r="D960" i="14"/>
  <c r="E960" i="14"/>
  <c r="F960" i="14"/>
  <c r="G960" i="14"/>
  <c r="H960" i="14"/>
  <c r="A961" i="14"/>
  <c r="B961" i="14"/>
  <c r="C961" i="14"/>
  <c r="D961" i="14"/>
  <c r="E961" i="14"/>
  <c r="F961" i="14"/>
  <c r="G961" i="14"/>
  <c r="H961" i="14"/>
  <c r="A962" i="14"/>
  <c r="B962" i="14"/>
  <c r="C962" i="14"/>
  <c r="D962" i="14"/>
  <c r="E962" i="14"/>
  <c r="F962" i="14"/>
  <c r="G962" i="14"/>
  <c r="H962" i="14"/>
  <c r="A963" i="14"/>
  <c r="B963" i="14"/>
  <c r="C963" i="14"/>
  <c r="D963" i="14"/>
  <c r="E963" i="14"/>
  <c r="F963" i="14"/>
  <c r="G963" i="14"/>
  <c r="H963" i="14"/>
  <c r="A964" i="14"/>
  <c r="B964" i="14"/>
  <c r="C964" i="14"/>
  <c r="D964" i="14"/>
  <c r="E964" i="14"/>
  <c r="F964" i="14"/>
  <c r="G964" i="14"/>
  <c r="H964" i="14"/>
  <c r="A965" i="14"/>
  <c r="B965" i="14"/>
  <c r="C965" i="14"/>
  <c r="D965" i="14"/>
  <c r="E965" i="14"/>
  <c r="F965" i="14"/>
  <c r="G965" i="14"/>
  <c r="H965" i="14"/>
  <c r="A966" i="14"/>
  <c r="B966" i="14"/>
  <c r="C966" i="14"/>
  <c r="D966" i="14"/>
  <c r="E966" i="14"/>
  <c r="F966" i="14"/>
  <c r="G966" i="14"/>
  <c r="H966" i="14"/>
  <c r="A967" i="14"/>
  <c r="B967" i="14"/>
  <c r="C967" i="14"/>
  <c r="D967" i="14"/>
  <c r="E967" i="14"/>
  <c r="F967" i="14"/>
  <c r="G967" i="14"/>
  <c r="H967" i="14"/>
  <c r="A968" i="14"/>
  <c r="B968" i="14"/>
  <c r="C968" i="14"/>
  <c r="D968" i="14"/>
  <c r="E968" i="14"/>
  <c r="F968" i="14"/>
  <c r="G968" i="14"/>
  <c r="H968" i="14"/>
  <c r="A969" i="14"/>
  <c r="B969" i="14"/>
  <c r="C969" i="14"/>
  <c r="D969" i="14"/>
  <c r="E969" i="14"/>
  <c r="F969" i="14"/>
  <c r="G969" i="14"/>
  <c r="H969" i="14"/>
  <c r="A970" i="14"/>
  <c r="B970" i="14"/>
  <c r="C970" i="14"/>
  <c r="D970" i="14"/>
  <c r="E970" i="14"/>
  <c r="F970" i="14"/>
  <c r="G970" i="14"/>
  <c r="H970" i="14"/>
  <c r="A971" i="14"/>
  <c r="B971" i="14"/>
  <c r="C971" i="14"/>
  <c r="D971" i="14"/>
  <c r="E971" i="14"/>
  <c r="F971" i="14"/>
  <c r="G971" i="14"/>
  <c r="H971" i="14"/>
  <c r="A972" i="14"/>
  <c r="B972" i="14"/>
  <c r="C972" i="14"/>
  <c r="D972" i="14"/>
  <c r="E972" i="14"/>
  <c r="F972" i="14"/>
  <c r="G972" i="14"/>
  <c r="H972" i="14"/>
  <c r="A973" i="14"/>
  <c r="B973" i="14"/>
  <c r="C973" i="14"/>
  <c r="D973" i="14"/>
  <c r="E973" i="14"/>
  <c r="F973" i="14"/>
  <c r="G973" i="14"/>
  <c r="H973" i="14"/>
  <c r="A974" i="14"/>
  <c r="B974" i="14"/>
  <c r="C974" i="14"/>
  <c r="D974" i="14"/>
  <c r="E974" i="14"/>
  <c r="F974" i="14"/>
  <c r="G974" i="14"/>
  <c r="H974" i="14"/>
  <c r="A975" i="14"/>
  <c r="B975" i="14"/>
  <c r="C975" i="14"/>
  <c r="D975" i="14"/>
  <c r="E975" i="14"/>
  <c r="F975" i="14"/>
  <c r="G975" i="14"/>
  <c r="H975" i="14"/>
  <c r="A976" i="14"/>
  <c r="B976" i="14"/>
  <c r="C976" i="14"/>
  <c r="D976" i="14"/>
  <c r="E976" i="14"/>
  <c r="F976" i="14"/>
  <c r="G976" i="14"/>
  <c r="H976" i="14"/>
  <c r="A977" i="14"/>
  <c r="B977" i="14"/>
  <c r="C977" i="14"/>
  <c r="D977" i="14"/>
  <c r="E977" i="14"/>
  <c r="F977" i="14"/>
  <c r="G977" i="14"/>
  <c r="H977" i="14"/>
  <c r="A978" i="14"/>
  <c r="B978" i="14"/>
  <c r="C978" i="14"/>
  <c r="D978" i="14"/>
  <c r="E978" i="14"/>
  <c r="F978" i="14"/>
  <c r="G978" i="14"/>
  <c r="H978" i="14"/>
  <c r="A979" i="14"/>
  <c r="B979" i="14"/>
  <c r="C979" i="14"/>
  <c r="D979" i="14"/>
  <c r="E979" i="14"/>
  <c r="F979" i="14"/>
  <c r="G979" i="14"/>
  <c r="H979" i="14"/>
  <c r="A980" i="14"/>
  <c r="B980" i="14"/>
  <c r="C980" i="14"/>
  <c r="D980" i="14"/>
  <c r="E980" i="14"/>
  <c r="F980" i="14"/>
  <c r="G980" i="14"/>
  <c r="H980" i="14"/>
  <c r="A981" i="14"/>
  <c r="B981" i="14"/>
  <c r="C981" i="14"/>
  <c r="D981" i="14"/>
  <c r="E981" i="14"/>
  <c r="F981" i="14"/>
  <c r="G981" i="14"/>
  <c r="H981" i="14"/>
  <c r="A982" i="14"/>
  <c r="B982" i="14"/>
  <c r="C982" i="14"/>
  <c r="D982" i="14"/>
  <c r="E982" i="14"/>
  <c r="F982" i="14"/>
  <c r="G982" i="14"/>
  <c r="H982" i="14"/>
  <c r="A983" i="14"/>
  <c r="B983" i="14"/>
  <c r="C983" i="14"/>
  <c r="D983" i="14"/>
  <c r="E983" i="14"/>
  <c r="F983" i="14"/>
  <c r="G983" i="14"/>
  <c r="H983" i="14"/>
  <c r="A984" i="14"/>
  <c r="B984" i="14"/>
  <c r="C984" i="14"/>
  <c r="D984" i="14"/>
  <c r="E984" i="14"/>
  <c r="F984" i="14"/>
  <c r="G984" i="14"/>
  <c r="H984" i="14"/>
  <c r="A985" i="14"/>
  <c r="B985" i="14"/>
  <c r="C985" i="14"/>
  <c r="D985" i="14"/>
  <c r="E985" i="14"/>
  <c r="F985" i="14"/>
  <c r="G985" i="14"/>
  <c r="H985" i="14"/>
  <c r="A986" i="14"/>
  <c r="B986" i="14"/>
  <c r="C986" i="14"/>
  <c r="D986" i="14"/>
  <c r="E986" i="14"/>
  <c r="F986" i="14"/>
  <c r="G986" i="14"/>
  <c r="H986" i="14"/>
  <c r="A987" i="14"/>
  <c r="B987" i="14"/>
  <c r="C987" i="14"/>
  <c r="D987" i="14"/>
  <c r="E987" i="14"/>
  <c r="F987" i="14"/>
  <c r="G987" i="14"/>
  <c r="H987" i="14"/>
  <c r="A988" i="14"/>
  <c r="B988" i="14"/>
  <c r="C988" i="14"/>
  <c r="D988" i="14"/>
  <c r="E988" i="14"/>
  <c r="F988" i="14"/>
  <c r="G988" i="14"/>
  <c r="H988" i="14"/>
  <c r="A989" i="14"/>
  <c r="B989" i="14"/>
  <c r="C989" i="14"/>
  <c r="D989" i="14"/>
  <c r="E989" i="14"/>
  <c r="F989" i="14"/>
  <c r="G989" i="14"/>
  <c r="H989" i="14"/>
  <c r="A990" i="14"/>
  <c r="B990" i="14"/>
  <c r="C990" i="14"/>
  <c r="D990" i="14"/>
  <c r="E990" i="14"/>
  <c r="F990" i="14"/>
  <c r="G990" i="14"/>
  <c r="H990" i="14"/>
  <c r="A991" i="14"/>
  <c r="B991" i="14"/>
  <c r="C991" i="14"/>
  <c r="D991" i="14"/>
  <c r="E991" i="14"/>
  <c r="F991" i="14"/>
  <c r="G991" i="14"/>
  <c r="H991" i="14"/>
  <c r="A992" i="14"/>
  <c r="B992" i="14"/>
  <c r="C992" i="14"/>
  <c r="D992" i="14"/>
  <c r="E992" i="14"/>
  <c r="F992" i="14"/>
  <c r="G992" i="14"/>
  <c r="H992" i="14"/>
  <c r="A993" i="14"/>
  <c r="B993" i="14"/>
  <c r="C993" i="14"/>
  <c r="D993" i="14"/>
  <c r="E993" i="14"/>
  <c r="F993" i="14"/>
  <c r="G993" i="14"/>
  <c r="H993" i="14"/>
  <c r="A994" i="14"/>
  <c r="B994" i="14"/>
  <c r="C994" i="14"/>
  <c r="D994" i="14"/>
  <c r="E994" i="14"/>
  <c r="F994" i="14"/>
  <c r="G994" i="14"/>
  <c r="H994" i="14"/>
  <c r="A995" i="14"/>
  <c r="B995" i="14"/>
  <c r="C995" i="14"/>
  <c r="D995" i="14"/>
  <c r="E995" i="14"/>
  <c r="F995" i="14"/>
  <c r="G995" i="14"/>
  <c r="H995" i="14"/>
  <c r="A996" i="14"/>
  <c r="B996" i="14"/>
  <c r="C996" i="14"/>
  <c r="D996" i="14"/>
  <c r="E996" i="14"/>
  <c r="F996" i="14"/>
  <c r="G996" i="14"/>
  <c r="H996" i="14"/>
  <c r="A997" i="14"/>
  <c r="B997" i="14"/>
  <c r="C997" i="14"/>
  <c r="D997" i="14"/>
  <c r="E997" i="14"/>
  <c r="F997" i="14"/>
  <c r="G997" i="14"/>
  <c r="H997" i="14"/>
  <c r="A998" i="14"/>
  <c r="B998" i="14"/>
  <c r="C998" i="14"/>
  <c r="D998" i="14"/>
  <c r="E998" i="14"/>
  <c r="F998" i="14"/>
  <c r="G998" i="14"/>
  <c r="H998" i="14"/>
  <c r="A999" i="14"/>
  <c r="B999" i="14"/>
  <c r="C999" i="14"/>
  <c r="D999" i="14"/>
  <c r="E999" i="14"/>
  <c r="F999" i="14"/>
  <c r="G999" i="14"/>
  <c r="H999" i="14"/>
  <c r="A1000" i="14"/>
  <c r="B1000" i="14"/>
  <c r="C1000" i="14"/>
  <c r="D1000" i="14"/>
  <c r="E1000" i="14"/>
  <c r="F1000" i="14"/>
  <c r="G1000" i="14"/>
  <c r="H1000" i="14"/>
  <c r="A1001" i="14"/>
  <c r="B1001" i="14"/>
  <c r="C1001" i="14"/>
  <c r="D1001" i="14"/>
  <c r="E1001" i="14"/>
  <c r="F1001" i="14"/>
  <c r="G1001" i="14"/>
  <c r="H1001" i="14"/>
  <c r="A1002" i="14"/>
  <c r="B1002" i="14"/>
  <c r="C1002" i="14"/>
  <c r="D1002" i="14"/>
  <c r="E1002" i="14"/>
  <c r="F1002" i="14"/>
  <c r="G1002" i="14"/>
  <c r="H1002" i="14"/>
  <c r="A1003" i="14"/>
  <c r="B1003" i="14"/>
  <c r="C1003" i="14"/>
  <c r="D1003" i="14"/>
  <c r="E1003" i="14"/>
  <c r="F1003" i="14"/>
  <c r="G1003" i="14"/>
  <c r="H1003" i="14"/>
  <c r="A1004" i="14"/>
  <c r="B1004" i="14"/>
  <c r="C1004" i="14"/>
  <c r="D1004" i="14"/>
  <c r="E1004" i="14"/>
  <c r="F1004" i="14"/>
  <c r="G1004" i="14"/>
  <c r="H1004" i="14"/>
  <c r="A1005" i="14"/>
  <c r="B1005" i="14"/>
  <c r="C1005" i="14"/>
  <c r="D1005" i="14"/>
  <c r="E1005" i="14"/>
  <c r="F1005" i="14"/>
  <c r="G1005" i="14"/>
  <c r="H1005" i="14"/>
  <c r="A1006" i="14"/>
  <c r="B1006" i="14"/>
  <c r="C1006" i="14"/>
  <c r="D1006" i="14"/>
  <c r="E1006" i="14"/>
  <c r="F1006" i="14"/>
  <c r="G1006" i="14"/>
  <c r="H1006" i="14"/>
  <c r="A1007" i="14"/>
  <c r="B1007" i="14"/>
  <c r="C1007" i="14"/>
  <c r="D1007" i="14"/>
  <c r="E1007" i="14"/>
  <c r="F1007" i="14"/>
  <c r="G1007" i="14"/>
  <c r="H1007" i="14"/>
  <c r="A1008" i="14"/>
  <c r="B1008" i="14"/>
  <c r="C1008" i="14"/>
  <c r="D1008" i="14"/>
  <c r="E1008" i="14"/>
  <c r="F1008" i="14"/>
  <c r="G1008" i="14"/>
  <c r="H1008" i="14"/>
  <c r="A1009" i="14"/>
  <c r="B1009" i="14"/>
  <c r="C1009" i="14"/>
  <c r="D1009" i="14"/>
  <c r="E1009" i="14"/>
  <c r="F1009" i="14"/>
  <c r="G1009" i="14"/>
  <c r="H1009" i="14"/>
  <c r="A1010" i="14"/>
  <c r="B1010" i="14"/>
  <c r="C1010" i="14"/>
  <c r="D1010" i="14"/>
  <c r="E1010" i="14"/>
  <c r="F1010" i="14"/>
  <c r="G1010" i="14"/>
  <c r="H1010" i="14"/>
  <c r="A1011" i="14"/>
  <c r="B1011" i="14"/>
  <c r="C1011" i="14"/>
  <c r="D1011" i="14"/>
  <c r="E1011" i="14"/>
  <c r="F1011" i="14"/>
  <c r="G1011" i="14"/>
  <c r="H1011" i="14"/>
  <c r="A1012" i="14"/>
  <c r="B1012" i="14"/>
  <c r="C1012" i="14"/>
  <c r="D1012" i="14"/>
  <c r="E1012" i="14"/>
  <c r="F1012" i="14"/>
  <c r="G1012" i="14"/>
  <c r="H1012" i="14"/>
  <c r="A1013" i="14"/>
  <c r="B1013" i="14"/>
  <c r="C1013" i="14"/>
  <c r="D1013" i="14"/>
  <c r="E1013" i="14"/>
  <c r="F1013" i="14"/>
  <c r="G1013" i="14"/>
  <c r="H1013" i="14"/>
  <c r="A1014" i="14"/>
  <c r="B1014" i="14"/>
  <c r="C1014" i="14"/>
  <c r="D1014" i="14"/>
  <c r="E1014" i="14"/>
  <c r="F1014" i="14"/>
  <c r="G1014" i="14"/>
  <c r="H1014" i="14"/>
  <c r="A1015" i="14"/>
  <c r="B1015" i="14"/>
  <c r="C1015" i="14"/>
  <c r="D1015" i="14"/>
  <c r="E1015" i="14"/>
  <c r="F1015" i="14"/>
  <c r="G1015" i="14"/>
  <c r="H1015" i="14"/>
  <c r="A1016" i="14"/>
  <c r="B1016" i="14"/>
  <c r="C1016" i="14"/>
  <c r="D1016" i="14"/>
  <c r="E1016" i="14"/>
  <c r="F1016" i="14"/>
  <c r="G1016" i="14"/>
  <c r="H1016" i="14"/>
  <c r="A1017" i="14"/>
  <c r="B1017" i="14"/>
  <c r="C1017" i="14"/>
  <c r="D1017" i="14"/>
  <c r="E1017" i="14"/>
  <c r="F1017" i="14"/>
  <c r="G1017" i="14"/>
  <c r="H1017" i="14"/>
  <c r="A1018" i="14"/>
  <c r="B1018" i="14"/>
  <c r="C1018" i="14"/>
  <c r="D1018" i="14"/>
  <c r="E1018" i="14"/>
  <c r="F1018" i="14"/>
  <c r="G1018" i="14"/>
  <c r="H1018" i="14"/>
  <c r="A1019" i="14"/>
  <c r="B1019" i="14"/>
  <c r="C1019" i="14"/>
  <c r="D1019" i="14"/>
  <c r="E1019" i="14"/>
  <c r="F1019" i="14"/>
  <c r="G1019" i="14"/>
  <c r="H1019" i="14"/>
  <c r="A1020" i="14"/>
  <c r="B1020" i="14"/>
  <c r="C1020" i="14"/>
  <c r="D1020" i="14"/>
  <c r="E1020" i="14"/>
  <c r="F1020" i="14"/>
  <c r="G1020" i="14"/>
  <c r="H1020" i="14"/>
  <c r="A1021" i="14"/>
  <c r="B1021" i="14"/>
  <c r="C1021" i="14"/>
  <c r="D1021" i="14"/>
  <c r="E1021" i="14"/>
  <c r="F1021" i="14"/>
  <c r="G1021" i="14"/>
  <c r="H1021" i="14"/>
  <c r="A1022" i="14"/>
  <c r="B1022" i="14"/>
  <c r="C1022" i="14"/>
  <c r="D1022" i="14"/>
  <c r="E1022" i="14"/>
  <c r="F1022" i="14"/>
  <c r="G1022" i="14"/>
  <c r="H1022" i="14"/>
  <c r="A1023" i="14"/>
  <c r="B1023" i="14"/>
  <c r="C1023" i="14"/>
  <c r="D1023" i="14"/>
  <c r="E1023" i="14"/>
  <c r="F1023" i="14"/>
  <c r="G1023" i="14"/>
  <c r="H1023" i="14"/>
  <c r="A1024" i="14"/>
  <c r="B1024" i="14"/>
  <c r="C1024" i="14"/>
  <c r="D1024" i="14"/>
  <c r="E1024" i="14"/>
  <c r="F1024" i="14"/>
  <c r="G1024" i="14"/>
  <c r="H1024" i="14"/>
  <c r="A1025" i="14"/>
  <c r="B1025" i="14"/>
  <c r="C1025" i="14"/>
  <c r="D1025" i="14"/>
  <c r="E1025" i="14"/>
  <c r="F1025" i="14"/>
  <c r="G1025" i="14"/>
  <c r="H1025" i="14"/>
  <c r="A1026" i="14"/>
  <c r="B1026" i="14"/>
  <c r="C1026" i="14"/>
  <c r="D1026" i="14"/>
  <c r="E1026" i="14"/>
  <c r="F1026" i="14"/>
  <c r="G1026" i="14"/>
  <c r="H1026" i="14"/>
  <c r="A1027" i="14"/>
  <c r="B1027" i="14"/>
  <c r="C1027" i="14"/>
  <c r="D1027" i="14"/>
  <c r="E1027" i="14"/>
  <c r="F1027" i="14"/>
  <c r="G1027" i="14"/>
  <c r="H1027" i="14"/>
  <c r="A1028" i="14"/>
  <c r="B1028" i="14"/>
  <c r="C1028" i="14"/>
  <c r="D1028" i="14"/>
  <c r="E1028" i="14"/>
  <c r="F1028" i="14"/>
  <c r="G1028" i="14"/>
  <c r="H1028" i="14"/>
  <c r="A1029" i="14"/>
  <c r="B1029" i="14"/>
  <c r="C1029" i="14"/>
  <c r="D1029" i="14"/>
  <c r="E1029" i="14"/>
  <c r="F1029" i="14"/>
  <c r="G1029" i="14"/>
  <c r="H1029" i="14"/>
  <c r="A1030" i="14"/>
  <c r="B1030" i="14"/>
  <c r="C1030" i="14"/>
  <c r="D1030" i="14"/>
  <c r="E1030" i="14"/>
  <c r="F1030" i="14"/>
  <c r="G1030" i="14"/>
  <c r="H1030" i="14"/>
  <c r="A1031" i="14"/>
  <c r="B1031" i="14"/>
  <c r="C1031" i="14"/>
  <c r="D1031" i="14"/>
  <c r="E1031" i="14"/>
  <c r="F1031" i="14"/>
  <c r="G1031" i="14"/>
  <c r="H1031" i="14"/>
  <c r="A1032" i="14"/>
  <c r="B1032" i="14"/>
  <c r="C1032" i="14"/>
  <c r="D1032" i="14"/>
  <c r="E1032" i="14"/>
  <c r="F1032" i="14"/>
  <c r="G1032" i="14"/>
  <c r="H1032" i="14"/>
  <c r="A1033" i="14"/>
  <c r="B1033" i="14"/>
  <c r="C1033" i="14"/>
  <c r="D1033" i="14"/>
  <c r="E1033" i="14"/>
  <c r="F1033" i="14"/>
  <c r="G1033" i="14"/>
  <c r="H1033" i="14"/>
  <c r="A1034" i="14"/>
  <c r="B1034" i="14"/>
  <c r="C1034" i="14"/>
  <c r="D1034" i="14"/>
  <c r="E1034" i="14"/>
  <c r="F1034" i="14"/>
  <c r="G1034" i="14"/>
  <c r="H1034" i="14"/>
  <c r="A1035" i="14"/>
  <c r="B1035" i="14"/>
  <c r="C1035" i="14"/>
  <c r="D1035" i="14"/>
  <c r="E1035" i="14"/>
  <c r="F1035" i="14"/>
  <c r="G1035" i="14"/>
  <c r="H1035" i="14"/>
  <c r="A1036" i="14"/>
  <c r="B1036" i="14"/>
  <c r="C1036" i="14"/>
  <c r="D1036" i="14"/>
  <c r="E1036" i="14"/>
  <c r="F1036" i="14"/>
  <c r="G1036" i="14"/>
  <c r="H1036" i="14"/>
  <c r="A1037" i="14"/>
  <c r="B1037" i="14"/>
  <c r="C1037" i="14"/>
  <c r="D1037" i="14"/>
  <c r="E1037" i="14"/>
  <c r="F1037" i="14"/>
  <c r="G1037" i="14"/>
  <c r="H1037" i="14"/>
  <c r="A1038" i="14"/>
  <c r="B1038" i="14"/>
  <c r="C1038" i="14"/>
  <c r="D1038" i="14"/>
  <c r="E1038" i="14"/>
  <c r="F1038" i="14"/>
  <c r="G1038" i="14"/>
  <c r="H1038" i="14"/>
  <c r="A1039" i="14"/>
  <c r="B1039" i="14"/>
  <c r="C1039" i="14"/>
  <c r="D1039" i="14"/>
  <c r="E1039" i="14"/>
  <c r="F1039" i="14"/>
  <c r="G1039" i="14"/>
  <c r="H1039" i="14"/>
  <c r="A1040" i="14"/>
  <c r="B1040" i="14"/>
  <c r="C1040" i="14"/>
  <c r="D1040" i="14"/>
  <c r="E1040" i="14"/>
  <c r="F1040" i="14"/>
  <c r="G1040" i="14"/>
  <c r="H1040" i="14"/>
  <c r="A1041" i="14"/>
  <c r="B1041" i="14"/>
  <c r="C1041" i="14"/>
  <c r="D1041" i="14"/>
  <c r="E1041" i="14"/>
  <c r="F1041" i="14"/>
  <c r="G1041" i="14"/>
  <c r="H1041" i="14"/>
  <c r="A1042" i="14"/>
  <c r="B1042" i="14"/>
  <c r="C1042" i="14"/>
  <c r="D1042" i="14"/>
  <c r="E1042" i="14"/>
  <c r="F1042" i="14"/>
  <c r="G1042" i="14"/>
  <c r="H1042" i="14"/>
  <c r="A1043" i="14"/>
  <c r="B1043" i="14"/>
  <c r="C1043" i="14"/>
  <c r="D1043" i="14"/>
  <c r="E1043" i="14"/>
  <c r="F1043" i="14"/>
  <c r="G1043" i="14"/>
  <c r="H1043" i="14"/>
  <c r="A1044" i="14"/>
  <c r="B1044" i="14"/>
  <c r="C1044" i="14"/>
  <c r="D1044" i="14"/>
  <c r="E1044" i="14"/>
  <c r="F1044" i="14"/>
  <c r="G1044" i="14"/>
  <c r="H1044" i="14"/>
  <c r="A1045" i="14"/>
  <c r="B1045" i="14"/>
  <c r="C1045" i="14"/>
  <c r="D1045" i="14"/>
  <c r="E1045" i="14"/>
  <c r="F1045" i="14"/>
  <c r="G1045" i="14"/>
  <c r="H1045" i="14"/>
  <c r="A1046" i="14"/>
  <c r="B1046" i="14"/>
  <c r="C1046" i="14"/>
  <c r="D1046" i="14"/>
  <c r="E1046" i="14"/>
  <c r="F1046" i="14"/>
  <c r="G1046" i="14"/>
  <c r="H1046" i="14"/>
  <c r="A1047" i="14"/>
  <c r="B1047" i="14"/>
  <c r="C1047" i="14"/>
  <c r="D1047" i="14"/>
  <c r="E1047" i="14"/>
  <c r="F1047" i="14"/>
  <c r="G1047" i="14"/>
  <c r="H1047" i="14"/>
  <c r="A1048" i="14"/>
  <c r="B1048" i="14"/>
  <c r="C1048" i="14"/>
  <c r="D1048" i="14"/>
  <c r="E1048" i="14"/>
  <c r="F1048" i="14"/>
  <c r="G1048" i="14"/>
  <c r="H1048" i="14"/>
  <c r="A1049" i="14"/>
  <c r="B1049" i="14"/>
  <c r="C1049" i="14"/>
  <c r="D1049" i="14"/>
  <c r="E1049" i="14"/>
  <c r="F1049" i="14"/>
  <c r="G1049" i="14"/>
  <c r="H1049" i="14"/>
  <c r="A1050" i="14"/>
  <c r="B1050" i="14"/>
  <c r="C1050" i="14"/>
  <c r="D1050" i="14"/>
  <c r="E1050" i="14"/>
  <c r="F1050" i="14"/>
  <c r="G1050" i="14"/>
  <c r="H1050" i="14"/>
  <c r="A1051" i="14"/>
  <c r="B1051" i="14"/>
  <c r="C1051" i="14"/>
  <c r="D1051" i="14"/>
  <c r="E1051" i="14"/>
  <c r="F1051" i="14"/>
  <c r="G1051" i="14"/>
  <c r="H1051" i="14"/>
  <c r="A1052" i="14"/>
  <c r="B1052" i="14"/>
  <c r="C1052" i="14"/>
  <c r="D1052" i="14"/>
  <c r="E1052" i="14"/>
  <c r="F1052" i="14"/>
  <c r="G1052" i="14"/>
  <c r="H1052" i="14"/>
  <c r="A1053" i="14"/>
  <c r="B1053" i="14"/>
  <c r="C1053" i="14"/>
  <c r="D1053" i="14"/>
  <c r="E1053" i="14"/>
  <c r="F1053" i="14"/>
  <c r="G1053" i="14"/>
  <c r="H1053" i="14"/>
  <c r="A1054" i="14"/>
  <c r="B1054" i="14"/>
  <c r="C1054" i="14"/>
  <c r="D1054" i="14"/>
  <c r="E1054" i="14"/>
  <c r="F1054" i="14"/>
  <c r="G1054" i="14"/>
  <c r="H1054" i="14"/>
  <c r="A1055" i="14"/>
  <c r="B1055" i="14"/>
  <c r="C1055" i="14"/>
  <c r="D1055" i="14"/>
  <c r="E1055" i="14"/>
  <c r="F1055" i="14"/>
  <c r="G1055" i="14"/>
  <c r="H1055" i="14"/>
  <c r="A1056" i="14"/>
  <c r="B1056" i="14"/>
  <c r="C1056" i="14"/>
  <c r="D1056" i="14"/>
  <c r="E1056" i="14"/>
  <c r="F1056" i="14"/>
  <c r="G1056" i="14"/>
  <c r="H1056" i="14"/>
  <c r="A1057" i="14"/>
  <c r="B1057" i="14"/>
  <c r="C1057" i="14"/>
  <c r="D1057" i="14"/>
  <c r="E1057" i="14"/>
  <c r="F1057" i="14"/>
  <c r="G1057" i="14"/>
  <c r="H1057" i="14"/>
  <c r="A1058" i="14"/>
  <c r="B1058" i="14"/>
  <c r="C1058" i="14"/>
  <c r="D1058" i="14"/>
  <c r="E1058" i="14"/>
  <c r="F1058" i="14"/>
  <c r="G1058" i="14"/>
  <c r="H1058" i="14"/>
  <c r="A1059" i="14"/>
  <c r="B1059" i="14"/>
  <c r="C1059" i="14"/>
  <c r="D1059" i="14"/>
  <c r="E1059" i="14"/>
  <c r="F1059" i="14"/>
  <c r="G1059" i="14"/>
  <c r="H1059" i="14"/>
  <c r="A1060" i="14"/>
  <c r="B1060" i="14"/>
  <c r="C1060" i="14"/>
  <c r="D1060" i="14"/>
  <c r="E1060" i="14"/>
  <c r="F1060" i="14"/>
  <c r="G1060" i="14"/>
  <c r="H1060" i="14"/>
  <c r="A1061" i="14"/>
  <c r="B1061" i="14"/>
  <c r="C1061" i="14"/>
  <c r="D1061" i="14"/>
  <c r="E1061" i="14"/>
  <c r="F1061" i="14"/>
  <c r="G1061" i="14"/>
  <c r="H1061" i="14"/>
  <c r="A1062" i="14"/>
  <c r="B1062" i="14"/>
  <c r="C1062" i="14"/>
  <c r="D1062" i="14"/>
  <c r="E1062" i="14"/>
  <c r="F1062" i="14"/>
  <c r="G1062" i="14"/>
  <c r="H1062" i="14"/>
  <c r="A1063" i="14"/>
  <c r="B1063" i="14"/>
  <c r="C1063" i="14"/>
  <c r="D1063" i="14"/>
  <c r="E1063" i="14"/>
  <c r="F1063" i="14"/>
  <c r="G1063" i="14"/>
  <c r="H1063" i="14"/>
  <c r="A1064" i="14"/>
  <c r="B1064" i="14"/>
  <c r="C1064" i="14"/>
  <c r="D1064" i="14"/>
  <c r="E1064" i="14"/>
  <c r="F1064" i="14"/>
  <c r="G1064" i="14"/>
  <c r="H1064" i="14"/>
  <c r="A1065" i="14"/>
  <c r="B1065" i="14"/>
  <c r="C1065" i="14"/>
  <c r="D1065" i="14"/>
  <c r="E1065" i="14"/>
  <c r="F1065" i="14"/>
  <c r="G1065" i="14"/>
  <c r="H1065" i="14"/>
  <c r="A1066" i="14"/>
  <c r="B1066" i="14"/>
  <c r="C1066" i="14"/>
  <c r="D1066" i="14"/>
  <c r="E1066" i="14"/>
  <c r="F1066" i="14"/>
  <c r="G1066" i="14"/>
  <c r="H1066" i="14"/>
  <c r="A1067" i="14"/>
  <c r="B1067" i="14"/>
  <c r="C1067" i="14"/>
  <c r="D1067" i="14"/>
  <c r="E1067" i="14"/>
  <c r="F1067" i="14"/>
  <c r="G1067" i="14"/>
  <c r="H1067" i="14"/>
  <c r="A1068" i="14"/>
  <c r="B1068" i="14"/>
  <c r="C1068" i="14"/>
  <c r="D1068" i="14"/>
  <c r="E1068" i="14"/>
  <c r="F1068" i="14"/>
  <c r="G1068" i="14"/>
  <c r="H1068" i="14"/>
  <c r="A1069" i="14"/>
  <c r="B1069" i="14"/>
  <c r="C1069" i="14"/>
  <c r="D1069" i="14"/>
  <c r="E1069" i="14"/>
  <c r="F1069" i="14"/>
  <c r="G1069" i="14"/>
  <c r="H1069" i="14"/>
  <c r="A1070" i="14"/>
  <c r="B1070" i="14"/>
  <c r="C1070" i="14"/>
  <c r="D1070" i="14"/>
  <c r="E1070" i="14"/>
  <c r="F1070" i="14"/>
  <c r="G1070" i="14"/>
  <c r="H1070" i="14"/>
  <c r="A1071" i="14"/>
  <c r="B1071" i="14"/>
  <c r="C1071" i="14"/>
  <c r="D1071" i="14"/>
  <c r="E1071" i="14"/>
  <c r="F1071" i="14"/>
  <c r="G1071" i="14"/>
  <c r="H1071" i="14"/>
  <c r="A1072" i="14"/>
  <c r="B1072" i="14"/>
  <c r="C1072" i="14"/>
  <c r="D1072" i="14"/>
  <c r="E1072" i="14"/>
  <c r="F1072" i="14"/>
  <c r="G1072" i="14"/>
  <c r="H1072" i="14"/>
  <c r="A1073" i="14"/>
  <c r="B1073" i="14"/>
  <c r="C1073" i="14"/>
  <c r="D1073" i="14"/>
  <c r="E1073" i="14"/>
  <c r="F1073" i="14"/>
  <c r="G1073" i="14"/>
  <c r="H1073" i="14"/>
  <c r="A1074" i="14"/>
  <c r="B1074" i="14"/>
  <c r="C1074" i="14"/>
  <c r="D1074" i="14"/>
  <c r="E1074" i="14"/>
  <c r="F1074" i="14"/>
  <c r="G1074" i="14"/>
  <c r="H1074" i="14"/>
  <c r="A1075" i="14"/>
  <c r="B1075" i="14"/>
  <c r="C1075" i="14"/>
  <c r="D1075" i="14"/>
  <c r="E1075" i="14"/>
  <c r="F1075" i="14"/>
  <c r="G1075" i="14"/>
  <c r="H1075" i="14"/>
  <c r="A1076" i="14"/>
  <c r="B1076" i="14"/>
  <c r="C1076" i="14"/>
  <c r="D1076" i="14"/>
  <c r="E1076" i="14"/>
  <c r="F1076" i="14"/>
  <c r="G1076" i="14"/>
  <c r="H1076" i="14"/>
  <c r="A1077" i="14"/>
  <c r="B1077" i="14"/>
  <c r="C1077" i="14"/>
  <c r="D1077" i="14"/>
  <c r="E1077" i="14"/>
  <c r="F1077" i="14"/>
  <c r="G1077" i="14"/>
  <c r="H1077" i="14"/>
  <c r="A1078" i="14"/>
  <c r="B1078" i="14"/>
  <c r="C1078" i="14"/>
  <c r="D1078" i="14"/>
  <c r="E1078" i="14"/>
  <c r="F1078" i="14"/>
  <c r="G1078" i="14"/>
  <c r="H1078" i="14"/>
  <c r="A1079" i="14"/>
  <c r="B1079" i="14"/>
  <c r="C1079" i="14"/>
  <c r="D1079" i="14"/>
  <c r="E1079" i="14"/>
  <c r="F1079" i="14"/>
  <c r="G1079" i="14"/>
  <c r="H1079" i="14"/>
  <c r="A1080" i="14"/>
  <c r="B1080" i="14"/>
  <c r="C1080" i="14"/>
  <c r="D1080" i="14"/>
  <c r="E1080" i="14"/>
  <c r="F1080" i="14"/>
  <c r="G1080" i="14"/>
  <c r="H1080" i="14"/>
  <c r="A1081" i="14"/>
  <c r="B1081" i="14"/>
  <c r="C1081" i="14"/>
  <c r="D1081" i="14"/>
  <c r="E1081" i="14"/>
  <c r="F1081" i="14"/>
  <c r="G1081" i="14"/>
  <c r="H1081" i="14"/>
  <c r="A1082" i="14"/>
  <c r="B1082" i="14"/>
  <c r="C1082" i="14"/>
  <c r="D1082" i="14"/>
  <c r="E1082" i="14"/>
  <c r="F1082" i="14"/>
  <c r="G1082" i="14"/>
  <c r="H1082" i="14"/>
  <c r="A1083" i="14"/>
  <c r="B1083" i="14"/>
  <c r="C1083" i="14"/>
  <c r="D1083" i="14"/>
  <c r="E1083" i="14"/>
  <c r="F1083" i="14"/>
  <c r="G1083" i="14"/>
  <c r="H1083" i="14"/>
  <c r="A1084" i="14"/>
  <c r="B1084" i="14"/>
  <c r="C1084" i="14"/>
  <c r="D1084" i="14"/>
  <c r="E1084" i="14"/>
  <c r="F1084" i="14"/>
  <c r="G1084" i="14"/>
  <c r="H1084" i="14"/>
  <c r="A1085" i="14"/>
  <c r="B1085" i="14"/>
  <c r="C1085" i="14"/>
  <c r="D1085" i="14"/>
  <c r="E1085" i="14"/>
  <c r="F1085" i="14"/>
  <c r="G1085" i="14"/>
  <c r="H1085" i="14"/>
  <c r="A1086" i="14"/>
  <c r="B1086" i="14"/>
  <c r="C1086" i="14"/>
  <c r="D1086" i="14"/>
  <c r="E1086" i="14"/>
  <c r="F1086" i="14"/>
  <c r="G1086" i="14"/>
  <c r="H1086" i="14"/>
  <c r="A1087" i="14"/>
  <c r="B1087" i="14"/>
  <c r="C1087" i="14"/>
  <c r="D1087" i="14"/>
  <c r="E1087" i="14"/>
  <c r="F1087" i="14"/>
  <c r="G1087" i="14"/>
  <c r="H1087" i="14"/>
  <c r="A1088" i="14"/>
  <c r="B1088" i="14"/>
  <c r="C1088" i="14"/>
  <c r="D1088" i="14"/>
  <c r="E1088" i="14"/>
  <c r="F1088" i="14"/>
  <c r="G1088" i="14"/>
  <c r="H1088" i="14"/>
  <c r="A1089" i="14"/>
  <c r="B1089" i="14"/>
  <c r="C1089" i="14"/>
  <c r="D1089" i="14"/>
  <c r="E1089" i="14"/>
  <c r="F1089" i="14"/>
  <c r="G1089" i="14"/>
  <c r="H1089" i="14"/>
  <c r="A1090" i="14"/>
  <c r="B1090" i="14"/>
  <c r="C1090" i="14"/>
  <c r="D1090" i="14"/>
  <c r="E1090" i="14"/>
  <c r="F1090" i="14"/>
  <c r="G1090" i="14"/>
  <c r="H1090" i="14"/>
  <c r="A1091" i="14"/>
  <c r="B1091" i="14"/>
  <c r="C1091" i="14"/>
  <c r="D1091" i="14"/>
  <c r="E1091" i="14"/>
  <c r="F1091" i="14"/>
  <c r="G1091" i="14"/>
  <c r="H1091" i="14"/>
  <c r="A1092" i="14"/>
  <c r="B1092" i="14"/>
  <c r="C1092" i="14"/>
  <c r="D1092" i="14"/>
  <c r="E1092" i="14"/>
  <c r="F1092" i="14"/>
  <c r="G1092" i="14"/>
  <c r="H1092" i="14"/>
  <c r="A1093" i="14"/>
  <c r="B1093" i="14"/>
  <c r="C1093" i="14"/>
  <c r="D1093" i="14"/>
  <c r="E1093" i="14"/>
  <c r="F1093" i="14"/>
  <c r="G1093" i="14"/>
  <c r="H1093" i="14"/>
  <c r="A1094" i="14"/>
  <c r="B1094" i="14"/>
  <c r="C1094" i="14"/>
  <c r="D1094" i="14"/>
  <c r="E1094" i="14"/>
  <c r="F1094" i="14"/>
  <c r="G1094" i="14"/>
  <c r="H1094" i="14"/>
  <c r="A1095" i="14"/>
  <c r="B1095" i="14"/>
  <c r="C1095" i="14"/>
  <c r="D1095" i="14"/>
  <c r="E1095" i="14"/>
  <c r="F1095" i="14"/>
  <c r="G1095" i="14"/>
  <c r="H1095" i="14"/>
  <c r="A1096" i="14"/>
  <c r="B1096" i="14"/>
  <c r="C1096" i="14"/>
  <c r="D1096" i="14"/>
  <c r="E1096" i="14"/>
  <c r="F1096" i="14"/>
  <c r="G1096" i="14"/>
  <c r="H1096" i="14"/>
  <c r="A1097" i="14"/>
  <c r="B1097" i="14"/>
  <c r="C1097" i="14"/>
  <c r="D1097" i="14"/>
  <c r="E1097" i="14"/>
  <c r="F1097" i="14"/>
  <c r="G1097" i="14"/>
  <c r="H1097" i="14"/>
  <c r="A1098" i="14"/>
  <c r="B1098" i="14"/>
  <c r="C1098" i="14"/>
  <c r="D1098" i="14"/>
  <c r="E1098" i="14"/>
  <c r="F1098" i="14"/>
  <c r="G1098" i="14"/>
  <c r="H1098" i="14"/>
  <c r="A1099" i="14"/>
  <c r="B1099" i="14"/>
  <c r="C1099" i="14"/>
  <c r="D1099" i="14"/>
  <c r="E1099" i="14"/>
  <c r="F1099" i="14"/>
  <c r="G1099" i="14"/>
  <c r="H1099" i="14"/>
  <c r="A1100" i="14"/>
  <c r="B1100" i="14"/>
  <c r="C1100" i="14"/>
  <c r="D1100" i="14"/>
  <c r="E1100" i="14"/>
  <c r="F1100" i="14"/>
  <c r="G1100" i="14"/>
  <c r="H1100" i="14"/>
  <c r="A1101" i="14"/>
  <c r="B1101" i="14"/>
  <c r="C1101" i="14"/>
  <c r="D1101" i="14"/>
  <c r="E1101" i="14"/>
  <c r="F1101" i="14"/>
  <c r="G1101" i="14"/>
  <c r="H1101" i="14"/>
  <c r="A1102" i="14"/>
  <c r="B1102" i="14"/>
  <c r="C1102" i="14"/>
  <c r="D1102" i="14"/>
  <c r="E1102" i="14"/>
  <c r="F1102" i="14"/>
  <c r="G1102" i="14"/>
  <c r="H1102" i="14"/>
  <c r="A1103" i="14"/>
  <c r="B1103" i="14"/>
  <c r="C1103" i="14"/>
  <c r="D1103" i="14"/>
  <c r="E1103" i="14"/>
  <c r="F1103" i="14"/>
  <c r="G1103" i="14"/>
  <c r="H1103" i="14"/>
  <c r="A1104" i="14"/>
  <c r="B1104" i="14"/>
  <c r="C1104" i="14"/>
  <c r="D1104" i="14"/>
  <c r="E1104" i="14"/>
  <c r="F1104" i="14"/>
  <c r="G1104" i="14"/>
  <c r="H1104" i="14"/>
  <c r="B1" i="14"/>
  <c r="C1" i="14"/>
  <c r="D1" i="14"/>
  <c r="E1" i="14"/>
  <c r="F1" i="14"/>
  <c r="G1" i="14"/>
  <c r="H1" i="14"/>
  <c r="A1" i="14"/>
  <c r="D106" i="16" l="1"/>
  <c r="E106" i="16"/>
  <c r="F106" i="16"/>
  <c r="C106" i="16"/>
  <c r="E90" i="16"/>
  <c r="E91" i="16"/>
  <c r="E92" i="16"/>
  <c r="E89" i="16"/>
  <c r="D90" i="16"/>
  <c r="D91" i="16"/>
  <c r="D92" i="16"/>
  <c r="D89" i="16"/>
  <c r="C90" i="16"/>
  <c r="C91" i="16"/>
  <c r="C92" i="16"/>
  <c r="C89" i="16"/>
  <c r="A245" i="6" l="1"/>
  <c r="A246" i="6"/>
  <c r="A247" i="6"/>
  <c r="A248" i="6"/>
  <c r="A249" i="6"/>
  <c r="A250" i="6"/>
  <c r="B245" i="6"/>
  <c r="B246" i="6"/>
  <c r="B247" i="6"/>
  <c r="B248" i="6"/>
  <c r="B249" i="6"/>
  <c r="B250" i="6"/>
  <c r="A245" i="5"/>
  <c r="A246" i="5"/>
  <c r="A247" i="5"/>
  <c r="A248" i="5"/>
  <c r="A249" i="5"/>
  <c r="A250" i="5"/>
  <c r="B245" i="5"/>
  <c r="B246" i="5"/>
  <c r="B247" i="5"/>
  <c r="B248" i="5"/>
  <c r="B249" i="5"/>
  <c r="B250" i="5"/>
  <c r="A245" i="2"/>
  <c r="A246" i="2"/>
  <c r="A247" i="2"/>
  <c r="A248" i="2"/>
  <c r="A249" i="2"/>
  <c r="A250" i="2"/>
  <c r="B245" i="2"/>
  <c r="B246" i="2"/>
  <c r="B247" i="2"/>
  <c r="B248" i="2"/>
  <c r="B249" i="2"/>
  <c r="B250" i="2"/>
  <c r="M244" i="8"/>
  <c r="M245" i="8"/>
  <c r="M246" i="8"/>
  <c r="M247" i="8"/>
  <c r="M248" i="8"/>
  <c r="M249" i="8"/>
  <c r="B16" i="16" l="1"/>
  <c r="B4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57" i="16"/>
  <c r="B58" i="16"/>
  <c r="B59" i="16"/>
  <c r="B60" i="16"/>
  <c r="B61" i="16"/>
  <c r="B62" i="16"/>
  <c r="B2" i="16"/>
  <c r="B4" i="5" l="1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3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B3" i="5"/>
  <c r="A3" i="5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3" i="6"/>
  <c r="M90" i="8" l="1"/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1" i="8"/>
  <c r="M92" i="8"/>
  <c r="M93" i="8"/>
  <c r="M94" i="8"/>
  <c r="M95" i="8"/>
  <c r="M96" i="8"/>
  <c r="M97" i="8"/>
  <c r="M98" i="8"/>
  <c r="M99" i="8"/>
  <c r="M100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C247" i="2" l="1"/>
  <c r="D245" i="2"/>
  <c r="E245" i="2"/>
  <c r="E249" i="2"/>
  <c r="F249" i="2"/>
  <c r="G247" i="2"/>
  <c r="H245" i="2"/>
  <c r="H250" i="2"/>
  <c r="I248" i="2"/>
  <c r="J246" i="2"/>
  <c r="K245" i="2"/>
  <c r="K249" i="2"/>
  <c r="L247" i="2"/>
  <c r="M246" i="2"/>
  <c r="M250" i="2"/>
  <c r="N249" i="2"/>
  <c r="O247" i="2"/>
  <c r="P245" i="2"/>
  <c r="P250" i="2"/>
  <c r="Q248" i="2"/>
  <c r="R246" i="2"/>
  <c r="S245" i="2"/>
  <c r="S249" i="2"/>
  <c r="T247" i="2"/>
  <c r="U246" i="2"/>
  <c r="U250" i="2"/>
  <c r="V249" i="2"/>
  <c r="W247" i="2"/>
  <c r="X245" i="2"/>
  <c r="X250" i="2"/>
  <c r="Y248" i="2"/>
  <c r="Z246" i="2"/>
  <c r="AA245" i="2"/>
  <c r="AA249" i="2"/>
  <c r="AB247" i="2"/>
  <c r="AC246" i="2"/>
  <c r="AC250" i="2"/>
  <c r="AD249" i="2"/>
  <c r="AE247" i="2"/>
  <c r="AF245" i="2"/>
  <c r="AF250" i="2"/>
  <c r="AG248" i="2"/>
  <c r="C248" i="2"/>
  <c r="D246" i="2"/>
  <c r="E246" i="2"/>
  <c r="E250" i="2"/>
  <c r="F250" i="2"/>
  <c r="G248" i="2"/>
  <c r="H246" i="2"/>
  <c r="I245" i="2"/>
  <c r="I249" i="2"/>
  <c r="J247" i="2"/>
  <c r="K246" i="2"/>
  <c r="K250" i="2"/>
  <c r="L249" i="2"/>
  <c r="M247" i="2"/>
  <c r="N245" i="2"/>
  <c r="N250" i="2"/>
  <c r="O248" i="2"/>
  <c r="P246" i="2"/>
  <c r="Q245" i="2"/>
  <c r="Q249" i="2"/>
  <c r="R247" i="2"/>
  <c r="S246" i="2"/>
  <c r="S250" i="2"/>
  <c r="T249" i="2"/>
  <c r="U247" i="2"/>
  <c r="V245" i="2"/>
  <c r="V250" i="2"/>
  <c r="W248" i="2"/>
  <c r="X246" i="2"/>
  <c r="Y245" i="2"/>
  <c r="Y249" i="2"/>
  <c r="Z247" i="2"/>
  <c r="AA246" i="2"/>
  <c r="AA250" i="2"/>
  <c r="AB249" i="2"/>
  <c r="AC247" i="2"/>
  <c r="AD245" i="2"/>
  <c r="AD250" i="2"/>
  <c r="AE248" i="2"/>
  <c r="AF246" i="2"/>
  <c r="P247" i="2"/>
  <c r="Z249" i="2"/>
  <c r="AE245" i="2"/>
  <c r="AG247" i="2"/>
  <c r="D250" i="2"/>
  <c r="G250" i="2"/>
  <c r="J250" i="2"/>
  <c r="M249" i="2"/>
  <c r="P249" i="2"/>
  <c r="S248" i="2"/>
  <c r="V247" i="2"/>
  <c r="Y247" i="2"/>
  <c r="AB246" i="2"/>
  <c r="AE246" i="2"/>
  <c r="AG249" i="2"/>
  <c r="C249" i="2"/>
  <c r="E247" i="2"/>
  <c r="G245" i="2"/>
  <c r="H247" i="2"/>
  <c r="I250" i="2"/>
  <c r="K247" i="2"/>
  <c r="L250" i="2"/>
  <c r="N246" i="2"/>
  <c r="O249" i="2"/>
  <c r="Q246" i="2"/>
  <c r="R249" i="2"/>
  <c r="T245" i="2"/>
  <c r="U248" i="2"/>
  <c r="W245" i="2"/>
  <c r="X247" i="2"/>
  <c r="Y250" i="2"/>
  <c r="AA247" i="2"/>
  <c r="AB250" i="2"/>
  <c r="AD246" i="2"/>
  <c r="AE249" i="2"/>
  <c r="AG245" i="2"/>
  <c r="AG250" i="2"/>
  <c r="C250" i="2"/>
  <c r="E248" i="2"/>
  <c r="G246" i="2"/>
  <c r="H249" i="2"/>
  <c r="J245" i="2"/>
  <c r="K248" i="2"/>
  <c r="M245" i="2"/>
  <c r="N247" i="2"/>
  <c r="O250" i="2"/>
  <c r="Q247" i="2"/>
  <c r="R250" i="2"/>
  <c r="T246" i="2"/>
  <c r="U249" i="2"/>
  <c r="W246" i="2"/>
  <c r="X249" i="2"/>
  <c r="Z245" i="2"/>
  <c r="AA248" i="2"/>
  <c r="AC245" i="2"/>
  <c r="AD247" i="2"/>
  <c r="AE250" i="2"/>
  <c r="AG246" i="2"/>
  <c r="C245" i="2"/>
  <c r="D249" i="2"/>
  <c r="F245" i="2"/>
  <c r="G249" i="2"/>
  <c r="I246" i="2"/>
  <c r="J249" i="2"/>
  <c r="L245" i="2"/>
  <c r="M248" i="2"/>
  <c r="O245" i="2"/>
  <c r="Q250" i="2"/>
  <c r="S247" i="2"/>
  <c r="T250" i="2"/>
  <c r="V246" i="2"/>
  <c r="W249" i="2"/>
  <c r="Y246" i="2"/>
  <c r="AB245" i="2"/>
  <c r="AC248" i="2"/>
  <c r="AF247" i="2"/>
  <c r="C246" i="2"/>
  <c r="F246" i="2"/>
  <c r="I247" i="2"/>
  <c r="L246" i="2"/>
  <c r="O246" i="2"/>
  <c r="R245" i="2"/>
  <c r="U245" i="2"/>
  <c r="W250" i="2"/>
  <c r="Z250" i="2"/>
  <c r="AC249" i="2"/>
  <c r="AF249" i="2"/>
  <c r="D248" i="2"/>
  <c r="AB248" i="2"/>
  <c r="T248" i="2"/>
  <c r="L248" i="2"/>
  <c r="F247" i="2"/>
  <c r="D247" i="2"/>
  <c r="Z248" i="2"/>
  <c r="R248" i="2"/>
  <c r="J248" i="2"/>
  <c r="AF248" i="2"/>
  <c r="X248" i="2"/>
  <c r="P248" i="2"/>
  <c r="H248" i="2"/>
  <c r="AD248" i="2"/>
  <c r="V248" i="2"/>
  <c r="N248" i="2"/>
  <c r="F248" i="2"/>
  <c r="Z248" i="5"/>
  <c r="V247" i="5"/>
  <c r="F247" i="5"/>
  <c r="AD247" i="5"/>
  <c r="R248" i="5"/>
  <c r="N247" i="5"/>
  <c r="J248" i="5"/>
  <c r="AF248" i="5"/>
  <c r="X248" i="5"/>
  <c r="H247" i="5"/>
  <c r="L248" i="5"/>
  <c r="C250" i="5"/>
  <c r="G246" i="5"/>
  <c r="J246" i="5"/>
  <c r="M248" i="5"/>
  <c r="P250" i="5"/>
  <c r="S250" i="5"/>
  <c r="W246" i="5"/>
  <c r="Z246" i="5"/>
  <c r="AC248" i="5"/>
  <c r="AF250" i="5"/>
  <c r="G247" i="5"/>
  <c r="M249" i="5"/>
  <c r="T245" i="5"/>
  <c r="Z249" i="5"/>
  <c r="AG245" i="5"/>
  <c r="I246" i="5"/>
  <c r="O248" i="5"/>
  <c r="U250" i="5"/>
  <c r="D249" i="5"/>
  <c r="G249" i="5"/>
  <c r="K245" i="5"/>
  <c r="N245" i="5"/>
  <c r="Q247" i="5"/>
  <c r="T249" i="5"/>
  <c r="W249" i="5"/>
  <c r="AA245" i="5"/>
  <c r="AD245" i="5"/>
  <c r="AG247" i="5"/>
  <c r="H245" i="5"/>
  <c r="N249" i="5"/>
  <c r="U245" i="5"/>
  <c r="AA247" i="5"/>
  <c r="AG249" i="5"/>
  <c r="H246" i="5"/>
  <c r="N250" i="5"/>
  <c r="U246" i="5"/>
  <c r="AB246" i="5"/>
  <c r="AG250" i="5"/>
  <c r="Z250" i="5"/>
  <c r="R247" i="5"/>
  <c r="V248" i="5"/>
  <c r="D247" i="5"/>
  <c r="L247" i="5"/>
  <c r="P247" i="5"/>
  <c r="T248" i="5"/>
  <c r="D250" i="5"/>
  <c r="G250" i="5"/>
  <c r="K246" i="5"/>
  <c r="N246" i="5"/>
  <c r="Q248" i="5"/>
  <c r="T250" i="5"/>
  <c r="W250" i="5"/>
  <c r="AA246" i="5"/>
  <c r="AD246" i="5"/>
  <c r="AG248" i="5"/>
  <c r="I245" i="5"/>
  <c r="O247" i="5"/>
  <c r="U249" i="5"/>
  <c r="AB245" i="5"/>
  <c r="D246" i="5"/>
  <c r="J250" i="5"/>
  <c r="Q246" i="5"/>
  <c r="W248" i="5"/>
  <c r="E247" i="5"/>
  <c r="H249" i="5"/>
  <c r="K249" i="5"/>
  <c r="O245" i="5"/>
  <c r="R245" i="5"/>
  <c r="U247" i="5"/>
  <c r="X249" i="5"/>
  <c r="AA249" i="5"/>
  <c r="AE245" i="5"/>
  <c r="C247" i="5"/>
  <c r="I249" i="5"/>
  <c r="P245" i="5"/>
  <c r="V249" i="5"/>
  <c r="AC245" i="5"/>
  <c r="C248" i="5"/>
  <c r="I250" i="5"/>
  <c r="P246" i="5"/>
  <c r="V250" i="5"/>
  <c r="T247" i="5"/>
  <c r="AB247" i="5"/>
  <c r="X247" i="5"/>
  <c r="AB248" i="5"/>
  <c r="E248" i="5"/>
  <c r="H250" i="5"/>
  <c r="K250" i="5"/>
  <c r="O246" i="5"/>
  <c r="R246" i="5"/>
  <c r="U248" i="5"/>
  <c r="X250" i="5"/>
  <c r="AA250" i="5"/>
  <c r="AE246" i="5"/>
  <c r="D245" i="5"/>
  <c r="J249" i="5"/>
  <c r="Q245" i="5"/>
  <c r="W247" i="5"/>
  <c r="AC249" i="5"/>
  <c r="E250" i="5"/>
  <c r="L246" i="5"/>
  <c r="R250" i="5"/>
  <c r="C245" i="5"/>
  <c r="F245" i="5"/>
  <c r="I247" i="5"/>
  <c r="L249" i="5"/>
  <c r="O249" i="5"/>
  <c r="S245" i="5"/>
  <c r="V245" i="5"/>
  <c r="Y247" i="5"/>
  <c r="AB249" i="5"/>
  <c r="AE249" i="5"/>
  <c r="E245" i="5"/>
  <c r="K247" i="5"/>
  <c r="Q249" i="5"/>
  <c r="X245" i="5"/>
  <c r="AD249" i="5"/>
  <c r="E246" i="5"/>
  <c r="K248" i="5"/>
  <c r="Q250" i="5"/>
  <c r="X246" i="5"/>
  <c r="AC250" i="5"/>
  <c r="AC246" i="5"/>
  <c r="AD250" i="5"/>
  <c r="F248" i="5"/>
  <c r="D248" i="5"/>
  <c r="H248" i="5"/>
  <c r="P248" i="5"/>
  <c r="AF247" i="5"/>
  <c r="C246" i="5"/>
  <c r="F246" i="5"/>
  <c r="I248" i="5"/>
  <c r="L250" i="5"/>
  <c r="O250" i="5"/>
  <c r="S246" i="5"/>
  <c r="V246" i="5"/>
  <c r="Y248" i="5"/>
  <c r="AB250" i="5"/>
  <c r="AE250" i="5"/>
  <c r="E249" i="5"/>
  <c r="L245" i="5"/>
  <c r="R249" i="5"/>
  <c r="Y245" i="5"/>
  <c r="AE247" i="5"/>
  <c r="G248" i="5"/>
  <c r="M250" i="5"/>
  <c r="T246" i="5"/>
  <c r="C249" i="5"/>
  <c r="G245" i="5"/>
  <c r="J245" i="5"/>
  <c r="M247" i="5"/>
  <c r="P249" i="5"/>
  <c r="S249" i="5"/>
  <c r="W245" i="5"/>
  <c r="Z245" i="5"/>
  <c r="AC247" i="5"/>
  <c r="AF249" i="5"/>
  <c r="F249" i="5"/>
  <c r="M245" i="5"/>
  <c r="S247" i="5"/>
  <c r="Y249" i="5"/>
  <c r="AF245" i="5"/>
  <c r="Y246" i="5"/>
  <c r="AF246" i="5"/>
  <c r="N248" i="5"/>
  <c r="F250" i="5"/>
  <c r="AE248" i="5"/>
  <c r="AD248" i="5"/>
  <c r="M246" i="5"/>
  <c r="AA248" i="5"/>
  <c r="J247" i="5"/>
  <c r="S248" i="5"/>
  <c r="Y250" i="5"/>
  <c r="Z247" i="5"/>
  <c r="AG246" i="5"/>
  <c r="E102" i="2"/>
  <c r="I102" i="2"/>
  <c r="M102" i="2"/>
  <c r="Q102" i="2"/>
  <c r="U102" i="2"/>
  <c r="Y102" i="2"/>
  <c r="AC102" i="2"/>
  <c r="AG102" i="2"/>
  <c r="F103" i="2"/>
  <c r="J103" i="2"/>
  <c r="N103" i="2"/>
  <c r="R103" i="2"/>
  <c r="V103" i="2"/>
  <c r="Z103" i="2"/>
  <c r="AD103" i="2"/>
  <c r="C104" i="2"/>
  <c r="G104" i="2"/>
  <c r="K104" i="2"/>
  <c r="O104" i="2"/>
  <c r="S104" i="2"/>
  <c r="W104" i="2"/>
  <c r="AA104" i="2"/>
  <c r="AE104" i="2"/>
  <c r="D105" i="2"/>
  <c r="H105" i="2"/>
  <c r="L105" i="2"/>
  <c r="P105" i="2"/>
  <c r="T105" i="2"/>
  <c r="X105" i="2"/>
  <c r="AB105" i="2"/>
  <c r="AF105" i="2"/>
  <c r="E106" i="2"/>
  <c r="I106" i="2"/>
  <c r="M106" i="2"/>
  <c r="Q106" i="2"/>
  <c r="U106" i="2"/>
  <c r="Y106" i="2"/>
  <c r="AC106" i="2"/>
  <c r="AG106" i="2"/>
  <c r="C102" i="2"/>
  <c r="G102" i="2"/>
  <c r="K102" i="2"/>
  <c r="O102" i="2"/>
  <c r="S102" i="2"/>
  <c r="W102" i="2"/>
  <c r="AA102" i="2"/>
  <c r="AE102" i="2"/>
  <c r="D103" i="2"/>
  <c r="H103" i="2"/>
  <c r="L103" i="2"/>
  <c r="P103" i="2"/>
  <c r="T103" i="2"/>
  <c r="X103" i="2"/>
  <c r="AB103" i="2"/>
  <c r="AF103" i="2"/>
  <c r="E104" i="2"/>
  <c r="I104" i="2"/>
  <c r="M104" i="2"/>
  <c r="Q104" i="2"/>
  <c r="U104" i="2"/>
  <c r="Y104" i="2"/>
  <c r="AC104" i="2"/>
  <c r="AG104" i="2"/>
  <c r="F105" i="2"/>
  <c r="J105" i="2"/>
  <c r="N105" i="2"/>
  <c r="R105" i="2"/>
  <c r="V105" i="2"/>
  <c r="Z105" i="2"/>
  <c r="AD105" i="2"/>
  <c r="C106" i="2"/>
  <c r="G106" i="2"/>
  <c r="K106" i="2"/>
  <c r="O106" i="2"/>
  <c r="S106" i="2"/>
  <c r="W106" i="2"/>
  <c r="AA106" i="2"/>
  <c r="AE106" i="2"/>
  <c r="D102" i="2"/>
  <c r="L102" i="2"/>
  <c r="T102" i="2"/>
  <c r="AB102" i="2"/>
  <c r="E103" i="2"/>
  <c r="M103" i="2"/>
  <c r="U103" i="2"/>
  <c r="AC103" i="2"/>
  <c r="F104" i="2"/>
  <c r="N104" i="2"/>
  <c r="V104" i="2"/>
  <c r="AD104" i="2"/>
  <c r="G105" i="2"/>
  <c r="O105" i="2"/>
  <c r="W105" i="2"/>
  <c r="AE105" i="2"/>
  <c r="H106" i="2"/>
  <c r="P106" i="2"/>
  <c r="X106" i="2"/>
  <c r="AF106" i="2"/>
  <c r="F102" i="2"/>
  <c r="N102" i="2"/>
  <c r="V102" i="2"/>
  <c r="AD102" i="2"/>
  <c r="G103" i="2"/>
  <c r="O103" i="2"/>
  <c r="W103" i="2"/>
  <c r="AE103" i="2"/>
  <c r="H104" i="2"/>
  <c r="P104" i="2"/>
  <c r="X104" i="2"/>
  <c r="AF104" i="2"/>
  <c r="I105" i="2"/>
  <c r="Q105" i="2"/>
  <c r="Y105" i="2"/>
  <c r="AG105" i="2"/>
  <c r="J106" i="2"/>
  <c r="R106" i="2"/>
  <c r="Z106" i="2"/>
  <c r="R102" i="2"/>
  <c r="C103" i="2"/>
  <c r="S103" i="2"/>
  <c r="D104" i="2"/>
  <c r="T104" i="2"/>
  <c r="E105" i="2"/>
  <c r="U105" i="2"/>
  <c r="F106" i="2"/>
  <c r="V106" i="2"/>
  <c r="H102" i="2"/>
  <c r="P102" i="2"/>
  <c r="X102" i="2"/>
  <c r="AF102" i="2"/>
  <c r="I103" i="2"/>
  <c r="Q103" i="2"/>
  <c r="Y103" i="2"/>
  <c r="AG103" i="2"/>
  <c r="J104" i="2"/>
  <c r="R104" i="2"/>
  <c r="Z104" i="2"/>
  <c r="C105" i="2"/>
  <c r="K105" i="2"/>
  <c r="S105" i="2"/>
  <c r="AA105" i="2"/>
  <c r="D106" i="2"/>
  <c r="L106" i="2"/>
  <c r="T106" i="2"/>
  <c r="AB106" i="2"/>
  <c r="J102" i="2"/>
  <c r="Z102" i="2"/>
  <c r="K103" i="2"/>
  <c r="AA103" i="2"/>
  <c r="L104" i="2"/>
  <c r="AB104" i="2"/>
  <c r="M105" i="2"/>
  <c r="AC105" i="2"/>
  <c r="N106" i="2"/>
  <c r="AD106" i="2"/>
  <c r="D102" i="5"/>
  <c r="H102" i="5"/>
  <c r="L102" i="5"/>
  <c r="P102" i="5"/>
  <c r="T102" i="5"/>
  <c r="X102" i="5"/>
  <c r="AB102" i="5"/>
  <c r="AF102" i="5"/>
  <c r="E103" i="5"/>
  <c r="I103" i="5"/>
  <c r="M103" i="5"/>
  <c r="Q103" i="5"/>
  <c r="U103" i="5"/>
  <c r="Y103" i="5"/>
  <c r="AC103" i="5"/>
  <c r="AG103" i="5"/>
  <c r="F104" i="5"/>
  <c r="J104" i="5"/>
  <c r="N104" i="5"/>
  <c r="R104" i="5"/>
  <c r="V104" i="5"/>
  <c r="Z104" i="5"/>
  <c r="AD104" i="5"/>
  <c r="C105" i="5"/>
  <c r="G105" i="5"/>
  <c r="K105" i="5"/>
  <c r="O105" i="5"/>
  <c r="S105" i="5"/>
  <c r="W105" i="5"/>
  <c r="AA105" i="5"/>
  <c r="AE105" i="5"/>
  <c r="D106" i="5"/>
  <c r="H106" i="5"/>
  <c r="L106" i="5"/>
  <c r="P106" i="5"/>
  <c r="T106" i="5"/>
  <c r="X106" i="5"/>
  <c r="AB106" i="5"/>
  <c r="AF106" i="5"/>
  <c r="F102" i="5"/>
  <c r="J102" i="5"/>
  <c r="N102" i="5"/>
  <c r="R102" i="5"/>
  <c r="V102" i="5"/>
  <c r="Z102" i="5"/>
  <c r="AD102" i="5"/>
  <c r="C103" i="5"/>
  <c r="G103" i="5"/>
  <c r="K103" i="5"/>
  <c r="O103" i="5"/>
  <c r="S103" i="5"/>
  <c r="W103" i="5"/>
  <c r="AA103" i="5"/>
  <c r="AE103" i="5"/>
  <c r="D104" i="5"/>
  <c r="H104" i="5"/>
  <c r="L104" i="5"/>
  <c r="P104" i="5"/>
  <c r="T104" i="5"/>
  <c r="X104" i="5"/>
  <c r="AB104" i="5"/>
  <c r="AF104" i="5"/>
  <c r="E105" i="5"/>
  <c r="I105" i="5"/>
  <c r="M105" i="5"/>
  <c r="Q105" i="5"/>
  <c r="U105" i="5"/>
  <c r="Y105" i="5"/>
  <c r="AC105" i="5"/>
  <c r="AG105" i="5"/>
  <c r="F106" i="5"/>
  <c r="J106" i="5"/>
  <c r="N106" i="5"/>
  <c r="R106" i="5"/>
  <c r="V106" i="5"/>
  <c r="Z106" i="5"/>
  <c r="AD106" i="5"/>
  <c r="G102" i="5"/>
  <c r="O102" i="5"/>
  <c r="W102" i="5"/>
  <c r="AE102" i="5"/>
  <c r="H103" i="5"/>
  <c r="P103" i="5"/>
  <c r="X103" i="5"/>
  <c r="AF103" i="5"/>
  <c r="I104" i="5"/>
  <c r="Q104" i="5"/>
  <c r="Y104" i="5"/>
  <c r="AG104" i="5"/>
  <c r="J105" i="5"/>
  <c r="R105" i="5"/>
  <c r="Z105" i="5"/>
  <c r="C106" i="5"/>
  <c r="K106" i="5"/>
  <c r="S106" i="5"/>
  <c r="AA106" i="5"/>
  <c r="I102" i="5"/>
  <c r="Q102" i="5"/>
  <c r="Y102" i="5"/>
  <c r="AG102" i="5"/>
  <c r="J103" i="5"/>
  <c r="R103" i="5"/>
  <c r="Z103" i="5"/>
  <c r="C104" i="5"/>
  <c r="K104" i="5"/>
  <c r="S104" i="5"/>
  <c r="AA104" i="5"/>
  <c r="D105" i="5"/>
  <c r="L105" i="5"/>
  <c r="T105" i="5"/>
  <c r="AB105" i="5"/>
  <c r="E106" i="5"/>
  <c r="M106" i="5"/>
  <c r="U106" i="5"/>
  <c r="AC106" i="5"/>
  <c r="C102" i="5"/>
  <c r="K102" i="5"/>
  <c r="S102" i="5"/>
  <c r="AA102" i="5"/>
  <c r="D103" i="5"/>
  <c r="L103" i="5"/>
  <c r="T103" i="5"/>
  <c r="AB103" i="5"/>
  <c r="E104" i="5"/>
  <c r="M104" i="5"/>
  <c r="U104" i="5"/>
  <c r="AC104" i="5"/>
  <c r="F105" i="5"/>
  <c r="N105" i="5"/>
  <c r="V105" i="5"/>
  <c r="AD105" i="5"/>
  <c r="G106" i="5"/>
  <c r="O106" i="5"/>
  <c r="W106" i="5"/>
  <c r="AE106" i="5"/>
  <c r="E102" i="5"/>
  <c r="M102" i="5"/>
  <c r="U102" i="5"/>
  <c r="AC102" i="5"/>
  <c r="F103" i="5"/>
  <c r="N103" i="5"/>
  <c r="V103" i="5"/>
  <c r="AD103" i="5"/>
  <c r="G104" i="5"/>
  <c r="O104" i="5"/>
  <c r="W104" i="5"/>
  <c r="AE104" i="5"/>
  <c r="H105" i="5"/>
  <c r="P105" i="5"/>
  <c r="X105" i="5"/>
  <c r="AF105" i="5"/>
  <c r="I106" i="5"/>
  <c r="Q106" i="5"/>
  <c r="Y106" i="5"/>
  <c r="AG106" i="5"/>
  <c r="C91" i="2"/>
  <c r="D91" i="2"/>
  <c r="E91" i="2"/>
  <c r="I91" i="2"/>
  <c r="M91" i="2"/>
  <c r="Q91" i="2"/>
  <c r="U91" i="2"/>
  <c r="Y91" i="2"/>
  <c r="AC91" i="2"/>
  <c r="AG91" i="2"/>
  <c r="G91" i="2"/>
  <c r="K91" i="2"/>
  <c r="O91" i="2"/>
  <c r="S91" i="2"/>
  <c r="W91" i="2"/>
  <c r="AA91" i="2"/>
  <c r="AE91" i="2"/>
  <c r="H91" i="2"/>
  <c r="L91" i="2"/>
  <c r="P91" i="2"/>
  <c r="T91" i="2"/>
  <c r="X91" i="2"/>
  <c r="AB91" i="2"/>
  <c r="AF91" i="2"/>
  <c r="F91" i="2"/>
  <c r="J91" i="2"/>
  <c r="N91" i="2"/>
  <c r="R91" i="2"/>
  <c r="V91" i="2"/>
  <c r="Z91" i="2"/>
  <c r="AD91" i="2"/>
  <c r="M141" i="5"/>
  <c r="F91" i="5"/>
  <c r="J91" i="5"/>
  <c r="N91" i="5"/>
  <c r="R91" i="5"/>
  <c r="V91" i="5"/>
  <c r="Z91" i="5"/>
  <c r="AD91" i="5"/>
  <c r="P91" i="5"/>
  <c r="X91" i="5"/>
  <c r="AF91" i="5"/>
  <c r="I91" i="5"/>
  <c r="Q91" i="5"/>
  <c r="Y91" i="5"/>
  <c r="AG91" i="5"/>
  <c r="C91" i="5"/>
  <c r="G91" i="5"/>
  <c r="K91" i="5"/>
  <c r="O91" i="5"/>
  <c r="S91" i="5"/>
  <c r="W91" i="5"/>
  <c r="AA91" i="5"/>
  <c r="AE91" i="5"/>
  <c r="D91" i="5"/>
  <c r="H91" i="5"/>
  <c r="L91" i="5"/>
  <c r="T91" i="5"/>
  <c r="AB91" i="5"/>
  <c r="E91" i="5"/>
  <c r="M91" i="5"/>
  <c r="U91" i="5"/>
  <c r="AC91" i="5"/>
  <c r="N174" i="5"/>
  <c r="L3" i="5"/>
  <c r="K261" i="5"/>
  <c r="C214" i="5"/>
  <c r="C253" i="5"/>
  <c r="R197" i="5"/>
  <c r="AA277" i="5"/>
  <c r="Z238" i="5"/>
  <c r="S269" i="5"/>
  <c r="X228" i="5"/>
  <c r="C54" i="5"/>
  <c r="W101" i="5"/>
  <c r="F124" i="5"/>
  <c r="G135" i="5"/>
  <c r="O143" i="5"/>
  <c r="W151" i="5"/>
  <c r="AE159" i="5"/>
  <c r="H168" i="5"/>
  <c r="P176" i="5"/>
  <c r="Z182" i="5"/>
  <c r="K188" i="5"/>
  <c r="AA193" i="5"/>
  <c r="S198" i="5"/>
  <c r="W202" i="5"/>
  <c r="AA206" i="5"/>
  <c r="AE210" i="5"/>
  <c r="D215" i="5"/>
  <c r="H219" i="5"/>
  <c r="L223" i="5"/>
  <c r="V226" i="5"/>
  <c r="N229" i="5"/>
  <c r="F232" i="5"/>
  <c r="AD234" i="5"/>
  <c r="I237" i="5"/>
  <c r="K239" i="5"/>
  <c r="M241" i="5"/>
  <c r="O243" i="5"/>
  <c r="Q251" i="5"/>
  <c r="S253" i="5"/>
  <c r="U255" i="5"/>
  <c r="W257" i="5"/>
  <c r="Y259" i="5"/>
  <c r="AA261" i="5"/>
  <c r="AC263" i="5"/>
  <c r="AE265" i="5"/>
  <c r="AG267" i="5"/>
  <c r="D270" i="5"/>
  <c r="F272" i="5"/>
  <c r="H274" i="5"/>
  <c r="J276" i="5"/>
  <c r="L278" i="5"/>
  <c r="H3" i="5"/>
  <c r="X3" i="5"/>
  <c r="S70" i="5"/>
  <c r="Y111" i="5"/>
  <c r="J128" i="5"/>
  <c r="I137" i="5"/>
  <c r="Q145" i="5"/>
  <c r="Y153" i="5"/>
  <c r="AG161" i="5"/>
  <c r="J170" i="5"/>
  <c r="R178" i="5"/>
  <c r="G184" i="5"/>
  <c r="W189" i="5"/>
  <c r="G195" i="5"/>
  <c r="T199" i="5"/>
  <c r="X203" i="5"/>
  <c r="AB207" i="5"/>
  <c r="AF211" i="5"/>
  <c r="E216" i="5"/>
  <c r="I220" i="5"/>
  <c r="M224" i="5"/>
  <c r="L227" i="5"/>
  <c r="D230" i="5"/>
  <c r="AB232" i="5"/>
  <c r="T235" i="5"/>
  <c r="Y237" i="5"/>
  <c r="AA239" i="5"/>
  <c r="AC241" i="5"/>
  <c r="AE243" i="5"/>
  <c r="AG251" i="5"/>
  <c r="D254" i="5"/>
  <c r="F256" i="5"/>
  <c r="H258" i="5"/>
  <c r="J260" i="5"/>
  <c r="L262" i="5"/>
  <c r="N264" i="5"/>
  <c r="P266" i="5"/>
  <c r="R268" i="5"/>
  <c r="T270" i="5"/>
  <c r="V272" i="5"/>
  <c r="X274" i="5"/>
  <c r="Z276" i="5"/>
  <c r="G84" i="5"/>
  <c r="AC115" i="5"/>
  <c r="C131" i="5"/>
  <c r="K139" i="5"/>
  <c r="S147" i="5"/>
  <c r="AA155" i="5"/>
  <c r="D164" i="5"/>
  <c r="L172" i="5"/>
  <c r="C180" i="5"/>
  <c r="S185" i="5"/>
  <c r="C191" i="5"/>
  <c r="Q196" i="5"/>
  <c r="U200" i="5"/>
  <c r="Y204" i="5"/>
  <c r="AC208" i="5"/>
  <c r="AG212" i="5"/>
  <c r="F217" i="5"/>
  <c r="J221" i="5"/>
  <c r="J225" i="5"/>
  <c r="AG227" i="5"/>
  <c r="Z230" i="5"/>
  <c r="R233" i="5"/>
  <c r="H236" i="5"/>
  <c r="J238" i="5"/>
  <c r="L240" i="5"/>
  <c r="N242" i="5"/>
  <c r="P244" i="5"/>
  <c r="R252" i="5"/>
  <c r="T254" i="5"/>
  <c r="V256" i="5"/>
  <c r="X258" i="5"/>
  <c r="Z260" i="5"/>
  <c r="AB262" i="5"/>
  <c r="AD264" i="5"/>
  <c r="AF266" i="5"/>
  <c r="C269" i="5"/>
  <c r="E271" i="5"/>
  <c r="G273" i="5"/>
  <c r="I275" i="5"/>
  <c r="K277" i="5"/>
  <c r="P3" i="5"/>
  <c r="AF3" i="5"/>
  <c r="D3" i="5"/>
  <c r="Y275" i="5"/>
  <c r="Q267" i="5"/>
  <c r="I259" i="5"/>
  <c r="AF244" i="5"/>
  <c r="X236" i="5"/>
  <c r="AE225" i="5"/>
  <c r="AD209" i="5"/>
  <c r="O192" i="5"/>
  <c r="F166" i="5"/>
  <c r="E133" i="5"/>
  <c r="AB3" i="5"/>
  <c r="W273" i="5"/>
  <c r="O265" i="5"/>
  <c r="G257" i="5"/>
  <c r="AD242" i="5"/>
  <c r="H234" i="5"/>
  <c r="K222" i="5"/>
  <c r="Z205" i="5"/>
  <c r="AD186" i="5"/>
  <c r="AC157" i="5"/>
  <c r="AG119" i="5"/>
  <c r="C14" i="2"/>
  <c r="T3" i="5"/>
  <c r="AB278" i="5"/>
  <c r="U271" i="5"/>
  <c r="M263" i="5"/>
  <c r="E255" i="5"/>
  <c r="AB240" i="5"/>
  <c r="P231" i="5"/>
  <c r="G218" i="5"/>
  <c r="V201" i="5"/>
  <c r="O181" i="5"/>
  <c r="U149" i="5"/>
  <c r="O93" i="5"/>
  <c r="L70" i="5"/>
  <c r="C6" i="2"/>
  <c r="O3" i="2"/>
  <c r="G3" i="2"/>
  <c r="AD3" i="2"/>
  <c r="V3" i="2"/>
  <c r="AG276" i="2"/>
  <c r="AG268" i="2"/>
  <c r="AG260" i="2"/>
  <c r="AG252" i="2"/>
  <c r="AG242" i="2"/>
  <c r="AG234" i="2"/>
  <c r="AG226" i="2"/>
  <c r="AG218" i="2"/>
  <c r="AG214" i="2"/>
  <c r="AG210" i="2"/>
  <c r="AG202" i="2"/>
  <c r="AG198" i="2"/>
  <c r="AG194" i="2"/>
  <c r="AG190" i="2"/>
  <c r="AG186" i="2"/>
  <c r="AG182" i="2"/>
  <c r="AG178" i="2"/>
  <c r="AG174" i="2"/>
  <c r="AG170" i="2"/>
  <c r="AG166" i="2"/>
  <c r="AG162" i="2"/>
  <c r="AG158" i="2"/>
  <c r="AG154" i="2"/>
  <c r="AG150" i="2"/>
  <c r="AG146" i="2"/>
  <c r="AG142" i="2"/>
  <c r="AG138" i="2"/>
  <c r="AG134" i="2"/>
  <c r="AG130" i="2"/>
  <c r="AG126" i="2"/>
  <c r="AG122" i="2"/>
  <c r="AG118" i="2"/>
  <c r="AG114" i="2"/>
  <c r="AG110" i="2"/>
  <c r="AG101" i="2"/>
  <c r="AG97" i="2"/>
  <c r="AG93" i="2"/>
  <c r="AG88" i="2"/>
  <c r="AG84" i="2"/>
  <c r="AG80" i="2"/>
  <c r="AG76" i="2"/>
  <c r="AG68" i="2"/>
  <c r="AG60" i="2"/>
  <c r="AG52" i="2"/>
  <c r="AG44" i="2"/>
  <c r="AG36" i="2"/>
  <c r="AG28" i="2"/>
  <c r="AG20" i="2"/>
  <c r="AG12" i="2"/>
  <c r="AG4" i="2"/>
  <c r="AF271" i="2"/>
  <c r="AF263" i="2"/>
  <c r="AF255" i="2"/>
  <c r="AF251" i="2"/>
  <c r="AF237" i="2"/>
  <c r="AF229" i="2"/>
  <c r="AF221" i="2"/>
  <c r="AF213" i="2"/>
  <c r="AF205" i="2"/>
  <c r="AF197" i="2"/>
  <c r="AF189" i="2"/>
  <c r="AF181" i="2"/>
  <c r="AF173" i="2"/>
  <c r="AF165" i="2"/>
  <c r="AF153" i="2"/>
  <c r="AF145" i="2"/>
  <c r="AF137" i="2"/>
  <c r="AF129" i="2"/>
  <c r="AF121" i="2"/>
  <c r="AF113" i="2"/>
  <c r="AF100" i="2"/>
  <c r="AF92" i="2"/>
  <c r="AF83" i="2"/>
  <c r="AF75" i="2"/>
  <c r="AF67" i="2"/>
  <c r="AF59" i="2"/>
  <c r="AF51" i="2"/>
  <c r="AF43" i="2"/>
  <c r="AF35" i="2"/>
  <c r="AF27" i="2"/>
  <c r="AF19" i="2"/>
  <c r="AF11" i="2"/>
  <c r="AE278" i="2"/>
  <c r="AE270" i="2"/>
  <c r="AE262" i="2"/>
  <c r="AE254" i="2"/>
  <c r="AE240" i="2"/>
  <c r="AE228" i="2"/>
  <c r="AE220" i="2"/>
  <c r="AE212" i="2"/>
  <c r="AE204" i="2"/>
  <c r="AE196" i="2"/>
  <c r="AE188" i="2"/>
  <c r="AE180" i="2"/>
  <c r="AE172" i="2"/>
  <c r="AE164" i="2"/>
  <c r="AE156" i="2"/>
  <c r="AE148" i="2"/>
  <c r="AE140" i="2"/>
  <c r="AE132" i="2"/>
  <c r="AE124" i="2"/>
  <c r="AE116" i="2"/>
  <c r="AE108" i="2"/>
  <c r="AE95" i="2"/>
  <c r="AE86" i="2"/>
  <c r="AE78" i="2"/>
  <c r="AE70" i="2"/>
  <c r="AE62" i="2"/>
  <c r="AE54" i="2"/>
  <c r="AE46" i="2"/>
  <c r="AE38" i="2"/>
  <c r="AE26" i="2"/>
  <c r="AE10" i="2"/>
  <c r="AD215" i="2"/>
  <c r="AD211" i="2"/>
  <c r="AD207" i="2"/>
  <c r="AD199" i="2"/>
  <c r="AD191" i="2"/>
  <c r="AD183" i="2"/>
  <c r="AD175" i="2"/>
  <c r="AD167" i="2"/>
  <c r="AD159" i="2"/>
  <c r="AD151" i="2"/>
  <c r="AD139" i="2"/>
  <c r="AD131" i="2"/>
  <c r="AD123" i="2"/>
  <c r="AD115" i="2"/>
  <c r="AD107" i="2"/>
  <c r="AD98" i="2"/>
  <c r="AD89" i="2"/>
  <c r="AD81" i="2"/>
  <c r="AD73" i="2"/>
  <c r="AD65" i="2"/>
  <c r="AD57" i="2"/>
  <c r="AD49" i="2"/>
  <c r="AD41" i="2"/>
  <c r="AD33" i="2"/>
  <c r="AD25" i="2"/>
  <c r="AD17" i="2"/>
  <c r="AD9" i="2"/>
  <c r="AC276" i="2"/>
  <c r="AC268" i="2"/>
  <c r="AC260" i="2"/>
  <c r="AC252" i="2"/>
  <c r="AC238" i="2"/>
  <c r="AC230" i="2"/>
  <c r="AC222" i="2"/>
  <c r="AC214" i="2"/>
  <c r="AC210" i="2"/>
  <c r="AC202" i="2"/>
  <c r="AC194" i="2"/>
  <c r="AC186" i="2"/>
  <c r="AC178" i="2"/>
  <c r="AC170" i="2"/>
  <c r="AC162" i="2"/>
  <c r="AC154" i="2"/>
  <c r="AC146" i="2"/>
  <c r="AC138" i="2"/>
  <c r="AC130" i="2"/>
  <c r="AC122" i="2"/>
  <c r="AC114" i="2"/>
  <c r="AC101" i="2"/>
  <c r="AC93" i="2"/>
  <c r="AC84" i="2"/>
  <c r="AC76" i="2"/>
  <c r="AC72" i="2"/>
  <c r="AC64" i="2"/>
  <c r="AC56" i="2"/>
  <c r="AC48" i="2"/>
  <c r="AC40" i="2"/>
  <c r="AC32" i="2"/>
  <c r="AC24" i="2"/>
  <c r="AC16" i="2"/>
  <c r="AC8" i="2"/>
  <c r="AB275" i="2"/>
  <c r="AB267" i="2"/>
  <c r="AB259" i="2"/>
  <c r="AB251" i="2"/>
  <c r="AB237" i="2"/>
  <c r="AB229" i="2"/>
  <c r="AB221" i="2"/>
  <c r="AB213" i="2"/>
  <c r="AB205" i="2"/>
  <c r="AB197" i="2"/>
  <c r="AB189" i="2"/>
  <c r="AB181" i="2"/>
  <c r="AB177" i="2"/>
  <c r="AB169" i="2"/>
  <c r="AB161" i="2"/>
  <c r="AB153" i="2"/>
  <c r="AB145" i="2"/>
  <c r="AB141" i="2"/>
  <c r="AB137" i="2"/>
  <c r="AB133" i="2"/>
  <c r="AB125" i="2"/>
  <c r="AB117" i="2"/>
  <c r="AB109" i="2"/>
  <c r="AB96" i="2"/>
  <c r="AB87" i="2"/>
  <c r="AB79" i="2"/>
  <c r="AB71" i="2"/>
  <c r="AB63" i="2"/>
  <c r="AB55" i="2"/>
  <c r="AB47" i="2"/>
  <c r="AB39" i="2"/>
  <c r="AB31" i="2"/>
  <c r="AB23" i="2"/>
  <c r="AB15" i="2"/>
  <c r="AB7" i="2"/>
  <c r="AA274" i="2"/>
  <c r="AA266" i="2"/>
  <c r="AA262" i="2"/>
  <c r="AA254" i="2"/>
  <c r="AA240" i="2"/>
  <c r="AA232" i="2"/>
  <c r="AA224" i="2"/>
  <c r="AA216" i="2"/>
  <c r="AA208" i="2"/>
  <c r="AA200" i="2"/>
  <c r="AA192" i="2"/>
  <c r="AA184" i="2"/>
  <c r="AA176" i="2"/>
  <c r="AA168" i="2"/>
  <c r="AA160" i="2"/>
  <c r="AA152" i="2"/>
  <c r="AA144" i="2"/>
  <c r="AA136" i="2"/>
  <c r="AA128" i="2"/>
  <c r="AA120" i="2"/>
  <c r="AA112" i="2"/>
  <c r="AA99" i="2"/>
  <c r="AA90" i="2"/>
  <c r="AA82" i="2"/>
  <c r="AA74" i="2"/>
  <c r="AA66" i="2"/>
  <c r="AA58" i="2"/>
  <c r="AA50" i="2"/>
  <c r="AA46" i="2"/>
  <c r="AA38" i="2"/>
  <c r="AA30" i="2"/>
  <c r="AA22" i="2"/>
  <c r="AA14" i="2"/>
  <c r="AA6" i="2"/>
  <c r="Z273" i="2"/>
  <c r="Z265" i="2"/>
  <c r="Z257" i="2"/>
  <c r="Z243" i="2"/>
  <c r="Z235" i="2"/>
  <c r="Z227" i="2"/>
  <c r="Z223" i="2"/>
  <c r="Z215" i="2"/>
  <c r="Z207" i="2"/>
  <c r="Z199" i="2"/>
  <c r="Z191" i="2"/>
  <c r="Z183" i="2"/>
  <c r="Z175" i="2"/>
  <c r="Z167" i="2"/>
  <c r="Z159" i="2"/>
  <c r="Z155" i="2"/>
  <c r="Z147" i="2"/>
  <c r="Z143" i="2"/>
  <c r="Z139" i="2"/>
  <c r="Z135" i="2"/>
  <c r="Z131" i="2"/>
  <c r="Z127" i="2"/>
  <c r="Z123" i="2"/>
  <c r="Z115" i="2"/>
  <c r="Z111" i="2"/>
  <c r="Z98" i="2"/>
  <c r="Z89" i="2"/>
  <c r="Z81" i="2"/>
  <c r="Z73" i="2"/>
  <c r="Z65" i="2"/>
  <c r="Z57" i="2"/>
  <c r="Z49" i="2"/>
  <c r="Z41" i="2"/>
  <c r="Z33" i="2"/>
  <c r="Z25" i="2"/>
  <c r="Z17" i="2"/>
  <c r="Z13" i="2"/>
  <c r="Z5" i="2"/>
  <c r="Y272" i="2"/>
  <c r="Y264" i="2"/>
  <c r="Y256" i="2"/>
  <c r="Y238" i="2"/>
  <c r="Y230" i="2"/>
  <c r="Y222" i="2"/>
  <c r="Y214" i="2"/>
  <c r="Y206" i="2"/>
  <c r="Y198" i="2"/>
  <c r="Y190" i="2"/>
  <c r="Y182" i="2"/>
  <c r="Y174" i="2"/>
  <c r="Y162" i="2"/>
  <c r="Y158" i="2"/>
  <c r="Y150" i="2"/>
  <c r="Y142" i="2"/>
  <c r="Y134" i="2"/>
  <c r="Y126" i="2"/>
  <c r="Y118" i="2"/>
  <c r="Y110" i="2"/>
  <c r="Y97" i="2"/>
  <c r="Y88" i="2"/>
  <c r="Y80" i="2"/>
  <c r="Y72" i="2"/>
  <c r="Y64" i="2"/>
  <c r="Y56" i="2"/>
  <c r="Y48" i="2"/>
  <c r="Y40" i="2"/>
  <c r="Y32" i="2"/>
  <c r="Y24" i="2"/>
  <c r="Y16" i="2"/>
  <c r="Y8" i="2"/>
  <c r="X275" i="2"/>
  <c r="X267" i="2"/>
  <c r="X259" i="2"/>
  <c r="X251" i="2"/>
  <c r="X237" i="2"/>
  <c r="X229" i="2"/>
  <c r="X221" i="2"/>
  <c r="X213" i="2"/>
  <c r="X205" i="2"/>
  <c r="X197" i="2"/>
  <c r="X189" i="2"/>
  <c r="X181" i="2"/>
  <c r="X173" i="2"/>
  <c r="X165" i="2"/>
  <c r="X157" i="2"/>
  <c r="X149" i="2"/>
  <c r="X141" i="2"/>
  <c r="X133" i="2"/>
  <c r="X125" i="2"/>
  <c r="X117" i="2"/>
  <c r="X109" i="2"/>
  <c r="X96" i="2"/>
  <c r="X87" i="2"/>
  <c r="X79" i="2"/>
  <c r="X71" i="2"/>
  <c r="X67" i="2"/>
  <c r="X59" i="2"/>
  <c r="X51" i="2"/>
  <c r="X43" i="2"/>
  <c r="X35" i="2"/>
  <c r="X25" i="2"/>
  <c r="X15" i="2"/>
  <c r="X4" i="2"/>
  <c r="W268" i="2"/>
  <c r="W258" i="2"/>
  <c r="W241" i="2"/>
  <c r="W230" i="2"/>
  <c r="W220" i="2"/>
  <c r="W209" i="2"/>
  <c r="W198" i="2"/>
  <c r="W193" i="2"/>
  <c r="W182" i="2"/>
  <c r="W172" i="2"/>
  <c r="W161" i="2"/>
  <c r="W150" i="2"/>
  <c r="W140" i="2"/>
  <c r="W129" i="2"/>
  <c r="W118" i="2"/>
  <c r="W108" i="2"/>
  <c r="W92" i="2"/>
  <c r="W80" i="2"/>
  <c r="W70" i="2"/>
  <c r="W59" i="2"/>
  <c r="W54" i="2"/>
  <c r="W43" i="2"/>
  <c r="W38" i="2"/>
  <c r="W32" i="2"/>
  <c r="W22" i="2"/>
  <c r="W11" i="2"/>
  <c r="V275" i="2"/>
  <c r="V265" i="2"/>
  <c r="V254" i="2"/>
  <c r="V237" i="2"/>
  <c r="V227" i="2"/>
  <c r="V216" i="2"/>
  <c r="V205" i="2"/>
  <c r="V195" i="2"/>
  <c r="V184" i="2"/>
  <c r="V169" i="2"/>
  <c r="V153" i="2"/>
  <c r="V137" i="2"/>
  <c r="V121" i="2"/>
  <c r="V100" i="2"/>
  <c r="V83" i="2"/>
  <c r="V67" i="2"/>
  <c r="V51" i="2"/>
  <c r="V35" i="2"/>
  <c r="V19" i="2"/>
  <c r="U278" i="2"/>
  <c r="U262" i="2"/>
  <c r="U240" i="2"/>
  <c r="U224" i="2"/>
  <c r="U208" i="2"/>
  <c r="U192" i="2"/>
  <c r="U176" i="2"/>
  <c r="U160" i="2"/>
  <c r="U144" i="2"/>
  <c r="U128" i="2"/>
  <c r="U112" i="2"/>
  <c r="U90" i="2"/>
  <c r="U74" i="2"/>
  <c r="U58" i="2"/>
  <c r="U42" i="2"/>
  <c r="U26" i="2"/>
  <c r="U10" i="2"/>
  <c r="T269" i="2"/>
  <c r="T253" i="2"/>
  <c r="T231" i="2"/>
  <c r="T215" i="2"/>
  <c r="T199" i="2"/>
  <c r="T183" i="2"/>
  <c r="T175" i="2"/>
  <c r="T159" i="2"/>
  <c r="T143" i="2"/>
  <c r="T127" i="2"/>
  <c r="T111" i="2"/>
  <c r="T89" i="2"/>
  <c r="T73" i="2"/>
  <c r="T57" i="2"/>
  <c r="T41" i="2"/>
  <c r="T25" i="2"/>
  <c r="T9" i="2"/>
  <c r="S268" i="2"/>
  <c r="S252" i="2"/>
  <c r="S230" i="2"/>
  <c r="S214" i="2"/>
  <c r="S198" i="2"/>
  <c r="S182" i="2"/>
  <c r="S166" i="2"/>
  <c r="S150" i="2"/>
  <c r="S134" i="2"/>
  <c r="S118" i="2"/>
  <c r="S97" i="2"/>
  <c r="S80" i="2"/>
  <c r="S64" i="2"/>
  <c r="S48" i="2"/>
  <c r="S32" i="2"/>
  <c r="S16" i="2"/>
  <c r="R275" i="2"/>
  <c r="R259" i="2"/>
  <c r="R237" i="2"/>
  <c r="R221" i="2"/>
  <c r="R205" i="2"/>
  <c r="R197" i="2"/>
  <c r="R181" i="2"/>
  <c r="R165" i="2"/>
  <c r="R149" i="2"/>
  <c r="R133" i="2"/>
  <c r="R117" i="2"/>
  <c r="R96" i="2"/>
  <c r="R79" i="2"/>
  <c r="R63" i="2"/>
  <c r="R47" i="2"/>
  <c r="R31" i="2"/>
  <c r="R23" i="2"/>
  <c r="R7" i="2"/>
  <c r="Q266" i="2"/>
  <c r="Q244" i="2"/>
  <c r="Q228" i="2"/>
  <c r="Q212" i="2"/>
  <c r="Q196" i="2"/>
  <c r="Q172" i="2"/>
  <c r="Q156" i="2"/>
  <c r="Q132" i="2"/>
  <c r="Q116" i="2"/>
  <c r="Q95" i="2"/>
  <c r="Q78" i="2"/>
  <c r="Q62" i="2"/>
  <c r="Q46" i="2"/>
  <c r="Q30" i="2"/>
  <c r="Q14" i="2"/>
  <c r="Q6" i="2"/>
  <c r="P265" i="2"/>
  <c r="P243" i="2"/>
  <c r="P219" i="2"/>
  <c r="P203" i="2"/>
  <c r="P187" i="2"/>
  <c r="P171" i="2"/>
  <c r="P163" i="2"/>
  <c r="P147" i="2"/>
  <c r="P131" i="2"/>
  <c r="P115" i="2"/>
  <c r="P94" i="2"/>
  <c r="P69" i="2"/>
  <c r="P53" i="2"/>
  <c r="P37" i="2"/>
  <c r="P21" i="2"/>
  <c r="P5" i="2"/>
  <c r="O264" i="2"/>
  <c r="O242" i="2"/>
  <c r="O226" i="2"/>
  <c r="O218" i="2"/>
  <c r="O202" i="2"/>
  <c r="O186" i="2"/>
  <c r="O162" i="2"/>
  <c r="O146" i="2"/>
  <c r="O130" i="2"/>
  <c r="O114" i="2"/>
  <c r="O101" i="2"/>
  <c r="O76" i="2"/>
  <c r="O60" i="2"/>
  <c r="O44" i="2"/>
  <c r="O28" i="2"/>
  <c r="O12" i="2"/>
  <c r="N271" i="2"/>
  <c r="N255" i="2"/>
  <c r="N233" i="2"/>
  <c r="N217" i="2"/>
  <c r="N201" i="2"/>
  <c r="N185" i="2"/>
  <c r="N177" i="2"/>
  <c r="N161" i="2"/>
  <c r="N145" i="2"/>
  <c r="N129" i="2"/>
  <c r="N113" i="2"/>
  <c r="N92" i="2"/>
  <c r="N75" i="2"/>
  <c r="N59" i="2"/>
  <c r="N43" i="2"/>
  <c r="N27" i="2"/>
  <c r="N11" i="2"/>
  <c r="M278" i="2"/>
  <c r="M262" i="2"/>
  <c r="M239" i="2"/>
  <c r="M218" i="2"/>
  <c r="M197" i="2"/>
  <c r="M175" i="2"/>
  <c r="M154" i="2"/>
  <c r="M133" i="2"/>
  <c r="M111" i="2"/>
  <c r="M84" i="2"/>
  <c r="M56" i="2"/>
  <c r="M24" i="2"/>
  <c r="L267" i="2"/>
  <c r="L229" i="2"/>
  <c r="L197" i="2"/>
  <c r="L181" i="2"/>
  <c r="L149" i="2"/>
  <c r="L133" i="2"/>
  <c r="L117" i="2"/>
  <c r="L79" i="2"/>
  <c r="L47" i="2"/>
  <c r="L15" i="2"/>
  <c r="K258" i="2"/>
  <c r="K220" i="2"/>
  <c r="K188" i="2"/>
  <c r="K156" i="2"/>
  <c r="K124" i="2"/>
  <c r="K86" i="2"/>
  <c r="K54" i="2"/>
  <c r="K22" i="2"/>
  <c r="J265" i="2"/>
  <c r="J227" i="2"/>
  <c r="J195" i="2"/>
  <c r="J163" i="2"/>
  <c r="J131" i="2"/>
  <c r="J94" i="2"/>
  <c r="J61" i="2"/>
  <c r="J29" i="2"/>
  <c r="I272" i="2"/>
  <c r="I234" i="2"/>
  <c r="I202" i="2"/>
  <c r="I170" i="2"/>
  <c r="I138" i="2"/>
  <c r="I101" i="2"/>
  <c r="I68" i="2"/>
  <c r="I36" i="2"/>
  <c r="I4" i="2"/>
  <c r="H241" i="2"/>
  <c r="H209" i="2"/>
  <c r="H177" i="2"/>
  <c r="H145" i="2"/>
  <c r="H129" i="2"/>
  <c r="H92" i="2"/>
  <c r="H59" i="2"/>
  <c r="H27" i="2"/>
  <c r="G270" i="2"/>
  <c r="G232" i="2"/>
  <c r="G200" i="2"/>
  <c r="G168" i="2"/>
  <c r="G136" i="2"/>
  <c r="G99" i="2"/>
  <c r="G66" i="2"/>
  <c r="G34" i="2"/>
  <c r="F277" i="2"/>
  <c r="F239" i="2"/>
  <c r="F207" i="2"/>
  <c r="F175" i="2"/>
  <c r="F143" i="2"/>
  <c r="F111" i="2"/>
  <c r="F73" i="2"/>
  <c r="F41" i="2"/>
  <c r="F9" i="2"/>
  <c r="E252" i="2"/>
  <c r="E214" i="2"/>
  <c r="E182" i="2"/>
  <c r="E150" i="2"/>
  <c r="E118" i="2"/>
  <c r="E80" i="2"/>
  <c r="E48" i="2"/>
  <c r="E16" i="2"/>
  <c r="D259" i="2"/>
  <c r="D221" i="2"/>
  <c r="D189" i="2"/>
  <c r="D173" i="2"/>
  <c r="D141" i="2"/>
  <c r="D109" i="2"/>
  <c r="D71" i="2"/>
  <c r="D39" i="2"/>
  <c r="D7" i="2"/>
  <c r="C244" i="2"/>
  <c r="C212" i="2"/>
  <c r="C180" i="2"/>
  <c r="C148" i="2"/>
  <c r="C116" i="2"/>
  <c r="C78" i="2"/>
  <c r="C30" i="2"/>
  <c r="R3" i="2"/>
  <c r="J3" i="2"/>
  <c r="AG3" i="2"/>
  <c r="Y3" i="2"/>
  <c r="AE3" i="5"/>
  <c r="W3" i="5"/>
  <c r="S3" i="5"/>
  <c r="K3" i="5"/>
  <c r="AG275" i="2"/>
  <c r="AG267" i="2"/>
  <c r="AG259" i="2"/>
  <c r="AG251" i="2"/>
  <c r="AG237" i="2"/>
  <c r="AG229" i="2"/>
  <c r="AG217" i="2"/>
  <c r="AG209" i="2"/>
  <c r="AG201" i="2"/>
  <c r="AG193" i="2"/>
  <c r="AG185" i="2"/>
  <c r="AG177" i="2"/>
  <c r="AG169" i="2"/>
  <c r="AG161" i="2"/>
  <c r="AG153" i="2"/>
  <c r="AG145" i="2"/>
  <c r="AG137" i="2"/>
  <c r="AG129" i="2"/>
  <c r="AG121" i="2"/>
  <c r="AG113" i="2"/>
  <c r="AG100" i="2"/>
  <c r="AG92" i="2"/>
  <c r="AG83" i="2"/>
  <c r="AG75" i="2"/>
  <c r="AG67" i="2"/>
  <c r="AG59" i="2"/>
  <c r="AG51" i="2"/>
  <c r="AG43" i="2"/>
  <c r="AG35" i="2"/>
  <c r="AG27" i="2"/>
  <c r="AG19" i="2"/>
  <c r="AG11" i="2"/>
  <c r="AF278" i="2"/>
  <c r="AF270" i="2"/>
  <c r="AF262" i="2"/>
  <c r="AF254" i="2"/>
  <c r="AF240" i="2"/>
  <c r="AF232" i="2"/>
  <c r="AF224" i="2"/>
  <c r="AF216" i="2"/>
  <c r="AF208" i="2"/>
  <c r="AF200" i="2"/>
  <c r="AF192" i="2"/>
  <c r="AF184" i="2"/>
  <c r="AF180" i="2"/>
  <c r="AF172" i="2"/>
  <c r="AF164" i="2"/>
  <c r="AF156" i="2"/>
  <c r="AF148" i="2"/>
  <c r="AF144" i="2"/>
  <c r="AF140" i="2"/>
  <c r="AF136" i="2"/>
  <c r="AF132" i="2"/>
  <c r="AF128" i="2"/>
  <c r="AF124" i="2"/>
  <c r="AF120" i="2"/>
  <c r="AF116" i="2"/>
  <c r="AF108" i="2"/>
  <c r="AF95" i="2"/>
  <c r="AF86" i="2"/>
  <c r="AF78" i="2"/>
  <c r="AF70" i="2"/>
  <c r="AF62" i="2"/>
  <c r="AF54" i="2"/>
  <c r="AF46" i="2"/>
  <c r="AF38" i="2"/>
  <c r="AF26" i="2"/>
  <c r="AF18" i="2"/>
  <c r="AF10" i="2"/>
  <c r="AF6" i="2"/>
  <c r="AE273" i="2"/>
  <c r="AE265" i="2"/>
  <c r="AE257" i="2"/>
  <c r="AE243" i="2"/>
  <c r="AE235" i="2"/>
  <c r="AE227" i="2"/>
  <c r="AE219" i="2"/>
  <c r="AE211" i="2"/>
  <c r="AE203" i="2"/>
  <c r="AE195" i="2"/>
  <c r="AE187" i="2"/>
  <c r="AE179" i="2"/>
  <c r="AE171" i="2"/>
  <c r="AE163" i="2"/>
  <c r="AE155" i="2"/>
  <c r="AE147" i="2"/>
  <c r="AE139" i="2"/>
  <c r="AE127" i="2"/>
  <c r="AE119" i="2"/>
  <c r="AE111" i="2"/>
  <c r="AE98" i="2"/>
  <c r="AE89" i="2"/>
  <c r="AE81" i="2"/>
  <c r="AE73" i="2"/>
  <c r="AE65" i="2"/>
  <c r="AE57" i="2"/>
  <c r="AE49" i="2"/>
  <c r="AE41" i="2"/>
  <c r="AE33" i="2"/>
  <c r="AE25" i="2"/>
  <c r="AE17" i="2"/>
  <c r="AE9" i="2"/>
  <c r="AD276" i="2"/>
  <c r="AD268" i="2"/>
  <c r="AD260" i="2"/>
  <c r="AD252" i="2"/>
  <c r="AD238" i="2"/>
  <c r="AD230" i="2"/>
  <c r="AD222" i="2"/>
  <c r="AD214" i="2"/>
  <c r="AD206" i="2"/>
  <c r="AD198" i="2"/>
  <c r="AD186" i="2"/>
  <c r="AD178" i="2"/>
  <c r="AD170" i="2"/>
  <c r="AD162" i="2"/>
  <c r="AD154" i="2"/>
  <c r="AD146" i="2"/>
  <c r="AD138" i="2"/>
  <c r="AD130" i="2"/>
  <c r="AD122" i="2"/>
  <c r="AD114" i="2"/>
  <c r="AD101" i="2"/>
  <c r="AD93" i="2"/>
  <c r="AD84" i="2"/>
  <c r="AD76" i="2"/>
  <c r="AD68" i="2"/>
  <c r="AD60" i="2"/>
  <c r="AD52" i="2"/>
  <c r="AD44" i="2"/>
  <c r="AD36" i="2"/>
  <c r="AD28" i="2"/>
  <c r="AD16" i="2"/>
  <c r="AD8" i="2"/>
  <c r="AC275" i="2"/>
  <c r="AC267" i="2"/>
  <c r="AC259" i="2"/>
  <c r="AC251" i="2"/>
  <c r="AC237" i="2"/>
  <c r="AC229" i="2"/>
  <c r="AC221" i="2"/>
  <c r="AC213" i="2"/>
  <c r="AC205" i="2"/>
  <c r="AC197" i="2"/>
  <c r="AC189" i="2"/>
  <c r="AC181" i="2"/>
  <c r="AC173" i="2"/>
  <c r="AC165" i="2"/>
  <c r="AC157" i="2"/>
  <c r="AC149" i="2"/>
  <c r="AC141" i="2"/>
  <c r="AC133" i="2"/>
  <c r="AC125" i="2"/>
  <c r="AC113" i="2"/>
  <c r="AC100" i="2"/>
  <c r="AC92" i="2"/>
  <c r="AC83" i="2"/>
  <c r="AC75" i="2"/>
  <c r="AC67" i="2"/>
  <c r="AC59" i="2"/>
  <c r="AC51" i="2"/>
  <c r="AC43" i="2"/>
  <c r="AC35" i="2"/>
  <c r="AC27" i="2"/>
  <c r="AC19" i="2"/>
  <c r="AC11" i="2"/>
  <c r="AB278" i="2"/>
  <c r="AB270" i="2"/>
  <c r="AB262" i="2"/>
  <c r="AB254" i="2"/>
  <c r="AB240" i="2"/>
  <c r="AB232" i="2"/>
  <c r="AB224" i="2"/>
  <c r="AB216" i="2"/>
  <c r="AB212" i="2"/>
  <c r="AB200" i="2"/>
  <c r="AB192" i="2"/>
  <c r="AB184" i="2"/>
  <c r="AB176" i="2"/>
  <c r="AB168" i="2"/>
  <c r="AB160" i="2"/>
  <c r="AB152" i="2"/>
  <c r="AB144" i="2"/>
  <c r="AB136" i="2"/>
  <c r="AB128" i="2"/>
  <c r="AB120" i="2"/>
  <c r="AB112" i="2"/>
  <c r="AB99" i="2"/>
  <c r="AB90" i="2"/>
  <c r="AB82" i="2"/>
  <c r="AB74" i="2"/>
  <c r="AB62" i="2"/>
  <c r="AB54" i="2"/>
  <c r="AB46" i="2"/>
  <c r="AB38" i="2"/>
  <c r="AB30" i="2"/>
  <c r="AB22" i="2"/>
  <c r="AB14" i="2"/>
  <c r="AB6" i="2"/>
  <c r="AA273" i="2"/>
  <c r="AA265" i="2"/>
  <c r="AA257" i="2"/>
  <c r="AA243" i="2"/>
  <c r="AA235" i="2"/>
  <c r="AA227" i="2"/>
  <c r="AA219" i="2"/>
  <c r="AA211" i="2"/>
  <c r="AA203" i="2"/>
  <c r="AA195" i="2"/>
  <c r="AA187" i="2"/>
  <c r="AA179" i="2"/>
  <c r="AA171" i="2"/>
  <c r="AA163" i="2"/>
  <c r="AA155" i="2"/>
  <c r="AA147" i="2"/>
  <c r="AA139" i="2"/>
  <c r="AA131" i="2"/>
  <c r="AA123" i="2"/>
  <c r="AA115" i="2"/>
  <c r="AA107" i="2"/>
  <c r="AA94" i="2"/>
  <c r="AA85" i="2"/>
  <c r="AA77" i="2"/>
  <c r="AA69" i="2"/>
  <c r="AA61" i="2"/>
  <c r="AA53" i="2"/>
  <c r="AA45" i="2"/>
  <c r="AA37" i="2"/>
  <c r="AA29" i="2"/>
  <c r="AA21" i="2"/>
  <c r="AA13" i="2"/>
  <c r="AA5" i="2"/>
  <c r="Z272" i="2"/>
  <c r="Z260" i="2"/>
  <c r="Z252" i="2"/>
  <c r="Z238" i="2"/>
  <c r="Z230" i="2"/>
  <c r="Z222" i="2"/>
  <c r="Z214" i="2"/>
  <c r="Z206" i="2"/>
  <c r="Z198" i="2"/>
  <c r="Z190" i="2"/>
  <c r="Z182" i="2"/>
  <c r="Z174" i="2"/>
  <c r="Z166" i="2"/>
  <c r="Z158" i="2"/>
  <c r="Z150" i="2"/>
  <c r="Z142" i="2"/>
  <c r="Z134" i="2"/>
  <c r="Z126" i="2"/>
  <c r="Z118" i="2"/>
  <c r="Z110" i="2"/>
  <c r="Z97" i="2"/>
  <c r="Z88" i="2"/>
  <c r="Z80" i="2"/>
  <c r="Z72" i="2"/>
  <c r="Z64" i="2"/>
  <c r="Z56" i="2"/>
  <c r="Z48" i="2"/>
  <c r="Z40" i="2"/>
  <c r="Z32" i="2"/>
  <c r="Z24" i="2"/>
  <c r="Z16" i="2"/>
  <c r="Z8" i="2"/>
  <c r="Y275" i="2"/>
  <c r="Y267" i="2"/>
  <c r="Y259" i="2"/>
  <c r="Y251" i="2"/>
  <c r="Y237" i="2"/>
  <c r="Y233" i="2"/>
  <c r="Y225" i="2"/>
  <c r="Y217" i="2"/>
  <c r="Y209" i="2"/>
  <c r="Y201" i="2"/>
  <c r="Y193" i="2"/>
  <c r="Y185" i="2"/>
  <c r="Y177" i="2"/>
  <c r="Y169" i="2"/>
  <c r="Y161" i="2"/>
  <c r="Y153" i="2"/>
  <c r="Y145" i="2"/>
  <c r="Y137" i="2"/>
  <c r="Y129" i="2"/>
  <c r="Y121" i="2"/>
  <c r="Y113" i="2"/>
  <c r="Y100" i="2"/>
  <c r="Y92" i="2"/>
  <c r="Y83" i="2"/>
  <c r="Y75" i="2"/>
  <c r="Y67" i="2"/>
  <c r="Y59" i="2"/>
  <c r="Y51" i="2"/>
  <c r="Y43" i="2"/>
  <c r="Y35" i="2"/>
  <c r="Y27" i="2"/>
  <c r="Y15" i="2"/>
  <c r="Y7" i="2"/>
  <c r="X274" i="2"/>
  <c r="X270" i="2"/>
  <c r="X262" i="2"/>
  <c r="X254" i="2"/>
  <c r="X236" i="2"/>
  <c r="X228" i="2"/>
  <c r="X224" i="2"/>
  <c r="X216" i="2"/>
  <c r="X208" i="2"/>
  <c r="X200" i="2"/>
  <c r="X192" i="2"/>
  <c r="X184" i="2"/>
  <c r="X176" i="2"/>
  <c r="X168" i="2"/>
  <c r="X160" i="2"/>
  <c r="X148" i="2"/>
  <c r="X140" i="2"/>
  <c r="X132" i="2"/>
  <c r="X124" i="2"/>
  <c r="X116" i="2"/>
  <c r="X108" i="2"/>
  <c r="X95" i="2"/>
  <c r="X86" i="2"/>
  <c r="X78" i="2"/>
  <c r="X70" i="2"/>
  <c r="X62" i="2"/>
  <c r="X54" i="2"/>
  <c r="X46" i="2"/>
  <c r="X38" i="2"/>
  <c r="X29" i="2"/>
  <c r="X19" i="2"/>
  <c r="X8" i="2"/>
  <c r="W272" i="2"/>
  <c r="W262" i="2"/>
  <c r="W251" i="2"/>
  <c r="W234" i="2"/>
  <c r="W224" i="2"/>
  <c r="W213" i="2"/>
  <c r="W202" i="2"/>
  <c r="W192" i="2"/>
  <c r="W181" i="2"/>
  <c r="W170" i="2"/>
  <c r="W160" i="2"/>
  <c r="W149" i="2"/>
  <c r="W138" i="2"/>
  <c r="W128" i="2"/>
  <c r="W122" i="2"/>
  <c r="W112" i="2"/>
  <c r="W96" i="2"/>
  <c r="W79" i="2"/>
  <c r="W68" i="2"/>
  <c r="W58" i="2"/>
  <c r="W47" i="2"/>
  <c r="W36" i="2"/>
  <c r="W26" i="2"/>
  <c r="W15" i="2"/>
  <c r="W4" i="2"/>
  <c r="V269" i="2"/>
  <c r="V258" i="2"/>
  <c r="V241" i="2"/>
  <c r="V231" i="2"/>
  <c r="V220" i="2"/>
  <c r="V209" i="2"/>
  <c r="V199" i="2"/>
  <c r="V188" i="2"/>
  <c r="V176" i="2"/>
  <c r="V160" i="2"/>
  <c r="V144" i="2"/>
  <c r="V128" i="2"/>
  <c r="V99" i="2"/>
  <c r="V82" i="2"/>
  <c r="V66" i="2"/>
  <c r="V50" i="2"/>
  <c r="V34" i="2"/>
  <c r="V18" i="2"/>
  <c r="V10" i="2"/>
  <c r="U269" i="2"/>
  <c r="U253" i="2"/>
  <c r="U231" i="2"/>
  <c r="U215" i="2"/>
  <c r="U199" i="2"/>
  <c r="U183" i="2"/>
  <c r="U167" i="2"/>
  <c r="U151" i="2"/>
  <c r="U127" i="2"/>
  <c r="U111" i="2"/>
  <c r="U89" i="2"/>
  <c r="U73" i="2"/>
  <c r="U57" i="2"/>
  <c r="U41" i="2"/>
  <c r="U25" i="2"/>
  <c r="U9" i="2"/>
  <c r="T268" i="2"/>
  <c r="T252" i="2"/>
  <c r="T230" i="2"/>
  <c r="T214" i="2"/>
  <c r="T198" i="2"/>
  <c r="T182" i="2"/>
  <c r="T166" i="2"/>
  <c r="T150" i="2"/>
  <c r="T126" i="2"/>
  <c r="T88" i="2"/>
  <c r="T80" i="2"/>
  <c r="T72" i="2"/>
  <c r="T56" i="2"/>
  <c r="T40" i="2"/>
  <c r="T24" i="2"/>
  <c r="T8" i="2"/>
  <c r="S267" i="2"/>
  <c r="S251" i="2"/>
  <c r="S229" i="2"/>
  <c r="S213" i="2"/>
  <c r="S197" i="2"/>
  <c r="S181" i="2"/>
  <c r="S165" i="2"/>
  <c r="S149" i="2"/>
  <c r="S133" i="2"/>
  <c r="S117" i="2"/>
  <c r="S96" i="2"/>
  <c r="S79" i="2"/>
  <c r="S63" i="2"/>
  <c r="S47" i="2"/>
  <c r="S31" i="2"/>
  <c r="S15" i="2"/>
  <c r="R274" i="2"/>
  <c r="R258" i="2"/>
  <c r="R236" i="2"/>
  <c r="R220" i="2"/>
  <c r="R204" i="2"/>
  <c r="R188" i="2"/>
  <c r="R172" i="2"/>
  <c r="R156" i="2"/>
  <c r="R140" i="2"/>
  <c r="R124" i="2"/>
  <c r="R108" i="2"/>
  <c r="R86" i="2"/>
  <c r="R70" i="2"/>
  <c r="R54" i="2"/>
  <c r="R38" i="2"/>
  <c r="R22" i="2"/>
  <c r="R6" i="2"/>
  <c r="Q265" i="2"/>
  <c r="Q243" i="2"/>
  <c r="Q227" i="2"/>
  <c r="Q211" i="2"/>
  <c r="Q195" i="2"/>
  <c r="Q179" i="2"/>
  <c r="Q163" i="2"/>
  <c r="Q147" i="2"/>
  <c r="Q131" i="2"/>
  <c r="Q115" i="2"/>
  <c r="Q94" i="2"/>
  <c r="Q77" i="2"/>
  <c r="Q61" i="2"/>
  <c r="Q45" i="2"/>
  <c r="Q29" i="2"/>
  <c r="Q13" i="2"/>
  <c r="P272" i="2"/>
  <c r="P264" i="2"/>
  <c r="P242" i="2"/>
  <c r="P226" i="2"/>
  <c r="P210" i="2"/>
  <c r="P186" i="2"/>
  <c r="P170" i="2"/>
  <c r="P154" i="2"/>
  <c r="P138" i="2"/>
  <c r="P122" i="2"/>
  <c r="P101" i="2"/>
  <c r="P84" i="2"/>
  <c r="P68" i="2"/>
  <c r="P52" i="2"/>
  <c r="P36" i="2"/>
  <c r="P20" i="2"/>
  <c r="P4" i="2"/>
  <c r="O263" i="2"/>
  <c r="O241" i="2"/>
  <c r="O225" i="2"/>
  <c r="O209" i="2"/>
  <c r="O193" i="2"/>
  <c r="O177" i="2"/>
  <c r="O161" i="2"/>
  <c r="O145" i="2"/>
  <c r="O129" i="2"/>
  <c r="O113" i="2"/>
  <c r="O92" i="2"/>
  <c r="O83" i="2"/>
  <c r="O67" i="2"/>
  <c r="O51" i="2"/>
  <c r="O35" i="2"/>
  <c r="O19" i="2"/>
  <c r="N278" i="2"/>
  <c r="N262" i="2"/>
  <c r="N232" i="2"/>
  <c r="N216" i="2"/>
  <c r="N200" i="2"/>
  <c r="N184" i="2"/>
  <c r="N176" i="2"/>
  <c r="N160" i="2"/>
  <c r="N144" i="2"/>
  <c r="N128" i="2"/>
  <c r="N112" i="2"/>
  <c r="N90" i="2"/>
  <c r="N74" i="2"/>
  <c r="N58" i="2"/>
  <c r="N42" i="2"/>
  <c r="N26" i="2"/>
  <c r="N10" i="2"/>
  <c r="M269" i="2"/>
  <c r="M253" i="2"/>
  <c r="M227" i="2"/>
  <c r="M206" i="2"/>
  <c r="M185" i="2"/>
  <c r="M163" i="2"/>
  <c r="M142" i="2"/>
  <c r="M121" i="2"/>
  <c r="M110" i="2"/>
  <c r="M83" i="2"/>
  <c r="M55" i="2"/>
  <c r="M23" i="2"/>
  <c r="L266" i="2"/>
  <c r="L228" i="2"/>
  <c r="L180" i="2"/>
  <c r="L148" i="2"/>
  <c r="L116" i="2"/>
  <c r="L78" i="2"/>
  <c r="L46" i="2"/>
  <c r="L14" i="2"/>
  <c r="K257" i="2"/>
  <c r="K219" i="2"/>
  <c r="K187" i="2"/>
  <c r="K155" i="2"/>
  <c r="K123" i="2"/>
  <c r="K85" i="2"/>
  <c r="K53" i="2"/>
  <c r="K21" i="2"/>
  <c r="J264" i="2"/>
  <c r="J226" i="2"/>
  <c r="J194" i="2"/>
  <c r="J162" i="2"/>
  <c r="J130" i="2"/>
  <c r="J93" i="2"/>
  <c r="J60" i="2"/>
  <c r="J28" i="2"/>
  <c r="J12" i="2"/>
  <c r="I255" i="2"/>
  <c r="I217" i="2"/>
  <c r="I185" i="2"/>
  <c r="I153" i="2"/>
  <c r="I121" i="2"/>
  <c r="I83" i="2"/>
  <c r="I51" i="2"/>
  <c r="I19" i="2"/>
  <c r="H262" i="2"/>
  <c r="H224" i="2"/>
  <c r="H192" i="2"/>
  <c r="H160" i="2"/>
  <c r="H128" i="2"/>
  <c r="H90" i="2"/>
  <c r="H74" i="2"/>
  <c r="H42" i="2"/>
  <c r="H10" i="2"/>
  <c r="G253" i="2"/>
  <c r="G215" i="2"/>
  <c r="G183" i="2"/>
  <c r="G151" i="2"/>
  <c r="G119" i="2"/>
  <c r="G81" i="2"/>
  <c r="G49" i="2"/>
  <c r="G17" i="2"/>
  <c r="F260" i="2"/>
  <c r="F222" i="2"/>
  <c r="F190" i="2"/>
  <c r="F158" i="2"/>
  <c r="F126" i="2"/>
  <c r="F88" i="2"/>
  <c r="F56" i="2"/>
  <c r="F24" i="2"/>
  <c r="E267" i="2"/>
  <c r="E229" i="2"/>
  <c r="E197" i="2"/>
  <c r="E165" i="2"/>
  <c r="E133" i="2"/>
  <c r="E117" i="2"/>
  <c r="E79" i="2"/>
  <c r="E47" i="2"/>
  <c r="E15" i="2"/>
  <c r="D258" i="2"/>
  <c r="D220" i="2"/>
  <c r="D188" i="2"/>
  <c r="D156" i="2"/>
  <c r="D124" i="2"/>
  <c r="D86" i="2"/>
  <c r="D54" i="2"/>
  <c r="D22" i="2"/>
  <c r="C265" i="2"/>
  <c r="C227" i="2"/>
  <c r="C195" i="2"/>
  <c r="C163" i="2"/>
  <c r="C131" i="2"/>
  <c r="C94" i="2"/>
  <c r="C61" i="2"/>
  <c r="C29" i="2"/>
  <c r="AA278" i="5"/>
  <c r="Z277" i="5"/>
  <c r="Y276" i="5"/>
  <c r="X275" i="5"/>
  <c r="W274" i="5"/>
  <c r="V273" i="5"/>
  <c r="U272" i="5"/>
  <c r="T271" i="5"/>
  <c r="S270" i="5"/>
  <c r="R269" i="5"/>
  <c r="Q268" i="5"/>
  <c r="P267" i="5"/>
  <c r="O266" i="5"/>
  <c r="N265" i="5"/>
  <c r="AC264" i="5"/>
  <c r="AB263" i="5"/>
  <c r="AA262" i="5"/>
  <c r="Z261" i="5"/>
  <c r="Y260" i="5"/>
  <c r="X259" i="5"/>
  <c r="W258" i="5"/>
  <c r="V257" i="5"/>
  <c r="U256" i="5"/>
  <c r="T255" i="5"/>
  <c r="S254" i="5"/>
  <c r="R253" i="5"/>
  <c r="Q252" i="5"/>
  <c r="P251" i="5"/>
  <c r="O244" i="5"/>
  <c r="AD243" i="5"/>
  <c r="AC242" i="5"/>
  <c r="AB241" i="5"/>
  <c r="AA240" i="5"/>
  <c r="Z239" i="5"/>
  <c r="Y238" i="5"/>
  <c r="X237" i="5"/>
  <c r="W236" i="5"/>
  <c r="S235" i="5"/>
  <c r="G234" i="5"/>
  <c r="Z232" i="5"/>
  <c r="O231" i="5"/>
  <c r="C230" i="5"/>
  <c r="V228" i="5"/>
  <c r="K227" i="5"/>
  <c r="AD225" i="5"/>
  <c r="L224" i="5"/>
  <c r="J222" i="5"/>
  <c r="H220" i="5"/>
  <c r="F218" i="5"/>
  <c r="E217" i="5"/>
  <c r="C215" i="5"/>
  <c r="AF212" i="5"/>
  <c r="AD210" i="5"/>
  <c r="AB208" i="5"/>
  <c r="Z206" i="5"/>
  <c r="X204" i="5"/>
  <c r="V202" i="5"/>
  <c r="T200" i="5"/>
  <c r="R198" i="5"/>
  <c r="P196" i="5"/>
  <c r="Y193" i="5"/>
  <c r="AG190" i="5"/>
  <c r="J188" i="5"/>
  <c r="Q185" i="5"/>
  <c r="Y182" i="5"/>
  <c r="AG179" i="5"/>
  <c r="O176" i="5"/>
  <c r="K172" i="5"/>
  <c r="G168" i="5"/>
  <c r="C164" i="5"/>
  <c r="AF161" i="5"/>
  <c r="AB157" i="5"/>
  <c r="X153" i="5"/>
  <c r="T149" i="5"/>
  <c r="P145" i="5"/>
  <c r="L141" i="5"/>
  <c r="H137" i="5"/>
  <c r="D133" i="5"/>
  <c r="I128" i="5"/>
  <c r="AF119" i="5"/>
  <c r="X111" i="5"/>
  <c r="L93" i="5"/>
  <c r="AA53" i="5"/>
  <c r="D4" i="5"/>
  <c r="H4" i="5"/>
  <c r="L4" i="5"/>
  <c r="P4" i="5"/>
  <c r="T4" i="5"/>
  <c r="X4" i="5"/>
  <c r="AB4" i="5"/>
  <c r="AF4" i="5"/>
  <c r="E5" i="5"/>
  <c r="I5" i="5"/>
  <c r="M5" i="5"/>
  <c r="Q5" i="5"/>
  <c r="U5" i="5"/>
  <c r="Y5" i="5"/>
  <c r="AC5" i="5"/>
  <c r="AG5" i="5"/>
  <c r="F6" i="5"/>
  <c r="J6" i="5"/>
  <c r="N6" i="5"/>
  <c r="R6" i="5"/>
  <c r="V6" i="5"/>
  <c r="Z6" i="5"/>
  <c r="AD6" i="5"/>
  <c r="C7" i="5"/>
  <c r="G7" i="5"/>
  <c r="K7" i="5"/>
  <c r="O7" i="5"/>
  <c r="S7" i="5"/>
  <c r="W7" i="5"/>
  <c r="AA7" i="5"/>
  <c r="AE7" i="5"/>
  <c r="D8" i="5"/>
  <c r="H8" i="5"/>
  <c r="L8" i="5"/>
  <c r="P8" i="5"/>
  <c r="T8" i="5"/>
  <c r="X8" i="5"/>
  <c r="AB8" i="5"/>
  <c r="AF8" i="5"/>
  <c r="E9" i="5"/>
  <c r="I9" i="5"/>
  <c r="M9" i="5"/>
  <c r="Q9" i="5"/>
  <c r="U9" i="5"/>
  <c r="Y9" i="5"/>
  <c r="AC9" i="5"/>
  <c r="AG9" i="5"/>
  <c r="F10" i="5"/>
  <c r="J10" i="5"/>
  <c r="N10" i="5"/>
  <c r="R10" i="5"/>
  <c r="V10" i="5"/>
  <c r="Z10" i="5"/>
  <c r="AD10" i="5"/>
  <c r="C11" i="5"/>
  <c r="G11" i="5"/>
  <c r="K11" i="5"/>
  <c r="O11" i="5"/>
  <c r="S11" i="5"/>
  <c r="W11" i="5"/>
  <c r="AA11" i="5"/>
  <c r="AE11" i="5"/>
  <c r="D12" i="5"/>
  <c r="H12" i="5"/>
  <c r="L12" i="5"/>
  <c r="P12" i="5"/>
  <c r="T12" i="5"/>
  <c r="X12" i="5"/>
  <c r="AB12" i="5"/>
  <c r="AF12" i="5"/>
  <c r="E13" i="5"/>
  <c r="I13" i="5"/>
  <c r="M13" i="5"/>
  <c r="Q13" i="5"/>
  <c r="U13" i="5"/>
  <c r="Y13" i="5"/>
  <c r="AC13" i="5"/>
  <c r="AG13" i="5"/>
  <c r="F14" i="5"/>
  <c r="J14" i="5"/>
  <c r="N14" i="5"/>
  <c r="R14" i="5"/>
  <c r="V14" i="5"/>
  <c r="Z14" i="5"/>
  <c r="AD14" i="5"/>
  <c r="C15" i="5"/>
  <c r="G15" i="5"/>
  <c r="K15" i="5"/>
  <c r="O15" i="5"/>
  <c r="S15" i="5"/>
  <c r="W15" i="5"/>
  <c r="AA15" i="5"/>
  <c r="AE15" i="5"/>
  <c r="D16" i="5"/>
  <c r="H16" i="5"/>
  <c r="L16" i="5"/>
  <c r="P16" i="5"/>
  <c r="T16" i="5"/>
  <c r="X16" i="5"/>
  <c r="AB16" i="5"/>
  <c r="AF16" i="5"/>
  <c r="E17" i="5"/>
  <c r="I17" i="5"/>
  <c r="M17" i="5"/>
  <c r="Q17" i="5"/>
  <c r="U17" i="5"/>
  <c r="Y17" i="5"/>
  <c r="AC17" i="5"/>
  <c r="AG17" i="5"/>
  <c r="F18" i="5"/>
  <c r="J18" i="5"/>
  <c r="N18" i="5"/>
  <c r="R18" i="5"/>
  <c r="V18" i="5"/>
  <c r="Z18" i="5"/>
  <c r="AD18" i="5"/>
  <c r="C19" i="5"/>
  <c r="G19" i="5"/>
  <c r="K19" i="5"/>
  <c r="O19" i="5"/>
  <c r="S19" i="5"/>
  <c r="W19" i="5"/>
  <c r="E4" i="5"/>
  <c r="J4" i="5"/>
  <c r="O4" i="5"/>
  <c r="U4" i="5"/>
  <c r="Z4" i="5"/>
  <c r="AE4" i="5"/>
  <c r="F5" i="5"/>
  <c r="K5" i="5"/>
  <c r="P5" i="5"/>
  <c r="V5" i="5"/>
  <c r="AA5" i="5"/>
  <c r="AF5" i="5"/>
  <c r="G6" i="5"/>
  <c r="L6" i="5"/>
  <c r="Q6" i="5"/>
  <c r="W6" i="5"/>
  <c r="AB6" i="5"/>
  <c r="AG6" i="5"/>
  <c r="H7" i="5"/>
  <c r="M7" i="5"/>
  <c r="R7" i="5"/>
  <c r="X7" i="5"/>
  <c r="AC7" i="5"/>
  <c r="C8" i="5"/>
  <c r="I8" i="5"/>
  <c r="N8" i="5"/>
  <c r="S8" i="5"/>
  <c r="Y8" i="5"/>
  <c r="AD8" i="5"/>
  <c r="D9" i="5"/>
  <c r="J9" i="5"/>
  <c r="O9" i="5"/>
  <c r="T9" i="5"/>
  <c r="Z9" i="5"/>
  <c r="AE9" i="5"/>
  <c r="E10" i="5"/>
  <c r="K10" i="5"/>
  <c r="P10" i="5"/>
  <c r="U10" i="5"/>
  <c r="AA10" i="5"/>
  <c r="AF10" i="5"/>
  <c r="F11" i="5"/>
  <c r="L11" i="5"/>
  <c r="Q11" i="5"/>
  <c r="V11" i="5"/>
  <c r="AB11" i="5"/>
  <c r="AG11" i="5"/>
  <c r="G12" i="5"/>
  <c r="M12" i="5"/>
  <c r="R12" i="5"/>
  <c r="W12" i="5"/>
  <c r="AC12" i="5"/>
  <c r="C13" i="5"/>
  <c r="H13" i="5"/>
  <c r="N13" i="5"/>
  <c r="S13" i="5"/>
  <c r="X13" i="5"/>
  <c r="AD13" i="5"/>
  <c r="D14" i="5"/>
  <c r="I14" i="5"/>
  <c r="O14" i="5"/>
  <c r="T14" i="5"/>
  <c r="Y14" i="5"/>
  <c r="AE14" i="5"/>
  <c r="E15" i="5"/>
  <c r="J15" i="5"/>
  <c r="P15" i="5"/>
  <c r="U15" i="5"/>
  <c r="Z15" i="5"/>
  <c r="AF15" i="5"/>
  <c r="F16" i="5"/>
  <c r="K16" i="5"/>
  <c r="Q16" i="5"/>
  <c r="V16" i="5"/>
  <c r="AA16" i="5"/>
  <c r="AG16" i="5"/>
  <c r="G17" i="5"/>
  <c r="L17" i="5"/>
  <c r="R17" i="5"/>
  <c r="W17" i="5"/>
  <c r="AB17" i="5"/>
  <c r="C18" i="5"/>
  <c r="H18" i="5"/>
  <c r="M18" i="5"/>
  <c r="S18" i="5"/>
  <c r="X18" i="5"/>
  <c r="AC18" i="5"/>
  <c r="D19" i="5"/>
  <c r="I19" i="5"/>
  <c r="N19" i="5"/>
  <c r="T19" i="5"/>
  <c r="Y19" i="5"/>
  <c r="AC19" i="5"/>
  <c r="AG19" i="5"/>
  <c r="F20" i="5"/>
  <c r="J20" i="5"/>
  <c r="N20" i="5"/>
  <c r="R20" i="5"/>
  <c r="V20" i="5"/>
  <c r="Z20" i="5"/>
  <c r="AD20" i="5"/>
  <c r="C21" i="5"/>
  <c r="G21" i="5"/>
  <c r="K21" i="5"/>
  <c r="O21" i="5"/>
  <c r="S21" i="5"/>
  <c r="W21" i="5"/>
  <c r="AA21" i="5"/>
  <c r="AE21" i="5"/>
  <c r="D22" i="5"/>
  <c r="H22" i="5"/>
  <c r="L22" i="5"/>
  <c r="P22" i="5"/>
  <c r="T22" i="5"/>
  <c r="X22" i="5"/>
  <c r="AB22" i="5"/>
  <c r="AF22" i="5"/>
  <c r="E23" i="5"/>
  <c r="I23" i="5"/>
  <c r="M23" i="5"/>
  <c r="Q23" i="5"/>
  <c r="U23" i="5"/>
  <c r="Y23" i="5"/>
  <c r="AC23" i="5"/>
  <c r="AG23" i="5"/>
  <c r="F24" i="5"/>
  <c r="J24" i="5"/>
  <c r="N24" i="5"/>
  <c r="R24" i="5"/>
  <c r="V24" i="5"/>
  <c r="Z24" i="5"/>
  <c r="AD24" i="5"/>
  <c r="C25" i="5"/>
  <c r="G25" i="5"/>
  <c r="K25" i="5"/>
  <c r="O25" i="5"/>
  <c r="S25" i="5"/>
  <c r="W25" i="5"/>
  <c r="AA25" i="5"/>
  <c r="AE25" i="5"/>
  <c r="D26" i="5"/>
  <c r="H26" i="5"/>
  <c r="L26" i="5"/>
  <c r="P26" i="5"/>
  <c r="T26" i="5"/>
  <c r="X26" i="5"/>
  <c r="AB26" i="5"/>
  <c r="AF26" i="5"/>
  <c r="E27" i="5"/>
  <c r="I27" i="5"/>
  <c r="M27" i="5"/>
  <c r="Q27" i="5"/>
  <c r="U27" i="5"/>
  <c r="Y27" i="5"/>
  <c r="AC27" i="5"/>
  <c r="AG27" i="5"/>
  <c r="F28" i="5"/>
  <c r="J28" i="5"/>
  <c r="N28" i="5"/>
  <c r="R28" i="5"/>
  <c r="V28" i="5"/>
  <c r="Z28" i="5"/>
  <c r="AD28" i="5"/>
  <c r="C29" i="5"/>
  <c r="G29" i="5"/>
  <c r="K29" i="5"/>
  <c r="O29" i="5"/>
  <c r="S29" i="5"/>
  <c r="W29" i="5"/>
  <c r="AA29" i="5"/>
  <c r="AE29" i="5"/>
  <c r="D30" i="5"/>
  <c r="H30" i="5"/>
  <c r="L30" i="5"/>
  <c r="P30" i="5"/>
  <c r="T30" i="5"/>
  <c r="X30" i="5"/>
  <c r="AB30" i="5"/>
  <c r="AF30" i="5"/>
  <c r="E31" i="5"/>
  <c r="I31" i="5"/>
  <c r="M31" i="5"/>
  <c r="Q31" i="5"/>
  <c r="U31" i="5"/>
  <c r="Y31" i="5"/>
  <c r="AC31" i="5"/>
  <c r="AG31" i="5"/>
  <c r="F32" i="5"/>
  <c r="J32" i="5"/>
  <c r="N32" i="5"/>
  <c r="R32" i="5"/>
  <c r="V32" i="5"/>
  <c r="Z32" i="5"/>
  <c r="AD32" i="5"/>
  <c r="C33" i="5"/>
  <c r="G33" i="5"/>
  <c r="K33" i="5"/>
  <c r="O33" i="5"/>
  <c r="S33" i="5"/>
  <c r="W33" i="5"/>
  <c r="AA33" i="5"/>
  <c r="AE33" i="5"/>
  <c r="D34" i="5"/>
  <c r="H34" i="5"/>
  <c r="L34" i="5"/>
  <c r="P34" i="5"/>
  <c r="T34" i="5"/>
  <c r="X34" i="5"/>
  <c r="AB34" i="5"/>
  <c r="AF34" i="5"/>
  <c r="E35" i="5"/>
  <c r="I35" i="5"/>
  <c r="M35" i="5"/>
  <c r="Q35" i="5"/>
  <c r="U35" i="5"/>
  <c r="Y35" i="5"/>
  <c r="AC35" i="5"/>
  <c r="AG35" i="5"/>
  <c r="F36" i="5"/>
  <c r="J36" i="5"/>
  <c r="N36" i="5"/>
  <c r="R36" i="5"/>
  <c r="V36" i="5"/>
  <c r="Z36" i="5"/>
  <c r="AD36" i="5"/>
  <c r="C37" i="5"/>
  <c r="G37" i="5"/>
  <c r="K37" i="5"/>
  <c r="O37" i="5"/>
  <c r="S37" i="5"/>
  <c r="W37" i="5"/>
  <c r="AA37" i="5"/>
  <c r="AE37" i="5"/>
  <c r="D38" i="5"/>
  <c r="H38" i="5"/>
  <c r="L38" i="5"/>
  <c r="P38" i="5"/>
  <c r="T38" i="5"/>
  <c r="X38" i="5"/>
  <c r="AB38" i="5"/>
  <c r="AF38" i="5"/>
  <c r="E39" i="5"/>
  <c r="I39" i="5"/>
  <c r="M39" i="5"/>
  <c r="Q39" i="5"/>
  <c r="U39" i="5"/>
  <c r="Y39" i="5"/>
  <c r="AC39" i="5"/>
  <c r="AG39" i="5"/>
  <c r="F40" i="5"/>
  <c r="J40" i="5"/>
  <c r="N40" i="5"/>
  <c r="R40" i="5"/>
  <c r="V40" i="5"/>
  <c r="Z40" i="5"/>
  <c r="AD40" i="5"/>
  <c r="C41" i="5"/>
  <c r="G41" i="5"/>
  <c r="K41" i="5"/>
  <c r="O41" i="5"/>
  <c r="S41" i="5"/>
  <c r="W41" i="5"/>
  <c r="AA41" i="5"/>
  <c r="AE41" i="5"/>
  <c r="D42" i="5"/>
  <c r="H42" i="5"/>
  <c r="L42" i="5"/>
  <c r="P42" i="5"/>
  <c r="T42" i="5"/>
  <c r="X42" i="5"/>
  <c r="AB42" i="5"/>
  <c r="AF42" i="5"/>
  <c r="E43" i="5"/>
  <c r="F4" i="5"/>
  <c r="K4" i="5"/>
  <c r="Q4" i="5"/>
  <c r="V4" i="5"/>
  <c r="AA4" i="5"/>
  <c r="AG4" i="5"/>
  <c r="G5" i="5"/>
  <c r="L5" i="5"/>
  <c r="R5" i="5"/>
  <c r="W5" i="5"/>
  <c r="AB5" i="5"/>
  <c r="C6" i="5"/>
  <c r="H6" i="5"/>
  <c r="M6" i="5"/>
  <c r="S6" i="5"/>
  <c r="X6" i="5"/>
  <c r="AC6" i="5"/>
  <c r="D7" i="5"/>
  <c r="I7" i="5"/>
  <c r="N7" i="5"/>
  <c r="T7" i="5"/>
  <c r="Y7" i="5"/>
  <c r="AD7" i="5"/>
  <c r="E8" i="5"/>
  <c r="J8" i="5"/>
  <c r="O8" i="5"/>
  <c r="U8" i="5"/>
  <c r="Z8" i="5"/>
  <c r="AE8" i="5"/>
  <c r="F9" i="5"/>
  <c r="K9" i="5"/>
  <c r="P9" i="5"/>
  <c r="V9" i="5"/>
  <c r="AA9" i="5"/>
  <c r="AF9" i="5"/>
  <c r="G10" i="5"/>
  <c r="L10" i="5"/>
  <c r="Q10" i="5"/>
  <c r="W10" i="5"/>
  <c r="AB10" i="5"/>
  <c r="AG10" i="5"/>
  <c r="H11" i="5"/>
  <c r="M11" i="5"/>
  <c r="R11" i="5"/>
  <c r="X11" i="5"/>
  <c r="AC11" i="5"/>
  <c r="C12" i="5"/>
  <c r="I12" i="5"/>
  <c r="N12" i="5"/>
  <c r="G4" i="5"/>
  <c r="R4" i="5"/>
  <c r="AC4" i="5"/>
  <c r="H5" i="5"/>
  <c r="S5" i="5"/>
  <c r="AD5" i="5"/>
  <c r="I6" i="5"/>
  <c r="T6" i="5"/>
  <c r="AE6" i="5"/>
  <c r="J7" i="5"/>
  <c r="U7" i="5"/>
  <c r="AF7" i="5"/>
  <c r="K8" i="5"/>
  <c r="V8" i="5"/>
  <c r="AG8" i="5"/>
  <c r="L9" i="5"/>
  <c r="W9" i="5"/>
  <c r="C10" i="5"/>
  <c r="M10" i="5"/>
  <c r="X10" i="5"/>
  <c r="D11" i="5"/>
  <c r="N11" i="5"/>
  <c r="Y11" i="5"/>
  <c r="E12" i="5"/>
  <c r="O12" i="5"/>
  <c r="V12" i="5"/>
  <c r="AD12" i="5"/>
  <c r="F13" i="5"/>
  <c r="L13" i="5"/>
  <c r="T13" i="5"/>
  <c r="AA13" i="5"/>
  <c r="C14" i="5"/>
  <c r="K14" i="5"/>
  <c r="Q14" i="5"/>
  <c r="X14" i="5"/>
  <c r="AF14" i="5"/>
  <c r="H15" i="5"/>
  <c r="N15" i="5"/>
  <c r="V15" i="5"/>
  <c r="AC15" i="5"/>
  <c r="E16" i="5"/>
  <c r="M16" i="5"/>
  <c r="S16" i="5"/>
  <c r="Z16" i="5"/>
  <c r="C17" i="5"/>
  <c r="J17" i="5"/>
  <c r="P17" i="5"/>
  <c r="X17" i="5"/>
  <c r="AE17" i="5"/>
  <c r="G18" i="5"/>
  <c r="O18" i="5"/>
  <c r="U18" i="5"/>
  <c r="AB18" i="5"/>
  <c r="E19" i="5"/>
  <c r="L19" i="5"/>
  <c r="R19" i="5"/>
  <c r="Z19" i="5"/>
  <c r="AE19" i="5"/>
  <c r="E20" i="5"/>
  <c r="K20" i="5"/>
  <c r="P20" i="5"/>
  <c r="U20" i="5"/>
  <c r="AA20" i="5"/>
  <c r="AF20" i="5"/>
  <c r="F21" i="5"/>
  <c r="L21" i="5"/>
  <c r="Q21" i="5"/>
  <c r="V21" i="5"/>
  <c r="AB21" i="5"/>
  <c r="AG21" i="5"/>
  <c r="G22" i="5"/>
  <c r="M22" i="5"/>
  <c r="R22" i="5"/>
  <c r="W22" i="5"/>
  <c r="AC22" i="5"/>
  <c r="C23" i="5"/>
  <c r="H23" i="5"/>
  <c r="N23" i="5"/>
  <c r="S23" i="5"/>
  <c r="X23" i="5"/>
  <c r="AD23" i="5"/>
  <c r="D24" i="5"/>
  <c r="I24" i="5"/>
  <c r="O24" i="5"/>
  <c r="T24" i="5"/>
  <c r="Y24" i="5"/>
  <c r="AE24" i="5"/>
  <c r="E25" i="5"/>
  <c r="J25" i="5"/>
  <c r="P25" i="5"/>
  <c r="U25" i="5"/>
  <c r="Z25" i="5"/>
  <c r="AF25" i="5"/>
  <c r="F26" i="5"/>
  <c r="K26" i="5"/>
  <c r="Q26" i="5"/>
  <c r="V26" i="5"/>
  <c r="AA26" i="5"/>
  <c r="AG26" i="5"/>
  <c r="G27" i="5"/>
  <c r="L27" i="5"/>
  <c r="R27" i="5"/>
  <c r="W27" i="5"/>
  <c r="AB27" i="5"/>
  <c r="C28" i="5"/>
  <c r="H28" i="5"/>
  <c r="M28" i="5"/>
  <c r="S28" i="5"/>
  <c r="X28" i="5"/>
  <c r="AC28" i="5"/>
  <c r="D29" i="5"/>
  <c r="I29" i="5"/>
  <c r="N29" i="5"/>
  <c r="T29" i="5"/>
  <c r="Y29" i="5"/>
  <c r="AD29" i="5"/>
  <c r="E30" i="5"/>
  <c r="J30" i="5"/>
  <c r="O30" i="5"/>
  <c r="U30" i="5"/>
  <c r="Z30" i="5"/>
  <c r="AE30" i="5"/>
  <c r="F31" i="5"/>
  <c r="K31" i="5"/>
  <c r="P31" i="5"/>
  <c r="V31" i="5"/>
  <c r="AA31" i="5"/>
  <c r="AF31" i="5"/>
  <c r="G32" i="5"/>
  <c r="L32" i="5"/>
  <c r="Q32" i="5"/>
  <c r="W32" i="5"/>
  <c r="AB32" i="5"/>
  <c r="AG32" i="5"/>
  <c r="H33" i="5"/>
  <c r="M33" i="5"/>
  <c r="R33" i="5"/>
  <c r="X33" i="5"/>
  <c r="AC33" i="5"/>
  <c r="C34" i="5"/>
  <c r="I34" i="5"/>
  <c r="N34" i="5"/>
  <c r="S34" i="5"/>
  <c r="Y34" i="5"/>
  <c r="AD34" i="5"/>
  <c r="I4" i="5"/>
  <c r="S4" i="5"/>
  <c r="AD4" i="5"/>
  <c r="J5" i="5"/>
  <c r="T5" i="5"/>
  <c r="AE5" i="5"/>
  <c r="K6" i="5"/>
  <c r="U6" i="5"/>
  <c r="AF6" i="5"/>
  <c r="L7" i="5"/>
  <c r="V7" i="5"/>
  <c r="AG7" i="5"/>
  <c r="M8" i="5"/>
  <c r="W8" i="5"/>
  <c r="C9" i="5"/>
  <c r="N9" i="5"/>
  <c r="X9" i="5"/>
  <c r="D10" i="5"/>
  <c r="O10" i="5"/>
  <c r="Y10" i="5"/>
  <c r="E11" i="5"/>
  <c r="P11" i="5"/>
  <c r="Z11" i="5"/>
  <c r="F12" i="5"/>
  <c r="Q12" i="5"/>
  <c r="Y12" i="5"/>
  <c r="AE12" i="5"/>
  <c r="G13" i="5"/>
  <c r="O13" i="5"/>
  <c r="V13" i="5"/>
  <c r="AB13" i="5"/>
  <c r="E14" i="5"/>
  <c r="L14" i="5"/>
  <c r="S14" i="5"/>
  <c r="AA14" i="5"/>
  <c r="AG14" i="5"/>
  <c r="I15" i="5"/>
  <c r="Q15" i="5"/>
  <c r="X15" i="5"/>
  <c r="AD15" i="5"/>
  <c r="G16" i="5"/>
  <c r="N16" i="5"/>
  <c r="U16" i="5"/>
  <c r="AC16" i="5"/>
  <c r="D17" i="5"/>
  <c r="K17" i="5"/>
  <c r="S17" i="5"/>
  <c r="Z17" i="5"/>
  <c r="AF17" i="5"/>
  <c r="I18" i="5"/>
  <c r="P18" i="5"/>
  <c r="W18" i="5"/>
  <c r="AE18" i="5"/>
  <c r="F19" i="5"/>
  <c r="M19" i="5"/>
  <c r="U19" i="5"/>
  <c r="AA19" i="5"/>
  <c r="AF19" i="5"/>
  <c r="G20" i="5"/>
  <c r="L20" i="5"/>
  <c r="Q20" i="5"/>
  <c r="W20" i="5"/>
  <c r="AB20" i="5"/>
  <c r="AG20" i="5"/>
  <c r="H21" i="5"/>
  <c r="M21" i="5"/>
  <c r="R21" i="5"/>
  <c r="X21" i="5"/>
  <c r="AC21" i="5"/>
  <c r="C22" i="5"/>
  <c r="I22" i="5"/>
  <c r="N22" i="5"/>
  <c r="S22" i="5"/>
  <c r="Y22" i="5"/>
  <c r="AD22" i="5"/>
  <c r="D23" i="5"/>
  <c r="J23" i="5"/>
  <c r="O23" i="5"/>
  <c r="T23" i="5"/>
  <c r="Z23" i="5"/>
  <c r="AE23" i="5"/>
  <c r="E24" i="5"/>
  <c r="K24" i="5"/>
  <c r="P24" i="5"/>
  <c r="U24" i="5"/>
  <c r="AA24" i="5"/>
  <c r="AF24" i="5"/>
  <c r="F25" i="5"/>
  <c r="L25" i="5"/>
  <c r="Q25" i="5"/>
  <c r="V25" i="5"/>
  <c r="AB25" i="5"/>
  <c r="AG25" i="5"/>
  <c r="G26" i="5"/>
  <c r="M26" i="5"/>
  <c r="R26" i="5"/>
  <c r="W26" i="5"/>
  <c r="AC26" i="5"/>
  <c r="C27" i="5"/>
  <c r="H27" i="5"/>
  <c r="N27" i="5"/>
  <c r="S27" i="5"/>
  <c r="X27" i="5"/>
  <c r="AD27" i="5"/>
  <c r="D28" i="5"/>
  <c r="I28" i="5"/>
  <c r="O28" i="5"/>
  <c r="T28" i="5"/>
  <c r="Y28" i="5"/>
  <c r="AE28" i="5"/>
  <c r="E29" i="5"/>
  <c r="J29" i="5"/>
  <c r="P29" i="5"/>
  <c r="U29" i="5"/>
  <c r="Z29" i="5"/>
  <c r="AF29" i="5"/>
  <c r="F30" i="5"/>
  <c r="K30" i="5"/>
  <c r="Q30" i="5"/>
  <c r="V30" i="5"/>
  <c r="AA30" i="5"/>
  <c r="AG30" i="5"/>
  <c r="G31" i="5"/>
  <c r="L31" i="5"/>
  <c r="R31" i="5"/>
  <c r="W31" i="5"/>
  <c r="AB31" i="5"/>
  <c r="C32" i="5"/>
  <c r="H32" i="5"/>
  <c r="M32" i="5"/>
  <c r="S32" i="5"/>
  <c r="X32" i="5"/>
  <c r="AC32" i="5"/>
  <c r="D33" i="5"/>
  <c r="I33" i="5"/>
  <c r="N33" i="5"/>
  <c r="T33" i="5"/>
  <c r="Y33" i="5"/>
  <c r="AD33" i="5"/>
  <c r="E34" i="5"/>
  <c r="J34" i="5"/>
  <c r="O34" i="5"/>
  <c r="U34" i="5"/>
  <c r="Z34" i="5"/>
  <c r="AE34" i="5"/>
  <c r="F35" i="5"/>
  <c r="K35" i="5"/>
  <c r="P35" i="5"/>
  <c r="V35" i="5"/>
  <c r="AA35" i="5"/>
  <c r="AF35" i="5"/>
  <c r="G36" i="5"/>
  <c r="M4" i="5"/>
  <c r="C5" i="5"/>
  <c r="X5" i="5"/>
  <c r="O6" i="5"/>
  <c r="E7" i="5"/>
  <c r="Z7" i="5"/>
  <c r="Q8" i="5"/>
  <c r="G9" i="5"/>
  <c r="AB9" i="5"/>
  <c r="S10" i="5"/>
  <c r="I11" i="5"/>
  <c r="AD11" i="5"/>
  <c r="S12" i="5"/>
  <c r="AG12" i="5"/>
  <c r="P13" i="5"/>
  <c r="AE13" i="5"/>
  <c r="M14" i="5"/>
  <c r="AB14" i="5"/>
  <c r="L15" i="5"/>
  <c r="Y15" i="5"/>
  <c r="I16" i="5"/>
  <c r="W16" i="5"/>
  <c r="F17" i="5"/>
  <c r="T17" i="5"/>
  <c r="D18" i="5"/>
  <c r="Q18" i="5"/>
  <c r="AF18" i="5"/>
  <c r="P19" i="5"/>
  <c r="AB19" i="5"/>
  <c r="H20" i="5"/>
  <c r="S20" i="5"/>
  <c r="AC20" i="5"/>
  <c r="I21" i="5"/>
  <c r="T21" i="5"/>
  <c r="AD21" i="5"/>
  <c r="J22" i="5"/>
  <c r="U22" i="5"/>
  <c r="AE22" i="5"/>
  <c r="K23" i="5"/>
  <c r="V23" i="5"/>
  <c r="AF23" i="5"/>
  <c r="L24" i="5"/>
  <c r="W24" i="5"/>
  <c r="AG24" i="5"/>
  <c r="M25" i="5"/>
  <c r="X25" i="5"/>
  <c r="C26" i="5"/>
  <c r="N26" i="5"/>
  <c r="Y26" i="5"/>
  <c r="D27" i="5"/>
  <c r="O27" i="5"/>
  <c r="Z27" i="5"/>
  <c r="E28" i="5"/>
  <c r="P28" i="5"/>
  <c r="AA28" i="5"/>
  <c r="F29" i="5"/>
  <c r="Q29" i="5"/>
  <c r="AB29" i="5"/>
  <c r="G30" i="5"/>
  <c r="R30" i="5"/>
  <c r="AC30" i="5"/>
  <c r="H31" i="5"/>
  <c r="S31" i="5"/>
  <c r="AD31" i="5"/>
  <c r="I32" i="5"/>
  <c r="T32" i="5"/>
  <c r="AE32" i="5"/>
  <c r="J33" i="5"/>
  <c r="U33" i="5"/>
  <c r="AF33" i="5"/>
  <c r="K34" i="5"/>
  <c r="V34" i="5"/>
  <c r="AG34" i="5"/>
  <c r="H35" i="5"/>
  <c r="O35" i="5"/>
  <c r="W35" i="5"/>
  <c r="AD35" i="5"/>
  <c r="E36" i="5"/>
  <c r="L36" i="5"/>
  <c r="Q36" i="5"/>
  <c r="W36" i="5"/>
  <c r="AB36" i="5"/>
  <c r="AG36" i="5"/>
  <c r="H37" i="5"/>
  <c r="M37" i="5"/>
  <c r="R37" i="5"/>
  <c r="X37" i="5"/>
  <c r="AC37" i="5"/>
  <c r="C38" i="5"/>
  <c r="I38" i="5"/>
  <c r="N38" i="5"/>
  <c r="S38" i="5"/>
  <c r="Y38" i="5"/>
  <c r="AD38" i="5"/>
  <c r="D39" i="5"/>
  <c r="J39" i="5"/>
  <c r="O39" i="5"/>
  <c r="T39" i="5"/>
  <c r="Z39" i="5"/>
  <c r="AE39" i="5"/>
  <c r="E40" i="5"/>
  <c r="K40" i="5"/>
  <c r="P40" i="5"/>
  <c r="U40" i="5"/>
  <c r="AA40" i="5"/>
  <c r="AF40" i="5"/>
  <c r="F41" i="5"/>
  <c r="L41" i="5"/>
  <c r="Q41" i="5"/>
  <c r="V41" i="5"/>
  <c r="AB41" i="5"/>
  <c r="AG41" i="5"/>
  <c r="G42" i="5"/>
  <c r="M42" i="5"/>
  <c r="R42" i="5"/>
  <c r="W42" i="5"/>
  <c r="AC42" i="5"/>
  <c r="C43" i="5"/>
  <c r="H43" i="5"/>
  <c r="L43" i="5"/>
  <c r="P43" i="5"/>
  <c r="T43" i="5"/>
  <c r="X43" i="5"/>
  <c r="AB43" i="5"/>
  <c r="AF43" i="5"/>
  <c r="E44" i="5"/>
  <c r="I44" i="5"/>
  <c r="M44" i="5"/>
  <c r="Q44" i="5"/>
  <c r="U44" i="5"/>
  <c r="Y44" i="5"/>
  <c r="AC44" i="5"/>
  <c r="AG44" i="5"/>
  <c r="F45" i="5"/>
  <c r="J45" i="5"/>
  <c r="N45" i="5"/>
  <c r="R45" i="5"/>
  <c r="V45" i="5"/>
  <c r="Z45" i="5"/>
  <c r="AD45" i="5"/>
  <c r="C46" i="5"/>
  <c r="G46" i="5"/>
  <c r="K46" i="5"/>
  <c r="O46" i="5"/>
  <c r="S46" i="5"/>
  <c r="W46" i="5"/>
  <c r="AA46" i="5"/>
  <c r="AE46" i="5"/>
  <c r="D47" i="5"/>
  <c r="H47" i="5"/>
  <c r="L47" i="5"/>
  <c r="P47" i="5"/>
  <c r="T47" i="5"/>
  <c r="X47" i="5"/>
  <c r="AB47" i="5"/>
  <c r="AF47" i="5"/>
  <c r="C4" i="5"/>
  <c r="Y4" i="5"/>
  <c r="O5" i="5"/>
  <c r="E6" i="5"/>
  <c r="AA6" i="5"/>
  <c r="Q7" i="5"/>
  <c r="G8" i="5"/>
  <c r="AC8" i="5"/>
  <c r="S9" i="5"/>
  <c r="I10" i="5"/>
  <c r="AE10" i="5"/>
  <c r="U11" i="5"/>
  <c r="K12" i="5"/>
  <c r="AA12" i="5"/>
  <c r="K13" i="5"/>
  <c r="Z13" i="5"/>
  <c r="H14" i="5"/>
  <c r="W14" i="5"/>
  <c r="F15" i="5"/>
  <c r="T15" i="5"/>
  <c r="C16" i="5"/>
  <c r="R16" i="5"/>
  <c r="AE16" i="5"/>
  <c r="O17" i="5"/>
  <c r="AD17" i="5"/>
  <c r="L18" i="5"/>
  <c r="AA18" i="5"/>
  <c r="J19" i="5"/>
  <c r="X19" i="5"/>
  <c r="D20" i="5"/>
  <c r="O20" i="5"/>
  <c r="Y20" i="5"/>
  <c r="E21" i="5"/>
  <c r="P21" i="5"/>
  <c r="Z21" i="5"/>
  <c r="F22" i="5"/>
  <c r="Q22" i="5"/>
  <c r="AA22" i="5"/>
  <c r="G23" i="5"/>
  <c r="R23" i="5"/>
  <c r="AB23" i="5"/>
  <c r="H24" i="5"/>
  <c r="S24" i="5"/>
  <c r="AC24" i="5"/>
  <c r="I25" i="5"/>
  <c r="T25" i="5"/>
  <c r="AD25" i="5"/>
  <c r="J26" i="5"/>
  <c r="U26" i="5"/>
  <c r="AE26" i="5"/>
  <c r="K27" i="5"/>
  <c r="V27" i="5"/>
  <c r="AF27" i="5"/>
  <c r="L28" i="5"/>
  <c r="W28" i="5"/>
  <c r="AG28" i="5"/>
  <c r="M29" i="5"/>
  <c r="X29" i="5"/>
  <c r="C30" i="5"/>
  <c r="N30" i="5"/>
  <c r="Y30" i="5"/>
  <c r="D31" i="5"/>
  <c r="O31" i="5"/>
  <c r="Z31" i="5"/>
  <c r="E32" i="5"/>
  <c r="P32" i="5"/>
  <c r="AA32" i="5"/>
  <c r="F33" i="5"/>
  <c r="Q33" i="5"/>
  <c r="AB33" i="5"/>
  <c r="G34" i="5"/>
  <c r="R34" i="5"/>
  <c r="AC34" i="5"/>
  <c r="G35" i="5"/>
  <c r="N35" i="5"/>
  <c r="T35" i="5"/>
  <c r="AB35" i="5"/>
  <c r="D36" i="5"/>
  <c r="K36" i="5"/>
  <c r="P36" i="5"/>
  <c r="U36" i="5"/>
  <c r="AA36" i="5"/>
  <c r="AF36" i="5"/>
  <c r="F37" i="5"/>
  <c r="L37" i="5"/>
  <c r="Q37" i="5"/>
  <c r="V37" i="5"/>
  <c r="AB37" i="5"/>
  <c r="AG37" i="5"/>
  <c r="G38" i="5"/>
  <c r="M38" i="5"/>
  <c r="R38" i="5"/>
  <c r="W38" i="5"/>
  <c r="AC38" i="5"/>
  <c r="C39" i="5"/>
  <c r="H39" i="5"/>
  <c r="N39" i="5"/>
  <c r="S39" i="5"/>
  <c r="X39" i="5"/>
  <c r="AD39" i="5"/>
  <c r="D40" i="5"/>
  <c r="I40" i="5"/>
  <c r="O40" i="5"/>
  <c r="T40" i="5"/>
  <c r="Y40" i="5"/>
  <c r="AE40" i="5"/>
  <c r="E41" i="5"/>
  <c r="J41" i="5"/>
  <c r="P41" i="5"/>
  <c r="U41" i="5"/>
  <c r="Z41" i="5"/>
  <c r="AF41" i="5"/>
  <c r="F42" i="5"/>
  <c r="K42" i="5"/>
  <c r="Q42" i="5"/>
  <c r="V42" i="5"/>
  <c r="AA42" i="5"/>
  <c r="AG42" i="5"/>
  <c r="G43" i="5"/>
  <c r="K43" i="5"/>
  <c r="O43" i="5"/>
  <c r="S43" i="5"/>
  <c r="W43" i="5"/>
  <c r="AA43" i="5"/>
  <c r="AE43" i="5"/>
  <c r="D44" i="5"/>
  <c r="H44" i="5"/>
  <c r="L44" i="5"/>
  <c r="P44" i="5"/>
  <c r="T44" i="5"/>
  <c r="X44" i="5"/>
  <c r="AB44" i="5"/>
  <c r="AF44" i="5"/>
  <c r="E45" i="5"/>
  <c r="I45" i="5"/>
  <c r="M45" i="5"/>
  <c r="Q45" i="5"/>
  <c r="U45" i="5"/>
  <c r="Y45" i="5"/>
  <c r="AC45" i="5"/>
  <c r="AG45" i="5"/>
  <c r="F46" i="5"/>
  <c r="J46" i="5"/>
  <c r="N46" i="5"/>
  <c r="R46" i="5"/>
  <c r="V46" i="5"/>
  <c r="Z46" i="5"/>
  <c r="AD46" i="5"/>
  <c r="C47" i="5"/>
  <c r="G47" i="5"/>
  <c r="K47" i="5"/>
  <c r="O47" i="5"/>
  <c r="S47" i="5"/>
  <c r="W47" i="5"/>
  <c r="AA47" i="5"/>
  <c r="AE47" i="5"/>
  <c r="D48" i="5"/>
  <c r="H48" i="5"/>
  <c r="L48" i="5"/>
  <c r="P48" i="5"/>
  <c r="T48" i="5"/>
  <c r="X48" i="5"/>
  <c r="D5" i="5"/>
  <c r="P6" i="5"/>
  <c r="AB7" i="5"/>
  <c r="H9" i="5"/>
  <c r="T10" i="5"/>
  <c r="AF11" i="5"/>
  <c r="D13" i="5"/>
  <c r="AF13" i="5"/>
  <c r="AC14" i="5"/>
  <c r="AB15" i="5"/>
  <c r="Y16" i="5"/>
  <c r="V17" i="5"/>
  <c r="T18" i="5"/>
  <c r="Q19" i="5"/>
  <c r="I20" i="5"/>
  <c r="AE20" i="5"/>
  <c r="U21" i="5"/>
  <c r="K22" i="5"/>
  <c r="AG22" i="5"/>
  <c r="W23" i="5"/>
  <c r="M24" i="5"/>
  <c r="D25" i="5"/>
  <c r="Y25" i="5"/>
  <c r="O26" i="5"/>
  <c r="F27" i="5"/>
  <c r="AA27" i="5"/>
  <c r="Q28" i="5"/>
  <c r="H29" i="5"/>
  <c r="AC29" i="5"/>
  <c r="S30" i="5"/>
  <c r="J31" i="5"/>
  <c r="AE31" i="5"/>
  <c r="U32" i="5"/>
  <c r="L33" i="5"/>
  <c r="AG33" i="5"/>
  <c r="W34" i="5"/>
  <c r="J35" i="5"/>
  <c r="X35" i="5"/>
  <c r="H36" i="5"/>
  <c r="S36" i="5"/>
  <c r="AC36" i="5"/>
  <c r="I37" i="5"/>
  <c r="T37" i="5"/>
  <c r="AD37" i="5"/>
  <c r="J38" i="5"/>
  <c r="U38" i="5"/>
  <c r="AE38" i="5"/>
  <c r="K39" i="5"/>
  <c r="V39" i="5"/>
  <c r="AF39" i="5"/>
  <c r="L40" i="5"/>
  <c r="W40" i="5"/>
  <c r="AG40" i="5"/>
  <c r="M41" i="5"/>
  <c r="X41" i="5"/>
  <c r="C42" i="5"/>
  <c r="N42" i="5"/>
  <c r="Y42" i="5"/>
  <c r="D43" i="5"/>
  <c r="M43" i="5"/>
  <c r="U43" i="5"/>
  <c r="AC43" i="5"/>
  <c r="F44" i="5"/>
  <c r="N44" i="5"/>
  <c r="V44" i="5"/>
  <c r="AD44" i="5"/>
  <c r="G45" i="5"/>
  <c r="O45" i="5"/>
  <c r="W45" i="5"/>
  <c r="AE45" i="5"/>
  <c r="H46" i="5"/>
  <c r="P46" i="5"/>
  <c r="X46" i="5"/>
  <c r="AF46" i="5"/>
  <c r="I47" i="5"/>
  <c r="Q47" i="5"/>
  <c r="Y47" i="5"/>
  <c r="AG47" i="5"/>
  <c r="G48" i="5"/>
  <c r="M48" i="5"/>
  <c r="R48" i="5"/>
  <c r="W48" i="5"/>
  <c r="AB48" i="5"/>
  <c r="AF48" i="5"/>
  <c r="E49" i="5"/>
  <c r="I49" i="5"/>
  <c r="M49" i="5"/>
  <c r="Q49" i="5"/>
  <c r="U49" i="5"/>
  <c r="Y49" i="5"/>
  <c r="AC49" i="5"/>
  <c r="AG49" i="5"/>
  <c r="F50" i="5"/>
  <c r="J50" i="5"/>
  <c r="N50" i="5"/>
  <c r="R50" i="5"/>
  <c r="V50" i="5"/>
  <c r="Z50" i="5"/>
  <c r="AD50" i="5"/>
  <c r="C51" i="5"/>
  <c r="G51" i="5"/>
  <c r="K51" i="5"/>
  <c r="O51" i="5"/>
  <c r="S51" i="5"/>
  <c r="W51" i="5"/>
  <c r="AA51" i="5"/>
  <c r="AE51" i="5"/>
  <c r="D52" i="5"/>
  <c r="H52" i="5"/>
  <c r="L52" i="5"/>
  <c r="P52" i="5"/>
  <c r="T52" i="5"/>
  <c r="X52" i="5"/>
  <c r="AB52" i="5"/>
  <c r="AF52" i="5"/>
  <c r="E53" i="5"/>
  <c r="I53" i="5"/>
  <c r="M53" i="5"/>
  <c r="Q53" i="5"/>
  <c r="U53" i="5"/>
  <c r="Y53" i="5"/>
  <c r="AC53" i="5"/>
  <c r="AG53" i="5"/>
  <c r="F54" i="5"/>
  <c r="J54" i="5"/>
  <c r="N54" i="5"/>
  <c r="R54" i="5"/>
  <c r="V54" i="5"/>
  <c r="Z54" i="5"/>
  <c r="AD54" i="5"/>
  <c r="C55" i="5"/>
  <c r="G55" i="5"/>
  <c r="K55" i="5"/>
  <c r="O55" i="5"/>
  <c r="S55" i="5"/>
  <c r="W55" i="5"/>
  <c r="AA55" i="5"/>
  <c r="AE55" i="5"/>
  <c r="D56" i="5"/>
  <c r="H56" i="5"/>
  <c r="L56" i="5"/>
  <c r="P56" i="5"/>
  <c r="T56" i="5"/>
  <c r="X56" i="5"/>
  <c r="AB56" i="5"/>
  <c r="AF56" i="5"/>
  <c r="E57" i="5"/>
  <c r="I57" i="5"/>
  <c r="M57" i="5"/>
  <c r="Q57" i="5"/>
  <c r="U57" i="5"/>
  <c r="Y57" i="5"/>
  <c r="AC57" i="5"/>
  <c r="AG57" i="5"/>
  <c r="F58" i="5"/>
  <c r="J58" i="5"/>
  <c r="N58" i="5"/>
  <c r="R58" i="5"/>
  <c r="V58" i="5"/>
  <c r="Z58" i="5"/>
  <c r="AD58" i="5"/>
  <c r="C59" i="5"/>
  <c r="G59" i="5"/>
  <c r="K59" i="5"/>
  <c r="O59" i="5"/>
  <c r="S59" i="5"/>
  <c r="W59" i="5"/>
  <c r="AA59" i="5"/>
  <c r="AE59" i="5"/>
  <c r="D60" i="5"/>
  <c r="H60" i="5"/>
  <c r="L60" i="5"/>
  <c r="P60" i="5"/>
  <c r="T60" i="5"/>
  <c r="X60" i="5"/>
  <c r="AB60" i="5"/>
  <c r="AF60" i="5"/>
  <c r="E61" i="5"/>
  <c r="I61" i="5"/>
  <c r="M61" i="5"/>
  <c r="Q61" i="5"/>
  <c r="U61" i="5"/>
  <c r="Y61" i="5"/>
  <c r="AC61" i="5"/>
  <c r="AG61" i="5"/>
  <c r="F62" i="5"/>
  <c r="J62" i="5"/>
  <c r="N62" i="5"/>
  <c r="R62" i="5"/>
  <c r="V62" i="5"/>
  <c r="Z62" i="5"/>
  <c r="AD62" i="5"/>
  <c r="C63" i="5"/>
  <c r="G63" i="5"/>
  <c r="K63" i="5"/>
  <c r="O63" i="5"/>
  <c r="S63" i="5"/>
  <c r="W63" i="5"/>
  <c r="AA63" i="5"/>
  <c r="AE63" i="5"/>
  <c r="D64" i="5"/>
  <c r="H64" i="5"/>
  <c r="L64" i="5"/>
  <c r="P64" i="5"/>
  <c r="T64" i="5"/>
  <c r="X64" i="5"/>
  <c r="AB64" i="5"/>
  <c r="AF64" i="5"/>
  <c r="E65" i="5"/>
  <c r="I65" i="5"/>
  <c r="M65" i="5"/>
  <c r="Q65" i="5"/>
  <c r="U65" i="5"/>
  <c r="Y65" i="5"/>
  <c r="AC65" i="5"/>
  <c r="AG65" i="5"/>
  <c r="F66" i="5"/>
  <c r="J66" i="5"/>
  <c r="N66" i="5"/>
  <c r="R66" i="5"/>
  <c r="V66" i="5"/>
  <c r="Z66" i="5"/>
  <c r="AD66" i="5"/>
  <c r="C67" i="5"/>
  <c r="G67" i="5"/>
  <c r="K67" i="5"/>
  <c r="O67" i="5"/>
  <c r="S67" i="5"/>
  <c r="W67" i="5"/>
  <c r="AA67" i="5"/>
  <c r="AE67" i="5"/>
  <c r="D68" i="5"/>
  <c r="H68" i="5"/>
  <c r="L68" i="5"/>
  <c r="P68" i="5"/>
  <c r="T68" i="5"/>
  <c r="X68" i="5"/>
  <c r="AB68" i="5"/>
  <c r="AF68" i="5"/>
  <c r="E69" i="5"/>
  <c r="I69" i="5"/>
  <c r="M69" i="5"/>
  <c r="Q69" i="5"/>
  <c r="U69" i="5"/>
  <c r="Y69" i="5"/>
  <c r="AC69" i="5"/>
  <c r="AG69" i="5"/>
  <c r="F70" i="5"/>
  <c r="J70" i="5"/>
  <c r="N70" i="5"/>
  <c r="R70" i="5"/>
  <c r="V70" i="5"/>
  <c r="Z70" i="5"/>
  <c r="AD70" i="5"/>
  <c r="C71" i="5"/>
  <c r="G71" i="5"/>
  <c r="K71" i="5"/>
  <c r="O71" i="5"/>
  <c r="S71" i="5"/>
  <c r="W71" i="5"/>
  <c r="AA71" i="5"/>
  <c r="AE71" i="5"/>
  <c r="D72" i="5"/>
  <c r="H72" i="5"/>
  <c r="L72" i="5"/>
  <c r="P72" i="5"/>
  <c r="T72" i="5"/>
  <c r="X72" i="5"/>
  <c r="AB72" i="5"/>
  <c r="AF72" i="5"/>
  <c r="E73" i="5"/>
  <c r="I73" i="5"/>
  <c r="M73" i="5"/>
  <c r="Q73" i="5"/>
  <c r="U73" i="5"/>
  <c r="Y73" i="5"/>
  <c r="AC73" i="5"/>
  <c r="AG73" i="5"/>
  <c r="F74" i="5"/>
  <c r="J74" i="5"/>
  <c r="N74" i="5"/>
  <c r="R74" i="5"/>
  <c r="V74" i="5"/>
  <c r="Z74" i="5"/>
  <c r="AD74" i="5"/>
  <c r="C75" i="5"/>
  <c r="G75" i="5"/>
  <c r="K75" i="5"/>
  <c r="O75" i="5"/>
  <c r="S75" i="5"/>
  <c r="W75" i="5"/>
  <c r="AA75" i="5"/>
  <c r="AE75" i="5"/>
  <c r="D76" i="5"/>
  <c r="H76" i="5"/>
  <c r="L76" i="5"/>
  <c r="P76" i="5"/>
  <c r="T76" i="5"/>
  <c r="X76" i="5"/>
  <c r="AB76" i="5"/>
  <c r="AF76" i="5"/>
  <c r="E77" i="5"/>
  <c r="I77" i="5"/>
  <c r="M77" i="5"/>
  <c r="Q77" i="5"/>
  <c r="U77" i="5"/>
  <c r="Y77" i="5"/>
  <c r="AC77" i="5"/>
  <c r="AG77" i="5"/>
  <c r="F78" i="5"/>
  <c r="J78" i="5"/>
  <c r="N78" i="5"/>
  <c r="R78" i="5"/>
  <c r="V78" i="5"/>
  <c r="Z78" i="5"/>
  <c r="AD78" i="5"/>
  <c r="C79" i="5"/>
  <c r="G79" i="5"/>
  <c r="K79" i="5"/>
  <c r="O79" i="5"/>
  <c r="S79" i="5"/>
  <c r="W79" i="5"/>
  <c r="AA79" i="5"/>
  <c r="AE79" i="5"/>
  <c r="D80" i="5"/>
  <c r="H80" i="5"/>
  <c r="L80" i="5"/>
  <c r="P80" i="5"/>
  <c r="T80" i="5"/>
  <c r="X80" i="5"/>
  <c r="AB80" i="5"/>
  <c r="W4" i="5"/>
  <c r="D6" i="5"/>
  <c r="P7" i="5"/>
  <c r="AA8" i="5"/>
  <c r="H10" i="5"/>
  <c r="T11" i="5"/>
  <c r="Z12" i="5"/>
  <c r="W13" i="5"/>
  <c r="U14" i="5"/>
  <c r="R15" i="5"/>
  <c r="O16" i="5"/>
  <c r="N17" i="5"/>
  <c r="K18" i="5"/>
  <c r="H19" i="5"/>
  <c r="C20" i="5"/>
  <c r="X20" i="5"/>
  <c r="N21" i="5"/>
  <c r="E22" i="5"/>
  <c r="Z22" i="5"/>
  <c r="P23" i="5"/>
  <c r="G24" i="5"/>
  <c r="AB24" i="5"/>
  <c r="R25" i="5"/>
  <c r="I26" i="5"/>
  <c r="AD26" i="5"/>
  <c r="T27" i="5"/>
  <c r="K28" i="5"/>
  <c r="AF28" i="5"/>
  <c r="V29" i="5"/>
  <c r="M30" i="5"/>
  <c r="C31" i="5"/>
  <c r="X31" i="5"/>
  <c r="O32" i="5"/>
  <c r="E33" i="5"/>
  <c r="Z33" i="5"/>
  <c r="Q34" i="5"/>
  <c r="D35" i="5"/>
  <c r="S35" i="5"/>
  <c r="C36" i="5"/>
  <c r="O36" i="5"/>
  <c r="Y36" i="5"/>
  <c r="E37" i="5"/>
  <c r="P37" i="5"/>
  <c r="Z37" i="5"/>
  <c r="F38" i="5"/>
  <c r="Q38" i="5"/>
  <c r="AA38" i="5"/>
  <c r="G39" i="5"/>
  <c r="R39" i="5"/>
  <c r="AB39" i="5"/>
  <c r="H40" i="5"/>
  <c r="S40" i="5"/>
  <c r="AC40" i="5"/>
  <c r="I41" i="5"/>
  <c r="T41" i="5"/>
  <c r="AD41" i="5"/>
  <c r="J42" i="5"/>
  <c r="U42" i="5"/>
  <c r="AE42" i="5"/>
  <c r="J43" i="5"/>
  <c r="R43" i="5"/>
  <c r="Z43" i="5"/>
  <c r="C44" i="5"/>
  <c r="K44" i="5"/>
  <c r="S44" i="5"/>
  <c r="AA44" i="5"/>
  <c r="D45" i="5"/>
  <c r="L45" i="5"/>
  <c r="T45" i="5"/>
  <c r="AB45" i="5"/>
  <c r="E46" i="5"/>
  <c r="M46" i="5"/>
  <c r="U46" i="5"/>
  <c r="AC46" i="5"/>
  <c r="F47" i="5"/>
  <c r="N47" i="5"/>
  <c r="V47" i="5"/>
  <c r="AD47" i="5"/>
  <c r="F48" i="5"/>
  <c r="K48" i="5"/>
  <c r="Q48" i="5"/>
  <c r="V48" i="5"/>
  <c r="AA48" i="5"/>
  <c r="AE48" i="5"/>
  <c r="D49" i="5"/>
  <c r="H49" i="5"/>
  <c r="L49" i="5"/>
  <c r="P49" i="5"/>
  <c r="T49" i="5"/>
  <c r="X49" i="5"/>
  <c r="AB49" i="5"/>
  <c r="AF49" i="5"/>
  <c r="E50" i="5"/>
  <c r="I50" i="5"/>
  <c r="M50" i="5"/>
  <c r="Q50" i="5"/>
  <c r="U50" i="5"/>
  <c r="Y50" i="5"/>
  <c r="AC50" i="5"/>
  <c r="AG50" i="5"/>
  <c r="F51" i="5"/>
  <c r="J51" i="5"/>
  <c r="N51" i="5"/>
  <c r="R51" i="5"/>
  <c r="V51" i="5"/>
  <c r="Z51" i="5"/>
  <c r="AD51" i="5"/>
  <c r="C52" i="5"/>
  <c r="G52" i="5"/>
  <c r="K52" i="5"/>
  <c r="O52" i="5"/>
  <c r="S52" i="5"/>
  <c r="W52" i="5"/>
  <c r="AA52" i="5"/>
  <c r="AE52" i="5"/>
  <c r="D53" i="5"/>
  <c r="H53" i="5"/>
  <c r="L53" i="5"/>
  <c r="P53" i="5"/>
  <c r="T53" i="5"/>
  <c r="X53" i="5"/>
  <c r="AB53" i="5"/>
  <c r="AF53" i="5"/>
  <c r="E54" i="5"/>
  <c r="I54" i="5"/>
  <c r="M54" i="5"/>
  <c r="Q54" i="5"/>
  <c r="U54" i="5"/>
  <c r="Y54" i="5"/>
  <c r="AC54" i="5"/>
  <c r="AG54" i="5"/>
  <c r="F55" i="5"/>
  <c r="J55" i="5"/>
  <c r="N55" i="5"/>
  <c r="R55" i="5"/>
  <c r="V55" i="5"/>
  <c r="Z55" i="5"/>
  <c r="AD55" i="5"/>
  <c r="C56" i="5"/>
  <c r="G56" i="5"/>
  <c r="K56" i="5"/>
  <c r="O56" i="5"/>
  <c r="S56" i="5"/>
  <c r="W56" i="5"/>
  <c r="AA56" i="5"/>
  <c r="AE56" i="5"/>
  <c r="D57" i="5"/>
  <c r="H57" i="5"/>
  <c r="L57" i="5"/>
  <c r="P57" i="5"/>
  <c r="T57" i="5"/>
  <c r="X57" i="5"/>
  <c r="AB57" i="5"/>
  <c r="AF57" i="5"/>
  <c r="E58" i="5"/>
  <c r="I58" i="5"/>
  <c r="M58" i="5"/>
  <c r="Q58" i="5"/>
  <c r="U58" i="5"/>
  <c r="Y58" i="5"/>
  <c r="AC58" i="5"/>
  <c r="AG58" i="5"/>
  <c r="F59" i="5"/>
  <c r="J59" i="5"/>
  <c r="N59" i="5"/>
  <c r="R59" i="5"/>
  <c r="V59" i="5"/>
  <c r="Z59" i="5"/>
  <c r="AD59" i="5"/>
  <c r="C60" i="5"/>
  <c r="G60" i="5"/>
  <c r="K60" i="5"/>
  <c r="O60" i="5"/>
  <c r="S60" i="5"/>
  <c r="W60" i="5"/>
  <c r="AA60" i="5"/>
  <c r="AE60" i="5"/>
  <c r="D61" i="5"/>
  <c r="H61" i="5"/>
  <c r="L61" i="5"/>
  <c r="P61" i="5"/>
  <c r="T61" i="5"/>
  <c r="X61" i="5"/>
  <c r="AB61" i="5"/>
  <c r="AF61" i="5"/>
  <c r="E62" i="5"/>
  <c r="I62" i="5"/>
  <c r="M62" i="5"/>
  <c r="Q62" i="5"/>
  <c r="U62" i="5"/>
  <c r="Y62" i="5"/>
  <c r="AC62" i="5"/>
  <c r="AG62" i="5"/>
  <c r="F63" i="5"/>
  <c r="J63" i="5"/>
  <c r="N63" i="5"/>
  <c r="R63" i="5"/>
  <c r="V63" i="5"/>
  <c r="Z63" i="5"/>
  <c r="AD63" i="5"/>
  <c r="C64" i="5"/>
  <c r="G64" i="5"/>
  <c r="K64" i="5"/>
  <c r="O64" i="5"/>
  <c r="S64" i="5"/>
  <c r="W64" i="5"/>
  <c r="AA64" i="5"/>
  <c r="AE64" i="5"/>
  <c r="D65" i="5"/>
  <c r="H65" i="5"/>
  <c r="L65" i="5"/>
  <c r="P65" i="5"/>
  <c r="T65" i="5"/>
  <c r="X65" i="5"/>
  <c r="AB65" i="5"/>
  <c r="AF65" i="5"/>
  <c r="E66" i="5"/>
  <c r="I66" i="5"/>
  <c r="M66" i="5"/>
  <c r="Q66" i="5"/>
  <c r="U66" i="5"/>
  <c r="Y66" i="5"/>
  <c r="AC66" i="5"/>
  <c r="AG66" i="5"/>
  <c r="F67" i="5"/>
  <c r="J67" i="5"/>
  <c r="N67" i="5"/>
  <c r="R67" i="5"/>
  <c r="V67" i="5"/>
  <c r="Z67" i="5"/>
  <c r="AD67" i="5"/>
  <c r="C68" i="5"/>
  <c r="G68" i="5"/>
  <c r="K68" i="5"/>
  <c r="O68" i="5"/>
  <c r="S68" i="5"/>
  <c r="W68" i="5"/>
  <c r="AA68" i="5"/>
  <c r="AE68" i="5"/>
  <c r="D69" i="5"/>
  <c r="H69" i="5"/>
  <c r="L69" i="5"/>
  <c r="P69" i="5"/>
  <c r="T69" i="5"/>
  <c r="X69" i="5"/>
  <c r="AB69" i="5"/>
  <c r="AF69" i="5"/>
  <c r="E70" i="5"/>
  <c r="I70" i="5"/>
  <c r="M70" i="5"/>
  <c r="Q70" i="5"/>
  <c r="U70" i="5"/>
  <c r="Y70" i="5"/>
  <c r="AC70" i="5"/>
  <c r="AG70" i="5"/>
  <c r="F71" i="5"/>
  <c r="J71" i="5"/>
  <c r="N71" i="5"/>
  <c r="R71" i="5"/>
  <c r="V71" i="5"/>
  <c r="Z71" i="5"/>
  <c r="AD71" i="5"/>
  <c r="C72" i="5"/>
  <c r="G72" i="5"/>
  <c r="K72" i="5"/>
  <c r="O72" i="5"/>
  <c r="S72" i="5"/>
  <c r="W72" i="5"/>
  <c r="AA72" i="5"/>
  <c r="AE72" i="5"/>
  <c r="D73" i="5"/>
  <c r="H73" i="5"/>
  <c r="L73" i="5"/>
  <c r="P73" i="5"/>
  <c r="T73" i="5"/>
  <c r="X73" i="5"/>
  <c r="AB73" i="5"/>
  <c r="AF73" i="5"/>
  <c r="E74" i="5"/>
  <c r="I74" i="5"/>
  <c r="M74" i="5"/>
  <c r="Q74" i="5"/>
  <c r="U74" i="5"/>
  <c r="Y74" i="5"/>
  <c r="AC74" i="5"/>
  <c r="AG74" i="5"/>
  <c r="F75" i="5"/>
  <c r="J75" i="5"/>
  <c r="N75" i="5"/>
  <c r="R75" i="5"/>
  <c r="V75" i="5"/>
  <c r="Z75" i="5"/>
  <c r="AD75" i="5"/>
  <c r="C76" i="5"/>
  <c r="G76" i="5"/>
  <c r="K76" i="5"/>
  <c r="O76" i="5"/>
  <c r="S76" i="5"/>
  <c r="W76" i="5"/>
  <c r="AA76" i="5"/>
  <c r="AE76" i="5"/>
  <c r="D77" i="5"/>
  <c r="H77" i="5"/>
  <c r="L77" i="5"/>
  <c r="P77" i="5"/>
  <c r="T77" i="5"/>
  <c r="X77" i="5"/>
  <c r="AB77" i="5"/>
  <c r="AF77" i="5"/>
  <c r="E78" i="5"/>
  <c r="I78" i="5"/>
  <c r="M78" i="5"/>
  <c r="Q78" i="5"/>
  <c r="U78" i="5"/>
  <c r="Y78" i="5"/>
  <c r="AC78" i="5"/>
  <c r="AG78" i="5"/>
  <c r="F79" i="5"/>
  <c r="J79" i="5"/>
  <c r="N79" i="5"/>
  <c r="R79" i="5"/>
  <c r="V79" i="5"/>
  <c r="Z79" i="5"/>
  <c r="AD79" i="5"/>
  <c r="C80" i="5"/>
  <c r="G80" i="5"/>
  <c r="K80" i="5"/>
  <c r="O80" i="5"/>
  <c r="S80" i="5"/>
  <c r="W80" i="5"/>
  <c r="AA80" i="5"/>
  <c r="AE80" i="5"/>
  <c r="D81" i="5"/>
  <c r="H81" i="5"/>
  <c r="L81" i="5"/>
  <c r="P81" i="5"/>
  <c r="T81" i="5"/>
  <c r="Y6" i="5"/>
  <c r="R9" i="5"/>
  <c r="J12" i="5"/>
  <c r="G14" i="5"/>
  <c r="AG15" i="5"/>
  <c r="AA17" i="5"/>
  <c r="V19" i="5"/>
  <c r="D21" i="5"/>
  <c r="O22" i="5"/>
  <c r="AA23" i="5"/>
  <c r="H25" i="5"/>
  <c r="S26" i="5"/>
  <c r="AE27" i="5"/>
  <c r="L29" i="5"/>
  <c r="W30" i="5"/>
  <c r="D32" i="5"/>
  <c r="P33" i="5"/>
  <c r="AA34" i="5"/>
  <c r="Z35" i="5"/>
  <c r="T36" i="5"/>
  <c r="J37" i="5"/>
  <c r="AF37" i="5"/>
  <c r="V38" i="5"/>
  <c r="L39" i="5"/>
  <c r="C40" i="5"/>
  <c r="X40" i="5"/>
  <c r="N41" i="5"/>
  <c r="E42" i="5"/>
  <c r="Z42" i="5"/>
  <c r="N43" i="5"/>
  <c r="AD43" i="5"/>
  <c r="O44" i="5"/>
  <c r="AE44" i="5"/>
  <c r="P45" i="5"/>
  <c r="AF45" i="5"/>
  <c r="Q46" i="5"/>
  <c r="AG46" i="5"/>
  <c r="R47" i="5"/>
  <c r="C48" i="5"/>
  <c r="N48" i="5"/>
  <c r="Y48" i="5"/>
  <c r="AG48" i="5"/>
  <c r="J49" i="5"/>
  <c r="R49" i="5"/>
  <c r="Z49" i="5"/>
  <c r="C50" i="5"/>
  <c r="K50" i="5"/>
  <c r="S50" i="5"/>
  <c r="AA50" i="5"/>
  <c r="D51" i="5"/>
  <c r="L51" i="5"/>
  <c r="T51" i="5"/>
  <c r="AB51" i="5"/>
  <c r="E52" i="5"/>
  <c r="M52" i="5"/>
  <c r="U52" i="5"/>
  <c r="AC52" i="5"/>
  <c r="F53" i="5"/>
  <c r="N53" i="5"/>
  <c r="V53" i="5"/>
  <c r="AD53" i="5"/>
  <c r="G54" i="5"/>
  <c r="O54" i="5"/>
  <c r="W54" i="5"/>
  <c r="AE54" i="5"/>
  <c r="H55" i="5"/>
  <c r="P55" i="5"/>
  <c r="X55" i="5"/>
  <c r="AF55" i="5"/>
  <c r="I56" i="5"/>
  <c r="Q56" i="5"/>
  <c r="Y56" i="5"/>
  <c r="AG56" i="5"/>
  <c r="J57" i="5"/>
  <c r="R57" i="5"/>
  <c r="Z57" i="5"/>
  <c r="C58" i="5"/>
  <c r="K58" i="5"/>
  <c r="S58" i="5"/>
  <c r="AA58" i="5"/>
  <c r="D59" i="5"/>
  <c r="L59" i="5"/>
  <c r="T59" i="5"/>
  <c r="AB59" i="5"/>
  <c r="E60" i="5"/>
  <c r="M60" i="5"/>
  <c r="U60" i="5"/>
  <c r="AC60" i="5"/>
  <c r="F61" i="5"/>
  <c r="N61" i="5"/>
  <c r="V61" i="5"/>
  <c r="AD61" i="5"/>
  <c r="G62" i="5"/>
  <c r="O62" i="5"/>
  <c r="W62" i="5"/>
  <c r="AE62" i="5"/>
  <c r="H63" i="5"/>
  <c r="P63" i="5"/>
  <c r="X63" i="5"/>
  <c r="AF63" i="5"/>
  <c r="I64" i="5"/>
  <c r="Q64" i="5"/>
  <c r="Y64" i="5"/>
  <c r="AG64" i="5"/>
  <c r="J65" i="5"/>
  <c r="R65" i="5"/>
  <c r="Z65" i="5"/>
  <c r="C66" i="5"/>
  <c r="K66" i="5"/>
  <c r="S66" i="5"/>
  <c r="AA66" i="5"/>
  <c r="D67" i="5"/>
  <c r="L67" i="5"/>
  <c r="T67" i="5"/>
  <c r="AB67" i="5"/>
  <c r="E68" i="5"/>
  <c r="M68" i="5"/>
  <c r="U68" i="5"/>
  <c r="AC68" i="5"/>
  <c r="F69" i="5"/>
  <c r="N69" i="5"/>
  <c r="V69" i="5"/>
  <c r="AD69" i="5"/>
  <c r="G70" i="5"/>
  <c r="O70" i="5"/>
  <c r="W70" i="5"/>
  <c r="AE70" i="5"/>
  <c r="H71" i="5"/>
  <c r="P71" i="5"/>
  <c r="X71" i="5"/>
  <c r="AF71" i="5"/>
  <c r="I72" i="5"/>
  <c r="Q72" i="5"/>
  <c r="Y72" i="5"/>
  <c r="AG72" i="5"/>
  <c r="J73" i="5"/>
  <c r="R73" i="5"/>
  <c r="Z73" i="5"/>
  <c r="C74" i="5"/>
  <c r="K74" i="5"/>
  <c r="S74" i="5"/>
  <c r="AA74" i="5"/>
  <c r="D75" i="5"/>
  <c r="L75" i="5"/>
  <c r="T75" i="5"/>
  <c r="AB75" i="5"/>
  <c r="E76" i="5"/>
  <c r="M76" i="5"/>
  <c r="U76" i="5"/>
  <c r="AC76" i="5"/>
  <c r="F77" i="5"/>
  <c r="N77" i="5"/>
  <c r="V77" i="5"/>
  <c r="AD77" i="5"/>
  <c r="G78" i="5"/>
  <c r="O78" i="5"/>
  <c r="W78" i="5"/>
  <c r="AE78" i="5"/>
  <c r="H79" i="5"/>
  <c r="P79" i="5"/>
  <c r="X79" i="5"/>
  <c r="AF79" i="5"/>
  <c r="I80" i="5"/>
  <c r="Q80" i="5"/>
  <c r="Y80" i="5"/>
  <c r="AF80" i="5"/>
  <c r="F81" i="5"/>
  <c r="K81" i="5"/>
  <c r="Q81" i="5"/>
  <c r="V81" i="5"/>
  <c r="Z81" i="5"/>
  <c r="AD81" i="5"/>
  <c r="C82" i="5"/>
  <c r="G82" i="5"/>
  <c r="K82" i="5"/>
  <c r="O82" i="5"/>
  <c r="S82" i="5"/>
  <c r="W82" i="5"/>
  <c r="AA82" i="5"/>
  <c r="AE82" i="5"/>
  <c r="D83" i="5"/>
  <c r="H83" i="5"/>
  <c r="L83" i="5"/>
  <c r="P83" i="5"/>
  <c r="T83" i="5"/>
  <c r="X83" i="5"/>
  <c r="AB83" i="5"/>
  <c r="AF83" i="5"/>
  <c r="E84" i="5"/>
  <c r="I84" i="5"/>
  <c r="M84" i="5"/>
  <c r="Q84" i="5"/>
  <c r="U84" i="5"/>
  <c r="Y84" i="5"/>
  <c r="AC84" i="5"/>
  <c r="AG84" i="5"/>
  <c r="F85" i="5"/>
  <c r="J85" i="5"/>
  <c r="N85" i="5"/>
  <c r="R85" i="5"/>
  <c r="V85" i="5"/>
  <c r="Z85" i="5"/>
  <c r="AD85" i="5"/>
  <c r="C86" i="5"/>
  <c r="G86" i="5"/>
  <c r="K86" i="5"/>
  <c r="O86" i="5"/>
  <c r="S86" i="5"/>
  <c r="W86" i="5"/>
  <c r="AA86" i="5"/>
  <c r="AE86" i="5"/>
  <c r="D87" i="5"/>
  <c r="H87" i="5"/>
  <c r="L87" i="5"/>
  <c r="P87" i="5"/>
  <c r="T87" i="5"/>
  <c r="X87" i="5"/>
  <c r="AB87" i="5"/>
  <c r="AF87" i="5"/>
  <c r="E88" i="5"/>
  <c r="I88" i="5"/>
  <c r="M88" i="5"/>
  <c r="Q88" i="5"/>
  <c r="U88" i="5"/>
  <c r="Y88" i="5"/>
  <c r="AC88" i="5"/>
  <c r="AG88" i="5"/>
  <c r="F89" i="5"/>
  <c r="J89" i="5"/>
  <c r="N89" i="5"/>
  <c r="R89" i="5"/>
  <c r="V89" i="5"/>
  <c r="Z89" i="5"/>
  <c r="AD89" i="5"/>
  <c r="C90" i="5"/>
  <c r="G90" i="5"/>
  <c r="K90" i="5"/>
  <c r="O90" i="5"/>
  <c r="S90" i="5"/>
  <c r="W90" i="5"/>
  <c r="AA90" i="5"/>
  <c r="AE90" i="5"/>
  <c r="D92" i="5"/>
  <c r="H92" i="5"/>
  <c r="L92" i="5"/>
  <c r="P92" i="5"/>
  <c r="T92" i="5"/>
  <c r="X92" i="5"/>
  <c r="AB92" i="5"/>
  <c r="AF92" i="5"/>
  <c r="E93" i="5"/>
  <c r="I93" i="5"/>
  <c r="M93" i="5"/>
  <c r="Q93" i="5"/>
  <c r="U93" i="5"/>
  <c r="Y93" i="5"/>
  <c r="AC93" i="5"/>
  <c r="AG93" i="5"/>
  <c r="F94" i="5"/>
  <c r="J94" i="5"/>
  <c r="N94" i="5"/>
  <c r="R94" i="5"/>
  <c r="V94" i="5"/>
  <c r="Z94" i="5"/>
  <c r="AD94" i="5"/>
  <c r="C95" i="5"/>
  <c r="G95" i="5"/>
  <c r="K95" i="5"/>
  <c r="O95" i="5"/>
  <c r="S95" i="5"/>
  <c r="W95" i="5"/>
  <c r="AA95" i="5"/>
  <c r="AE95" i="5"/>
  <c r="D96" i="5"/>
  <c r="H96" i="5"/>
  <c r="L96" i="5"/>
  <c r="P96" i="5"/>
  <c r="T96" i="5"/>
  <c r="X96" i="5"/>
  <c r="AB96" i="5"/>
  <c r="AF96" i="5"/>
  <c r="E97" i="5"/>
  <c r="I97" i="5"/>
  <c r="M97" i="5"/>
  <c r="Q97" i="5"/>
  <c r="U97" i="5"/>
  <c r="Y97" i="5"/>
  <c r="AC97" i="5"/>
  <c r="AG97" i="5"/>
  <c r="F98" i="5"/>
  <c r="J98" i="5"/>
  <c r="N98" i="5"/>
  <c r="R98" i="5"/>
  <c r="V98" i="5"/>
  <c r="Z98" i="5"/>
  <c r="AD98" i="5"/>
  <c r="C99" i="5"/>
  <c r="G99" i="5"/>
  <c r="K99" i="5"/>
  <c r="O99" i="5"/>
  <c r="S99" i="5"/>
  <c r="W99" i="5"/>
  <c r="AA99" i="5"/>
  <c r="AE99" i="5"/>
  <c r="D100" i="5"/>
  <c r="H100" i="5"/>
  <c r="L100" i="5"/>
  <c r="P100" i="5"/>
  <c r="T100" i="5"/>
  <c r="X100" i="5"/>
  <c r="AB100" i="5"/>
  <c r="AF100" i="5"/>
  <c r="E101" i="5"/>
  <c r="I101" i="5"/>
  <c r="M101" i="5"/>
  <c r="Q101" i="5"/>
  <c r="U101" i="5"/>
  <c r="Y101" i="5"/>
  <c r="AC101" i="5"/>
  <c r="AG101" i="5"/>
  <c r="F107" i="5"/>
  <c r="J107" i="5"/>
  <c r="N107" i="5"/>
  <c r="R107" i="5"/>
  <c r="V107" i="5"/>
  <c r="N4" i="5"/>
  <c r="F7" i="5"/>
  <c r="AD9" i="5"/>
  <c r="U12" i="5"/>
  <c r="P14" i="5"/>
  <c r="J16" i="5"/>
  <c r="E18" i="5"/>
  <c r="AD19" i="5"/>
  <c r="J21" i="5"/>
  <c r="V22" i="5"/>
  <c r="C24" i="5"/>
  <c r="N25" i="5"/>
  <c r="Z26" i="5"/>
  <c r="G28" i="5"/>
  <c r="R29" i="5"/>
  <c r="AD30" i="5"/>
  <c r="K32" i="5"/>
  <c r="V33" i="5"/>
  <c r="C35" i="5"/>
  <c r="AE35" i="5"/>
  <c r="X36" i="5"/>
  <c r="N37" i="5"/>
  <c r="E38" i="5"/>
  <c r="Z38" i="5"/>
  <c r="P39" i="5"/>
  <c r="G40" i="5"/>
  <c r="AB40" i="5"/>
  <c r="R41" i="5"/>
  <c r="I42" i="5"/>
  <c r="AD42" i="5"/>
  <c r="Q43" i="5"/>
  <c r="AG43" i="5"/>
  <c r="R44" i="5"/>
  <c r="C45" i="5"/>
  <c r="S45" i="5"/>
  <c r="D46" i="5"/>
  <c r="T46" i="5"/>
  <c r="E47" i="5"/>
  <c r="U47" i="5"/>
  <c r="E48" i="5"/>
  <c r="O48" i="5"/>
  <c r="Z48" i="5"/>
  <c r="C49" i="5"/>
  <c r="K49" i="5"/>
  <c r="S49" i="5"/>
  <c r="AA49" i="5"/>
  <c r="D50" i="5"/>
  <c r="L50" i="5"/>
  <c r="T50" i="5"/>
  <c r="AB50" i="5"/>
  <c r="E51" i="5"/>
  <c r="M51" i="5"/>
  <c r="U51" i="5"/>
  <c r="AC51" i="5"/>
  <c r="F52" i="5"/>
  <c r="N52" i="5"/>
  <c r="V52" i="5"/>
  <c r="AD52" i="5"/>
  <c r="G53" i="5"/>
  <c r="O53" i="5"/>
  <c r="W53" i="5"/>
  <c r="AE53" i="5"/>
  <c r="H54" i="5"/>
  <c r="P54" i="5"/>
  <c r="X54" i="5"/>
  <c r="AF54" i="5"/>
  <c r="I55" i="5"/>
  <c r="Q55" i="5"/>
  <c r="Y55" i="5"/>
  <c r="AG55" i="5"/>
  <c r="J56" i="5"/>
  <c r="R56" i="5"/>
  <c r="Z56" i="5"/>
  <c r="C57" i="5"/>
  <c r="K57" i="5"/>
  <c r="S57" i="5"/>
  <c r="AA57" i="5"/>
  <c r="D58" i="5"/>
  <c r="L58" i="5"/>
  <c r="T58" i="5"/>
  <c r="AB58" i="5"/>
  <c r="E59" i="5"/>
  <c r="M59" i="5"/>
  <c r="U59" i="5"/>
  <c r="AC59" i="5"/>
  <c r="F60" i="5"/>
  <c r="N60" i="5"/>
  <c r="V60" i="5"/>
  <c r="AD60" i="5"/>
  <c r="G61" i="5"/>
  <c r="O61" i="5"/>
  <c r="W61" i="5"/>
  <c r="AE61" i="5"/>
  <c r="H62" i="5"/>
  <c r="P62" i="5"/>
  <c r="X62" i="5"/>
  <c r="AF62" i="5"/>
  <c r="I63" i="5"/>
  <c r="Q63" i="5"/>
  <c r="Y63" i="5"/>
  <c r="AG63" i="5"/>
  <c r="J64" i="5"/>
  <c r="R64" i="5"/>
  <c r="Z64" i="5"/>
  <c r="C65" i="5"/>
  <c r="K65" i="5"/>
  <c r="S65" i="5"/>
  <c r="AA65" i="5"/>
  <c r="D66" i="5"/>
  <c r="L66" i="5"/>
  <c r="T66" i="5"/>
  <c r="AB66" i="5"/>
  <c r="E67" i="5"/>
  <c r="M67" i="5"/>
  <c r="U67" i="5"/>
  <c r="AC67" i="5"/>
  <c r="F68" i="5"/>
  <c r="N68" i="5"/>
  <c r="V68" i="5"/>
  <c r="AD68" i="5"/>
  <c r="G69" i="5"/>
  <c r="O69" i="5"/>
  <c r="W69" i="5"/>
  <c r="AE69" i="5"/>
  <c r="H70" i="5"/>
  <c r="P70" i="5"/>
  <c r="X70" i="5"/>
  <c r="AF70" i="5"/>
  <c r="I71" i="5"/>
  <c r="Q71" i="5"/>
  <c r="Y71" i="5"/>
  <c r="AG71" i="5"/>
  <c r="J72" i="5"/>
  <c r="R72" i="5"/>
  <c r="Z72" i="5"/>
  <c r="C73" i="5"/>
  <c r="K73" i="5"/>
  <c r="S73" i="5"/>
  <c r="AA73" i="5"/>
  <c r="D74" i="5"/>
  <c r="L74" i="5"/>
  <c r="T74" i="5"/>
  <c r="AB74" i="5"/>
  <c r="E75" i="5"/>
  <c r="M75" i="5"/>
  <c r="U75" i="5"/>
  <c r="AC75" i="5"/>
  <c r="F76" i="5"/>
  <c r="N76" i="5"/>
  <c r="V76" i="5"/>
  <c r="AD76" i="5"/>
  <c r="G77" i="5"/>
  <c r="O77" i="5"/>
  <c r="W77" i="5"/>
  <c r="AE77" i="5"/>
  <c r="H78" i="5"/>
  <c r="P78" i="5"/>
  <c r="X78" i="5"/>
  <c r="AF78" i="5"/>
  <c r="I79" i="5"/>
  <c r="Q79" i="5"/>
  <c r="Y79" i="5"/>
  <c r="AG79" i="5"/>
  <c r="J80" i="5"/>
  <c r="R80" i="5"/>
  <c r="Z80" i="5"/>
  <c r="AG80" i="5"/>
  <c r="G81" i="5"/>
  <c r="M81" i="5"/>
  <c r="R81" i="5"/>
  <c r="W81" i="5"/>
  <c r="AA81" i="5"/>
  <c r="AE81" i="5"/>
  <c r="D82" i="5"/>
  <c r="H82" i="5"/>
  <c r="L82" i="5"/>
  <c r="P82" i="5"/>
  <c r="T82" i="5"/>
  <c r="X82" i="5"/>
  <c r="AB82" i="5"/>
  <c r="AF82" i="5"/>
  <c r="E83" i="5"/>
  <c r="I83" i="5"/>
  <c r="M83" i="5"/>
  <c r="Q83" i="5"/>
  <c r="U83" i="5"/>
  <c r="Y83" i="5"/>
  <c r="AC83" i="5"/>
  <c r="AG83" i="5"/>
  <c r="F84" i="5"/>
  <c r="J84" i="5"/>
  <c r="N84" i="5"/>
  <c r="R84" i="5"/>
  <c r="V84" i="5"/>
  <c r="Z84" i="5"/>
  <c r="AD84" i="5"/>
  <c r="C85" i="5"/>
  <c r="G85" i="5"/>
  <c r="K85" i="5"/>
  <c r="O85" i="5"/>
  <c r="S85" i="5"/>
  <c r="W85" i="5"/>
  <c r="AA85" i="5"/>
  <c r="AE85" i="5"/>
  <c r="D86" i="5"/>
  <c r="H86" i="5"/>
  <c r="L86" i="5"/>
  <c r="P86" i="5"/>
  <c r="T86" i="5"/>
  <c r="X86" i="5"/>
  <c r="AB86" i="5"/>
  <c r="AF86" i="5"/>
  <c r="E87" i="5"/>
  <c r="I87" i="5"/>
  <c r="M87" i="5"/>
  <c r="Q87" i="5"/>
  <c r="U87" i="5"/>
  <c r="Y87" i="5"/>
  <c r="AC87" i="5"/>
  <c r="AG87" i="5"/>
  <c r="F88" i="5"/>
  <c r="J88" i="5"/>
  <c r="N88" i="5"/>
  <c r="R88" i="5"/>
  <c r="V88" i="5"/>
  <c r="Z88" i="5"/>
  <c r="AD88" i="5"/>
  <c r="C89" i="5"/>
  <c r="G89" i="5"/>
  <c r="K89" i="5"/>
  <c r="O89" i="5"/>
  <c r="S89" i="5"/>
  <c r="W89" i="5"/>
  <c r="AA89" i="5"/>
  <c r="AE89" i="5"/>
  <c r="D90" i="5"/>
  <c r="H90" i="5"/>
  <c r="L90" i="5"/>
  <c r="P90" i="5"/>
  <c r="T90" i="5"/>
  <c r="X90" i="5"/>
  <c r="AB90" i="5"/>
  <c r="AF90" i="5"/>
  <c r="E92" i="5"/>
  <c r="I92" i="5"/>
  <c r="M92" i="5"/>
  <c r="Q92" i="5"/>
  <c r="U92" i="5"/>
  <c r="Y92" i="5"/>
  <c r="AC92" i="5"/>
  <c r="AG92" i="5"/>
  <c r="F93" i="5"/>
  <c r="J93" i="5"/>
  <c r="N93" i="5"/>
  <c r="R93" i="5"/>
  <c r="V93" i="5"/>
  <c r="Z93" i="5"/>
  <c r="AD93" i="5"/>
  <c r="C94" i="5"/>
  <c r="G94" i="5"/>
  <c r="K94" i="5"/>
  <c r="O94" i="5"/>
  <c r="S94" i="5"/>
  <c r="W94" i="5"/>
  <c r="AA94" i="5"/>
  <c r="AE94" i="5"/>
  <c r="D95" i="5"/>
  <c r="H95" i="5"/>
  <c r="L95" i="5"/>
  <c r="P95" i="5"/>
  <c r="T95" i="5"/>
  <c r="X95" i="5"/>
  <c r="AB95" i="5"/>
  <c r="AF95" i="5"/>
  <c r="E96" i="5"/>
  <c r="I96" i="5"/>
  <c r="M96" i="5"/>
  <c r="Q96" i="5"/>
  <c r="U96" i="5"/>
  <c r="Y96" i="5"/>
  <c r="AC96" i="5"/>
  <c r="AG96" i="5"/>
  <c r="F97" i="5"/>
  <c r="J97" i="5"/>
  <c r="N97" i="5"/>
  <c r="R97" i="5"/>
  <c r="V97" i="5"/>
  <c r="Z97" i="5"/>
  <c r="AD97" i="5"/>
  <c r="C98" i="5"/>
  <c r="G98" i="5"/>
  <c r="K98" i="5"/>
  <c r="O98" i="5"/>
  <c r="S98" i="5"/>
  <c r="W98" i="5"/>
  <c r="AA98" i="5"/>
  <c r="AE98" i="5"/>
  <c r="D99" i="5"/>
  <c r="H99" i="5"/>
  <c r="L99" i="5"/>
  <c r="P99" i="5"/>
  <c r="T99" i="5"/>
  <c r="X99" i="5"/>
  <c r="AB99" i="5"/>
  <c r="AF99" i="5"/>
  <c r="E100" i="5"/>
  <c r="I100" i="5"/>
  <c r="M100" i="5"/>
  <c r="Q100" i="5"/>
  <c r="U100" i="5"/>
  <c r="Y100" i="5"/>
  <c r="AC100" i="5"/>
  <c r="AG100" i="5"/>
  <c r="F101" i="5"/>
  <c r="J101" i="5"/>
  <c r="N101" i="5"/>
  <c r="R101" i="5"/>
  <c r="V101" i="5"/>
  <c r="Z101" i="5"/>
  <c r="AD101" i="5"/>
  <c r="C107" i="5"/>
  <c r="G107" i="5"/>
  <c r="K107" i="5"/>
  <c r="O107" i="5"/>
  <c r="S107" i="5"/>
  <c r="W107" i="5"/>
  <c r="AA107" i="5"/>
  <c r="AE107" i="5"/>
  <c r="D108" i="5"/>
  <c r="H108" i="5"/>
  <c r="L108" i="5"/>
  <c r="P108" i="5"/>
  <c r="T108" i="5"/>
  <c r="X108" i="5"/>
  <c r="AB108" i="5"/>
  <c r="AF108" i="5"/>
  <c r="E109" i="5"/>
  <c r="I109" i="5"/>
  <c r="M109" i="5"/>
  <c r="N5" i="5"/>
  <c r="AC10" i="5"/>
  <c r="D15" i="5"/>
  <c r="Y18" i="5"/>
  <c r="Y21" i="5"/>
  <c r="Q24" i="5"/>
  <c r="J27" i="5"/>
  <c r="AG29" i="5"/>
  <c r="Y32" i="5"/>
  <c r="L35" i="5"/>
  <c r="AE36" i="5"/>
  <c r="K38" i="5"/>
  <c r="W39" i="5"/>
  <c r="D41" i="5"/>
  <c r="O42" i="5"/>
  <c r="V43" i="5"/>
  <c r="W44" i="5"/>
  <c r="X45" i="5"/>
  <c r="Y46" i="5"/>
  <c r="Z47" i="5"/>
  <c r="S48" i="5"/>
  <c r="F49" i="5"/>
  <c r="V49" i="5"/>
  <c r="G50" i="5"/>
  <c r="W50" i="5"/>
  <c r="H51" i="5"/>
  <c r="X51" i="5"/>
  <c r="I52" i="5"/>
  <c r="Y52" i="5"/>
  <c r="J53" i="5"/>
  <c r="Z53" i="5"/>
  <c r="K54" i="5"/>
  <c r="AA54" i="5"/>
  <c r="L55" i="5"/>
  <c r="AB55" i="5"/>
  <c r="M56" i="5"/>
  <c r="AC56" i="5"/>
  <c r="N57" i="5"/>
  <c r="AD57" i="5"/>
  <c r="O58" i="5"/>
  <c r="AE58" i="5"/>
  <c r="P59" i="5"/>
  <c r="AF59" i="5"/>
  <c r="Q60" i="5"/>
  <c r="AG60" i="5"/>
  <c r="R61" i="5"/>
  <c r="C62" i="5"/>
  <c r="S62" i="5"/>
  <c r="D63" i="5"/>
  <c r="T63" i="5"/>
  <c r="E64" i="5"/>
  <c r="U64" i="5"/>
  <c r="F65" i="5"/>
  <c r="V65" i="5"/>
  <c r="G66" i="5"/>
  <c r="W66" i="5"/>
  <c r="H67" i="5"/>
  <c r="X67" i="5"/>
  <c r="I68" i="5"/>
  <c r="Y68" i="5"/>
  <c r="J69" i="5"/>
  <c r="Z69" i="5"/>
  <c r="K70" i="5"/>
  <c r="AA70" i="5"/>
  <c r="L71" i="5"/>
  <c r="AB71" i="5"/>
  <c r="M72" i="5"/>
  <c r="AC72" i="5"/>
  <c r="N73" i="5"/>
  <c r="AD73" i="5"/>
  <c r="O74" i="5"/>
  <c r="AE74" i="5"/>
  <c r="P75" i="5"/>
  <c r="AF75" i="5"/>
  <c r="Q76" i="5"/>
  <c r="AG76" i="5"/>
  <c r="R77" i="5"/>
  <c r="C78" i="5"/>
  <c r="S78" i="5"/>
  <c r="D79" i="5"/>
  <c r="T79" i="5"/>
  <c r="E80" i="5"/>
  <c r="U80" i="5"/>
  <c r="C81" i="5"/>
  <c r="N81" i="5"/>
  <c r="X81" i="5"/>
  <c r="AF81" i="5"/>
  <c r="I82" i="5"/>
  <c r="Q82" i="5"/>
  <c r="Y82" i="5"/>
  <c r="AG82" i="5"/>
  <c r="J83" i="5"/>
  <c r="R83" i="5"/>
  <c r="Z83" i="5"/>
  <c r="C84" i="5"/>
  <c r="K84" i="5"/>
  <c r="S84" i="5"/>
  <c r="AA84" i="5"/>
  <c r="D85" i="5"/>
  <c r="L85" i="5"/>
  <c r="T85" i="5"/>
  <c r="AB85" i="5"/>
  <c r="E86" i="5"/>
  <c r="M86" i="5"/>
  <c r="U86" i="5"/>
  <c r="AC86" i="5"/>
  <c r="F87" i="5"/>
  <c r="N87" i="5"/>
  <c r="V87" i="5"/>
  <c r="AD87" i="5"/>
  <c r="G88" i="5"/>
  <c r="O88" i="5"/>
  <c r="W88" i="5"/>
  <c r="AE88" i="5"/>
  <c r="H89" i="5"/>
  <c r="P89" i="5"/>
  <c r="X89" i="5"/>
  <c r="AF89" i="5"/>
  <c r="I90" i="5"/>
  <c r="Q90" i="5"/>
  <c r="Y90" i="5"/>
  <c r="AG90" i="5"/>
  <c r="J92" i="5"/>
  <c r="R92" i="5"/>
  <c r="Z92" i="5"/>
  <c r="C93" i="5"/>
  <c r="K93" i="5"/>
  <c r="S93" i="5"/>
  <c r="AA93" i="5"/>
  <c r="D94" i="5"/>
  <c r="L94" i="5"/>
  <c r="T94" i="5"/>
  <c r="AB94" i="5"/>
  <c r="E95" i="5"/>
  <c r="M95" i="5"/>
  <c r="U95" i="5"/>
  <c r="AC95" i="5"/>
  <c r="F96" i="5"/>
  <c r="N96" i="5"/>
  <c r="V96" i="5"/>
  <c r="AD96" i="5"/>
  <c r="G97" i="5"/>
  <c r="O97" i="5"/>
  <c r="W97" i="5"/>
  <c r="AE97" i="5"/>
  <c r="H98" i="5"/>
  <c r="P98" i="5"/>
  <c r="X98" i="5"/>
  <c r="AF98" i="5"/>
  <c r="I99" i="5"/>
  <c r="Q99" i="5"/>
  <c r="Y99" i="5"/>
  <c r="AG99" i="5"/>
  <c r="J100" i="5"/>
  <c r="R100" i="5"/>
  <c r="Z100" i="5"/>
  <c r="C101" i="5"/>
  <c r="K101" i="5"/>
  <c r="S101" i="5"/>
  <c r="AA101" i="5"/>
  <c r="D107" i="5"/>
  <c r="L107" i="5"/>
  <c r="T107" i="5"/>
  <c r="Z107" i="5"/>
  <c r="AF107" i="5"/>
  <c r="F108" i="5"/>
  <c r="K108" i="5"/>
  <c r="Q108" i="5"/>
  <c r="V108" i="5"/>
  <c r="AA108" i="5"/>
  <c r="AG108" i="5"/>
  <c r="G109" i="5"/>
  <c r="L109" i="5"/>
  <c r="Q109" i="5"/>
  <c r="U109" i="5"/>
  <c r="Y109" i="5"/>
  <c r="AC109" i="5"/>
  <c r="AG109" i="5"/>
  <c r="F110" i="5"/>
  <c r="J110" i="5"/>
  <c r="N110" i="5"/>
  <c r="R110" i="5"/>
  <c r="V110" i="5"/>
  <c r="Z110" i="5"/>
  <c r="AD110" i="5"/>
  <c r="C111" i="5"/>
  <c r="G111" i="5"/>
  <c r="K111" i="5"/>
  <c r="O111" i="5"/>
  <c r="S111" i="5"/>
  <c r="W111" i="5"/>
  <c r="AA111" i="5"/>
  <c r="AE111" i="5"/>
  <c r="D112" i="5"/>
  <c r="H112" i="5"/>
  <c r="L112" i="5"/>
  <c r="P112" i="5"/>
  <c r="T112" i="5"/>
  <c r="X112" i="5"/>
  <c r="AB112" i="5"/>
  <c r="AF112" i="5"/>
  <c r="E113" i="5"/>
  <c r="I113" i="5"/>
  <c r="M113" i="5"/>
  <c r="Q113" i="5"/>
  <c r="U113" i="5"/>
  <c r="Y113" i="5"/>
  <c r="AC113" i="5"/>
  <c r="AG113" i="5"/>
  <c r="F114" i="5"/>
  <c r="J114" i="5"/>
  <c r="N114" i="5"/>
  <c r="R114" i="5"/>
  <c r="V114" i="5"/>
  <c r="Z114" i="5"/>
  <c r="AD114" i="5"/>
  <c r="C115" i="5"/>
  <c r="G115" i="5"/>
  <c r="K115" i="5"/>
  <c r="O115" i="5"/>
  <c r="S115" i="5"/>
  <c r="W115" i="5"/>
  <c r="AA115" i="5"/>
  <c r="AE115" i="5"/>
  <c r="D116" i="5"/>
  <c r="H116" i="5"/>
  <c r="L116" i="5"/>
  <c r="P116" i="5"/>
  <c r="T116" i="5"/>
  <c r="X116" i="5"/>
  <c r="AB116" i="5"/>
  <c r="AF116" i="5"/>
  <c r="E117" i="5"/>
  <c r="I117" i="5"/>
  <c r="M117" i="5"/>
  <c r="Q117" i="5"/>
  <c r="U117" i="5"/>
  <c r="Y117" i="5"/>
  <c r="AC117" i="5"/>
  <c r="AG117" i="5"/>
  <c r="F118" i="5"/>
  <c r="J118" i="5"/>
  <c r="N118" i="5"/>
  <c r="R118" i="5"/>
  <c r="V118" i="5"/>
  <c r="Z118" i="5"/>
  <c r="AD118" i="5"/>
  <c r="C119" i="5"/>
  <c r="G119" i="5"/>
  <c r="K119" i="5"/>
  <c r="O119" i="5"/>
  <c r="S119" i="5"/>
  <c r="W119" i="5"/>
  <c r="AA119" i="5"/>
  <c r="AE119" i="5"/>
  <c r="D120" i="5"/>
  <c r="H120" i="5"/>
  <c r="L120" i="5"/>
  <c r="P120" i="5"/>
  <c r="T120" i="5"/>
  <c r="X120" i="5"/>
  <c r="AB120" i="5"/>
  <c r="AF120" i="5"/>
  <c r="E121" i="5"/>
  <c r="I121" i="5"/>
  <c r="M121" i="5"/>
  <c r="Q121" i="5"/>
  <c r="U121" i="5"/>
  <c r="Y121" i="5"/>
  <c r="AC121" i="5"/>
  <c r="AG121" i="5"/>
  <c r="F122" i="5"/>
  <c r="J122" i="5"/>
  <c r="N122" i="5"/>
  <c r="R122" i="5"/>
  <c r="V122" i="5"/>
  <c r="Z122" i="5"/>
  <c r="AD122" i="5"/>
  <c r="C123" i="5"/>
  <c r="G123" i="5"/>
  <c r="K123" i="5"/>
  <c r="O123" i="5"/>
  <c r="S123" i="5"/>
  <c r="W123" i="5"/>
  <c r="AA123" i="5"/>
  <c r="AE123" i="5"/>
  <c r="D124" i="5"/>
  <c r="H124" i="5"/>
  <c r="L124" i="5"/>
  <c r="P124" i="5"/>
  <c r="T124" i="5"/>
  <c r="X124" i="5"/>
  <c r="AB124" i="5"/>
  <c r="AF124" i="5"/>
  <c r="E125" i="5"/>
  <c r="I125" i="5"/>
  <c r="M125" i="5"/>
  <c r="Q125" i="5"/>
  <c r="U125" i="5"/>
  <c r="Y125" i="5"/>
  <c r="AC125" i="5"/>
  <c r="AG125" i="5"/>
  <c r="F126" i="5"/>
  <c r="J126" i="5"/>
  <c r="N126" i="5"/>
  <c r="R126" i="5"/>
  <c r="V126" i="5"/>
  <c r="Z126" i="5"/>
  <c r="AD126" i="5"/>
  <c r="C127" i="5"/>
  <c r="G127" i="5"/>
  <c r="K127" i="5"/>
  <c r="O127" i="5"/>
  <c r="S127" i="5"/>
  <c r="W127" i="5"/>
  <c r="AA127" i="5"/>
  <c r="AE127" i="5"/>
  <c r="D128" i="5"/>
  <c r="H128" i="5"/>
  <c r="L128" i="5"/>
  <c r="P128" i="5"/>
  <c r="T128" i="5"/>
  <c r="X128" i="5"/>
  <c r="AB128" i="5"/>
  <c r="AF128" i="5"/>
  <c r="E129" i="5"/>
  <c r="I129" i="5"/>
  <c r="M129" i="5"/>
  <c r="Q129" i="5"/>
  <c r="U129" i="5"/>
  <c r="Y129" i="5"/>
  <c r="AC129" i="5"/>
  <c r="AG129" i="5"/>
  <c r="F130" i="5"/>
  <c r="J130" i="5"/>
  <c r="N130" i="5"/>
  <c r="R130" i="5"/>
  <c r="V130" i="5"/>
  <c r="Z130" i="5"/>
  <c r="AD130" i="5"/>
  <c r="R8" i="5"/>
  <c r="R13" i="5"/>
  <c r="H17" i="5"/>
  <c r="T20" i="5"/>
  <c r="L23" i="5"/>
  <c r="E26" i="5"/>
  <c r="AB28" i="5"/>
  <c r="T31" i="5"/>
  <c r="M34" i="5"/>
  <c r="M36" i="5"/>
  <c r="Y37" i="5"/>
  <c r="F39" i="5"/>
  <c r="Q40" i="5"/>
  <c r="AC41" i="5"/>
  <c r="I43" i="5"/>
  <c r="J44" i="5"/>
  <c r="K45" i="5"/>
  <c r="L46" i="5"/>
  <c r="M47" i="5"/>
  <c r="J48" i="5"/>
  <c r="AD48" i="5"/>
  <c r="O49" i="5"/>
  <c r="AE49" i="5"/>
  <c r="P50" i="5"/>
  <c r="AF50" i="5"/>
  <c r="Q51" i="5"/>
  <c r="AG51" i="5"/>
  <c r="R52" i="5"/>
  <c r="C53" i="5"/>
  <c r="S53" i="5"/>
  <c r="D54" i="5"/>
  <c r="T54" i="5"/>
  <c r="E55" i="5"/>
  <c r="U55" i="5"/>
  <c r="F56" i="5"/>
  <c r="V56" i="5"/>
  <c r="G57" i="5"/>
  <c r="W57" i="5"/>
  <c r="H58" i="5"/>
  <c r="X58" i="5"/>
  <c r="I59" i="5"/>
  <c r="Y59" i="5"/>
  <c r="J60" i="5"/>
  <c r="Z60" i="5"/>
  <c r="K61" i="5"/>
  <c r="AA61" i="5"/>
  <c r="L62" i="5"/>
  <c r="AB62" i="5"/>
  <c r="M63" i="5"/>
  <c r="AC63" i="5"/>
  <c r="N64" i="5"/>
  <c r="AD64" i="5"/>
  <c r="O65" i="5"/>
  <c r="AE65" i="5"/>
  <c r="P66" i="5"/>
  <c r="AF66" i="5"/>
  <c r="Q67" i="5"/>
  <c r="AG67" i="5"/>
  <c r="R68" i="5"/>
  <c r="C69" i="5"/>
  <c r="S69" i="5"/>
  <c r="D70" i="5"/>
  <c r="T70" i="5"/>
  <c r="E71" i="5"/>
  <c r="U71" i="5"/>
  <c r="F72" i="5"/>
  <c r="V72" i="5"/>
  <c r="G73" i="5"/>
  <c r="W73" i="5"/>
  <c r="H74" i="5"/>
  <c r="X74" i="5"/>
  <c r="I75" i="5"/>
  <c r="Y75" i="5"/>
  <c r="J76" i="5"/>
  <c r="Z76" i="5"/>
  <c r="K77" i="5"/>
  <c r="AA77" i="5"/>
  <c r="L78" i="5"/>
  <c r="AB78" i="5"/>
  <c r="M79" i="5"/>
  <c r="AC79" i="5"/>
  <c r="N80" i="5"/>
  <c r="AD80" i="5"/>
  <c r="J81" i="5"/>
  <c r="U81" i="5"/>
  <c r="AC81" i="5"/>
  <c r="F82" i="5"/>
  <c r="N82" i="5"/>
  <c r="V82" i="5"/>
  <c r="AD82" i="5"/>
  <c r="G83" i="5"/>
  <c r="O83" i="5"/>
  <c r="W83" i="5"/>
  <c r="AE83" i="5"/>
  <c r="H84" i="5"/>
  <c r="P84" i="5"/>
  <c r="X84" i="5"/>
  <c r="AF84" i="5"/>
  <c r="I85" i="5"/>
  <c r="Q85" i="5"/>
  <c r="Y85" i="5"/>
  <c r="AG85" i="5"/>
  <c r="J86" i="5"/>
  <c r="R86" i="5"/>
  <c r="Z86" i="5"/>
  <c r="C87" i="5"/>
  <c r="K87" i="5"/>
  <c r="S87" i="5"/>
  <c r="AA87" i="5"/>
  <c r="D88" i="5"/>
  <c r="L88" i="5"/>
  <c r="T88" i="5"/>
  <c r="AB88" i="5"/>
  <c r="E89" i="5"/>
  <c r="M89" i="5"/>
  <c r="U89" i="5"/>
  <c r="AC89" i="5"/>
  <c r="F90" i="5"/>
  <c r="N90" i="5"/>
  <c r="V90" i="5"/>
  <c r="AD90" i="5"/>
  <c r="G92" i="5"/>
  <c r="O92" i="5"/>
  <c r="W92" i="5"/>
  <c r="AE92" i="5"/>
  <c r="H93" i="5"/>
  <c r="P93" i="5"/>
  <c r="X93" i="5"/>
  <c r="AF93" i="5"/>
  <c r="I94" i="5"/>
  <c r="Q94" i="5"/>
  <c r="Y94" i="5"/>
  <c r="AG94" i="5"/>
  <c r="J95" i="5"/>
  <c r="R95" i="5"/>
  <c r="Z95" i="5"/>
  <c r="C96" i="5"/>
  <c r="K96" i="5"/>
  <c r="S96" i="5"/>
  <c r="AA96" i="5"/>
  <c r="D97" i="5"/>
  <c r="L97" i="5"/>
  <c r="T97" i="5"/>
  <c r="AB97" i="5"/>
  <c r="E98" i="5"/>
  <c r="M98" i="5"/>
  <c r="U98" i="5"/>
  <c r="AC98" i="5"/>
  <c r="F99" i="5"/>
  <c r="N99" i="5"/>
  <c r="V99" i="5"/>
  <c r="AD99" i="5"/>
  <c r="G100" i="5"/>
  <c r="O100" i="5"/>
  <c r="W100" i="5"/>
  <c r="AE100" i="5"/>
  <c r="H101" i="5"/>
  <c r="P101" i="5"/>
  <c r="X101" i="5"/>
  <c r="AF101" i="5"/>
  <c r="I107" i="5"/>
  <c r="Q107" i="5"/>
  <c r="Y107" i="5"/>
  <c r="AD107" i="5"/>
  <c r="E108" i="5"/>
  <c r="J108" i="5"/>
  <c r="O108" i="5"/>
  <c r="U108" i="5"/>
  <c r="Z108" i="5"/>
  <c r="AE108" i="5"/>
  <c r="F109" i="5"/>
  <c r="K109" i="5"/>
  <c r="P109" i="5"/>
  <c r="T109" i="5"/>
  <c r="X109" i="5"/>
  <c r="AB109" i="5"/>
  <c r="AF109" i="5"/>
  <c r="E110" i="5"/>
  <c r="I110" i="5"/>
  <c r="M110" i="5"/>
  <c r="Q110" i="5"/>
  <c r="U110" i="5"/>
  <c r="Y110" i="5"/>
  <c r="AC110" i="5"/>
  <c r="AG110" i="5"/>
  <c r="F111" i="5"/>
  <c r="J111" i="5"/>
  <c r="N111" i="5"/>
  <c r="R111" i="5"/>
  <c r="V111" i="5"/>
  <c r="Z111" i="5"/>
  <c r="AD111" i="5"/>
  <c r="C112" i="5"/>
  <c r="G112" i="5"/>
  <c r="K112" i="5"/>
  <c r="O112" i="5"/>
  <c r="S112" i="5"/>
  <c r="W112" i="5"/>
  <c r="AA112" i="5"/>
  <c r="AE112" i="5"/>
  <c r="D113" i="5"/>
  <c r="H113" i="5"/>
  <c r="L113" i="5"/>
  <c r="P113" i="5"/>
  <c r="T113" i="5"/>
  <c r="X113" i="5"/>
  <c r="AB113" i="5"/>
  <c r="AF113" i="5"/>
  <c r="E114" i="5"/>
  <c r="I114" i="5"/>
  <c r="M114" i="5"/>
  <c r="Q114" i="5"/>
  <c r="U114" i="5"/>
  <c r="Y114" i="5"/>
  <c r="AC114" i="5"/>
  <c r="AG114" i="5"/>
  <c r="F115" i="5"/>
  <c r="J115" i="5"/>
  <c r="N115" i="5"/>
  <c r="R115" i="5"/>
  <c r="V115" i="5"/>
  <c r="Z115" i="5"/>
  <c r="AD115" i="5"/>
  <c r="C116" i="5"/>
  <c r="G116" i="5"/>
  <c r="K116" i="5"/>
  <c r="O116" i="5"/>
  <c r="S116" i="5"/>
  <c r="W116" i="5"/>
  <c r="AA116" i="5"/>
  <c r="AE116" i="5"/>
  <c r="D117" i="5"/>
  <c r="H117" i="5"/>
  <c r="L117" i="5"/>
  <c r="P117" i="5"/>
  <c r="T117" i="5"/>
  <c r="X117" i="5"/>
  <c r="AB117" i="5"/>
  <c r="AF117" i="5"/>
  <c r="E118" i="5"/>
  <c r="I118" i="5"/>
  <c r="M118" i="5"/>
  <c r="Q118" i="5"/>
  <c r="U118" i="5"/>
  <c r="Y118" i="5"/>
  <c r="AC118" i="5"/>
  <c r="AG118" i="5"/>
  <c r="F119" i="5"/>
  <c r="J119" i="5"/>
  <c r="N119" i="5"/>
  <c r="R119" i="5"/>
  <c r="V119" i="5"/>
  <c r="Z119" i="5"/>
  <c r="AD119" i="5"/>
  <c r="C120" i="5"/>
  <c r="G120" i="5"/>
  <c r="K120" i="5"/>
  <c r="O120" i="5"/>
  <c r="S120" i="5"/>
  <c r="W120" i="5"/>
  <c r="AA120" i="5"/>
  <c r="AE120" i="5"/>
  <c r="D121" i="5"/>
  <c r="H121" i="5"/>
  <c r="L121" i="5"/>
  <c r="P121" i="5"/>
  <c r="T121" i="5"/>
  <c r="X121" i="5"/>
  <c r="AB121" i="5"/>
  <c r="AF121" i="5"/>
  <c r="E122" i="5"/>
  <c r="I122" i="5"/>
  <c r="M122" i="5"/>
  <c r="Q122" i="5"/>
  <c r="U122" i="5"/>
  <c r="Y122" i="5"/>
  <c r="AC122" i="5"/>
  <c r="AG122" i="5"/>
  <c r="F123" i="5"/>
  <c r="J123" i="5"/>
  <c r="N123" i="5"/>
  <c r="R123" i="5"/>
  <c r="V123" i="5"/>
  <c r="Z123" i="5"/>
  <c r="AD123" i="5"/>
  <c r="C124" i="5"/>
  <c r="G124" i="5"/>
  <c r="K124" i="5"/>
  <c r="O124" i="5"/>
  <c r="S124" i="5"/>
  <c r="W124" i="5"/>
  <c r="AA124" i="5"/>
  <c r="AE124" i="5"/>
  <c r="D125" i="5"/>
  <c r="H125" i="5"/>
  <c r="L125" i="5"/>
  <c r="P125" i="5"/>
  <c r="T125" i="5"/>
  <c r="X125" i="5"/>
  <c r="AB125" i="5"/>
  <c r="AF125" i="5"/>
  <c r="E126" i="5"/>
  <c r="I126" i="5"/>
  <c r="M126" i="5"/>
  <c r="Q126" i="5"/>
  <c r="U126" i="5"/>
  <c r="Y126" i="5"/>
  <c r="AC126" i="5"/>
  <c r="AG126" i="5"/>
  <c r="F127" i="5"/>
  <c r="J127" i="5"/>
  <c r="N127" i="5"/>
  <c r="R127" i="5"/>
  <c r="V127" i="5"/>
  <c r="Z127" i="5"/>
  <c r="AD127" i="5"/>
  <c r="C128" i="5"/>
  <c r="G128" i="5"/>
  <c r="K128" i="5"/>
  <c r="J11" i="5"/>
  <c r="AG18" i="5"/>
  <c r="X24" i="5"/>
  <c r="I30" i="5"/>
  <c r="R35" i="5"/>
  <c r="O38" i="5"/>
  <c r="H41" i="5"/>
  <c r="Y43" i="5"/>
  <c r="AA45" i="5"/>
  <c r="AC47" i="5"/>
  <c r="G49" i="5"/>
  <c r="H50" i="5"/>
  <c r="I51" i="5"/>
  <c r="J52" i="5"/>
  <c r="K53" i="5"/>
  <c r="L54" i="5"/>
  <c r="M55" i="5"/>
  <c r="N56" i="5"/>
  <c r="O57" i="5"/>
  <c r="P58" i="5"/>
  <c r="Q59" i="5"/>
  <c r="R60" i="5"/>
  <c r="S61" i="5"/>
  <c r="T62" i="5"/>
  <c r="U63" i="5"/>
  <c r="V64" i="5"/>
  <c r="W65" i="5"/>
  <c r="X66" i="5"/>
  <c r="Y67" i="5"/>
  <c r="Z68" i="5"/>
  <c r="AA69" i="5"/>
  <c r="AB70" i="5"/>
  <c r="AC71" i="5"/>
  <c r="AD72" i="5"/>
  <c r="AE73" i="5"/>
  <c r="AF74" i="5"/>
  <c r="AG75" i="5"/>
  <c r="C77" i="5"/>
  <c r="D78" i="5"/>
  <c r="E79" i="5"/>
  <c r="F80" i="5"/>
  <c r="E81" i="5"/>
  <c r="Y81" i="5"/>
  <c r="J82" i="5"/>
  <c r="Z82" i="5"/>
  <c r="K83" i="5"/>
  <c r="AA83" i="5"/>
  <c r="L84" i="5"/>
  <c r="AB84" i="5"/>
  <c r="M85" i="5"/>
  <c r="AC85" i="5"/>
  <c r="N86" i="5"/>
  <c r="AD86" i="5"/>
  <c r="O87" i="5"/>
  <c r="AE87" i="5"/>
  <c r="P88" i="5"/>
  <c r="AF88" i="5"/>
  <c r="Q89" i="5"/>
  <c r="AG89" i="5"/>
  <c r="R90" i="5"/>
  <c r="C92" i="5"/>
  <c r="S92" i="5"/>
  <c r="D93" i="5"/>
  <c r="T93" i="5"/>
  <c r="E94" i="5"/>
  <c r="U94" i="5"/>
  <c r="F95" i="5"/>
  <c r="V95" i="5"/>
  <c r="G96" i="5"/>
  <c r="W96" i="5"/>
  <c r="H97" i="5"/>
  <c r="X97" i="5"/>
  <c r="I98" i="5"/>
  <c r="Y98" i="5"/>
  <c r="J99" i="5"/>
  <c r="Z99" i="5"/>
  <c r="K100" i="5"/>
  <c r="AA100" i="5"/>
  <c r="L101" i="5"/>
  <c r="AB101" i="5"/>
  <c r="M107" i="5"/>
  <c r="AB107" i="5"/>
  <c r="G108" i="5"/>
  <c r="R108" i="5"/>
  <c r="AC108" i="5"/>
  <c r="H109" i="5"/>
  <c r="R109" i="5"/>
  <c r="Z109" i="5"/>
  <c r="C110" i="5"/>
  <c r="K110" i="5"/>
  <c r="S110" i="5"/>
  <c r="AA110" i="5"/>
  <c r="D111" i="5"/>
  <c r="L111" i="5"/>
  <c r="T111" i="5"/>
  <c r="AB111" i="5"/>
  <c r="E112" i="5"/>
  <c r="M112" i="5"/>
  <c r="U112" i="5"/>
  <c r="AC112" i="5"/>
  <c r="F113" i="5"/>
  <c r="N113" i="5"/>
  <c r="V113" i="5"/>
  <c r="AD113" i="5"/>
  <c r="G114" i="5"/>
  <c r="O114" i="5"/>
  <c r="W114" i="5"/>
  <c r="AE114" i="5"/>
  <c r="H115" i="5"/>
  <c r="P115" i="5"/>
  <c r="X115" i="5"/>
  <c r="AF115" i="5"/>
  <c r="I116" i="5"/>
  <c r="Q116" i="5"/>
  <c r="Y116" i="5"/>
  <c r="AG116" i="5"/>
  <c r="J117" i="5"/>
  <c r="R117" i="5"/>
  <c r="Z117" i="5"/>
  <c r="C118" i="5"/>
  <c r="K118" i="5"/>
  <c r="S118" i="5"/>
  <c r="AA118" i="5"/>
  <c r="D119" i="5"/>
  <c r="L119" i="5"/>
  <c r="T119" i="5"/>
  <c r="AB119" i="5"/>
  <c r="E120" i="5"/>
  <c r="M120" i="5"/>
  <c r="U120" i="5"/>
  <c r="AC120" i="5"/>
  <c r="F121" i="5"/>
  <c r="N121" i="5"/>
  <c r="V121" i="5"/>
  <c r="AD121" i="5"/>
  <c r="G122" i="5"/>
  <c r="O122" i="5"/>
  <c r="W122" i="5"/>
  <c r="AE122" i="5"/>
  <c r="H123" i="5"/>
  <c r="P123" i="5"/>
  <c r="X123" i="5"/>
  <c r="AF123" i="5"/>
  <c r="I124" i="5"/>
  <c r="Q124" i="5"/>
  <c r="Y124" i="5"/>
  <c r="AG124" i="5"/>
  <c r="J125" i="5"/>
  <c r="R125" i="5"/>
  <c r="Z125" i="5"/>
  <c r="C126" i="5"/>
  <c r="K126" i="5"/>
  <c r="S126" i="5"/>
  <c r="AA126" i="5"/>
  <c r="D127" i="5"/>
  <c r="L127" i="5"/>
  <c r="T127" i="5"/>
  <c r="AB127" i="5"/>
  <c r="E128" i="5"/>
  <c r="M128" i="5"/>
  <c r="R128" i="5"/>
  <c r="W128" i="5"/>
  <c r="AC128" i="5"/>
  <c r="C129" i="5"/>
  <c r="H129" i="5"/>
  <c r="N129" i="5"/>
  <c r="S129" i="5"/>
  <c r="X129" i="5"/>
  <c r="AD129" i="5"/>
  <c r="D130" i="5"/>
  <c r="I130" i="5"/>
  <c r="O130" i="5"/>
  <c r="T130" i="5"/>
  <c r="Y130" i="5"/>
  <c r="AE130" i="5"/>
  <c r="D131" i="5"/>
  <c r="H131" i="5"/>
  <c r="L131" i="5"/>
  <c r="P131" i="5"/>
  <c r="T131" i="5"/>
  <c r="X131" i="5"/>
  <c r="AB131" i="5"/>
  <c r="AF131" i="5"/>
  <c r="E132" i="5"/>
  <c r="I132" i="5"/>
  <c r="M132" i="5"/>
  <c r="Q132" i="5"/>
  <c r="U132" i="5"/>
  <c r="Y132" i="5"/>
  <c r="AC132" i="5"/>
  <c r="AG132" i="5"/>
  <c r="F133" i="5"/>
  <c r="J133" i="5"/>
  <c r="N133" i="5"/>
  <c r="R133" i="5"/>
  <c r="V133" i="5"/>
  <c r="Z133" i="5"/>
  <c r="AD133" i="5"/>
  <c r="C134" i="5"/>
  <c r="G134" i="5"/>
  <c r="K134" i="5"/>
  <c r="O134" i="5"/>
  <c r="S134" i="5"/>
  <c r="W134" i="5"/>
  <c r="AA134" i="5"/>
  <c r="AE134" i="5"/>
  <c r="D135" i="5"/>
  <c r="H135" i="5"/>
  <c r="L135" i="5"/>
  <c r="P135" i="5"/>
  <c r="T135" i="5"/>
  <c r="X135" i="5"/>
  <c r="AB135" i="5"/>
  <c r="AF135" i="5"/>
  <c r="E136" i="5"/>
  <c r="I136" i="5"/>
  <c r="M136" i="5"/>
  <c r="Q136" i="5"/>
  <c r="U136" i="5"/>
  <c r="Y136" i="5"/>
  <c r="AC136" i="5"/>
  <c r="AG136" i="5"/>
  <c r="F137" i="5"/>
  <c r="J137" i="5"/>
  <c r="N137" i="5"/>
  <c r="R137" i="5"/>
  <c r="V137" i="5"/>
  <c r="Z137" i="5"/>
  <c r="AD137" i="5"/>
  <c r="C138" i="5"/>
  <c r="G138" i="5"/>
  <c r="K138" i="5"/>
  <c r="O138" i="5"/>
  <c r="S138" i="5"/>
  <c r="W138" i="5"/>
  <c r="AA138" i="5"/>
  <c r="AE138" i="5"/>
  <c r="D139" i="5"/>
  <c r="H139" i="5"/>
  <c r="L139" i="5"/>
  <c r="P139" i="5"/>
  <c r="T139" i="5"/>
  <c r="X139" i="5"/>
  <c r="AB139" i="5"/>
  <c r="AF139" i="5"/>
  <c r="E140" i="5"/>
  <c r="I140" i="5"/>
  <c r="M140" i="5"/>
  <c r="Q140" i="5"/>
  <c r="U140" i="5"/>
  <c r="Y140" i="5"/>
  <c r="AC140" i="5"/>
  <c r="AG140" i="5"/>
  <c r="F141" i="5"/>
  <c r="J141" i="5"/>
  <c r="N141" i="5"/>
  <c r="R141" i="5"/>
  <c r="V141" i="5"/>
  <c r="Z141" i="5"/>
  <c r="AD141" i="5"/>
  <c r="C142" i="5"/>
  <c r="G142" i="5"/>
  <c r="K142" i="5"/>
  <c r="O142" i="5"/>
  <c r="S142" i="5"/>
  <c r="W142" i="5"/>
  <c r="AA142" i="5"/>
  <c r="AE142" i="5"/>
  <c r="D143" i="5"/>
  <c r="H143" i="5"/>
  <c r="L143" i="5"/>
  <c r="P143" i="5"/>
  <c r="T143" i="5"/>
  <c r="X143" i="5"/>
  <c r="AB143" i="5"/>
  <c r="AF143" i="5"/>
  <c r="E144" i="5"/>
  <c r="I144" i="5"/>
  <c r="M144" i="5"/>
  <c r="Q144" i="5"/>
  <c r="U144" i="5"/>
  <c r="Y144" i="5"/>
  <c r="AC144" i="5"/>
  <c r="AG144" i="5"/>
  <c r="F145" i="5"/>
  <c r="J145" i="5"/>
  <c r="N145" i="5"/>
  <c r="R145" i="5"/>
  <c r="V145" i="5"/>
  <c r="Z145" i="5"/>
  <c r="AD145" i="5"/>
  <c r="C146" i="5"/>
  <c r="G146" i="5"/>
  <c r="K146" i="5"/>
  <c r="O146" i="5"/>
  <c r="S146" i="5"/>
  <c r="W146" i="5"/>
  <c r="AA146" i="5"/>
  <c r="AE146" i="5"/>
  <c r="D147" i="5"/>
  <c r="H147" i="5"/>
  <c r="L147" i="5"/>
  <c r="P147" i="5"/>
  <c r="T147" i="5"/>
  <c r="X147" i="5"/>
  <c r="AB147" i="5"/>
  <c r="AF147" i="5"/>
  <c r="E148" i="5"/>
  <c r="I148" i="5"/>
  <c r="M148" i="5"/>
  <c r="Q148" i="5"/>
  <c r="U148" i="5"/>
  <c r="Y148" i="5"/>
  <c r="AC148" i="5"/>
  <c r="AG148" i="5"/>
  <c r="F149" i="5"/>
  <c r="J149" i="5"/>
  <c r="N149" i="5"/>
  <c r="R149" i="5"/>
  <c r="V149" i="5"/>
  <c r="Z149" i="5"/>
  <c r="AD149" i="5"/>
  <c r="C150" i="5"/>
  <c r="G150" i="5"/>
  <c r="K150" i="5"/>
  <c r="O150" i="5"/>
  <c r="S150" i="5"/>
  <c r="W150" i="5"/>
  <c r="AA150" i="5"/>
  <c r="AE150" i="5"/>
  <c r="D151" i="5"/>
  <c r="H151" i="5"/>
  <c r="L151" i="5"/>
  <c r="P151" i="5"/>
  <c r="T151" i="5"/>
  <c r="X151" i="5"/>
  <c r="AB151" i="5"/>
  <c r="AF151" i="5"/>
  <c r="E152" i="5"/>
  <c r="I152" i="5"/>
  <c r="M152" i="5"/>
  <c r="Q152" i="5"/>
  <c r="U152" i="5"/>
  <c r="Y152" i="5"/>
  <c r="AC152" i="5"/>
  <c r="AG152" i="5"/>
  <c r="F153" i="5"/>
  <c r="J153" i="5"/>
  <c r="N153" i="5"/>
  <c r="R153" i="5"/>
  <c r="V153" i="5"/>
  <c r="Z153" i="5"/>
  <c r="AD153" i="5"/>
  <c r="C154" i="5"/>
  <c r="G154" i="5"/>
  <c r="K154" i="5"/>
  <c r="O154" i="5"/>
  <c r="S154" i="5"/>
  <c r="W154" i="5"/>
  <c r="AA154" i="5"/>
  <c r="AE154" i="5"/>
  <c r="D155" i="5"/>
  <c r="H155" i="5"/>
  <c r="L155" i="5"/>
  <c r="P155" i="5"/>
  <c r="T155" i="5"/>
  <c r="X155" i="5"/>
  <c r="AB155" i="5"/>
  <c r="AF155" i="5"/>
  <c r="E156" i="5"/>
  <c r="I156" i="5"/>
  <c r="M156" i="5"/>
  <c r="Q156" i="5"/>
  <c r="U156" i="5"/>
  <c r="Y156" i="5"/>
  <c r="AC156" i="5"/>
  <c r="AG156" i="5"/>
  <c r="F157" i="5"/>
  <c r="J157" i="5"/>
  <c r="N157" i="5"/>
  <c r="R157" i="5"/>
  <c r="V157" i="5"/>
  <c r="Z157" i="5"/>
  <c r="AD157" i="5"/>
  <c r="C158" i="5"/>
  <c r="G158" i="5"/>
  <c r="K158" i="5"/>
  <c r="O158" i="5"/>
  <c r="S158" i="5"/>
  <c r="W158" i="5"/>
  <c r="AA158" i="5"/>
  <c r="AE158" i="5"/>
  <c r="D159" i="5"/>
  <c r="H159" i="5"/>
  <c r="L159" i="5"/>
  <c r="P159" i="5"/>
  <c r="T159" i="5"/>
  <c r="X159" i="5"/>
  <c r="AB159" i="5"/>
  <c r="AF159" i="5"/>
  <c r="E160" i="5"/>
  <c r="I160" i="5"/>
  <c r="M160" i="5"/>
  <c r="Q160" i="5"/>
  <c r="U160" i="5"/>
  <c r="Y160" i="5"/>
  <c r="AC160" i="5"/>
  <c r="AG160" i="5"/>
  <c r="F161" i="5"/>
  <c r="J161" i="5"/>
  <c r="N161" i="5"/>
  <c r="R161" i="5"/>
  <c r="V161" i="5"/>
  <c r="Z161" i="5"/>
  <c r="AD161" i="5"/>
  <c r="C162" i="5"/>
  <c r="G162" i="5"/>
  <c r="K162" i="5"/>
  <c r="O162" i="5"/>
  <c r="S162" i="5"/>
  <c r="W162" i="5"/>
  <c r="AA162" i="5"/>
  <c r="AE162" i="5"/>
  <c r="D163" i="5"/>
  <c r="H163" i="5"/>
  <c r="L163" i="5"/>
  <c r="P163" i="5"/>
  <c r="T163" i="5"/>
  <c r="X163" i="5"/>
  <c r="AB163" i="5"/>
  <c r="AF163" i="5"/>
  <c r="E164" i="5"/>
  <c r="I164" i="5"/>
  <c r="M164" i="5"/>
  <c r="Q164" i="5"/>
  <c r="U164" i="5"/>
  <c r="Y164" i="5"/>
  <c r="AC164" i="5"/>
  <c r="AG164" i="5"/>
  <c r="F165" i="5"/>
  <c r="J165" i="5"/>
  <c r="N165" i="5"/>
  <c r="R165" i="5"/>
  <c r="V165" i="5"/>
  <c r="Z165" i="5"/>
  <c r="AD165" i="5"/>
  <c r="C166" i="5"/>
  <c r="G166" i="5"/>
  <c r="K166" i="5"/>
  <c r="O166" i="5"/>
  <c r="S166" i="5"/>
  <c r="W166" i="5"/>
  <c r="AA166" i="5"/>
  <c r="AE166" i="5"/>
  <c r="D167" i="5"/>
  <c r="H167" i="5"/>
  <c r="L167" i="5"/>
  <c r="P167" i="5"/>
  <c r="T167" i="5"/>
  <c r="X167" i="5"/>
  <c r="AB167" i="5"/>
  <c r="AF167" i="5"/>
  <c r="E168" i="5"/>
  <c r="I168" i="5"/>
  <c r="M168" i="5"/>
  <c r="Q168" i="5"/>
  <c r="U168" i="5"/>
  <c r="Y168" i="5"/>
  <c r="AC168" i="5"/>
  <c r="AG168" i="5"/>
  <c r="F169" i="5"/>
  <c r="J169" i="5"/>
  <c r="N169" i="5"/>
  <c r="R169" i="5"/>
  <c r="V169" i="5"/>
  <c r="Z169" i="5"/>
  <c r="AD169" i="5"/>
  <c r="C170" i="5"/>
  <c r="G170" i="5"/>
  <c r="K170" i="5"/>
  <c r="O170" i="5"/>
  <c r="S170" i="5"/>
  <c r="W170" i="5"/>
  <c r="AA170" i="5"/>
  <c r="AE170" i="5"/>
  <c r="D171" i="5"/>
  <c r="H171" i="5"/>
  <c r="L171" i="5"/>
  <c r="P171" i="5"/>
  <c r="T171" i="5"/>
  <c r="X171" i="5"/>
  <c r="AB171" i="5"/>
  <c r="AF171" i="5"/>
  <c r="E172" i="5"/>
  <c r="I172" i="5"/>
  <c r="M172" i="5"/>
  <c r="Q172" i="5"/>
  <c r="U172" i="5"/>
  <c r="Y172" i="5"/>
  <c r="AC172" i="5"/>
  <c r="AG172" i="5"/>
  <c r="F173" i="5"/>
  <c r="J173" i="5"/>
  <c r="N173" i="5"/>
  <c r="R173" i="5"/>
  <c r="V173" i="5"/>
  <c r="Z173" i="5"/>
  <c r="AD173" i="5"/>
  <c r="C174" i="5"/>
  <c r="G174" i="5"/>
  <c r="K174" i="5"/>
  <c r="O174" i="5"/>
  <c r="S174" i="5"/>
  <c r="W174" i="5"/>
  <c r="AA174" i="5"/>
  <c r="AE174" i="5"/>
  <c r="D175" i="5"/>
  <c r="H175" i="5"/>
  <c r="L175" i="5"/>
  <c r="P175" i="5"/>
  <c r="T175" i="5"/>
  <c r="X175" i="5"/>
  <c r="AB175" i="5"/>
  <c r="AF175" i="5"/>
  <c r="E176" i="5"/>
  <c r="I176" i="5"/>
  <c r="M176" i="5"/>
  <c r="Q176" i="5"/>
  <c r="U176" i="5"/>
  <c r="Y176" i="5"/>
  <c r="AC176" i="5"/>
  <c r="AG176" i="5"/>
  <c r="F177" i="5"/>
  <c r="J177" i="5"/>
  <c r="N177" i="5"/>
  <c r="R177" i="5"/>
  <c r="V177" i="5"/>
  <c r="Z177" i="5"/>
  <c r="AD177" i="5"/>
  <c r="C178" i="5"/>
  <c r="G178" i="5"/>
  <c r="K178" i="5"/>
  <c r="O178" i="5"/>
  <c r="S178" i="5"/>
  <c r="W178" i="5"/>
  <c r="AA178" i="5"/>
  <c r="AE178" i="5"/>
  <c r="D179" i="5"/>
  <c r="H179" i="5"/>
  <c r="L179" i="5"/>
  <c r="P179" i="5"/>
  <c r="T179" i="5"/>
  <c r="X179" i="5"/>
  <c r="AB179" i="5"/>
  <c r="AF179" i="5"/>
  <c r="E180" i="5"/>
  <c r="I180" i="5"/>
  <c r="M180" i="5"/>
  <c r="Q180" i="5"/>
  <c r="U180" i="5"/>
  <c r="Y180" i="5"/>
  <c r="AC180" i="5"/>
  <c r="AG180" i="5"/>
  <c r="F181" i="5"/>
  <c r="J181" i="5"/>
  <c r="N181" i="5"/>
  <c r="R181" i="5"/>
  <c r="V181" i="5"/>
  <c r="Z181" i="5"/>
  <c r="AD181" i="5"/>
  <c r="C182" i="5"/>
  <c r="G182" i="5"/>
  <c r="K182" i="5"/>
  <c r="O182" i="5"/>
  <c r="S182" i="5"/>
  <c r="W182" i="5"/>
  <c r="AA182" i="5"/>
  <c r="AE182" i="5"/>
  <c r="D183" i="5"/>
  <c r="H183" i="5"/>
  <c r="L183" i="5"/>
  <c r="P183" i="5"/>
  <c r="T183" i="5"/>
  <c r="X183" i="5"/>
  <c r="AB183" i="5"/>
  <c r="AF183" i="5"/>
  <c r="E184" i="5"/>
  <c r="I184" i="5"/>
  <c r="M184" i="5"/>
  <c r="Q184" i="5"/>
  <c r="U184" i="5"/>
  <c r="Y184" i="5"/>
  <c r="AC184" i="5"/>
  <c r="AG184" i="5"/>
  <c r="F185" i="5"/>
  <c r="J185" i="5"/>
  <c r="N185" i="5"/>
  <c r="R185" i="5"/>
  <c r="V185" i="5"/>
  <c r="Z185" i="5"/>
  <c r="AD185" i="5"/>
  <c r="C186" i="5"/>
  <c r="G186" i="5"/>
  <c r="K186" i="5"/>
  <c r="O186" i="5"/>
  <c r="S186" i="5"/>
  <c r="W186" i="5"/>
  <c r="AA186" i="5"/>
  <c r="AE186" i="5"/>
  <c r="D187" i="5"/>
  <c r="H187" i="5"/>
  <c r="L187" i="5"/>
  <c r="P187" i="5"/>
  <c r="T187" i="5"/>
  <c r="X187" i="5"/>
  <c r="AB187" i="5"/>
  <c r="AF187" i="5"/>
  <c r="E188" i="5"/>
  <c r="I188" i="5"/>
  <c r="M188" i="5"/>
  <c r="Q188" i="5"/>
  <c r="U188" i="5"/>
  <c r="Y188" i="5"/>
  <c r="AC188" i="5"/>
  <c r="AG188" i="5"/>
  <c r="F189" i="5"/>
  <c r="J189" i="5"/>
  <c r="N189" i="5"/>
  <c r="R189" i="5"/>
  <c r="V189" i="5"/>
  <c r="Z189" i="5"/>
  <c r="AD189" i="5"/>
  <c r="C190" i="5"/>
  <c r="G190" i="5"/>
  <c r="K190" i="5"/>
  <c r="O190" i="5"/>
  <c r="S190" i="5"/>
  <c r="W190" i="5"/>
  <c r="AA190" i="5"/>
  <c r="AE190" i="5"/>
  <c r="D191" i="5"/>
  <c r="H191" i="5"/>
  <c r="L191" i="5"/>
  <c r="P191" i="5"/>
  <c r="T191" i="5"/>
  <c r="X191" i="5"/>
  <c r="AB191" i="5"/>
  <c r="AF191" i="5"/>
  <c r="E192" i="5"/>
  <c r="I192" i="5"/>
  <c r="M192" i="5"/>
  <c r="Q192" i="5"/>
  <c r="U192" i="5"/>
  <c r="Y192" i="5"/>
  <c r="AC192" i="5"/>
  <c r="AG192" i="5"/>
  <c r="F193" i="5"/>
  <c r="J193" i="5"/>
  <c r="N193" i="5"/>
  <c r="R193" i="5"/>
  <c r="V193" i="5"/>
  <c r="Z193" i="5"/>
  <c r="AD193" i="5"/>
  <c r="C194" i="5"/>
  <c r="G194" i="5"/>
  <c r="K194" i="5"/>
  <c r="O194" i="5"/>
  <c r="S194" i="5"/>
  <c r="W194" i="5"/>
  <c r="AA194" i="5"/>
  <c r="AE194" i="5"/>
  <c r="D195" i="5"/>
  <c r="H195" i="5"/>
  <c r="L195" i="5"/>
  <c r="P195" i="5"/>
  <c r="T195" i="5"/>
  <c r="X195" i="5"/>
  <c r="AB195" i="5"/>
  <c r="AF195" i="5"/>
  <c r="E196" i="5"/>
  <c r="I196" i="5"/>
  <c r="J13" i="5"/>
  <c r="M20" i="5"/>
  <c r="AC25" i="5"/>
  <c r="N31" i="5"/>
  <c r="I36" i="5"/>
  <c r="AG38" i="5"/>
  <c r="Y41" i="5"/>
  <c r="G44" i="5"/>
  <c r="I46" i="5"/>
  <c r="I48" i="5"/>
  <c r="N49" i="5"/>
  <c r="O50" i="5"/>
  <c r="P51" i="5"/>
  <c r="Q52" i="5"/>
  <c r="R53" i="5"/>
  <c r="S54" i="5"/>
  <c r="T55" i="5"/>
  <c r="U56" i="5"/>
  <c r="V57" i="5"/>
  <c r="W58" i="5"/>
  <c r="X59" i="5"/>
  <c r="Y60" i="5"/>
  <c r="Z61" i="5"/>
  <c r="AA62" i="5"/>
  <c r="AB63" i="5"/>
  <c r="AC64" i="5"/>
  <c r="AD65" i="5"/>
  <c r="AE66" i="5"/>
  <c r="AF67" i="5"/>
  <c r="AG68" i="5"/>
  <c r="C70" i="5"/>
  <c r="D71" i="5"/>
  <c r="E72" i="5"/>
  <c r="F73" i="5"/>
  <c r="G74" i="5"/>
  <c r="H75" i="5"/>
  <c r="I76" i="5"/>
  <c r="J77" i="5"/>
  <c r="K78" i="5"/>
  <c r="L79" i="5"/>
  <c r="M80" i="5"/>
  <c r="I81" i="5"/>
  <c r="AB81" i="5"/>
  <c r="M82" i="5"/>
  <c r="AC82" i="5"/>
  <c r="N83" i="5"/>
  <c r="AD83" i="5"/>
  <c r="O84" i="5"/>
  <c r="AE84" i="5"/>
  <c r="P85" i="5"/>
  <c r="AF85" i="5"/>
  <c r="Q86" i="5"/>
  <c r="AG86" i="5"/>
  <c r="R87" i="5"/>
  <c r="C88" i="5"/>
  <c r="S88" i="5"/>
  <c r="D89" i="5"/>
  <c r="T89" i="5"/>
  <c r="E90" i="5"/>
  <c r="U90" i="5"/>
  <c r="F92" i="5"/>
  <c r="V92" i="5"/>
  <c r="G93" i="5"/>
  <c r="W93" i="5"/>
  <c r="H94" i="5"/>
  <c r="X94" i="5"/>
  <c r="I95" i="5"/>
  <c r="Y95" i="5"/>
  <c r="J96" i="5"/>
  <c r="Z96" i="5"/>
  <c r="K97" i="5"/>
  <c r="AA97" i="5"/>
  <c r="L98" i="5"/>
  <c r="AB98" i="5"/>
  <c r="M99" i="5"/>
  <c r="AC99" i="5"/>
  <c r="N100" i="5"/>
  <c r="AD100" i="5"/>
  <c r="O101" i="5"/>
  <c r="AE101" i="5"/>
  <c r="P107" i="5"/>
  <c r="AC107" i="5"/>
  <c r="I108" i="5"/>
  <c r="S108" i="5"/>
  <c r="AD108" i="5"/>
  <c r="J109" i="5"/>
  <c r="S109" i="5"/>
  <c r="AA109" i="5"/>
  <c r="D110" i="5"/>
  <c r="L110" i="5"/>
  <c r="T110" i="5"/>
  <c r="AB110" i="5"/>
  <c r="E111" i="5"/>
  <c r="M111" i="5"/>
  <c r="U111" i="5"/>
  <c r="AC111" i="5"/>
  <c r="F112" i="5"/>
  <c r="N112" i="5"/>
  <c r="V112" i="5"/>
  <c r="AD112" i="5"/>
  <c r="G113" i="5"/>
  <c r="O113" i="5"/>
  <c r="W113" i="5"/>
  <c r="AE113" i="5"/>
  <c r="H114" i="5"/>
  <c r="P114" i="5"/>
  <c r="X114" i="5"/>
  <c r="AF114" i="5"/>
  <c r="I115" i="5"/>
  <c r="Q115" i="5"/>
  <c r="Y115" i="5"/>
  <c r="AG115" i="5"/>
  <c r="J116" i="5"/>
  <c r="R116" i="5"/>
  <c r="Z116" i="5"/>
  <c r="C117" i="5"/>
  <c r="K117" i="5"/>
  <c r="S117" i="5"/>
  <c r="AA117" i="5"/>
  <c r="D118" i="5"/>
  <c r="L118" i="5"/>
  <c r="T118" i="5"/>
  <c r="AB118" i="5"/>
  <c r="E119" i="5"/>
  <c r="M119" i="5"/>
  <c r="U119" i="5"/>
  <c r="AC119" i="5"/>
  <c r="F120" i="5"/>
  <c r="N120" i="5"/>
  <c r="V120" i="5"/>
  <c r="AD120" i="5"/>
  <c r="G121" i="5"/>
  <c r="O121" i="5"/>
  <c r="W121" i="5"/>
  <c r="AE121" i="5"/>
  <c r="H122" i="5"/>
  <c r="P122" i="5"/>
  <c r="X122" i="5"/>
  <c r="AF122" i="5"/>
  <c r="I123" i="5"/>
  <c r="Q123" i="5"/>
  <c r="Y123" i="5"/>
  <c r="AG123" i="5"/>
  <c r="J124" i="5"/>
  <c r="R124" i="5"/>
  <c r="Z124" i="5"/>
  <c r="C125" i="5"/>
  <c r="K125" i="5"/>
  <c r="S125" i="5"/>
  <c r="AA125" i="5"/>
  <c r="D126" i="5"/>
  <c r="L126" i="5"/>
  <c r="T126" i="5"/>
  <c r="AB126" i="5"/>
  <c r="E127" i="5"/>
  <c r="M127" i="5"/>
  <c r="U127" i="5"/>
  <c r="AC127" i="5"/>
  <c r="F128" i="5"/>
  <c r="N128" i="5"/>
  <c r="S128" i="5"/>
  <c r="Y128" i="5"/>
  <c r="AD128" i="5"/>
  <c r="D129" i="5"/>
  <c r="J129" i="5"/>
  <c r="O129" i="5"/>
  <c r="T129" i="5"/>
  <c r="Z129" i="5"/>
  <c r="AE129" i="5"/>
  <c r="E130" i="5"/>
  <c r="K130" i="5"/>
  <c r="P130" i="5"/>
  <c r="U130" i="5"/>
  <c r="AA130" i="5"/>
  <c r="AF130" i="5"/>
  <c r="E131" i="5"/>
  <c r="I131" i="5"/>
  <c r="M131" i="5"/>
  <c r="Q131" i="5"/>
  <c r="U131" i="5"/>
  <c r="Y131" i="5"/>
  <c r="AC131" i="5"/>
  <c r="AG131" i="5"/>
  <c r="F132" i="5"/>
  <c r="J132" i="5"/>
  <c r="N132" i="5"/>
  <c r="R132" i="5"/>
  <c r="V132" i="5"/>
  <c r="Z132" i="5"/>
  <c r="AD132" i="5"/>
  <c r="C133" i="5"/>
  <c r="G133" i="5"/>
  <c r="K133" i="5"/>
  <c r="O133" i="5"/>
  <c r="S133" i="5"/>
  <c r="W133" i="5"/>
  <c r="AA133" i="5"/>
  <c r="AE133" i="5"/>
  <c r="D134" i="5"/>
  <c r="H134" i="5"/>
  <c r="L134" i="5"/>
  <c r="P134" i="5"/>
  <c r="T134" i="5"/>
  <c r="X134" i="5"/>
  <c r="AB134" i="5"/>
  <c r="AF134" i="5"/>
  <c r="E135" i="5"/>
  <c r="I135" i="5"/>
  <c r="M135" i="5"/>
  <c r="Q135" i="5"/>
  <c r="U135" i="5"/>
  <c r="Y135" i="5"/>
  <c r="AC135" i="5"/>
  <c r="AG135" i="5"/>
  <c r="F136" i="5"/>
  <c r="J136" i="5"/>
  <c r="N136" i="5"/>
  <c r="R136" i="5"/>
  <c r="V136" i="5"/>
  <c r="Z136" i="5"/>
  <c r="AD136" i="5"/>
  <c r="C137" i="5"/>
  <c r="G137" i="5"/>
  <c r="K137" i="5"/>
  <c r="O137" i="5"/>
  <c r="S137" i="5"/>
  <c r="W137" i="5"/>
  <c r="AA137" i="5"/>
  <c r="AE137" i="5"/>
  <c r="D138" i="5"/>
  <c r="H138" i="5"/>
  <c r="L138" i="5"/>
  <c r="P138" i="5"/>
  <c r="T138" i="5"/>
  <c r="X138" i="5"/>
  <c r="AB138" i="5"/>
  <c r="AF138" i="5"/>
  <c r="E139" i="5"/>
  <c r="I139" i="5"/>
  <c r="M139" i="5"/>
  <c r="Q139" i="5"/>
  <c r="U139" i="5"/>
  <c r="Y139" i="5"/>
  <c r="AC139" i="5"/>
  <c r="AG139" i="5"/>
  <c r="F140" i="5"/>
  <c r="J140" i="5"/>
  <c r="N140" i="5"/>
  <c r="R140" i="5"/>
  <c r="V140" i="5"/>
  <c r="Z140" i="5"/>
  <c r="AD140" i="5"/>
  <c r="C141" i="5"/>
  <c r="G141" i="5"/>
  <c r="K141" i="5"/>
  <c r="O141" i="5"/>
  <c r="S141" i="5"/>
  <c r="W141" i="5"/>
  <c r="AA141" i="5"/>
  <c r="AE141" i="5"/>
  <c r="D142" i="5"/>
  <c r="H142" i="5"/>
  <c r="L142" i="5"/>
  <c r="P142" i="5"/>
  <c r="T142" i="5"/>
  <c r="X142" i="5"/>
  <c r="AB142" i="5"/>
  <c r="AF142" i="5"/>
  <c r="E143" i="5"/>
  <c r="I143" i="5"/>
  <c r="M143" i="5"/>
  <c r="Q143" i="5"/>
  <c r="U143" i="5"/>
  <c r="Y143" i="5"/>
  <c r="AC143" i="5"/>
  <c r="AG143" i="5"/>
  <c r="F144" i="5"/>
  <c r="J144" i="5"/>
  <c r="N144" i="5"/>
  <c r="R144" i="5"/>
  <c r="V144" i="5"/>
  <c r="Z144" i="5"/>
  <c r="AD144" i="5"/>
  <c r="C145" i="5"/>
  <c r="G145" i="5"/>
  <c r="K145" i="5"/>
  <c r="O145" i="5"/>
  <c r="S145" i="5"/>
  <c r="W145" i="5"/>
  <c r="AA145" i="5"/>
  <c r="AE145" i="5"/>
  <c r="D146" i="5"/>
  <c r="H146" i="5"/>
  <c r="L146" i="5"/>
  <c r="P146" i="5"/>
  <c r="T146" i="5"/>
  <c r="X146" i="5"/>
  <c r="AB146" i="5"/>
  <c r="AF146" i="5"/>
  <c r="E147" i="5"/>
  <c r="I147" i="5"/>
  <c r="M147" i="5"/>
  <c r="Q147" i="5"/>
  <c r="U147" i="5"/>
  <c r="Y147" i="5"/>
  <c r="AC147" i="5"/>
  <c r="AG147" i="5"/>
  <c r="F148" i="5"/>
  <c r="J148" i="5"/>
  <c r="N148" i="5"/>
  <c r="R148" i="5"/>
  <c r="V148" i="5"/>
  <c r="Z148" i="5"/>
  <c r="AD148" i="5"/>
  <c r="C149" i="5"/>
  <c r="G149" i="5"/>
  <c r="K149" i="5"/>
  <c r="O149" i="5"/>
  <c r="S149" i="5"/>
  <c r="W149" i="5"/>
  <c r="AA149" i="5"/>
  <c r="AE149" i="5"/>
  <c r="D150" i="5"/>
  <c r="H150" i="5"/>
  <c r="L150" i="5"/>
  <c r="P150" i="5"/>
  <c r="T150" i="5"/>
  <c r="X150" i="5"/>
  <c r="AB150" i="5"/>
  <c r="AF150" i="5"/>
  <c r="E151" i="5"/>
  <c r="I151" i="5"/>
  <c r="M151" i="5"/>
  <c r="Q151" i="5"/>
  <c r="U151" i="5"/>
  <c r="Y151" i="5"/>
  <c r="AC151" i="5"/>
  <c r="AG151" i="5"/>
  <c r="F152" i="5"/>
  <c r="J152" i="5"/>
  <c r="N152" i="5"/>
  <c r="R152" i="5"/>
  <c r="V152" i="5"/>
  <c r="Z152" i="5"/>
  <c r="AD152" i="5"/>
  <c r="C153" i="5"/>
  <c r="G153" i="5"/>
  <c r="K153" i="5"/>
  <c r="O153" i="5"/>
  <c r="S153" i="5"/>
  <c r="W153" i="5"/>
  <c r="AA153" i="5"/>
  <c r="AE153" i="5"/>
  <c r="D154" i="5"/>
  <c r="H154" i="5"/>
  <c r="L154" i="5"/>
  <c r="P154" i="5"/>
  <c r="T154" i="5"/>
  <c r="X154" i="5"/>
  <c r="AB154" i="5"/>
  <c r="AF154" i="5"/>
  <c r="E155" i="5"/>
  <c r="I155" i="5"/>
  <c r="M155" i="5"/>
  <c r="Q155" i="5"/>
  <c r="U155" i="5"/>
  <c r="Y155" i="5"/>
  <c r="AC155" i="5"/>
  <c r="AG155" i="5"/>
  <c r="F156" i="5"/>
  <c r="J156" i="5"/>
  <c r="N156" i="5"/>
  <c r="R156" i="5"/>
  <c r="V156" i="5"/>
  <c r="Z156" i="5"/>
  <c r="AD156" i="5"/>
  <c r="C157" i="5"/>
  <c r="G157" i="5"/>
  <c r="K157" i="5"/>
  <c r="O157" i="5"/>
  <c r="S157" i="5"/>
  <c r="W157" i="5"/>
  <c r="AA157" i="5"/>
  <c r="AE157" i="5"/>
  <c r="D158" i="5"/>
  <c r="H158" i="5"/>
  <c r="L158" i="5"/>
  <c r="P158" i="5"/>
  <c r="T158" i="5"/>
  <c r="X158" i="5"/>
  <c r="AB158" i="5"/>
  <c r="AF158" i="5"/>
  <c r="E159" i="5"/>
  <c r="I159" i="5"/>
  <c r="M159" i="5"/>
  <c r="Q159" i="5"/>
  <c r="U159" i="5"/>
  <c r="Y159" i="5"/>
  <c r="AC159" i="5"/>
  <c r="AG159" i="5"/>
  <c r="F160" i="5"/>
  <c r="J160" i="5"/>
  <c r="N160" i="5"/>
  <c r="R160" i="5"/>
  <c r="V160" i="5"/>
  <c r="Z160" i="5"/>
  <c r="AD160" i="5"/>
  <c r="C161" i="5"/>
  <c r="G161" i="5"/>
  <c r="K161" i="5"/>
  <c r="O161" i="5"/>
  <c r="S161" i="5"/>
  <c r="W161" i="5"/>
  <c r="AA161" i="5"/>
  <c r="AE161" i="5"/>
  <c r="D162" i="5"/>
  <c r="H162" i="5"/>
  <c r="L162" i="5"/>
  <c r="P162" i="5"/>
  <c r="T162" i="5"/>
  <c r="X162" i="5"/>
  <c r="AB162" i="5"/>
  <c r="AF162" i="5"/>
  <c r="E163" i="5"/>
  <c r="I163" i="5"/>
  <c r="M163" i="5"/>
  <c r="Q163" i="5"/>
  <c r="U163" i="5"/>
  <c r="Y163" i="5"/>
  <c r="AC163" i="5"/>
  <c r="AG163" i="5"/>
  <c r="F164" i="5"/>
  <c r="J164" i="5"/>
  <c r="N164" i="5"/>
  <c r="R164" i="5"/>
  <c r="V164" i="5"/>
  <c r="Z164" i="5"/>
  <c r="AD164" i="5"/>
  <c r="C165" i="5"/>
  <c r="G165" i="5"/>
  <c r="K165" i="5"/>
  <c r="O165" i="5"/>
  <c r="S165" i="5"/>
  <c r="W165" i="5"/>
  <c r="AA165" i="5"/>
  <c r="AE165" i="5"/>
  <c r="D166" i="5"/>
  <c r="H166" i="5"/>
  <c r="L166" i="5"/>
  <c r="P166" i="5"/>
  <c r="T166" i="5"/>
  <c r="X166" i="5"/>
  <c r="AB166" i="5"/>
  <c r="AF166" i="5"/>
  <c r="E167" i="5"/>
  <c r="I167" i="5"/>
  <c r="M167" i="5"/>
  <c r="Q167" i="5"/>
  <c r="U167" i="5"/>
  <c r="Y167" i="5"/>
  <c r="AC167" i="5"/>
  <c r="AG167" i="5"/>
  <c r="F168" i="5"/>
  <c r="J168" i="5"/>
  <c r="N168" i="5"/>
  <c r="R168" i="5"/>
  <c r="V168" i="5"/>
  <c r="Z168" i="5"/>
  <c r="AD168" i="5"/>
  <c r="C169" i="5"/>
  <c r="G169" i="5"/>
  <c r="K169" i="5"/>
  <c r="O169" i="5"/>
  <c r="S169" i="5"/>
  <c r="W169" i="5"/>
  <c r="AA169" i="5"/>
  <c r="AE169" i="5"/>
  <c r="D170" i="5"/>
  <c r="H170" i="5"/>
  <c r="L170" i="5"/>
  <c r="P170" i="5"/>
  <c r="T170" i="5"/>
  <c r="X170" i="5"/>
  <c r="AB170" i="5"/>
  <c r="AF170" i="5"/>
  <c r="E171" i="5"/>
  <c r="I171" i="5"/>
  <c r="M171" i="5"/>
  <c r="Q171" i="5"/>
  <c r="U171" i="5"/>
  <c r="Y171" i="5"/>
  <c r="AC171" i="5"/>
  <c r="AG171" i="5"/>
  <c r="F172" i="5"/>
  <c r="J172" i="5"/>
  <c r="N172" i="5"/>
  <c r="R172" i="5"/>
  <c r="V172" i="5"/>
  <c r="Z172" i="5"/>
  <c r="AD172" i="5"/>
  <c r="C173" i="5"/>
  <c r="G173" i="5"/>
  <c r="K173" i="5"/>
  <c r="O173" i="5"/>
  <c r="S173" i="5"/>
  <c r="W173" i="5"/>
  <c r="AA173" i="5"/>
  <c r="AE173" i="5"/>
  <c r="D174" i="5"/>
  <c r="H174" i="5"/>
  <c r="L174" i="5"/>
  <c r="P174" i="5"/>
  <c r="T174" i="5"/>
  <c r="X174" i="5"/>
  <c r="AB174" i="5"/>
  <c r="AF174" i="5"/>
  <c r="E175" i="5"/>
  <c r="I175" i="5"/>
  <c r="M175" i="5"/>
  <c r="Q175" i="5"/>
  <c r="U175" i="5"/>
  <c r="Y175" i="5"/>
  <c r="AC175" i="5"/>
  <c r="AG175" i="5"/>
  <c r="F176" i="5"/>
  <c r="J176" i="5"/>
  <c r="N176" i="5"/>
  <c r="R176" i="5"/>
  <c r="V176" i="5"/>
  <c r="Z176" i="5"/>
  <c r="AD176" i="5"/>
  <c r="C177" i="5"/>
  <c r="G177" i="5"/>
  <c r="K177" i="5"/>
  <c r="O177" i="5"/>
  <c r="S177" i="5"/>
  <c r="W177" i="5"/>
  <c r="AA177" i="5"/>
  <c r="AE177" i="5"/>
  <c r="D178" i="5"/>
  <c r="H178" i="5"/>
  <c r="L178" i="5"/>
  <c r="P178" i="5"/>
  <c r="T178" i="5"/>
  <c r="X178" i="5"/>
  <c r="AB178" i="5"/>
  <c r="Z5" i="5"/>
  <c r="AF21" i="5"/>
  <c r="AF32" i="5"/>
  <c r="AA39" i="5"/>
  <c r="Z44" i="5"/>
  <c r="U48" i="5"/>
  <c r="X50" i="5"/>
  <c r="Z52" i="5"/>
  <c r="AB54" i="5"/>
  <c r="AD56" i="5"/>
  <c r="AF58" i="5"/>
  <c r="C61" i="5"/>
  <c r="E63" i="5"/>
  <c r="G65" i="5"/>
  <c r="I67" i="5"/>
  <c r="K69" i="5"/>
  <c r="M71" i="5"/>
  <c r="O73" i="5"/>
  <c r="Q75" i="5"/>
  <c r="S77" i="5"/>
  <c r="U79" i="5"/>
  <c r="O81" i="5"/>
  <c r="R82" i="5"/>
  <c r="S83" i="5"/>
  <c r="T84" i="5"/>
  <c r="U85" i="5"/>
  <c r="V86" i="5"/>
  <c r="W87" i="5"/>
  <c r="X88" i="5"/>
  <c r="Y89" i="5"/>
  <c r="Z90" i="5"/>
  <c r="AA92" i="5"/>
  <c r="AB93" i="5"/>
  <c r="AC94" i="5"/>
  <c r="AD95" i="5"/>
  <c r="AE96" i="5"/>
  <c r="AF97" i="5"/>
  <c r="AG98" i="5"/>
  <c r="C100" i="5"/>
  <c r="D101" i="5"/>
  <c r="E107" i="5"/>
  <c r="AG107" i="5"/>
  <c r="W108" i="5"/>
  <c r="N109" i="5"/>
  <c r="AD109" i="5"/>
  <c r="O110" i="5"/>
  <c r="AE110" i="5"/>
  <c r="P111" i="5"/>
  <c r="AF111" i="5"/>
  <c r="Q112" i="5"/>
  <c r="AG112" i="5"/>
  <c r="R113" i="5"/>
  <c r="C114" i="5"/>
  <c r="S114" i="5"/>
  <c r="D115" i="5"/>
  <c r="T115" i="5"/>
  <c r="E116" i="5"/>
  <c r="U116" i="5"/>
  <c r="F117" i="5"/>
  <c r="V117" i="5"/>
  <c r="G118" i="5"/>
  <c r="W118" i="5"/>
  <c r="H119" i="5"/>
  <c r="X119" i="5"/>
  <c r="I120" i="5"/>
  <c r="Y120" i="5"/>
  <c r="J121" i="5"/>
  <c r="Z121" i="5"/>
  <c r="K122" i="5"/>
  <c r="AA122" i="5"/>
  <c r="L123" i="5"/>
  <c r="AB123" i="5"/>
  <c r="M124" i="5"/>
  <c r="AC124" i="5"/>
  <c r="N125" i="5"/>
  <c r="AD125" i="5"/>
  <c r="O126" i="5"/>
  <c r="AE126" i="5"/>
  <c r="P127" i="5"/>
  <c r="AF127" i="5"/>
  <c r="O128" i="5"/>
  <c r="Z128" i="5"/>
  <c r="F129" i="5"/>
  <c r="P129" i="5"/>
  <c r="AA129" i="5"/>
  <c r="G130" i="5"/>
  <c r="Q130" i="5"/>
  <c r="AB130" i="5"/>
  <c r="F131" i="5"/>
  <c r="N131" i="5"/>
  <c r="V131" i="5"/>
  <c r="AD131" i="5"/>
  <c r="G132" i="5"/>
  <c r="O132" i="5"/>
  <c r="W132" i="5"/>
  <c r="AE132" i="5"/>
  <c r="H133" i="5"/>
  <c r="P133" i="5"/>
  <c r="X133" i="5"/>
  <c r="AF133" i="5"/>
  <c r="I134" i="5"/>
  <c r="Q134" i="5"/>
  <c r="Y134" i="5"/>
  <c r="AG134" i="5"/>
  <c r="J135" i="5"/>
  <c r="R135" i="5"/>
  <c r="Z135" i="5"/>
  <c r="C136" i="5"/>
  <c r="K136" i="5"/>
  <c r="S136" i="5"/>
  <c r="AA136" i="5"/>
  <c r="D137" i="5"/>
  <c r="L137" i="5"/>
  <c r="T137" i="5"/>
  <c r="AB137" i="5"/>
  <c r="E138" i="5"/>
  <c r="M138" i="5"/>
  <c r="U138" i="5"/>
  <c r="AC138" i="5"/>
  <c r="F139" i="5"/>
  <c r="N139" i="5"/>
  <c r="V139" i="5"/>
  <c r="AD139" i="5"/>
  <c r="G140" i="5"/>
  <c r="O140" i="5"/>
  <c r="W140" i="5"/>
  <c r="AE140" i="5"/>
  <c r="H141" i="5"/>
  <c r="P141" i="5"/>
  <c r="X141" i="5"/>
  <c r="AF141" i="5"/>
  <c r="I142" i="5"/>
  <c r="Q142" i="5"/>
  <c r="Y142" i="5"/>
  <c r="AG142" i="5"/>
  <c r="J143" i="5"/>
  <c r="R143" i="5"/>
  <c r="Z143" i="5"/>
  <c r="C144" i="5"/>
  <c r="K144" i="5"/>
  <c r="S144" i="5"/>
  <c r="AA144" i="5"/>
  <c r="D145" i="5"/>
  <c r="L145" i="5"/>
  <c r="T145" i="5"/>
  <c r="AB145" i="5"/>
  <c r="E146" i="5"/>
  <c r="M146" i="5"/>
  <c r="U146" i="5"/>
  <c r="AC146" i="5"/>
  <c r="F147" i="5"/>
  <c r="N147" i="5"/>
  <c r="V147" i="5"/>
  <c r="AD147" i="5"/>
  <c r="G148" i="5"/>
  <c r="O148" i="5"/>
  <c r="W148" i="5"/>
  <c r="AE148" i="5"/>
  <c r="H149" i="5"/>
  <c r="P149" i="5"/>
  <c r="X149" i="5"/>
  <c r="AF149" i="5"/>
  <c r="I150" i="5"/>
  <c r="Q150" i="5"/>
  <c r="Y150" i="5"/>
  <c r="AG150" i="5"/>
  <c r="J151" i="5"/>
  <c r="R151" i="5"/>
  <c r="Z151" i="5"/>
  <c r="C152" i="5"/>
  <c r="K152" i="5"/>
  <c r="S152" i="5"/>
  <c r="AA152" i="5"/>
  <c r="D153" i="5"/>
  <c r="L153" i="5"/>
  <c r="T153" i="5"/>
  <c r="AB153" i="5"/>
  <c r="E154" i="5"/>
  <c r="M154" i="5"/>
  <c r="U154" i="5"/>
  <c r="AC154" i="5"/>
  <c r="F155" i="5"/>
  <c r="N155" i="5"/>
  <c r="V155" i="5"/>
  <c r="AD155" i="5"/>
  <c r="G156" i="5"/>
  <c r="O156" i="5"/>
  <c r="W156" i="5"/>
  <c r="AE156" i="5"/>
  <c r="H157" i="5"/>
  <c r="P157" i="5"/>
  <c r="X157" i="5"/>
  <c r="AF157" i="5"/>
  <c r="I158" i="5"/>
  <c r="Q158" i="5"/>
  <c r="Y158" i="5"/>
  <c r="AG158" i="5"/>
  <c r="J159" i="5"/>
  <c r="R159" i="5"/>
  <c r="Z159" i="5"/>
  <c r="C160" i="5"/>
  <c r="K160" i="5"/>
  <c r="S160" i="5"/>
  <c r="AA160" i="5"/>
  <c r="D161" i="5"/>
  <c r="L161" i="5"/>
  <c r="T161" i="5"/>
  <c r="AB161" i="5"/>
  <c r="E162" i="5"/>
  <c r="M162" i="5"/>
  <c r="U162" i="5"/>
  <c r="AC162" i="5"/>
  <c r="F163" i="5"/>
  <c r="N163" i="5"/>
  <c r="V163" i="5"/>
  <c r="AD163" i="5"/>
  <c r="G164" i="5"/>
  <c r="O164" i="5"/>
  <c r="W164" i="5"/>
  <c r="AE164" i="5"/>
  <c r="H165" i="5"/>
  <c r="P165" i="5"/>
  <c r="X165" i="5"/>
  <c r="AF165" i="5"/>
  <c r="I166" i="5"/>
  <c r="Q166" i="5"/>
  <c r="Y166" i="5"/>
  <c r="AG166" i="5"/>
  <c r="J167" i="5"/>
  <c r="R167" i="5"/>
  <c r="Z167" i="5"/>
  <c r="C168" i="5"/>
  <c r="K168" i="5"/>
  <c r="S168" i="5"/>
  <c r="AA168" i="5"/>
  <c r="D169" i="5"/>
  <c r="L169" i="5"/>
  <c r="T169" i="5"/>
  <c r="AB169" i="5"/>
  <c r="E170" i="5"/>
  <c r="M170" i="5"/>
  <c r="U170" i="5"/>
  <c r="AC170" i="5"/>
  <c r="F171" i="5"/>
  <c r="N171" i="5"/>
  <c r="V171" i="5"/>
  <c r="AD171" i="5"/>
  <c r="G172" i="5"/>
  <c r="O172" i="5"/>
  <c r="W172" i="5"/>
  <c r="AE172" i="5"/>
  <c r="H173" i="5"/>
  <c r="P173" i="5"/>
  <c r="X173" i="5"/>
  <c r="AF173" i="5"/>
  <c r="I174" i="5"/>
  <c r="Q174" i="5"/>
  <c r="Y174" i="5"/>
  <c r="AG174" i="5"/>
  <c r="J175" i="5"/>
  <c r="R175" i="5"/>
  <c r="Z175" i="5"/>
  <c r="C176" i="5"/>
  <c r="K176" i="5"/>
  <c r="S176" i="5"/>
  <c r="AA176" i="5"/>
  <c r="D177" i="5"/>
  <c r="L177" i="5"/>
  <c r="T177" i="5"/>
  <c r="AB177" i="5"/>
  <c r="E178" i="5"/>
  <c r="M178" i="5"/>
  <c r="U178" i="5"/>
  <c r="AC178" i="5"/>
  <c r="C179" i="5"/>
  <c r="I179" i="5"/>
  <c r="N179" i="5"/>
  <c r="S179" i="5"/>
  <c r="Y179" i="5"/>
  <c r="AD179" i="5"/>
  <c r="D180" i="5"/>
  <c r="J180" i="5"/>
  <c r="O180" i="5"/>
  <c r="T180" i="5"/>
  <c r="Z180" i="5"/>
  <c r="AE180" i="5"/>
  <c r="E181" i="5"/>
  <c r="K181" i="5"/>
  <c r="P181" i="5"/>
  <c r="U181" i="5"/>
  <c r="AA181" i="5"/>
  <c r="AF181" i="5"/>
  <c r="F182" i="5"/>
  <c r="L182" i="5"/>
  <c r="Q182" i="5"/>
  <c r="V182" i="5"/>
  <c r="AB182" i="5"/>
  <c r="AG182" i="5"/>
  <c r="G183" i="5"/>
  <c r="M183" i="5"/>
  <c r="R183" i="5"/>
  <c r="W183" i="5"/>
  <c r="AC183" i="5"/>
  <c r="C184" i="5"/>
  <c r="H184" i="5"/>
  <c r="N184" i="5"/>
  <c r="S184" i="5"/>
  <c r="X184" i="5"/>
  <c r="AD184" i="5"/>
  <c r="D185" i="5"/>
  <c r="I185" i="5"/>
  <c r="O185" i="5"/>
  <c r="T185" i="5"/>
  <c r="Y185" i="5"/>
  <c r="AE185" i="5"/>
  <c r="E186" i="5"/>
  <c r="J186" i="5"/>
  <c r="P186" i="5"/>
  <c r="U186" i="5"/>
  <c r="Z186" i="5"/>
  <c r="AF186" i="5"/>
  <c r="F187" i="5"/>
  <c r="K187" i="5"/>
  <c r="Q187" i="5"/>
  <c r="V187" i="5"/>
  <c r="AA187" i="5"/>
  <c r="AG187" i="5"/>
  <c r="G188" i="5"/>
  <c r="L188" i="5"/>
  <c r="R188" i="5"/>
  <c r="W188" i="5"/>
  <c r="AB188" i="5"/>
  <c r="C189" i="5"/>
  <c r="H189" i="5"/>
  <c r="M189" i="5"/>
  <c r="S189" i="5"/>
  <c r="X189" i="5"/>
  <c r="AC189" i="5"/>
  <c r="D190" i="5"/>
  <c r="I190" i="5"/>
  <c r="N190" i="5"/>
  <c r="T190" i="5"/>
  <c r="Y190" i="5"/>
  <c r="AD190" i="5"/>
  <c r="E191" i="5"/>
  <c r="J191" i="5"/>
  <c r="O191" i="5"/>
  <c r="U191" i="5"/>
  <c r="Z191" i="5"/>
  <c r="AE191" i="5"/>
  <c r="F192" i="5"/>
  <c r="K192" i="5"/>
  <c r="P192" i="5"/>
  <c r="V192" i="5"/>
  <c r="AA192" i="5"/>
  <c r="AF192" i="5"/>
  <c r="G193" i="5"/>
  <c r="L193" i="5"/>
  <c r="Q193" i="5"/>
  <c r="W193" i="5"/>
  <c r="AB193" i="5"/>
  <c r="AG193" i="5"/>
  <c r="H194" i="5"/>
  <c r="M194" i="5"/>
  <c r="R194" i="5"/>
  <c r="X194" i="5"/>
  <c r="AC194" i="5"/>
  <c r="C195" i="5"/>
  <c r="I195" i="5"/>
  <c r="N195" i="5"/>
  <c r="S195" i="5"/>
  <c r="Y195" i="5"/>
  <c r="AD195" i="5"/>
  <c r="D196" i="5"/>
  <c r="J196" i="5"/>
  <c r="N196" i="5"/>
  <c r="R196" i="5"/>
  <c r="V196" i="5"/>
  <c r="Z196" i="5"/>
  <c r="AD196" i="5"/>
  <c r="C197" i="5"/>
  <c r="G197" i="5"/>
  <c r="K197" i="5"/>
  <c r="O197" i="5"/>
  <c r="S197" i="5"/>
  <c r="W197" i="5"/>
  <c r="AA197" i="5"/>
  <c r="AE197" i="5"/>
  <c r="D198" i="5"/>
  <c r="H198" i="5"/>
  <c r="L198" i="5"/>
  <c r="P198" i="5"/>
  <c r="T198" i="5"/>
  <c r="X198" i="5"/>
  <c r="AB198" i="5"/>
  <c r="AF198" i="5"/>
  <c r="E199" i="5"/>
  <c r="I199" i="5"/>
  <c r="M199" i="5"/>
  <c r="Q199" i="5"/>
  <c r="U199" i="5"/>
  <c r="Y199" i="5"/>
  <c r="AC199" i="5"/>
  <c r="AG199" i="5"/>
  <c r="F200" i="5"/>
  <c r="J200" i="5"/>
  <c r="N200" i="5"/>
  <c r="R200" i="5"/>
  <c r="V200" i="5"/>
  <c r="Z200" i="5"/>
  <c r="AD200" i="5"/>
  <c r="C201" i="5"/>
  <c r="G201" i="5"/>
  <c r="K201" i="5"/>
  <c r="O201" i="5"/>
  <c r="S201" i="5"/>
  <c r="W201" i="5"/>
  <c r="AA201" i="5"/>
  <c r="AE201" i="5"/>
  <c r="D202" i="5"/>
  <c r="H202" i="5"/>
  <c r="L202" i="5"/>
  <c r="P202" i="5"/>
  <c r="T202" i="5"/>
  <c r="X202" i="5"/>
  <c r="AB202" i="5"/>
  <c r="AF202" i="5"/>
  <c r="E203" i="5"/>
  <c r="I203" i="5"/>
  <c r="M203" i="5"/>
  <c r="Q203" i="5"/>
  <c r="U203" i="5"/>
  <c r="Y203" i="5"/>
  <c r="AC203" i="5"/>
  <c r="AG203" i="5"/>
  <c r="F204" i="5"/>
  <c r="J204" i="5"/>
  <c r="N204" i="5"/>
  <c r="R204" i="5"/>
  <c r="V204" i="5"/>
  <c r="Z204" i="5"/>
  <c r="AD204" i="5"/>
  <c r="C205" i="5"/>
  <c r="G205" i="5"/>
  <c r="K205" i="5"/>
  <c r="O205" i="5"/>
  <c r="S205" i="5"/>
  <c r="W205" i="5"/>
  <c r="AA205" i="5"/>
  <c r="AE205" i="5"/>
  <c r="D206" i="5"/>
  <c r="H206" i="5"/>
  <c r="L206" i="5"/>
  <c r="P206" i="5"/>
  <c r="T206" i="5"/>
  <c r="X206" i="5"/>
  <c r="AB206" i="5"/>
  <c r="AF206" i="5"/>
  <c r="E207" i="5"/>
  <c r="I207" i="5"/>
  <c r="M207" i="5"/>
  <c r="Q207" i="5"/>
  <c r="U207" i="5"/>
  <c r="Y207" i="5"/>
  <c r="AC207" i="5"/>
  <c r="AG207" i="5"/>
  <c r="F208" i="5"/>
  <c r="J208" i="5"/>
  <c r="N208" i="5"/>
  <c r="R208" i="5"/>
  <c r="V208" i="5"/>
  <c r="Z208" i="5"/>
  <c r="AD208" i="5"/>
  <c r="C209" i="5"/>
  <c r="G209" i="5"/>
  <c r="K209" i="5"/>
  <c r="O209" i="5"/>
  <c r="S209" i="5"/>
  <c r="W209" i="5"/>
  <c r="AA209" i="5"/>
  <c r="AE209" i="5"/>
  <c r="D210" i="5"/>
  <c r="H210" i="5"/>
  <c r="L210" i="5"/>
  <c r="P210" i="5"/>
  <c r="T210" i="5"/>
  <c r="X210" i="5"/>
  <c r="AB210" i="5"/>
  <c r="AF210" i="5"/>
  <c r="E211" i="5"/>
  <c r="I211" i="5"/>
  <c r="M211" i="5"/>
  <c r="Q211" i="5"/>
  <c r="U211" i="5"/>
  <c r="Y211" i="5"/>
  <c r="AC211" i="5"/>
  <c r="AG211" i="5"/>
  <c r="F212" i="5"/>
  <c r="J212" i="5"/>
  <c r="N212" i="5"/>
  <c r="R212" i="5"/>
  <c r="V212" i="5"/>
  <c r="Z212" i="5"/>
  <c r="AD212" i="5"/>
  <c r="C213" i="5"/>
  <c r="G213" i="5"/>
  <c r="K213" i="5"/>
  <c r="O213" i="5"/>
  <c r="S213" i="5"/>
  <c r="W213" i="5"/>
  <c r="AA213" i="5"/>
  <c r="AE213" i="5"/>
  <c r="D214" i="5"/>
  <c r="H214" i="5"/>
  <c r="L214" i="5"/>
  <c r="P214" i="5"/>
  <c r="T214" i="5"/>
  <c r="X214" i="5"/>
  <c r="AB214" i="5"/>
  <c r="AF214" i="5"/>
  <c r="E215" i="5"/>
  <c r="I215" i="5"/>
  <c r="M215" i="5"/>
  <c r="Q215" i="5"/>
  <c r="U215" i="5"/>
  <c r="Y215" i="5"/>
  <c r="AC215" i="5"/>
  <c r="AG215" i="5"/>
  <c r="F216" i="5"/>
  <c r="J216" i="5"/>
  <c r="N216" i="5"/>
  <c r="R216" i="5"/>
  <c r="V216" i="5"/>
  <c r="Z216" i="5"/>
  <c r="AD216" i="5"/>
  <c r="C217" i="5"/>
  <c r="G217" i="5"/>
  <c r="K217" i="5"/>
  <c r="O217" i="5"/>
  <c r="S217" i="5"/>
  <c r="W217" i="5"/>
  <c r="AA217" i="5"/>
  <c r="AE217" i="5"/>
  <c r="D218" i="5"/>
  <c r="H218" i="5"/>
  <c r="L218" i="5"/>
  <c r="P218" i="5"/>
  <c r="T218" i="5"/>
  <c r="X218" i="5"/>
  <c r="AB218" i="5"/>
  <c r="AF218" i="5"/>
  <c r="E219" i="5"/>
  <c r="I219" i="5"/>
  <c r="M219" i="5"/>
  <c r="Q219" i="5"/>
  <c r="U219" i="5"/>
  <c r="Y219" i="5"/>
  <c r="AC219" i="5"/>
  <c r="AG219" i="5"/>
  <c r="F220" i="5"/>
  <c r="J220" i="5"/>
  <c r="N220" i="5"/>
  <c r="R220" i="5"/>
  <c r="V220" i="5"/>
  <c r="Z220" i="5"/>
  <c r="AD220" i="5"/>
  <c r="C221" i="5"/>
  <c r="G221" i="5"/>
  <c r="K221" i="5"/>
  <c r="O221" i="5"/>
  <c r="S221" i="5"/>
  <c r="W221" i="5"/>
  <c r="AA221" i="5"/>
  <c r="AE221" i="5"/>
  <c r="D222" i="5"/>
  <c r="H222" i="5"/>
  <c r="L222" i="5"/>
  <c r="P222" i="5"/>
  <c r="T222" i="5"/>
  <c r="X222" i="5"/>
  <c r="AB222" i="5"/>
  <c r="AF222" i="5"/>
  <c r="E223" i="5"/>
  <c r="I223" i="5"/>
  <c r="M223" i="5"/>
  <c r="Q223" i="5"/>
  <c r="U223" i="5"/>
  <c r="Y223" i="5"/>
  <c r="AC223" i="5"/>
  <c r="AG223" i="5"/>
  <c r="F224" i="5"/>
  <c r="J224" i="5"/>
  <c r="N224" i="5"/>
  <c r="R224" i="5"/>
  <c r="V224" i="5"/>
  <c r="Z224" i="5"/>
  <c r="AD224" i="5"/>
  <c r="F8" i="5"/>
  <c r="F23" i="5"/>
  <c r="F34" i="5"/>
  <c r="M40" i="5"/>
  <c r="H45" i="5"/>
  <c r="AC48" i="5"/>
  <c r="AE50" i="5"/>
  <c r="AG52" i="5"/>
  <c r="D55" i="5"/>
  <c r="F57" i="5"/>
  <c r="H59" i="5"/>
  <c r="J61" i="5"/>
  <c r="L63" i="5"/>
  <c r="N65" i="5"/>
  <c r="P67" i="5"/>
  <c r="R69" i="5"/>
  <c r="T71" i="5"/>
  <c r="V73" i="5"/>
  <c r="X75" i="5"/>
  <c r="Z77" i="5"/>
  <c r="AB79" i="5"/>
  <c r="S81" i="5"/>
  <c r="U82" i="5"/>
  <c r="V83" i="5"/>
  <c r="W84" i="5"/>
  <c r="X85" i="5"/>
  <c r="Y86" i="5"/>
  <c r="Z87" i="5"/>
  <c r="AA88" i="5"/>
  <c r="AB89" i="5"/>
  <c r="AC90" i="5"/>
  <c r="AD92" i="5"/>
  <c r="AE93" i="5"/>
  <c r="AF94" i="5"/>
  <c r="AG95" i="5"/>
  <c r="C97" i="5"/>
  <c r="D98" i="5"/>
  <c r="E99" i="5"/>
  <c r="F100" i="5"/>
  <c r="G101" i="5"/>
  <c r="H107" i="5"/>
  <c r="C108" i="5"/>
  <c r="Y108" i="5"/>
  <c r="O109" i="5"/>
  <c r="AE109" i="5"/>
  <c r="P110" i="5"/>
  <c r="AF110" i="5"/>
  <c r="Q111" i="5"/>
  <c r="AG111" i="5"/>
  <c r="R112" i="5"/>
  <c r="C113" i="5"/>
  <c r="S113" i="5"/>
  <c r="D114" i="5"/>
  <c r="T114" i="5"/>
  <c r="E115" i="5"/>
  <c r="U115" i="5"/>
  <c r="F116" i="5"/>
  <c r="V116" i="5"/>
  <c r="G117" i="5"/>
  <c r="W117" i="5"/>
  <c r="H118" i="5"/>
  <c r="X118" i="5"/>
  <c r="I119" i="5"/>
  <c r="Y119" i="5"/>
  <c r="J120" i="5"/>
  <c r="Z120" i="5"/>
  <c r="K121" i="5"/>
  <c r="AA121" i="5"/>
  <c r="L122" i="5"/>
  <c r="AB122" i="5"/>
  <c r="M123" i="5"/>
  <c r="AC123" i="5"/>
  <c r="N124" i="5"/>
  <c r="AD124" i="5"/>
  <c r="O125" i="5"/>
  <c r="AE125" i="5"/>
  <c r="P126" i="5"/>
  <c r="AF126" i="5"/>
  <c r="Q127" i="5"/>
  <c r="AG127" i="5"/>
  <c r="Q128" i="5"/>
  <c r="AA128" i="5"/>
  <c r="G129" i="5"/>
  <c r="R129" i="5"/>
  <c r="AB129" i="5"/>
  <c r="H130" i="5"/>
  <c r="S130" i="5"/>
  <c r="AC130" i="5"/>
  <c r="G131" i="5"/>
  <c r="O131" i="5"/>
  <c r="W131" i="5"/>
  <c r="AE131" i="5"/>
  <c r="H132" i="5"/>
  <c r="P132" i="5"/>
  <c r="X132" i="5"/>
  <c r="AF132" i="5"/>
  <c r="I133" i="5"/>
  <c r="Q133" i="5"/>
  <c r="Y133" i="5"/>
  <c r="AG133" i="5"/>
  <c r="J134" i="5"/>
  <c r="R134" i="5"/>
  <c r="Z134" i="5"/>
  <c r="C135" i="5"/>
  <c r="K135" i="5"/>
  <c r="S135" i="5"/>
  <c r="AA135" i="5"/>
  <c r="D136" i="5"/>
  <c r="L136" i="5"/>
  <c r="T136" i="5"/>
  <c r="AB136" i="5"/>
  <c r="E137" i="5"/>
  <c r="M137" i="5"/>
  <c r="U137" i="5"/>
  <c r="AC137" i="5"/>
  <c r="F138" i="5"/>
  <c r="N138" i="5"/>
  <c r="V138" i="5"/>
  <c r="AD138" i="5"/>
  <c r="G139" i="5"/>
  <c r="O139" i="5"/>
  <c r="W139" i="5"/>
  <c r="AE139" i="5"/>
  <c r="H140" i="5"/>
  <c r="P140" i="5"/>
  <c r="X140" i="5"/>
  <c r="AF140" i="5"/>
  <c r="I141" i="5"/>
  <c r="Q141" i="5"/>
  <c r="Y141" i="5"/>
  <c r="AG141" i="5"/>
  <c r="J142" i="5"/>
  <c r="R142" i="5"/>
  <c r="Z142" i="5"/>
  <c r="C143" i="5"/>
  <c r="K143" i="5"/>
  <c r="S143" i="5"/>
  <c r="AA143" i="5"/>
  <c r="D144" i="5"/>
  <c r="L144" i="5"/>
  <c r="T144" i="5"/>
  <c r="AB144" i="5"/>
  <c r="E145" i="5"/>
  <c r="M145" i="5"/>
  <c r="U145" i="5"/>
  <c r="AC145" i="5"/>
  <c r="F146" i="5"/>
  <c r="N146" i="5"/>
  <c r="V146" i="5"/>
  <c r="AD146" i="5"/>
  <c r="G147" i="5"/>
  <c r="O147" i="5"/>
  <c r="W147" i="5"/>
  <c r="AE147" i="5"/>
  <c r="H148" i="5"/>
  <c r="P148" i="5"/>
  <c r="X148" i="5"/>
  <c r="AF148" i="5"/>
  <c r="I149" i="5"/>
  <c r="Q149" i="5"/>
  <c r="Y149" i="5"/>
  <c r="AG149" i="5"/>
  <c r="J150" i="5"/>
  <c r="R150" i="5"/>
  <c r="Z150" i="5"/>
  <c r="C151" i="5"/>
  <c r="K151" i="5"/>
  <c r="S151" i="5"/>
  <c r="AA151" i="5"/>
  <c r="D152" i="5"/>
  <c r="L152" i="5"/>
  <c r="T152" i="5"/>
  <c r="AB152" i="5"/>
  <c r="E153" i="5"/>
  <c r="M153" i="5"/>
  <c r="U153" i="5"/>
  <c r="AC153" i="5"/>
  <c r="F154" i="5"/>
  <c r="N154" i="5"/>
  <c r="V154" i="5"/>
  <c r="AD154" i="5"/>
  <c r="G155" i="5"/>
  <c r="O155" i="5"/>
  <c r="W155" i="5"/>
  <c r="AE155" i="5"/>
  <c r="H156" i="5"/>
  <c r="P156" i="5"/>
  <c r="X156" i="5"/>
  <c r="AF156" i="5"/>
  <c r="I157" i="5"/>
  <c r="Q157" i="5"/>
  <c r="Y157" i="5"/>
  <c r="AG157" i="5"/>
  <c r="J158" i="5"/>
  <c r="R158" i="5"/>
  <c r="Z158" i="5"/>
  <c r="C159" i="5"/>
  <c r="K159" i="5"/>
  <c r="S159" i="5"/>
  <c r="AA159" i="5"/>
  <c r="D160" i="5"/>
  <c r="L160" i="5"/>
  <c r="T160" i="5"/>
  <c r="AB160" i="5"/>
  <c r="E161" i="5"/>
  <c r="M161" i="5"/>
  <c r="U161" i="5"/>
  <c r="AC161" i="5"/>
  <c r="F162" i="5"/>
  <c r="N162" i="5"/>
  <c r="V162" i="5"/>
  <c r="AD162" i="5"/>
  <c r="G163" i="5"/>
  <c r="O163" i="5"/>
  <c r="W163" i="5"/>
  <c r="AE163" i="5"/>
  <c r="H164" i="5"/>
  <c r="P164" i="5"/>
  <c r="X164" i="5"/>
  <c r="AF164" i="5"/>
  <c r="I165" i="5"/>
  <c r="Q165" i="5"/>
  <c r="Y165" i="5"/>
  <c r="AG165" i="5"/>
  <c r="J166" i="5"/>
  <c r="R166" i="5"/>
  <c r="Z166" i="5"/>
  <c r="C167" i="5"/>
  <c r="K167" i="5"/>
  <c r="S167" i="5"/>
  <c r="AA167" i="5"/>
  <c r="D168" i="5"/>
  <c r="L168" i="5"/>
  <c r="T168" i="5"/>
  <c r="AB168" i="5"/>
  <c r="E169" i="5"/>
  <c r="M169" i="5"/>
  <c r="U169" i="5"/>
  <c r="AC169" i="5"/>
  <c r="F170" i="5"/>
  <c r="N170" i="5"/>
  <c r="V170" i="5"/>
  <c r="AD170" i="5"/>
  <c r="G171" i="5"/>
  <c r="O171" i="5"/>
  <c r="W171" i="5"/>
  <c r="AE171" i="5"/>
  <c r="H172" i="5"/>
  <c r="P172" i="5"/>
  <c r="X172" i="5"/>
  <c r="AF172" i="5"/>
  <c r="I173" i="5"/>
  <c r="Q173" i="5"/>
  <c r="Y173" i="5"/>
  <c r="AG173" i="5"/>
  <c r="J174" i="5"/>
  <c r="R174" i="5"/>
  <c r="Z174" i="5"/>
  <c r="C175" i="5"/>
  <c r="K175" i="5"/>
  <c r="S175" i="5"/>
  <c r="AA175" i="5"/>
  <c r="D176" i="5"/>
  <c r="L176" i="5"/>
  <c r="T176" i="5"/>
  <c r="AB176" i="5"/>
  <c r="E177" i="5"/>
  <c r="M177" i="5"/>
  <c r="U177" i="5"/>
  <c r="AC177" i="5"/>
  <c r="F178" i="5"/>
  <c r="N178" i="5"/>
  <c r="V178" i="5"/>
  <c r="AD178" i="5"/>
  <c r="E179" i="5"/>
  <c r="J179" i="5"/>
  <c r="O179" i="5"/>
  <c r="U179" i="5"/>
  <c r="Z179" i="5"/>
  <c r="AE179" i="5"/>
  <c r="F180" i="5"/>
  <c r="K180" i="5"/>
  <c r="P180" i="5"/>
  <c r="V180" i="5"/>
  <c r="AA180" i="5"/>
  <c r="AF180" i="5"/>
  <c r="G181" i="5"/>
  <c r="L181" i="5"/>
  <c r="Q181" i="5"/>
  <c r="W181" i="5"/>
  <c r="AB181" i="5"/>
  <c r="AG181" i="5"/>
  <c r="H182" i="5"/>
  <c r="M182" i="5"/>
  <c r="R182" i="5"/>
  <c r="X182" i="5"/>
  <c r="AC182" i="5"/>
  <c r="C183" i="5"/>
  <c r="I183" i="5"/>
  <c r="N183" i="5"/>
  <c r="S183" i="5"/>
  <c r="Y183" i="5"/>
  <c r="AD183" i="5"/>
  <c r="D184" i="5"/>
  <c r="J184" i="5"/>
  <c r="O184" i="5"/>
  <c r="T184" i="5"/>
  <c r="Z184" i="5"/>
  <c r="AE184" i="5"/>
  <c r="E185" i="5"/>
  <c r="K185" i="5"/>
  <c r="P185" i="5"/>
  <c r="U185" i="5"/>
  <c r="AA185" i="5"/>
  <c r="AF185" i="5"/>
  <c r="F186" i="5"/>
  <c r="L186" i="5"/>
  <c r="Q186" i="5"/>
  <c r="V186" i="5"/>
  <c r="AB186" i="5"/>
  <c r="AG186" i="5"/>
  <c r="G187" i="5"/>
  <c r="M187" i="5"/>
  <c r="R187" i="5"/>
  <c r="W187" i="5"/>
  <c r="AC187" i="5"/>
  <c r="C188" i="5"/>
  <c r="H188" i="5"/>
  <c r="N188" i="5"/>
  <c r="S188" i="5"/>
  <c r="X188" i="5"/>
  <c r="AD188" i="5"/>
  <c r="D189" i="5"/>
  <c r="I189" i="5"/>
  <c r="O189" i="5"/>
  <c r="T189" i="5"/>
  <c r="Y189" i="5"/>
  <c r="AE189" i="5"/>
  <c r="E190" i="5"/>
  <c r="J190" i="5"/>
  <c r="P190" i="5"/>
  <c r="U190" i="5"/>
  <c r="Z190" i="5"/>
  <c r="AF190" i="5"/>
  <c r="F191" i="5"/>
  <c r="K191" i="5"/>
  <c r="Q191" i="5"/>
  <c r="V191" i="5"/>
  <c r="AA191" i="5"/>
  <c r="AG191" i="5"/>
  <c r="G192" i="5"/>
  <c r="L192" i="5"/>
  <c r="R192" i="5"/>
  <c r="W192" i="5"/>
  <c r="AB192" i="5"/>
  <c r="C193" i="5"/>
  <c r="H193" i="5"/>
  <c r="M193" i="5"/>
  <c r="S193" i="5"/>
  <c r="X193" i="5"/>
  <c r="AC193" i="5"/>
  <c r="D194" i="5"/>
  <c r="I194" i="5"/>
  <c r="N194" i="5"/>
  <c r="T194" i="5"/>
  <c r="Y194" i="5"/>
  <c r="AD194" i="5"/>
  <c r="E195" i="5"/>
  <c r="J195" i="5"/>
  <c r="O195" i="5"/>
  <c r="U195" i="5"/>
  <c r="Z195" i="5"/>
  <c r="AE195" i="5"/>
  <c r="F196" i="5"/>
  <c r="K196" i="5"/>
  <c r="O196" i="5"/>
  <c r="S196" i="5"/>
  <c r="W196" i="5"/>
  <c r="AA196" i="5"/>
  <c r="AE196" i="5"/>
  <c r="D197" i="5"/>
  <c r="H197" i="5"/>
  <c r="L197" i="5"/>
  <c r="P197" i="5"/>
  <c r="T197" i="5"/>
  <c r="X197" i="5"/>
  <c r="AB197" i="5"/>
  <c r="AF197" i="5"/>
  <c r="E198" i="5"/>
  <c r="I198" i="5"/>
  <c r="M198" i="5"/>
  <c r="Q198" i="5"/>
  <c r="U198" i="5"/>
  <c r="Y198" i="5"/>
  <c r="AC198" i="5"/>
  <c r="AG198" i="5"/>
  <c r="F199" i="5"/>
  <c r="J199" i="5"/>
  <c r="N199" i="5"/>
  <c r="R199" i="5"/>
  <c r="V199" i="5"/>
  <c r="Z199" i="5"/>
  <c r="AD199" i="5"/>
  <c r="C200" i="5"/>
  <c r="G200" i="5"/>
  <c r="K200" i="5"/>
  <c r="O200" i="5"/>
  <c r="S200" i="5"/>
  <c r="W200" i="5"/>
  <c r="AA200" i="5"/>
  <c r="AE200" i="5"/>
  <c r="D201" i="5"/>
  <c r="H201" i="5"/>
  <c r="L201" i="5"/>
  <c r="P201" i="5"/>
  <c r="T201" i="5"/>
  <c r="X201" i="5"/>
  <c r="AB201" i="5"/>
  <c r="AF201" i="5"/>
  <c r="E202" i="5"/>
  <c r="I202" i="5"/>
  <c r="M202" i="5"/>
  <c r="Q202" i="5"/>
  <c r="U202" i="5"/>
  <c r="Y202" i="5"/>
  <c r="AC202" i="5"/>
  <c r="AG202" i="5"/>
  <c r="F203" i="5"/>
  <c r="J203" i="5"/>
  <c r="N203" i="5"/>
  <c r="R203" i="5"/>
  <c r="V203" i="5"/>
  <c r="Z203" i="5"/>
  <c r="AD203" i="5"/>
  <c r="C204" i="5"/>
  <c r="G204" i="5"/>
  <c r="K204" i="5"/>
  <c r="O204" i="5"/>
  <c r="S204" i="5"/>
  <c r="W204" i="5"/>
  <c r="AA204" i="5"/>
  <c r="AE204" i="5"/>
  <c r="D205" i="5"/>
  <c r="H205" i="5"/>
  <c r="L205" i="5"/>
  <c r="P205" i="5"/>
  <c r="T205" i="5"/>
  <c r="X205" i="5"/>
  <c r="AB205" i="5"/>
  <c r="AF205" i="5"/>
  <c r="E206" i="5"/>
  <c r="I206" i="5"/>
  <c r="M206" i="5"/>
  <c r="Q206" i="5"/>
  <c r="U206" i="5"/>
  <c r="Y206" i="5"/>
  <c r="AC206" i="5"/>
  <c r="AG206" i="5"/>
  <c r="F207" i="5"/>
  <c r="J207" i="5"/>
  <c r="N207" i="5"/>
  <c r="R207" i="5"/>
  <c r="V207" i="5"/>
  <c r="Z207" i="5"/>
  <c r="AD207" i="5"/>
  <c r="C208" i="5"/>
  <c r="G208" i="5"/>
  <c r="K208" i="5"/>
  <c r="O208" i="5"/>
  <c r="S208" i="5"/>
  <c r="W208" i="5"/>
  <c r="AA208" i="5"/>
  <c r="AE208" i="5"/>
  <c r="D209" i="5"/>
  <c r="H209" i="5"/>
  <c r="L209" i="5"/>
  <c r="P209" i="5"/>
  <c r="T209" i="5"/>
  <c r="X209" i="5"/>
  <c r="AB209" i="5"/>
  <c r="AF209" i="5"/>
  <c r="E210" i="5"/>
  <c r="I210" i="5"/>
  <c r="M210" i="5"/>
  <c r="Q210" i="5"/>
  <c r="U210" i="5"/>
  <c r="Y210" i="5"/>
  <c r="AC210" i="5"/>
  <c r="AG210" i="5"/>
  <c r="F211" i="5"/>
  <c r="J211" i="5"/>
  <c r="N211" i="5"/>
  <c r="R211" i="5"/>
  <c r="V211" i="5"/>
  <c r="Z211" i="5"/>
  <c r="AD211" i="5"/>
  <c r="C212" i="5"/>
  <c r="G212" i="5"/>
  <c r="K212" i="5"/>
  <c r="O212" i="5"/>
  <c r="S212" i="5"/>
  <c r="W212" i="5"/>
  <c r="AA212" i="5"/>
  <c r="AE212" i="5"/>
  <c r="D213" i="5"/>
  <c r="H213" i="5"/>
  <c r="L213" i="5"/>
  <c r="P213" i="5"/>
  <c r="T213" i="5"/>
  <c r="X213" i="5"/>
  <c r="AB213" i="5"/>
  <c r="AF213" i="5"/>
  <c r="E214" i="5"/>
  <c r="I214" i="5"/>
  <c r="M214" i="5"/>
  <c r="Q214" i="5"/>
  <c r="U214" i="5"/>
  <c r="Y214" i="5"/>
  <c r="AC214" i="5"/>
  <c r="AG214" i="5"/>
  <c r="F215" i="5"/>
  <c r="J215" i="5"/>
  <c r="N215" i="5"/>
  <c r="R215" i="5"/>
  <c r="V215" i="5"/>
  <c r="Z215" i="5"/>
  <c r="AD215" i="5"/>
  <c r="C216" i="5"/>
  <c r="G216" i="5"/>
  <c r="K216" i="5"/>
  <c r="O216" i="5"/>
  <c r="S216" i="5"/>
  <c r="W216" i="5"/>
  <c r="AA216" i="5"/>
  <c r="AE216" i="5"/>
  <c r="D217" i="5"/>
  <c r="H217" i="5"/>
  <c r="L217" i="5"/>
  <c r="P217" i="5"/>
  <c r="T217" i="5"/>
  <c r="X217" i="5"/>
  <c r="AB217" i="5"/>
  <c r="AF217" i="5"/>
  <c r="E218" i="5"/>
  <c r="I218" i="5"/>
  <c r="M218" i="5"/>
  <c r="Q218" i="5"/>
  <c r="U218" i="5"/>
  <c r="Y218" i="5"/>
  <c r="AC218" i="5"/>
  <c r="AG218" i="5"/>
  <c r="F219" i="5"/>
  <c r="J219" i="5"/>
  <c r="N219" i="5"/>
  <c r="R219" i="5"/>
  <c r="V219" i="5"/>
  <c r="Z219" i="5"/>
  <c r="AD219" i="5"/>
  <c r="C220" i="5"/>
  <c r="G220" i="5"/>
  <c r="K220" i="5"/>
  <c r="O220" i="5"/>
  <c r="S220" i="5"/>
  <c r="W220" i="5"/>
  <c r="AA220" i="5"/>
  <c r="AE220" i="5"/>
  <c r="D221" i="5"/>
  <c r="H221" i="5"/>
  <c r="L221" i="5"/>
  <c r="P221" i="5"/>
  <c r="T221" i="5"/>
  <c r="X221" i="5"/>
  <c r="AB221" i="5"/>
  <c r="AF221" i="5"/>
  <c r="E222" i="5"/>
  <c r="I222" i="5"/>
  <c r="M222" i="5"/>
  <c r="Q222" i="5"/>
  <c r="U222" i="5"/>
  <c r="Y222" i="5"/>
  <c r="AC222" i="5"/>
  <c r="AG222" i="5"/>
  <c r="F223" i="5"/>
  <c r="J223" i="5"/>
  <c r="N223" i="5"/>
  <c r="R223" i="5"/>
  <c r="V223" i="5"/>
  <c r="Z223" i="5"/>
  <c r="AD223" i="5"/>
  <c r="C224" i="5"/>
  <c r="G224" i="5"/>
  <c r="K224" i="5"/>
  <c r="O224" i="5"/>
  <c r="S224" i="5"/>
  <c r="W224" i="5"/>
  <c r="AA224" i="5"/>
  <c r="AE224" i="5"/>
  <c r="D225" i="5"/>
  <c r="H225" i="5"/>
  <c r="L225" i="5"/>
  <c r="P225" i="5"/>
  <c r="T225" i="5"/>
  <c r="X225" i="5"/>
  <c r="AB225" i="5"/>
  <c r="AF225" i="5"/>
  <c r="E226" i="5"/>
  <c r="I226" i="5"/>
  <c r="M226" i="5"/>
  <c r="Q226" i="5"/>
  <c r="U226" i="5"/>
  <c r="Y226" i="5"/>
  <c r="AC226" i="5"/>
  <c r="AG226" i="5"/>
  <c r="F227" i="5"/>
  <c r="J227" i="5"/>
  <c r="N227" i="5"/>
  <c r="R227" i="5"/>
  <c r="V227" i="5"/>
  <c r="Z227" i="5"/>
  <c r="AD227" i="5"/>
  <c r="C228" i="5"/>
  <c r="G228" i="5"/>
  <c r="K228" i="5"/>
  <c r="O228" i="5"/>
  <c r="S228" i="5"/>
  <c r="W228" i="5"/>
  <c r="AA228" i="5"/>
  <c r="AE228" i="5"/>
  <c r="D229" i="5"/>
  <c r="H229" i="5"/>
  <c r="L229" i="5"/>
  <c r="P229" i="5"/>
  <c r="T229" i="5"/>
  <c r="X229" i="5"/>
  <c r="AB229" i="5"/>
  <c r="AF229" i="5"/>
  <c r="E230" i="5"/>
  <c r="I230" i="5"/>
  <c r="M230" i="5"/>
  <c r="Q230" i="5"/>
  <c r="U230" i="5"/>
  <c r="Y230" i="5"/>
  <c r="AC230" i="5"/>
  <c r="AG230" i="5"/>
  <c r="F231" i="5"/>
  <c r="J231" i="5"/>
  <c r="N231" i="5"/>
  <c r="R231" i="5"/>
  <c r="V231" i="5"/>
  <c r="Z231" i="5"/>
  <c r="AD231" i="5"/>
  <c r="C232" i="5"/>
  <c r="G232" i="5"/>
  <c r="K232" i="5"/>
  <c r="O232" i="5"/>
  <c r="S232" i="5"/>
  <c r="W232" i="5"/>
  <c r="AA232" i="5"/>
  <c r="AE232" i="5"/>
  <c r="D233" i="5"/>
  <c r="H233" i="5"/>
  <c r="L233" i="5"/>
  <c r="P233" i="5"/>
  <c r="T233" i="5"/>
  <c r="X233" i="5"/>
  <c r="AB233" i="5"/>
  <c r="AF233" i="5"/>
  <c r="E234" i="5"/>
  <c r="I234" i="5"/>
  <c r="M234" i="5"/>
  <c r="Q234" i="5"/>
  <c r="U234" i="5"/>
  <c r="Y234" i="5"/>
  <c r="AC234" i="5"/>
  <c r="AG234" i="5"/>
  <c r="F235" i="5"/>
  <c r="J235" i="5"/>
  <c r="N235" i="5"/>
  <c r="R235" i="5"/>
  <c r="V235" i="5"/>
  <c r="Z235" i="5"/>
  <c r="AD235" i="5"/>
  <c r="M15" i="5"/>
  <c r="D37" i="5"/>
  <c r="AB46" i="5"/>
  <c r="Y51" i="5"/>
  <c r="AC55" i="5"/>
  <c r="AG59" i="5"/>
  <c r="F64" i="5"/>
  <c r="J68" i="5"/>
  <c r="N72" i="5"/>
  <c r="R76" i="5"/>
  <c r="V80" i="5"/>
  <c r="C83" i="5"/>
  <c r="E85" i="5"/>
  <c r="G87" i="5"/>
  <c r="I89" i="5"/>
  <c r="K92" i="5"/>
  <c r="M94" i="5"/>
  <c r="O96" i="5"/>
  <c r="Q98" i="5"/>
  <c r="S100" i="5"/>
  <c r="U107" i="5"/>
  <c r="C109" i="5"/>
  <c r="G110" i="5"/>
  <c r="H111" i="5"/>
  <c r="I112" i="5"/>
  <c r="J113" i="5"/>
  <c r="K114" i="5"/>
  <c r="L115" i="5"/>
  <c r="M116" i="5"/>
  <c r="N117" i="5"/>
  <c r="O118" i="5"/>
  <c r="P119" i="5"/>
  <c r="Q120" i="5"/>
  <c r="R121" i="5"/>
  <c r="S122" i="5"/>
  <c r="T123" i="5"/>
  <c r="U124" i="5"/>
  <c r="V125" i="5"/>
  <c r="W126" i="5"/>
  <c r="X127" i="5"/>
  <c r="U128" i="5"/>
  <c r="K129" i="5"/>
  <c r="AF129" i="5"/>
  <c r="W130" i="5"/>
  <c r="J131" i="5"/>
  <c r="Z131" i="5"/>
  <c r="K132" i="5"/>
  <c r="AA132" i="5"/>
  <c r="L133" i="5"/>
  <c r="AB133" i="5"/>
  <c r="M134" i="5"/>
  <c r="AC134" i="5"/>
  <c r="N135" i="5"/>
  <c r="AD135" i="5"/>
  <c r="O136" i="5"/>
  <c r="AE136" i="5"/>
  <c r="P137" i="5"/>
  <c r="AF137" i="5"/>
  <c r="Q138" i="5"/>
  <c r="AG138" i="5"/>
  <c r="R139" i="5"/>
  <c r="C140" i="5"/>
  <c r="S140" i="5"/>
  <c r="D141" i="5"/>
  <c r="T141" i="5"/>
  <c r="E142" i="5"/>
  <c r="U142" i="5"/>
  <c r="F143" i="5"/>
  <c r="V143" i="5"/>
  <c r="G144" i="5"/>
  <c r="W144" i="5"/>
  <c r="H145" i="5"/>
  <c r="X145" i="5"/>
  <c r="I146" i="5"/>
  <c r="Y146" i="5"/>
  <c r="J147" i="5"/>
  <c r="Z147" i="5"/>
  <c r="K148" i="5"/>
  <c r="AA148" i="5"/>
  <c r="L149" i="5"/>
  <c r="AB149" i="5"/>
  <c r="M150" i="5"/>
  <c r="AC150" i="5"/>
  <c r="N151" i="5"/>
  <c r="AD151" i="5"/>
  <c r="O152" i="5"/>
  <c r="AE152" i="5"/>
  <c r="P153" i="5"/>
  <c r="AF153" i="5"/>
  <c r="Q154" i="5"/>
  <c r="AG154" i="5"/>
  <c r="R155" i="5"/>
  <c r="C156" i="5"/>
  <c r="S156" i="5"/>
  <c r="D157" i="5"/>
  <c r="T157" i="5"/>
  <c r="E158" i="5"/>
  <c r="U158" i="5"/>
  <c r="F159" i="5"/>
  <c r="V159" i="5"/>
  <c r="G160" i="5"/>
  <c r="W160" i="5"/>
  <c r="H161" i="5"/>
  <c r="X161" i="5"/>
  <c r="I162" i="5"/>
  <c r="Y162" i="5"/>
  <c r="J163" i="5"/>
  <c r="Z163" i="5"/>
  <c r="K164" i="5"/>
  <c r="AA164" i="5"/>
  <c r="L165" i="5"/>
  <c r="AB165" i="5"/>
  <c r="M166" i="5"/>
  <c r="AC166" i="5"/>
  <c r="N167" i="5"/>
  <c r="AD167" i="5"/>
  <c r="O168" i="5"/>
  <c r="AE168" i="5"/>
  <c r="P169" i="5"/>
  <c r="AF169" i="5"/>
  <c r="Q170" i="5"/>
  <c r="AG170" i="5"/>
  <c r="R171" i="5"/>
  <c r="C172" i="5"/>
  <c r="S172" i="5"/>
  <c r="D173" i="5"/>
  <c r="T173" i="5"/>
  <c r="E174" i="5"/>
  <c r="U174" i="5"/>
  <c r="F175" i="5"/>
  <c r="V175" i="5"/>
  <c r="G176" i="5"/>
  <c r="W176" i="5"/>
  <c r="H177" i="5"/>
  <c r="X177" i="5"/>
  <c r="I178" i="5"/>
  <c r="Y178" i="5"/>
  <c r="F179" i="5"/>
  <c r="Q179" i="5"/>
  <c r="AA179" i="5"/>
  <c r="G180" i="5"/>
  <c r="R180" i="5"/>
  <c r="AB180" i="5"/>
  <c r="H181" i="5"/>
  <c r="S181" i="5"/>
  <c r="AC181" i="5"/>
  <c r="I182" i="5"/>
  <c r="T182" i="5"/>
  <c r="AD182" i="5"/>
  <c r="J183" i="5"/>
  <c r="U183" i="5"/>
  <c r="AE183" i="5"/>
  <c r="K184" i="5"/>
  <c r="V184" i="5"/>
  <c r="AF184" i="5"/>
  <c r="L185" i="5"/>
  <c r="W185" i="5"/>
  <c r="AG185" i="5"/>
  <c r="M186" i="5"/>
  <c r="X186" i="5"/>
  <c r="C187" i="5"/>
  <c r="N187" i="5"/>
  <c r="Y187" i="5"/>
  <c r="D188" i="5"/>
  <c r="O188" i="5"/>
  <c r="Z188" i="5"/>
  <c r="E189" i="5"/>
  <c r="P189" i="5"/>
  <c r="AA189" i="5"/>
  <c r="F190" i="5"/>
  <c r="Q190" i="5"/>
  <c r="AB190" i="5"/>
  <c r="G191" i="5"/>
  <c r="R191" i="5"/>
  <c r="AC191" i="5"/>
  <c r="H192" i="5"/>
  <c r="S192" i="5"/>
  <c r="AD192" i="5"/>
  <c r="I193" i="5"/>
  <c r="T193" i="5"/>
  <c r="AE193" i="5"/>
  <c r="J194" i="5"/>
  <c r="U194" i="5"/>
  <c r="AF194" i="5"/>
  <c r="K195" i="5"/>
  <c r="V195" i="5"/>
  <c r="AG195" i="5"/>
  <c r="L196" i="5"/>
  <c r="T196" i="5"/>
  <c r="AB196" i="5"/>
  <c r="E197" i="5"/>
  <c r="M197" i="5"/>
  <c r="U197" i="5"/>
  <c r="AC197" i="5"/>
  <c r="F198" i="5"/>
  <c r="N198" i="5"/>
  <c r="V198" i="5"/>
  <c r="AD198" i="5"/>
  <c r="G199" i="5"/>
  <c r="O199" i="5"/>
  <c r="W199" i="5"/>
  <c r="AE199" i="5"/>
  <c r="H200" i="5"/>
  <c r="P200" i="5"/>
  <c r="X200" i="5"/>
  <c r="AF200" i="5"/>
  <c r="I201" i="5"/>
  <c r="Q201" i="5"/>
  <c r="Y201" i="5"/>
  <c r="AG201" i="5"/>
  <c r="J202" i="5"/>
  <c r="R202" i="5"/>
  <c r="Z202" i="5"/>
  <c r="C203" i="5"/>
  <c r="K203" i="5"/>
  <c r="S203" i="5"/>
  <c r="AA203" i="5"/>
  <c r="D204" i="5"/>
  <c r="L204" i="5"/>
  <c r="T204" i="5"/>
  <c r="AB204" i="5"/>
  <c r="E205" i="5"/>
  <c r="M205" i="5"/>
  <c r="U205" i="5"/>
  <c r="AC205" i="5"/>
  <c r="F206" i="5"/>
  <c r="N206" i="5"/>
  <c r="V206" i="5"/>
  <c r="AD206" i="5"/>
  <c r="G207" i="5"/>
  <c r="O207" i="5"/>
  <c r="W207" i="5"/>
  <c r="AE207" i="5"/>
  <c r="H208" i="5"/>
  <c r="P208" i="5"/>
  <c r="X208" i="5"/>
  <c r="AF208" i="5"/>
  <c r="I209" i="5"/>
  <c r="Q209" i="5"/>
  <c r="Y209" i="5"/>
  <c r="AG209" i="5"/>
  <c r="J210" i="5"/>
  <c r="R210" i="5"/>
  <c r="Z210" i="5"/>
  <c r="C211" i="5"/>
  <c r="K211" i="5"/>
  <c r="S211" i="5"/>
  <c r="AA211" i="5"/>
  <c r="D212" i="5"/>
  <c r="L212" i="5"/>
  <c r="T212" i="5"/>
  <c r="AB212" i="5"/>
  <c r="E213" i="5"/>
  <c r="M213" i="5"/>
  <c r="U213" i="5"/>
  <c r="AC213" i="5"/>
  <c r="F214" i="5"/>
  <c r="N214" i="5"/>
  <c r="V214" i="5"/>
  <c r="AD214" i="5"/>
  <c r="G215" i="5"/>
  <c r="O215" i="5"/>
  <c r="W215" i="5"/>
  <c r="AE215" i="5"/>
  <c r="H216" i="5"/>
  <c r="P216" i="5"/>
  <c r="X216" i="5"/>
  <c r="AF216" i="5"/>
  <c r="I217" i="5"/>
  <c r="Q217" i="5"/>
  <c r="Y217" i="5"/>
  <c r="AG217" i="5"/>
  <c r="J218" i="5"/>
  <c r="R218" i="5"/>
  <c r="Z218" i="5"/>
  <c r="C219" i="5"/>
  <c r="K219" i="5"/>
  <c r="S219" i="5"/>
  <c r="AA219" i="5"/>
  <c r="D220" i="5"/>
  <c r="L220" i="5"/>
  <c r="T220" i="5"/>
  <c r="AB220" i="5"/>
  <c r="E221" i="5"/>
  <c r="M221" i="5"/>
  <c r="U221" i="5"/>
  <c r="AC221" i="5"/>
  <c r="F222" i="5"/>
  <c r="N222" i="5"/>
  <c r="V222" i="5"/>
  <c r="AD222" i="5"/>
  <c r="G223" i="5"/>
  <c r="O223" i="5"/>
  <c r="W223" i="5"/>
  <c r="AE223" i="5"/>
  <c r="H224" i="5"/>
  <c r="P224" i="5"/>
  <c r="X224" i="5"/>
  <c r="AF224" i="5"/>
  <c r="F225" i="5"/>
  <c r="K225" i="5"/>
  <c r="Q225" i="5"/>
  <c r="V225" i="5"/>
  <c r="AA225" i="5"/>
  <c r="AG225" i="5"/>
  <c r="G226" i="5"/>
  <c r="L226" i="5"/>
  <c r="R226" i="5"/>
  <c r="W226" i="5"/>
  <c r="AB226" i="5"/>
  <c r="C227" i="5"/>
  <c r="H227" i="5"/>
  <c r="M227" i="5"/>
  <c r="S227" i="5"/>
  <c r="X227" i="5"/>
  <c r="AC227" i="5"/>
  <c r="D228" i="5"/>
  <c r="I228" i="5"/>
  <c r="N228" i="5"/>
  <c r="T228" i="5"/>
  <c r="Y228" i="5"/>
  <c r="AD228" i="5"/>
  <c r="E229" i="5"/>
  <c r="J229" i="5"/>
  <c r="O229" i="5"/>
  <c r="U229" i="5"/>
  <c r="Z229" i="5"/>
  <c r="AE229" i="5"/>
  <c r="F230" i="5"/>
  <c r="K230" i="5"/>
  <c r="P230" i="5"/>
  <c r="V230" i="5"/>
  <c r="AA230" i="5"/>
  <c r="AF230" i="5"/>
  <c r="G231" i="5"/>
  <c r="L231" i="5"/>
  <c r="Q231" i="5"/>
  <c r="W231" i="5"/>
  <c r="AB231" i="5"/>
  <c r="AG231" i="5"/>
  <c r="H232" i="5"/>
  <c r="M232" i="5"/>
  <c r="R232" i="5"/>
  <c r="X232" i="5"/>
  <c r="AC232" i="5"/>
  <c r="C233" i="5"/>
  <c r="I233" i="5"/>
  <c r="N233" i="5"/>
  <c r="S233" i="5"/>
  <c r="Y233" i="5"/>
  <c r="AD233" i="5"/>
  <c r="D234" i="5"/>
  <c r="J234" i="5"/>
  <c r="O234" i="5"/>
  <c r="T234" i="5"/>
  <c r="Z234" i="5"/>
  <c r="AE234" i="5"/>
  <c r="E235" i="5"/>
  <c r="K235" i="5"/>
  <c r="P235" i="5"/>
  <c r="U235" i="5"/>
  <c r="AA235" i="5"/>
  <c r="AF235" i="5"/>
  <c r="E236" i="5"/>
  <c r="I236" i="5"/>
  <c r="M236" i="5"/>
  <c r="Q236" i="5"/>
  <c r="U236" i="5"/>
  <c r="Y236" i="5"/>
  <c r="AC236" i="5"/>
  <c r="AG236" i="5"/>
  <c r="F237" i="5"/>
  <c r="J237" i="5"/>
  <c r="N237" i="5"/>
  <c r="R237" i="5"/>
  <c r="V237" i="5"/>
  <c r="Z237" i="5"/>
  <c r="AD237" i="5"/>
  <c r="C238" i="5"/>
  <c r="G238" i="5"/>
  <c r="K238" i="5"/>
  <c r="O238" i="5"/>
  <c r="S238" i="5"/>
  <c r="W238" i="5"/>
  <c r="AA238" i="5"/>
  <c r="AE238" i="5"/>
  <c r="D239" i="5"/>
  <c r="H239" i="5"/>
  <c r="L239" i="5"/>
  <c r="P239" i="5"/>
  <c r="T239" i="5"/>
  <c r="X239" i="5"/>
  <c r="AB239" i="5"/>
  <c r="AF239" i="5"/>
  <c r="E240" i="5"/>
  <c r="I240" i="5"/>
  <c r="M240" i="5"/>
  <c r="Q240" i="5"/>
  <c r="U240" i="5"/>
  <c r="Y240" i="5"/>
  <c r="AC240" i="5"/>
  <c r="AG240" i="5"/>
  <c r="F241" i="5"/>
  <c r="J241" i="5"/>
  <c r="N241" i="5"/>
  <c r="R241" i="5"/>
  <c r="V241" i="5"/>
  <c r="Z241" i="5"/>
  <c r="AD241" i="5"/>
  <c r="C242" i="5"/>
  <c r="G242" i="5"/>
  <c r="K242" i="5"/>
  <c r="O242" i="5"/>
  <c r="S242" i="5"/>
  <c r="W242" i="5"/>
  <c r="AA242" i="5"/>
  <c r="AE242" i="5"/>
  <c r="D243" i="5"/>
  <c r="H243" i="5"/>
  <c r="L243" i="5"/>
  <c r="P243" i="5"/>
  <c r="T243" i="5"/>
  <c r="X243" i="5"/>
  <c r="AB243" i="5"/>
  <c r="AF243" i="5"/>
  <c r="E244" i="5"/>
  <c r="I244" i="5"/>
  <c r="M244" i="5"/>
  <c r="Q244" i="5"/>
  <c r="U244" i="5"/>
  <c r="Y244" i="5"/>
  <c r="AC244" i="5"/>
  <c r="AG244" i="5"/>
  <c r="F251" i="5"/>
  <c r="J251" i="5"/>
  <c r="N251" i="5"/>
  <c r="R251" i="5"/>
  <c r="V251" i="5"/>
  <c r="Z251" i="5"/>
  <c r="AD251" i="5"/>
  <c r="C252" i="5"/>
  <c r="G252" i="5"/>
  <c r="K252" i="5"/>
  <c r="O252" i="5"/>
  <c r="S252" i="5"/>
  <c r="W252" i="5"/>
  <c r="AA252" i="5"/>
  <c r="AE252" i="5"/>
  <c r="D253" i="5"/>
  <c r="H253" i="5"/>
  <c r="L253" i="5"/>
  <c r="P253" i="5"/>
  <c r="T253" i="5"/>
  <c r="X253" i="5"/>
  <c r="AB253" i="5"/>
  <c r="AF253" i="5"/>
  <c r="E254" i="5"/>
  <c r="I254" i="5"/>
  <c r="M254" i="5"/>
  <c r="Q254" i="5"/>
  <c r="U254" i="5"/>
  <c r="Y254" i="5"/>
  <c r="AC254" i="5"/>
  <c r="AG254" i="5"/>
  <c r="F255" i="5"/>
  <c r="J255" i="5"/>
  <c r="N255" i="5"/>
  <c r="R255" i="5"/>
  <c r="V255" i="5"/>
  <c r="Z255" i="5"/>
  <c r="AD255" i="5"/>
  <c r="C256" i="5"/>
  <c r="G256" i="5"/>
  <c r="K256" i="5"/>
  <c r="O256" i="5"/>
  <c r="S256" i="5"/>
  <c r="W256" i="5"/>
  <c r="AA256" i="5"/>
  <c r="AE256" i="5"/>
  <c r="D257" i="5"/>
  <c r="H257" i="5"/>
  <c r="L257" i="5"/>
  <c r="P257" i="5"/>
  <c r="T257" i="5"/>
  <c r="X257" i="5"/>
  <c r="AB257" i="5"/>
  <c r="AF257" i="5"/>
  <c r="E258" i="5"/>
  <c r="I258" i="5"/>
  <c r="M258" i="5"/>
  <c r="Q258" i="5"/>
  <c r="U258" i="5"/>
  <c r="Y258" i="5"/>
  <c r="AC258" i="5"/>
  <c r="AG258" i="5"/>
  <c r="F259" i="5"/>
  <c r="J259" i="5"/>
  <c r="N259" i="5"/>
  <c r="R259" i="5"/>
  <c r="V259" i="5"/>
  <c r="Z259" i="5"/>
  <c r="AD259" i="5"/>
  <c r="C260" i="5"/>
  <c r="G260" i="5"/>
  <c r="K260" i="5"/>
  <c r="O260" i="5"/>
  <c r="S260" i="5"/>
  <c r="W260" i="5"/>
  <c r="AA260" i="5"/>
  <c r="AE260" i="5"/>
  <c r="D261" i="5"/>
  <c r="H261" i="5"/>
  <c r="L261" i="5"/>
  <c r="P261" i="5"/>
  <c r="T261" i="5"/>
  <c r="X261" i="5"/>
  <c r="AB261" i="5"/>
  <c r="AF261" i="5"/>
  <c r="E262" i="5"/>
  <c r="I262" i="5"/>
  <c r="M262" i="5"/>
  <c r="Q262" i="5"/>
  <c r="U262" i="5"/>
  <c r="Y262" i="5"/>
  <c r="AC262" i="5"/>
  <c r="AG262" i="5"/>
  <c r="F263" i="5"/>
  <c r="J263" i="5"/>
  <c r="N263" i="5"/>
  <c r="R263" i="5"/>
  <c r="V263" i="5"/>
  <c r="Z263" i="5"/>
  <c r="AD263" i="5"/>
  <c r="C264" i="5"/>
  <c r="G264" i="5"/>
  <c r="K264" i="5"/>
  <c r="O264" i="5"/>
  <c r="S264" i="5"/>
  <c r="W264" i="5"/>
  <c r="AA264" i="5"/>
  <c r="AE264" i="5"/>
  <c r="D265" i="5"/>
  <c r="H265" i="5"/>
  <c r="L265" i="5"/>
  <c r="P265" i="5"/>
  <c r="T265" i="5"/>
  <c r="X265" i="5"/>
  <c r="AB265" i="5"/>
  <c r="AF265" i="5"/>
  <c r="E266" i="5"/>
  <c r="I266" i="5"/>
  <c r="M266" i="5"/>
  <c r="Q266" i="5"/>
  <c r="U266" i="5"/>
  <c r="Y266" i="5"/>
  <c r="AC266" i="5"/>
  <c r="AG266" i="5"/>
  <c r="F267" i="5"/>
  <c r="J267" i="5"/>
  <c r="N267" i="5"/>
  <c r="R267" i="5"/>
  <c r="V267" i="5"/>
  <c r="Z267" i="5"/>
  <c r="AD267" i="5"/>
  <c r="C268" i="5"/>
  <c r="G268" i="5"/>
  <c r="K268" i="5"/>
  <c r="O268" i="5"/>
  <c r="S268" i="5"/>
  <c r="W268" i="5"/>
  <c r="AA268" i="5"/>
  <c r="AE268" i="5"/>
  <c r="D269" i="5"/>
  <c r="H269" i="5"/>
  <c r="L269" i="5"/>
  <c r="P269" i="5"/>
  <c r="T269" i="5"/>
  <c r="X269" i="5"/>
  <c r="AB269" i="5"/>
  <c r="AF269" i="5"/>
  <c r="E270" i="5"/>
  <c r="I270" i="5"/>
  <c r="M270" i="5"/>
  <c r="Q270" i="5"/>
  <c r="U270" i="5"/>
  <c r="Y270" i="5"/>
  <c r="AC270" i="5"/>
  <c r="AG270" i="5"/>
  <c r="F271" i="5"/>
  <c r="J271" i="5"/>
  <c r="N271" i="5"/>
  <c r="R271" i="5"/>
  <c r="V271" i="5"/>
  <c r="Z271" i="5"/>
  <c r="AD271" i="5"/>
  <c r="C272" i="5"/>
  <c r="G272" i="5"/>
  <c r="K272" i="5"/>
  <c r="O272" i="5"/>
  <c r="S272" i="5"/>
  <c r="W272" i="5"/>
  <c r="AA272" i="5"/>
  <c r="AE272" i="5"/>
  <c r="D273" i="5"/>
  <c r="H273" i="5"/>
  <c r="L273" i="5"/>
  <c r="P273" i="5"/>
  <c r="T273" i="5"/>
  <c r="X273" i="5"/>
  <c r="AB273" i="5"/>
  <c r="AF273" i="5"/>
  <c r="E274" i="5"/>
  <c r="I274" i="5"/>
  <c r="M274" i="5"/>
  <c r="Q274" i="5"/>
  <c r="U274" i="5"/>
  <c r="Y274" i="5"/>
  <c r="AC274" i="5"/>
  <c r="AG274" i="5"/>
  <c r="F275" i="5"/>
  <c r="J275" i="5"/>
  <c r="N275" i="5"/>
  <c r="R275" i="5"/>
  <c r="V275" i="5"/>
  <c r="Z275" i="5"/>
  <c r="AD275" i="5"/>
  <c r="C276" i="5"/>
  <c r="G276" i="5"/>
  <c r="K276" i="5"/>
  <c r="O276" i="5"/>
  <c r="S276" i="5"/>
  <c r="W276" i="5"/>
  <c r="AA276" i="5"/>
  <c r="AE276" i="5"/>
  <c r="D277" i="5"/>
  <c r="H277" i="5"/>
  <c r="L277" i="5"/>
  <c r="P277" i="5"/>
  <c r="T277" i="5"/>
  <c r="X277" i="5"/>
  <c r="AB277" i="5"/>
  <c r="AF277" i="5"/>
  <c r="E278" i="5"/>
  <c r="I278" i="5"/>
  <c r="M278" i="5"/>
  <c r="Q278" i="5"/>
  <c r="U278" i="5"/>
  <c r="Y278" i="5"/>
  <c r="AC278" i="5"/>
  <c r="AG278" i="5"/>
  <c r="AD16" i="5"/>
  <c r="U37" i="5"/>
  <c r="J47" i="5"/>
  <c r="AF51" i="5"/>
  <c r="E56" i="5"/>
  <c r="I60" i="5"/>
  <c r="M64" i="5"/>
  <c r="Q68" i="5"/>
  <c r="U72" i="5"/>
  <c r="Y76" i="5"/>
  <c r="AC80" i="5"/>
  <c r="F83" i="5"/>
  <c r="H85" i="5"/>
  <c r="J87" i="5"/>
  <c r="L89" i="5"/>
  <c r="N92" i="5"/>
  <c r="P94" i="5"/>
  <c r="R96" i="5"/>
  <c r="T98" i="5"/>
  <c r="V100" i="5"/>
  <c r="X107" i="5"/>
  <c r="D109" i="5"/>
  <c r="H110" i="5"/>
  <c r="I111" i="5"/>
  <c r="J112" i="5"/>
  <c r="K113" i="5"/>
  <c r="L114" i="5"/>
  <c r="M115" i="5"/>
  <c r="N116" i="5"/>
  <c r="O117" i="5"/>
  <c r="P118" i="5"/>
  <c r="Q119" i="5"/>
  <c r="R120" i="5"/>
  <c r="S121" i="5"/>
  <c r="T122" i="5"/>
  <c r="U123" i="5"/>
  <c r="V124" i="5"/>
  <c r="W125" i="5"/>
  <c r="X126" i="5"/>
  <c r="Y127" i="5"/>
  <c r="V128" i="5"/>
  <c r="L129" i="5"/>
  <c r="C130" i="5"/>
  <c r="X130" i="5"/>
  <c r="K131" i="5"/>
  <c r="AA131" i="5"/>
  <c r="L132" i="5"/>
  <c r="AB132" i="5"/>
  <c r="M133" i="5"/>
  <c r="AC133" i="5"/>
  <c r="N134" i="5"/>
  <c r="AD134" i="5"/>
  <c r="O135" i="5"/>
  <c r="AE135" i="5"/>
  <c r="P136" i="5"/>
  <c r="AF136" i="5"/>
  <c r="Q137" i="5"/>
  <c r="AG137" i="5"/>
  <c r="R138" i="5"/>
  <c r="C139" i="5"/>
  <c r="S139" i="5"/>
  <c r="D140" i="5"/>
  <c r="T140" i="5"/>
  <c r="E141" i="5"/>
  <c r="U141" i="5"/>
  <c r="F142" i="5"/>
  <c r="V142" i="5"/>
  <c r="G143" i="5"/>
  <c r="W143" i="5"/>
  <c r="H144" i="5"/>
  <c r="X144" i="5"/>
  <c r="I145" i="5"/>
  <c r="Y145" i="5"/>
  <c r="J146" i="5"/>
  <c r="Z146" i="5"/>
  <c r="K147" i="5"/>
  <c r="AA147" i="5"/>
  <c r="L148" i="5"/>
  <c r="AB148" i="5"/>
  <c r="M149" i="5"/>
  <c r="AC149" i="5"/>
  <c r="N150" i="5"/>
  <c r="AD150" i="5"/>
  <c r="O151" i="5"/>
  <c r="AE151" i="5"/>
  <c r="P152" i="5"/>
  <c r="AF152" i="5"/>
  <c r="Q153" i="5"/>
  <c r="AG153" i="5"/>
  <c r="R154" i="5"/>
  <c r="C155" i="5"/>
  <c r="S155" i="5"/>
  <c r="D156" i="5"/>
  <c r="T156" i="5"/>
  <c r="E157" i="5"/>
  <c r="U157" i="5"/>
  <c r="F158" i="5"/>
  <c r="V158" i="5"/>
  <c r="G159" i="5"/>
  <c r="W159" i="5"/>
  <c r="H160" i="5"/>
  <c r="X160" i="5"/>
  <c r="I161" i="5"/>
  <c r="Y161" i="5"/>
  <c r="J162" i="5"/>
  <c r="Z162" i="5"/>
  <c r="K163" i="5"/>
  <c r="AA163" i="5"/>
  <c r="L164" i="5"/>
  <c r="AB164" i="5"/>
  <c r="M165" i="5"/>
  <c r="AC165" i="5"/>
  <c r="N166" i="5"/>
  <c r="AD166" i="5"/>
  <c r="O167" i="5"/>
  <c r="AE167" i="5"/>
  <c r="P168" i="5"/>
  <c r="AF168" i="5"/>
  <c r="Q169" i="5"/>
  <c r="AG169" i="5"/>
  <c r="R170" i="5"/>
  <c r="C171" i="5"/>
  <c r="S171" i="5"/>
  <c r="D172" i="5"/>
  <c r="T172" i="5"/>
  <c r="E173" i="5"/>
  <c r="U173" i="5"/>
  <c r="F174" i="5"/>
  <c r="V174" i="5"/>
  <c r="G175" i="5"/>
  <c r="W175" i="5"/>
  <c r="H176" i="5"/>
  <c r="X176" i="5"/>
  <c r="I177" i="5"/>
  <c r="Y177" i="5"/>
  <c r="J178" i="5"/>
  <c r="Z178" i="5"/>
  <c r="G179" i="5"/>
  <c r="R179" i="5"/>
  <c r="AC179" i="5"/>
  <c r="H180" i="5"/>
  <c r="S180" i="5"/>
  <c r="AD180" i="5"/>
  <c r="I181" i="5"/>
  <c r="T181" i="5"/>
  <c r="AE181" i="5"/>
  <c r="J182" i="5"/>
  <c r="U182" i="5"/>
  <c r="AF182" i="5"/>
  <c r="K183" i="5"/>
  <c r="V183" i="5"/>
  <c r="AG183" i="5"/>
  <c r="L184" i="5"/>
  <c r="W184" i="5"/>
  <c r="C185" i="5"/>
  <c r="M185" i="5"/>
  <c r="X185" i="5"/>
  <c r="D186" i="5"/>
  <c r="N186" i="5"/>
  <c r="Y186" i="5"/>
  <c r="E187" i="5"/>
  <c r="O187" i="5"/>
  <c r="Z187" i="5"/>
  <c r="F188" i="5"/>
  <c r="P188" i="5"/>
  <c r="AA188" i="5"/>
  <c r="G189" i="5"/>
  <c r="Q189" i="5"/>
  <c r="AB189" i="5"/>
  <c r="H190" i="5"/>
  <c r="R190" i="5"/>
  <c r="AC190" i="5"/>
  <c r="I191" i="5"/>
  <c r="S191" i="5"/>
  <c r="AD191" i="5"/>
  <c r="J192" i="5"/>
  <c r="T192" i="5"/>
  <c r="AE192" i="5"/>
  <c r="K193" i="5"/>
  <c r="U193" i="5"/>
  <c r="AF193" i="5"/>
  <c r="L194" i="5"/>
  <c r="V194" i="5"/>
  <c r="AG194" i="5"/>
  <c r="M195" i="5"/>
  <c r="W195" i="5"/>
  <c r="C196" i="5"/>
  <c r="M196" i="5"/>
  <c r="U196" i="5"/>
  <c r="AC196" i="5"/>
  <c r="F197" i="5"/>
  <c r="N197" i="5"/>
  <c r="V197" i="5"/>
  <c r="AD197" i="5"/>
  <c r="G198" i="5"/>
  <c r="O198" i="5"/>
  <c r="W198" i="5"/>
  <c r="AE198" i="5"/>
  <c r="H199" i="5"/>
  <c r="P199" i="5"/>
  <c r="X199" i="5"/>
  <c r="AF199" i="5"/>
  <c r="I200" i="5"/>
  <c r="Q200" i="5"/>
  <c r="Y200" i="5"/>
  <c r="AG200" i="5"/>
  <c r="J201" i="5"/>
  <c r="R201" i="5"/>
  <c r="Z201" i="5"/>
  <c r="C202" i="5"/>
  <c r="K202" i="5"/>
  <c r="S202" i="5"/>
  <c r="AA202" i="5"/>
  <c r="D203" i="5"/>
  <c r="L203" i="5"/>
  <c r="T203" i="5"/>
  <c r="AB203" i="5"/>
  <c r="E204" i="5"/>
  <c r="M204" i="5"/>
  <c r="U204" i="5"/>
  <c r="AC204" i="5"/>
  <c r="F205" i="5"/>
  <c r="N205" i="5"/>
  <c r="V205" i="5"/>
  <c r="AD205" i="5"/>
  <c r="G206" i="5"/>
  <c r="O206" i="5"/>
  <c r="W206" i="5"/>
  <c r="AE206" i="5"/>
  <c r="H207" i="5"/>
  <c r="P207" i="5"/>
  <c r="X207" i="5"/>
  <c r="AF207" i="5"/>
  <c r="I208" i="5"/>
  <c r="Q208" i="5"/>
  <c r="Y208" i="5"/>
  <c r="AG208" i="5"/>
  <c r="J209" i="5"/>
  <c r="R209" i="5"/>
  <c r="Z209" i="5"/>
  <c r="C210" i="5"/>
  <c r="K210" i="5"/>
  <c r="S210" i="5"/>
  <c r="AA210" i="5"/>
  <c r="D211" i="5"/>
  <c r="L211" i="5"/>
  <c r="T211" i="5"/>
  <c r="AB211" i="5"/>
  <c r="E212" i="5"/>
  <c r="M212" i="5"/>
  <c r="U212" i="5"/>
  <c r="AC212" i="5"/>
  <c r="F213" i="5"/>
  <c r="N213" i="5"/>
  <c r="V213" i="5"/>
  <c r="AD213" i="5"/>
  <c r="G214" i="5"/>
  <c r="O214" i="5"/>
  <c r="W214" i="5"/>
  <c r="AE214" i="5"/>
  <c r="H215" i="5"/>
  <c r="P215" i="5"/>
  <c r="X215" i="5"/>
  <c r="AF215" i="5"/>
  <c r="I216" i="5"/>
  <c r="Q216" i="5"/>
  <c r="Y216" i="5"/>
  <c r="AG216" i="5"/>
  <c r="J217" i="5"/>
  <c r="R217" i="5"/>
  <c r="Z217" i="5"/>
  <c r="C218" i="5"/>
  <c r="K218" i="5"/>
  <c r="S218" i="5"/>
  <c r="AA218" i="5"/>
  <c r="D219" i="5"/>
  <c r="L219" i="5"/>
  <c r="T219" i="5"/>
  <c r="AB219" i="5"/>
  <c r="E220" i="5"/>
  <c r="M220" i="5"/>
  <c r="U220" i="5"/>
  <c r="AC220" i="5"/>
  <c r="F221" i="5"/>
  <c r="N221" i="5"/>
  <c r="V221" i="5"/>
  <c r="AD221" i="5"/>
  <c r="G222" i="5"/>
  <c r="O222" i="5"/>
  <c r="W222" i="5"/>
  <c r="AE222" i="5"/>
  <c r="H223" i="5"/>
  <c r="P223" i="5"/>
  <c r="X223" i="5"/>
  <c r="AF223" i="5"/>
  <c r="I224" i="5"/>
  <c r="Q224" i="5"/>
  <c r="Y224" i="5"/>
  <c r="AG224" i="5"/>
  <c r="G225" i="5"/>
  <c r="M225" i="5"/>
  <c r="R225" i="5"/>
  <c r="W225" i="5"/>
  <c r="AC225" i="5"/>
  <c r="C226" i="5"/>
  <c r="H226" i="5"/>
  <c r="N226" i="5"/>
  <c r="S226" i="5"/>
  <c r="X226" i="5"/>
  <c r="AD226" i="5"/>
  <c r="D227" i="5"/>
  <c r="I227" i="5"/>
  <c r="O227" i="5"/>
  <c r="T227" i="5"/>
  <c r="Y227" i="5"/>
  <c r="AE227" i="5"/>
  <c r="E228" i="5"/>
  <c r="J228" i="5"/>
  <c r="P228" i="5"/>
  <c r="U228" i="5"/>
  <c r="Z228" i="5"/>
  <c r="AF228" i="5"/>
  <c r="F229" i="5"/>
  <c r="K229" i="5"/>
  <c r="Q229" i="5"/>
  <c r="V229" i="5"/>
  <c r="AA229" i="5"/>
  <c r="AG229" i="5"/>
  <c r="G230" i="5"/>
  <c r="L230" i="5"/>
  <c r="R230" i="5"/>
  <c r="W230" i="5"/>
  <c r="AB230" i="5"/>
  <c r="C231" i="5"/>
  <c r="H231" i="5"/>
  <c r="M231" i="5"/>
  <c r="S231" i="5"/>
  <c r="X231" i="5"/>
  <c r="AC231" i="5"/>
  <c r="D232" i="5"/>
  <c r="I232" i="5"/>
  <c r="N232" i="5"/>
  <c r="T232" i="5"/>
  <c r="Y232" i="5"/>
  <c r="AD232" i="5"/>
  <c r="E233" i="5"/>
  <c r="J233" i="5"/>
  <c r="O233" i="5"/>
  <c r="U233" i="5"/>
  <c r="Z233" i="5"/>
  <c r="AE233" i="5"/>
  <c r="F234" i="5"/>
  <c r="K234" i="5"/>
  <c r="P234" i="5"/>
  <c r="V234" i="5"/>
  <c r="AA234" i="5"/>
  <c r="AF234" i="5"/>
  <c r="G235" i="5"/>
  <c r="L235" i="5"/>
  <c r="Q235" i="5"/>
  <c r="W235" i="5"/>
  <c r="AB235" i="5"/>
  <c r="AG235" i="5"/>
  <c r="F236" i="5"/>
  <c r="J236" i="5"/>
  <c r="N236" i="5"/>
  <c r="R236" i="5"/>
  <c r="V236" i="5"/>
  <c r="Z236" i="5"/>
  <c r="AD236" i="5"/>
  <c r="C237" i="5"/>
  <c r="G237" i="5"/>
  <c r="K237" i="5"/>
  <c r="O237" i="5"/>
  <c r="S237" i="5"/>
  <c r="W237" i="5"/>
  <c r="AA237" i="5"/>
  <c r="AE237" i="5"/>
  <c r="D238" i="5"/>
  <c r="H238" i="5"/>
  <c r="L238" i="5"/>
  <c r="P238" i="5"/>
  <c r="T238" i="5"/>
  <c r="X238" i="5"/>
  <c r="AB238" i="5"/>
  <c r="AF238" i="5"/>
  <c r="E239" i="5"/>
  <c r="I239" i="5"/>
  <c r="M239" i="5"/>
  <c r="Q239" i="5"/>
  <c r="U239" i="5"/>
  <c r="Y239" i="5"/>
  <c r="AC239" i="5"/>
  <c r="AG239" i="5"/>
  <c r="F240" i="5"/>
  <c r="J240" i="5"/>
  <c r="N240" i="5"/>
  <c r="R240" i="5"/>
  <c r="V240" i="5"/>
  <c r="Z240" i="5"/>
  <c r="AD240" i="5"/>
  <c r="C241" i="5"/>
  <c r="G241" i="5"/>
  <c r="K241" i="5"/>
  <c r="O241" i="5"/>
  <c r="S241" i="5"/>
  <c r="W241" i="5"/>
  <c r="AA241" i="5"/>
  <c r="AE241" i="5"/>
  <c r="D242" i="5"/>
  <c r="H242" i="5"/>
  <c r="L242" i="5"/>
  <c r="P242" i="5"/>
  <c r="T242" i="5"/>
  <c r="X242" i="5"/>
  <c r="AB242" i="5"/>
  <c r="AF242" i="5"/>
  <c r="E243" i="5"/>
  <c r="I243" i="5"/>
  <c r="M243" i="5"/>
  <c r="Q243" i="5"/>
  <c r="U243" i="5"/>
  <c r="Y243" i="5"/>
  <c r="AC243" i="5"/>
  <c r="AG243" i="5"/>
  <c r="F244" i="5"/>
  <c r="J244" i="5"/>
  <c r="N244" i="5"/>
  <c r="R244" i="5"/>
  <c r="V244" i="5"/>
  <c r="Z244" i="5"/>
  <c r="AD244" i="5"/>
  <c r="C251" i="5"/>
  <c r="G251" i="5"/>
  <c r="K251" i="5"/>
  <c r="O251" i="5"/>
  <c r="S251" i="5"/>
  <c r="W251" i="5"/>
  <c r="AA251" i="5"/>
  <c r="AE251" i="5"/>
  <c r="D252" i="5"/>
  <c r="H252" i="5"/>
  <c r="L252" i="5"/>
  <c r="P252" i="5"/>
  <c r="T252" i="5"/>
  <c r="X252" i="5"/>
  <c r="AB252" i="5"/>
  <c r="AF252" i="5"/>
  <c r="E253" i="5"/>
  <c r="I253" i="5"/>
  <c r="M253" i="5"/>
  <c r="Q253" i="5"/>
  <c r="U253" i="5"/>
  <c r="Y253" i="5"/>
  <c r="AC253" i="5"/>
  <c r="AG253" i="5"/>
  <c r="F254" i="5"/>
  <c r="J254" i="5"/>
  <c r="N254" i="5"/>
  <c r="R254" i="5"/>
  <c r="V254" i="5"/>
  <c r="Z254" i="5"/>
  <c r="AD254" i="5"/>
  <c r="C255" i="5"/>
  <c r="G255" i="5"/>
  <c r="K255" i="5"/>
  <c r="O255" i="5"/>
  <c r="S255" i="5"/>
  <c r="W255" i="5"/>
  <c r="AA255" i="5"/>
  <c r="AE255" i="5"/>
  <c r="D256" i="5"/>
  <c r="H256" i="5"/>
  <c r="L256" i="5"/>
  <c r="P256" i="5"/>
  <c r="T256" i="5"/>
  <c r="X256" i="5"/>
  <c r="AB256" i="5"/>
  <c r="AF256" i="5"/>
  <c r="E257" i="5"/>
  <c r="I257" i="5"/>
  <c r="M257" i="5"/>
  <c r="Q257" i="5"/>
  <c r="U257" i="5"/>
  <c r="Y257" i="5"/>
  <c r="AC257" i="5"/>
  <c r="AG257" i="5"/>
  <c r="F258" i="5"/>
  <c r="J258" i="5"/>
  <c r="N258" i="5"/>
  <c r="R258" i="5"/>
  <c r="V258" i="5"/>
  <c r="Z258" i="5"/>
  <c r="AD258" i="5"/>
  <c r="C259" i="5"/>
  <c r="G259" i="5"/>
  <c r="K259" i="5"/>
  <c r="O259" i="5"/>
  <c r="S259" i="5"/>
  <c r="W259" i="5"/>
  <c r="AA259" i="5"/>
  <c r="AE259" i="5"/>
  <c r="D260" i="5"/>
  <c r="H260" i="5"/>
  <c r="L260" i="5"/>
  <c r="P260" i="5"/>
  <c r="T260" i="5"/>
  <c r="X260" i="5"/>
  <c r="AB260" i="5"/>
  <c r="AF260" i="5"/>
  <c r="E261" i="5"/>
  <c r="I261" i="5"/>
  <c r="M261" i="5"/>
  <c r="Q261" i="5"/>
  <c r="U261" i="5"/>
  <c r="Y261" i="5"/>
  <c r="AC261" i="5"/>
  <c r="AG261" i="5"/>
  <c r="F262" i="5"/>
  <c r="J262" i="5"/>
  <c r="N262" i="5"/>
  <c r="R262" i="5"/>
  <c r="V262" i="5"/>
  <c r="Z262" i="5"/>
  <c r="AD262" i="5"/>
  <c r="C263" i="5"/>
  <c r="G263" i="5"/>
  <c r="K263" i="5"/>
  <c r="O263" i="5"/>
  <c r="S263" i="5"/>
  <c r="W263" i="5"/>
  <c r="AA263" i="5"/>
  <c r="AE263" i="5"/>
  <c r="D264" i="5"/>
  <c r="H264" i="5"/>
  <c r="L264" i="5"/>
  <c r="P264" i="5"/>
  <c r="T264" i="5"/>
  <c r="X264" i="5"/>
  <c r="AB264" i="5"/>
  <c r="AF264" i="5"/>
  <c r="E265" i="5"/>
  <c r="I265" i="5"/>
  <c r="M265" i="5"/>
  <c r="Q265" i="5"/>
  <c r="U265" i="5"/>
  <c r="Y265" i="5"/>
  <c r="AC265" i="5"/>
  <c r="AG265" i="5"/>
  <c r="F266" i="5"/>
  <c r="J266" i="5"/>
  <c r="N266" i="5"/>
  <c r="R266" i="5"/>
  <c r="V266" i="5"/>
  <c r="Z266" i="5"/>
  <c r="AD266" i="5"/>
  <c r="C267" i="5"/>
  <c r="G267" i="5"/>
  <c r="K267" i="5"/>
  <c r="O267" i="5"/>
  <c r="S267" i="5"/>
  <c r="W267" i="5"/>
  <c r="AA267" i="5"/>
  <c r="AE267" i="5"/>
  <c r="D268" i="5"/>
  <c r="H268" i="5"/>
  <c r="L268" i="5"/>
  <c r="P268" i="5"/>
  <c r="T268" i="5"/>
  <c r="X268" i="5"/>
  <c r="AB268" i="5"/>
  <c r="AF268" i="5"/>
  <c r="E269" i="5"/>
  <c r="I269" i="5"/>
  <c r="M269" i="5"/>
  <c r="Q269" i="5"/>
  <c r="U269" i="5"/>
  <c r="Y269" i="5"/>
  <c r="AC269" i="5"/>
  <c r="AG269" i="5"/>
  <c r="F270" i="5"/>
  <c r="J270" i="5"/>
  <c r="N270" i="5"/>
  <c r="R270" i="5"/>
  <c r="V270" i="5"/>
  <c r="Z270" i="5"/>
  <c r="AD270" i="5"/>
  <c r="C271" i="5"/>
  <c r="G271" i="5"/>
  <c r="K271" i="5"/>
  <c r="O271" i="5"/>
  <c r="S271" i="5"/>
  <c r="W271" i="5"/>
  <c r="AA271" i="5"/>
  <c r="AE271" i="5"/>
  <c r="D272" i="5"/>
  <c r="H272" i="5"/>
  <c r="L272" i="5"/>
  <c r="P272" i="5"/>
  <c r="T272" i="5"/>
  <c r="X272" i="5"/>
  <c r="AB272" i="5"/>
  <c r="AF272" i="5"/>
  <c r="E273" i="5"/>
  <c r="I273" i="5"/>
  <c r="M273" i="5"/>
  <c r="Q273" i="5"/>
  <c r="U273" i="5"/>
  <c r="Y273" i="5"/>
  <c r="AC273" i="5"/>
  <c r="AG273" i="5"/>
  <c r="F274" i="5"/>
  <c r="J274" i="5"/>
  <c r="N274" i="5"/>
  <c r="R274" i="5"/>
  <c r="V274" i="5"/>
  <c r="Z274" i="5"/>
  <c r="AD274" i="5"/>
  <c r="C275" i="5"/>
  <c r="G275" i="5"/>
  <c r="K275" i="5"/>
  <c r="O275" i="5"/>
  <c r="S275" i="5"/>
  <c r="W275" i="5"/>
  <c r="AA275" i="5"/>
  <c r="AE275" i="5"/>
  <c r="D276" i="5"/>
  <c r="H276" i="5"/>
  <c r="L276" i="5"/>
  <c r="P276" i="5"/>
  <c r="T276" i="5"/>
  <c r="X276" i="5"/>
  <c r="AB276" i="5"/>
  <c r="AF276" i="5"/>
  <c r="E277" i="5"/>
  <c r="I277" i="5"/>
  <c r="M277" i="5"/>
  <c r="Q277" i="5"/>
  <c r="U277" i="5"/>
  <c r="Y277" i="5"/>
  <c r="AC277" i="5"/>
  <c r="AG277" i="5"/>
  <c r="F278" i="5"/>
  <c r="J278" i="5"/>
  <c r="N278" i="5"/>
  <c r="R278" i="5"/>
  <c r="V278" i="5"/>
  <c r="Z278" i="5"/>
  <c r="AD278" i="5"/>
  <c r="P27" i="5"/>
  <c r="W49" i="5"/>
  <c r="AE57" i="5"/>
  <c r="H66" i="5"/>
  <c r="P74" i="5"/>
  <c r="AG81" i="5"/>
  <c r="F86" i="5"/>
  <c r="J90" i="5"/>
  <c r="N95" i="5"/>
  <c r="R99" i="5"/>
  <c r="M108" i="5"/>
  <c r="W110" i="5"/>
  <c r="Y112" i="5"/>
  <c r="AA114" i="5"/>
  <c r="AC116" i="5"/>
  <c r="AE118" i="5"/>
  <c r="AG120" i="5"/>
  <c r="D123" i="5"/>
  <c r="F125" i="5"/>
  <c r="H127" i="5"/>
  <c r="AE128" i="5"/>
  <c r="L130" i="5"/>
  <c r="R131" i="5"/>
  <c r="S132" i="5"/>
  <c r="T133" i="5"/>
  <c r="U134" i="5"/>
  <c r="V135" i="5"/>
  <c r="W136" i="5"/>
  <c r="X137" i="5"/>
  <c r="Y138" i="5"/>
  <c r="Z139" i="5"/>
  <c r="AA140" i="5"/>
  <c r="AB141" i="5"/>
  <c r="AC142" i="5"/>
  <c r="AD143" i="5"/>
  <c r="AE144" i="5"/>
  <c r="AF145" i="5"/>
  <c r="AG146" i="5"/>
  <c r="C148" i="5"/>
  <c r="D149" i="5"/>
  <c r="E150" i="5"/>
  <c r="F151" i="5"/>
  <c r="G152" i="5"/>
  <c r="H153" i="5"/>
  <c r="I154" i="5"/>
  <c r="J155" i="5"/>
  <c r="K156" i="5"/>
  <c r="L157" i="5"/>
  <c r="M158" i="5"/>
  <c r="N159" i="5"/>
  <c r="O160" i="5"/>
  <c r="P161" i="5"/>
  <c r="Q162" i="5"/>
  <c r="R163" i="5"/>
  <c r="S164" i="5"/>
  <c r="T165" i="5"/>
  <c r="U166" i="5"/>
  <c r="V167" i="5"/>
  <c r="W168" i="5"/>
  <c r="X169" i="5"/>
  <c r="Y170" i="5"/>
  <c r="Z171" i="5"/>
  <c r="AA172" i="5"/>
  <c r="AB173" i="5"/>
  <c r="AC174" i="5"/>
  <c r="AD175" i="5"/>
  <c r="AE176" i="5"/>
  <c r="AF177" i="5"/>
  <c r="AF178" i="5"/>
  <c r="V179" i="5"/>
  <c r="L180" i="5"/>
  <c r="C181" i="5"/>
  <c r="X181" i="5"/>
  <c r="N182" i="5"/>
  <c r="E183" i="5"/>
  <c r="Z183" i="5"/>
  <c r="P184" i="5"/>
  <c r="G185" i="5"/>
  <c r="AB185" i="5"/>
  <c r="R186" i="5"/>
  <c r="I187" i="5"/>
  <c r="AD187" i="5"/>
  <c r="T188" i="5"/>
  <c r="K189" i="5"/>
  <c r="AF189" i="5"/>
  <c r="V190" i="5"/>
  <c r="M191" i="5"/>
  <c r="C192" i="5"/>
  <c r="X192" i="5"/>
  <c r="O193" i="5"/>
  <c r="E194" i="5"/>
  <c r="Z194" i="5"/>
  <c r="Q195" i="5"/>
  <c r="G196" i="5"/>
  <c r="X196" i="5"/>
  <c r="I197" i="5"/>
  <c r="Y197" i="5"/>
  <c r="J198" i="5"/>
  <c r="Z198" i="5"/>
  <c r="K199" i="5"/>
  <c r="AA199" i="5"/>
  <c r="L200" i="5"/>
  <c r="AB200" i="5"/>
  <c r="M201" i="5"/>
  <c r="AC201" i="5"/>
  <c r="N202" i="5"/>
  <c r="AD202" i="5"/>
  <c r="O203" i="5"/>
  <c r="AE203" i="5"/>
  <c r="P204" i="5"/>
  <c r="AF204" i="5"/>
  <c r="Q205" i="5"/>
  <c r="AG205" i="5"/>
  <c r="R206" i="5"/>
  <c r="C207" i="5"/>
  <c r="S207" i="5"/>
  <c r="D208" i="5"/>
  <c r="T208" i="5"/>
  <c r="E209" i="5"/>
  <c r="U209" i="5"/>
  <c r="F210" i="5"/>
  <c r="V210" i="5"/>
  <c r="G211" i="5"/>
  <c r="W211" i="5"/>
  <c r="H212" i="5"/>
  <c r="X212" i="5"/>
  <c r="I213" i="5"/>
  <c r="Y213" i="5"/>
  <c r="J214" i="5"/>
  <c r="Z214" i="5"/>
  <c r="K215" i="5"/>
  <c r="AA215" i="5"/>
  <c r="L216" i="5"/>
  <c r="AB216" i="5"/>
  <c r="M217" i="5"/>
  <c r="AC217" i="5"/>
  <c r="N218" i="5"/>
  <c r="AD218" i="5"/>
  <c r="O219" i="5"/>
  <c r="AE219" i="5"/>
  <c r="P220" i="5"/>
  <c r="AF220" i="5"/>
  <c r="Q221" i="5"/>
  <c r="AG221" i="5"/>
  <c r="R222" i="5"/>
  <c r="C223" i="5"/>
  <c r="S223" i="5"/>
  <c r="D224" i="5"/>
  <c r="T224" i="5"/>
  <c r="C225" i="5"/>
  <c r="N225" i="5"/>
  <c r="Y225" i="5"/>
  <c r="D226" i="5"/>
  <c r="O226" i="5"/>
  <c r="Z226" i="5"/>
  <c r="E227" i="5"/>
  <c r="P227" i="5"/>
  <c r="AA227" i="5"/>
  <c r="F228" i="5"/>
  <c r="Q228" i="5"/>
  <c r="AB228" i="5"/>
  <c r="G229" i="5"/>
  <c r="R229" i="5"/>
  <c r="AC229" i="5"/>
  <c r="H230" i="5"/>
  <c r="S230" i="5"/>
  <c r="AD230" i="5"/>
  <c r="I231" i="5"/>
  <c r="T231" i="5"/>
  <c r="AE231" i="5"/>
  <c r="J232" i="5"/>
  <c r="U232" i="5"/>
  <c r="AF232" i="5"/>
  <c r="K233" i="5"/>
  <c r="V233" i="5"/>
  <c r="AG233" i="5"/>
  <c r="L234" i="5"/>
  <c r="W234" i="5"/>
  <c r="C235" i="5"/>
  <c r="M235" i="5"/>
  <c r="X235" i="5"/>
  <c r="C236" i="5"/>
  <c r="K236" i="5"/>
  <c r="S236" i="5"/>
  <c r="AA236" i="5"/>
  <c r="D237" i="5"/>
  <c r="L237" i="5"/>
  <c r="T237" i="5"/>
  <c r="AB237" i="5"/>
  <c r="E238" i="5"/>
  <c r="M238" i="5"/>
  <c r="U238" i="5"/>
  <c r="AC238" i="5"/>
  <c r="F239" i="5"/>
  <c r="N239" i="5"/>
  <c r="V239" i="5"/>
  <c r="AD239" i="5"/>
  <c r="G240" i="5"/>
  <c r="O240" i="5"/>
  <c r="W240" i="5"/>
  <c r="AE240" i="5"/>
  <c r="H241" i="5"/>
  <c r="P241" i="5"/>
  <c r="X241" i="5"/>
  <c r="AF241" i="5"/>
  <c r="I242" i="5"/>
  <c r="Q242" i="5"/>
  <c r="Y242" i="5"/>
  <c r="AG242" i="5"/>
  <c r="J243" i="5"/>
  <c r="R243" i="5"/>
  <c r="Z243" i="5"/>
  <c r="C244" i="5"/>
  <c r="K244" i="5"/>
  <c r="S244" i="5"/>
  <c r="AA244" i="5"/>
  <c r="D251" i="5"/>
  <c r="L251" i="5"/>
  <c r="T251" i="5"/>
  <c r="AB251" i="5"/>
  <c r="E252" i="5"/>
  <c r="M252" i="5"/>
  <c r="U252" i="5"/>
  <c r="AC252" i="5"/>
  <c r="F253" i="5"/>
  <c r="N253" i="5"/>
  <c r="V253" i="5"/>
  <c r="AD253" i="5"/>
  <c r="G254" i="5"/>
  <c r="O254" i="5"/>
  <c r="W254" i="5"/>
  <c r="AE254" i="5"/>
  <c r="H255" i="5"/>
  <c r="P255" i="5"/>
  <c r="X255" i="5"/>
  <c r="AF255" i="5"/>
  <c r="I256" i="5"/>
  <c r="Q256" i="5"/>
  <c r="Y256" i="5"/>
  <c r="AG256" i="5"/>
  <c r="J257" i="5"/>
  <c r="R257" i="5"/>
  <c r="Z257" i="5"/>
  <c r="C258" i="5"/>
  <c r="K258" i="5"/>
  <c r="S258" i="5"/>
  <c r="AA258" i="5"/>
  <c r="D259" i="5"/>
  <c r="L259" i="5"/>
  <c r="T259" i="5"/>
  <c r="AB259" i="5"/>
  <c r="E260" i="5"/>
  <c r="M260" i="5"/>
  <c r="U260" i="5"/>
  <c r="AC260" i="5"/>
  <c r="F261" i="5"/>
  <c r="N261" i="5"/>
  <c r="V261" i="5"/>
  <c r="AD261" i="5"/>
  <c r="G262" i="5"/>
  <c r="O262" i="5"/>
  <c r="W262" i="5"/>
  <c r="AE262" i="5"/>
  <c r="H263" i="5"/>
  <c r="P263" i="5"/>
  <c r="X263" i="5"/>
  <c r="AF263" i="5"/>
  <c r="I264" i="5"/>
  <c r="Q264" i="5"/>
  <c r="Y264" i="5"/>
  <c r="AG264" i="5"/>
  <c r="J265" i="5"/>
  <c r="R265" i="5"/>
  <c r="Z265" i="5"/>
  <c r="C266" i="5"/>
  <c r="K266" i="5"/>
  <c r="S266" i="5"/>
  <c r="AA266" i="5"/>
  <c r="D267" i="5"/>
  <c r="L267" i="5"/>
  <c r="T267" i="5"/>
  <c r="AB267" i="5"/>
  <c r="E268" i="5"/>
  <c r="M268" i="5"/>
  <c r="U268" i="5"/>
  <c r="AC268" i="5"/>
  <c r="F269" i="5"/>
  <c r="N269" i="5"/>
  <c r="V269" i="5"/>
  <c r="AD269" i="5"/>
  <c r="G270" i="5"/>
  <c r="O270" i="5"/>
  <c r="W270" i="5"/>
  <c r="AE270" i="5"/>
  <c r="H271" i="5"/>
  <c r="P271" i="5"/>
  <c r="X271" i="5"/>
  <c r="AF271" i="5"/>
  <c r="I272" i="5"/>
  <c r="Q272" i="5"/>
  <c r="Y272" i="5"/>
  <c r="AG272" i="5"/>
  <c r="J273" i="5"/>
  <c r="R273" i="5"/>
  <c r="Z273" i="5"/>
  <c r="C274" i="5"/>
  <c r="K274" i="5"/>
  <c r="S274" i="5"/>
  <c r="AA274" i="5"/>
  <c r="D275" i="5"/>
  <c r="L275" i="5"/>
  <c r="T275" i="5"/>
  <c r="AB275" i="5"/>
  <c r="E276" i="5"/>
  <c r="M276" i="5"/>
  <c r="U276" i="5"/>
  <c r="AC276" i="5"/>
  <c r="F277" i="5"/>
  <c r="N277" i="5"/>
  <c r="V277" i="5"/>
  <c r="AD277" i="5"/>
  <c r="G278" i="5"/>
  <c r="O278" i="5"/>
  <c r="W278" i="5"/>
  <c r="AE278" i="5"/>
  <c r="U28" i="5"/>
  <c r="AD49" i="5"/>
  <c r="G58" i="5"/>
  <c r="O66" i="5"/>
  <c r="W74" i="5"/>
  <c r="E82" i="5"/>
  <c r="I86" i="5"/>
  <c r="M90" i="5"/>
  <c r="Q95" i="5"/>
  <c r="U99" i="5"/>
  <c r="N108" i="5"/>
  <c r="X110" i="5"/>
  <c r="Z112" i="5"/>
  <c r="AB114" i="5"/>
  <c r="AD116" i="5"/>
  <c r="AF118" i="5"/>
  <c r="C121" i="5"/>
  <c r="E123" i="5"/>
  <c r="G125" i="5"/>
  <c r="I127" i="5"/>
  <c r="AG128" i="5"/>
  <c r="M130" i="5"/>
  <c r="S131" i="5"/>
  <c r="T132" i="5"/>
  <c r="U133" i="5"/>
  <c r="V134" i="5"/>
  <c r="W135" i="5"/>
  <c r="X136" i="5"/>
  <c r="Y137" i="5"/>
  <c r="Z138" i="5"/>
  <c r="AA139" i="5"/>
  <c r="AB140" i="5"/>
  <c r="AC141" i="5"/>
  <c r="AD142" i="5"/>
  <c r="AE143" i="5"/>
  <c r="AF144" i="5"/>
  <c r="AG145" i="5"/>
  <c r="C147" i="5"/>
  <c r="D148" i="5"/>
  <c r="E149" i="5"/>
  <c r="F150" i="5"/>
  <c r="G151" i="5"/>
  <c r="H152" i="5"/>
  <c r="I153" i="5"/>
  <c r="J154" i="5"/>
  <c r="K155" i="5"/>
  <c r="L156" i="5"/>
  <c r="M157" i="5"/>
  <c r="N158" i="5"/>
  <c r="O159" i="5"/>
  <c r="P160" i="5"/>
  <c r="Q161" i="5"/>
  <c r="R162" i="5"/>
  <c r="S163" i="5"/>
  <c r="T164" i="5"/>
  <c r="U165" i="5"/>
  <c r="V166" i="5"/>
  <c r="W167" i="5"/>
  <c r="X168" i="5"/>
  <c r="Y169" i="5"/>
  <c r="Z170" i="5"/>
  <c r="AA171" i="5"/>
  <c r="AB172" i="5"/>
  <c r="AC173" i="5"/>
  <c r="AD174" i="5"/>
  <c r="AE175" i="5"/>
  <c r="AF176" i="5"/>
  <c r="AG177" i="5"/>
  <c r="AG178" i="5"/>
  <c r="W179" i="5"/>
  <c r="N180" i="5"/>
  <c r="D181" i="5"/>
  <c r="Y181" i="5"/>
  <c r="P182" i="5"/>
  <c r="F183" i="5"/>
  <c r="AA183" i="5"/>
  <c r="R184" i="5"/>
  <c r="H185" i="5"/>
  <c r="AC185" i="5"/>
  <c r="T186" i="5"/>
  <c r="J187" i="5"/>
  <c r="AE187" i="5"/>
  <c r="V188" i="5"/>
  <c r="L189" i="5"/>
  <c r="AG189" i="5"/>
  <c r="X190" i="5"/>
  <c r="N191" i="5"/>
  <c r="D192" i="5"/>
  <c r="Z192" i="5"/>
  <c r="P193" i="5"/>
  <c r="F194" i="5"/>
  <c r="AB194" i="5"/>
  <c r="R195" i="5"/>
  <c r="H196" i="5"/>
  <c r="Y196" i="5"/>
  <c r="J197" i="5"/>
  <c r="Z197" i="5"/>
  <c r="K198" i="5"/>
  <c r="AA198" i="5"/>
  <c r="L199" i="5"/>
  <c r="AB199" i="5"/>
  <c r="M200" i="5"/>
  <c r="AC200" i="5"/>
  <c r="N201" i="5"/>
  <c r="AD201" i="5"/>
  <c r="O202" i="5"/>
  <c r="AE202" i="5"/>
  <c r="P203" i="5"/>
  <c r="AF203" i="5"/>
  <c r="Q204" i="5"/>
  <c r="AG204" i="5"/>
  <c r="R205" i="5"/>
  <c r="C206" i="5"/>
  <c r="S206" i="5"/>
  <c r="D207" i="5"/>
  <c r="T207" i="5"/>
  <c r="E208" i="5"/>
  <c r="U208" i="5"/>
  <c r="F209" i="5"/>
  <c r="V209" i="5"/>
  <c r="G210" i="5"/>
  <c r="W210" i="5"/>
  <c r="H211" i="5"/>
  <c r="X211" i="5"/>
  <c r="I212" i="5"/>
  <c r="Y212" i="5"/>
  <c r="J213" i="5"/>
  <c r="Z213" i="5"/>
  <c r="K214" i="5"/>
  <c r="AA214" i="5"/>
  <c r="L215" i="5"/>
  <c r="AB215" i="5"/>
  <c r="M216" i="5"/>
  <c r="AC216" i="5"/>
  <c r="N217" i="5"/>
  <c r="AD217" i="5"/>
  <c r="O218" i="5"/>
  <c r="AE218" i="5"/>
  <c r="P219" i="5"/>
  <c r="AF219" i="5"/>
  <c r="Q220" i="5"/>
  <c r="AG220" i="5"/>
  <c r="R221" i="5"/>
  <c r="C222" i="5"/>
  <c r="S222" i="5"/>
  <c r="D223" i="5"/>
  <c r="T223" i="5"/>
  <c r="E224" i="5"/>
  <c r="U224" i="5"/>
  <c r="E225" i="5"/>
  <c r="O225" i="5"/>
  <c r="Z225" i="5"/>
  <c r="F226" i="5"/>
  <c r="P226" i="5"/>
  <c r="AA226" i="5"/>
  <c r="G227" i="5"/>
  <c r="Q227" i="5"/>
  <c r="AB227" i="5"/>
  <c r="H228" i="5"/>
  <c r="R228" i="5"/>
  <c r="AC228" i="5"/>
  <c r="I229" i="5"/>
  <c r="S229" i="5"/>
  <c r="AD229" i="5"/>
  <c r="J230" i="5"/>
  <c r="T230" i="5"/>
  <c r="AE230" i="5"/>
  <c r="K231" i="5"/>
  <c r="U231" i="5"/>
  <c r="AF231" i="5"/>
  <c r="L232" i="5"/>
  <c r="V232" i="5"/>
  <c r="AG232" i="5"/>
  <c r="M233" i="5"/>
  <c r="W233" i="5"/>
  <c r="C234" i="5"/>
  <c r="N234" i="5"/>
  <c r="X234" i="5"/>
  <c r="D235" i="5"/>
  <c r="O235" i="5"/>
  <c r="Y235" i="5"/>
  <c r="D236" i="5"/>
  <c r="L236" i="5"/>
  <c r="T236" i="5"/>
  <c r="AB236" i="5"/>
  <c r="E237" i="5"/>
  <c r="M237" i="5"/>
  <c r="U237" i="5"/>
  <c r="AC237" i="5"/>
  <c r="F238" i="5"/>
  <c r="N238" i="5"/>
  <c r="V238" i="5"/>
  <c r="AD238" i="5"/>
  <c r="G239" i="5"/>
  <c r="O239" i="5"/>
  <c r="W239" i="5"/>
  <c r="AE239" i="5"/>
  <c r="H240" i="5"/>
  <c r="P240" i="5"/>
  <c r="X240" i="5"/>
  <c r="AF240" i="5"/>
  <c r="I241" i="5"/>
  <c r="Q241" i="5"/>
  <c r="Y241" i="5"/>
  <c r="AG241" i="5"/>
  <c r="J242" i="5"/>
  <c r="R242" i="5"/>
  <c r="Z242" i="5"/>
  <c r="C243" i="5"/>
  <c r="K243" i="5"/>
  <c r="S243" i="5"/>
  <c r="AA243" i="5"/>
  <c r="D244" i="5"/>
  <c r="L244" i="5"/>
  <c r="T244" i="5"/>
  <c r="AB244" i="5"/>
  <c r="E251" i="5"/>
  <c r="M251" i="5"/>
  <c r="U251" i="5"/>
  <c r="AC251" i="5"/>
  <c r="F252" i="5"/>
  <c r="N252" i="5"/>
  <c r="V252" i="5"/>
  <c r="AD252" i="5"/>
  <c r="G253" i="5"/>
  <c r="O253" i="5"/>
  <c r="W253" i="5"/>
  <c r="AE253" i="5"/>
  <c r="H254" i="5"/>
  <c r="P254" i="5"/>
  <c r="X254" i="5"/>
  <c r="AF254" i="5"/>
  <c r="I255" i="5"/>
  <c r="Q255" i="5"/>
  <c r="Y255" i="5"/>
  <c r="AG255" i="5"/>
  <c r="J256" i="5"/>
  <c r="R256" i="5"/>
  <c r="Z256" i="5"/>
  <c r="C257" i="5"/>
  <c r="K257" i="5"/>
  <c r="S257" i="5"/>
  <c r="AA257" i="5"/>
  <c r="D258" i="5"/>
  <c r="L258" i="5"/>
  <c r="T258" i="5"/>
  <c r="AB258" i="5"/>
  <c r="E259" i="5"/>
  <c r="M259" i="5"/>
  <c r="U259" i="5"/>
  <c r="AC259" i="5"/>
  <c r="F260" i="5"/>
  <c r="N260" i="5"/>
  <c r="V260" i="5"/>
  <c r="AD260" i="5"/>
  <c r="G261" i="5"/>
  <c r="O261" i="5"/>
  <c r="W261" i="5"/>
  <c r="AE261" i="5"/>
  <c r="H262" i="5"/>
  <c r="P262" i="5"/>
  <c r="X262" i="5"/>
  <c r="AF262" i="5"/>
  <c r="I263" i="5"/>
  <c r="Q263" i="5"/>
  <c r="Y263" i="5"/>
  <c r="AG263" i="5"/>
  <c r="J264" i="5"/>
  <c r="R264" i="5"/>
  <c r="Z264" i="5"/>
  <c r="C265" i="5"/>
  <c r="K265" i="5"/>
  <c r="S265" i="5"/>
  <c r="AA265" i="5"/>
  <c r="D266" i="5"/>
  <c r="L266" i="5"/>
  <c r="T266" i="5"/>
  <c r="AB266" i="5"/>
  <c r="E267" i="5"/>
  <c r="M267" i="5"/>
  <c r="U267" i="5"/>
  <c r="AC267" i="5"/>
  <c r="F268" i="5"/>
  <c r="N268" i="5"/>
  <c r="V268" i="5"/>
  <c r="AD268" i="5"/>
  <c r="G269" i="5"/>
  <c r="O269" i="5"/>
  <c r="W269" i="5"/>
  <c r="AE269" i="5"/>
  <c r="H270" i="5"/>
  <c r="P270" i="5"/>
  <c r="X270" i="5"/>
  <c r="AF270" i="5"/>
  <c r="I271" i="5"/>
  <c r="Q271" i="5"/>
  <c r="Y271" i="5"/>
  <c r="AG271" i="5"/>
  <c r="J272" i="5"/>
  <c r="R272" i="5"/>
  <c r="Z272" i="5"/>
  <c r="C273" i="5"/>
  <c r="K273" i="5"/>
  <c r="S273" i="5"/>
  <c r="AA273" i="5"/>
  <c r="D274" i="5"/>
  <c r="L274" i="5"/>
  <c r="T274" i="5"/>
  <c r="AB274" i="5"/>
  <c r="E275" i="5"/>
  <c r="M275" i="5"/>
  <c r="U275" i="5"/>
  <c r="AC275" i="5"/>
  <c r="F276" i="5"/>
  <c r="N276" i="5"/>
  <c r="V276" i="5"/>
  <c r="AD276" i="5"/>
  <c r="G277" i="5"/>
  <c r="O277" i="5"/>
  <c r="W277" i="5"/>
  <c r="AE277" i="5"/>
  <c r="H278" i="5"/>
  <c r="P278" i="5"/>
  <c r="X278" i="5"/>
  <c r="AF278" i="5"/>
  <c r="Q3" i="2"/>
  <c r="M3" i="2"/>
  <c r="I3" i="2"/>
  <c r="E3" i="2"/>
  <c r="AF3" i="2"/>
  <c r="AB3" i="2"/>
  <c r="X3" i="2"/>
  <c r="C3" i="5"/>
  <c r="AD3" i="5"/>
  <c r="Z3" i="5"/>
  <c r="V3" i="5"/>
  <c r="R3" i="5"/>
  <c r="N3" i="5"/>
  <c r="J3" i="5"/>
  <c r="F3" i="5"/>
  <c r="AG278" i="2"/>
  <c r="AG274" i="2"/>
  <c r="AG270" i="2"/>
  <c r="AG266" i="2"/>
  <c r="AG262" i="2"/>
  <c r="AG258" i="2"/>
  <c r="AG254" i="2"/>
  <c r="AG244" i="2"/>
  <c r="AG240" i="2"/>
  <c r="AG236" i="2"/>
  <c r="AG232" i="2"/>
  <c r="AG228" i="2"/>
  <c r="AG224" i="2"/>
  <c r="AG220" i="2"/>
  <c r="AG216" i="2"/>
  <c r="AG212" i="2"/>
  <c r="AG208" i="2"/>
  <c r="AG204" i="2"/>
  <c r="AG200" i="2"/>
  <c r="AG196" i="2"/>
  <c r="AG192" i="2"/>
  <c r="AG188" i="2"/>
  <c r="AG184" i="2"/>
  <c r="AG180" i="2"/>
  <c r="AG176" i="2"/>
  <c r="AG172" i="2"/>
  <c r="AG168" i="2"/>
  <c r="AG164" i="2"/>
  <c r="AG160" i="2"/>
  <c r="AG156" i="2"/>
  <c r="AG152" i="2"/>
  <c r="AG148" i="2"/>
  <c r="AG144" i="2"/>
  <c r="AG140" i="2"/>
  <c r="AG136" i="2"/>
  <c r="AG132" i="2"/>
  <c r="AG128" i="2"/>
  <c r="AG124" i="2"/>
  <c r="AG120" i="2"/>
  <c r="AG116" i="2"/>
  <c r="AG112" i="2"/>
  <c r="AG108" i="2"/>
  <c r="AG99" i="2"/>
  <c r="AG95" i="2"/>
  <c r="AG90" i="2"/>
  <c r="AG86" i="2"/>
  <c r="AG82" i="2"/>
  <c r="AG78" i="2"/>
  <c r="AG74" i="2"/>
  <c r="AG70" i="2"/>
  <c r="AG66" i="2"/>
  <c r="AG62" i="2"/>
  <c r="AG58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AF277" i="2"/>
  <c r="AF273" i="2"/>
  <c r="AF269" i="2"/>
  <c r="AF265" i="2"/>
  <c r="AF261" i="2"/>
  <c r="AF257" i="2"/>
  <c r="AF253" i="2"/>
  <c r="AF243" i="2"/>
  <c r="AF239" i="2"/>
  <c r="AF235" i="2"/>
  <c r="AF231" i="2"/>
  <c r="AF227" i="2"/>
  <c r="AF223" i="2"/>
  <c r="AF219" i="2"/>
  <c r="AF215" i="2"/>
  <c r="AF211" i="2"/>
  <c r="AF207" i="2"/>
  <c r="AF203" i="2"/>
  <c r="AF199" i="2"/>
  <c r="AF195" i="2"/>
  <c r="AF191" i="2"/>
  <c r="AF187" i="2"/>
  <c r="AF183" i="2"/>
  <c r="AF179" i="2"/>
  <c r="AF175" i="2"/>
  <c r="AF171" i="2"/>
  <c r="AF167" i="2"/>
  <c r="AF163" i="2"/>
  <c r="AF159" i="2"/>
  <c r="AF155" i="2"/>
  <c r="AF151" i="2"/>
  <c r="AF147" i="2"/>
  <c r="AF143" i="2"/>
  <c r="AF139" i="2"/>
  <c r="AF135" i="2"/>
  <c r="AF131" i="2"/>
  <c r="AF127" i="2"/>
  <c r="AF123" i="2"/>
  <c r="AF119" i="2"/>
  <c r="AF115" i="2"/>
  <c r="AF111" i="2"/>
  <c r="AF107" i="2"/>
  <c r="AF98" i="2"/>
  <c r="AF94" i="2"/>
  <c r="AF89" i="2"/>
  <c r="AF85" i="2"/>
  <c r="AF81" i="2"/>
  <c r="AF77" i="2"/>
  <c r="AF73" i="2"/>
  <c r="AF69" i="2"/>
  <c r="AF65" i="2"/>
  <c r="AF61" i="2"/>
  <c r="AF57" i="2"/>
  <c r="AF53" i="2"/>
  <c r="AF49" i="2"/>
  <c r="AF45" i="2"/>
  <c r="AF41" i="2"/>
  <c r="AF37" i="2"/>
  <c r="AF33" i="2"/>
  <c r="AF29" i="2"/>
  <c r="AF25" i="2"/>
  <c r="AF21" i="2"/>
  <c r="AF17" i="2"/>
  <c r="AF13" i="2"/>
  <c r="AF9" i="2"/>
  <c r="AF5" i="2"/>
  <c r="AE276" i="2"/>
  <c r="AE272" i="2"/>
  <c r="AE268" i="2"/>
  <c r="AE264" i="2"/>
  <c r="AE260" i="2"/>
  <c r="AE256" i="2"/>
  <c r="AE252" i="2"/>
  <c r="AE242" i="2"/>
  <c r="AE238" i="2"/>
  <c r="AE234" i="2"/>
  <c r="AE230" i="2"/>
  <c r="AE226" i="2"/>
  <c r="AE222" i="2"/>
  <c r="AE218" i="2"/>
  <c r="AE214" i="2"/>
  <c r="AE210" i="2"/>
  <c r="AE206" i="2"/>
  <c r="AE202" i="2"/>
  <c r="AE198" i="2"/>
  <c r="AE194" i="2"/>
  <c r="AE190" i="2"/>
  <c r="AE186" i="2"/>
  <c r="AE182" i="2"/>
  <c r="AE178" i="2"/>
  <c r="AE174" i="2"/>
  <c r="AE170" i="2"/>
  <c r="AE166" i="2"/>
  <c r="AE162" i="2"/>
  <c r="AE158" i="2"/>
  <c r="AE154" i="2"/>
  <c r="AE150" i="2"/>
  <c r="AE146" i="2"/>
  <c r="AE142" i="2"/>
  <c r="AE138" i="2"/>
  <c r="AE134" i="2"/>
  <c r="AE130" i="2"/>
  <c r="AE126" i="2"/>
  <c r="AE122" i="2"/>
  <c r="AE118" i="2"/>
  <c r="AE114" i="2"/>
  <c r="AE110" i="2"/>
  <c r="AE101" i="2"/>
  <c r="AE97" i="2"/>
  <c r="AE93" i="2"/>
  <c r="AE88" i="2"/>
  <c r="AE84" i="2"/>
  <c r="AE80" i="2"/>
  <c r="AE76" i="2"/>
  <c r="AE72" i="2"/>
  <c r="AE68" i="2"/>
  <c r="AE64" i="2"/>
  <c r="AE60" i="2"/>
  <c r="AE56" i="2"/>
  <c r="AE52" i="2"/>
  <c r="AE48" i="2"/>
  <c r="AE44" i="2"/>
  <c r="AE40" i="2"/>
  <c r="AE36" i="2"/>
  <c r="AE32" i="2"/>
  <c r="AE28" i="2"/>
  <c r="AE24" i="2"/>
  <c r="AE20" i="2"/>
  <c r="AE16" i="2"/>
  <c r="AE12" i="2"/>
  <c r="AE8" i="2"/>
  <c r="AE4" i="2"/>
  <c r="AD275" i="2"/>
  <c r="AD271" i="2"/>
  <c r="AD267" i="2"/>
  <c r="AD263" i="2"/>
  <c r="AD259" i="2"/>
  <c r="AD255" i="2"/>
  <c r="AD251" i="2"/>
  <c r="AD241" i="2"/>
  <c r="AD237" i="2"/>
  <c r="AD233" i="2"/>
  <c r="AD229" i="2"/>
  <c r="AD225" i="2"/>
  <c r="AD221" i="2"/>
  <c r="AD217" i="2"/>
  <c r="AD213" i="2"/>
  <c r="AD209" i="2"/>
  <c r="AD205" i="2"/>
  <c r="AD201" i="2"/>
  <c r="AD197" i="2"/>
  <c r="AD193" i="2"/>
  <c r="AD189" i="2"/>
  <c r="AD185" i="2"/>
  <c r="AD181" i="2"/>
  <c r="AD177" i="2"/>
  <c r="AD173" i="2"/>
  <c r="AD169" i="2"/>
  <c r="AD165" i="2"/>
  <c r="AD161" i="2"/>
  <c r="AD157" i="2"/>
  <c r="AD153" i="2"/>
  <c r="AD149" i="2"/>
  <c r="AD145" i="2"/>
  <c r="AD141" i="2"/>
  <c r="AD137" i="2"/>
  <c r="AD133" i="2"/>
  <c r="AD129" i="2"/>
  <c r="AD125" i="2"/>
  <c r="AD121" i="2"/>
  <c r="AD117" i="2"/>
  <c r="AD113" i="2"/>
  <c r="AD109" i="2"/>
  <c r="AD100" i="2"/>
  <c r="AD96" i="2"/>
  <c r="AD92" i="2"/>
  <c r="AD87" i="2"/>
  <c r="AD83" i="2"/>
  <c r="AD79" i="2"/>
  <c r="AD75" i="2"/>
  <c r="AD71" i="2"/>
  <c r="AD67" i="2"/>
  <c r="AD63" i="2"/>
  <c r="AD59" i="2"/>
  <c r="AD55" i="2"/>
  <c r="AD51" i="2"/>
  <c r="AD47" i="2"/>
  <c r="AD43" i="2"/>
  <c r="AD39" i="2"/>
  <c r="AD35" i="2"/>
  <c r="AD31" i="2"/>
  <c r="AD27" i="2"/>
  <c r="AD23" i="2"/>
  <c r="AD19" i="2"/>
  <c r="AD15" i="2"/>
  <c r="AD11" i="2"/>
  <c r="AD7" i="2"/>
  <c r="AC278" i="2"/>
  <c r="AC274" i="2"/>
  <c r="AC270" i="2"/>
  <c r="AC266" i="2"/>
  <c r="AC262" i="2"/>
  <c r="AC258" i="2"/>
  <c r="AC254" i="2"/>
  <c r="AC244" i="2"/>
  <c r="AC240" i="2"/>
  <c r="AC236" i="2"/>
  <c r="AC232" i="2"/>
  <c r="AC228" i="2"/>
  <c r="AC224" i="2"/>
  <c r="AC220" i="2"/>
  <c r="AC216" i="2"/>
  <c r="AC212" i="2"/>
  <c r="AC208" i="2"/>
  <c r="AC204" i="2"/>
  <c r="AC200" i="2"/>
  <c r="AC196" i="2"/>
  <c r="AC192" i="2"/>
  <c r="AC188" i="2"/>
  <c r="AC184" i="2"/>
  <c r="AC180" i="2"/>
  <c r="AC176" i="2"/>
  <c r="AC172" i="2"/>
  <c r="AC168" i="2"/>
  <c r="AC164" i="2"/>
  <c r="AC160" i="2"/>
  <c r="AC156" i="2"/>
  <c r="AC152" i="2"/>
  <c r="AC148" i="2"/>
  <c r="AC144" i="2"/>
  <c r="AC140" i="2"/>
  <c r="AC136" i="2"/>
  <c r="AC132" i="2"/>
  <c r="AC128" i="2"/>
  <c r="AC124" i="2"/>
  <c r="AC120" i="2"/>
  <c r="AC116" i="2"/>
  <c r="AC112" i="2"/>
  <c r="AC108" i="2"/>
  <c r="AC99" i="2"/>
  <c r="AC95" i="2"/>
  <c r="AC90" i="2"/>
  <c r="AC86" i="2"/>
  <c r="AC82" i="2"/>
  <c r="AC78" i="2"/>
  <c r="AC74" i="2"/>
  <c r="AC70" i="2"/>
  <c r="AC66" i="2"/>
  <c r="AC62" i="2"/>
  <c r="AC58" i="2"/>
  <c r="AC54" i="2"/>
  <c r="AC50" i="2"/>
  <c r="AC46" i="2"/>
  <c r="AC42" i="2"/>
  <c r="AC38" i="2"/>
  <c r="AC34" i="2"/>
  <c r="AC30" i="2"/>
  <c r="AC26" i="2"/>
  <c r="AC22" i="2"/>
  <c r="AC18" i="2"/>
  <c r="AC14" i="2"/>
  <c r="AC10" i="2"/>
  <c r="AC6" i="2"/>
  <c r="AB277" i="2"/>
  <c r="AB273" i="2"/>
  <c r="AB269" i="2"/>
  <c r="AB265" i="2"/>
  <c r="AB261" i="2"/>
  <c r="AB257" i="2"/>
  <c r="AB253" i="2"/>
  <c r="AB243" i="2"/>
  <c r="AB239" i="2"/>
  <c r="AB235" i="2"/>
  <c r="AB231" i="2"/>
  <c r="AB227" i="2"/>
  <c r="AB223" i="2"/>
  <c r="AB219" i="2"/>
  <c r="AB215" i="2"/>
  <c r="AB211" i="2"/>
  <c r="AB207" i="2"/>
  <c r="AB203" i="2"/>
  <c r="AB199" i="2"/>
  <c r="AB195" i="2"/>
  <c r="AB191" i="2"/>
  <c r="AB187" i="2"/>
  <c r="AB183" i="2"/>
  <c r="AB179" i="2"/>
  <c r="AB175" i="2"/>
  <c r="AB171" i="2"/>
  <c r="AB167" i="2"/>
  <c r="AB163" i="2"/>
  <c r="AB159" i="2"/>
  <c r="AB155" i="2"/>
  <c r="AB151" i="2"/>
  <c r="AB147" i="2"/>
  <c r="AB143" i="2"/>
  <c r="AB139" i="2"/>
  <c r="AB135" i="2"/>
  <c r="AB131" i="2"/>
  <c r="AB127" i="2"/>
  <c r="AB123" i="2"/>
  <c r="AB119" i="2"/>
  <c r="AB115" i="2"/>
  <c r="AB111" i="2"/>
  <c r="AB107" i="2"/>
  <c r="AB98" i="2"/>
  <c r="AB94" i="2"/>
  <c r="AB89" i="2"/>
  <c r="AB85" i="2"/>
  <c r="AB81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5" i="2"/>
  <c r="AB21" i="2"/>
  <c r="AB17" i="2"/>
  <c r="AB13" i="2"/>
  <c r="AB9" i="2"/>
  <c r="AB5" i="2"/>
  <c r="AA276" i="2"/>
  <c r="AA272" i="2"/>
  <c r="AA268" i="2"/>
  <c r="AA264" i="2"/>
  <c r="AA260" i="2"/>
  <c r="AA256" i="2"/>
  <c r="AA252" i="2"/>
  <c r="AA242" i="2"/>
  <c r="AA238" i="2"/>
  <c r="AA234" i="2"/>
  <c r="AA230" i="2"/>
  <c r="AA226" i="2"/>
  <c r="AA222" i="2"/>
  <c r="AA218" i="2"/>
  <c r="AA214" i="2"/>
  <c r="AA210" i="2"/>
  <c r="AA206" i="2"/>
  <c r="AA202" i="2"/>
  <c r="AA198" i="2"/>
  <c r="AA194" i="2"/>
  <c r="AA190" i="2"/>
  <c r="AA186" i="2"/>
  <c r="AA182" i="2"/>
  <c r="AA178" i="2"/>
  <c r="AA174" i="2"/>
  <c r="AA170" i="2"/>
  <c r="AA166" i="2"/>
  <c r="AA162" i="2"/>
  <c r="AA158" i="2"/>
  <c r="AA154" i="2"/>
  <c r="AA150" i="2"/>
  <c r="AA146" i="2"/>
  <c r="AA142" i="2"/>
  <c r="AA138" i="2"/>
  <c r="AA134" i="2"/>
  <c r="AA130" i="2"/>
  <c r="AA126" i="2"/>
  <c r="AA122" i="2"/>
  <c r="AA118" i="2"/>
  <c r="AA114" i="2"/>
  <c r="AA110" i="2"/>
  <c r="AA101" i="2"/>
  <c r="AA97" i="2"/>
  <c r="AA93" i="2"/>
  <c r="AA88" i="2"/>
  <c r="AA84" i="2"/>
  <c r="AA80" i="2"/>
  <c r="AA76" i="2"/>
  <c r="AA72" i="2"/>
  <c r="AA68" i="2"/>
  <c r="AA64" i="2"/>
  <c r="AA60" i="2"/>
  <c r="AA56" i="2"/>
  <c r="AA52" i="2"/>
  <c r="AA48" i="2"/>
  <c r="AA44" i="2"/>
  <c r="AA40" i="2"/>
  <c r="AA36" i="2"/>
  <c r="AA32" i="2"/>
  <c r="AA28" i="2"/>
  <c r="AA24" i="2"/>
  <c r="AA20" i="2"/>
  <c r="AA16" i="2"/>
  <c r="AA12" i="2"/>
  <c r="AA8" i="2"/>
  <c r="AA4" i="2"/>
  <c r="Z275" i="2"/>
  <c r="Z271" i="2"/>
  <c r="Z267" i="2"/>
  <c r="Z263" i="2"/>
  <c r="Z259" i="2"/>
  <c r="Z255" i="2"/>
  <c r="Z251" i="2"/>
  <c r="Z241" i="2"/>
  <c r="Z237" i="2"/>
  <c r="Z233" i="2"/>
  <c r="Z229" i="2"/>
  <c r="Z225" i="2"/>
  <c r="Z221" i="2"/>
  <c r="Z217" i="2"/>
  <c r="Z213" i="2"/>
  <c r="Z209" i="2"/>
  <c r="Z205" i="2"/>
  <c r="Z201" i="2"/>
  <c r="Z197" i="2"/>
  <c r="Z193" i="2"/>
  <c r="Z189" i="2"/>
  <c r="Z185" i="2"/>
  <c r="Z181" i="2"/>
  <c r="Z177" i="2"/>
  <c r="Z173" i="2"/>
  <c r="Z169" i="2"/>
  <c r="Z165" i="2"/>
  <c r="Z161" i="2"/>
  <c r="Z157" i="2"/>
  <c r="Z153" i="2"/>
  <c r="Z149" i="2"/>
  <c r="Z145" i="2"/>
  <c r="Z141" i="2"/>
  <c r="Z137" i="2"/>
  <c r="Z133" i="2"/>
  <c r="Z129" i="2"/>
  <c r="Z125" i="2"/>
  <c r="Z121" i="2"/>
  <c r="Z117" i="2"/>
  <c r="Z113" i="2"/>
  <c r="Z109" i="2"/>
  <c r="Z100" i="2"/>
  <c r="Z96" i="2"/>
  <c r="Z92" i="2"/>
  <c r="Z87" i="2"/>
  <c r="Z83" i="2"/>
  <c r="Z79" i="2"/>
  <c r="Z75" i="2"/>
  <c r="Z71" i="2"/>
  <c r="Z67" i="2"/>
  <c r="Z63" i="2"/>
  <c r="Z59" i="2"/>
  <c r="Z55" i="2"/>
  <c r="Z51" i="2"/>
  <c r="Z47" i="2"/>
  <c r="Z43" i="2"/>
  <c r="Z39" i="2"/>
  <c r="Z35" i="2"/>
  <c r="Z31" i="2"/>
  <c r="Z27" i="2"/>
  <c r="Z23" i="2"/>
  <c r="Z19" i="2"/>
  <c r="Z15" i="2"/>
  <c r="Z11" i="2"/>
  <c r="Z7" i="2"/>
  <c r="Y278" i="2"/>
  <c r="Y274" i="2"/>
  <c r="Y270" i="2"/>
  <c r="Y266" i="2"/>
  <c r="Y262" i="2"/>
  <c r="Y258" i="2"/>
  <c r="Y254" i="2"/>
  <c r="Y244" i="2"/>
  <c r="Y240" i="2"/>
  <c r="Y236" i="2"/>
  <c r="Y232" i="2"/>
  <c r="Y228" i="2"/>
  <c r="Y224" i="2"/>
  <c r="Y220" i="2"/>
  <c r="Y216" i="2"/>
  <c r="Y212" i="2"/>
  <c r="Y208" i="2"/>
  <c r="Y204" i="2"/>
  <c r="Y200" i="2"/>
  <c r="Y196" i="2"/>
  <c r="Y192" i="2"/>
  <c r="Y188" i="2"/>
  <c r="Y184" i="2"/>
  <c r="Y180" i="2"/>
  <c r="Y176" i="2"/>
  <c r="Y172" i="2"/>
  <c r="Y168" i="2"/>
  <c r="Y164" i="2"/>
  <c r="Y160" i="2"/>
  <c r="Y156" i="2"/>
  <c r="Y152" i="2"/>
  <c r="Y148" i="2"/>
  <c r="Y144" i="2"/>
  <c r="Y140" i="2"/>
  <c r="Y136" i="2"/>
  <c r="Y132" i="2"/>
  <c r="Y128" i="2"/>
  <c r="Y124" i="2"/>
  <c r="Y120" i="2"/>
  <c r="Y116" i="2"/>
  <c r="Y112" i="2"/>
  <c r="Y108" i="2"/>
  <c r="Y99" i="2"/>
  <c r="Y95" i="2"/>
  <c r="Y90" i="2"/>
  <c r="Y86" i="2"/>
  <c r="Y82" i="2"/>
  <c r="Y78" i="2"/>
  <c r="Y74" i="2"/>
  <c r="Y70" i="2"/>
  <c r="Y66" i="2"/>
  <c r="Y62" i="2"/>
  <c r="Y58" i="2"/>
  <c r="Y54" i="2"/>
  <c r="Y50" i="2"/>
  <c r="Y46" i="2"/>
  <c r="Y42" i="2"/>
  <c r="Y38" i="2"/>
  <c r="Y34" i="2"/>
  <c r="Y30" i="2"/>
  <c r="Y26" i="2"/>
  <c r="Y22" i="2"/>
  <c r="Y18" i="2"/>
  <c r="Y14" i="2"/>
  <c r="Y10" i="2"/>
  <c r="Y6" i="2"/>
  <c r="X277" i="2"/>
  <c r="X273" i="2"/>
  <c r="X269" i="2"/>
  <c r="X265" i="2"/>
  <c r="X261" i="2"/>
  <c r="X257" i="2"/>
  <c r="X253" i="2"/>
  <c r="X243" i="2"/>
  <c r="X239" i="2"/>
  <c r="X235" i="2"/>
  <c r="X231" i="2"/>
  <c r="X227" i="2"/>
  <c r="X223" i="2"/>
  <c r="X219" i="2"/>
  <c r="X215" i="2"/>
  <c r="X211" i="2"/>
  <c r="X207" i="2"/>
  <c r="X203" i="2"/>
  <c r="X199" i="2"/>
  <c r="X195" i="2"/>
  <c r="X191" i="2"/>
  <c r="X187" i="2"/>
  <c r="X183" i="2"/>
  <c r="X179" i="2"/>
  <c r="X175" i="2"/>
  <c r="X171" i="2"/>
  <c r="X167" i="2"/>
  <c r="X163" i="2"/>
  <c r="X159" i="2"/>
  <c r="X155" i="2"/>
  <c r="X151" i="2"/>
  <c r="X147" i="2"/>
  <c r="X143" i="2"/>
  <c r="X139" i="2"/>
  <c r="X135" i="2"/>
  <c r="X131" i="2"/>
  <c r="X127" i="2"/>
  <c r="X123" i="2"/>
  <c r="X119" i="2"/>
  <c r="X115" i="2"/>
  <c r="X111" i="2"/>
  <c r="X107" i="2"/>
  <c r="X98" i="2"/>
  <c r="X94" i="2"/>
  <c r="X89" i="2"/>
  <c r="X85" i="2"/>
  <c r="X81" i="2"/>
  <c r="X77" i="2"/>
  <c r="X73" i="2"/>
  <c r="X69" i="2"/>
  <c r="X65" i="2"/>
  <c r="X61" i="2"/>
  <c r="X57" i="2"/>
  <c r="X53" i="2"/>
  <c r="X49" i="2"/>
  <c r="X45" i="2"/>
  <c r="X41" i="2"/>
  <c r="X37" i="2"/>
  <c r="X33" i="2"/>
  <c r="X28" i="2"/>
  <c r="X23" i="2"/>
  <c r="X17" i="2"/>
  <c r="X12" i="2"/>
  <c r="X7" i="2"/>
  <c r="W276" i="2"/>
  <c r="W271" i="2"/>
  <c r="W266" i="2"/>
  <c r="W260" i="2"/>
  <c r="W255" i="2"/>
  <c r="W244" i="2"/>
  <c r="W238" i="2"/>
  <c r="W233" i="2"/>
  <c r="W228" i="2"/>
  <c r="W222" i="2"/>
  <c r="W217" i="2"/>
  <c r="W212" i="2"/>
  <c r="W206" i="2"/>
  <c r="W201" i="2"/>
  <c r="W196" i="2"/>
  <c r="W190" i="2"/>
  <c r="W185" i="2"/>
  <c r="W180" i="2"/>
  <c r="W174" i="2"/>
  <c r="W169" i="2"/>
  <c r="W164" i="2"/>
  <c r="W158" i="2"/>
  <c r="W153" i="2"/>
  <c r="W148" i="2"/>
  <c r="W142" i="2"/>
  <c r="W137" i="2"/>
  <c r="W132" i="2"/>
  <c r="W126" i="2"/>
  <c r="W121" i="2"/>
  <c r="W116" i="2"/>
  <c r="W110" i="2"/>
  <c r="W100" i="2"/>
  <c r="W95" i="2"/>
  <c r="W88" i="2"/>
  <c r="W83" i="2"/>
  <c r="W78" i="2"/>
  <c r="W72" i="2"/>
  <c r="W67" i="2"/>
  <c r="W62" i="2"/>
  <c r="W56" i="2"/>
  <c r="W51" i="2"/>
  <c r="W46" i="2"/>
  <c r="W40" i="2"/>
  <c r="W35" i="2"/>
  <c r="W30" i="2"/>
  <c r="W24" i="2"/>
  <c r="W19" i="2"/>
  <c r="W14" i="2"/>
  <c r="W8" i="2"/>
  <c r="V278" i="2"/>
  <c r="V273" i="2"/>
  <c r="V267" i="2"/>
  <c r="V262" i="2"/>
  <c r="V257" i="2"/>
  <c r="V251" i="2"/>
  <c r="V240" i="2"/>
  <c r="V235" i="2"/>
  <c r="V229" i="2"/>
  <c r="V224" i="2"/>
  <c r="V219" i="2"/>
  <c r="V213" i="2"/>
  <c r="V208" i="2"/>
  <c r="V203" i="2"/>
  <c r="V197" i="2"/>
  <c r="V192" i="2"/>
  <c r="V187" i="2"/>
  <c r="V181" i="2"/>
  <c r="V173" i="2"/>
  <c r="V165" i="2"/>
  <c r="V157" i="2"/>
  <c r="V149" i="2"/>
  <c r="V141" i="2"/>
  <c r="V133" i="2"/>
  <c r="V125" i="2"/>
  <c r="V117" i="2"/>
  <c r="V109" i="2"/>
  <c r="V96" i="2"/>
  <c r="V87" i="2"/>
  <c r="V79" i="2"/>
  <c r="V71" i="2"/>
  <c r="V63" i="2"/>
  <c r="V55" i="2"/>
  <c r="V47" i="2"/>
  <c r="V39" i="2"/>
  <c r="V31" i="2"/>
  <c r="V23" i="2"/>
  <c r="V15" i="2"/>
  <c r="V7" i="2"/>
  <c r="U274" i="2"/>
  <c r="U266" i="2"/>
  <c r="U258" i="2"/>
  <c r="U244" i="2"/>
  <c r="U236" i="2"/>
  <c r="U228" i="2"/>
  <c r="U220" i="2"/>
  <c r="U212" i="2"/>
  <c r="U204" i="2"/>
  <c r="U196" i="2"/>
  <c r="U188" i="2"/>
  <c r="U180" i="2"/>
  <c r="U172" i="2"/>
  <c r="U164" i="2"/>
  <c r="U156" i="2"/>
  <c r="U148" i="2"/>
  <c r="U140" i="2"/>
  <c r="U132" i="2"/>
  <c r="U124" i="2"/>
  <c r="U116" i="2"/>
  <c r="U108" i="2"/>
  <c r="U95" i="2"/>
  <c r="U86" i="2"/>
  <c r="U78" i="2"/>
  <c r="U70" i="2"/>
  <c r="U62" i="2"/>
  <c r="U54" i="2"/>
  <c r="U46" i="2"/>
  <c r="U38" i="2"/>
  <c r="U30" i="2"/>
  <c r="U22" i="2"/>
  <c r="U14" i="2"/>
  <c r="U6" i="2"/>
  <c r="T273" i="2"/>
  <c r="T265" i="2"/>
  <c r="T257" i="2"/>
  <c r="T243" i="2"/>
  <c r="T235" i="2"/>
  <c r="T227" i="2"/>
  <c r="T219" i="2"/>
  <c r="T211" i="2"/>
  <c r="T203" i="2"/>
  <c r="T195" i="2"/>
  <c r="T187" i="2"/>
  <c r="T179" i="2"/>
  <c r="T171" i="2"/>
  <c r="T163" i="2"/>
  <c r="T155" i="2"/>
  <c r="T147" i="2"/>
  <c r="T139" i="2"/>
  <c r="T131" i="2"/>
  <c r="T123" i="2"/>
  <c r="T115" i="2"/>
  <c r="T107" i="2"/>
  <c r="T94" i="2"/>
  <c r="T85" i="2"/>
  <c r="T77" i="2"/>
  <c r="T69" i="2"/>
  <c r="T61" i="2"/>
  <c r="T53" i="2"/>
  <c r="T45" i="2"/>
  <c r="T37" i="2"/>
  <c r="T29" i="2"/>
  <c r="T21" i="2"/>
  <c r="T13" i="2"/>
  <c r="T5" i="2"/>
  <c r="S272" i="2"/>
  <c r="S264" i="2"/>
  <c r="S256" i="2"/>
  <c r="S242" i="2"/>
  <c r="S234" i="2"/>
  <c r="S226" i="2"/>
  <c r="S218" i="2"/>
  <c r="S210" i="2"/>
  <c r="S202" i="2"/>
  <c r="S194" i="2"/>
  <c r="S186" i="2"/>
  <c r="S178" i="2"/>
  <c r="S170" i="2"/>
  <c r="S162" i="2"/>
  <c r="S154" i="2"/>
  <c r="S146" i="2"/>
  <c r="S138" i="2"/>
  <c r="S130" i="2"/>
  <c r="S122" i="2"/>
  <c r="S114" i="2"/>
  <c r="S101" i="2"/>
  <c r="S93" i="2"/>
  <c r="S84" i="2"/>
  <c r="S76" i="2"/>
  <c r="S68" i="2"/>
  <c r="S60" i="2"/>
  <c r="S52" i="2"/>
  <c r="S44" i="2"/>
  <c r="S36" i="2"/>
  <c r="S28" i="2"/>
  <c r="S20" i="2"/>
  <c r="S12" i="2"/>
  <c r="S4" i="2"/>
  <c r="R271" i="2"/>
  <c r="R263" i="2"/>
  <c r="R255" i="2"/>
  <c r="R241" i="2"/>
  <c r="R233" i="2"/>
  <c r="R225" i="2"/>
  <c r="R217" i="2"/>
  <c r="R209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0" i="2"/>
  <c r="R92" i="2"/>
  <c r="R83" i="2"/>
  <c r="R75" i="2"/>
  <c r="R67" i="2"/>
  <c r="R59" i="2"/>
  <c r="R51" i="2"/>
  <c r="R43" i="2"/>
  <c r="R35" i="2"/>
  <c r="R27" i="2"/>
  <c r="R19" i="2"/>
  <c r="R11" i="2"/>
  <c r="Q278" i="2"/>
  <c r="Q270" i="2"/>
  <c r="Q262" i="2"/>
  <c r="Q254" i="2"/>
  <c r="Q240" i="2"/>
  <c r="Q232" i="2"/>
  <c r="Q224" i="2"/>
  <c r="Q216" i="2"/>
  <c r="Q208" i="2"/>
  <c r="Q200" i="2"/>
  <c r="Q192" i="2"/>
  <c r="Q184" i="2"/>
  <c r="Q176" i="2"/>
  <c r="Q168" i="2"/>
  <c r="Q160" i="2"/>
  <c r="Q152" i="2"/>
  <c r="Q144" i="2"/>
  <c r="Q136" i="2"/>
  <c r="Q128" i="2"/>
  <c r="Q120" i="2"/>
  <c r="Q112" i="2"/>
  <c r="Q99" i="2"/>
  <c r="Q90" i="2"/>
  <c r="Q82" i="2"/>
  <c r="Q74" i="2"/>
  <c r="Q66" i="2"/>
  <c r="Q58" i="2"/>
  <c r="Q50" i="2"/>
  <c r="Q42" i="2"/>
  <c r="Q34" i="2"/>
  <c r="Q26" i="2"/>
  <c r="Q18" i="2"/>
  <c r="Q10" i="2"/>
  <c r="P277" i="2"/>
  <c r="P269" i="2"/>
  <c r="P261" i="2"/>
  <c r="P253" i="2"/>
  <c r="P239" i="2"/>
  <c r="P231" i="2"/>
  <c r="P223" i="2"/>
  <c r="P215" i="2"/>
  <c r="P207" i="2"/>
  <c r="P199" i="2"/>
  <c r="P191" i="2"/>
  <c r="P183" i="2"/>
  <c r="P175" i="2"/>
  <c r="P167" i="2"/>
  <c r="P159" i="2"/>
  <c r="P151" i="2"/>
  <c r="P143" i="2"/>
  <c r="P135" i="2"/>
  <c r="P127" i="2"/>
  <c r="P119" i="2"/>
  <c r="P111" i="2"/>
  <c r="P98" i="2"/>
  <c r="P89" i="2"/>
  <c r="P81" i="2"/>
  <c r="P73" i="2"/>
  <c r="P65" i="2"/>
  <c r="P57" i="2"/>
  <c r="P49" i="2"/>
  <c r="P41" i="2"/>
  <c r="P33" i="2"/>
  <c r="P25" i="2"/>
  <c r="P17" i="2"/>
  <c r="P9" i="2"/>
  <c r="O276" i="2"/>
  <c r="O268" i="2"/>
  <c r="O260" i="2"/>
  <c r="O252" i="2"/>
  <c r="O238" i="2"/>
  <c r="O230" i="2"/>
  <c r="O222" i="2"/>
  <c r="O214" i="2"/>
  <c r="O206" i="2"/>
  <c r="O198" i="2"/>
  <c r="O190" i="2"/>
  <c r="O182" i="2"/>
  <c r="O174" i="2"/>
  <c r="O166" i="2"/>
  <c r="O158" i="2"/>
  <c r="O150" i="2"/>
  <c r="O142" i="2"/>
  <c r="O134" i="2"/>
  <c r="O126" i="2"/>
  <c r="O118" i="2"/>
  <c r="O110" i="2"/>
  <c r="O97" i="2"/>
  <c r="O88" i="2"/>
  <c r="O80" i="2"/>
  <c r="O72" i="2"/>
  <c r="O64" i="2"/>
  <c r="O56" i="2"/>
  <c r="O48" i="2"/>
  <c r="O40" i="2"/>
  <c r="O32" i="2"/>
  <c r="O24" i="2"/>
  <c r="O16" i="2"/>
  <c r="O8" i="2"/>
  <c r="N275" i="2"/>
  <c r="N267" i="2"/>
  <c r="N259" i="2"/>
  <c r="N251" i="2"/>
  <c r="N237" i="2"/>
  <c r="N229" i="2"/>
  <c r="N221" i="2"/>
  <c r="N213" i="2"/>
  <c r="N205" i="2"/>
  <c r="N197" i="2"/>
  <c r="N189" i="2"/>
  <c r="N181" i="2"/>
  <c r="N173" i="2"/>
  <c r="N165" i="2"/>
  <c r="N157" i="2"/>
  <c r="N149" i="2"/>
  <c r="N141" i="2"/>
  <c r="N133" i="2"/>
  <c r="N125" i="2"/>
  <c r="N117" i="2"/>
  <c r="N109" i="2"/>
  <c r="N96" i="2"/>
  <c r="N87" i="2"/>
  <c r="N79" i="2"/>
  <c r="N71" i="2"/>
  <c r="N63" i="2"/>
  <c r="N55" i="2"/>
  <c r="N47" i="2"/>
  <c r="N39" i="2"/>
  <c r="N31" i="2"/>
  <c r="N23" i="2"/>
  <c r="N15" i="2"/>
  <c r="N7" i="2"/>
  <c r="M274" i="2"/>
  <c r="M266" i="2"/>
  <c r="M258" i="2"/>
  <c r="M244" i="2"/>
  <c r="M234" i="2"/>
  <c r="M223" i="2"/>
  <c r="M213" i="2"/>
  <c r="M202" i="2"/>
  <c r="M191" i="2"/>
  <c r="M181" i="2"/>
  <c r="M170" i="2"/>
  <c r="M159" i="2"/>
  <c r="M149" i="2"/>
  <c r="M138" i="2"/>
  <c r="M127" i="2"/>
  <c r="M117" i="2"/>
  <c r="M101" i="2"/>
  <c r="M89" i="2"/>
  <c r="M79" i="2"/>
  <c r="M64" i="2"/>
  <c r="M48" i="2"/>
  <c r="M32" i="2"/>
  <c r="M16" i="2"/>
  <c r="L275" i="2"/>
  <c r="L259" i="2"/>
  <c r="L237" i="2"/>
  <c r="L221" i="2"/>
  <c r="L205" i="2"/>
  <c r="L189" i="2"/>
  <c r="L173" i="2"/>
  <c r="L157" i="2"/>
  <c r="L141" i="2"/>
  <c r="L125" i="2"/>
  <c r="L109" i="2"/>
  <c r="L87" i="2"/>
  <c r="L71" i="2"/>
  <c r="L55" i="2"/>
  <c r="L39" i="2"/>
  <c r="L23" i="2"/>
  <c r="L7" i="2"/>
  <c r="K266" i="2"/>
  <c r="K244" i="2"/>
  <c r="K228" i="2"/>
  <c r="K212" i="2"/>
  <c r="K196" i="2"/>
  <c r="K180" i="2"/>
  <c r="K164" i="2"/>
  <c r="K148" i="2"/>
  <c r="K132" i="2"/>
  <c r="K116" i="2"/>
  <c r="K95" i="2"/>
  <c r="K78" i="2"/>
  <c r="K62" i="2"/>
  <c r="K46" i="2"/>
  <c r="K30" i="2"/>
  <c r="K14" i="2"/>
  <c r="J273" i="2"/>
  <c r="J257" i="2"/>
  <c r="J235" i="2"/>
  <c r="J219" i="2"/>
  <c r="J203" i="2"/>
  <c r="J187" i="2"/>
  <c r="J171" i="2"/>
  <c r="J155" i="2"/>
  <c r="J139" i="2"/>
  <c r="J123" i="2"/>
  <c r="J107" i="2"/>
  <c r="J85" i="2"/>
  <c r="J69" i="2"/>
  <c r="J53" i="2"/>
  <c r="J37" i="2"/>
  <c r="J21" i="2"/>
  <c r="J5" i="2"/>
  <c r="I264" i="2"/>
  <c r="I242" i="2"/>
  <c r="I226" i="2"/>
  <c r="I210" i="2"/>
  <c r="I194" i="2"/>
  <c r="I178" i="2"/>
  <c r="I162" i="2"/>
  <c r="I146" i="2"/>
  <c r="I130" i="2"/>
  <c r="I114" i="2"/>
  <c r="I93" i="2"/>
  <c r="I76" i="2"/>
  <c r="I60" i="2"/>
  <c r="I44" i="2"/>
  <c r="I28" i="2"/>
  <c r="I12" i="2"/>
  <c r="H271" i="2"/>
  <c r="H255" i="2"/>
  <c r="H233" i="2"/>
  <c r="H217" i="2"/>
  <c r="H201" i="2"/>
  <c r="H185" i="2"/>
  <c r="H169" i="2"/>
  <c r="H153" i="2"/>
  <c r="H137" i="2"/>
  <c r="H121" i="2"/>
  <c r="H100" i="2"/>
  <c r="H83" i="2"/>
  <c r="H67" i="2"/>
  <c r="H51" i="2"/>
  <c r="H35" i="2"/>
  <c r="H19" i="2"/>
  <c r="G278" i="2"/>
  <c r="G262" i="2"/>
  <c r="G240" i="2"/>
  <c r="G224" i="2"/>
  <c r="G208" i="2"/>
  <c r="G192" i="2"/>
  <c r="G176" i="2"/>
  <c r="G160" i="2"/>
  <c r="G144" i="2"/>
  <c r="G128" i="2"/>
  <c r="G112" i="2"/>
  <c r="G90" i="2"/>
  <c r="G74" i="2"/>
  <c r="G58" i="2"/>
  <c r="G42" i="2"/>
  <c r="G26" i="2"/>
  <c r="G10" i="2"/>
  <c r="F269" i="2"/>
  <c r="F253" i="2"/>
  <c r="F231" i="2"/>
  <c r="F215" i="2"/>
  <c r="F199" i="2"/>
  <c r="F183" i="2"/>
  <c r="F167" i="2"/>
  <c r="F151" i="2"/>
  <c r="F135" i="2"/>
  <c r="F119" i="2"/>
  <c r="F98" i="2"/>
  <c r="F81" i="2"/>
  <c r="F65" i="2"/>
  <c r="F49" i="2"/>
  <c r="F33" i="2"/>
  <c r="F17" i="2"/>
  <c r="E276" i="2"/>
  <c r="E260" i="2"/>
  <c r="E238" i="2"/>
  <c r="E222" i="2"/>
  <c r="E206" i="2"/>
  <c r="E190" i="2"/>
  <c r="E174" i="2"/>
  <c r="E158" i="2"/>
  <c r="E142" i="2"/>
  <c r="E126" i="2"/>
  <c r="E110" i="2"/>
  <c r="E88" i="2"/>
  <c r="E72" i="2"/>
  <c r="E56" i="2"/>
  <c r="E40" i="2"/>
  <c r="E24" i="2"/>
  <c r="E8" i="2"/>
  <c r="D267" i="2"/>
  <c r="D251" i="2"/>
  <c r="D229" i="2"/>
  <c r="D213" i="2"/>
  <c r="D197" i="2"/>
  <c r="D181" i="2"/>
  <c r="D165" i="2"/>
  <c r="D149" i="2"/>
  <c r="D133" i="2"/>
  <c r="D117" i="2"/>
  <c r="D96" i="2"/>
  <c r="D79" i="2"/>
  <c r="D63" i="2"/>
  <c r="D47" i="2"/>
  <c r="D31" i="2"/>
  <c r="D15" i="2"/>
  <c r="C274" i="2"/>
  <c r="C258" i="2"/>
  <c r="C236" i="2"/>
  <c r="C220" i="2"/>
  <c r="C204" i="2"/>
  <c r="C188" i="2"/>
  <c r="C172" i="2"/>
  <c r="C156" i="2"/>
  <c r="C140" i="2"/>
  <c r="C124" i="2"/>
  <c r="C108" i="2"/>
  <c r="C86" i="2"/>
  <c r="C70" i="2"/>
  <c r="C54" i="2"/>
  <c r="C38" i="2"/>
  <c r="C22" i="2"/>
  <c r="T278" i="5"/>
  <c r="D278" i="5"/>
  <c r="S277" i="5"/>
  <c r="C277" i="5"/>
  <c r="R276" i="5"/>
  <c r="AG275" i="5"/>
  <c r="Q275" i="5"/>
  <c r="AF274" i="5"/>
  <c r="P274" i="5"/>
  <c r="AE273" i="5"/>
  <c r="O273" i="5"/>
  <c r="AD272" i="5"/>
  <c r="N272" i="5"/>
  <c r="AC271" i="5"/>
  <c r="M271" i="5"/>
  <c r="AB270" i="5"/>
  <c r="L270" i="5"/>
  <c r="AA269" i="5"/>
  <c r="K269" i="5"/>
  <c r="Z268" i="5"/>
  <c r="J268" i="5"/>
  <c r="Y267" i="5"/>
  <c r="I267" i="5"/>
  <c r="X266" i="5"/>
  <c r="H266" i="5"/>
  <c r="W265" i="5"/>
  <c r="G265" i="5"/>
  <c r="V264" i="5"/>
  <c r="F264" i="5"/>
  <c r="U263" i="5"/>
  <c r="E263" i="5"/>
  <c r="T262" i="5"/>
  <c r="D262" i="5"/>
  <c r="S261" i="5"/>
  <c r="C261" i="5"/>
  <c r="R260" i="5"/>
  <c r="AG259" i="5"/>
  <c r="Q259" i="5"/>
  <c r="AF258" i="5"/>
  <c r="P258" i="5"/>
  <c r="AE257" i="5"/>
  <c r="O257" i="5"/>
  <c r="AD256" i="5"/>
  <c r="N256" i="5"/>
  <c r="AC255" i="5"/>
  <c r="M255" i="5"/>
  <c r="AB254" i="5"/>
  <c r="L254" i="5"/>
  <c r="AA253" i="5"/>
  <c r="K253" i="5"/>
  <c r="Z252" i="5"/>
  <c r="J252" i="5"/>
  <c r="Y251" i="5"/>
  <c r="I251" i="5"/>
  <c r="X244" i="5"/>
  <c r="H244" i="5"/>
  <c r="W243" i="5"/>
  <c r="G243" i="5"/>
  <c r="V242" i="5"/>
  <c r="F242" i="5"/>
  <c r="U241" i="5"/>
  <c r="E241" i="5"/>
  <c r="T240" i="5"/>
  <c r="D240" i="5"/>
  <c r="S239" i="5"/>
  <c r="C239" i="5"/>
  <c r="R238" i="5"/>
  <c r="AG237" i="5"/>
  <c r="Q237" i="5"/>
  <c r="AF236" i="5"/>
  <c r="P236" i="5"/>
  <c r="AE235" i="5"/>
  <c r="I235" i="5"/>
  <c r="S234" i="5"/>
  <c r="AC233" i="5"/>
  <c r="G233" i="5"/>
  <c r="Q232" i="5"/>
  <c r="AA231" i="5"/>
  <c r="E231" i="5"/>
  <c r="O230" i="5"/>
  <c r="Y229" i="5"/>
  <c r="C229" i="5"/>
  <c r="M228" i="5"/>
  <c r="W227" i="5"/>
  <c r="AF226" i="5"/>
  <c r="K226" i="5"/>
  <c r="U225" i="5"/>
  <c r="AC224" i="5"/>
  <c r="AB223" i="5"/>
  <c r="AA222" i="5"/>
  <c r="Z221" i="5"/>
  <c r="Y220" i="5"/>
  <c r="X219" i="5"/>
  <c r="W218" i="5"/>
  <c r="V217" i="5"/>
  <c r="U216" i="5"/>
  <c r="T215" i="5"/>
  <c r="S214" i="5"/>
  <c r="R213" i="5"/>
  <c r="Q212" i="5"/>
  <c r="P211" i="5"/>
  <c r="O210" i="5"/>
  <c r="N209" i="5"/>
  <c r="M208" i="5"/>
  <c r="L207" i="5"/>
  <c r="K206" i="5"/>
  <c r="J205" i="5"/>
  <c r="I204" i="5"/>
  <c r="H203" i="5"/>
  <c r="G202" i="5"/>
  <c r="F201" i="5"/>
  <c r="E200" i="5"/>
  <c r="D199" i="5"/>
  <c r="C198" i="5"/>
  <c r="AG196" i="5"/>
  <c r="AC195" i="5"/>
  <c r="Q194" i="5"/>
  <c r="E193" i="5"/>
  <c r="Y191" i="5"/>
  <c r="M190" i="5"/>
  <c r="AF188" i="5"/>
  <c r="U187" i="5"/>
  <c r="I186" i="5"/>
  <c r="AB184" i="5"/>
  <c r="Q183" i="5"/>
  <c r="E182" i="5"/>
  <c r="X180" i="5"/>
  <c r="M179" i="5"/>
  <c r="Q177" i="5"/>
  <c r="O175" i="5"/>
  <c r="M173" i="5"/>
  <c r="K171" i="5"/>
  <c r="I169" i="5"/>
  <c r="G167" i="5"/>
  <c r="E165" i="5"/>
  <c r="C163" i="5"/>
  <c r="AF160" i="5"/>
  <c r="AD158" i="5"/>
  <c r="AB156" i="5"/>
  <c r="Z154" i="5"/>
  <c r="X152" i="5"/>
  <c r="V150" i="5"/>
  <c r="T148" i="5"/>
  <c r="R146" i="5"/>
  <c r="P144" i="5"/>
  <c r="N142" i="5"/>
  <c r="L140" i="5"/>
  <c r="J138" i="5"/>
  <c r="H136" i="5"/>
  <c r="F134" i="5"/>
  <c r="D132" i="5"/>
  <c r="W129" i="5"/>
  <c r="H126" i="5"/>
  <c r="D122" i="5"/>
  <c r="AE117" i="5"/>
  <c r="AA113" i="5"/>
  <c r="W109" i="5"/>
  <c r="S97" i="5"/>
  <c r="K88" i="5"/>
  <c r="AA78" i="5"/>
  <c r="K62" i="5"/>
  <c r="F43" i="5"/>
  <c r="S3" i="2"/>
  <c r="K3" i="2"/>
  <c r="C3" i="2"/>
  <c r="Z3" i="2"/>
  <c r="AG272" i="2"/>
  <c r="AG264" i="2"/>
  <c r="AG256" i="2"/>
  <c r="AG238" i="2"/>
  <c r="AG230" i="2"/>
  <c r="AG222" i="2"/>
  <c r="AG206" i="2"/>
  <c r="AG72" i="2"/>
  <c r="AG64" i="2"/>
  <c r="AG56" i="2"/>
  <c r="AG48" i="2"/>
  <c r="AG40" i="2"/>
  <c r="AG32" i="2"/>
  <c r="AG24" i="2"/>
  <c r="AG16" i="2"/>
  <c r="AG8" i="2"/>
  <c r="AF275" i="2"/>
  <c r="AF267" i="2"/>
  <c r="AF259" i="2"/>
  <c r="AF241" i="2"/>
  <c r="AF233" i="2"/>
  <c r="AF225" i="2"/>
  <c r="AF217" i="2"/>
  <c r="AF209" i="2"/>
  <c r="AF201" i="2"/>
  <c r="AF193" i="2"/>
  <c r="AF185" i="2"/>
  <c r="AF177" i="2"/>
  <c r="AF169" i="2"/>
  <c r="AF161" i="2"/>
  <c r="AF157" i="2"/>
  <c r="AF149" i="2"/>
  <c r="AF141" i="2"/>
  <c r="AF133" i="2"/>
  <c r="AF125" i="2"/>
  <c r="AF117" i="2"/>
  <c r="AF109" i="2"/>
  <c r="AF96" i="2"/>
  <c r="AF87" i="2"/>
  <c r="AF79" i="2"/>
  <c r="AF71" i="2"/>
  <c r="AF63" i="2"/>
  <c r="AF55" i="2"/>
  <c r="AF47" i="2"/>
  <c r="AF39" i="2"/>
  <c r="AF31" i="2"/>
  <c r="AF23" i="2"/>
  <c r="AF15" i="2"/>
  <c r="AF7" i="2"/>
  <c r="AE274" i="2"/>
  <c r="AE266" i="2"/>
  <c r="AE258" i="2"/>
  <c r="AE244" i="2"/>
  <c r="AE236" i="2"/>
  <c r="AE232" i="2"/>
  <c r="AE224" i="2"/>
  <c r="AE216" i="2"/>
  <c r="AE208" i="2"/>
  <c r="AE200" i="2"/>
  <c r="AE192" i="2"/>
  <c r="AE184" i="2"/>
  <c r="AE176" i="2"/>
  <c r="AE168" i="2"/>
  <c r="AE160" i="2"/>
  <c r="AE152" i="2"/>
  <c r="AE144" i="2"/>
  <c r="AE136" i="2"/>
  <c r="AE128" i="2"/>
  <c r="AE120" i="2"/>
  <c r="AE112" i="2"/>
  <c r="AE99" i="2"/>
  <c r="AE90" i="2"/>
  <c r="AE82" i="2"/>
  <c r="AE74" i="2"/>
  <c r="AE66" i="2"/>
  <c r="AE58" i="2"/>
  <c r="AE50" i="2"/>
  <c r="AE42" i="2"/>
  <c r="AE34" i="2"/>
  <c r="AE30" i="2"/>
  <c r="AE22" i="2"/>
  <c r="AE18" i="2"/>
  <c r="AE14" i="2"/>
  <c r="AE6" i="2"/>
  <c r="AD277" i="2"/>
  <c r="AD273" i="2"/>
  <c r="AD269" i="2"/>
  <c r="AD265" i="2"/>
  <c r="AD261" i="2"/>
  <c r="AD257" i="2"/>
  <c r="AD253" i="2"/>
  <c r="AD243" i="2"/>
  <c r="AD239" i="2"/>
  <c r="AD235" i="2"/>
  <c r="AD231" i="2"/>
  <c r="AD227" i="2"/>
  <c r="AD223" i="2"/>
  <c r="AD219" i="2"/>
  <c r="AD203" i="2"/>
  <c r="AD195" i="2"/>
  <c r="AD187" i="2"/>
  <c r="AD179" i="2"/>
  <c r="AD171" i="2"/>
  <c r="AD163" i="2"/>
  <c r="AD155" i="2"/>
  <c r="AD147" i="2"/>
  <c r="AD143" i="2"/>
  <c r="AD135" i="2"/>
  <c r="AD127" i="2"/>
  <c r="AD119" i="2"/>
  <c r="AD111" i="2"/>
  <c r="AD94" i="2"/>
  <c r="AD85" i="2"/>
  <c r="AD77" i="2"/>
  <c r="AD69" i="2"/>
  <c r="AD61" i="2"/>
  <c r="AD53" i="2"/>
  <c r="AD45" i="2"/>
  <c r="AD37" i="2"/>
  <c r="AD29" i="2"/>
  <c r="AD21" i="2"/>
  <c r="AD13" i="2"/>
  <c r="AD5" i="2"/>
  <c r="AC272" i="2"/>
  <c r="AC264" i="2"/>
  <c r="AC256" i="2"/>
  <c r="AC242" i="2"/>
  <c r="AC234" i="2"/>
  <c r="AC226" i="2"/>
  <c r="AC218" i="2"/>
  <c r="AC206" i="2"/>
  <c r="AC198" i="2"/>
  <c r="AC190" i="2"/>
  <c r="AC182" i="2"/>
  <c r="AC174" i="2"/>
  <c r="AC166" i="2"/>
  <c r="AC158" i="2"/>
  <c r="AC150" i="2"/>
  <c r="AC142" i="2"/>
  <c r="AC134" i="2"/>
  <c r="AC126" i="2"/>
  <c r="AC118" i="2"/>
  <c r="AC110" i="2"/>
  <c r="AC97" i="2"/>
  <c r="AC88" i="2"/>
  <c r="AC80" i="2"/>
  <c r="AC68" i="2"/>
  <c r="AC60" i="2"/>
  <c r="AC52" i="2"/>
  <c r="AC44" i="2"/>
  <c r="AC36" i="2"/>
  <c r="AC28" i="2"/>
  <c r="AC20" i="2"/>
  <c r="AC12" i="2"/>
  <c r="AC4" i="2"/>
  <c r="AB271" i="2"/>
  <c r="AB263" i="2"/>
  <c r="AB255" i="2"/>
  <c r="AB241" i="2"/>
  <c r="AB233" i="2"/>
  <c r="AB225" i="2"/>
  <c r="AB217" i="2"/>
  <c r="AB209" i="2"/>
  <c r="AB201" i="2"/>
  <c r="AB193" i="2"/>
  <c r="AB185" i="2"/>
  <c r="AB173" i="2"/>
  <c r="AB165" i="2"/>
  <c r="AB157" i="2"/>
  <c r="AB149" i="2"/>
  <c r="AB129" i="2"/>
  <c r="AB121" i="2"/>
  <c r="AB113" i="2"/>
  <c r="AB100" i="2"/>
  <c r="AB92" i="2"/>
  <c r="AB83" i="2"/>
  <c r="AB75" i="2"/>
  <c r="AB67" i="2"/>
  <c r="AB59" i="2"/>
  <c r="AB51" i="2"/>
  <c r="AB43" i="2"/>
  <c r="AB35" i="2"/>
  <c r="AB27" i="2"/>
  <c r="AB19" i="2"/>
  <c r="AB11" i="2"/>
  <c r="AA278" i="2"/>
  <c r="AA270" i="2"/>
  <c r="AA258" i="2"/>
  <c r="AA244" i="2"/>
  <c r="AA236" i="2"/>
  <c r="AA228" i="2"/>
  <c r="AA220" i="2"/>
  <c r="AA212" i="2"/>
  <c r="AA204" i="2"/>
  <c r="AA196" i="2"/>
  <c r="AA188" i="2"/>
  <c r="AA180" i="2"/>
  <c r="AA172" i="2"/>
  <c r="AA164" i="2"/>
  <c r="AA156" i="2"/>
  <c r="AA148" i="2"/>
  <c r="AA140" i="2"/>
  <c r="AA132" i="2"/>
  <c r="AA124" i="2"/>
  <c r="AA116" i="2"/>
  <c r="AA108" i="2"/>
  <c r="AA95" i="2"/>
  <c r="AA86" i="2"/>
  <c r="AA78" i="2"/>
  <c r="AA70" i="2"/>
  <c r="AA62" i="2"/>
  <c r="AA54" i="2"/>
  <c r="AA42" i="2"/>
  <c r="AA34" i="2"/>
  <c r="AA26" i="2"/>
  <c r="AA18" i="2"/>
  <c r="AA10" i="2"/>
  <c r="Z277" i="2"/>
  <c r="Z269" i="2"/>
  <c r="Z261" i="2"/>
  <c r="Z253" i="2"/>
  <c r="Z239" i="2"/>
  <c r="Z231" i="2"/>
  <c r="Z219" i="2"/>
  <c r="Z211" i="2"/>
  <c r="Z203" i="2"/>
  <c r="Z195" i="2"/>
  <c r="Z187" i="2"/>
  <c r="Z179" i="2"/>
  <c r="Z171" i="2"/>
  <c r="Z163" i="2"/>
  <c r="Z151" i="2"/>
  <c r="Z119" i="2"/>
  <c r="Z107" i="2"/>
  <c r="Z94" i="2"/>
  <c r="Z85" i="2"/>
  <c r="Z77" i="2"/>
  <c r="Z69" i="2"/>
  <c r="Z61" i="2"/>
  <c r="Z53" i="2"/>
  <c r="Z45" i="2"/>
  <c r="Z37" i="2"/>
  <c r="Z29" i="2"/>
  <c r="Z21" i="2"/>
  <c r="Z9" i="2"/>
  <c r="Y276" i="2"/>
  <c r="Y268" i="2"/>
  <c r="Y260" i="2"/>
  <c r="Y252" i="2"/>
  <c r="Y242" i="2"/>
  <c r="Y234" i="2"/>
  <c r="Y226" i="2"/>
  <c r="Y218" i="2"/>
  <c r="Y210" i="2"/>
  <c r="Y202" i="2"/>
  <c r="Y194" i="2"/>
  <c r="Y186" i="2"/>
  <c r="Y178" i="2"/>
  <c r="Y170" i="2"/>
  <c r="Y166" i="2"/>
  <c r="Y154" i="2"/>
  <c r="Y146" i="2"/>
  <c r="Y138" i="2"/>
  <c r="Y130" i="2"/>
  <c r="Y122" i="2"/>
  <c r="Y114" i="2"/>
  <c r="Y101" i="2"/>
  <c r="Y93" i="2"/>
  <c r="Y84" i="2"/>
  <c r="Y76" i="2"/>
  <c r="Y68" i="2"/>
  <c r="Y60" i="2"/>
  <c r="Y52" i="2"/>
  <c r="Y44" i="2"/>
  <c r="Y36" i="2"/>
  <c r="Y28" i="2"/>
  <c r="Y20" i="2"/>
  <c r="Y12" i="2"/>
  <c r="Y4" i="2"/>
  <c r="X271" i="2"/>
  <c r="X263" i="2"/>
  <c r="X255" i="2"/>
  <c r="X241" i="2"/>
  <c r="X233" i="2"/>
  <c r="X225" i="2"/>
  <c r="X217" i="2"/>
  <c r="X209" i="2"/>
  <c r="X201" i="2"/>
  <c r="X193" i="2"/>
  <c r="X185" i="2"/>
  <c r="X177" i="2"/>
  <c r="X169" i="2"/>
  <c r="X161" i="2"/>
  <c r="X153" i="2"/>
  <c r="X145" i="2"/>
  <c r="X137" i="2"/>
  <c r="X129" i="2"/>
  <c r="X121" i="2"/>
  <c r="X113" i="2"/>
  <c r="X100" i="2"/>
  <c r="X92" i="2"/>
  <c r="X83" i="2"/>
  <c r="X75" i="2"/>
  <c r="X63" i="2"/>
  <c r="X55" i="2"/>
  <c r="X47" i="2"/>
  <c r="X39" i="2"/>
  <c r="X31" i="2"/>
  <c r="X20" i="2"/>
  <c r="X9" i="2"/>
  <c r="W274" i="2"/>
  <c r="W263" i="2"/>
  <c r="W252" i="2"/>
  <c r="W236" i="2"/>
  <c r="W225" i="2"/>
  <c r="W214" i="2"/>
  <c r="W204" i="2"/>
  <c r="W188" i="2"/>
  <c r="W177" i="2"/>
  <c r="W166" i="2"/>
  <c r="W156" i="2"/>
  <c r="W145" i="2"/>
  <c r="W134" i="2"/>
  <c r="W124" i="2"/>
  <c r="W113" i="2"/>
  <c r="W97" i="2"/>
  <c r="W86" i="2"/>
  <c r="W75" i="2"/>
  <c r="W64" i="2"/>
  <c r="W48" i="2"/>
  <c r="W27" i="2"/>
  <c r="W16" i="2"/>
  <c r="W6" i="2"/>
  <c r="V270" i="2"/>
  <c r="V259" i="2"/>
  <c r="V243" i="2"/>
  <c r="V232" i="2"/>
  <c r="V221" i="2"/>
  <c r="V211" i="2"/>
  <c r="V200" i="2"/>
  <c r="V189" i="2"/>
  <c r="V177" i="2"/>
  <c r="V161" i="2"/>
  <c r="V145" i="2"/>
  <c r="V129" i="2"/>
  <c r="V113" i="2"/>
  <c r="V92" i="2"/>
  <c r="V75" i="2"/>
  <c r="V59" i="2"/>
  <c r="V43" i="2"/>
  <c r="V27" i="2"/>
  <c r="V11" i="2"/>
  <c r="U270" i="2"/>
  <c r="U254" i="2"/>
  <c r="U232" i="2"/>
  <c r="U216" i="2"/>
  <c r="U200" i="2"/>
  <c r="U184" i="2"/>
  <c r="U168" i="2"/>
  <c r="U152" i="2"/>
  <c r="U136" i="2"/>
  <c r="U120" i="2"/>
  <c r="U99" i="2"/>
  <c r="U82" i="2"/>
  <c r="U66" i="2"/>
  <c r="U50" i="2"/>
  <c r="U34" i="2"/>
  <c r="U18" i="2"/>
  <c r="T277" i="2"/>
  <c r="T261" i="2"/>
  <c r="T239" i="2"/>
  <c r="T223" i="2"/>
  <c r="T207" i="2"/>
  <c r="T191" i="2"/>
  <c r="T167" i="2"/>
  <c r="T151" i="2"/>
  <c r="T135" i="2"/>
  <c r="T119" i="2"/>
  <c r="T98" i="2"/>
  <c r="T81" i="2"/>
  <c r="T65" i="2"/>
  <c r="T49" i="2"/>
  <c r="T33" i="2"/>
  <c r="T17" i="2"/>
  <c r="S276" i="2"/>
  <c r="S260" i="2"/>
  <c r="S238" i="2"/>
  <c r="S222" i="2"/>
  <c r="S206" i="2"/>
  <c r="S190" i="2"/>
  <c r="S174" i="2"/>
  <c r="S158" i="2"/>
  <c r="S142" i="2"/>
  <c r="S126" i="2"/>
  <c r="S110" i="2"/>
  <c r="S88" i="2"/>
  <c r="S72" i="2"/>
  <c r="S56" i="2"/>
  <c r="S40" i="2"/>
  <c r="S24" i="2"/>
  <c r="S8" i="2"/>
  <c r="R267" i="2"/>
  <c r="R251" i="2"/>
  <c r="R229" i="2"/>
  <c r="R213" i="2"/>
  <c r="R189" i="2"/>
  <c r="R173" i="2"/>
  <c r="R157" i="2"/>
  <c r="R141" i="2"/>
  <c r="R125" i="2"/>
  <c r="R109" i="2"/>
  <c r="R87" i="2"/>
  <c r="R71" i="2"/>
  <c r="R55" i="2"/>
  <c r="R39" i="2"/>
  <c r="R15" i="2"/>
  <c r="Q274" i="2"/>
  <c r="Q258" i="2"/>
  <c r="Q236" i="2"/>
  <c r="Q220" i="2"/>
  <c r="Q204" i="2"/>
  <c r="Q188" i="2"/>
  <c r="Q180" i="2"/>
  <c r="Q164" i="2"/>
  <c r="Q148" i="2"/>
  <c r="Q140" i="2"/>
  <c r="Q124" i="2"/>
  <c r="Q108" i="2"/>
  <c r="Q86" i="2"/>
  <c r="Q70" i="2"/>
  <c r="Q54" i="2"/>
  <c r="Q38" i="2"/>
  <c r="Q22" i="2"/>
  <c r="P273" i="2"/>
  <c r="P257" i="2"/>
  <c r="P235" i="2"/>
  <c r="P227" i="2"/>
  <c r="P211" i="2"/>
  <c r="P195" i="2"/>
  <c r="P179" i="2"/>
  <c r="P155" i="2"/>
  <c r="P139" i="2"/>
  <c r="P123" i="2"/>
  <c r="P107" i="2"/>
  <c r="P85" i="2"/>
  <c r="P77" i="2"/>
  <c r="P61" i="2"/>
  <c r="P45" i="2"/>
  <c r="P29" i="2"/>
  <c r="P13" i="2"/>
  <c r="O272" i="2"/>
  <c r="O256" i="2"/>
  <c r="O234" i="2"/>
  <c r="O210" i="2"/>
  <c r="O194" i="2"/>
  <c r="O178" i="2"/>
  <c r="O170" i="2"/>
  <c r="O154" i="2"/>
  <c r="O138" i="2"/>
  <c r="O122" i="2"/>
  <c r="O93" i="2"/>
  <c r="O84" i="2"/>
  <c r="O68" i="2"/>
  <c r="O52" i="2"/>
  <c r="O36" i="2"/>
  <c r="O20" i="2"/>
  <c r="O4" i="2"/>
  <c r="N263" i="2"/>
  <c r="N241" i="2"/>
  <c r="N225" i="2"/>
  <c r="N209" i="2"/>
  <c r="N193" i="2"/>
  <c r="N169" i="2"/>
  <c r="N153" i="2"/>
  <c r="N137" i="2"/>
  <c r="N121" i="2"/>
  <c r="N100" i="2"/>
  <c r="N83" i="2"/>
  <c r="N67" i="2"/>
  <c r="N51" i="2"/>
  <c r="N35" i="2"/>
  <c r="N19" i="2"/>
  <c r="M270" i="2"/>
  <c r="M254" i="2"/>
  <c r="M229" i="2"/>
  <c r="M207" i="2"/>
  <c r="M186" i="2"/>
  <c r="M165" i="2"/>
  <c r="M143" i="2"/>
  <c r="M122" i="2"/>
  <c r="M96" i="2"/>
  <c r="M72" i="2"/>
  <c r="M40" i="2"/>
  <c r="M8" i="2"/>
  <c r="L251" i="2"/>
  <c r="L213" i="2"/>
  <c r="L165" i="2"/>
  <c r="L96" i="2"/>
  <c r="L63" i="2"/>
  <c r="L31" i="2"/>
  <c r="K274" i="2"/>
  <c r="K236" i="2"/>
  <c r="K204" i="2"/>
  <c r="K172" i="2"/>
  <c r="K140" i="2"/>
  <c r="K108" i="2"/>
  <c r="K70" i="2"/>
  <c r="K38" i="2"/>
  <c r="K6" i="2"/>
  <c r="J243" i="2"/>
  <c r="J211" i="2"/>
  <c r="J179" i="2"/>
  <c r="J147" i="2"/>
  <c r="J115" i="2"/>
  <c r="J77" i="2"/>
  <c r="J45" i="2"/>
  <c r="J13" i="2"/>
  <c r="I256" i="2"/>
  <c r="I218" i="2"/>
  <c r="I186" i="2"/>
  <c r="I154" i="2"/>
  <c r="I122" i="2"/>
  <c r="I84" i="2"/>
  <c r="I52" i="2"/>
  <c r="I20" i="2"/>
  <c r="H263" i="2"/>
  <c r="H225" i="2"/>
  <c r="H193" i="2"/>
  <c r="H161" i="2"/>
  <c r="H113" i="2"/>
  <c r="H75" i="2"/>
  <c r="H43" i="2"/>
  <c r="H11" i="2"/>
  <c r="G254" i="2"/>
  <c r="G216" i="2"/>
  <c r="G184" i="2"/>
  <c r="G152" i="2"/>
  <c r="G120" i="2"/>
  <c r="G82" i="2"/>
  <c r="G50" i="2"/>
  <c r="G18" i="2"/>
  <c r="F261" i="2"/>
  <c r="F223" i="2"/>
  <c r="F191" i="2"/>
  <c r="F159" i="2"/>
  <c r="F127" i="2"/>
  <c r="F89" i="2"/>
  <c r="F57" i="2"/>
  <c r="F25" i="2"/>
  <c r="E268" i="2"/>
  <c r="E230" i="2"/>
  <c r="E198" i="2"/>
  <c r="E166" i="2"/>
  <c r="E134" i="2"/>
  <c r="E97" i="2"/>
  <c r="E64" i="2"/>
  <c r="E32" i="2"/>
  <c r="D275" i="2"/>
  <c r="D237" i="2"/>
  <c r="D205" i="2"/>
  <c r="D157" i="2"/>
  <c r="D125" i="2"/>
  <c r="D87" i="2"/>
  <c r="D55" i="2"/>
  <c r="D23" i="2"/>
  <c r="C266" i="2"/>
  <c r="C228" i="2"/>
  <c r="C196" i="2"/>
  <c r="C164" i="2"/>
  <c r="C132" i="2"/>
  <c r="C95" i="2"/>
  <c r="C62" i="2"/>
  <c r="C46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2" i="2"/>
  <c r="C96" i="2"/>
  <c r="C100" i="2"/>
  <c r="C109" i="2"/>
  <c r="C113" i="2"/>
  <c r="C117" i="2"/>
  <c r="C121" i="2"/>
  <c r="C125" i="2"/>
  <c r="C129" i="2"/>
  <c r="C133" i="2"/>
  <c r="C137" i="2"/>
  <c r="C141" i="2"/>
  <c r="C145" i="2"/>
  <c r="C149" i="2"/>
  <c r="C153" i="2"/>
  <c r="C157" i="2"/>
  <c r="C161" i="2"/>
  <c r="C165" i="2"/>
  <c r="C169" i="2"/>
  <c r="C173" i="2"/>
  <c r="C177" i="2"/>
  <c r="C181" i="2"/>
  <c r="C185" i="2"/>
  <c r="C189" i="2"/>
  <c r="C193" i="2"/>
  <c r="C197" i="2"/>
  <c r="C201" i="2"/>
  <c r="C205" i="2"/>
  <c r="C209" i="2"/>
  <c r="C213" i="2"/>
  <c r="C217" i="2"/>
  <c r="C221" i="2"/>
  <c r="C225" i="2"/>
  <c r="C229" i="2"/>
  <c r="C233" i="2"/>
  <c r="C237" i="2"/>
  <c r="C241" i="2"/>
  <c r="C251" i="2"/>
  <c r="C255" i="2"/>
  <c r="C259" i="2"/>
  <c r="C263" i="2"/>
  <c r="C267" i="2"/>
  <c r="C271" i="2"/>
  <c r="C275" i="2"/>
  <c r="D4" i="2"/>
  <c r="D8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3" i="2"/>
  <c r="D97" i="2"/>
  <c r="D101" i="2"/>
  <c r="D110" i="2"/>
  <c r="D114" i="2"/>
  <c r="D118" i="2"/>
  <c r="D122" i="2"/>
  <c r="D126" i="2"/>
  <c r="D130" i="2"/>
  <c r="D134" i="2"/>
  <c r="D138" i="2"/>
  <c r="D142" i="2"/>
  <c r="D146" i="2"/>
  <c r="D150" i="2"/>
  <c r="D154" i="2"/>
  <c r="D158" i="2"/>
  <c r="D162" i="2"/>
  <c r="D166" i="2"/>
  <c r="D170" i="2"/>
  <c r="D174" i="2"/>
  <c r="D178" i="2"/>
  <c r="D182" i="2"/>
  <c r="D186" i="2"/>
  <c r="D190" i="2"/>
  <c r="D194" i="2"/>
  <c r="D198" i="2"/>
  <c r="D202" i="2"/>
  <c r="D206" i="2"/>
  <c r="D210" i="2"/>
  <c r="D214" i="2"/>
  <c r="D218" i="2"/>
  <c r="D222" i="2"/>
  <c r="D226" i="2"/>
  <c r="D230" i="2"/>
  <c r="D234" i="2"/>
  <c r="D238" i="2"/>
  <c r="D242" i="2"/>
  <c r="D252" i="2"/>
  <c r="D256" i="2"/>
  <c r="D260" i="2"/>
  <c r="D264" i="2"/>
  <c r="D268" i="2"/>
  <c r="D272" i="2"/>
  <c r="D276" i="2"/>
  <c r="E5" i="2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4" i="2"/>
  <c r="E98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53" i="2"/>
  <c r="E257" i="2"/>
  <c r="E261" i="2"/>
  <c r="E265" i="2"/>
  <c r="E269" i="2"/>
  <c r="E273" i="2"/>
  <c r="E277" i="2"/>
  <c r="F6" i="2"/>
  <c r="F10" i="2"/>
  <c r="F14" i="2"/>
  <c r="F18" i="2"/>
  <c r="F22" i="2"/>
  <c r="F26" i="2"/>
  <c r="F30" i="2"/>
  <c r="F34" i="2"/>
  <c r="F38" i="2"/>
  <c r="F42" i="2"/>
  <c r="F46" i="2"/>
  <c r="F50" i="2"/>
  <c r="F54" i="2"/>
  <c r="F58" i="2"/>
  <c r="F62" i="2"/>
  <c r="F66" i="2"/>
  <c r="F70" i="2"/>
  <c r="F74" i="2"/>
  <c r="F78" i="2"/>
  <c r="F82" i="2"/>
  <c r="F86" i="2"/>
  <c r="F90" i="2"/>
  <c r="F95" i="2"/>
  <c r="F99" i="2"/>
  <c r="F108" i="2"/>
  <c r="F112" i="2"/>
  <c r="F116" i="2"/>
  <c r="F120" i="2"/>
  <c r="F124" i="2"/>
  <c r="F128" i="2"/>
  <c r="F132" i="2"/>
  <c r="F136" i="2"/>
  <c r="F140" i="2"/>
  <c r="F144" i="2"/>
  <c r="F148" i="2"/>
  <c r="F152" i="2"/>
  <c r="F156" i="2"/>
  <c r="F160" i="2"/>
  <c r="F164" i="2"/>
  <c r="F168" i="2"/>
  <c r="F172" i="2"/>
  <c r="F176" i="2"/>
  <c r="F180" i="2"/>
  <c r="F184" i="2"/>
  <c r="F188" i="2"/>
  <c r="F192" i="2"/>
  <c r="F196" i="2"/>
  <c r="F200" i="2"/>
  <c r="F204" i="2"/>
  <c r="F208" i="2"/>
  <c r="F212" i="2"/>
  <c r="F216" i="2"/>
  <c r="F220" i="2"/>
  <c r="F224" i="2"/>
  <c r="F228" i="2"/>
  <c r="F232" i="2"/>
  <c r="F236" i="2"/>
  <c r="F240" i="2"/>
  <c r="F244" i="2"/>
  <c r="F254" i="2"/>
  <c r="F258" i="2"/>
  <c r="F262" i="2"/>
  <c r="F266" i="2"/>
  <c r="F270" i="2"/>
  <c r="F274" i="2"/>
  <c r="F278" i="2"/>
  <c r="G7" i="2"/>
  <c r="G11" i="2"/>
  <c r="G15" i="2"/>
  <c r="G19" i="2"/>
  <c r="G23" i="2"/>
  <c r="G27" i="2"/>
  <c r="G31" i="2"/>
  <c r="G35" i="2"/>
  <c r="G39" i="2"/>
  <c r="G43" i="2"/>
  <c r="G47" i="2"/>
  <c r="G51" i="2"/>
  <c r="G55" i="2"/>
  <c r="G59" i="2"/>
  <c r="G63" i="2"/>
  <c r="G67" i="2"/>
  <c r="G71" i="2"/>
  <c r="G75" i="2"/>
  <c r="G79" i="2"/>
  <c r="G83" i="2"/>
  <c r="G87" i="2"/>
  <c r="G92" i="2"/>
  <c r="G96" i="2"/>
  <c r="G100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51" i="2"/>
  <c r="G255" i="2"/>
  <c r="G259" i="2"/>
  <c r="G263" i="2"/>
  <c r="G267" i="2"/>
  <c r="G271" i="2"/>
  <c r="G275" i="2"/>
  <c r="H4" i="2"/>
  <c r="H8" i="2"/>
  <c r="H12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3" i="2"/>
  <c r="H97" i="2"/>
  <c r="H101" i="2"/>
  <c r="H110" i="2"/>
  <c r="H114" i="2"/>
  <c r="H118" i="2"/>
  <c r="H122" i="2"/>
  <c r="H126" i="2"/>
  <c r="H130" i="2"/>
  <c r="H134" i="2"/>
  <c r="H138" i="2"/>
  <c r="H142" i="2"/>
  <c r="H146" i="2"/>
  <c r="H150" i="2"/>
  <c r="H154" i="2"/>
  <c r="H158" i="2"/>
  <c r="H162" i="2"/>
  <c r="H166" i="2"/>
  <c r="H170" i="2"/>
  <c r="H174" i="2"/>
  <c r="H178" i="2"/>
  <c r="H182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52" i="2"/>
  <c r="H256" i="2"/>
  <c r="H260" i="2"/>
  <c r="H264" i="2"/>
  <c r="H268" i="2"/>
  <c r="H272" i="2"/>
  <c r="H276" i="2"/>
  <c r="I5" i="2"/>
  <c r="I9" i="2"/>
  <c r="I13" i="2"/>
  <c r="I17" i="2"/>
  <c r="I21" i="2"/>
  <c r="I25" i="2"/>
  <c r="I29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89" i="2"/>
  <c r="I94" i="2"/>
  <c r="I98" i="2"/>
  <c r="I107" i="2"/>
  <c r="I111" i="2"/>
  <c r="I115" i="2"/>
  <c r="I119" i="2"/>
  <c r="I123" i="2"/>
  <c r="I127" i="2"/>
  <c r="I131" i="2"/>
  <c r="I135" i="2"/>
  <c r="I139" i="2"/>
  <c r="I143" i="2"/>
  <c r="I147" i="2"/>
  <c r="I151" i="2"/>
  <c r="I155" i="2"/>
  <c r="I159" i="2"/>
  <c r="I163" i="2"/>
  <c r="I167" i="2"/>
  <c r="I171" i="2"/>
  <c r="I175" i="2"/>
  <c r="I179" i="2"/>
  <c r="I183" i="2"/>
  <c r="I187" i="2"/>
  <c r="I191" i="2"/>
  <c r="I195" i="2"/>
  <c r="I199" i="2"/>
  <c r="I203" i="2"/>
  <c r="I207" i="2"/>
  <c r="I211" i="2"/>
  <c r="I215" i="2"/>
  <c r="I219" i="2"/>
  <c r="I223" i="2"/>
  <c r="I227" i="2"/>
  <c r="I231" i="2"/>
  <c r="I235" i="2"/>
  <c r="I239" i="2"/>
  <c r="I243" i="2"/>
  <c r="I253" i="2"/>
  <c r="I257" i="2"/>
  <c r="I261" i="2"/>
  <c r="I265" i="2"/>
  <c r="I269" i="2"/>
  <c r="I273" i="2"/>
  <c r="I277" i="2"/>
  <c r="J6" i="2"/>
  <c r="J10" i="2"/>
  <c r="J14" i="2"/>
  <c r="J18" i="2"/>
  <c r="J22" i="2"/>
  <c r="J26" i="2"/>
  <c r="J30" i="2"/>
  <c r="J34" i="2"/>
  <c r="J38" i="2"/>
  <c r="J42" i="2"/>
  <c r="J46" i="2"/>
  <c r="J50" i="2"/>
  <c r="J54" i="2"/>
  <c r="J58" i="2"/>
  <c r="J62" i="2"/>
  <c r="J66" i="2"/>
  <c r="J70" i="2"/>
  <c r="J74" i="2"/>
  <c r="J78" i="2"/>
  <c r="J82" i="2"/>
  <c r="J86" i="2"/>
  <c r="J90" i="2"/>
  <c r="J95" i="2"/>
  <c r="J99" i="2"/>
  <c r="J108" i="2"/>
  <c r="J112" i="2"/>
  <c r="J116" i="2"/>
  <c r="J120" i="2"/>
  <c r="J124" i="2"/>
  <c r="J128" i="2"/>
  <c r="J132" i="2"/>
  <c r="J136" i="2"/>
  <c r="J140" i="2"/>
  <c r="J144" i="2"/>
  <c r="J148" i="2"/>
  <c r="J152" i="2"/>
  <c r="J156" i="2"/>
  <c r="J160" i="2"/>
  <c r="J164" i="2"/>
  <c r="J168" i="2"/>
  <c r="J172" i="2"/>
  <c r="J176" i="2"/>
  <c r="J180" i="2"/>
  <c r="J184" i="2"/>
  <c r="J188" i="2"/>
  <c r="J192" i="2"/>
  <c r="J196" i="2"/>
  <c r="J200" i="2"/>
  <c r="J204" i="2"/>
  <c r="J208" i="2"/>
  <c r="J212" i="2"/>
  <c r="J216" i="2"/>
  <c r="J220" i="2"/>
  <c r="J224" i="2"/>
  <c r="J228" i="2"/>
  <c r="J232" i="2"/>
  <c r="J236" i="2"/>
  <c r="J240" i="2"/>
  <c r="J244" i="2"/>
  <c r="J254" i="2"/>
  <c r="J258" i="2"/>
  <c r="J262" i="2"/>
  <c r="J266" i="2"/>
  <c r="J270" i="2"/>
  <c r="J274" i="2"/>
  <c r="J278" i="2"/>
  <c r="K7" i="2"/>
  <c r="K11" i="2"/>
  <c r="K15" i="2"/>
  <c r="K19" i="2"/>
  <c r="K23" i="2"/>
  <c r="K27" i="2"/>
  <c r="K31" i="2"/>
  <c r="K35" i="2"/>
  <c r="K39" i="2"/>
  <c r="K43" i="2"/>
  <c r="K47" i="2"/>
  <c r="K51" i="2"/>
  <c r="K55" i="2"/>
  <c r="K59" i="2"/>
  <c r="K63" i="2"/>
  <c r="K67" i="2"/>
  <c r="K71" i="2"/>
  <c r="K75" i="2"/>
  <c r="K79" i="2"/>
  <c r="K83" i="2"/>
  <c r="K87" i="2"/>
  <c r="K92" i="2"/>
  <c r="K96" i="2"/>
  <c r="K100" i="2"/>
  <c r="K109" i="2"/>
  <c r="K113" i="2"/>
  <c r="K117" i="2"/>
  <c r="K121" i="2"/>
  <c r="K125" i="2"/>
  <c r="K129" i="2"/>
  <c r="K133" i="2"/>
  <c r="K137" i="2"/>
  <c r="K141" i="2"/>
  <c r="K145" i="2"/>
  <c r="K149" i="2"/>
  <c r="K153" i="2"/>
  <c r="K157" i="2"/>
  <c r="K161" i="2"/>
  <c r="K165" i="2"/>
  <c r="K169" i="2"/>
  <c r="K173" i="2"/>
  <c r="K177" i="2"/>
  <c r="K181" i="2"/>
  <c r="K185" i="2"/>
  <c r="K189" i="2"/>
  <c r="K193" i="2"/>
  <c r="K197" i="2"/>
  <c r="K201" i="2"/>
  <c r="K205" i="2"/>
  <c r="K209" i="2"/>
  <c r="K213" i="2"/>
  <c r="K217" i="2"/>
  <c r="K221" i="2"/>
  <c r="K225" i="2"/>
  <c r="K229" i="2"/>
  <c r="K233" i="2"/>
  <c r="K237" i="2"/>
  <c r="K241" i="2"/>
  <c r="K251" i="2"/>
  <c r="K255" i="2"/>
  <c r="K259" i="2"/>
  <c r="K263" i="2"/>
  <c r="K267" i="2"/>
  <c r="K271" i="2"/>
  <c r="K275" i="2"/>
  <c r="L4" i="2"/>
  <c r="L8" i="2"/>
  <c r="L12" i="2"/>
  <c r="L16" i="2"/>
  <c r="L20" i="2"/>
  <c r="L24" i="2"/>
  <c r="L28" i="2"/>
  <c r="L32" i="2"/>
  <c r="L36" i="2"/>
  <c r="L40" i="2"/>
  <c r="L44" i="2"/>
  <c r="L48" i="2"/>
  <c r="L52" i="2"/>
  <c r="L56" i="2"/>
  <c r="L60" i="2"/>
  <c r="L64" i="2"/>
  <c r="L68" i="2"/>
  <c r="L72" i="2"/>
  <c r="L76" i="2"/>
  <c r="L80" i="2"/>
  <c r="L84" i="2"/>
  <c r="L88" i="2"/>
  <c r="L93" i="2"/>
  <c r="L97" i="2"/>
  <c r="L101" i="2"/>
  <c r="L110" i="2"/>
  <c r="L114" i="2"/>
  <c r="L118" i="2"/>
  <c r="L122" i="2"/>
  <c r="L126" i="2"/>
  <c r="L130" i="2"/>
  <c r="L134" i="2"/>
  <c r="L138" i="2"/>
  <c r="L142" i="2"/>
  <c r="L146" i="2"/>
  <c r="L150" i="2"/>
  <c r="L154" i="2"/>
  <c r="L158" i="2"/>
  <c r="L162" i="2"/>
  <c r="L166" i="2"/>
  <c r="L170" i="2"/>
  <c r="L174" i="2"/>
  <c r="L178" i="2"/>
  <c r="L182" i="2"/>
  <c r="L186" i="2"/>
  <c r="L190" i="2"/>
  <c r="L194" i="2"/>
  <c r="L198" i="2"/>
  <c r="L202" i="2"/>
  <c r="L206" i="2"/>
  <c r="L210" i="2"/>
  <c r="L214" i="2"/>
  <c r="L218" i="2"/>
  <c r="L222" i="2"/>
  <c r="L226" i="2"/>
  <c r="L230" i="2"/>
  <c r="L234" i="2"/>
  <c r="L238" i="2"/>
  <c r="L242" i="2"/>
  <c r="L252" i="2"/>
  <c r="L256" i="2"/>
  <c r="L260" i="2"/>
  <c r="L264" i="2"/>
  <c r="L268" i="2"/>
  <c r="L272" i="2"/>
  <c r="L276" i="2"/>
  <c r="M5" i="2"/>
  <c r="M9" i="2"/>
  <c r="M13" i="2"/>
  <c r="M17" i="2"/>
  <c r="M21" i="2"/>
  <c r="M25" i="2"/>
  <c r="M29" i="2"/>
  <c r="M33" i="2"/>
  <c r="M37" i="2"/>
  <c r="M41" i="2"/>
  <c r="M45" i="2"/>
  <c r="M49" i="2"/>
  <c r="M53" i="2"/>
  <c r="M57" i="2"/>
  <c r="M61" i="2"/>
  <c r="M65" i="2"/>
  <c r="M69" i="2"/>
  <c r="M73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3" i="2"/>
  <c r="C97" i="2"/>
  <c r="C101" i="2"/>
  <c r="C110" i="2"/>
  <c r="C114" i="2"/>
  <c r="C118" i="2"/>
  <c r="C122" i="2"/>
  <c r="C126" i="2"/>
  <c r="C130" i="2"/>
  <c r="C134" i="2"/>
  <c r="C138" i="2"/>
  <c r="C142" i="2"/>
  <c r="C146" i="2"/>
  <c r="C150" i="2"/>
  <c r="C154" i="2"/>
  <c r="C158" i="2"/>
  <c r="C162" i="2"/>
  <c r="C166" i="2"/>
  <c r="C170" i="2"/>
  <c r="C174" i="2"/>
  <c r="C178" i="2"/>
  <c r="C182" i="2"/>
  <c r="C186" i="2"/>
  <c r="C190" i="2"/>
  <c r="C194" i="2"/>
  <c r="C198" i="2"/>
  <c r="C202" i="2"/>
  <c r="C206" i="2"/>
  <c r="C210" i="2"/>
  <c r="C214" i="2"/>
  <c r="C218" i="2"/>
  <c r="C222" i="2"/>
  <c r="C226" i="2"/>
  <c r="C230" i="2"/>
  <c r="C234" i="2"/>
  <c r="C238" i="2"/>
  <c r="C242" i="2"/>
  <c r="C252" i="2"/>
  <c r="C256" i="2"/>
  <c r="C260" i="2"/>
  <c r="C264" i="2"/>
  <c r="C268" i="2"/>
  <c r="C272" i="2"/>
  <c r="C276" i="2"/>
  <c r="D5" i="2"/>
  <c r="D9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4" i="2"/>
  <c r="D98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D223" i="2"/>
  <c r="D227" i="2"/>
  <c r="D231" i="2"/>
  <c r="D235" i="2"/>
  <c r="D239" i="2"/>
  <c r="D243" i="2"/>
  <c r="D253" i="2"/>
  <c r="D257" i="2"/>
  <c r="D261" i="2"/>
  <c r="D265" i="2"/>
  <c r="D269" i="2"/>
  <c r="D273" i="2"/>
  <c r="D277" i="2"/>
  <c r="E6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5" i="2"/>
  <c r="E99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54" i="2"/>
  <c r="E258" i="2"/>
  <c r="E262" i="2"/>
  <c r="E266" i="2"/>
  <c r="E270" i="2"/>
  <c r="E274" i="2"/>
  <c r="E278" i="2"/>
  <c r="F7" i="2"/>
  <c r="F11" i="2"/>
  <c r="F15" i="2"/>
  <c r="F19" i="2"/>
  <c r="F23" i="2"/>
  <c r="F27" i="2"/>
  <c r="F31" i="2"/>
  <c r="F35" i="2"/>
  <c r="F39" i="2"/>
  <c r="F43" i="2"/>
  <c r="F47" i="2"/>
  <c r="F51" i="2"/>
  <c r="F55" i="2"/>
  <c r="F59" i="2"/>
  <c r="F63" i="2"/>
  <c r="F67" i="2"/>
  <c r="F71" i="2"/>
  <c r="F75" i="2"/>
  <c r="F79" i="2"/>
  <c r="F83" i="2"/>
  <c r="F87" i="2"/>
  <c r="F92" i="2"/>
  <c r="F96" i="2"/>
  <c r="F100" i="2"/>
  <c r="F109" i="2"/>
  <c r="F113" i="2"/>
  <c r="F117" i="2"/>
  <c r="F121" i="2"/>
  <c r="F125" i="2"/>
  <c r="F129" i="2"/>
  <c r="F133" i="2"/>
  <c r="F137" i="2"/>
  <c r="F141" i="2"/>
  <c r="F145" i="2"/>
  <c r="F149" i="2"/>
  <c r="F153" i="2"/>
  <c r="F157" i="2"/>
  <c r="F161" i="2"/>
  <c r="F165" i="2"/>
  <c r="F169" i="2"/>
  <c r="F173" i="2"/>
  <c r="F177" i="2"/>
  <c r="F181" i="2"/>
  <c r="F185" i="2"/>
  <c r="F189" i="2"/>
  <c r="F193" i="2"/>
  <c r="F197" i="2"/>
  <c r="F201" i="2"/>
  <c r="F205" i="2"/>
  <c r="F209" i="2"/>
  <c r="F213" i="2"/>
  <c r="F217" i="2"/>
  <c r="F221" i="2"/>
  <c r="F225" i="2"/>
  <c r="F229" i="2"/>
  <c r="F233" i="2"/>
  <c r="F237" i="2"/>
  <c r="F241" i="2"/>
  <c r="F251" i="2"/>
  <c r="F255" i="2"/>
  <c r="F259" i="2"/>
  <c r="F263" i="2"/>
  <c r="F267" i="2"/>
  <c r="F271" i="2"/>
  <c r="F275" i="2"/>
  <c r="G4" i="2"/>
  <c r="G8" i="2"/>
  <c r="G12" i="2"/>
  <c r="G16" i="2"/>
  <c r="G20" i="2"/>
  <c r="G24" i="2"/>
  <c r="G28" i="2"/>
  <c r="G32" i="2"/>
  <c r="G36" i="2"/>
  <c r="G40" i="2"/>
  <c r="G44" i="2"/>
  <c r="G48" i="2"/>
  <c r="G52" i="2"/>
  <c r="G56" i="2"/>
  <c r="G60" i="2"/>
  <c r="G64" i="2"/>
  <c r="G68" i="2"/>
  <c r="G72" i="2"/>
  <c r="G76" i="2"/>
  <c r="G80" i="2"/>
  <c r="G84" i="2"/>
  <c r="G88" i="2"/>
  <c r="G93" i="2"/>
  <c r="G97" i="2"/>
  <c r="G101" i="2"/>
  <c r="G110" i="2"/>
  <c r="G114" i="2"/>
  <c r="G118" i="2"/>
  <c r="G122" i="2"/>
  <c r="G126" i="2"/>
  <c r="G130" i="2"/>
  <c r="G134" i="2"/>
  <c r="G138" i="2"/>
  <c r="G142" i="2"/>
  <c r="G146" i="2"/>
  <c r="G150" i="2"/>
  <c r="G154" i="2"/>
  <c r="G158" i="2"/>
  <c r="G162" i="2"/>
  <c r="G166" i="2"/>
  <c r="G170" i="2"/>
  <c r="G174" i="2"/>
  <c r="G178" i="2"/>
  <c r="G182" i="2"/>
  <c r="G186" i="2"/>
  <c r="G190" i="2"/>
  <c r="G194" i="2"/>
  <c r="G198" i="2"/>
  <c r="G202" i="2"/>
  <c r="G206" i="2"/>
  <c r="G210" i="2"/>
  <c r="G214" i="2"/>
  <c r="G218" i="2"/>
  <c r="G222" i="2"/>
  <c r="G226" i="2"/>
  <c r="G230" i="2"/>
  <c r="G234" i="2"/>
  <c r="G238" i="2"/>
  <c r="G242" i="2"/>
  <c r="G252" i="2"/>
  <c r="G256" i="2"/>
  <c r="G260" i="2"/>
  <c r="G264" i="2"/>
  <c r="G268" i="2"/>
  <c r="G272" i="2"/>
  <c r="G276" i="2"/>
  <c r="H5" i="2"/>
  <c r="H9" i="2"/>
  <c r="H13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4" i="2"/>
  <c r="H98" i="2"/>
  <c r="H107" i="2"/>
  <c r="H111" i="2"/>
  <c r="H115" i="2"/>
  <c r="H119" i="2"/>
  <c r="H123" i="2"/>
  <c r="H127" i="2"/>
  <c r="H131" i="2"/>
  <c r="H135" i="2"/>
  <c r="H139" i="2"/>
  <c r="H143" i="2"/>
  <c r="H147" i="2"/>
  <c r="H151" i="2"/>
  <c r="H155" i="2"/>
  <c r="H159" i="2"/>
  <c r="H163" i="2"/>
  <c r="H167" i="2"/>
  <c r="H171" i="2"/>
  <c r="H175" i="2"/>
  <c r="H179" i="2"/>
  <c r="H183" i="2"/>
  <c r="H187" i="2"/>
  <c r="H191" i="2"/>
  <c r="H195" i="2"/>
  <c r="H199" i="2"/>
  <c r="H203" i="2"/>
  <c r="H207" i="2"/>
  <c r="H211" i="2"/>
  <c r="H215" i="2"/>
  <c r="H219" i="2"/>
  <c r="H223" i="2"/>
  <c r="H227" i="2"/>
  <c r="H231" i="2"/>
  <c r="H235" i="2"/>
  <c r="H239" i="2"/>
  <c r="H243" i="2"/>
  <c r="H253" i="2"/>
  <c r="H257" i="2"/>
  <c r="H261" i="2"/>
  <c r="H265" i="2"/>
  <c r="H269" i="2"/>
  <c r="H273" i="2"/>
  <c r="H277" i="2"/>
  <c r="I6" i="2"/>
  <c r="I10" i="2"/>
  <c r="I14" i="2"/>
  <c r="I18" i="2"/>
  <c r="I22" i="2"/>
  <c r="I26" i="2"/>
  <c r="I30" i="2"/>
  <c r="I34" i="2"/>
  <c r="I38" i="2"/>
  <c r="I42" i="2"/>
  <c r="I46" i="2"/>
  <c r="I50" i="2"/>
  <c r="I54" i="2"/>
  <c r="I58" i="2"/>
  <c r="I62" i="2"/>
  <c r="I66" i="2"/>
  <c r="I70" i="2"/>
  <c r="I74" i="2"/>
  <c r="I78" i="2"/>
  <c r="I82" i="2"/>
  <c r="I86" i="2"/>
  <c r="I90" i="2"/>
  <c r="I95" i="2"/>
  <c r="I99" i="2"/>
  <c r="I108" i="2"/>
  <c r="I112" i="2"/>
  <c r="I116" i="2"/>
  <c r="I120" i="2"/>
  <c r="I124" i="2"/>
  <c r="I128" i="2"/>
  <c r="I132" i="2"/>
  <c r="I136" i="2"/>
  <c r="I140" i="2"/>
  <c r="I144" i="2"/>
  <c r="I148" i="2"/>
  <c r="I152" i="2"/>
  <c r="I156" i="2"/>
  <c r="I160" i="2"/>
  <c r="I164" i="2"/>
  <c r="I168" i="2"/>
  <c r="I172" i="2"/>
  <c r="I176" i="2"/>
  <c r="I180" i="2"/>
  <c r="I184" i="2"/>
  <c r="I188" i="2"/>
  <c r="I192" i="2"/>
  <c r="I196" i="2"/>
  <c r="I200" i="2"/>
  <c r="I204" i="2"/>
  <c r="I208" i="2"/>
  <c r="I212" i="2"/>
  <c r="I216" i="2"/>
  <c r="I220" i="2"/>
  <c r="I224" i="2"/>
  <c r="I228" i="2"/>
  <c r="I232" i="2"/>
  <c r="I236" i="2"/>
  <c r="I240" i="2"/>
  <c r="I244" i="2"/>
  <c r="I254" i="2"/>
  <c r="I258" i="2"/>
  <c r="I262" i="2"/>
  <c r="I266" i="2"/>
  <c r="I270" i="2"/>
  <c r="I274" i="2"/>
  <c r="I278" i="2"/>
  <c r="J7" i="2"/>
  <c r="J11" i="2"/>
  <c r="J15" i="2"/>
  <c r="J19" i="2"/>
  <c r="J23" i="2"/>
  <c r="J27" i="2"/>
  <c r="J31" i="2"/>
  <c r="J35" i="2"/>
  <c r="J39" i="2"/>
  <c r="J43" i="2"/>
  <c r="J47" i="2"/>
  <c r="J51" i="2"/>
  <c r="J55" i="2"/>
  <c r="J59" i="2"/>
  <c r="J63" i="2"/>
  <c r="J67" i="2"/>
  <c r="J71" i="2"/>
  <c r="J75" i="2"/>
  <c r="J79" i="2"/>
  <c r="J83" i="2"/>
  <c r="J87" i="2"/>
  <c r="J92" i="2"/>
  <c r="J96" i="2"/>
  <c r="J100" i="2"/>
  <c r="J109" i="2"/>
  <c r="J113" i="2"/>
  <c r="J117" i="2"/>
  <c r="J121" i="2"/>
  <c r="J125" i="2"/>
  <c r="J129" i="2"/>
  <c r="J133" i="2"/>
  <c r="J137" i="2"/>
  <c r="J141" i="2"/>
  <c r="J145" i="2"/>
  <c r="J149" i="2"/>
  <c r="J153" i="2"/>
  <c r="J157" i="2"/>
  <c r="J161" i="2"/>
  <c r="J165" i="2"/>
  <c r="J169" i="2"/>
  <c r="J173" i="2"/>
  <c r="J177" i="2"/>
  <c r="J181" i="2"/>
  <c r="J185" i="2"/>
  <c r="J189" i="2"/>
  <c r="J193" i="2"/>
  <c r="J197" i="2"/>
  <c r="J201" i="2"/>
  <c r="J205" i="2"/>
  <c r="J209" i="2"/>
  <c r="J213" i="2"/>
  <c r="J217" i="2"/>
  <c r="J221" i="2"/>
  <c r="J225" i="2"/>
  <c r="J229" i="2"/>
  <c r="J233" i="2"/>
  <c r="J237" i="2"/>
  <c r="J241" i="2"/>
  <c r="J251" i="2"/>
  <c r="J255" i="2"/>
  <c r="J259" i="2"/>
  <c r="J263" i="2"/>
  <c r="J267" i="2"/>
  <c r="J271" i="2"/>
  <c r="J275" i="2"/>
  <c r="K4" i="2"/>
  <c r="K8" i="2"/>
  <c r="K12" i="2"/>
  <c r="K16" i="2"/>
  <c r="K20" i="2"/>
  <c r="K24" i="2"/>
  <c r="K28" i="2"/>
  <c r="K32" i="2"/>
  <c r="K36" i="2"/>
  <c r="K40" i="2"/>
  <c r="K44" i="2"/>
  <c r="K48" i="2"/>
  <c r="K52" i="2"/>
  <c r="K56" i="2"/>
  <c r="K60" i="2"/>
  <c r="K64" i="2"/>
  <c r="K68" i="2"/>
  <c r="K72" i="2"/>
  <c r="K76" i="2"/>
  <c r="K80" i="2"/>
  <c r="K84" i="2"/>
  <c r="K88" i="2"/>
  <c r="K93" i="2"/>
  <c r="K97" i="2"/>
  <c r="K101" i="2"/>
  <c r="K110" i="2"/>
  <c r="K114" i="2"/>
  <c r="K118" i="2"/>
  <c r="K122" i="2"/>
  <c r="K126" i="2"/>
  <c r="K130" i="2"/>
  <c r="K134" i="2"/>
  <c r="K138" i="2"/>
  <c r="K142" i="2"/>
  <c r="K146" i="2"/>
  <c r="K150" i="2"/>
  <c r="K154" i="2"/>
  <c r="K158" i="2"/>
  <c r="K162" i="2"/>
  <c r="K166" i="2"/>
  <c r="K170" i="2"/>
  <c r="K174" i="2"/>
  <c r="K178" i="2"/>
  <c r="K182" i="2"/>
  <c r="K186" i="2"/>
  <c r="K190" i="2"/>
  <c r="K194" i="2"/>
  <c r="K198" i="2"/>
  <c r="K202" i="2"/>
  <c r="K206" i="2"/>
  <c r="K210" i="2"/>
  <c r="K214" i="2"/>
  <c r="K218" i="2"/>
  <c r="K222" i="2"/>
  <c r="K226" i="2"/>
  <c r="K230" i="2"/>
  <c r="K234" i="2"/>
  <c r="K238" i="2"/>
  <c r="K242" i="2"/>
  <c r="K252" i="2"/>
  <c r="K256" i="2"/>
  <c r="K260" i="2"/>
  <c r="K264" i="2"/>
  <c r="K268" i="2"/>
  <c r="K272" i="2"/>
  <c r="K276" i="2"/>
  <c r="L5" i="2"/>
  <c r="L9" i="2"/>
  <c r="L13" i="2"/>
  <c r="L17" i="2"/>
  <c r="L21" i="2"/>
  <c r="L25" i="2"/>
  <c r="L29" i="2"/>
  <c r="L33" i="2"/>
  <c r="L37" i="2"/>
  <c r="L41" i="2"/>
  <c r="L45" i="2"/>
  <c r="L49" i="2"/>
  <c r="L53" i="2"/>
  <c r="L57" i="2"/>
  <c r="L61" i="2"/>
  <c r="L65" i="2"/>
  <c r="L69" i="2"/>
  <c r="L73" i="2"/>
  <c r="L77" i="2"/>
  <c r="L81" i="2"/>
  <c r="L85" i="2"/>
  <c r="L89" i="2"/>
  <c r="L94" i="2"/>
  <c r="L98" i="2"/>
  <c r="L107" i="2"/>
  <c r="L111" i="2"/>
  <c r="L115" i="2"/>
  <c r="L119" i="2"/>
  <c r="L123" i="2"/>
  <c r="L127" i="2"/>
  <c r="L131" i="2"/>
  <c r="L135" i="2"/>
  <c r="L139" i="2"/>
  <c r="L143" i="2"/>
  <c r="L147" i="2"/>
  <c r="L151" i="2"/>
  <c r="L155" i="2"/>
  <c r="L159" i="2"/>
  <c r="L163" i="2"/>
  <c r="L167" i="2"/>
  <c r="L171" i="2"/>
  <c r="L175" i="2"/>
  <c r="L179" i="2"/>
  <c r="L183" i="2"/>
  <c r="L187" i="2"/>
  <c r="L191" i="2"/>
  <c r="L195" i="2"/>
  <c r="L199" i="2"/>
  <c r="L203" i="2"/>
  <c r="L207" i="2"/>
  <c r="L211" i="2"/>
  <c r="L215" i="2"/>
  <c r="L219" i="2"/>
  <c r="L223" i="2"/>
  <c r="L227" i="2"/>
  <c r="L231" i="2"/>
  <c r="L235" i="2"/>
  <c r="L239" i="2"/>
  <c r="L243" i="2"/>
  <c r="L253" i="2"/>
  <c r="L257" i="2"/>
  <c r="L261" i="2"/>
  <c r="L265" i="2"/>
  <c r="L269" i="2"/>
  <c r="L273" i="2"/>
  <c r="L277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5" i="2"/>
  <c r="M99" i="2"/>
  <c r="M108" i="2"/>
  <c r="M112" i="2"/>
  <c r="M116" i="2"/>
  <c r="M120" i="2"/>
  <c r="M124" i="2"/>
  <c r="M128" i="2"/>
  <c r="M132" i="2"/>
  <c r="M136" i="2"/>
  <c r="M140" i="2"/>
  <c r="M144" i="2"/>
  <c r="M148" i="2"/>
  <c r="M152" i="2"/>
  <c r="M156" i="2"/>
  <c r="M160" i="2"/>
  <c r="M164" i="2"/>
  <c r="M168" i="2"/>
  <c r="M172" i="2"/>
  <c r="M176" i="2"/>
  <c r="M180" i="2"/>
  <c r="M184" i="2"/>
  <c r="M188" i="2"/>
  <c r="M192" i="2"/>
  <c r="M196" i="2"/>
  <c r="M200" i="2"/>
  <c r="M204" i="2"/>
  <c r="M208" i="2"/>
  <c r="M212" i="2"/>
  <c r="M216" i="2"/>
  <c r="M220" i="2"/>
  <c r="M224" i="2"/>
  <c r="M228" i="2"/>
  <c r="M232" i="2"/>
  <c r="M236" i="2"/>
  <c r="M240" i="2"/>
  <c r="C9" i="2"/>
  <c r="C17" i="2"/>
  <c r="C25" i="2"/>
  <c r="C33" i="2"/>
  <c r="C41" i="2"/>
  <c r="C49" i="2"/>
  <c r="C57" i="2"/>
  <c r="C65" i="2"/>
  <c r="C73" i="2"/>
  <c r="C81" i="2"/>
  <c r="C89" i="2"/>
  <c r="C98" i="2"/>
  <c r="C111" i="2"/>
  <c r="C119" i="2"/>
  <c r="C127" i="2"/>
  <c r="C135" i="2"/>
  <c r="C143" i="2"/>
  <c r="C151" i="2"/>
  <c r="C159" i="2"/>
  <c r="C167" i="2"/>
  <c r="C175" i="2"/>
  <c r="C183" i="2"/>
  <c r="C191" i="2"/>
  <c r="C199" i="2"/>
  <c r="C207" i="2"/>
  <c r="C215" i="2"/>
  <c r="C223" i="2"/>
  <c r="C231" i="2"/>
  <c r="C239" i="2"/>
  <c r="C253" i="2"/>
  <c r="C261" i="2"/>
  <c r="C269" i="2"/>
  <c r="C277" i="2"/>
  <c r="D10" i="2"/>
  <c r="D18" i="2"/>
  <c r="D26" i="2"/>
  <c r="D34" i="2"/>
  <c r="D42" i="2"/>
  <c r="D50" i="2"/>
  <c r="D58" i="2"/>
  <c r="D66" i="2"/>
  <c r="D74" i="2"/>
  <c r="D82" i="2"/>
  <c r="D90" i="2"/>
  <c r="D99" i="2"/>
  <c r="D112" i="2"/>
  <c r="D120" i="2"/>
  <c r="D128" i="2"/>
  <c r="D136" i="2"/>
  <c r="D144" i="2"/>
  <c r="D152" i="2"/>
  <c r="D160" i="2"/>
  <c r="D168" i="2"/>
  <c r="D176" i="2"/>
  <c r="D184" i="2"/>
  <c r="D192" i="2"/>
  <c r="D200" i="2"/>
  <c r="D208" i="2"/>
  <c r="D216" i="2"/>
  <c r="D224" i="2"/>
  <c r="D232" i="2"/>
  <c r="D240" i="2"/>
  <c r="D254" i="2"/>
  <c r="D262" i="2"/>
  <c r="D270" i="2"/>
  <c r="D278" i="2"/>
  <c r="E11" i="2"/>
  <c r="E19" i="2"/>
  <c r="E27" i="2"/>
  <c r="E35" i="2"/>
  <c r="E43" i="2"/>
  <c r="E51" i="2"/>
  <c r="E59" i="2"/>
  <c r="E67" i="2"/>
  <c r="E75" i="2"/>
  <c r="E83" i="2"/>
  <c r="E92" i="2"/>
  <c r="E100" i="2"/>
  <c r="E113" i="2"/>
  <c r="E121" i="2"/>
  <c r="E129" i="2"/>
  <c r="E137" i="2"/>
  <c r="E145" i="2"/>
  <c r="E153" i="2"/>
  <c r="E161" i="2"/>
  <c r="E169" i="2"/>
  <c r="E177" i="2"/>
  <c r="E185" i="2"/>
  <c r="E193" i="2"/>
  <c r="E201" i="2"/>
  <c r="E209" i="2"/>
  <c r="E217" i="2"/>
  <c r="E225" i="2"/>
  <c r="E233" i="2"/>
  <c r="E241" i="2"/>
  <c r="E255" i="2"/>
  <c r="E263" i="2"/>
  <c r="E271" i="2"/>
  <c r="F4" i="2"/>
  <c r="F12" i="2"/>
  <c r="F20" i="2"/>
  <c r="F28" i="2"/>
  <c r="F36" i="2"/>
  <c r="F44" i="2"/>
  <c r="F52" i="2"/>
  <c r="F60" i="2"/>
  <c r="F68" i="2"/>
  <c r="F76" i="2"/>
  <c r="F84" i="2"/>
  <c r="F93" i="2"/>
  <c r="F101" i="2"/>
  <c r="F114" i="2"/>
  <c r="F122" i="2"/>
  <c r="F130" i="2"/>
  <c r="F138" i="2"/>
  <c r="F146" i="2"/>
  <c r="F154" i="2"/>
  <c r="F162" i="2"/>
  <c r="F170" i="2"/>
  <c r="F178" i="2"/>
  <c r="F186" i="2"/>
  <c r="F194" i="2"/>
  <c r="F202" i="2"/>
  <c r="F210" i="2"/>
  <c r="F218" i="2"/>
  <c r="F226" i="2"/>
  <c r="F234" i="2"/>
  <c r="F242" i="2"/>
  <c r="F256" i="2"/>
  <c r="F264" i="2"/>
  <c r="F272" i="2"/>
  <c r="G5" i="2"/>
  <c r="G13" i="2"/>
  <c r="G21" i="2"/>
  <c r="G29" i="2"/>
  <c r="G37" i="2"/>
  <c r="G45" i="2"/>
  <c r="G53" i="2"/>
  <c r="G61" i="2"/>
  <c r="G69" i="2"/>
  <c r="G77" i="2"/>
  <c r="G85" i="2"/>
  <c r="G94" i="2"/>
  <c r="G107" i="2"/>
  <c r="G115" i="2"/>
  <c r="G123" i="2"/>
  <c r="G131" i="2"/>
  <c r="G139" i="2"/>
  <c r="G147" i="2"/>
  <c r="G155" i="2"/>
  <c r="G163" i="2"/>
  <c r="G171" i="2"/>
  <c r="G179" i="2"/>
  <c r="G187" i="2"/>
  <c r="G195" i="2"/>
  <c r="G203" i="2"/>
  <c r="G211" i="2"/>
  <c r="G219" i="2"/>
  <c r="G227" i="2"/>
  <c r="G235" i="2"/>
  <c r="G243" i="2"/>
  <c r="G257" i="2"/>
  <c r="G265" i="2"/>
  <c r="G273" i="2"/>
  <c r="H6" i="2"/>
  <c r="H14" i="2"/>
  <c r="H22" i="2"/>
  <c r="H30" i="2"/>
  <c r="H38" i="2"/>
  <c r="H46" i="2"/>
  <c r="H54" i="2"/>
  <c r="H62" i="2"/>
  <c r="H70" i="2"/>
  <c r="H78" i="2"/>
  <c r="H86" i="2"/>
  <c r="H95" i="2"/>
  <c r="H108" i="2"/>
  <c r="H116" i="2"/>
  <c r="H124" i="2"/>
  <c r="H132" i="2"/>
  <c r="H140" i="2"/>
  <c r="H148" i="2"/>
  <c r="H156" i="2"/>
  <c r="H164" i="2"/>
  <c r="H172" i="2"/>
  <c r="H180" i="2"/>
  <c r="H188" i="2"/>
  <c r="H196" i="2"/>
  <c r="H204" i="2"/>
  <c r="H212" i="2"/>
  <c r="H220" i="2"/>
  <c r="H228" i="2"/>
  <c r="H236" i="2"/>
  <c r="H244" i="2"/>
  <c r="H258" i="2"/>
  <c r="H266" i="2"/>
  <c r="H274" i="2"/>
  <c r="I7" i="2"/>
  <c r="I15" i="2"/>
  <c r="I23" i="2"/>
  <c r="I31" i="2"/>
  <c r="I39" i="2"/>
  <c r="I47" i="2"/>
  <c r="I55" i="2"/>
  <c r="I63" i="2"/>
  <c r="I71" i="2"/>
  <c r="I79" i="2"/>
  <c r="I87" i="2"/>
  <c r="I96" i="2"/>
  <c r="I109" i="2"/>
  <c r="I117" i="2"/>
  <c r="I125" i="2"/>
  <c r="I133" i="2"/>
  <c r="I141" i="2"/>
  <c r="I149" i="2"/>
  <c r="I157" i="2"/>
  <c r="I165" i="2"/>
  <c r="I173" i="2"/>
  <c r="I181" i="2"/>
  <c r="I189" i="2"/>
  <c r="I197" i="2"/>
  <c r="I205" i="2"/>
  <c r="I213" i="2"/>
  <c r="I221" i="2"/>
  <c r="I229" i="2"/>
  <c r="I237" i="2"/>
  <c r="I251" i="2"/>
  <c r="I259" i="2"/>
  <c r="I267" i="2"/>
  <c r="I275" i="2"/>
  <c r="J8" i="2"/>
  <c r="J16" i="2"/>
  <c r="J24" i="2"/>
  <c r="J32" i="2"/>
  <c r="J40" i="2"/>
  <c r="J48" i="2"/>
  <c r="J56" i="2"/>
  <c r="J64" i="2"/>
  <c r="J72" i="2"/>
  <c r="J80" i="2"/>
  <c r="J88" i="2"/>
  <c r="J97" i="2"/>
  <c r="J110" i="2"/>
  <c r="J118" i="2"/>
  <c r="J126" i="2"/>
  <c r="J134" i="2"/>
  <c r="J142" i="2"/>
  <c r="J150" i="2"/>
  <c r="J158" i="2"/>
  <c r="J166" i="2"/>
  <c r="J174" i="2"/>
  <c r="J182" i="2"/>
  <c r="J190" i="2"/>
  <c r="J198" i="2"/>
  <c r="J206" i="2"/>
  <c r="J214" i="2"/>
  <c r="J222" i="2"/>
  <c r="J230" i="2"/>
  <c r="J238" i="2"/>
  <c r="J252" i="2"/>
  <c r="J260" i="2"/>
  <c r="J268" i="2"/>
  <c r="J276" i="2"/>
  <c r="K9" i="2"/>
  <c r="K17" i="2"/>
  <c r="K25" i="2"/>
  <c r="K33" i="2"/>
  <c r="K41" i="2"/>
  <c r="K49" i="2"/>
  <c r="K57" i="2"/>
  <c r="K65" i="2"/>
  <c r="K73" i="2"/>
  <c r="K81" i="2"/>
  <c r="K89" i="2"/>
  <c r="K98" i="2"/>
  <c r="K111" i="2"/>
  <c r="K119" i="2"/>
  <c r="K127" i="2"/>
  <c r="K135" i="2"/>
  <c r="K143" i="2"/>
  <c r="K151" i="2"/>
  <c r="K159" i="2"/>
  <c r="K167" i="2"/>
  <c r="K175" i="2"/>
  <c r="K183" i="2"/>
  <c r="K191" i="2"/>
  <c r="K199" i="2"/>
  <c r="K207" i="2"/>
  <c r="K215" i="2"/>
  <c r="K223" i="2"/>
  <c r="K231" i="2"/>
  <c r="K239" i="2"/>
  <c r="K253" i="2"/>
  <c r="K261" i="2"/>
  <c r="K269" i="2"/>
  <c r="K277" i="2"/>
  <c r="L10" i="2"/>
  <c r="L18" i="2"/>
  <c r="L26" i="2"/>
  <c r="L34" i="2"/>
  <c r="L42" i="2"/>
  <c r="L50" i="2"/>
  <c r="L58" i="2"/>
  <c r="L66" i="2"/>
  <c r="L74" i="2"/>
  <c r="L82" i="2"/>
  <c r="L90" i="2"/>
  <c r="L99" i="2"/>
  <c r="L112" i="2"/>
  <c r="L120" i="2"/>
  <c r="L128" i="2"/>
  <c r="L136" i="2"/>
  <c r="L144" i="2"/>
  <c r="L152" i="2"/>
  <c r="L160" i="2"/>
  <c r="L168" i="2"/>
  <c r="L176" i="2"/>
  <c r="L184" i="2"/>
  <c r="L192" i="2"/>
  <c r="L200" i="2"/>
  <c r="L208" i="2"/>
  <c r="L216" i="2"/>
  <c r="L224" i="2"/>
  <c r="L232" i="2"/>
  <c r="L240" i="2"/>
  <c r="L254" i="2"/>
  <c r="L262" i="2"/>
  <c r="L270" i="2"/>
  <c r="L278" i="2"/>
  <c r="M11" i="2"/>
  <c r="M19" i="2"/>
  <c r="M27" i="2"/>
  <c r="M35" i="2"/>
  <c r="M43" i="2"/>
  <c r="M51" i="2"/>
  <c r="M59" i="2"/>
  <c r="M67" i="2"/>
  <c r="M75" i="2"/>
  <c r="M80" i="2"/>
  <c r="M85" i="2"/>
  <c r="M92" i="2"/>
  <c r="M97" i="2"/>
  <c r="M107" i="2"/>
  <c r="M113" i="2"/>
  <c r="M118" i="2"/>
  <c r="M123" i="2"/>
  <c r="M129" i="2"/>
  <c r="M134" i="2"/>
  <c r="M139" i="2"/>
  <c r="M145" i="2"/>
  <c r="M150" i="2"/>
  <c r="M155" i="2"/>
  <c r="M161" i="2"/>
  <c r="M166" i="2"/>
  <c r="M171" i="2"/>
  <c r="M177" i="2"/>
  <c r="M182" i="2"/>
  <c r="M187" i="2"/>
  <c r="M193" i="2"/>
  <c r="M198" i="2"/>
  <c r="M203" i="2"/>
  <c r="M209" i="2"/>
  <c r="M214" i="2"/>
  <c r="M219" i="2"/>
  <c r="M225" i="2"/>
  <c r="M230" i="2"/>
  <c r="M235" i="2"/>
  <c r="M241" i="2"/>
  <c r="M251" i="2"/>
  <c r="M255" i="2"/>
  <c r="M259" i="2"/>
  <c r="M263" i="2"/>
  <c r="M267" i="2"/>
  <c r="M271" i="2"/>
  <c r="M275" i="2"/>
  <c r="N4" i="2"/>
  <c r="N8" i="2"/>
  <c r="N12" i="2"/>
  <c r="N16" i="2"/>
  <c r="N20" i="2"/>
  <c r="N24" i="2"/>
  <c r="N28" i="2"/>
  <c r="N32" i="2"/>
  <c r="N36" i="2"/>
  <c r="N40" i="2"/>
  <c r="N44" i="2"/>
  <c r="N48" i="2"/>
  <c r="N52" i="2"/>
  <c r="N56" i="2"/>
  <c r="N60" i="2"/>
  <c r="N64" i="2"/>
  <c r="N68" i="2"/>
  <c r="N72" i="2"/>
  <c r="N76" i="2"/>
  <c r="N80" i="2"/>
  <c r="N84" i="2"/>
  <c r="N88" i="2"/>
  <c r="N93" i="2"/>
  <c r="N97" i="2"/>
  <c r="N101" i="2"/>
  <c r="N110" i="2"/>
  <c r="N114" i="2"/>
  <c r="N118" i="2"/>
  <c r="N122" i="2"/>
  <c r="N126" i="2"/>
  <c r="N130" i="2"/>
  <c r="N134" i="2"/>
  <c r="N138" i="2"/>
  <c r="N142" i="2"/>
  <c r="N146" i="2"/>
  <c r="N150" i="2"/>
  <c r="N154" i="2"/>
  <c r="N158" i="2"/>
  <c r="N162" i="2"/>
  <c r="N166" i="2"/>
  <c r="N170" i="2"/>
  <c r="N174" i="2"/>
  <c r="N178" i="2"/>
  <c r="N182" i="2"/>
  <c r="N186" i="2"/>
  <c r="N190" i="2"/>
  <c r="N194" i="2"/>
  <c r="N198" i="2"/>
  <c r="N202" i="2"/>
  <c r="N206" i="2"/>
  <c r="N210" i="2"/>
  <c r="N214" i="2"/>
  <c r="N218" i="2"/>
  <c r="N222" i="2"/>
  <c r="N226" i="2"/>
  <c r="N230" i="2"/>
  <c r="N234" i="2"/>
  <c r="N238" i="2"/>
  <c r="N242" i="2"/>
  <c r="N252" i="2"/>
  <c r="N256" i="2"/>
  <c r="N260" i="2"/>
  <c r="N264" i="2"/>
  <c r="N268" i="2"/>
  <c r="N272" i="2"/>
  <c r="N276" i="2"/>
  <c r="O5" i="2"/>
  <c r="O9" i="2"/>
  <c r="O13" i="2"/>
  <c r="O17" i="2"/>
  <c r="O21" i="2"/>
  <c r="O25" i="2"/>
  <c r="O29" i="2"/>
  <c r="O33" i="2"/>
  <c r="O37" i="2"/>
  <c r="O41" i="2"/>
  <c r="O45" i="2"/>
  <c r="O49" i="2"/>
  <c r="O53" i="2"/>
  <c r="O57" i="2"/>
  <c r="O61" i="2"/>
  <c r="O65" i="2"/>
  <c r="O69" i="2"/>
  <c r="O73" i="2"/>
  <c r="O77" i="2"/>
  <c r="O81" i="2"/>
  <c r="O85" i="2"/>
  <c r="O89" i="2"/>
  <c r="O94" i="2"/>
  <c r="O98" i="2"/>
  <c r="O107" i="2"/>
  <c r="O111" i="2"/>
  <c r="O115" i="2"/>
  <c r="O119" i="2"/>
  <c r="O123" i="2"/>
  <c r="O127" i="2"/>
  <c r="O131" i="2"/>
  <c r="O135" i="2"/>
  <c r="O139" i="2"/>
  <c r="O143" i="2"/>
  <c r="O147" i="2"/>
  <c r="O151" i="2"/>
  <c r="O155" i="2"/>
  <c r="O159" i="2"/>
  <c r="O163" i="2"/>
  <c r="O167" i="2"/>
  <c r="O171" i="2"/>
  <c r="O175" i="2"/>
  <c r="O179" i="2"/>
  <c r="O183" i="2"/>
  <c r="O187" i="2"/>
  <c r="O191" i="2"/>
  <c r="O195" i="2"/>
  <c r="O199" i="2"/>
  <c r="O203" i="2"/>
  <c r="O207" i="2"/>
  <c r="O211" i="2"/>
  <c r="O215" i="2"/>
  <c r="O219" i="2"/>
  <c r="O223" i="2"/>
  <c r="O227" i="2"/>
  <c r="O231" i="2"/>
  <c r="O235" i="2"/>
  <c r="O239" i="2"/>
  <c r="O243" i="2"/>
  <c r="O253" i="2"/>
  <c r="O257" i="2"/>
  <c r="O261" i="2"/>
  <c r="O265" i="2"/>
  <c r="O269" i="2"/>
  <c r="O273" i="2"/>
  <c r="O277" i="2"/>
  <c r="P6" i="2"/>
  <c r="P10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5" i="2"/>
  <c r="P99" i="2"/>
  <c r="P108" i="2"/>
  <c r="P112" i="2"/>
  <c r="P116" i="2"/>
  <c r="P120" i="2"/>
  <c r="P124" i="2"/>
  <c r="P128" i="2"/>
  <c r="P132" i="2"/>
  <c r="P136" i="2"/>
  <c r="P140" i="2"/>
  <c r="P144" i="2"/>
  <c r="P148" i="2"/>
  <c r="P152" i="2"/>
  <c r="P156" i="2"/>
  <c r="P160" i="2"/>
  <c r="P164" i="2"/>
  <c r="P168" i="2"/>
  <c r="P172" i="2"/>
  <c r="P176" i="2"/>
  <c r="P180" i="2"/>
  <c r="P184" i="2"/>
  <c r="P188" i="2"/>
  <c r="P192" i="2"/>
  <c r="P196" i="2"/>
  <c r="P200" i="2"/>
  <c r="P204" i="2"/>
  <c r="P208" i="2"/>
  <c r="P212" i="2"/>
  <c r="P216" i="2"/>
  <c r="P220" i="2"/>
  <c r="P224" i="2"/>
  <c r="P228" i="2"/>
  <c r="P232" i="2"/>
  <c r="P236" i="2"/>
  <c r="P240" i="2"/>
  <c r="P244" i="2"/>
  <c r="P254" i="2"/>
  <c r="P258" i="2"/>
  <c r="P262" i="2"/>
  <c r="P266" i="2"/>
  <c r="P270" i="2"/>
  <c r="P274" i="2"/>
  <c r="P278" i="2"/>
  <c r="Q7" i="2"/>
  <c r="Q11" i="2"/>
  <c r="Q15" i="2"/>
  <c r="Q19" i="2"/>
  <c r="Q23" i="2"/>
  <c r="Q27" i="2"/>
  <c r="Q31" i="2"/>
  <c r="Q35" i="2"/>
  <c r="Q39" i="2"/>
  <c r="Q43" i="2"/>
  <c r="Q47" i="2"/>
  <c r="Q51" i="2"/>
  <c r="Q55" i="2"/>
  <c r="Q59" i="2"/>
  <c r="Q63" i="2"/>
  <c r="Q67" i="2"/>
  <c r="Q71" i="2"/>
  <c r="Q75" i="2"/>
  <c r="Q79" i="2"/>
  <c r="Q83" i="2"/>
  <c r="Q87" i="2"/>
  <c r="Q92" i="2"/>
  <c r="Q96" i="2"/>
  <c r="Q100" i="2"/>
  <c r="Q109" i="2"/>
  <c r="Q113" i="2"/>
  <c r="Q117" i="2"/>
  <c r="Q121" i="2"/>
  <c r="Q125" i="2"/>
  <c r="Q129" i="2"/>
  <c r="Q133" i="2"/>
  <c r="Q137" i="2"/>
  <c r="Q141" i="2"/>
  <c r="Q145" i="2"/>
  <c r="Q149" i="2"/>
  <c r="Q153" i="2"/>
  <c r="Q157" i="2"/>
  <c r="Q161" i="2"/>
  <c r="Q165" i="2"/>
  <c r="Q169" i="2"/>
  <c r="Q173" i="2"/>
  <c r="Q177" i="2"/>
  <c r="Q181" i="2"/>
  <c r="Q185" i="2"/>
  <c r="Q189" i="2"/>
  <c r="Q193" i="2"/>
  <c r="Q197" i="2"/>
  <c r="Q201" i="2"/>
  <c r="Q205" i="2"/>
  <c r="Q209" i="2"/>
  <c r="Q213" i="2"/>
  <c r="Q217" i="2"/>
  <c r="Q221" i="2"/>
  <c r="Q225" i="2"/>
  <c r="Q229" i="2"/>
  <c r="Q233" i="2"/>
  <c r="Q237" i="2"/>
  <c r="Q241" i="2"/>
  <c r="Q251" i="2"/>
  <c r="Q255" i="2"/>
  <c r="Q259" i="2"/>
  <c r="Q263" i="2"/>
  <c r="Q267" i="2"/>
  <c r="Q271" i="2"/>
  <c r="Q275" i="2"/>
  <c r="R4" i="2"/>
  <c r="R8" i="2"/>
  <c r="R12" i="2"/>
  <c r="R16" i="2"/>
  <c r="R20" i="2"/>
  <c r="R24" i="2"/>
  <c r="R28" i="2"/>
  <c r="R32" i="2"/>
  <c r="R36" i="2"/>
  <c r="R40" i="2"/>
  <c r="R44" i="2"/>
  <c r="R48" i="2"/>
  <c r="R52" i="2"/>
  <c r="R56" i="2"/>
  <c r="R60" i="2"/>
  <c r="R64" i="2"/>
  <c r="R68" i="2"/>
  <c r="R72" i="2"/>
  <c r="R76" i="2"/>
  <c r="R80" i="2"/>
  <c r="R84" i="2"/>
  <c r="R88" i="2"/>
  <c r="R93" i="2"/>
  <c r="R97" i="2"/>
  <c r="R101" i="2"/>
  <c r="R110" i="2"/>
  <c r="R114" i="2"/>
  <c r="R118" i="2"/>
  <c r="R122" i="2"/>
  <c r="R126" i="2"/>
  <c r="R130" i="2"/>
  <c r="R134" i="2"/>
  <c r="R138" i="2"/>
  <c r="R142" i="2"/>
  <c r="R146" i="2"/>
  <c r="R150" i="2"/>
  <c r="R154" i="2"/>
  <c r="R158" i="2"/>
  <c r="R162" i="2"/>
  <c r="R166" i="2"/>
  <c r="R170" i="2"/>
  <c r="R174" i="2"/>
  <c r="R178" i="2"/>
  <c r="R182" i="2"/>
  <c r="R186" i="2"/>
  <c r="R190" i="2"/>
  <c r="R194" i="2"/>
  <c r="R198" i="2"/>
  <c r="R202" i="2"/>
  <c r="R206" i="2"/>
  <c r="R210" i="2"/>
  <c r="R214" i="2"/>
  <c r="R218" i="2"/>
  <c r="R222" i="2"/>
  <c r="R226" i="2"/>
  <c r="R230" i="2"/>
  <c r="R234" i="2"/>
  <c r="R238" i="2"/>
  <c r="R242" i="2"/>
  <c r="R252" i="2"/>
  <c r="R256" i="2"/>
  <c r="R260" i="2"/>
  <c r="R264" i="2"/>
  <c r="R268" i="2"/>
  <c r="R272" i="2"/>
  <c r="R276" i="2"/>
  <c r="S5" i="2"/>
  <c r="S9" i="2"/>
  <c r="S13" i="2"/>
  <c r="S17" i="2"/>
  <c r="S21" i="2"/>
  <c r="S25" i="2"/>
  <c r="S29" i="2"/>
  <c r="S33" i="2"/>
  <c r="S37" i="2"/>
  <c r="S41" i="2"/>
  <c r="S45" i="2"/>
  <c r="S49" i="2"/>
  <c r="S53" i="2"/>
  <c r="S57" i="2"/>
  <c r="S61" i="2"/>
  <c r="S65" i="2"/>
  <c r="S69" i="2"/>
  <c r="S73" i="2"/>
  <c r="S77" i="2"/>
  <c r="S81" i="2"/>
  <c r="S85" i="2"/>
  <c r="S89" i="2"/>
  <c r="S94" i="2"/>
  <c r="S98" i="2"/>
  <c r="S107" i="2"/>
  <c r="S111" i="2"/>
  <c r="S115" i="2"/>
  <c r="S119" i="2"/>
  <c r="S123" i="2"/>
  <c r="S127" i="2"/>
  <c r="S131" i="2"/>
  <c r="S135" i="2"/>
  <c r="S139" i="2"/>
  <c r="S143" i="2"/>
  <c r="S147" i="2"/>
  <c r="S151" i="2"/>
  <c r="S155" i="2"/>
  <c r="S159" i="2"/>
  <c r="S163" i="2"/>
  <c r="S167" i="2"/>
  <c r="S171" i="2"/>
  <c r="S175" i="2"/>
  <c r="S179" i="2"/>
  <c r="S183" i="2"/>
  <c r="S187" i="2"/>
  <c r="S191" i="2"/>
  <c r="S195" i="2"/>
  <c r="S199" i="2"/>
  <c r="S203" i="2"/>
  <c r="S207" i="2"/>
  <c r="S211" i="2"/>
  <c r="S215" i="2"/>
  <c r="S219" i="2"/>
  <c r="S223" i="2"/>
  <c r="S227" i="2"/>
  <c r="S231" i="2"/>
  <c r="S235" i="2"/>
  <c r="S239" i="2"/>
  <c r="S243" i="2"/>
  <c r="S253" i="2"/>
  <c r="S257" i="2"/>
  <c r="S261" i="2"/>
  <c r="S265" i="2"/>
  <c r="S269" i="2"/>
  <c r="S273" i="2"/>
  <c r="S277" i="2"/>
  <c r="T6" i="2"/>
  <c r="T10" i="2"/>
  <c r="T14" i="2"/>
  <c r="T18" i="2"/>
  <c r="T22" i="2"/>
  <c r="T26" i="2"/>
  <c r="T30" i="2"/>
  <c r="T34" i="2"/>
  <c r="T38" i="2"/>
  <c r="T42" i="2"/>
  <c r="T46" i="2"/>
  <c r="T50" i="2"/>
  <c r="T54" i="2"/>
  <c r="T58" i="2"/>
  <c r="T62" i="2"/>
  <c r="T66" i="2"/>
  <c r="T70" i="2"/>
  <c r="T74" i="2"/>
  <c r="T78" i="2"/>
  <c r="T82" i="2"/>
  <c r="T86" i="2"/>
  <c r="T90" i="2"/>
  <c r="T95" i="2"/>
  <c r="T99" i="2"/>
  <c r="T108" i="2"/>
  <c r="T112" i="2"/>
  <c r="T116" i="2"/>
  <c r="T120" i="2"/>
  <c r="T124" i="2"/>
  <c r="T128" i="2"/>
  <c r="T132" i="2"/>
  <c r="T136" i="2"/>
  <c r="T140" i="2"/>
  <c r="T144" i="2"/>
  <c r="T148" i="2"/>
  <c r="T152" i="2"/>
  <c r="T156" i="2"/>
  <c r="T160" i="2"/>
  <c r="T164" i="2"/>
  <c r="T168" i="2"/>
  <c r="T172" i="2"/>
  <c r="T176" i="2"/>
  <c r="T180" i="2"/>
  <c r="T184" i="2"/>
  <c r="T188" i="2"/>
  <c r="T192" i="2"/>
  <c r="T196" i="2"/>
  <c r="T200" i="2"/>
  <c r="T204" i="2"/>
  <c r="T208" i="2"/>
  <c r="T212" i="2"/>
  <c r="T216" i="2"/>
  <c r="T220" i="2"/>
  <c r="T224" i="2"/>
  <c r="T228" i="2"/>
  <c r="T232" i="2"/>
  <c r="T236" i="2"/>
  <c r="T240" i="2"/>
  <c r="T244" i="2"/>
  <c r="T254" i="2"/>
  <c r="T258" i="2"/>
  <c r="T262" i="2"/>
  <c r="T266" i="2"/>
  <c r="T270" i="2"/>
  <c r="T274" i="2"/>
  <c r="T278" i="2"/>
  <c r="U7" i="2"/>
  <c r="U11" i="2"/>
  <c r="U15" i="2"/>
  <c r="U19" i="2"/>
  <c r="U23" i="2"/>
  <c r="U27" i="2"/>
  <c r="U31" i="2"/>
  <c r="U35" i="2"/>
  <c r="U39" i="2"/>
  <c r="U43" i="2"/>
  <c r="U47" i="2"/>
  <c r="U51" i="2"/>
  <c r="U55" i="2"/>
  <c r="U59" i="2"/>
  <c r="U63" i="2"/>
  <c r="U67" i="2"/>
  <c r="U71" i="2"/>
  <c r="U75" i="2"/>
  <c r="U79" i="2"/>
  <c r="U83" i="2"/>
  <c r="U87" i="2"/>
  <c r="U92" i="2"/>
  <c r="U96" i="2"/>
  <c r="U100" i="2"/>
  <c r="U109" i="2"/>
  <c r="U113" i="2"/>
  <c r="U117" i="2"/>
  <c r="U121" i="2"/>
  <c r="U125" i="2"/>
  <c r="U129" i="2"/>
  <c r="U133" i="2"/>
  <c r="U137" i="2"/>
  <c r="U141" i="2"/>
  <c r="U145" i="2"/>
  <c r="U149" i="2"/>
  <c r="U153" i="2"/>
  <c r="U157" i="2"/>
  <c r="U161" i="2"/>
  <c r="U165" i="2"/>
  <c r="U169" i="2"/>
  <c r="U173" i="2"/>
  <c r="U177" i="2"/>
  <c r="U181" i="2"/>
  <c r="U185" i="2"/>
  <c r="U189" i="2"/>
  <c r="U193" i="2"/>
  <c r="U197" i="2"/>
  <c r="U201" i="2"/>
  <c r="U205" i="2"/>
  <c r="U209" i="2"/>
  <c r="U213" i="2"/>
  <c r="U217" i="2"/>
  <c r="U221" i="2"/>
  <c r="U225" i="2"/>
  <c r="U229" i="2"/>
  <c r="U233" i="2"/>
  <c r="U237" i="2"/>
  <c r="U241" i="2"/>
  <c r="U251" i="2"/>
  <c r="U255" i="2"/>
  <c r="U259" i="2"/>
  <c r="U263" i="2"/>
  <c r="U267" i="2"/>
  <c r="U271" i="2"/>
  <c r="U275" i="2"/>
  <c r="V4" i="2"/>
  <c r="V8" i="2"/>
  <c r="V12" i="2"/>
  <c r="V16" i="2"/>
  <c r="V20" i="2"/>
  <c r="V24" i="2"/>
  <c r="V28" i="2"/>
  <c r="V32" i="2"/>
  <c r="V36" i="2"/>
  <c r="V40" i="2"/>
  <c r="V44" i="2"/>
  <c r="V48" i="2"/>
  <c r="V52" i="2"/>
  <c r="V56" i="2"/>
  <c r="V60" i="2"/>
  <c r="V64" i="2"/>
  <c r="V68" i="2"/>
  <c r="V72" i="2"/>
  <c r="V76" i="2"/>
  <c r="V80" i="2"/>
  <c r="V84" i="2"/>
  <c r="V88" i="2"/>
  <c r="V93" i="2"/>
  <c r="V97" i="2"/>
  <c r="V101" i="2"/>
  <c r="V110" i="2"/>
  <c r="V114" i="2"/>
  <c r="V118" i="2"/>
  <c r="V122" i="2"/>
  <c r="V126" i="2"/>
  <c r="V130" i="2"/>
  <c r="V134" i="2"/>
  <c r="V138" i="2"/>
  <c r="V142" i="2"/>
  <c r="V146" i="2"/>
  <c r="V150" i="2"/>
  <c r="V154" i="2"/>
  <c r="V158" i="2"/>
  <c r="V162" i="2"/>
  <c r="V166" i="2"/>
  <c r="V170" i="2"/>
  <c r="V174" i="2"/>
  <c r="V178" i="2"/>
  <c r="V182" i="2"/>
  <c r="V186" i="2"/>
  <c r="V190" i="2"/>
  <c r="V194" i="2"/>
  <c r="V198" i="2"/>
  <c r="V202" i="2"/>
  <c r="V206" i="2"/>
  <c r="V210" i="2"/>
  <c r="V214" i="2"/>
  <c r="V218" i="2"/>
  <c r="V222" i="2"/>
  <c r="V226" i="2"/>
  <c r="V230" i="2"/>
  <c r="V234" i="2"/>
  <c r="V238" i="2"/>
  <c r="V242" i="2"/>
  <c r="V252" i="2"/>
  <c r="V256" i="2"/>
  <c r="V260" i="2"/>
  <c r="V264" i="2"/>
  <c r="V268" i="2"/>
  <c r="V272" i="2"/>
  <c r="V276" i="2"/>
  <c r="W5" i="2"/>
  <c r="W9" i="2"/>
  <c r="W13" i="2"/>
  <c r="W17" i="2"/>
  <c r="W21" i="2"/>
  <c r="W25" i="2"/>
  <c r="W29" i="2"/>
  <c r="W33" i="2"/>
  <c r="W37" i="2"/>
  <c r="W41" i="2"/>
  <c r="W45" i="2"/>
  <c r="W49" i="2"/>
  <c r="W53" i="2"/>
  <c r="W57" i="2"/>
  <c r="W61" i="2"/>
  <c r="W65" i="2"/>
  <c r="W69" i="2"/>
  <c r="W73" i="2"/>
  <c r="W77" i="2"/>
  <c r="W81" i="2"/>
  <c r="W85" i="2"/>
  <c r="W89" i="2"/>
  <c r="W94" i="2"/>
  <c r="W98" i="2"/>
  <c r="W107" i="2"/>
  <c r="W111" i="2"/>
  <c r="W115" i="2"/>
  <c r="W119" i="2"/>
  <c r="W123" i="2"/>
  <c r="W127" i="2"/>
  <c r="W131" i="2"/>
  <c r="W135" i="2"/>
  <c r="W139" i="2"/>
  <c r="W143" i="2"/>
  <c r="W147" i="2"/>
  <c r="W151" i="2"/>
  <c r="W155" i="2"/>
  <c r="W159" i="2"/>
  <c r="W163" i="2"/>
  <c r="W167" i="2"/>
  <c r="W171" i="2"/>
  <c r="W175" i="2"/>
  <c r="W179" i="2"/>
  <c r="W183" i="2"/>
  <c r="W187" i="2"/>
  <c r="W191" i="2"/>
  <c r="W195" i="2"/>
  <c r="W199" i="2"/>
  <c r="W203" i="2"/>
  <c r="W207" i="2"/>
  <c r="W211" i="2"/>
  <c r="W215" i="2"/>
  <c r="W219" i="2"/>
  <c r="W223" i="2"/>
  <c r="W227" i="2"/>
  <c r="W231" i="2"/>
  <c r="W235" i="2"/>
  <c r="W239" i="2"/>
  <c r="W243" i="2"/>
  <c r="W253" i="2"/>
  <c r="W257" i="2"/>
  <c r="W261" i="2"/>
  <c r="W265" i="2"/>
  <c r="W269" i="2"/>
  <c r="W273" i="2"/>
  <c r="W277" i="2"/>
  <c r="X6" i="2"/>
  <c r="X10" i="2"/>
  <c r="X14" i="2"/>
  <c r="X18" i="2"/>
  <c r="X22" i="2"/>
  <c r="X26" i="2"/>
  <c r="X30" i="2"/>
  <c r="C10" i="2"/>
  <c r="C18" i="2"/>
  <c r="C26" i="2"/>
  <c r="C34" i="2"/>
  <c r="C42" i="2"/>
  <c r="C50" i="2"/>
  <c r="C58" i="2"/>
  <c r="C66" i="2"/>
  <c r="C74" i="2"/>
  <c r="C82" i="2"/>
  <c r="C90" i="2"/>
  <c r="C99" i="2"/>
  <c r="C112" i="2"/>
  <c r="C120" i="2"/>
  <c r="C128" i="2"/>
  <c r="C136" i="2"/>
  <c r="C144" i="2"/>
  <c r="C152" i="2"/>
  <c r="C160" i="2"/>
  <c r="C168" i="2"/>
  <c r="C176" i="2"/>
  <c r="C184" i="2"/>
  <c r="C192" i="2"/>
  <c r="C200" i="2"/>
  <c r="C208" i="2"/>
  <c r="C216" i="2"/>
  <c r="C224" i="2"/>
  <c r="C232" i="2"/>
  <c r="C240" i="2"/>
  <c r="C254" i="2"/>
  <c r="C262" i="2"/>
  <c r="C270" i="2"/>
  <c r="C278" i="2"/>
  <c r="D11" i="2"/>
  <c r="D19" i="2"/>
  <c r="D27" i="2"/>
  <c r="D35" i="2"/>
  <c r="D43" i="2"/>
  <c r="D51" i="2"/>
  <c r="D59" i="2"/>
  <c r="D67" i="2"/>
  <c r="D75" i="2"/>
  <c r="D83" i="2"/>
  <c r="D92" i="2"/>
  <c r="D100" i="2"/>
  <c r="D113" i="2"/>
  <c r="D121" i="2"/>
  <c r="D129" i="2"/>
  <c r="D137" i="2"/>
  <c r="D145" i="2"/>
  <c r="D153" i="2"/>
  <c r="D161" i="2"/>
  <c r="D169" i="2"/>
  <c r="D177" i="2"/>
  <c r="D185" i="2"/>
  <c r="D193" i="2"/>
  <c r="D201" i="2"/>
  <c r="D209" i="2"/>
  <c r="D217" i="2"/>
  <c r="D225" i="2"/>
  <c r="D233" i="2"/>
  <c r="D241" i="2"/>
  <c r="D255" i="2"/>
  <c r="D263" i="2"/>
  <c r="D271" i="2"/>
  <c r="E4" i="2"/>
  <c r="E12" i="2"/>
  <c r="E20" i="2"/>
  <c r="E28" i="2"/>
  <c r="E36" i="2"/>
  <c r="E44" i="2"/>
  <c r="E52" i="2"/>
  <c r="E60" i="2"/>
  <c r="E68" i="2"/>
  <c r="E76" i="2"/>
  <c r="E84" i="2"/>
  <c r="E93" i="2"/>
  <c r="E101" i="2"/>
  <c r="E114" i="2"/>
  <c r="E122" i="2"/>
  <c r="E130" i="2"/>
  <c r="E138" i="2"/>
  <c r="E146" i="2"/>
  <c r="E154" i="2"/>
  <c r="E162" i="2"/>
  <c r="E170" i="2"/>
  <c r="E178" i="2"/>
  <c r="E186" i="2"/>
  <c r="E194" i="2"/>
  <c r="E202" i="2"/>
  <c r="E210" i="2"/>
  <c r="E218" i="2"/>
  <c r="E226" i="2"/>
  <c r="E234" i="2"/>
  <c r="E242" i="2"/>
  <c r="E256" i="2"/>
  <c r="E264" i="2"/>
  <c r="E272" i="2"/>
  <c r="F5" i="2"/>
  <c r="F13" i="2"/>
  <c r="F21" i="2"/>
  <c r="F29" i="2"/>
  <c r="F37" i="2"/>
  <c r="F45" i="2"/>
  <c r="F53" i="2"/>
  <c r="F61" i="2"/>
  <c r="F69" i="2"/>
  <c r="F77" i="2"/>
  <c r="F85" i="2"/>
  <c r="F94" i="2"/>
  <c r="F107" i="2"/>
  <c r="F115" i="2"/>
  <c r="F123" i="2"/>
  <c r="F131" i="2"/>
  <c r="F139" i="2"/>
  <c r="F147" i="2"/>
  <c r="F155" i="2"/>
  <c r="F163" i="2"/>
  <c r="F171" i="2"/>
  <c r="F179" i="2"/>
  <c r="F187" i="2"/>
  <c r="F195" i="2"/>
  <c r="F203" i="2"/>
  <c r="F211" i="2"/>
  <c r="F219" i="2"/>
  <c r="F227" i="2"/>
  <c r="F235" i="2"/>
  <c r="F243" i="2"/>
  <c r="F257" i="2"/>
  <c r="F265" i="2"/>
  <c r="F273" i="2"/>
  <c r="G6" i="2"/>
  <c r="G14" i="2"/>
  <c r="G22" i="2"/>
  <c r="G30" i="2"/>
  <c r="G38" i="2"/>
  <c r="G46" i="2"/>
  <c r="G54" i="2"/>
  <c r="G62" i="2"/>
  <c r="G70" i="2"/>
  <c r="G78" i="2"/>
  <c r="G86" i="2"/>
  <c r="G95" i="2"/>
  <c r="G108" i="2"/>
  <c r="G116" i="2"/>
  <c r="G124" i="2"/>
  <c r="G132" i="2"/>
  <c r="G140" i="2"/>
  <c r="G148" i="2"/>
  <c r="G156" i="2"/>
  <c r="G164" i="2"/>
  <c r="G172" i="2"/>
  <c r="G180" i="2"/>
  <c r="G188" i="2"/>
  <c r="G196" i="2"/>
  <c r="G204" i="2"/>
  <c r="G212" i="2"/>
  <c r="G220" i="2"/>
  <c r="G228" i="2"/>
  <c r="G236" i="2"/>
  <c r="G244" i="2"/>
  <c r="G258" i="2"/>
  <c r="G266" i="2"/>
  <c r="G274" i="2"/>
  <c r="H7" i="2"/>
  <c r="H15" i="2"/>
  <c r="H23" i="2"/>
  <c r="H31" i="2"/>
  <c r="H39" i="2"/>
  <c r="H47" i="2"/>
  <c r="H55" i="2"/>
  <c r="H63" i="2"/>
  <c r="H71" i="2"/>
  <c r="H79" i="2"/>
  <c r="H87" i="2"/>
  <c r="H96" i="2"/>
  <c r="H109" i="2"/>
  <c r="H117" i="2"/>
  <c r="H125" i="2"/>
  <c r="H133" i="2"/>
  <c r="H141" i="2"/>
  <c r="H149" i="2"/>
  <c r="H157" i="2"/>
  <c r="H165" i="2"/>
  <c r="H173" i="2"/>
  <c r="H181" i="2"/>
  <c r="H189" i="2"/>
  <c r="H197" i="2"/>
  <c r="H205" i="2"/>
  <c r="H213" i="2"/>
  <c r="H221" i="2"/>
  <c r="H229" i="2"/>
  <c r="H237" i="2"/>
  <c r="H251" i="2"/>
  <c r="H259" i="2"/>
  <c r="H267" i="2"/>
  <c r="H275" i="2"/>
  <c r="I8" i="2"/>
  <c r="I16" i="2"/>
  <c r="I24" i="2"/>
  <c r="I32" i="2"/>
  <c r="I40" i="2"/>
  <c r="I48" i="2"/>
  <c r="I56" i="2"/>
  <c r="I64" i="2"/>
  <c r="I72" i="2"/>
  <c r="I80" i="2"/>
  <c r="I88" i="2"/>
  <c r="I97" i="2"/>
  <c r="I110" i="2"/>
  <c r="I118" i="2"/>
  <c r="I126" i="2"/>
  <c r="I134" i="2"/>
  <c r="I142" i="2"/>
  <c r="I150" i="2"/>
  <c r="I158" i="2"/>
  <c r="I166" i="2"/>
  <c r="I174" i="2"/>
  <c r="I182" i="2"/>
  <c r="I190" i="2"/>
  <c r="I198" i="2"/>
  <c r="I206" i="2"/>
  <c r="I214" i="2"/>
  <c r="I222" i="2"/>
  <c r="I230" i="2"/>
  <c r="I238" i="2"/>
  <c r="I252" i="2"/>
  <c r="I260" i="2"/>
  <c r="I268" i="2"/>
  <c r="I276" i="2"/>
  <c r="J9" i="2"/>
  <c r="J17" i="2"/>
  <c r="J25" i="2"/>
  <c r="J33" i="2"/>
  <c r="J41" i="2"/>
  <c r="J49" i="2"/>
  <c r="J57" i="2"/>
  <c r="J65" i="2"/>
  <c r="J73" i="2"/>
  <c r="J81" i="2"/>
  <c r="J89" i="2"/>
  <c r="J98" i="2"/>
  <c r="J111" i="2"/>
  <c r="J119" i="2"/>
  <c r="J127" i="2"/>
  <c r="J135" i="2"/>
  <c r="J143" i="2"/>
  <c r="J151" i="2"/>
  <c r="J159" i="2"/>
  <c r="J167" i="2"/>
  <c r="J175" i="2"/>
  <c r="J183" i="2"/>
  <c r="J191" i="2"/>
  <c r="J199" i="2"/>
  <c r="J207" i="2"/>
  <c r="J215" i="2"/>
  <c r="J223" i="2"/>
  <c r="J231" i="2"/>
  <c r="J239" i="2"/>
  <c r="J253" i="2"/>
  <c r="J261" i="2"/>
  <c r="J269" i="2"/>
  <c r="J277" i="2"/>
  <c r="K10" i="2"/>
  <c r="K18" i="2"/>
  <c r="K26" i="2"/>
  <c r="K34" i="2"/>
  <c r="K42" i="2"/>
  <c r="K50" i="2"/>
  <c r="K58" i="2"/>
  <c r="K66" i="2"/>
  <c r="K74" i="2"/>
  <c r="K82" i="2"/>
  <c r="K90" i="2"/>
  <c r="K99" i="2"/>
  <c r="K112" i="2"/>
  <c r="K120" i="2"/>
  <c r="K128" i="2"/>
  <c r="K136" i="2"/>
  <c r="K144" i="2"/>
  <c r="K152" i="2"/>
  <c r="K160" i="2"/>
  <c r="K168" i="2"/>
  <c r="K176" i="2"/>
  <c r="K184" i="2"/>
  <c r="K192" i="2"/>
  <c r="K200" i="2"/>
  <c r="K208" i="2"/>
  <c r="K216" i="2"/>
  <c r="K224" i="2"/>
  <c r="K232" i="2"/>
  <c r="K240" i="2"/>
  <c r="K254" i="2"/>
  <c r="K262" i="2"/>
  <c r="K270" i="2"/>
  <c r="K278" i="2"/>
  <c r="L11" i="2"/>
  <c r="L19" i="2"/>
  <c r="L27" i="2"/>
  <c r="L35" i="2"/>
  <c r="L43" i="2"/>
  <c r="L51" i="2"/>
  <c r="L59" i="2"/>
  <c r="L67" i="2"/>
  <c r="L75" i="2"/>
  <c r="L83" i="2"/>
  <c r="L92" i="2"/>
  <c r="L100" i="2"/>
  <c r="L113" i="2"/>
  <c r="L121" i="2"/>
  <c r="L129" i="2"/>
  <c r="L137" i="2"/>
  <c r="L145" i="2"/>
  <c r="L153" i="2"/>
  <c r="L161" i="2"/>
  <c r="L169" i="2"/>
  <c r="L177" i="2"/>
  <c r="L185" i="2"/>
  <c r="L193" i="2"/>
  <c r="L201" i="2"/>
  <c r="L209" i="2"/>
  <c r="L217" i="2"/>
  <c r="L225" i="2"/>
  <c r="L233" i="2"/>
  <c r="L241" i="2"/>
  <c r="L255" i="2"/>
  <c r="L263" i="2"/>
  <c r="L271" i="2"/>
  <c r="M4" i="2"/>
  <c r="M12" i="2"/>
  <c r="M20" i="2"/>
  <c r="M28" i="2"/>
  <c r="M36" i="2"/>
  <c r="M44" i="2"/>
  <c r="M52" i="2"/>
  <c r="M60" i="2"/>
  <c r="M68" i="2"/>
  <c r="M76" i="2"/>
  <c r="M81" i="2"/>
  <c r="M87" i="2"/>
  <c r="M93" i="2"/>
  <c r="M98" i="2"/>
  <c r="M109" i="2"/>
  <c r="M114" i="2"/>
  <c r="M119" i="2"/>
  <c r="M125" i="2"/>
  <c r="M130" i="2"/>
  <c r="M135" i="2"/>
  <c r="M141" i="2"/>
  <c r="M146" i="2"/>
  <c r="M151" i="2"/>
  <c r="M157" i="2"/>
  <c r="M162" i="2"/>
  <c r="M167" i="2"/>
  <c r="M173" i="2"/>
  <c r="M178" i="2"/>
  <c r="M183" i="2"/>
  <c r="M189" i="2"/>
  <c r="M194" i="2"/>
  <c r="M199" i="2"/>
  <c r="M205" i="2"/>
  <c r="M210" i="2"/>
  <c r="M215" i="2"/>
  <c r="M221" i="2"/>
  <c r="M226" i="2"/>
  <c r="M231" i="2"/>
  <c r="M237" i="2"/>
  <c r="M242" i="2"/>
  <c r="M252" i="2"/>
  <c r="M256" i="2"/>
  <c r="M260" i="2"/>
  <c r="M264" i="2"/>
  <c r="M268" i="2"/>
  <c r="M272" i="2"/>
  <c r="M276" i="2"/>
  <c r="N5" i="2"/>
  <c r="N9" i="2"/>
  <c r="N13" i="2"/>
  <c r="N17" i="2"/>
  <c r="N21" i="2"/>
  <c r="N25" i="2"/>
  <c r="N29" i="2"/>
  <c r="N33" i="2"/>
  <c r="N37" i="2"/>
  <c r="N41" i="2"/>
  <c r="N45" i="2"/>
  <c r="N49" i="2"/>
  <c r="N53" i="2"/>
  <c r="N57" i="2"/>
  <c r="N61" i="2"/>
  <c r="N65" i="2"/>
  <c r="N69" i="2"/>
  <c r="N73" i="2"/>
  <c r="N77" i="2"/>
  <c r="N81" i="2"/>
  <c r="N85" i="2"/>
  <c r="N89" i="2"/>
  <c r="N94" i="2"/>
  <c r="N98" i="2"/>
  <c r="N107" i="2"/>
  <c r="N111" i="2"/>
  <c r="N115" i="2"/>
  <c r="N119" i="2"/>
  <c r="N123" i="2"/>
  <c r="N127" i="2"/>
  <c r="N131" i="2"/>
  <c r="N135" i="2"/>
  <c r="N139" i="2"/>
  <c r="N143" i="2"/>
  <c r="N147" i="2"/>
  <c r="N151" i="2"/>
  <c r="N155" i="2"/>
  <c r="N159" i="2"/>
  <c r="N163" i="2"/>
  <c r="N167" i="2"/>
  <c r="N171" i="2"/>
  <c r="N175" i="2"/>
  <c r="N179" i="2"/>
  <c r="N183" i="2"/>
  <c r="N187" i="2"/>
  <c r="N191" i="2"/>
  <c r="N195" i="2"/>
  <c r="N199" i="2"/>
  <c r="N203" i="2"/>
  <c r="N207" i="2"/>
  <c r="N211" i="2"/>
  <c r="N215" i="2"/>
  <c r="N219" i="2"/>
  <c r="N223" i="2"/>
  <c r="N227" i="2"/>
  <c r="N231" i="2"/>
  <c r="N235" i="2"/>
  <c r="N239" i="2"/>
  <c r="N243" i="2"/>
  <c r="N253" i="2"/>
  <c r="N257" i="2"/>
  <c r="N261" i="2"/>
  <c r="N265" i="2"/>
  <c r="N269" i="2"/>
  <c r="N273" i="2"/>
  <c r="N277" i="2"/>
  <c r="O6" i="2"/>
  <c r="O10" i="2"/>
  <c r="O14" i="2"/>
  <c r="O18" i="2"/>
  <c r="O22" i="2"/>
  <c r="O26" i="2"/>
  <c r="O30" i="2"/>
  <c r="O34" i="2"/>
  <c r="O38" i="2"/>
  <c r="O42" i="2"/>
  <c r="O46" i="2"/>
  <c r="O50" i="2"/>
  <c r="O54" i="2"/>
  <c r="O58" i="2"/>
  <c r="O62" i="2"/>
  <c r="O66" i="2"/>
  <c r="O70" i="2"/>
  <c r="O74" i="2"/>
  <c r="O78" i="2"/>
  <c r="O82" i="2"/>
  <c r="O86" i="2"/>
  <c r="O90" i="2"/>
  <c r="O95" i="2"/>
  <c r="O99" i="2"/>
  <c r="O108" i="2"/>
  <c r="O112" i="2"/>
  <c r="O116" i="2"/>
  <c r="O120" i="2"/>
  <c r="O124" i="2"/>
  <c r="O128" i="2"/>
  <c r="O132" i="2"/>
  <c r="O136" i="2"/>
  <c r="O140" i="2"/>
  <c r="O144" i="2"/>
  <c r="O148" i="2"/>
  <c r="O152" i="2"/>
  <c r="O156" i="2"/>
  <c r="O160" i="2"/>
  <c r="O164" i="2"/>
  <c r="O168" i="2"/>
  <c r="O172" i="2"/>
  <c r="O176" i="2"/>
  <c r="O180" i="2"/>
  <c r="O184" i="2"/>
  <c r="O188" i="2"/>
  <c r="O192" i="2"/>
  <c r="O196" i="2"/>
  <c r="O200" i="2"/>
  <c r="O204" i="2"/>
  <c r="O208" i="2"/>
  <c r="O212" i="2"/>
  <c r="O216" i="2"/>
  <c r="O220" i="2"/>
  <c r="O224" i="2"/>
  <c r="O228" i="2"/>
  <c r="O232" i="2"/>
  <c r="O236" i="2"/>
  <c r="O240" i="2"/>
  <c r="O244" i="2"/>
  <c r="O254" i="2"/>
  <c r="O258" i="2"/>
  <c r="O262" i="2"/>
  <c r="O266" i="2"/>
  <c r="O270" i="2"/>
  <c r="O274" i="2"/>
  <c r="O278" i="2"/>
  <c r="P7" i="2"/>
  <c r="P11" i="2"/>
  <c r="P15" i="2"/>
  <c r="P19" i="2"/>
  <c r="P23" i="2"/>
  <c r="P27" i="2"/>
  <c r="P31" i="2"/>
  <c r="P35" i="2"/>
  <c r="P39" i="2"/>
  <c r="P43" i="2"/>
  <c r="P47" i="2"/>
  <c r="P51" i="2"/>
  <c r="P55" i="2"/>
  <c r="P59" i="2"/>
  <c r="P63" i="2"/>
  <c r="P67" i="2"/>
  <c r="P71" i="2"/>
  <c r="P75" i="2"/>
  <c r="P79" i="2"/>
  <c r="P83" i="2"/>
  <c r="P87" i="2"/>
  <c r="P92" i="2"/>
  <c r="P96" i="2"/>
  <c r="P100" i="2"/>
  <c r="P109" i="2"/>
  <c r="P113" i="2"/>
  <c r="P117" i="2"/>
  <c r="P121" i="2"/>
  <c r="P125" i="2"/>
  <c r="P129" i="2"/>
  <c r="P133" i="2"/>
  <c r="P137" i="2"/>
  <c r="P141" i="2"/>
  <c r="P145" i="2"/>
  <c r="P149" i="2"/>
  <c r="P153" i="2"/>
  <c r="P157" i="2"/>
  <c r="P161" i="2"/>
  <c r="P165" i="2"/>
  <c r="P169" i="2"/>
  <c r="P173" i="2"/>
  <c r="P177" i="2"/>
  <c r="P181" i="2"/>
  <c r="P185" i="2"/>
  <c r="P189" i="2"/>
  <c r="P193" i="2"/>
  <c r="P197" i="2"/>
  <c r="P201" i="2"/>
  <c r="P205" i="2"/>
  <c r="P209" i="2"/>
  <c r="P213" i="2"/>
  <c r="P217" i="2"/>
  <c r="P221" i="2"/>
  <c r="P225" i="2"/>
  <c r="P229" i="2"/>
  <c r="P233" i="2"/>
  <c r="P237" i="2"/>
  <c r="P241" i="2"/>
  <c r="P251" i="2"/>
  <c r="P255" i="2"/>
  <c r="P259" i="2"/>
  <c r="P263" i="2"/>
  <c r="P267" i="2"/>
  <c r="P271" i="2"/>
  <c r="P275" i="2"/>
  <c r="Q4" i="2"/>
  <c r="Q8" i="2"/>
  <c r="Q12" i="2"/>
  <c r="Q16" i="2"/>
  <c r="Q20" i="2"/>
  <c r="Q24" i="2"/>
  <c r="Q28" i="2"/>
  <c r="Q32" i="2"/>
  <c r="Q36" i="2"/>
  <c r="Q40" i="2"/>
  <c r="Q44" i="2"/>
  <c r="Q48" i="2"/>
  <c r="Q52" i="2"/>
  <c r="Q56" i="2"/>
  <c r="Q60" i="2"/>
  <c r="Q64" i="2"/>
  <c r="Q68" i="2"/>
  <c r="Q72" i="2"/>
  <c r="Q76" i="2"/>
  <c r="Q80" i="2"/>
  <c r="Q84" i="2"/>
  <c r="Q88" i="2"/>
  <c r="Q93" i="2"/>
  <c r="Q97" i="2"/>
  <c r="Q101" i="2"/>
  <c r="Q110" i="2"/>
  <c r="Q114" i="2"/>
  <c r="Q118" i="2"/>
  <c r="Q122" i="2"/>
  <c r="Q126" i="2"/>
  <c r="Q130" i="2"/>
  <c r="Q134" i="2"/>
  <c r="Q138" i="2"/>
  <c r="Q142" i="2"/>
  <c r="Q146" i="2"/>
  <c r="Q150" i="2"/>
  <c r="Q154" i="2"/>
  <c r="Q158" i="2"/>
  <c r="Q162" i="2"/>
  <c r="Q166" i="2"/>
  <c r="Q170" i="2"/>
  <c r="Q174" i="2"/>
  <c r="Q178" i="2"/>
  <c r="Q182" i="2"/>
  <c r="Q186" i="2"/>
  <c r="Q190" i="2"/>
  <c r="Q194" i="2"/>
  <c r="Q198" i="2"/>
  <c r="Q202" i="2"/>
  <c r="Q206" i="2"/>
  <c r="Q210" i="2"/>
  <c r="Q214" i="2"/>
  <c r="Q218" i="2"/>
  <c r="Q222" i="2"/>
  <c r="Q226" i="2"/>
  <c r="Q230" i="2"/>
  <c r="Q234" i="2"/>
  <c r="Q238" i="2"/>
  <c r="Q242" i="2"/>
  <c r="Q252" i="2"/>
  <c r="Q256" i="2"/>
  <c r="Q260" i="2"/>
  <c r="Q264" i="2"/>
  <c r="Q268" i="2"/>
  <c r="Q272" i="2"/>
  <c r="Q276" i="2"/>
  <c r="R5" i="2"/>
  <c r="R9" i="2"/>
  <c r="R13" i="2"/>
  <c r="R17" i="2"/>
  <c r="R21" i="2"/>
  <c r="R25" i="2"/>
  <c r="R29" i="2"/>
  <c r="R33" i="2"/>
  <c r="R37" i="2"/>
  <c r="R41" i="2"/>
  <c r="R45" i="2"/>
  <c r="R49" i="2"/>
  <c r="R53" i="2"/>
  <c r="R57" i="2"/>
  <c r="R61" i="2"/>
  <c r="R65" i="2"/>
  <c r="R69" i="2"/>
  <c r="R73" i="2"/>
  <c r="R77" i="2"/>
  <c r="R81" i="2"/>
  <c r="R85" i="2"/>
  <c r="R89" i="2"/>
  <c r="R94" i="2"/>
  <c r="R98" i="2"/>
  <c r="R107" i="2"/>
  <c r="R111" i="2"/>
  <c r="R115" i="2"/>
  <c r="R119" i="2"/>
  <c r="R123" i="2"/>
  <c r="R127" i="2"/>
  <c r="R131" i="2"/>
  <c r="R135" i="2"/>
  <c r="R139" i="2"/>
  <c r="R143" i="2"/>
  <c r="R147" i="2"/>
  <c r="R151" i="2"/>
  <c r="R155" i="2"/>
  <c r="R159" i="2"/>
  <c r="R163" i="2"/>
  <c r="R167" i="2"/>
  <c r="R171" i="2"/>
  <c r="R175" i="2"/>
  <c r="R179" i="2"/>
  <c r="R183" i="2"/>
  <c r="R187" i="2"/>
  <c r="R191" i="2"/>
  <c r="R195" i="2"/>
  <c r="R199" i="2"/>
  <c r="R203" i="2"/>
  <c r="R207" i="2"/>
  <c r="R211" i="2"/>
  <c r="R215" i="2"/>
  <c r="R219" i="2"/>
  <c r="R223" i="2"/>
  <c r="R227" i="2"/>
  <c r="R231" i="2"/>
  <c r="R235" i="2"/>
  <c r="R239" i="2"/>
  <c r="R243" i="2"/>
  <c r="R253" i="2"/>
  <c r="R257" i="2"/>
  <c r="R261" i="2"/>
  <c r="R265" i="2"/>
  <c r="R269" i="2"/>
  <c r="R273" i="2"/>
  <c r="R277" i="2"/>
  <c r="S6" i="2"/>
  <c r="S10" i="2"/>
  <c r="S14" i="2"/>
  <c r="S18" i="2"/>
  <c r="S22" i="2"/>
  <c r="S26" i="2"/>
  <c r="S30" i="2"/>
  <c r="S34" i="2"/>
  <c r="S38" i="2"/>
  <c r="S42" i="2"/>
  <c r="S46" i="2"/>
  <c r="S50" i="2"/>
  <c r="S54" i="2"/>
  <c r="S58" i="2"/>
  <c r="S62" i="2"/>
  <c r="S66" i="2"/>
  <c r="S70" i="2"/>
  <c r="S74" i="2"/>
  <c r="S78" i="2"/>
  <c r="S82" i="2"/>
  <c r="S86" i="2"/>
  <c r="S90" i="2"/>
  <c r="S95" i="2"/>
  <c r="S99" i="2"/>
  <c r="S108" i="2"/>
  <c r="S112" i="2"/>
  <c r="S116" i="2"/>
  <c r="S120" i="2"/>
  <c r="S124" i="2"/>
  <c r="S128" i="2"/>
  <c r="S132" i="2"/>
  <c r="S136" i="2"/>
  <c r="S140" i="2"/>
  <c r="S144" i="2"/>
  <c r="S148" i="2"/>
  <c r="S152" i="2"/>
  <c r="S156" i="2"/>
  <c r="S160" i="2"/>
  <c r="S164" i="2"/>
  <c r="S168" i="2"/>
  <c r="S172" i="2"/>
  <c r="S176" i="2"/>
  <c r="S180" i="2"/>
  <c r="S184" i="2"/>
  <c r="S188" i="2"/>
  <c r="S192" i="2"/>
  <c r="S196" i="2"/>
  <c r="S200" i="2"/>
  <c r="S204" i="2"/>
  <c r="S208" i="2"/>
  <c r="S212" i="2"/>
  <c r="S216" i="2"/>
  <c r="S220" i="2"/>
  <c r="S224" i="2"/>
  <c r="S228" i="2"/>
  <c r="S232" i="2"/>
  <c r="S236" i="2"/>
  <c r="S240" i="2"/>
  <c r="S244" i="2"/>
  <c r="S254" i="2"/>
  <c r="S258" i="2"/>
  <c r="S262" i="2"/>
  <c r="S266" i="2"/>
  <c r="S270" i="2"/>
  <c r="S274" i="2"/>
  <c r="S278" i="2"/>
  <c r="T7" i="2"/>
  <c r="T11" i="2"/>
  <c r="T15" i="2"/>
  <c r="T19" i="2"/>
  <c r="T23" i="2"/>
  <c r="T27" i="2"/>
  <c r="T31" i="2"/>
  <c r="T35" i="2"/>
  <c r="T39" i="2"/>
  <c r="T43" i="2"/>
  <c r="T47" i="2"/>
  <c r="T51" i="2"/>
  <c r="T55" i="2"/>
  <c r="T59" i="2"/>
  <c r="T63" i="2"/>
  <c r="T67" i="2"/>
  <c r="T71" i="2"/>
  <c r="T75" i="2"/>
  <c r="T79" i="2"/>
  <c r="T83" i="2"/>
  <c r="T87" i="2"/>
  <c r="T92" i="2"/>
  <c r="T96" i="2"/>
  <c r="T100" i="2"/>
  <c r="T109" i="2"/>
  <c r="T113" i="2"/>
  <c r="T117" i="2"/>
  <c r="T121" i="2"/>
  <c r="T125" i="2"/>
  <c r="T129" i="2"/>
  <c r="T133" i="2"/>
  <c r="T137" i="2"/>
  <c r="T141" i="2"/>
  <c r="T145" i="2"/>
  <c r="T149" i="2"/>
  <c r="T153" i="2"/>
  <c r="T157" i="2"/>
  <c r="T161" i="2"/>
  <c r="T165" i="2"/>
  <c r="T169" i="2"/>
  <c r="T173" i="2"/>
  <c r="T177" i="2"/>
  <c r="T181" i="2"/>
  <c r="T185" i="2"/>
  <c r="T189" i="2"/>
  <c r="T193" i="2"/>
  <c r="T197" i="2"/>
  <c r="T201" i="2"/>
  <c r="T205" i="2"/>
  <c r="T209" i="2"/>
  <c r="T213" i="2"/>
  <c r="T217" i="2"/>
  <c r="T221" i="2"/>
  <c r="T225" i="2"/>
  <c r="T229" i="2"/>
  <c r="T233" i="2"/>
  <c r="T237" i="2"/>
  <c r="T241" i="2"/>
  <c r="T251" i="2"/>
  <c r="T255" i="2"/>
  <c r="T259" i="2"/>
  <c r="T263" i="2"/>
  <c r="T267" i="2"/>
  <c r="T271" i="2"/>
  <c r="T275" i="2"/>
  <c r="U4" i="2"/>
  <c r="U8" i="2"/>
  <c r="U12" i="2"/>
  <c r="U16" i="2"/>
  <c r="U20" i="2"/>
  <c r="U24" i="2"/>
  <c r="U28" i="2"/>
  <c r="U32" i="2"/>
  <c r="U36" i="2"/>
  <c r="U40" i="2"/>
  <c r="U44" i="2"/>
  <c r="U48" i="2"/>
  <c r="U52" i="2"/>
  <c r="U56" i="2"/>
  <c r="U60" i="2"/>
  <c r="U64" i="2"/>
  <c r="U68" i="2"/>
  <c r="U72" i="2"/>
  <c r="U76" i="2"/>
  <c r="U80" i="2"/>
  <c r="U84" i="2"/>
  <c r="U88" i="2"/>
  <c r="U93" i="2"/>
  <c r="U97" i="2"/>
  <c r="U101" i="2"/>
  <c r="U110" i="2"/>
  <c r="U114" i="2"/>
  <c r="U118" i="2"/>
  <c r="U122" i="2"/>
  <c r="U126" i="2"/>
  <c r="U130" i="2"/>
  <c r="U134" i="2"/>
  <c r="U138" i="2"/>
  <c r="U142" i="2"/>
  <c r="U146" i="2"/>
  <c r="U150" i="2"/>
  <c r="U154" i="2"/>
  <c r="U158" i="2"/>
  <c r="U162" i="2"/>
  <c r="U166" i="2"/>
  <c r="U170" i="2"/>
  <c r="U174" i="2"/>
  <c r="U178" i="2"/>
  <c r="U182" i="2"/>
  <c r="U186" i="2"/>
  <c r="U190" i="2"/>
  <c r="U194" i="2"/>
  <c r="U198" i="2"/>
  <c r="U202" i="2"/>
  <c r="U206" i="2"/>
  <c r="U210" i="2"/>
  <c r="U214" i="2"/>
  <c r="U218" i="2"/>
  <c r="U222" i="2"/>
  <c r="U226" i="2"/>
  <c r="U230" i="2"/>
  <c r="U234" i="2"/>
  <c r="U238" i="2"/>
  <c r="U242" i="2"/>
  <c r="U252" i="2"/>
  <c r="U256" i="2"/>
  <c r="U260" i="2"/>
  <c r="U264" i="2"/>
  <c r="U268" i="2"/>
  <c r="U272" i="2"/>
  <c r="U276" i="2"/>
  <c r="V5" i="2"/>
  <c r="V9" i="2"/>
  <c r="V13" i="2"/>
  <c r="V17" i="2"/>
  <c r="V21" i="2"/>
  <c r="V25" i="2"/>
  <c r="V29" i="2"/>
  <c r="V33" i="2"/>
  <c r="V37" i="2"/>
  <c r="V41" i="2"/>
  <c r="V45" i="2"/>
  <c r="V49" i="2"/>
  <c r="V53" i="2"/>
  <c r="V57" i="2"/>
  <c r="V61" i="2"/>
  <c r="V65" i="2"/>
  <c r="V69" i="2"/>
  <c r="V73" i="2"/>
  <c r="V77" i="2"/>
  <c r="V81" i="2"/>
  <c r="V85" i="2"/>
  <c r="V89" i="2"/>
  <c r="V94" i="2"/>
  <c r="V98" i="2"/>
  <c r="V107" i="2"/>
  <c r="V111" i="2"/>
  <c r="V115" i="2"/>
  <c r="V119" i="2"/>
  <c r="V123" i="2"/>
  <c r="V127" i="2"/>
  <c r="V131" i="2"/>
  <c r="V135" i="2"/>
  <c r="V139" i="2"/>
  <c r="V143" i="2"/>
  <c r="V147" i="2"/>
  <c r="V151" i="2"/>
  <c r="V155" i="2"/>
  <c r="V159" i="2"/>
  <c r="V163" i="2"/>
  <c r="V167" i="2"/>
  <c r="V171" i="2"/>
  <c r="V175" i="2"/>
  <c r="V179" i="2"/>
  <c r="N3" i="2"/>
  <c r="F3" i="2"/>
  <c r="AC3" i="2"/>
  <c r="U3" i="2"/>
  <c r="AA3" i="5"/>
  <c r="O3" i="5"/>
  <c r="G3" i="5"/>
  <c r="AG271" i="2"/>
  <c r="AG263" i="2"/>
  <c r="AG255" i="2"/>
  <c r="AG241" i="2"/>
  <c r="AG233" i="2"/>
  <c r="AG225" i="2"/>
  <c r="AG221" i="2"/>
  <c r="AG213" i="2"/>
  <c r="AG205" i="2"/>
  <c r="AG197" i="2"/>
  <c r="AG189" i="2"/>
  <c r="AG181" i="2"/>
  <c r="AG173" i="2"/>
  <c r="AG165" i="2"/>
  <c r="AG157" i="2"/>
  <c r="AG149" i="2"/>
  <c r="AG141" i="2"/>
  <c r="AG133" i="2"/>
  <c r="AG125" i="2"/>
  <c r="AG117" i="2"/>
  <c r="AG109" i="2"/>
  <c r="AG96" i="2"/>
  <c r="AG87" i="2"/>
  <c r="AG79" i="2"/>
  <c r="AG71" i="2"/>
  <c r="AG63" i="2"/>
  <c r="AG55" i="2"/>
  <c r="AG47" i="2"/>
  <c r="AG39" i="2"/>
  <c r="AG31" i="2"/>
  <c r="AG23" i="2"/>
  <c r="AG15" i="2"/>
  <c r="AG7" i="2"/>
  <c r="AF274" i="2"/>
  <c r="AF266" i="2"/>
  <c r="AF258" i="2"/>
  <c r="AF244" i="2"/>
  <c r="AF236" i="2"/>
  <c r="AF228" i="2"/>
  <c r="AF220" i="2"/>
  <c r="AF212" i="2"/>
  <c r="AF204" i="2"/>
  <c r="AF196" i="2"/>
  <c r="AF188" i="2"/>
  <c r="AF176" i="2"/>
  <c r="AF168" i="2"/>
  <c r="AF160" i="2"/>
  <c r="AF152" i="2"/>
  <c r="AF112" i="2"/>
  <c r="AF99" i="2"/>
  <c r="AF90" i="2"/>
  <c r="AF82" i="2"/>
  <c r="AF74" i="2"/>
  <c r="AF66" i="2"/>
  <c r="AF58" i="2"/>
  <c r="AF50" i="2"/>
  <c r="AF42" i="2"/>
  <c r="AF34" i="2"/>
  <c r="AF30" i="2"/>
  <c r="AF22" i="2"/>
  <c r="AF14" i="2"/>
  <c r="AE277" i="2"/>
  <c r="AE269" i="2"/>
  <c r="AE261" i="2"/>
  <c r="AE253" i="2"/>
  <c r="AE239" i="2"/>
  <c r="AE231" i="2"/>
  <c r="AE223" i="2"/>
  <c r="AE215" i="2"/>
  <c r="AE207" i="2"/>
  <c r="AE199" i="2"/>
  <c r="AE191" i="2"/>
  <c r="AE183" i="2"/>
  <c r="AE175" i="2"/>
  <c r="AE167" i="2"/>
  <c r="AE159" i="2"/>
  <c r="AE151" i="2"/>
  <c r="AE143" i="2"/>
  <c r="AE135" i="2"/>
  <c r="AE131" i="2"/>
  <c r="AE123" i="2"/>
  <c r="AE115" i="2"/>
  <c r="AE107" i="2"/>
  <c r="AE94" i="2"/>
  <c r="AE85" i="2"/>
  <c r="AE77" i="2"/>
  <c r="AE69" i="2"/>
  <c r="AE61" i="2"/>
  <c r="AE53" i="2"/>
  <c r="AE45" i="2"/>
  <c r="AE37" i="2"/>
  <c r="AE29" i="2"/>
  <c r="AE21" i="2"/>
  <c r="AE13" i="2"/>
  <c r="AE5" i="2"/>
  <c r="AD272" i="2"/>
  <c r="AD264" i="2"/>
  <c r="AD256" i="2"/>
  <c r="AD242" i="2"/>
  <c r="AD234" i="2"/>
  <c r="AD226" i="2"/>
  <c r="AD218" i="2"/>
  <c r="AD210" i="2"/>
  <c r="AD202" i="2"/>
  <c r="AD194" i="2"/>
  <c r="AD190" i="2"/>
  <c r="AD182" i="2"/>
  <c r="AD174" i="2"/>
  <c r="AD166" i="2"/>
  <c r="AD158" i="2"/>
  <c r="AD150" i="2"/>
  <c r="AD142" i="2"/>
  <c r="AD134" i="2"/>
  <c r="AD126" i="2"/>
  <c r="AD118" i="2"/>
  <c r="AD110" i="2"/>
  <c r="AD97" i="2"/>
  <c r="AD88" i="2"/>
  <c r="AD80" i="2"/>
  <c r="AD72" i="2"/>
  <c r="AD64" i="2"/>
  <c r="AD56" i="2"/>
  <c r="AD48" i="2"/>
  <c r="AD40" i="2"/>
  <c r="AD32" i="2"/>
  <c r="AD24" i="2"/>
  <c r="AD20" i="2"/>
  <c r="AD12" i="2"/>
  <c r="AD4" i="2"/>
  <c r="AC271" i="2"/>
  <c r="AC263" i="2"/>
  <c r="AC255" i="2"/>
  <c r="AC241" i="2"/>
  <c r="AC233" i="2"/>
  <c r="AC225" i="2"/>
  <c r="AC217" i="2"/>
  <c r="AC209" i="2"/>
  <c r="AC201" i="2"/>
  <c r="AC193" i="2"/>
  <c r="AC185" i="2"/>
  <c r="AC177" i="2"/>
  <c r="AC169" i="2"/>
  <c r="AC161" i="2"/>
  <c r="AC153" i="2"/>
  <c r="AC145" i="2"/>
  <c r="AC137" i="2"/>
  <c r="AC129" i="2"/>
  <c r="AC121" i="2"/>
  <c r="AC117" i="2"/>
  <c r="AC109" i="2"/>
  <c r="AC96" i="2"/>
  <c r="AC87" i="2"/>
  <c r="AC79" i="2"/>
  <c r="AC71" i="2"/>
  <c r="AC63" i="2"/>
  <c r="AC55" i="2"/>
  <c r="AC47" i="2"/>
  <c r="AC39" i="2"/>
  <c r="AC31" i="2"/>
  <c r="AC23" i="2"/>
  <c r="AC15" i="2"/>
  <c r="AC7" i="2"/>
  <c r="AB274" i="2"/>
  <c r="AB266" i="2"/>
  <c r="AB258" i="2"/>
  <c r="AB244" i="2"/>
  <c r="AB236" i="2"/>
  <c r="AB228" i="2"/>
  <c r="AB220" i="2"/>
  <c r="AB208" i="2"/>
  <c r="AB204" i="2"/>
  <c r="AB196" i="2"/>
  <c r="AB188" i="2"/>
  <c r="AB180" i="2"/>
  <c r="AB172" i="2"/>
  <c r="AB164" i="2"/>
  <c r="AB156" i="2"/>
  <c r="AB148" i="2"/>
  <c r="AB140" i="2"/>
  <c r="AB132" i="2"/>
  <c r="AB124" i="2"/>
  <c r="AB116" i="2"/>
  <c r="AB108" i="2"/>
  <c r="AB95" i="2"/>
  <c r="AB86" i="2"/>
  <c r="AB78" i="2"/>
  <c r="AB70" i="2"/>
  <c r="AB66" i="2"/>
  <c r="AB58" i="2"/>
  <c r="AB50" i="2"/>
  <c r="AB42" i="2"/>
  <c r="AB34" i="2"/>
  <c r="AB26" i="2"/>
  <c r="AB18" i="2"/>
  <c r="AB10" i="2"/>
  <c r="AA277" i="2"/>
  <c r="AA269" i="2"/>
  <c r="AA261" i="2"/>
  <c r="AA253" i="2"/>
  <c r="AA239" i="2"/>
  <c r="AA231" i="2"/>
  <c r="AA223" i="2"/>
  <c r="AA215" i="2"/>
  <c r="AA207" i="2"/>
  <c r="AA199" i="2"/>
  <c r="AA191" i="2"/>
  <c r="AA183" i="2"/>
  <c r="AA175" i="2"/>
  <c r="AA167" i="2"/>
  <c r="AA159" i="2"/>
  <c r="AA151" i="2"/>
  <c r="AA143" i="2"/>
  <c r="AA135" i="2"/>
  <c r="AA127" i="2"/>
  <c r="AA119" i="2"/>
  <c r="AA111" i="2"/>
  <c r="AA98" i="2"/>
  <c r="AA89" i="2"/>
  <c r="AA81" i="2"/>
  <c r="AA73" i="2"/>
  <c r="AA65" i="2"/>
  <c r="AA57" i="2"/>
  <c r="AA49" i="2"/>
  <c r="AA41" i="2"/>
  <c r="AA33" i="2"/>
  <c r="AA25" i="2"/>
  <c r="AA17" i="2"/>
  <c r="AA9" i="2"/>
  <c r="Z276" i="2"/>
  <c r="Z268" i="2"/>
  <c r="Z264" i="2"/>
  <c r="Z256" i="2"/>
  <c r="Z242" i="2"/>
  <c r="Z234" i="2"/>
  <c r="Z226" i="2"/>
  <c r="Z218" i="2"/>
  <c r="Z210" i="2"/>
  <c r="Z202" i="2"/>
  <c r="Z194" i="2"/>
  <c r="Z186" i="2"/>
  <c r="Z178" i="2"/>
  <c r="Z170" i="2"/>
  <c r="Z162" i="2"/>
  <c r="Z154" i="2"/>
  <c r="Z146" i="2"/>
  <c r="Z138" i="2"/>
  <c r="Z130" i="2"/>
  <c r="Z122" i="2"/>
  <c r="Z114" i="2"/>
  <c r="Z101" i="2"/>
  <c r="Z93" i="2"/>
  <c r="Z84" i="2"/>
  <c r="Z76" i="2"/>
  <c r="Z68" i="2"/>
  <c r="Z60" i="2"/>
  <c r="Z52" i="2"/>
  <c r="Z44" i="2"/>
  <c r="Z36" i="2"/>
  <c r="Z28" i="2"/>
  <c r="Z20" i="2"/>
  <c r="Z12" i="2"/>
  <c r="Z4" i="2"/>
  <c r="Y271" i="2"/>
  <c r="Y263" i="2"/>
  <c r="Y255" i="2"/>
  <c r="Y241" i="2"/>
  <c r="Y229" i="2"/>
  <c r="Y221" i="2"/>
  <c r="Y213" i="2"/>
  <c r="Y205" i="2"/>
  <c r="Y197" i="2"/>
  <c r="Y189" i="2"/>
  <c r="Y181" i="2"/>
  <c r="Y173" i="2"/>
  <c r="Y165" i="2"/>
  <c r="Y157" i="2"/>
  <c r="Y149" i="2"/>
  <c r="Y141" i="2"/>
  <c r="Y133" i="2"/>
  <c r="Y125" i="2"/>
  <c r="Y117" i="2"/>
  <c r="Y109" i="2"/>
  <c r="Y96" i="2"/>
  <c r="Y87" i="2"/>
  <c r="Y79" i="2"/>
  <c r="Y71" i="2"/>
  <c r="Y63" i="2"/>
  <c r="Y55" i="2"/>
  <c r="Y47" i="2"/>
  <c r="Y39" i="2"/>
  <c r="Y31" i="2"/>
  <c r="Y23" i="2"/>
  <c r="Y19" i="2"/>
  <c r="Y11" i="2"/>
  <c r="X278" i="2"/>
  <c r="X266" i="2"/>
  <c r="X258" i="2"/>
  <c r="X244" i="2"/>
  <c r="X240" i="2"/>
  <c r="X232" i="2"/>
  <c r="X220" i="2"/>
  <c r="X212" i="2"/>
  <c r="X204" i="2"/>
  <c r="X196" i="2"/>
  <c r="X188" i="2"/>
  <c r="X180" i="2"/>
  <c r="X172" i="2"/>
  <c r="X164" i="2"/>
  <c r="X156" i="2"/>
  <c r="X152" i="2"/>
  <c r="X144" i="2"/>
  <c r="X136" i="2"/>
  <c r="X128" i="2"/>
  <c r="X120" i="2"/>
  <c r="X112" i="2"/>
  <c r="X99" i="2"/>
  <c r="X90" i="2"/>
  <c r="X82" i="2"/>
  <c r="X74" i="2"/>
  <c r="X66" i="2"/>
  <c r="X58" i="2"/>
  <c r="X50" i="2"/>
  <c r="X42" i="2"/>
  <c r="X34" i="2"/>
  <c r="X24" i="2"/>
  <c r="X13" i="2"/>
  <c r="W278" i="2"/>
  <c r="W267" i="2"/>
  <c r="W256" i="2"/>
  <c r="W240" i="2"/>
  <c r="W229" i="2"/>
  <c r="W218" i="2"/>
  <c r="W208" i="2"/>
  <c r="W197" i="2"/>
  <c r="W186" i="2"/>
  <c r="W176" i="2"/>
  <c r="W165" i="2"/>
  <c r="W154" i="2"/>
  <c r="W144" i="2"/>
  <c r="W133" i="2"/>
  <c r="W117" i="2"/>
  <c r="W101" i="2"/>
  <c r="W90" i="2"/>
  <c r="W84" i="2"/>
  <c r="W74" i="2"/>
  <c r="W63" i="2"/>
  <c r="W52" i="2"/>
  <c r="W42" i="2"/>
  <c r="W31" i="2"/>
  <c r="W20" i="2"/>
  <c r="W10" i="2"/>
  <c r="V274" i="2"/>
  <c r="V263" i="2"/>
  <c r="V253" i="2"/>
  <c r="V236" i="2"/>
  <c r="V225" i="2"/>
  <c r="V215" i="2"/>
  <c r="V204" i="2"/>
  <c r="V193" i="2"/>
  <c r="V183" i="2"/>
  <c r="V168" i="2"/>
  <c r="V152" i="2"/>
  <c r="V136" i="2"/>
  <c r="V120" i="2"/>
  <c r="V112" i="2"/>
  <c r="V90" i="2"/>
  <c r="V74" i="2"/>
  <c r="V58" i="2"/>
  <c r="V42" i="2"/>
  <c r="V26" i="2"/>
  <c r="U277" i="2"/>
  <c r="U261" i="2"/>
  <c r="U239" i="2"/>
  <c r="U223" i="2"/>
  <c r="U207" i="2"/>
  <c r="U191" i="2"/>
  <c r="U175" i="2"/>
  <c r="U159" i="2"/>
  <c r="U143" i="2"/>
  <c r="U135" i="2"/>
  <c r="U119" i="2"/>
  <c r="U98" i="2"/>
  <c r="U81" i="2"/>
  <c r="U65" i="2"/>
  <c r="U49" i="2"/>
  <c r="U33" i="2"/>
  <c r="U17" i="2"/>
  <c r="T276" i="2"/>
  <c r="T260" i="2"/>
  <c r="T238" i="2"/>
  <c r="T222" i="2"/>
  <c r="T206" i="2"/>
  <c r="T190" i="2"/>
  <c r="T174" i="2"/>
  <c r="T158" i="2"/>
  <c r="T142" i="2"/>
  <c r="T134" i="2"/>
  <c r="T118" i="2"/>
  <c r="T110" i="2"/>
  <c r="T97" i="2"/>
  <c r="T64" i="2"/>
  <c r="T48" i="2"/>
  <c r="T32" i="2"/>
  <c r="T16" i="2"/>
  <c r="S275" i="2"/>
  <c r="S259" i="2"/>
  <c r="S237" i="2"/>
  <c r="S221" i="2"/>
  <c r="S205" i="2"/>
  <c r="S189" i="2"/>
  <c r="S173" i="2"/>
  <c r="S157" i="2"/>
  <c r="S141" i="2"/>
  <c r="S125" i="2"/>
  <c r="S109" i="2"/>
  <c r="S87" i="2"/>
  <c r="S71" i="2"/>
  <c r="S55" i="2"/>
  <c r="S39" i="2"/>
  <c r="S23" i="2"/>
  <c r="S7" i="2"/>
  <c r="R266" i="2"/>
  <c r="R244" i="2"/>
  <c r="R228" i="2"/>
  <c r="R212" i="2"/>
  <c r="R196" i="2"/>
  <c r="R180" i="2"/>
  <c r="R164" i="2"/>
  <c r="R148" i="2"/>
  <c r="R132" i="2"/>
  <c r="R116" i="2"/>
  <c r="R95" i="2"/>
  <c r="R78" i="2"/>
  <c r="R62" i="2"/>
  <c r="R46" i="2"/>
  <c r="R30" i="2"/>
  <c r="R14" i="2"/>
  <c r="Q273" i="2"/>
  <c r="Q257" i="2"/>
  <c r="Q235" i="2"/>
  <c r="Q219" i="2"/>
  <c r="Q203" i="2"/>
  <c r="Q187" i="2"/>
  <c r="Q171" i="2"/>
  <c r="Q155" i="2"/>
  <c r="Q139" i="2"/>
  <c r="Q123" i="2"/>
  <c r="Q107" i="2"/>
  <c r="Q85" i="2"/>
  <c r="Q69" i="2"/>
  <c r="Q53" i="2"/>
  <c r="Q37" i="2"/>
  <c r="Q21" i="2"/>
  <c r="Q5" i="2"/>
  <c r="P256" i="2"/>
  <c r="P234" i="2"/>
  <c r="P218" i="2"/>
  <c r="P202" i="2"/>
  <c r="P194" i="2"/>
  <c r="P178" i="2"/>
  <c r="P162" i="2"/>
  <c r="P146" i="2"/>
  <c r="P130" i="2"/>
  <c r="P114" i="2"/>
  <c r="P93" i="2"/>
  <c r="P76" i="2"/>
  <c r="P60" i="2"/>
  <c r="P44" i="2"/>
  <c r="P28" i="2"/>
  <c r="P12" i="2"/>
  <c r="O271" i="2"/>
  <c r="O255" i="2"/>
  <c r="O233" i="2"/>
  <c r="O217" i="2"/>
  <c r="O201" i="2"/>
  <c r="O185" i="2"/>
  <c r="O169" i="2"/>
  <c r="O153" i="2"/>
  <c r="O137" i="2"/>
  <c r="O121" i="2"/>
  <c r="O100" i="2"/>
  <c r="O75" i="2"/>
  <c r="O59" i="2"/>
  <c r="O43" i="2"/>
  <c r="O27" i="2"/>
  <c r="O11" i="2"/>
  <c r="N270" i="2"/>
  <c r="N254" i="2"/>
  <c r="N240" i="2"/>
  <c r="N224" i="2"/>
  <c r="N208" i="2"/>
  <c r="N192" i="2"/>
  <c r="N168" i="2"/>
  <c r="N152" i="2"/>
  <c r="N136" i="2"/>
  <c r="N120" i="2"/>
  <c r="N99" i="2"/>
  <c r="N82" i="2"/>
  <c r="N66" i="2"/>
  <c r="N50" i="2"/>
  <c r="N34" i="2"/>
  <c r="N18" i="2"/>
  <c r="M277" i="2"/>
  <c r="M261" i="2"/>
  <c r="M238" i="2"/>
  <c r="M217" i="2"/>
  <c r="M195" i="2"/>
  <c r="M174" i="2"/>
  <c r="M153" i="2"/>
  <c r="M131" i="2"/>
  <c r="M94" i="2"/>
  <c r="M71" i="2"/>
  <c r="M39" i="2"/>
  <c r="M7" i="2"/>
  <c r="L244" i="2"/>
  <c r="L212" i="2"/>
  <c r="L196" i="2"/>
  <c r="L164" i="2"/>
  <c r="L132" i="2"/>
  <c r="L95" i="2"/>
  <c r="L62" i="2"/>
  <c r="L30" i="2"/>
  <c r="K273" i="2"/>
  <c r="K235" i="2"/>
  <c r="K203" i="2"/>
  <c r="K171" i="2"/>
  <c r="K139" i="2"/>
  <c r="K107" i="2"/>
  <c r="K69" i="2"/>
  <c r="K37" i="2"/>
  <c r="K5" i="2"/>
  <c r="J242" i="2"/>
  <c r="J210" i="2"/>
  <c r="J178" i="2"/>
  <c r="J146" i="2"/>
  <c r="J114" i="2"/>
  <c r="J76" i="2"/>
  <c r="J44" i="2"/>
  <c r="I271" i="2"/>
  <c r="I233" i="2"/>
  <c r="I201" i="2"/>
  <c r="I169" i="2"/>
  <c r="I137" i="2"/>
  <c r="I100" i="2"/>
  <c r="I67" i="2"/>
  <c r="I35" i="2"/>
  <c r="H278" i="2"/>
  <c r="H240" i="2"/>
  <c r="H208" i="2"/>
  <c r="H176" i="2"/>
  <c r="H144" i="2"/>
  <c r="H112" i="2"/>
  <c r="H58" i="2"/>
  <c r="H26" i="2"/>
  <c r="G269" i="2"/>
  <c r="G231" i="2"/>
  <c r="G199" i="2"/>
  <c r="G167" i="2"/>
  <c r="G135" i="2"/>
  <c r="G98" i="2"/>
  <c r="G65" i="2"/>
  <c r="G33" i="2"/>
  <c r="F276" i="2"/>
  <c r="F238" i="2"/>
  <c r="F206" i="2"/>
  <c r="F174" i="2"/>
  <c r="F142" i="2"/>
  <c r="F110" i="2"/>
  <c r="F72" i="2"/>
  <c r="F40" i="2"/>
  <c r="F8" i="2"/>
  <c r="E251" i="2"/>
  <c r="E213" i="2"/>
  <c r="E181" i="2"/>
  <c r="E149" i="2"/>
  <c r="E96" i="2"/>
  <c r="E63" i="2"/>
  <c r="E31" i="2"/>
  <c r="D274" i="2"/>
  <c r="D236" i="2"/>
  <c r="D204" i="2"/>
  <c r="D172" i="2"/>
  <c r="D140" i="2"/>
  <c r="D108" i="2"/>
  <c r="D70" i="2"/>
  <c r="D38" i="2"/>
  <c r="D6" i="2"/>
  <c r="C243" i="2"/>
  <c r="C211" i="2"/>
  <c r="C179" i="2"/>
  <c r="C147" i="2"/>
  <c r="C115" i="2"/>
  <c r="C77" i="2"/>
  <c r="C45" i="2"/>
  <c r="C13" i="2"/>
  <c r="K278" i="5"/>
  <c r="J277" i="5"/>
  <c r="I276" i="5"/>
  <c r="H275" i="5"/>
  <c r="G274" i="5"/>
  <c r="F273" i="5"/>
  <c r="E272" i="5"/>
  <c r="D271" i="5"/>
  <c r="C270" i="5"/>
  <c r="AG268" i="5"/>
  <c r="AF267" i="5"/>
  <c r="AE266" i="5"/>
  <c r="AD265" i="5"/>
  <c r="M264" i="5"/>
  <c r="L263" i="5"/>
  <c r="K262" i="5"/>
  <c r="J261" i="5"/>
  <c r="I260" i="5"/>
  <c r="H259" i="5"/>
  <c r="G258" i="5"/>
  <c r="F257" i="5"/>
  <c r="E256" i="5"/>
  <c r="D255" i="5"/>
  <c r="C254" i="5"/>
  <c r="AG252" i="5"/>
  <c r="AF251" i="5"/>
  <c r="AE244" i="5"/>
  <c r="N243" i="5"/>
  <c r="M242" i="5"/>
  <c r="L241" i="5"/>
  <c r="K240" i="5"/>
  <c r="J239" i="5"/>
  <c r="I238" i="5"/>
  <c r="H237" i="5"/>
  <c r="G236" i="5"/>
  <c r="AB234" i="5"/>
  <c r="Q233" i="5"/>
  <c r="E232" i="5"/>
  <c r="X230" i="5"/>
  <c r="M229" i="5"/>
  <c r="AF227" i="5"/>
  <c r="T226" i="5"/>
  <c r="I225" i="5"/>
  <c r="K223" i="5"/>
  <c r="I221" i="5"/>
  <c r="G219" i="5"/>
  <c r="D216" i="5"/>
  <c r="AG213" i="5"/>
  <c r="AE211" i="5"/>
  <c r="AC209" i="5"/>
  <c r="AA207" i="5"/>
  <c r="Y205" i="5"/>
  <c r="W203" i="5"/>
  <c r="U201" i="5"/>
  <c r="S199" i="5"/>
  <c r="Q197" i="5"/>
  <c r="F195" i="5"/>
  <c r="N192" i="5"/>
  <c r="U189" i="5"/>
  <c r="AC186" i="5"/>
  <c r="F184" i="5"/>
  <c r="M181" i="5"/>
  <c r="Q178" i="5"/>
  <c r="M174" i="5"/>
  <c r="I170" i="5"/>
  <c r="E166" i="5"/>
  <c r="AD159" i="5"/>
  <c r="Z155" i="5"/>
  <c r="V151" i="5"/>
  <c r="R147" i="5"/>
  <c r="N143" i="5"/>
  <c r="J139" i="5"/>
  <c r="F135" i="5"/>
  <c r="AG130" i="5"/>
  <c r="E124" i="5"/>
  <c r="AB115" i="5"/>
  <c r="T101" i="5"/>
  <c r="D84" i="5"/>
  <c r="T3" i="2"/>
  <c r="P3" i="2"/>
  <c r="L3" i="2"/>
  <c r="H3" i="2"/>
  <c r="D3" i="2"/>
  <c r="AE3" i="2"/>
  <c r="AA3" i="2"/>
  <c r="W3" i="2"/>
  <c r="AG3" i="5"/>
  <c r="AC3" i="5"/>
  <c r="Y3" i="5"/>
  <c r="U3" i="5"/>
  <c r="Q3" i="5"/>
  <c r="M3" i="5"/>
  <c r="I3" i="5"/>
  <c r="E3" i="5"/>
  <c r="AG277" i="2"/>
  <c r="AG273" i="2"/>
  <c r="AG269" i="2"/>
  <c r="AG265" i="2"/>
  <c r="AG261" i="2"/>
  <c r="AG257" i="2"/>
  <c r="AG253" i="2"/>
  <c r="AG243" i="2"/>
  <c r="AG239" i="2"/>
  <c r="AG235" i="2"/>
  <c r="AG231" i="2"/>
  <c r="AG227" i="2"/>
  <c r="AG223" i="2"/>
  <c r="AG219" i="2"/>
  <c r="AG215" i="2"/>
  <c r="AG211" i="2"/>
  <c r="AG207" i="2"/>
  <c r="AG203" i="2"/>
  <c r="AG199" i="2"/>
  <c r="AG195" i="2"/>
  <c r="AG191" i="2"/>
  <c r="AG187" i="2"/>
  <c r="AG183" i="2"/>
  <c r="AG179" i="2"/>
  <c r="AG175" i="2"/>
  <c r="AG171" i="2"/>
  <c r="AG167" i="2"/>
  <c r="AG163" i="2"/>
  <c r="AG159" i="2"/>
  <c r="AG155" i="2"/>
  <c r="AG151" i="2"/>
  <c r="AG147" i="2"/>
  <c r="AG143" i="2"/>
  <c r="AG139" i="2"/>
  <c r="AG135" i="2"/>
  <c r="AG131" i="2"/>
  <c r="AG127" i="2"/>
  <c r="AG123" i="2"/>
  <c r="AG119" i="2"/>
  <c r="AG115" i="2"/>
  <c r="AG111" i="2"/>
  <c r="AG107" i="2"/>
  <c r="AG98" i="2"/>
  <c r="AG94" i="2"/>
  <c r="AG89" i="2"/>
  <c r="AG85" i="2"/>
  <c r="AG81" i="2"/>
  <c r="AG77" i="2"/>
  <c r="AG73" i="2"/>
  <c r="AG69" i="2"/>
  <c r="AG65" i="2"/>
  <c r="AG61" i="2"/>
  <c r="AG57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AF276" i="2"/>
  <c r="AF272" i="2"/>
  <c r="AF268" i="2"/>
  <c r="AF264" i="2"/>
  <c r="AF260" i="2"/>
  <c r="AF256" i="2"/>
  <c r="AF252" i="2"/>
  <c r="AF242" i="2"/>
  <c r="AF238" i="2"/>
  <c r="AF234" i="2"/>
  <c r="AF230" i="2"/>
  <c r="AF226" i="2"/>
  <c r="AF222" i="2"/>
  <c r="AF218" i="2"/>
  <c r="AF214" i="2"/>
  <c r="AF210" i="2"/>
  <c r="AF206" i="2"/>
  <c r="AF202" i="2"/>
  <c r="AF198" i="2"/>
  <c r="AF194" i="2"/>
  <c r="AF190" i="2"/>
  <c r="AF186" i="2"/>
  <c r="AF182" i="2"/>
  <c r="AF178" i="2"/>
  <c r="AF174" i="2"/>
  <c r="AF170" i="2"/>
  <c r="AF166" i="2"/>
  <c r="AF162" i="2"/>
  <c r="AF158" i="2"/>
  <c r="AF154" i="2"/>
  <c r="AF150" i="2"/>
  <c r="AF146" i="2"/>
  <c r="AF142" i="2"/>
  <c r="AF138" i="2"/>
  <c r="AF134" i="2"/>
  <c r="AF130" i="2"/>
  <c r="AF126" i="2"/>
  <c r="AF122" i="2"/>
  <c r="AF118" i="2"/>
  <c r="AF114" i="2"/>
  <c r="AF110" i="2"/>
  <c r="AF101" i="2"/>
  <c r="AF97" i="2"/>
  <c r="AF93" i="2"/>
  <c r="AF88" i="2"/>
  <c r="AF84" i="2"/>
  <c r="AF80" i="2"/>
  <c r="AF76" i="2"/>
  <c r="AF72" i="2"/>
  <c r="AF68" i="2"/>
  <c r="AF64" i="2"/>
  <c r="AF60" i="2"/>
  <c r="AF56" i="2"/>
  <c r="AF52" i="2"/>
  <c r="AF48" i="2"/>
  <c r="AF44" i="2"/>
  <c r="AF40" i="2"/>
  <c r="AF36" i="2"/>
  <c r="AF32" i="2"/>
  <c r="AF28" i="2"/>
  <c r="AF24" i="2"/>
  <c r="AF20" i="2"/>
  <c r="AF16" i="2"/>
  <c r="AF12" i="2"/>
  <c r="AF8" i="2"/>
  <c r="AF4" i="2"/>
  <c r="AE275" i="2"/>
  <c r="AE271" i="2"/>
  <c r="AE267" i="2"/>
  <c r="AE263" i="2"/>
  <c r="AE259" i="2"/>
  <c r="AE255" i="2"/>
  <c r="AE251" i="2"/>
  <c r="AE241" i="2"/>
  <c r="AE237" i="2"/>
  <c r="AE233" i="2"/>
  <c r="AE229" i="2"/>
  <c r="AE225" i="2"/>
  <c r="AE221" i="2"/>
  <c r="AE217" i="2"/>
  <c r="AE213" i="2"/>
  <c r="AE209" i="2"/>
  <c r="AE205" i="2"/>
  <c r="AE201" i="2"/>
  <c r="AE197" i="2"/>
  <c r="AE193" i="2"/>
  <c r="AE189" i="2"/>
  <c r="AE185" i="2"/>
  <c r="AE181" i="2"/>
  <c r="AE177" i="2"/>
  <c r="AE173" i="2"/>
  <c r="AE169" i="2"/>
  <c r="AE165" i="2"/>
  <c r="AE161" i="2"/>
  <c r="AE157" i="2"/>
  <c r="AE153" i="2"/>
  <c r="AE149" i="2"/>
  <c r="AE145" i="2"/>
  <c r="AE141" i="2"/>
  <c r="AE137" i="2"/>
  <c r="AE133" i="2"/>
  <c r="AE129" i="2"/>
  <c r="AE125" i="2"/>
  <c r="AE121" i="2"/>
  <c r="AE117" i="2"/>
  <c r="AE113" i="2"/>
  <c r="AE109" i="2"/>
  <c r="AE100" i="2"/>
  <c r="AE96" i="2"/>
  <c r="AE92" i="2"/>
  <c r="AE87" i="2"/>
  <c r="AE83" i="2"/>
  <c r="AE79" i="2"/>
  <c r="AE75" i="2"/>
  <c r="AE71" i="2"/>
  <c r="AE67" i="2"/>
  <c r="AE63" i="2"/>
  <c r="AE59" i="2"/>
  <c r="AE55" i="2"/>
  <c r="AE51" i="2"/>
  <c r="AE47" i="2"/>
  <c r="AE43" i="2"/>
  <c r="AE39" i="2"/>
  <c r="AE35" i="2"/>
  <c r="AE31" i="2"/>
  <c r="AE27" i="2"/>
  <c r="AE23" i="2"/>
  <c r="AE19" i="2"/>
  <c r="AE15" i="2"/>
  <c r="AE11" i="2"/>
  <c r="AE7" i="2"/>
  <c r="AD278" i="2"/>
  <c r="AD274" i="2"/>
  <c r="AD270" i="2"/>
  <c r="AD266" i="2"/>
  <c r="AD262" i="2"/>
  <c r="AD258" i="2"/>
  <c r="AD254" i="2"/>
  <c r="AD244" i="2"/>
  <c r="AD240" i="2"/>
  <c r="AD236" i="2"/>
  <c r="AD232" i="2"/>
  <c r="AD228" i="2"/>
  <c r="AD224" i="2"/>
  <c r="AD220" i="2"/>
  <c r="AD216" i="2"/>
  <c r="AD212" i="2"/>
  <c r="AD208" i="2"/>
  <c r="AD204" i="2"/>
  <c r="AD200" i="2"/>
  <c r="AD196" i="2"/>
  <c r="AD192" i="2"/>
  <c r="AD188" i="2"/>
  <c r="AD184" i="2"/>
  <c r="AD180" i="2"/>
  <c r="AD176" i="2"/>
  <c r="AD172" i="2"/>
  <c r="AD168" i="2"/>
  <c r="AD164" i="2"/>
  <c r="AD160" i="2"/>
  <c r="AD156" i="2"/>
  <c r="AD152" i="2"/>
  <c r="AD148" i="2"/>
  <c r="AD144" i="2"/>
  <c r="AD140" i="2"/>
  <c r="AD136" i="2"/>
  <c r="AD132" i="2"/>
  <c r="AD128" i="2"/>
  <c r="AD124" i="2"/>
  <c r="AD120" i="2"/>
  <c r="AD116" i="2"/>
  <c r="AD112" i="2"/>
  <c r="AD108" i="2"/>
  <c r="AD99" i="2"/>
  <c r="AD95" i="2"/>
  <c r="AD90" i="2"/>
  <c r="AD86" i="2"/>
  <c r="AD82" i="2"/>
  <c r="AD78" i="2"/>
  <c r="AD74" i="2"/>
  <c r="AD70" i="2"/>
  <c r="AD66" i="2"/>
  <c r="AD62" i="2"/>
  <c r="AD58" i="2"/>
  <c r="AD54" i="2"/>
  <c r="AD50" i="2"/>
  <c r="AD46" i="2"/>
  <c r="AD42" i="2"/>
  <c r="AD38" i="2"/>
  <c r="AD34" i="2"/>
  <c r="AD30" i="2"/>
  <c r="AD26" i="2"/>
  <c r="AD22" i="2"/>
  <c r="AD18" i="2"/>
  <c r="AD14" i="2"/>
  <c r="AD10" i="2"/>
  <c r="AD6" i="2"/>
  <c r="AC277" i="2"/>
  <c r="AC273" i="2"/>
  <c r="AC269" i="2"/>
  <c r="AC265" i="2"/>
  <c r="AC261" i="2"/>
  <c r="AC257" i="2"/>
  <c r="AC253" i="2"/>
  <c r="AC243" i="2"/>
  <c r="AC239" i="2"/>
  <c r="AC235" i="2"/>
  <c r="AC231" i="2"/>
  <c r="AC227" i="2"/>
  <c r="AC223" i="2"/>
  <c r="AC219" i="2"/>
  <c r="AC215" i="2"/>
  <c r="AC211" i="2"/>
  <c r="AC207" i="2"/>
  <c r="AC203" i="2"/>
  <c r="AC199" i="2"/>
  <c r="AC195" i="2"/>
  <c r="AC191" i="2"/>
  <c r="AC187" i="2"/>
  <c r="AC183" i="2"/>
  <c r="AC179" i="2"/>
  <c r="AC175" i="2"/>
  <c r="AC171" i="2"/>
  <c r="AC167" i="2"/>
  <c r="AC163" i="2"/>
  <c r="AC159" i="2"/>
  <c r="AC155" i="2"/>
  <c r="AC151" i="2"/>
  <c r="AC147" i="2"/>
  <c r="AC143" i="2"/>
  <c r="AC139" i="2"/>
  <c r="AC135" i="2"/>
  <c r="AC131" i="2"/>
  <c r="AC127" i="2"/>
  <c r="AC123" i="2"/>
  <c r="AC119" i="2"/>
  <c r="AC115" i="2"/>
  <c r="AC111" i="2"/>
  <c r="AC107" i="2"/>
  <c r="AC98" i="2"/>
  <c r="AC94" i="2"/>
  <c r="AC89" i="2"/>
  <c r="AC85" i="2"/>
  <c r="AC81" i="2"/>
  <c r="AC77" i="2"/>
  <c r="AC73" i="2"/>
  <c r="AC69" i="2"/>
  <c r="AC65" i="2"/>
  <c r="AC61" i="2"/>
  <c r="AC57" i="2"/>
  <c r="AC53" i="2"/>
  <c r="AC49" i="2"/>
  <c r="AC45" i="2"/>
  <c r="AC41" i="2"/>
  <c r="AC37" i="2"/>
  <c r="AC33" i="2"/>
  <c r="AC29" i="2"/>
  <c r="AC25" i="2"/>
  <c r="AC21" i="2"/>
  <c r="AC17" i="2"/>
  <c r="AC13" i="2"/>
  <c r="AC9" i="2"/>
  <c r="AC5" i="2"/>
  <c r="AB276" i="2"/>
  <c r="AB272" i="2"/>
  <c r="AB268" i="2"/>
  <c r="AB264" i="2"/>
  <c r="AB260" i="2"/>
  <c r="AB256" i="2"/>
  <c r="AB252" i="2"/>
  <c r="AB242" i="2"/>
  <c r="AB238" i="2"/>
  <c r="AB234" i="2"/>
  <c r="AB230" i="2"/>
  <c r="AB226" i="2"/>
  <c r="AB222" i="2"/>
  <c r="AB218" i="2"/>
  <c r="AB214" i="2"/>
  <c r="AB210" i="2"/>
  <c r="AB206" i="2"/>
  <c r="AB202" i="2"/>
  <c r="AB198" i="2"/>
  <c r="AB194" i="2"/>
  <c r="AB190" i="2"/>
  <c r="AB186" i="2"/>
  <c r="AB182" i="2"/>
  <c r="AB178" i="2"/>
  <c r="AB174" i="2"/>
  <c r="AB170" i="2"/>
  <c r="AB166" i="2"/>
  <c r="AB162" i="2"/>
  <c r="AB158" i="2"/>
  <c r="AB154" i="2"/>
  <c r="AB150" i="2"/>
  <c r="AB146" i="2"/>
  <c r="AB142" i="2"/>
  <c r="AB138" i="2"/>
  <c r="AB134" i="2"/>
  <c r="AB130" i="2"/>
  <c r="AB126" i="2"/>
  <c r="AB122" i="2"/>
  <c r="AB118" i="2"/>
  <c r="AB114" i="2"/>
  <c r="AB110" i="2"/>
  <c r="AB101" i="2"/>
  <c r="AB97" i="2"/>
  <c r="AB93" i="2"/>
  <c r="AB88" i="2"/>
  <c r="AB84" i="2"/>
  <c r="AB80" i="2"/>
  <c r="AB76" i="2"/>
  <c r="AB72" i="2"/>
  <c r="AB68" i="2"/>
  <c r="AB64" i="2"/>
  <c r="AB60" i="2"/>
  <c r="AB56" i="2"/>
  <c r="AB52" i="2"/>
  <c r="AB48" i="2"/>
  <c r="AB44" i="2"/>
  <c r="AB40" i="2"/>
  <c r="AB36" i="2"/>
  <c r="AB32" i="2"/>
  <c r="AB28" i="2"/>
  <c r="AB24" i="2"/>
  <c r="AB20" i="2"/>
  <c r="AB16" i="2"/>
  <c r="AB12" i="2"/>
  <c r="AB8" i="2"/>
  <c r="AB4" i="2"/>
  <c r="AA275" i="2"/>
  <c r="AA271" i="2"/>
  <c r="AA267" i="2"/>
  <c r="AA263" i="2"/>
  <c r="AA259" i="2"/>
  <c r="AA255" i="2"/>
  <c r="AA251" i="2"/>
  <c r="AA241" i="2"/>
  <c r="AA237" i="2"/>
  <c r="AA233" i="2"/>
  <c r="AA229" i="2"/>
  <c r="AA225" i="2"/>
  <c r="AA221" i="2"/>
  <c r="AA217" i="2"/>
  <c r="AA213" i="2"/>
  <c r="AA209" i="2"/>
  <c r="AA205" i="2"/>
  <c r="AA201" i="2"/>
  <c r="AA197" i="2"/>
  <c r="AA193" i="2"/>
  <c r="AA189" i="2"/>
  <c r="AA185" i="2"/>
  <c r="AA181" i="2"/>
  <c r="AA177" i="2"/>
  <c r="AA173" i="2"/>
  <c r="AA169" i="2"/>
  <c r="AA165" i="2"/>
  <c r="AA161" i="2"/>
  <c r="AA157" i="2"/>
  <c r="AA153" i="2"/>
  <c r="AA149" i="2"/>
  <c r="AA145" i="2"/>
  <c r="AA141" i="2"/>
  <c r="AA137" i="2"/>
  <c r="AA133" i="2"/>
  <c r="AA129" i="2"/>
  <c r="AA125" i="2"/>
  <c r="AA121" i="2"/>
  <c r="AA117" i="2"/>
  <c r="AA113" i="2"/>
  <c r="AA109" i="2"/>
  <c r="AA100" i="2"/>
  <c r="AA96" i="2"/>
  <c r="AA92" i="2"/>
  <c r="AA87" i="2"/>
  <c r="AA83" i="2"/>
  <c r="AA79" i="2"/>
  <c r="AA75" i="2"/>
  <c r="AA71" i="2"/>
  <c r="AA67" i="2"/>
  <c r="AA63" i="2"/>
  <c r="AA59" i="2"/>
  <c r="AA55" i="2"/>
  <c r="AA51" i="2"/>
  <c r="AA47" i="2"/>
  <c r="AA43" i="2"/>
  <c r="AA39" i="2"/>
  <c r="AA35" i="2"/>
  <c r="AA31" i="2"/>
  <c r="AA27" i="2"/>
  <c r="AA23" i="2"/>
  <c r="AA19" i="2"/>
  <c r="AA15" i="2"/>
  <c r="AA11" i="2"/>
  <c r="AA7" i="2"/>
  <c r="Z278" i="2"/>
  <c r="Z274" i="2"/>
  <c r="Z270" i="2"/>
  <c r="Z266" i="2"/>
  <c r="Z262" i="2"/>
  <c r="Z258" i="2"/>
  <c r="Z254" i="2"/>
  <c r="Z244" i="2"/>
  <c r="Z240" i="2"/>
  <c r="Z236" i="2"/>
  <c r="Z232" i="2"/>
  <c r="Z228" i="2"/>
  <c r="Z224" i="2"/>
  <c r="Z220" i="2"/>
  <c r="Z216" i="2"/>
  <c r="Z212" i="2"/>
  <c r="Z208" i="2"/>
  <c r="Z204" i="2"/>
  <c r="Z200" i="2"/>
  <c r="Z196" i="2"/>
  <c r="Z192" i="2"/>
  <c r="Z188" i="2"/>
  <c r="Z184" i="2"/>
  <c r="Z180" i="2"/>
  <c r="Z176" i="2"/>
  <c r="Z172" i="2"/>
  <c r="Z168" i="2"/>
  <c r="Z164" i="2"/>
  <c r="Z160" i="2"/>
  <c r="Z156" i="2"/>
  <c r="Z152" i="2"/>
  <c r="Z148" i="2"/>
  <c r="Z144" i="2"/>
  <c r="Z140" i="2"/>
  <c r="Z136" i="2"/>
  <c r="Z132" i="2"/>
  <c r="Z128" i="2"/>
  <c r="Z124" i="2"/>
  <c r="Z120" i="2"/>
  <c r="Z116" i="2"/>
  <c r="Z112" i="2"/>
  <c r="Z108" i="2"/>
  <c r="Z99" i="2"/>
  <c r="Z95" i="2"/>
  <c r="Z90" i="2"/>
  <c r="Z86" i="2"/>
  <c r="Z82" i="2"/>
  <c r="Z78" i="2"/>
  <c r="Z74" i="2"/>
  <c r="Z70" i="2"/>
  <c r="Z66" i="2"/>
  <c r="Z62" i="2"/>
  <c r="Z58" i="2"/>
  <c r="Z54" i="2"/>
  <c r="Z50" i="2"/>
  <c r="Z46" i="2"/>
  <c r="Z42" i="2"/>
  <c r="Z38" i="2"/>
  <c r="Z34" i="2"/>
  <c r="Z30" i="2"/>
  <c r="Z26" i="2"/>
  <c r="Z22" i="2"/>
  <c r="Z18" i="2"/>
  <c r="Z14" i="2"/>
  <c r="Z10" i="2"/>
  <c r="Z6" i="2"/>
  <c r="Y277" i="2"/>
  <c r="Y273" i="2"/>
  <c r="Y269" i="2"/>
  <c r="Y265" i="2"/>
  <c r="Y261" i="2"/>
  <c r="Y257" i="2"/>
  <c r="Y253" i="2"/>
  <c r="Y243" i="2"/>
  <c r="Y239" i="2"/>
  <c r="Y235" i="2"/>
  <c r="Y231" i="2"/>
  <c r="Y227" i="2"/>
  <c r="Y223" i="2"/>
  <c r="Y219" i="2"/>
  <c r="Y215" i="2"/>
  <c r="Y211" i="2"/>
  <c r="Y207" i="2"/>
  <c r="Y203" i="2"/>
  <c r="Y199" i="2"/>
  <c r="Y195" i="2"/>
  <c r="Y191" i="2"/>
  <c r="Y187" i="2"/>
  <c r="Y183" i="2"/>
  <c r="Y179" i="2"/>
  <c r="Y175" i="2"/>
  <c r="Y171" i="2"/>
  <c r="Y167" i="2"/>
  <c r="Y163" i="2"/>
  <c r="Y159" i="2"/>
  <c r="Y155" i="2"/>
  <c r="Y151" i="2"/>
  <c r="Y147" i="2"/>
  <c r="Y143" i="2"/>
  <c r="Y139" i="2"/>
  <c r="Y135" i="2"/>
  <c r="Y131" i="2"/>
  <c r="Y127" i="2"/>
  <c r="Y123" i="2"/>
  <c r="Y119" i="2"/>
  <c r="Y115" i="2"/>
  <c r="Y111" i="2"/>
  <c r="Y107" i="2"/>
  <c r="Y98" i="2"/>
  <c r="Y94" i="2"/>
  <c r="Y89" i="2"/>
  <c r="Y85" i="2"/>
  <c r="Y81" i="2"/>
  <c r="Y77" i="2"/>
  <c r="Y73" i="2"/>
  <c r="Y69" i="2"/>
  <c r="Y65" i="2"/>
  <c r="Y61" i="2"/>
  <c r="Y57" i="2"/>
  <c r="Y53" i="2"/>
  <c r="Y49" i="2"/>
  <c r="Y45" i="2"/>
  <c r="Y41" i="2"/>
  <c r="Y37" i="2"/>
  <c r="Y33" i="2"/>
  <c r="Y29" i="2"/>
  <c r="Y25" i="2"/>
  <c r="Y21" i="2"/>
  <c r="Y17" i="2"/>
  <c r="Y13" i="2"/>
  <c r="Y9" i="2"/>
  <c r="Y5" i="2"/>
  <c r="X276" i="2"/>
  <c r="X272" i="2"/>
  <c r="X268" i="2"/>
  <c r="X264" i="2"/>
  <c r="X260" i="2"/>
  <c r="X256" i="2"/>
  <c r="X252" i="2"/>
  <c r="X242" i="2"/>
  <c r="X238" i="2"/>
  <c r="X234" i="2"/>
  <c r="X230" i="2"/>
  <c r="X226" i="2"/>
  <c r="X222" i="2"/>
  <c r="X218" i="2"/>
  <c r="X214" i="2"/>
  <c r="X210" i="2"/>
  <c r="X206" i="2"/>
  <c r="X202" i="2"/>
  <c r="X198" i="2"/>
  <c r="X194" i="2"/>
  <c r="X190" i="2"/>
  <c r="X186" i="2"/>
  <c r="X182" i="2"/>
  <c r="X178" i="2"/>
  <c r="X174" i="2"/>
  <c r="X170" i="2"/>
  <c r="X166" i="2"/>
  <c r="X162" i="2"/>
  <c r="X158" i="2"/>
  <c r="X154" i="2"/>
  <c r="X150" i="2"/>
  <c r="X146" i="2"/>
  <c r="X142" i="2"/>
  <c r="X138" i="2"/>
  <c r="X134" i="2"/>
  <c r="X130" i="2"/>
  <c r="X126" i="2"/>
  <c r="X122" i="2"/>
  <c r="X118" i="2"/>
  <c r="X114" i="2"/>
  <c r="X110" i="2"/>
  <c r="X101" i="2"/>
  <c r="X97" i="2"/>
  <c r="X93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7" i="2"/>
  <c r="X21" i="2"/>
  <c r="X16" i="2"/>
  <c r="X11" i="2"/>
  <c r="X5" i="2"/>
  <c r="W275" i="2"/>
  <c r="W270" i="2"/>
  <c r="W264" i="2"/>
  <c r="W259" i="2"/>
  <c r="W254" i="2"/>
  <c r="W242" i="2"/>
  <c r="W237" i="2"/>
  <c r="W232" i="2"/>
  <c r="W226" i="2"/>
  <c r="W221" i="2"/>
  <c r="W216" i="2"/>
  <c r="W210" i="2"/>
  <c r="W205" i="2"/>
  <c r="W200" i="2"/>
  <c r="W194" i="2"/>
  <c r="W189" i="2"/>
  <c r="W184" i="2"/>
  <c r="W178" i="2"/>
  <c r="W173" i="2"/>
  <c r="W168" i="2"/>
  <c r="W162" i="2"/>
  <c r="W157" i="2"/>
  <c r="W152" i="2"/>
  <c r="W146" i="2"/>
  <c r="W141" i="2"/>
  <c r="W136" i="2"/>
  <c r="W130" i="2"/>
  <c r="W125" i="2"/>
  <c r="W120" i="2"/>
  <c r="W114" i="2"/>
  <c r="W109" i="2"/>
  <c r="W99" i="2"/>
  <c r="W93" i="2"/>
  <c r="W87" i="2"/>
  <c r="W82" i="2"/>
  <c r="W76" i="2"/>
  <c r="W71" i="2"/>
  <c r="W66" i="2"/>
  <c r="W60" i="2"/>
  <c r="W55" i="2"/>
  <c r="W50" i="2"/>
  <c r="W44" i="2"/>
  <c r="W39" i="2"/>
  <c r="W34" i="2"/>
  <c r="W28" i="2"/>
  <c r="W23" i="2"/>
  <c r="W18" i="2"/>
  <c r="W12" i="2"/>
  <c r="W7" i="2"/>
  <c r="V277" i="2"/>
  <c r="V271" i="2"/>
  <c r="V266" i="2"/>
  <c r="V261" i="2"/>
  <c r="V255" i="2"/>
  <c r="V244" i="2"/>
  <c r="V239" i="2"/>
  <c r="V233" i="2"/>
  <c r="V228" i="2"/>
  <c r="V223" i="2"/>
  <c r="V217" i="2"/>
  <c r="V212" i="2"/>
  <c r="V207" i="2"/>
  <c r="V201" i="2"/>
  <c r="V196" i="2"/>
  <c r="V191" i="2"/>
  <c r="V185" i="2"/>
  <c r="V180" i="2"/>
  <c r="V172" i="2"/>
  <c r="V164" i="2"/>
  <c r="V156" i="2"/>
  <c r="V148" i="2"/>
  <c r="V140" i="2"/>
  <c r="V132" i="2"/>
  <c r="V124" i="2"/>
  <c r="V116" i="2"/>
  <c r="V108" i="2"/>
  <c r="V95" i="2"/>
  <c r="V86" i="2"/>
  <c r="V78" i="2"/>
  <c r="V70" i="2"/>
  <c r="V62" i="2"/>
  <c r="V54" i="2"/>
  <c r="V46" i="2"/>
  <c r="V38" i="2"/>
  <c r="V30" i="2"/>
  <c r="V22" i="2"/>
  <c r="V14" i="2"/>
  <c r="V6" i="2"/>
  <c r="U273" i="2"/>
  <c r="U265" i="2"/>
  <c r="U257" i="2"/>
  <c r="U243" i="2"/>
  <c r="U235" i="2"/>
  <c r="U227" i="2"/>
  <c r="U219" i="2"/>
  <c r="U211" i="2"/>
  <c r="U203" i="2"/>
  <c r="U195" i="2"/>
  <c r="U187" i="2"/>
  <c r="U179" i="2"/>
  <c r="U171" i="2"/>
  <c r="U163" i="2"/>
  <c r="U155" i="2"/>
  <c r="U147" i="2"/>
  <c r="U139" i="2"/>
  <c r="U131" i="2"/>
  <c r="U123" i="2"/>
  <c r="U115" i="2"/>
  <c r="U107" i="2"/>
  <c r="U94" i="2"/>
  <c r="U85" i="2"/>
  <c r="U77" i="2"/>
  <c r="U69" i="2"/>
  <c r="U61" i="2"/>
  <c r="U53" i="2"/>
  <c r="U45" i="2"/>
  <c r="U37" i="2"/>
  <c r="U29" i="2"/>
  <c r="U21" i="2"/>
  <c r="U13" i="2"/>
  <c r="U5" i="2"/>
  <c r="T272" i="2"/>
  <c r="T264" i="2"/>
  <c r="T256" i="2"/>
  <c r="T242" i="2"/>
  <c r="T234" i="2"/>
  <c r="T226" i="2"/>
  <c r="T218" i="2"/>
  <c r="T210" i="2"/>
  <c r="T202" i="2"/>
  <c r="T194" i="2"/>
  <c r="T186" i="2"/>
  <c r="T178" i="2"/>
  <c r="T170" i="2"/>
  <c r="T162" i="2"/>
  <c r="T154" i="2"/>
  <c r="T146" i="2"/>
  <c r="T138" i="2"/>
  <c r="T130" i="2"/>
  <c r="T122" i="2"/>
  <c r="T114" i="2"/>
  <c r="T101" i="2"/>
  <c r="T93" i="2"/>
  <c r="T84" i="2"/>
  <c r="T76" i="2"/>
  <c r="T68" i="2"/>
  <c r="T60" i="2"/>
  <c r="T52" i="2"/>
  <c r="T44" i="2"/>
  <c r="T36" i="2"/>
  <c r="T28" i="2"/>
  <c r="T20" i="2"/>
  <c r="T12" i="2"/>
  <c r="T4" i="2"/>
  <c r="S271" i="2"/>
  <c r="S263" i="2"/>
  <c r="S255" i="2"/>
  <c r="S241" i="2"/>
  <c r="S233" i="2"/>
  <c r="S225" i="2"/>
  <c r="S217" i="2"/>
  <c r="S209" i="2"/>
  <c r="S201" i="2"/>
  <c r="S193" i="2"/>
  <c r="S185" i="2"/>
  <c r="S177" i="2"/>
  <c r="S169" i="2"/>
  <c r="S161" i="2"/>
  <c r="S153" i="2"/>
  <c r="S145" i="2"/>
  <c r="S137" i="2"/>
  <c r="S129" i="2"/>
  <c r="S121" i="2"/>
  <c r="S113" i="2"/>
  <c r="S100" i="2"/>
  <c r="S92" i="2"/>
  <c r="S83" i="2"/>
  <c r="S75" i="2"/>
  <c r="S67" i="2"/>
  <c r="S59" i="2"/>
  <c r="S51" i="2"/>
  <c r="S43" i="2"/>
  <c r="S35" i="2"/>
  <c r="S27" i="2"/>
  <c r="S19" i="2"/>
  <c r="S11" i="2"/>
  <c r="R278" i="2"/>
  <c r="R270" i="2"/>
  <c r="R262" i="2"/>
  <c r="R254" i="2"/>
  <c r="R240" i="2"/>
  <c r="R232" i="2"/>
  <c r="R224" i="2"/>
  <c r="R216" i="2"/>
  <c r="R208" i="2"/>
  <c r="R200" i="2"/>
  <c r="R192" i="2"/>
  <c r="R184" i="2"/>
  <c r="R176" i="2"/>
  <c r="R168" i="2"/>
  <c r="R160" i="2"/>
  <c r="R152" i="2"/>
  <c r="R144" i="2"/>
  <c r="R136" i="2"/>
  <c r="R128" i="2"/>
  <c r="R120" i="2"/>
  <c r="R112" i="2"/>
  <c r="R99" i="2"/>
  <c r="R90" i="2"/>
  <c r="R82" i="2"/>
  <c r="R74" i="2"/>
  <c r="R66" i="2"/>
  <c r="R58" i="2"/>
  <c r="R50" i="2"/>
  <c r="R42" i="2"/>
  <c r="R34" i="2"/>
  <c r="R26" i="2"/>
  <c r="R18" i="2"/>
  <c r="R10" i="2"/>
  <c r="Q277" i="2"/>
  <c r="Q269" i="2"/>
  <c r="Q261" i="2"/>
  <c r="Q253" i="2"/>
  <c r="Q239" i="2"/>
  <c r="Q231" i="2"/>
  <c r="Q223" i="2"/>
  <c r="Q215" i="2"/>
  <c r="Q207" i="2"/>
  <c r="Q199" i="2"/>
  <c r="Q191" i="2"/>
  <c r="Q183" i="2"/>
  <c r="Q175" i="2"/>
  <c r="Q167" i="2"/>
  <c r="Q159" i="2"/>
  <c r="Q151" i="2"/>
  <c r="Q143" i="2"/>
  <c r="Q135" i="2"/>
  <c r="Q127" i="2"/>
  <c r="Q119" i="2"/>
  <c r="Q111" i="2"/>
  <c r="Q98" i="2"/>
  <c r="Q89" i="2"/>
  <c r="Q81" i="2"/>
  <c r="Q73" i="2"/>
  <c r="Q65" i="2"/>
  <c r="Q57" i="2"/>
  <c r="Q49" i="2"/>
  <c r="Q41" i="2"/>
  <c r="Q33" i="2"/>
  <c r="Q25" i="2"/>
  <c r="Q17" i="2"/>
  <c r="Q9" i="2"/>
  <c r="P276" i="2"/>
  <c r="P268" i="2"/>
  <c r="P260" i="2"/>
  <c r="P252" i="2"/>
  <c r="P238" i="2"/>
  <c r="P230" i="2"/>
  <c r="P222" i="2"/>
  <c r="P214" i="2"/>
  <c r="P206" i="2"/>
  <c r="P198" i="2"/>
  <c r="P190" i="2"/>
  <c r="P182" i="2"/>
  <c r="P174" i="2"/>
  <c r="P166" i="2"/>
  <c r="P158" i="2"/>
  <c r="P150" i="2"/>
  <c r="P142" i="2"/>
  <c r="P134" i="2"/>
  <c r="P126" i="2"/>
  <c r="P118" i="2"/>
  <c r="P110" i="2"/>
  <c r="P97" i="2"/>
  <c r="P88" i="2"/>
  <c r="P80" i="2"/>
  <c r="P72" i="2"/>
  <c r="P64" i="2"/>
  <c r="P56" i="2"/>
  <c r="P48" i="2"/>
  <c r="P40" i="2"/>
  <c r="P32" i="2"/>
  <c r="P24" i="2"/>
  <c r="P16" i="2"/>
  <c r="P8" i="2"/>
  <c r="O275" i="2"/>
  <c r="O267" i="2"/>
  <c r="O259" i="2"/>
  <c r="O251" i="2"/>
  <c r="O237" i="2"/>
  <c r="O229" i="2"/>
  <c r="O221" i="2"/>
  <c r="O213" i="2"/>
  <c r="O205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96" i="2"/>
  <c r="O87" i="2"/>
  <c r="O79" i="2"/>
  <c r="O71" i="2"/>
  <c r="O63" i="2"/>
  <c r="O55" i="2"/>
  <c r="O47" i="2"/>
  <c r="O39" i="2"/>
  <c r="O31" i="2"/>
  <c r="O23" i="2"/>
  <c r="O15" i="2"/>
  <c r="O7" i="2"/>
  <c r="N274" i="2"/>
  <c r="N266" i="2"/>
  <c r="N258" i="2"/>
  <c r="N244" i="2"/>
  <c r="N236" i="2"/>
  <c r="N228" i="2"/>
  <c r="N220" i="2"/>
  <c r="N212" i="2"/>
  <c r="N204" i="2"/>
  <c r="N196" i="2"/>
  <c r="N188" i="2"/>
  <c r="N180" i="2"/>
  <c r="N172" i="2"/>
  <c r="N164" i="2"/>
  <c r="N156" i="2"/>
  <c r="N148" i="2"/>
  <c r="N140" i="2"/>
  <c r="N132" i="2"/>
  <c r="N124" i="2"/>
  <c r="N116" i="2"/>
  <c r="N108" i="2"/>
  <c r="N95" i="2"/>
  <c r="N86" i="2"/>
  <c r="N78" i="2"/>
  <c r="N70" i="2"/>
  <c r="N62" i="2"/>
  <c r="N54" i="2"/>
  <c r="N46" i="2"/>
  <c r="N38" i="2"/>
  <c r="N30" i="2"/>
  <c r="N22" i="2"/>
  <c r="N14" i="2"/>
  <c r="N6" i="2"/>
  <c r="M273" i="2"/>
  <c r="M265" i="2"/>
  <c r="M257" i="2"/>
  <c r="M243" i="2"/>
  <c r="M233" i="2"/>
  <c r="M222" i="2"/>
  <c r="M211" i="2"/>
  <c r="M201" i="2"/>
  <c r="M190" i="2"/>
  <c r="M179" i="2"/>
  <c r="M169" i="2"/>
  <c r="M158" i="2"/>
  <c r="M147" i="2"/>
  <c r="M137" i="2"/>
  <c r="M126" i="2"/>
  <c r="M115" i="2"/>
  <c r="M100" i="2"/>
  <c r="M88" i="2"/>
  <c r="M77" i="2"/>
  <c r="M63" i="2"/>
  <c r="M47" i="2"/>
  <c r="M31" i="2"/>
  <c r="M15" i="2"/>
  <c r="L274" i="2"/>
  <c r="L258" i="2"/>
  <c r="L236" i="2"/>
  <c r="L220" i="2"/>
  <c r="L204" i="2"/>
  <c r="L188" i="2"/>
  <c r="L172" i="2"/>
  <c r="L156" i="2"/>
  <c r="L140" i="2"/>
  <c r="L124" i="2"/>
  <c r="L108" i="2"/>
  <c r="L86" i="2"/>
  <c r="L70" i="2"/>
  <c r="L54" i="2"/>
  <c r="L38" i="2"/>
  <c r="L22" i="2"/>
  <c r="L6" i="2"/>
  <c r="K265" i="2"/>
  <c r="K243" i="2"/>
  <c r="K227" i="2"/>
  <c r="K211" i="2"/>
  <c r="K195" i="2"/>
  <c r="K179" i="2"/>
  <c r="K163" i="2"/>
  <c r="K147" i="2"/>
  <c r="K131" i="2"/>
  <c r="K115" i="2"/>
  <c r="K94" i="2"/>
  <c r="K77" i="2"/>
  <c r="K61" i="2"/>
  <c r="K45" i="2"/>
  <c r="K29" i="2"/>
  <c r="K13" i="2"/>
  <c r="J272" i="2"/>
  <c r="J256" i="2"/>
  <c r="J234" i="2"/>
  <c r="J218" i="2"/>
  <c r="J202" i="2"/>
  <c r="J186" i="2"/>
  <c r="J170" i="2"/>
  <c r="J154" i="2"/>
  <c r="J138" i="2"/>
  <c r="J122" i="2"/>
  <c r="J101" i="2"/>
  <c r="J84" i="2"/>
  <c r="J68" i="2"/>
  <c r="J52" i="2"/>
  <c r="J36" i="2"/>
  <c r="J20" i="2"/>
  <c r="J4" i="2"/>
  <c r="I263" i="2"/>
  <c r="I241" i="2"/>
  <c r="I225" i="2"/>
  <c r="I209" i="2"/>
  <c r="I193" i="2"/>
  <c r="I177" i="2"/>
  <c r="I161" i="2"/>
  <c r="I145" i="2"/>
  <c r="I129" i="2"/>
  <c r="I113" i="2"/>
  <c r="I92" i="2"/>
  <c r="I75" i="2"/>
  <c r="I59" i="2"/>
  <c r="I43" i="2"/>
  <c r="I27" i="2"/>
  <c r="I11" i="2"/>
  <c r="H270" i="2"/>
  <c r="H254" i="2"/>
  <c r="H232" i="2"/>
  <c r="H216" i="2"/>
  <c r="H200" i="2"/>
  <c r="H184" i="2"/>
  <c r="H168" i="2"/>
  <c r="H152" i="2"/>
  <c r="H136" i="2"/>
  <c r="H120" i="2"/>
  <c r="H99" i="2"/>
  <c r="H82" i="2"/>
  <c r="H66" i="2"/>
  <c r="H50" i="2"/>
  <c r="H34" i="2"/>
  <c r="H18" i="2"/>
  <c r="G277" i="2"/>
  <c r="G261" i="2"/>
  <c r="G239" i="2"/>
  <c r="G223" i="2"/>
  <c r="G207" i="2"/>
  <c r="G191" i="2"/>
  <c r="G175" i="2"/>
  <c r="G159" i="2"/>
  <c r="G143" i="2"/>
  <c r="G127" i="2"/>
  <c r="G111" i="2"/>
  <c r="G89" i="2"/>
  <c r="G73" i="2"/>
  <c r="G57" i="2"/>
  <c r="G41" i="2"/>
  <c r="G25" i="2"/>
  <c r="G9" i="2"/>
  <c r="F268" i="2"/>
  <c r="F252" i="2"/>
  <c r="F230" i="2"/>
  <c r="F214" i="2"/>
  <c r="F198" i="2"/>
  <c r="F182" i="2"/>
  <c r="F166" i="2"/>
  <c r="F150" i="2"/>
  <c r="F134" i="2"/>
  <c r="F118" i="2"/>
  <c r="F97" i="2"/>
  <c r="F80" i="2"/>
  <c r="F64" i="2"/>
  <c r="F48" i="2"/>
  <c r="F32" i="2"/>
  <c r="F16" i="2"/>
  <c r="E275" i="2"/>
  <c r="E259" i="2"/>
  <c r="E237" i="2"/>
  <c r="E221" i="2"/>
  <c r="E205" i="2"/>
  <c r="E189" i="2"/>
  <c r="E173" i="2"/>
  <c r="E157" i="2"/>
  <c r="E141" i="2"/>
  <c r="E125" i="2"/>
  <c r="E109" i="2"/>
  <c r="E87" i="2"/>
  <c r="E71" i="2"/>
  <c r="E55" i="2"/>
  <c r="E39" i="2"/>
  <c r="E23" i="2"/>
  <c r="E7" i="2"/>
  <c r="D266" i="2"/>
  <c r="D244" i="2"/>
  <c r="D228" i="2"/>
  <c r="D212" i="2"/>
  <c r="D196" i="2"/>
  <c r="D180" i="2"/>
  <c r="D164" i="2"/>
  <c r="D148" i="2"/>
  <c r="D132" i="2"/>
  <c r="D116" i="2"/>
  <c r="D95" i="2"/>
  <c r="D78" i="2"/>
  <c r="D62" i="2"/>
  <c r="D46" i="2"/>
  <c r="D30" i="2"/>
  <c r="D14" i="2"/>
  <c r="C273" i="2"/>
  <c r="C257" i="2"/>
  <c r="C235" i="2"/>
  <c r="C219" i="2"/>
  <c r="C203" i="2"/>
  <c r="C187" i="2"/>
  <c r="C171" i="2"/>
  <c r="C155" i="2"/>
  <c r="C139" i="2"/>
  <c r="C123" i="2"/>
  <c r="C107" i="2"/>
  <c r="C85" i="2"/>
  <c r="C69" i="2"/>
  <c r="C53" i="2"/>
  <c r="C37" i="2"/>
  <c r="C21" i="2"/>
  <c r="C5" i="2"/>
  <c r="S278" i="5"/>
  <c r="C278" i="5"/>
  <c r="R277" i="5"/>
  <c r="AG276" i="5"/>
  <c r="Q276" i="5"/>
  <c r="AF275" i="5"/>
  <c r="P275" i="5"/>
  <c r="AE274" i="5"/>
  <c r="O274" i="5"/>
  <c r="AD273" i="5"/>
  <c r="N273" i="5"/>
  <c r="AC272" i="5"/>
  <c r="M272" i="5"/>
  <c r="AB271" i="5"/>
  <c r="L271" i="5"/>
  <c r="AA270" i="5"/>
  <c r="K270" i="5"/>
  <c r="Z269" i="5"/>
  <c r="J269" i="5"/>
  <c r="Y268" i="5"/>
  <c r="I268" i="5"/>
  <c r="X267" i="5"/>
  <c r="H267" i="5"/>
  <c r="W266" i="5"/>
  <c r="G266" i="5"/>
  <c r="V265" i="5"/>
  <c r="F265" i="5"/>
  <c r="U264" i="5"/>
  <c r="E264" i="5"/>
  <c r="T263" i="5"/>
  <c r="D263" i="5"/>
  <c r="S262" i="5"/>
  <c r="C262" i="5"/>
  <c r="R261" i="5"/>
  <c r="AG260" i="5"/>
  <c r="Q260" i="5"/>
  <c r="AF259" i="5"/>
  <c r="P259" i="5"/>
  <c r="AE258" i="5"/>
  <c r="O258" i="5"/>
  <c r="AD257" i="5"/>
  <c r="N257" i="5"/>
  <c r="AC256" i="5"/>
  <c r="M256" i="5"/>
  <c r="AB255" i="5"/>
  <c r="L255" i="5"/>
  <c r="AA254" i="5"/>
  <c r="K254" i="5"/>
  <c r="Z253" i="5"/>
  <c r="J253" i="5"/>
  <c r="Y252" i="5"/>
  <c r="I252" i="5"/>
  <c r="X251" i="5"/>
  <c r="H251" i="5"/>
  <c r="W244" i="5"/>
  <c r="G244" i="5"/>
  <c r="V243" i="5"/>
  <c r="F243" i="5"/>
  <c r="U242" i="5"/>
  <c r="E242" i="5"/>
  <c r="T241" i="5"/>
  <c r="D241" i="5"/>
  <c r="S240" i="5"/>
  <c r="C240" i="5"/>
  <c r="R239" i="5"/>
  <c r="AG238" i="5"/>
  <c r="Q238" i="5"/>
  <c r="AF237" i="5"/>
  <c r="P237" i="5"/>
  <c r="AE236" i="5"/>
  <c r="O236" i="5"/>
  <c r="AC235" i="5"/>
  <c r="H235" i="5"/>
  <c r="R234" i="5"/>
  <c r="AA233" i="5"/>
  <c r="F233" i="5"/>
  <c r="P232" i="5"/>
  <c r="Y231" i="5"/>
  <c r="D231" i="5"/>
  <c r="N230" i="5"/>
  <c r="W229" i="5"/>
  <c r="AG228" i="5"/>
  <c r="L228" i="5"/>
  <c r="U227" i="5"/>
  <c r="AE226" i="5"/>
  <c r="J226" i="5"/>
  <c r="S225" i="5"/>
  <c r="AB224" i="5"/>
  <c r="AA223" i="5"/>
  <c r="Z222" i="5"/>
  <c r="Y221" i="5"/>
  <c r="X220" i="5"/>
  <c r="W219" i="5"/>
  <c r="V218" i="5"/>
  <c r="U217" i="5"/>
  <c r="T216" i="5"/>
  <c r="S215" i="5"/>
  <c r="R214" i="5"/>
  <c r="Q213" i="5"/>
  <c r="P212" i="5"/>
  <c r="O211" i="5"/>
  <c r="N210" i="5"/>
  <c r="M209" i="5"/>
  <c r="L208" i="5"/>
  <c r="K207" i="5"/>
  <c r="J206" i="5"/>
  <c r="I205" i="5"/>
  <c r="H204" i="5"/>
  <c r="G203" i="5"/>
  <c r="F202" i="5"/>
  <c r="E201" i="5"/>
  <c r="D200" i="5"/>
  <c r="C199" i="5"/>
  <c r="AG197" i="5"/>
  <c r="AF196" i="5"/>
  <c r="AA195" i="5"/>
  <c r="P194" i="5"/>
  <c r="D193" i="5"/>
  <c r="W191" i="5"/>
  <c r="L190" i="5"/>
  <c r="AE188" i="5"/>
  <c r="S187" i="5"/>
  <c r="H186" i="5"/>
  <c r="AA184" i="5"/>
  <c r="O183" i="5"/>
  <c r="D182" i="5"/>
  <c r="W180" i="5"/>
  <c r="K179" i="5"/>
  <c r="P177" i="5"/>
  <c r="N175" i="5"/>
  <c r="L173" i="5"/>
  <c r="J171" i="5"/>
  <c r="H169" i="5"/>
  <c r="F167" i="5"/>
  <c r="D165" i="5"/>
  <c r="AG162" i="5"/>
  <c r="AE160" i="5"/>
  <c r="AC158" i="5"/>
  <c r="AA156" i="5"/>
  <c r="Y154" i="5"/>
  <c r="W152" i="5"/>
  <c r="U150" i="5"/>
  <c r="S148" i="5"/>
  <c r="Q146" i="5"/>
  <c r="O144" i="5"/>
  <c r="M142" i="5"/>
  <c r="K140" i="5"/>
  <c r="I138" i="5"/>
  <c r="G136" i="5"/>
  <c r="E134" i="5"/>
  <c r="C132" i="5"/>
  <c r="V129" i="5"/>
  <c r="G126" i="5"/>
  <c r="C122" i="5"/>
  <c r="AD117" i="5"/>
  <c r="Z113" i="5"/>
  <c r="V109" i="5"/>
  <c r="P97" i="5"/>
  <c r="H88" i="5"/>
  <c r="T78" i="5"/>
  <c r="D62" i="5"/>
  <c r="S42" i="5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50" i="8"/>
  <c r="M251" i="8"/>
  <c r="D252" i="8"/>
  <c r="D253" i="8"/>
  <c r="AH248" i="2" l="1"/>
  <c r="AH247" i="2"/>
  <c r="AH249" i="2"/>
  <c r="AH250" i="2"/>
  <c r="AH246" i="2"/>
  <c r="AH245" i="2"/>
  <c r="S247" i="6"/>
  <c r="R247" i="6"/>
  <c r="Y247" i="6"/>
  <c r="P247" i="6"/>
  <c r="AF247" i="6"/>
  <c r="Z247" i="6"/>
  <c r="AC247" i="6"/>
  <c r="V247" i="6"/>
  <c r="AG247" i="6"/>
  <c r="E247" i="6"/>
  <c r="U247" i="6"/>
  <c r="F247" i="6"/>
  <c r="N247" i="6"/>
  <c r="W247" i="6"/>
  <c r="Q247" i="6"/>
  <c r="AD247" i="6"/>
  <c r="AA247" i="6"/>
  <c r="T247" i="6"/>
  <c r="D247" i="6"/>
  <c r="J247" i="6"/>
  <c r="AB247" i="6"/>
  <c r="X247" i="6"/>
  <c r="AH247" i="5"/>
  <c r="H247" i="6"/>
  <c r="K247" i="6"/>
  <c r="AE247" i="6"/>
  <c r="L247" i="6"/>
  <c r="C247" i="6"/>
  <c r="G247" i="6"/>
  <c r="I247" i="6"/>
  <c r="O247" i="6"/>
  <c r="M247" i="6"/>
  <c r="T250" i="6"/>
  <c r="J250" i="6"/>
  <c r="R250" i="6"/>
  <c r="AD250" i="6"/>
  <c r="AB250" i="6"/>
  <c r="V250" i="6"/>
  <c r="K250" i="6"/>
  <c r="E250" i="6"/>
  <c r="X250" i="6"/>
  <c r="Y250" i="6"/>
  <c r="Q250" i="6"/>
  <c r="N250" i="6"/>
  <c r="G250" i="6"/>
  <c r="F250" i="6"/>
  <c r="AA250" i="6"/>
  <c r="H250" i="6"/>
  <c r="C250" i="6"/>
  <c r="S250" i="6"/>
  <c r="I250" i="6"/>
  <c r="O250" i="6"/>
  <c r="AC250" i="6"/>
  <c r="W250" i="6"/>
  <c r="U250" i="6"/>
  <c r="P250" i="6"/>
  <c r="D250" i="6"/>
  <c r="Z250" i="6"/>
  <c r="AH250" i="5"/>
  <c r="AE250" i="6"/>
  <c r="M250" i="6"/>
  <c r="AF250" i="6"/>
  <c r="L250" i="6"/>
  <c r="AG250" i="6"/>
  <c r="T249" i="6"/>
  <c r="AD249" i="6"/>
  <c r="AA249" i="6"/>
  <c r="R249" i="6"/>
  <c r="U249" i="6"/>
  <c r="AE249" i="6"/>
  <c r="AG249" i="6"/>
  <c r="H249" i="6"/>
  <c r="AH249" i="5"/>
  <c r="D248" i="8" s="1"/>
  <c r="D249" i="6"/>
  <c r="M249" i="6"/>
  <c r="P249" i="6"/>
  <c r="AB249" i="6"/>
  <c r="AC249" i="6"/>
  <c r="AF249" i="6"/>
  <c r="L249" i="6"/>
  <c r="F249" i="6"/>
  <c r="Y249" i="6"/>
  <c r="V249" i="6"/>
  <c r="C249" i="6"/>
  <c r="G249" i="6"/>
  <c r="Q249" i="6"/>
  <c r="J249" i="6"/>
  <c r="S249" i="6"/>
  <c r="N249" i="6"/>
  <c r="I249" i="6"/>
  <c r="K249" i="6"/>
  <c r="E249" i="6"/>
  <c r="W249" i="6"/>
  <c r="O249" i="6"/>
  <c r="X249" i="6"/>
  <c r="Z249" i="6"/>
  <c r="J245" i="6"/>
  <c r="N245" i="6"/>
  <c r="Q245" i="6"/>
  <c r="X245" i="6"/>
  <c r="AD245" i="6"/>
  <c r="AE245" i="6"/>
  <c r="D245" i="6"/>
  <c r="AH245" i="5"/>
  <c r="D244" i="8" s="1"/>
  <c r="H245" i="6"/>
  <c r="AF245" i="6"/>
  <c r="R245" i="6"/>
  <c r="C245" i="6"/>
  <c r="G245" i="6"/>
  <c r="I245" i="6"/>
  <c r="AG245" i="6"/>
  <c r="AC245" i="6"/>
  <c r="E245" i="6"/>
  <c r="P245" i="6"/>
  <c r="K245" i="6"/>
  <c r="AB245" i="6"/>
  <c r="W245" i="6"/>
  <c r="M245" i="6"/>
  <c r="L245" i="6"/>
  <c r="S245" i="6"/>
  <c r="Z245" i="6"/>
  <c r="U245" i="6"/>
  <c r="AA245" i="6"/>
  <c r="T245" i="6"/>
  <c r="V245" i="6"/>
  <c r="O245" i="6"/>
  <c r="Y245" i="6"/>
  <c r="F245" i="6"/>
  <c r="AG246" i="6"/>
  <c r="I246" i="6"/>
  <c r="O246" i="6"/>
  <c r="T246" i="6"/>
  <c r="Z246" i="6"/>
  <c r="Y246" i="6"/>
  <c r="AE246" i="6"/>
  <c r="R246" i="6"/>
  <c r="U246" i="6"/>
  <c r="X246" i="6"/>
  <c r="G246" i="6"/>
  <c r="AA246" i="6"/>
  <c r="M246" i="6"/>
  <c r="L246" i="6"/>
  <c r="W246" i="6"/>
  <c r="P246" i="6"/>
  <c r="AD246" i="6"/>
  <c r="D246" i="6"/>
  <c r="AB246" i="6"/>
  <c r="AF246" i="6"/>
  <c r="AH246" i="5"/>
  <c r="D245" i="8" s="1"/>
  <c r="AC246" i="6"/>
  <c r="N246" i="6"/>
  <c r="C246" i="6"/>
  <c r="K246" i="6"/>
  <c r="S246" i="6"/>
  <c r="E246" i="6"/>
  <c r="J246" i="6"/>
  <c r="H246" i="6"/>
  <c r="F246" i="6"/>
  <c r="Q246" i="6"/>
  <c r="V246" i="6"/>
  <c r="H248" i="6"/>
  <c r="M248" i="6"/>
  <c r="V248" i="6"/>
  <c r="J248" i="6"/>
  <c r="AC248" i="6"/>
  <c r="P248" i="6"/>
  <c r="AG248" i="6"/>
  <c r="Z248" i="6"/>
  <c r="U248" i="6"/>
  <c r="E248" i="6"/>
  <c r="AH248" i="5"/>
  <c r="D247" i="8" s="1"/>
  <c r="Y248" i="6"/>
  <c r="L248" i="6"/>
  <c r="Q248" i="6"/>
  <c r="X248" i="6"/>
  <c r="R248" i="6"/>
  <c r="AD248" i="6"/>
  <c r="D248" i="6"/>
  <c r="N248" i="6"/>
  <c r="S248" i="6"/>
  <c r="AB248" i="6"/>
  <c r="AA248" i="6"/>
  <c r="C248" i="6"/>
  <c r="AE248" i="6"/>
  <c r="W248" i="6"/>
  <c r="K248" i="6"/>
  <c r="I248" i="6"/>
  <c r="AF248" i="6"/>
  <c r="F248" i="6"/>
  <c r="T248" i="6"/>
  <c r="G248" i="6"/>
  <c r="O248" i="6"/>
  <c r="F278" i="6"/>
  <c r="J278" i="6"/>
  <c r="N278" i="6"/>
  <c r="R278" i="6"/>
  <c r="V278" i="6"/>
  <c r="Z278" i="6"/>
  <c r="AD278" i="6"/>
  <c r="E278" i="6"/>
  <c r="K278" i="6"/>
  <c r="P278" i="6"/>
  <c r="U278" i="6"/>
  <c r="AA278" i="6"/>
  <c r="AF278" i="6"/>
  <c r="G278" i="6"/>
  <c r="L278" i="6"/>
  <c r="Q278" i="6"/>
  <c r="W278" i="6"/>
  <c r="AB278" i="6"/>
  <c r="AG278" i="6"/>
  <c r="C278" i="6"/>
  <c r="H278" i="6"/>
  <c r="M278" i="6"/>
  <c r="S278" i="6"/>
  <c r="X278" i="6"/>
  <c r="AC278" i="6"/>
  <c r="D278" i="6"/>
  <c r="I278" i="6"/>
  <c r="O278" i="6"/>
  <c r="T278" i="6"/>
  <c r="Y278" i="6"/>
  <c r="AE278" i="6"/>
  <c r="C275" i="6"/>
  <c r="G275" i="6"/>
  <c r="K275" i="6"/>
  <c r="O275" i="6"/>
  <c r="S275" i="6"/>
  <c r="W275" i="6"/>
  <c r="AA275" i="6"/>
  <c r="AE275" i="6"/>
  <c r="H275" i="6"/>
  <c r="M275" i="6"/>
  <c r="R275" i="6"/>
  <c r="X275" i="6"/>
  <c r="AC275" i="6"/>
  <c r="D275" i="6"/>
  <c r="I275" i="6"/>
  <c r="N275" i="6"/>
  <c r="T275" i="6"/>
  <c r="Y275" i="6"/>
  <c r="AD275" i="6"/>
  <c r="E275" i="6"/>
  <c r="J275" i="6"/>
  <c r="P275" i="6"/>
  <c r="U275" i="6"/>
  <c r="Z275" i="6"/>
  <c r="AF275" i="6"/>
  <c r="F275" i="6"/>
  <c r="L275" i="6"/>
  <c r="Q275" i="6"/>
  <c r="V275" i="6"/>
  <c r="AB275" i="6"/>
  <c r="AG275" i="6"/>
  <c r="C259" i="6"/>
  <c r="G259" i="6"/>
  <c r="K259" i="6"/>
  <c r="O259" i="6"/>
  <c r="S259" i="6"/>
  <c r="W259" i="6"/>
  <c r="AA259" i="6"/>
  <c r="AE259" i="6"/>
  <c r="E259" i="6"/>
  <c r="J259" i="6"/>
  <c r="P259" i="6"/>
  <c r="U259" i="6"/>
  <c r="Z259" i="6"/>
  <c r="AF259" i="6"/>
  <c r="F259" i="6"/>
  <c r="L259" i="6"/>
  <c r="Q259" i="6"/>
  <c r="V259" i="6"/>
  <c r="AB259" i="6"/>
  <c r="AG259" i="6"/>
  <c r="M259" i="6"/>
  <c r="X259" i="6"/>
  <c r="D259" i="6"/>
  <c r="N259" i="6"/>
  <c r="Y259" i="6"/>
  <c r="H259" i="6"/>
  <c r="AC259" i="6"/>
  <c r="I259" i="6"/>
  <c r="AD259" i="6"/>
  <c r="R259" i="6"/>
  <c r="T259" i="6"/>
  <c r="F262" i="6"/>
  <c r="J262" i="6"/>
  <c r="N262" i="6"/>
  <c r="R262" i="6"/>
  <c r="V262" i="6"/>
  <c r="Z262" i="6"/>
  <c r="AD262" i="6"/>
  <c r="C262" i="6"/>
  <c r="H262" i="6"/>
  <c r="M262" i="6"/>
  <c r="S262" i="6"/>
  <c r="X262" i="6"/>
  <c r="AC262" i="6"/>
  <c r="D262" i="6"/>
  <c r="I262" i="6"/>
  <c r="O262" i="6"/>
  <c r="T262" i="6"/>
  <c r="Y262" i="6"/>
  <c r="AE262" i="6"/>
  <c r="E262" i="6"/>
  <c r="P262" i="6"/>
  <c r="AA262" i="6"/>
  <c r="G262" i="6"/>
  <c r="Q262" i="6"/>
  <c r="AB262" i="6"/>
  <c r="U262" i="6"/>
  <c r="W262" i="6"/>
  <c r="K262" i="6"/>
  <c r="AF262" i="6"/>
  <c r="L262" i="6"/>
  <c r="AG262" i="6"/>
  <c r="E257" i="6"/>
  <c r="I257" i="6"/>
  <c r="M257" i="6"/>
  <c r="Q257" i="6"/>
  <c r="U257" i="6"/>
  <c r="Y257" i="6"/>
  <c r="AC257" i="6"/>
  <c r="AG257" i="6"/>
  <c r="C257" i="6"/>
  <c r="H257" i="6"/>
  <c r="N257" i="6"/>
  <c r="S257" i="6"/>
  <c r="X257" i="6"/>
  <c r="AD257" i="6"/>
  <c r="D257" i="6"/>
  <c r="J257" i="6"/>
  <c r="O257" i="6"/>
  <c r="T257" i="6"/>
  <c r="Z257" i="6"/>
  <c r="AE257" i="6"/>
  <c r="K257" i="6"/>
  <c r="V257" i="6"/>
  <c r="AF257" i="6"/>
  <c r="L257" i="6"/>
  <c r="W257" i="6"/>
  <c r="F257" i="6"/>
  <c r="AA257" i="6"/>
  <c r="G257" i="6"/>
  <c r="AB257" i="6"/>
  <c r="P257" i="6"/>
  <c r="R257" i="6"/>
  <c r="E272" i="6"/>
  <c r="I272" i="6"/>
  <c r="M272" i="6"/>
  <c r="Q272" i="6"/>
  <c r="U272" i="6"/>
  <c r="Y272" i="6"/>
  <c r="AC272" i="6"/>
  <c r="AG272" i="6"/>
  <c r="D272" i="6"/>
  <c r="J272" i="6"/>
  <c r="O272" i="6"/>
  <c r="T272" i="6"/>
  <c r="Z272" i="6"/>
  <c r="AE272" i="6"/>
  <c r="H272" i="6"/>
  <c r="P272" i="6"/>
  <c r="W272" i="6"/>
  <c r="AD272" i="6"/>
  <c r="C272" i="6"/>
  <c r="K272" i="6"/>
  <c r="R272" i="6"/>
  <c r="X272" i="6"/>
  <c r="AF272" i="6"/>
  <c r="F272" i="6"/>
  <c r="L272" i="6"/>
  <c r="S272" i="6"/>
  <c r="AA272" i="6"/>
  <c r="G272" i="6"/>
  <c r="N272" i="6"/>
  <c r="V272" i="6"/>
  <c r="AB272" i="6"/>
  <c r="D256" i="6"/>
  <c r="H256" i="6"/>
  <c r="L256" i="6"/>
  <c r="P256" i="6"/>
  <c r="T256" i="6"/>
  <c r="X256" i="6"/>
  <c r="AB256" i="6"/>
  <c r="AF256" i="6"/>
  <c r="G256" i="6"/>
  <c r="M256" i="6"/>
  <c r="R256" i="6"/>
  <c r="W256" i="6"/>
  <c r="AC256" i="6"/>
  <c r="C256" i="6"/>
  <c r="I256" i="6"/>
  <c r="N256" i="6"/>
  <c r="S256" i="6"/>
  <c r="Y256" i="6"/>
  <c r="AD256" i="6"/>
  <c r="J256" i="6"/>
  <c r="U256" i="6"/>
  <c r="AE256" i="6"/>
  <c r="K256" i="6"/>
  <c r="V256" i="6"/>
  <c r="AG256" i="6"/>
  <c r="O256" i="6"/>
  <c r="Q256" i="6"/>
  <c r="E256" i="6"/>
  <c r="Z256" i="6"/>
  <c r="F256" i="6"/>
  <c r="AA256" i="6"/>
  <c r="E261" i="6"/>
  <c r="I261" i="6"/>
  <c r="M261" i="6"/>
  <c r="Q261" i="6"/>
  <c r="U261" i="6"/>
  <c r="Y261" i="6"/>
  <c r="AC261" i="6"/>
  <c r="AG261" i="6"/>
  <c r="G261" i="6"/>
  <c r="L261" i="6"/>
  <c r="R261" i="6"/>
  <c r="W261" i="6"/>
  <c r="AB261" i="6"/>
  <c r="C261" i="6"/>
  <c r="H261" i="6"/>
  <c r="N261" i="6"/>
  <c r="S261" i="6"/>
  <c r="X261" i="6"/>
  <c r="AD261" i="6"/>
  <c r="D261" i="6"/>
  <c r="O261" i="6"/>
  <c r="Z261" i="6"/>
  <c r="F261" i="6"/>
  <c r="P261" i="6"/>
  <c r="AA261" i="6"/>
  <c r="J261" i="6"/>
  <c r="AE261" i="6"/>
  <c r="K261" i="6"/>
  <c r="AF261" i="6"/>
  <c r="T261" i="6"/>
  <c r="V261" i="6"/>
  <c r="F274" i="6"/>
  <c r="J274" i="6"/>
  <c r="N274" i="6"/>
  <c r="R274" i="6"/>
  <c r="V274" i="6"/>
  <c r="Z274" i="6"/>
  <c r="AD274" i="6"/>
  <c r="G274" i="6"/>
  <c r="L274" i="6"/>
  <c r="Q274" i="6"/>
  <c r="W274" i="6"/>
  <c r="AB274" i="6"/>
  <c r="AG274" i="6"/>
  <c r="C274" i="6"/>
  <c r="H274" i="6"/>
  <c r="M274" i="6"/>
  <c r="S274" i="6"/>
  <c r="X274" i="6"/>
  <c r="AC274" i="6"/>
  <c r="D274" i="6"/>
  <c r="I274" i="6"/>
  <c r="O274" i="6"/>
  <c r="T274" i="6"/>
  <c r="Y274" i="6"/>
  <c r="AE274" i="6"/>
  <c r="E274" i="6"/>
  <c r="K274" i="6"/>
  <c r="P274" i="6"/>
  <c r="U274" i="6"/>
  <c r="AA274" i="6"/>
  <c r="AF274" i="6"/>
  <c r="C270" i="6"/>
  <c r="G270" i="6"/>
  <c r="K270" i="6"/>
  <c r="O270" i="6"/>
  <c r="S270" i="6"/>
  <c r="W270" i="6"/>
  <c r="AA270" i="6"/>
  <c r="AE270" i="6"/>
  <c r="F270" i="6"/>
  <c r="L270" i="6"/>
  <c r="Q270" i="6"/>
  <c r="V270" i="6"/>
  <c r="H270" i="6"/>
  <c r="M270" i="6"/>
  <c r="R270" i="6"/>
  <c r="X270" i="6"/>
  <c r="AC270" i="6"/>
  <c r="I270" i="6"/>
  <c r="T270" i="6"/>
  <c r="AB270" i="6"/>
  <c r="J270" i="6"/>
  <c r="U270" i="6"/>
  <c r="AD270" i="6"/>
  <c r="D270" i="6"/>
  <c r="N270" i="6"/>
  <c r="Y270" i="6"/>
  <c r="AF270" i="6"/>
  <c r="E270" i="6"/>
  <c r="P270" i="6"/>
  <c r="Z270" i="6"/>
  <c r="AG270" i="6"/>
  <c r="E265" i="6"/>
  <c r="I265" i="6"/>
  <c r="M265" i="6"/>
  <c r="Q265" i="6"/>
  <c r="U265" i="6"/>
  <c r="F265" i="6"/>
  <c r="J265" i="6"/>
  <c r="N265" i="6"/>
  <c r="R265" i="6"/>
  <c r="V265" i="6"/>
  <c r="Z265" i="6"/>
  <c r="AD265" i="6"/>
  <c r="G265" i="6"/>
  <c r="O265" i="6"/>
  <c r="W265" i="6"/>
  <c r="AB265" i="6"/>
  <c r="AG265" i="6"/>
  <c r="H265" i="6"/>
  <c r="P265" i="6"/>
  <c r="X265" i="6"/>
  <c r="AC265" i="6"/>
  <c r="K265" i="6"/>
  <c r="Y265" i="6"/>
  <c r="L265" i="6"/>
  <c r="AA265" i="6"/>
  <c r="C265" i="6"/>
  <c r="S265" i="6"/>
  <c r="AE265" i="6"/>
  <c r="D265" i="6"/>
  <c r="T265" i="6"/>
  <c r="AF265" i="6"/>
  <c r="D267" i="6"/>
  <c r="H267" i="6"/>
  <c r="L267" i="6"/>
  <c r="P267" i="6"/>
  <c r="T267" i="6"/>
  <c r="X267" i="6"/>
  <c r="AB267" i="6"/>
  <c r="AF267" i="6"/>
  <c r="C267" i="6"/>
  <c r="I267" i="6"/>
  <c r="N267" i="6"/>
  <c r="S267" i="6"/>
  <c r="Y267" i="6"/>
  <c r="AD267" i="6"/>
  <c r="E267" i="6"/>
  <c r="J267" i="6"/>
  <c r="O267" i="6"/>
  <c r="U267" i="6"/>
  <c r="Z267" i="6"/>
  <c r="AE267" i="6"/>
  <c r="F267" i="6"/>
  <c r="Q267" i="6"/>
  <c r="AA267" i="6"/>
  <c r="G267" i="6"/>
  <c r="R267" i="6"/>
  <c r="AC267" i="6"/>
  <c r="K267" i="6"/>
  <c r="V267" i="6"/>
  <c r="AG267" i="6"/>
  <c r="M267" i="6"/>
  <c r="W267" i="6"/>
  <c r="F251" i="6"/>
  <c r="J251" i="6"/>
  <c r="N251" i="6"/>
  <c r="R251" i="6"/>
  <c r="V251" i="6"/>
  <c r="Z251" i="6"/>
  <c r="AD251" i="6"/>
  <c r="C251" i="6"/>
  <c r="G251" i="6"/>
  <c r="K251" i="6"/>
  <c r="O251" i="6"/>
  <c r="S251" i="6"/>
  <c r="W251" i="6"/>
  <c r="AA251" i="6"/>
  <c r="AE251" i="6"/>
  <c r="D251" i="6"/>
  <c r="H251" i="6"/>
  <c r="L251" i="6"/>
  <c r="P251" i="6"/>
  <c r="T251" i="6"/>
  <c r="X251" i="6"/>
  <c r="AB251" i="6"/>
  <c r="AF251" i="6"/>
  <c r="Q251" i="6"/>
  <c r="AG251" i="6"/>
  <c r="E251" i="6"/>
  <c r="U251" i="6"/>
  <c r="I251" i="6"/>
  <c r="Y251" i="6"/>
  <c r="M251" i="6"/>
  <c r="AC251" i="6"/>
  <c r="D276" i="6"/>
  <c r="H276" i="6"/>
  <c r="L276" i="6"/>
  <c r="P276" i="6"/>
  <c r="T276" i="6"/>
  <c r="X276" i="6"/>
  <c r="AB276" i="6"/>
  <c r="AF276" i="6"/>
  <c r="C276" i="6"/>
  <c r="I276" i="6"/>
  <c r="N276" i="6"/>
  <c r="S276" i="6"/>
  <c r="Y276" i="6"/>
  <c r="AD276" i="6"/>
  <c r="E276" i="6"/>
  <c r="J276" i="6"/>
  <c r="O276" i="6"/>
  <c r="U276" i="6"/>
  <c r="Z276" i="6"/>
  <c r="AE276" i="6"/>
  <c r="F276" i="6"/>
  <c r="K276" i="6"/>
  <c r="Q276" i="6"/>
  <c r="V276" i="6"/>
  <c r="AA276" i="6"/>
  <c r="AG276" i="6"/>
  <c r="G276" i="6"/>
  <c r="M276" i="6"/>
  <c r="R276" i="6"/>
  <c r="W276" i="6"/>
  <c r="AC276" i="6"/>
  <c r="D260" i="6"/>
  <c r="H260" i="6"/>
  <c r="L260" i="6"/>
  <c r="P260" i="6"/>
  <c r="T260" i="6"/>
  <c r="X260" i="6"/>
  <c r="AB260" i="6"/>
  <c r="AF260" i="6"/>
  <c r="F260" i="6"/>
  <c r="K260" i="6"/>
  <c r="Q260" i="6"/>
  <c r="V260" i="6"/>
  <c r="AA260" i="6"/>
  <c r="AG260" i="6"/>
  <c r="G260" i="6"/>
  <c r="M260" i="6"/>
  <c r="R260" i="6"/>
  <c r="W260" i="6"/>
  <c r="AC260" i="6"/>
  <c r="C260" i="6"/>
  <c r="N260" i="6"/>
  <c r="Y260" i="6"/>
  <c r="E260" i="6"/>
  <c r="O260" i="6"/>
  <c r="Z260" i="6"/>
  <c r="S260" i="6"/>
  <c r="U260" i="6"/>
  <c r="I260" i="6"/>
  <c r="AD260" i="6"/>
  <c r="J260" i="6"/>
  <c r="AE260" i="6"/>
  <c r="F269" i="6"/>
  <c r="J269" i="6"/>
  <c r="N269" i="6"/>
  <c r="R269" i="6"/>
  <c r="V269" i="6"/>
  <c r="Z269" i="6"/>
  <c r="AD269" i="6"/>
  <c r="E269" i="6"/>
  <c r="K269" i="6"/>
  <c r="P269" i="6"/>
  <c r="U269" i="6"/>
  <c r="AA269" i="6"/>
  <c r="AF269" i="6"/>
  <c r="G269" i="6"/>
  <c r="L269" i="6"/>
  <c r="Q269" i="6"/>
  <c r="W269" i="6"/>
  <c r="AB269" i="6"/>
  <c r="AG269" i="6"/>
  <c r="H269" i="6"/>
  <c r="S269" i="6"/>
  <c r="AC269" i="6"/>
  <c r="I269" i="6"/>
  <c r="T269" i="6"/>
  <c r="AE269" i="6"/>
  <c r="C269" i="6"/>
  <c r="M269" i="6"/>
  <c r="X269" i="6"/>
  <c r="D269" i="6"/>
  <c r="O269" i="6"/>
  <c r="Y269" i="6"/>
  <c r="E253" i="6"/>
  <c r="I253" i="6"/>
  <c r="M253" i="6"/>
  <c r="Q253" i="6"/>
  <c r="U253" i="6"/>
  <c r="Y253" i="6"/>
  <c r="AC253" i="6"/>
  <c r="AG253" i="6"/>
  <c r="D253" i="6"/>
  <c r="J253" i="6"/>
  <c r="O253" i="6"/>
  <c r="T253" i="6"/>
  <c r="Z253" i="6"/>
  <c r="AE253" i="6"/>
  <c r="F253" i="6"/>
  <c r="K253" i="6"/>
  <c r="P253" i="6"/>
  <c r="V253" i="6"/>
  <c r="AA253" i="6"/>
  <c r="AF253" i="6"/>
  <c r="G253" i="6"/>
  <c r="R253" i="6"/>
  <c r="AB253" i="6"/>
  <c r="H253" i="6"/>
  <c r="S253" i="6"/>
  <c r="AD253" i="6"/>
  <c r="W253" i="6"/>
  <c r="C253" i="6"/>
  <c r="X253" i="6"/>
  <c r="L253" i="6"/>
  <c r="N253" i="6"/>
  <c r="E268" i="6"/>
  <c r="I268" i="6"/>
  <c r="M268" i="6"/>
  <c r="Q268" i="6"/>
  <c r="U268" i="6"/>
  <c r="Y268" i="6"/>
  <c r="AC268" i="6"/>
  <c r="AG268" i="6"/>
  <c r="D268" i="6"/>
  <c r="J268" i="6"/>
  <c r="O268" i="6"/>
  <c r="T268" i="6"/>
  <c r="Z268" i="6"/>
  <c r="AE268" i="6"/>
  <c r="F268" i="6"/>
  <c r="K268" i="6"/>
  <c r="P268" i="6"/>
  <c r="V268" i="6"/>
  <c r="AA268" i="6"/>
  <c r="AF268" i="6"/>
  <c r="G268" i="6"/>
  <c r="R268" i="6"/>
  <c r="AB268" i="6"/>
  <c r="H268" i="6"/>
  <c r="S268" i="6"/>
  <c r="AD268" i="6"/>
  <c r="L268" i="6"/>
  <c r="W268" i="6"/>
  <c r="C268" i="6"/>
  <c r="N268" i="6"/>
  <c r="X268" i="6"/>
  <c r="D252" i="6"/>
  <c r="H252" i="6"/>
  <c r="L252" i="6"/>
  <c r="P252" i="6"/>
  <c r="T252" i="6"/>
  <c r="X252" i="6"/>
  <c r="AB252" i="6"/>
  <c r="AF252" i="6"/>
  <c r="C252" i="6"/>
  <c r="I252" i="6"/>
  <c r="N252" i="6"/>
  <c r="S252" i="6"/>
  <c r="Y252" i="6"/>
  <c r="AD252" i="6"/>
  <c r="E252" i="6"/>
  <c r="J252" i="6"/>
  <c r="O252" i="6"/>
  <c r="U252" i="6"/>
  <c r="Z252" i="6"/>
  <c r="AE252" i="6"/>
  <c r="F252" i="6"/>
  <c r="Q252" i="6"/>
  <c r="AA252" i="6"/>
  <c r="G252" i="6"/>
  <c r="R252" i="6"/>
  <c r="AC252" i="6"/>
  <c r="K252" i="6"/>
  <c r="AG252" i="6"/>
  <c r="M252" i="6"/>
  <c r="V252" i="6"/>
  <c r="W252" i="6"/>
  <c r="C263" i="6"/>
  <c r="G263" i="6"/>
  <c r="K263" i="6"/>
  <c r="O263" i="6"/>
  <c r="S263" i="6"/>
  <c r="W263" i="6"/>
  <c r="AA263" i="6"/>
  <c r="AE263" i="6"/>
  <c r="D263" i="6"/>
  <c r="H263" i="6"/>
  <c r="L263" i="6"/>
  <c r="P263" i="6"/>
  <c r="T263" i="6"/>
  <c r="X263" i="6"/>
  <c r="AB263" i="6"/>
  <c r="AF263" i="6"/>
  <c r="E263" i="6"/>
  <c r="M263" i="6"/>
  <c r="U263" i="6"/>
  <c r="AC263" i="6"/>
  <c r="F263" i="6"/>
  <c r="N263" i="6"/>
  <c r="V263" i="6"/>
  <c r="AD263" i="6"/>
  <c r="I263" i="6"/>
  <c r="Y263" i="6"/>
  <c r="J263" i="6"/>
  <c r="Z263" i="6"/>
  <c r="Q263" i="6"/>
  <c r="AG263" i="6"/>
  <c r="R263" i="6"/>
  <c r="F258" i="6"/>
  <c r="J258" i="6"/>
  <c r="N258" i="6"/>
  <c r="R258" i="6"/>
  <c r="V258" i="6"/>
  <c r="Z258" i="6"/>
  <c r="AD258" i="6"/>
  <c r="D258" i="6"/>
  <c r="I258" i="6"/>
  <c r="O258" i="6"/>
  <c r="T258" i="6"/>
  <c r="Y258" i="6"/>
  <c r="AE258" i="6"/>
  <c r="E258" i="6"/>
  <c r="K258" i="6"/>
  <c r="P258" i="6"/>
  <c r="U258" i="6"/>
  <c r="AA258" i="6"/>
  <c r="AF258" i="6"/>
  <c r="L258" i="6"/>
  <c r="W258" i="6"/>
  <c r="AG258" i="6"/>
  <c r="C258" i="6"/>
  <c r="M258" i="6"/>
  <c r="X258" i="6"/>
  <c r="Q258" i="6"/>
  <c r="S258" i="6"/>
  <c r="G258" i="6"/>
  <c r="AB258" i="6"/>
  <c r="H258" i="6"/>
  <c r="AC258" i="6"/>
  <c r="F254" i="6"/>
  <c r="J254" i="6"/>
  <c r="N254" i="6"/>
  <c r="R254" i="6"/>
  <c r="V254" i="6"/>
  <c r="Z254" i="6"/>
  <c r="AD254" i="6"/>
  <c r="E254" i="6"/>
  <c r="K254" i="6"/>
  <c r="P254" i="6"/>
  <c r="U254" i="6"/>
  <c r="AA254" i="6"/>
  <c r="AF254" i="6"/>
  <c r="G254" i="6"/>
  <c r="L254" i="6"/>
  <c r="Q254" i="6"/>
  <c r="W254" i="6"/>
  <c r="AB254" i="6"/>
  <c r="AG254" i="6"/>
  <c r="H254" i="6"/>
  <c r="S254" i="6"/>
  <c r="AC254" i="6"/>
  <c r="I254" i="6"/>
  <c r="T254" i="6"/>
  <c r="AE254" i="6"/>
  <c r="M254" i="6"/>
  <c r="O254" i="6"/>
  <c r="C254" i="6"/>
  <c r="X254" i="6"/>
  <c r="D254" i="6"/>
  <c r="Y254" i="6"/>
  <c r="E277" i="6"/>
  <c r="I277" i="6"/>
  <c r="M277" i="6"/>
  <c r="Q277" i="6"/>
  <c r="U277" i="6"/>
  <c r="Y277" i="6"/>
  <c r="AC277" i="6"/>
  <c r="AG277" i="6"/>
  <c r="D277" i="6"/>
  <c r="J277" i="6"/>
  <c r="O277" i="6"/>
  <c r="T277" i="6"/>
  <c r="Z277" i="6"/>
  <c r="AE277" i="6"/>
  <c r="F277" i="6"/>
  <c r="K277" i="6"/>
  <c r="P277" i="6"/>
  <c r="V277" i="6"/>
  <c r="AA277" i="6"/>
  <c r="AF277" i="6"/>
  <c r="G277" i="6"/>
  <c r="L277" i="6"/>
  <c r="R277" i="6"/>
  <c r="W277" i="6"/>
  <c r="AB277" i="6"/>
  <c r="C277" i="6"/>
  <c r="H277" i="6"/>
  <c r="N277" i="6"/>
  <c r="S277" i="6"/>
  <c r="X277" i="6"/>
  <c r="AD277" i="6"/>
  <c r="E273" i="6"/>
  <c r="I273" i="6"/>
  <c r="M273" i="6"/>
  <c r="Q273" i="6"/>
  <c r="U273" i="6"/>
  <c r="Y273" i="6"/>
  <c r="AC273" i="6"/>
  <c r="AG273" i="6"/>
  <c r="F273" i="6"/>
  <c r="K273" i="6"/>
  <c r="P273" i="6"/>
  <c r="V273" i="6"/>
  <c r="AA273" i="6"/>
  <c r="AF273" i="6"/>
  <c r="G273" i="6"/>
  <c r="L273" i="6"/>
  <c r="R273" i="6"/>
  <c r="W273" i="6"/>
  <c r="AB273" i="6"/>
  <c r="C273" i="6"/>
  <c r="H273" i="6"/>
  <c r="N273" i="6"/>
  <c r="S273" i="6"/>
  <c r="X273" i="6"/>
  <c r="AD273" i="6"/>
  <c r="D273" i="6"/>
  <c r="J273" i="6"/>
  <c r="O273" i="6"/>
  <c r="T273" i="6"/>
  <c r="Z273" i="6"/>
  <c r="AE273" i="6"/>
  <c r="C266" i="6"/>
  <c r="G266" i="6"/>
  <c r="K266" i="6"/>
  <c r="O266" i="6"/>
  <c r="S266" i="6"/>
  <c r="W266" i="6"/>
  <c r="AA266" i="6"/>
  <c r="AE266" i="6"/>
  <c r="H266" i="6"/>
  <c r="M266" i="6"/>
  <c r="R266" i="6"/>
  <c r="X266" i="6"/>
  <c r="AC266" i="6"/>
  <c r="D266" i="6"/>
  <c r="I266" i="6"/>
  <c r="N266" i="6"/>
  <c r="T266" i="6"/>
  <c r="Y266" i="6"/>
  <c r="AD266" i="6"/>
  <c r="E266" i="6"/>
  <c r="P266" i="6"/>
  <c r="Z266" i="6"/>
  <c r="F266" i="6"/>
  <c r="Q266" i="6"/>
  <c r="AB266" i="6"/>
  <c r="J266" i="6"/>
  <c r="U266" i="6"/>
  <c r="AF266" i="6"/>
  <c r="L266" i="6"/>
  <c r="V266" i="6"/>
  <c r="AG266" i="6"/>
  <c r="D271" i="6"/>
  <c r="H271" i="6"/>
  <c r="L271" i="6"/>
  <c r="P271" i="6"/>
  <c r="T271" i="6"/>
  <c r="X271" i="6"/>
  <c r="AB271" i="6"/>
  <c r="AF271" i="6"/>
  <c r="C271" i="6"/>
  <c r="I271" i="6"/>
  <c r="N271" i="6"/>
  <c r="S271" i="6"/>
  <c r="Y271" i="6"/>
  <c r="AD271" i="6"/>
  <c r="E271" i="6"/>
  <c r="K271" i="6"/>
  <c r="R271" i="6"/>
  <c r="Z271" i="6"/>
  <c r="AG271" i="6"/>
  <c r="F271" i="6"/>
  <c r="M271" i="6"/>
  <c r="U271" i="6"/>
  <c r="AA271" i="6"/>
  <c r="G271" i="6"/>
  <c r="O271" i="6"/>
  <c r="V271" i="6"/>
  <c r="AC271" i="6"/>
  <c r="J271" i="6"/>
  <c r="Q271" i="6"/>
  <c r="W271" i="6"/>
  <c r="AE271" i="6"/>
  <c r="C255" i="6"/>
  <c r="G255" i="6"/>
  <c r="K255" i="6"/>
  <c r="O255" i="6"/>
  <c r="S255" i="6"/>
  <c r="W255" i="6"/>
  <c r="AA255" i="6"/>
  <c r="AE255" i="6"/>
  <c r="F255" i="6"/>
  <c r="L255" i="6"/>
  <c r="Q255" i="6"/>
  <c r="V255" i="6"/>
  <c r="AB255" i="6"/>
  <c r="AG255" i="6"/>
  <c r="H255" i="6"/>
  <c r="M255" i="6"/>
  <c r="R255" i="6"/>
  <c r="X255" i="6"/>
  <c r="AC255" i="6"/>
  <c r="I255" i="6"/>
  <c r="T255" i="6"/>
  <c r="AD255" i="6"/>
  <c r="J255" i="6"/>
  <c r="U255" i="6"/>
  <c r="AF255" i="6"/>
  <c r="D255" i="6"/>
  <c r="Y255" i="6"/>
  <c r="E255" i="6"/>
  <c r="Z255" i="6"/>
  <c r="N255" i="6"/>
  <c r="P255" i="6"/>
  <c r="D264" i="6"/>
  <c r="H264" i="6"/>
  <c r="L264" i="6"/>
  <c r="P264" i="6"/>
  <c r="T264" i="6"/>
  <c r="X264" i="6"/>
  <c r="AB264" i="6"/>
  <c r="AF264" i="6"/>
  <c r="E264" i="6"/>
  <c r="I264" i="6"/>
  <c r="M264" i="6"/>
  <c r="Q264" i="6"/>
  <c r="U264" i="6"/>
  <c r="Y264" i="6"/>
  <c r="AC264" i="6"/>
  <c r="AG264" i="6"/>
  <c r="F264" i="6"/>
  <c r="N264" i="6"/>
  <c r="V264" i="6"/>
  <c r="AD264" i="6"/>
  <c r="G264" i="6"/>
  <c r="O264" i="6"/>
  <c r="W264" i="6"/>
  <c r="AE264" i="6"/>
  <c r="J264" i="6"/>
  <c r="Z264" i="6"/>
  <c r="K264" i="6"/>
  <c r="AA264" i="6"/>
  <c r="R264" i="6"/>
  <c r="C264" i="6"/>
  <c r="S264" i="6"/>
  <c r="G3" i="6"/>
  <c r="K3" i="6"/>
  <c r="O3" i="6"/>
  <c r="S3" i="6"/>
  <c r="W3" i="6"/>
  <c r="AA3" i="6"/>
  <c r="AE3" i="6"/>
  <c r="E3" i="6"/>
  <c r="I3" i="6"/>
  <c r="M3" i="6"/>
  <c r="Q3" i="6"/>
  <c r="U3" i="6"/>
  <c r="Y3" i="6"/>
  <c r="AC3" i="6"/>
  <c r="AG3" i="6"/>
  <c r="F3" i="6"/>
  <c r="N3" i="6"/>
  <c r="V3" i="6"/>
  <c r="AD3" i="6"/>
  <c r="H3" i="6"/>
  <c r="P3" i="6"/>
  <c r="X3" i="6"/>
  <c r="AF3" i="6"/>
  <c r="J3" i="6"/>
  <c r="R3" i="6"/>
  <c r="Z3" i="6"/>
  <c r="D3" i="6"/>
  <c r="L3" i="6"/>
  <c r="T3" i="6"/>
  <c r="AB3" i="6"/>
  <c r="C243" i="6"/>
  <c r="G243" i="6"/>
  <c r="K243" i="6"/>
  <c r="O243" i="6"/>
  <c r="S243" i="6"/>
  <c r="W243" i="6"/>
  <c r="AA243" i="6"/>
  <c r="AE243" i="6"/>
  <c r="E243" i="6"/>
  <c r="I243" i="6"/>
  <c r="M243" i="6"/>
  <c r="Q243" i="6"/>
  <c r="U243" i="6"/>
  <c r="Y243" i="6"/>
  <c r="AC243" i="6"/>
  <c r="AG243" i="6"/>
  <c r="F243" i="6"/>
  <c r="N243" i="6"/>
  <c r="V243" i="6"/>
  <c r="AD243" i="6"/>
  <c r="H243" i="6"/>
  <c r="P243" i="6"/>
  <c r="X243" i="6"/>
  <c r="AF243" i="6"/>
  <c r="J243" i="6"/>
  <c r="R243" i="6"/>
  <c r="Z243" i="6"/>
  <c r="D243" i="6"/>
  <c r="L243" i="6"/>
  <c r="T243" i="6"/>
  <c r="AB243" i="6"/>
  <c r="D206" i="6"/>
  <c r="H206" i="6"/>
  <c r="L206" i="6"/>
  <c r="P206" i="6"/>
  <c r="T206" i="6"/>
  <c r="X206" i="6"/>
  <c r="AB206" i="6"/>
  <c r="AF206" i="6"/>
  <c r="F206" i="6"/>
  <c r="J206" i="6"/>
  <c r="N206" i="6"/>
  <c r="R206" i="6"/>
  <c r="V206" i="6"/>
  <c r="Z206" i="6"/>
  <c r="AD206" i="6"/>
  <c r="I206" i="6"/>
  <c r="Q206" i="6"/>
  <c r="Y206" i="6"/>
  <c r="AG206" i="6"/>
  <c r="E206" i="6"/>
  <c r="M206" i="6"/>
  <c r="U206" i="6"/>
  <c r="AC206" i="6"/>
  <c r="O206" i="6"/>
  <c r="AE206" i="6"/>
  <c r="C206" i="6"/>
  <c r="S206" i="6"/>
  <c r="G206" i="6"/>
  <c r="W206" i="6"/>
  <c r="K206" i="6"/>
  <c r="AA206" i="6"/>
  <c r="F121" i="6"/>
  <c r="J121" i="6"/>
  <c r="N121" i="6"/>
  <c r="R121" i="6"/>
  <c r="V121" i="6"/>
  <c r="Z121" i="6"/>
  <c r="AD121" i="6"/>
  <c r="C121" i="6"/>
  <c r="G121" i="6"/>
  <c r="K121" i="6"/>
  <c r="O121" i="6"/>
  <c r="S121" i="6"/>
  <c r="W121" i="6"/>
  <c r="AA121" i="6"/>
  <c r="AE121" i="6"/>
  <c r="H121" i="6"/>
  <c r="P121" i="6"/>
  <c r="X121" i="6"/>
  <c r="AF121" i="6"/>
  <c r="I121" i="6"/>
  <c r="Q121" i="6"/>
  <c r="Y121" i="6"/>
  <c r="AG121" i="6"/>
  <c r="L121" i="6"/>
  <c r="AB121" i="6"/>
  <c r="M121" i="6"/>
  <c r="AC121" i="6"/>
  <c r="T121" i="6"/>
  <c r="D121" i="6"/>
  <c r="U121" i="6"/>
  <c r="E121" i="6"/>
  <c r="D236" i="6"/>
  <c r="H236" i="6"/>
  <c r="L236" i="6"/>
  <c r="P236" i="6"/>
  <c r="T236" i="6"/>
  <c r="X236" i="6"/>
  <c r="AB236" i="6"/>
  <c r="AF236" i="6"/>
  <c r="F236" i="6"/>
  <c r="J236" i="6"/>
  <c r="N236" i="6"/>
  <c r="R236" i="6"/>
  <c r="V236" i="6"/>
  <c r="Z236" i="6"/>
  <c r="AD236" i="6"/>
  <c r="G236" i="6"/>
  <c r="O236" i="6"/>
  <c r="W236" i="6"/>
  <c r="AE236" i="6"/>
  <c r="I236" i="6"/>
  <c r="Q236" i="6"/>
  <c r="Y236" i="6"/>
  <c r="AG236" i="6"/>
  <c r="C236" i="6"/>
  <c r="K236" i="6"/>
  <c r="S236" i="6"/>
  <c r="AA236" i="6"/>
  <c r="E236" i="6"/>
  <c r="M236" i="6"/>
  <c r="U236" i="6"/>
  <c r="AC236" i="6"/>
  <c r="C225" i="6"/>
  <c r="G225" i="6"/>
  <c r="K225" i="6"/>
  <c r="O225" i="6"/>
  <c r="S225" i="6"/>
  <c r="W225" i="6"/>
  <c r="AA225" i="6"/>
  <c r="AE225" i="6"/>
  <c r="E225" i="6"/>
  <c r="I225" i="6"/>
  <c r="M225" i="6"/>
  <c r="Q225" i="6"/>
  <c r="U225" i="6"/>
  <c r="Y225" i="6"/>
  <c r="AC225" i="6"/>
  <c r="AG225" i="6"/>
  <c r="D225" i="6"/>
  <c r="L225" i="6"/>
  <c r="T225" i="6"/>
  <c r="AB225" i="6"/>
  <c r="H225" i="6"/>
  <c r="P225" i="6"/>
  <c r="X225" i="6"/>
  <c r="AF225" i="6"/>
  <c r="R225" i="6"/>
  <c r="F225" i="6"/>
  <c r="V225" i="6"/>
  <c r="J225" i="6"/>
  <c r="Z225" i="6"/>
  <c r="N225" i="6"/>
  <c r="AD225" i="6"/>
  <c r="E223" i="6"/>
  <c r="I223" i="6"/>
  <c r="M223" i="6"/>
  <c r="Q223" i="6"/>
  <c r="U223" i="6"/>
  <c r="Y223" i="6"/>
  <c r="AC223" i="6"/>
  <c r="AG223" i="6"/>
  <c r="C223" i="6"/>
  <c r="G223" i="6"/>
  <c r="K223" i="6"/>
  <c r="O223" i="6"/>
  <c r="S223" i="6"/>
  <c r="W223" i="6"/>
  <c r="AA223" i="6"/>
  <c r="AE223" i="6"/>
  <c r="J223" i="6"/>
  <c r="R223" i="6"/>
  <c r="Z223" i="6"/>
  <c r="F223" i="6"/>
  <c r="N223" i="6"/>
  <c r="V223" i="6"/>
  <c r="AD223" i="6"/>
  <c r="P223" i="6"/>
  <c r="AF223" i="6"/>
  <c r="D223" i="6"/>
  <c r="T223" i="6"/>
  <c r="H223" i="6"/>
  <c r="X223" i="6"/>
  <c r="L223" i="6"/>
  <c r="AB223" i="6"/>
  <c r="E237" i="6"/>
  <c r="I237" i="6"/>
  <c r="M237" i="6"/>
  <c r="Q237" i="6"/>
  <c r="U237" i="6"/>
  <c r="Y237" i="6"/>
  <c r="AC237" i="6"/>
  <c r="AG237" i="6"/>
  <c r="C237" i="6"/>
  <c r="G237" i="6"/>
  <c r="K237" i="6"/>
  <c r="O237" i="6"/>
  <c r="S237" i="6"/>
  <c r="W237" i="6"/>
  <c r="AA237" i="6"/>
  <c r="AE237" i="6"/>
  <c r="H237" i="6"/>
  <c r="P237" i="6"/>
  <c r="X237" i="6"/>
  <c r="AF237" i="6"/>
  <c r="J237" i="6"/>
  <c r="R237" i="6"/>
  <c r="Z237" i="6"/>
  <c r="D237" i="6"/>
  <c r="L237" i="6"/>
  <c r="T237" i="6"/>
  <c r="AB237" i="6"/>
  <c r="F237" i="6"/>
  <c r="N237" i="6"/>
  <c r="V237" i="6"/>
  <c r="AD237" i="6"/>
  <c r="F196" i="6"/>
  <c r="J196" i="6"/>
  <c r="N196" i="6"/>
  <c r="R196" i="6"/>
  <c r="V196" i="6"/>
  <c r="Z196" i="6"/>
  <c r="AD196" i="6"/>
  <c r="D196" i="6"/>
  <c r="I196" i="6"/>
  <c r="O196" i="6"/>
  <c r="T196" i="6"/>
  <c r="Y196" i="6"/>
  <c r="AE196" i="6"/>
  <c r="C196" i="6"/>
  <c r="K196" i="6"/>
  <c r="Q196" i="6"/>
  <c r="X196" i="6"/>
  <c r="AF196" i="6"/>
  <c r="G196" i="6"/>
  <c r="M196" i="6"/>
  <c r="U196" i="6"/>
  <c r="AB196" i="6"/>
  <c r="L196" i="6"/>
  <c r="AA196" i="6"/>
  <c r="E196" i="6"/>
  <c r="S196" i="6"/>
  <c r="AG196" i="6"/>
  <c r="H196" i="6"/>
  <c r="W196" i="6"/>
  <c r="AC196" i="6"/>
  <c r="P196" i="6"/>
  <c r="E185" i="6"/>
  <c r="I185" i="6"/>
  <c r="M185" i="6"/>
  <c r="Q185" i="6"/>
  <c r="U185" i="6"/>
  <c r="Y185" i="6"/>
  <c r="AC185" i="6"/>
  <c r="AG185" i="6"/>
  <c r="F185" i="6"/>
  <c r="K185" i="6"/>
  <c r="P185" i="6"/>
  <c r="V185" i="6"/>
  <c r="AA185" i="6"/>
  <c r="AF185" i="6"/>
  <c r="G185" i="6"/>
  <c r="L185" i="6"/>
  <c r="R185" i="6"/>
  <c r="W185" i="6"/>
  <c r="AB185" i="6"/>
  <c r="H185" i="6"/>
  <c r="S185" i="6"/>
  <c r="AD185" i="6"/>
  <c r="C185" i="6"/>
  <c r="N185" i="6"/>
  <c r="X185" i="6"/>
  <c r="T185" i="6"/>
  <c r="J185" i="6"/>
  <c r="AE185" i="6"/>
  <c r="Z185" i="6"/>
  <c r="D185" i="6"/>
  <c r="O185" i="6"/>
  <c r="F155" i="6"/>
  <c r="J155" i="6"/>
  <c r="N155" i="6"/>
  <c r="R155" i="6"/>
  <c r="V155" i="6"/>
  <c r="Z155" i="6"/>
  <c r="AD155" i="6"/>
  <c r="C155" i="6"/>
  <c r="G155" i="6"/>
  <c r="K155" i="6"/>
  <c r="O155" i="6"/>
  <c r="S155" i="6"/>
  <c r="W155" i="6"/>
  <c r="AA155" i="6"/>
  <c r="AE155" i="6"/>
  <c r="D155" i="6"/>
  <c r="L155" i="6"/>
  <c r="T155" i="6"/>
  <c r="AB155" i="6"/>
  <c r="E155" i="6"/>
  <c r="M155" i="6"/>
  <c r="U155" i="6"/>
  <c r="AC155" i="6"/>
  <c r="H155" i="6"/>
  <c r="X155" i="6"/>
  <c r="P155" i="6"/>
  <c r="AF155" i="6"/>
  <c r="I155" i="6"/>
  <c r="Y155" i="6"/>
  <c r="Q155" i="6"/>
  <c r="AG155" i="6"/>
  <c r="C130" i="6"/>
  <c r="G130" i="6"/>
  <c r="K130" i="6"/>
  <c r="O130" i="6"/>
  <c r="S130" i="6"/>
  <c r="W130" i="6"/>
  <c r="AA130" i="6"/>
  <c r="D130" i="6"/>
  <c r="H130" i="6"/>
  <c r="L130" i="6"/>
  <c r="P130" i="6"/>
  <c r="T130" i="6"/>
  <c r="X130" i="6"/>
  <c r="AB130" i="6"/>
  <c r="AF130" i="6"/>
  <c r="I130" i="6"/>
  <c r="Q130" i="6"/>
  <c r="Y130" i="6"/>
  <c r="AE130" i="6"/>
  <c r="J130" i="6"/>
  <c r="R130" i="6"/>
  <c r="Z130" i="6"/>
  <c r="AG130" i="6"/>
  <c r="E130" i="6"/>
  <c r="U130" i="6"/>
  <c r="F130" i="6"/>
  <c r="V130" i="6"/>
  <c r="AC130" i="6"/>
  <c r="M130" i="6"/>
  <c r="AD130" i="6"/>
  <c r="N130" i="6"/>
  <c r="E211" i="6"/>
  <c r="I211" i="6"/>
  <c r="M211" i="6"/>
  <c r="Q211" i="6"/>
  <c r="U211" i="6"/>
  <c r="Y211" i="6"/>
  <c r="AC211" i="6"/>
  <c r="AG211" i="6"/>
  <c r="C211" i="6"/>
  <c r="G211" i="6"/>
  <c r="K211" i="6"/>
  <c r="O211" i="6"/>
  <c r="S211" i="6"/>
  <c r="W211" i="6"/>
  <c r="AA211" i="6"/>
  <c r="AE211" i="6"/>
  <c r="F211" i="6"/>
  <c r="N211" i="6"/>
  <c r="V211" i="6"/>
  <c r="AD211" i="6"/>
  <c r="J211" i="6"/>
  <c r="R211" i="6"/>
  <c r="Z211" i="6"/>
  <c r="D211" i="6"/>
  <c r="T211" i="6"/>
  <c r="H211" i="6"/>
  <c r="X211" i="6"/>
  <c r="L211" i="6"/>
  <c r="AB211" i="6"/>
  <c r="P211" i="6"/>
  <c r="AF211" i="6"/>
  <c r="C187" i="6"/>
  <c r="G187" i="6"/>
  <c r="K187" i="6"/>
  <c r="O187" i="6"/>
  <c r="S187" i="6"/>
  <c r="W187" i="6"/>
  <c r="AA187" i="6"/>
  <c r="AE187" i="6"/>
  <c r="H187" i="6"/>
  <c r="M187" i="6"/>
  <c r="R187" i="6"/>
  <c r="X187" i="6"/>
  <c r="AC187" i="6"/>
  <c r="D187" i="6"/>
  <c r="I187" i="6"/>
  <c r="N187" i="6"/>
  <c r="T187" i="6"/>
  <c r="Y187" i="6"/>
  <c r="AD187" i="6"/>
  <c r="J187" i="6"/>
  <c r="U187" i="6"/>
  <c r="AF187" i="6"/>
  <c r="E187" i="6"/>
  <c r="P187" i="6"/>
  <c r="Z187" i="6"/>
  <c r="V187" i="6"/>
  <c r="L187" i="6"/>
  <c r="AG187" i="6"/>
  <c r="F187" i="6"/>
  <c r="Q187" i="6"/>
  <c r="AB187" i="6"/>
  <c r="C156" i="6"/>
  <c r="G156" i="6"/>
  <c r="K156" i="6"/>
  <c r="O156" i="6"/>
  <c r="S156" i="6"/>
  <c r="W156" i="6"/>
  <c r="AA156" i="6"/>
  <c r="AE156" i="6"/>
  <c r="D156" i="6"/>
  <c r="H156" i="6"/>
  <c r="L156" i="6"/>
  <c r="P156" i="6"/>
  <c r="T156" i="6"/>
  <c r="X156" i="6"/>
  <c r="AB156" i="6"/>
  <c r="AF156" i="6"/>
  <c r="E156" i="6"/>
  <c r="M156" i="6"/>
  <c r="U156" i="6"/>
  <c r="AC156" i="6"/>
  <c r="F156" i="6"/>
  <c r="N156" i="6"/>
  <c r="V156" i="6"/>
  <c r="AD156" i="6"/>
  <c r="I156" i="6"/>
  <c r="Y156" i="6"/>
  <c r="Q156" i="6"/>
  <c r="AG156" i="6"/>
  <c r="J156" i="6"/>
  <c r="Z156" i="6"/>
  <c r="R156" i="6"/>
  <c r="F220" i="6"/>
  <c r="J220" i="6"/>
  <c r="N220" i="6"/>
  <c r="R220" i="6"/>
  <c r="V220" i="6"/>
  <c r="Z220" i="6"/>
  <c r="AD220" i="6"/>
  <c r="D220" i="6"/>
  <c r="H220" i="6"/>
  <c r="L220" i="6"/>
  <c r="P220" i="6"/>
  <c r="T220" i="6"/>
  <c r="X220" i="6"/>
  <c r="AB220" i="6"/>
  <c r="AF220" i="6"/>
  <c r="G220" i="6"/>
  <c r="O220" i="6"/>
  <c r="W220" i="6"/>
  <c r="AE220" i="6"/>
  <c r="C220" i="6"/>
  <c r="K220" i="6"/>
  <c r="S220" i="6"/>
  <c r="AA220" i="6"/>
  <c r="M220" i="6"/>
  <c r="AC220" i="6"/>
  <c r="Q220" i="6"/>
  <c r="AG220" i="6"/>
  <c r="E220" i="6"/>
  <c r="U220" i="6"/>
  <c r="I220" i="6"/>
  <c r="Y220" i="6"/>
  <c r="F204" i="6"/>
  <c r="J204" i="6"/>
  <c r="N204" i="6"/>
  <c r="R204" i="6"/>
  <c r="V204" i="6"/>
  <c r="Z204" i="6"/>
  <c r="AD204" i="6"/>
  <c r="D204" i="6"/>
  <c r="H204" i="6"/>
  <c r="L204" i="6"/>
  <c r="P204" i="6"/>
  <c r="T204" i="6"/>
  <c r="X204" i="6"/>
  <c r="AB204" i="6"/>
  <c r="AF204" i="6"/>
  <c r="G204" i="6"/>
  <c r="O204" i="6"/>
  <c r="W204" i="6"/>
  <c r="AE204" i="6"/>
  <c r="C204" i="6"/>
  <c r="K204" i="6"/>
  <c r="S204" i="6"/>
  <c r="AA204" i="6"/>
  <c r="M204" i="6"/>
  <c r="AC204" i="6"/>
  <c r="Q204" i="6"/>
  <c r="AG204" i="6"/>
  <c r="E204" i="6"/>
  <c r="U204" i="6"/>
  <c r="I204" i="6"/>
  <c r="Y204" i="6"/>
  <c r="D188" i="6"/>
  <c r="H188" i="6"/>
  <c r="C188" i="6"/>
  <c r="I188" i="6"/>
  <c r="M188" i="6"/>
  <c r="E188" i="6"/>
  <c r="J188" i="6"/>
  <c r="N188" i="6"/>
  <c r="R188" i="6"/>
  <c r="V188" i="6"/>
  <c r="Z188" i="6"/>
  <c r="AD188" i="6"/>
  <c r="K188" i="6"/>
  <c r="Q188" i="6"/>
  <c r="W188" i="6"/>
  <c r="AB188" i="6"/>
  <c r="AG188" i="6"/>
  <c r="F188" i="6"/>
  <c r="O188" i="6"/>
  <c r="T188" i="6"/>
  <c r="Y188" i="6"/>
  <c r="AE188" i="6"/>
  <c r="L188" i="6"/>
  <c r="X188" i="6"/>
  <c r="S188" i="6"/>
  <c r="AC188" i="6"/>
  <c r="P188" i="6"/>
  <c r="U188" i="6"/>
  <c r="AA188" i="6"/>
  <c r="G188" i="6"/>
  <c r="AF188" i="6"/>
  <c r="F175" i="6"/>
  <c r="J175" i="6"/>
  <c r="N175" i="6"/>
  <c r="R175" i="6"/>
  <c r="V175" i="6"/>
  <c r="Z175" i="6"/>
  <c r="AD175" i="6"/>
  <c r="C175" i="6"/>
  <c r="G175" i="6"/>
  <c r="K175" i="6"/>
  <c r="O175" i="6"/>
  <c r="S175" i="6"/>
  <c r="W175" i="6"/>
  <c r="AA175" i="6"/>
  <c r="AE175" i="6"/>
  <c r="H175" i="6"/>
  <c r="P175" i="6"/>
  <c r="X175" i="6"/>
  <c r="AF175" i="6"/>
  <c r="I175" i="6"/>
  <c r="Q175" i="6"/>
  <c r="Y175" i="6"/>
  <c r="AG175" i="6"/>
  <c r="L175" i="6"/>
  <c r="AB175" i="6"/>
  <c r="D175" i="6"/>
  <c r="T175" i="6"/>
  <c r="AC175" i="6"/>
  <c r="M175" i="6"/>
  <c r="E175" i="6"/>
  <c r="U175" i="6"/>
  <c r="E143" i="6"/>
  <c r="I143" i="6"/>
  <c r="M143" i="6"/>
  <c r="Q143" i="6"/>
  <c r="G143" i="6"/>
  <c r="L143" i="6"/>
  <c r="R143" i="6"/>
  <c r="V143" i="6"/>
  <c r="Z143" i="6"/>
  <c r="AD143" i="6"/>
  <c r="C143" i="6"/>
  <c r="H143" i="6"/>
  <c r="N143" i="6"/>
  <c r="S143" i="6"/>
  <c r="W143" i="6"/>
  <c r="AA143" i="6"/>
  <c r="AE143" i="6"/>
  <c r="D143" i="6"/>
  <c r="O143" i="6"/>
  <c r="X143" i="6"/>
  <c r="AF143" i="6"/>
  <c r="F143" i="6"/>
  <c r="P143" i="6"/>
  <c r="Y143" i="6"/>
  <c r="AG143" i="6"/>
  <c r="J143" i="6"/>
  <c r="AB143" i="6"/>
  <c r="T143" i="6"/>
  <c r="AC143" i="6"/>
  <c r="K143" i="6"/>
  <c r="U143" i="6"/>
  <c r="F113" i="6"/>
  <c r="J113" i="6"/>
  <c r="N113" i="6"/>
  <c r="R113" i="6"/>
  <c r="V113" i="6"/>
  <c r="Z113" i="6"/>
  <c r="AD113" i="6"/>
  <c r="C113" i="6"/>
  <c r="G113" i="6"/>
  <c r="K113" i="6"/>
  <c r="O113" i="6"/>
  <c r="S113" i="6"/>
  <c r="W113" i="6"/>
  <c r="AA113" i="6"/>
  <c r="AE113" i="6"/>
  <c r="H113" i="6"/>
  <c r="P113" i="6"/>
  <c r="X113" i="6"/>
  <c r="AF113" i="6"/>
  <c r="I113" i="6"/>
  <c r="Q113" i="6"/>
  <c r="Y113" i="6"/>
  <c r="AG113" i="6"/>
  <c r="D113" i="6"/>
  <c r="T113" i="6"/>
  <c r="E113" i="6"/>
  <c r="U113" i="6"/>
  <c r="L113" i="6"/>
  <c r="AB113" i="6"/>
  <c r="M113" i="6"/>
  <c r="AC113" i="6"/>
  <c r="C217" i="6"/>
  <c r="G217" i="6"/>
  <c r="K217" i="6"/>
  <c r="O217" i="6"/>
  <c r="S217" i="6"/>
  <c r="W217" i="6"/>
  <c r="AA217" i="6"/>
  <c r="AE217" i="6"/>
  <c r="E217" i="6"/>
  <c r="I217" i="6"/>
  <c r="M217" i="6"/>
  <c r="Q217" i="6"/>
  <c r="U217" i="6"/>
  <c r="Y217" i="6"/>
  <c r="AC217" i="6"/>
  <c r="AG217" i="6"/>
  <c r="D217" i="6"/>
  <c r="L217" i="6"/>
  <c r="T217" i="6"/>
  <c r="AB217" i="6"/>
  <c r="H217" i="6"/>
  <c r="P217" i="6"/>
  <c r="X217" i="6"/>
  <c r="AF217" i="6"/>
  <c r="J217" i="6"/>
  <c r="Z217" i="6"/>
  <c r="N217" i="6"/>
  <c r="AD217" i="6"/>
  <c r="R217" i="6"/>
  <c r="F217" i="6"/>
  <c r="V217" i="6"/>
  <c r="C201" i="6"/>
  <c r="G201" i="6"/>
  <c r="K201" i="6"/>
  <c r="O201" i="6"/>
  <c r="S201" i="6"/>
  <c r="W201" i="6"/>
  <c r="AA201" i="6"/>
  <c r="AE201" i="6"/>
  <c r="E201" i="6"/>
  <c r="I201" i="6"/>
  <c r="M201" i="6"/>
  <c r="Q201" i="6"/>
  <c r="U201" i="6"/>
  <c r="Y201" i="6"/>
  <c r="AC201" i="6"/>
  <c r="AG201" i="6"/>
  <c r="D201" i="6"/>
  <c r="L201" i="6"/>
  <c r="T201" i="6"/>
  <c r="AB201" i="6"/>
  <c r="H201" i="6"/>
  <c r="P201" i="6"/>
  <c r="X201" i="6"/>
  <c r="AF201" i="6"/>
  <c r="J201" i="6"/>
  <c r="R201" i="6"/>
  <c r="Z201" i="6"/>
  <c r="N201" i="6"/>
  <c r="V201" i="6"/>
  <c r="AD201" i="6"/>
  <c r="F201" i="6"/>
  <c r="E195" i="6"/>
  <c r="I195" i="6"/>
  <c r="M195" i="6"/>
  <c r="Q195" i="6"/>
  <c r="U195" i="6"/>
  <c r="Y195" i="6"/>
  <c r="AC195" i="6"/>
  <c r="AG195" i="6"/>
  <c r="C195" i="6"/>
  <c r="H195" i="6"/>
  <c r="N195" i="6"/>
  <c r="S195" i="6"/>
  <c r="X195" i="6"/>
  <c r="AD195" i="6"/>
  <c r="F195" i="6"/>
  <c r="L195" i="6"/>
  <c r="T195" i="6"/>
  <c r="AA195" i="6"/>
  <c r="J195" i="6"/>
  <c r="P195" i="6"/>
  <c r="W195" i="6"/>
  <c r="AE195" i="6"/>
  <c r="O195" i="6"/>
  <c r="AB195" i="6"/>
  <c r="G195" i="6"/>
  <c r="V195" i="6"/>
  <c r="K195" i="6"/>
  <c r="Z195" i="6"/>
  <c r="D195" i="6"/>
  <c r="R195" i="6"/>
  <c r="AF195" i="6"/>
  <c r="C184" i="6"/>
  <c r="G184" i="6"/>
  <c r="K184" i="6"/>
  <c r="D184" i="6"/>
  <c r="H184" i="6"/>
  <c r="L184" i="6"/>
  <c r="P184" i="6"/>
  <c r="T184" i="6"/>
  <c r="X184" i="6"/>
  <c r="AB184" i="6"/>
  <c r="AF184" i="6"/>
  <c r="I184" i="6"/>
  <c r="O184" i="6"/>
  <c r="U184" i="6"/>
  <c r="Z184" i="6"/>
  <c r="AE184" i="6"/>
  <c r="J184" i="6"/>
  <c r="Q184" i="6"/>
  <c r="V184" i="6"/>
  <c r="AA184" i="6"/>
  <c r="AG184" i="6"/>
  <c r="E184" i="6"/>
  <c r="R184" i="6"/>
  <c r="AC184" i="6"/>
  <c r="M184" i="6"/>
  <c r="W184" i="6"/>
  <c r="F184" i="6"/>
  <c r="AD184" i="6"/>
  <c r="S184" i="6"/>
  <c r="N184" i="6"/>
  <c r="Y184" i="6"/>
  <c r="C168" i="6"/>
  <c r="G168" i="6"/>
  <c r="K168" i="6"/>
  <c r="O168" i="6"/>
  <c r="S168" i="6"/>
  <c r="W168" i="6"/>
  <c r="AA168" i="6"/>
  <c r="AE168" i="6"/>
  <c r="D168" i="6"/>
  <c r="H168" i="6"/>
  <c r="L168" i="6"/>
  <c r="P168" i="6"/>
  <c r="T168" i="6"/>
  <c r="X168" i="6"/>
  <c r="AB168" i="6"/>
  <c r="AF168" i="6"/>
  <c r="I168" i="6"/>
  <c r="Q168" i="6"/>
  <c r="Y168" i="6"/>
  <c r="AG168" i="6"/>
  <c r="J168" i="6"/>
  <c r="R168" i="6"/>
  <c r="Z168" i="6"/>
  <c r="E168" i="6"/>
  <c r="U168" i="6"/>
  <c r="M168" i="6"/>
  <c r="AC168" i="6"/>
  <c r="V168" i="6"/>
  <c r="F168" i="6"/>
  <c r="N168" i="6"/>
  <c r="AD168" i="6"/>
  <c r="F136" i="6"/>
  <c r="J136" i="6"/>
  <c r="N136" i="6"/>
  <c r="R136" i="6"/>
  <c r="V136" i="6"/>
  <c r="Z136" i="6"/>
  <c r="AD136" i="6"/>
  <c r="E136" i="6"/>
  <c r="K136" i="6"/>
  <c r="P136" i="6"/>
  <c r="U136" i="6"/>
  <c r="AA136" i="6"/>
  <c r="AF136" i="6"/>
  <c r="G136" i="6"/>
  <c r="L136" i="6"/>
  <c r="Q136" i="6"/>
  <c r="W136" i="6"/>
  <c r="AB136" i="6"/>
  <c r="AG136" i="6"/>
  <c r="H136" i="6"/>
  <c r="S136" i="6"/>
  <c r="AC136" i="6"/>
  <c r="I136" i="6"/>
  <c r="T136" i="6"/>
  <c r="AE136" i="6"/>
  <c r="M136" i="6"/>
  <c r="C136" i="6"/>
  <c r="X136" i="6"/>
  <c r="O136" i="6"/>
  <c r="D136" i="6"/>
  <c r="Y136" i="6"/>
  <c r="D61" i="6"/>
  <c r="H61" i="6"/>
  <c r="L61" i="6"/>
  <c r="P61" i="6"/>
  <c r="T61" i="6"/>
  <c r="X61" i="6"/>
  <c r="AB61" i="6"/>
  <c r="AF61" i="6"/>
  <c r="E61" i="6"/>
  <c r="I61" i="6"/>
  <c r="M61" i="6"/>
  <c r="Q61" i="6"/>
  <c r="U61" i="6"/>
  <c r="Y61" i="6"/>
  <c r="AC61" i="6"/>
  <c r="AG61" i="6"/>
  <c r="J61" i="6"/>
  <c r="R61" i="6"/>
  <c r="Z61" i="6"/>
  <c r="C61" i="6"/>
  <c r="K61" i="6"/>
  <c r="S61" i="6"/>
  <c r="AA61" i="6"/>
  <c r="F61" i="6"/>
  <c r="V61" i="6"/>
  <c r="G61" i="6"/>
  <c r="W61" i="6"/>
  <c r="AD61" i="6"/>
  <c r="AE61" i="6"/>
  <c r="O61" i="6"/>
  <c r="N61" i="6"/>
  <c r="D169" i="6"/>
  <c r="H169" i="6"/>
  <c r="L169" i="6"/>
  <c r="P169" i="6"/>
  <c r="T169" i="6"/>
  <c r="X169" i="6"/>
  <c r="AB169" i="6"/>
  <c r="AF169" i="6"/>
  <c r="E169" i="6"/>
  <c r="I169" i="6"/>
  <c r="M169" i="6"/>
  <c r="Q169" i="6"/>
  <c r="U169" i="6"/>
  <c r="Y169" i="6"/>
  <c r="AC169" i="6"/>
  <c r="AG169" i="6"/>
  <c r="J169" i="6"/>
  <c r="R169" i="6"/>
  <c r="Z169" i="6"/>
  <c r="C169" i="6"/>
  <c r="K169" i="6"/>
  <c r="S169" i="6"/>
  <c r="AA169" i="6"/>
  <c r="F169" i="6"/>
  <c r="V169" i="6"/>
  <c r="N169" i="6"/>
  <c r="AD169" i="6"/>
  <c r="W169" i="6"/>
  <c r="G169" i="6"/>
  <c r="AE169" i="6"/>
  <c r="O169" i="6"/>
  <c r="D153" i="6"/>
  <c r="H153" i="6"/>
  <c r="L153" i="6"/>
  <c r="P153" i="6"/>
  <c r="T153" i="6"/>
  <c r="X153" i="6"/>
  <c r="AB153" i="6"/>
  <c r="AF153" i="6"/>
  <c r="E153" i="6"/>
  <c r="I153" i="6"/>
  <c r="M153" i="6"/>
  <c r="Q153" i="6"/>
  <c r="U153" i="6"/>
  <c r="Y153" i="6"/>
  <c r="AC153" i="6"/>
  <c r="AG153" i="6"/>
  <c r="J153" i="6"/>
  <c r="R153" i="6"/>
  <c r="Z153" i="6"/>
  <c r="C153" i="6"/>
  <c r="K153" i="6"/>
  <c r="S153" i="6"/>
  <c r="AA153" i="6"/>
  <c r="F153" i="6"/>
  <c r="V153" i="6"/>
  <c r="N153" i="6"/>
  <c r="AD153" i="6"/>
  <c r="G153" i="6"/>
  <c r="W153" i="6"/>
  <c r="O153" i="6"/>
  <c r="AE153" i="6"/>
  <c r="C137" i="6"/>
  <c r="G137" i="6"/>
  <c r="K137" i="6"/>
  <c r="O137" i="6"/>
  <c r="S137" i="6"/>
  <c r="W137" i="6"/>
  <c r="AA137" i="6"/>
  <c r="AE137" i="6"/>
  <c r="F137" i="6"/>
  <c r="L137" i="6"/>
  <c r="Q137" i="6"/>
  <c r="V137" i="6"/>
  <c r="AB137" i="6"/>
  <c r="AG137" i="6"/>
  <c r="H137" i="6"/>
  <c r="M137" i="6"/>
  <c r="R137" i="6"/>
  <c r="X137" i="6"/>
  <c r="AC137" i="6"/>
  <c r="I137" i="6"/>
  <c r="T137" i="6"/>
  <c r="AD137" i="6"/>
  <c r="J137" i="6"/>
  <c r="U137" i="6"/>
  <c r="AF137" i="6"/>
  <c r="D137" i="6"/>
  <c r="Y137" i="6"/>
  <c r="N137" i="6"/>
  <c r="E137" i="6"/>
  <c r="Z137" i="6"/>
  <c r="P137" i="6"/>
  <c r="E182" i="6"/>
  <c r="I182" i="6"/>
  <c r="M182" i="6"/>
  <c r="Q182" i="6"/>
  <c r="U182" i="6"/>
  <c r="Y182" i="6"/>
  <c r="AC182" i="6"/>
  <c r="AG182" i="6"/>
  <c r="F182" i="6"/>
  <c r="J182" i="6"/>
  <c r="N182" i="6"/>
  <c r="R182" i="6"/>
  <c r="V182" i="6"/>
  <c r="Z182" i="6"/>
  <c r="AD182" i="6"/>
  <c r="G182" i="6"/>
  <c r="O182" i="6"/>
  <c r="W182" i="6"/>
  <c r="AE182" i="6"/>
  <c r="H182" i="6"/>
  <c r="P182" i="6"/>
  <c r="X182" i="6"/>
  <c r="AF182" i="6"/>
  <c r="C182" i="6"/>
  <c r="S182" i="6"/>
  <c r="K182" i="6"/>
  <c r="AA182" i="6"/>
  <c r="D182" i="6"/>
  <c r="T182" i="6"/>
  <c r="L182" i="6"/>
  <c r="AB182" i="6"/>
  <c r="E166" i="6"/>
  <c r="I166" i="6"/>
  <c r="M166" i="6"/>
  <c r="Q166" i="6"/>
  <c r="U166" i="6"/>
  <c r="Y166" i="6"/>
  <c r="AC166" i="6"/>
  <c r="AG166" i="6"/>
  <c r="F166" i="6"/>
  <c r="J166" i="6"/>
  <c r="N166" i="6"/>
  <c r="R166" i="6"/>
  <c r="V166" i="6"/>
  <c r="Z166" i="6"/>
  <c r="AD166" i="6"/>
  <c r="G166" i="6"/>
  <c r="O166" i="6"/>
  <c r="W166" i="6"/>
  <c r="AE166" i="6"/>
  <c r="H166" i="6"/>
  <c r="P166" i="6"/>
  <c r="X166" i="6"/>
  <c r="AF166" i="6"/>
  <c r="C166" i="6"/>
  <c r="S166" i="6"/>
  <c r="K166" i="6"/>
  <c r="AA166" i="6"/>
  <c r="T166" i="6"/>
  <c r="D166" i="6"/>
  <c r="L166" i="6"/>
  <c r="AB166" i="6"/>
  <c r="E150" i="6"/>
  <c r="I150" i="6"/>
  <c r="M150" i="6"/>
  <c r="Q150" i="6"/>
  <c r="U150" i="6"/>
  <c r="Y150" i="6"/>
  <c r="AC150" i="6"/>
  <c r="AG150" i="6"/>
  <c r="F150" i="6"/>
  <c r="J150" i="6"/>
  <c r="N150" i="6"/>
  <c r="R150" i="6"/>
  <c r="V150" i="6"/>
  <c r="Z150" i="6"/>
  <c r="AD150" i="6"/>
  <c r="G150" i="6"/>
  <c r="O150" i="6"/>
  <c r="W150" i="6"/>
  <c r="AE150" i="6"/>
  <c r="H150" i="6"/>
  <c r="P150" i="6"/>
  <c r="X150" i="6"/>
  <c r="AF150" i="6"/>
  <c r="C150" i="6"/>
  <c r="S150" i="6"/>
  <c r="K150" i="6"/>
  <c r="AA150" i="6"/>
  <c r="D150" i="6"/>
  <c r="T150" i="6"/>
  <c r="L150" i="6"/>
  <c r="AB150" i="6"/>
  <c r="D134" i="6"/>
  <c r="H134" i="6"/>
  <c r="L134" i="6"/>
  <c r="P134" i="6"/>
  <c r="T134" i="6"/>
  <c r="X134" i="6"/>
  <c r="AB134" i="6"/>
  <c r="AF134" i="6"/>
  <c r="C134" i="6"/>
  <c r="I134" i="6"/>
  <c r="N134" i="6"/>
  <c r="S134" i="6"/>
  <c r="Y134" i="6"/>
  <c r="AD134" i="6"/>
  <c r="E134" i="6"/>
  <c r="J134" i="6"/>
  <c r="O134" i="6"/>
  <c r="U134" i="6"/>
  <c r="Z134" i="6"/>
  <c r="AE134" i="6"/>
  <c r="F134" i="6"/>
  <c r="Q134" i="6"/>
  <c r="AA134" i="6"/>
  <c r="G134" i="6"/>
  <c r="R134" i="6"/>
  <c r="AC134" i="6"/>
  <c r="K134" i="6"/>
  <c r="AG134" i="6"/>
  <c r="V134" i="6"/>
  <c r="M134" i="6"/>
  <c r="W134" i="6"/>
  <c r="C126" i="6"/>
  <c r="G126" i="6"/>
  <c r="K126" i="6"/>
  <c r="O126" i="6"/>
  <c r="S126" i="6"/>
  <c r="W126" i="6"/>
  <c r="AA126" i="6"/>
  <c r="AE126" i="6"/>
  <c r="D126" i="6"/>
  <c r="H126" i="6"/>
  <c r="L126" i="6"/>
  <c r="P126" i="6"/>
  <c r="T126" i="6"/>
  <c r="X126" i="6"/>
  <c r="AB126" i="6"/>
  <c r="AF126" i="6"/>
  <c r="E126" i="6"/>
  <c r="M126" i="6"/>
  <c r="U126" i="6"/>
  <c r="AC126" i="6"/>
  <c r="F126" i="6"/>
  <c r="N126" i="6"/>
  <c r="V126" i="6"/>
  <c r="AD126" i="6"/>
  <c r="Q126" i="6"/>
  <c r="AG126" i="6"/>
  <c r="R126" i="6"/>
  <c r="Y126" i="6"/>
  <c r="I126" i="6"/>
  <c r="Z126" i="6"/>
  <c r="J126" i="6"/>
  <c r="E124" i="6"/>
  <c r="I124" i="6"/>
  <c r="M124" i="6"/>
  <c r="Q124" i="6"/>
  <c r="U124" i="6"/>
  <c r="Y124" i="6"/>
  <c r="AC124" i="6"/>
  <c r="AG124" i="6"/>
  <c r="F124" i="6"/>
  <c r="J124" i="6"/>
  <c r="N124" i="6"/>
  <c r="R124" i="6"/>
  <c r="V124" i="6"/>
  <c r="Z124" i="6"/>
  <c r="AD124" i="6"/>
  <c r="C124" i="6"/>
  <c r="K124" i="6"/>
  <c r="S124" i="6"/>
  <c r="AA124" i="6"/>
  <c r="D124" i="6"/>
  <c r="L124" i="6"/>
  <c r="T124" i="6"/>
  <c r="AB124" i="6"/>
  <c r="O124" i="6"/>
  <c r="AE124" i="6"/>
  <c r="P124" i="6"/>
  <c r="AF124" i="6"/>
  <c r="W124" i="6"/>
  <c r="G124" i="6"/>
  <c r="X124" i="6"/>
  <c r="H124" i="6"/>
  <c r="D87" i="6"/>
  <c r="H87" i="6"/>
  <c r="L87" i="6"/>
  <c r="P87" i="6"/>
  <c r="T87" i="6"/>
  <c r="X87" i="6"/>
  <c r="AB87" i="6"/>
  <c r="AF87" i="6"/>
  <c r="E87" i="6"/>
  <c r="I87" i="6"/>
  <c r="M87" i="6"/>
  <c r="Q87" i="6"/>
  <c r="U87" i="6"/>
  <c r="Y87" i="6"/>
  <c r="AC87" i="6"/>
  <c r="AG87" i="6"/>
  <c r="F87" i="6"/>
  <c r="N87" i="6"/>
  <c r="V87" i="6"/>
  <c r="AD87" i="6"/>
  <c r="G87" i="6"/>
  <c r="O87" i="6"/>
  <c r="W87" i="6"/>
  <c r="AE87" i="6"/>
  <c r="J87" i="6"/>
  <c r="Z87" i="6"/>
  <c r="K87" i="6"/>
  <c r="AA87" i="6"/>
  <c r="C87" i="6"/>
  <c r="S87" i="6"/>
  <c r="R87" i="6"/>
  <c r="D127" i="6"/>
  <c r="H127" i="6"/>
  <c r="L127" i="6"/>
  <c r="P127" i="6"/>
  <c r="T127" i="6"/>
  <c r="X127" i="6"/>
  <c r="AB127" i="6"/>
  <c r="AF127" i="6"/>
  <c r="E127" i="6"/>
  <c r="I127" i="6"/>
  <c r="M127" i="6"/>
  <c r="Q127" i="6"/>
  <c r="U127" i="6"/>
  <c r="Y127" i="6"/>
  <c r="AC127" i="6"/>
  <c r="AG127" i="6"/>
  <c r="F127" i="6"/>
  <c r="N127" i="6"/>
  <c r="V127" i="6"/>
  <c r="AD127" i="6"/>
  <c r="G127" i="6"/>
  <c r="O127" i="6"/>
  <c r="W127" i="6"/>
  <c r="AE127" i="6"/>
  <c r="R127" i="6"/>
  <c r="C127" i="6"/>
  <c r="S127" i="6"/>
  <c r="Z127" i="6"/>
  <c r="J127" i="6"/>
  <c r="AA127" i="6"/>
  <c r="K127" i="6"/>
  <c r="D111" i="6"/>
  <c r="H111" i="6"/>
  <c r="L111" i="6"/>
  <c r="P111" i="6"/>
  <c r="T111" i="6"/>
  <c r="X111" i="6"/>
  <c r="AB111" i="6"/>
  <c r="AF111" i="6"/>
  <c r="E111" i="6"/>
  <c r="I111" i="6"/>
  <c r="M111" i="6"/>
  <c r="Q111" i="6"/>
  <c r="U111" i="6"/>
  <c r="Y111" i="6"/>
  <c r="AC111" i="6"/>
  <c r="AG111" i="6"/>
  <c r="F111" i="6"/>
  <c r="N111" i="6"/>
  <c r="V111" i="6"/>
  <c r="AD111" i="6"/>
  <c r="G111" i="6"/>
  <c r="O111" i="6"/>
  <c r="W111" i="6"/>
  <c r="AE111" i="6"/>
  <c r="R111" i="6"/>
  <c r="C111" i="6"/>
  <c r="S111" i="6"/>
  <c r="J111" i="6"/>
  <c r="Z111" i="6"/>
  <c r="K111" i="6"/>
  <c r="AA111" i="6"/>
  <c r="F93" i="6"/>
  <c r="J93" i="6"/>
  <c r="N93" i="6"/>
  <c r="R93" i="6"/>
  <c r="V93" i="6"/>
  <c r="Z93" i="6"/>
  <c r="AD93" i="6"/>
  <c r="C93" i="6"/>
  <c r="G93" i="6"/>
  <c r="K93" i="6"/>
  <c r="O93" i="6"/>
  <c r="S93" i="6"/>
  <c r="W93" i="6"/>
  <c r="AA93" i="6"/>
  <c r="AE93" i="6"/>
  <c r="D93" i="6"/>
  <c r="L93" i="6"/>
  <c r="T93" i="6"/>
  <c r="AB93" i="6"/>
  <c r="E93" i="6"/>
  <c r="M93" i="6"/>
  <c r="U93" i="6"/>
  <c r="AC93" i="6"/>
  <c r="P93" i="6"/>
  <c r="AF93" i="6"/>
  <c r="Q93" i="6"/>
  <c r="AG93" i="6"/>
  <c r="I93" i="6"/>
  <c r="Y93" i="6"/>
  <c r="X93" i="6"/>
  <c r="H93" i="6"/>
  <c r="C78" i="6"/>
  <c r="G78" i="6"/>
  <c r="K78" i="6"/>
  <c r="O78" i="6"/>
  <c r="S78" i="6"/>
  <c r="W78" i="6"/>
  <c r="AA78" i="6"/>
  <c r="AE78" i="6"/>
  <c r="D78" i="6"/>
  <c r="H78" i="6"/>
  <c r="L78" i="6"/>
  <c r="P78" i="6"/>
  <c r="T78" i="6"/>
  <c r="X78" i="6"/>
  <c r="AB78" i="6"/>
  <c r="AF78" i="6"/>
  <c r="E78" i="6"/>
  <c r="M78" i="6"/>
  <c r="U78" i="6"/>
  <c r="AC78" i="6"/>
  <c r="F78" i="6"/>
  <c r="N78" i="6"/>
  <c r="V78" i="6"/>
  <c r="AD78" i="6"/>
  <c r="Q78" i="6"/>
  <c r="AG78" i="6"/>
  <c r="R78" i="6"/>
  <c r="J78" i="6"/>
  <c r="Z78" i="6"/>
  <c r="I78" i="6"/>
  <c r="Y78" i="6"/>
  <c r="D107" i="6"/>
  <c r="H107" i="6"/>
  <c r="L107" i="6"/>
  <c r="P107" i="6"/>
  <c r="T107" i="6"/>
  <c r="X107" i="6"/>
  <c r="AB107" i="6"/>
  <c r="AF107" i="6"/>
  <c r="E107" i="6"/>
  <c r="I107" i="6"/>
  <c r="M107" i="6"/>
  <c r="Q107" i="6"/>
  <c r="U107" i="6"/>
  <c r="Y107" i="6"/>
  <c r="AC107" i="6"/>
  <c r="AG107" i="6"/>
  <c r="J107" i="6"/>
  <c r="R107" i="6"/>
  <c r="Z107" i="6"/>
  <c r="C107" i="6"/>
  <c r="K107" i="6"/>
  <c r="S107" i="6"/>
  <c r="AA107" i="6"/>
  <c r="N107" i="6"/>
  <c r="AD107" i="6"/>
  <c r="O107" i="6"/>
  <c r="AE107" i="6"/>
  <c r="F107" i="6"/>
  <c r="V107" i="6"/>
  <c r="G107" i="6"/>
  <c r="W107" i="6"/>
  <c r="F85" i="6"/>
  <c r="J85" i="6"/>
  <c r="N85" i="6"/>
  <c r="R85" i="6"/>
  <c r="V85" i="6"/>
  <c r="Z85" i="6"/>
  <c r="AD85" i="6"/>
  <c r="C85" i="6"/>
  <c r="G85" i="6"/>
  <c r="K85" i="6"/>
  <c r="O85" i="6"/>
  <c r="S85" i="6"/>
  <c r="W85" i="6"/>
  <c r="AA85" i="6"/>
  <c r="AE85" i="6"/>
  <c r="D85" i="6"/>
  <c r="L85" i="6"/>
  <c r="T85" i="6"/>
  <c r="AB85" i="6"/>
  <c r="E85" i="6"/>
  <c r="M85" i="6"/>
  <c r="U85" i="6"/>
  <c r="AC85" i="6"/>
  <c r="H85" i="6"/>
  <c r="X85" i="6"/>
  <c r="I85" i="6"/>
  <c r="Y85" i="6"/>
  <c r="Q85" i="6"/>
  <c r="AG85" i="6"/>
  <c r="P85" i="6"/>
  <c r="AF85" i="6"/>
  <c r="D65" i="6"/>
  <c r="H65" i="6"/>
  <c r="L65" i="6"/>
  <c r="P65" i="6"/>
  <c r="T65" i="6"/>
  <c r="X65" i="6"/>
  <c r="AB65" i="6"/>
  <c r="AF65" i="6"/>
  <c r="E65" i="6"/>
  <c r="I65" i="6"/>
  <c r="M65" i="6"/>
  <c r="Q65" i="6"/>
  <c r="U65" i="6"/>
  <c r="Y65" i="6"/>
  <c r="AC65" i="6"/>
  <c r="AG65" i="6"/>
  <c r="F65" i="6"/>
  <c r="N65" i="6"/>
  <c r="V65" i="6"/>
  <c r="AD65" i="6"/>
  <c r="G65" i="6"/>
  <c r="O65" i="6"/>
  <c r="W65" i="6"/>
  <c r="AE65" i="6"/>
  <c r="J65" i="6"/>
  <c r="Z65" i="6"/>
  <c r="K65" i="6"/>
  <c r="AA65" i="6"/>
  <c r="C65" i="6"/>
  <c r="S65" i="6"/>
  <c r="R65" i="6"/>
  <c r="D95" i="6"/>
  <c r="H95" i="6"/>
  <c r="L95" i="6"/>
  <c r="P95" i="6"/>
  <c r="T95" i="6"/>
  <c r="X95" i="6"/>
  <c r="AB95" i="6"/>
  <c r="AF95" i="6"/>
  <c r="E95" i="6"/>
  <c r="I95" i="6"/>
  <c r="M95" i="6"/>
  <c r="Q95" i="6"/>
  <c r="U95" i="6"/>
  <c r="Y95" i="6"/>
  <c r="AC95" i="6"/>
  <c r="AG95" i="6"/>
  <c r="F95" i="6"/>
  <c r="N95" i="6"/>
  <c r="V95" i="6"/>
  <c r="AD95" i="6"/>
  <c r="G95" i="6"/>
  <c r="O95" i="6"/>
  <c r="W95" i="6"/>
  <c r="AE95" i="6"/>
  <c r="R95" i="6"/>
  <c r="C95" i="6"/>
  <c r="S95" i="6"/>
  <c r="K95" i="6"/>
  <c r="AA95" i="6"/>
  <c r="Z95" i="6"/>
  <c r="J95" i="6"/>
  <c r="C50" i="6"/>
  <c r="G50" i="6"/>
  <c r="K50" i="6"/>
  <c r="O50" i="6"/>
  <c r="S50" i="6"/>
  <c r="W50" i="6"/>
  <c r="AA50" i="6"/>
  <c r="AE50" i="6"/>
  <c r="D50" i="6"/>
  <c r="H50" i="6"/>
  <c r="L50" i="6"/>
  <c r="P50" i="6"/>
  <c r="T50" i="6"/>
  <c r="X50" i="6"/>
  <c r="AB50" i="6"/>
  <c r="AF50" i="6"/>
  <c r="E50" i="6"/>
  <c r="M50" i="6"/>
  <c r="U50" i="6"/>
  <c r="AC50" i="6"/>
  <c r="F50" i="6"/>
  <c r="N50" i="6"/>
  <c r="V50" i="6"/>
  <c r="AD50" i="6"/>
  <c r="Q50" i="6"/>
  <c r="AG50" i="6"/>
  <c r="R50" i="6"/>
  <c r="I50" i="6"/>
  <c r="J50" i="6"/>
  <c r="Z50" i="6"/>
  <c r="Y50" i="6"/>
  <c r="C72" i="6"/>
  <c r="G72" i="6"/>
  <c r="K72" i="6"/>
  <c r="O72" i="6"/>
  <c r="S72" i="6"/>
  <c r="W72" i="6"/>
  <c r="AA72" i="6"/>
  <c r="AE72" i="6"/>
  <c r="D72" i="6"/>
  <c r="H72" i="6"/>
  <c r="L72" i="6"/>
  <c r="P72" i="6"/>
  <c r="T72" i="6"/>
  <c r="X72" i="6"/>
  <c r="AB72" i="6"/>
  <c r="AF72" i="6"/>
  <c r="E72" i="6"/>
  <c r="M72" i="6"/>
  <c r="U72" i="6"/>
  <c r="AC72" i="6"/>
  <c r="F72" i="6"/>
  <c r="N72" i="6"/>
  <c r="V72" i="6"/>
  <c r="AD72" i="6"/>
  <c r="Q72" i="6"/>
  <c r="AG72" i="6"/>
  <c r="R72" i="6"/>
  <c r="I72" i="6"/>
  <c r="J72" i="6"/>
  <c r="Z72" i="6"/>
  <c r="Y72" i="6"/>
  <c r="C56" i="6"/>
  <c r="G56" i="6"/>
  <c r="K56" i="6"/>
  <c r="O56" i="6"/>
  <c r="S56" i="6"/>
  <c r="W56" i="6"/>
  <c r="AA56" i="6"/>
  <c r="AE56" i="6"/>
  <c r="D56" i="6"/>
  <c r="H56" i="6"/>
  <c r="L56" i="6"/>
  <c r="P56" i="6"/>
  <c r="T56" i="6"/>
  <c r="X56" i="6"/>
  <c r="AB56" i="6"/>
  <c r="AF56" i="6"/>
  <c r="E56" i="6"/>
  <c r="M56" i="6"/>
  <c r="U56" i="6"/>
  <c r="AC56" i="6"/>
  <c r="F56" i="6"/>
  <c r="N56" i="6"/>
  <c r="V56" i="6"/>
  <c r="AD56" i="6"/>
  <c r="Q56" i="6"/>
  <c r="AG56" i="6"/>
  <c r="R56" i="6"/>
  <c r="Y56" i="6"/>
  <c r="Z56" i="6"/>
  <c r="J56" i="6"/>
  <c r="I56" i="6"/>
  <c r="E44" i="6"/>
  <c r="I44" i="6"/>
  <c r="M44" i="6"/>
  <c r="Q44" i="6"/>
  <c r="U44" i="6"/>
  <c r="Y44" i="6"/>
  <c r="AC44" i="6"/>
  <c r="AG44" i="6"/>
  <c r="F44" i="6"/>
  <c r="J44" i="6"/>
  <c r="N44" i="6"/>
  <c r="R44" i="6"/>
  <c r="V44" i="6"/>
  <c r="Z44" i="6"/>
  <c r="AD44" i="6"/>
  <c r="G44" i="6"/>
  <c r="O44" i="6"/>
  <c r="W44" i="6"/>
  <c r="AE44" i="6"/>
  <c r="H44" i="6"/>
  <c r="P44" i="6"/>
  <c r="X44" i="6"/>
  <c r="AF44" i="6"/>
  <c r="K44" i="6"/>
  <c r="AA44" i="6"/>
  <c r="L44" i="6"/>
  <c r="AB44" i="6"/>
  <c r="C44" i="6"/>
  <c r="D44" i="6"/>
  <c r="T44" i="6"/>
  <c r="S44" i="6"/>
  <c r="E36" i="6"/>
  <c r="I36" i="6"/>
  <c r="M36" i="6"/>
  <c r="Q36" i="6"/>
  <c r="U36" i="6"/>
  <c r="Y36" i="6"/>
  <c r="AC36" i="6"/>
  <c r="AG36" i="6"/>
  <c r="F36" i="6"/>
  <c r="J36" i="6"/>
  <c r="N36" i="6"/>
  <c r="R36" i="6"/>
  <c r="V36" i="6"/>
  <c r="Z36" i="6"/>
  <c r="AD36" i="6"/>
  <c r="G36" i="6"/>
  <c r="O36" i="6"/>
  <c r="W36" i="6"/>
  <c r="AE36" i="6"/>
  <c r="H36" i="6"/>
  <c r="P36" i="6"/>
  <c r="X36" i="6"/>
  <c r="AF36" i="6"/>
  <c r="C36" i="6"/>
  <c r="S36" i="6"/>
  <c r="D36" i="6"/>
  <c r="T36" i="6"/>
  <c r="AA36" i="6"/>
  <c r="AB36" i="6"/>
  <c r="L36" i="6"/>
  <c r="K36" i="6"/>
  <c r="D31" i="6"/>
  <c r="H31" i="6"/>
  <c r="L31" i="6"/>
  <c r="P31" i="6"/>
  <c r="T31" i="6"/>
  <c r="X31" i="6"/>
  <c r="AB31" i="6"/>
  <c r="AF31" i="6"/>
  <c r="E31" i="6"/>
  <c r="I31" i="6"/>
  <c r="M31" i="6"/>
  <c r="Q31" i="6"/>
  <c r="U31" i="6"/>
  <c r="Y31" i="6"/>
  <c r="AC31" i="6"/>
  <c r="AG31" i="6"/>
  <c r="J31" i="6"/>
  <c r="R31" i="6"/>
  <c r="Z31" i="6"/>
  <c r="C31" i="6"/>
  <c r="K31" i="6"/>
  <c r="S31" i="6"/>
  <c r="AA31" i="6"/>
  <c r="N31" i="6"/>
  <c r="AD31" i="6"/>
  <c r="O31" i="6"/>
  <c r="AE31" i="6"/>
  <c r="V31" i="6"/>
  <c r="W31" i="6"/>
  <c r="F31" i="6"/>
  <c r="G31" i="6"/>
  <c r="F20" i="6"/>
  <c r="J20" i="6"/>
  <c r="N20" i="6"/>
  <c r="R20" i="6"/>
  <c r="V20" i="6"/>
  <c r="Z20" i="6"/>
  <c r="AD20" i="6"/>
  <c r="D20" i="6"/>
  <c r="I20" i="6"/>
  <c r="O20" i="6"/>
  <c r="T20" i="6"/>
  <c r="Y20" i="6"/>
  <c r="AE20" i="6"/>
  <c r="E20" i="6"/>
  <c r="K20" i="6"/>
  <c r="P20" i="6"/>
  <c r="U20" i="6"/>
  <c r="AA20" i="6"/>
  <c r="AF20" i="6"/>
  <c r="G20" i="6"/>
  <c r="Q20" i="6"/>
  <c r="AB20" i="6"/>
  <c r="H20" i="6"/>
  <c r="S20" i="6"/>
  <c r="AC20" i="6"/>
  <c r="L20" i="6"/>
  <c r="AG20" i="6"/>
  <c r="M20" i="6"/>
  <c r="W20" i="6"/>
  <c r="X20" i="6"/>
  <c r="C20" i="6"/>
  <c r="F75" i="6"/>
  <c r="J75" i="6"/>
  <c r="N75" i="6"/>
  <c r="R75" i="6"/>
  <c r="V75" i="6"/>
  <c r="Z75" i="6"/>
  <c r="AD75" i="6"/>
  <c r="C75" i="6"/>
  <c r="G75" i="6"/>
  <c r="K75" i="6"/>
  <c r="O75" i="6"/>
  <c r="S75" i="6"/>
  <c r="W75" i="6"/>
  <c r="AA75" i="6"/>
  <c r="AE75" i="6"/>
  <c r="H75" i="6"/>
  <c r="P75" i="6"/>
  <c r="X75" i="6"/>
  <c r="AF75" i="6"/>
  <c r="I75" i="6"/>
  <c r="Q75" i="6"/>
  <c r="Y75" i="6"/>
  <c r="AG75" i="6"/>
  <c r="D75" i="6"/>
  <c r="T75" i="6"/>
  <c r="E75" i="6"/>
  <c r="U75" i="6"/>
  <c r="L75" i="6"/>
  <c r="M75" i="6"/>
  <c r="AC75" i="6"/>
  <c r="AB75" i="6"/>
  <c r="F59" i="6"/>
  <c r="J59" i="6"/>
  <c r="N59" i="6"/>
  <c r="R59" i="6"/>
  <c r="V59" i="6"/>
  <c r="Z59" i="6"/>
  <c r="AD59" i="6"/>
  <c r="C59" i="6"/>
  <c r="G59" i="6"/>
  <c r="K59" i="6"/>
  <c r="O59" i="6"/>
  <c r="S59" i="6"/>
  <c r="W59" i="6"/>
  <c r="AA59" i="6"/>
  <c r="AE59" i="6"/>
  <c r="H59" i="6"/>
  <c r="P59" i="6"/>
  <c r="X59" i="6"/>
  <c r="AF59" i="6"/>
  <c r="I59" i="6"/>
  <c r="Q59" i="6"/>
  <c r="Y59" i="6"/>
  <c r="AG59" i="6"/>
  <c r="D59" i="6"/>
  <c r="T59" i="6"/>
  <c r="E59" i="6"/>
  <c r="U59" i="6"/>
  <c r="AB59" i="6"/>
  <c r="AC59" i="6"/>
  <c r="M59" i="6"/>
  <c r="L59" i="6"/>
  <c r="E32" i="6"/>
  <c r="I32" i="6"/>
  <c r="M32" i="6"/>
  <c r="Q32" i="6"/>
  <c r="U32" i="6"/>
  <c r="Y32" i="6"/>
  <c r="AC32" i="6"/>
  <c r="AG32" i="6"/>
  <c r="F32" i="6"/>
  <c r="J32" i="6"/>
  <c r="N32" i="6"/>
  <c r="R32" i="6"/>
  <c r="V32" i="6"/>
  <c r="Z32" i="6"/>
  <c r="AD32" i="6"/>
  <c r="C32" i="6"/>
  <c r="K32" i="6"/>
  <c r="S32" i="6"/>
  <c r="AA32" i="6"/>
  <c r="D32" i="6"/>
  <c r="L32" i="6"/>
  <c r="T32" i="6"/>
  <c r="AB32" i="6"/>
  <c r="O32" i="6"/>
  <c r="AE32" i="6"/>
  <c r="P32" i="6"/>
  <c r="AF32" i="6"/>
  <c r="W32" i="6"/>
  <c r="X32" i="6"/>
  <c r="H32" i="6"/>
  <c r="G32" i="6"/>
  <c r="E28" i="6"/>
  <c r="I28" i="6"/>
  <c r="M28" i="6"/>
  <c r="Q28" i="6"/>
  <c r="U28" i="6"/>
  <c r="Y28" i="6"/>
  <c r="AC28" i="6"/>
  <c r="AG28" i="6"/>
  <c r="F28" i="6"/>
  <c r="J28" i="6"/>
  <c r="N28" i="6"/>
  <c r="R28" i="6"/>
  <c r="V28" i="6"/>
  <c r="Z28" i="6"/>
  <c r="AD28" i="6"/>
  <c r="G28" i="6"/>
  <c r="O28" i="6"/>
  <c r="W28" i="6"/>
  <c r="AE28" i="6"/>
  <c r="H28" i="6"/>
  <c r="P28" i="6"/>
  <c r="X28" i="6"/>
  <c r="AF28" i="6"/>
  <c r="K28" i="6"/>
  <c r="AA28" i="6"/>
  <c r="L28" i="6"/>
  <c r="AB28" i="6"/>
  <c r="S28" i="6"/>
  <c r="T28" i="6"/>
  <c r="D28" i="6"/>
  <c r="C28" i="6"/>
  <c r="C17" i="6"/>
  <c r="G17" i="6"/>
  <c r="K17" i="6"/>
  <c r="O17" i="6"/>
  <c r="S17" i="6"/>
  <c r="W17" i="6"/>
  <c r="AA17" i="6"/>
  <c r="AE17" i="6"/>
  <c r="F17" i="6"/>
  <c r="L17" i="6"/>
  <c r="Q17" i="6"/>
  <c r="V17" i="6"/>
  <c r="AB17" i="6"/>
  <c r="AG17" i="6"/>
  <c r="H17" i="6"/>
  <c r="M17" i="6"/>
  <c r="R17" i="6"/>
  <c r="X17" i="6"/>
  <c r="AC17" i="6"/>
  <c r="D17" i="6"/>
  <c r="N17" i="6"/>
  <c r="Y17" i="6"/>
  <c r="E17" i="6"/>
  <c r="P17" i="6"/>
  <c r="Z17" i="6"/>
  <c r="T17" i="6"/>
  <c r="U17" i="6"/>
  <c r="AD17" i="6"/>
  <c r="AF17" i="6"/>
  <c r="J17" i="6"/>
  <c r="I17" i="6"/>
  <c r="F33" i="6"/>
  <c r="J33" i="6"/>
  <c r="N33" i="6"/>
  <c r="R33" i="6"/>
  <c r="V33" i="6"/>
  <c r="Z33" i="6"/>
  <c r="AD33" i="6"/>
  <c r="C33" i="6"/>
  <c r="G33" i="6"/>
  <c r="K33" i="6"/>
  <c r="O33" i="6"/>
  <c r="S33" i="6"/>
  <c r="W33" i="6"/>
  <c r="AA33" i="6"/>
  <c r="AE33" i="6"/>
  <c r="D33" i="6"/>
  <c r="L33" i="6"/>
  <c r="T33" i="6"/>
  <c r="AB33" i="6"/>
  <c r="E33" i="6"/>
  <c r="M33" i="6"/>
  <c r="U33" i="6"/>
  <c r="AC33" i="6"/>
  <c r="P33" i="6"/>
  <c r="AF33" i="6"/>
  <c r="Q33" i="6"/>
  <c r="AG33" i="6"/>
  <c r="X33" i="6"/>
  <c r="Y33" i="6"/>
  <c r="H33" i="6"/>
  <c r="I33" i="6"/>
  <c r="E19" i="6"/>
  <c r="I19" i="6"/>
  <c r="M19" i="6"/>
  <c r="Q19" i="6"/>
  <c r="U19" i="6"/>
  <c r="Y19" i="6"/>
  <c r="AC19" i="6"/>
  <c r="AG19" i="6"/>
  <c r="C19" i="6"/>
  <c r="H19" i="6"/>
  <c r="N19" i="6"/>
  <c r="S19" i="6"/>
  <c r="X19" i="6"/>
  <c r="AD19" i="6"/>
  <c r="D19" i="6"/>
  <c r="J19" i="6"/>
  <c r="O19" i="6"/>
  <c r="T19" i="6"/>
  <c r="Z19" i="6"/>
  <c r="AE19" i="6"/>
  <c r="F19" i="6"/>
  <c r="P19" i="6"/>
  <c r="AA19" i="6"/>
  <c r="G19" i="6"/>
  <c r="R19" i="6"/>
  <c r="AB19" i="6"/>
  <c r="V19" i="6"/>
  <c r="W19" i="6"/>
  <c r="K19" i="6"/>
  <c r="L19" i="6"/>
  <c r="AF19" i="6"/>
  <c r="C54" i="6"/>
  <c r="G54" i="6"/>
  <c r="K54" i="6"/>
  <c r="O54" i="6"/>
  <c r="S54" i="6"/>
  <c r="W54" i="6"/>
  <c r="AA54" i="6"/>
  <c r="AE54" i="6"/>
  <c r="D54" i="6"/>
  <c r="H54" i="6"/>
  <c r="L54" i="6"/>
  <c r="P54" i="6"/>
  <c r="T54" i="6"/>
  <c r="X54" i="6"/>
  <c r="AB54" i="6"/>
  <c r="AF54" i="6"/>
  <c r="I54" i="6"/>
  <c r="Q54" i="6"/>
  <c r="Y54" i="6"/>
  <c r="AG54" i="6"/>
  <c r="J54" i="6"/>
  <c r="R54" i="6"/>
  <c r="Z54" i="6"/>
  <c r="E54" i="6"/>
  <c r="U54" i="6"/>
  <c r="F54" i="6"/>
  <c r="V54" i="6"/>
  <c r="M54" i="6"/>
  <c r="N54" i="6"/>
  <c r="AD54" i="6"/>
  <c r="AC54" i="6"/>
  <c r="C106" i="6"/>
  <c r="G106" i="6"/>
  <c r="K106" i="6"/>
  <c r="O106" i="6"/>
  <c r="S106" i="6"/>
  <c r="W106" i="6"/>
  <c r="AA106" i="6"/>
  <c r="AE106" i="6"/>
  <c r="D106" i="6"/>
  <c r="H106" i="6"/>
  <c r="L106" i="6"/>
  <c r="P106" i="6"/>
  <c r="T106" i="6"/>
  <c r="X106" i="6"/>
  <c r="AB106" i="6"/>
  <c r="AF106" i="6"/>
  <c r="I106" i="6"/>
  <c r="Q106" i="6"/>
  <c r="Y106" i="6"/>
  <c r="AG106" i="6"/>
  <c r="J106" i="6"/>
  <c r="R106" i="6"/>
  <c r="Z106" i="6"/>
  <c r="M106" i="6"/>
  <c r="AC106" i="6"/>
  <c r="N106" i="6"/>
  <c r="AD106" i="6"/>
  <c r="E106" i="6"/>
  <c r="U106" i="6"/>
  <c r="F106" i="6"/>
  <c r="V106" i="6"/>
  <c r="AH106" i="5"/>
  <c r="AH105" i="2"/>
  <c r="AH104" i="2"/>
  <c r="E199" i="6"/>
  <c r="I199" i="6"/>
  <c r="M199" i="6"/>
  <c r="Q199" i="6"/>
  <c r="U199" i="6"/>
  <c r="Y199" i="6"/>
  <c r="AC199" i="6"/>
  <c r="AG199" i="6"/>
  <c r="G199" i="6"/>
  <c r="L199" i="6"/>
  <c r="R199" i="6"/>
  <c r="W199" i="6"/>
  <c r="AB199" i="6"/>
  <c r="C199" i="6"/>
  <c r="J199" i="6"/>
  <c r="P199" i="6"/>
  <c r="X199" i="6"/>
  <c r="AE199" i="6"/>
  <c r="F199" i="6"/>
  <c r="N199" i="6"/>
  <c r="T199" i="6"/>
  <c r="AA199" i="6"/>
  <c r="D199" i="6"/>
  <c r="S199" i="6"/>
  <c r="AF199" i="6"/>
  <c r="K199" i="6"/>
  <c r="Z199" i="6"/>
  <c r="O199" i="6"/>
  <c r="AD199" i="6"/>
  <c r="H199" i="6"/>
  <c r="V199" i="6"/>
  <c r="D198" i="6"/>
  <c r="H198" i="6"/>
  <c r="L198" i="6"/>
  <c r="P198" i="6"/>
  <c r="T198" i="6"/>
  <c r="X198" i="6"/>
  <c r="AB198" i="6"/>
  <c r="AF198" i="6"/>
  <c r="F198" i="6"/>
  <c r="K198" i="6"/>
  <c r="Q198" i="6"/>
  <c r="V198" i="6"/>
  <c r="AA198" i="6"/>
  <c r="AG198" i="6"/>
  <c r="E198" i="6"/>
  <c r="M198" i="6"/>
  <c r="S198" i="6"/>
  <c r="Z198" i="6"/>
  <c r="I198" i="6"/>
  <c r="O198" i="6"/>
  <c r="W198" i="6"/>
  <c r="AD198" i="6"/>
  <c r="G198" i="6"/>
  <c r="U198" i="6"/>
  <c r="N198" i="6"/>
  <c r="AC198" i="6"/>
  <c r="C198" i="6"/>
  <c r="R198" i="6"/>
  <c r="AE198" i="6"/>
  <c r="Y198" i="6"/>
  <c r="J198" i="6"/>
  <c r="C229" i="6"/>
  <c r="G229" i="6"/>
  <c r="K229" i="6"/>
  <c r="O229" i="6"/>
  <c r="S229" i="6"/>
  <c r="W229" i="6"/>
  <c r="AA229" i="6"/>
  <c r="AE229" i="6"/>
  <c r="F229" i="6"/>
  <c r="L229" i="6"/>
  <c r="Q229" i="6"/>
  <c r="V229" i="6"/>
  <c r="AB229" i="6"/>
  <c r="AG229" i="6"/>
  <c r="D229" i="6"/>
  <c r="I229" i="6"/>
  <c r="N229" i="6"/>
  <c r="T229" i="6"/>
  <c r="Y229" i="6"/>
  <c r="AD229" i="6"/>
  <c r="J229" i="6"/>
  <c r="U229" i="6"/>
  <c r="AF229" i="6"/>
  <c r="M229" i="6"/>
  <c r="X229" i="6"/>
  <c r="E229" i="6"/>
  <c r="P229" i="6"/>
  <c r="Z229" i="6"/>
  <c r="H229" i="6"/>
  <c r="R229" i="6"/>
  <c r="AC229" i="6"/>
  <c r="C239" i="6"/>
  <c r="G239" i="6"/>
  <c r="K239" i="6"/>
  <c r="O239" i="6"/>
  <c r="S239" i="6"/>
  <c r="W239" i="6"/>
  <c r="AA239" i="6"/>
  <c r="AE239" i="6"/>
  <c r="E239" i="6"/>
  <c r="I239" i="6"/>
  <c r="M239" i="6"/>
  <c r="Q239" i="6"/>
  <c r="U239" i="6"/>
  <c r="Y239" i="6"/>
  <c r="AC239" i="6"/>
  <c r="AG239" i="6"/>
  <c r="J239" i="6"/>
  <c r="R239" i="6"/>
  <c r="Z239" i="6"/>
  <c r="D239" i="6"/>
  <c r="L239" i="6"/>
  <c r="T239" i="6"/>
  <c r="AB239" i="6"/>
  <c r="F239" i="6"/>
  <c r="N239" i="6"/>
  <c r="V239" i="6"/>
  <c r="AD239" i="6"/>
  <c r="H239" i="6"/>
  <c r="P239" i="6"/>
  <c r="X239" i="6"/>
  <c r="AF239" i="6"/>
  <c r="F234" i="6"/>
  <c r="J234" i="6"/>
  <c r="N234" i="6"/>
  <c r="R234" i="6"/>
  <c r="V234" i="6"/>
  <c r="Z234" i="6"/>
  <c r="AD234" i="6"/>
  <c r="D234" i="6"/>
  <c r="H234" i="6"/>
  <c r="L234" i="6"/>
  <c r="P234" i="6"/>
  <c r="T234" i="6"/>
  <c r="X234" i="6"/>
  <c r="AB234" i="6"/>
  <c r="AF234" i="6"/>
  <c r="E234" i="6"/>
  <c r="M234" i="6"/>
  <c r="U234" i="6"/>
  <c r="AC234" i="6"/>
  <c r="G234" i="6"/>
  <c r="O234" i="6"/>
  <c r="W234" i="6"/>
  <c r="AE234" i="6"/>
  <c r="I234" i="6"/>
  <c r="Q234" i="6"/>
  <c r="Y234" i="6"/>
  <c r="AG234" i="6"/>
  <c r="C234" i="6"/>
  <c r="K234" i="6"/>
  <c r="S234" i="6"/>
  <c r="AA234" i="6"/>
  <c r="D222" i="6"/>
  <c r="H222" i="6"/>
  <c r="L222" i="6"/>
  <c r="P222" i="6"/>
  <c r="T222" i="6"/>
  <c r="X222" i="6"/>
  <c r="AB222" i="6"/>
  <c r="AF222" i="6"/>
  <c r="F222" i="6"/>
  <c r="J222" i="6"/>
  <c r="N222" i="6"/>
  <c r="R222" i="6"/>
  <c r="V222" i="6"/>
  <c r="Z222" i="6"/>
  <c r="AD222" i="6"/>
  <c r="I222" i="6"/>
  <c r="Q222" i="6"/>
  <c r="Y222" i="6"/>
  <c r="AG222" i="6"/>
  <c r="E222" i="6"/>
  <c r="M222" i="6"/>
  <c r="U222" i="6"/>
  <c r="AC222" i="6"/>
  <c r="O222" i="6"/>
  <c r="AE222" i="6"/>
  <c r="C222" i="6"/>
  <c r="S222" i="6"/>
  <c r="G222" i="6"/>
  <c r="W222" i="6"/>
  <c r="K222" i="6"/>
  <c r="AA222" i="6"/>
  <c r="D244" i="6"/>
  <c r="H244" i="6"/>
  <c r="L244" i="6"/>
  <c r="P244" i="6"/>
  <c r="T244" i="6"/>
  <c r="X244" i="6"/>
  <c r="AB244" i="6"/>
  <c r="AF244" i="6"/>
  <c r="F244" i="6"/>
  <c r="J244" i="6"/>
  <c r="N244" i="6"/>
  <c r="R244" i="6"/>
  <c r="V244" i="6"/>
  <c r="Z244" i="6"/>
  <c r="AD244" i="6"/>
  <c r="G244" i="6"/>
  <c r="O244" i="6"/>
  <c r="W244" i="6"/>
  <c r="AE244" i="6"/>
  <c r="I244" i="6"/>
  <c r="Q244" i="6"/>
  <c r="Y244" i="6"/>
  <c r="AG244" i="6"/>
  <c r="C244" i="6"/>
  <c r="K244" i="6"/>
  <c r="S244" i="6"/>
  <c r="AA244" i="6"/>
  <c r="E244" i="6"/>
  <c r="M244" i="6"/>
  <c r="U244" i="6"/>
  <c r="AC244" i="6"/>
  <c r="E241" i="6"/>
  <c r="I241" i="6"/>
  <c r="M241" i="6"/>
  <c r="Q241" i="6"/>
  <c r="U241" i="6"/>
  <c r="Y241" i="6"/>
  <c r="AC241" i="6"/>
  <c r="AG241" i="6"/>
  <c r="C241" i="6"/>
  <c r="G241" i="6"/>
  <c r="K241" i="6"/>
  <c r="O241" i="6"/>
  <c r="S241" i="6"/>
  <c r="W241" i="6"/>
  <c r="AA241" i="6"/>
  <c r="AE241" i="6"/>
  <c r="D241" i="6"/>
  <c r="L241" i="6"/>
  <c r="T241" i="6"/>
  <c r="AB241" i="6"/>
  <c r="F241" i="6"/>
  <c r="N241" i="6"/>
  <c r="V241" i="6"/>
  <c r="AD241" i="6"/>
  <c r="H241" i="6"/>
  <c r="P241" i="6"/>
  <c r="X241" i="6"/>
  <c r="AF241" i="6"/>
  <c r="J241" i="6"/>
  <c r="R241" i="6"/>
  <c r="Z241" i="6"/>
  <c r="E231" i="6"/>
  <c r="I231" i="6"/>
  <c r="M231" i="6"/>
  <c r="Q231" i="6"/>
  <c r="U231" i="6"/>
  <c r="Y231" i="6"/>
  <c r="AC231" i="6"/>
  <c r="AG231" i="6"/>
  <c r="C231" i="6"/>
  <c r="H231" i="6"/>
  <c r="N231" i="6"/>
  <c r="S231" i="6"/>
  <c r="X231" i="6"/>
  <c r="AD231" i="6"/>
  <c r="F231" i="6"/>
  <c r="K231" i="6"/>
  <c r="P231" i="6"/>
  <c r="V231" i="6"/>
  <c r="AA231" i="6"/>
  <c r="AF231" i="6"/>
  <c r="L231" i="6"/>
  <c r="W231" i="6"/>
  <c r="D231" i="6"/>
  <c r="O231" i="6"/>
  <c r="Z231" i="6"/>
  <c r="G231" i="6"/>
  <c r="R231" i="6"/>
  <c r="AB231" i="6"/>
  <c r="J231" i="6"/>
  <c r="T231" i="6"/>
  <c r="AE231" i="6"/>
  <c r="D202" i="6"/>
  <c r="H202" i="6"/>
  <c r="L202" i="6"/>
  <c r="P202" i="6"/>
  <c r="T202" i="6"/>
  <c r="X202" i="6"/>
  <c r="AB202" i="6"/>
  <c r="AF202" i="6"/>
  <c r="F202" i="6"/>
  <c r="J202" i="6"/>
  <c r="N202" i="6"/>
  <c r="R202" i="6"/>
  <c r="V202" i="6"/>
  <c r="Z202" i="6"/>
  <c r="AD202" i="6"/>
  <c r="E202" i="6"/>
  <c r="M202" i="6"/>
  <c r="U202" i="6"/>
  <c r="AC202" i="6"/>
  <c r="I202" i="6"/>
  <c r="Q202" i="6"/>
  <c r="Y202" i="6"/>
  <c r="AG202" i="6"/>
  <c r="C202" i="6"/>
  <c r="K202" i="6"/>
  <c r="S202" i="6"/>
  <c r="AA202" i="6"/>
  <c r="O202" i="6"/>
  <c r="W202" i="6"/>
  <c r="AE202" i="6"/>
  <c r="G202" i="6"/>
  <c r="F171" i="6"/>
  <c r="J171" i="6"/>
  <c r="N171" i="6"/>
  <c r="R171" i="6"/>
  <c r="V171" i="6"/>
  <c r="Z171" i="6"/>
  <c r="AD171" i="6"/>
  <c r="C171" i="6"/>
  <c r="G171" i="6"/>
  <c r="K171" i="6"/>
  <c r="O171" i="6"/>
  <c r="S171" i="6"/>
  <c r="W171" i="6"/>
  <c r="AA171" i="6"/>
  <c r="AE171" i="6"/>
  <c r="D171" i="6"/>
  <c r="L171" i="6"/>
  <c r="T171" i="6"/>
  <c r="AB171" i="6"/>
  <c r="E171" i="6"/>
  <c r="M171" i="6"/>
  <c r="U171" i="6"/>
  <c r="AC171" i="6"/>
  <c r="H171" i="6"/>
  <c r="X171" i="6"/>
  <c r="P171" i="6"/>
  <c r="AF171" i="6"/>
  <c r="Y171" i="6"/>
  <c r="I171" i="6"/>
  <c r="AG171" i="6"/>
  <c r="Q171" i="6"/>
  <c r="E219" i="6"/>
  <c r="I219" i="6"/>
  <c r="M219" i="6"/>
  <c r="Q219" i="6"/>
  <c r="U219" i="6"/>
  <c r="Y219" i="6"/>
  <c r="AC219" i="6"/>
  <c r="AG219" i="6"/>
  <c r="C219" i="6"/>
  <c r="G219" i="6"/>
  <c r="K219" i="6"/>
  <c r="O219" i="6"/>
  <c r="S219" i="6"/>
  <c r="W219" i="6"/>
  <c r="AA219" i="6"/>
  <c r="AE219" i="6"/>
  <c r="F219" i="6"/>
  <c r="N219" i="6"/>
  <c r="V219" i="6"/>
  <c r="AD219" i="6"/>
  <c r="J219" i="6"/>
  <c r="R219" i="6"/>
  <c r="Z219" i="6"/>
  <c r="L219" i="6"/>
  <c r="AB219" i="6"/>
  <c r="P219" i="6"/>
  <c r="AF219" i="6"/>
  <c r="D219" i="6"/>
  <c r="T219" i="6"/>
  <c r="H219" i="6"/>
  <c r="X219" i="6"/>
  <c r="C172" i="6"/>
  <c r="G172" i="6"/>
  <c r="K172" i="6"/>
  <c r="O172" i="6"/>
  <c r="S172" i="6"/>
  <c r="W172" i="6"/>
  <c r="AA172" i="6"/>
  <c r="AE172" i="6"/>
  <c r="D172" i="6"/>
  <c r="H172" i="6"/>
  <c r="L172" i="6"/>
  <c r="P172" i="6"/>
  <c r="T172" i="6"/>
  <c r="X172" i="6"/>
  <c r="AB172" i="6"/>
  <c r="AF172" i="6"/>
  <c r="E172" i="6"/>
  <c r="M172" i="6"/>
  <c r="U172" i="6"/>
  <c r="AC172" i="6"/>
  <c r="F172" i="6"/>
  <c r="N172" i="6"/>
  <c r="V172" i="6"/>
  <c r="AD172" i="6"/>
  <c r="I172" i="6"/>
  <c r="Y172" i="6"/>
  <c r="Q172" i="6"/>
  <c r="AG172" i="6"/>
  <c r="Z172" i="6"/>
  <c r="J172" i="6"/>
  <c r="R172" i="6"/>
  <c r="D83" i="6"/>
  <c r="H83" i="6"/>
  <c r="L83" i="6"/>
  <c r="P83" i="6"/>
  <c r="T83" i="6"/>
  <c r="X83" i="6"/>
  <c r="AB83" i="6"/>
  <c r="AF83" i="6"/>
  <c r="E83" i="6"/>
  <c r="I83" i="6"/>
  <c r="M83" i="6"/>
  <c r="Q83" i="6"/>
  <c r="U83" i="6"/>
  <c r="Y83" i="6"/>
  <c r="AC83" i="6"/>
  <c r="AG83" i="6"/>
  <c r="J83" i="6"/>
  <c r="R83" i="6"/>
  <c r="Z83" i="6"/>
  <c r="C83" i="6"/>
  <c r="K83" i="6"/>
  <c r="S83" i="6"/>
  <c r="AA83" i="6"/>
  <c r="F83" i="6"/>
  <c r="V83" i="6"/>
  <c r="G83" i="6"/>
  <c r="W83" i="6"/>
  <c r="O83" i="6"/>
  <c r="AE83" i="6"/>
  <c r="N83" i="6"/>
  <c r="AD83" i="6"/>
  <c r="F224" i="6"/>
  <c r="J224" i="6"/>
  <c r="N224" i="6"/>
  <c r="R224" i="6"/>
  <c r="V224" i="6"/>
  <c r="Z224" i="6"/>
  <c r="AD224" i="6"/>
  <c r="D224" i="6"/>
  <c r="H224" i="6"/>
  <c r="L224" i="6"/>
  <c r="P224" i="6"/>
  <c r="T224" i="6"/>
  <c r="X224" i="6"/>
  <c r="AB224" i="6"/>
  <c r="AF224" i="6"/>
  <c r="C224" i="6"/>
  <c r="K224" i="6"/>
  <c r="S224" i="6"/>
  <c r="AA224" i="6"/>
  <c r="G224" i="6"/>
  <c r="O224" i="6"/>
  <c r="W224" i="6"/>
  <c r="AE224" i="6"/>
  <c r="Q224" i="6"/>
  <c r="AG224" i="6"/>
  <c r="E224" i="6"/>
  <c r="U224" i="6"/>
  <c r="I224" i="6"/>
  <c r="Y224" i="6"/>
  <c r="M224" i="6"/>
  <c r="AC224" i="6"/>
  <c r="F208" i="6"/>
  <c r="J208" i="6"/>
  <c r="N208" i="6"/>
  <c r="R208" i="6"/>
  <c r="V208" i="6"/>
  <c r="Z208" i="6"/>
  <c r="AD208" i="6"/>
  <c r="D208" i="6"/>
  <c r="H208" i="6"/>
  <c r="L208" i="6"/>
  <c r="P208" i="6"/>
  <c r="T208" i="6"/>
  <c r="X208" i="6"/>
  <c r="AB208" i="6"/>
  <c r="AF208" i="6"/>
  <c r="C208" i="6"/>
  <c r="K208" i="6"/>
  <c r="S208" i="6"/>
  <c r="AA208" i="6"/>
  <c r="G208" i="6"/>
  <c r="O208" i="6"/>
  <c r="W208" i="6"/>
  <c r="AE208" i="6"/>
  <c r="Q208" i="6"/>
  <c r="AG208" i="6"/>
  <c r="E208" i="6"/>
  <c r="U208" i="6"/>
  <c r="I208" i="6"/>
  <c r="Y208" i="6"/>
  <c r="M208" i="6"/>
  <c r="AC208" i="6"/>
  <c r="F183" i="6"/>
  <c r="J183" i="6"/>
  <c r="N183" i="6"/>
  <c r="R183" i="6"/>
  <c r="V183" i="6"/>
  <c r="Z183" i="6"/>
  <c r="AD183" i="6"/>
  <c r="C183" i="6"/>
  <c r="G183" i="6"/>
  <c r="K183" i="6"/>
  <c r="O183" i="6"/>
  <c r="S183" i="6"/>
  <c r="W183" i="6"/>
  <c r="AA183" i="6"/>
  <c r="AE183" i="6"/>
  <c r="H183" i="6"/>
  <c r="P183" i="6"/>
  <c r="X183" i="6"/>
  <c r="AF183" i="6"/>
  <c r="I183" i="6"/>
  <c r="Q183" i="6"/>
  <c r="Y183" i="6"/>
  <c r="AG183" i="6"/>
  <c r="D183" i="6"/>
  <c r="T183" i="6"/>
  <c r="L183" i="6"/>
  <c r="AB183" i="6"/>
  <c r="E183" i="6"/>
  <c r="U183" i="6"/>
  <c r="M183" i="6"/>
  <c r="AC183" i="6"/>
  <c r="F151" i="6"/>
  <c r="J151" i="6"/>
  <c r="N151" i="6"/>
  <c r="R151" i="6"/>
  <c r="V151" i="6"/>
  <c r="Z151" i="6"/>
  <c r="AD151" i="6"/>
  <c r="C151" i="6"/>
  <c r="G151" i="6"/>
  <c r="K151" i="6"/>
  <c r="O151" i="6"/>
  <c r="S151" i="6"/>
  <c r="W151" i="6"/>
  <c r="AA151" i="6"/>
  <c r="AE151" i="6"/>
  <c r="H151" i="6"/>
  <c r="P151" i="6"/>
  <c r="X151" i="6"/>
  <c r="AF151" i="6"/>
  <c r="I151" i="6"/>
  <c r="Q151" i="6"/>
  <c r="Y151" i="6"/>
  <c r="AG151" i="6"/>
  <c r="D151" i="6"/>
  <c r="T151" i="6"/>
  <c r="L151" i="6"/>
  <c r="AB151" i="6"/>
  <c r="E151" i="6"/>
  <c r="U151" i="6"/>
  <c r="M151" i="6"/>
  <c r="AC151" i="6"/>
  <c r="E108" i="6"/>
  <c r="I108" i="6"/>
  <c r="M108" i="6"/>
  <c r="Q108" i="6"/>
  <c r="U108" i="6"/>
  <c r="Y108" i="6"/>
  <c r="AC108" i="6"/>
  <c r="AG108" i="6"/>
  <c r="F108" i="6"/>
  <c r="J108" i="6"/>
  <c r="N108" i="6"/>
  <c r="R108" i="6"/>
  <c r="V108" i="6"/>
  <c r="Z108" i="6"/>
  <c r="AD108" i="6"/>
  <c r="C108" i="6"/>
  <c r="K108" i="6"/>
  <c r="S108" i="6"/>
  <c r="AA108" i="6"/>
  <c r="D108" i="6"/>
  <c r="L108" i="6"/>
  <c r="T108" i="6"/>
  <c r="AB108" i="6"/>
  <c r="O108" i="6"/>
  <c r="AE108" i="6"/>
  <c r="P108" i="6"/>
  <c r="AF108" i="6"/>
  <c r="G108" i="6"/>
  <c r="W108" i="6"/>
  <c r="H108" i="6"/>
  <c r="X108" i="6"/>
  <c r="C221" i="6"/>
  <c r="G221" i="6"/>
  <c r="K221" i="6"/>
  <c r="O221" i="6"/>
  <c r="S221" i="6"/>
  <c r="W221" i="6"/>
  <c r="AA221" i="6"/>
  <c r="AE221" i="6"/>
  <c r="E221" i="6"/>
  <c r="I221" i="6"/>
  <c r="M221" i="6"/>
  <c r="Q221" i="6"/>
  <c r="U221" i="6"/>
  <c r="Y221" i="6"/>
  <c r="AC221" i="6"/>
  <c r="AG221" i="6"/>
  <c r="H221" i="6"/>
  <c r="P221" i="6"/>
  <c r="X221" i="6"/>
  <c r="AF221" i="6"/>
  <c r="D221" i="6"/>
  <c r="L221" i="6"/>
  <c r="T221" i="6"/>
  <c r="AB221" i="6"/>
  <c r="N221" i="6"/>
  <c r="AD221" i="6"/>
  <c r="R221" i="6"/>
  <c r="F221" i="6"/>
  <c r="V221" i="6"/>
  <c r="J221" i="6"/>
  <c r="Z221" i="6"/>
  <c r="C205" i="6"/>
  <c r="G205" i="6"/>
  <c r="K205" i="6"/>
  <c r="O205" i="6"/>
  <c r="S205" i="6"/>
  <c r="W205" i="6"/>
  <c r="AA205" i="6"/>
  <c r="AE205" i="6"/>
  <c r="E205" i="6"/>
  <c r="I205" i="6"/>
  <c r="M205" i="6"/>
  <c r="Q205" i="6"/>
  <c r="U205" i="6"/>
  <c r="Y205" i="6"/>
  <c r="AC205" i="6"/>
  <c r="AG205" i="6"/>
  <c r="H205" i="6"/>
  <c r="P205" i="6"/>
  <c r="X205" i="6"/>
  <c r="AF205" i="6"/>
  <c r="D205" i="6"/>
  <c r="L205" i="6"/>
  <c r="T205" i="6"/>
  <c r="AB205" i="6"/>
  <c r="N205" i="6"/>
  <c r="AD205" i="6"/>
  <c r="R205" i="6"/>
  <c r="F205" i="6"/>
  <c r="V205" i="6"/>
  <c r="J205" i="6"/>
  <c r="Z205" i="6"/>
  <c r="F179" i="6"/>
  <c r="J179" i="6"/>
  <c r="N179" i="6"/>
  <c r="R179" i="6"/>
  <c r="V179" i="6"/>
  <c r="Z179" i="6"/>
  <c r="AD179" i="6"/>
  <c r="C179" i="6"/>
  <c r="G179" i="6"/>
  <c r="K179" i="6"/>
  <c r="O179" i="6"/>
  <c r="S179" i="6"/>
  <c r="W179" i="6"/>
  <c r="AA179" i="6"/>
  <c r="AE179" i="6"/>
  <c r="D179" i="6"/>
  <c r="L179" i="6"/>
  <c r="T179" i="6"/>
  <c r="AB179" i="6"/>
  <c r="E179" i="6"/>
  <c r="M179" i="6"/>
  <c r="U179" i="6"/>
  <c r="AC179" i="6"/>
  <c r="P179" i="6"/>
  <c r="AF179" i="6"/>
  <c r="H179" i="6"/>
  <c r="X179" i="6"/>
  <c r="AG179" i="6"/>
  <c r="Q179" i="6"/>
  <c r="I179" i="6"/>
  <c r="Y179" i="6"/>
  <c r="C176" i="6"/>
  <c r="G176" i="6"/>
  <c r="K176" i="6"/>
  <c r="O176" i="6"/>
  <c r="S176" i="6"/>
  <c r="W176" i="6"/>
  <c r="AA176" i="6"/>
  <c r="AE176" i="6"/>
  <c r="D176" i="6"/>
  <c r="H176" i="6"/>
  <c r="L176" i="6"/>
  <c r="P176" i="6"/>
  <c r="T176" i="6"/>
  <c r="X176" i="6"/>
  <c r="AB176" i="6"/>
  <c r="AF176" i="6"/>
  <c r="I176" i="6"/>
  <c r="Q176" i="6"/>
  <c r="Y176" i="6"/>
  <c r="AG176" i="6"/>
  <c r="J176" i="6"/>
  <c r="R176" i="6"/>
  <c r="Z176" i="6"/>
  <c r="M176" i="6"/>
  <c r="AC176" i="6"/>
  <c r="E176" i="6"/>
  <c r="U176" i="6"/>
  <c r="AD176" i="6"/>
  <c r="N176" i="6"/>
  <c r="F176" i="6"/>
  <c r="V176" i="6"/>
  <c r="C144" i="6"/>
  <c r="G144" i="6"/>
  <c r="K144" i="6"/>
  <c r="O144" i="6"/>
  <c r="S144" i="6"/>
  <c r="W144" i="6"/>
  <c r="AA144" i="6"/>
  <c r="AE144" i="6"/>
  <c r="D144" i="6"/>
  <c r="H144" i="6"/>
  <c r="L144" i="6"/>
  <c r="P144" i="6"/>
  <c r="T144" i="6"/>
  <c r="X144" i="6"/>
  <c r="AB144" i="6"/>
  <c r="AF144" i="6"/>
  <c r="I144" i="6"/>
  <c r="Q144" i="6"/>
  <c r="Y144" i="6"/>
  <c r="AG144" i="6"/>
  <c r="J144" i="6"/>
  <c r="R144" i="6"/>
  <c r="Z144" i="6"/>
  <c r="M144" i="6"/>
  <c r="AC144" i="6"/>
  <c r="E144" i="6"/>
  <c r="U144" i="6"/>
  <c r="AD144" i="6"/>
  <c r="N144" i="6"/>
  <c r="F144" i="6"/>
  <c r="V144" i="6"/>
  <c r="E100" i="6"/>
  <c r="I100" i="6"/>
  <c r="M100" i="6"/>
  <c r="Q100" i="6"/>
  <c r="U100" i="6"/>
  <c r="Y100" i="6"/>
  <c r="AC100" i="6"/>
  <c r="AG100" i="6"/>
  <c r="F100" i="6"/>
  <c r="J100" i="6"/>
  <c r="N100" i="6"/>
  <c r="R100" i="6"/>
  <c r="V100" i="6"/>
  <c r="Z100" i="6"/>
  <c r="AD100" i="6"/>
  <c r="C100" i="6"/>
  <c r="K100" i="6"/>
  <c r="S100" i="6"/>
  <c r="AA100" i="6"/>
  <c r="D100" i="6"/>
  <c r="L100" i="6"/>
  <c r="T100" i="6"/>
  <c r="AB100" i="6"/>
  <c r="G100" i="6"/>
  <c r="W100" i="6"/>
  <c r="H100" i="6"/>
  <c r="X100" i="6"/>
  <c r="AE100" i="6"/>
  <c r="O100" i="6"/>
  <c r="AF100" i="6"/>
  <c r="P100" i="6"/>
  <c r="D173" i="6"/>
  <c r="H173" i="6"/>
  <c r="L173" i="6"/>
  <c r="P173" i="6"/>
  <c r="T173" i="6"/>
  <c r="X173" i="6"/>
  <c r="AB173" i="6"/>
  <c r="AF173" i="6"/>
  <c r="E173" i="6"/>
  <c r="I173" i="6"/>
  <c r="M173" i="6"/>
  <c r="Q173" i="6"/>
  <c r="U173" i="6"/>
  <c r="Y173" i="6"/>
  <c r="AC173" i="6"/>
  <c r="AG173" i="6"/>
  <c r="F173" i="6"/>
  <c r="N173" i="6"/>
  <c r="V173" i="6"/>
  <c r="AD173" i="6"/>
  <c r="G173" i="6"/>
  <c r="O173" i="6"/>
  <c r="W173" i="6"/>
  <c r="AE173" i="6"/>
  <c r="J173" i="6"/>
  <c r="Z173" i="6"/>
  <c r="R173" i="6"/>
  <c r="AA173" i="6"/>
  <c r="K173" i="6"/>
  <c r="C173" i="6"/>
  <c r="S173" i="6"/>
  <c r="D157" i="6"/>
  <c r="H157" i="6"/>
  <c r="L157" i="6"/>
  <c r="P157" i="6"/>
  <c r="T157" i="6"/>
  <c r="X157" i="6"/>
  <c r="AB157" i="6"/>
  <c r="AF157" i="6"/>
  <c r="E157" i="6"/>
  <c r="I157" i="6"/>
  <c r="M157" i="6"/>
  <c r="Q157" i="6"/>
  <c r="U157" i="6"/>
  <c r="Y157" i="6"/>
  <c r="AC157" i="6"/>
  <c r="AG157" i="6"/>
  <c r="F157" i="6"/>
  <c r="N157" i="6"/>
  <c r="V157" i="6"/>
  <c r="AD157" i="6"/>
  <c r="G157" i="6"/>
  <c r="O157" i="6"/>
  <c r="W157" i="6"/>
  <c r="AE157" i="6"/>
  <c r="J157" i="6"/>
  <c r="Z157" i="6"/>
  <c r="R157" i="6"/>
  <c r="K157" i="6"/>
  <c r="AA157" i="6"/>
  <c r="S157" i="6"/>
  <c r="C157" i="6"/>
  <c r="C141" i="6"/>
  <c r="G141" i="6"/>
  <c r="K141" i="6"/>
  <c r="O141" i="6"/>
  <c r="S141" i="6"/>
  <c r="W141" i="6"/>
  <c r="AA141" i="6"/>
  <c r="AE141" i="6"/>
  <c r="E141" i="6"/>
  <c r="J141" i="6"/>
  <c r="P141" i="6"/>
  <c r="U141" i="6"/>
  <c r="Z141" i="6"/>
  <c r="AF141" i="6"/>
  <c r="F141" i="6"/>
  <c r="L141" i="6"/>
  <c r="Q141" i="6"/>
  <c r="V141" i="6"/>
  <c r="AB141" i="6"/>
  <c r="AG141" i="6"/>
  <c r="M141" i="6"/>
  <c r="X141" i="6"/>
  <c r="D141" i="6"/>
  <c r="N141" i="6"/>
  <c r="Y141" i="6"/>
  <c r="H141" i="6"/>
  <c r="AC141" i="6"/>
  <c r="R141" i="6"/>
  <c r="I141" i="6"/>
  <c r="AD141" i="6"/>
  <c r="T141" i="6"/>
  <c r="F186" i="6"/>
  <c r="J186" i="6"/>
  <c r="N186" i="6"/>
  <c r="R186" i="6"/>
  <c r="V186" i="6"/>
  <c r="Z186" i="6"/>
  <c r="AD186" i="6"/>
  <c r="G186" i="6"/>
  <c r="L186" i="6"/>
  <c r="Q186" i="6"/>
  <c r="W186" i="6"/>
  <c r="AB186" i="6"/>
  <c r="AG186" i="6"/>
  <c r="C186" i="6"/>
  <c r="H186" i="6"/>
  <c r="M186" i="6"/>
  <c r="S186" i="6"/>
  <c r="X186" i="6"/>
  <c r="AC186" i="6"/>
  <c r="I186" i="6"/>
  <c r="T186" i="6"/>
  <c r="AE186" i="6"/>
  <c r="D186" i="6"/>
  <c r="O186" i="6"/>
  <c r="Y186" i="6"/>
  <c r="K186" i="6"/>
  <c r="AF186" i="6"/>
  <c r="U186" i="6"/>
  <c r="E186" i="6"/>
  <c r="P186" i="6"/>
  <c r="AA186" i="6"/>
  <c r="E170" i="6"/>
  <c r="I170" i="6"/>
  <c r="M170" i="6"/>
  <c r="Q170" i="6"/>
  <c r="U170" i="6"/>
  <c r="Y170" i="6"/>
  <c r="AC170" i="6"/>
  <c r="AG170" i="6"/>
  <c r="F170" i="6"/>
  <c r="J170" i="6"/>
  <c r="N170" i="6"/>
  <c r="R170" i="6"/>
  <c r="V170" i="6"/>
  <c r="Z170" i="6"/>
  <c r="AD170" i="6"/>
  <c r="C170" i="6"/>
  <c r="K170" i="6"/>
  <c r="S170" i="6"/>
  <c r="AA170" i="6"/>
  <c r="D170" i="6"/>
  <c r="L170" i="6"/>
  <c r="T170" i="6"/>
  <c r="AB170" i="6"/>
  <c r="G170" i="6"/>
  <c r="W170" i="6"/>
  <c r="O170" i="6"/>
  <c r="AE170" i="6"/>
  <c r="X170" i="6"/>
  <c r="H170" i="6"/>
  <c r="P170" i="6"/>
  <c r="AF170" i="6"/>
  <c r="E154" i="6"/>
  <c r="I154" i="6"/>
  <c r="M154" i="6"/>
  <c r="Q154" i="6"/>
  <c r="U154" i="6"/>
  <c r="Y154" i="6"/>
  <c r="AC154" i="6"/>
  <c r="AG154" i="6"/>
  <c r="F154" i="6"/>
  <c r="J154" i="6"/>
  <c r="N154" i="6"/>
  <c r="R154" i="6"/>
  <c r="V154" i="6"/>
  <c r="Z154" i="6"/>
  <c r="AD154" i="6"/>
  <c r="C154" i="6"/>
  <c r="K154" i="6"/>
  <c r="S154" i="6"/>
  <c r="AA154" i="6"/>
  <c r="D154" i="6"/>
  <c r="L154" i="6"/>
  <c r="T154" i="6"/>
  <c r="AB154" i="6"/>
  <c r="G154" i="6"/>
  <c r="W154" i="6"/>
  <c r="O154" i="6"/>
  <c r="AE154" i="6"/>
  <c r="H154" i="6"/>
  <c r="X154" i="6"/>
  <c r="P154" i="6"/>
  <c r="AF154" i="6"/>
  <c r="D138" i="6"/>
  <c r="H138" i="6"/>
  <c r="L138" i="6"/>
  <c r="P138" i="6"/>
  <c r="T138" i="6"/>
  <c r="X138" i="6"/>
  <c r="AB138" i="6"/>
  <c r="AF138" i="6"/>
  <c r="G138" i="6"/>
  <c r="M138" i="6"/>
  <c r="R138" i="6"/>
  <c r="W138" i="6"/>
  <c r="AC138" i="6"/>
  <c r="C138" i="6"/>
  <c r="I138" i="6"/>
  <c r="N138" i="6"/>
  <c r="S138" i="6"/>
  <c r="Y138" i="6"/>
  <c r="AD138" i="6"/>
  <c r="J138" i="6"/>
  <c r="U138" i="6"/>
  <c r="AE138" i="6"/>
  <c r="K138" i="6"/>
  <c r="V138" i="6"/>
  <c r="AG138" i="6"/>
  <c r="O138" i="6"/>
  <c r="E138" i="6"/>
  <c r="Z138" i="6"/>
  <c r="Q138" i="6"/>
  <c r="F138" i="6"/>
  <c r="AA138" i="6"/>
  <c r="D77" i="6"/>
  <c r="H77" i="6"/>
  <c r="L77" i="6"/>
  <c r="P77" i="6"/>
  <c r="E77" i="6"/>
  <c r="I77" i="6"/>
  <c r="M77" i="6"/>
  <c r="Q77" i="6"/>
  <c r="J77" i="6"/>
  <c r="R77" i="6"/>
  <c r="V77" i="6"/>
  <c r="Z77" i="6"/>
  <c r="AD77" i="6"/>
  <c r="C77" i="6"/>
  <c r="K77" i="6"/>
  <c r="S77" i="6"/>
  <c r="W77" i="6"/>
  <c r="AA77" i="6"/>
  <c r="AE77" i="6"/>
  <c r="F77" i="6"/>
  <c r="T77" i="6"/>
  <c r="AB77" i="6"/>
  <c r="G77" i="6"/>
  <c r="U77" i="6"/>
  <c r="AC77" i="6"/>
  <c r="N77" i="6"/>
  <c r="AF77" i="6"/>
  <c r="O77" i="6"/>
  <c r="AG77" i="6"/>
  <c r="Y77" i="6"/>
  <c r="X77" i="6"/>
  <c r="E128" i="6"/>
  <c r="I128" i="6"/>
  <c r="M128" i="6"/>
  <c r="Q128" i="6"/>
  <c r="U128" i="6"/>
  <c r="Y128" i="6"/>
  <c r="AC128" i="6"/>
  <c r="AG128" i="6"/>
  <c r="F128" i="6"/>
  <c r="J128" i="6"/>
  <c r="N128" i="6"/>
  <c r="R128" i="6"/>
  <c r="V128" i="6"/>
  <c r="Z128" i="6"/>
  <c r="AD128" i="6"/>
  <c r="G128" i="6"/>
  <c r="O128" i="6"/>
  <c r="W128" i="6"/>
  <c r="AE128" i="6"/>
  <c r="H128" i="6"/>
  <c r="P128" i="6"/>
  <c r="X128" i="6"/>
  <c r="AF128" i="6"/>
  <c r="C128" i="6"/>
  <c r="S128" i="6"/>
  <c r="D128" i="6"/>
  <c r="T128" i="6"/>
  <c r="AA128" i="6"/>
  <c r="K128" i="6"/>
  <c r="AB128" i="6"/>
  <c r="L128" i="6"/>
  <c r="E112" i="6"/>
  <c r="I112" i="6"/>
  <c r="M112" i="6"/>
  <c r="Q112" i="6"/>
  <c r="U112" i="6"/>
  <c r="Y112" i="6"/>
  <c r="AC112" i="6"/>
  <c r="AG112" i="6"/>
  <c r="F112" i="6"/>
  <c r="J112" i="6"/>
  <c r="N112" i="6"/>
  <c r="R112" i="6"/>
  <c r="V112" i="6"/>
  <c r="Z112" i="6"/>
  <c r="AD112" i="6"/>
  <c r="G112" i="6"/>
  <c r="O112" i="6"/>
  <c r="W112" i="6"/>
  <c r="AE112" i="6"/>
  <c r="H112" i="6"/>
  <c r="P112" i="6"/>
  <c r="X112" i="6"/>
  <c r="AF112" i="6"/>
  <c r="C112" i="6"/>
  <c r="S112" i="6"/>
  <c r="D112" i="6"/>
  <c r="T112" i="6"/>
  <c r="K112" i="6"/>
  <c r="AA112" i="6"/>
  <c r="L112" i="6"/>
  <c r="AB112" i="6"/>
  <c r="E96" i="6"/>
  <c r="I96" i="6"/>
  <c r="M96" i="6"/>
  <c r="Q96" i="6"/>
  <c r="U96" i="6"/>
  <c r="Y96" i="6"/>
  <c r="AC96" i="6"/>
  <c r="AG96" i="6"/>
  <c r="F96" i="6"/>
  <c r="J96" i="6"/>
  <c r="N96" i="6"/>
  <c r="R96" i="6"/>
  <c r="V96" i="6"/>
  <c r="Z96" i="6"/>
  <c r="AD96" i="6"/>
  <c r="G96" i="6"/>
  <c r="O96" i="6"/>
  <c r="W96" i="6"/>
  <c r="AE96" i="6"/>
  <c r="H96" i="6"/>
  <c r="P96" i="6"/>
  <c r="X96" i="6"/>
  <c r="AF96" i="6"/>
  <c r="C96" i="6"/>
  <c r="S96" i="6"/>
  <c r="D96" i="6"/>
  <c r="T96" i="6"/>
  <c r="L96" i="6"/>
  <c r="AB96" i="6"/>
  <c r="AA96" i="6"/>
  <c r="K96" i="6"/>
  <c r="F53" i="6"/>
  <c r="J53" i="6"/>
  <c r="N53" i="6"/>
  <c r="R53" i="6"/>
  <c r="V53" i="6"/>
  <c r="Z53" i="6"/>
  <c r="AD53" i="6"/>
  <c r="C53" i="6"/>
  <c r="G53" i="6"/>
  <c r="K53" i="6"/>
  <c r="O53" i="6"/>
  <c r="S53" i="6"/>
  <c r="W53" i="6"/>
  <c r="AA53" i="6"/>
  <c r="AE53" i="6"/>
  <c r="H53" i="6"/>
  <c r="P53" i="6"/>
  <c r="X53" i="6"/>
  <c r="AF53" i="6"/>
  <c r="I53" i="6"/>
  <c r="Q53" i="6"/>
  <c r="Y53" i="6"/>
  <c r="AG53" i="6"/>
  <c r="D53" i="6"/>
  <c r="T53" i="6"/>
  <c r="E53" i="6"/>
  <c r="U53" i="6"/>
  <c r="L53" i="6"/>
  <c r="M53" i="6"/>
  <c r="AB53" i="6"/>
  <c r="AC53" i="6"/>
  <c r="D115" i="6"/>
  <c r="H115" i="6"/>
  <c r="L115" i="6"/>
  <c r="P115" i="6"/>
  <c r="T115" i="6"/>
  <c r="X115" i="6"/>
  <c r="AB115" i="6"/>
  <c r="AF115" i="6"/>
  <c r="E115" i="6"/>
  <c r="I115" i="6"/>
  <c r="M115" i="6"/>
  <c r="Q115" i="6"/>
  <c r="U115" i="6"/>
  <c r="Y115" i="6"/>
  <c r="AC115" i="6"/>
  <c r="AG115" i="6"/>
  <c r="J115" i="6"/>
  <c r="R115" i="6"/>
  <c r="Z115" i="6"/>
  <c r="C115" i="6"/>
  <c r="K115" i="6"/>
  <c r="S115" i="6"/>
  <c r="AA115" i="6"/>
  <c r="F115" i="6"/>
  <c r="V115" i="6"/>
  <c r="G115" i="6"/>
  <c r="W115" i="6"/>
  <c r="N115" i="6"/>
  <c r="AD115" i="6"/>
  <c r="O115" i="6"/>
  <c r="AE115" i="6"/>
  <c r="F101" i="6"/>
  <c r="J101" i="6"/>
  <c r="N101" i="6"/>
  <c r="R101" i="6"/>
  <c r="V101" i="6"/>
  <c r="Z101" i="6"/>
  <c r="AD101" i="6"/>
  <c r="C101" i="6"/>
  <c r="G101" i="6"/>
  <c r="K101" i="6"/>
  <c r="O101" i="6"/>
  <c r="S101" i="6"/>
  <c r="W101" i="6"/>
  <c r="AA101" i="6"/>
  <c r="AE101" i="6"/>
  <c r="D101" i="6"/>
  <c r="L101" i="6"/>
  <c r="T101" i="6"/>
  <c r="AB101" i="6"/>
  <c r="E101" i="6"/>
  <c r="M101" i="6"/>
  <c r="U101" i="6"/>
  <c r="AC101" i="6"/>
  <c r="H101" i="6"/>
  <c r="X101" i="6"/>
  <c r="I101" i="6"/>
  <c r="Y101" i="6"/>
  <c r="AF101" i="6"/>
  <c r="P101" i="6"/>
  <c r="AG101" i="6"/>
  <c r="Q101" i="6"/>
  <c r="F89" i="6"/>
  <c r="J89" i="6"/>
  <c r="N89" i="6"/>
  <c r="R89" i="6"/>
  <c r="V89" i="6"/>
  <c r="Z89" i="6"/>
  <c r="AD89" i="6"/>
  <c r="C89" i="6"/>
  <c r="G89" i="6"/>
  <c r="K89" i="6"/>
  <c r="O89" i="6"/>
  <c r="S89" i="6"/>
  <c r="W89" i="6"/>
  <c r="AA89" i="6"/>
  <c r="AE89" i="6"/>
  <c r="H89" i="6"/>
  <c r="P89" i="6"/>
  <c r="X89" i="6"/>
  <c r="AF89" i="6"/>
  <c r="I89" i="6"/>
  <c r="Q89" i="6"/>
  <c r="Y89" i="6"/>
  <c r="AG89" i="6"/>
  <c r="L89" i="6"/>
  <c r="AB89" i="6"/>
  <c r="M89" i="6"/>
  <c r="AC89" i="6"/>
  <c r="E89" i="6"/>
  <c r="U89" i="6"/>
  <c r="T89" i="6"/>
  <c r="D89" i="6"/>
  <c r="D73" i="6"/>
  <c r="H73" i="6"/>
  <c r="L73" i="6"/>
  <c r="P73" i="6"/>
  <c r="T73" i="6"/>
  <c r="X73" i="6"/>
  <c r="AB73" i="6"/>
  <c r="AF73" i="6"/>
  <c r="E73" i="6"/>
  <c r="I73" i="6"/>
  <c r="M73" i="6"/>
  <c r="Q73" i="6"/>
  <c r="U73" i="6"/>
  <c r="Y73" i="6"/>
  <c r="AC73" i="6"/>
  <c r="AG73" i="6"/>
  <c r="F73" i="6"/>
  <c r="N73" i="6"/>
  <c r="V73" i="6"/>
  <c r="AD73" i="6"/>
  <c r="G73" i="6"/>
  <c r="O73" i="6"/>
  <c r="W73" i="6"/>
  <c r="AE73" i="6"/>
  <c r="R73" i="6"/>
  <c r="C73" i="6"/>
  <c r="S73" i="6"/>
  <c r="J73" i="6"/>
  <c r="K73" i="6"/>
  <c r="AA73" i="6"/>
  <c r="Z73" i="6"/>
  <c r="D99" i="6"/>
  <c r="H99" i="6"/>
  <c r="L99" i="6"/>
  <c r="P99" i="6"/>
  <c r="T99" i="6"/>
  <c r="X99" i="6"/>
  <c r="AB99" i="6"/>
  <c r="AF99" i="6"/>
  <c r="E99" i="6"/>
  <c r="I99" i="6"/>
  <c r="M99" i="6"/>
  <c r="Q99" i="6"/>
  <c r="U99" i="6"/>
  <c r="Y99" i="6"/>
  <c r="AC99" i="6"/>
  <c r="AG99" i="6"/>
  <c r="J99" i="6"/>
  <c r="R99" i="6"/>
  <c r="Z99" i="6"/>
  <c r="C99" i="6"/>
  <c r="K99" i="6"/>
  <c r="S99" i="6"/>
  <c r="AA99" i="6"/>
  <c r="F99" i="6"/>
  <c r="V99" i="6"/>
  <c r="G99" i="6"/>
  <c r="W99" i="6"/>
  <c r="O99" i="6"/>
  <c r="AD99" i="6"/>
  <c r="AE99" i="6"/>
  <c r="N99" i="6"/>
  <c r="C82" i="6"/>
  <c r="G82" i="6"/>
  <c r="K82" i="6"/>
  <c r="O82" i="6"/>
  <c r="S82" i="6"/>
  <c r="W82" i="6"/>
  <c r="AA82" i="6"/>
  <c r="AE82" i="6"/>
  <c r="D82" i="6"/>
  <c r="H82" i="6"/>
  <c r="L82" i="6"/>
  <c r="P82" i="6"/>
  <c r="T82" i="6"/>
  <c r="X82" i="6"/>
  <c r="AB82" i="6"/>
  <c r="AF82" i="6"/>
  <c r="I82" i="6"/>
  <c r="Q82" i="6"/>
  <c r="Y82" i="6"/>
  <c r="AG82" i="6"/>
  <c r="J82" i="6"/>
  <c r="R82" i="6"/>
  <c r="Z82" i="6"/>
  <c r="E82" i="6"/>
  <c r="U82" i="6"/>
  <c r="F82" i="6"/>
  <c r="V82" i="6"/>
  <c r="N82" i="6"/>
  <c r="AD82" i="6"/>
  <c r="M82" i="6"/>
  <c r="AC82" i="6"/>
  <c r="E58" i="6"/>
  <c r="I58" i="6"/>
  <c r="M58" i="6"/>
  <c r="Q58" i="6"/>
  <c r="U58" i="6"/>
  <c r="Y58" i="6"/>
  <c r="AC58" i="6"/>
  <c r="AG58" i="6"/>
  <c r="F58" i="6"/>
  <c r="J58" i="6"/>
  <c r="N58" i="6"/>
  <c r="R58" i="6"/>
  <c r="V58" i="6"/>
  <c r="Z58" i="6"/>
  <c r="AD58" i="6"/>
  <c r="G58" i="6"/>
  <c r="O58" i="6"/>
  <c r="W58" i="6"/>
  <c r="AE58" i="6"/>
  <c r="H58" i="6"/>
  <c r="P58" i="6"/>
  <c r="X58" i="6"/>
  <c r="AF58" i="6"/>
  <c r="C58" i="6"/>
  <c r="S58" i="6"/>
  <c r="D58" i="6"/>
  <c r="T58" i="6"/>
  <c r="AA58" i="6"/>
  <c r="AB58" i="6"/>
  <c r="L58" i="6"/>
  <c r="K58" i="6"/>
  <c r="E40" i="6"/>
  <c r="I40" i="6"/>
  <c r="M40" i="6"/>
  <c r="Q40" i="6"/>
  <c r="U40" i="6"/>
  <c r="Y40" i="6"/>
  <c r="AC40" i="6"/>
  <c r="AG40" i="6"/>
  <c r="F40" i="6"/>
  <c r="J40" i="6"/>
  <c r="N40" i="6"/>
  <c r="R40" i="6"/>
  <c r="V40" i="6"/>
  <c r="Z40" i="6"/>
  <c r="AD40" i="6"/>
  <c r="C40" i="6"/>
  <c r="K40" i="6"/>
  <c r="S40" i="6"/>
  <c r="AA40" i="6"/>
  <c r="D40" i="6"/>
  <c r="L40" i="6"/>
  <c r="T40" i="6"/>
  <c r="AB40" i="6"/>
  <c r="G40" i="6"/>
  <c r="W40" i="6"/>
  <c r="H40" i="6"/>
  <c r="X40" i="6"/>
  <c r="AE40" i="6"/>
  <c r="AF40" i="6"/>
  <c r="P40" i="6"/>
  <c r="O40" i="6"/>
  <c r="C76" i="6"/>
  <c r="G76" i="6"/>
  <c r="K76" i="6"/>
  <c r="O76" i="6"/>
  <c r="S76" i="6"/>
  <c r="W76" i="6"/>
  <c r="AA76" i="6"/>
  <c r="AE76" i="6"/>
  <c r="D76" i="6"/>
  <c r="H76" i="6"/>
  <c r="L76" i="6"/>
  <c r="P76" i="6"/>
  <c r="T76" i="6"/>
  <c r="X76" i="6"/>
  <c r="AB76" i="6"/>
  <c r="AF76" i="6"/>
  <c r="I76" i="6"/>
  <c r="Q76" i="6"/>
  <c r="Y76" i="6"/>
  <c r="AG76" i="6"/>
  <c r="J76" i="6"/>
  <c r="R76" i="6"/>
  <c r="Z76" i="6"/>
  <c r="E76" i="6"/>
  <c r="U76" i="6"/>
  <c r="F76" i="6"/>
  <c r="V76" i="6"/>
  <c r="M76" i="6"/>
  <c r="N76" i="6"/>
  <c r="AD76" i="6"/>
  <c r="AC76" i="6"/>
  <c r="C60" i="6"/>
  <c r="G60" i="6"/>
  <c r="K60" i="6"/>
  <c r="O60" i="6"/>
  <c r="S60" i="6"/>
  <c r="W60" i="6"/>
  <c r="AA60" i="6"/>
  <c r="AE60" i="6"/>
  <c r="D60" i="6"/>
  <c r="H60" i="6"/>
  <c r="L60" i="6"/>
  <c r="P60" i="6"/>
  <c r="T60" i="6"/>
  <c r="X60" i="6"/>
  <c r="AB60" i="6"/>
  <c r="AF60" i="6"/>
  <c r="I60" i="6"/>
  <c r="Q60" i="6"/>
  <c r="Y60" i="6"/>
  <c r="AG60" i="6"/>
  <c r="J60" i="6"/>
  <c r="R60" i="6"/>
  <c r="Z60" i="6"/>
  <c r="E60" i="6"/>
  <c r="U60" i="6"/>
  <c r="F60" i="6"/>
  <c r="V60" i="6"/>
  <c r="AC60" i="6"/>
  <c r="AD60" i="6"/>
  <c r="N60" i="6"/>
  <c r="M60" i="6"/>
  <c r="D79" i="6"/>
  <c r="H79" i="6"/>
  <c r="L79" i="6"/>
  <c r="P79" i="6"/>
  <c r="T79" i="6"/>
  <c r="X79" i="6"/>
  <c r="AB79" i="6"/>
  <c r="AF79" i="6"/>
  <c r="E79" i="6"/>
  <c r="I79" i="6"/>
  <c r="M79" i="6"/>
  <c r="Q79" i="6"/>
  <c r="U79" i="6"/>
  <c r="Y79" i="6"/>
  <c r="AC79" i="6"/>
  <c r="AG79" i="6"/>
  <c r="F79" i="6"/>
  <c r="N79" i="6"/>
  <c r="V79" i="6"/>
  <c r="AD79" i="6"/>
  <c r="G79" i="6"/>
  <c r="O79" i="6"/>
  <c r="W79" i="6"/>
  <c r="AE79" i="6"/>
  <c r="R79" i="6"/>
  <c r="C79" i="6"/>
  <c r="S79" i="6"/>
  <c r="K79" i="6"/>
  <c r="AA79" i="6"/>
  <c r="J79" i="6"/>
  <c r="Z79" i="6"/>
  <c r="F63" i="6"/>
  <c r="J63" i="6"/>
  <c r="N63" i="6"/>
  <c r="R63" i="6"/>
  <c r="V63" i="6"/>
  <c r="Z63" i="6"/>
  <c r="AD63" i="6"/>
  <c r="C63" i="6"/>
  <c r="G63" i="6"/>
  <c r="K63" i="6"/>
  <c r="O63" i="6"/>
  <c r="S63" i="6"/>
  <c r="W63" i="6"/>
  <c r="AA63" i="6"/>
  <c r="AE63" i="6"/>
  <c r="D63" i="6"/>
  <c r="L63" i="6"/>
  <c r="T63" i="6"/>
  <c r="AB63" i="6"/>
  <c r="E63" i="6"/>
  <c r="M63" i="6"/>
  <c r="U63" i="6"/>
  <c r="AC63" i="6"/>
  <c r="H63" i="6"/>
  <c r="X63" i="6"/>
  <c r="I63" i="6"/>
  <c r="Y63" i="6"/>
  <c r="AF63" i="6"/>
  <c r="AG63" i="6"/>
  <c r="Q63" i="6"/>
  <c r="P63" i="6"/>
  <c r="D39" i="6"/>
  <c r="H39" i="6"/>
  <c r="L39" i="6"/>
  <c r="P39" i="6"/>
  <c r="T39" i="6"/>
  <c r="X39" i="6"/>
  <c r="AB39" i="6"/>
  <c r="AF39" i="6"/>
  <c r="E39" i="6"/>
  <c r="I39" i="6"/>
  <c r="M39" i="6"/>
  <c r="Q39" i="6"/>
  <c r="U39" i="6"/>
  <c r="Y39" i="6"/>
  <c r="AC39" i="6"/>
  <c r="AG39" i="6"/>
  <c r="J39" i="6"/>
  <c r="R39" i="6"/>
  <c r="Z39" i="6"/>
  <c r="C39" i="6"/>
  <c r="K39" i="6"/>
  <c r="S39" i="6"/>
  <c r="AA39" i="6"/>
  <c r="F39" i="6"/>
  <c r="V39" i="6"/>
  <c r="G39" i="6"/>
  <c r="W39" i="6"/>
  <c r="AD39" i="6"/>
  <c r="AE39" i="6"/>
  <c r="N39" i="6"/>
  <c r="O39" i="6"/>
  <c r="C30" i="6"/>
  <c r="G30" i="6"/>
  <c r="K30" i="6"/>
  <c r="O30" i="6"/>
  <c r="S30" i="6"/>
  <c r="W30" i="6"/>
  <c r="AA30" i="6"/>
  <c r="AE30" i="6"/>
  <c r="D30" i="6"/>
  <c r="H30" i="6"/>
  <c r="L30" i="6"/>
  <c r="P30" i="6"/>
  <c r="T30" i="6"/>
  <c r="X30" i="6"/>
  <c r="AB30" i="6"/>
  <c r="AF30" i="6"/>
  <c r="I30" i="6"/>
  <c r="Q30" i="6"/>
  <c r="Y30" i="6"/>
  <c r="AG30" i="6"/>
  <c r="J30" i="6"/>
  <c r="R30" i="6"/>
  <c r="Z30" i="6"/>
  <c r="M30" i="6"/>
  <c r="AC30" i="6"/>
  <c r="N30" i="6"/>
  <c r="AD30" i="6"/>
  <c r="U30" i="6"/>
  <c r="V30" i="6"/>
  <c r="F30" i="6"/>
  <c r="E30" i="6"/>
  <c r="D26" i="6"/>
  <c r="H26" i="6"/>
  <c r="L26" i="6"/>
  <c r="P26" i="6"/>
  <c r="T26" i="6"/>
  <c r="X26" i="6"/>
  <c r="AB26" i="6"/>
  <c r="AF26" i="6"/>
  <c r="E26" i="6"/>
  <c r="J26" i="6"/>
  <c r="O26" i="6"/>
  <c r="U26" i="6"/>
  <c r="Z26" i="6"/>
  <c r="AE26" i="6"/>
  <c r="F26" i="6"/>
  <c r="K26" i="6"/>
  <c r="Q26" i="6"/>
  <c r="V26" i="6"/>
  <c r="AA26" i="6"/>
  <c r="AG26" i="6"/>
  <c r="M26" i="6"/>
  <c r="W26" i="6"/>
  <c r="C26" i="6"/>
  <c r="N26" i="6"/>
  <c r="Y26" i="6"/>
  <c r="R26" i="6"/>
  <c r="S26" i="6"/>
  <c r="G26" i="6"/>
  <c r="I26" i="6"/>
  <c r="AC26" i="6"/>
  <c r="AD26" i="6"/>
  <c r="E27" i="6"/>
  <c r="I27" i="6"/>
  <c r="M27" i="6"/>
  <c r="F27" i="6"/>
  <c r="K27" i="6"/>
  <c r="P27" i="6"/>
  <c r="T27" i="6"/>
  <c r="X27" i="6"/>
  <c r="AB27" i="6"/>
  <c r="AF27" i="6"/>
  <c r="G27" i="6"/>
  <c r="L27" i="6"/>
  <c r="Q27" i="6"/>
  <c r="U27" i="6"/>
  <c r="Y27" i="6"/>
  <c r="AC27" i="6"/>
  <c r="AG27" i="6"/>
  <c r="C27" i="6"/>
  <c r="N27" i="6"/>
  <c r="V27" i="6"/>
  <c r="AD27" i="6"/>
  <c r="D27" i="6"/>
  <c r="O27" i="6"/>
  <c r="W27" i="6"/>
  <c r="AE27" i="6"/>
  <c r="H27" i="6"/>
  <c r="Z27" i="6"/>
  <c r="J27" i="6"/>
  <c r="AA27" i="6"/>
  <c r="R27" i="6"/>
  <c r="S27" i="6"/>
  <c r="C9" i="6"/>
  <c r="G9" i="6"/>
  <c r="K9" i="6"/>
  <c r="O9" i="6"/>
  <c r="S9" i="6"/>
  <c r="W9" i="6"/>
  <c r="AA9" i="6"/>
  <c r="AE9" i="6"/>
  <c r="E9" i="6"/>
  <c r="J9" i="6"/>
  <c r="P9" i="6"/>
  <c r="U9" i="6"/>
  <c r="Z9" i="6"/>
  <c r="AF9" i="6"/>
  <c r="F9" i="6"/>
  <c r="M9" i="6"/>
  <c r="T9" i="6"/>
  <c r="AB9" i="6"/>
  <c r="D9" i="6"/>
  <c r="N9" i="6"/>
  <c r="X9" i="6"/>
  <c r="AG9" i="6"/>
  <c r="H9" i="6"/>
  <c r="Q9" i="6"/>
  <c r="Y9" i="6"/>
  <c r="R9" i="6"/>
  <c r="V9" i="6"/>
  <c r="AC9" i="6"/>
  <c r="AD9" i="6"/>
  <c r="I9" i="6"/>
  <c r="L9" i="6"/>
  <c r="C34" i="6"/>
  <c r="G34" i="6"/>
  <c r="K34" i="6"/>
  <c r="O34" i="6"/>
  <c r="S34" i="6"/>
  <c r="W34" i="6"/>
  <c r="AA34" i="6"/>
  <c r="AE34" i="6"/>
  <c r="D34" i="6"/>
  <c r="H34" i="6"/>
  <c r="L34" i="6"/>
  <c r="P34" i="6"/>
  <c r="T34" i="6"/>
  <c r="X34" i="6"/>
  <c r="AB34" i="6"/>
  <c r="AF34" i="6"/>
  <c r="E34" i="6"/>
  <c r="M34" i="6"/>
  <c r="U34" i="6"/>
  <c r="AC34" i="6"/>
  <c r="F34" i="6"/>
  <c r="N34" i="6"/>
  <c r="V34" i="6"/>
  <c r="AD34" i="6"/>
  <c r="Q34" i="6"/>
  <c r="AG34" i="6"/>
  <c r="R34" i="6"/>
  <c r="Y34" i="6"/>
  <c r="Z34" i="6"/>
  <c r="J34" i="6"/>
  <c r="I34" i="6"/>
  <c r="E23" i="6"/>
  <c r="I23" i="6"/>
  <c r="M23" i="6"/>
  <c r="Q23" i="6"/>
  <c r="U23" i="6"/>
  <c r="Y23" i="6"/>
  <c r="AC23" i="6"/>
  <c r="AG23" i="6"/>
  <c r="G23" i="6"/>
  <c r="L23" i="6"/>
  <c r="R23" i="6"/>
  <c r="W23" i="6"/>
  <c r="AB23" i="6"/>
  <c r="C23" i="6"/>
  <c r="H23" i="6"/>
  <c r="N23" i="6"/>
  <c r="S23" i="6"/>
  <c r="X23" i="6"/>
  <c r="AD23" i="6"/>
  <c r="J23" i="6"/>
  <c r="T23" i="6"/>
  <c r="AE23" i="6"/>
  <c r="K23" i="6"/>
  <c r="V23" i="6"/>
  <c r="AF23" i="6"/>
  <c r="D23" i="6"/>
  <c r="Z23" i="6"/>
  <c r="F23" i="6"/>
  <c r="AA23" i="6"/>
  <c r="O23" i="6"/>
  <c r="P23" i="6"/>
  <c r="D14" i="6"/>
  <c r="H14" i="6"/>
  <c r="L14" i="6"/>
  <c r="P14" i="6"/>
  <c r="T14" i="6"/>
  <c r="X14" i="6"/>
  <c r="AB14" i="6"/>
  <c r="F14" i="6"/>
  <c r="K14" i="6"/>
  <c r="Q14" i="6"/>
  <c r="V14" i="6"/>
  <c r="AA14" i="6"/>
  <c r="AF14" i="6"/>
  <c r="I14" i="6"/>
  <c r="O14" i="6"/>
  <c r="W14" i="6"/>
  <c r="AD14" i="6"/>
  <c r="C14" i="6"/>
  <c r="J14" i="6"/>
  <c r="R14" i="6"/>
  <c r="Y14" i="6"/>
  <c r="AE14" i="6"/>
  <c r="E14" i="6"/>
  <c r="S14" i="6"/>
  <c r="AG14" i="6"/>
  <c r="G14" i="6"/>
  <c r="U14" i="6"/>
  <c r="Z14" i="6"/>
  <c r="AC14" i="6"/>
  <c r="N14" i="6"/>
  <c r="M14" i="6"/>
  <c r="F37" i="6"/>
  <c r="J37" i="6"/>
  <c r="N37" i="6"/>
  <c r="R37" i="6"/>
  <c r="V37" i="6"/>
  <c r="Z37" i="6"/>
  <c r="AD37" i="6"/>
  <c r="C37" i="6"/>
  <c r="G37" i="6"/>
  <c r="K37" i="6"/>
  <c r="O37" i="6"/>
  <c r="S37" i="6"/>
  <c r="W37" i="6"/>
  <c r="AA37" i="6"/>
  <c r="AE37" i="6"/>
  <c r="H37" i="6"/>
  <c r="P37" i="6"/>
  <c r="X37" i="6"/>
  <c r="AF37" i="6"/>
  <c r="I37" i="6"/>
  <c r="Q37" i="6"/>
  <c r="Y37" i="6"/>
  <c r="AG37" i="6"/>
  <c r="D37" i="6"/>
  <c r="T37" i="6"/>
  <c r="E37" i="6"/>
  <c r="U37" i="6"/>
  <c r="AB37" i="6"/>
  <c r="AC37" i="6"/>
  <c r="L37" i="6"/>
  <c r="M37" i="6"/>
  <c r="C21" i="6"/>
  <c r="G21" i="6"/>
  <c r="K21" i="6"/>
  <c r="O21" i="6"/>
  <c r="S21" i="6"/>
  <c r="W21" i="6"/>
  <c r="AA21" i="6"/>
  <c r="AE21" i="6"/>
  <c r="E21" i="6"/>
  <c r="J21" i="6"/>
  <c r="P21" i="6"/>
  <c r="U21" i="6"/>
  <c r="Z21" i="6"/>
  <c r="AF21" i="6"/>
  <c r="F21" i="6"/>
  <c r="L21" i="6"/>
  <c r="Q21" i="6"/>
  <c r="V21" i="6"/>
  <c r="AB21" i="6"/>
  <c r="AG21" i="6"/>
  <c r="H21" i="6"/>
  <c r="R21" i="6"/>
  <c r="AC21" i="6"/>
  <c r="I21" i="6"/>
  <c r="T21" i="6"/>
  <c r="AD21" i="6"/>
  <c r="X21" i="6"/>
  <c r="D21" i="6"/>
  <c r="Y21" i="6"/>
  <c r="M21" i="6"/>
  <c r="N21" i="6"/>
  <c r="D18" i="6"/>
  <c r="H18" i="6"/>
  <c r="L18" i="6"/>
  <c r="P18" i="6"/>
  <c r="T18" i="6"/>
  <c r="X18" i="6"/>
  <c r="AB18" i="6"/>
  <c r="AF18" i="6"/>
  <c r="G18" i="6"/>
  <c r="M18" i="6"/>
  <c r="R18" i="6"/>
  <c r="W18" i="6"/>
  <c r="AC18" i="6"/>
  <c r="C18" i="6"/>
  <c r="I18" i="6"/>
  <c r="N18" i="6"/>
  <c r="S18" i="6"/>
  <c r="Y18" i="6"/>
  <c r="AD18" i="6"/>
  <c r="E18" i="6"/>
  <c r="O18" i="6"/>
  <c r="Z18" i="6"/>
  <c r="F18" i="6"/>
  <c r="Q18" i="6"/>
  <c r="AA18" i="6"/>
  <c r="J18" i="6"/>
  <c r="AE18" i="6"/>
  <c r="K18" i="6"/>
  <c r="AG18" i="6"/>
  <c r="U18" i="6"/>
  <c r="V18" i="6"/>
  <c r="E7" i="6"/>
  <c r="I7" i="6"/>
  <c r="M7" i="6"/>
  <c r="Q7" i="6"/>
  <c r="U7" i="6"/>
  <c r="Y7" i="6"/>
  <c r="AC7" i="6"/>
  <c r="AG7" i="6"/>
  <c r="C7" i="6"/>
  <c r="H7" i="6"/>
  <c r="N7" i="6"/>
  <c r="S7" i="6"/>
  <c r="X7" i="6"/>
  <c r="AD7" i="6"/>
  <c r="D7" i="6"/>
  <c r="K7" i="6"/>
  <c r="R7" i="6"/>
  <c r="Z7" i="6"/>
  <c r="AF7" i="6"/>
  <c r="J7" i="6"/>
  <c r="T7" i="6"/>
  <c r="AB7" i="6"/>
  <c r="L7" i="6"/>
  <c r="V7" i="6"/>
  <c r="AE7" i="6"/>
  <c r="F7" i="6"/>
  <c r="W7" i="6"/>
  <c r="G7" i="6"/>
  <c r="AA7" i="6"/>
  <c r="O7" i="6"/>
  <c r="P7" i="6"/>
  <c r="E215" i="6"/>
  <c r="I215" i="6"/>
  <c r="M215" i="6"/>
  <c r="Q215" i="6"/>
  <c r="U215" i="6"/>
  <c r="Y215" i="6"/>
  <c r="AC215" i="6"/>
  <c r="AG215" i="6"/>
  <c r="C215" i="6"/>
  <c r="G215" i="6"/>
  <c r="K215" i="6"/>
  <c r="O215" i="6"/>
  <c r="S215" i="6"/>
  <c r="W215" i="6"/>
  <c r="AA215" i="6"/>
  <c r="AE215" i="6"/>
  <c r="J215" i="6"/>
  <c r="R215" i="6"/>
  <c r="Z215" i="6"/>
  <c r="F215" i="6"/>
  <c r="N215" i="6"/>
  <c r="V215" i="6"/>
  <c r="AD215" i="6"/>
  <c r="H215" i="6"/>
  <c r="X215" i="6"/>
  <c r="L215" i="6"/>
  <c r="AB215" i="6"/>
  <c r="P215" i="6"/>
  <c r="AF215" i="6"/>
  <c r="D215" i="6"/>
  <c r="T215" i="6"/>
  <c r="C180" i="6"/>
  <c r="G180" i="6"/>
  <c r="K180" i="6"/>
  <c r="O180" i="6"/>
  <c r="S180" i="6"/>
  <c r="W180" i="6"/>
  <c r="AA180" i="6"/>
  <c r="AE180" i="6"/>
  <c r="D180" i="6"/>
  <c r="H180" i="6"/>
  <c r="L180" i="6"/>
  <c r="P180" i="6"/>
  <c r="T180" i="6"/>
  <c r="X180" i="6"/>
  <c r="AB180" i="6"/>
  <c r="AF180" i="6"/>
  <c r="E180" i="6"/>
  <c r="M180" i="6"/>
  <c r="U180" i="6"/>
  <c r="AC180" i="6"/>
  <c r="F180" i="6"/>
  <c r="N180" i="6"/>
  <c r="V180" i="6"/>
  <c r="AD180" i="6"/>
  <c r="Q180" i="6"/>
  <c r="AG180" i="6"/>
  <c r="I180" i="6"/>
  <c r="Y180" i="6"/>
  <c r="R180" i="6"/>
  <c r="J180" i="6"/>
  <c r="Z180" i="6"/>
  <c r="C102" i="6"/>
  <c r="G102" i="6"/>
  <c r="K102" i="6"/>
  <c r="O102" i="6"/>
  <c r="S102" i="6"/>
  <c r="W102" i="6"/>
  <c r="AA102" i="6"/>
  <c r="AE102" i="6"/>
  <c r="D102" i="6"/>
  <c r="H102" i="6"/>
  <c r="L102" i="6"/>
  <c r="P102" i="6"/>
  <c r="T102" i="6"/>
  <c r="X102" i="6"/>
  <c r="AB102" i="6"/>
  <c r="AF102" i="6"/>
  <c r="E102" i="6"/>
  <c r="M102" i="6"/>
  <c r="U102" i="6"/>
  <c r="AC102" i="6"/>
  <c r="F102" i="6"/>
  <c r="N102" i="6"/>
  <c r="V102" i="6"/>
  <c r="AD102" i="6"/>
  <c r="I102" i="6"/>
  <c r="Y102" i="6"/>
  <c r="J102" i="6"/>
  <c r="Z102" i="6"/>
  <c r="AG102" i="6"/>
  <c r="Q102" i="6"/>
  <c r="R102" i="6"/>
  <c r="AH102" i="5"/>
  <c r="E104" i="6"/>
  <c r="I104" i="6"/>
  <c r="M104" i="6"/>
  <c r="Q104" i="6"/>
  <c r="U104" i="6"/>
  <c r="Y104" i="6"/>
  <c r="AC104" i="6"/>
  <c r="AG104" i="6"/>
  <c r="F104" i="6"/>
  <c r="J104" i="6"/>
  <c r="N104" i="6"/>
  <c r="R104" i="6"/>
  <c r="V104" i="6"/>
  <c r="Z104" i="6"/>
  <c r="AD104" i="6"/>
  <c r="G104" i="6"/>
  <c r="O104" i="6"/>
  <c r="W104" i="6"/>
  <c r="AE104" i="6"/>
  <c r="H104" i="6"/>
  <c r="P104" i="6"/>
  <c r="X104" i="6"/>
  <c r="AF104" i="6"/>
  <c r="K104" i="6"/>
  <c r="AA104" i="6"/>
  <c r="L104" i="6"/>
  <c r="AB104" i="6"/>
  <c r="C104" i="6"/>
  <c r="S104" i="6"/>
  <c r="D104" i="6"/>
  <c r="T104" i="6"/>
  <c r="AH104" i="5"/>
  <c r="F105" i="6"/>
  <c r="J105" i="6"/>
  <c r="N105" i="6"/>
  <c r="R105" i="6"/>
  <c r="V105" i="6"/>
  <c r="Z105" i="6"/>
  <c r="AD105" i="6"/>
  <c r="C105" i="6"/>
  <c r="G105" i="6"/>
  <c r="K105" i="6"/>
  <c r="O105" i="6"/>
  <c r="S105" i="6"/>
  <c r="W105" i="6"/>
  <c r="AA105" i="6"/>
  <c r="AE105" i="6"/>
  <c r="H105" i="6"/>
  <c r="P105" i="6"/>
  <c r="X105" i="6"/>
  <c r="AF105" i="6"/>
  <c r="I105" i="6"/>
  <c r="Q105" i="6"/>
  <c r="Y105" i="6"/>
  <c r="AG105" i="6"/>
  <c r="L105" i="6"/>
  <c r="AB105" i="6"/>
  <c r="M105" i="6"/>
  <c r="AC105" i="6"/>
  <c r="D105" i="6"/>
  <c r="T105" i="6"/>
  <c r="E105" i="6"/>
  <c r="U105" i="6"/>
  <c r="AH105" i="5"/>
  <c r="D104" i="8" s="1"/>
  <c r="AH103" i="2"/>
  <c r="AH102" i="2"/>
  <c r="C122" i="6"/>
  <c r="G122" i="6"/>
  <c r="K122" i="6"/>
  <c r="O122" i="6"/>
  <c r="S122" i="6"/>
  <c r="W122" i="6"/>
  <c r="AA122" i="6"/>
  <c r="AE122" i="6"/>
  <c r="D122" i="6"/>
  <c r="H122" i="6"/>
  <c r="L122" i="6"/>
  <c r="P122" i="6"/>
  <c r="T122" i="6"/>
  <c r="X122" i="6"/>
  <c r="AB122" i="6"/>
  <c r="AF122" i="6"/>
  <c r="I122" i="6"/>
  <c r="Q122" i="6"/>
  <c r="Y122" i="6"/>
  <c r="AG122" i="6"/>
  <c r="J122" i="6"/>
  <c r="R122" i="6"/>
  <c r="Z122" i="6"/>
  <c r="M122" i="6"/>
  <c r="AC122" i="6"/>
  <c r="N122" i="6"/>
  <c r="AD122" i="6"/>
  <c r="U122" i="6"/>
  <c r="E122" i="6"/>
  <c r="V122" i="6"/>
  <c r="F122" i="6"/>
  <c r="D240" i="6"/>
  <c r="H240" i="6"/>
  <c r="L240" i="6"/>
  <c r="P240" i="6"/>
  <c r="T240" i="6"/>
  <c r="X240" i="6"/>
  <c r="AB240" i="6"/>
  <c r="AF240" i="6"/>
  <c r="F240" i="6"/>
  <c r="J240" i="6"/>
  <c r="N240" i="6"/>
  <c r="R240" i="6"/>
  <c r="V240" i="6"/>
  <c r="Z240" i="6"/>
  <c r="AD240" i="6"/>
  <c r="C240" i="6"/>
  <c r="K240" i="6"/>
  <c r="S240" i="6"/>
  <c r="AA240" i="6"/>
  <c r="E240" i="6"/>
  <c r="M240" i="6"/>
  <c r="U240" i="6"/>
  <c r="AC240" i="6"/>
  <c r="G240" i="6"/>
  <c r="O240" i="6"/>
  <c r="W240" i="6"/>
  <c r="AE240" i="6"/>
  <c r="I240" i="6"/>
  <c r="Q240" i="6"/>
  <c r="Y240" i="6"/>
  <c r="AG240" i="6"/>
  <c r="F192" i="6"/>
  <c r="J192" i="6"/>
  <c r="N192" i="6"/>
  <c r="R192" i="6"/>
  <c r="V192" i="6"/>
  <c r="Z192" i="6"/>
  <c r="AD192" i="6"/>
  <c r="E192" i="6"/>
  <c r="K192" i="6"/>
  <c r="P192" i="6"/>
  <c r="U192" i="6"/>
  <c r="AA192" i="6"/>
  <c r="AF192" i="6"/>
  <c r="G192" i="6"/>
  <c r="M192" i="6"/>
  <c r="T192" i="6"/>
  <c r="AB192" i="6"/>
  <c r="C192" i="6"/>
  <c r="I192" i="6"/>
  <c r="Q192" i="6"/>
  <c r="X192" i="6"/>
  <c r="AE192" i="6"/>
  <c r="H192" i="6"/>
  <c r="W192" i="6"/>
  <c r="L192" i="6"/>
  <c r="O192" i="6"/>
  <c r="AC192" i="6"/>
  <c r="D192" i="6"/>
  <c r="S192" i="6"/>
  <c r="AG192" i="6"/>
  <c r="Y192" i="6"/>
  <c r="D181" i="6"/>
  <c r="H181" i="6"/>
  <c r="L181" i="6"/>
  <c r="P181" i="6"/>
  <c r="T181" i="6"/>
  <c r="X181" i="6"/>
  <c r="AB181" i="6"/>
  <c r="AF181" i="6"/>
  <c r="E181" i="6"/>
  <c r="I181" i="6"/>
  <c r="M181" i="6"/>
  <c r="Q181" i="6"/>
  <c r="U181" i="6"/>
  <c r="Y181" i="6"/>
  <c r="AC181" i="6"/>
  <c r="AG181" i="6"/>
  <c r="F181" i="6"/>
  <c r="N181" i="6"/>
  <c r="V181" i="6"/>
  <c r="AD181" i="6"/>
  <c r="G181" i="6"/>
  <c r="O181" i="6"/>
  <c r="W181" i="6"/>
  <c r="AE181" i="6"/>
  <c r="R181" i="6"/>
  <c r="J181" i="6"/>
  <c r="Z181" i="6"/>
  <c r="C181" i="6"/>
  <c r="S181" i="6"/>
  <c r="K181" i="6"/>
  <c r="AA181" i="6"/>
  <c r="D226" i="6"/>
  <c r="H226" i="6"/>
  <c r="L226" i="6"/>
  <c r="P226" i="6"/>
  <c r="T226" i="6"/>
  <c r="X226" i="6"/>
  <c r="AB226" i="6"/>
  <c r="AF226" i="6"/>
  <c r="F226" i="6"/>
  <c r="J226" i="6"/>
  <c r="N226" i="6"/>
  <c r="R226" i="6"/>
  <c r="V226" i="6"/>
  <c r="Z226" i="6"/>
  <c r="AD226" i="6"/>
  <c r="E226" i="6"/>
  <c r="M226" i="6"/>
  <c r="U226" i="6"/>
  <c r="AC226" i="6"/>
  <c r="I226" i="6"/>
  <c r="Q226" i="6"/>
  <c r="Y226" i="6"/>
  <c r="AG226" i="6"/>
  <c r="C226" i="6"/>
  <c r="S226" i="6"/>
  <c r="G226" i="6"/>
  <c r="W226" i="6"/>
  <c r="K226" i="6"/>
  <c r="AA226" i="6"/>
  <c r="O226" i="6"/>
  <c r="AE226" i="6"/>
  <c r="D210" i="6"/>
  <c r="H210" i="6"/>
  <c r="L210" i="6"/>
  <c r="P210" i="6"/>
  <c r="T210" i="6"/>
  <c r="X210" i="6"/>
  <c r="AB210" i="6"/>
  <c r="AF210" i="6"/>
  <c r="F210" i="6"/>
  <c r="J210" i="6"/>
  <c r="N210" i="6"/>
  <c r="R210" i="6"/>
  <c r="V210" i="6"/>
  <c r="Z210" i="6"/>
  <c r="AD210" i="6"/>
  <c r="E210" i="6"/>
  <c r="M210" i="6"/>
  <c r="U210" i="6"/>
  <c r="AC210" i="6"/>
  <c r="I210" i="6"/>
  <c r="Q210" i="6"/>
  <c r="Y210" i="6"/>
  <c r="AG210" i="6"/>
  <c r="C210" i="6"/>
  <c r="S210" i="6"/>
  <c r="G210" i="6"/>
  <c r="W210" i="6"/>
  <c r="K210" i="6"/>
  <c r="AA210" i="6"/>
  <c r="O210" i="6"/>
  <c r="AE210" i="6"/>
  <c r="F238" i="6"/>
  <c r="J238" i="6"/>
  <c r="N238" i="6"/>
  <c r="R238" i="6"/>
  <c r="V238" i="6"/>
  <c r="Z238" i="6"/>
  <c r="AD238" i="6"/>
  <c r="D238" i="6"/>
  <c r="H238" i="6"/>
  <c r="L238" i="6"/>
  <c r="P238" i="6"/>
  <c r="T238" i="6"/>
  <c r="X238" i="6"/>
  <c r="AB238" i="6"/>
  <c r="AF238" i="6"/>
  <c r="I238" i="6"/>
  <c r="Q238" i="6"/>
  <c r="Y238" i="6"/>
  <c r="AG238" i="6"/>
  <c r="C238" i="6"/>
  <c r="K238" i="6"/>
  <c r="S238" i="6"/>
  <c r="AA238" i="6"/>
  <c r="E238" i="6"/>
  <c r="M238" i="6"/>
  <c r="U238" i="6"/>
  <c r="AC238" i="6"/>
  <c r="G238" i="6"/>
  <c r="O238" i="6"/>
  <c r="W238" i="6"/>
  <c r="AE238" i="6"/>
  <c r="E227" i="6"/>
  <c r="I227" i="6"/>
  <c r="M227" i="6"/>
  <c r="Q227" i="6"/>
  <c r="U227" i="6"/>
  <c r="Y227" i="6"/>
  <c r="AC227" i="6"/>
  <c r="AG227" i="6"/>
  <c r="C227" i="6"/>
  <c r="G227" i="6"/>
  <c r="K227" i="6"/>
  <c r="O227" i="6"/>
  <c r="F227" i="6"/>
  <c r="N227" i="6"/>
  <c r="T227" i="6"/>
  <c r="Z227" i="6"/>
  <c r="AE227" i="6"/>
  <c r="J227" i="6"/>
  <c r="R227" i="6"/>
  <c r="W227" i="6"/>
  <c r="AB227" i="6"/>
  <c r="D227" i="6"/>
  <c r="S227" i="6"/>
  <c r="AD227" i="6"/>
  <c r="H227" i="6"/>
  <c r="V227" i="6"/>
  <c r="AF227" i="6"/>
  <c r="L227" i="6"/>
  <c r="X227" i="6"/>
  <c r="P227" i="6"/>
  <c r="AA227" i="6"/>
  <c r="F228" i="6"/>
  <c r="J228" i="6"/>
  <c r="N228" i="6"/>
  <c r="R228" i="6"/>
  <c r="V228" i="6"/>
  <c r="Z228" i="6"/>
  <c r="AD228" i="6"/>
  <c r="E228" i="6"/>
  <c r="K228" i="6"/>
  <c r="P228" i="6"/>
  <c r="U228" i="6"/>
  <c r="AA228" i="6"/>
  <c r="AF228" i="6"/>
  <c r="C228" i="6"/>
  <c r="H228" i="6"/>
  <c r="M228" i="6"/>
  <c r="S228" i="6"/>
  <c r="X228" i="6"/>
  <c r="AC228" i="6"/>
  <c r="I228" i="6"/>
  <c r="T228" i="6"/>
  <c r="AE228" i="6"/>
  <c r="L228" i="6"/>
  <c r="W228" i="6"/>
  <c r="AG228" i="6"/>
  <c r="D228" i="6"/>
  <c r="O228" i="6"/>
  <c r="Y228" i="6"/>
  <c r="G228" i="6"/>
  <c r="Q228" i="6"/>
  <c r="AB228" i="6"/>
  <c r="F212" i="6"/>
  <c r="J212" i="6"/>
  <c r="N212" i="6"/>
  <c r="R212" i="6"/>
  <c r="V212" i="6"/>
  <c r="Z212" i="6"/>
  <c r="AD212" i="6"/>
  <c r="D212" i="6"/>
  <c r="H212" i="6"/>
  <c r="L212" i="6"/>
  <c r="P212" i="6"/>
  <c r="T212" i="6"/>
  <c r="X212" i="6"/>
  <c r="AB212" i="6"/>
  <c r="AF212" i="6"/>
  <c r="G212" i="6"/>
  <c r="O212" i="6"/>
  <c r="W212" i="6"/>
  <c r="AE212" i="6"/>
  <c r="C212" i="6"/>
  <c r="K212" i="6"/>
  <c r="S212" i="6"/>
  <c r="AA212" i="6"/>
  <c r="E212" i="6"/>
  <c r="U212" i="6"/>
  <c r="I212" i="6"/>
  <c r="Y212" i="6"/>
  <c r="M212" i="6"/>
  <c r="AC212" i="6"/>
  <c r="Q212" i="6"/>
  <c r="AG212" i="6"/>
  <c r="F159" i="6"/>
  <c r="J159" i="6"/>
  <c r="N159" i="6"/>
  <c r="R159" i="6"/>
  <c r="V159" i="6"/>
  <c r="Z159" i="6"/>
  <c r="AD159" i="6"/>
  <c r="C159" i="6"/>
  <c r="G159" i="6"/>
  <c r="K159" i="6"/>
  <c r="O159" i="6"/>
  <c r="S159" i="6"/>
  <c r="W159" i="6"/>
  <c r="AA159" i="6"/>
  <c r="AE159" i="6"/>
  <c r="H159" i="6"/>
  <c r="P159" i="6"/>
  <c r="X159" i="6"/>
  <c r="AF159" i="6"/>
  <c r="I159" i="6"/>
  <c r="Q159" i="6"/>
  <c r="Y159" i="6"/>
  <c r="AG159" i="6"/>
  <c r="L159" i="6"/>
  <c r="AB159" i="6"/>
  <c r="D159" i="6"/>
  <c r="T159" i="6"/>
  <c r="M159" i="6"/>
  <c r="AC159" i="6"/>
  <c r="U159" i="6"/>
  <c r="E159" i="6"/>
  <c r="C209" i="6"/>
  <c r="G209" i="6"/>
  <c r="K209" i="6"/>
  <c r="O209" i="6"/>
  <c r="S209" i="6"/>
  <c r="W209" i="6"/>
  <c r="AA209" i="6"/>
  <c r="AE209" i="6"/>
  <c r="E209" i="6"/>
  <c r="I209" i="6"/>
  <c r="M209" i="6"/>
  <c r="Q209" i="6"/>
  <c r="U209" i="6"/>
  <c r="Y209" i="6"/>
  <c r="AC209" i="6"/>
  <c r="AG209" i="6"/>
  <c r="D209" i="6"/>
  <c r="L209" i="6"/>
  <c r="T209" i="6"/>
  <c r="AB209" i="6"/>
  <c r="H209" i="6"/>
  <c r="P209" i="6"/>
  <c r="X209" i="6"/>
  <c r="AF209" i="6"/>
  <c r="R209" i="6"/>
  <c r="F209" i="6"/>
  <c r="V209" i="6"/>
  <c r="J209" i="6"/>
  <c r="Z209" i="6"/>
  <c r="N209" i="6"/>
  <c r="AD209" i="6"/>
  <c r="C152" i="6"/>
  <c r="G152" i="6"/>
  <c r="K152" i="6"/>
  <c r="O152" i="6"/>
  <c r="S152" i="6"/>
  <c r="W152" i="6"/>
  <c r="AA152" i="6"/>
  <c r="AE152" i="6"/>
  <c r="D152" i="6"/>
  <c r="H152" i="6"/>
  <c r="L152" i="6"/>
  <c r="P152" i="6"/>
  <c r="T152" i="6"/>
  <c r="X152" i="6"/>
  <c r="AB152" i="6"/>
  <c r="AF152" i="6"/>
  <c r="I152" i="6"/>
  <c r="Q152" i="6"/>
  <c r="Y152" i="6"/>
  <c r="AG152" i="6"/>
  <c r="J152" i="6"/>
  <c r="R152" i="6"/>
  <c r="Z152" i="6"/>
  <c r="E152" i="6"/>
  <c r="U152" i="6"/>
  <c r="M152" i="6"/>
  <c r="AC152" i="6"/>
  <c r="F152" i="6"/>
  <c r="V152" i="6"/>
  <c r="N152" i="6"/>
  <c r="AD152" i="6"/>
  <c r="D177" i="6"/>
  <c r="H177" i="6"/>
  <c r="L177" i="6"/>
  <c r="P177" i="6"/>
  <c r="T177" i="6"/>
  <c r="X177" i="6"/>
  <c r="AB177" i="6"/>
  <c r="AF177" i="6"/>
  <c r="E177" i="6"/>
  <c r="I177" i="6"/>
  <c r="M177" i="6"/>
  <c r="Q177" i="6"/>
  <c r="U177" i="6"/>
  <c r="Y177" i="6"/>
  <c r="AC177" i="6"/>
  <c r="AG177" i="6"/>
  <c r="J177" i="6"/>
  <c r="R177" i="6"/>
  <c r="Z177" i="6"/>
  <c r="C177" i="6"/>
  <c r="K177" i="6"/>
  <c r="S177" i="6"/>
  <c r="AA177" i="6"/>
  <c r="N177" i="6"/>
  <c r="AD177" i="6"/>
  <c r="F177" i="6"/>
  <c r="V177" i="6"/>
  <c r="AE177" i="6"/>
  <c r="O177" i="6"/>
  <c r="G177" i="6"/>
  <c r="W177" i="6"/>
  <c r="D161" i="6"/>
  <c r="H161" i="6"/>
  <c r="L161" i="6"/>
  <c r="P161" i="6"/>
  <c r="T161" i="6"/>
  <c r="X161" i="6"/>
  <c r="AB161" i="6"/>
  <c r="AF161" i="6"/>
  <c r="E161" i="6"/>
  <c r="I161" i="6"/>
  <c r="M161" i="6"/>
  <c r="Q161" i="6"/>
  <c r="U161" i="6"/>
  <c r="Y161" i="6"/>
  <c r="AC161" i="6"/>
  <c r="AG161" i="6"/>
  <c r="J161" i="6"/>
  <c r="R161" i="6"/>
  <c r="Z161" i="6"/>
  <c r="C161" i="6"/>
  <c r="K161" i="6"/>
  <c r="S161" i="6"/>
  <c r="AA161" i="6"/>
  <c r="N161" i="6"/>
  <c r="AD161" i="6"/>
  <c r="F161" i="6"/>
  <c r="V161" i="6"/>
  <c r="O161" i="6"/>
  <c r="AE161" i="6"/>
  <c r="W161" i="6"/>
  <c r="G161" i="6"/>
  <c r="D145" i="6"/>
  <c r="H145" i="6"/>
  <c r="L145" i="6"/>
  <c r="P145" i="6"/>
  <c r="T145" i="6"/>
  <c r="X145" i="6"/>
  <c r="AB145" i="6"/>
  <c r="AF145" i="6"/>
  <c r="E145" i="6"/>
  <c r="I145" i="6"/>
  <c r="M145" i="6"/>
  <c r="Q145" i="6"/>
  <c r="U145" i="6"/>
  <c r="Y145" i="6"/>
  <c r="AC145" i="6"/>
  <c r="AG145" i="6"/>
  <c r="J145" i="6"/>
  <c r="R145" i="6"/>
  <c r="Z145" i="6"/>
  <c r="C145" i="6"/>
  <c r="K145" i="6"/>
  <c r="S145" i="6"/>
  <c r="AA145" i="6"/>
  <c r="N145" i="6"/>
  <c r="AD145" i="6"/>
  <c r="F145" i="6"/>
  <c r="V145" i="6"/>
  <c r="AE145" i="6"/>
  <c r="O145" i="6"/>
  <c r="G145" i="6"/>
  <c r="W145" i="6"/>
  <c r="F117" i="6"/>
  <c r="J117" i="6"/>
  <c r="N117" i="6"/>
  <c r="R117" i="6"/>
  <c r="V117" i="6"/>
  <c r="Z117" i="6"/>
  <c r="AD117" i="6"/>
  <c r="C117" i="6"/>
  <c r="G117" i="6"/>
  <c r="K117" i="6"/>
  <c r="O117" i="6"/>
  <c r="S117" i="6"/>
  <c r="W117" i="6"/>
  <c r="AA117" i="6"/>
  <c r="AE117" i="6"/>
  <c r="D117" i="6"/>
  <c r="L117" i="6"/>
  <c r="T117" i="6"/>
  <c r="AB117" i="6"/>
  <c r="E117" i="6"/>
  <c r="M117" i="6"/>
  <c r="U117" i="6"/>
  <c r="AC117" i="6"/>
  <c r="H117" i="6"/>
  <c r="X117" i="6"/>
  <c r="I117" i="6"/>
  <c r="Y117" i="6"/>
  <c r="P117" i="6"/>
  <c r="AF117" i="6"/>
  <c r="Q117" i="6"/>
  <c r="AG117" i="6"/>
  <c r="D190" i="6"/>
  <c r="H190" i="6"/>
  <c r="L190" i="6"/>
  <c r="P190" i="6"/>
  <c r="T190" i="6"/>
  <c r="X190" i="6"/>
  <c r="AB190" i="6"/>
  <c r="AF190" i="6"/>
  <c r="C190" i="6"/>
  <c r="I190" i="6"/>
  <c r="N190" i="6"/>
  <c r="S190" i="6"/>
  <c r="Y190" i="6"/>
  <c r="AD190" i="6"/>
  <c r="E190" i="6"/>
  <c r="K190" i="6"/>
  <c r="R190" i="6"/>
  <c r="Z190" i="6"/>
  <c r="AG190" i="6"/>
  <c r="G190" i="6"/>
  <c r="O190" i="6"/>
  <c r="V190" i="6"/>
  <c r="AC190" i="6"/>
  <c r="M190" i="6"/>
  <c r="AA190" i="6"/>
  <c r="Q190" i="6"/>
  <c r="AE190" i="6"/>
  <c r="F190" i="6"/>
  <c r="U190" i="6"/>
  <c r="J190" i="6"/>
  <c r="W190" i="6"/>
  <c r="E174" i="6"/>
  <c r="I174" i="6"/>
  <c r="M174" i="6"/>
  <c r="Q174" i="6"/>
  <c r="U174" i="6"/>
  <c r="Y174" i="6"/>
  <c r="AC174" i="6"/>
  <c r="AG174" i="6"/>
  <c r="F174" i="6"/>
  <c r="J174" i="6"/>
  <c r="N174" i="6"/>
  <c r="R174" i="6"/>
  <c r="V174" i="6"/>
  <c r="Z174" i="6"/>
  <c r="AD174" i="6"/>
  <c r="G174" i="6"/>
  <c r="O174" i="6"/>
  <c r="W174" i="6"/>
  <c r="AE174" i="6"/>
  <c r="H174" i="6"/>
  <c r="P174" i="6"/>
  <c r="X174" i="6"/>
  <c r="AF174" i="6"/>
  <c r="K174" i="6"/>
  <c r="AA174" i="6"/>
  <c r="C174" i="6"/>
  <c r="S174" i="6"/>
  <c r="AB174" i="6"/>
  <c r="L174" i="6"/>
  <c r="D174" i="6"/>
  <c r="T174" i="6"/>
  <c r="E158" i="6"/>
  <c r="I158" i="6"/>
  <c r="M158" i="6"/>
  <c r="Q158" i="6"/>
  <c r="U158" i="6"/>
  <c r="Y158" i="6"/>
  <c r="AC158" i="6"/>
  <c r="AG158" i="6"/>
  <c r="F158" i="6"/>
  <c r="J158" i="6"/>
  <c r="N158" i="6"/>
  <c r="R158" i="6"/>
  <c r="V158" i="6"/>
  <c r="Z158" i="6"/>
  <c r="AD158" i="6"/>
  <c r="G158" i="6"/>
  <c r="O158" i="6"/>
  <c r="W158" i="6"/>
  <c r="AE158" i="6"/>
  <c r="H158" i="6"/>
  <c r="P158" i="6"/>
  <c r="X158" i="6"/>
  <c r="AF158" i="6"/>
  <c r="K158" i="6"/>
  <c r="AA158" i="6"/>
  <c r="C158" i="6"/>
  <c r="S158" i="6"/>
  <c r="L158" i="6"/>
  <c r="AB158" i="6"/>
  <c r="D158" i="6"/>
  <c r="T158" i="6"/>
  <c r="D142" i="6"/>
  <c r="H142" i="6"/>
  <c r="L142" i="6"/>
  <c r="P142" i="6"/>
  <c r="T142" i="6"/>
  <c r="X142" i="6"/>
  <c r="AB142" i="6"/>
  <c r="AF142" i="6"/>
  <c r="F142" i="6"/>
  <c r="K142" i="6"/>
  <c r="Q142" i="6"/>
  <c r="V142" i="6"/>
  <c r="AA142" i="6"/>
  <c r="AG142" i="6"/>
  <c r="G142" i="6"/>
  <c r="M142" i="6"/>
  <c r="R142" i="6"/>
  <c r="W142" i="6"/>
  <c r="AC142" i="6"/>
  <c r="C142" i="6"/>
  <c r="N142" i="6"/>
  <c r="Y142" i="6"/>
  <c r="E142" i="6"/>
  <c r="O142" i="6"/>
  <c r="Z142" i="6"/>
  <c r="S142" i="6"/>
  <c r="I142" i="6"/>
  <c r="AD142" i="6"/>
  <c r="U142" i="6"/>
  <c r="AE142" i="6"/>
  <c r="J142" i="6"/>
  <c r="C110" i="6"/>
  <c r="G110" i="6"/>
  <c r="K110" i="6"/>
  <c r="O110" i="6"/>
  <c r="S110" i="6"/>
  <c r="W110" i="6"/>
  <c r="AA110" i="6"/>
  <c r="AE110" i="6"/>
  <c r="D110" i="6"/>
  <c r="H110" i="6"/>
  <c r="L110" i="6"/>
  <c r="P110" i="6"/>
  <c r="T110" i="6"/>
  <c r="X110" i="6"/>
  <c r="AB110" i="6"/>
  <c r="AF110" i="6"/>
  <c r="E110" i="6"/>
  <c r="M110" i="6"/>
  <c r="U110" i="6"/>
  <c r="AC110" i="6"/>
  <c r="F110" i="6"/>
  <c r="N110" i="6"/>
  <c r="V110" i="6"/>
  <c r="AD110" i="6"/>
  <c r="Q110" i="6"/>
  <c r="AG110" i="6"/>
  <c r="R110" i="6"/>
  <c r="I110" i="6"/>
  <c r="Y110" i="6"/>
  <c r="J110" i="6"/>
  <c r="Z110" i="6"/>
  <c r="E92" i="6"/>
  <c r="I92" i="6"/>
  <c r="M92" i="6"/>
  <c r="Q92" i="6"/>
  <c r="U92" i="6"/>
  <c r="Y92" i="6"/>
  <c r="AC92" i="6"/>
  <c r="AG92" i="6"/>
  <c r="F92" i="6"/>
  <c r="J92" i="6"/>
  <c r="N92" i="6"/>
  <c r="R92" i="6"/>
  <c r="V92" i="6"/>
  <c r="Z92" i="6"/>
  <c r="AD92" i="6"/>
  <c r="C92" i="6"/>
  <c r="K92" i="6"/>
  <c r="S92" i="6"/>
  <c r="AA92" i="6"/>
  <c r="D92" i="6"/>
  <c r="L92" i="6"/>
  <c r="T92" i="6"/>
  <c r="AB92" i="6"/>
  <c r="O92" i="6"/>
  <c r="AE92" i="6"/>
  <c r="P92" i="6"/>
  <c r="AF92" i="6"/>
  <c r="H92" i="6"/>
  <c r="X92" i="6"/>
  <c r="W92" i="6"/>
  <c r="G92" i="6"/>
  <c r="E116" i="6"/>
  <c r="I116" i="6"/>
  <c r="M116" i="6"/>
  <c r="Q116" i="6"/>
  <c r="U116" i="6"/>
  <c r="Y116" i="6"/>
  <c r="AC116" i="6"/>
  <c r="AG116" i="6"/>
  <c r="F116" i="6"/>
  <c r="J116" i="6"/>
  <c r="N116" i="6"/>
  <c r="R116" i="6"/>
  <c r="V116" i="6"/>
  <c r="Z116" i="6"/>
  <c r="AD116" i="6"/>
  <c r="C116" i="6"/>
  <c r="K116" i="6"/>
  <c r="S116" i="6"/>
  <c r="AA116" i="6"/>
  <c r="D116" i="6"/>
  <c r="L116" i="6"/>
  <c r="T116" i="6"/>
  <c r="AB116" i="6"/>
  <c r="G116" i="6"/>
  <c r="W116" i="6"/>
  <c r="H116" i="6"/>
  <c r="X116" i="6"/>
  <c r="O116" i="6"/>
  <c r="AE116" i="6"/>
  <c r="P116" i="6"/>
  <c r="AF116" i="6"/>
  <c r="D69" i="6"/>
  <c r="H69" i="6"/>
  <c r="L69" i="6"/>
  <c r="P69" i="6"/>
  <c r="T69" i="6"/>
  <c r="X69" i="6"/>
  <c r="AB69" i="6"/>
  <c r="AF69" i="6"/>
  <c r="E69" i="6"/>
  <c r="I69" i="6"/>
  <c r="M69" i="6"/>
  <c r="Q69" i="6"/>
  <c r="U69" i="6"/>
  <c r="Y69" i="6"/>
  <c r="AC69" i="6"/>
  <c r="AG69" i="6"/>
  <c r="J69" i="6"/>
  <c r="R69" i="6"/>
  <c r="Z69" i="6"/>
  <c r="C69" i="6"/>
  <c r="K69" i="6"/>
  <c r="S69" i="6"/>
  <c r="AA69" i="6"/>
  <c r="N69" i="6"/>
  <c r="AD69" i="6"/>
  <c r="O69" i="6"/>
  <c r="AE69" i="6"/>
  <c r="F69" i="6"/>
  <c r="G69" i="6"/>
  <c r="W69" i="6"/>
  <c r="V69" i="6"/>
  <c r="D119" i="6"/>
  <c r="H119" i="6"/>
  <c r="L119" i="6"/>
  <c r="P119" i="6"/>
  <c r="T119" i="6"/>
  <c r="X119" i="6"/>
  <c r="AB119" i="6"/>
  <c r="AF119" i="6"/>
  <c r="E119" i="6"/>
  <c r="I119" i="6"/>
  <c r="M119" i="6"/>
  <c r="Q119" i="6"/>
  <c r="U119" i="6"/>
  <c r="Y119" i="6"/>
  <c r="AC119" i="6"/>
  <c r="AG119" i="6"/>
  <c r="F119" i="6"/>
  <c r="N119" i="6"/>
  <c r="V119" i="6"/>
  <c r="AD119" i="6"/>
  <c r="G119" i="6"/>
  <c r="O119" i="6"/>
  <c r="W119" i="6"/>
  <c r="AE119" i="6"/>
  <c r="J119" i="6"/>
  <c r="Z119" i="6"/>
  <c r="K119" i="6"/>
  <c r="AA119" i="6"/>
  <c r="R119" i="6"/>
  <c r="S119" i="6"/>
  <c r="C119" i="6"/>
  <c r="F81" i="6"/>
  <c r="J81" i="6"/>
  <c r="N81" i="6"/>
  <c r="R81" i="6"/>
  <c r="V81" i="6"/>
  <c r="Z81" i="6"/>
  <c r="AD81" i="6"/>
  <c r="C81" i="6"/>
  <c r="G81" i="6"/>
  <c r="K81" i="6"/>
  <c r="O81" i="6"/>
  <c r="S81" i="6"/>
  <c r="W81" i="6"/>
  <c r="AA81" i="6"/>
  <c r="AE81" i="6"/>
  <c r="H81" i="6"/>
  <c r="P81" i="6"/>
  <c r="X81" i="6"/>
  <c r="AF81" i="6"/>
  <c r="I81" i="6"/>
  <c r="Q81" i="6"/>
  <c r="Y81" i="6"/>
  <c r="AG81" i="6"/>
  <c r="D81" i="6"/>
  <c r="T81" i="6"/>
  <c r="E81" i="6"/>
  <c r="U81" i="6"/>
  <c r="M81" i="6"/>
  <c r="AC81" i="6"/>
  <c r="L81" i="6"/>
  <c r="AB81" i="6"/>
  <c r="C94" i="6"/>
  <c r="G94" i="6"/>
  <c r="K94" i="6"/>
  <c r="O94" i="6"/>
  <c r="S94" i="6"/>
  <c r="W94" i="6"/>
  <c r="AA94" i="6"/>
  <c r="AE94" i="6"/>
  <c r="D94" i="6"/>
  <c r="H94" i="6"/>
  <c r="L94" i="6"/>
  <c r="P94" i="6"/>
  <c r="T94" i="6"/>
  <c r="X94" i="6"/>
  <c r="AB94" i="6"/>
  <c r="AF94" i="6"/>
  <c r="E94" i="6"/>
  <c r="M94" i="6"/>
  <c r="U94" i="6"/>
  <c r="AC94" i="6"/>
  <c r="F94" i="6"/>
  <c r="N94" i="6"/>
  <c r="V94" i="6"/>
  <c r="AD94" i="6"/>
  <c r="Q94" i="6"/>
  <c r="AG94" i="6"/>
  <c r="R94" i="6"/>
  <c r="J94" i="6"/>
  <c r="Z94" i="6"/>
  <c r="Y94" i="6"/>
  <c r="I94" i="6"/>
  <c r="F49" i="6"/>
  <c r="J49" i="6"/>
  <c r="N49" i="6"/>
  <c r="R49" i="6"/>
  <c r="V49" i="6"/>
  <c r="Z49" i="6"/>
  <c r="AD49" i="6"/>
  <c r="C49" i="6"/>
  <c r="G49" i="6"/>
  <c r="K49" i="6"/>
  <c r="O49" i="6"/>
  <c r="S49" i="6"/>
  <c r="W49" i="6"/>
  <c r="AA49" i="6"/>
  <c r="AE49" i="6"/>
  <c r="D49" i="6"/>
  <c r="L49" i="6"/>
  <c r="T49" i="6"/>
  <c r="AB49" i="6"/>
  <c r="E49" i="6"/>
  <c r="M49" i="6"/>
  <c r="U49" i="6"/>
  <c r="AC49" i="6"/>
  <c r="P49" i="6"/>
  <c r="AF49" i="6"/>
  <c r="Q49" i="6"/>
  <c r="AG49" i="6"/>
  <c r="H49" i="6"/>
  <c r="I49" i="6"/>
  <c r="X49" i="6"/>
  <c r="Y49" i="6"/>
  <c r="D35" i="6"/>
  <c r="H35" i="6"/>
  <c r="L35" i="6"/>
  <c r="P35" i="6"/>
  <c r="T35" i="6"/>
  <c r="X35" i="6"/>
  <c r="AB35" i="6"/>
  <c r="AF35" i="6"/>
  <c r="E35" i="6"/>
  <c r="I35" i="6"/>
  <c r="M35" i="6"/>
  <c r="Q35" i="6"/>
  <c r="U35" i="6"/>
  <c r="Y35" i="6"/>
  <c r="AC35" i="6"/>
  <c r="AG35" i="6"/>
  <c r="F35" i="6"/>
  <c r="N35" i="6"/>
  <c r="V35" i="6"/>
  <c r="AD35" i="6"/>
  <c r="G35" i="6"/>
  <c r="O35" i="6"/>
  <c r="W35" i="6"/>
  <c r="AE35" i="6"/>
  <c r="R35" i="6"/>
  <c r="C35" i="6"/>
  <c r="S35" i="6"/>
  <c r="Z35" i="6"/>
  <c r="AA35" i="6"/>
  <c r="J35" i="6"/>
  <c r="K35" i="6"/>
  <c r="F24" i="6"/>
  <c r="J24" i="6"/>
  <c r="N24" i="6"/>
  <c r="R24" i="6"/>
  <c r="V24" i="6"/>
  <c r="Z24" i="6"/>
  <c r="AD24" i="6"/>
  <c r="C24" i="6"/>
  <c r="H24" i="6"/>
  <c r="M24" i="6"/>
  <c r="S24" i="6"/>
  <c r="X24" i="6"/>
  <c r="AC24" i="6"/>
  <c r="D24" i="6"/>
  <c r="I24" i="6"/>
  <c r="O24" i="6"/>
  <c r="T24" i="6"/>
  <c r="Y24" i="6"/>
  <c r="AE24" i="6"/>
  <c r="K24" i="6"/>
  <c r="U24" i="6"/>
  <c r="AF24" i="6"/>
  <c r="L24" i="6"/>
  <c r="W24" i="6"/>
  <c r="AG24" i="6"/>
  <c r="P24" i="6"/>
  <c r="Q24" i="6"/>
  <c r="AA24" i="6"/>
  <c r="AB24" i="6"/>
  <c r="E24" i="6"/>
  <c r="G24" i="6"/>
  <c r="C86" i="6"/>
  <c r="G86" i="6"/>
  <c r="K86" i="6"/>
  <c r="O86" i="6"/>
  <c r="S86" i="6"/>
  <c r="W86" i="6"/>
  <c r="AA86" i="6"/>
  <c r="AE86" i="6"/>
  <c r="D86" i="6"/>
  <c r="H86" i="6"/>
  <c r="L86" i="6"/>
  <c r="P86" i="6"/>
  <c r="T86" i="6"/>
  <c r="X86" i="6"/>
  <c r="AB86" i="6"/>
  <c r="AF86" i="6"/>
  <c r="E86" i="6"/>
  <c r="M86" i="6"/>
  <c r="U86" i="6"/>
  <c r="AC86" i="6"/>
  <c r="F86" i="6"/>
  <c r="N86" i="6"/>
  <c r="V86" i="6"/>
  <c r="AD86" i="6"/>
  <c r="I86" i="6"/>
  <c r="Y86" i="6"/>
  <c r="J86" i="6"/>
  <c r="Z86" i="6"/>
  <c r="R86" i="6"/>
  <c r="Q86" i="6"/>
  <c r="AG86" i="6"/>
  <c r="E66" i="6"/>
  <c r="I66" i="6"/>
  <c r="M66" i="6"/>
  <c r="Q66" i="6"/>
  <c r="U66" i="6"/>
  <c r="Y66" i="6"/>
  <c r="AC66" i="6"/>
  <c r="AG66" i="6"/>
  <c r="F66" i="6"/>
  <c r="J66" i="6"/>
  <c r="N66" i="6"/>
  <c r="R66" i="6"/>
  <c r="V66" i="6"/>
  <c r="Z66" i="6"/>
  <c r="AD66" i="6"/>
  <c r="G66" i="6"/>
  <c r="O66" i="6"/>
  <c r="W66" i="6"/>
  <c r="AE66" i="6"/>
  <c r="H66" i="6"/>
  <c r="P66" i="6"/>
  <c r="X66" i="6"/>
  <c r="AF66" i="6"/>
  <c r="K66" i="6"/>
  <c r="AA66" i="6"/>
  <c r="L66" i="6"/>
  <c r="AB66" i="6"/>
  <c r="C66" i="6"/>
  <c r="D66" i="6"/>
  <c r="T66" i="6"/>
  <c r="S66" i="6"/>
  <c r="E80" i="6"/>
  <c r="I80" i="6"/>
  <c r="M80" i="6"/>
  <c r="Q80" i="6"/>
  <c r="U80" i="6"/>
  <c r="Y80" i="6"/>
  <c r="AC80" i="6"/>
  <c r="AG80" i="6"/>
  <c r="F80" i="6"/>
  <c r="J80" i="6"/>
  <c r="N80" i="6"/>
  <c r="R80" i="6"/>
  <c r="V80" i="6"/>
  <c r="Z80" i="6"/>
  <c r="AD80" i="6"/>
  <c r="G80" i="6"/>
  <c r="O80" i="6"/>
  <c r="W80" i="6"/>
  <c r="AE80" i="6"/>
  <c r="H80" i="6"/>
  <c r="P80" i="6"/>
  <c r="X80" i="6"/>
  <c r="AF80" i="6"/>
  <c r="C80" i="6"/>
  <c r="S80" i="6"/>
  <c r="D80" i="6"/>
  <c r="T80" i="6"/>
  <c r="L80" i="6"/>
  <c r="AB80" i="6"/>
  <c r="K80" i="6"/>
  <c r="AA80" i="6"/>
  <c r="C64" i="6"/>
  <c r="G64" i="6"/>
  <c r="K64" i="6"/>
  <c r="O64" i="6"/>
  <c r="S64" i="6"/>
  <c r="W64" i="6"/>
  <c r="AA64" i="6"/>
  <c r="AE64" i="6"/>
  <c r="D64" i="6"/>
  <c r="H64" i="6"/>
  <c r="L64" i="6"/>
  <c r="P64" i="6"/>
  <c r="T64" i="6"/>
  <c r="X64" i="6"/>
  <c r="AB64" i="6"/>
  <c r="AF64" i="6"/>
  <c r="E64" i="6"/>
  <c r="M64" i="6"/>
  <c r="U64" i="6"/>
  <c r="AC64" i="6"/>
  <c r="F64" i="6"/>
  <c r="N64" i="6"/>
  <c r="V64" i="6"/>
  <c r="AD64" i="6"/>
  <c r="I64" i="6"/>
  <c r="Y64" i="6"/>
  <c r="J64" i="6"/>
  <c r="Z64" i="6"/>
  <c r="AG64" i="6"/>
  <c r="R64" i="6"/>
  <c r="Q64" i="6"/>
  <c r="F67" i="6"/>
  <c r="J67" i="6"/>
  <c r="N67" i="6"/>
  <c r="R67" i="6"/>
  <c r="V67" i="6"/>
  <c r="Z67" i="6"/>
  <c r="AD67" i="6"/>
  <c r="C67" i="6"/>
  <c r="G67" i="6"/>
  <c r="K67" i="6"/>
  <c r="O67" i="6"/>
  <c r="S67" i="6"/>
  <c r="W67" i="6"/>
  <c r="AA67" i="6"/>
  <c r="AE67" i="6"/>
  <c r="H67" i="6"/>
  <c r="P67" i="6"/>
  <c r="X67" i="6"/>
  <c r="AF67" i="6"/>
  <c r="I67" i="6"/>
  <c r="Q67" i="6"/>
  <c r="Y67" i="6"/>
  <c r="AG67" i="6"/>
  <c r="L67" i="6"/>
  <c r="AB67" i="6"/>
  <c r="M67" i="6"/>
  <c r="AC67" i="6"/>
  <c r="D67" i="6"/>
  <c r="E67" i="6"/>
  <c r="U67" i="6"/>
  <c r="T67" i="6"/>
  <c r="D51" i="6"/>
  <c r="H51" i="6"/>
  <c r="L51" i="6"/>
  <c r="P51" i="6"/>
  <c r="T51" i="6"/>
  <c r="X51" i="6"/>
  <c r="AB51" i="6"/>
  <c r="AF51" i="6"/>
  <c r="E51" i="6"/>
  <c r="I51" i="6"/>
  <c r="M51" i="6"/>
  <c r="Q51" i="6"/>
  <c r="U51" i="6"/>
  <c r="Y51" i="6"/>
  <c r="AC51" i="6"/>
  <c r="AG51" i="6"/>
  <c r="F51" i="6"/>
  <c r="N51" i="6"/>
  <c r="V51" i="6"/>
  <c r="AD51" i="6"/>
  <c r="G51" i="6"/>
  <c r="O51" i="6"/>
  <c r="W51" i="6"/>
  <c r="AE51" i="6"/>
  <c r="R51" i="6"/>
  <c r="C51" i="6"/>
  <c r="S51" i="6"/>
  <c r="J51" i="6"/>
  <c r="K51" i="6"/>
  <c r="Z51" i="6"/>
  <c r="AA51" i="6"/>
  <c r="C42" i="6"/>
  <c r="G42" i="6"/>
  <c r="K42" i="6"/>
  <c r="O42" i="6"/>
  <c r="S42" i="6"/>
  <c r="W42" i="6"/>
  <c r="AA42" i="6"/>
  <c r="AE42" i="6"/>
  <c r="D42" i="6"/>
  <c r="H42" i="6"/>
  <c r="L42" i="6"/>
  <c r="P42" i="6"/>
  <c r="T42" i="6"/>
  <c r="X42" i="6"/>
  <c r="AB42" i="6"/>
  <c r="AF42" i="6"/>
  <c r="E42" i="6"/>
  <c r="M42" i="6"/>
  <c r="U42" i="6"/>
  <c r="AC42" i="6"/>
  <c r="F42" i="6"/>
  <c r="N42" i="6"/>
  <c r="V42" i="6"/>
  <c r="AD42" i="6"/>
  <c r="I42" i="6"/>
  <c r="Y42" i="6"/>
  <c r="J42" i="6"/>
  <c r="Z42" i="6"/>
  <c r="AG42" i="6"/>
  <c r="R42" i="6"/>
  <c r="Q42" i="6"/>
  <c r="D43" i="6"/>
  <c r="H43" i="6"/>
  <c r="L43" i="6"/>
  <c r="P43" i="6"/>
  <c r="T43" i="6"/>
  <c r="X43" i="6"/>
  <c r="AB43" i="6"/>
  <c r="AF43" i="6"/>
  <c r="E43" i="6"/>
  <c r="I43" i="6"/>
  <c r="M43" i="6"/>
  <c r="Q43" i="6"/>
  <c r="U43" i="6"/>
  <c r="Y43" i="6"/>
  <c r="AC43" i="6"/>
  <c r="AG43" i="6"/>
  <c r="F43" i="6"/>
  <c r="N43" i="6"/>
  <c r="V43" i="6"/>
  <c r="AD43" i="6"/>
  <c r="G43" i="6"/>
  <c r="O43" i="6"/>
  <c r="W43" i="6"/>
  <c r="AE43" i="6"/>
  <c r="J43" i="6"/>
  <c r="Z43" i="6"/>
  <c r="K43" i="6"/>
  <c r="AA43" i="6"/>
  <c r="C43" i="6"/>
  <c r="R43" i="6"/>
  <c r="S43" i="6"/>
  <c r="C5" i="6"/>
  <c r="G5" i="6"/>
  <c r="K5" i="6"/>
  <c r="O5" i="6"/>
  <c r="S5" i="6"/>
  <c r="W5" i="6"/>
  <c r="AA5" i="6"/>
  <c r="AE5" i="6"/>
  <c r="F5" i="6"/>
  <c r="L5" i="6"/>
  <c r="Q5" i="6"/>
  <c r="V5" i="6"/>
  <c r="AB5" i="6"/>
  <c r="AG5" i="6"/>
  <c r="I5" i="6"/>
  <c r="P5" i="6"/>
  <c r="X5" i="6"/>
  <c r="AD5" i="6"/>
  <c r="E5" i="6"/>
  <c r="N5" i="6"/>
  <c r="Y5" i="6"/>
  <c r="H5" i="6"/>
  <c r="R5" i="6"/>
  <c r="Z5" i="6"/>
  <c r="J5" i="6"/>
  <c r="AC5" i="6"/>
  <c r="M5" i="6"/>
  <c r="AF5" i="6"/>
  <c r="D5" i="6"/>
  <c r="U5" i="6"/>
  <c r="T5" i="6"/>
  <c r="D22" i="6"/>
  <c r="H22" i="6"/>
  <c r="L22" i="6"/>
  <c r="P22" i="6"/>
  <c r="T22" i="6"/>
  <c r="X22" i="6"/>
  <c r="AB22" i="6"/>
  <c r="AF22" i="6"/>
  <c r="F22" i="6"/>
  <c r="K22" i="6"/>
  <c r="Q22" i="6"/>
  <c r="V22" i="6"/>
  <c r="AA22" i="6"/>
  <c r="AG22" i="6"/>
  <c r="G22" i="6"/>
  <c r="M22" i="6"/>
  <c r="R22" i="6"/>
  <c r="W22" i="6"/>
  <c r="AC22" i="6"/>
  <c r="I22" i="6"/>
  <c r="S22" i="6"/>
  <c r="AD22" i="6"/>
  <c r="J22" i="6"/>
  <c r="U22" i="6"/>
  <c r="AE22" i="6"/>
  <c r="N22" i="6"/>
  <c r="O22" i="6"/>
  <c r="C22" i="6"/>
  <c r="E22" i="6"/>
  <c r="Z22" i="6"/>
  <c r="Y22" i="6"/>
  <c r="D6" i="6"/>
  <c r="H6" i="6"/>
  <c r="L6" i="6"/>
  <c r="P6" i="6"/>
  <c r="T6" i="6"/>
  <c r="X6" i="6"/>
  <c r="AB6" i="6"/>
  <c r="AF6" i="6"/>
  <c r="G6" i="6"/>
  <c r="M6" i="6"/>
  <c r="R6" i="6"/>
  <c r="W6" i="6"/>
  <c r="AC6" i="6"/>
  <c r="F6" i="6"/>
  <c r="N6" i="6"/>
  <c r="U6" i="6"/>
  <c r="AA6" i="6"/>
  <c r="C6" i="6"/>
  <c r="K6" i="6"/>
  <c r="V6" i="6"/>
  <c r="AE6" i="6"/>
  <c r="E6" i="6"/>
  <c r="O6" i="6"/>
  <c r="Y6" i="6"/>
  <c r="AG6" i="6"/>
  <c r="Q6" i="6"/>
  <c r="S6" i="6"/>
  <c r="I6" i="6"/>
  <c r="J6" i="6"/>
  <c r="Z6" i="6"/>
  <c r="AD6" i="6"/>
  <c r="F41" i="6"/>
  <c r="J41" i="6"/>
  <c r="N41" i="6"/>
  <c r="R41" i="6"/>
  <c r="V41" i="6"/>
  <c r="Z41" i="6"/>
  <c r="AD41" i="6"/>
  <c r="C41" i="6"/>
  <c r="G41" i="6"/>
  <c r="K41" i="6"/>
  <c r="O41" i="6"/>
  <c r="S41" i="6"/>
  <c r="W41" i="6"/>
  <c r="AA41" i="6"/>
  <c r="AE41" i="6"/>
  <c r="D41" i="6"/>
  <c r="L41" i="6"/>
  <c r="T41" i="6"/>
  <c r="AB41" i="6"/>
  <c r="E41" i="6"/>
  <c r="M41" i="6"/>
  <c r="U41" i="6"/>
  <c r="AC41" i="6"/>
  <c r="H41" i="6"/>
  <c r="X41" i="6"/>
  <c r="I41" i="6"/>
  <c r="Y41" i="6"/>
  <c r="AF41" i="6"/>
  <c r="AG41" i="6"/>
  <c r="P41" i="6"/>
  <c r="Q41" i="6"/>
  <c r="C25" i="6"/>
  <c r="G25" i="6"/>
  <c r="K25" i="6"/>
  <c r="O25" i="6"/>
  <c r="S25" i="6"/>
  <c r="W25" i="6"/>
  <c r="AA25" i="6"/>
  <c r="AE25" i="6"/>
  <c r="D25" i="6"/>
  <c r="I25" i="6"/>
  <c r="N25" i="6"/>
  <c r="T25" i="6"/>
  <c r="Y25" i="6"/>
  <c r="AD25" i="6"/>
  <c r="E25" i="6"/>
  <c r="J25" i="6"/>
  <c r="P25" i="6"/>
  <c r="U25" i="6"/>
  <c r="Z25" i="6"/>
  <c r="AF25" i="6"/>
  <c r="L25" i="6"/>
  <c r="V25" i="6"/>
  <c r="AG25" i="6"/>
  <c r="M25" i="6"/>
  <c r="X25" i="6"/>
  <c r="F25" i="6"/>
  <c r="AB25" i="6"/>
  <c r="H25" i="6"/>
  <c r="AC25" i="6"/>
  <c r="R25" i="6"/>
  <c r="Q25" i="6"/>
  <c r="C13" i="6"/>
  <c r="G13" i="6"/>
  <c r="K13" i="6"/>
  <c r="O13" i="6"/>
  <c r="S13" i="6"/>
  <c r="W13" i="6"/>
  <c r="AA13" i="6"/>
  <c r="AE13" i="6"/>
  <c r="E13" i="6"/>
  <c r="J13" i="6"/>
  <c r="P13" i="6"/>
  <c r="U13" i="6"/>
  <c r="Z13" i="6"/>
  <c r="AF13" i="6"/>
  <c r="D13" i="6"/>
  <c r="L13" i="6"/>
  <c r="R13" i="6"/>
  <c r="Y13" i="6"/>
  <c r="AG13" i="6"/>
  <c r="F13" i="6"/>
  <c r="M13" i="6"/>
  <c r="T13" i="6"/>
  <c r="AB13" i="6"/>
  <c r="H13" i="6"/>
  <c r="V13" i="6"/>
  <c r="I13" i="6"/>
  <c r="X13" i="6"/>
  <c r="AC13" i="6"/>
  <c r="AD13" i="6"/>
  <c r="N13" i="6"/>
  <c r="Q13" i="6"/>
  <c r="E11" i="6"/>
  <c r="I11" i="6"/>
  <c r="M11" i="6"/>
  <c r="Q11" i="6"/>
  <c r="U11" i="6"/>
  <c r="Y11" i="6"/>
  <c r="AC11" i="6"/>
  <c r="AG11" i="6"/>
  <c r="G11" i="6"/>
  <c r="H11" i="6"/>
  <c r="N11" i="6"/>
  <c r="S11" i="6"/>
  <c r="X11" i="6"/>
  <c r="AD11" i="6"/>
  <c r="J11" i="6"/>
  <c r="P11" i="6"/>
  <c r="W11" i="6"/>
  <c r="AE11" i="6"/>
  <c r="C11" i="6"/>
  <c r="K11" i="6"/>
  <c r="R11" i="6"/>
  <c r="Z11" i="6"/>
  <c r="AF11" i="6"/>
  <c r="L11" i="6"/>
  <c r="AA11" i="6"/>
  <c r="O11" i="6"/>
  <c r="AB11" i="6"/>
  <c r="D11" i="6"/>
  <c r="F11" i="6"/>
  <c r="T11" i="6"/>
  <c r="V11" i="6"/>
  <c r="C164" i="6"/>
  <c r="G164" i="6"/>
  <c r="K164" i="6"/>
  <c r="O164" i="6"/>
  <c r="S164" i="6"/>
  <c r="W164" i="6"/>
  <c r="AA164" i="6"/>
  <c r="AE164" i="6"/>
  <c r="D164" i="6"/>
  <c r="H164" i="6"/>
  <c r="L164" i="6"/>
  <c r="P164" i="6"/>
  <c r="T164" i="6"/>
  <c r="X164" i="6"/>
  <c r="AB164" i="6"/>
  <c r="AF164" i="6"/>
  <c r="E164" i="6"/>
  <c r="M164" i="6"/>
  <c r="U164" i="6"/>
  <c r="AC164" i="6"/>
  <c r="F164" i="6"/>
  <c r="N164" i="6"/>
  <c r="V164" i="6"/>
  <c r="AD164" i="6"/>
  <c r="Q164" i="6"/>
  <c r="AG164" i="6"/>
  <c r="I164" i="6"/>
  <c r="Y164" i="6"/>
  <c r="R164" i="6"/>
  <c r="J164" i="6"/>
  <c r="Z164" i="6"/>
  <c r="D230" i="6"/>
  <c r="H230" i="6"/>
  <c r="L230" i="6"/>
  <c r="P230" i="6"/>
  <c r="T230" i="6"/>
  <c r="X230" i="6"/>
  <c r="AB230" i="6"/>
  <c r="AF230" i="6"/>
  <c r="G230" i="6"/>
  <c r="M230" i="6"/>
  <c r="R230" i="6"/>
  <c r="W230" i="6"/>
  <c r="AC230" i="6"/>
  <c r="E230" i="6"/>
  <c r="J230" i="6"/>
  <c r="O230" i="6"/>
  <c r="U230" i="6"/>
  <c r="Z230" i="6"/>
  <c r="AE230" i="6"/>
  <c r="K230" i="6"/>
  <c r="V230" i="6"/>
  <c r="AG230" i="6"/>
  <c r="C230" i="6"/>
  <c r="N230" i="6"/>
  <c r="Y230" i="6"/>
  <c r="F230" i="6"/>
  <c r="Q230" i="6"/>
  <c r="AA230" i="6"/>
  <c r="I230" i="6"/>
  <c r="S230" i="6"/>
  <c r="AD230" i="6"/>
  <c r="D103" i="6"/>
  <c r="H103" i="6"/>
  <c r="L103" i="6"/>
  <c r="P103" i="6"/>
  <c r="T103" i="6"/>
  <c r="X103" i="6"/>
  <c r="AB103" i="6"/>
  <c r="AF103" i="6"/>
  <c r="E103" i="6"/>
  <c r="I103" i="6"/>
  <c r="M103" i="6"/>
  <c r="Q103" i="6"/>
  <c r="U103" i="6"/>
  <c r="Y103" i="6"/>
  <c r="AC103" i="6"/>
  <c r="AG103" i="6"/>
  <c r="F103" i="6"/>
  <c r="N103" i="6"/>
  <c r="V103" i="6"/>
  <c r="AD103" i="6"/>
  <c r="G103" i="6"/>
  <c r="O103" i="6"/>
  <c r="W103" i="6"/>
  <c r="AE103" i="6"/>
  <c r="J103" i="6"/>
  <c r="Z103" i="6"/>
  <c r="K103" i="6"/>
  <c r="AA103" i="6"/>
  <c r="R103" i="6"/>
  <c r="C103" i="6"/>
  <c r="S103" i="6"/>
  <c r="AH103" i="5"/>
  <c r="F132" i="6"/>
  <c r="J132" i="6"/>
  <c r="N132" i="6"/>
  <c r="R132" i="6"/>
  <c r="V132" i="6"/>
  <c r="Z132" i="6"/>
  <c r="AD132" i="6"/>
  <c r="G132" i="6"/>
  <c r="L132" i="6"/>
  <c r="Q132" i="6"/>
  <c r="W132" i="6"/>
  <c r="AB132" i="6"/>
  <c r="AG132" i="6"/>
  <c r="C132" i="6"/>
  <c r="H132" i="6"/>
  <c r="M132" i="6"/>
  <c r="S132" i="6"/>
  <c r="X132" i="6"/>
  <c r="AC132" i="6"/>
  <c r="D132" i="6"/>
  <c r="O132" i="6"/>
  <c r="Y132" i="6"/>
  <c r="E132" i="6"/>
  <c r="P132" i="6"/>
  <c r="AA132" i="6"/>
  <c r="I132" i="6"/>
  <c r="AE132" i="6"/>
  <c r="T132" i="6"/>
  <c r="AF132" i="6"/>
  <c r="K132" i="6"/>
  <c r="U132" i="6"/>
  <c r="F163" i="6"/>
  <c r="J163" i="6"/>
  <c r="N163" i="6"/>
  <c r="R163" i="6"/>
  <c r="V163" i="6"/>
  <c r="Z163" i="6"/>
  <c r="AD163" i="6"/>
  <c r="C163" i="6"/>
  <c r="G163" i="6"/>
  <c r="K163" i="6"/>
  <c r="O163" i="6"/>
  <c r="S163" i="6"/>
  <c r="W163" i="6"/>
  <c r="AA163" i="6"/>
  <c r="AE163" i="6"/>
  <c r="D163" i="6"/>
  <c r="L163" i="6"/>
  <c r="T163" i="6"/>
  <c r="AB163" i="6"/>
  <c r="E163" i="6"/>
  <c r="M163" i="6"/>
  <c r="U163" i="6"/>
  <c r="AC163" i="6"/>
  <c r="P163" i="6"/>
  <c r="AF163" i="6"/>
  <c r="H163" i="6"/>
  <c r="X163" i="6"/>
  <c r="Q163" i="6"/>
  <c r="AG163" i="6"/>
  <c r="Y163" i="6"/>
  <c r="I163" i="6"/>
  <c r="F147" i="6"/>
  <c r="J147" i="6"/>
  <c r="N147" i="6"/>
  <c r="R147" i="6"/>
  <c r="V147" i="6"/>
  <c r="Z147" i="6"/>
  <c r="AD147" i="6"/>
  <c r="C147" i="6"/>
  <c r="G147" i="6"/>
  <c r="K147" i="6"/>
  <c r="O147" i="6"/>
  <c r="S147" i="6"/>
  <c r="W147" i="6"/>
  <c r="AA147" i="6"/>
  <c r="AE147" i="6"/>
  <c r="D147" i="6"/>
  <c r="L147" i="6"/>
  <c r="T147" i="6"/>
  <c r="AB147" i="6"/>
  <c r="E147" i="6"/>
  <c r="M147" i="6"/>
  <c r="U147" i="6"/>
  <c r="AC147" i="6"/>
  <c r="P147" i="6"/>
  <c r="AF147" i="6"/>
  <c r="H147" i="6"/>
  <c r="X147" i="6"/>
  <c r="AG147" i="6"/>
  <c r="Q147" i="6"/>
  <c r="I147" i="6"/>
  <c r="Y147" i="6"/>
  <c r="C235" i="6"/>
  <c r="G235" i="6"/>
  <c r="K235" i="6"/>
  <c r="O235" i="6"/>
  <c r="S235" i="6"/>
  <c r="W235" i="6"/>
  <c r="AA235" i="6"/>
  <c r="AE235" i="6"/>
  <c r="E235" i="6"/>
  <c r="I235" i="6"/>
  <c r="M235" i="6"/>
  <c r="Q235" i="6"/>
  <c r="U235" i="6"/>
  <c r="Y235" i="6"/>
  <c r="AC235" i="6"/>
  <c r="AG235" i="6"/>
  <c r="F235" i="6"/>
  <c r="N235" i="6"/>
  <c r="V235" i="6"/>
  <c r="AD235" i="6"/>
  <c r="H235" i="6"/>
  <c r="P235" i="6"/>
  <c r="X235" i="6"/>
  <c r="AF235" i="6"/>
  <c r="J235" i="6"/>
  <c r="R235" i="6"/>
  <c r="Z235" i="6"/>
  <c r="D235" i="6"/>
  <c r="L235" i="6"/>
  <c r="T235" i="6"/>
  <c r="AB235" i="6"/>
  <c r="E207" i="6"/>
  <c r="I207" i="6"/>
  <c r="M207" i="6"/>
  <c r="Q207" i="6"/>
  <c r="U207" i="6"/>
  <c r="Y207" i="6"/>
  <c r="AC207" i="6"/>
  <c r="AG207" i="6"/>
  <c r="C207" i="6"/>
  <c r="G207" i="6"/>
  <c r="K207" i="6"/>
  <c r="O207" i="6"/>
  <c r="S207" i="6"/>
  <c r="W207" i="6"/>
  <c r="AA207" i="6"/>
  <c r="AE207" i="6"/>
  <c r="J207" i="6"/>
  <c r="R207" i="6"/>
  <c r="Z207" i="6"/>
  <c r="F207" i="6"/>
  <c r="N207" i="6"/>
  <c r="V207" i="6"/>
  <c r="AD207" i="6"/>
  <c r="P207" i="6"/>
  <c r="AF207" i="6"/>
  <c r="D207" i="6"/>
  <c r="T207" i="6"/>
  <c r="H207" i="6"/>
  <c r="X207" i="6"/>
  <c r="L207" i="6"/>
  <c r="AB207" i="6"/>
  <c r="C148" i="6"/>
  <c r="G148" i="6"/>
  <c r="K148" i="6"/>
  <c r="O148" i="6"/>
  <c r="S148" i="6"/>
  <c r="W148" i="6"/>
  <c r="AA148" i="6"/>
  <c r="AE148" i="6"/>
  <c r="D148" i="6"/>
  <c r="H148" i="6"/>
  <c r="L148" i="6"/>
  <c r="P148" i="6"/>
  <c r="T148" i="6"/>
  <c r="X148" i="6"/>
  <c r="AB148" i="6"/>
  <c r="AF148" i="6"/>
  <c r="E148" i="6"/>
  <c r="M148" i="6"/>
  <c r="U148" i="6"/>
  <c r="AC148" i="6"/>
  <c r="F148" i="6"/>
  <c r="N148" i="6"/>
  <c r="V148" i="6"/>
  <c r="AD148" i="6"/>
  <c r="Q148" i="6"/>
  <c r="AG148" i="6"/>
  <c r="I148" i="6"/>
  <c r="Y148" i="6"/>
  <c r="R148" i="6"/>
  <c r="J148" i="6"/>
  <c r="Z148" i="6"/>
  <c r="D218" i="6"/>
  <c r="H218" i="6"/>
  <c r="L218" i="6"/>
  <c r="P218" i="6"/>
  <c r="T218" i="6"/>
  <c r="X218" i="6"/>
  <c r="AB218" i="6"/>
  <c r="AF218" i="6"/>
  <c r="F218" i="6"/>
  <c r="J218" i="6"/>
  <c r="N218" i="6"/>
  <c r="R218" i="6"/>
  <c r="V218" i="6"/>
  <c r="Z218" i="6"/>
  <c r="AD218" i="6"/>
  <c r="E218" i="6"/>
  <c r="M218" i="6"/>
  <c r="U218" i="6"/>
  <c r="AC218" i="6"/>
  <c r="I218" i="6"/>
  <c r="Q218" i="6"/>
  <c r="Y218" i="6"/>
  <c r="AG218" i="6"/>
  <c r="K218" i="6"/>
  <c r="AA218" i="6"/>
  <c r="O218" i="6"/>
  <c r="AE218" i="6"/>
  <c r="C218" i="6"/>
  <c r="S218" i="6"/>
  <c r="G218" i="6"/>
  <c r="W218" i="6"/>
  <c r="E139" i="6"/>
  <c r="I139" i="6"/>
  <c r="M139" i="6"/>
  <c r="Q139" i="6"/>
  <c r="U139" i="6"/>
  <c r="Y139" i="6"/>
  <c r="AC139" i="6"/>
  <c r="AG139" i="6"/>
  <c r="C139" i="6"/>
  <c r="H139" i="6"/>
  <c r="N139" i="6"/>
  <c r="S139" i="6"/>
  <c r="X139" i="6"/>
  <c r="AD139" i="6"/>
  <c r="D139" i="6"/>
  <c r="J139" i="6"/>
  <c r="O139" i="6"/>
  <c r="T139" i="6"/>
  <c r="Z139" i="6"/>
  <c r="AE139" i="6"/>
  <c r="K139" i="6"/>
  <c r="V139" i="6"/>
  <c r="AF139" i="6"/>
  <c r="L139" i="6"/>
  <c r="W139" i="6"/>
  <c r="F139" i="6"/>
  <c r="AA139" i="6"/>
  <c r="P139" i="6"/>
  <c r="AB139" i="6"/>
  <c r="G139" i="6"/>
  <c r="R139" i="6"/>
  <c r="F242" i="6"/>
  <c r="J242" i="6"/>
  <c r="N242" i="6"/>
  <c r="R242" i="6"/>
  <c r="V242" i="6"/>
  <c r="Z242" i="6"/>
  <c r="AD242" i="6"/>
  <c r="D242" i="6"/>
  <c r="H242" i="6"/>
  <c r="L242" i="6"/>
  <c r="P242" i="6"/>
  <c r="T242" i="6"/>
  <c r="X242" i="6"/>
  <c r="AB242" i="6"/>
  <c r="AF242" i="6"/>
  <c r="E242" i="6"/>
  <c r="M242" i="6"/>
  <c r="U242" i="6"/>
  <c r="AC242" i="6"/>
  <c r="G242" i="6"/>
  <c r="O242" i="6"/>
  <c r="W242" i="6"/>
  <c r="AE242" i="6"/>
  <c r="I242" i="6"/>
  <c r="Q242" i="6"/>
  <c r="Y242" i="6"/>
  <c r="AG242" i="6"/>
  <c r="C242" i="6"/>
  <c r="K242" i="6"/>
  <c r="S242" i="6"/>
  <c r="AA242" i="6"/>
  <c r="C233" i="6"/>
  <c r="E233" i="6"/>
  <c r="I233" i="6"/>
  <c r="M233" i="6"/>
  <c r="Q233" i="6"/>
  <c r="U233" i="6"/>
  <c r="Y233" i="6"/>
  <c r="AC233" i="6"/>
  <c r="AG233" i="6"/>
  <c r="G233" i="6"/>
  <c r="K233" i="6"/>
  <c r="O233" i="6"/>
  <c r="S233" i="6"/>
  <c r="W233" i="6"/>
  <c r="AA233" i="6"/>
  <c r="AE233" i="6"/>
  <c r="D233" i="6"/>
  <c r="L233" i="6"/>
  <c r="T233" i="6"/>
  <c r="AB233" i="6"/>
  <c r="F233" i="6"/>
  <c r="N233" i="6"/>
  <c r="V233" i="6"/>
  <c r="AD233" i="6"/>
  <c r="H233" i="6"/>
  <c r="P233" i="6"/>
  <c r="X233" i="6"/>
  <c r="AF233" i="6"/>
  <c r="J233" i="6"/>
  <c r="R233" i="6"/>
  <c r="Z233" i="6"/>
  <c r="E203" i="6"/>
  <c r="I203" i="6"/>
  <c r="M203" i="6"/>
  <c r="Q203" i="6"/>
  <c r="U203" i="6"/>
  <c r="Y203" i="6"/>
  <c r="AC203" i="6"/>
  <c r="AG203" i="6"/>
  <c r="C203" i="6"/>
  <c r="G203" i="6"/>
  <c r="K203" i="6"/>
  <c r="O203" i="6"/>
  <c r="S203" i="6"/>
  <c r="W203" i="6"/>
  <c r="AA203" i="6"/>
  <c r="AE203" i="6"/>
  <c r="F203" i="6"/>
  <c r="N203" i="6"/>
  <c r="V203" i="6"/>
  <c r="AD203" i="6"/>
  <c r="J203" i="6"/>
  <c r="R203" i="6"/>
  <c r="Z203" i="6"/>
  <c r="D203" i="6"/>
  <c r="L203" i="6"/>
  <c r="AB203" i="6"/>
  <c r="P203" i="6"/>
  <c r="AF203" i="6"/>
  <c r="T203" i="6"/>
  <c r="H203" i="6"/>
  <c r="X203" i="6"/>
  <c r="F140" i="6"/>
  <c r="J140" i="6"/>
  <c r="N140" i="6"/>
  <c r="R140" i="6"/>
  <c r="V140" i="6"/>
  <c r="Z140" i="6"/>
  <c r="AD140" i="6"/>
  <c r="D140" i="6"/>
  <c r="I140" i="6"/>
  <c r="O140" i="6"/>
  <c r="T140" i="6"/>
  <c r="Y140" i="6"/>
  <c r="AE140" i="6"/>
  <c r="E140" i="6"/>
  <c r="K140" i="6"/>
  <c r="P140" i="6"/>
  <c r="U140" i="6"/>
  <c r="AA140" i="6"/>
  <c r="AF140" i="6"/>
  <c r="L140" i="6"/>
  <c r="W140" i="6"/>
  <c r="AG140" i="6"/>
  <c r="C140" i="6"/>
  <c r="M140" i="6"/>
  <c r="X140" i="6"/>
  <c r="Q140" i="6"/>
  <c r="G140" i="6"/>
  <c r="AB140" i="6"/>
  <c r="S140" i="6"/>
  <c r="H140" i="6"/>
  <c r="AC140" i="6"/>
  <c r="F109" i="6"/>
  <c r="J109" i="6"/>
  <c r="N109" i="6"/>
  <c r="R109" i="6"/>
  <c r="V109" i="6"/>
  <c r="Z109" i="6"/>
  <c r="AD109" i="6"/>
  <c r="C109" i="6"/>
  <c r="G109" i="6"/>
  <c r="K109" i="6"/>
  <c r="O109" i="6"/>
  <c r="S109" i="6"/>
  <c r="W109" i="6"/>
  <c r="AA109" i="6"/>
  <c r="AE109" i="6"/>
  <c r="D109" i="6"/>
  <c r="L109" i="6"/>
  <c r="T109" i="6"/>
  <c r="AB109" i="6"/>
  <c r="E109" i="6"/>
  <c r="M109" i="6"/>
  <c r="U109" i="6"/>
  <c r="AC109" i="6"/>
  <c r="P109" i="6"/>
  <c r="AF109" i="6"/>
  <c r="Q109" i="6"/>
  <c r="AG109" i="6"/>
  <c r="H109" i="6"/>
  <c r="X109" i="6"/>
  <c r="I109" i="6"/>
  <c r="Y109" i="6"/>
  <c r="F232" i="6"/>
  <c r="J232" i="6"/>
  <c r="N232" i="6"/>
  <c r="R232" i="6"/>
  <c r="V232" i="6"/>
  <c r="Z232" i="6"/>
  <c r="AD232" i="6"/>
  <c r="D232" i="6"/>
  <c r="I232" i="6"/>
  <c r="O232" i="6"/>
  <c r="T232" i="6"/>
  <c r="Y232" i="6"/>
  <c r="AE232" i="6"/>
  <c r="G232" i="6"/>
  <c r="L232" i="6"/>
  <c r="Q232" i="6"/>
  <c r="W232" i="6"/>
  <c r="AB232" i="6"/>
  <c r="AG232" i="6"/>
  <c r="C232" i="6"/>
  <c r="M232" i="6"/>
  <c r="X232" i="6"/>
  <c r="E232" i="6"/>
  <c r="P232" i="6"/>
  <c r="AA232" i="6"/>
  <c r="H232" i="6"/>
  <c r="S232" i="6"/>
  <c r="AC232" i="6"/>
  <c r="K232" i="6"/>
  <c r="U232" i="6"/>
  <c r="AF232" i="6"/>
  <c r="F216" i="6"/>
  <c r="J216" i="6"/>
  <c r="N216" i="6"/>
  <c r="R216" i="6"/>
  <c r="V216" i="6"/>
  <c r="Z216" i="6"/>
  <c r="AD216" i="6"/>
  <c r="D216" i="6"/>
  <c r="H216" i="6"/>
  <c r="L216" i="6"/>
  <c r="P216" i="6"/>
  <c r="T216" i="6"/>
  <c r="X216" i="6"/>
  <c r="AB216" i="6"/>
  <c r="AF216" i="6"/>
  <c r="C216" i="6"/>
  <c r="K216" i="6"/>
  <c r="S216" i="6"/>
  <c r="AA216" i="6"/>
  <c r="G216" i="6"/>
  <c r="O216" i="6"/>
  <c r="W216" i="6"/>
  <c r="AE216" i="6"/>
  <c r="I216" i="6"/>
  <c r="Y216" i="6"/>
  <c r="M216" i="6"/>
  <c r="AC216" i="6"/>
  <c r="Q216" i="6"/>
  <c r="AG216" i="6"/>
  <c r="E216" i="6"/>
  <c r="U216" i="6"/>
  <c r="F200" i="6"/>
  <c r="E200" i="6"/>
  <c r="J200" i="6"/>
  <c r="N200" i="6"/>
  <c r="R200" i="6"/>
  <c r="V200" i="6"/>
  <c r="Z200" i="6"/>
  <c r="AD200" i="6"/>
  <c r="C200" i="6"/>
  <c r="H200" i="6"/>
  <c r="L200" i="6"/>
  <c r="P200" i="6"/>
  <c r="T200" i="6"/>
  <c r="X200" i="6"/>
  <c r="AB200" i="6"/>
  <c r="AF200" i="6"/>
  <c r="K200" i="6"/>
  <c r="S200" i="6"/>
  <c r="AA200" i="6"/>
  <c r="G200" i="6"/>
  <c r="O200" i="6"/>
  <c r="W200" i="6"/>
  <c r="AE200" i="6"/>
  <c r="I200" i="6"/>
  <c r="Q200" i="6"/>
  <c r="Y200" i="6"/>
  <c r="AG200" i="6"/>
  <c r="M200" i="6"/>
  <c r="U200" i="6"/>
  <c r="AC200" i="6"/>
  <c r="D200" i="6"/>
  <c r="C193" i="6"/>
  <c r="G193" i="6"/>
  <c r="K193" i="6"/>
  <c r="O193" i="6"/>
  <c r="S193" i="6"/>
  <c r="W193" i="6"/>
  <c r="AA193" i="6"/>
  <c r="AE193" i="6"/>
  <c r="F193" i="6"/>
  <c r="L193" i="6"/>
  <c r="Q193" i="6"/>
  <c r="V193" i="6"/>
  <c r="AB193" i="6"/>
  <c r="AG193" i="6"/>
  <c r="D193" i="6"/>
  <c r="J193" i="6"/>
  <c r="R193" i="6"/>
  <c r="Y193" i="6"/>
  <c r="AF193" i="6"/>
  <c r="H193" i="6"/>
  <c r="N193" i="6"/>
  <c r="U193" i="6"/>
  <c r="AC193" i="6"/>
  <c r="E193" i="6"/>
  <c r="T193" i="6"/>
  <c r="M193" i="6"/>
  <c r="Z193" i="6"/>
  <c r="P193" i="6"/>
  <c r="AD193" i="6"/>
  <c r="I193" i="6"/>
  <c r="X193" i="6"/>
  <c r="F167" i="6"/>
  <c r="J167" i="6"/>
  <c r="N167" i="6"/>
  <c r="R167" i="6"/>
  <c r="V167" i="6"/>
  <c r="Z167" i="6"/>
  <c r="AD167" i="6"/>
  <c r="C167" i="6"/>
  <c r="G167" i="6"/>
  <c r="K167" i="6"/>
  <c r="O167" i="6"/>
  <c r="S167" i="6"/>
  <c r="W167" i="6"/>
  <c r="AA167" i="6"/>
  <c r="AE167" i="6"/>
  <c r="H167" i="6"/>
  <c r="P167" i="6"/>
  <c r="X167" i="6"/>
  <c r="AF167" i="6"/>
  <c r="I167" i="6"/>
  <c r="Q167" i="6"/>
  <c r="Y167" i="6"/>
  <c r="AG167" i="6"/>
  <c r="D167" i="6"/>
  <c r="T167" i="6"/>
  <c r="L167" i="6"/>
  <c r="AB167" i="6"/>
  <c r="U167" i="6"/>
  <c r="E167" i="6"/>
  <c r="AC167" i="6"/>
  <c r="M167" i="6"/>
  <c r="E135" i="6"/>
  <c r="I135" i="6"/>
  <c r="M135" i="6"/>
  <c r="Q135" i="6"/>
  <c r="U135" i="6"/>
  <c r="Y135" i="6"/>
  <c r="AC135" i="6"/>
  <c r="AG135" i="6"/>
  <c r="D135" i="6"/>
  <c r="J135" i="6"/>
  <c r="O135" i="6"/>
  <c r="T135" i="6"/>
  <c r="Z135" i="6"/>
  <c r="AE135" i="6"/>
  <c r="F135" i="6"/>
  <c r="K135" i="6"/>
  <c r="P135" i="6"/>
  <c r="V135" i="6"/>
  <c r="AA135" i="6"/>
  <c r="AF135" i="6"/>
  <c r="G135" i="6"/>
  <c r="R135" i="6"/>
  <c r="AB135" i="6"/>
  <c r="H135" i="6"/>
  <c r="S135" i="6"/>
  <c r="AD135" i="6"/>
  <c r="W135" i="6"/>
  <c r="L135" i="6"/>
  <c r="X135" i="6"/>
  <c r="C135" i="6"/>
  <c r="N135" i="6"/>
  <c r="F97" i="6"/>
  <c r="J97" i="6"/>
  <c r="N97" i="6"/>
  <c r="R97" i="6"/>
  <c r="V97" i="6"/>
  <c r="Z97" i="6"/>
  <c r="AD97" i="6"/>
  <c r="C97" i="6"/>
  <c r="G97" i="6"/>
  <c r="K97" i="6"/>
  <c r="O97" i="6"/>
  <c r="S97" i="6"/>
  <c r="W97" i="6"/>
  <c r="AA97" i="6"/>
  <c r="AE97" i="6"/>
  <c r="H97" i="6"/>
  <c r="P97" i="6"/>
  <c r="X97" i="6"/>
  <c r="AF97" i="6"/>
  <c r="I97" i="6"/>
  <c r="Q97" i="6"/>
  <c r="Y97" i="6"/>
  <c r="AG97" i="6"/>
  <c r="D97" i="6"/>
  <c r="T97" i="6"/>
  <c r="E97" i="6"/>
  <c r="U97" i="6"/>
  <c r="M97" i="6"/>
  <c r="AC97" i="6"/>
  <c r="AB97" i="6"/>
  <c r="L97" i="6"/>
  <c r="C213" i="6"/>
  <c r="G213" i="6"/>
  <c r="K213" i="6"/>
  <c r="O213" i="6"/>
  <c r="S213" i="6"/>
  <c r="W213" i="6"/>
  <c r="AA213" i="6"/>
  <c r="AE213" i="6"/>
  <c r="E213" i="6"/>
  <c r="I213" i="6"/>
  <c r="M213" i="6"/>
  <c r="Q213" i="6"/>
  <c r="U213" i="6"/>
  <c r="Y213" i="6"/>
  <c r="AC213" i="6"/>
  <c r="AG213" i="6"/>
  <c r="H213" i="6"/>
  <c r="P213" i="6"/>
  <c r="X213" i="6"/>
  <c r="AF213" i="6"/>
  <c r="D213" i="6"/>
  <c r="L213" i="6"/>
  <c r="T213" i="6"/>
  <c r="AB213" i="6"/>
  <c r="F213" i="6"/>
  <c r="V213" i="6"/>
  <c r="J213" i="6"/>
  <c r="Z213" i="6"/>
  <c r="N213" i="6"/>
  <c r="AD213" i="6"/>
  <c r="R213" i="6"/>
  <c r="C197" i="6"/>
  <c r="G197" i="6"/>
  <c r="K197" i="6"/>
  <c r="O197" i="6"/>
  <c r="S197" i="6"/>
  <c r="W197" i="6"/>
  <c r="AA197" i="6"/>
  <c r="AE197" i="6"/>
  <c r="E197" i="6"/>
  <c r="J197" i="6"/>
  <c r="P197" i="6"/>
  <c r="U197" i="6"/>
  <c r="Z197" i="6"/>
  <c r="AF197" i="6"/>
  <c r="H197" i="6"/>
  <c r="N197" i="6"/>
  <c r="V197" i="6"/>
  <c r="AC197" i="6"/>
  <c r="D197" i="6"/>
  <c r="L197" i="6"/>
  <c r="R197" i="6"/>
  <c r="Y197" i="6"/>
  <c r="AG197" i="6"/>
  <c r="I197" i="6"/>
  <c r="X197" i="6"/>
  <c r="Q197" i="6"/>
  <c r="AD197" i="6"/>
  <c r="F197" i="6"/>
  <c r="T197" i="6"/>
  <c r="M197" i="6"/>
  <c r="AB197" i="6"/>
  <c r="C189" i="6"/>
  <c r="G189" i="6"/>
  <c r="K189" i="6"/>
  <c r="O189" i="6"/>
  <c r="S189" i="6"/>
  <c r="W189" i="6"/>
  <c r="AA189" i="6"/>
  <c r="AE189" i="6"/>
  <c r="H189" i="6"/>
  <c r="M189" i="6"/>
  <c r="R189" i="6"/>
  <c r="X189" i="6"/>
  <c r="AC189" i="6"/>
  <c r="E189" i="6"/>
  <c r="J189" i="6"/>
  <c r="P189" i="6"/>
  <c r="U189" i="6"/>
  <c r="Z189" i="6"/>
  <c r="AF189" i="6"/>
  <c r="D189" i="6"/>
  <c r="N189" i="6"/>
  <c r="Y189" i="6"/>
  <c r="I189" i="6"/>
  <c r="T189" i="6"/>
  <c r="AD189" i="6"/>
  <c r="F189" i="6"/>
  <c r="AB189" i="6"/>
  <c r="L189" i="6"/>
  <c r="AG189" i="6"/>
  <c r="Q189" i="6"/>
  <c r="V189" i="6"/>
  <c r="C160" i="6"/>
  <c r="G160" i="6"/>
  <c r="K160" i="6"/>
  <c r="O160" i="6"/>
  <c r="S160" i="6"/>
  <c r="W160" i="6"/>
  <c r="AA160" i="6"/>
  <c r="AE160" i="6"/>
  <c r="D160" i="6"/>
  <c r="H160" i="6"/>
  <c r="L160" i="6"/>
  <c r="P160" i="6"/>
  <c r="T160" i="6"/>
  <c r="X160" i="6"/>
  <c r="AB160" i="6"/>
  <c r="AF160" i="6"/>
  <c r="I160" i="6"/>
  <c r="Q160" i="6"/>
  <c r="Y160" i="6"/>
  <c r="AG160" i="6"/>
  <c r="J160" i="6"/>
  <c r="R160" i="6"/>
  <c r="Z160" i="6"/>
  <c r="M160" i="6"/>
  <c r="AC160" i="6"/>
  <c r="E160" i="6"/>
  <c r="U160" i="6"/>
  <c r="N160" i="6"/>
  <c r="AD160" i="6"/>
  <c r="F160" i="6"/>
  <c r="V160" i="6"/>
  <c r="C114" i="6"/>
  <c r="G114" i="6"/>
  <c r="K114" i="6"/>
  <c r="O114" i="6"/>
  <c r="S114" i="6"/>
  <c r="W114" i="6"/>
  <c r="AA114" i="6"/>
  <c r="AE114" i="6"/>
  <c r="D114" i="6"/>
  <c r="H114" i="6"/>
  <c r="L114" i="6"/>
  <c r="P114" i="6"/>
  <c r="T114" i="6"/>
  <c r="X114" i="6"/>
  <c r="AB114" i="6"/>
  <c r="AF114" i="6"/>
  <c r="I114" i="6"/>
  <c r="Q114" i="6"/>
  <c r="Y114" i="6"/>
  <c r="AG114" i="6"/>
  <c r="J114" i="6"/>
  <c r="R114" i="6"/>
  <c r="Z114" i="6"/>
  <c r="E114" i="6"/>
  <c r="U114" i="6"/>
  <c r="F114" i="6"/>
  <c r="V114" i="6"/>
  <c r="M114" i="6"/>
  <c r="AC114" i="6"/>
  <c r="N114" i="6"/>
  <c r="AD114" i="6"/>
  <c r="D165" i="6"/>
  <c r="H165" i="6"/>
  <c r="L165" i="6"/>
  <c r="P165" i="6"/>
  <c r="T165" i="6"/>
  <c r="X165" i="6"/>
  <c r="AB165" i="6"/>
  <c r="AF165" i="6"/>
  <c r="E165" i="6"/>
  <c r="I165" i="6"/>
  <c r="M165" i="6"/>
  <c r="Q165" i="6"/>
  <c r="U165" i="6"/>
  <c r="Y165" i="6"/>
  <c r="AC165" i="6"/>
  <c r="AG165" i="6"/>
  <c r="F165" i="6"/>
  <c r="N165" i="6"/>
  <c r="V165" i="6"/>
  <c r="AD165" i="6"/>
  <c r="G165" i="6"/>
  <c r="O165" i="6"/>
  <c r="W165" i="6"/>
  <c r="AE165" i="6"/>
  <c r="R165" i="6"/>
  <c r="J165" i="6"/>
  <c r="Z165" i="6"/>
  <c r="S165" i="6"/>
  <c r="C165" i="6"/>
  <c r="AA165" i="6"/>
  <c r="K165" i="6"/>
  <c r="D149" i="6"/>
  <c r="H149" i="6"/>
  <c r="L149" i="6"/>
  <c r="P149" i="6"/>
  <c r="T149" i="6"/>
  <c r="X149" i="6"/>
  <c r="AB149" i="6"/>
  <c r="AF149" i="6"/>
  <c r="E149" i="6"/>
  <c r="I149" i="6"/>
  <c r="M149" i="6"/>
  <c r="Q149" i="6"/>
  <c r="U149" i="6"/>
  <c r="Y149" i="6"/>
  <c r="AC149" i="6"/>
  <c r="AG149" i="6"/>
  <c r="F149" i="6"/>
  <c r="N149" i="6"/>
  <c r="V149" i="6"/>
  <c r="AD149" i="6"/>
  <c r="G149" i="6"/>
  <c r="O149" i="6"/>
  <c r="W149" i="6"/>
  <c r="AE149" i="6"/>
  <c r="R149" i="6"/>
  <c r="J149" i="6"/>
  <c r="Z149" i="6"/>
  <c r="C149" i="6"/>
  <c r="S149" i="6"/>
  <c r="K149" i="6"/>
  <c r="AA149" i="6"/>
  <c r="C133" i="6"/>
  <c r="G133" i="6"/>
  <c r="K133" i="6"/>
  <c r="O133" i="6"/>
  <c r="S133" i="6"/>
  <c r="W133" i="6"/>
  <c r="AA133" i="6"/>
  <c r="AE133" i="6"/>
  <c r="H133" i="6"/>
  <c r="M133" i="6"/>
  <c r="R133" i="6"/>
  <c r="X133" i="6"/>
  <c r="AC133" i="6"/>
  <c r="D133" i="6"/>
  <c r="I133" i="6"/>
  <c r="N133" i="6"/>
  <c r="T133" i="6"/>
  <c r="Y133" i="6"/>
  <c r="AD133" i="6"/>
  <c r="E133" i="6"/>
  <c r="P133" i="6"/>
  <c r="Z133" i="6"/>
  <c r="F133" i="6"/>
  <c r="Q133" i="6"/>
  <c r="AB133" i="6"/>
  <c r="U133" i="6"/>
  <c r="J133" i="6"/>
  <c r="AF133" i="6"/>
  <c r="V133" i="6"/>
  <c r="L133" i="6"/>
  <c r="AG133" i="6"/>
  <c r="F125" i="6"/>
  <c r="J125" i="6"/>
  <c r="N125" i="6"/>
  <c r="R125" i="6"/>
  <c r="V125" i="6"/>
  <c r="Z125" i="6"/>
  <c r="AD125" i="6"/>
  <c r="C125" i="6"/>
  <c r="G125" i="6"/>
  <c r="K125" i="6"/>
  <c r="O125" i="6"/>
  <c r="S125" i="6"/>
  <c r="W125" i="6"/>
  <c r="AA125" i="6"/>
  <c r="AE125" i="6"/>
  <c r="D125" i="6"/>
  <c r="L125" i="6"/>
  <c r="T125" i="6"/>
  <c r="AB125" i="6"/>
  <c r="E125" i="6"/>
  <c r="M125" i="6"/>
  <c r="U125" i="6"/>
  <c r="AC125" i="6"/>
  <c r="P125" i="6"/>
  <c r="AF125" i="6"/>
  <c r="Q125" i="6"/>
  <c r="AG125" i="6"/>
  <c r="X125" i="6"/>
  <c r="H125" i="6"/>
  <c r="Y125" i="6"/>
  <c r="I125" i="6"/>
  <c r="E88" i="6"/>
  <c r="I88" i="6"/>
  <c r="M88" i="6"/>
  <c r="Q88" i="6"/>
  <c r="U88" i="6"/>
  <c r="Y88" i="6"/>
  <c r="AC88" i="6"/>
  <c r="AG88" i="6"/>
  <c r="F88" i="6"/>
  <c r="J88" i="6"/>
  <c r="N88" i="6"/>
  <c r="R88" i="6"/>
  <c r="V88" i="6"/>
  <c r="Z88" i="6"/>
  <c r="AD88" i="6"/>
  <c r="G88" i="6"/>
  <c r="O88" i="6"/>
  <c r="W88" i="6"/>
  <c r="AE88" i="6"/>
  <c r="H88" i="6"/>
  <c r="P88" i="6"/>
  <c r="X88" i="6"/>
  <c r="AF88" i="6"/>
  <c r="K88" i="6"/>
  <c r="AA88" i="6"/>
  <c r="L88" i="6"/>
  <c r="AB88" i="6"/>
  <c r="D88" i="6"/>
  <c r="T88" i="6"/>
  <c r="S88" i="6"/>
  <c r="C88" i="6"/>
  <c r="E70" i="6"/>
  <c r="I70" i="6"/>
  <c r="M70" i="6"/>
  <c r="Q70" i="6"/>
  <c r="U70" i="6"/>
  <c r="Y70" i="6"/>
  <c r="AC70" i="6"/>
  <c r="AG70" i="6"/>
  <c r="F70" i="6"/>
  <c r="J70" i="6"/>
  <c r="N70" i="6"/>
  <c r="R70" i="6"/>
  <c r="V70" i="6"/>
  <c r="Z70" i="6"/>
  <c r="AD70" i="6"/>
  <c r="C70" i="6"/>
  <c r="K70" i="6"/>
  <c r="S70" i="6"/>
  <c r="AA70" i="6"/>
  <c r="D70" i="6"/>
  <c r="L70" i="6"/>
  <c r="T70" i="6"/>
  <c r="AB70" i="6"/>
  <c r="O70" i="6"/>
  <c r="AE70" i="6"/>
  <c r="P70" i="6"/>
  <c r="AF70" i="6"/>
  <c r="G70" i="6"/>
  <c r="H70" i="6"/>
  <c r="X70" i="6"/>
  <c r="W70" i="6"/>
  <c r="D194" i="6"/>
  <c r="H194" i="6"/>
  <c r="L194" i="6"/>
  <c r="P194" i="6"/>
  <c r="T194" i="6"/>
  <c r="X194" i="6"/>
  <c r="AB194" i="6"/>
  <c r="AF194" i="6"/>
  <c r="G194" i="6"/>
  <c r="M194" i="6"/>
  <c r="R194" i="6"/>
  <c r="W194" i="6"/>
  <c r="AC194" i="6"/>
  <c r="I194" i="6"/>
  <c r="O194" i="6"/>
  <c r="V194" i="6"/>
  <c r="AD194" i="6"/>
  <c r="E194" i="6"/>
  <c r="K194" i="6"/>
  <c r="S194" i="6"/>
  <c r="Z194" i="6"/>
  <c r="AG194" i="6"/>
  <c r="C194" i="6"/>
  <c r="Q194" i="6"/>
  <c r="AE194" i="6"/>
  <c r="J194" i="6"/>
  <c r="Y194" i="6"/>
  <c r="N194" i="6"/>
  <c r="AA194" i="6"/>
  <c r="F194" i="6"/>
  <c r="U194" i="6"/>
  <c r="E178" i="6"/>
  <c r="I178" i="6"/>
  <c r="M178" i="6"/>
  <c r="Q178" i="6"/>
  <c r="U178" i="6"/>
  <c r="Y178" i="6"/>
  <c r="AC178" i="6"/>
  <c r="AG178" i="6"/>
  <c r="F178" i="6"/>
  <c r="J178" i="6"/>
  <c r="N178" i="6"/>
  <c r="R178" i="6"/>
  <c r="V178" i="6"/>
  <c r="Z178" i="6"/>
  <c r="AD178" i="6"/>
  <c r="C178" i="6"/>
  <c r="K178" i="6"/>
  <c r="S178" i="6"/>
  <c r="AA178" i="6"/>
  <c r="D178" i="6"/>
  <c r="L178" i="6"/>
  <c r="T178" i="6"/>
  <c r="AB178" i="6"/>
  <c r="O178" i="6"/>
  <c r="AE178" i="6"/>
  <c r="G178" i="6"/>
  <c r="W178" i="6"/>
  <c r="AF178" i="6"/>
  <c r="P178" i="6"/>
  <c r="H178" i="6"/>
  <c r="X178" i="6"/>
  <c r="E162" i="6"/>
  <c r="I162" i="6"/>
  <c r="M162" i="6"/>
  <c r="Q162" i="6"/>
  <c r="U162" i="6"/>
  <c r="Y162" i="6"/>
  <c r="AC162" i="6"/>
  <c r="AG162" i="6"/>
  <c r="F162" i="6"/>
  <c r="J162" i="6"/>
  <c r="N162" i="6"/>
  <c r="R162" i="6"/>
  <c r="V162" i="6"/>
  <c r="Z162" i="6"/>
  <c r="AD162" i="6"/>
  <c r="C162" i="6"/>
  <c r="K162" i="6"/>
  <c r="S162" i="6"/>
  <c r="AA162" i="6"/>
  <c r="D162" i="6"/>
  <c r="L162" i="6"/>
  <c r="T162" i="6"/>
  <c r="AB162" i="6"/>
  <c r="O162" i="6"/>
  <c r="AE162" i="6"/>
  <c r="G162" i="6"/>
  <c r="W162" i="6"/>
  <c r="P162" i="6"/>
  <c r="AF162" i="6"/>
  <c r="H162" i="6"/>
  <c r="X162" i="6"/>
  <c r="E146" i="6"/>
  <c r="I146" i="6"/>
  <c r="M146" i="6"/>
  <c r="Q146" i="6"/>
  <c r="U146" i="6"/>
  <c r="Y146" i="6"/>
  <c r="AC146" i="6"/>
  <c r="AG146" i="6"/>
  <c r="F146" i="6"/>
  <c r="J146" i="6"/>
  <c r="N146" i="6"/>
  <c r="R146" i="6"/>
  <c r="V146" i="6"/>
  <c r="Z146" i="6"/>
  <c r="AD146" i="6"/>
  <c r="C146" i="6"/>
  <c r="K146" i="6"/>
  <c r="S146" i="6"/>
  <c r="AA146" i="6"/>
  <c r="D146" i="6"/>
  <c r="L146" i="6"/>
  <c r="T146" i="6"/>
  <c r="AB146" i="6"/>
  <c r="O146" i="6"/>
  <c r="AE146" i="6"/>
  <c r="G146" i="6"/>
  <c r="W146" i="6"/>
  <c r="AF146" i="6"/>
  <c r="P146" i="6"/>
  <c r="H146" i="6"/>
  <c r="X146" i="6"/>
  <c r="F129" i="6"/>
  <c r="J129" i="6"/>
  <c r="N129" i="6"/>
  <c r="R129" i="6"/>
  <c r="V129" i="6"/>
  <c r="Z129" i="6"/>
  <c r="AD129" i="6"/>
  <c r="C129" i="6"/>
  <c r="G129" i="6"/>
  <c r="K129" i="6"/>
  <c r="O129" i="6"/>
  <c r="S129" i="6"/>
  <c r="W129" i="6"/>
  <c r="AA129" i="6"/>
  <c r="AE129" i="6"/>
  <c r="H129" i="6"/>
  <c r="P129" i="6"/>
  <c r="X129" i="6"/>
  <c r="AF129" i="6"/>
  <c r="I129" i="6"/>
  <c r="Q129" i="6"/>
  <c r="Y129" i="6"/>
  <c r="AG129" i="6"/>
  <c r="D129" i="6"/>
  <c r="T129" i="6"/>
  <c r="E129" i="6"/>
  <c r="U129" i="6"/>
  <c r="AB129" i="6"/>
  <c r="L129" i="6"/>
  <c r="AC129" i="6"/>
  <c r="M129" i="6"/>
  <c r="C118" i="6"/>
  <c r="G118" i="6"/>
  <c r="K118" i="6"/>
  <c r="O118" i="6"/>
  <c r="S118" i="6"/>
  <c r="W118" i="6"/>
  <c r="AA118" i="6"/>
  <c r="AE118" i="6"/>
  <c r="D118" i="6"/>
  <c r="H118" i="6"/>
  <c r="L118" i="6"/>
  <c r="P118" i="6"/>
  <c r="T118" i="6"/>
  <c r="X118" i="6"/>
  <c r="AB118" i="6"/>
  <c r="AF118" i="6"/>
  <c r="E118" i="6"/>
  <c r="M118" i="6"/>
  <c r="U118" i="6"/>
  <c r="AC118" i="6"/>
  <c r="F118" i="6"/>
  <c r="N118" i="6"/>
  <c r="V118" i="6"/>
  <c r="AD118" i="6"/>
  <c r="I118" i="6"/>
  <c r="Y118" i="6"/>
  <c r="J118" i="6"/>
  <c r="Z118" i="6"/>
  <c r="Q118" i="6"/>
  <c r="AG118" i="6"/>
  <c r="R118" i="6"/>
  <c r="E120" i="6"/>
  <c r="I120" i="6"/>
  <c r="M120" i="6"/>
  <c r="Q120" i="6"/>
  <c r="U120" i="6"/>
  <c r="Y120" i="6"/>
  <c r="AC120" i="6"/>
  <c r="AG120" i="6"/>
  <c r="F120" i="6"/>
  <c r="J120" i="6"/>
  <c r="N120" i="6"/>
  <c r="R120" i="6"/>
  <c r="V120" i="6"/>
  <c r="Z120" i="6"/>
  <c r="AD120" i="6"/>
  <c r="G120" i="6"/>
  <c r="O120" i="6"/>
  <c r="W120" i="6"/>
  <c r="AE120" i="6"/>
  <c r="H120" i="6"/>
  <c r="P120" i="6"/>
  <c r="X120" i="6"/>
  <c r="AF120" i="6"/>
  <c r="K120" i="6"/>
  <c r="AA120" i="6"/>
  <c r="L120" i="6"/>
  <c r="AB120" i="6"/>
  <c r="S120" i="6"/>
  <c r="C120" i="6"/>
  <c r="T120" i="6"/>
  <c r="D120" i="6"/>
  <c r="D123" i="6"/>
  <c r="H123" i="6"/>
  <c r="L123" i="6"/>
  <c r="P123" i="6"/>
  <c r="T123" i="6"/>
  <c r="X123" i="6"/>
  <c r="AB123" i="6"/>
  <c r="AF123" i="6"/>
  <c r="E123" i="6"/>
  <c r="I123" i="6"/>
  <c r="M123" i="6"/>
  <c r="Q123" i="6"/>
  <c r="U123" i="6"/>
  <c r="Y123" i="6"/>
  <c r="AC123" i="6"/>
  <c r="AG123" i="6"/>
  <c r="J123" i="6"/>
  <c r="R123" i="6"/>
  <c r="Z123" i="6"/>
  <c r="C123" i="6"/>
  <c r="K123" i="6"/>
  <c r="S123" i="6"/>
  <c r="AA123" i="6"/>
  <c r="N123" i="6"/>
  <c r="AD123" i="6"/>
  <c r="O123" i="6"/>
  <c r="AE123" i="6"/>
  <c r="V123" i="6"/>
  <c r="F123" i="6"/>
  <c r="W123" i="6"/>
  <c r="G123" i="6"/>
  <c r="E84" i="6"/>
  <c r="I84" i="6"/>
  <c r="M84" i="6"/>
  <c r="Q84" i="6"/>
  <c r="U84" i="6"/>
  <c r="Y84" i="6"/>
  <c r="AC84" i="6"/>
  <c r="AG84" i="6"/>
  <c r="F84" i="6"/>
  <c r="J84" i="6"/>
  <c r="N84" i="6"/>
  <c r="R84" i="6"/>
  <c r="V84" i="6"/>
  <c r="Z84" i="6"/>
  <c r="AD84" i="6"/>
  <c r="C84" i="6"/>
  <c r="K84" i="6"/>
  <c r="S84" i="6"/>
  <c r="AA84" i="6"/>
  <c r="D84" i="6"/>
  <c r="L84" i="6"/>
  <c r="T84" i="6"/>
  <c r="AB84" i="6"/>
  <c r="G84" i="6"/>
  <c r="W84" i="6"/>
  <c r="H84" i="6"/>
  <c r="X84" i="6"/>
  <c r="P84" i="6"/>
  <c r="AF84" i="6"/>
  <c r="O84" i="6"/>
  <c r="AE84" i="6"/>
  <c r="E62" i="6"/>
  <c r="I62" i="6"/>
  <c r="M62" i="6"/>
  <c r="Q62" i="6"/>
  <c r="U62" i="6"/>
  <c r="Y62" i="6"/>
  <c r="AC62" i="6"/>
  <c r="AG62" i="6"/>
  <c r="F62" i="6"/>
  <c r="J62" i="6"/>
  <c r="N62" i="6"/>
  <c r="R62" i="6"/>
  <c r="V62" i="6"/>
  <c r="Z62" i="6"/>
  <c r="AD62" i="6"/>
  <c r="C62" i="6"/>
  <c r="K62" i="6"/>
  <c r="S62" i="6"/>
  <c r="AA62" i="6"/>
  <c r="D62" i="6"/>
  <c r="L62" i="6"/>
  <c r="T62" i="6"/>
  <c r="AB62" i="6"/>
  <c r="G62" i="6"/>
  <c r="W62" i="6"/>
  <c r="H62" i="6"/>
  <c r="X62" i="6"/>
  <c r="AE62" i="6"/>
  <c r="AF62" i="6"/>
  <c r="P62" i="6"/>
  <c r="O62" i="6"/>
  <c r="C98" i="6"/>
  <c r="G98" i="6"/>
  <c r="K98" i="6"/>
  <c r="O98" i="6"/>
  <c r="S98" i="6"/>
  <c r="W98" i="6"/>
  <c r="AA98" i="6"/>
  <c r="AE98" i="6"/>
  <c r="D98" i="6"/>
  <c r="H98" i="6"/>
  <c r="L98" i="6"/>
  <c r="P98" i="6"/>
  <c r="T98" i="6"/>
  <c r="X98" i="6"/>
  <c r="AB98" i="6"/>
  <c r="AF98" i="6"/>
  <c r="I98" i="6"/>
  <c r="Q98" i="6"/>
  <c r="Y98" i="6"/>
  <c r="AG98" i="6"/>
  <c r="J98" i="6"/>
  <c r="R98" i="6"/>
  <c r="Z98" i="6"/>
  <c r="E98" i="6"/>
  <c r="U98" i="6"/>
  <c r="F98" i="6"/>
  <c r="V98" i="6"/>
  <c r="N98" i="6"/>
  <c r="AD98" i="6"/>
  <c r="AC98" i="6"/>
  <c r="M98" i="6"/>
  <c r="D57" i="6"/>
  <c r="H57" i="6"/>
  <c r="L57" i="6"/>
  <c r="P57" i="6"/>
  <c r="T57" i="6"/>
  <c r="X57" i="6"/>
  <c r="AB57" i="6"/>
  <c r="AF57" i="6"/>
  <c r="E57" i="6"/>
  <c r="I57" i="6"/>
  <c r="M57" i="6"/>
  <c r="Q57" i="6"/>
  <c r="U57" i="6"/>
  <c r="Y57" i="6"/>
  <c r="AC57" i="6"/>
  <c r="AG57" i="6"/>
  <c r="F57" i="6"/>
  <c r="N57" i="6"/>
  <c r="V57" i="6"/>
  <c r="AD57" i="6"/>
  <c r="G57" i="6"/>
  <c r="O57" i="6"/>
  <c r="W57" i="6"/>
  <c r="AE57" i="6"/>
  <c r="R57" i="6"/>
  <c r="C57" i="6"/>
  <c r="S57" i="6"/>
  <c r="Z57" i="6"/>
  <c r="AA57" i="6"/>
  <c r="K57" i="6"/>
  <c r="J57" i="6"/>
  <c r="F45" i="6"/>
  <c r="J45" i="6"/>
  <c r="N45" i="6"/>
  <c r="R45" i="6"/>
  <c r="V45" i="6"/>
  <c r="Z45" i="6"/>
  <c r="AD45" i="6"/>
  <c r="C45" i="6"/>
  <c r="G45" i="6"/>
  <c r="K45" i="6"/>
  <c r="O45" i="6"/>
  <c r="S45" i="6"/>
  <c r="W45" i="6"/>
  <c r="AA45" i="6"/>
  <c r="AE45" i="6"/>
  <c r="H45" i="6"/>
  <c r="P45" i="6"/>
  <c r="X45" i="6"/>
  <c r="AF45" i="6"/>
  <c r="I45" i="6"/>
  <c r="Q45" i="6"/>
  <c r="Y45" i="6"/>
  <c r="AG45" i="6"/>
  <c r="L45" i="6"/>
  <c r="AB45" i="6"/>
  <c r="M45" i="6"/>
  <c r="AC45" i="6"/>
  <c r="D45" i="6"/>
  <c r="E45" i="6"/>
  <c r="T45" i="6"/>
  <c r="U45" i="6"/>
  <c r="C90" i="6"/>
  <c r="G90" i="6"/>
  <c r="K90" i="6"/>
  <c r="O90" i="6"/>
  <c r="S90" i="6"/>
  <c r="W90" i="6"/>
  <c r="AA90" i="6"/>
  <c r="AE90" i="6"/>
  <c r="D90" i="6"/>
  <c r="H90" i="6"/>
  <c r="L90" i="6"/>
  <c r="P90" i="6"/>
  <c r="T90" i="6"/>
  <c r="X90" i="6"/>
  <c r="AB90" i="6"/>
  <c r="AF90" i="6"/>
  <c r="I90" i="6"/>
  <c r="Q90" i="6"/>
  <c r="Y90" i="6"/>
  <c r="AG90" i="6"/>
  <c r="J90" i="6"/>
  <c r="R90" i="6"/>
  <c r="Z90" i="6"/>
  <c r="M90" i="6"/>
  <c r="AC90" i="6"/>
  <c r="N90" i="6"/>
  <c r="AD90" i="6"/>
  <c r="F90" i="6"/>
  <c r="V90" i="6"/>
  <c r="U90" i="6"/>
  <c r="E90" i="6"/>
  <c r="E74" i="6"/>
  <c r="I74" i="6"/>
  <c r="M74" i="6"/>
  <c r="Q74" i="6"/>
  <c r="U74" i="6"/>
  <c r="Y74" i="6"/>
  <c r="AC74" i="6"/>
  <c r="AG74" i="6"/>
  <c r="F74" i="6"/>
  <c r="J74" i="6"/>
  <c r="N74" i="6"/>
  <c r="R74" i="6"/>
  <c r="V74" i="6"/>
  <c r="Z74" i="6"/>
  <c r="AD74" i="6"/>
  <c r="G74" i="6"/>
  <c r="O74" i="6"/>
  <c r="W74" i="6"/>
  <c r="AE74" i="6"/>
  <c r="H74" i="6"/>
  <c r="P74" i="6"/>
  <c r="X74" i="6"/>
  <c r="AF74" i="6"/>
  <c r="C74" i="6"/>
  <c r="S74" i="6"/>
  <c r="D74" i="6"/>
  <c r="T74" i="6"/>
  <c r="K74" i="6"/>
  <c r="L74" i="6"/>
  <c r="AB74" i="6"/>
  <c r="AA74" i="6"/>
  <c r="E48" i="6"/>
  <c r="I48" i="6"/>
  <c r="M48" i="6"/>
  <c r="Q48" i="6"/>
  <c r="U48" i="6"/>
  <c r="Y48" i="6"/>
  <c r="AC48" i="6"/>
  <c r="AG48" i="6"/>
  <c r="F48" i="6"/>
  <c r="J48" i="6"/>
  <c r="N48" i="6"/>
  <c r="R48" i="6"/>
  <c r="V48" i="6"/>
  <c r="Z48" i="6"/>
  <c r="AD48" i="6"/>
  <c r="C48" i="6"/>
  <c r="K48" i="6"/>
  <c r="S48" i="6"/>
  <c r="AA48" i="6"/>
  <c r="D48" i="6"/>
  <c r="L48" i="6"/>
  <c r="T48" i="6"/>
  <c r="AB48" i="6"/>
  <c r="O48" i="6"/>
  <c r="AE48" i="6"/>
  <c r="P48" i="6"/>
  <c r="AF48" i="6"/>
  <c r="G48" i="6"/>
  <c r="H48" i="6"/>
  <c r="X48" i="6"/>
  <c r="W48" i="6"/>
  <c r="C68" i="6"/>
  <c r="G68" i="6"/>
  <c r="K68" i="6"/>
  <c r="O68" i="6"/>
  <c r="S68" i="6"/>
  <c r="W68" i="6"/>
  <c r="AA68" i="6"/>
  <c r="AE68" i="6"/>
  <c r="D68" i="6"/>
  <c r="H68" i="6"/>
  <c r="L68" i="6"/>
  <c r="P68" i="6"/>
  <c r="T68" i="6"/>
  <c r="X68" i="6"/>
  <c r="AB68" i="6"/>
  <c r="AF68" i="6"/>
  <c r="I68" i="6"/>
  <c r="Q68" i="6"/>
  <c r="Y68" i="6"/>
  <c r="AG68" i="6"/>
  <c r="J68" i="6"/>
  <c r="R68" i="6"/>
  <c r="Z68" i="6"/>
  <c r="M68" i="6"/>
  <c r="AC68" i="6"/>
  <c r="N68" i="6"/>
  <c r="AD68" i="6"/>
  <c r="E68" i="6"/>
  <c r="F68" i="6"/>
  <c r="V68" i="6"/>
  <c r="U68" i="6"/>
  <c r="E52" i="6"/>
  <c r="I52" i="6"/>
  <c r="M52" i="6"/>
  <c r="Q52" i="6"/>
  <c r="U52" i="6"/>
  <c r="Y52" i="6"/>
  <c r="AC52" i="6"/>
  <c r="AG52" i="6"/>
  <c r="F52" i="6"/>
  <c r="J52" i="6"/>
  <c r="N52" i="6"/>
  <c r="R52" i="6"/>
  <c r="V52" i="6"/>
  <c r="Z52" i="6"/>
  <c r="AD52" i="6"/>
  <c r="G52" i="6"/>
  <c r="O52" i="6"/>
  <c r="W52" i="6"/>
  <c r="AE52" i="6"/>
  <c r="H52" i="6"/>
  <c r="P52" i="6"/>
  <c r="X52" i="6"/>
  <c r="AF52" i="6"/>
  <c r="C52" i="6"/>
  <c r="S52" i="6"/>
  <c r="D52" i="6"/>
  <c r="T52" i="6"/>
  <c r="K52" i="6"/>
  <c r="L52" i="6"/>
  <c r="AB52" i="6"/>
  <c r="AA52" i="6"/>
  <c r="F71" i="6"/>
  <c r="J71" i="6"/>
  <c r="N71" i="6"/>
  <c r="R71" i="6"/>
  <c r="V71" i="6"/>
  <c r="Z71" i="6"/>
  <c r="AD71" i="6"/>
  <c r="C71" i="6"/>
  <c r="G71" i="6"/>
  <c r="K71" i="6"/>
  <c r="O71" i="6"/>
  <c r="S71" i="6"/>
  <c r="W71" i="6"/>
  <c r="AA71" i="6"/>
  <c r="AE71" i="6"/>
  <c r="D71" i="6"/>
  <c r="L71" i="6"/>
  <c r="T71" i="6"/>
  <c r="AB71" i="6"/>
  <c r="E71" i="6"/>
  <c r="M71" i="6"/>
  <c r="U71" i="6"/>
  <c r="AC71" i="6"/>
  <c r="P71" i="6"/>
  <c r="AF71" i="6"/>
  <c r="Q71" i="6"/>
  <c r="AG71" i="6"/>
  <c r="H71" i="6"/>
  <c r="I71" i="6"/>
  <c r="Y71" i="6"/>
  <c r="X71" i="6"/>
  <c r="D55" i="6"/>
  <c r="H55" i="6"/>
  <c r="L55" i="6"/>
  <c r="P55" i="6"/>
  <c r="E55" i="6"/>
  <c r="I55" i="6"/>
  <c r="M55" i="6"/>
  <c r="Q55" i="6"/>
  <c r="J55" i="6"/>
  <c r="R55" i="6"/>
  <c r="V55" i="6"/>
  <c r="Z55" i="6"/>
  <c r="AD55" i="6"/>
  <c r="C55" i="6"/>
  <c r="K55" i="6"/>
  <c r="S55" i="6"/>
  <c r="W55" i="6"/>
  <c r="AA55" i="6"/>
  <c r="AE55" i="6"/>
  <c r="F55" i="6"/>
  <c r="T55" i="6"/>
  <c r="AB55" i="6"/>
  <c r="G55" i="6"/>
  <c r="U55" i="6"/>
  <c r="AC55" i="6"/>
  <c r="N55" i="6"/>
  <c r="AF55" i="6"/>
  <c r="O55" i="6"/>
  <c r="AG55" i="6"/>
  <c r="X55" i="6"/>
  <c r="Y55" i="6"/>
  <c r="D47" i="6"/>
  <c r="H47" i="6"/>
  <c r="L47" i="6"/>
  <c r="P47" i="6"/>
  <c r="T47" i="6"/>
  <c r="X47" i="6"/>
  <c r="AB47" i="6"/>
  <c r="AF47" i="6"/>
  <c r="E47" i="6"/>
  <c r="I47" i="6"/>
  <c r="M47" i="6"/>
  <c r="Q47" i="6"/>
  <c r="U47" i="6"/>
  <c r="Y47" i="6"/>
  <c r="AC47" i="6"/>
  <c r="AG47" i="6"/>
  <c r="J47" i="6"/>
  <c r="R47" i="6"/>
  <c r="Z47" i="6"/>
  <c r="C47" i="6"/>
  <c r="K47" i="6"/>
  <c r="S47" i="6"/>
  <c r="AA47" i="6"/>
  <c r="N47" i="6"/>
  <c r="AD47" i="6"/>
  <c r="O47" i="6"/>
  <c r="AE47" i="6"/>
  <c r="F47" i="6"/>
  <c r="G47" i="6"/>
  <c r="V47" i="6"/>
  <c r="W47" i="6"/>
  <c r="F16" i="6"/>
  <c r="J16" i="6"/>
  <c r="N16" i="6"/>
  <c r="R16" i="6"/>
  <c r="V16" i="6"/>
  <c r="Z16" i="6"/>
  <c r="AD16" i="6"/>
  <c r="E16" i="6"/>
  <c r="K16" i="6"/>
  <c r="P16" i="6"/>
  <c r="U16" i="6"/>
  <c r="AA16" i="6"/>
  <c r="AF16" i="6"/>
  <c r="G16" i="6"/>
  <c r="L16" i="6"/>
  <c r="Q16" i="6"/>
  <c r="W16" i="6"/>
  <c r="AB16" i="6"/>
  <c r="AG16" i="6"/>
  <c r="C16" i="6"/>
  <c r="M16" i="6"/>
  <c r="X16" i="6"/>
  <c r="D16" i="6"/>
  <c r="O16" i="6"/>
  <c r="Y16" i="6"/>
  <c r="H16" i="6"/>
  <c r="AC16" i="6"/>
  <c r="I16" i="6"/>
  <c r="AE16" i="6"/>
  <c r="S16" i="6"/>
  <c r="T16" i="6"/>
  <c r="F4" i="6"/>
  <c r="J4" i="6"/>
  <c r="N4" i="6"/>
  <c r="R4" i="6"/>
  <c r="V4" i="6"/>
  <c r="Z4" i="6"/>
  <c r="AD4" i="6"/>
  <c r="C4" i="6"/>
  <c r="D4" i="6"/>
  <c r="H4" i="6"/>
  <c r="L4" i="6"/>
  <c r="P4" i="6"/>
  <c r="T4" i="6"/>
  <c r="X4" i="6"/>
  <c r="AB4" i="6"/>
  <c r="AF4" i="6"/>
  <c r="E4" i="6"/>
  <c r="M4" i="6"/>
  <c r="U4" i="6"/>
  <c r="AC4" i="6"/>
  <c r="G4" i="6"/>
  <c r="O4" i="6"/>
  <c r="W4" i="6"/>
  <c r="AE4" i="6"/>
  <c r="I4" i="6"/>
  <c r="Q4" i="6"/>
  <c r="Y4" i="6"/>
  <c r="AG4" i="6"/>
  <c r="K4" i="6"/>
  <c r="S4" i="6"/>
  <c r="AA4" i="6"/>
  <c r="C46" i="6"/>
  <c r="G46" i="6"/>
  <c r="K46" i="6"/>
  <c r="O46" i="6"/>
  <c r="S46" i="6"/>
  <c r="W46" i="6"/>
  <c r="AA46" i="6"/>
  <c r="AE46" i="6"/>
  <c r="D46" i="6"/>
  <c r="H46" i="6"/>
  <c r="L46" i="6"/>
  <c r="P46" i="6"/>
  <c r="T46" i="6"/>
  <c r="X46" i="6"/>
  <c r="AB46" i="6"/>
  <c r="AF46" i="6"/>
  <c r="I46" i="6"/>
  <c r="Q46" i="6"/>
  <c r="Y46" i="6"/>
  <c r="AG46" i="6"/>
  <c r="J46" i="6"/>
  <c r="R46" i="6"/>
  <c r="Z46" i="6"/>
  <c r="M46" i="6"/>
  <c r="AC46" i="6"/>
  <c r="N46" i="6"/>
  <c r="AD46" i="6"/>
  <c r="E46" i="6"/>
  <c r="F46" i="6"/>
  <c r="V46" i="6"/>
  <c r="U46" i="6"/>
  <c r="C38" i="6"/>
  <c r="G38" i="6"/>
  <c r="K38" i="6"/>
  <c r="O38" i="6"/>
  <c r="S38" i="6"/>
  <c r="W38" i="6"/>
  <c r="AA38" i="6"/>
  <c r="AE38" i="6"/>
  <c r="D38" i="6"/>
  <c r="H38" i="6"/>
  <c r="L38" i="6"/>
  <c r="P38" i="6"/>
  <c r="T38" i="6"/>
  <c r="X38" i="6"/>
  <c r="AB38" i="6"/>
  <c r="AF38" i="6"/>
  <c r="I38" i="6"/>
  <c r="Q38" i="6"/>
  <c r="Y38" i="6"/>
  <c r="AG38" i="6"/>
  <c r="J38" i="6"/>
  <c r="R38" i="6"/>
  <c r="Z38" i="6"/>
  <c r="E38" i="6"/>
  <c r="U38" i="6"/>
  <c r="F38" i="6"/>
  <c r="V38" i="6"/>
  <c r="AC38" i="6"/>
  <c r="AD38" i="6"/>
  <c r="N38" i="6"/>
  <c r="M38" i="6"/>
  <c r="D10" i="6"/>
  <c r="H10" i="6"/>
  <c r="L10" i="6"/>
  <c r="P10" i="6"/>
  <c r="T10" i="6"/>
  <c r="X10" i="6"/>
  <c r="AB10" i="6"/>
  <c r="AF10" i="6"/>
  <c r="F10" i="6"/>
  <c r="K10" i="6"/>
  <c r="Q10" i="6"/>
  <c r="V10" i="6"/>
  <c r="AA10" i="6"/>
  <c r="AG10" i="6"/>
  <c r="C10" i="6"/>
  <c r="J10" i="6"/>
  <c r="R10" i="6"/>
  <c r="Y10" i="6"/>
  <c r="AE10" i="6"/>
  <c r="M10" i="6"/>
  <c r="U10" i="6"/>
  <c r="AD10" i="6"/>
  <c r="E10" i="6"/>
  <c r="N10" i="6"/>
  <c r="W10" i="6"/>
  <c r="G10" i="6"/>
  <c r="Z10" i="6"/>
  <c r="I10" i="6"/>
  <c r="AC10" i="6"/>
  <c r="S10" i="6"/>
  <c r="O10" i="6"/>
  <c r="F12" i="6"/>
  <c r="J12" i="6"/>
  <c r="N12" i="6"/>
  <c r="R12" i="6"/>
  <c r="V12" i="6"/>
  <c r="Z12" i="6"/>
  <c r="AD12" i="6"/>
  <c r="D12" i="6"/>
  <c r="I12" i="6"/>
  <c r="O12" i="6"/>
  <c r="T12" i="6"/>
  <c r="Y12" i="6"/>
  <c r="AE12" i="6"/>
  <c r="G12" i="6"/>
  <c r="M12" i="6"/>
  <c r="U12" i="6"/>
  <c r="AB12" i="6"/>
  <c r="H12" i="6"/>
  <c r="P12" i="6"/>
  <c r="W12" i="6"/>
  <c r="AC12" i="6"/>
  <c r="K12" i="6"/>
  <c r="X12" i="6"/>
  <c r="L12" i="6"/>
  <c r="AA12" i="6"/>
  <c r="C12" i="6"/>
  <c r="AF12" i="6"/>
  <c r="E12" i="6"/>
  <c r="AG12" i="6"/>
  <c r="Q12" i="6"/>
  <c r="S12" i="6"/>
  <c r="F29" i="6"/>
  <c r="J29" i="6"/>
  <c r="N29" i="6"/>
  <c r="R29" i="6"/>
  <c r="V29" i="6"/>
  <c r="Z29" i="6"/>
  <c r="AD29" i="6"/>
  <c r="C29" i="6"/>
  <c r="G29" i="6"/>
  <c r="K29" i="6"/>
  <c r="O29" i="6"/>
  <c r="S29" i="6"/>
  <c r="W29" i="6"/>
  <c r="AA29" i="6"/>
  <c r="AE29" i="6"/>
  <c r="H29" i="6"/>
  <c r="P29" i="6"/>
  <c r="X29" i="6"/>
  <c r="AF29" i="6"/>
  <c r="I29" i="6"/>
  <c r="Q29" i="6"/>
  <c r="Y29" i="6"/>
  <c r="AG29" i="6"/>
  <c r="L29" i="6"/>
  <c r="AB29" i="6"/>
  <c r="M29" i="6"/>
  <c r="AC29" i="6"/>
  <c r="T29" i="6"/>
  <c r="U29" i="6"/>
  <c r="D29" i="6"/>
  <c r="E29" i="6"/>
  <c r="F8" i="6"/>
  <c r="J8" i="6"/>
  <c r="N8" i="6"/>
  <c r="R8" i="6"/>
  <c r="V8" i="6"/>
  <c r="Z8" i="6"/>
  <c r="AD8" i="6"/>
  <c r="D8" i="6"/>
  <c r="I8" i="6"/>
  <c r="O8" i="6"/>
  <c r="T8" i="6"/>
  <c r="Y8" i="6"/>
  <c r="AE8" i="6"/>
  <c r="H8" i="6"/>
  <c r="P8" i="6"/>
  <c r="W8" i="6"/>
  <c r="AC8" i="6"/>
  <c r="G8" i="6"/>
  <c r="Q8" i="6"/>
  <c r="AA8" i="6"/>
  <c r="K8" i="6"/>
  <c r="S8" i="6"/>
  <c r="AB8" i="6"/>
  <c r="L8" i="6"/>
  <c r="AF8" i="6"/>
  <c r="M8" i="6"/>
  <c r="AG8" i="6"/>
  <c r="U8" i="6"/>
  <c r="X8" i="6"/>
  <c r="C8" i="6"/>
  <c r="E8" i="6"/>
  <c r="E15" i="6"/>
  <c r="I15" i="6"/>
  <c r="M15" i="6"/>
  <c r="Q15" i="6"/>
  <c r="U15" i="6"/>
  <c r="Y15" i="6"/>
  <c r="AC15" i="6"/>
  <c r="AG15" i="6"/>
  <c r="D15" i="6"/>
  <c r="J15" i="6"/>
  <c r="O15" i="6"/>
  <c r="T15" i="6"/>
  <c r="Z15" i="6"/>
  <c r="AE15" i="6"/>
  <c r="F15" i="6"/>
  <c r="K15" i="6"/>
  <c r="P15" i="6"/>
  <c r="V15" i="6"/>
  <c r="AA15" i="6"/>
  <c r="AF15" i="6"/>
  <c r="L15" i="6"/>
  <c r="W15" i="6"/>
  <c r="C15" i="6"/>
  <c r="N15" i="6"/>
  <c r="X15" i="6"/>
  <c r="R15" i="6"/>
  <c r="S15" i="6"/>
  <c r="G15" i="6"/>
  <c r="H15" i="6"/>
  <c r="AB15" i="6"/>
  <c r="AD15" i="6"/>
  <c r="E191" i="6"/>
  <c r="I191" i="6"/>
  <c r="M191" i="6"/>
  <c r="Q191" i="6"/>
  <c r="U191" i="6"/>
  <c r="Y191" i="6"/>
  <c r="AC191" i="6"/>
  <c r="AG191" i="6"/>
  <c r="D191" i="6"/>
  <c r="J191" i="6"/>
  <c r="O191" i="6"/>
  <c r="T191" i="6"/>
  <c r="Z191" i="6"/>
  <c r="AE191" i="6"/>
  <c r="H191" i="6"/>
  <c r="P191" i="6"/>
  <c r="W191" i="6"/>
  <c r="AD191" i="6"/>
  <c r="F191" i="6"/>
  <c r="L191" i="6"/>
  <c r="S191" i="6"/>
  <c r="AA191" i="6"/>
  <c r="K191" i="6"/>
  <c r="X191" i="6"/>
  <c r="N191" i="6"/>
  <c r="AB191" i="6"/>
  <c r="C191" i="6"/>
  <c r="R191" i="6"/>
  <c r="AF191" i="6"/>
  <c r="G191" i="6"/>
  <c r="V191" i="6"/>
  <c r="E131" i="6"/>
  <c r="I131" i="6"/>
  <c r="M131" i="6"/>
  <c r="Q131" i="6"/>
  <c r="U131" i="6"/>
  <c r="Y131" i="6"/>
  <c r="AC131" i="6"/>
  <c r="AG131" i="6"/>
  <c r="F131" i="6"/>
  <c r="K131" i="6"/>
  <c r="P131" i="6"/>
  <c r="V131" i="6"/>
  <c r="AA131" i="6"/>
  <c r="AF131" i="6"/>
  <c r="G131" i="6"/>
  <c r="L131" i="6"/>
  <c r="R131" i="6"/>
  <c r="W131" i="6"/>
  <c r="AB131" i="6"/>
  <c r="C131" i="6"/>
  <c r="N131" i="6"/>
  <c r="X131" i="6"/>
  <c r="D131" i="6"/>
  <c r="O131" i="6"/>
  <c r="Z131" i="6"/>
  <c r="S131" i="6"/>
  <c r="H131" i="6"/>
  <c r="AD131" i="6"/>
  <c r="T131" i="6"/>
  <c r="AE131" i="6"/>
  <c r="J131" i="6"/>
  <c r="D214" i="6"/>
  <c r="H214" i="6"/>
  <c r="L214" i="6"/>
  <c r="P214" i="6"/>
  <c r="T214" i="6"/>
  <c r="X214" i="6"/>
  <c r="AB214" i="6"/>
  <c r="AF214" i="6"/>
  <c r="F214" i="6"/>
  <c r="J214" i="6"/>
  <c r="N214" i="6"/>
  <c r="R214" i="6"/>
  <c r="V214" i="6"/>
  <c r="Z214" i="6"/>
  <c r="AD214" i="6"/>
  <c r="I214" i="6"/>
  <c r="Q214" i="6"/>
  <c r="Y214" i="6"/>
  <c r="AG214" i="6"/>
  <c r="E214" i="6"/>
  <c r="M214" i="6"/>
  <c r="U214" i="6"/>
  <c r="AC214" i="6"/>
  <c r="G214" i="6"/>
  <c r="W214" i="6"/>
  <c r="K214" i="6"/>
  <c r="AA214" i="6"/>
  <c r="O214" i="6"/>
  <c r="AE214" i="6"/>
  <c r="C214" i="6"/>
  <c r="S214" i="6"/>
  <c r="D91" i="6"/>
  <c r="H91" i="6"/>
  <c r="L91" i="6"/>
  <c r="P91" i="6"/>
  <c r="T91" i="6"/>
  <c r="X91" i="6"/>
  <c r="AB91" i="6"/>
  <c r="AF91" i="6"/>
  <c r="E91" i="6"/>
  <c r="I91" i="6"/>
  <c r="M91" i="6"/>
  <c r="Q91" i="6"/>
  <c r="U91" i="6"/>
  <c r="Y91" i="6"/>
  <c r="AC91" i="6"/>
  <c r="AG91" i="6"/>
  <c r="J91" i="6"/>
  <c r="R91" i="6"/>
  <c r="Z91" i="6"/>
  <c r="C91" i="6"/>
  <c r="K91" i="6"/>
  <c r="S91" i="6"/>
  <c r="AA91" i="6"/>
  <c r="N91" i="6"/>
  <c r="AD91" i="6"/>
  <c r="O91" i="6"/>
  <c r="AE91" i="6"/>
  <c r="G91" i="6"/>
  <c r="W91" i="6"/>
  <c r="V91" i="6"/>
  <c r="F91" i="6"/>
  <c r="AH106" i="2"/>
  <c r="AH54" i="5"/>
  <c r="AH131" i="5"/>
  <c r="AH91" i="2"/>
  <c r="AH91" i="5"/>
  <c r="AH240" i="5"/>
  <c r="AH122" i="5"/>
  <c r="AH214" i="5"/>
  <c r="AH132" i="5"/>
  <c r="AH180" i="5"/>
  <c r="AH198" i="5"/>
  <c r="AH199" i="5"/>
  <c r="AH262" i="5"/>
  <c r="AH53" i="2"/>
  <c r="AH123" i="2"/>
  <c r="AH187" i="2"/>
  <c r="AH257" i="2"/>
  <c r="AH163" i="5"/>
  <c r="AH83" i="5"/>
  <c r="AH77" i="5"/>
  <c r="AH53" i="5"/>
  <c r="AH26" i="5"/>
  <c r="AH9" i="5"/>
  <c r="AH253" i="5"/>
  <c r="AH69" i="2"/>
  <c r="AH273" i="2"/>
  <c r="AH269" i="5"/>
  <c r="AH21" i="2"/>
  <c r="AH85" i="2"/>
  <c r="AH155" i="2"/>
  <c r="AH219" i="2"/>
  <c r="AH14" i="2"/>
  <c r="AH254" i="5"/>
  <c r="AH13" i="2"/>
  <c r="AH147" i="2"/>
  <c r="AH6" i="2"/>
  <c r="AH254" i="2"/>
  <c r="AH216" i="2"/>
  <c r="AH184" i="2"/>
  <c r="AH152" i="2"/>
  <c r="AH120" i="2"/>
  <c r="AH82" i="2"/>
  <c r="AH50" i="2"/>
  <c r="AH18" i="2"/>
  <c r="AH253" i="2"/>
  <c r="AH215" i="2"/>
  <c r="AH183" i="2"/>
  <c r="AH151" i="2"/>
  <c r="AH119" i="2"/>
  <c r="AH81" i="2"/>
  <c r="AH49" i="2"/>
  <c r="AH17" i="2"/>
  <c r="AH276" i="2"/>
  <c r="AH260" i="2"/>
  <c r="AH238" i="2"/>
  <c r="AH222" i="2"/>
  <c r="AH206" i="2"/>
  <c r="AH190" i="2"/>
  <c r="AH174" i="2"/>
  <c r="AH158" i="2"/>
  <c r="AH142" i="2"/>
  <c r="AH126" i="2"/>
  <c r="AH110" i="2"/>
  <c r="AH88" i="2"/>
  <c r="AH72" i="2"/>
  <c r="AH56" i="2"/>
  <c r="AH40" i="2"/>
  <c r="AH24" i="2"/>
  <c r="AH8" i="2"/>
  <c r="AH275" i="2"/>
  <c r="AH259" i="2"/>
  <c r="AH237" i="2"/>
  <c r="AH221" i="2"/>
  <c r="AH205" i="2"/>
  <c r="AH189" i="2"/>
  <c r="AH173" i="2"/>
  <c r="AH157" i="2"/>
  <c r="AH141" i="2"/>
  <c r="AH125" i="2"/>
  <c r="AH109" i="2"/>
  <c r="AH87" i="2"/>
  <c r="AH71" i="2"/>
  <c r="AH55" i="2"/>
  <c r="AH39" i="2"/>
  <c r="AH23" i="2"/>
  <c r="AH7" i="2"/>
  <c r="AH5" i="2"/>
  <c r="AH203" i="2"/>
  <c r="AH278" i="5"/>
  <c r="AH37" i="2"/>
  <c r="AH107" i="2"/>
  <c r="AH171" i="2"/>
  <c r="AH235" i="2"/>
  <c r="AH45" i="2"/>
  <c r="AH179" i="2"/>
  <c r="AH278" i="2"/>
  <c r="AH240" i="2"/>
  <c r="AH208" i="2"/>
  <c r="AH176" i="2"/>
  <c r="AH144" i="2"/>
  <c r="AH112" i="2"/>
  <c r="AH74" i="2"/>
  <c r="AH42" i="2"/>
  <c r="AH10" i="2"/>
  <c r="AH277" i="2"/>
  <c r="AH239" i="2"/>
  <c r="AH207" i="2"/>
  <c r="AH175" i="2"/>
  <c r="AH143" i="2"/>
  <c r="AH111" i="2"/>
  <c r="AH73" i="2"/>
  <c r="AH41" i="2"/>
  <c r="AH9" i="2"/>
  <c r="AH272" i="2"/>
  <c r="AH256" i="2"/>
  <c r="AH234" i="2"/>
  <c r="AH218" i="2"/>
  <c r="AH202" i="2"/>
  <c r="AH186" i="2"/>
  <c r="AH170" i="2"/>
  <c r="AH154" i="2"/>
  <c r="AH138" i="2"/>
  <c r="AH122" i="2"/>
  <c r="AH101" i="2"/>
  <c r="AH84" i="2"/>
  <c r="AH68" i="2"/>
  <c r="AH52" i="2"/>
  <c r="AH36" i="2"/>
  <c r="AH20" i="2"/>
  <c r="AH4" i="2"/>
  <c r="AH271" i="2"/>
  <c r="AH255" i="2"/>
  <c r="AH233" i="2"/>
  <c r="AH217" i="2"/>
  <c r="AH201" i="2"/>
  <c r="AH185" i="2"/>
  <c r="AH169" i="2"/>
  <c r="AH153" i="2"/>
  <c r="AH137" i="2"/>
  <c r="AH121" i="2"/>
  <c r="AH100" i="2"/>
  <c r="AH83" i="2"/>
  <c r="AH67" i="2"/>
  <c r="AH51" i="2"/>
  <c r="AH35" i="2"/>
  <c r="AH19" i="2"/>
  <c r="AH77" i="2"/>
  <c r="AH211" i="2"/>
  <c r="AH270" i="2"/>
  <c r="AH232" i="2"/>
  <c r="AH200" i="2"/>
  <c r="AH168" i="2"/>
  <c r="AH136" i="2"/>
  <c r="AH99" i="2"/>
  <c r="AH66" i="2"/>
  <c r="AH34" i="2"/>
  <c r="AH269" i="2"/>
  <c r="AH231" i="2"/>
  <c r="AH199" i="2"/>
  <c r="AH167" i="2"/>
  <c r="AH135" i="2"/>
  <c r="AH98" i="2"/>
  <c r="AH65" i="2"/>
  <c r="AH33" i="2"/>
  <c r="AH268" i="2"/>
  <c r="AH252" i="2"/>
  <c r="AH230" i="2"/>
  <c r="AH214" i="2"/>
  <c r="AH198" i="2"/>
  <c r="AH182" i="2"/>
  <c r="AH166" i="2"/>
  <c r="AH150" i="2"/>
  <c r="AH134" i="2"/>
  <c r="AH118" i="2"/>
  <c r="AH97" i="2"/>
  <c r="AH80" i="2"/>
  <c r="AH64" i="2"/>
  <c r="AH48" i="2"/>
  <c r="AH32" i="2"/>
  <c r="AH16" i="2"/>
  <c r="AH267" i="2"/>
  <c r="AH251" i="2"/>
  <c r="AH229" i="2"/>
  <c r="AH213" i="2"/>
  <c r="AH197" i="2"/>
  <c r="AH181" i="2"/>
  <c r="AH165" i="2"/>
  <c r="AH62" i="2"/>
  <c r="AH196" i="2"/>
  <c r="AH229" i="5"/>
  <c r="AH239" i="5"/>
  <c r="AH54" i="2"/>
  <c r="AH124" i="2"/>
  <c r="AH188" i="2"/>
  <c r="AH258" i="2"/>
  <c r="AH139" i="2"/>
  <c r="AH270" i="5"/>
  <c r="AH115" i="2"/>
  <c r="AH243" i="2"/>
  <c r="AH262" i="2"/>
  <c r="AH224" i="2"/>
  <c r="AH192" i="2"/>
  <c r="AH160" i="2"/>
  <c r="AH128" i="2"/>
  <c r="AH90" i="2"/>
  <c r="AH58" i="2"/>
  <c r="AH26" i="2"/>
  <c r="AH261" i="2"/>
  <c r="AH223" i="2"/>
  <c r="AH191" i="2"/>
  <c r="AH159" i="2"/>
  <c r="AH127" i="2"/>
  <c r="AH89" i="2"/>
  <c r="AH57" i="2"/>
  <c r="AH25" i="2"/>
  <c r="AH264" i="2"/>
  <c r="AH242" i="2"/>
  <c r="AH226" i="2"/>
  <c r="AH210" i="2"/>
  <c r="AH194" i="2"/>
  <c r="AH178" i="2"/>
  <c r="AH162" i="2"/>
  <c r="AH146" i="2"/>
  <c r="AH130" i="2"/>
  <c r="AH114" i="2"/>
  <c r="AH93" i="2"/>
  <c r="AH76" i="2"/>
  <c r="AH60" i="2"/>
  <c r="AH44" i="2"/>
  <c r="AH28" i="2"/>
  <c r="AH12" i="2"/>
  <c r="AH95" i="2"/>
  <c r="AH228" i="2"/>
  <c r="AH3" i="2"/>
  <c r="AH70" i="2"/>
  <c r="AH140" i="2"/>
  <c r="AH204" i="2"/>
  <c r="AH274" i="2"/>
  <c r="AH191" i="5"/>
  <c r="AH265" i="5"/>
  <c r="AH258" i="5"/>
  <c r="AH192" i="5"/>
  <c r="AH181" i="5"/>
  <c r="AH267" i="5"/>
  <c r="AH251" i="5"/>
  <c r="AH226" i="5"/>
  <c r="AH210" i="5"/>
  <c r="AH276" i="5"/>
  <c r="AH260" i="5"/>
  <c r="AH238" i="5"/>
  <c r="AH227" i="5"/>
  <c r="AH228" i="5"/>
  <c r="AH212" i="5"/>
  <c r="AH159" i="5"/>
  <c r="AH209" i="5"/>
  <c r="AH152" i="5"/>
  <c r="AH177" i="5"/>
  <c r="AH161" i="5"/>
  <c r="AH145" i="5"/>
  <c r="AH117" i="5"/>
  <c r="AH190" i="5"/>
  <c r="AH174" i="5"/>
  <c r="AH158" i="5"/>
  <c r="AH142" i="5"/>
  <c r="AH110" i="5"/>
  <c r="AH92" i="5"/>
  <c r="AH116" i="5"/>
  <c r="AH69" i="5"/>
  <c r="AH119" i="5"/>
  <c r="AH81" i="5"/>
  <c r="AH94" i="5"/>
  <c r="AH49" i="5"/>
  <c r="AH35" i="5"/>
  <c r="AH24" i="5"/>
  <c r="AH86" i="5"/>
  <c r="AH66" i="5"/>
  <c r="AH80" i="5"/>
  <c r="AH64" i="5"/>
  <c r="AH67" i="5"/>
  <c r="AH51" i="5"/>
  <c r="AH42" i="5"/>
  <c r="AH43" i="5"/>
  <c r="AH5" i="5"/>
  <c r="AH22" i="5"/>
  <c r="AH6" i="5"/>
  <c r="AH41" i="5"/>
  <c r="AH25" i="5"/>
  <c r="AH13" i="5"/>
  <c r="AH11" i="5"/>
  <c r="AH164" i="5"/>
  <c r="AH230" i="5"/>
  <c r="AH94" i="2"/>
  <c r="AH227" i="2"/>
  <c r="AH116" i="2"/>
  <c r="AH244" i="2"/>
  <c r="AH149" i="2"/>
  <c r="AH133" i="2"/>
  <c r="AH117" i="2"/>
  <c r="AH96" i="2"/>
  <c r="AH79" i="2"/>
  <c r="AH63" i="2"/>
  <c r="AH47" i="2"/>
  <c r="AH31" i="2"/>
  <c r="AH15" i="2"/>
  <c r="AH132" i="2"/>
  <c r="AH266" i="2"/>
  <c r="AH277" i="5"/>
  <c r="AH22" i="2"/>
  <c r="AH86" i="2"/>
  <c r="AH156" i="2"/>
  <c r="AH220" i="2"/>
  <c r="AH273" i="5"/>
  <c r="AH147" i="5"/>
  <c r="AH266" i="5"/>
  <c r="AH235" i="5"/>
  <c r="AH207" i="5"/>
  <c r="AH148" i="5"/>
  <c r="AH271" i="5"/>
  <c r="AH255" i="5"/>
  <c r="AH218" i="5"/>
  <c r="AH139" i="5"/>
  <c r="AH264" i="5"/>
  <c r="AH242" i="5"/>
  <c r="AH233" i="5"/>
  <c r="AH203" i="5"/>
  <c r="AH140" i="5"/>
  <c r="AH109" i="5"/>
  <c r="AH232" i="5"/>
  <c r="AH216" i="5"/>
  <c r="AH200" i="5"/>
  <c r="AH193" i="5"/>
  <c r="AH167" i="5"/>
  <c r="AH135" i="5"/>
  <c r="AH97" i="5"/>
  <c r="AH213" i="5"/>
  <c r="AH197" i="5"/>
  <c r="AH189" i="5"/>
  <c r="AH160" i="5"/>
  <c r="AH114" i="5"/>
  <c r="AH165" i="5"/>
  <c r="AH149" i="5"/>
  <c r="AH133" i="5"/>
  <c r="AH125" i="5"/>
  <c r="AH88" i="5"/>
  <c r="AH70" i="5"/>
  <c r="AH194" i="5"/>
  <c r="AH178" i="5"/>
  <c r="AH162" i="5"/>
  <c r="AH146" i="5"/>
  <c r="AH129" i="5"/>
  <c r="AH118" i="5"/>
  <c r="AH120" i="5"/>
  <c r="AH123" i="5"/>
  <c r="AH84" i="5"/>
  <c r="AH62" i="5"/>
  <c r="AH98" i="5"/>
  <c r="AH57" i="5"/>
  <c r="AH45" i="5"/>
  <c r="AH90" i="5"/>
  <c r="AH74" i="5"/>
  <c r="AH48" i="5"/>
  <c r="AH68" i="5"/>
  <c r="AH52" i="5"/>
  <c r="AH71" i="5"/>
  <c r="AH55" i="5"/>
  <c r="AH47" i="5"/>
  <c r="AH16" i="5"/>
  <c r="AH4" i="5"/>
  <c r="AH46" i="5"/>
  <c r="AH38" i="5"/>
  <c r="AH10" i="5"/>
  <c r="AH12" i="5"/>
  <c r="AH29" i="5"/>
  <c r="AH8" i="5"/>
  <c r="AH15" i="5"/>
  <c r="AH131" i="2"/>
  <c r="AH265" i="2"/>
  <c r="AH148" i="2"/>
  <c r="AH263" i="2"/>
  <c r="AH241" i="2"/>
  <c r="AH225" i="2"/>
  <c r="AH209" i="2"/>
  <c r="AH193" i="2"/>
  <c r="AH177" i="2"/>
  <c r="AH161" i="2"/>
  <c r="AH145" i="2"/>
  <c r="AH129" i="2"/>
  <c r="AH113" i="2"/>
  <c r="AH92" i="2"/>
  <c r="AH75" i="2"/>
  <c r="AH59" i="2"/>
  <c r="AH43" i="2"/>
  <c r="AH27" i="2"/>
  <c r="AH11" i="2"/>
  <c r="AH46" i="2"/>
  <c r="AH164" i="2"/>
  <c r="AH261" i="5"/>
  <c r="AH38" i="2"/>
  <c r="AH108" i="2"/>
  <c r="AH172" i="2"/>
  <c r="AH236" i="2"/>
  <c r="AH3" i="5"/>
  <c r="AH243" i="5"/>
  <c r="D242" i="8" s="1"/>
  <c r="AH206" i="5"/>
  <c r="AH121" i="5"/>
  <c r="AH274" i="5"/>
  <c r="AH236" i="5"/>
  <c r="AH225" i="5"/>
  <c r="AH223" i="5"/>
  <c r="AH275" i="5"/>
  <c r="AH259" i="5"/>
  <c r="AH237" i="5"/>
  <c r="AH196" i="5"/>
  <c r="AH185" i="5"/>
  <c r="AH155" i="5"/>
  <c r="AH130" i="5"/>
  <c r="AH268" i="5"/>
  <c r="AH252" i="5"/>
  <c r="AH211" i="5"/>
  <c r="AH187" i="5"/>
  <c r="AH156" i="5"/>
  <c r="AH220" i="5"/>
  <c r="AH204" i="5"/>
  <c r="AH188" i="5"/>
  <c r="AH175" i="5"/>
  <c r="AH143" i="5"/>
  <c r="AH113" i="5"/>
  <c r="AH217" i="5"/>
  <c r="AH201" i="5"/>
  <c r="AH195" i="5"/>
  <c r="AH184" i="5"/>
  <c r="AH168" i="5"/>
  <c r="AH136" i="5"/>
  <c r="AH61" i="5"/>
  <c r="AH169" i="5"/>
  <c r="AH153" i="5"/>
  <c r="AH137" i="5"/>
  <c r="AH182" i="5"/>
  <c r="AH166" i="5"/>
  <c r="AH150" i="5"/>
  <c r="AH134" i="5"/>
  <c r="AH126" i="5"/>
  <c r="AH124" i="5"/>
  <c r="AH87" i="5"/>
  <c r="AH127" i="5"/>
  <c r="AH111" i="5"/>
  <c r="AH93" i="5"/>
  <c r="AH78" i="5"/>
  <c r="AH107" i="5"/>
  <c r="AH85" i="5"/>
  <c r="AH65" i="5"/>
  <c r="AH95" i="5"/>
  <c r="AH50" i="5"/>
  <c r="AH72" i="5"/>
  <c r="AH56" i="5"/>
  <c r="AH44" i="5"/>
  <c r="AH36" i="5"/>
  <c r="AH31" i="5"/>
  <c r="AH20" i="5"/>
  <c r="AH75" i="5"/>
  <c r="AH59" i="5"/>
  <c r="AH32" i="5"/>
  <c r="AH28" i="5"/>
  <c r="AH17" i="5"/>
  <c r="AH33" i="5"/>
  <c r="AH19" i="5"/>
  <c r="AH29" i="2"/>
  <c r="AH163" i="2"/>
  <c r="AH30" i="2"/>
  <c r="AH180" i="2"/>
  <c r="AH257" i="5"/>
  <c r="AH234" i="5"/>
  <c r="AH222" i="5"/>
  <c r="AH244" i="5"/>
  <c r="AH263" i="5"/>
  <c r="AH241" i="5"/>
  <c r="AH231" i="5"/>
  <c r="AH202" i="5"/>
  <c r="AH171" i="5"/>
  <c r="AH272" i="5"/>
  <c r="AH256" i="5"/>
  <c r="AH219" i="5"/>
  <c r="AH172" i="5"/>
  <c r="AH224" i="5"/>
  <c r="AH208" i="5"/>
  <c r="AH183" i="5"/>
  <c r="AH151" i="5"/>
  <c r="AH108" i="5"/>
  <c r="AH221" i="5"/>
  <c r="AH205" i="5"/>
  <c r="AH179" i="5"/>
  <c r="AH176" i="5"/>
  <c r="AH144" i="5"/>
  <c r="AH100" i="5"/>
  <c r="AH173" i="5"/>
  <c r="AH157" i="5"/>
  <c r="AH141" i="5"/>
  <c r="AH186" i="5"/>
  <c r="AH170" i="5"/>
  <c r="AH154" i="5"/>
  <c r="AH138" i="5"/>
  <c r="AH128" i="5"/>
  <c r="AH112" i="5"/>
  <c r="AH96" i="5"/>
  <c r="AH115" i="5"/>
  <c r="AH101" i="5"/>
  <c r="AH89" i="5"/>
  <c r="AH73" i="5"/>
  <c r="AH99" i="5"/>
  <c r="AH82" i="5"/>
  <c r="AH58" i="5"/>
  <c r="AH40" i="5"/>
  <c r="AH76" i="5"/>
  <c r="AH60" i="5"/>
  <c r="AH79" i="5"/>
  <c r="AH63" i="5"/>
  <c r="AH39" i="5"/>
  <c r="AH30" i="5"/>
  <c r="AH27" i="5"/>
  <c r="AH34" i="5"/>
  <c r="AH23" i="5"/>
  <c r="AH14" i="5"/>
  <c r="AH37" i="5"/>
  <c r="AH21" i="5"/>
  <c r="AH18" i="5"/>
  <c r="AH7" i="5"/>
  <c r="AH215" i="5"/>
  <c r="AH61" i="2"/>
  <c r="AH195" i="2"/>
  <c r="AH78" i="2"/>
  <c r="AH212" i="2"/>
  <c r="D240" i="8"/>
  <c r="D246" i="8" l="1"/>
  <c r="D249" i="8"/>
  <c r="D103" i="8"/>
  <c r="L247" i="8"/>
  <c r="K247" i="8"/>
  <c r="K244" i="8"/>
  <c r="L244" i="8"/>
  <c r="L246" i="8"/>
  <c r="K246" i="8"/>
  <c r="L245" i="8"/>
  <c r="K245" i="8"/>
  <c r="K248" i="8"/>
  <c r="L248" i="8"/>
  <c r="L249" i="8"/>
  <c r="K249" i="8"/>
  <c r="K13" i="8"/>
  <c r="K90" i="8"/>
  <c r="L90" i="8"/>
  <c r="K213" i="8"/>
  <c r="L213" i="8"/>
  <c r="K130" i="8"/>
  <c r="L130" i="8"/>
  <c r="K190" i="8"/>
  <c r="L190" i="8"/>
  <c r="K14" i="8"/>
  <c r="L14" i="8"/>
  <c r="L7" i="8"/>
  <c r="K7" i="8"/>
  <c r="L28" i="8"/>
  <c r="K28" i="8"/>
  <c r="K11" i="8"/>
  <c r="L11" i="8"/>
  <c r="L9" i="8"/>
  <c r="K9" i="8"/>
  <c r="K37" i="8"/>
  <c r="L37" i="8"/>
  <c r="K45" i="8"/>
  <c r="L45" i="8"/>
  <c r="L3" i="8"/>
  <c r="K3" i="8"/>
  <c r="K15" i="8"/>
  <c r="L15" i="8"/>
  <c r="L46" i="8"/>
  <c r="K46" i="8"/>
  <c r="K54" i="8"/>
  <c r="L54" i="8"/>
  <c r="L70" i="8"/>
  <c r="K70" i="8"/>
  <c r="K51" i="8"/>
  <c r="L51" i="8"/>
  <c r="L67" i="8"/>
  <c r="K67" i="8"/>
  <c r="L47" i="8"/>
  <c r="K47" i="8"/>
  <c r="L73" i="8"/>
  <c r="K73" i="8"/>
  <c r="L89" i="8"/>
  <c r="K89" i="8"/>
  <c r="K44" i="8"/>
  <c r="L44" i="8"/>
  <c r="L56" i="8"/>
  <c r="K56" i="8"/>
  <c r="L97" i="8"/>
  <c r="K97" i="8"/>
  <c r="K61" i="8"/>
  <c r="L61" i="8"/>
  <c r="K83" i="8"/>
  <c r="L83" i="8"/>
  <c r="L122" i="8"/>
  <c r="K122" i="8"/>
  <c r="L119" i="8"/>
  <c r="K119" i="8"/>
  <c r="K117" i="8"/>
  <c r="L117" i="8"/>
  <c r="K128" i="8"/>
  <c r="L128" i="8"/>
  <c r="L145" i="8"/>
  <c r="K145" i="8"/>
  <c r="L161" i="8"/>
  <c r="K161" i="8"/>
  <c r="K177" i="8"/>
  <c r="L177" i="8"/>
  <c r="L193" i="8"/>
  <c r="K193" i="8"/>
  <c r="L69" i="8"/>
  <c r="K69" i="8"/>
  <c r="L87" i="8"/>
  <c r="K87" i="8"/>
  <c r="K124" i="8"/>
  <c r="L124" i="8"/>
  <c r="K132" i="8"/>
  <c r="L132" i="8"/>
  <c r="K148" i="8"/>
  <c r="L148" i="8"/>
  <c r="K164" i="8"/>
  <c r="L164" i="8"/>
  <c r="K113" i="8"/>
  <c r="L113" i="8"/>
  <c r="L159" i="8"/>
  <c r="K159" i="8"/>
  <c r="L188" i="8"/>
  <c r="K188" i="8"/>
  <c r="K196" i="8"/>
  <c r="L196" i="8"/>
  <c r="K212" i="8"/>
  <c r="L212" i="8"/>
  <c r="L96" i="8"/>
  <c r="K96" i="8"/>
  <c r="L134" i="8"/>
  <c r="K134" i="8"/>
  <c r="K166" i="8"/>
  <c r="L166" i="8"/>
  <c r="L192" i="8"/>
  <c r="K192" i="8"/>
  <c r="K199" i="8"/>
  <c r="L199" i="8"/>
  <c r="L215" i="8"/>
  <c r="K215" i="8"/>
  <c r="K231" i="8"/>
  <c r="L231" i="8"/>
  <c r="K108" i="8"/>
  <c r="L108" i="8"/>
  <c r="K139" i="8"/>
  <c r="L139" i="8"/>
  <c r="L202" i="8"/>
  <c r="K202" i="8"/>
  <c r="L232" i="8"/>
  <c r="K232" i="8"/>
  <c r="L241" i="8"/>
  <c r="K241" i="8"/>
  <c r="L263" i="8"/>
  <c r="K263" i="8"/>
  <c r="L138" i="8"/>
  <c r="K138" i="8"/>
  <c r="L217" i="8"/>
  <c r="K217" i="8"/>
  <c r="L254" i="8"/>
  <c r="K254" i="8"/>
  <c r="L270" i="8"/>
  <c r="K270" i="8"/>
  <c r="K147" i="8"/>
  <c r="L147" i="8"/>
  <c r="L206" i="8"/>
  <c r="K206" i="8"/>
  <c r="L234" i="8"/>
  <c r="K234" i="8"/>
  <c r="L265" i="8"/>
  <c r="K265" i="8"/>
  <c r="K146" i="8"/>
  <c r="L146" i="8"/>
  <c r="K272" i="8"/>
  <c r="L272" i="8"/>
  <c r="K276" i="8"/>
  <c r="L276" i="8"/>
  <c r="L162" i="8"/>
  <c r="K162" i="8"/>
  <c r="K253" i="8"/>
  <c r="L253" i="8"/>
  <c r="L131" i="8"/>
  <c r="K131" i="8"/>
  <c r="L102" i="8"/>
  <c r="K102" i="8"/>
  <c r="K252" i="8"/>
  <c r="L252" i="8"/>
  <c r="K268" i="8"/>
  <c r="L268" i="8"/>
  <c r="K229" i="8"/>
  <c r="L229" i="8"/>
  <c r="L163" i="8"/>
  <c r="K163" i="8"/>
  <c r="K10" i="8"/>
  <c r="L10" i="8"/>
  <c r="K12" i="8"/>
  <c r="L12" i="8"/>
  <c r="L24" i="8"/>
  <c r="K24" i="8"/>
  <c r="K40" i="8"/>
  <c r="L40" i="8"/>
  <c r="K5" i="8"/>
  <c r="L5" i="8"/>
  <c r="K21" i="8"/>
  <c r="L21" i="8"/>
  <c r="K4" i="8"/>
  <c r="L4" i="8"/>
  <c r="L42" i="8"/>
  <c r="K42" i="8"/>
  <c r="L41" i="8"/>
  <c r="K41" i="8"/>
  <c r="L50" i="8"/>
  <c r="K50" i="8"/>
  <c r="L66" i="8"/>
  <c r="K66" i="8"/>
  <c r="K63" i="8"/>
  <c r="L63" i="8"/>
  <c r="L79" i="8"/>
  <c r="K79" i="8"/>
  <c r="L65" i="8"/>
  <c r="K65" i="8"/>
  <c r="K85" i="8"/>
  <c r="L85" i="8"/>
  <c r="L23" i="8"/>
  <c r="K23" i="8"/>
  <c r="K34" i="8"/>
  <c r="L34" i="8"/>
  <c r="L48" i="8"/>
  <c r="K48" i="8"/>
  <c r="K93" i="8"/>
  <c r="L93" i="8"/>
  <c r="L80" i="8"/>
  <c r="K80" i="8"/>
  <c r="K118" i="8"/>
  <c r="L118" i="8"/>
  <c r="K68" i="8"/>
  <c r="L68" i="8"/>
  <c r="K115" i="8"/>
  <c r="L115" i="8"/>
  <c r="K91" i="8"/>
  <c r="L91" i="8"/>
  <c r="K109" i="8"/>
  <c r="L109" i="8"/>
  <c r="K141" i="8"/>
  <c r="L141" i="8"/>
  <c r="K157" i="8"/>
  <c r="L157" i="8"/>
  <c r="L173" i="8"/>
  <c r="K173" i="8"/>
  <c r="L189" i="8"/>
  <c r="K189" i="8"/>
  <c r="L116" i="8"/>
  <c r="K116" i="8"/>
  <c r="L144" i="8"/>
  <c r="K144" i="8"/>
  <c r="L160" i="8"/>
  <c r="K160" i="8"/>
  <c r="L176" i="8"/>
  <c r="K176" i="8"/>
  <c r="L151" i="8"/>
  <c r="K151" i="8"/>
  <c r="L208" i="8"/>
  <c r="K208" i="8"/>
  <c r="L158" i="8"/>
  <c r="K158" i="8"/>
  <c r="L211" i="8"/>
  <c r="K211" i="8"/>
  <c r="K227" i="8"/>
  <c r="L227" i="8"/>
  <c r="L226" i="8"/>
  <c r="K226" i="8"/>
  <c r="L237" i="8"/>
  <c r="K237" i="8"/>
  <c r="L259" i="8"/>
  <c r="K259" i="8"/>
  <c r="K275" i="8"/>
  <c r="L275" i="8"/>
  <c r="K209" i="8"/>
  <c r="L209" i="8"/>
  <c r="L225" i="8"/>
  <c r="K225" i="8"/>
  <c r="K250" i="8"/>
  <c r="L250" i="8"/>
  <c r="K266" i="8"/>
  <c r="L266" i="8"/>
  <c r="K180" i="8"/>
  <c r="L180" i="8"/>
  <c r="L191" i="8"/>
  <c r="K191" i="8"/>
  <c r="L257" i="8"/>
  <c r="K257" i="8"/>
  <c r="K264" i="8"/>
  <c r="L264" i="8"/>
  <c r="L269" i="8"/>
  <c r="K269" i="8"/>
  <c r="L239" i="8"/>
  <c r="K239" i="8"/>
  <c r="K261" i="8"/>
  <c r="L261" i="8"/>
  <c r="L121" i="8"/>
  <c r="K121" i="8"/>
  <c r="L104" i="8"/>
  <c r="K104" i="8"/>
  <c r="L103" i="8"/>
  <c r="K103" i="8"/>
  <c r="L101" i="8"/>
  <c r="K101" i="8"/>
  <c r="L179" i="8"/>
  <c r="K179" i="8"/>
  <c r="K214" i="8"/>
  <c r="L214" i="8"/>
  <c r="L6" i="8"/>
  <c r="K6" i="8"/>
  <c r="K17" i="8"/>
  <c r="L17" i="8"/>
  <c r="L20" i="8"/>
  <c r="K20" i="8"/>
  <c r="K36" i="8"/>
  <c r="L36" i="8"/>
  <c r="L13" i="8"/>
  <c r="K22" i="8"/>
  <c r="L22" i="8"/>
  <c r="K33" i="8"/>
  <c r="L33" i="8"/>
  <c r="L8" i="8"/>
  <c r="K8" i="8"/>
  <c r="K26" i="8"/>
  <c r="L26" i="8"/>
  <c r="L25" i="8"/>
  <c r="K25" i="8"/>
  <c r="L29" i="8"/>
  <c r="K29" i="8"/>
  <c r="L38" i="8"/>
  <c r="K38" i="8"/>
  <c r="K62" i="8"/>
  <c r="L62" i="8"/>
  <c r="K78" i="8"/>
  <c r="L78" i="8"/>
  <c r="K59" i="8"/>
  <c r="L59" i="8"/>
  <c r="K75" i="8"/>
  <c r="L75" i="8"/>
  <c r="L39" i="8"/>
  <c r="K39" i="8"/>
  <c r="K57" i="8"/>
  <c r="L57" i="8"/>
  <c r="K81" i="8"/>
  <c r="L81" i="8"/>
  <c r="L98" i="8"/>
  <c r="K98" i="8"/>
  <c r="L72" i="8"/>
  <c r="K72" i="8"/>
  <c r="L88" i="8"/>
  <c r="K88" i="8"/>
  <c r="K100" i="8"/>
  <c r="L100" i="8"/>
  <c r="L114" i="8"/>
  <c r="K114" i="8"/>
  <c r="K52" i="8"/>
  <c r="L52" i="8"/>
  <c r="K95" i="8"/>
  <c r="L95" i="8"/>
  <c r="K111" i="8"/>
  <c r="L111" i="8"/>
  <c r="K127" i="8"/>
  <c r="L127" i="8"/>
  <c r="L76" i="8"/>
  <c r="K76" i="8"/>
  <c r="K137" i="8"/>
  <c r="L137" i="8"/>
  <c r="L153" i="8"/>
  <c r="K153" i="8"/>
  <c r="K169" i="8"/>
  <c r="L169" i="8"/>
  <c r="L185" i="8"/>
  <c r="K185" i="8"/>
  <c r="L140" i="8"/>
  <c r="K140" i="8"/>
  <c r="L156" i="8"/>
  <c r="K156" i="8"/>
  <c r="L172" i="8"/>
  <c r="K172" i="8"/>
  <c r="L99" i="8"/>
  <c r="K99" i="8"/>
  <c r="K143" i="8"/>
  <c r="L143" i="8"/>
  <c r="K175" i="8"/>
  <c r="L175" i="8"/>
  <c r="K178" i="8"/>
  <c r="L178" i="8"/>
  <c r="L204" i="8"/>
  <c r="K204" i="8"/>
  <c r="L220" i="8"/>
  <c r="K220" i="8"/>
  <c r="K107" i="8"/>
  <c r="L107" i="8"/>
  <c r="L150" i="8"/>
  <c r="K150" i="8"/>
  <c r="K182" i="8"/>
  <c r="L182" i="8"/>
  <c r="L207" i="8"/>
  <c r="K207" i="8"/>
  <c r="L223" i="8"/>
  <c r="K223" i="8"/>
  <c r="K82" i="8"/>
  <c r="L82" i="8"/>
  <c r="L171" i="8"/>
  <c r="K171" i="8"/>
  <c r="L218" i="8"/>
  <c r="K218" i="8"/>
  <c r="L255" i="8"/>
  <c r="K255" i="8"/>
  <c r="L271" i="8"/>
  <c r="K271" i="8"/>
  <c r="K170" i="8"/>
  <c r="L170" i="8"/>
  <c r="L201" i="8"/>
  <c r="K201" i="8"/>
  <c r="L230" i="8"/>
  <c r="K230" i="8"/>
  <c r="L240" i="8"/>
  <c r="K240" i="8"/>
  <c r="L262" i="8"/>
  <c r="K262" i="8"/>
  <c r="L243" i="8"/>
  <c r="K243" i="8"/>
  <c r="K221" i="8"/>
  <c r="L221" i="8"/>
  <c r="K233" i="8"/>
  <c r="L233" i="8"/>
  <c r="L256" i="8"/>
  <c r="K256" i="8"/>
  <c r="L238" i="8"/>
  <c r="K238" i="8"/>
  <c r="K228" i="8"/>
  <c r="L228" i="8"/>
  <c r="L197" i="8"/>
  <c r="K197" i="8"/>
  <c r="K198" i="8"/>
  <c r="L198" i="8"/>
  <c r="L277" i="8"/>
  <c r="K277" i="8"/>
  <c r="K105" i="8"/>
  <c r="L105" i="8"/>
  <c r="L53" i="8"/>
  <c r="K53" i="8"/>
  <c r="L18" i="8"/>
  <c r="K18" i="8"/>
  <c r="K32" i="8"/>
  <c r="L32" i="8"/>
  <c r="L16" i="8"/>
  <c r="K16" i="8"/>
  <c r="K27" i="8"/>
  <c r="L27" i="8"/>
  <c r="L31" i="8"/>
  <c r="K31" i="8"/>
  <c r="K58" i="8"/>
  <c r="L58" i="8"/>
  <c r="K74" i="8"/>
  <c r="L74" i="8"/>
  <c r="K19" i="8"/>
  <c r="L19" i="8"/>
  <c r="K30" i="8"/>
  <c r="L30" i="8"/>
  <c r="K35" i="8"/>
  <c r="L35" i="8"/>
  <c r="K43" i="8"/>
  <c r="L43" i="8"/>
  <c r="K55" i="8"/>
  <c r="L55" i="8"/>
  <c r="L71" i="8"/>
  <c r="K71" i="8"/>
  <c r="K49" i="8"/>
  <c r="L49" i="8"/>
  <c r="K94" i="8"/>
  <c r="L94" i="8"/>
  <c r="K64" i="8"/>
  <c r="L64" i="8"/>
  <c r="K84" i="8"/>
  <c r="L84" i="8"/>
  <c r="K106" i="8"/>
  <c r="L106" i="8"/>
  <c r="K77" i="8"/>
  <c r="L77" i="8"/>
  <c r="L92" i="8"/>
  <c r="K92" i="8"/>
  <c r="L110" i="8"/>
  <c r="K110" i="8"/>
  <c r="K126" i="8"/>
  <c r="L126" i="8"/>
  <c r="L86" i="8"/>
  <c r="K86" i="8"/>
  <c r="K123" i="8"/>
  <c r="L123" i="8"/>
  <c r="K125" i="8"/>
  <c r="L125" i="8"/>
  <c r="K133" i="8"/>
  <c r="L133" i="8"/>
  <c r="K149" i="8"/>
  <c r="L149" i="8"/>
  <c r="L165" i="8"/>
  <c r="K165" i="8"/>
  <c r="L181" i="8"/>
  <c r="K181" i="8"/>
  <c r="L136" i="8"/>
  <c r="K136" i="8"/>
  <c r="L152" i="8"/>
  <c r="K152" i="8"/>
  <c r="L168" i="8"/>
  <c r="K168" i="8"/>
  <c r="L60" i="8"/>
  <c r="K60" i="8"/>
  <c r="L135" i="8"/>
  <c r="K135" i="8"/>
  <c r="K167" i="8"/>
  <c r="L167" i="8"/>
  <c r="L183" i="8"/>
  <c r="K183" i="8"/>
  <c r="K194" i="8"/>
  <c r="L194" i="8"/>
  <c r="L200" i="8"/>
  <c r="K200" i="8"/>
  <c r="L216" i="8"/>
  <c r="K216" i="8"/>
  <c r="K112" i="8"/>
  <c r="L112" i="8"/>
  <c r="K142" i="8"/>
  <c r="L142" i="8"/>
  <c r="L174" i="8"/>
  <c r="K174" i="8"/>
  <c r="L187" i="8"/>
  <c r="K187" i="8"/>
  <c r="K203" i="8"/>
  <c r="L203" i="8"/>
  <c r="K219" i="8"/>
  <c r="L219" i="8"/>
  <c r="K155" i="8"/>
  <c r="L155" i="8"/>
  <c r="L186" i="8"/>
  <c r="K186" i="8"/>
  <c r="K210" i="8"/>
  <c r="L210" i="8"/>
  <c r="K251" i="8"/>
  <c r="L251" i="8"/>
  <c r="K267" i="8"/>
  <c r="L267" i="8"/>
  <c r="K129" i="8"/>
  <c r="L129" i="8"/>
  <c r="L154" i="8"/>
  <c r="K154" i="8"/>
  <c r="L184" i="8"/>
  <c r="K184" i="8"/>
  <c r="L195" i="8"/>
  <c r="K195" i="8"/>
  <c r="L236" i="8"/>
  <c r="K236" i="8"/>
  <c r="L258" i="8"/>
  <c r="K258" i="8"/>
  <c r="L274" i="8"/>
  <c r="K274" i="8"/>
  <c r="L222" i="8"/>
  <c r="K222" i="8"/>
  <c r="L224" i="8"/>
  <c r="K224" i="8"/>
  <c r="K235" i="8"/>
  <c r="L235" i="8"/>
  <c r="K273" i="8"/>
  <c r="L273" i="8"/>
  <c r="L120" i="8"/>
  <c r="K120" i="8"/>
  <c r="K205" i="8"/>
  <c r="L205" i="8"/>
  <c r="K242" i="8"/>
  <c r="L242" i="8"/>
  <c r="K260" i="8"/>
  <c r="L260" i="8"/>
  <c r="D102" i="8"/>
  <c r="D101" i="8"/>
  <c r="D105" i="8"/>
  <c r="D29" i="8"/>
  <c r="D243" i="8"/>
  <c r="D241" i="8"/>
  <c r="D237" i="8"/>
  <c r="D175" i="8"/>
  <c r="D238" i="8"/>
  <c r="D239" i="8"/>
  <c r="D5" i="8"/>
  <c r="D90" i="8"/>
  <c r="D276" i="8"/>
  <c r="D277" i="8" l="1"/>
  <c r="D234" i="8" l="1"/>
  <c r="D236" i="8"/>
  <c r="D235" i="8"/>
  <c r="D263" i="8" l="1"/>
  <c r="D174" i="8" l="1"/>
  <c r="D173" i="8"/>
  <c r="D256" i="8"/>
  <c r="D251" i="8"/>
  <c r="D250" i="8"/>
  <c r="D255" i="8"/>
  <c r="D254" i="8"/>
  <c r="D223" i="8" l="1"/>
  <c r="D226" i="8"/>
  <c r="D233" i="8"/>
  <c r="D231" i="8"/>
  <c r="D227" i="8"/>
  <c r="D262" i="8"/>
  <c r="D220" i="8"/>
  <c r="D258" i="8"/>
  <c r="D222" i="8"/>
  <c r="D260" i="8"/>
  <c r="D224" i="8"/>
  <c r="D259" i="8"/>
  <c r="D257" i="8"/>
  <c r="D228" i="8"/>
  <c r="D229" i="8"/>
  <c r="D261" i="8"/>
  <c r="D232" i="8"/>
  <c r="D221" i="8"/>
  <c r="D230" i="8"/>
  <c r="D225" i="8"/>
  <c r="M219" i="8"/>
  <c r="D165" i="8" l="1"/>
  <c r="D219" i="8"/>
  <c r="M176" i="8" l="1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" i="8"/>
  <c r="D126" i="8" l="1"/>
  <c r="D146" i="8"/>
  <c r="D147" i="8"/>
  <c r="D160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163" i="8" l="1"/>
  <c r="D205" i="8" l="1"/>
  <c r="D204" i="8"/>
  <c r="D202" i="8"/>
  <c r="D209" i="8"/>
  <c r="D207" i="8"/>
  <c r="D206" i="8"/>
  <c r="D200" i="8"/>
  <c r="D208" i="8"/>
  <c r="D199" i="8"/>
  <c r="D201" i="8"/>
  <c r="D203" i="8"/>
  <c r="D210" i="8"/>
  <c r="A158" i="12" l="1"/>
  <c r="B158" i="12"/>
  <c r="C158" i="12"/>
  <c r="E158" i="12"/>
  <c r="F158" i="12"/>
  <c r="G158" i="12"/>
  <c r="H158" i="12"/>
  <c r="I158" i="12"/>
  <c r="J158" i="12"/>
  <c r="K158" i="12"/>
  <c r="L158" i="12"/>
  <c r="M158" i="12"/>
  <c r="N158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BC158" i="12"/>
  <c r="BD158" i="12"/>
  <c r="BE158" i="12"/>
  <c r="BF158" i="12"/>
  <c r="BG158" i="12"/>
  <c r="BH158" i="12"/>
  <c r="BI158" i="12"/>
  <c r="BJ158" i="12"/>
  <c r="BK158" i="12"/>
  <c r="BL158" i="12"/>
  <c r="BM158" i="12"/>
  <c r="BN158" i="12"/>
  <c r="BO158" i="12"/>
  <c r="BP158" i="12"/>
  <c r="BQ158" i="12"/>
  <c r="BR158" i="12"/>
  <c r="BS158" i="12"/>
  <c r="BT158" i="12"/>
  <c r="BU158" i="12"/>
  <c r="A157" i="12"/>
  <c r="B157" i="12"/>
  <c r="C157" i="12"/>
  <c r="D157" i="12"/>
  <c r="E157" i="12"/>
  <c r="F157" i="12"/>
  <c r="G157" i="12"/>
  <c r="H157" i="12"/>
  <c r="I157" i="12"/>
  <c r="J157" i="12"/>
  <c r="K157" i="12"/>
  <c r="L157" i="12"/>
  <c r="M157" i="12"/>
  <c r="N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BC157" i="12"/>
  <c r="BD157" i="12"/>
  <c r="BE157" i="12"/>
  <c r="BF157" i="12"/>
  <c r="BG157" i="12"/>
  <c r="BH157" i="12"/>
  <c r="BI157" i="12"/>
  <c r="BJ157" i="12"/>
  <c r="BK157" i="12"/>
  <c r="BL157" i="12"/>
  <c r="BM157" i="12"/>
  <c r="BN157" i="12"/>
  <c r="BO157" i="12"/>
  <c r="BP157" i="12"/>
  <c r="BQ157" i="12"/>
  <c r="BR157" i="12"/>
  <c r="BS157" i="12"/>
  <c r="BT157" i="12"/>
  <c r="BU157" i="12"/>
  <c r="BV157" i="12"/>
  <c r="BW157" i="12"/>
  <c r="BX157" i="12"/>
  <c r="BY157" i="12"/>
  <c r="BZ157" i="12"/>
  <c r="CA157" i="12"/>
  <c r="CB157" i="12"/>
  <c r="CC157" i="12"/>
  <c r="CD157" i="12"/>
  <c r="CE157" i="12"/>
  <c r="CF157" i="12"/>
  <c r="CG157" i="12"/>
  <c r="CH157" i="12"/>
  <c r="CI157" i="12"/>
  <c r="CJ157" i="12"/>
  <c r="CK157" i="12"/>
  <c r="CL157" i="12"/>
  <c r="CM157" i="12"/>
  <c r="CN157" i="12"/>
  <c r="CO157" i="12"/>
  <c r="CP157" i="12"/>
  <c r="CQ157" i="12"/>
  <c r="CR157" i="12"/>
  <c r="CS157" i="12"/>
  <c r="CT157" i="12"/>
  <c r="CU157" i="12"/>
  <c r="CV157" i="12"/>
  <c r="CW157" i="12"/>
  <c r="CX157" i="12"/>
  <c r="CY157" i="12"/>
  <c r="CZ157" i="12"/>
  <c r="DA157" i="12"/>
  <c r="DB157" i="12"/>
  <c r="DC157" i="12"/>
  <c r="DD157" i="12"/>
  <c r="DE157" i="12"/>
  <c r="DF157" i="12"/>
  <c r="DG157" i="12"/>
  <c r="DH157" i="12"/>
  <c r="DI157" i="12"/>
  <c r="DJ157" i="12"/>
  <c r="DK157" i="12"/>
  <c r="DL157" i="12"/>
  <c r="DM157" i="12"/>
  <c r="DN157" i="12"/>
  <c r="DO157" i="12"/>
  <c r="DP157" i="12"/>
  <c r="DQ157" i="12"/>
  <c r="DR157" i="12"/>
  <c r="DS157" i="12"/>
  <c r="DT157" i="12"/>
  <c r="DU157" i="12"/>
  <c r="DV157" i="12"/>
  <c r="DW157" i="12"/>
  <c r="DX157" i="12"/>
  <c r="DY157" i="12"/>
  <c r="DZ157" i="12"/>
  <c r="EA157" i="12"/>
  <c r="EB157" i="12"/>
  <c r="EC157" i="12"/>
  <c r="ED157" i="12"/>
  <c r="EE157" i="12"/>
  <c r="EF157" i="12"/>
  <c r="EG157" i="12"/>
  <c r="EH157" i="12"/>
  <c r="EI157" i="12"/>
  <c r="EJ157" i="12"/>
  <c r="EK157" i="12"/>
  <c r="EL157" i="12"/>
  <c r="EM157" i="12"/>
  <c r="EN157" i="12"/>
  <c r="EO157" i="12"/>
  <c r="EP157" i="12"/>
  <c r="EQ157" i="12"/>
  <c r="ER157" i="12"/>
  <c r="ES157" i="12"/>
  <c r="ET157" i="12"/>
  <c r="EU157" i="12"/>
  <c r="EV157" i="12"/>
  <c r="EW157" i="12"/>
  <c r="EX157" i="12"/>
  <c r="EY157" i="12"/>
  <c r="EZ157" i="12"/>
  <c r="FA157" i="12"/>
  <c r="FB157" i="12"/>
  <c r="FC157" i="12"/>
  <c r="FD157" i="12"/>
  <c r="FE157" i="12"/>
  <c r="FF157" i="12"/>
  <c r="FG157" i="12"/>
  <c r="FH157" i="12"/>
  <c r="FI157" i="12"/>
  <c r="FJ157" i="12"/>
  <c r="FK157" i="12"/>
  <c r="FL157" i="12"/>
  <c r="FM157" i="12"/>
  <c r="FN157" i="12"/>
  <c r="FO157" i="12"/>
  <c r="FP157" i="12"/>
  <c r="FQ157" i="12"/>
  <c r="FR157" i="12"/>
  <c r="FS157" i="12"/>
  <c r="FT157" i="12"/>
  <c r="FU157" i="12"/>
  <c r="FV157" i="12"/>
  <c r="FW157" i="12"/>
  <c r="FX157" i="12"/>
  <c r="FY157" i="12"/>
  <c r="FZ157" i="12"/>
  <c r="GA157" i="12"/>
  <c r="GB157" i="12"/>
  <c r="GC157" i="12"/>
  <c r="GD157" i="12"/>
  <c r="GE157" i="12"/>
  <c r="GF157" i="12"/>
  <c r="GG157" i="12"/>
  <c r="GH157" i="12"/>
  <c r="GI157" i="12"/>
  <c r="GJ157" i="12"/>
  <c r="GK157" i="12"/>
  <c r="GL157" i="12"/>
  <c r="GM157" i="12"/>
  <c r="GN157" i="12"/>
  <c r="GO157" i="12"/>
  <c r="GP157" i="12"/>
  <c r="GQ157" i="12"/>
  <c r="GR157" i="12"/>
  <c r="GS157" i="12"/>
  <c r="GT157" i="12"/>
  <c r="GU157" i="12"/>
  <c r="GV157" i="12"/>
  <c r="GW157" i="12"/>
  <c r="GX157" i="12"/>
  <c r="GY157" i="12"/>
  <c r="GZ157" i="12"/>
  <c r="HA157" i="12"/>
  <c r="HB157" i="12"/>
  <c r="HC157" i="12"/>
  <c r="HD157" i="12"/>
  <c r="HE157" i="12"/>
  <c r="HF157" i="12"/>
  <c r="HG157" i="12"/>
  <c r="HH157" i="12"/>
  <c r="HI157" i="12"/>
  <c r="HJ157" i="12"/>
  <c r="HK157" i="12"/>
  <c r="HL157" i="12"/>
  <c r="HM157" i="12"/>
  <c r="HN157" i="12"/>
  <c r="HO157" i="12"/>
  <c r="HP157" i="12"/>
  <c r="HQ157" i="12"/>
  <c r="HR157" i="12"/>
  <c r="HS157" i="12"/>
  <c r="HT157" i="12"/>
  <c r="HU157" i="12"/>
  <c r="HV157" i="12"/>
  <c r="HW157" i="12"/>
  <c r="HX157" i="12"/>
  <c r="HY157" i="12"/>
  <c r="HZ157" i="12"/>
  <c r="IA157" i="12"/>
  <c r="IB157" i="12"/>
  <c r="IC157" i="12"/>
  <c r="ID157" i="12"/>
  <c r="IE157" i="12"/>
  <c r="IF157" i="12"/>
  <c r="IG157" i="12"/>
  <c r="IH157" i="12"/>
  <c r="II157" i="12"/>
  <c r="IJ157" i="12"/>
  <c r="IK157" i="12"/>
  <c r="IL157" i="12"/>
  <c r="IM157" i="12"/>
  <c r="IN157" i="12"/>
  <c r="IO157" i="12"/>
  <c r="IP157" i="12"/>
  <c r="IQ157" i="12"/>
  <c r="IR157" i="12"/>
  <c r="IS157" i="12"/>
  <c r="IT157" i="12"/>
  <c r="IU157" i="12"/>
  <c r="IV157" i="12"/>
  <c r="A156" i="12"/>
  <c r="B156" i="12"/>
  <c r="C156" i="12"/>
  <c r="D156" i="12"/>
  <c r="E156" i="12"/>
  <c r="F156" i="12"/>
  <c r="G156" i="12"/>
  <c r="H156" i="12"/>
  <c r="I156" i="12"/>
  <c r="J156" i="12"/>
  <c r="K156" i="12"/>
  <c r="L156" i="12"/>
  <c r="M156" i="12"/>
  <c r="N156" i="12"/>
  <c r="O156" i="12"/>
  <c r="P156" i="12"/>
  <c r="Q156" i="12"/>
  <c r="R156" i="12"/>
  <c r="S156" i="12"/>
  <c r="T156" i="12"/>
  <c r="U156" i="12"/>
  <c r="V156" i="12"/>
  <c r="W156" i="12"/>
  <c r="X156" i="12"/>
  <c r="Y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BC156" i="12"/>
  <c r="BD156" i="12"/>
  <c r="BE156" i="12"/>
  <c r="BF156" i="12"/>
  <c r="BG156" i="12"/>
  <c r="BH156" i="12"/>
  <c r="BI156" i="12"/>
  <c r="BJ156" i="12"/>
  <c r="BK156" i="12"/>
  <c r="BL156" i="12"/>
  <c r="BM156" i="12"/>
  <c r="BN156" i="12"/>
  <c r="BO156" i="12"/>
  <c r="BP156" i="12"/>
  <c r="BQ156" i="12"/>
  <c r="BR156" i="12"/>
  <c r="BS156" i="12"/>
  <c r="BT156" i="12"/>
  <c r="BU156" i="12"/>
  <c r="BV156" i="12"/>
  <c r="BW156" i="12"/>
  <c r="BX156" i="12"/>
  <c r="BY156" i="12"/>
  <c r="BZ156" i="12"/>
  <c r="CA156" i="12"/>
  <c r="CB156" i="12"/>
  <c r="CC156" i="12"/>
  <c r="CD156" i="12"/>
  <c r="CE156" i="12"/>
  <c r="CF156" i="12"/>
  <c r="CG156" i="12"/>
  <c r="CH156" i="12"/>
  <c r="CI156" i="12"/>
  <c r="CJ156" i="12"/>
  <c r="CK156" i="12"/>
  <c r="CL156" i="12"/>
  <c r="CM156" i="12"/>
  <c r="CN156" i="12"/>
  <c r="CO156" i="12"/>
  <c r="CP156" i="12"/>
  <c r="CQ156" i="12"/>
  <c r="CR156" i="12"/>
  <c r="CS156" i="12"/>
  <c r="CT156" i="12"/>
  <c r="CU156" i="12"/>
  <c r="CV156" i="12"/>
  <c r="CW156" i="12"/>
  <c r="CX156" i="12"/>
  <c r="CY156" i="12"/>
  <c r="CZ156" i="12"/>
  <c r="DA156" i="12"/>
  <c r="DB156" i="12"/>
  <c r="DC156" i="12"/>
  <c r="DD156" i="12"/>
  <c r="DE156" i="12"/>
  <c r="DF156" i="12"/>
  <c r="DG156" i="12"/>
  <c r="DH156" i="12"/>
  <c r="DI156" i="12"/>
  <c r="DJ156" i="12"/>
  <c r="DK156" i="12"/>
  <c r="DL156" i="12"/>
  <c r="DM156" i="12"/>
  <c r="DN156" i="12"/>
  <c r="DO156" i="12"/>
  <c r="DP156" i="12"/>
  <c r="DQ156" i="12"/>
  <c r="DR156" i="12"/>
  <c r="DS156" i="12"/>
  <c r="DT156" i="12"/>
  <c r="DU156" i="12"/>
  <c r="DV156" i="12"/>
  <c r="DW156" i="12"/>
  <c r="DX156" i="12"/>
  <c r="DY156" i="12"/>
  <c r="DZ156" i="12"/>
  <c r="EA156" i="12"/>
  <c r="EB156" i="12"/>
  <c r="EC156" i="12"/>
  <c r="ED156" i="12"/>
  <c r="EE156" i="12"/>
  <c r="EF156" i="12"/>
  <c r="EG156" i="12"/>
  <c r="EH156" i="12"/>
  <c r="EI156" i="12"/>
  <c r="EJ156" i="12"/>
  <c r="EK156" i="12"/>
  <c r="EL156" i="12"/>
  <c r="EM156" i="12"/>
  <c r="EN156" i="12"/>
  <c r="EO156" i="12"/>
  <c r="EP156" i="12"/>
  <c r="EQ156" i="12"/>
  <c r="ER156" i="12"/>
  <c r="ES156" i="12"/>
  <c r="ET156" i="12"/>
  <c r="EU156" i="12"/>
  <c r="EV156" i="12"/>
  <c r="EW156" i="12"/>
  <c r="EX156" i="12"/>
  <c r="EY156" i="12"/>
  <c r="EZ156" i="12"/>
  <c r="FA156" i="12"/>
  <c r="FB156" i="12"/>
  <c r="FC156" i="12"/>
  <c r="FD156" i="12"/>
  <c r="FE156" i="12"/>
  <c r="FF156" i="12"/>
  <c r="FG156" i="12"/>
  <c r="FH156" i="12"/>
  <c r="FI156" i="12"/>
  <c r="FJ156" i="12"/>
  <c r="FK156" i="12"/>
  <c r="FL156" i="12"/>
  <c r="FM156" i="12"/>
  <c r="FN156" i="12"/>
  <c r="FO156" i="12"/>
  <c r="FP156" i="12"/>
  <c r="FQ156" i="12"/>
  <c r="FR156" i="12"/>
  <c r="FS156" i="12"/>
  <c r="FT156" i="12"/>
  <c r="FU156" i="12"/>
  <c r="FV156" i="12"/>
  <c r="FW156" i="12"/>
  <c r="FX156" i="12"/>
  <c r="FY156" i="12"/>
  <c r="FZ156" i="12"/>
  <c r="GA156" i="12"/>
  <c r="GB156" i="12"/>
  <c r="GC156" i="12"/>
  <c r="GD156" i="12"/>
  <c r="GE156" i="12"/>
  <c r="GF156" i="12"/>
  <c r="GG156" i="12"/>
  <c r="GH156" i="12"/>
  <c r="GI156" i="12"/>
  <c r="GJ156" i="12"/>
  <c r="GK156" i="12"/>
  <c r="GL156" i="12"/>
  <c r="GM156" i="12"/>
  <c r="GN156" i="12"/>
  <c r="GO156" i="12"/>
  <c r="GP156" i="12"/>
  <c r="GQ156" i="12"/>
  <c r="GR156" i="12"/>
  <c r="GS156" i="12"/>
  <c r="GT156" i="12"/>
  <c r="GU156" i="12"/>
  <c r="GV156" i="12"/>
  <c r="GW156" i="12"/>
  <c r="GX156" i="12"/>
  <c r="GY156" i="12"/>
  <c r="GZ156" i="12"/>
  <c r="HA156" i="12"/>
  <c r="HB156" i="12"/>
  <c r="HC156" i="12"/>
  <c r="HD156" i="12"/>
  <c r="HE156" i="12"/>
  <c r="HF156" i="12"/>
  <c r="HG156" i="12"/>
  <c r="HH156" i="12"/>
  <c r="HI156" i="12"/>
  <c r="HJ156" i="12"/>
  <c r="HK156" i="12"/>
  <c r="HL156" i="12"/>
  <c r="HM156" i="12"/>
  <c r="HN156" i="12"/>
  <c r="HO156" i="12"/>
  <c r="HP156" i="12"/>
  <c r="HQ156" i="12"/>
  <c r="HR156" i="12"/>
  <c r="HS156" i="12"/>
  <c r="HT156" i="12"/>
  <c r="HU156" i="12"/>
  <c r="HV156" i="12"/>
  <c r="HW156" i="12"/>
  <c r="HX156" i="12"/>
  <c r="HY156" i="12"/>
  <c r="HZ156" i="12"/>
  <c r="IA156" i="12"/>
  <c r="IB156" i="12"/>
  <c r="IC156" i="12"/>
  <c r="ID156" i="12"/>
  <c r="IE156" i="12"/>
  <c r="IF156" i="12"/>
  <c r="IG156" i="12"/>
  <c r="IH156" i="12"/>
  <c r="II156" i="12"/>
  <c r="IJ156" i="12"/>
  <c r="IK156" i="12"/>
  <c r="IL156" i="12"/>
  <c r="IM156" i="12"/>
  <c r="IN156" i="12"/>
  <c r="IO156" i="12"/>
  <c r="IP156" i="12"/>
  <c r="IQ156" i="12"/>
  <c r="IR156" i="12"/>
  <c r="IS156" i="12"/>
  <c r="IT156" i="12"/>
  <c r="IU156" i="12"/>
  <c r="IV156" i="12"/>
  <c r="A155" i="12"/>
  <c r="B155" i="12"/>
  <c r="C155" i="12"/>
  <c r="D155" i="12"/>
  <c r="E155" i="12"/>
  <c r="F155" i="12"/>
  <c r="G155" i="12"/>
  <c r="H155" i="12"/>
  <c r="I155" i="12"/>
  <c r="J155" i="12"/>
  <c r="K155" i="12"/>
  <c r="L155" i="12"/>
  <c r="M155" i="12"/>
  <c r="N155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BC155" i="12"/>
  <c r="BD155" i="12"/>
  <c r="BE155" i="12"/>
  <c r="BF155" i="12"/>
  <c r="BG155" i="12"/>
  <c r="BH155" i="12"/>
  <c r="BI155" i="12"/>
  <c r="BJ155" i="12"/>
  <c r="BK155" i="12"/>
  <c r="BL155" i="12"/>
  <c r="BM155" i="12"/>
  <c r="BN155" i="12"/>
  <c r="BO155" i="12"/>
  <c r="BP155" i="12"/>
  <c r="BQ155" i="12"/>
  <c r="BR155" i="12"/>
  <c r="BS155" i="12"/>
  <c r="BT155" i="12"/>
  <c r="BU155" i="12"/>
  <c r="BV155" i="12"/>
  <c r="BW155" i="12"/>
  <c r="BX155" i="12"/>
  <c r="BY155" i="12"/>
  <c r="BZ155" i="12"/>
  <c r="CA155" i="12"/>
  <c r="CB155" i="12"/>
  <c r="CC155" i="12"/>
  <c r="CD155" i="12"/>
  <c r="CE155" i="12"/>
  <c r="CF155" i="12"/>
  <c r="CG155" i="12"/>
  <c r="CH155" i="12"/>
  <c r="CI155" i="12"/>
  <c r="CJ155" i="12"/>
  <c r="CK155" i="12"/>
  <c r="CL155" i="12"/>
  <c r="CM155" i="12"/>
  <c r="CN155" i="12"/>
  <c r="CO155" i="12"/>
  <c r="CP155" i="12"/>
  <c r="CQ155" i="12"/>
  <c r="CR155" i="12"/>
  <c r="CS155" i="12"/>
  <c r="CT155" i="12"/>
  <c r="CU155" i="12"/>
  <c r="CV155" i="12"/>
  <c r="CW155" i="12"/>
  <c r="CX155" i="12"/>
  <c r="CY155" i="12"/>
  <c r="CZ155" i="12"/>
  <c r="DA155" i="12"/>
  <c r="DB155" i="12"/>
  <c r="DC155" i="12"/>
  <c r="DD155" i="12"/>
  <c r="DE155" i="12"/>
  <c r="DF155" i="12"/>
  <c r="DG155" i="12"/>
  <c r="DH155" i="12"/>
  <c r="DI155" i="12"/>
  <c r="DJ155" i="12"/>
  <c r="DK155" i="12"/>
  <c r="DL155" i="12"/>
  <c r="DM155" i="12"/>
  <c r="DN155" i="12"/>
  <c r="DO155" i="12"/>
  <c r="DP155" i="12"/>
  <c r="DQ155" i="12"/>
  <c r="DR155" i="12"/>
  <c r="DS155" i="12"/>
  <c r="DT155" i="12"/>
  <c r="DU155" i="12"/>
  <c r="DV155" i="12"/>
  <c r="DW155" i="12"/>
  <c r="DX155" i="12"/>
  <c r="DY155" i="12"/>
  <c r="DZ155" i="12"/>
  <c r="EA155" i="12"/>
  <c r="EB155" i="12"/>
  <c r="EC155" i="12"/>
  <c r="ED155" i="12"/>
  <c r="EE155" i="12"/>
  <c r="EF155" i="12"/>
  <c r="EG155" i="12"/>
  <c r="EH155" i="12"/>
  <c r="EI155" i="12"/>
  <c r="EJ155" i="12"/>
  <c r="EK155" i="12"/>
  <c r="EL155" i="12"/>
  <c r="EM155" i="12"/>
  <c r="EN155" i="12"/>
  <c r="EO155" i="12"/>
  <c r="EP155" i="12"/>
  <c r="EQ155" i="12"/>
  <c r="ER155" i="12"/>
  <c r="ES155" i="12"/>
  <c r="ET155" i="12"/>
  <c r="EU155" i="12"/>
  <c r="EV155" i="12"/>
  <c r="EW155" i="12"/>
  <c r="EX155" i="12"/>
  <c r="EY155" i="12"/>
  <c r="EZ155" i="12"/>
  <c r="FA155" i="12"/>
  <c r="FB155" i="12"/>
  <c r="FC155" i="12"/>
  <c r="FD155" i="12"/>
  <c r="FE155" i="12"/>
  <c r="FF155" i="12"/>
  <c r="FG155" i="12"/>
  <c r="FH155" i="12"/>
  <c r="FI155" i="12"/>
  <c r="FJ155" i="12"/>
  <c r="FK155" i="12"/>
  <c r="FL155" i="12"/>
  <c r="FM155" i="12"/>
  <c r="FN155" i="12"/>
  <c r="FO155" i="12"/>
  <c r="FP155" i="12"/>
  <c r="FQ155" i="12"/>
  <c r="FR155" i="12"/>
  <c r="FS155" i="12"/>
  <c r="FT155" i="12"/>
  <c r="FU155" i="12"/>
  <c r="FV155" i="12"/>
  <c r="FW155" i="12"/>
  <c r="FX155" i="12"/>
  <c r="FY155" i="12"/>
  <c r="FZ155" i="12"/>
  <c r="GA155" i="12"/>
  <c r="GB155" i="12"/>
  <c r="GC155" i="12"/>
  <c r="GD155" i="12"/>
  <c r="GE155" i="12"/>
  <c r="GF155" i="12"/>
  <c r="GG155" i="12"/>
  <c r="GH155" i="12"/>
  <c r="GI155" i="12"/>
  <c r="GJ155" i="12"/>
  <c r="GK155" i="12"/>
  <c r="GL155" i="12"/>
  <c r="GM155" i="12"/>
  <c r="GN155" i="12"/>
  <c r="GO155" i="12"/>
  <c r="GP155" i="12"/>
  <c r="GQ155" i="12"/>
  <c r="GR155" i="12"/>
  <c r="GS155" i="12"/>
  <c r="GT155" i="12"/>
  <c r="GU155" i="12"/>
  <c r="GV155" i="12"/>
  <c r="GW155" i="12"/>
  <c r="GX155" i="12"/>
  <c r="GY155" i="12"/>
  <c r="GZ155" i="12"/>
  <c r="HA155" i="12"/>
  <c r="HB155" i="12"/>
  <c r="HC155" i="12"/>
  <c r="HD155" i="12"/>
  <c r="HE155" i="12"/>
  <c r="HF155" i="12"/>
  <c r="HG155" i="12"/>
  <c r="HH155" i="12"/>
  <c r="HI155" i="12"/>
  <c r="HJ155" i="12"/>
  <c r="HK155" i="12"/>
  <c r="HL155" i="12"/>
  <c r="HM155" i="12"/>
  <c r="HN155" i="12"/>
  <c r="HO155" i="12"/>
  <c r="HP155" i="12"/>
  <c r="HQ155" i="12"/>
  <c r="HR155" i="12"/>
  <c r="HS155" i="12"/>
  <c r="HT155" i="12"/>
  <c r="HU155" i="12"/>
  <c r="HV155" i="12"/>
  <c r="HW155" i="12"/>
  <c r="HX155" i="12"/>
  <c r="HY155" i="12"/>
  <c r="HZ155" i="12"/>
  <c r="IA155" i="12"/>
  <c r="IB155" i="12"/>
  <c r="IC155" i="12"/>
  <c r="ID155" i="12"/>
  <c r="IE155" i="12"/>
  <c r="IF155" i="12"/>
  <c r="IG155" i="12"/>
  <c r="IH155" i="12"/>
  <c r="II155" i="12"/>
  <c r="IJ155" i="12"/>
  <c r="IK155" i="12"/>
  <c r="IL155" i="12"/>
  <c r="IM155" i="12"/>
  <c r="IN155" i="12"/>
  <c r="IO155" i="12"/>
  <c r="IP155" i="12"/>
  <c r="IQ155" i="12"/>
  <c r="IR155" i="12"/>
  <c r="IS155" i="12"/>
  <c r="IT155" i="12"/>
  <c r="IU155" i="12"/>
  <c r="IV155" i="12"/>
  <c r="A154" i="12"/>
  <c r="B154" i="12"/>
  <c r="C154" i="12"/>
  <c r="D154" i="12"/>
  <c r="E154" i="12"/>
  <c r="F154" i="12"/>
  <c r="G154" i="12"/>
  <c r="H154" i="12"/>
  <c r="I154" i="12"/>
  <c r="J154" i="12"/>
  <c r="K154" i="12"/>
  <c r="L154" i="12"/>
  <c r="N154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BC154" i="12"/>
  <c r="BD154" i="12"/>
  <c r="BE154" i="12"/>
  <c r="BF154" i="12"/>
  <c r="BG154" i="12"/>
  <c r="BH154" i="12"/>
  <c r="BI154" i="12"/>
  <c r="BJ154" i="12"/>
  <c r="BK154" i="12"/>
  <c r="BL154" i="12"/>
  <c r="BM154" i="12"/>
  <c r="BN154" i="12"/>
  <c r="BO154" i="12"/>
  <c r="BP154" i="12"/>
  <c r="BQ154" i="12"/>
  <c r="BR154" i="12"/>
  <c r="BS154" i="12"/>
  <c r="BT154" i="12"/>
  <c r="BU154" i="12"/>
  <c r="BV154" i="12"/>
  <c r="BW154" i="12"/>
  <c r="BX154" i="12"/>
  <c r="BY154" i="12"/>
  <c r="BZ154" i="12"/>
  <c r="CA154" i="12"/>
  <c r="CB154" i="12"/>
  <c r="CC154" i="12"/>
  <c r="CD154" i="12"/>
  <c r="CE154" i="12"/>
  <c r="CF154" i="12"/>
  <c r="CG154" i="12"/>
  <c r="CH154" i="12"/>
  <c r="CI154" i="12"/>
  <c r="CJ154" i="12"/>
  <c r="CK154" i="12"/>
  <c r="CL154" i="12"/>
  <c r="CM154" i="12"/>
  <c r="CN154" i="12"/>
  <c r="CO154" i="12"/>
  <c r="CP154" i="12"/>
  <c r="CQ154" i="12"/>
  <c r="CR154" i="12"/>
  <c r="CS154" i="12"/>
  <c r="CT154" i="12"/>
  <c r="CU154" i="12"/>
  <c r="CV154" i="12"/>
  <c r="CW154" i="12"/>
  <c r="CX154" i="12"/>
  <c r="CY154" i="12"/>
  <c r="CZ154" i="12"/>
  <c r="DA154" i="12"/>
  <c r="DB154" i="12"/>
  <c r="DC154" i="12"/>
  <c r="DD154" i="12"/>
  <c r="DE154" i="12"/>
  <c r="DF154" i="12"/>
  <c r="DG154" i="12"/>
  <c r="DH154" i="12"/>
  <c r="DI154" i="12"/>
  <c r="DJ154" i="12"/>
  <c r="DK154" i="12"/>
  <c r="DL154" i="12"/>
  <c r="DM154" i="12"/>
  <c r="DN154" i="12"/>
  <c r="DO154" i="12"/>
  <c r="DP154" i="12"/>
  <c r="DQ154" i="12"/>
  <c r="DR154" i="12"/>
  <c r="DS154" i="12"/>
  <c r="DT154" i="12"/>
  <c r="DU154" i="12"/>
  <c r="DV154" i="12"/>
  <c r="DW154" i="12"/>
  <c r="DX154" i="12"/>
  <c r="DY154" i="12"/>
  <c r="DZ154" i="12"/>
  <c r="EA154" i="12"/>
  <c r="EB154" i="12"/>
  <c r="EC154" i="12"/>
  <c r="ED154" i="12"/>
  <c r="EE154" i="12"/>
  <c r="EF154" i="12"/>
  <c r="EG154" i="12"/>
  <c r="EH154" i="12"/>
  <c r="EI154" i="12"/>
  <c r="EJ154" i="12"/>
  <c r="EK154" i="12"/>
  <c r="EL154" i="12"/>
  <c r="EM154" i="12"/>
  <c r="EN154" i="12"/>
  <c r="EO154" i="12"/>
  <c r="EP154" i="12"/>
  <c r="EQ154" i="12"/>
  <c r="ER154" i="12"/>
  <c r="ES154" i="12"/>
  <c r="ET154" i="12"/>
  <c r="EU154" i="12"/>
  <c r="EV154" i="12"/>
  <c r="EW154" i="12"/>
  <c r="EX154" i="12"/>
  <c r="EY154" i="12"/>
  <c r="EZ154" i="12"/>
  <c r="FA154" i="12"/>
  <c r="FB154" i="12"/>
  <c r="FC154" i="12"/>
  <c r="FD154" i="12"/>
  <c r="FE154" i="12"/>
  <c r="FF154" i="12"/>
  <c r="FG154" i="12"/>
  <c r="FH154" i="12"/>
  <c r="FI154" i="12"/>
  <c r="FJ154" i="12"/>
  <c r="FK154" i="12"/>
  <c r="FL154" i="12"/>
  <c r="FM154" i="12"/>
  <c r="FN154" i="12"/>
  <c r="FO154" i="12"/>
  <c r="FP154" i="12"/>
  <c r="FQ154" i="12"/>
  <c r="FR154" i="12"/>
  <c r="FS154" i="12"/>
  <c r="FT154" i="12"/>
  <c r="FU154" i="12"/>
  <c r="FV154" i="12"/>
  <c r="FW154" i="12"/>
  <c r="FX154" i="12"/>
  <c r="FY154" i="12"/>
  <c r="FZ154" i="12"/>
  <c r="GA154" i="12"/>
  <c r="GB154" i="12"/>
  <c r="GC154" i="12"/>
  <c r="GD154" i="12"/>
  <c r="GE154" i="12"/>
  <c r="GF154" i="12"/>
  <c r="GG154" i="12"/>
  <c r="GH154" i="12"/>
  <c r="GI154" i="12"/>
  <c r="GJ154" i="12"/>
  <c r="GK154" i="12"/>
  <c r="GL154" i="12"/>
  <c r="GM154" i="12"/>
  <c r="GN154" i="12"/>
  <c r="GO154" i="12"/>
  <c r="GP154" i="12"/>
  <c r="GQ154" i="12"/>
  <c r="GR154" i="12"/>
  <c r="GS154" i="12"/>
  <c r="GT154" i="12"/>
  <c r="GU154" i="12"/>
  <c r="GV154" i="12"/>
  <c r="GW154" i="12"/>
  <c r="GX154" i="12"/>
  <c r="GY154" i="12"/>
  <c r="GZ154" i="12"/>
  <c r="HA154" i="12"/>
  <c r="HB154" i="12"/>
  <c r="HC154" i="12"/>
  <c r="HD154" i="12"/>
  <c r="HE154" i="12"/>
  <c r="HF154" i="12"/>
  <c r="HG154" i="12"/>
  <c r="HH154" i="12"/>
  <c r="HI154" i="12"/>
  <c r="HJ154" i="12"/>
  <c r="HK154" i="12"/>
  <c r="HL154" i="12"/>
  <c r="HM154" i="12"/>
  <c r="HN154" i="12"/>
  <c r="HO154" i="12"/>
  <c r="HP154" i="12"/>
  <c r="HQ154" i="12"/>
  <c r="HR154" i="12"/>
  <c r="HS154" i="12"/>
  <c r="HT154" i="12"/>
  <c r="HU154" i="12"/>
  <c r="HV154" i="12"/>
  <c r="HW154" i="12"/>
  <c r="HX154" i="12"/>
  <c r="HY154" i="12"/>
  <c r="HZ154" i="12"/>
  <c r="IA154" i="12"/>
  <c r="IB154" i="12"/>
  <c r="IC154" i="12"/>
  <c r="ID154" i="12"/>
  <c r="IE154" i="12"/>
  <c r="IF154" i="12"/>
  <c r="IG154" i="12"/>
  <c r="IH154" i="12"/>
  <c r="II154" i="12"/>
  <c r="IJ154" i="12"/>
  <c r="IK154" i="12"/>
  <c r="IL154" i="12"/>
  <c r="IM154" i="12"/>
  <c r="IN154" i="12"/>
  <c r="IO154" i="12"/>
  <c r="IP154" i="12"/>
  <c r="IQ154" i="12"/>
  <c r="IR154" i="12"/>
  <c r="IS154" i="12"/>
  <c r="IT154" i="12"/>
  <c r="IU154" i="12"/>
  <c r="IV154" i="12"/>
  <c r="A153" i="12"/>
  <c r="B153" i="12"/>
  <c r="C153" i="12"/>
  <c r="D153" i="12"/>
  <c r="E153" i="12"/>
  <c r="F153" i="12"/>
  <c r="G153" i="12"/>
  <c r="H153" i="12"/>
  <c r="I153" i="12"/>
  <c r="J153" i="12"/>
  <c r="K153" i="12"/>
  <c r="L153" i="12"/>
  <c r="M153" i="12"/>
  <c r="N153" i="12"/>
  <c r="O153" i="12"/>
  <c r="P153" i="12"/>
  <c r="Q153" i="12"/>
  <c r="R153" i="12"/>
  <c r="S153" i="12"/>
  <c r="T153" i="12"/>
  <c r="U153" i="12"/>
  <c r="V153" i="12"/>
  <c r="W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BC153" i="12"/>
  <c r="BD153" i="12"/>
  <c r="BE153" i="12"/>
  <c r="BF153" i="12"/>
  <c r="BG153" i="12"/>
  <c r="BH153" i="12"/>
  <c r="BI153" i="12"/>
  <c r="BJ153" i="12"/>
  <c r="BK153" i="12"/>
  <c r="BL153" i="12"/>
  <c r="BM153" i="12"/>
  <c r="BN153" i="12"/>
  <c r="BO153" i="12"/>
  <c r="BP153" i="12"/>
  <c r="BQ153" i="12"/>
  <c r="BR153" i="12"/>
  <c r="BS153" i="12"/>
  <c r="BT153" i="12"/>
  <c r="BU153" i="12"/>
  <c r="BV153" i="12"/>
  <c r="BW153" i="12"/>
  <c r="BX153" i="12"/>
  <c r="BY153" i="12"/>
  <c r="BZ153" i="12"/>
  <c r="CA153" i="12"/>
  <c r="CB153" i="12"/>
  <c r="CC153" i="12"/>
  <c r="CD153" i="12"/>
  <c r="CE153" i="12"/>
  <c r="CF153" i="12"/>
  <c r="CG153" i="12"/>
  <c r="CH153" i="12"/>
  <c r="CI153" i="12"/>
  <c r="CJ153" i="12"/>
  <c r="CK153" i="12"/>
  <c r="CL153" i="12"/>
  <c r="CM153" i="12"/>
  <c r="CN153" i="12"/>
  <c r="CO153" i="12"/>
  <c r="CP153" i="12"/>
  <c r="CQ153" i="12"/>
  <c r="CR153" i="12"/>
  <c r="CS153" i="12"/>
  <c r="CT153" i="12"/>
  <c r="CU153" i="12"/>
  <c r="CV153" i="12"/>
  <c r="CW153" i="12"/>
  <c r="CX153" i="12"/>
  <c r="CY153" i="12"/>
  <c r="CZ153" i="12"/>
  <c r="DA153" i="12"/>
  <c r="DB153" i="12"/>
  <c r="DC153" i="12"/>
  <c r="DD153" i="12"/>
  <c r="DE153" i="12"/>
  <c r="DF153" i="12"/>
  <c r="DG153" i="12"/>
  <c r="DH153" i="12"/>
  <c r="DI153" i="12"/>
  <c r="DJ153" i="12"/>
  <c r="DK153" i="12"/>
  <c r="DL153" i="12"/>
  <c r="DM153" i="12"/>
  <c r="DN153" i="12"/>
  <c r="DO153" i="12"/>
  <c r="DP153" i="12"/>
  <c r="DQ153" i="12"/>
  <c r="DR153" i="12"/>
  <c r="DS153" i="12"/>
  <c r="DT153" i="12"/>
  <c r="DU153" i="12"/>
  <c r="DV153" i="12"/>
  <c r="DW153" i="12"/>
  <c r="DX153" i="12"/>
  <c r="DY153" i="12"/>
  <c r="DZ153" i="12"/>
  <c r="EA153" i="12"/>
  <c r="EB153" i="12"/>
  <c r="EC153" i="12"/>
  <c r="ED153" i="12"/>
  <c r="EE153" i="12"/>
  <c r="EF153" i="12"/>
  <c r="EG153" i="12"/>
  <c r="EH153" i="12"/>
  <c r="EI153" i="12"/>
  <c r="EJ153" i="12"/>
  <c r="EK153" i="12"/>
  <c r="EL153" i="12"/>
  <c r="EM153" i="12"/>
  <c r="EN153" i="12"/>
  <c r="EO153" i="12"/>
  <c r="EP153" i="12"/>
  <c r="EQ153" i="12"/>
  <c r="ER153" i="12"/>
  <c r="ES153" i="12"/>
  <c r="ET153" i="12"/>
  <c r="EU153" i="12"/>
  <c r="EV153" i="12"/>
  <c r="EW153" i="12"/>
  <c r="EX153" i="12"/>
  <c r="EY153" i="12"/>
  <c r="EZ153" i="12"/>
  <c r="FA153" i="12"/>
  <c r="FB153" i="12"/>
  <c r="FC153" i="12"/>
  <c r="FD153" i="12"/>
  <c r="FE153" i="12"/>
  <c r="FF153" i="12"/>
  <c r="FG153" i="12"/>
  <c r="FH153" i="12"/>
  <c r="FI153" i="12"/>
  <c r="FJ153" i="12"/>
  <c r="FK153" i="12"/>
  <c r="FL153" i="12"/>
  <c r="FM153" i="12"/>
  <c r="FN153" i="12"/>
  <c r="FO153" i="12"/>
  <c r="FP153" i="12"/>
  <c r="FQ153" i="12"/>
  <c r="FR153" i="12"/>
  <c r="FS153" i="12"/>
  <c r="FT153" i="12"/>
  <c r="FU153" i="12"/>
  <c r="FV153" i="12"/>
  <c r="FW153" i="12"/>
  <c r="FX153" i="12"/>
  <c r="FY153" i="12"/>
  <c r="FZ153" i="12"/>
  <c r="GA153" i="12"/>
  <c r="GB153" i="12"/>
  <c r="GC153" i="12"/>
  <c r="GD153" i="12"/>
  <c r="GE153" i="12"/>
  <c r="GF153" i="12"/>
  <c r="GG153" i="12"/>
  <c r="GH153" i="12"/>
  <c r="GI153" i="12"/>
  <c r="GJ153" i="12"/>
  <c r="GK153" i="12"/>
  <c r="GL153" i="12"/>
  <c r="GM153" i="12"/>
  <c r="GN153" i="12"/>
  <c r="GO153" i="12"/>
  <c r="GP153" i="12"/>
  <c r="GQ153" i="12"/>
  <c r="GR153" i="12"/>
  <c r="GS153" i="12"/>
  <c r="GT153" i="12"/>
  <c r="GU153" i="12"/>
  <c r="GV153" i="12"/>
  <c r="GW153" i="12"/>
  <c r="GX153" i="12"/>
  <c r="GY153" i="12"/>
  <c r="GZ153" i="12"/>
  <c r="HA153" i="12"/>
  <c r="HB153" i="12"/>
  <c r="HC153" i="12"/>
  <c r="HD153" i="12"/>
  <c r="HE153" i="12"/>
  <c r="HF153" i="12"/>
  <c r="HG153" i="12"/>
  <c r="HH153" i="12"/>
  <c r="HI153" i="12"/>
  <c r="HJ153" i="12"/>
  <c r="HK153" i="12"/>
  <c r="HL153" i="12"/>
  <c r="HM153" i="12"/>
  <c r="HN153" i="12"/>
  <c r="HO153" i="12"/>
  <c r="HP153" i="12"/>
  <c r="HQ153" i="12"/>
  <c r="HR153" i="12"/>
  <c r="HS153" i="12"/>
  <c r="HT153" i="12"/>
  <c r="HU153" i="12"/>
  <c r="HV153" i="12"/>
  <c r="HW153" i="12"/>
  <c r="HX153" i="12"/>
  <c r="HY153" i="12"/>
  <c r="HZ153" i="12"/>
  <c r="IA153" i="12"/>
  <c r="IB153" i="12"/>
  <c r="IC153" i="12"/>
  <c r="ID153" i="12"/>
  <c r="IE153" i="12"/>
  <c r="IF153" i="12"/>
  <c r="IG153" i="12"/>
  <c r="IH153" i="12"/>
  <c r="II153" i="12"/>
  <c r="IJ153" i="12"/>
  <c r="IK153" i="12"/>
  <c r="IL153" i="12"/>
  <c r="IM153" i="12"/>
  <c r="IN153" i="12"/>
  <c r="IO153" i="12"/>
  <c r="IP153" i="12"/>
  <c r="IQ153" i="12"/>
  <c r="IR153" i="12"/>
  <c r="IS153" i="12"/>
  <c r="IT153" i="12"/>
  <c r="IU153" i="12"/>
  <c r="IV153" i="12"/>
  <c r="A152" i="12"/>
  <c r="B152" i="12"/>
  <c r="C152" i="12"/>
  <c r="D152" i="12"/>
  <c r="E152" i="12"/>
  <c r="F152" i="12"/>
  <c r="G152" i="12"/>
  <c r="H152" i="12"/>
  <c r="I152" i="12"/>
  <c r="J152" i="12"/>
  <c r="K152" i="12"/>
  <c r="L152" i="12"/>
  <c r="M152" i="12"/>
  <c r="N152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BC152" i="12"/>
  <c r="BD152" i="12"/>
  <c r="BE152" i="12"/>
  <c r="BF152" i="12"/>
  <c r="BG152" i="12"/>
  <c r="BH152" i="12"/>
  <c r="BI152" i="12"/>
  <c r="BJ152" i="12"/>
  <c r="BK152" i="12"/>
  <c r="BL152" i="12"/>
  <c r="BM152" i="12"/>
  <c r="BN152" i="12"/>
  <c r="BO152" i="12"/>
  <c r="BP152" i="12"/>
  <c r="BQ152" i="12"/>
  <c r="BR152" i="12"/>
  <c r="BS152" i="12"/>
  <c r="BT152" i="12"/>
  <c r="BU152" i="12"/>
  <c r="BV152" i="12"/>
  <c r="BW152" i="12"/>
  <c r="BX152" i="12"/>
  <c r="BY152" i="12"/>
  <c r="BZ152" i="12"/>
  <c r="CA152" i="12"/>
  <c r="CB152" i="12"/>
  <c r="CC152" i="12"/>
  <c r="CD152" i="12"/>
  <c r="CE152" i="12"/>
  <c r="CF152" i="12"/>
  <c r="CG152" i="12"/>
  <c r="CH152" i="12"/>
  <c r="CI152" i="12"/>
  <c r="CJ152" i="12"/>
  <c r="CK152" i="12"/>
  <c r="CL152" i="12"/>
  <c r="CM152" i="12"/>
  <c r="CN152" i="12"/>
  <c r="CO152" i="12"/>
  <c r="CP152" i="12"/>
  <c r="CQ152" i="12"/>
  <c r="CR152" i="12"/>
  <c r="CS152" i="12"/>
  <c r="CT152" i="12"/>
  <c r="CU152" i="12"/>
  <c r="CV152" i="12"/>
  <c r="CW152" i="12"/>
  <c r="CX152" i="12"/>
  <c r="CY152" i="12"/>
  <c r="CZ152" i="12"/>
  <c r="DA152" i="12"/>
  <c r="DB152" i="12"/>
  <c r="DC152" i="12"/>
  <c r="DD152" i="12"/>
  <c r="DE152" i="12"/>
  <c r="DF152" i="12"/>
  <c r="DG152" i="12"/>
  <c r="DH152" i="12"/>
  <c r="DI152" i="12"/>
  <c r="DJ152" i="12"/>
  <c r="DK152" i="12"/>
  <c r="DL152" i="12"/>
  <c r="DM152" i="12"/>
  <c r="DN152" i="12"/>
  <c r="DO152" i="12"/>
  <c r="DP152" i="12"/>
  <c r="DQ152" i="12"/>
  <c r="DR152" i="12"/>
  <c r="DS152" i="12"/>
  <c r="DT152" i="12"/>
  <c r="DU152" i="12"/>
  <c r="DV152" i="12"/>
  <c r="DW152" i="12"/>
  <c r="DX152" i="12"/>
  <c r="DY152" i="12"/>
  <c r="DZ152" i="12"/>
  <c r="EA152" i="12"/>
  <c r="EB152" i="12"/>
  <c r="EC152" i="12"/>
  <c r="ED152" i="12"/>
  <c r="EE152" i="12"/>
  <c r="EF152" i="12"/>
  <c r="EG152" i="12"/>
  <c r="EH152" i="12"/>
  <c r="EI152" i="12"/>
  <c r="EJ152" i="12"/>
  <c r="EK152" i="12"/>
  <c r="EL152" i="12"/>
  <c r="EM152" i="12"/>
  <c r="EN152" i="12"/>
  <c r="EO152" i="12"/>
  <c r="EP152" i="12"/>
  <c r="EQ152" i="12"/>
  <c r="ER152" i="12"/>
  <c r="ES152" i="12"/>
  <c r="ET152" i="12"/>
  <c r="EU152" i="12"/>
  <c r="EV152" i="12"/>
  <c r="EW152" i="12"/>
  <c r="EX152" i="12"/>
  <c r="EY152" i="12"/>
  <c r="EZ152" i="12"/>
  <c r="FA152" i="12"/>
  <c r="FB152" i="12"/>
  <c r="FC152" i="12"/>
  <c r="FD152" i="12"/>
  <c r="FE152" i="12"/>
  <c r="FF152" i="12"/>
  <c r="FG152" i="12"/>
  <c r="FH152" i="12"/>
  <c r="FI152" i="12"/>
  <c r="FJ152" i="12"/>
  <c r="FK152" i="12"/>
  <c r="FL152" i="12"/>
  <c r="FM152" i="12"/>
  <c r="FN152" i="12"/>
  <c r="FO152" i="12"/>
  <c r="FP152" i="12"/>
  <c r="FQ152" i="12"/>
  <c r="FR152" i="12"/>
  <c r="FS152" i="12"/>
  <c r="FT152" i="12"/>
  <c r="FU152" i="12"/>
  <c r="FV152" i="12"/>
  <c r="FW152" i="12"/>
  <c r="FX152" i="12"/>
  <c r="FY152" i="12"/>
  <c r="FZ152" i="12"/>
  <c r="GA152" i="12"/>
  <c r="GB152" i="12"/>
  <c r="GC152" i="12"/>
  <c r="GD152" i="12"/>
  <c r="GE152" i="12"/>
  <c r="GF152" i="12"/>
  <c r="GG152" i="12"/>
  <c r="GH152" i="12"/>
  <c r="GI152" i="12"/>
  <c r="GJ152" i="12"/>
  <c r="GK152" i="12"/>
  <c r="GL152" i="12"/>
  <c r="GM152" i="12"/>
  <c r="GN152" i="12"/>
  <c r="GO152" i="12"/>
  <c r="GP152" i="12"/>
  <c r="GQ152" i="12"/>
  <c r="GR152" i="12"/>
  <c r="GS152" i="12"/>
  <c r="GT152" i="12"/>
  <c r="GU152" i="12"/>
  <c r="GV152" i="12"/>
  <c r="GW152" i="12"/>
  <c r="GX152" i="12"/>
  <c r="GY152" i="12"/>
  <c r="GZ152" i="12"/>
  <c r="HA152" i="12"/>
  <c r="HB152" i="12"/>
  <c r="HC152" i="12"/>
  <c r="HD152" i="12"/>
  <c r="HE152" i="12"/>
  <c r="HF152" i="12"/>
  <c r="HG152" i="12"/>
  <c r="HH152" i="12"/>
  <c r="HI152" i="12"/>
  <c r="HJ152" i="12"/>
  <c r="HK152" i="12"/>
  <c r="HL152" i="12"/>
  <c r="HM152" i="12"/>
  <c r="HN152" i="12"/>
  <c r="HO152" i="12"/>
  <c r="HP152" i="12"/>
  <c r="HQ152" i="12"/>
  <c r="HR152" i="12"/>
  <c r="HS152" i="12"/>
  <c r="HT152" i="12"/>
  <c r="HU152" i="12"/>
  <c r="HV152" i="12"/>
  <c r="HW152" i="12"/>
  <c r="HX152" i="12"/>
  <c r="HY152" i="12"/>
  <c r="HZ152" i="12"/>
  <c r="IA152" i="12"/>
  <c r="IB152" i="12"/>
  <c r="IC152" i="12"/>
  <c r="ID152" i="12"/>
  <c r="IE152" i="12"/>
  <c r="IF152" i="12"/>
  <c r="IG152" i="12"/>
  <c r="IH152" i="12"/>
  <c r="II152" i="12"/>
  <c r="IJ152" i="12"/>
  <c r="IK152" i="12"/>
  <c r="IL152" i="12"/>
  <c r="IM152" i="12"/>
  <c r="IN152" i="12"/>
  <c r="IO152" i="12"/>
  <c r="IP152" i="12"/>
  <c r="IQ152" i="12"/>
  <c r="IR152" i="12"/>
  <c r="IS152" i="12"/>
  <c r="IT152" i="12"/>
  <c r="IU152" i="12"/>
  <c r="IV152" i="12"/>
  <c r="A151" i="12"/>
  <c r="B151" i="12"/>
  <c r="C151" i="12"/>
  <c r="D151" i="12"/>
  <c r="E151" i="12"/>
  <c r="F151" i="12"/>
  <c r="G151" i="12"/>
  <c r="H151" i="12"/>
  <c r="I151" i="12"/>
  <c r="J151" i="12"/>
  <c r="L151" i="12"/>
  <c r="M151" i="12"/>
  <c r="N151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BC151" i="12"/>
  <c r="BD151" i="12"/>
  <c r="BE151" i="12"/>
  <c r="BF151" i="12"/>
  <c r="BG151" i="12"/>
  <c r="BH151" i="12"/>
  <c r="BI151" i="12"/>
  <c r="BJ151" i="12"/>
  <c r="BK151" i="12"/>
  <c r="BL151" i="12"/>
  <c r="BM151" i="12"/>
  <c r="BN151" i="12"/>
  <c r="BO151" i="12"/>
  <c r="BP151" i="12"/>
  <c r="BQ151" i="12"/>
  <c r="BR151" i="12"/>
  <c r="BS151" i="12"/>
  <c r="BT151" i="12"/>
  <c r="BU151" i="12"/>
  <c r="BV151" i="12"/>
  <c r="BW151" i="12"/>
  <c r="BX151" i="12"/>
  <c r="BY151" i="12"/>
  <c r="BZ151" i="12"/>
  <c r="CA151" i="12"/>
  <c r="CB151" i="12"/>
  <c r="CC151" i="12"/>
  <c r="CD151" i="12"/>
  <c r="CE151" i="12"/>
  <c r="CF151" i="12"/>
  <c r="CG151" i="12"/>
  <c r="CH151" i="12"/>
  <c r="CI151" i="12"/>
  <c r="CJ151" i="12"/>
  <c r="CK151" i="12"/>
  <c r="CL151" i="12"/>
  <c r="CM151" i="12"/>
  <c r="CN151" i="12"/>
  <c r="CO151" i="12"/>
  <c r="CP151" i="12"/>
  <c r="CQ151" i="12"/>
  <c r="CR151" i="12"/>
  <c r="CS151" i="12"/>
  <c r="CT151" i="12"/>
  <c r="CU151" i="12"/>
  <c r="CV151" i="12"/>
  <c r="CW151" i="12"/>
  <c r="CX151" i="12"/>
  <c r="CY151" i="12"/>
  <c r="CZ151" i="12"/>
  <c r="DA151" i="12"/>
  <c r="DB151" i="12"/>
  <c r="DC151" i="12"/>
  <c r="DD151" i="12"/>
  <c r="DE151" i="12"/>
  <c r="DF151" i="12"/>
  <c r="DG151" i="12"/>
  <c r="DH151" i="12"/>
  <c r="DI151" i="12"/>
  <c r="DJ151" i="12"/>
  <c r="DK151" i="12"/>
  <c r="DL151" i="12"/>
  <c r="DM151" i="12"/>
  <c r="DN151" i="12"/>
  <c r="DO151" i="12"/>
  <c r="DP151" i="12"/>
  <c r="DQ151" i="12"/>
  <c r="DR151" i="12"/>
  <c r="DS151" i="12"/>
  <c r="DT151" i="12"/>
  <c r="DU151" i="12"/>
  <c r="DV151" i="12"/>
  <c r="DW151" i="12"/>
  <c r="DX151" i="12"/>
  <c r="DY151" i="12"/>
  <c r="DZ151" i="12"/>
  <c r="EA151" i="12"/>
  <c r="EB151" i="12"/>
  <c r="EC151" i="12"/>
  <c r="ED151" i="12"/>
  <c r="EE151" i="12"/>
  <c r="EF151" i="12"/>
  <c r="EG151" i="12"/>
  <c r="EH151" i="12"/>
  <c r="EI151" i="12"/>
  <c r="EJ151" i="12"/>
  <c r="EK151" i="12"/>
  <c r="EL151" i="12"/>
  <c r="EM151" i="12"/>
  <c r="EN151" i="12"/>
  <c r="EO151" i="12"/>
  <c r="EP151" i="12"/>
  <c r="EQ151" i="12"/>
  <c r="ER151" i="12"/>
  <c r="ES151" i="12"/>
  <c r="ET151" i="12"/>
  <c r="EU151" i="12"/>
  <c r="EV151" i="12"/>
  <c r="EW151" i="12"/>
  <c r="EX151" i="12"/>
  <c r="EY151" i="12"/>
  <c r="EZ151" i="12"/>
  <c r="FA151" i="12"/>
  <c r="FB151" i="12"/>
  <c r="FC151" i="12"/>
  <c r="FD151" i="12"/>
  <c r="FE151" i="12"/>
  <c r="FF151" i="12"/>
  <c r="FG151" i="12"/>
  <c r="FH151" i="12"/>
  <c r="FI151" i="12"/>
  <c r="FJ151" i="12"/>
  <c r="FK151" i="12"/>
  <c r="FL151" i="12"/>
  <c r="FM151" i="12"/>
  <c r="FN151" i="12"/>
  <c r="FO151" i="12"/>
  <c r="FP151" i="12"/>
  <c r="FQ151" i="12"/>
  <c r="FR151" i="12"/>
  <c r="FS151" i="12"/>
  <c r="FT151" i="12"/>
  <c r="FU151" i="12"/>
  <c r="FV151" i="12"/>
  <c r="FW151" i="12"/>
  <c r="FX151" i="12"/>
  <c r="FY151" i="12"/>
  <c r="FZ151" i="12"/>
  <c r="GA151" i="12"/>
  <c r="GB151" i="12"/>
  <c r="GC151" i="12"/>
  <c r="GD151" i="12"/>
  <c r="GE151" i="12"/>
  <c r="GF151" i="12"/>
  <c r="GG151" i="12"/>
  <c r="GH151" i="12"/>
  <c r="GI151" i="12"/>
  <c r="GJ151" i="12"/>
  <c r="GK151" i="12"/>
  <c r="GL151" i="12"/>
  <c r="GM151" i="12"/>
  <c r="GN151" i="12"/>
  <c r="GO151" i="12"/>
  <c r="GP151" i="12"/>
  <c r="GQ151" i="12"/>
  <c r="GR151" i="12"/>
  <c r="GS151" i="12"/>
  <c r="GT151" i="12"/>
  <c r="GU151" i="12"/>
  <c r="GV151" i="12"/>
  <c r="GW151" i="12"/>
  <c r="GX151" i="12"/>
  <c r="GY151" i="12"/>
  <c r="GZ151" i="12"/>
  <c r="HA151" i="12"/>
  <c r="HB151" i="12"/>
  <c r="HC151" i="12"/>
  <c r="HD151" i="12"/>
  <c r="HE151" i="12"/>
  <c r="HF151" i="12"/>
  <c r="HG151" i="12"/>
  <c r="HH151" i="12"/>
  <c r="HI151" i="12"/>
  <c r="HJ151" i="12"/>
  <c r="HK151" i="12"/>
  <c r="HL151" i="12"/>
  <c r="HM151" i="12"/>
  <c r="HN151" i="12"/>
  <c r="HO151" i="12"/>
  <c r="HP151" i="12"/>
  <c r="HQ151" i="12"/>
  <c r="HR151" i="12"/>
  <c r="HS151" i="12"/>
  <c r="HT151" i="12"/>
  <c r="HU151" i="12"/>
  <c r="HV151" i="12"/>
  <c r="HW151" i="12"/>
  <c r="HX151" i="12"/>
  <c r="HY151" i="12"/>
  <c r="HZ151" i="12"/>
  <c r="IA151" i="12"/>
  <c r="IB151" i="12"/>
  <c r="IC151" i="12"/>
  <c r="ID151" i="12"/>
  <c r="IE151" i="12"/>
  <c r="IF151" i="12"/>
  <c r="IG151" i="12"/>
  <c r="IH151" i="12"/>
  <c r="II151" i="12"/>
  <c r="IJ151" i="12"/>
  <c r="IK151" i="12"/>
  <c r="IL151" i="12"/>
  <c r="IM151" i="12"/>
  <c r="IN151" i="12"/>
  <c r="IO151" i="12"/>
  <c r="IP151" i="12"/>
  <c r="IQ151" i="12"/>
  <c r="IR151" i="12"/>
  <c r="IS151" i="12"/>
  <c r="IT151" i="12"/>
  <c r="IU151" i="12"/>
  <c r="IV151" i="12"/>
  <c r="A150" i="12"/>
  <c r="B150" i="12"/>
  <c r="C150" i="12"/>
  <c r="D150" i="12"/>
  <c r="E150" i="12"/>
  <c r="F150" i="12"/>
  <c r="G150" i="12"/>
  <c r="H150" i="12"/>
  <c r="I150" i="12"/>
  <c r="J150" i="12"/>
  <c r="K150" i="12"/>
  <c r="L150" i="12"/>
  <c r="M150" i="12"/>
  <c r="N150" i="12"/>
  <c r="O150" i="12"/>
  <c r="P150" i="12"/>
  <c r="Q150" i="12"/>
  <c r="R150" i="12"/>
  <c r="S150" i="12"/>
  <c r="T150" i="12"/>
  <c r="U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BC150" i="12"/>
  <c r="BD150" i="12"/>
  <c r="BE150" i="12"/>
  <c r="BF150" i="12"/>
  <c r="BG150" i="12"/>
  <c r="BH150" i="12"/>
  <c r="BI150" i="12"/>
  <c r="BJ150" i="12"/>
  <c r="BK150" i="12"/>
  <c r="BL150" i="12"/>
  <c r="BM150" i="12"/>
  <c r="BN150" i="12"/>
  <c r="BO150" i="12"/>
  <c r="BP150" i="12"/>
  <c r="BQ150" i="12"/>
  <c r="BR150" i="12"/>
  <c r="BS150" i="12"/>
  <c r="BT150" i="12"/>
  <c r="BU150" i="12"/>
  <c r="BV150" i="12"/>
  <c r="BW150" i="12"/>
  <c r="BX150" i="12"/>
  <c r="BY150" i="12"/>
  <c r="BZ150" i="12"/>
  <c r="CA150" i="12"/>
  <c r="CB150" i="12"/>
  <c r="CC150" i="12"/>
  <c r="CD150" i="12"/>
  <c r="CE150" i="12"/>
  <c r="CF150" i="12"/>
  <c r="CG150" i="12"/>
  <c r="CH150" i="12"/>
  <c r="CI150" i="12"/>
  <c r="CJ150" i="12"/>
  <c r="CK150" i="12"/>
  <c r="CL150" i="12"/>
  <c r="CM150" i="12"/>
  <c r="CN150" i="12"/>
  <c r="CO150" i="12"/>
  <c r="CP150" i="12"/>
  <c r="CQ150" i="12"/>
  <c r="CR150" i="12"/>
  <c r="CS150" i="12"/>
  <c r="CT150" i="12"/>
  <c r="CU150" i="12"/>
  <c r="CV150" i="12"/>
  <c r="CW150" i="12"/>
  <c r="CX150" i="12"/>
  <c r="CY150" i="12"/>
  <c r="CZ150" i="12"/>
  <c r="DA150" i="12"/>
  <c r="DB150" i="12"/>
  <c r="DC150" i="12"/>
  <c r="DD150" i="12"/>
  <c r="DE150" i="12"/>
  <c r="DF150" i="12"/>
  <c r="DG150" i="12"/>
  <c r="DH150" i="12"/>
  <c r="DI150" i="12"/>
  <c r="DJ150" i="12"/>
  <c r="DK150" i="12"/>
  <c r="DL150" i="12"/>
  <c r="DM150" i="12"/>
  <c r="DN150" i="12"/>
  <c r="DO150" i="12"/>
  <c r="DP150" i="12"/>
  <c r="DQ150" i="12"/>
  <c r="DR150" i="12"/>
  <c r="DS150" i="12"/>
  <c r="DT150" i="12"/>
  <c r="DU150" i="12"/>
  <c r="DV150" i="12"/>
  <c r="DW150" i="12"/>
  <c r="DX150" i="12"/>
  <c r="DY150" i="12"/>
  <c r="DZ150" i="12"/>
  <c r="EA150" i="12"/>
  <c r="EB150" i="12"/>
  <c r="EC150" i="12"/>
  <c r="ED150" i="12"/>
  <c r="EE150" i="12"/>
  <c r="EF150" i="12"/>
  <c r="EG150" i="12"/>
  <c r="EH150" i="12"/>
  <c r="EI150" i="12"/>
  <c r="EJ150" i="12"/>
  <c r="EK150" i="12"/>
  <c r="EL150" i="12"/>
  <c r="EM150" i="12"/>
  <c r="EN150" i="12"/>
  <c r="EO150" i="12"/>
  <c r="EP150" i="12"/>
  <c r="EQ150" i="12"/>
  <c r="ER150" i="12"/>
  <c r="ES150" i="12"/>
  <c r="ET150" i="12"/>
  <c r="EU150" i="12"/>
  <c r="EV150" i="12"/>
  <c r="EW150" i="12"/>
  <c r="EX150" i="12"/>
  <c r="EY150" i="12"/>
  <c r="EZ150" i="12"/>
  <c r="FA150" i="12"/>
  <c r="FB150" i="12"/>
  <c r="FC150" i="12"/>
  <c r="FD150" i="12"/>
  <c r="FE150" i="12"/>
  <c r="FF150" i="12"/>
  <c r="FG150" i="12"/>
  <c r="FH150" i="12"/>
  <c r="FI150" i="12"/>
  <c r="FJ150" i="12"/>
  <c r="FK150" i="12"/>
  <c r="FL150" i="12"/>
  <c r="FM150" i="12"/>
  <c r="FN150" i="12"/>
  <c r="FO150" i="12"/>
  <c r="FP150" i="12"/>
  <c r="FQ150" i="12"/>
  <c r="FR150" i="12"/>
  <c r="FS150" i="12"/>
  <c r="FT150" i="12"/>
  <c r="FU150" i="12"/>
  <c r="FV150" i="12"/>
  <c r="FW150" i="12"/>
  <c r="FX150" i="12"/>
  <c r="FY150" i="12"/>
  <c r="FZ150" i="12"/>
  <c r="GA150" i="12"/>
  <c r="GB150" i="12"/>
  <c r="GC150" i="12"/>
  <c r="GD150" i="12"/>
  <c r="GE150" i="12"/>
  <c r="GF150" i="12"/>
  <c r="GG150" i="12"/>
  <c r="GH150" i="12"/>
  <c r="GI150" i="12"/>
  <c r="GJ150" i="12"/>
  <c r="GK150" i="12"/>
  <c r="GL150" i="12"/>
  <c r="GM150" i="12"/>
  <c r="GN150" i="12"/>
  <c r="GO150" i="12"/>
  <c r="GP150" i="12"/>
  <c r="GQ150" i="12"/>
  <c r="GR150" i="12"/>
  <c r="GS150" i="12"/>
  <c r="GT150" i="12"/>
  <c r="GU150" i="12"/>
  <c r="GV150" i="12"/>
  <c r="GW150" i="12"/>
  <c r="GX150" i="12"/>
  <c r="GY150" i="12"/>
  <c r="GZ150" i="12"/>
  <c r="HA150" i="12"/>
  <c r="HB150" i="12"/>
  <c r="HC150" i="12"/>
  <c r="HD150" i="12"/>
  <c r="HE150" i="12"/>
  <c r="HF150" i="12"/>
  <c r="HG150" i="12"/>
  <c r="HH150" i="12"/>
  <c r="HI150" i="12"/>
  <c r="HJ150" i="12"/>
  <c r="HK150" i="12"/>
  <c r="HL150" i="12"/>
  <c r="HM150" i="12"/>
  <c r="HN150" i="12"/>
  <c r="HO150" i="12"/>
  <c r="HP150" i="12"/>
  <c r="HQ150" i="12"/>
  <c r="HR150" i="12"/>
  <c r="HS150" i="12"/>
  <c r="HT150" i="12"/>
  <c r="HU150" i="12"/>
  <c r="HV150" i="12"/>
  <c r="HW150" i="12"/>
  <c r="HX150" i="12"/>
  <c r="HY150" i="12"/>
  <c r="HZ150" i="12"/>
  <c r="IA150" i="12"/>
  <c r="IB150" i="12"/>
  <c r="IC150" i="12"/>
  <c r="ID150" i="12"/>
  <c r="IE150" i="12"/>
  <c r="IF150" i="12"/>
  <c r="IG150" i="12"/>
  <c r="IH150" i="12"/>
  <c r="II150" i="12"/>
  <c r="IJ150" i="12"/>
  <c r="IK150" i="12"/>
  <c r="IL150" i="12"/>
  <c r="IM150" i="12"/>
  <c r="IN150" i="12"/>
  <c r="IO150" i="12"/>
  <c r="IP150" i="12"/>
  <c r="IQ150" i="12"/>
  <c r="IR150" i="12"/>
  <c r="IS150" i="12"/>
  <c r="IT150" i="12"/>
  <c r="IU150" i="12"/>
  <c r="IV150" i="12"/>
  <c r="A149" i="12"/>
  <c r="B149" i="12"/>
  <c r="C149" i="12"/>
  <c r="D149" i="12"/>
  <c r="E149" i="12"/>
  <c r="F149" i="12"/>
  <c r="G149" i="12"/>
  <c r="H149" i="12"/>
  <c r="I149" i="12"/>
  <c r="J149" i="12"/>
  <c r="K149" i="12"/>
  <c r="L149" i="12"/>
  <c r="M149" i="12"/>
  <c r="N149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BC149" i="12"/>
  <c r="BD149" i="12"/>
  <c r="BE149" i="12"/>
  <c r="BF149" i="12"/>
  <c r="BG149" i="12"/>
  <c r="BH149" i="12"/>
  <c r="BI149" i="12"/>
  <c r="BJ149" i="12"/>
  <c r="BK149" i="12"/>
  <c r="BL149" i="12"/>
  <c r="BM149" i="12"/>
  <c r="BN149" i="12"/>
  <c r="BO149" i="12"/>
  <c r="BP149" i="12"/>
  <c r="BQ149" i="12"/>
  <c r="BR149" i="12"/>
  <c r="BS149" i="12"/>
  <c r="BT149" i="12"/>
  <c r="BU149" i="12"/>
  <c r="BV149" i="12"/>
  <c r="BW149" i="12"/>
  <c r="BX149" i="12"/>
  <c r="BY149" i="12"/>
  <c r="BZ149" i="12"/>
  <c r="CA149" i="12"/>
  <c r="CB149" i="12"/>
  <c r="CC149" i="12"/>
  <c r="CD149" i="12"/>
  <c r="CE149" i="12"/>
  <c r="CF149" i="12"/>
  <c r="CG149" i="12"/>
  <c r="CH149" i="12"/>
  <c r="CI149" i="12"/>
  <c r="CJ149" i="12"/>
  <c r="CK149" i="12"/>
  <c r="CL149" i="12"/>
  <c r="CM149" i="12"/>
  <c r="CN149" i="12"/>
  <c r="CO149" i="12"/>
  <c r="CP149" i="12"/>
  <c r="CQ149" i="12"/>
  <c r="CR149" i="12"/>
  <c r="CS149" i="12"/>
  <c r="CT149" i="12"/>
  <c r="CU149" i="12"/>
  <c r="CV149" i="12"/>
  <c r="CW149" i="12"/>
  <c r="CX149" i="12"/>
  <c r="CY149" i="12"/>
  <c r="CZ149" i="12"/>
  <c r="DA149" i="12"/>
  <c r="DB149" i="12"/>
  <c r="DC149" i="12"/>
  <c r="DD149" i="12"/>
  <c r="DE149" i="12"/>
  <c r="DF149" i="12"/>
  <c r="DG149" i="12"/>
  <c r="DH149" i="12"/>
  <c r="DI149" i="12"/>
  <c r="DJ149" i="12"/>
  <c r="DK149" i="12"/>
  <c r="DL149" i="12"/>
  <c r="DM149" i="12"/>
  <c r="DN149" i="12"/>
  <c r="DO149" i="12"/>
  <c r="DP149" i="12"/>
  <c r="DQ149" i="12"/>
  <c r="DR149" i="12"/>
  <c r="DS149" i="12"/>
  <c r="DT149" i="12"/>
  <c r="DU149" i="12"/>
  <c r="DV149" i="12"/>
  <c r="DW149" i="12"/>
  <c r="DX149" i="12"/>
  <c r="DY149" i="12"/>
  <c r="DZ149" i="12"/>
  <c r="EA149" i="12"/>
  <c r="EB149" i="12"/>
  <c r="EC149" i="12"/>
  <c r="ED149" i="12"/>
  <c r="EE149" i="12"/>
  <c r="EF149" i="12"/>
  <c r="EG149" i="12"/>
  <c r="EH149" i="12"/>
  <c r="EI149" i="12"/>
  <c r="EJ149" i="12"/>
  <c r="EK149" i="12"/>
  <c r="EL149" i="12"/>
  <c r="EM149" i="12"/>
  <c r="EN149" i="12"/>
  <c r="EO149" i="12"/>
  <c r="EP149" i="12"/>
  <c r="EQ149" i="12"/>
  <c r="ER149" i="12"/>
  <c r="ES149" i="12"/>
  <c r="ET149" i="12"/>
  <c r="EU149" i="12"/>
  <c r="EV149" i="12"/>
  <c r="EW149" i="12"/>
  <c r="EX149" i="12"/>
  <c r="EY149" i="12"/>
  <c r="EZ149" i="12"/>
  <c r="FA149" i="12"/>
  <c r="FB149" i="12"/>
  <c r="FC149" i="12"/>
  <c r="FD149" i="12"/>
  <c r="FE149" i="12"/>
  <c r="FF149" i="12"/>
  <c r="FG149" i="12"/>
  <c r="FH149" i="12"/>
  <c r="FI149" i="12"/>
  <c r="FJ149" i="12"/>
  <c r="FK149" i="12"/>
  <c r="FL149" i="12"/>
  <c r="FM149" i="12"/>
  <c r="FN149" i="12"/>
  <c r="FO149" i="12"/>
  <c r="FP149" i="12"/>
  <c r="FQ149" i="12"/>
  <c r="FR149" i="12"/>
  <c r="FS149" i="12"/>
  <c r="FT149" i="12"/>
  <c r="FU149" i="12"/>
  <c r="FV149" i="12"/>
  <c r="FW149" i="12"/>
  <c r="FX149" i="12"/>
  <c r="FY149" i="12"/>
  <c r="FZ149" i="12"/>
  <c r="GA149" i="12"/>
  <c r="GB149" i="12"/>
  <c r="GC149" i="12"/>
  <c r="GD149" i="12"/>
  <c r="GE149" i="12"/>
  <c r="GF149" i="12"/>
  <c r="GG149" i="12"/>
  <c r="GH149" i="12"/>
  <c r="GI149" i="12"/>
  <c r="GJ149" i="12"/>
  <c r="GK149" i="12"/>
  <c r="GL149" i="12"/>
  <c r="GM149" i="12"/>
  <c r="GN149" i="12"/>
  <c r="GO149" i="12"/>
  <c r="GP149" i="12"/>
  <c r="GQ149" i="12"/>
  <c r="GR149" i="12"/>
  <c r="GS149" i="12"/>
  <c r="GT149" i="12"/>
  <c r="GU149" i="12"/>
  <c r="GV149" i="12"/>
  <c r="GW149" i="12"/>
  <c r="GX149" i="12"/>
  <c r="GY149" i="12"/>
  <c r="GZ149" i="12"/>
  <c r="HA149" i="12"/>
  <c r="HB149" i="12"/>
  <c r="HC149" i="12"/>
  <c r="HD149" i="12"/>
  <c r="HE149" i="12"/>
  <c r="HF149" i="12"/>
  <c r="HG149" i="12"/>
  <c r="HH149" i="12"/>
  <c r="HI149" i="12"/>
  <c r="HJ149" i="12"/>
  <c r="HK149" i="12"/>
  <c r="HL149" i="12"/>
  <c r="HM149" i="12"/>
  <c r="HN149" i="12"/>
  <c r="HO149" i="12"/>
  <c r="HP149" i="12"/>
  <c r="HQ149" i="12"/>
  <c r="HR149" i="12"/>
  <c r="HS149" i="12"/>
  <c r="HT149" i="12"/>
  <c r="HU149" i="12"/>
  <c r="HV149" i="12"/>
  <c r="HW149" i="12"/>
  <c r="HX149" i="12"/>
  <c r="HY149" i="12"/>
  <c r="HZ149" i="12"/>
  <c r="IA149" i="12"/>
  <c r="IB149" i="12"/>
  <c r="IC149" i="12"/>
  <c r="ID149" i="12"/>
  <c r="IE149" i="12"/>
  <c r="IF149" i="12"/>
  <c r="IG149" i="12"/>
  <c r="IH149" i="12"/>
  <c r="II149" i="12"/>
  <c r="IJ149" i="12"/>
  <c r="IK149" i="12"/>
  <c r="IL149" i="12"/>
  <c r="IM149" i="12"/>
  <c r="IN149" i="12"/>
  <c r="IO149" i="12"/>
  <c r="IP149" i="12"/>
  <c r="IQ149" i="12"/>
  <c r="IR149" i="12"/>
  <c r="IS149" i="12"/>
  <c r="IT149" i="12"/>
  <c r="IU149" i="12"/>
  <c r="IV149" i="12"/>
  <c r="A148" i="12"/>
  <c r="B148" i="12"/>
  <c r="C148" i="12"/>
  <c r="D148" i="12"/>
  <c r="E148" i="12"/>
  <c r="F148" i="12"/>
  <c r="G148" i="12"/>
  <c r="H148" i="12"/>
  <c r="J148" i="12"/>
  <c r="K148" i="12"/>
  <c r="L148" i="12"/>
  <c r="M148" i="12"/>
  <c r="N148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BC148" i="12"/>
  <c r="BD148" i="12"/>
  <c r="BE148" i="12"/>
  <c r="BF148" i="12"/>
  <c r="BG148" i="12"/>
  <c r="BH148" i="12"/>
  <c r="BI148" i="12"/>
  <c r="BJ148" i="12"/>
  <c r="BK148" i="12"/>
  <c r="BL148" i="12"/>
  <c r="BM148" i="12"/>
  <c r="BN148" i="12"/>
  <c r="BO148" i="12"/>
  <c r="BP148" i="12"/>
  <c r="BQ148" i="12"/>
  <c r="BR148" i="12"/>
  <c r="BS148" i="12"/>
  <c r="BT148" i="12"/>
  <c r="BU148" i="12"/>
  <c r="BV148" i="12"/>
  <c r="BW148" i="12"/>
  <c r="BX148" i="12"/>
  <c r="BY148" i="12"/>
  <c r="BZ148" i="12"/>
  <c r="CA148" i="12"/>
  <c r="CB148" i="12"/>
  <c r="CC148" i="12"/>
  <c r="CD148" i="12"/>
  <c r="CE148" i="12"/>
  <c r="CF148" i="12"/>
  <c r="CG148" i="12"/>
  <c r="CH148" i="12"/>
  <c r="CI148" i="12"/>
  <c r="CJ148" i="12"/>
  <c r="CK148" i="12"/>
  <c r="CL148" i="12"/>
  <c r="CM148" i="12"/>
  <c r="CN148" i="12"/>
  <c r="CO148" i="12"/>
  <c r="CP148" i="12"/>
  <c r="CQ148" i="12"/>
  <c r="CR148" i="12"/>
  <c r="CS148" i="12"/>
  <c r="CT148" i="12"/>
  <c r="CU148" i="12"/>
  <c r="CV148" i="12"/>
  <c r="CW148" i="12"/>
  <c r="CX148" i="12"/>
  <c r="CY148" i="12"/>
  <c r="CZ148" i="12"/>
  <c r="DA148" i="12"/>
  <c r="DB148" i="12"/>
  <c r="DC148" i="12"/>
  <c r="DD148" i="12"/>
  <c r="DE148" i="12"/>
  <c r="DF148" i="12"/>
  <c r="DG148" i="12"/>
  <c r="DH148" i="12"/>
  <c r="DI148" i="12"/>
  <c r="DJ148" i="12"/>
  <c r="DK148" i="12"/>
  <c r="DL148" i="12"/>
  <c r="DM148" i="12"/>
  <c r="DN148" i="12"/>
  <c r="DO148" i="12"/>
  <c r="DP148" i="12"/>
  <c r="DQ148" i="12"/>
  <c r="DR148" i="12"/>
  <c r="DS148" i="12"/>
  <c r="DT148" i="12"/>
  <c r="DU148" i="12"/>
  <c r="DV148" i="12"/>
  <c r="DW148" i="12"/>
  <c r="DX148" i="12"/>
  <c r="DY148" i="12"/>
  <c r="DZ148" i="12"/>
  <c r="EA148" i="12"/>
  <c r="EB148" i="12"/>
  <c r="EC148" i="12"/>
  <c r="ED148" i="12"/>
  <c r="EE148" i="12"/>
  <c r="EF148" i="12"/>
  <c r="EG148" i="12"/>
  <c r="EH148" i="12"/>
  <c r="EI148" i="12"/>
  <c r="EJ148" i="12"/>
  <c r="EK148" i="12"/>
  <c r="EL148" i="12"/>
  <c r="EM148" i="12"/>
  <c r="EN148" i="12"/>
  <c r="EO148" i="12"/>
  <c r="EP148" i="12"/>
  <c r="EQ148" i="12"/>
  <c r="ER148" i="12"/>
  <c r="ES148" i="12"/>
  <c r="ET148" i="12"/>
  <c r="EU148" i="12"/>
  <c r="EV148" i="12"/>
  <c r="EW148" i="12"/>
  <c r="EX148" i="12"/>
  <c r="EY148" i="12"/>
  <c r="EZ148" i="12"/>
  <c r="FA148" i="12"/>
  <c r="FB148" i="12"/>
  <c r="FC148" i="12"/>
  <c r="FD148" i="12"/>
  <c r="FE148" i="12"/>
  <c r="FF148" i="12"/>
  <c r="FG148" i="12"/>
  <c r="FH148" i="12"/>
  <c r="FI148" i="12"/>
  <c r="FJ148" i="12"/>
  <c r="FK148" i="12"/>
  <c r="FL148" i="12"/>
  <c r="FM148" i="12"/>
  <c r="FN148" i="12"/>
  <c r="FO148" i="12"/>
  <c r="FP148" i="12"/>
  <c r="FQ148" i="12"/>
  <c r="FR148" i="12"/>
  <c r="FS148" i="12"/>
  <c r="FT148" i="12"/>
  <c r="FU148" i="12"/>
  <c r="FV148" i="12"/>
  <c r="FW148" i="12"/>
  <c r="FX148" i="12"/>
  <c r="FY148" i="12"/>
  <c r="FZ148" i="12"/>
  <c r="GA148" i="12"/>
  <c r="GB148" i="12"/>
  <c r="GC148" i="12"/>
  <c r="GD148" i="12"/>
  <c r="GE148" i="12"/>
  <c r="GF148" i="12"/>
  <c r="GG148" i="12"/>
  <c r="GH148" i="12"/>
  <c r="GI148" i="12"/>
  <c r="GJ148" i="12"/>
  <c r="GK148" i="12"/>
  <c r="GL148" i="12"/>
  <c r="GM148" i="12"/>
  <c r="GN148" i="12"/>
  <c r="GO148" i="12"/>
  <c r="GP148" i="12"/>
  <c r="GQ148" i="12"/>
  <c r="GR148" i="12"/>
  <c r="GS148" i="12"/>
  <c r="GT148" i="12"/>
  <c r="GU148" i="12"/>
  <c r="GV148" i="12"/>
  <c r="GW148" i="12"/>
  <c r="GX148" i="12"/>
  <c r="GY148" i="12"/>
  <c r="GZ148" i="12"/>
  <c r="HA148" i="12"/>
  <c r="HB148" i="12"/>
  <c r="HC148" i="12"/>
  <c r="HD148" i="12"/>
  <c r="HE148" i="12"/>
  <c r="HF148" i="12"/>
  <c r="HG148" i="12"/>
  <c r="HH148" i="12"/>
  <c r="HI148" i="12"/>
  <c r="HJ148" i="12"/>
  <c r="HK148" i="12"/>
  <c r="HL148" i="12"/>
  <c r="HM148" i="12"/>
  <c r="HN148" i="12"/>
  <c r="HO148" i="12"/>
  <c r="HP148" i="12"/>
  <c r="HQ148" i="12"/>
  <c r="HR148" i="12"/>
  <c r="HS148" i="12"/>
  <c r="HT148" i="12"/>
  <c r="HU148" i="12"/>
  <c r="HV148" i="12"/>
  <c r="HW148" i="12"/>
  <c r="HX148" i="12"/>
  <c r="HY148" i="12"/>
  <c r="HZ148" i="12"/>
  <c r="IA148" i="12"/>
  <c r="IB148" i="12"/>
  <c r="IC148" i="12"/>
  <c r="ID148" i="12"/>
  <c r="IE148" i="12"/>
  <c r="IF148" i="12"/>
  <c r="IG148" i="12"/>
  <c r="IH148" i="12"/>
  <c r="II148" i="12"/>
  <c r="IJ148" i="12"/>
  <c r="IK148" i="12"/>
  <c r="IL148" i="12"/>
  <c r="IM148" i="12"/>
  <c r="IN148" i="12"/>
  <c r="IO148" i="12"/>
  <c r="IP148" i="12"/>
  <c r="IQ148" i="12"/>
  <c r="IR148" i="12"/>
  <c r="IS148" i="12"/>
  <c r="IT148" i="12"/>
  <c r="IU148" i="12"/>
  <c r="IV148" i="12"/>
  <c r="A147" i="12"/>
  <c r="B147" i="12"/>
  <c r="C147" i="12"/>
  <c r="D147" i="12"/>
  <c r="E147" i="12"/>
  <c r="F147" i="12"/>
  <c r="G147" i="12"/>
  <c r="H147" i="12"/>
  <c r="I147" i="12"/>
  <c r="J147" i="12"/>
  <c r="K147" i="12"/>
  <c r="L147" i="12"/>
  <c r="M147" i="12"/>
  <c r="N147" i="12"/>
  <c r="O147" i="12"/>
  <c r="P147" i="12"/>
  <c r="Q147" i="12"/>
  <c r="R147" i="12"/>
  <c r="S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BC147" i="12"/>
  <c r="BD147" i="12"/>
  <c r="BE147" i="12"/>
  <c r="BF147" i="12"/>
  <c r="BG147" i="12"/>
  <c r="BH147" i="12"/>
  <c r="BI147" i="12"/>
  <c r="BJ147" i="12"/>
  <c r="BK147" i="12"/>
  <c r="BL147" i="12"/>
  <c r="BM147" i="12"/>
  <c r="BN147" i="12"/>
  <c r="BO147" i="12"/>
  <c r="BP147" i="12"/>
  <c r="BQ147" i="12"/>
  <c r="BR147" i="12"/>
  <c r="BS147" i="12"/>
  <c r="BT147" i="12"/>
  <c r="BU147" i="12"/>
  <c r="BV147" i="12"/>
  <c r="BW147" i="12"/>
  <c r="BX147" i="12"/>
  <c r="BY147" i="12"/>
  <c r="BZ147" i="12"/>
  <c r="CA147" i="12"/>
  <c r="CB147" i="12"/>
  <c r="CC147" i="12"/>
  <c r="CD147" i="12"/>
  <c r="CE147" i="12"/>
  <c r="CF147" i="12"/>
  <c r="CG147" i="12"/>
  <c r="CH147" i="12"/>
  <c r="CI147" i="12"/>
  <c r="CJ147" i="12"/>
  <c r="CK147" i="12"/>
  <c r="CL147" i="12"/>
  <c r="CM147" i="12"/>
  <c r="CN147" i="12"/>
  <c r="CO147" i="12"/>
  <c r="CP147" i="12"/>
  <c r="CQ147" i="12"/>
  <c r="CR147" i="12"/>
  <c r="CS147" i="12"/>
  <c r="CT147" i="12"/>
  <c r="CU147" i="12"/>
  <c r="CV147" i="12"/>
  <c r="CW147" i="12"/>
  <c r="CX147" i="12"/>
  <c r="CY147" i="12"/>
  <c r="CZ147" i="12"/>
  <c r="DA147" i="12"/>
  <c r="DB147" i="12"/>
  <c r="DC147" i="12"/>
  <c r="DD147" i="12"/>
  <c r="DE147" i="12"/>
  <c r="DF147" i="12"/>
  <c r="DG147" i="12"/>
  <c r="DH147" i="12"/>
  <c r="DI147" i="12"/>
  <c r="DJ147" i="12"/>
  <c r="DK147" i="12"/>
  <c r="DL147" i="12"/>
  <c r="DM147" i="12"/>
  <c r="DN147" i="12"/>
  <c r="DO147" i="12"/>
  <c r="DP147" i="12"/>
  <c r="DQ147" i="12"/>
  <c r="DR147" i="12"/>
  <c r="DS147" i="12"/>
  <c r="DT147" i="12"/>
  <c r="DU147" i="12"/>
  <c r="DV147" i="12"/>
  <c r="DW147" i="12"/>
  <c r="DX147" i="12"/>
  <c r="DY147" i="12"/>
  <c r="DZ147" i="12"/>
  <c r="EA147" i="12"/>
  <c r="EB147" i="12"/>
  <c r="EC147" i="12"/>
  <c r="ED147" i="12"/>
  <c r="EE147" i="12"/>
  <c r="EF147" i="12"/>
  <c r="EG147" i="12"/>
  <c r="EH147" i="12"/>
  <c r="EI147" i="12"/>
  <c r="EJ147" i="12"/>
  <c r="EK147" i="12"/>
  <c r="EL147" i="12"/>
  <c r="EM147" i="12"/>
  <c r="EN147" i="12"/>
  <c r="EO147" i="12"/>
  <c r="EP147" i="12"/>
  <c r="EQ147" i="12"/>
  <c r="ER147" i="12"/>
  <c r="ES147" i="12"/>
  <c r="ET147" i="12"/>
  <c r="EU147" i="12"/>
  <c r="EV147" i="12"/>
  <c r="EW147" i="12"/>
  <c r="EX147" i="12"/>
  <c r="EY147" i="12"/>
  <c r="EZ147" i="12"/>
  <c r="FA147" i="12"/>
  <c r="FB147" i="12"/>
  <c r="FC147" i="12"/>
  <c r="FD147" i="12"/>
  <c r="FE147" i="12"/>
  <c r="FF147" i="12"/>
  <c r="FG147" i="12"/>
  <c r="FH147" i="12"/>
  <c r="FI147" i="12"/>
  <c r="FJ147" i="12"/>
  <c r="FK147" i="12"/>
  <c r="FL147" i="12"/>
  <c r="FM147" i="12"/>
  <c r="FN147" i="12"/>
  <c r="FO147" i="12"/>
  <c r="FP147" i="12"/>
  <c r="FQ147" i="12"/>
  <c r="FR147" i="12"/>
  <c r="FS147" i="12"/>
  <c r="FT147" i="12"/>
  <c r="FU147" i="12"/>
  <c r="FV147" i="12"/>
  <c r="FW147" i="12"/>
  <c r="FX147" i="12"/>
  <c r="FY147" i="12"/>
  <c r="FZ147" i="12"/>
  <c r="GA147" i="12"/>
  <c r="GB147" i="12"/>
  <c r="GC147" i="12"/>
  <c r="GD147" i="12"/>
  <c r="GE147" i="12"/>
  <c r="GF147" i="12"/>
  <c r="GG147" i="12"/>
  <c r="GH147" i="12"/>
  <c r="GI147" i="12"/>
  <c r="GJ147" i="12"/>
  <c r="GK147" i="12"/>
  <c r="GL147" i="12"/>
  <c r="GM147" i="12"/>
  <c r="GN147" i="12"/>
  <c r="GO147" i="12"/>
  <c r="GP147" i="12"/>
  <c r="GQ147" i="12"/>
  <c r="GR147" i="12"/>
  <c r="GS147" i="12"/>
  <c r="GT147" i="12"/>
  <c r="GU147" i="12"/>
  <c r="GV147" i="12"/>
  <c r="GW147" i="12"/>
  <c r="GX147" i="12"/>
  <c r="GY147" i="12"/>
  <c r="GZ147" i="12"/>
  <c r="HA147" i="12"/>
  <c r="HB147" i="12"/>
  <c r="HC147" i="12"/>
  <c r="HD147" i="12"/>
  <c r="HE147" i="12"/>
  <c r="HF147" i="12"/>
  <c r="HG147" i="12"/>
  <c r="HH147" i="12"/>
  <c r="HI147" i="12"/>
  <c r="HJ147" i="12"/>
  <c r="HK147" i="12"/>
  <c r="HL147" i="12"/>
  <c r="HM147" i="12"/>
  <c r="HN147" i="12"/>
  <c r="HO147" i="12"/>
  <c r="HP147" i="12"/>
  <c r="HQ147" i="12"/>
  <c r="HR147" i="12"/>
  <c r="HS147" i="12"/>
  <c r="HT147" i="12"/>
  <c r="HU147" i="12"/>
  <c r="HV147" i="12"/>
  <c r="HW147" i="12"/>
  <c r="HX147" i="12"/>
  <c r="HY147" i="12"/>
  <c r="HZ147" i="12"/>
  <c r="IA147" i="12"/>
  <c r="IB147" i="12"/>
  <c r="IC147" i="12"/>
  <c r="ID147" i="12"/>
  <c r="IE147" i="12"/>
  <c r="IF147" i="12"/>
  <c r="IG147" i="12"/>
  <c r="IH147" i="12"/>
  <c r="II147" i="12"/>
  <c r="IJ147" i="12"/>
  <c r="IK147" i="12"/>
  <c r="IL147" i="12"/>
  <c r="IM147" i="12"/>
  <c r="IN147" i="12"/>
  <c r="IO147" i="12"/>
  <c r="IP147" i="12"/>
  <c r="IQ147" i="12"/>
  <c r="IR147" i="12"/>
  <c r="IS147" i="12"/>
  <c r="IT147" i="12"/>
  <c r="IU147" i="12"/>
  <c r="IV147" i="12"/>
  <c r="A146" i="12"/>
  <c r="B146" i="12"/>
  <c r="C146" i="12"/>
  <c r="D146" i="12"/>
  <c r="E146" i="12"/>
  <c r="F146" i="12"/>
  <c r="G146" i="12"/>
  <c r="H146" i="12"/>
  <c r="I146" i="12"/>
  <c r="J146" i="12"/>
  <c r="K146" i="12"/>
  <c r="L146" i="12"/>
  <c r="M146" i="12"/>
  <c r="N146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BC146" i="12"/>
  <c r="BD146" i="12"/>
  <c r="BE146" i="12"/>
  <c r="BF146" i="12"/>
  <c r="BG146" i="12"/>
  <c r="BH146" i="12"/>
  <c r="BI146" i="12"/>
  <c r="BJ146" i="12"/>
  <c r="BK146" i="12"/>
  <c r="BL146" i="12"/>
  <c r="BM146" i="12"/>
  <c r="BN146" i="12"/>
  <c r="BO146" i="12"/>
  <c r="BP146" i="12"/>
  <c r="BQ146" i="12"/>
  <c r="BR146" i="12"/>
  <c r="BS146" i="12"/>
  <c r="BT146" i="12"/>
  <c r="BU146" i="12"/>
  <c r="BV146" i="12"/>
  <c r="BW146" i="12"/>
  <c r="BX146" i="12"/>
  <c r="BY146" i="12"/>
  <c r="BZ146" i="12"/>
  <c r="CA146" i="12"/>
  <c r="CB146" i="12"/>
  <c r="CC146" i="12"/>
  <c r="CD146" i="12"/>
  <c r="CE146" i="12"/>
  <c r="CF146" i="12"/>
  <c r="CG146" i="12"/>
  <c r="CH146" i="12"/>
  <c r="CI146" i="12"/>
  <c r="CJ146" i="12"/>
  <c r="CK146" i="12"/>
  <c r="CL146" i="12"/>
  <c r="CM146" i="12"/>
  <c r="CN146" i="12"/>
  <c r="CO146" i="12"/>
  <c r="CP146" i="12"/>
  <c r="CQ146" i="12"/>
  <c r="CR146" i="12"/>
  <c r="CS146" i="12"/>
  <c r="CT146" i="12"/>
  <c r="CU146" i="12"/>
  <c r="CV146" i="12"/>
  <c r="CW146" i="12"/>
  <c r="CX146" i="12"/>
  <c r="CY146" i="12"/>
  <c r="CZ146" i="12"/>
  <c r="DA146" i="12"/>
  <c r="DB146" i="12"/>
  <c r="DC146" i="12"/>
  <c r="DD146" i="12"/>
  <c r="DE146" i="12"/>
  <c r="DF146" i="12"/>
  <c r="DG146" i="12"/>
  <c r="DH146" i="12"/>
  <c r="DI146" i="12"/>
  <c r="DJ146" i="12"/>
  <c r="DK146" i="12"/>
  <c r="DL146" i="12"/>
  <c r="DM146" i="12"/>
  <c r="DN146" i="12"/>
  <c r="DO146" i="12"/>
  <c r="DP146" i="12"/>
  <c r="DQ146" i="12"/>
  <c r="DR146" i="12"/>
  <c r="DS146" i="12"/>
  <c r="DT146" i="12"/>
  <c r="DU146" i="12"/>
  <c r="DV146" i="12"/>
  <c r="DW146" i="12"/>
  <c r="DX146" i="12"/>
  <c r="DY146" i="12"/>
  <c r="DZ146" i="12"/>
  <c r="EA146" i="12"/>
  <c r="EB146" i="12"/>
  <c r="EC146" i="12"/>
  <c r="ED146" i="12"/>
  <c r="EE146" i="12"/>
  <c r="EF146" i="12"/>
  <c r="EG146" i="12"/>
  <c r="EH146" i="12"/>
  <c r="EI146" i="12"/>
  <c r="EJ146" i="12"/>
  <c r="EK146" i="12"/>
  <c r="EL146" i="12"/>
  <c r="EM146" i="12"/>
  <c r="EN146" i="12"/>
  <c r="EO146" i="12"/>
  <c r="EP146" i="12"/>
  <c r="EQ146" i="12"/>
  <c r="ER146" i="12"/>
  <c r="ES146" i="12"/>
  <c r="ET146" i="12"/>
  <c r="EU146" i="12"/>
  <c r="EV146" i="12"/>
  <c r="EW146" i="12"/>
  <c r="EX146" i="12"/>
  <c r="EY146" i="12"/>
  <c r="EZ146" i="12"/>
  <c r="FA146" i="12"/>
  <c r="FB146" i="12"/>
  <c r="FC146" i="12"/>
  <c r="FD146" i="12"/>
  <c r="FE146" i="12"/>
  <c r="FF146" i="12"/>
  <c r="FG146" i="12"/>
  <c r="FH146" i="12"/>
  <c r="FI146" i="12"/>
  <c r="FJ146" i="12"/>
  <c r="FK146" i="12"/>
  <c r="FL146" i="12"/>
  <c r="FM146" i="12"/>
  <c r="FN146" i="12"/>
  <c r="FO146" i="12"/>
  <c r="FP146" i="12"/>
  <c r="FQ146" i="12"/>
  <c r="FR146" i="12"/>
  <c r="FS146" i="12"/>
  <c r="FT146" i="12"/>
  <c r="FU146" i="12"/>
  <c r="FV146" i="12"/>
  <c r="FW146" i="12"/>
  <c r="FX146" i="12"/>
  <c r="FY146" i="12"/>
  <c r="FZ146" i="12"/>
  <c r="GA146" i="12"/>
  <c r="GB146" i="12"/>
  <c r="GC146" i="12"/>
  <c r="GD146" i="12"/>
  <c r="GE146" i="12"/>
  <c r="GF146" i="12"/>
  <c r="GG146" i="12"/>
  <c r="GH146" i="12"/>
  <c r="GI146" i="12"/>
  <c r="GJ146" i="12"/>
  <c r="GK146" i="12"/>
  <c r="GL146" i="12"/>
  <c r="GM146" i="12"/>
  <c r="GN146" i="12"/>
  <c r="GO146" i="12"/>
  <c r="GP146" i="12"/>
  <c r="GQ146" i="12"/>
  <c r="GR146" i="12"/>
  <c r="GS146" i="12"/>
  <c r="GT146" i="12"/>
  <c r="GU146" i="12"/>
  <c r="GV146" i="12"/>
  <c r="GW146" i="12"/>
  <c r="GX146" i="12"/>
  <c r="GY146" i="12"/>
  <c r="GZ146" i="12"/>
  <c r="HA146" i="12"/>
  <c r="HB146" i="12"/>
  <c r="HC146" i="12"/>
  <c r="HD146" i="12"/>
  <c r="HE146" i="12"/>
  <c r="HF146" i="12"/>
  <c r="HG146" i="12"/>
  <c r="HH146" i="12"/>
  <c r="HI146" i="12"/>
  <c r="HJ146" i="12"/>
  <c r="HK146" i="12"/>
  <c r="HL146" i="12"/>
  <c r="HM146" i="12"/>
  <c r="HN146" i="12"/>
  <c r="HO146" i="12"/>
  <c r="HP146" i="12"/>
  <c r="HQ146" i="12"/>
  <c r="HR146" i="12"/>
  <c r="HS146" i="12"/>
  <c r="HT146" i="12"/>
  <c r="HU146" i="12"/>
  <c r="HV146" i="12"/>
  <c r="HW146" i="12"/>
  <c r="HX146" i="12"/>
  <c r="HY146" i="12"/>
  <c r="HZ146" i="12"/>
  <c r="IA146" i="12"/>
  <c r="IB146" i="12"/>
  <c r="IC146" i="12"/>
  <c r="ID146" i="12"/>
  <c r="IE146" i="12"/>
  <c r="IF146" i="12"/>
  <c r="IG146" i="12"/>
  <c r="IH146" i="12"/>
  <c r="II146" i="12"/>
  <c r="IJ146" i="12"/>
  <c r="IK146" i="12"/>
  <c r="IL146" i="12"/>
  <c r="IM146" i="12"/>
  <c r="IN146" i="12"/>
  <c r="IO146" i="12"/>
  <c r="IP146" i="12"/>
  <c r="IQ146" i="12"/>
  <c r="IR146" i="12"/>
  <c r="IS146" i="12"/>
  <c r="IT146" i="12"/>
  <c r="IU146" i="12"/>
  <c r="IV146" i="12"/>
  <c r="A145" i="12"/>
  <c r="B145" i="12"/>
  <c r="C145" i="12"/>
  <c r="D145" i="12"/>
  <c r="E145" i="12"/>
  <c r="F145" i="12"/>
  <c r="H145" i="12"/>
  <c r="I145" i="12"/>
  <c r="J145" i="12"/>
  <c r="K145" i="12"/>
  <c r="L145" i="12"/>
  <c r="M145" i="12"/>
  <c r="N145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BC145" i="12"/>
  <c r="BD145" i="12"/>
  <c r="BE145" i="12"/>
  <c r="BF145" i="12"/>
  <c r="BG145" i="12"/>
  <c r="BH145" i="12"/>
  <c r="BI145" i="12"/>
  <c r="BJ145" i="12"/>
  <c r="BK145" i="12"/>
  <c r="BL145" i="12"/>
  <c r="BM145" i="12"/>
  <c r="BN145" i="12"/>
  <c r="BO145" i="12"/>
  <c r="BP145" i="12"/>
  <c r="BQ145" i="12"/>
  <c r="BR145" i="12"/>
  <c r="BS145" i="12"/>
  <c r="BT145" i="12"/>
  <c r="BU145" i="12"/>
  <c r="BV145" i="12"/>
  <c r="BW145" i="12"/>
  <c r="BX145" i="12"/>
  <c r="BY145" i="12"/>
  <c r="BZ145" i="12"/>
  <c r="CA145" i="12"/>
  <c r="CB145" i="12"/>
  <c r="CC145" i="12"/>
  <c r="CD145" i="12"/>
  <c r="CE145" i="12"/>
  <c r="CF145" i="12"/>
  <c r="CG145" i="12"/>
  <c r="CH145" i="12"/>
  <c r="CI145" i="12"/>
  <c r="CJ145" i="12"/>
  <c r="CK145" i="12"/>
  <c r="CL145" i="12"/>
  <c r="CM145" i="12"/>
  <c r="CN145" i="12"/>
  <c r="CO145" i="12"/>
  <c r="CP145" i="12"/>
  <c r="CQ145" i="12"/>
  <c r="CR145" i="12"/>
  <c r="CS145" i="12"/>
  <c r="CT145" i="12"/>
  <c r="CU145" i="12"/>
  <c r="CV145" i="12"/>
  <c r="CW145" i="12"/>
  <c r="CX145" i="12"/>
  <c r="CY145" i="12"/>
  <c r="CZ145" i="12"/>
  <c r="DA145" i="12"/>
  <c r="DB145" i="12"/>
  <c r="DC145" i="12"/>
  <c r="DD145" i="12"/>
  <c r="DE145" i="12"/>
  <c r="DF145" i="12"/>
  <c r="DG145" i="12"/>
  <c r="DH145" i="12"/>
  <c r="DI145" i="12"/>
  <c r="DJ145" i="12"/>
  <c r="DK145" i="12"/>
  <c r="DL145" i="12"/>
  <c r="DM145" i="12"/>
  <c r="DN145" i="12"/>
  <c r="DO145" i="12"/>
  <c r="DP145" i="12"/>
  <c r="DQ145" i="12"/>
  <c r="DR145" i="12"/>
  <c r="DS145" i="12"/>
  <c r="DT145" i="12"/>
  <c r="DU145" i="12"/>
  <c r="DV145" i="12"/>
  <c r="DW145" i="12"/>
  <c r="DX145" i="12"/>
  <c r="DY145" i="12"/>
  <c r="DZ145" i="12"/>
  <c r="EA145" i="12"/>
  <c r="EB145" i="12"/>
  <c r="EC145" i="12"/>
  <c r="ED145" i="12"/>
  <c r="EE145" i="12"/>
  <c r="EF145" i="12"/>
  <c r="EG145" i="12"/>
  <c r="EH145" i="12"/>
  <c r="EI145" i="12"/>
  <c r="EJ145" i="12"/>
  <c r="EK145" i="12"/>
  <c r="EL145" i="12"/>
  <c r="EM145" i="12"/>
  <c r="EN145" i="12"/>
  <c r="EO145" i="12"/>
  <c r="EP145" i="12"/>
  <c r="EQ145" i="12"/>
  <c r="ER145" i="12"/>
  <c r="ES145" i="12"/>
  <c r="ET145" i="12"/>
  <c r="EU145" i="12"/>
  <c r="EV145" i="12"/>
  <c r="EW145" i="12"/>
  <c r="EX145" i="12"/>
  <c r="EY145" i="12"/>
  <c r="EZ145" i="12"/>
  <c r="FA145" i="12"/>
  <c r="FB145" i="12"/>
  <c r="FC145" i="12"/>
  <c r="FD145" i="12"/>
  <c r="FE145" i="12"/>
  <c r="FF145" i="12"/>
  <c r="FG145" i="12"/>
  <c r="FH145" i="12"/>
  <c r="FI145" i="12"/>
  <c r="FJ145" i="12"/>
  <c r="FK145" i="12"/>
  <c r="FL145" i="12"/>
  <c r="FM145" i="12"/>
  <c r="FN145" i="12"/>
  <c r="FO145" i="12"/>
  <c r="FP145" i="12"/>
  <c r="FQ145" i="12"/>
  <c r="FR145" i="12"/>
  <c r="FS145" i="12"/>
  <c r="FT145" i="12"/>
  <c r="FU145" i="12"/>
  <c r="FV145" i="12"/>
  <c r="FW145" i="12"/>
  <c r="FX145" i="12"/>
  <c r="FY145" i="12"/>
  <c r="FZ145" i="12"/>
  <c r="GA145" i="12"/>
  <c r="GB145" i="12"/>
  <c r="GC145" i="12"/>
  <c r="GD145" i="12"/>
  <c r="GE145" i="12"/>
  <c r="GF145" i="12"/>
  <c r="GG145" i="12"/>
  <c r="GH145" i="12"/>
  <c r="GI145" i="12"/>
  <c r="GJ145" i="12"/>
  <c r="GK145" i="12"/>
  <c r="GL145" i="12"/>
  <c r="GM145" i="12"/>
  <c r="GN145" i="12"/>
  <c r="GO145" i="12"/>
  <c r="GP145" i="12"/>
  <c r="GQ145" i="12"/>
  <c r="GR145" i="12"/>
  <c r="GS145" i="12"/>
  <c r="GT145" i="12"/>
  <c r="GU145" i="12"/>
  <c r="GV145" i="12"/>
  <c r="GW145" i="12"/>
  <c r="GX145" i="12"/>
  <c r="GY145" i="12"/>
  <c r="GZ145" i="12"/>
  <c r="HA145" i="12"/>
  <c r="HB145" i="12"/>
  <c r="HC145" i="12"/>
  <c r="HD145" i="12"/>
  <c r="HE145" i="12"/>
  <c r="HF145" i="12"/>
  <c r="HG145" i="12"/>
  <c r="HH145" i="12"/>
  <c r="HI145" i="12"/>
  <c r="HJ145" i="12"/>
  <c r="HK145" i="12"/>
  <c r="HL145" i="12"/>
  <c r="HM145" i="12"/>
  <c r="HN145" i="12"/>
  <c r="HO145" i="12"/>
  <c r="HP145" i="12"/>
  <c r="HQ145" i="12"/>
  <c r="HR145" i="12"/>
  <c r="HS145" i="12"/>
  <c r="HT145" i="12"/>
  <c r="HU145" i="12"/>
  <c r="HV145" i="12"/>
  <c r="HW145" i="12"/>
  <c r="HX145" i="12"/>
  <c r="HY145" i="12"/>
  <c r="HZ145" i="12"/>
  <c r="IA145" i="12"/>
  <c r="IB145" i="12"/>
  <c r="IC145" i="12"/>
  <c r="ID145" i="12"/>
  <c r="IE145" i="12"/>
  <c r="IF145" i="12"/>
  <c r="IG145" i="12"/>
  <c r="IH145" i="12"/>
  <c r="II145" i="12"/>
  <c r="IJ145" i="12"/>
  <c r="IK145" i="12"/>
  <c r="IL145" i="12"/>
  <c r="IM145" i="12"/>
  <c r="IN145" i="12"/>
  <c r="IO145" i="12"/>
  <c r="IP145" i="12"/>
  <c r="IQ145" i="12"/>
  <c r="IR145" i="12"/>
  <c r="IS145" i="12"/>
  <c r="IT145" i="12"/>
  <c r="IU145" i="12"/>
  <c r="IV145" i="12"/>
  <c r="A144" i="12"/>
  <c r="B144" i="12"/>
  <c r="C144" i="12"/>
  <c r="D144" i="12"/>
  <c r="E144" i="12"/>
  <c r="F144" i="12"/>
  <c r="G144" i="12"/>
  <c r="H144" i="12"/>
  <c r="I144" i="12"/>
  <c r="J144" i="12"/>
  <c r="K144" i="12"/>
  <c r="L144" i="12"/>
  <c r="M144" i="12"/>
  <c r="N144" i="12"/>
  <c r="O144" i="12"/>
  <c r="P144" i="12"/>
  <c r="Q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BC144" i="12"/>
  <c r="BD144" i="12"/>
  <c r="BE144" i="12"/>
  <c r="BF144" i="12"/>
  <c r="BG144" i="12"/>
  <c r="BH144" i="12"/>
  <c r="BI144" i="12"/>
  <c r="BJ144" i="12"/>
  <c r="BK144" i="12"/>
  <c r="BL144" i="12"/>
  <c r="BM144" i="12"/>
  <c r="BN144" i="12"/>
  <c r="BO144" i="12"/>
  <c r="BP144" i="12"/>
  <c r="BQ144" i="12"/>
  <c r="BR144" i="12"/>
  <c r="BS144" i="12"/>
  <c r="BT144" i="12"/>
  <c r="BU144" i="12"/>
  <c r="BV144" i="12"/>
  <c r="BW144" i="12"/>
  <c r="BX144" i="12"/>
  <c r="BY144" i="12"/>
  <c r="BZ144" i="12"/>
  <c r="CA144" i="12"/>
  <c r="CB144" i="12"/>
  <c r="CC144" i="12"/>
  <c r="CD144" i="12"/>
  <c r="CE144" i="12"/>
  <c r="CF144" i="12"/>
  <c r="CG144" i="12"/>
  <c r="CH144" i="12"/>
  <c r="CI144" i="12"/>
  <c r="CJ144" i="12"/>
  <c r="CK144" i="12"/>
  <c r="CL144" i="12"/>
  <c r="CM144" i="12"/>
  <c r="CN144" i="12"/>
  <c r="CO144" i="12"/>
  <c r="CP144" i="12"/>
  <c r="CQ144" i="12"/>
  <c r="CR144" i="12"/>
  <c r="CS144" i="12"/>
  <c r="CT144" i="12"/>
  <c r="CU144" i="12"/>
  <c r="CV144" i="12"/>
  <c r="CW144" i="12"/>
  <c r="CX144" i="12"/>
  <c r="CY144" i="12"/>
  <c r="CZ144" i="12"/>
  <c r="DA144" i="12"/>
  <c r="DB144" i="12"/>
  <c r="DC144" i="12"/>
  <c r="DD144" i="12"/>
  <c r="DE144" i="12"/>
  <c r="DF144" i="12"/>
  <c r="DG144" i="12"/>
  <c r="DH144" i="12"/>
  <c r="DI144" i="12"/>
  <c r="DJ144" i="12"/>
  <c r="DK144" i="12"/>
  <c r="DL144" i="12"/>
  <c r="DM144" i="12"/>
  <c r="DN144" i="12"/>
  <c r="DO144" i="12"/>
  <c r="DP144" i="12"/>
  <c r="DQ144" i="12"/>
  <c r="DR144" i="12"/>
  <c r="DS144" i="12"/>
  <c r="DT144" i="12"/>
  <c r="DU144" i="12"/>
  <c r="DV144" i="12"/>
  <c r="DW144" i="12"/>
  <c r="DX144" i="12"/>
  <c r="DY144" i="12"/>
  <c r="DZ144" i="12"/>
  <c r="EA144" i="12"/>
  <c r="EB144" i="12"/>
  <c r="EC144" i="12"/>
  <c r="ED144" i="12"/>
  <c r="EE144" i="12"/>
  <c r="EF144" i="12"/>
  <c r="EG144" i="12"/>
  <c r="EH144" i="12"/>
  <c r="EI144" i="12"/>
  <c r="EJ144" i="12"/>
  <c r="EK144" i="12"/>
  <c r="EL144" i="12"/>
  <c r="EM144" i="12"/>
  <c r="EN144" i="12"/>
  <c r="EO144" i="12"/>
  <c r="EP144" i="12"/>
  <c r="EQ144" i="12"/>
  <c r="ER144" i="12"/>
  <c r="ES144" i="12"/>
  <c r="ET144" i="12"/>
  <c r="EU144" i="12"/>
  <c r="EV144" i="12"/>
  <c r="EW144" i="12"/>
  <c r="EX144" i="12"/>
  <c r="EY144" i="12"/>
  <c r="EZ144" i="12"/>
  <c r="FA144" i="12"/>
  <c r="FB144" i="12"/>
  <c r="FC144" i="12"/>
  <c r="FD144" i="12"/>
  <c r="FE144" i="12"/>
  <c r="FF144" i="12"/>
  <c r="FG144" i="12"/>
  <c r="FH144" i="12"/>
  <c r="FI144" i="12"/>
  <c r="FJ144" i="12"/>
  <c r="FK144" i="12"/>
  <c r="FL144" i="12"/>
  <c r="FM144" i="12"/>
  <c r="FN144" i="12"/>
  <c r="FO144" i="12"/>
  <c r="FP144" i="12"/>
  <c r="FQ144" i="12"/>
  <c r="FR144" i="12"/>
  <c r="FS144" i="12"/>
  <c r="FT144" i="12"/>
  <c r="FU144" i="12"/>
  <c r="FV144" i="12"/>
  <c r="FW144" i="12"/>
  <c r="FX144" i="12"/>
  <c r="FY144" i="12"/>
  <c r="FZ144" i="12"/>
  <c r="GA144" i="12"/>
  <c r="GB144" i="12"/>
  <c r="GC144" i="12"/>
  <c r="GD144" i="12"/>
  <c r="GE144" i="12"/>
  <c r="GF144" i="12"/>
  <c r="GG144" i="12"/>
  <c r="GH144" i="12"/>
  <c r="GI144" i="12"/>
  <c r="GJ144" i="12"/>
  <c r="GK144" i="12"/>
  <c r="GL144" i="12"/>
  <c r="GM144" i="12"/>
  <c r="GN144" i="12"/>
  <c r="GO144" i="12"/>
  <c r="GP144" i="12"/>
  <c r="GQ144" i="12"/>
  <c r="GR144" i="12"/>
  <c r="GS144" i="12"/>
  <c r="GT144" i="12"/>
  <c r="GU144" i="12"/>
  <c r="GV144" i="12"/>
  <c r="GW144" i="12"/>
  <c r="GX144" i="12"/>
  <c r="GY144" i="12"/>
  <c r="GZ144" i="12"/>
  <c r="HA144" i="12"/>
  <c r="HB144" i="12"/>
  <c r="HC144" i="12"/>
  <c r="HD144" i="12"/>
  <c r="HE144" i="12"/>
  <c r="HF144" i="12"/>
  <c r="HG144" i="12"/>
  <c r="HH144" i="12"/>
  <c r="HI144" i="12"/>
  <c r="HJ144" i="12"/>
  <c r="HK144" i="12"/>
  <c r="HL144" i="12"/>
  <c r="HM144" i="12"/>
  <c r="HN144" i="12"/>
  <c r="HO144" i="12"/>
  <c r="HP144" i="12"/>
  <c r="HQ144" i="12"/>
  <c r="HR144" i="12"/>
  <c r="HS144" i="12"/>
  <c r="HT144" i="12"/>
  <c r="HU144" i="12"/>
  <c r="HV144" i="12"/>
  <c r="HW144" i="12"/>
  <c r="HX144" i="12"/>
  <c r="HY144" i="12"/>
  <c r="HZ144" i="12"/>
  <c r="IA144" i="12"/>
  <c r="IB144" i="12"/>
  <c r="IC144" i="12"/>
  <c r="ID144" i="12"/>
  <c r="IE144" i="12"/>
  <c r="IF144" i="12"/>
  <c r="IG144" i="12"/>
  <c r="IH144" i="12"/>
  <c r="II144" i="12"/>
  <c r="IJ144" i="12"/>
  <c r="IK144" i="12"/>
  <c r="IL144" i="12"/>
  <c r="IM144" i="12"/>
  <c r="IN144" i="12"/>
  <c r="IO144" i="12"/>
  <c r="IP144" i="12"/>
  <c r="IQ144" i="12"/>
  <c r="IR144" i="12"/>
  <c r="IS144" i="12"/>
  <c r="IT144" i="12"/>
  <c r="IU144" i="12"/>
  <c r="IV144" i="12"/>
  <c r="A143" i="12"/>
  <c r="B143" i="12"/>
  <c r="C143" i="12"/>
  <c r="D143" i="12"/>
  <c r="E143" i="12"/>
  <c r="F143" i="12"/>
  <c r="G143" i="12"/>
  <c r="H143" i="12"/>
  <c r="I143" i="12"/>
  <c r="J143" i="12"/>
  <c r="K143" i="12"/>
  <c r="L143" i="12"/>
  <c r="M143" i="12"/>
  <c r="N143" i="12"/>
  <c r="O143" i="12"/>
  <c r="P143" i="12"/>
  <c r="Q143" i="12"/>
  <c r="R143" i="12"/>
  <c r="S143" i="12"/>
  <c r="T143" i="12"/>
  <c r="U143" i="12"/>
  <c r="V143" i="12"/>
  <c r="W143" i="12"/>
  <c r="X143" i="12"/>
  <c r="Y143" i="12"/>
  <c r="Z143" i="12"/>
  <c r="AA143" i="12"/>
  <c r="AB143" i="12"/>
  <c r="AD143" i="12"/>
  <c r="AE143" i="12"/>
  <c r="AF143" i="12"/>
  <c r="AG143" i="12"/>
  <c r="AH143" i="12"/>
  <c r="AI143" i="12"/>
  <c r="AJ143" i="12"/>
  <c r="AK143" i="12"/>
  <c r="AL143" i="12"/>
  <c r="AM143" i="12"/>
  <c r="AN143" i="12"/>
  <c r="AO143" i="12"/>
  <c r="AP143" i="12"/>
  <c r="AQ143" i="12"/>
  <c r="AR143" i="12"/>
  <c r="AS143" i="12"/>
  <c r="AT143" i="12"/>
  <c r="AU143" i="12"/>
  <c r="AV143" i="12"/>
  <c r="AW143" i="12"/>
  <c r="AX143" i="12"/>
  <c r="AY143" i="12"/>
  <c r="AZ143" i="12"/>
  <c r="BA143" i="12"/>
  <c r="BB143" i="12"/>
  <c r="BC143" i="12"/>
  <c r="BD143" i="12"/>
  <c r="BE143" i="12"/>
  <c r="BF143" i="12"/>
  <c r="BG143" i="12"/>
  <c r="BH143" i="12"/>
  <c r="BI143" i="12"/>
  <c r="BJ143" i="12"/>
  <c r="BK143" i="12"/>
  <c r="BL143" i="12"/>
  <c r="BM143" i="12"/>
  <c r="BN143" i="12"/>
  <c r="BO143" i="12"/>
  <c r="BP143" i="12"/>
  <c r="BQ143" i="12"/>
  <c r="BR143" i="12"/>
  <c r="BS143" i="12"/>
  <c r="BT143" i="12"/>
  <c r="BU143" i="12"/>
  <c r="BV143" i="12"/>
  <c r="BW143" i="12"/>
  <c r="BX143" i="12"/>
  <c r="BY143" i="12"/>
  <c r="BZ143" i="12"/>
  <c r="CA143" i="12"/>
  <c r="CB143" i="12"/>
  <c r="CC143" i="12"/>
  <c r="CD143" i="12"/>
  <c r="CE143" i="12"/>
  <c r="CF143" i="12"/>
  <c r="CG143" i="12"/>
  <c r="CH143" i="12"/>
  <c r="CI143" i="12"/>
  <c r="CJ143" i="12"/>
  <c r="CK143" i="12"/>
  <c r="CL143" i="12"/>
  <c r="CM143" i="12"/>
  <c r="CN143" i="12"/>
  <c r="CO143" i="12"/>
  <c r="CP143" i="12"/>
  <c r="CQ143" i="12"/>
  <c r="CR143" i="12"/>
  <c r="CS143" i="12"/>
  <c r="CT143" i="12"/>
  <c r="CU143" i="12"/>
  <c r="CV143" i="12"/>
  <c r="CW143" i="12"/>
  <c r="CX143" i="12"/>
  <c r="CY143" i="12"/>
  <c r="CZ143" i="12"/>
  <c r="DA143" i="12"/>
  <c r="DB143" i="12"/>
  <c r="DC143" i="12"/>
  <c r="DD143" i="12"/>
  <c r="DE143" i="12"/>
  <c r="DF143" i="12"/>
  <c r="DG143" i="12"/>
  <c r="DH143" i="12"/>
  <c r="DI143" i="12"/>
  <c r="DJ143" i="12"/>
  <c r="DK143" i="12"/>
  <c r="DL143" i="12"/>
  <c r="DM143" i="12"/>
  <c r="DN143" i="12"/>
  <c r="DO143" i="12"/>
  <c r="DP143" i="12"/>
  <c r="DQ143" i="12"/>
  <c r="DR143" i="12"/>
  <c r="DS143" i="12"/>
  <c r="DT143" i="12"/>
  <c r="DU143" i="12"/>
  <c r="DV143" i="12"/>
  <c r="DW143" i="12"/>
  <c r="DX143" i="12"/>
  <c r="DY143" i="12"/>
  <c r="DZ143" i="12"/>
  <c r="EA143" i="12"/>
  <c r="EB143" i="12"/>
  <c r="EC143" i="12"/>
  <c r="ED143" i="12"/>
  <c r="EE143" i="12"/>
  <c r="EF143" i="12"/>
  <c r="EG143" i="12"/>
  <c r="EH143" i="12"/>
  <c r="EI143" i="12"/>
  <c r="EJ143" i="12"/>
  <c r="EK143" i="12"/>
  <c r="EL143" i="12"/>
  <c r="EM143" i="12"/>
  <c r="EN143" i="12"/>
  <c r="EO143" i="12"/>
  <c r="EP143" i="12"/>
  <c r="EQ143" i="12"/>
  <c r="ER143" i="12"/>
  <c r="ES143" i="12"/>
  <c r="ET143" i="12"/>
  <c r="EU143" i="12"/>
  <c r="EV143" i="12"/>
  <c r="EW143" i="12"/>
  <c r="EX143" i="12"/>
  <c r="EY143" i="12"/>
  <c r="EZ143" i="12"/>
  <c r="FA143" i="12"/>
  <c r="FB143" i="12"/>
  <c r="FC143" i="12"/>
  <c r="FD143" i="12"/>
  <c r="FE143" i="12"/>
  <c r="FF143" i="12"/>
  <c r="FG143" i="12"/>
  <c r="FH143" i="12"/>
  <c r="FI143" i="12"/>
  <c r="FJ143" i="12"/>
  <c r="FK143" i="12"/>
  <c r="FL143" i="12"/>
  <c r="FM143" i="12"/>
  <c r="FN143" i="12"/>
  <c r="FO143" i="12"/>
  <c r="FP143" i="12"/>
  <c r="FQ143" i="12"/>
  <c r="FR143" i="12"/>
  <c r="FS143" i="12"/>
  <c r="FT143" i="12"/>
  <c r="FU143" i="12"/>
  <c r="FV143" i="12"/>
  <c r="FW143" i="12"/>
  <c r="FX143" i="12"/>
  <c r="FY143" i="12"/>
  <c r="FZ143" i="12"/>
  <c r="GA143" i="12"/>
  <c r="GB143" i="12"/>
  <c r="GC143" i="12"/>
  <c r="GD143" i="12"/>
  <c r="GE143" i="12"/>
  <c r="GF143" i="12"/>
  <c r="GG143" i="12"/>
  <c r="GH143" i="12"/>
  <c r="GI143" i="12"/>
  <c r="GJ143" i="12"/>
  <c r="GK143" i="12"/>
  <c r="GL143" i="12"/>
  <c r="GM143" i="12"/>
  <c r="GN143" i="12"/>
  <c r="GO143" i="12"/>
  <c r="GP143" i="12"/>
  <c r="GQ143" i="12"/>
  <c r="GR143" i="12"/>
  <c r="GS143" i="12"/>
  <c r="GT143" i="12"/>
  <c r="GU143" i="12"/>
  <c r="GV143" i="12"/>
  <c r="GW143" i="12"/>
  <c r="GX143" i="12"/>
  <c r="GY143" i="12"/>
  <c r="GZ143" i="12"/>
  <c r="HA143" i="12"/>
  <c r="HB143" i="12"/>
  <c r="HC143" i="12"/>
  <c r="HD143" i="12"/>
  <c r="HE143" i="12"/>
  <c r="HF143" i="12"/>
  <c r="HG143" i="12"/>
  <c r="HH143" i="12"/>
  <c r="HI143" i="12"/>
  <c r="HJ143" i="12"/>
  <c r="HK143" i="12"/>
  <c r="HL143" i="12"/>
  <c r="HM143" i="12"/>
  <c r="HN143" i="12"/>
  <c r="HO143" i="12"/>
  <c r="HP143" i="12"/>
  <c r="HQ143" i="12"/>
  <c r="HR143" i="12"/>
  <c r="HS143" i="12"/>
  <c r="HT143" i="12"/>
  <c r="HU143" i="12"/>
  <c r="HV143" i="12"/>
  <c r="HW143" i="12"/>
  <c r="HX143" i="12"/>
  <c r="HY143" i="12"/>
  <c r="HZ143" i="12"/>
  <c r="IA143" i="12"/>
  <c r="IB143" i="12"/>
  <c r="IC143" i="12"/>
  <c r="ID143" i="12"/>
  <c r="IE143" i="12"/>
  <c r="IF143" i="12"/>
  <c r="IG143" i="12"/>
  <c r="IH143" i="12"/>
  <c r="II143" i="12"/>
  <c r="IJ143" i="12"/>
  <c r="IK143" i="12"/>
  <c r="IL143" i="12"/>
  <c r="IM143" i="12"/>
  <c r="IN143" i="12"/>
  <c r="IO143" i="12"/>
  <c r="IP143" i="12"/>
  <c r="IQ143" i="12"/>
  <c r="IR143" i="12"/>
  <c r="IS143" i="12"/>
  <c r="IT143" i="12"/>
  <c r="IU143" i="12"/>
  <c r="IV143" i="12"/>
  <c r="A142" i="12"/>
  <c r="B142" i="12"/>
  <c r="C142" i="12"/>
  <c r="D142" i="12"/>
  <c r="F142" i="12"/>
  <c r="G142" i="12"/>
  <c r="H142" i="12"/>
  <c r="I142" i="12"/>
  <c r="J142" i="12"/>
  <c r="K142" i="12"/>
  <c r="L142" i="12"/>
  <c r="M142" i="12"/>
  <c r="N142" i="12"/>
  <c r="O142" i="12"/>
  <c r="P142" i="12"/>
  <c r="Q142" i="12"/>
  <c r="R142" i="12"/>
  <c r="S142" i="12"/>
  <c r="T142" i="12"/>
  <c r="U142" i="12"/>
  <c r="V142" i="12"/>
  <c r="W142" i="12"/>
  <c r="X142" i="12"/>
  <c r="Y142" i="12"/>
  <c r="Z142" i="12"/>
  <c r="AA142" i="12"/>
  <c r="AB142" i="12"/>
  <c r="AC142" i="12"/>
  <c r="AD142" i="12"/>
  <c r="AE142" i="12"/>
  <c r="AF142" i="12"/>
  <c r="AG142" i="12"/>
  <c r="AH142" i="12"/>
  <c r="AI142" i="12"/>
  <c r="AJ142" i="12"/>
  <c r="AK142" i="12"/>
  <c r="AL142" i="12"/>
  <c r="AM142" i="12"/>
  <c r="AN142" i="12"/>
  <c r="AO142" i="12"/>
  <c r="AP142" i="12"/>
  <c r="AQ142" i="12"/>
  <c r="AR142" i="12"/>
  <c r="AS142" i="12"/>
  <c r="AT142" i="12"/>
  <c r="AU142" i="12"/>
  <c r="AV142" i="12"/>
  <c r="AW142" i="12"/>
  <c r="AX142" i="12"/>
  <c r="AY142" i="12"/>
  <c r="AZ142" i="12"/>
  <c r="BA142" i="12"/>
  <c r="BB142" i="12"/>
  <c r="BC142" i="12"/>
  <c r="BD142" i="12"/>
  <c r="BE142" i="12"/>
  <c r="BF142" i="12"/>
  <c r="BG142" i="12"/>
  <c r="BH142" i="12"/>
  <c r="BI142" i="12"/>
  <c r="BJ142" i="12"/>
  <c r="BK142" i="12"/>
  <c r="BL142" i="12"/>
  <c r="BM142" i="12"/>
  <c r="BN142" i="12"/>
  <c r="BO142" i="12"/>
  <c r="BP142" i="12"/>
  <c r="BQ142" i="12"/>
  <c r="BR142" i="12"/>
  <c r="BS142" i="12"/>
  <c r="BT142" i="12"/>
  <c r="BU142" i="12"/>
  <c r="BV142" i="12"/>
  <c r="BW142" i="12"/>
  <c r="BX142" i="12"/>
  <c r="BY142" i="12"/>
  <c r="BZ142" i="12"/>
  <c r="CA142" i="12"/>
  <c r="CB142" i="12"/>
  <c r="CC142" i="12"/>
  <c r="CD142" i="12"/>
  <c r="CE142" i="12"/>
  <c r="CF142" i="12"/>
  <c r="CG142" i="12"/>
  <c r="CH142" i="12"/>
  <c r="CI142" i="12"/>
  <c r="CJ142" i="12"/>
  <c r="CK142" i="12"/>
  <c r="CL142" i="12"/>
  <c r="CM142" i="12"/>
  <c r="CN142" i="12"/>
  <c r="CO142" i="12"/>
  <c r="CP142" i="12"/>
  <c r="CQ142" i="12"/>
  <c r="CR142" i="12"/>
  <c r="CS142" i="12"/>
  <c r="CT142" i="12"/>
  <c r="CU142" i="12"/>
  <c r="CV142" i="12"/>
  <c r="CW142" i="12"/>
  <c r="CX142" i="12"/>
  <c r="CY142" i="12"/>
  <c r="CZ142" i="12"/>
  <c r="DA142" i="12"/>
  <c r="DB142" i="12"/>
  <c r="DC142" i="12"/>
  <c r="DD142" i="12"/>
  <c r="DE142" i="12"/>
  <c r="DF142" i="12"/>
  <c r="DG142" i="12"/>
  <c r="DH142" i="12"/>
  <c r="DI142" i="12"/>
  <c r="DJ142" i="12"/>
  <c r="DK142" i="12"/>
  <c r="DL142" i="12"/>
  <c r="DM142" i="12"/>
  <c r="DN142" i="12"/>
  <c r="DO142" i="12"/>
  <c r="DP142" i="12"/>
  <c r="DQ142" i="12"/>
  <c r="DR142" i="12"/>
  <c r="DS142" i="12"/>
  <c r="DT142" i="12"/>
  <c r="DU142" i="12"/>
  <c r="DV142" i="12"/>
  <c r="DW142" i="12"/>
  <c r="DX142" i="12"/>
  <c r="DY142" i="12"/>
  <c r="DZ142" i="12"/>
  <c r="EA142" i="12"/>
  <c r="EB142" i="12"/>
  <c r="EC142" i="12"/>
  <c r="ED142" i="12"/>
  <c r="EE142" i="12"/>
  <c r="EF142" i="12"/>
  <c r="EG142" i="12"/>
  <c r="EH142" i="12"/>
  <c r="EI142" i="12"/>
  <c r="EJ142" i="12"/>
  <c r="EK142" i="12"/>
  <c r="EL142" i="12"/>
  <c r="EM142" i="12"/>
  <c r="EN142" i="12"/>
  <c r="EO142" i="12"/>
  <c r="EP142" i="12"/>
  <c r="EQ142" i="12"/>
  <c r="ER142" i="12"/>
  <c r="ES142" i="12"/>
  <c r="ET142" i="12"/>
  <c r="EU142" i="12"/>
  <c r="EV142" i="12"/>
  <c r="EW142" i="12"/>
  <c r="EX142" i="12"/>
  <c r="EY142" i="12"/>
  <c r="EZ142" i="12"/>
  <c r="FA142" i="12"/>
  <c r="FB142" i="12"/>
  <c r="FC142" i="12"/>
  <c r="FD142" i="12"/>
  <c r="FE142" i="12"/>
  <c r="FF142" i="12"/>
  <c r="FG142" i="12"/>
  <c r="FH142" i="12"/>
  <c r="FI142" i="12"/>
  <c r="FJ142" i="12"/>
  <c r="FK142" i="12"/>
  <c r="FL142" i="12"/>
  <c r="FM142" i="12"/>
  <c r="FN142" i="12"/>
  <c r="FO142" i="12"/>
  <c r="FP142" i="12"/>
  <c r="FQ142" i="12"/>
  <c r="FR142" i="12"/>
  <c r="FS142" i="12"/>
  <c r="FT142" i="12"/>
  <c r="FU142" i="12"/>
  <c r="FV142" i="12"/>
  <c r="FW142" i="12"/>
  <c r="FX142" i="12"/>
  <c r="FY142" i="12"/>
  <c r="FZ142" i="12"/>
  <c r="GA142" i="12"/>
  <c r="GB142" i="12"/>
  <c r="GC142" i="12"/>
  <c r="GD142" i="12"/>
  <c r="GE142" i="12"/>
  <c r="GF142" i="12"/>
  <c r="GG142" i="12"/>
  <c r="GH142" i="12"/>
  <c r="GI142" i="12"/>
  <c r="GJ142" i="12"/>
  <c r="GK142" i="12"/>
  <c r="GL142" i="12"/>
  <c r="GM142" i="12"/>
  <c r="GN142" i="12"/>
  <c r="GO142" i="12"/>
  <c r="GP142" i="12"/>
  <c r="GQ142" i="12"/>
  <c r="GR142" i="12"/>
  <c r="GS142" i="12"/>
  <c r="GT142" i="12"/>
  <c r="GU142" i="12"/>
  <c r="GV142" i="12"/>
  <c r="GW142" i="12"/>
  <c r="GX142" i="12"/>
  <c r="GY142" i="12"/>
  <c r="GZ142" i="12"/>
  <c r="HA142" i="12"/>
  <c r="HB142" i="12"/>
  <c r="HC142" i="12"/>
  <c r="HD142" i="12"/>
  <c r="HE142" i="12"/>
  <c r="HF142" i="12"/>
  <c r="HG142" i="12"/>
  <c r="HH142" i="12"/>
  <c r="HI142" i="12"/>
  <c r="HJ142" i="12"/>
  <c r="HK142" i="12"/>
  <c r="HL142" i="12"/>
  <c r="HM142" i="12"/>
  <c r="HN142" i="12"/>
  <c r="HO142" i="12"/>
  <c r="HP142" i="12"/>
  <c r="HQ142" i="12"/>
  <c r="HR142" i="12"/>
  <c r="HS142" i="12"/>
  <c r="HT142" i="12"/>
  <c r="HU142" i="12"/>
  <c r="HV142" i="12"/>
  <c r="HW142" i="12"/>
  <c r="HX142" i="12"/>
  <c r="HY142" i="12"/>
  <c r="HZ142" i="12"/>
  <c r="IA142" i="12"/>
  <c r="IB142" i="12"/>
  <c r="IC142" i="12"/>
  <c r="ID142" i="12"/>
  <c r="IE142" i="12"/>
  <c r="IF142" i="12"/>
  <c r="IG142" i="12"/>
  <c r="IH142" i="12"/>
  <c r="II142" i="12"/>
  <c r="IJ142" i="12"/>
  <c r="IK142" i="12"/>
  <c r="IL142" i="12"/>
  <c r="IM142" i="12"/>
  <c r="IN142" i="12"/>
  <c r="IO142" i="12"/>
  <c r="IP142" i="12"/>
  <c r="IQ142" i="12"/>
  <c r="IR142" i="12"/>
  <c r="IS142" i="12"/>
  <c r="IT142" i="12"/>
  <c r="IU142" i="12"/>
  <c r="IV142" i="12"/>
  <c r="A141" i="12"/>
  <c r="B141" i="12"/>
  <c r="C141" i="12"/>
  <c r="D141" i="12"/>
  <c r="E141" i="12"/>
  <c r="F141" i="12"/>
  <c r="G141" i="12"/>
  <c r="H141" i="12"/>
  <c r="I141" i="12"/>
  <c r="J141" i="12"/>
  <c r="K141" i="12"/>
  <c r="L141" i="12"/>
  <c r="M141" i="12"/>
  <c r="N141" i="12"/>
  <c r="O141" i="12"/>
  <c r="Q141" i="12"/>
  <c r="R141" i="12"/>
  <c r="S141" i="12"/>
  <c r="T141" i="12"/>
  <c r="U141" i="12"/>
  <c r="V141" i="12"/>
  <c r="W141" i="12"/>
  <c r="X141" i="12"/>
  <c r="Y141" i="12"/>
  <c r="Z141" i="12"/>
  <c r="AA141" i="12"/>
  <c r="AB141" i="12"/>
  <c r="AC141" i="12"/>
  <c r="AD141" i="12"/>
  <c r="AE141" i="12"/>
  <c r="AF141" i="12"/>
  <c r="AG141" i="12"/>
  <c r="AH141" i="12"/>
  <c r="AI141" i="12"/>
  <c r="AJ141" i="12"/>
  <c r="AK141" i="12"/>
  <c r="AL141" i="12"/>
  <c r="AM141" i="12"/>
  <c r="AN141" i="12"/>
  <c r="AO141" i="12"/>
  <c r="AP141" i="12"/>
  <c r="AQ141" i="12"/>
  <c r="AR141" i="12"/>
  <c r="AS141" i="12"/>
  <c r="AT141" i="12"/>
  <c r="AU141" i="12"/>
  <c r="AV141" i="12"/>
  <c r="AW141" i="12"/>
  <c r="AX141" i="12"/>
  <c r="AY141" i="12"/>
  <c r="AZ141" i="12"/>
  <c r="BA141" i="12"/>
  <c r="BB141" i="12"/>
  <c r="BC141" i="12"/>
  <c r="BD141" i="12"/>
  <c r="BE141" i="12"/>
  <c r="BF141" i="12"/>
  <c r="BG141" i="12"/>
  <c r="BH141" i="12"/>
  <c r="BI141" i="12"/>
  <c r="BJ141" i="12"/>
  <c r="BK141" i="12"/>
  <c r="BL141" i="12"/>
  <c r="BM141" i="12"/>
  <c r="BN141" i="12"/>
  <c r="BO141" i="12"/>
  <c r="BP141" i="12"/>
  <c r="BQ141" i="12"/>
  <c r="BR141" i="12"/>
  <c r="BS141" i="12"/>
  <c r="BT141" i="12"/>
  <c r="BU141" i="12"/>
  <c r="BV141" i="12"/>
  <c r="BW141" i="12"/>
  <c r="BX141" i="12"/>
  <c r="BY141" i="12"/>
  <c r="BZ141" i="12"/>
  <c r="CA141" i="12"/>
  <c r="CB141" i="12"/>
  <c r="CC141" i="12"/>
  <c r="CD141" i="12"/>
  <c r="CE141" i="12"/>
  <c r="CF141" i="12"/>
  <c r="CG141" i="12"/>
  <c r="CH141" i="12"/>
  <c r="CI141" i="12"/>
  <c r="CJ141" i="12"/>
  <c r="CK141" i="12"/>
  <c r="CL141" i="12"/>
  <c r="CM141" i="12"/>
  <c r="CN141" i="12"/>
  <c r="CO141" i="12"/>
  <c r="CP141" i="12"/>
  <c r="CQ141" i="12"/>
  <c r="CR141" i="12"/>
  <c r="CS141" i="12"/>
  <c r="CT141" i="12"/>
  <c r="CU141" i="12"/>
  <c r="CV141" i="12"/>
  <c r="CW141" i="12"/>
  <c r="CX141" i="12"/>
  <c r="CY141" i="12"/>
  <c r="CZ141" i="12"/>
  <c r="DA141" i="12"/>
  <c r="DB141" i="12"/>
  <c r="DC141" i="12"/>
  <c r="DD141" i="12"/>
  <c r="DE141" i="12"/>
  <c r="DF141" i="12"/>
  <c r="DG141" i="12"/>
  <c r="DH141" i="12"/>
  <c r="DI141" i="12"/>
  <c r="DJ141" i="12"/>
  <c r="DK141" i="12"/>
  <c r="DL141" i="12"/>
  <c r="DM141" i="12"/>
  <c r="DN141" i="12"/>
  <c r="DO141" i="12"/>
  <c r="DP141" i="12"/>
  <c r="DQ141" i="12"/>
  <c r="DR141" i="12"/>
  <c r="DS141" i="12"/>
  <c r="DT141" i="12"/>
  <c r="DU141" i="12"/>
  <c r="DV141" i="12"/>
  <c r="DW141" i="12"/>
  <c r="DX141" i="12"/>
  <c r="DY141" i="12"/>
  <c r="DZ141" i="12"/>
  <c r="EA141" i="12"/>
  <c r="EB141" i="12"/>
  <c r="EC141" i="12"/>
  <c r="ED141" i="12"/>
  <c r="EE141" i="12"/>
  <c r="EF141" i="12"/>
  <c r="EG141" i="12"/>
  <c r="EH141" i="12"/>
  <c r="EI141" i="12"/>
  <c r="EJ141" i="12"/>
  <c r="EK141" i="12"/>
  <c r="EL141" i="12"/>
  <c r="EM141" i="12"/>
  <c r="EN141" i="12"/>
  <c r="EO141" i="12"/>
  <c r="EP141" i="12"/>
  <c r="EQ141" i="12"/>
  <c r="ER141" i="12"/>
  <c r="ES141" i="12"/>
  <c r="ET141" i="12"/>
  <c r="EU141" i="12"/>
  <c r="EV141" i="12"/>
  <c r="EW141" i="12"/>
  <c r="EX141" i="12"/>
  <c r="EY141" i="12"/>
  <c r="EZ141" i="12"/>
  <c r="FA141" i="12"/>
  <c r="FB141" i="12"/>
  <c r="FC141" i="12"/>
  <c r="FD141" i="12"/>
  <c r="FE141" i="12"/>
  <c r="FF141" i="12"/>
  <c r="FG141" i="12"/>
  <c r="FH141" i="12"/>
  <c r="FI141" i="12"/>
  <c r="FJ141" i="12"/>
  <c r="FK141" i="12"/>
  <c r="FL141" i="12"/>
  <c r="FM141" i="12"/>
  <c r="FN141" i="12"/>
  <c r="FO141" i="12"/>
  <c r="FP141" i="12"/>
  <c r="FQ141" i="12"/>
  <c r="FR141" i="12"/>
  <c r="FS141" i="12"/>
  <c r="FT141" i="12"/>
  <c r="FU141" i="12"/>
  <c r="FV141" i="12"/>
  <c r="FW141" i="12"/>
  <c r="FX141" i="12"/>
  <c r="FY141" i="12"/>
  <c r="FZ141" i="12"/>
  <c r="GA141" i="12"/>
  <c r="GB141" i="12"/>
  <c r="GC141" i="12"/>
  <c r="GD141" i="12"/>
  <c r="GE141" i="12"/>
  <c r="GF141" i="12"/>
  <c r="GG141" i="12"/>
  <c r="GH141" i="12"/>
  <c r="GI141" i="12"/>
  <c r="GJ141" i="12"/>
  <c r="GK141" i="12"/>
  <c r="GL141" i="12"/>
  <c r="GM141" i="12"/>
  <c r="GN141" i="12"/>
  <c r="GO141" i="12"/>
  <c r="GP141" i="12"/>
  <c r="GQ141" i="12"/>
  <c r="GR141" i="12"/>
  <c r="GS141" i="12"/>
  <c r="GT141" i="12"/>
  <c r="GU141" i="12"/>
  <c r="GV141" i="12"/>
  <c r="GW141" i="12"/>
  <c r="GX141" i="12"/>
  <c r="GY141" i="12"/>
  <c r="GZ141" i="12"/>
  <c r="HA141" i="12"/>
  <c r="HB141" i="12"/>
  <c r="HC141" i="12"/>
  <c r="HD141" i="12"/>
  <c r="HE141" i="12"/>
  <c r="HF141" i="12"/>
  <c r="HG141" i="12"/>
  <c r="HH141" i="12"/>
  <c r="HI141" i="12"/>
  <c r="HJ141" i="12"/>
  <c r="HK141" i="12"/>
  <c r="HL141" i="12"/>
  <c r="HM141" i="12"/>
  <c r="HN141" i="12"/>
  <c r="HO141" i="12"/>
  <c r="HP141" i="12"/>
  <c r="HQ141" i="12"/>
  <c r="HR141" i="12"/>
  <c r="HS141" i="12"/>
  <c r="HT141" i="12"/>
  <c r="HU141" i="12"/>
  <c r="HV141" i="12"/>
  <c r="HW141" i="12"/>
  <c r="HX141" i="12"/>
  <c r="HY141" i="12"/>
  <c r="HZ141" i="12"/>
  <c r="IA141" i="12"/>
  <c r="IB141" i="12"/>
  <c r="IC141" i="12"/>
  <c r="ID141" i="12"/>
  <c r="IE141" i="12"/>
  <c r="IF141" i="12"/>
  <c r="IG141" i="12"/>
  <c r="IH141" i="12"/>
  <c r="II141" i="12"/>
  <c r="IJ141" i="12"/>
  <c r="IK141" i="12"/>
  <c r="IL141" i="12"/>
  <c r="IM141" i="12"/>
  <c r="IN141" i="12"/>
  <c r="IO141" i="12"/>
  <c r="IP141" i="12"/>
  <c r="IQ141" i="12"/>
  <c r="IR141" i="12"/>
  <c r="IS141" i="12"/>
  <c r="IT141" i="12"/>
  <c r="IU141" i="12"/>
  <c r="IV141" i="12"/>
  <c r="A140" i="12"/>
  <c r="B140" i="12"/>
  <c r="C140" i="12"/>
  <c r="D140" i="12"/>
  <c r="E140" i="12"/>
  <c r="F140" i="12"/>
  <c r="G140" i="12"/>
  <c r="H140" i="12"/>
  <c r="I140" i="12"/>
  <c r="J140" i="12"/>
  <c r="K140" i="12"/>
  <c r="L140" i="12"/>
  <c r="M140" i="12"/>
  <c r="N140" i="12"/>
  <c r="O140" i="12"/>
  <c r="P140" i="12"/>
  <c r="Q140" i="12"/>
  <c r="R140" i="12"/>
  <c r="S140" i="12"/>
  <c r="T140" i="12"/>
  <c r="U140" i="12"/>
  <c r="V140" i="12"/>
  <c r="W140" i="12"/>
  <c r="X140" i="12"/>
  <c r="Y140" i="12"/>
  <c r="Z140" i="12"/>
  <c r="AB140" i="12"/>
  <c r="AC140" i="12"/>
  <c r="AD140" i="12"/>
  <c r="AE140" i="12"/>
  <c r="AF140" i="12"/>
  <c r="AG140" i="12"/>
  <c r="AH140" i="12"/>
  <c r="AI140" i="12"/>
  <c r="AJ140" i="12"/>
  <c r="AK140" i="12"/>
  <c r="AL140" i="12"/>
  <c r="AM140" i="12"/>
  <c r="AN140" i="12"/>
  <c r="AO140" i="12"/>
  <c r="AP140" i="12"/>
  <c r="AQ140" i="12"/>
  <c r="AR140" i="12"/>
  <c r="AS140" i="12"/>
  <c r="AT140" i="12"/>
  <c r="AU140" i="12"/>
  <c r="AV140" i="12"/>
  <c r="AW140" i="12"/>
  <c r="AX140" i="12"/>
  <c r="AY140" i="12"/>
  <c r="AZ140" i="12"/>
  <c r="BA140" i="12"/>
  <c r="BB140" i="12"/>
  <c r="BC140" i="12"/>
  <c r="BD140" i="12"/>
  <c r="BE140" i="12"/>
  <c r="BF140" i="12"/>
  <c r="BG140" i="12"/>
  <c r="BH140" i="12"/>
  <c r="BI140" i="12"/>
  <c r="BJ140" i="12"/>
  <c r="BK140" i="12"/>
  <c r="BL140" i="12"/>
  <c r="BM140" i="12"/>
  <c r="BN140" i="12"/>
  <c r="BO140" i="12"/>
  <c r="BP140" i="12"/>
  <c r="BQ140" i="12"/>
  <c r="BR140" i="12"/>
  <c r="BS140" i="12"/>
  <c r="BT140" i="12"/>
  <c r="BU140" i="12"/>
  <c r="BV140" i="12"/>
  <c r="BW140" i="12"/>
  <c r="BX140" i="12"/>
  <c r="BY140" i="12"/>
  <c r="BZ140" i="12"/>
  <c r="CA140" i="12"/>
  <c r="CB140" i="12"/>
  <c r="CC140" i="12"/>
  <c r="CD140" i="12"/>
  <c r="CE140" i="12"/>
  <c r="CF140" i="12"/>
  <c r="CG140" i="12"/>
  <c r="CH140" i="12"/>
  <c r="CI140" i="12"/>
  <c r="CJ140" i="12"/>
  <c r="CK140" i="12"/>
  <c r="CL140" i="12"/>
  <c r="CM140" i="12"/>
  <c r="CN140" i="12"/>
  <c r="CO140" i="12"/>
  <c r="CP140" i="12"/>
  <c r="CQ140" i="12"/>
  <c r="CR140" i="12"/>
  <c r="CS140" i="12"/>
  <c r="CT140" i="12"/>
  <c r="CU140" i="12"/>
  <c r="CV140" i="12"/>
  <c r="CW140" i="12"/>
  <c r="CX140" i="12"/>
  <c r="CY140" i="12"/>
  <c r="CZ140" i="12"/>
  <c r="DA140" i="12"/>
  <c r="DB140" i="12"/>
  <c r="DC140" i="12"/>
  <c r="DD140" i="12"/>
  <c r="DE140" i="12"/>
  <c r="DF140" i="12"/>
  <c r="DG140" i="12"/>
  <c r="DH140" i="12"/>
  <c r="DI140" i="12"/>
  <c r="DJ140" i="12"/>
  <c r="DK140" i="12"/>
  <c r="DL140" i="12"/>
  <c r="DM140" i="12"/>
  <c r="DN140" i="12"/>
  <c r="DO140" i="12"/>
  <c r="DP140" i="12"/>
  <c r="DQ140" i="12"/>
  <c r="DR140" i="12"/>
  <c r="DS140" i="12"/>
  <c r="DT140" i="12"/>
  <c r="DU140" i="12"/>
  <c r="DV140" i="12"/>
  <c r="DW140" i="12"/>
  <c r="DX140" i="12"/>
  <c r="DY140" i="12"/>
  <c r="DZ140" i="12"/>
  <c r="EA140" i="12"/>
  <c r="EB140" i="12"/>
  <c r="EC140" i="12"/>
  <c r="ED140" i="12"/>
  <c r="EE140" i="12"/>
  <c r="EF140" i="12"/>
  <c r="EG140" i="12"/>
  <c r="EH140" i="12"/>
  <c r="EI140" i="12"/>
  <c r="EJ140" i="12"/>
  <c r="EK140" i="12"/>
  <c r="EL140" i="12"/>
  <c r="EM140" i="12"/>
  <c r="EN140" i="12"/>
  <c r="EO140" i="12"/>
  <c r="EP140" i="12"/>
  <c r="EQ140" i="12"/>
  <c r="ER140" i="12"/>
  <c r="ES140" i="12"/>
  <c r="ET140" i="12"/>
  <c r="EU140" i="12"/>
  <c r="EV140" i="12"/>
  <c r="EW140" i="12"/>
  <c r="EX140" i="12"/>
  <c r="EY140" i="12"/>
  <c r="EZ140" i="12"/>
  <c r="FA140" i="12"/>
  <c r="FB140" i="12"/>
  <c r="FC140" i="12"/>
  <c r="FD140" i="12"/>
  <c r="FE140" i="12"/>
  <c r="FF140" i="12"/>
  <c r="FG140" i="12"/>
  <c r="FH140" i="12"/>
  <c r="FI140" i="12"/>
  <c r="FJ140" i="12"/>
  <c r="FK140" i="12"/>
  <c r="FL140" i="12"/>
  <c r="FM140" i="12"/>
  <c r="FN140" i="12"/>
  <c r="FO140" i="12"/>
  <c r="FP140" i="12"/>
  <c r="FQ140" i="12"/>
  <c r="FR140" i="12"/>
  <c r="FS140" i="12"/>
  <c r="FT140" i="12"/>
  <c r="FU140" i="12"/>
  <c r="FV140" i="12"/>
  <c r="FW140" i="12"/>
  <c r="FX140" i="12"/>
  <c r="FY140" i="12"/>
  <c r="FZ140" i="12"/>
  <c r="GA140" i="12"/>
  <c r="GB140" i="12"/>
  <c r="GC140" i="12"/>
  <c r="GD140" i="12"/>
  <c r="GE140" i="12"/>
  <c r="GF140" i="12"/>
  <c r="GG140" i="12"/>
  <c r="GH140" i="12"/>
  <c r="GI140" i="12"/>
  <c r="GJ140" i="12"/>
  <c r="GK140" i="12"/>
  <c r="GL140" i="12"/>
  <c r="GM140" i="12"/>
  <c r="GN140" i="12"/>
  <c r="GO140" i="12"/>
  <c r="GP140" i="12"/>
  <c r="GQ140" i="12"/>
  <c r="GR140" i="12"/>
  <c r="GS140" i="12"/>
  <c r="GT140" i="12"/>
  <c r="GU140" i="12"/>
  <c r="GV140" i="12"/>
  <c r="GW140" i="12"/>
  <c r="GX140" i="12"/>
  <c r="GY140" i="12"/>
  <c r="GZ140" i="12"/>
  <c r="HA140" i="12"/>
  <c r="HB140" i="12"/>
  <c r="HC140" i="12"/>
  <c r="HD140" i="12"/>
  <c r="HE140" i="12"/>
  <c r="HF140" i="12"/>
  <c r="HG140" i="12"/>
  <c r="HH140" i="12"/>
  <c r="HI140" i="12"/>
  <c r="HJ140" i="12"/>
  <c r="HK140" i="12"/>
  <c r="HL140" i="12"/>
  <c r="HM140" i="12"/>
  <c r="HN140" i="12"/>
  <c r="HO140" i="12"/>
  <c r="HP140" i="12"/>
  <c r="HQ140" i="12"/>
  <c r="HR140" i="12"/>
  <c r="HS140" i="12"/>
  <c r="HT140" i="12"/>
  <c r="HU140" i="12"/>
  <c r="HV140" i="12"/>
  <c r="HW140" i="12"/>
  <c r="HX140" i="12"/>
  <c r="HY140" i="12"/>
  <c r="HZ140" i="12"/>
  <c r="IA140" i="12"/>
  <c r="IB140" i="12"/>
  <c r="IC140" i="12"/>
  <c r="ID140" i="12"/>
  <c r="IE140" i="12"/>
  <c r="IF140" i="12"/>
  <c r="IG140" i="12"/>
  <c r="IH140" i="12"/>
  <c r="II140" i="12"/>
  <c r="IJ140" i="12"/>
  <c r="IK140" i="12"/>
  <c r="IL140" i="12"/>
  <c r="IM140" i="12"/>
  <c r="IN140" i="12"/>
  <c r="IO140" i="12"/>
  <c r="IP140" i="12"/>
  <c r="IQ140" i="12"/>
  <c r="IR140" i="12"/>
  <c r="IS140" i="12"/>
  <c r="IT140" i="12"/>
  <c r="IU140" i="12"/>
  <c r="IV140" i="12"/>
  <c r="A139" i="12"/>
  <c r="B139" i="12"/>
  <c r="D139" i="12"/>
  <c r="E139" i="12"/>
  <c r="F139" i="12"/>
  <c r="G139" i="12"/>
  <c r="H139" i="12"/>
  <c r="I139" i="12"/>
  <c r="J139" i="12"/>
  <c r="K139" i="12"/>
  <c r="L139" i="12"/>
  <c r="M139" i="12"/>
  <c r="N139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BC139" i="12"/>
  <c r="BD139" i="12"/>
  <c r="BE139" i="12"/>
  <c r="BF139" i="12"/>
  <c r="BG139" i="12"/>
  <c r="BH139" i="12"/>
  <c r="BI139" i="12"/>
  <c r="BJ139" i="12"/>
  <c r="BK139" i="12"/>
  <c r="BL139" i="12"/>
  <c r="BM139" i="12"/>
  <c r="BN139" i="12"/>
  <c r="BO139" i="12"/>
  <c r="BP139" i="12"/>
  <c r="BQ139" i="12"/>
  <c r="BR139" i="12"/>
  <c r="BS139" i="12"/>
  <c r="BT139" i="12"/>
  <c r="BU139" i="12"/>
  <c r="BV139" i="12"/>
  <c r="BW139" i="12"/>
  <c r="BX139" i="12"/>
  <c r="BY139" i="12"/>
  <c r="BZ139" i="12"/>
  <c r="CA139" i="12"/>
  <c r="CB139" i="12"/>
  <c r="CC139" i="12"/>
  <c r="CD139" i="12"/>
  <c r="CE139" i="12"/>
  <c r="CF139" i="12"/>
  <c r="CG139" i="12"/>
  <c r="CH139" i="12"/>
  <c r="CI139" i="12"/>
  <c r="CJ139" i="12"/>
  <c r="CK139" i="12"/>
  <c r="CL139" i="12"/>
  <c r="CM139" i="12"/>
  <c r="CN139" i="12"/>
  <c r="CO139" i="12"/>
  <c r="CP139" i="12"/>
  <c r="CQ139" i="12"/>
  <c r="CR139" i="12"/>
  <c r="CS139" i="12"/>
  <c r="CT139" i="12"/>
  <c r="CU139" i="12"/>
  <c r="CV139" i="12"/>
  <c r="CW139" i="12"/>
  <c r="CX139" i="12"/>
  <c r="CY139" i="12"/>
  <c r="CZ139" i="12"/>
  <c r="DA139" i="12"/>
  <c r="DB139" i="12"/>
  <c r="DC139" i="12"/>
  <c r="DD139" i="12"/>
  <c r="DE139" i="12"/>
  <c r="DF139" i="12"/>
  <c r="DG139" i="12"/>
  <c r="DH139" i="12"/>
  <c r="DI139" i="12"/>
  <c r="DJ139" i="12"/>
  <c r="DK139" i="12"/>
  <c r="DL139" i="12"/>
  <c r="DM139" i="12"/>
  <c r="DN139" i="12"/>
  <c r="DO139" i="12"/>
  <c r="DP139" i="12"/>
  <c r="DQ139" i="12"/>
  <c r="DR139" i="12"/>
  <c r="DS139" i="12"/>
  <c r="DT139" i="12"/>
  <c r="DU139" i="12"/>
  <c r="DV139" i="12"/>
  <c r="DW139" i="12"/>
  <c r="DX139" i="12"/>
  <c r="DY139" i="12"/>
  <c r="DZ139" i="12"/>
  <c r="EA139" i="12"/>
  <c r="EB139" i="12"/>
  <c r="EC139" i="12"/>
  <c r="ED139" i="12"/>
  <c r="EE139" i="12"/>
  <c r="EF139" i="12"/>
  <c r="EG139" i="12"/>
  <c r="EH139" i="12"/>
  <c r="EI139" i="12"/>
  <c r="EJ139" i="12"/>
  <c r="EK139" i="12"/>
  <c r="EL139" i="12"/>
  <c r="EM139" i="12"/>
  <c r="EN139" i="12"/>
  <c r="EO139" i="12"/>
  <c r="EP139" i="12"/>
  <c r="EQ139" i="12"/>
  <c r="ER139" i="12"/>
  <c r="ES139" i="12"/>
  <c r="ET139" i="12"/>
  <c r="EU139" i="12"/>
  <c r="EV139" i="12"/>
  <c r="EW139" i="12"/>
  <c r="EX139" i="12"/>
  <c r="EY139" i="12"/>
  <c r="EZ139" i="12"/>
  <c r="FA139" i="12"/>
  <c r="FB139" i="12"/>
  <c r="FC139" i="12"/>
  <c r="FD139" i="12"/>
  <c r="FE139" i="12"/>
  <c r="FF139" i="12"/>
  <c r="FG139" i="12"/>
  <c r="FH139" i="12"/>
  <c r="FI139" i="12"/>
  <c r="FJ139" i="12"/>
  <c r="FK139" i="12"/>
  <c r="FL139" i="12"/>
  <c r="FM139" i="12"/>
  <c r="FN139" i="12"/>
  <c r="FO139" i="12"/>
  <c r="FP139" i="12"/>
  <c r="FQ139" i="12"/>
  <c r="FR139" i="12"/>
  <c r="FS139" i="12"/>
  <c r="FT139" i="12"/>
  <c r="FU139" i="12"/>
  <c r="FV139" i="12"/>
  <c r="FW139" i="12"/>
  <c r="FX139" i="12"/>
  <c r="FY139" i="12"/>
  <c r="FZ139" i="12"/>
  <c r="GA139" i="12"/>
  <c r="GB139" i="12"/>
  <c r="GC139" i="12"/>
  <c r="GD139" i="12"/>
  <c r="GE139" i="12"/>
  <c r="GF139" i="12"/>
  <c r="GG139" i="12"/>
  <c r="GH139" i="12"/>
  <c r="GI139" i="12"/>
  <c r="GJ139" i="12"/>
  <c r="GK139" i="12"/>
  <c r="GL139" i="12"/>
  <c r="GM139" i="12"/>
  <c r="GN139" i="12"/>
  <c r="GO139" i="12"/>
  <c r="GP139" i="12"/>
  <c r="GQ139" i="12"/>
  <c r="GR139" i="12"/>
  <c r="GS139" i="12"/>
  <c r="GT139" i="12"/>
  <c r="GU139" i="12"/>
  <c r="GV139" i="12"/>
  <c r="GW139" i="12"/>
  <c r="GX139" i="12"/>
  <c r="GY139" i="12"/>
  <c r="GZ139" i="12"/>
  <c r="HA139" i="12"/>
  <c r="HB139" i="12"/>
  <c r="HC139" i="12"/>
  <c r="HD139" i="12"/>
  <c r="HE139" i="12"/>
  <c r="HF139" i="12"/>
  <c r="HG139" i="12"/>
  <c r="HH139" i="12"/>
  <c r="HI139" i="12"/>
  <c r="HJ139" i="12"/>
  <c r="HK139" i="12"/>
  <c r="HL139" i="12"/>
  <c r="HM139" i="12"/>
  <c r="HN139" i="12"/>
  <c r="HO139" i="12"/>
  <c r="HP139" i="12"/>
  <c r="HQ139" i="12"/>
  <c r="HR139" i="12"/>
  <c r="HS139" i="12"/>
  <c r="HT139" i="12"/>
  <c r="HU139" i="12"/>
  <c r="HV139" i="12"/>
  <c r="HW139" i="12"/>
  <c r="HX139" i="12"/>
  <c r="HY139" i="12"/>
  <c r="HZ139" i="12"/>
  <c r="IA139" i="12"/>
  <c r="IB139" i="12"/>
  <c r="IC139" i="12"/>
  <c r="ID139" i="12"/>
  <c r="IE139" i="12"/>
  <c r="IF139" i="12"/>
  <c r="IG139" i="12"/>
  <c r="IH139" i="12"/>
  <c r="II139" i="12"/>
  <c r="IJ139" i="12"/>
  <c r="IK139" i="12"/>
  <c r="IL139" i="12"/>
  <c r="IM139" i="12"/>
  <c r="IN139" i="12"/>
  <c r="IO139" i="12"/>
  <c r="IP139" i="12"/>
  <c r="IQ139" i="12"/>
  <c r="IR139" i="12"/>
  <c r="IS139" i="12"/>
  <c r="IT139" i="12"/>
  <c r="IU139" i="12"/>
  <c r="IV139" i="12"/>
  <c r="A138" i="12"/>
  <c r="B138" i="12"/>
  <c r="C138" i="12"/>
  <c r="D138" i="12"/>
  <c r="E138" i="12"/>
  <c r="F138" i="12"/>
  <c r="G138" i="12"/>
  <c r="H138" i="12"/>
  <c r="I138" i="12"/>
  <c r="J138" i="12"/>
  <c r="K138" i="12"/>
  <c r="L138" i="12"/>
  <c r="M138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BC138" i="12"/>
  <c r="BD138" i="12"/>
  <c r="BE138" i="12"/>
  <c r="BF138" i="12"/>
  <c r="BG138" i="12"/>
  <c r="BH138" i="12"/>
  <c r="BI138" i="12"/>
  <c r="BJ138" i="12"/>
  <c r="BK138" i="12"/>
  <c r="BL138" i="12"/>
  <c r="BM138" i="12"/>
  <c r="BN138" i="12"/>
  <c r="BO138" i="12"/>
  <c r="BP138" i="12"/>
  <c r="BQ138" i="12"/>
  <c r="BR138" i="12"/>
  <c r="BS138" i="12"/>
  <c r="BT138" i="12"/>
  <c r="BU138" i="12"/>
  <c r="BV138" i="12"/>
  <c r="BW138" i="12"/>
  <c r="BX138" i="12"/>
  <c r="BY138" i="12"/>
  <c r="BZ138" i="12"/>
  <c r="CA138" i="12"/>
  <c r="CB138" i="12"/>
  <c r="CC138" i="12"/>
  <c r="CD138" i="12"/>
  <c r="CE138" i="12"/>
  <c r="CF138" i="12"/>
  <c r="CG138" i="12"/>
  <c r="CH138" i="12"/>
  <c r="CI138" i="12"/>
  <c r="CJ138" i="12"/>
  <c r="CK138" i="12"/>
  <c r="CL138" i="12"/>
  <c r="CM138" i="12"/>
  <c r="CN138" i="12"/>
  <c r="CO138" i="12"/>
  <c r="CP138" i="12"/>
  <c r="CQ138" i="12"/>
  <c r="CR138" i="12"/>
  <c r="CS138" i="12"/>
  <c r="CT138" i="12"/>
  <c r="CU138" i="12"/>
  <c r="CV138" i="12"/>
  <c r="CW138" i="12"/>
  <c r="CX138" i="12"/>
  <c r="CY138" i="12"/>
  <c r="CZ138" i="12"/>
  <c r="DA138" i="12"/>
  <c r="DB138" i="12"/>
  <c r="DC138" i="12"/>
  <c r="DD138" i="12"/>
  <c r="DE138" i="12"/>
  <c r="DF138" i="12"/>
  <c r="DG138" i="12"/>
  <c r="DH138" i="12"/>
  <c r="DI138" i="12"/>
  <c r="DJ138" i="12"/>
  <c r="DK138" i="12"/>
  <c r="DL138" i="12"/>
  <c r="DM138" i="12"/>
  <c r="DN138" i="12"/>
  <c r="DO138" i="12"/>
  <c r="DP138" i="12"/>
  <c r="DQ138" i="12"/>
  <c r="DR138" i="12"/>
  <c r="DS138" i="12"/>
  <c r="DT138" i="12"/>
  <c r="DU138" i="12"/>
  <c r="DV138" i="12"/>
  <c r="DW138" i="12"/>
  <c r="DX138" i="12"/>
  <c r="DY138" i="12"/>
  <c r="DZ138" i="12"/>
  <c r="EA138" i="12"/>
  <c r="EB138" i="12"/>
  <c r="EC138" i="12"/>
  <c r="ED138" i="12"/>
  <c r="EE138" i="12"/>
  <c r="EF138" i="12"/>
  <c r="EG138" i="12"/>
  <c r="EH138" i="12"/>
  <c r="EI138" i="12"/>
  <c r="EJ138" i="12"/>
  <c r="EK138" i="12"/>
  <c r="EL138" i="12"/>
  <c r="EM138" i="12"/>
  <c r="EN138" i="12"/>
  <c r="EO138" i="12"/>
  <c r="EP138" i="12"/>
  <c r="EQ138" i="12"/>
  <c r="ER138" i="12"/>
  <c r="ES138" i="12"/>
  <c r="ET138" i="12"/>
  <c r="EU138" i="12"/>
  <c r="EV138" i="12"/>
  <c r="EW138" i="12"/>
  <c r="EX138" i="12"/>
  <c r="EY138" i="12"/>
  <c r="EZ138" i="12"/>
  <c r="FA138" i="12"/>
  <c r="FB138" i="12"/>
  <c r="FC138" i="12"/>
  <c r="FD138" i="12"/>
  <c r="FE138" i="12"/>
  <c r="FF138" i="12"/>
  <c r="FG138" i="12"/>
  <c r="FH138" i="12"/>
  <c r="FI138" i="12"/>
  <c r="FJ138" i="12"/>
  <c r="FK138" i="12"/>
  <c r="FL138" i="12"/>
  <c r="FM138" i="12"/>
  <c r="FN138" i="12"/>
  <c r="FO138" i="12"/>
  <c r="FP138" i="12"/>
  <c r="FQ138" i="12"/>
  <c r="FR138" i="12"/>
  <c r="FS138" i="12"/>
  <c r="FT138" i="12"/>
  <c r="FU138" i="12"/>
  <c r="FV138" i="12"/>
  <c r="FW138" i="12"/>
  <c r="FX138" i="12"/>
  <c r="FY138" i="12"/>
  <c r="FZ138" i="12"/>
  <c r="GA138" i="12"/>
  <c r="GB138" i="12"/>
  <c r="GC138" i="12"/>
  <c r="GD138" i="12"/>
  <c r="GE138" i="12"/>
  <c r="GF138" i="12"/>
  <c r="GG138" i="12"/>
  <c r="GH138" i="12"/>
  <c r="GI138" i="12"/>
  <c r="GJ138" i="12"/>
  <c r="GK138" i="12"/>
  <c r="GL138" i="12"/>
  <c r="GM138" i="12"/>
  <c r="GN138" i="12"/>
  <c r="GO138" i="12"/>
  <c r="GP138" i="12"/>
  <c r="GQ138" i="12"/>
  <c r="GR138" i="12"/>
  <c r="GS138" i="12"/>
  <c r="GT138" i="12"/>
  <c r="GU138" i="12"/>
  <c r="GV138" i="12"/>
  <c r="GW138" i="12"/>
  <c r="GX138" i="12"/>
  <c r="GY138" i="12"/>
  <c r="GZ138" i="12"/>
  <c r="HA138" i="12"/>
  <c r="HB138" i="12"/>
  <c r="HC138" i="12"/>
  <c r="HD138" i="12"/>
  <c r="HE138" i="12"/>
  <c r="HF138" i="12"/>
  <c r="HG138" i="12"/>
  <c r="HH138" i="12"/>
  <c r="HI138" i="12"/>
  <c r="HJ138" i="12"/>
  <c r="HK138" i="12"/>
  <c r="HL138" i="12"/>
  <c r="HM138" i="12"/>
  <c r="HN138" i="12"/>
  <c r="HO138" i="12"/>
  <c r="HP138" i="12"/>
  <c r="HQ138" i="12"/>
  <c r="HR138" i="12"/>
  <c r="HS138" i="12"/>
  <c r="HT138" i="12"/>
  <c r="HU138" i="12"/>
  <c r="HV138" i="12"/>
  <c r="HW138" i="12"/>
  <c r="HX138" i="12"/>
  <c r="HY138" i="12"/>
  <c r="HZ138" i="12"/>
  <c r="IA138" i="12"/>
  <c r="IB138" i="12"/>
  <c r="IC138" i="12"/>
  <c r="ID138" i="12"/>
  <c r="IE138" i="12"/>
  <c r="IF138" i="12"/>
  <c r="IG138" i="12"/>
  <c r="IH138" i="12"/>
  <c r="II138" i="12"/>
  <c r="IJ138" i="12"/>
  <c r="IK138" i="12"/>
  <c r="IL138" i="12"/>
  <c r="IM138" i="12"/>
  <c r="IN138" i="12"/>
  <c r="IO138" i="12"/>
  <c r="IP138" i="12"/>
  <c r="IQ138" i="12"/>
  <c r="IR138" i="12"/>
  <c r="IS138" i="12"/>
  <c r="IT138" i="12"/>
  <c r="IU138" i="12"/>
  <c r="IV138" i="12"/>
  <c r="A137" i="12"/>
  <c r="B137" i="12"/>
  <c r="C137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P137" i="12"/>
  <c r="Q137" i="12"/>
  <c r="R137" i="12"/>
  <c r="S137" i="12"/>
  <c r="T137" i="12"/>
  <c r="U137" i="12"/>
  <c r="V137" i="12"/>
  <c r="W137" i="12"/>
  <c r="X137" i="12"/>
  <c r="Z137" i="12"/>
  <c r="AA137" i="12"/>
  <c r="AB137" i="12"/>
  <c r="AC137" i="12"/>
  <c r="AD137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BC137" i="12"/>
  <c r="BD137" i="12"/>
  <c r="BE137" i="12"/>
  <c r="BF137" i="12"/>
  <c r="BG137" i="12"/>
  <c r="BH137" i="12"/>
  <c r="BI137" i="12"/>
  <c r="BJ137" i="12"/>
  <c r="BK137" i="12"/>
  <c r="BL137" i="12"/>
  <c r="BM137" i="12"/>
  <c r="BN137" i="12"/>
  <c r="BO137" i="12"/>
  <c r="BP137" i="12"/>
  <c r="BQ137" i="12"/>
  <c r="BR137" i="12"/>
  <c r="BS137" i="12"/>
  <c r="BT137" i="12"/>
  <c r="BU137" i="12"/>
  <c r="BV137" i="12"/>
  <c r="BW137" i="12"/>
  <c r="BX137" i="12"/>
  <c r="BY137" i="12"/>
  <c r="BZ137" i="12"/>
  <c r="CA137" i="12"/>
  <c r="CB137" i="12"/>
  <c r="CC137" i="12"/>
  <c r="CD137" i="12"/>
  <c r="CE137" i="12"/>
  <c r="CF137" i="12"/>
  <c r="CG137" i="12"/>
  <c r="CH137" i="12"/>
  <c r="CI137" i="12"/>
  <c r="CJ137" i="12"/>
  <c r="CK137" i="12"/>
  <c r="CL137" i="12"/>
  <c r="CM137" i="12"/>
  <c r="CN137" i="12"/>
  <c r="CO137" i="12"/>
  <c r="CP137" i="12"/>
  <c r="CQ137" i="12"/>
  <c r="CR137" i="12"/>
  <c r="CS137" i="12"/>
  <c r="CT137" i="12"/>
  <c r="CU137" i="12"/>
  <c r="CV137" i="12"/>
  <c r="CW137" i="12"/>
  <c r="CX137" i="12"/>
  <c r="CY137" i="12"/>
  <c r="CZ137" i="12"/>
  <c r="DA137" i="12"/>
  <c r="DB137" i="12"/>
  <c r="DC137" i="12"/>
  <c r="DD137" i="12"/>
  <c r="DE137" i="12"/>
  <c r="DF137" i="12"/>
  <c r="DG137" i="12"/>
  <c r="DH137" i="12"/>
  <c r="DI137" i="12"/>
  <c r="DJ137" i="12"/>
  <c r="DK137" i="12"/>
  <c r="DL137" i="12"/>
  <c r="DM137" i="12"/>
  <c r="DN137" i="12"/>
  <c r="DO137" i="12"/>
  <c r="DP137" i="12"/>
  <c r="DQ137" i="12"/>
  <c r="DR137" i="12"/>
  <c r="DS137" i="12"/>
  <c r="DT137" i="12"/>
  <c r="DU137" i="12"/>
  <c r="DV137" i="12"/>
  <c r="DW137" i="12"/>
  <c r="DX137" i="12"/>
  <c r="DY137" i="12"/>
  <c r="DZ137" i="12"/>
  <c r="EA137" i="12"/>
  <c r="EB137" i="12"/>
  <c r="EC137" i="12"/>
  <c r="ED137" i="12"/>
  <c r="EE137" i="12"/>
  <c r="EF137" i="12"/>
  <c r="EG137" i="12"/>
  <c r="EH137" i="12"/>
  <c r="EI137" i="12"/>
  <c r="EJ137" i="12"/>
  <c r="EK137" i="12"/>
  <c r="EL137" i="12"/>
  <c r="EM137" i="12"/>
  <c r="EN137" i="12"/>
  <c r="EO137" i="12"/>
  <c r="EP137" i="12"/>
  <c r="EQ137" i="12"/>
  <c r="ER137" i="12"/>
  <c r="ES137" i="12"/>
  <c r="ET137" i="12"/>
  <c r="EU137" i="12"/>
  <c r="EV137" i="12"/>
  <c r="EW137" i="12"/>
  <c r="EX137" i="12"/>
  <c r="EY137" i="12"/>
  <c r="EZ137" i="12"/>
  <c r="FA137" i="12"/>
  <c r="FB137" i="12"/>
  <c r="FC137" i="12"/>
  <c r="FD137" i="12"/>
  <c r="FE137" i="12"/>
  <c r="FF137" i="12"/>
  <c r="FG137" i="12"/>
  <c r="FH137" i="12"/>
  <c r="FI137" i="12"/>
  <c r="FJ137" i="12"/>
  <c r="FK137" i="12"/>
  <c r="FL137" i="12"/>
  <c r="FM137" i="12"/>
  <c r="FN137" i="12"/>
  <c r="FO137" i="12"/>
  <c r="FP137" i="12"/>
  <c r="FQ137" i="12"/>
  <c r="FR137" i="12"/>
  <c r="FS137" i="12"/>
  <c r="FT137" i="12"/>
  <c r="FU137" i="12"/>
  <c r="FV137" i="12"/>
  <c r="FW137" i="12"/>
  <c r="FX137" i="12"/>
  <c r="FY137" i="12"/>
  <c r="FZ137" i="12"/>
  <c r="GA137" i="12"/>
  <c r="GB137" i="12"/>
  <c r="GC137" i="12"/>
  <c r="GD137" i="12"/>
  <c r="GE137" i="12"/>
  <c r="GF137" i="12"/>
  <c r="GG137" i="12"/>
  <c r="GH137" i="12"/>
  <c r="GI137" i="12"/>
  <c r="GJ137" i="12"/>
  <c r="GK137" i="12"/>
  <c r="GL137" i="12"/>
  <c r="GM137" i="12"/>
  <c r="GN137" i="12"/>
  <c r="GO137" i="12"/>
  <c r="GP137" i="12"/>
  <c r="GQ137" i="12"/>
  <c r="GR137" i="12"/>
  <c r="GS137" i="12"/>
  <c r="GT137" i="12"/>
  <c r="GU137" i="12"/>
  <c r="GV137" i="12"/>
  <c r="GW137" i="12"/>
  <c r="GX137" i="12"/>
  <c r="GY137" i="12"/>
  <c r="GZ137" i="12"/>
  <c r="HA137" i="12"/>
  <c r="HB137" i="12"/>
  <c r="HC137" i="12"/>
  <c r="HD137" i="12"/>
  <c r="HE137" i="12"/>
  <c r="HF137" i="12"/>
  <c r="HG137" i="12"/>
  <c r="HH137" i="12"/>
  <c r="HI137" i="12"/>
  <c r="HJ137" i="12"/>
  <c r="HK137" i="12"/>
  <c r="HL137" i="12"/>
  <c r="HM137" i="12"/>
  <c r="HN137" i="12"/>
  <c r="HO137" i="12"/>
  <c r="HP137" i="12"/>
  <c r="HQ137" i="12"/>
  <c r="HR137" i="12"/>
  <c r="HS137" i="12"/>
  <c r="HT137" i="12"/>
  <c r="HU137" i="12"/>
  <c r="HV137" i="12"/>
  <c r="HW137" i="12"/>
  <c r="HX137" i="12"/>
  <c r="HY137" i="12"/>
  <c r="HZ137" i="12"/>
  <c r="IA137" i="12"/>
  <c r="IB137" i="12"/>
  <c r="IC137" i="12"/>
  <c r="ID137" i="12"/>
  <c r="IE137" i="12"/>
  <c r="IF137" i="12"/>
  <c r="IG137" i="12"/>
  <c r="IH137" i="12"/>
  <c r="II137" i="12"/>
  <c r="IJ137" i="12"/>
  <c r="IK137" i="12"/>
  <c r="IL137" i="12"/>
  <c r="IM137" i="12"/>
  <c r="IN137" i="12"/>
  <c r="IO137" i="12"/>
  <c r="IP137" i="12"/>
  <c r="IQ137" i="12"/>
  <c r="IR137" i="12"/>
  <c r="IS137" i="12"/>
  <c r="IT137" i="12"/>
  <c r="IU137" i="12"/>
  <c r="IV137" i="12"/>
  <c r="A136" i="12"/>
  <c r="B136" i="12"/>
  <c r="C136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BC136" i="12"/>
  <c r="BD136" i="12"/>
  <c r="BE136" i="12"/>
  <c r="BF136" i="12"/>
  <c r="BG136" i="12"/>
  <c r="BH136" i="12"/>
  <c r="BI136" i="12"/>
  <c r="BJ136" i="12"/>
  <c r="BK136" i="12"/>
  <c r="BL136" i="12"/>
  <c r="BM136" i="12"/>
  <c r="BN136" i="12"/>
  <c r="BO136" i="12"/>
  <c r="BP136" i="12"/>
  <c r="BQ136" i="12"/>
  <c r="BR136" i="12"/>
  <c r="BS136" i="12"/>
  <c r="BT136" i="12"/>
  <c r="BU136" i="12"/>
  <c r="BV136" i="12"/>
  <c r="BW136" i="12"/>
  <c r="BX136" i="12"/>
  <c r="BY136" i="12"/>
  <c r="BZ136" i="12"/>
  <c r="CA136" i="12"/>
  <c r="CB136" i="12"/>
  <c r="CC136" i="12"/>
  <c r="CD136" i="12"/>
  <c r="CE136" i="12"/>
  <c r="CF136" i="12"/>
  <c r="CG136" i="12"/>
  <c r="CH136" i="12"/>
  <c r="CI136" i="12"/>
  <c r="CJ136" i="12"/>
  <c r="CK136" i="12"/>
  <c r="CL136" i="12"/>
  <c r="CM136" i="12"/>
  <c r="CN136" i="12"/>
  <c r="CO136" i="12"/>
  <c r="CP136" i="12"/>
  <c r="CQ136" i="12"/>
  <c r="CR136" i="12"/>
  <c r="CS136" i="12"/>
  <c r="CT136" i="12"/>
  <c r="CU136" i="12"/>
  <c r="CV136" i="12"/>
  <c r="CW136" i="12"/>
  <c r="CX136" i="12"/>
  <c r="CY136" i="12"/>
  <c r="CZ136" i="12"/>
  <c r="DA136" i="12"/>
  <c r="DB136" i="12"/>
  <c r="DC136" i="12"/>
  <c r="DD136" i="12"/>
  <c r="DE136" i="12"/>
  <c r="DF136" i="12"/>
  <c r="DG136" i="12"/>
  <c r="DH136" i="12"/>
  <c r="DI136" i="12"/>
  <c r="DJ136" i="12"/>
  <c r="DK136" i="12"/>
  <c r="DL136" i="12"/>
  <c r="DM136" i="12"/>
  <c r="DN136" i="12"/>
  <c r="DO136" i="12"/>
  <c r="DP136" i="12"/>
  <c r="DQ136" i="12"/>
  <c r="DR136" i="12"/>
  <c r="DS136" i="12"/>
  <c r="DT136" i="12"/>
  <c r="DU136" i="12"/>
  <c r="DV136" i="12"/>
  <c r="DW136" i="12"/>
  <c r="DX136" i="12"/>
  <c r="DY136" i="12"/>
  <c r="DZ136" i="12"/>
  <c r="EA136" i="12"/>
  <c r="EB136" i="12"/>
  <c r="EC136" i="12"/>
  <c r="ED136" i="12"/>
  <c r="EE136" i="12"/>
  <c r="EF136" i="12"/>
  <c r="EG136" i="12"/>
  <c r="EH136" i="12"/>
  <c r="EI136" i="12"/>
  <c r="EJ136" i="12"/>
  <c r="EK136" i="12"/>
  <c r="EL136" i="12"/>
  <c r="EM136" i="12"/>
  <c r="EN136" i="12"/>
  <c r="EO136" i="12"/>
  <c r="EP136" i="12"/>
  <c r="EQ136" i="12"/>
  <c r="ER136" i="12"/>
  <c r="ES136" i="12"/>
  <c r="ET136" i="12"/>
  <c r="EU136" i="12"/>
  <c r="EV136" i="12"/>
  <c r="EW136" i="12"/>
  <c r="EX136" i="12"/>
  <c r="EY136" i="12"/>
  <c r="EZ136" i="12"/>
  <c r="FA136" i="12"/>
  <c r="FB136" i="12"/>
  <c r="FC136" i="12"/>
  <c r="FD136" i="12"/>
  <c r="FE136" i="12"/>
  <c r="FF136" i="12"/>
  <c r="FG136" i="12"/>
  <c r="FH136" i="12"/>
  <c r="FI136" i="12"/>
  <c r="FJ136" i="12"/>
  <c r="FK136" i="12"/>
  <c r="FL136" i="12"/>
  <c r="FM136" i="12"/>
  <c r="FN136" i="12"/>
  <c r="FO136" i="12"/>
  <c r="FP136" i="12"/>
  <c r="FQ136" i="12"/>
  <c r="FR136" i="12"/>
  <c r="FS136" i="12"/>
  <c r="FT136" i="12"/>
  <c r="FU136" i="12"/>
  <c r="FV136" i="12"/>
  <c r="FW136" i="12"/>
  <c r="FX136" i="12"/>
  <c r="FY136" i="12"/>
  <c r="FZ136" i="12"/>
  <c r="GA136" i="12"/>
  <c r="GB136" i="12"/>
  <c r="GC136" i="12"/>
  <c r="GD136" i="12"/>
  <c r="GE136" i="12"/>
  <c r="GF136" i="12"/>
  <c r="GG136" i="12"/>
  <c r="GH136" i="12"/>
  <c r="GI136" i="12"/>
  <c r="GJ136" i="12"/>
  <c r="GK136" i="12"/>
  <c r="GL136" i="12"/>
  <c r="GM136" i="12"/>
  <c r="GN136" i="12"/>
  <c r="GO136" i="12"/>
  <c r="GP136" i="12"/>
  <c r="GQ136" i="12"/>
  <c r="GR136" i="12"/>
  <c r="GS136" i="12"/>
  <c r="GT136" i="12"/>
  <c r="GU136" i="12"/>
  <c r="GV136" i="12"/>
  <c r="GW136" i="12"/>
  <c r="GX136" i="12"/>
  <c r="GY136" i="12"/>
  <c r="GZ136" i="12"/>
  <c r="HA136" i="12"/>
  <c r="HB136" i="12"/>
  <c r="HC136" i="12"/>
  <c r="HD136" i="12"/>
  <c r="HE136" i="12"/>
  <c r="HF136" i="12"/>
  <c r="HG136" i="12"/>
  <c r="HH136" i="12"/>
  <c r="HI136" i="12"/>
  <c r="HJ136" i="12"/>
  <c r="HK136" i="12"/>
  <c r="HL136" i="12"/>
  <c r="HM136" i="12"/>
  <c r="HN136" i="12"/>
  <c r="HO136" i="12"/>
  <c r="HP136" i="12"/>
  <c r="HQ136" i="12"/>
  <c r="HR136" i="12"/>
  <c r="HS136" i="12"/>
  <c r="HT136" i="12"/>
  <c r="HU136" i="12"/>
  <c r="HV136" i="12"/>
  <c r="HW136" i="12"/>
  <c r="HX136" i="12"/>
  <c r="HY136" i="12"/>
  <c r="HZ136" i="12"/>
  <c r="IA136" i="12"/>
  <c r="IB136" i="12"/>
  <c r="IC136" i="12"/>
  <c r="ID136" i="12"/>
  <c r="IE136" i="12"/>
  <c r="IF136" i="12"/>
  <c r="IG136" i="12"/>
  <c r="IH136" i="12"/>
  <c r="II136" i="12"/>
  <c r="IJ136" i="12"/>
  <c r="IK136" i="12"/>
  <c r="IL136" i="12"/>
  <c r="IM136" i="12"/>
  <c r="IN136" i="12"/>
  <c r="IO136" i="12"/>
  <c r="IP136" i="12"/>
  <c r="IQ136" i="12"/>
  <c r="IR136" i="12"/>
  <c r="IS136" i="12"/>
  <c r="IT136" i="12"/>
  <c r="IU136" i="12"/>
  <c r="IV136" i="12"/>
  <c r="A135" i="12"/>
  <c r="B135" i="12"/>
  <c r="C135" i="12"/>
  <c r="D135" i="12"/>
  <c r="E135" i="12"/>
  <c r="F135" i="12"/>
  <c r="G135" i="12"/>
  <c r="H135" i="12"/>
  <c r="I135" i="12"/>
  <c r="J135" i="12"/>
  <c r="K135" i="12"/>
  <c r="M135" i="12"/>
  <c r="N135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BC135" i="12"/>
  <c r="BD135" i="12"/>
  <c r="BE135" i="12"/>
  <c r="BF135" i="12"/>
  <c r="BG135" i="12"/>
  <c r="BH135" i="12"/>
  <c r="BI135" i="12"/>
  <c r="BJ135" i="12"/>
  <c r="BK135" i="12"/>
  <c r="BL135" i="12"/>
  <c r="BM135" i="12"/>
  <c r="BN135" i="12"/>
  <c r="BO135" i="12"/>
  <c r="BP135" i="12"/>
  <c r="BQ135" i="12"/>
  <c r="BR135" i="12"/>
  <c r="BS135" i="12"/>
  <c r="BT135" i="12"/>
  <c r="BU135" i="12"/>
  <c r="BV135" i="12"/>
  <c r="BW135" i="12"/>
  <c r="BX135" i="12"/>
  <c r="BY135" i="12"/>
  <c r="BZ135" i="12"/>
  <c r="CA135" i="12"/>
  <c r="CB135" i="12"/>
  <c r="CC135" i="12"/>
  <c r="CD135" i="12"/>
  <c r="CE135" i="12"/>
  <c r="CF135" i="12"/>
  <c r="CG135" i="12"/>
  <c r="CH135" i="12"/>
  <c r="CI135" i="12"/>
  <c r="CJ135" i="12"/>
  <c r="CK135" i="12"/>
  <c r="CL135" i="12"/>
  <c r="CM135" i="12"/>
  <c r="CN135" i="12"/>
  <c r="CO135" i="12"/>
  <c r="CP135" i="12"/>
  <c r="CQ135" i="12"/>
  <c r="CR135" i="12"/>
  <c r="CS135" i="12"/>
  <c r="CT135" i="12"/>
  <c r="CU135" i="12"/>
  <c r="CV135" i="12"/>
  <c r="CW135" i="12"/>
  <c r="CX135" i="12"/>
  <c r="CY135" i="12"/>
  <c r="CZ135" i="12"/>
  <c r="DA135" i="12"/>
  <c r="DB135" i="12"/>
  <c r="DC135" i="12"/>
  <c r="DD135" i="12"/>
  <c r="DE135" i="12"/>
  <c r="DF135" i="12"/>
  <c r="DG135" i="12"/>
  <c r="DH135" i="12"/>
  <c r="DI135" i="12"/>
  <c r="DJ135" i="12"/>
  <c r="DK135" i="12"/>
  <c r="DL135" i="12"/>
  <c r="DM135" i="12"/>
  <c r="DN135" i="12"/>
  <c r="DO135" i="12"/>
  <c r="DP135" i="12"/>
  <c r="DQ135" i="12"/>
  <c r="DR135" i="12"/>
  <c r="DS135" i="12"/>
  <c r="DT135" i="12"/>
  <c r="DU135" i="12"/>
  <c r="DV135" i="12"/>
  <c r="DW135" i="12"/>
  <c r="DX135" i="12"/>
  <c r="DY135" i="12"/>
  <c r="DZ135" i="12"/>
  <c r="EA135" i="12"/>
  <c r="EB135" i="12"/>
  <c r="EC135" i="12"/>
  <c r="ED135" i="12"/>
  <c r="EE135" i="12"/>
  <c r="EF135" i="12"/>
  <c r="EG135" i="12"/>
  <c r="EH135" i="12"/>
  <c r="EI135" i="12"/>
  <c r="EJ135" i="12"/>
  <c r="EK135" i="12"/>
  <c r="EL135" i="12"/>
  <c r="EM135" i="12"/>
  <c r="EN135" i="12"/>
  <c r="EO135" i="12"/>
  <c r="EP135" i="12"/>
  <c r="EQ135" i="12"/>
  <c r="ER135" i="12"/>
  <c r="ES135" i="12"/>
  <c r="ET135" i="12"/>
  <c r="EU135" i="12"/>
  <c r="EV135" i="12"/>
  <c r="EW135" i="12"/>
  <c r="EX135" i="12"/>
  <c r="EY135" i="12"/>
  <c r="EZ135" i="12"/>
  <c r="FA135" i="12"/>
  <c r="FB135" i="12"/>
  <c r="FC135" i="12"/>
  <c r="FD135" i="12"/>
  <c r="FE135" i="12"/>
  <c r="FF135" i="12"/>
  <c r="FG135" i="12"/>
  <c r="FH135" i="12"/>
  <c r="FI135" i="12"/>
  <c r="FJ135" i="12"/>
  <c r="FK135" i="12"/>
  <c r="FL135" i="12"/>
  <c r="FM135" i="12"/>
  <c r="FN135" i="12"/>
  <c r="FO135" i="12"/>
  <c r="FP135" i="12"/>
  <c r="FQ135" i="12"/>
  <c r="FR135" i="12"/>
  <c r="FS135" i="12"/>
  <c r="FT135" i="12"/>
  <c r="FU135" i="12"/>
  <c r="FV135" i="12"/>
  <c r="FW135" i="12"/>
  <c r="FX135" i="12"/>
  <c r="FY135" i="12"/>
  <c r="FZ135" i="12"/>
  <c r="GA135" i="12"/>
  <c r="GB135" i="12"/>
  <c r="GC135" i="12"/>
  <c r="GD135" i="12"/>
  <c r="GE135" i="12"/>
  <c r="GF135" i="12"/>
  <c r="GG135" i="12"/>
  <c r="GH135" i="12"/>
  <c r="GI135" i="12"/>
  <c r="GJ135" i="12"/>
  <c r="GK135" i="12"/>
  <c r="GL135" i="12"/>
  <c r="GM135" i="12"/>
  <c r="GN135" i="12"/>
  <c r="GO135" i="12"/>
  <c r="GP135" i="12"/>
  <c r="GQ135" i="12"/>
  <c r="GR135" i="12"/>
  <c r="GS135" i="12"/>
  <c r="GT135" i="12"/>
  <c r="GU135" i="12"/>
  <c r="GV135" i="12"/>
  <c r="GW135" i="12"/>
  <c r="GX135" i="12"/>
  <c r="GY135" i="12"/>
  <c r="GZ135" i="12"/>
  <c r="HA135" i="12"/>
  <c r="HB135" i="12"/>
  <c r="HC135" i="12"/>
  <c r="HD135" i="12"/>
  <c r="HE135" i="12"/>
  <c r="HF135" i="12"/>
  <c r="HG135" i="12"/>
  <c r="HH135" i="12"/>
  <c r="HI135" i="12"/>
  <c r="HJ135" i="12"/>
  <c r="HK135" i="12"/>
  <c r="HL135" i="12"/>
  <c r="HM135" i="12"/>
  <c r="HN135" i="12"/>
  <c r="HO135" i="12"/>
  <c r="HP135" i="12"/>
  <c r="HQ135" i="12"/>
  <c r="HR135" i="12"/>
  <c r="HS135" i="12"/>
  <c r="HT135" i="12"/>
  <c r="HU135" i="12"/>
  <c r="HV135" i="12"/>
  <c r="HW135" i="12"/>
  <c r="HX135" i="12"/>
  <c r="HY135" i="12"/>
  <c r="HZ135" i="12"/>
  <c r="IA135" i="12"/>
  <c r="IB135" i="12"/>
  <c r="IC135" i="12"/>
  <c r="ID135" i="12"/>
  <c r="IE135" i="12"/>
  <c r="IF135" i="12"/>
  <c r="IG135" i="12"/>
  <c r="IH135" i="12"/>
  <c r="II135" i="12"/>
  <c r="IJ135" i="12"/>
  <c r="IK135" i="12"/>
  <c r="IL135" i="12"/>
  <c r="IM135" i="12"/>
  <c r="IN135" i="12"/>
  <c r="IO135" i="12"/>
  <c r="IP135" i="12"/>
  <c r="IQ135" i="12"/>
  <c r="IR135" i="12"/>
  <c r="IS135" i="12"/>
  <c r="IT135" i="12"/>
  <c r="IU135" i="12"/>
  <c r="IV135" i="12"/>
  <c r="A134" i="12"/>
  <c r="B134" i="12"/>
  <c r="C134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P134" i="12"/>
  <c r="Q134" i="12"/>
  <c r="R134" i="12"/>
  <c r="S134" i="12"/>
  <c r="T134" i="12"/>
  <c r="U134" i="12"/>
  <c r="V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BC134" i="12"/>
  <c r="BD134" i="12"/>
  <c r="BE134" i="12"/>
  <c r="BF134" i="12"/>
  <c r="BG134" i="12"/>
  <c r="BH134" i="12"/>
  <c r="BI134" i="12"/>
  <c r="BJ134" i="12"/>
  <c r="BK134" i="12"/>
  <c r="BL134" i="12"/>
  <c r="BM134" i="12"/>
  <c r="BN134" i="12"/>
  <c r="BO134" i="12"/>
  <c r="BP134" i="12"/>
  <c r="BQ134" i="12"/>
  <c r="BR134" i="12"/>
  <c r="BS134" i="12"/>
  <c r="BT134" i="12"/>
  <c r="BU134" i="12"/>
  <c r="BV134" i="12"/>
  <c r="BW134" i="12"/>
  <c r="BX134" i="12"/>
  <c r="BY134" i="12"/>
  <c r="BZ134" i="12"/>
  <c r="CA134" i="12"/>
  <c r="CB134" i="12"/>
  <c r="CC134" i="12"/>
  <c r="CD134" i="12"/>
  <c r="CE134" i="12"/>
  <c r="CF134" i="12"/>
  <c r="CG134" i="12"/>
  <c r="CH134" i="12"/>
  <c r="CI134" i="12"/>
  <c r="CJ134" i="12"/>
  <c r="CK134" i="12"/>
  <c r="CL134" i="12"/>
  <c r="CM134" i="12"/>
  <c r="CN134" i="12"/>
  <c r="CO134" i="12"/>
  <c r="CP134" i="12"/>
  <c r="CQ134" i="12"/>
  <c r="CR134" i="12"/>
  <c r="CS134" i="12"/>
  <c r="CT134" i="12"/>
  <c r="CU134" i="12"/>
  <c r="CV134" i="12"/>
  <c r="CW134" i="12"/>
  <c r="CX134" i="12"/>
  <c r="CY134" i="12"/>
  <c r="CZ134" i="12"/>
  <c r="DA134" i="12"/>
  <c r="DB134" i="12"/>
  <c r="DC134" i="12"/>
  <c r="DD134" i="12"/>
  <c r="DE134" i="12"/>
  <c r="DF134" i="12"/>
  <c r="DG134" i="12"/>
  <c r="DH134" i="12"/>
  <c r="DI134" i="12"/>
  <c r="DJ134" i="12"/>
  <c r="DK134" i="12"/>
  <c r="DL134" i="12"/>
  <c r="DM134" i="12"/>
  <c r="DN134" i="12"/>
  <c r="DO134" i="12"/>
  <c r="DP134" i="12"/>
  <c r="DQ134" i="12"/>
  <c r="DR134" i="12"/>
  <c r="DS134" i="12"/>
  <c r="DT134" i="12"/>
  <c r="DU134" i="12"/>
  <c r="DV134" i="12"/>
  <c r="DW134" i="12"/>
  <c r="DX134" i="12"/>
  <c r="DY134" i="12"/>
  <c r="DZ134" i="12"/>
  <c r="EA134" i="12"/>
  <c r="EB134" i="12"/>
  <c r="EC134" i="12"/>
  <c r="ED134" i="12"/>
  <c r="EE134" i="12"/>
  <c r="EF134" i="12"/>
  <c r="EG134" i="12"/>
  <c r="EH134" i="12"/>
  <c r="EI134" i="12"/>
  <c r="EJ134" i="12"/>
  <c r="EK134" i="12"/>
  <c r="EL134" i="12"/>
  <c r="EM134" i="12"/>
  <c r="EN134" i="12"/>
  <c r="EO134" i="12"/>
  <c r="EP134" i="12"/>
  <c r="EQ134" i="12"/>
  <c r="ER134" i="12"/>
  <c r="ES134" i="12"/>
  <c r="ET134" i="12"/>
  <c r="EU134" i="12"/>
  <c r="EV134" i="12"/>
  <c r="EW134" i="12"/>
  <c r="EX134" i="12"/>
  <c r="EY134" i="12"/>
  <c r="EZ134" i="12"/>
  <c r="FA134" i="12"/>
  <c r="FB134" i="12"/>
  <c r="FC134" i="12"/>
  <c r="FD134" i="12"/>
  <c r="FE134" i="12"/>
  <c r="FF134" i="12"/>
  <c r="FG134" i="12"/>
  <c r="FH134" i="12"/>
  <c r="FI134" i="12"/>
  <c r="FJ134" i="12"/>
  <c r="FK134" i="12"/>
  <c r="FL134" i="12"/>
  <c r="FM134" i="12"/>
  <c r="FN134" i="12"/>
  <c r="FO134" i="12"/>
  <c r="FP134" i="12"/>
  <c r="FQ134" i="12"/>
  <c r="FR134" i="12"/>
  <c r="FS134" i="12"/>
  <c r="FT134" i="12"/>
  <c r="FU134" i="12"/>
  <c r="FV134" i="12"/>
  <c r="FW134" i="12"/>
  <c r="FX134" i="12"/>
  <c r="FY134" i="12"/>
  <c r="FZ134" i="12"/>
  <c r="GA134" i="12"/>
  <c r="GB134" i="12"/>
  <c r="GC134" i="12"/>
  <c r="GD134" i="12"/>
  <c r="GE134" i="12"/>
  <c r="GF134" i="12"/>
  <c r="GG134" i="12"/>
  <c r="GH134" i="12"/>
  <c r="GI134" i="12"/>
  <c r="GJ134" i="12"/>
  <c r="GK134" i="12"/>
  <c r="GL134" i="12"/>
  <c r="GM134" i="12"/>
  <c r="GN134" i="12"/>
  <c r="GO134" i="12"/>
  <c r="GP134" i="12"/>
  <c r="GQ134" i="12"/>
  <c r="GR134" i="12"/>
  <c r="GS134" i="12"/>
  <c r="GT134" i="12"/>
  <c r="GU134" i="12"/>
  <c r="GV134" i="12"/>
  <c r="GW134" i="12"/>
  <c r="GX134" i="12"/>
  <c r="GY134" i="12"/>
  <c r="GZ134" i="12"/>
  <c r="HA134" i="12"/>
  <c r="HB134" i="12"/>
  <c r="HC134" i="12"/>
  <c r="HD134" i="12"/>
  <c r="HE134" i="12"/>
  <c r="HF134" i="12"/>
  <c r="HG134" i="12"/>
  <c r="HH134" i="12"/>
  <c r="HI134" i="12"/>
  <c r="HJ134" i="12"/>
  <c r="HK134" i="12"/>
  <c r="HL134" i="12"/>
  <c r="HM134" i="12"/>
  <c r="HN134" i="12"/>
  <c r="HO134" i="12"/>
  <c r="HP134" i="12"/>
  <c r="HQ134" i="12"/>
  <c r="HR134" i="12"/>
  <c r="HS134" i="12"/>
  <c r="HT134" i="12"/>
  <c r="HU134" i="12"/>
  <c r="HV134" i="12"/>
  <c r="HW134" i="12"/>
  <c r="HX134" i="12"/>
  <c r="HY134" i="12"/>
  <c r="HZ134" i="12"/>
  <c r="IA134" i="12"/>
  <c r="IB134" i="12"/>
  <c r="IC134" i="12"/>
  <c r="ID134" i="12"/>
  <c r="IE134" i="12"/>
  <c r="IF134" i="12"/>
  <c r="IG134" i="12"/>
  <c r="IH134" i="12"/>
  <c r="II134" i="12"/>
  <c r="IJ134" i="12"/>
  <c r="IK134" i="12"/>
  <c r="IL134" i="12"/>
  <c r="IM134" i="12"/>
  <c r="IN134" i="12"/>
  <c r="IO134" i="12"/>
  <c r="IP134" i="12"/>
  <c r="IQ134" i="12"/>
  <c r="IR134" i="12"/>
  <c r="IS134" i="12"/>
  <c r="IT134" i="12"/>
  <c r="IU134" i="12"/>
  <c r="IV134" i="12"/>
  <c r="A133" i="12"/>
  <c r="B133" i="12"/>
  <c r="C133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P133" i="12"/>
  <c r="Q133" i="12"/>
  <c r="R133" i="12"/>
  <c r="S133" i="12"/>
  <c r="T133" i="12"/>
  <c r="U133" i="12"/>
  <c r="V133" i="12"/>
  <c r="W133" i="12"/>
  <c r="X133" i="12"/>
  <c r="Y133" i="12"/>
  <c r="Z133" i="12"/>
  <c r="AA133" i="12"/>
  <c r="AB133" i="12"/>
  <c r="AC133" i="12"/>
  <c r="AD133" i="12"/>
  <c r="AE133" i="12"/>
  <c r="AF133" i="12"/>
  <c r="AG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W133" i="12"/>
  <c r="AX133" i="12"/>
  <c r="AY133" i="12"/>
  <c r="AZ133" i="12"/>
  <c r="BA133" i="12"/>
  <c r="BB133" i="12"/>
  <c r="BC133" i="12"/>
  <c r="BD133" i="12"/>
  <c r="BE133" i="12"/>
  <c r="BF133" i="12"/>
  <c r="BG133" i="12"/>
  <c r="BH133" i="12"/>
  <c r="BI133" i="12"/>
  <c r="BJ133" i="12"/>
  <c r="BK133" i="12"/>
  <c r="BL133" i="12"/>
  <c r="BM133" i="12"/>
  <c r="BN133" i="12"/>
  <c r="BO133" i="12"/>
  <c r="BP133" i="12"/>
  <c r="BQ133" i="12"/>
  <c r="BR133" i="12"/>
  <c r="BS133" i="12"/>
  <c r="BT133" i="12"/>
  <c r="BU133" i="12"/>
  <c r="BV133" i="12"/>
  <c r="BW133" i="12"/>
  <c r="BX133" i="12"/>
  <c r="BY133" i="12"/>
  <c r="BZ133" i="12"/>
  <c r="CA133" i="12"/>
  <c r="CB133" i="12"/>
  <c r="CC133" i="12"/>
  <c r="CD133" i="12"/>
  <c r="CE133" i="12"/>
  <c r="CF133" i="12"/>
  <c r="CG133" i="12"/>
  <c r="CH133" i="12"/>
  <c r="CI133" i="12"/>
  <c r="CJ133" i="12"/>
  <c r="CK133" i="12"/>
  <c r="CL133" i="12"/>
  <c r="CM133" i="12"/>
  <c r="CN133" i="12"/>
  <c r="CO133" i="12"/>
  <c r="CP133" i="12"/>
  <c r="CQ133" i="12"/>
  <c r="CR133" i="12"/>
  <c r="CS133" i="12"/>
  <c r="CT133" i="12"/>
  <c r="CU133" i="12"/>
  <c r="CV133" i="12"/>
  <c r="CW133" i="12"/>
  <c r="CX133" i="12"/>
  <c r="CY133" i="12"/>
  <c r="CZ133" i="12"/>
  <c r="DA133" i="12"/>
  <c r="DB133" i="12"/>
  <c r="DC133" i="12"/>
  <c r="DD133" i="12"/>
  <c r="DE133" i="12"/>
  <c r="DF133" i="12"/>
  <c r="DG133" i="12"/>
  <c r="DH133" i="12"/>
  <c r="DI133" i="12"/>
  <c r="DJ133" i="12"/>
  <c r="DK133" i="12"/>
  <c r="DL133" i="12"/>
  <c r="DM133" i="12"/>
  <c r="DN133" i="12"/>
  <c r="DO133" i="12"/>
  <c r="DP133" i="12"/>
  <c r="DQ133" i="12"/>
  <c r="DR133" i="12"/>
  <c r="DS133" i="12"/>
  <c r="DT133" i="12"/>
  <c r="DU133" i="12"/>
  <c r="DV133" i="12"/>
  <c r="DW133" i="12"/>
  <c r="DX133" i="12"/>
  <c r="DY133" i="12"/>
  <c r="DZ133" i="12"/>
  <c r="EA133" i="12"/>
  <c r="EB133" i="12"/>
  <c r="EC133" i="12"/>
  <c r="ED133" i="12"/>
  <c r="EE133" i="12"/>
  <c r="EF133" i="12"/>
  <c r="EG133" i="12"/>
  <c r="EH133" i="12"/>
  <c r="EI133" i="12"/>
  <c r="EJ133" i="12"/>
  <c r="EK133" i="12"/>
  <c r="EL133" i="12"/>
  <c r="EM133" i="12"/>
  <c r="EN133" i="12"/>
  <c r="EO133" i="12"/>
  <c r="EP133" i="12"/>
  <c r="EQ133" i="12"/>
  <c r="ER133" i="12"/>
  <c r="ES133" i="12"/>
  <c r="ET133" i="12"/>
  <c r="EU133" i="12"/>
  <c r="EV133" i="12"/>
  <c r="EW133" i="12"/>
  <c r="EX133" i="12"/>
  <c r="EY133" i="12"/>
  <c r="EZ133" i="12"/>
  <c r="FA133" i="12"/>
  <c r="FB133" i="12"/>
  <c r="FC133" i="12"/>
  <c r="FD133" i="12"/>
  <c r="FE133" i="12"/>
  <c r="FF133" i="12"/>
  <c r="FG133" i="12"/>
  <c r="FH133" i="12"/>
  <c r="FI133" i="12"/>
  <c r="FJ133" i="12"/>
  <c r="FK133" i="12"/>
  <c r="FL133" i="12"/>
  <c r="FM133" i="12"/>
  <c r="FN133" i="12"/>
  <c r="FO133" i="12"/>
  <c r="FP133" i="12"/>
  <c r="FQ133" i="12"/>
  <c r="FR133" i="12"/>
  <c r="FS133" i="12"/>
  <c r="FT133" i="12"/>
  <c r="FU133" i="12"/>
  <c r="FV133" i="12"/>
  <c r="FW133" i="12"/>
  <c r="FX133" i="12"/>
  <c r="FY133" i="12"/>
  <c r="FZ133" i="12"/>
  <c r="GA133" i="12"/>
  <c r="GB133" i="12"/>
  <c r="GC133" i="12"/>
  <c r="GD133" i="12"/>
  <c r="GE133" i="12"/>
  <c r="GF133" i="12"/>
  <c r="GG133" i="12"/>
  <c r="GH133" i="12"/>
  <c r="GI133" i="12"/>
  <c r="GJ133" i="12"/>
  <c r="GK133" i="12"/>
  <c r="GL133" i="12"/>
  <c r="GM133" i="12"/>
  <c r="GN133" i="12"/>
  <c r="GO133" i="12"/>
  <c r="GP133" i="12"/>
  <c r="GQ133" i="12"/>
  <c r="GR133" i="12"/>
  <c r="GS133" i="12"/>
  <c r="GT133" i="12"/>
  <c r="GU133" i="12"/>
  <c r="GV133" i="12"/>
  <c r="GW133" i="12"/>
  <c r="GX133" i="12"/>
  <c r="GY133" i="12"/>
  <c r="GZ133" i="12"/>
  <c r="HA133" i="12"/>
  <c r="HB133" i="12"/>
  <c r="HC133" i="12"/>
  <c r="HD133" i="12"/>
  <c r="HE133" i="12"/>
  <c r="HF133" i="12"/>
  <c r="HG133" i="12"/>
  <c r="HH133" i="12"/>
  <c r="HI133" i="12"/>
  <c r="HJ133" i="12"/>
  <c r="HK133" i="12"/>
  <c r="HL133" i="12"/>
  <c r="HM133" i="12"/>
  <c r="HN133" i="12"/>
  <c r="HO133" i="12"/>
  <c r="HP133" i="12"/>
  <c r="HQ133" i="12"/>
  <c r="HR133" i="12"/>
  <c r="HS133" i="12"/>
  <c r="HT133" i="12"/>
  <c r="HU133" i="12"/>
  <c r="HV133" i="12"/>
  <c r="HW133" i="12"/>
  <c r="HX133" i="12"/>
  <c r="HY133" i="12"/>
  <c r="HZ133" i="12"/>
  <c r="IA133" i="12"/>
  <c r="IB133" i="12"/>
  <c r="IC133" i="12"/>
  <c r="ID133" i="12"/>
  <c r="IE133" i="12"/>
  <c r="IF133" i="12"/>
  <c r="IG133" i="12"/>
  <c r="IH133" i="12"/>
  <c r="II133" i="12"/>
  <c r="IJ133" i="12"/>
  <c r="IK133" i="12"/>
  <c r="IL133" i="12"/>
  <c r="IM133" i="12"/>
  <c r="IN133" i="12"/>
  <c r="IO133" i="12"/>
  <c r="IP133" i="12"/>
  <c r="IQ133" i="12"/>
  <c r="IR133" i="12"/>
  <c r="IS133" i="12"/>
  <c r="IT133" i="12"/>
  <c r="IU133" i="12"/>
  <c r="IV133" i="12"/>
  <c r="A132" i="12"/>
  <c r="B132" i="12"/>
  <c r="C132" i="12"/>
  <c r="D132" i="12"/>
  <c r="E132" i="12"/>
  <c r="F132" i="12"/>
  <c r="G132" i="12"/>
  <c r="H132" i="12"/>
  <c r="I132" i="12"/>
  <c r="K132" i="12"/>
  <c r="L132" i="12"/>
  <c r="M132" i="12"/>
  <c r="N132" i="12"/>
  <c r="O132" i="12"/>
  <c r="P132" i="12"/>
  <c r="Q132" i="12"/>
  <c r="R132" i="12"/>
  <c r="S132" i="12"/>
  <c r="T132" i="12"/>
  <c r="U132" i="12"/>
  <c r="V132" i="12"/>
  <c r="W132" i="12"/>
  <c r="X132" i="12"/>
  <c r="Y132" i="12"/>
  <c r="Z132" i="12"/>
  <c r="AA132" i="12"/>
  <c r="AB132" i="12"/>
  <c r="AC132" i="12"/>
  <c r="AD132" i="12"/>
  <c r="AE132" i="12"/>
  <c r="AF132" i="12"/>
  <c r="AG132" i="12"/>
  <c r="AH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BC132" i="12"/>
  <c r="BD132" i="12"/>
  <c r="BE132" i="12"/>
  <c r="BF132" i="12"/>
  <c r="BG132" i="12"/>
  <c r="BH132" i="12"/>
  <c r="BI132" i="12"/>
  <c r="BJ132" i="12"/>
  <c r="BK132" i="12"/>
  <c r="BL132" i="12"/>
  <c r="BM132" i="12"/>
  <c r="BN132" i="12"/>
  <c r="BO132" i="12"/>
  <c r="BP132" i="12"/>
  <c r="BQ132" i="12"/>
  <c r="BR132" i="12"/>
  <c r="BS132" i="12"/>
  <c r="BT132" i="12"/>
  <c r="BU132" i="12"/>
  <c r="BV132" i="12"/>
  <c r="BW132" i="12"/>
  <c r="BX132" i="12"/>
  <c r="BY132" i="12"/>
  <c r="BZ132" i="12"/>
  <c r="CA132" i="12"/>
  <c r="CB132" i="12"/>
  <c r="CC132" i="12"/>
  <c r="CD132" i="12"/>
  <c r="CE132" i="12"/>
  <c r="CF132" i="12"/>
  <c r="CG132" i="12"/>
  <c r="CH132" i="12"/>
  <c r="CI132" i="12"/>
  <c r="CJ132" i="12"/>
  <c r="CK132" i="12"/>
  <c r="CL132" i="12"/>
  <c r="CM132" i="12"/>
  <c r="CN132" i="12"/>
  <c r="CO132" i="12"/>
  <c r="CP132" i="12"/>
  <c r="CQ132" i="12"/>
  <c r="CR132" i="12"/>
  <c r="CS132" i="12"/>
  <c r="CT132" i="12"/>
  <c r="CU132" i="12"/>
  <c r="CV132" i="12"/>
  <c r="CW132" i="12"/>
  <c r="CX132" i="12"/>
  <c r="CY132" i="12"/>
  <c r="CZ132" i="12"/>
  <c r="DA132" i="12"/>
  <c r="DB132" i="12"/>
  <c r="DC132" i="12"/>
  <c r="DD132" i="12"/>
  <c r="DE132" i="12"/>
  <c r="DF132" i="12"/>
  <c r="DG132" i="12"/>
  <c r="DH132" i="12"/>
  <c r="DI132" i="12"/>
  <c r="DJ132" i="12"/>
  <c r="DK132" i="12"/>
  <c r="DL132" i="12"/>
  <c r="DM132" i="12"/>
  <c r="DN132" i="12"/>
  <c r="DO132" i="12"/>
  <c r="DP132" i="12"/>
  <c r="DQ132" i="12"/>
  <c r="DR132" i="12"/>
  <c r="DS132" i="12"/>
  <c r="DT132" i="12"/>
  <c r="DU132" i="12"/>
  <c r="DV132" i="12"/>
  <c r="DW132" i="12"/>
  <c r="DX132" i="12"/>
  <c r="DY132" i="12"/>
  <c r="DZ132" i="12"/>
  <c r="EA132" i="12"/>
  <c r="EB132" i="12"/>
  <c r="EC132" i="12"/>
  <c r="ED132" i="12"/>
  <c r="EE132" i="12"/>
  <c r="EF132" i="12"/>
  <c r="EG132" i="12"/>
  <c r="EH132" i="12"/>
  <c r="EI132" i="12"/>
  <c r="EJ132" i="12"/>
  <c r="EK132" i="12"/>
  <c r="EL132" i="12"/>
  <c r="EM132" i="12"/>
  <c r="EN132" i="12"/>
  <c r="EO132" i="12"/>
  <c r="EP132" i="12"/>
  <c r="EQ132" i="12"/>
  <c r="ER132" i="12"/>
  <c r="ES132" i="12"/>
  <c r="ET132" i="12"/>
  <c r="EU132" i="12"/>
  <c r="EV132" i="12"/>
  <c r="EW132" i="12"/>
  <c r="EX132" i="12"/>
  <c r="EY132" i="12"/>
  <c r="EZ132" i="12"/>
  <c r="FA132" i="12"/>
  <c r="FB132" i="12"/>
  <c r="FC132" i="12"/>
  <c r="FD132" i="12"/>
  <c r="FE132" i="12"/>
  <c r="FF132" i="12"/>
  <c r="FG132" i="12"/>
  <c r="FH132" i="12"/>
  <c r="FI132" i="12"/>
  <c r="FJ132" i="12"/>
  <c r="FK132" i="12"/>
  <c r="FL132" i="12"/>
  <c r="FM132" i="12"/>
  <c r="FN132" i="12"/>
  <c r="FO132" i="12"/>
  <c r="FP132" i="12"/>
  <c r="FQ132" i="12"/>
  <c r="FR132" i="12"/>
  <c r="FS132" i="12"/>
  <c r="FT132" i="12"/>
  <c r="FU132" i="12"/>
  <c r="FV132" i="12"/>
  <c r="FW132" i="12"/>
  <c r="FX132" i="12"/>
  <c r="FY132" i="12"/>
  <c r="FZ132" i="12"/>
  <c r="GA132" i="12"/>
  <c r="GB132" i="12"/>
  <c r="GC132" i="12"/>
  <c r="GD132" i="12"/>
  <c r="GE132" i="12"/>
  <c r="GF132" i="12"/>
  <c r="GG132" i="12"/>
  <c r="GH132" i="12"/>
  <c r="GI132" i="12"/>
  <c r="GJ132" i="12"/>
  <c r="GK132" i="12"/>
  <c r="GL132" i="12"/>
  <c r="GM132" i="12"/>
  <c r="GN132" i="12"/>
  <c r="GO132" i="12"/>
  <c r="GP132" i="12"/>
  <c r="GQ132" i="12"/>
  <c r="GR132" i="12"/>
  <c r="GS132" i="12"/>
  <c r="GT132" i="12"/>
  <c r="GU132" i="12"/>
  <c r="GV132" i="12"/>
  <c r="GW132" i="12"/>
  <c r="GX132" i="12"/>
  <c r="GY132" i="12"/>
  <c r="GZ132" i="12"/>
  <c r="HA132" i="12"/>
  <c r="HB132" i="12"/>
  <c r="HC132" i="12"/>
  <c r="HD132" i="12"/>
  <c r="HE132" i="12"/>
  <c r="HF132" i="12"/>
  <c r="HG132" i="12"/>
  <c r="HH132" i="12"/>
  <c r="HI132" i="12"/>
  <c r="HJ132" i="12"/>
  <c r="HK132" i="12"/>
  <c r="HL132" i="12"/>
  <c r="HM132" i="12"/>
  <c r="HN132" i="12"/>
  <c r="HO132" i="12"/>
  <c r="HP132" i="12"/>
  <c r="HQ132" i="12"/>
  <c r="HR132" i="12"/>
  <c r="HS132" i="12"/>
  <c r="HT132" i="12"/>
  <c r="HU132" i="12"/>
  <c r="HV132" i="12"/>
  <c r="HW132" i="12"/>
  <c r="HX132" i="12"/>
  <c r="HY132" i="12"/>
  <c r="HZ132" i="12"/>
  <c r="IA132" i="12"/>
  <c r="IB132" i="12"/>
  <c r="IC132" i="12"/>
  <c r="ID132" i="12"/>
  <c r="IE132" i="12"/>
  <c r="IF132" i="12"/>
  <c r="IG132" i="12"/>
  <c r="IH132" i="12"/>
  <c r="II132" i="12"/>
  <c r="IJ132" i="12"/>
  <c r="IK132" i="12"/>
  <c r="IL132" i="12"/>
  <c r="IM132" i="12"/>
  <c r="IN132" i="12"/>
  <c r="IO132" i="12"/>
  <c r="IP132" i="12"/>
  <c r="IQ132" i="12"/>
  <c r="IR132" i="12"/>
  <c r="IS132" i="12"/>
  <c r="IT132" i="12"/>
  <c r="IU132" i="12"/>
  <c r="IV132" i="12"/>
  <c r="A131" i="12"/>
  <c r="B131" i="12"/>
  <c r="C131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P131" i="12"/>
  <c r="Q131" i="12"/>
  <c r="R131" i="12"/>
  <c r="S131" i="12"/>
  <c r="T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BC131" i="12"/>
  <c r="BD131" i="12"/>
  <c r="BE131" i="12"/>
  <c r="BF131" i="12"/>
  <c r="BG131" i="12"/>
  <c r="BH131" i="12"/>
  <c r="BI131" i="12"/>
  <c r="BJ131" i="12"/>
  <c r="BK131" i="12"/>
  <c r="BL131" i="12"/>
  <c r="BM131" i="12"/>
  <c r="BN131" i="12"/>
  <c r="BO131" i="12"/>
  <c r="BP131" i="12"/>
  <c r="BQ131" i="12"/>
  <c r="BR131" i="12"/>
  <c r="BS131" i="12"/>
  <c r="BT131" i="12"/>
  <c r="BU131" i="12"/>
  <c r="BV131" i="12"/>
  <c r="BW131" i="12"/>
  <c r="BX131" i="12"/>
  <c r="BY131" i="12"/>
  <c r="BZ131" i="12"/>
  <c r="CA131" i="12"/>
  <c r="CB131" i="12"/>
  <c r="CC131" i="12"/>
  <c r="CD131" i="12"/>
  <c r="CE131" i="12"/>
  <c r="CF131" i="12"/>
  <c r="CG131" i="12"/>
  <c r="CH131" i="12"/>
  <c r="CI131" i="12"/>
  <c r="CJ131" i="12"/>
  <c r="CK131" i="12"/>
  <c r="CL131" i="12"/>
  <c r="CM131" i="12"/>
  <c r="CN131" i="12"/>
  <c r="CO131" i="12"/>
  <c r="CP131" i="12"/>
  <c r="CQ131" i="12"/>
  <c r="CR131" i="12"/>
  <c r="CS131" i="12"/>
  <c r="CT131" i="12"/>
  <c r="CU131" i="12"/>
  <c r="CV131" i="12"/>
  <c r="CW131" i="12"/>
  <c r="CX131" i="12"/>
  <c r="CY131" i="12"/>
  <c r="CZ131" i="12"/>
  <c r="DA131" i="12"/>
  <c r="DB131" i="12"/>
  <c r="DC131" i="12"/>
  <c r="DD131" i="12"/>
  <c r="DE131" i="12"/>
  <c r="DF131" i="12"/>
  <c r="DG131" i="12"/>
  <c r="DH131" i="12"/>
  <c r="DI131" i="12"/>
  <c r="DJ131" i="12"/>
  <c r="DK131" i="12"/>
  <c r="DL131" i="12"/>
  <c r="DM131" i="12"/>
  <c r="DN131" i="12"/>
  <c r="DO131" i="12"/>
  <c r="DP131" i="12"/>
  <c r="DQ131" i="12"/>
  <c r="DR131" i="12"/>
  <c r="DS131" i="12"/>
  <c r="DT131" i="12"/>
  <c r="DU131" i="12"/>
  <c r="DV131" i="12"/>
  <c r="DW131" i="12"/>
  <c r="DX131" i="12"/>
  <c r="DY131" i="12"/>
  <c r="DZ131" i="12"/>
  <c r="EA131" i="12"/>
  <c r="EB131" i="12"/>
  <c r="EC131" i="12"/>
  <c r="ED131" i="12"/>
  <c r="EE131" i="12"/>
  <c r="EF131" i="12"/>
  <c r="EG131" i="12"/>
  <c r="EH131" i="12"/>
  <c r="EI131" i="12"/>
  <c r="EJ131" i="12"/>
  <c r="EK131" i="12"/>
  <c r="EL131" i="12"/>
  <c r="EM131" i="12"/>
  <c r="EN131" i="12"/>
  <c r="EO131" i="12"/>
  <c r="EP131" i="12"/>
  <c r="EQ131" i="12"/>
  <c r="ER131" i="12"/>
  <c r="ES131" i="12"/>
  <c r="ET131" i="12"/>
  <c r="EU131" i="12"/>
  <c r="EV131" i="12"/>
  <c r="EW131" i="12"/>
  <c r="EX131" i="12"/>
  <c r="EY131" i="12"/>
  <c r="EZ131" i="12"/>
  <c r="FA131" i="12"/>
  <c r="FB131" i="12"/>
  <c r="FC131" i="12"/>
  <c r="FD131" i="12"/>
  <c r="FE131" i="12"/>
  <c r="FF131" i="12"/>
  <c r="FG131" i="12"/>
  <c r="FH131" i="12"/>
  <c r="FI131" i="12"/>
  <c r="FJ131" i="12"/>
  <c r="FK131" i="12"/>
  <c r="FL131" i="12"/>
  <c r="FM131" i="12"/>
  <c r="FN131" i="12"/>
  <c r="FO131" i="12"/>
  <c r="FP131" i="12"/>
  <c r="FQ131" i="12"/>
  <c r="FR131" i="12"/>
  <c r="FS131" i="12"/>
  <c r="FT131" i="12"/>
  <c r="FU131" i="12"/>
  <c r="FV131" i="12"/>
  <c r="FW131" i="12"/>
  <c r="FX131" i="12"/>
  <c r="FY131" i="12"/>
  <c r="FZ131" i="12"/>
  <c r="GA131" i="12"/>
  <c r="GB131" i="12"/>
  <c r="GC131" i="12"/>
  <c r="GD131" i="12"/>
  <c r="GE131" i="12"/>
  <c r="GF131" i="12"/>
  <c r="GG131" i="12"/>
  <c r="GH131" i="12"/>
  <c r="GI131" i="12"/>
  <c r="GJ131" i="12"/>
  <c r="GK131" i="12"/>
  <c r="GL131" i="12"/>
  <c r="GM131" i="12"/>
  <c r="GN131" i="12"/>
  <c r="GO131" i="12"/>
  <c r="GP131" i="12"/>
  <c r="GQ131" i="12"/>
  <c r="GR131" i="12"/>
  <c r="GS131" i="12"/>
  <c r="GT131" i="12"/>
  <c r="GU131" i="12"/>
  <c r="GV131" i="12"/>
  <c r="GW131" i="12"/>
  <c r="GX131" i="12"/>
  <c r="GY131" i="12"/>
  <c r="GZ131" i="12"/>
  <c r="HA131" i="12"/>
  <c r="HB131" i="12"/>
  <c r="HC131" i="12"/>
  <c r="HD131" i="12"/>
  <c r="HE131" i="12"/>
  <c r="HF131" i="12"/>
  <c r="HG131" i="12"/>
  <c r="HH131" i="12"/>
  <c r="HI131" i="12"/>
  <c r="HJ131" i="12"/>
  <c r="HK131" i="12"/>
  <c r="HL131" i="12"/>
  <c r="HM131" i="12"/>
  <c r="HN131" i="12"/>
  <c r="HO131" i="12"/>
  <c r="HP131" i="12"/>
  <c r="HQ131" i="12"/>
  <c r="HR131" i="12"/>
  <c r="HS131" i="12"/>
  <c r="HT131" i="12"/>
  <c r="HU131" i="12"/>
  <c r="HV131" i="12"/>
  <c r="HW131" i="12"/>
  <c r="HX131" i="12"/>
  <c r="HY131" i="12"/>
  <c r="HZ131" i="12"/>
  <c r="IA131" i="12"/>
  <c r="IB131" i="12"/>
  <c r="IC131" i="12"/>
  <c r="ID131" i="12"/>
  <c r="IE131" i="12"/>
  <c r="IF131" i="12"/>
  <c r="IG131" i="12"/>
  <c r="IH131" i="12"/>
  <c r="II131" i="12"/>
  <c r="IJ131" i="12"/>
  <c r="IK131" i="12"/>
  <c r="IL131" i="12"/>
  <c r="IM131" i="12"/>
  <c r="IN131" i="12"/>
  <c r="IO131" i="12"/>
  <c r="IP131" i="12"/>
  <c r="IQ131" i="12"/>
  <c r="IR131" i="12"/>
  <c r="IS131" i="12"/>
  <c r="IT131" i="12"/>
  <c r="IU131" i="12"/>
  <c r="IV131" i="12"/>
  <c r="A130" i="12"/>
  <c r="B130" i="12"/>
  <c r="C130" i="12"/>
  <c r="D130" i="12"/>
  <c r="E130" i="12"/>
  <c r="F130" i="12"/>
  <c r="G130" i="12"/>
  <c r="H130" i="12"/>
  <c r="I130" i="12"/>
  <c r="J130" i="12"/>
  <c r="K130" i="12"/>
  <c r="L130" i="12"/>
  <c r="M130" i="12"/>
  <c r="N130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BC130" i="12"/>
  <c r="BD130" i="12"/>
  <c r="BE130" i="12"/>
  <c r="BF130" i="12"/>
  <c r="BG130" i="12"/>
  <c r="BH130" i="12"/>
  <c r="BI130" i="12"/>
  <c r="BJ130" i="12"/>
  <c r="BK130" i="12"/>
  <c r="BL130" i="12"/>
  <c r="BM130" i="12"/>
  <c r="BN130" i="12"/>
  <c r="BO130" i="12"/>
  <c r="BP130" i="12"/>
  <c r="BQ130" i="12"/>
  <c r="BR130" i="12"/>
  <c r="BS130" i="12"/>
  <c r="BT130" i="12"/>
  <c r="BU130" i="12"/>
  <c r="BV130" i="12"/>
  <c r="BW130" i="12"/>
  <c r="BX130" i="12"/>
  <c r="BY130" i="12"/>
  <c r="BZ130" i="12"/>
  <c r="CA130" i="12"/>
  <c r="CB130" i="12"/>
  <c r="CC130" i="12"/>
  <c r="CD130" i="12"/>
  <c r="CE130" i="12"/>
  <c r="CF130" i="12"/>
  <c r="CG130" i="12"/>
  <c r="CH130" i="12"/>
  <c r="CI130" i="12"/>
  <c r="CJ130" i="12"/>
  <c r="CK130" i="12"/>
  <c r="CL130" i="12"/>
  <c r="CM130" i="12"/>
  <c r="CN130" i="12"/>
  <c r="CO130" i="12"/>
  <c r="CP130" i="12"/>
  <c r="CQ130" i="12"/>
  <c r="CR130" i="12"/>
  <c r="CS130" i="12"/>
  <c r="CT130" i="12"/>
  <c r="CU130" i="12"/>
  <c r="CV130" i="12"/>
  <c r="CW130" i="12"/>
  <c r="CX130" i="12"/>
  <c r="CY130" i="12"/>
  <c r="CZ130" i="12"/>
  <c r="DA130" i="12"/>
  <c r="DB130" i="12"/>
  <c r="DC130" i="12"/>
  <c r="DD130" i="12"/>
  <c r="DE130" i="12"/>
  <c r="DF130" i="12"/>
  <c r="DG130" i="12"/>
  <c r="DH130" i="12"/>
  <c r="DI130" i="12"/>
  <c r="DJ130" i="12"/>
  <c r="DK130" i="12"/>
  <c r="DL130" i="12"/>
  <c r="DM130" i="12"/>
  <c r="DN130" i="12"/>
  <c r="DO130" i="12"/>
  <c r="DP130" i="12"/>
  <c r="DQ130" i="12"/>
  <c r="DR130" i="12"/>
  <c r="DS130" i="12"/>
  <c r="DT130" i="12"/>
  <c r="DU130" i="12"/>
  <c r="DV130" i="12"/>
  <c r="DW130" i="12"/>
  <c r="DX130" i="12"/>
  <c r="DY130" i="12"/>
  <c r="DZ130" i="12"/>
  <c r="EA130" i="12"/>
  <c r="EB130" i="12"/>
  <c r="EC130" i="12"/>
  <c r="ED130" i="12"/>
  <c r="EE130" i="12"/>
  <c r="EF130" i="12"/>
  <c r="EG130" i="12"/>
  <c r="EH130" i="12"/>
  <c r="EI130" i="12"/>
  <c r="EJ130" i="12"/>
  <c r="EK130" i="12"/>
  <c r="EL130" i="12"/>
  <c r="EM130" i="12"/>
  <c r="EN130" i="12"/>
  <c r="EO130" i="12"/>
  <c r="EP130" i="12"/>
  <c r="EQ130" i="12"/>
  <c r="ER130" i="12"/>
  <c r="ES130" i="12"/>
  <c r="ET130" i="12"/>
  <c r="EU130" i="12"/>
  <c r="EV130" i="12"/>
  <c r="EW130" i="12"/>
  <c r="EX130" i="12"/>
  <c r="EY130" i="12"/>
  <c r="EZ130" i="12"/>
  <c r="FA130" i="12"/>
  <c r="FB130" i="12"/>
  <c r="FC130" i="12"/>
  <c r="FD130" i="12"/>
  <c r="FE130" i="12"/>
  <c r="FF130" i="12"/>
  <c r="FG130" i="12"/>
  <c r="FH130" i="12"/>
  <c r="FI130" i="12"/>
  <c r="FJ130" i="12"/>
  <c r="FK130" i="12"/>
  <c r="FL130" i="12"/>
  <c r="FM130" i="12"/>
  <c r="FN130" i="12"/>
  <c r="FO130" i="12"/>
  <c r="FP130" i="12"/>
  <c r="FQ130" i="12"/>
  <c r="FR130" i="12"/>
  <c r="FS130" i="12"/>
  <c r="FT130" i="12"/>
  <c r="FU130" i="12"/>
  <c r="FV130" i="12"/>
  <c r="FW130" i="12"/>
  <c r="FX130" i="12"/>
  <c r="FY130" i="12"/>
  <c r="FZ130" i="12"/>
  <c r="GA130" i="12"/>
  <c r="GB130" i="12"/>
  <c r="GC130" i="12"/>
  <c r="GD130" i="12"/>
  <c r="GE130" i="12"/>
  <c r="GF130" i="12"/>
  <c r="GG130" i="12"/>
  <c r="GH130" i="12"/>
  <c r="GI130" i="12"/>
  <c r="GJ130" i="12"/>
  <c r="GK130" i="12"/>
  <c r="GL130" i="12"/>
  <c r="GM130" i="12"/>
  <c r="GN130" i="12"/>
  <c r="GO130" i="12"/>
  <c r="GP130" i="12"/>
  <c r="GQ130" i="12"/>
  <c r="GR130" i="12"/>
  <c r="GS130" i="12"/>
  <c r="GT130" i="12"/>
  <c r="GU130" i="12"/>
  <c r="GV130" i="12"/>
  <c r="GW130" i="12"/>
  <c r="GX130" i="12"/>
  <c r="GY130" i="12"/>
  <c r="GZ130" i="12"/>
  <c r="HA130" i="12"/>
  <c r="HB130" i="12"/>
  <c r="HC130" i="12"/>
  <c r="HD130" i="12"/>
  <c r="HE130" i="12"/>
  <c r="HF130" i="12"/>
  <c r="HG130" i="12"/>
  <c r="HH130" i="12"/>
  <c r="HI130" i="12"/>
  <c r="HJ130" i="12"/>
  <c r="HK130" i="12"/>
  <c r="HL130" i="12"/>
  <c r="HM130" i="12"/>
  <c r="HN130" i="12"/>
  <c r="HO130" i="12"/>
  <c r="HP130" i="12"/>
  <c r="HQ130" i="12"/>
  <c r="HR130" i="12"/>
  <c r="HS130" i="12"/>
  <c r="HT130" i="12"/>
  <c r="HU130" i="12"/>
  <c r="HV130" i="12"/>
  <c r="HW130" i="12"/>
  <c r="HX130" i="12"/>
  <c r="HY130" i="12"/>
  <c r="HZ130" i="12"/>
  <c r="IA130" i="12"/>
  <c r="IB130" i="12"/>
  <c r="IC130" i="12"/>
  <c r="ID130" i="12"/>
  <c r="IE130" i="12"/>
  <c r="IF130" i="12"/>
  <c r="IG130" i="12"/>
  <c r="IH130" i="12"/>
  <c r="II130" i="12"/>
  <c r="IJ130" i="12"/>
  <c r="IK130" i="12"/>
  <c r="IL130" i="12"/>
  <c r="IM130" i="12"/>
  <c r="IN130" i="12"/>
  <c r="IO130" i="12"/>
  <c r="IP130" i="12"/>
  <c r="IQ130" i="12"/>
  <c r="IR130" i="12"/>
  <c r="IS130" i="12"/>
  <c r="IT130" i="12"/>
  <c r="IU130" i="12"/>
  <c r="IV130" i="12"/>
  <c r="A129" i="12"/>
  <c r="B129" i="12"/>
  <c r="C129" i="12"/>
  <c r="D129" i="12"/>
  <c r="E129" i="12"/>
  <c r="F129" i="12"/>
  <c r="G129" i="12"/>
  <c r="I129" i="12"/>
  <c r="J129" i="12"/>
  <c r="K129" i="12"/>
  <c r="L129" i="12"/>
  <c r="M129" i="12"/>
  <c r="N129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BC129" i="12"/>
  <c r="BD129" i="12"/>
  <c r="BE129" i="12"/>
  <c r="BF129" i="12"/>
  <c r="BG129" i="12"/>
  <c r="BH129" i="12"/>
  <c r="BI129" i="12"/>
  <c r="BJ129" i="12"/>
  <c r="BK129" i="12"/>
  <c r="BL129" i="12"/>
  <c r="BM129" i="12"/>
  <c r="BN129" i="12"/>
  <c r="BO129" i="12"/>
  <c r="BP129" i="12"/>
  <c r="BQ129" i="12"/>
  <c r="BR129" i="12"/>
  <c r="BS129" i="12"/>
  <c r="BT129" i="12"/>
  <c r="BU129" i="12"/>
  <c r="BV129" i="12"/>
  <c r="BW129" i="12"/>
  <c r="BX129" i="12"/>
  <c r="BY129" i="12"/>
  <c r="BZ129" i="12"/>
  <c r="CA129" i="12"/>
  <c r="CB129" i="12"/>
  <c r="CC129" i="12"/>
  <c r="CD129" i="12"/>
  <c r="CE129" i="12"/>
  <c r="CF129" i="12"/>
  <c r="CG129" i="12"/>
  <c r="CH129" i="12"/>
  <c r="CI129" i="12"/>
  <c r="CJ129" i="12"/>
  <c r="CK129" i="12"/>
  <c r="CL129" i="12"/>
  <c r="CM129" i="12"/>
  <c r="CN129" i="12"/>
  <c r="CO129" i="12"/>
  <c r="CP129" i="12"/>
  <c r="CQ129" i="12"/>
  <c r="CR129" i="12"/>
  <c r="CS129" i="12"/>
  <c r="CT129" i="12"/>
  <c r="CU129" i="12"/>
  <c r="CV129" i="12"/>
  <c r="CW129" i="12"/>
  <c r="CX129" i="12"/>
  <c r="CY129" i="12"/>
  <c r="CZ129" i="12"/>
  <c r="DA129" i="12"/>
  <c r="DB129" i="12"/>
  <c r="DC129" i="12"/>
  <c r="DD129" i="12"/>
  <c r="DE129" i="12"/>
  <c r="DF129" i="12"/>
  <c r="DG129" i="12"/>
  <c r="DH129" i="12"/>
  <c r="DI129" i="12"/>
  <c r="DJ129" i="12"/>
  <c r="DK129" i="12"/>
  <c r="DL129" i="12"/>
  <c r="DM129" i="12"/>
  <c r="DN129" i="12"/>
  <c r="DO129" i="12"/>
  <c r="DP129" i="12"/>
  <c r="DQ129" i="12"/>
  <c r="DR129" i="12"/>
  <c r="DS129" i="12"/>
  <c r="DT129" i="12"/>
  <c r="DU129" i="12"/>
  <c r="DV129" i="12"/>
  <c r="DW129" i="12"/>
  <c r="DX129" i="12"/>
  <c r="DY129" i="12"/>
  <c r="DZ129" i="12"/>
  <c r="EA129" i="12"/>
  <c r="EB129" i="12"/>
  <c r="EC129" i="12"/>
  <c r="ED129" i="12"/>
  <c r="EE129" i="12"/>
  <c r="EF129" i="12"/>
  <c r="EG129" i="12"/>
  <c r="EH129" i="12"/>
  <c r="EI129" i="12"/>
  <c r="EJ129" i="12"/>
  <c r="EK129" i="12"/>
  <c r="EL129" i="12"/>
  <c r="EM129" i="12"/>
  <c r="EN129" i="12"/>
  <c r="EO129" i="12"/>
  <c r="EP129" i="12"/>
  <c r="EQ129" i="12"/>
  <c r="ER129" i="12"/>
  <c r="ES129" i="12"/>
  <c r="ET129" i="12"/>
  <c r="EU129" i="12"/>
  <c r="EV129" i="12"/>
  <c r="EW129" i="12"/>
  <c r="EX129" i="12"/>
  <c r="EY129" i="12"/>
  <c r="EZ129" i="12"/>
  <c r="FA129" i="12"/>
  <c r="FB129" i="12"/>
  <c r="FC129" i="12"/>
  <c r="FD129" i="12"/>
  <c r="FE129" i="12"/>
  <c r="FF129" i="12"/>
  <c r="FG129" i="12"/>
  <c r="FH129" i="12"/>
  <c r="FI129" i="12"/>
  <c r="FJ129" i="12"/>
  <c r="FK129" i="12"/>
  <c r="FL129" i="12"/>
  <c r="FM129" i="12"/>
  <c r="FN129" i="12"/>
  <c r="FO129" i="12"/>
  <c r="FP129" i="12"/>
  <c r="FQ129" i="12"/>
  <c r="FR129" i="12"/>
  <c r="FS129" i="12"/>
  <c r="FT129" i="12"/>
  <c r="FU129" i="12"/>
  <c r="FV129" i="12"/>
  <c r="FW129" i="12"/>
  <c r="FX129" i="12"/>
  <c r="FY129" i="12"/>
  <c r="FZ129" i="12"/>
  <c r="GA129" i="12"/>
  <c r="GB129" i="12"/>
  <c r="GC129" i="12"/>
  <c r="GD129" i="12"/>
  <c r="GE129" i="12"/>
  <c r="GF129" i="12"/>
  <c r="GG129" i="12"/>
  <c r="GH129" i="12"/>
  <c r="GI129" i="12"/>
  <c r="GJ129" i="12"/>
  <c r="GK129" i="12"/>
  <c r="GL129" i="12"/>
  <c r="GM129" i="12"/>
  <c r="GN129" i="12"/>
  <c r="GO129" i="12"/>
  <c r="GP129" i="12"/>
  <c r="GQ129" i="12"/>
  <c r="GR129" i="12"/>
  <c r="GS129" i="12"/>
  <c r="GT129" i="12"/>
  <c r="GU129" i="12"/>
  <c r="GV129" i="12"/>
  <c r="GW129" i="12"/>
  <c r="GX129" i="12"/>
  <c r="GY129" i="12"/>
  <c r="GZ129" i="12"/>
  <c r="HA129" i="12"/>
  <c r="HB129" i="12"/>
  <c r="HC129" i="12"/>
  <c r="HD129" i="12"/>
  <c r="HE129" i="12"/>
  <c r="HF129" i="12"/>
  <c r="HG129" i="12"/>
  <c r="HH129" i="12"/>
  <c r="HI129" i="12"/>
  <c r="HJ129" i="12"/>
  <c r="HK129" i="12"/>
  <c r="HL129" i="12"/>
  <c r="HM129" i="12"/>
  <c r="HN129" i="12"/>
  <c r="HO129" i="12"/>
  <c r="HP129" i="12"/>
  <c r="HQ129" i="12"/>
  <c r="HR129" i="12"/>
  <c r="HS129" i="12"/>
  <c r="HT129" i="12"/>
  <c r="HU129" i="12"/>
  <c r="HV129" i="12"/>
  <c r="HW129" i="12"/>
  <c r="HX129" i="12"/>
  <c r="HY129" i="12"/>
  <c r="HZ129" i="12"/>
  <c r="IA129" i="12"/>
  <c r="IB129" i="12"/>
  <c r="IC129" i="12"/>
  <c r="ID129" i="12"/>
  <c r="IE129" i="12"/>
  <c r="IF129" i="12"/>
  <c r="IG129" i="12"/>
  <c r="IH129" i="12"/>
  <c r="II129" i="12"/>
  <c r="IJ129" i="12"/>
  <c r="IK129" i="12"/>
  <c r="IL129" i="12"/>
  <c r="IM129" i="12"/>
  <c r="IN129" i="12"/>
  <c r="IO129" i="12"/>
  <c r="IP129" i="12"/>
  <c r="IQ129" i="12"/>
  <c r="IR129" i="12"/>
  <c r="IS129" i="12"/>
  <c r="IT129" i="12"/>
  <c r="IU129" i="12"/>
  <c r="IV129" i="12"/>
  <c r="A128" i="12"/>
  <c r="B128" i="12"/>
  <c r="C128" i="12"/>
  <c r="D128" i="12"/>
  <c r="E128" i="12"/>
  <c r="F128" i="12"/>
  <c r="G128" i="12"/>
  <c r="H128" i="12"/>
  <c r="I128" i="12"/>
  <c r="J128" i="12"/>
  <c r="K128" i="12"/>
  <c r="L128" i="12"/>
  <c r="M128" i="12"/>
  <c r="N128" i="12"/>
  <c r="O128" i="12"/>
  <c r="P128" i="12"/>
  <c r="Q128" i="12"/>
  <c r="R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BC128" i="12"/>
  <c r="BD128" i="12"/>
  <c r="BE128" i="12"/>
  <c r="BF128" i="12"/>
  <c r="BG128" i="12"/>
  <c r="BH128" i="12"/>
  <c r="BI128" i="12"/>
  <c r="BJ128" i="12"/>
  <c r="BK128" i="12"/>
  <c r="BL128" i="12"/>
  <c r="BM128" i="12"/>
  <c r="BN128" i="12"/>
  <c r="BO128" i="12"/>
  <c r="BP128" i="12"/>
  <c r="BQ128" i="12"/>
  <c r="BR128" i="12"/>
  <c r="BS128" i="12"/>
  <c r="BT128" i="12"/>
  <c r="BU128" i="12"/>
  <c r="BV128" i="12"/>
  <c r="BW128" i="12"/>
  <c r="BX128" i="12"/>
  <c r="BY128" i="12"/>
  <c r="BZ128" i="12"/>
  <c r="CA128" i="12"/>
  <c r="CB128" i="12"/>
  <c r="CC128" i="12"/>
  <c r="CD128" i="12"/>
  <c r="CE128" i="12"/>
  <c r="CF128" i="12"/>
  <c r="CG128" i="12"/>
  <c r="CH128" i="12"/>
  <c r="CI128" i="12"/>
  <c r="CJ128" i="12"/>
  <c r="CK128" i="12"/>
  <c r="CL128" i="12"/>
  <c r="CM128" i="12"/>
  <c r="CN128" i="12"/>
  <c r="CO128" i="12"/>
  <c r="CP128" i="12"/>
  <c r="CQ128" i="12"/>
  <c r="CR128" i="12"/>
  <c r="CS128" i="12"/>
  <c r="CT128" i="12"/>
  <c r="CU128" i="12"/>
  <c r="CV128" i="12"/>
  <c r="CW128" i="12"/>
  <c r="CX128" i="12"/>
  <c r="CY128" i="12"/>
  <c r="CZ128" i="12"/>
  <c r="DA128" i="12"/>
  <c r="DB128" i="12"/>
  <c r="DC128" i="12"/>
  <c r="DD128" i="12"/>
  <c r="DE128" i="12"/>
  <c r="DF128" i="12"/>
  <c r="DG128" i="12"/>
  <c r="DH128" i="12"/>
  <c r="DI128" i="12"/>
  <c r="DJ128" i="12"/>
  <c r="DK128" i="12"/>
  <c r="DL128" i="12"/>
  <c r="DM128" i="12"/>
  <c r="DN128" i="12"/>
  <c r="DO128" i="12"/>
  <c r="DP128" i="12"/>
  <c r="DQ128" i="12"/>
  <c r="DR128" i="12"/>
  <c r="DS128" i="12"/>
  <c r="DT128" i="12"/>
  <c r="DU128" i="12"/>
  <c r="DV128" i="12"/>
  <c r="DW128" i="12"/>
  <c r="DX128" i="12"/>
  <c r="DY128" i="12"/>
  <c r="DZ128" i="12"/>
  <c r="EA128" i="12"/>
  <c r="EB128" i="12"/>
  <c r="EC128" i="12"/>
  <c r="ED128" i="12"/>
  <c r="EE128" i="12"/>
  <c r="EF128" i="12"/>
  <c r="EG128" i="12"/>
  <c r="EH128" i="12"/>
  <c r="EI128" i="12"/>
  <c r="EJ128" i="12"/>
  <c r="EK128" i="12"/>
  <c r="EL128" i="12"/>
  <c r="EM128" i="12"/>
  <c r="EN128" i="12"/>
  <c r="EO128" i="12"/>
  <c r="EP128" i="12"/>
  <c r="EQ128" i="12"/>
  <c r="ER128" i="12"/>
  <c r="ES128" i="12"/>
  <c r="ET128" i="12"/>
  <c r="EU128" i="12"/>
  <c r="EV128" i="12"/>
  <c r="EW128" i="12"/>
  <c r="EX128" i="12"/>
  <c r="EY128" i="12"/>
  <c r="EZ128" i="12"/>
  <c r="FA128" i="12"/>
  <c r="FB128" i="12"/>
  <c r="FC128" i="12"/>
  <c r="FD128" i="12"/>
  <c r="FE128" i="12"/>
  <c r="FF128" i="12"/>
  <c r="FG128" i="12"/>
  <c r="FH128" i="12"/>
  <c r="FI128" i="12"/>
  <c r="FJ128" i="12"/>
  <c r="FK128" i="12"/>
  <c r="FL128" i="12"/>
  <c r="FM128" i="12"/>
  <c r="FN128" i="12"/>
  <c r="FO128" i="12"/>
  <c r="FP128" i="12"/>
  <c r="FQ128" i="12"/>
  <c r="FR128" i="12"/>
  <c r="FS128" i="12"/>
  <c r="FT128" i="12"/>
  <c r="FU128" i="12"/>
  <c r="FV128" i="12"/>
  <c r="FW128" i="12"/>
  <c r="FX128" i="12"/>
  <c r="FY128" i="12"/>
  <c r="FZ128" i="12"/>
  <c r="GA128" i="12"/>
  <c r="GB128" i="12"/>
  <c r="GC128" i="12"/>
  <c r="GD128" i="12"/>
  <c r="GE128" i="12"/>
  <c r="GF128" i="12"/>
  <c r="GG128" i="12"/>
  <c r="GH128" i="12"/>
  <c r="GI128" i="12"/>
  <c r="GJ128" i="12"/>
  <c r="GK128" i="12"/>
  <c r="GL128" i="12"/>
  <c r="GM128" i="12"/>
  <c r="GN128" i="12"/>
  <c r="GO128" i="12"/>
  <c r="GP128" i="12"/>
  <c r="GQ128" i="12"/>
  <c r="GR128" i="12"/>
  <c r="GS128" i="12"/>
  <c r="GT128" i="12"/>
  <c r="GU128" i="12"/>
  <c r="GV128" i="12"/>
  <c r="GW128" i="12"/>
  <c r="GX128" i="12"/>
  <c r="GY128" i="12"/>
  <c r="GZ128" i="12"/>
  <c r="HA128" i="12"/>
  <c r="HB128" i="12"/>
  <c r="HC128" i="12"/>
  <c r="HD128" i="12"/>
  <c r="HE128" i="12"/>
  <c r="HF128" i="12"/>
  <c r="HG128" i="12"/>
  <c r="HH128" i="12"/>
  <c r="HI128" i="12"/>
  <c r="HJ128" i="12"/>
  <c r="HK128" i="12"/>
  <c r="HL128" i="12"/>
  <c r="HM128" i="12"/>
  <c r="HN128" i="12"/>
  <c r="HO128" i="12"/>
  <c r="HP128" i="12"/>
  <c r="HQ128" i="12"/>
  <c r="HR128" i="12"/>
  <c r="HS128" i="12"/>
  <c r="HT128" i="12"/>
  <c r="HU128" i="12"/>
  <c r="HV128" i="12"/>
  <c r="HW128" i="12"/>
  <c r="HX128" i="12"/>
  <c r="HY128" i="12"/>
  <c r="HZ128" i="12"/>
  <c r="IA128" i="12"/>
  <c r="IB128" i="12"/>
  <c r="IC128" i="12"/>
  <c r="ID128" i="12"/>
  <c r="IE128" i="12"/>
  <c r="IF128" i="12"/>
  <c r="IG128" i="12"/>
  <c r="IH128" i="12"/>
  <c r="II128" i="12"/>
  <c r="IJ128" i="12"/>
  <c r="IK128" i="12"/>
  <c r="IL128" i="12"/>
  <c r="IM128" i="12"/>
  <c r="IN128" i="12"/>
  <c r="IO128" i="12"/>
  <c r="IP128" i="12"/>
  <c r="IQ128" i="12"/>
  <c r="IR128" i="12"/>
  <c r="IS128" i="12"/>
  <c r="IT128" i="12"/>
  <c r="IU128" i="12"/>
  <c r="IV128" i="12"/>
  <c r="A127" i="12"/>
  <c r="B127" i="12"/>
  <c r="C127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BC127" i="12"/>
  <c r="BD127" i="12"/>
  <c r="BE127" i="12"/>
  <c r="BF127" i="12"/>
  <c r="BG127" i="12"/>
  <c r="BH127" i="12"/>
  <c r="BI127" i="12"/>
  <c r="BJ127" i="12"/>
  <c r="BK127" i="12"/>
  <c r="BL127" i="12"/>
  <c r="BM127" i="12"/>
  <c r="BN127" i="12"/>
  <c r="BO127" i="12"/>
  <c r="BP127" i="12"/>
  <c r="BQ127" i="12"/>
  <c r="BR127" i="12"/>
  <c r="BS127" i="12"/>
  <c r="BT127" i="12"/>
  <c r="BU127" i="12"/>
  <c r="BV127" i="12"/>
  <c r="BW127" i="12"/>
  <c r="BX127" i="12"/>
  <c r="BY127" i="12"/>
  <c r="BZ127" i="12"/>
  <c r="CA127" i="12"/>
  <c r="CB127" i="12"/>
  <c r="CC127" i="12"/>
  <c r="CD127" i="12"/>
  <c r="CE127" i="12"/>
  <c r="CF127" i="12"/>
  <c r="CG127" i="12"/>
  <c r="CH127" i="12"/>
  <c r="CI127" i="12"/>
  <c r="CJ127" i="12"/>
  <c r="CK127" i="12"/>
  <c r="CL127" i="12"/>
  <c r="CM127" i="12"/>
  <c r="CN127" i="12"/>
  <c r="CO127" i="12"/>
  <c r="CP127" i="12"/>
  <c r="CQ127" i="12"/>
  <c r="CR127" i="12"/>
  <c r="CS127" i="12"/>
  <c r="CT127" i="12"/>
  <c r="CU127" i="12"/>
  <c r="CV127" i="12"/>
  <c r="CW127" i="12"/>
  <c r="CX127" i="12"/>
  <c r="CY127" i="12"/>
  <c r="CZ127" i="12"/>
  <c r="DA127" i="12"/>
  <c r="DB127" i="12"/>
  <c r="DC127" i="12"/>
  <c r="DD127" i="12"/>
  <c r="DE127" i="12"/>
  <c r="DF127" i="12"/>
  <c r="DG127" i="12"/>
  <c r="DH127" i="12"/>
  <c r="DI127" i="12"/>
  <c r="DJ127" i="12"/>
  <c r="DK127" i="12"/>
  <c r="DL127" i="12"/>
  <c r="DM127" i="12"/>
  <c r="DN127" i="12"/>
  <c r="DO127" i="12"/>
  <c r="DP127" i="12"/>
  <c r="DQ127" i="12"/>
  <c r="DR127" i="12"/>
  <c r="DS127" i="12"/>
  <c r="DT127" i="12"/>
  <c r="DU127" i="12"/>
  <c r="DV127" i="12"/>
  <c r="DW127" i="12"/>
  <c r="DX127" i="12"/>
  <c r="DY127" i="12"/>
  <c r="DZ127" i="12"/>
  <c r="EA127" i="12"/>
  <c r="EB127" i="12"/>
  <c r="EC127" i="12"/>
  <c r="ED127" i="12"/>
  <c r="EE127" i="12"/>
  <c r="EF127" i="12"/>
  <c r="EG127" i="12"/>
  <c r="EH127" i="12"/>
  <c r="EI127" i="12"/>
  <c r="EJ127" i="12"/>
  <c r="EK127" i="12"/>
  <c r="EL127" i="12"/>
  <c r="EM127" i="12"/>
  <c r="EN127" i="12"/>
  <c r="EO127" i="12"/>
  <c r="EP127" i="12"/>
  <c r="EQ127" i="12"/>
  <c r="ER127" i="12"/>
  <c r="ES127" i="12"/>
  <c r="ET127" i="12"/>
  <c r="EU127" i="12"/>
  <c r="EV127" i="12"/>
  <c r="EW127" i="12"/>
  <c r="EX127" i="12"/>
  <c r="EY127" i="12"/>
  <c r="EZ127" i="12"/>
  <c r="FA127" i="12"/>
  <c r="FB127" i="12"/>
  <c r="FC127" i="12"/>
  <c r="FD127" i="12"/>
  <c r="FE127" i="12"/>
  <c r="FF127" i="12"/>
  <c r="FG127" i="12"/>
  <c r="FH127" i="12"/>
  <c r="FI127" i="12"/>
  <c r="FJ127" i="12"/>
  <c r="FK127" i="12"/>
  <c r="FL127" i="12"/>
  <c r="FM127" i="12"/>
  <c r="FN127" i="12"/>
  <c r="FO127" i="12"/>
  <c r="FP127" i="12"/>
  <c r="FQ127" i="12"/>
  <c r="FR127" i="12"/>
  <c r="FS127" i="12"/>
  <c r="FT127" i="12"/>
  <c r="FU127" i="12"/>
  <c r="FV127" i="12"/>
  <c r="FW127" i="12"/>
  <c r="FX127" i="12"/>
  <c r="FY127" i="12"/>
  <c r="FZ127" i="12"/>
  <c r="GA127" i="12"/>
  <c r="GB127" i="12"/>
  <c r="GC127" i="12"/>
  <c r="GD127" i="12"/>
  <c r="GE127" i="12"/>
  <c r="GF127" i="12"/>
  <c r="GG127" i="12"/>
  <c r="GH127" i="12"/>
  <c r="GI127" i="12"/>
  <c r="GJ127" i="12"/>
  <c r="GK127" i="12"/>
  <c r="GL127" i="12"/>
  <c r="GM127" i="12"/>
  <c r="GN127" i="12"/>
  <c r="GO127" i="12"/>
  <c r="GP127" i="12"/>
  <c r="GQ127" i="12"/>
  <c r="GR127" i="12"/>
  <c r="GS127" i="12"/>
  <c r="GT127" i="12"/>
  <c r="GU127" i="12"/>
  <c r="GV127" i="12"/>
  <c r="GW127" i="12"/>
  <c r="GX127" i="12"/>
  <c r="GY127" i="12"/>
  <c r="GZ127" i="12"/>
  <c r="HA127" i="12"/>
  <c r="HB127" i="12"/>
  <c r="HC127" i="12"/>
  <c r="HD127" i="12"/>
  <c r="HE127" i="12"/>
  <c r="HF127" i="12"/>
  <c r="HG127" i="12"/>
  <c r="HH127" i="12"/>
  <c r="HI127" i="12"/>
  <c r="HJ127" i="12"/>
  <c r="HK127" i="12"/>
  <c r="HL127" i="12"/>
  <c r="HM127" i="12"/>
  <c r="HN127" i="12"/>
  <c r="HO127" i="12"/>
  <c r="HP127" i="12"/>
  <c r="HQ127" i="12"/>
  <c r="HR127" i="12"/>
  <c r="HS127" i="12"/>
  <c r="HT127" i="12"/>
  <c r="HU127" i="12"/>
  <c r="HV127" i="12"/>
  <c r="HW127" i="12"/>
  <c r="HX127" i="12"/>
  <c r="HY127" i="12"/>
  <c r="HZ127" i="12"/>
  <c r="IA127" i="12"/>
  <c r="IB127" i="12"/>
  <c r="IC127" i="12"/>
  <c r="ID127" i="12"/>
  <c r="IE127" i="12"/>
  <c r="IF127" i="12"/>
  <c r="IG127" i="12"/>
  <c r="IH127" i="12"/>
  <c r="II127" i="12"/>
  <c r="IJ127" i="12"/>
  <c r="IK127" i="12"/>
  <c r="IL127" i="12"/>
  <c r="IM127" i="12"/>
  <c r="IN127" i="12"/>
  <c r="IO127" i="12"/>
  <c r="IP127" i="12"/>
  <c r="IQ127" i="12"/>
  <c r="IR127" i="12"/>
  <c r="IS127" i="12"/>
  <c r="IT127" i="12"/>
  <c r="IU127" i="12"/>
  <c r="IV127" i="12"/>
  <c r="A126" i="12"/>
  <c r="B126" i="12"/>
  <c r="C126" i="12"/>
  <c r="D126" i="12"/>
  <c r="E126" i="12"/>
  <c r="G126" i="12"/>
  <c r="H126" i="12"/>
  <c r="I126" i="12"/>
  <c r="J126" i="12"/>
  <c r="K126" i="12"/>
  <c r="L126" i="12"/>
  <c r="M126" i="12"/>
  <c r="N126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BC126" i="12"/>
  <c r="BD126" i="12"/>
  <c r="BE126" i="12"/>
  <c r="BF126" i="12"/>
  <c r="BG126" i="12"/>
  <c r="BH126" i="12"/>
  <c r="BI126" i="12"/>
  <c r="BJ126" i="12"/>
  <c r="BK126" i="12"/>
  <c r="BL126" i="12"/>
  <c r="BM126" i="12"/>
  <c r="BN126" i="12"/>
  <c r="BO126" i="12"/>
  <c r="BP126" i="12"/>
  <c r="BQ126" i="12"/>
  <c r="BR126" i="12"/>
  <c r="BS126" i="12"/>
  <c r="BT126" i="12"/>
  <c r="BU126" i="12"/>
  <c r="BV126" i="12"/>
  <c r="BW126" i="12"/>
  <c r="BX126" i="12"/>
  <c r="BY126" i="12"/>
  <c r="BZ126" i="12"/>
  <c r="CA126" i="12"/>
  <c r="CB126" i="12"/>
  <c r="CC126" i="12"/>
  <c r="CD126" i="12"/>
  <c r="CE126" i="12"/>
  <c r="CF126" i="12"/>
  <c r="CG126" i="12"/>
  <c r="CH126" i="12"/>
  <c r="CI126" i="12"/>
  <c r="CJ126" i="12"/>
  <c r="CK126" i="12"/>
  <c r="CL126" i="12"/>
  <c r="CM126" i="12"/>
  <c r="CN126" i="12"/>
  <c r="CO126" i="12"/>
  <c r="CP126" i="12"/>
  <c r="CQ126" i="12"/>
  <c r="CR126" i="12"/>
  <c r="CS126" i="12"/>
  <c r="CT126" i="12"/>
  <c r="CU126" i="12"/>
  <c r="CV126" i="12"/>
  <c r="CW126" i="12"/>
  <c r="CX126" i="12"/>
  <c r="CY126" i="12"/>
  <c r="CZ126" i="12"/>
  <c r="DA126" i="12"/>
  <c r="DB126" i="12"/>
  <c r="DC126" i="12"/>
  <c r="DD126" i="12"/>
  <c r="DE126" i="12"/>
  <c r="DF126" i="12"/>
  <c r="DG126" i="12"/>
  <c r="DH126" i="12"/>
  <c r="DI126" i="12"/>
  <c r="DJ126" i="12"/>
  <c r="DK126" i="12"/>
  <c r="DL126" i="12"/>
  <c r="DM126" i="12"/>
  <c r="DN126" i="12"/>
  <c r="DO126" i="12"/>
  <c r="DP126" i="12"/>
  <c r="DQ126" i="12"/>
  <c r="DR126" i="12"/>
  <c r="DS126" i="12"/>
  <c r="DT126" i="12"/>
  <c r="DU126" i="12"/>
  <c r="DV126" i="12"/>
  <c r="DW126" i="12"/>
  <c r="DX126" i="12"/>
  <c r="DY126" i="12"/>
  <c r="DZ126" i="12"/>
  <c r="EA126" i="12"/>
  <c r="EB126" i="12"/>
  <c r="EC126" i="12"/>
  <c r="ED126" i="12"/>
  <c r="EE126" i="12"/>
  <c r="EF126" i="12"/>
  <c r="EG126" i="12"/>
  <c r="EH126" i="12"/>
  <c r="EI126" i="12"/>
  <c r="EJ126" i="12"/>
  <c r="EK126" i="12"/>
  <c r="EL126" i="12"/>
  <c r="EM126" i="12"/>
  <c r="EN126" i="12"/>
  <c r="EO126" i="12"/>
  <c r="EP126" i="12"/>
  <c r="EQ126" i="12"/>
  <c r="ER126" i="12"/>
  <c r="ES126" i="12"/>
  <c r="ET126" i="12"/>
  <c r="EU126" i="12"/>
  <c r="EV126" i="12"/>
  <c r="EW126" i="12"/>
  <c r="EX126" i="12"/>
  <c r="EY126" i="12"/>
  <c r="EZ126" i="12"/>
  <c r="FA126" i="12"/>
  <c r="FB126" i="12"/>
  <c r="FC126" i="12"/>
  <c r="FD126" i="12"/>
  <c r="FE126" i="12"/>
  <c r="FF126" i="12"/>
  <c r="FG126" i="12"/>
  <c r="FH126" i="12"/>
  <c r="FI126" i="12"/>
  <c r="FJ126" i="12"/>
  <c r="FK126" i="12"/>
  <c r="FL126" i="12"/>
  <c r="FM126" i="12"/>
  <c r="FN126" i="12"/>
  <c r="FO126" i="12"/>
  <c r="FP126" i="12"/>
  <c r="FQ126" i="12"/>
  <c r="FR126" i="12"/>
  <c r="FS126" i="12"/>
  <c r="FT126" i="12"/>
  <c r="FU126" i="12"/>
  <c r="FV126" i="12"/>
  <c r="FW126" i="12"/>
  <c r="FX126" i="12"/>
  <c r="FY126" i="12"/>
  <c r="FZ126" i="12"/>
  <c r="GA126" i="12"/>
  <c r="GB126" i="12"/>
  <c r="GC126" i="12"/>
  <c r="GD126" i="12"/>
  <c r="GE126" i="12"/>
  <c r="GF126" i="12"/>
  <c r="GG126" i="12"/>
  <c r="GH126" i="12"/>
  <c r="GI126" i="12"/>
  <c r="GJ126" i="12"/>
  <c r="GK126" i="12"/>
  <c r="GL126" i="12"/>
  <c r="GM126" i="12"/>
  <c r="GN126" i="12"/>
  <c r="GO126" i="12"/>
  <c r="GP126" i="12"/>
  <c r="GQ126" i="12"/>
  <c r="GR126" i="12"/>
  <c r="GS126" i="12"/>
  <c r="GT126" i="12"/>
  <c r="GU126" i="12"/>
  <c r="GV126" i="12"/>
  <c r="GW126" i="12"/>
  <c r="GX126" i="12"/>
  <c r="GY126" i="12"/>
  <c r="GZ126" i="12"/>
  <c r="HA126" i="12"/>
  <c r="HB126" i="12"/>
  <c r="HC126" i="12"/>
  <c r="HD126" i="12"/>
  <c r="HE126" i="12"/>
  <c r="HF126" i="12"/>
  <c r="HG126" i="12"/>
  <c r="HH126" i="12"/>
  <c r="HI126" i="12"/>
  <c r="HJ126" i="12"/>
  <c r="HK126" i="12"/>
  <c r="HL126" i="12"/>
  <c r="HM126" i="12"/>
  <c r="HN126" i="12"/>
  <c r="HO126" i="12"/>
  <c r="HP126" i="12"/>
  <c r="HQ126" i="12"/>
  <c r="HR126" i="12"/>
  <c r="HS126" i="12"/>
  <c r="HT126" i="12"/>
  <c r="HU126" i="12"/>
  <c r="HV126" i="12"/>
  <c r="HW126" i="12"/>
  <c r="HX126" i="12"/>
  <c r="HY126" i="12"/>
  <c r="HZ126" i="12"/>
  <c r="IA126" i="12"/>
  <c r="IB126" i="12"/>
  <c r="IC126" i="12"/>
  <c r="ID126" i="12"/>
  <c r="IE126" i="12"/>
  <c r="IF126" i="12"/>
  <c r="IG126" i="12"/>
  <c r="IH126" i="12"/>
  <c r="II126" i="12"/>
  <c r="IJ126" i="12"/>
  <c r="IK126" i="12"/>
  <c r="IL126" i="12"/>
  <c r="IM126" i="12"/>
  <c r="IN126" i="12"/>
  <c r="IO126" i="12"/>
  <c r="IP126" i="12"/>
  <c r="IQ126" i="12"/>
  <c r="IR126" i="12"/>
  <c r="IS126" i="12"/>
  <c r="IT126" i="12"/>
  <c r="IU126" i="12"/>
  <c r="IV126" i="12"/>
  <c r="A125" i="12"/>
  <c r="B125" i="12"/>
  <c r="C125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P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BC125" i="12"/>
  <c r="BD125" i="12"/>
  <c r="BE125" i="12"/>
  <c r="BF125" i="12"/>
  <c r="BG125" i="12"/>
  <c r="BH125" i="12"/>
  <c r="BI125" i="12"/>
  <c r="BJ125" i="12"/>
  <c r="BK125" i="12"/>
  <c r="BL125" i="12"/>
  <c r="BM125" i="12"/>
  <c r="BN125" i="12"/>
  <c r="BO125" i="12"/>
  <c r="BP125" i="12"/>
  <c r="BQ125" i="12"/>
  <c r="BR125" i="12"/>
  <c r="BS125" i="12"/>
  <c r="BT125" i="12"/>
  <c r="BU125" i="12"/>
  <c r="BV125" i="12"/>
  <c r="BW125" i="12"/>
  <c r="BX125" i="12"/>
  <c r="BY125" i="12"/>
  <c r="BZ125" i="12"/>
  <c r="CA125" i="12"/>
  <c r="CB125" i="12"/>
  <c r="CC125" i="12"/>
  <c r="CD125" i="12"/>
  <c r="CE125" i="12"/>
  <c r="CF125" i="12"/>
  <c r="CG125" i="12"/>
  <c r="CH125" i="12"/>
  <c r="CI125" i="12"/>
  <c r="CJ125" i="12"/>
  <c r="CK125" i="12"/>
  <c r="CL125" i="12"/>
  <c r="CM125" i="12"/>
  <c r="CN125" i="12"/>
  <c r="CO125" i="12"/>
  <c r="CP125" i="12"/>
  <c r="CQ125" i="12"/>
  <c r="CR125" i="12"/>
  <c r="CS125" i="12"/>
  <c r="CT125" i="12"/>
  <c r="CU125" i="12"/>
  <c r="CV125" i="12"/>
  <c r="CW125" i="12"/>
  <c r="CX125" i="12"/>
  <c r="CY125" i="12"/>
  <c r="CZ125" i="12"/>
  <c r="DA125" i="12"/>
  <c r="DB125" i="12"/>
  <c r="DC125" i="12"/>
  <c r="DD125" i="12"/>
  <c r="DE125" i="12"/>
  <c r="DF125" i="12"/>
  <c r="DG125" i="12"/>
  <c r="DH125" i="12"/>
  <c r="DI125" i="12"/>
  <c r="DJ125" i="12"/>
  <c r="DK125" i="12"/>
  <c r="DL125" i="12"/>
  <c r="DM125" i="12"/>
  <c r="DN125" i="12"/>
  <c r="DO125" i="12"/>
  <c r="DP125" i="12"/>
  <c r="DQ125" i="12"/>
  <c r="DR125" i="12"/>
  <c r="DS125" i="12"/>
  <c r="DT125" i="12"/>
  <c r="DU125" i="12"/>
  <c r="DV125" i="12"/>
  <c r="DW125" i="12"/>
  <c r="DX125" i="12"/>
  <c r="DY125" i="12"/>
  <c r="DZ125" i="12"/>
  <c r="EA125" i="12"/>
  <c r="EB125" i="12"/>
  <c r="EC125" i="12"/>
  <c r="ED125" i="12"/>
  <c r="EE125" i="12"/>
  <c r="EF125" i="12"/>
  <c r="EG125" i="12"/>
  <c r="EH125" i="12"/>
  <c r="EI125" i="12"/>
  <c r="EJ125" i="12"/>
  <c r="EK125" i="12"/>
  <c r="EL125" i="12"/>
  <c r="EM125" i="12"/>
  <c r="EN125" i="12"/>
  <c r="EO125" i="12"/>
  <c r="EP125" i="12"/>
  <c r="EQ125" i="12"/>
  <c r="ER125" i="12"/>
  <c r="ES125" i="12"/>
  <c r="ET125" i="12"/>
  <c r="EU125" i="12"/>
  <c r="EV125" i="12"/>
  <c r="EW125" i="12"/>
  <c r="EX125" i="12"/>
  <c r="EY125" i="12"/>
  <c r="EZ125" i="12"/>
  <c r="FA125" i="12"/>
  <c r="FB125" i="12"/>
  <c r="FC125" i="12"/>
  <c r="FD125" i="12"/>
  <c r="FE125" i="12"/>
  <c r="FF125" i="12"/>
  <c r="FG125" i="12"/>
  <c r="FH125" i="12"/>
  <c r="FI125" i="12"/>
  <c r="FJ125" i="12"/>
  <c r="FK125" i="12"/>
  <c r="FL125" i="12"/>
  <c r="FM125" i="12"/>
  <c r="FN125" i="12"/>
  <c r="FO125" i="12"/>
  <c r="FP125" i="12"/>
  <c r="FQ125" i="12"/>
  <c r="FR125" i="12"/>
  <c r="FS125" i="12"/>
  <c r="FT125" i="12"/>
  <c r="FU125" i="12"/>
  <c r="FV125" i="12"/>
  <c r="FW125" i="12"/>
  <c r="FX125" i="12"/>
  <c r="FY125" i="12"/>
  <c r="FZ125" i="12"/>
  <c r="GA125" i="12"/>
  <c r="GB125" i="12"/>
  <c r="GC125" i="12"/>
  <c r="GD125" i="12"/>
  <c r="GE125" i="12"/>
  <c r="GF125" i="12"/>
  <c r="GG125" i="12"/>
  <c r="GH125" i="12"/>
  <c r="GI125" i="12"/>
  <c r="GJ125" i="12"/>
  <c r="GK125" i="12"/>
  <c r="GL125" i="12"/>
  <c r="GM125" i="12"/>
  <c r="GN125" i="12"/>
  <c r="GO125" i="12"/>
  <c r="GP125" i="12"/>
  <c r="GQ125" i="12"/>
  <c r="GR125" i="12"/>
  <c r="GS125" i="12"/>
  <c r="GT125" i="12"/>
  <c r="GU125" i="12"/>
  <c r="GV125" i="12"/>
  <c r="GW125" i="12"/>
  <c r="GX125" i="12"/>
  <c r="GY125" i="12"/>
  <c r="GZ125" i="12"/>
  <c r="HA125" i="12"/>
  <c r="HB125" i="12"/>
  <c r="HC125" i="12"/>
  <c r="HD125" i="12"/>
  <c r="HE125" i="12"/>
  <c r="HF125" i="12"/>
  <c r="HG125" i="12"/>
  <c r="HH125" i="12"/>
  <c r="HI125" i="12"/>
  <c r="HJ125" i="12"/>
  <c r="HK125" i="12"/>
  <c r="HL125" i="12"/>
  <c r="HM125" i="12"/>
  <c r="HN125" i="12"/>
  <c r="HO125" i="12"/>
  <c r="HP125" i="12"/>
  <c r="HQ125" i="12"/>
  <c r="HR125" i="12"/>
  <c r="HS125" i="12"/>
  <c r="HT125" i="12"/>
  <c r="HU125" i="12"/>
  <c r="HV125" i="12"/>
  <c r="HW125" i="12"/>
  <c r="HX125" i="12"/>
  <c r="HY125" i="12"/>
  <c r="HZ125" i="12"/>
  <c r="IA125" i="12"/>
  <c r="IB125" i="12"/>
  <c r="IC125" i="12"/>
  <c r="ID125" i="12"/>
  <c r="IE125" i="12"/>
  <c r="IF125" i="12"/>
  <c r="IG125" i="12"/>
  <c r="IH125" i="12"/>
  <c r="II125" i="12"/>
  <c r="IJ125" i="12"/>
  <c r="IK125" i="12"/>
  <c r="IL125" i="12"/>
  <c r="IM125" i="12"/>
  <c r="IN125" i="12"/>
  <c r="IO125" i="12"/>
  <c r="IP125" i="12"/>
  <c r="IQ125" i="12"/>
  <c r="IR125" i="12"/>
  <c r="IS125" i="12"/>
  <c r="IT125" i="12"/>
  <c r="IU125" i="12"/>
  <c r="IV125" i="12"/>
  <c r="A124" i="12"/>
  <c r="B124" i="12"/>
  <c r="C124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BC124" i="12"/>
  <c r="BD124" i="12"/>
  <c r="BE124" i="12"/>
  <c r="BF124" i="12"/>
  <c r="BG124" i="12"/>
  <c r="BH124" i="12"/>
  <c r="BI124" i="12"/>
  <c r="BJ124" i="12"/>
  <c r="BK124" i="12"/>
  <c r="BL124" i="12"/>
  <c r="BM124" i="12"/>
  <c r="BN124" i="12"/>
  <c r="BO124" i="12"/>
  <c r="BP124" i="12"/>
  <c r="BQ124" i="12"/>
  <c r="BR124" i="12"/>
  <c r="BS124" i="12"/>
  <c r="BT124" i="12"/>
  <c r="BU124" i="12"/>
  <c r="BV124" i="12"/>
  <c r="BW124" i="12"/>
  <c r="BX124" i="12"/>
  <c r="BY124" i="12"/>
  <c r="BZ124" i="12"/>
  <c r="CA124" i="12"/>
  <c r="CB124" i="12"/>
  <c r="CC124" i="12"/>
  <c r="CD124" i="12"/>
  <c r="CE124" i="12"/>
  <c r="CF124" i="12"/>
  <c r="CG124" i="12"/>
  <c r="CH124" i="12"/>
  <c r="CI124" i="12"/>
  <c r="CJ124" i="12"/>
  <c r="CK124" i="12"/>
  <c r="CL124" i="12"/>
  <c r="CM124" i="12"/>
  <c r="CN124" i="12"/>
  <c r="CO124" i="12"/>
  <c r="CP124" i="12"/>
  <c r="CQ124" i="12"/>
  <c r="CR124" i="12"/>
  <c r="CS124" i="12"/>
  <c r="CT124" i="12"/>
  <c r="CU124" i="12"/>
  <c r="CV124" i="12"/>
  <c r="CW124" i="12"/>
  <c r="CX124" i="12"/>
  <c r="CY124" i="12"/>
  <c r="CZ124" i="12"/>
  <c r="DA124" i="12"/>
  <c r="DB124" i="12"/>
  <c r="DC124" i="12"/>
  <c r="DD124" i="12"/>
  <c r="DE124" i="12"/>
  <c r="DF124" i="12"/>
  <c r="DG124" i="12"/>
  <c r="DH124" i="12"/>
  <c r="DI124" i="12"/>
  <c r="DJ124" i="12"/>
  <c r="DK124" i="12"/>
  <c r="DL124" i="12"/>
  <c r="DM124" i="12"/>
  <c r="DN124" i="12"/>
  <c r="DO124" i="12"/>
  <c r="DP124" i="12"/>
  <c r="DQ124" i="12"/>
  <c r="DR124" i="12"/>
  <c r="DS124" i="12"/>
  <c r="DT124" i="12"/>
  <c r="DU124" i="12"/>
  <c r="DV124" i="12"/>
  <c r="DW124" i="12"/>
  <c r="DX124" i="12"/>
  <c r="DY124" i="12"/>
  <c r="DZ124" i="12"/>
  <c r="EA124" i="12"/>
  <c r="EB124" i="12"/>
  <c r="EC124" i="12"/>
  <c r="ED124" i="12"/>
  <c r="EE124" i="12"/>
  <c r="EF124" i="12"/>
  <c r="EG124" i="12"/>
  <c r="EH124" i="12"/>
  <c r="EI124" i="12"/>
  <c r="EJ124" i="12"/>
  <c r="EK124" i="12"/>
  <c r="EL124" i="12"/>
  <c r="EM124" i="12"/>
  <c r="EN124" i="12"/>
  <c r="EO124" i="12"/>
  <c r="EP124" i="12"/>
  <c r="EQ124" i="12"/>
  <c r="ER124" i="12"/>
  <c r="ES124" i="12"/>
  <c r="ET124" i="12"/>
  <c r="EU124" i="12"/>
  <c r="EV124" i="12"/>
  <c r="EW124" i="12"/>
  <c r="EX124" i="12"/>
  <c r="EY124" i="12"/>
  <c r="EZ124" i="12"/>
  <c r="FA124" i="12"/>
  <c r="FB124" i="12"/>
  <c r="FC124" i="12"/>
  <c r="FD124" i="12"/>
  <c r="FE124" i="12"/>
  <c r="FF124" i="12"/>
  <c r="FG124" i="12"/>
  <c r="FH124" i="12"/>
  <c r="FI124" i="12"/>
  <c r="FJ124" i="12"/>
  <c r="FK124" i="12"/>
  <c r="FL124" i="12"/>
  <c r="FM124" i="12"/>
  <c r="FN124" i="12"/>
  <c r="FO124" i="12"/>
  <c r="FP124" i="12"/>
  <c r="FQ124" i="12"/>
  <c r="FR124" i="12"/>
  <c r="FS124" i="12"/>
  <c r="FT124" i="12"/>
  <c r="FU124" i="12"/>
  <c r="FV124" i="12"/>
  <c r="FW124" i="12"/>
  <c r="FX124" i="12"/>
  <c r="FY124" i="12"/>
  <c r="FZ124" i="12"/>
  <c r="GA124" i="12"/>
  <c r="GB124" i="12"/>
  <c r="GC124" i="12"/>
  <c r="GD124" i="12"/>
  <c r="GE124" i="12"/>
  <c r="GF124" i="12"/>
  <c r="GG124" i="12"/>
  <c r="GH124" i="12"/>
  <c r="GI124" i="12"/>
  <c r="GJ124" i="12"/>
  <c r="GK124" i="12"/>
  <c r="GL124" i="12"/>
  <c r="GM124" i="12"/>
  <c r="GN124" i="12"/>
  <c r="GO124" i="12"/>
  <c r="GP124" i="12"/>
  <c r="GQ124" i="12"/>
  <c r="GR124" i="12"/>
  <c r="GS124" i="12"/>
  <c r="GT124" i="12"/>
  <c r="GU124" i="12"/>
  <c r="GV124" i="12"/>
  <c r="GW124" i="12"/>
  <c r="GX124" i="12"/>
  <c r="GY124" i="12"/>
  <c r="GZ124" i="12"/>
  <c r="HA124" i="12"/>
  <c r="HB124" i="12"/>
  <c r="HC124" i="12"/>
  <c r="HD124" i="12"/>
  <c r="HE124" i="12"/>
  <c r="HF124" i="12"/>
  <c r="HG124" i="12"/>
  <c r="HH124" i="12"/>
  <c r="HI124" i="12"/>
  <c r="HJ124" i="12"/>
  <c r="HK124" i="12"/>
  <c r="HL124" i="12"/>
  <c r="HM124" i="12"/>
  <c r="HN124" i="12"/>
  <c r="HO124" i="12"/>
  <c r="HP124" i="12"/>
  <c r="HQ124" i="12"/>
  <c r="HR124" i="12"/>
  <c r="HS124" i="12"/>
  <c r="HT124" i="12"/>
  <c r="HU124" i="12"/>
  <c r="HV124" i="12"/>
  <c r="HW124" i="12"/>
  <c r="HX124" i="12"/>
  <c r="HY124" i="12"/>
  <c r="HZ124" i="12"/>
  <c r="IA124" i="12"/>
  <c r="IB124" i="12"/>
  <c r="IC124" i="12"/>
  <c r="ID124" i="12"/>
  <c r="IE124" i="12"/>
  <c r="IF124" i="12"/>
  <c r="IG124" i="12"/>
  <c r="IH124" i="12"/>
  <c r="II124" i="12"/>
  <c r="IJ124" i="12"/>
  <c r="IK124" i="12"/>
  <c r="IL124" i="12"/>
  <c r="IM124" i="12"/>
  <c r="IN124" i="12"/>
  <c r="IO124" i="12"/>
  <c r="IP124" i="12"/>
  <c r="IQ124" i="12"/>
  <c r="IR124" i="12"/>
  <c r="IS124" i="12"/>
  <c r="IT124" i="12"/>
  <c r="IU124" i="12"/>
  <c r="IV124" i="12"/>
  <c r="A123" i="12"/>
  <c r="B123" i="12"/>
  <c r="C123" i="12"/>
  <c r="E123" i="12"/>
  <c r="F123" i="12"/>
  <c r="G123" i="12"/>
  <c r="H123" i="12"/>
  <c r="I123" i="12"/>
  <c r="J123" i="12"/>
  <c r="K123" i="12"/>
  <c r="L123" i="12"/>
  <c r="M123" i="12"/>
  <c r="N123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BC123" i="12"/>
  <c r="BD123" i="12"/>
  <c r="BE123" i="12"/>
  <c r="BF123" i="12"/>
  <c r="BG123" i="12"/>
  <c r="BH123" i="12"/>
  <c r="BI123" i="12"/>
  <c r="BJ123" i="12"/>
  <c r="BK123" i="12"/>
  <c r="BL123" i="12"/>
  <c r="BM123" i="12"/>
  <c r="BN123" i="12"/>
  <c r="BO123" i="12"/>
  <c r="BP123" i="12"/>
  <c r="BQ123" i="12"/>
  <c r="BR123" i="12"/>
  <c r="BS123" i="12"/>
  <c r="BT123" i="12"/>
  <c r="BU123" i="12"/>
  <c r="BV123" i="12"/>
  <c r="BW123" i="12"/>
  <c r="BX123" i="12"/>
  <c r="BY123" i="12"/>
  <c r="BZ123" i="12"/>
  <c r="CA123" i="12"/>
  <c r="CB123" i="12"/>
  <c r="CC123" i="12"/>
  <c r="CD123" i="12"/>
  <c r="CE123" i="12"/>
  <c r="CF123" i="12"/>
  <c r="CG123" i="12"/>
  <c r="CH123" i="12"/>
  <c r="CI123" i="12"/>
  <c r="CJ123" i="12"/>
  <c r="CK123" i="12"/>
  <c r="CL123" i="12"/>
  <c r="CM123" i="12"/>
  <c r="CN123" i="12"/>
  <c r="CO123" i="12"/>
  <c r="CP123" i="12"/>
  <c r="CQ123" i="12"/>
  <c r="CR123" i="12"/>
  <c r="CS123" i="12"/>
  <c r="CT123" i="12"/>
  <c r="CU123" i="12"/>
  <c r="CV123" i="12"/>
  <c r="CW123" i="12"/>
  <c r="CX123" i="12"/>
  <c r="CY123" i="12"/>
  <c r="CZ123" i="12"/>
  <c r="DA123" i="12"/>
  <c r="DB123" i="12"/>
  <c r="DC123" i="12"/>
  <c r="DD123" i="12"/>
  <c r="DE123" i="12"/>
  <c r="DF123" i="12"/>
  <c r="DG123" i="12"/>
  <c r="DH123" i="12"/>
  <c r="DI123" i="12"/>
  <c r="DJ123" i="12"/>
  <c r="DK123" i="12"/>
  <c r="DL123" i="12"/>
  <c r="DM123" i="12"/>
  <c r="DN123" i="12"/>
  <c r="DO123" i="12"/>
  <c r="DP123" i="12"/>
  <c r="DQ123" i="12"/>
  <c r="DR123" i="12"/>
  <c r="DS123" i="12"/>
  <c r="DT123" i="12"/>
  <c r="DU123" i="12"/>
  <c r="DV123" i="12"/>
  <c r="DW123" i="12"/>
  <c r="DX123" i="12"/>
  <c r="DY123" i="12"/>
  <c r="DZ123" i="12"/>
  <c r="EA123" i="12"/>
  <c r="EB123" i="12"/>
  <c r="EC123" i="12"/>
  <c r="ED123" i="12"/>
  <c r="EE123" i="12"/>
  <c r="EF123" i="12"/>
  <c r="EG123" i="12"/>
  <c r="EH123" i="12"/>
  <c r="EI123" i="12"/>
  <c r="EJ123" i="12"/>
  <c r="EK123" i="12"/>
  <c r="EL123" i="12"/>
  <c r="EM123" i="12"/>
  <c r="EN123" i="12"/>
  <c r="EO123" i="12"/>
  <c r="EP123" i="12"/>
  <c r="EQ123" i="12"/>
  <c r="ER123" i="12"/>
  <c r="ES123" i="12"/>
  <c r="ET123" i="12"/>
  <c r="EU123" i="12"/>
  <c r="EV123" i="12"/>
  <c r="EW123" i="12"/>
  <c r="EX123" i="12"/>
  <c r="EY123" i="12"/>
  <c r="EZ123" i="12"/>
  <c r="FA123" i="12"/>
  <c r="FB123" i="12"/>
  <c r="FC123" i="12"/>
  <c r="FD123" i="12"/>
  <c r="FE123" i="12"/>
  <c r="FF123" i="12"/>
  <c r="FG123" i="12"/>
  <c r="FH123" i="12"/>
  <c r="FI123" i="12"/>
  <c r="FJ123" i="12"/>
  <c r="FK123" i="12"/>
  <c r="FL123" i="12"/>
  <c r="FM123" i="12"/>
  <c r="FN123" i="12"/>
  <c r="FO123" i="12"/>
  <c r="FP123" i="12"/>
  <c r="FQ123" i="12"/>
  <c r="FR123" i="12"/>
  <c r="FS123" i="12"/>
  <c r="FT123" i="12"/>
  <c r="FU123" i="12"/>
  <c r="FV123" i="12"/>
  <c r="FW123" i="12"/>
  <c r="FX123" i="12"/>
  <c r="FY123" i="12"/>
  <c r="FZ123" i="12"/>
  <c r="GA123" i="12"/>
  <c r="GB123" i="12"/>
  <c r="GC123" i="12"/>
  <c r="GD123" i="12"/>
  <c r="GE123" i="12"/>
  <c r="GF123" i="12"/>
  <c r="GG123" i="12"/>
  <c r="GH123" i="12"/>
  <c r="GI123" i="12"/>
  <c r="GJ123" i="12"/>
  <c r="GK123" i="12"/>
  <c r="GL123" i="12"/>
  <c r="GM123" i="12"/>
  <c r="GN123" i="12"/>
  <c r="GO123" i="12"/>
  <c r="GP123" i="12"/>
  <c r="GQ123" i="12"/>
  <c r="GR123" i="12"/>
  <c r="GS123" i="12"/>
  <c r="GT123" i="12"/>
  <c r="GU123" i="12"/>
  <c r="GV123" i="12"/>
  <c r="GW123" i="12"/>
  <c r="GX123" i="12"/>
  <c r="GY123" i="12"/>
  <c r="GZ123" i="12"/>
  <c r="HA123" i="12"/>
  <c r="HB123" i="12"/>
  <c r="HC123" i="12"/>
  <c r="HD123" i="12"/>
  <c r="HE123" i="12"/>
  <c r="HF123" i="12"/>
  <c r="HG123" i="12"/>
  <c r="HH123" i="12"/>
  <c r="HI123" i="12"/>
  <c r="HJ123" i="12"/>
  <c r="HK123" i="12"/>
  <c r="HL123" i="12"/>
  <c r="HM123" i="12"/>
  <c r="HN123" i="12"/>
  <c r="HO123" i="12"/>
  <c r="HP123" i="12"/>
  <c r="HQ123" i="12"/>
  <c r="HR123" i="12"/>
  <c r="HS123" i="12"/>
  <c r="HT123" i="12"/>
  <c r="HU123" i="12"/>
  <c r="HV123" i="12"/>
  <c r="HW123" i="12"/>
  <c r="HX123" i="12"/>
  <c r="HY123" i="12"/>
  <c r="HZ123" i="12"/>
  <c r="IA123" i="12"/>
  <c r="IB123" i="12"/>
  <c r="IC123" i="12"/>
  <c r="ID123" i="12"/>
  <c r="IE123" i="12"/>
  <c r="IF123" i="12"/>
  <c r="IG123" i="12"/>
  <c r="IH123" i="12"/>
  <c r="II123" i="12"/>
  <c r="IJ123" i="12"/>
  <c r="IK123" i="12"/>
  <c r="IL123" i="12"/>
  <c r="IM123" i="12"/>
  <c r="IN123" i="12"/>
  <c r="IO123" i="12"/>
  <c r="IP123" i="12"/>
  <c r="IQ123" i="12"/>
  <c r="IR123" i="12"/>
  <c r="IS123" i="12"/>
  <c r="IT123" i="12"/>
  <c r="IU123" i="12"/>
  <c r="IV123" i="12"/>
  <c r="A122" i="12"/>
  <c r="B122" i="12"/>
  <c r="C122" i="12"/>
  <c r="D122" i="12"/>
  <c r="E122" i="12"/>
  <c r="F122" i="12"/>
  <c r="G122" i="12"/>
  <c r="H122" i="12"/>
  <c r="I122" i="12"/>
  <c r="J122" i="12"/>
  <c r="K122" i="12"/>
  <c r="L122" i="12"/>
  <c r="M122" i="12"/>
  <c r="N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BC122" i="12"/>
  <c r="BD122" i="12"/>
  <c r="BE122" i="12"/>
  <c r="BF122" i="12"/>
  <c r="BG122" i="12"/>
  <c r="BH122" i="12"/>
  <c r="BI122" i="12"/>
  <c r="BJ122" i="12"/>
  <c r="BK122" i="12"/>
  <c r="BL122" i="12"/>
  <c r="BM122" i="12"/>
  <c r="BN122" i="12"/>
  <c r="BO122" i="12"/>
  <c r="BP122" i="12"/>
  <c r="BQ122" i="12"/>
  <c r="BR122" i="12"/>
  <c r="BS122" i="12"/>
  <c r="BT122" i="12"/>
  <c r="BU122" i="12"/>
  <c r="BV122" i="12"/>
  <c r="BW122" i="12"/>
  <c r="BX122" i="12"/>
  <c r="BY122" i="12"/>
  <c r="BZ122" i="12"/>
  <c r="CA122" i="12"/>
  <c r="CB122" i="12"/>
  <c r="CC122" i="12"/>
  <c r="CD122" i="12"/>
  <c r="CE122" i="12"/>
  <c r="CF122" i="12"/>
  <c r="CG122" i="12"/>
  <c r="CH122" i="12"/>
  <c r="CI122" i="12"/>
  <c r="CJ122" i="12"/>
  <c r="CK122" i="12"/>
  <c r="CL122" i="12"/>
  <c r="CM122" i="12"/>
  <c r="CN122" i="12"/>
  <c r="CO122" i="12"/>
  <c r="CP122" i="12"/>
  <c r="CQ122" i="12"/>
  <c r="CR122" i="12"/>
  <c r="CS122" i="12"/>
  <c r="CT122" i="12"/>
  <c r="CU122" i="12"/>
  <c r="CV122" i="12"/>
  <c r="CW122" i="12"/>
  <c r="CX122" i="12"/>
  <c r="CY122" i="12"/>
  <c r="CZ122" i="12"/>
  <c r="DA122" i="12"/>
  <c r="DB122" i="12"/>
  <c r="DC122" i="12"/>
  <c r="DD122" i="12"/>
  <c r="DE122" i="12"/>
  <c r="DF122" i="12"/>
  <c r="DG122" i="12"/>
  <c r="DH122" i="12"/>
  <c r="DI122" i="12"/>
  <c r="DJ122" i="12"/>
  <c r="DK122" i="12"/>
  <c r="DL122" i="12"/>
  <c r="DM122" i="12"/>
  <c r="DN122" i="12"/>
  <c r="DO122" i="12"/>
  <c r="DP122" i="12"/>
  <c r="DQ122" i="12"/>
  <c r="DR122" i="12"/>
  <c r="DS122" i="12"/>
  <c r="DT122" i="12"/>
  <c r="DU122" i="12"/>
  <c r="DV122" i="12"/>
  <c r="DW122" i="12"/>
  <c r="DX122" i="12"/>
  <c r="DY122" i="12"/>
  <c r="DZ122" i="12"/>
  <c r="EA122" i="12"/>
  <c r="EB122" i="12"/>
  <c r="EC122" i="12"/>
  <c r="ED122" i="12"/>
  <c r="EE122" i="12"/>
  <c r="EF122" i="12"/>
  <c r="EG122" i="12"/>
  <c r="EH122" i="12"/>
  <c r="EI122" i="12"/>
  <c r="EJ122" i="12"/>
  <c r="EK122" i="12"/>
  <c r="EL122" i="12"/>
  <c r="EM122" i="12"/>
  <c r="EN122" i="12"/>
  <c r="EO122" i="12"/>
  <c r="EP122" i="12"/>
  <c r="EQ122" i="12"/>
  <c r="ER122" i="12"/>
  <c r="ES122" i="12"/>
  <c r="ET122" i="12"/>
  <c r="EU122" i="12"/>
  <c r="EV122" i="12"/>
  <c r="EW122" i="12"/>
  <c r="EX122" i="12"/>
  <c r="EY122" i="12"/>
  <c r="EZ122" i="12"/>
  <c r="FA122" i="12"/>
  <c r="FB122" i="12"/>
  <c r="FC122" i="12"/>
  <c r="FD122" i="12"/>
  <c r="FE122" i="12"/>
  <c r="FF122" i="12"/>
  <c r="FG122" i="12"/>
  <c r="FH122" i="12"/>
  <c r="FI122" i="12"/>
  <c r="FJ122" i="12"/>
  <c r="FK122" i="12"/>
  <c r="FL122" i="12"/>
  <c r="FM122" i="12"/>
  <c r="FN122" i="12"/>
  <c r="FO122" i="12"/>
  <c r="FP122" i="12"/>
  <c r="FQ122" i="12"/>
  <c r="FR122" i="12"/>
  <c r="FS122" i="12"/>
  <c r="FT122" i="12"/>
  <c r="FU122" i="12"/>
  <c r="FV122" i="12"/>
  <c r="FW122" i="12"/>
  <c r="FX122" i="12"/>
  <c r="FY122" i="12"/>
  <c r="FZ122" i="12"/>
  <c r="GA122" i="12"/>
  <c r="GB122" i="12"/>
  <c r="GC122" i="12"/>
  <c r="GD122" i="12"/>
  <c r="GE122" i="12"/>
  <c r="GF122" i="12"/>
  <c r="GG122" i="12"/>
  <c r="GH122" i="12"/>
  <c r="GI122" i="12"/>
  <c r="GJ122" i="12"/>
  <c r="GK122" i="12"/>
  <c r="GL122" i="12"/>
  <c r="GM122" i="12"/>
  <c r="GN122" i="12"/>
  <c r="GO122" i="12"/>
  <c r="GP122" i="12"/>
  <c r="GQ122" i="12"/>
  <c r="GR122" i="12"/>
  <c r="GS122" i="12"/>
  <c r="GT122" i="12"/>
  <c r="GU122" i="12"/>
  <c r="GV122" i="12"/>
  <c r="GW122" i="12"/>
  <c r="GX122" i="12"/>
  <c r="GY122" i="12"/>
  <c r="GZ122" i="12"/>
  <c r="HA122" i="12"/>
  <c r="HB122" i="12"/>
  <c r="HC122" i="12"/>
  <c r="HD122" i="12"/>
  <c r="HE122" i="12"/>
  <c r="HF122" i="12"/>
  <c r="HG122" i="12"/>
  <c r="HH122" i="12"/>
  <c r="HI122" i="12"/>
  <c r="HJ122" i="12"/>
  <c r="HK122" i="12"/>
  <c r="HL122" i="12"/>
  <c r="HM122" i="12"/>
  <c r="HN122" i="12"/>
  <c r="HO122" i="12"/>
  <c r="HP122" i="12"/>
  <c r="HQ122" i="12"/>
  <c r="HR122" i="12"/>
  <c r="HS122" i="12"/>
  <c r="HT122" i="12"/>
  <c r="HU122" i="12"/>
  <c r="HV122" i="12"/>
  <c r="HW122" i="12"/>
  <c r="HX122" i="12"/>
  <c r="HY122" i="12"/>
  <c r="HZ122" i="12"/>
  <c r="IA122" i="12"/>
  <c r="IB122" i="12"/>
  <c r="IC122" i="12"/>
  <c r="ID122" i="12"/>
  <c r="IE122" i="12"/>
  <c r="IF122" i="12"/>
  <c r="IG122" i="12"/>
  <c r="IH122" i="12"/>
  <c r="II122" i="12"/>
  <c r="IJ122" i="12"/>
  <c r="IK122" i="12"/>
  <c r="IL122" i="12"/>
  <c r="IM122" i="12"/>
  <c r="IN122" i="12"/>
  <c r="IO122" i="12"/>
  <c r="IP122" i="12"/>
  <c r="IQ122" i="12"/>
  <c r="IR122" i="12"/>
  <c r="IS122" i="12"/>
  <c r="IT122" i="12"/>
  <c r="IU122" i="12"/>
  <c r="IV122" i="12"/>
  <c r="A121" i="12"/>
  <c r="B121" i="12"/>
  <c r="C121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P121" i="12"/>
  <c r="Q121" i="12"/>
  <c r="R121" i="12"/>
  <c r="S121" i="12"/>
  <c r="T121" i="12"/>
  <c r="U121" i="12"/>
  <c r="V121" i="12"/>
  <c r="W121" i="12"/>
  <c r="X121" i="12"/>
  <c r="Y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BC121" i="12"/>
  <c r="BD121" i="12"/>
  <c r="BE121" i="12"/>
  <c r="BF121" i="12"/>
  <c r="BG121" i="12"/>
  <c r="BH121" i="12"/>
  <c r="BI121" i="12"/>
  <c r="BJ121" i="12"/>
  <c r="BK121" i="12"/>
  <c r="BL121" i="12"/>
  <c r="BM121" i="12"/>
  <c r="BN121" i="12"/>
  <c r="BO121" i="12"/>
  <c r="BP121" i="12"/>
  <c r="BQ121" i="12"/>
  <c r="BR121" i="12"/>
  <c r="BS121" i="12"/>
  <c r="BT121" i="12"/>
  <c r="BU121" i="12"/>
  <c r="BV121" i="12"/>
  <c r="BW121" i="12"/>
  <c r="BX121" i="12"/>
  <c r="BY121" i="12"/>
  <c r="BZ121" i="12"/>
  <c r="CA121" i="12"/>
  <c r="CB121" i="12"/>
  <c r="CC121" i="12"/>
  <c r="CD121" i="12"/>
  <c r="CE121" i="12"/>
  <c r="CF121" i="12"/>
  <c r="CG121" i="12"/>
  <c r="CH121" i="12"/>
  <c r="CI121" i="12"/>
  <c r="CJ121" i="12"/>
  <c r="CK121" i="12"/>
  <c r="CL121" i="12"/>
  <c r="CM121" i="12"/>
  <c r="CN121" i="12"/>
  <c r="CO121" i="12"/>
  <c r="CP121" i="12"/>
  <c r="CQ121" i="12"/>
  <c r="CR121" i="12"/>
  <c r="CS121" i="12"/>
  <c r="CT121" i="12"/>
  <c r="CU121" i="12"/>
  <c r="CV121" i="12"/>
  <c r="CW121" i="12"/>
  <c r="CX121" i="12"/>
  <c r="CY121" i="12"/>
  <c r="CZ121" i="12"/>
  <c r="DA121" i="12"/>
  <c r="DB121" i="12"/>
  <c r="DC121" i="12"/>
  <c r="DD121" i="12"/>
  <c r="DE121" i="12"/>
  <c r="DF121" i="12"/>
  <c r="DG121" i="12"/>
  <c r="DH121" i="12"/>
  <c r="DI121" i="12"/>
  <c r="DJ121" i="12"/>
  <c r="DK121" i="12"/>
  <c r="DL121" i="12"/>
  <c r="DM121" i="12"/>
  <c r="DN121" i="12"/>
  <c r="DO121" i="12"/>
  <c r="DP121" i="12"/>
  <c r="DQ121" i="12"/>
  <c r="DR121" i="12"/>
  <c r="DS121" i="12"/>
  <c r="DT121" i="12"/>
  <c r="DU121" i="12"/>
  <c r="DV121" i="12"/>
  <c r="DW121" i="12"/>
  <c r="DX121" i="12"/>
  <c r="DY121" i="12"/>
  <c r="DZ121" i="12"/>
  <c r="EA121" i="12"/>
  <c r="EB121" i="12"/>
  <c r="EC121" i="12"/>
  <c r="ED121" i="12"/>
  <c r="EE121" i="12"/>
  <c r="EF121" i="12"/>
  <c r="EG121" i="12"/>
  <c r="EH121" i="12"/>
  <c r="EI121" i="12"/>
  <c r="EJ121" i="12"/>
  <c r="EK121" i="12"/>
  <c r="EL121" i="12"/>
  <c r="EM121" i="12"/>
  <c r="EN121" i="12"/>
  <c r="EO121" i="12"/>
  <c r="EP121" i="12"/>
  <c r="EQ121" i="12"/>
  <c r="ER121" i="12"/>
  <c r="ES121" i="12"/>
  <c r="ET121" i="12"/>
  <c r="EU121" i="12"/>
  <c r="EV121" i="12"/>
  <c r="EW121" i="12"/>
  <c r="EX121" i="12"/>
  <c r="EY121" i="12"/>
  <c r="EZ121" i="12"/>
  <c r="FA121" i="12"/>
  <c r="FB121" i="12"/>
  <c r="FC121" i="12"/>
  <c r="FD121" i="12"/>
  <c r="FE121" i="12"/>
  <c r="FF121" i="12"/>
  <c r="FG121" i="12"/>
  <c r="FH121" i="12"/>
  <c r="FI121" i="12"/>
  <c r="FJ121" i="12"/>
  <c r="FK121" i="12"/>
  <c r="FL121" i="12"/>
  <c r="FM121" i="12"/>
  <c r="FN121" i="12"/>
  <c r="FO121" i="12"/>
  <c r="FP121" i="12"/>
  <c r="FQ121" i="12"/>
  <c r="FR121" i="12"/>
  <c r="FS121" i="12"/>
  <c r="FT121" i="12"/>
  <c r="FU121" i="12"/>
  <c r="FV121" i="12"/>
  <c r="FW121" i="12"/>
  <c r="FX121" i="12"/>
  <c r="FY121" i="12"/>
  <c r="FZ121" i="12"/>
  <c r="GA121" i="12"/>
  <c r="GB121" i="12"/>
  <c r="GC121" i="12"/>
  <c r="GD121" i="12"/>
  <c r="GE121" i="12"/>
  <c r="GF121" i="12"/>
  <c r="GG121" i="12"/>
  <c r="GH121" i="12"/>
  <c r="GI121" i="12"/>
  <c r="GJ121" i="12"/>
  <c r="GK121" i="12"/>
  <c r="GL121" i="12"/>
  <c r="GM121" i="12"/>
  <c r="GN121" i="12"/>
  <c r="GO121" i="12"/>
  <c r="GP121" i="12"/>
  <c r="GQ121" i="12"/>
  <c r="GR121" i="12"/>
  <c r="GS121" i="12"/>
  <c r="GT121" i="12"/>
  <c r="GU121" i="12"/>
  <c r="GV121" i="12"/>
  <c r="GW121" i="12"/>
  <c r="GX121" i="12"/>
  <c r="GY121" i="12"/>
  <c r="GZ121" i="12"/>
  <c r="HA121" i="12"/>
  <c r="HB121" i="12"/>
  <c r="HC121" i="12"/>
  <c r="HD121" i="12"/>
  <c r="HE121" i="12"/>
  <c r="HF121" i="12"/>
  <c r="HG121" i="12"/>
  <c r="HH121" i="12"/>
  <c r="HI121" i="12"/>
  <c r="HJ121" i="12"/>
  <c r="HK121" i="12"/>
  <c r="HL121" i="12"/>
  <c r="HM121" i="12"/>
  <c r="HN121" i="12"/>
  <c r="HO121" i="12"/>
  <c r="HP121" i="12"/>
  <c r="HQ121" i="12"/>
  <c r="HR121" i="12"/>
  <c r="HS121" i="12"/>
  <c r="HT121" i="12"/>
  <c r="HU121" i="12"/>
  <c r="HV121" i="12"/>
  <c r="HW121" i="12"/>
  <c r="HX121" i="12"/>
  <c r="HY121" i="12"/>
  <c r="HZ121" i="12"/>
  <c r="IA121" i="12"/>
  <c r="IB121" i="12"/>
  <c r="IC121" i="12"/>
  <c r="ID121" i="12"/>
  <c r="IE121" i="12"/>
  <c r="IF121" i="12"/>
  <c r="IG121" i="12"/>
  <c r="IH121" i="12"/>
  <c r="II121" i="12"/>
  <c r="IJ121" i="12"/>
  <c r="IK121" i="12"/>
  <c r="IL121" i="12"/>
  <c r="IM121" i="12"/>
  <c r="IN121" i="12"/>
  <c r="IO121" i="12"/>
  <c r="IP121" i="12"/>
  <c r="IQ121" i="12"/>
  <c r="IR121" i="12"/>
  <c r="IS121" i="12"/>
  <c r="IT121" i="12"/>
  <c r="IU121" i="12"/>
  <c r="IV121" i="12"/>
  <c r="A120" i="12"/>
  <c r="B120" i="12"/>
  <c r="C120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BC120" i="12"/>
  <c r="BD120" i="12"/>
  <c r="BE120" i="12"/>
  <c r="BF120" i="12"/>
  <c r="BG120" i="12"/>
  <c r="BH120" i="12"/>
  <c r="BI120" i="12"/>
  <c r="BJ120" i="12"/>
  <c r="BK120" i="12"/>
  <c r="BL120" i="12"/>
  <c r="BM120" i="12"/>
  <c r="BN120" i="12"/>
  <c r="BO120" i="12"/>
  <c r="BP120" i="12"/>
  <c r="BQ120" i="12"/>
  <c r="BR120" i="12"/>
  <c r="BS120" i="12"/>
  <c r="BT120" i="12"/>
  <c r="BU120" i="12"/>
  <c r="BV120" i="12"/>
  <c r="BW120" i="12"/>
  <c r="BX120" i="12"/>
  <c r="BY120" i="12"/>
  <c r="BZ120" i="12"/>
  <c r="CA120" i="12"/>
  <c r="CB120" i="12"/>
  <c r="CC120" i="12"/>
  <c r="CD120" i="12"/>
  <c r="CE120" i="12"/>
  <c r="CF120" i="12"/>
  <c r="CG120" i="12"/>
  <c r="CH120" i="12"/>
  <c r="CI120" i="12"/>
  <c r="CJ120" i="12"/>
  <c r="CK120" i="12"/>
  <c r="CL120" i="12"/>
  <c r="CM120" i="12"/>
  <c r="CN120" i="12"/>
  <c r="CO120" i="12"/>
  <c r="CP120" i="12"/>
  <c r="CQ120" i="12"/>
  <c r="CR120" i="12"/>
  <c r="CS120" i="12"/>
  <c r="CT120" i="12"/>
  <c r="CU120" i="12"/>
  <c r="CV120" i="12"/>
  <c r="CW120" i="12"/>
  <c r="CX120" i="12"/>
  <c r="CY120" i="12"/>
  <c r="CZ120" i="12"/>
  <c r="DA120" i="12"/>
  <c r="DB120" i="12"/>
  <c r="DC120" i="12"/>
  <c r="DD120" i="12"/>
  <c r="DE120" i="12"/>
  <c r="DF120" i="12"/>
  <c r="DG120" i="12"/>
  <c r="DH120" i="12"/>
  <c r="DI120" i="12"/>
  <c r="DJ120" i="12"/>
  <c r="DK120" i="12"/>
  <c r="DL120" i="12"/>
  <c r="DM120" i="12"/>
  <c r="DN120" i="12"/>
  <c r="DO120" i="12"/>
  <c r="DP120" i="12"/>
  <c r="DQ120" i="12"/>
  <c r="DR120" i="12"/>
  <c r="DS120" i="12"/>
  <c r="DT120" i="12"/>
  <c r="DU120" i="12"/>
  <c r="DV120" i="12"/>
  <c r="DW120" i="12"/>
  <c r="DX120" i="12"/>
  <c r="DY120" i="12"/>
  <c r="DZ120" i="12"/>
  <c r="EA120" i="12"/>
  <c r="EB120" i="12"/>
  <c r="EC120" i="12"/>
  <c r="ED120" i="12"/>
  <c r="EE120" i="12"/>
  <c r="EF120" i="12"/>
  <c r="EG120" i="12"/>
  <c r="EH120" i="12"/>
  <c r="EI120" i="12"/>
  <c r="EJ120" i="12"/>
  <c r="EK120" i="12"/>
  <c r="EL120" i="12"/>
  <c r="EM120" i="12"/>
  <c r="EN120" i="12"/>
  <c r="EO120" i="12"/>
  <c r="EP120" i="12"/>
  <c r="EQ120" i="12"/>
  <c r="ER120" i="12"/>
  <c r="ES120" i="12"/>
  <c r="ET120" i="12"/>
  <c r="EU120" i="12"/>
  <c r="EV120" i="12"/>
  <c r="EW120" i="12"/>
  <c r="EX120" i="12"/>
  <c r="EY120" i="12"/>
  <c r="EZ120" i="12"/>
  <c r="FA120" i="12"/>
  <c r="FB120" i="12"/>
  <c r="FC120" i="12"/>
  <c r="FD120" i="12"/>
  <c r="FE120" i="12"/>
  <c r="FF120" i="12"/>
  <c r="FG120" i="12"/>
  <c r="FH120" i="12"/>
  <c r="FI120" i="12"/>
  <c r="FJ120" i="12"/>
  <c r="FK120" i="12"/>
  <c r="FL120" i="12"/>
  <c r="FM120" i="12"/>
  <c r="FN120" i="12"/>
  <c r="FO120" i="12"/>
  <c r="FP120" i="12"/>
  <c r="FQ120" i="12"/>
  <c r="FR120" i="12"/>
  <c r="FS120" i="12"/>
  <c r="FT120" i="12"/>
  <c r="FU120" i="12"/>
  <c r="FV120" i="12"/>
  <c r="FW120" i="12"/>
  <c r="FX120" i="12"/>
  <c r="FY120" i="12"/>
  <c r="FZ120" i="12"/>
  <c r="GA120" i="12"/>
  <c r="GB120" i="12"/>
  <c r="GC120" i="12"/>
  <c r="GD120" i="12"/>
  <c r="GE120" i="12"/>
  <c r="GF120" i="12"/>
  <c r="GG120" i="12"/>
  <c r="GH120" i="12"/>
  <c r="GI120" i="12"/>
  <c r="GJ120" i="12"/>
  <c r="GK120" i="12"/>
  <c r="GL120" i="12"/>
  <c r="GM120" i="12"/>
  <c r="GN120" i="12"/>
  <c r="GO120" i="12"/>
  <c r="GP120" i="12"/>
  <c r="GQ120" i="12"/>
  <c r="GR120" i="12"/>
  <c r="GS120" i="12"/>
  <c r="GT120" i="12"/>
  <c r="GU120" i="12"/>
  <c r="GV120" i="12"/>
  <c r="GW120" i="12"/>
  <c r="GX120" i="12"/>
  <c r="GY120" i="12"/>
  <c r="GZ120" i="12"/>
  <c r="HA120" i="12"/>
  <c r="HB120" i="12"/>
  <c r="HC120" i="12"/>
  <c r="HD120" i="12"/>
  <c r="HE120" i="12"/>
  <c r="HF120" i="12"/>
  <c r="HG120" i="12"/>
  <c r="HH120" i="12"/>
  <c r="HI120" i="12"/>
  <c r="HJ120" i="12"/>
  <c r="HK120" i="12"/>
  <c r="HL120" i="12"/>
  <c r="HM120" i="12"/>
  <c r="HN120" i="12"/>
  <c r="HO120" i="12"/>
  <c r="HP120" i="12"/>
  <c r="HQ120" i="12"/>
  <c r="HR120" i="12"/>
  <c r="HS120" i="12"/>
  <c r="HT120" i="12"/>
  <c r="HU120" i="12"/>
  <c r="HV120" i="12"/>
  <c r="HW120" i="12"/>
  <c r="HX120" i="12"/>
  <c r="HY120" i="12"/>
  <c r="HZ120" i="12"/>
  <c r="IA120" i="12"/>
  <c r="IB120" i="12"/>
  <c r="IC120" i="12"/>
  <c r="ID120" i="12"/>
  <c r="IE120" i="12"/>
  <c r="IF120" i="12"/>
  <c r="IG120" i="12"/>
  <c r="IH120" i="12"/>
  <c r="II120" i="12"/>
  <c r="IJ120" i="12"/>
  <c r="IK120" i="12"/>
  <c r="IL120" i="12"/>
  <c r="IM120" i="12"/>
  <c r="IN120" i="12"/>
  <c r="IO120" i="12"/>
  <c r="IP120" i="12"/>
  <c r="IQ120" i="12"/>
  <c r="IR120" i="12"/>
  <c r="IS120" i="12"/>
  <c r="IT120" i="12"/>
  <c r="IU120" i="12"/>
  <c r="IV120" i="12"/>
  <c r="A119" i="12"/>
  <c r="B119" i="12"/>
  <c r="C119" i="12"/>
  <c r="D119" i="12"/>
  <c r="E119" i="12"/>
  <c r="F119" i="12"/>
  <c r="G119" i="12"/>
  <c r="H119" i="12"/>
  <c r="I119" i="12"/>
  <c r="J119" i="12"/>
  <c r="K119" i="12"/>
  <c r="L119" i="12"/>
  <c r="N119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BC119" i="12"/>
  <c r="BD119" i="12"/>
  <c r="BE119" i="12"/>
  <c r="BF119" i="12"/>
  <c r="BG119" i="12"/>
  <c r="BH119" i="12"/>
  <c r="BI119" i="12"/>
  <c r="BJ119" i="12"/>
  <c r="BK119" i="12"/>
  <c r="BL119" i="12"/>
  <c r="BM119" i="12"/>
  <c r="BN119" i="12"/>
  <c r="BO119" i="12"/>
  <c r="BP119" i="12"/>
  <c r="BQ119" i="12"/>
  <c r="BR119" i="12"/>
  <c r="BS119" i="12"/>
  <c r="BT119" i="12"/>
  <c r="BU119" i="12"/>
  <c r="BV119" i="12"/>
  <c r="BW119" i="12"/>
  <c r="BX119" i="12"/>
  <c r="BY119" i="12"/>
  <c r="BZ119" i="12"/>
  <c r="CA119" i="12"/>
  <c r="CB119" i="12"/>
  <c r="CC119" i="12"/>
  <c r="CD119" i="12"/>
  <c r="CE119" i="12"/>
  <c r="CF119" i="12"/>
  <c r="CG119" i="12"/>
  <c r="CH119" i="12"/>
  <c r="CI119" i="12"/>
  <c r="CJ119" i="12"/>
  <c r="CK119" i="12"/>
  <c r="CL119" i="12"/>
  <c r="CM119" i="12"/>
  <c r="CN119" i="12"/>
  <c r="CO119" i="12"/>
  <c r="CP119" i="12"/>
  <c r="CQ119" i="12"/>
  <c r="CR119" i="12"/>
  <c r="CS119" i="12"/>
  <c r="CT119" i="12"/>
  <c r="CU119" i="12"/>
  <c r="CV119" i="12"/>
  <c r="CW119" i="12"/>
  <c r="CX119" i="12"/>
  <c r="CY119" i="12"/>
  <c r="CZ119" i="12"/>
  <c r="DA119" i="12"/>
  <c r="DB119" i="12"/>
  <c r="DC119" i="12"/>
  <c r="DD119" i="12"/>
  <c r="DE119" i="12"/>
  <c r="DF119" i="12"/>
  <c r="DG119" i="12"/>
  <c r="DH119" i="12"/>
  <c r="DI119" i="12"/>
  <c r="DJ119" i="12"/>
  <c r="DK119" i="12"/>
  <c r="DL119" i="12"/>
  <c r="DM119" i="12"/>
  <c r="DN119" i="12"/>
  <c r="DO119" i="12"/>
  <c r="DP119" i="12"/>
  <c r="DQ119" i="12"/>
  <c r="DR119" i="12"/>
  <c r="DS119" i="12"/>
  <c r="DT119" i="12"/>
  <c r="DU119" i="12"/>
  <c r="DV119" i="12"/>
  <c r="DW119" i="12"/>
  <c r="DX119" i="12"/>
  <c r="DY119" i="12"/>
  <c r="DZ119" i="12"/>
  <c r="EA119" i="12"/>
  <c r="EB119" i="12"/>
  <c r="EC119" i="12"/>
  <c r="ED119" i="12"/>
  <c r="EE119" i="12"/>
  <c r="EF119" i="12"/>
  <c r="EG119" i="12"/>
  <c r="EH119" i="12"/>
  <c r="EI119" i="12"/>
  <c r="EJ119" i="12"/>
  <c r="EK119" i="12"/>
  <c r="EL119" i="12"/>
  <c r="EM119" i="12"/>
  <c r="EN119" i="12"/>
  <c r="EO119" i="12"/>
  <c r="EP119" i="12"/>
  <c r="EQ119" i="12"/>
  <c r="ER119" i="12"/>
  <c r="ES119" i="12"/>
  <c r="ET119" i="12"/>
  <c r="EU119" i="12"/>
  <c r="EV119" i="12"/>
  <c r="EW119" i="12"/>
  <c r="EX119" i="12"/>
  <c r="EY119" i="12"/>
  <c r="EZ119" i="12"/>
  <c r="FA119" i="12"/>
  <c r="FB119" i="12"/>
  <c r="FC119" i="12"/>
  <c r="FD119" i="12"/>
  <c r="FE119" i="12"/>
  <c r="FF119" i="12"/>
  <c r="FG119" i="12"/>
  <c r="FH119" i="12"/>
  <c r="FI119" i="12"/>
  <c r="FJ119" i="12"/>
  <c r="FK119" i="12"/>
  <c r="FL119" i="12"/>
  <c r="FM119" i="12"/>
  <c r="FN119" i="12"/>
  <c r="FO119" i="12"/>
  <c r="FP119" i="12"/>
  <c r="FQ119" i="12"/>
  <c r="FR119" i="12"/>
  <c r="FS119" i="12"/>
  <c r="FT119" i="12"/>
  <c r="FU119" i="12"/>
  <c r="FV119" i="12"/>
  <c r="FW119" i="12"/>
  <c r="FX119" i="12"/>
  <c r="FY119" i="12"/>
  <c r="FZ119" i="12"/>
  <c r="GA119" i="12"/>
  <c r="GB119" i="12"/>
  <c r="GC119" i="12"/>
  <c r="GD119" i="12"/>
  <c r="GE119" i="12"/>
  <c r="GF119" i="12"/>
  <c r="GG119" i="12"/>
  <c r="GH119" i="12"/>
  <c r="GI119" i="12"/>
  <c r="GJ119" i="12"/>
  <c r="GK119" i="12"/>
  <c r="GL119" i="12"/>
  <c r="GM119" i="12"/>
  <c r="GN119" i="12"/>
  <c r="GO119" i="12"/>
  <c r="GP119" i="12"/>
  <c r="GQ119" i="12"/>
  <c r="GR119" i="12"/>
  <c r="GS119" i="12"/>
  <c r="GT119" i="12"/>
  <c r="GU119" i="12"/>
  <c r="GV119" i="12"/>
  <c r="GW119" i="12"/>
  <c r="GX119" i="12"/>
  <c r="GY119" i="12"/>
  <c r="GZ119" i="12"/>
  <c r="HA119" i="12"/>
  <c r="HB119" i="12"/>
  <c r="HC119" i="12"/>
  <c r="HD119" i="12"/>
  <c r="HE119" i="12"/>
  <c r="HF119" i="12"/>
  <c r="HG119" i="12"/>
  <c r="HH119" i="12"/>
  <c r="HI119" i="12"/>
  <c r="HJ119" i="12"/>
  <c r="HK119" i="12"/>
  <c r="HL119" i="12"/>
  <c r="HM119" i="12"/>
  <c r="HN119" i="12"/>
  <c r="HO119" i="12"/>
  <c r="HP119" i="12"/>
  <c r="HQ119" i="12"/>
  <c r="HR119" i="12"/>
  <c r="HS119" i="12"/>
  <c r="HT119" i="12"/>
  <c r="HU119" i="12"/>
  <c r="HV119" i="12"/>
  <c r="HW119" i="12"/>
  <c r="HX119" i="12"/>
  <c r="HY119" i="12"/>
  <c r="HZ119" i="12"/>
  <c r="IA119" i="12"/>
  <c r="IB119" i="12"/>
  <c r="IC119" i="12"/>
  <c r="ID119" i="12"/>
  <c r="IE119" i="12"/>
  <c r="IF119" i="12"/>
  <c r="IG119" i="12"/>
  <c r="IH119" i="12"/>
  <c r="II119" i="12"/>
  <c r="IJ119" i="12"/>
  <c r="IK119" i="12"/>
  <c r="IL119" i="12"/>
  <c r="IM119" i="12"/>
  <c r="IN119" i="12"/>
  <c r="IO119" i="12"/>
  <c r="IP119" i="12"/>
  <c r="IQ119" i="12"/>
  <c r="IR119" i="12"/>
  <c r="IS119" i="12"/>
  <c r="IT119" i="12"/>
  <c r="IU119" i="12"/>
  <c r="IV119" i="12"/>
  <c r="A118" i="12"/>
  <c r="B118" i="12"/>
  <c r="C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P118" i="12"/>
  <c r="Q118" i="12"/>
  <c r="R118" i="12"/>
  <c r="S118" i="12"/>
  <c r="T118" i="12"/>
  <c r="U118" i="12"/>
  <c r="V118" i="12"/>
  <c r="W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BC118" i="12"/>
  <c r="BD118" i="12"/>
  <c r="BE118" i="12"/>
  <c r="BF118" i="12"/>
  <c r="BG118" i="12"/>
  <c r="BH118" i="12"/>
  <c r="BI118" i="12"/>
  <c r="BJ118" i="12"/>
  <c r="BK118" i="12"/>
  <c r="BL118" i="12"/>
  <c r="BM118" i="12"/>
  <c r="BN118" i="12"/>
  <c r="BO118" i="12"/>
  <c r="BP118" i="12"/>
  <c r="BQ118" i="12"/>
  <c r="BR118" i="12"/>
  <c r="BS118" i="12"/>
  <c r="BT118" i="12"/>
  <c r="BU118" i="12"/>
  <c r="BV118" i="12"/>
  <c r="BW118" i="12"/>
  <c r="BX118" i="12"/>
  <c r="BY118" i="12"/>
  <c r="BZ118" i="12"/>
  <c r="CA118" i="12"/>
  <c r="CB118" i="12"/>
  <c r="CC118" i="12"/>
  <c r="CD118" i="12"/>
  <c r="CE118" i="12"/>
  <c r="CF118" i="12"/>
  <c r="CG118" i="12"/>
  <c r="CH118" i="12"/>
  <c r="CI118" i="12"/>
  <c r="CJ118" i="12"/>
  <c r="CK118" i="12"/>
  <c r="CL118" i="12"/>
  <c r="CM118" i="12"/>
  <c r="CN118" i="12"/>
  <c r="CO118" i="12"/>
  <c r="CP118" i="12"/>
  <c r="CQ118" i="12"/>
  <c r="CR118" i="12"/>
  <c r="CS118" i="12"/>
  <c r="CT118" i="12"/>
  <c r="CU118" i="12"/>
  <c r="CV118" i="12"/>
  <c r="CW118" i="12"/>
  <c r="CX118" i="12"/>
  <c r="CY118" i="12"/>
  <c r="CZ118" i="12"/>
  <c r="DA118" i="12"/>
  <c r="DB118" i="12"/>
  <c r="DC118" i="12"/>
  <c r="DD118" i="12"/>
  <c r="DE118" i="12"/>
  <c r="DF118" i="12"/>
  <c r="DG118" i="12"/>
  <c r="DH118" i="12"/>
  <c r="DI118" i="12"/>
  <c r="DJ118" i="12"/>
  <c r="DK118" i="12"/>
  <c r="DL118" i="12"/>
  <c r="DM118" i="12"/>
  <c r="DN118" i="12"/>
  <c r="DO118" i="12"/>
  <c r="DP118" i="12"/>
  <c r="DQ118" i="12"/>
  <c r="DR118" i="12"/>
  <c r="DS118" i="12"/>
  <c r="DT118" i="12"/>
  <c r="DU118" i="12"/>
  <c r="DV118" i="12"/>
  <c r="DW118" i="12"/>
  <c r="DX118" i="12"/>
  <c r="DY118" i="12"/>
  <c r="DZ118" i="12"/>
  <c r="EA118" i="12"/>
  <c r="EB118" i="12"/>
  <c r="EC118" i="12"/>
  <c r="ED118" i="12"/>
  <c r="EE118" i="12"/>
  <c r="EF118" i="12"/>
  <c r="EG118" i="12"/>
  <c r="EH118" i="12"/>
  <c r="EI118" i="12"/>
  <c r="EJ118" i="12"/>
  <c r="EK118" i="12"/>
  <c r="EL118" i="12"/>
  <c r="EM118" i="12"/>
  <c r="EN118" i="12"/>
  <c r="EO118" i="12"/>
  <c r="EP118" i="12"/>
  <c r="EQ118" i="12"/>
  <c r="ER118" i="12"/>
  <c r="ES118" i="12"/>
  <c r="ET118" i="12"/>
  <c r="EU118" i="12"/>
  <c r="EV118" i="12"/>
  <c r="EW118" i="12"/>
  <c r="EX118" i="12"/>
  <c r="EY118" i="12"/>
  <c r="EZ118" i="12"/>
  <c r="FA118" i="12"/>
  <c r="FB118" i="12"/>
  <c r="FC118" i="12"/>
  <c r="FD118" i="12"/>
  <c r="FE118" i="12"/>
  <c r="FF118" i="12"/>
  <c r="FG118" i="12"/>
  <c r="FH118" i="12"/>
  <c r="FI118" i="12"/>
  <c r="FJ118" i="12"/>
  <c r="FK118" i="12"/>
  <c r="FL118" i="12"/>
  <c r="FM118" i="12"/>
  <c r="FN118" i="12"/>
  <c r="FO118" i="12"/>
  <c r="FP118" i="12"/>
  <c r="FQ118" i="12"/>
  <c r="FR118" i="12"/>
  <c r="FS118" i="12"/>
  <c r="FT118" i="12"/>
  <c r="FU118" i="12"/>
  <c r="FV118" i="12"/>
  <c r="FW118" i="12"/>
  <c r="FX118" i="12"/>
  <c r="FY118" i="12"/>
  <c r="FZ118" i="12"/>
  <c r="GA118" i="12"/>
  <c r="GB118" i="12"/>
  <c r="GC118" i="12"/>
  <c r="GD118" i="12"/>
  <c r="GE118" i="12"/>
  <c r="GF118" i="12"/>
  <c r="GG118" i="12"/>
  <c r="GH118" i="12"/>
  <c r="GI118" i="12"/>
  <c r="GJ118" i="12"/>
  <c r="GK118" i="12"/>
  <c r="GL118" i="12"/>
  <c r="GM118" i="12"/>
  <c r="GN118" i="12"/>
  <c r="GO118" i="12"/>
  <c r="GP118" i="12"/>
  <c r="GQ118" i="12"/>
  <c r="GR118" i="12"/>
  <c r="GS118" i="12"/>
  <c r="GT118" i="12"/>
  <c r="GU118" i="12"/>
  <c r="GV118" i="12"/>
  <c r="GW118" i="12"/>
  <c r="GX118" i="12"/>
  <c r="GY118" i="12"/>
  <c r="GZ118" i="12"/>
  <c r="HA118" i="12"/>
  <c r="HB118" i="12"/>
  <c r="HC118" i="12"/>
  <c r="HD118" i="12"/>
  <c r="HE118" i="12"/>
  <c r="HF118" i="12"/>
  <c r="HG118" i="12"/>
  <c r="HH118" i="12"/>
  <c r="HI118" i="12"/>
  <c r="HJ118" i="12"/>
  <c r="HK118" i="12"/>
  <c r="HL118" i="12"/>
  <c r="HM118" i="12"/>
  <c r="HN118" i="12"/>
  <c r="HO118" i="12"/>
  <c r="HP118" i="12"/>
  <c r="HQ118" i="12"/>
  <c r="HR118" i="12"/>
  <c r="HS118" i="12"/>
  <c r="HT118" i="12"/>
  <c r="HU118" i="12"/>
  <c r="HV118" i="12"/>
  <c r="HW118" i="12"/>
  <c r="HX118" i="12"/>
  <c r="HY118" i="12"/>
  <c r="HZ118" i="12"/>
  <c r="IA118" i="12"/>
  <c r="IB118" i="12"/>
  <c r="IC118" i="12"/>
  <c r="ID118" i="12"/>
  <c r="IE118" i="12"/>
  <c r="IF118" i="12"/>
  <c r="IG118" i="12"/>
  <c r="IH118" i="12"/>
  <c r="II118" i="12"/>
  <c r="IJ118" i="12"/>
  <c r="IK118" i="12"/>
  <c r="IL118" i="12"/>
  <c r="IM118" i="12"/>
  <c r="IN118" i="12"/>
  <c r="IO118" i="12"/>
  <c r="IP118" i="12"/>
  <c r="IQ118" i="12"/>
  <c r="IR118" i="12"/>
  <c r="IS118" i="12"/>
  <c r="IT118" i="12"/>
  <c r="IU118" i="12"/>
  <c r="IV118" i="12"/>
  <c r="A117" i="12"/>
  <c r="B117" i="12"/>
  <c r="C117" i="12"/>
  <c r="D117" i="12"/>
  <c r="E117" i="12"/>
  <c r="F117" i="12"/>
  <c r="G117" i="12"/>
  <c r="H117" i="12"/>
  <c r="I117" i="12"/>
  <c r="J117" i="12"/>
  <c r="K117" i="12"/>
  <c r="L117" i="12"/>
  <c r="M117" i="12"/>
  <c r="N117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BC117" i="12"/>
  <c r="BD117" i="12"/>
  <c r="BE117" i="12"/>
  <c r="BF117" i="12"/>
  <c r="BG117" i="12"/>
  <c r="BH117" i="12"/>
  <c r="BI117" i="12"/>
  <c r="BJ117" i="12"/>
  <c r="BK117" i="12"/>
  <c r="BL117" i="12"/>
  <c r="BM117" i="12"/>
  <c r="BN117" i="12"/>
  <c r="BO117" i="12"/>
  <c r="BP117" i="12"/>
  <c r="BQ117" i="12"/>
  <c r="BR117" i="12"/>
  <c r="BS117" i="12"/>
  <c r="BT117" i="12"/>
  <c r="BU117" i="12"/>
  <c r="BV117" i="12"/>
  <c r="BW117" i="12"/>
  <c r="BX117" i="12"/>
  <c r="BY117" i="12"/>
  <c r="BZ117" i="12"/>
  <c r="CA117" i="12"/>
  <c r="CB117" i="12"/>
  <c r="CC117" i="12"/>
  <c r="CD117" i="12"/>
  <c r="CE117" i="12"/>
  <c r="CF117" i="12"/>
  <c r="CG117" i="12"/>
  <c r="CH117" i="12"/>
  <c r="CI117" i="12"/>
  <c r="CJ117" i="12"/>
  <c r="CK117" i="12"/>
  <c r="CL117" i="12"/>
  <c r="CM117" i="12"/>
  <c r="CN117" i="12"/>
  <c r="CO117" i="12"/>
  <c r="CP117" i="12"/>
  <c r="CQ117" i="12"/>
  <c r="CR117" i="12"/>
  <c r="CS117" i="12"/>
  <c r="CT117" i="12"/>
  <c r="CU117" i="12"/>
  <c r="CV117" i="12"/>
  <c r="CW117" i="12"/>
  <c r="CX117" i="12"/>
  <c r="CY117" i="12"/>
  <c r="CZ117" i="12"/>
  <c r="DA117" i="12"/>
  <c r="DB117" i="12"/>
  <c r="DC117" i="12"/>
  <c r="DD117" i="12"/>
  <c r="DE117" i="12"/>
  <c r="DF117" i="12"/>
  <c r="DG117" i="12"/>
  <c r="DH117" i="12"/>
  <c r="DI117" i="12"/>
  <c r="DJ117" i="12"/>
  <c r="DK117" i="12"/>
  <c r="DL117" i="12"/>
  <c r="DM117" i="12"/>
  <c r="DN117" i="12"/>
  <c r="DO117" i="12"/>
  <c r="DP117" i="12"/>
  <c r="DQ117" i="12"/>
  <c r="DR117" i="12"/>
  <c r="DS117" i="12"/>
  <c r="DT117" i="12"/>
  <c r="DU117" i="12"/>
  <c r="DV117" i="12"/>
  <c r="DW117" i="12"/>
  <c r="DX117" i="12"/>
  <c r="DY117" i="12"/>
  <c r="DZ117" i="12"/>
  <c r="EA117" i="12"/>
  <c r="EB117" i="12"/>
  <c r="EC117" i="12"/>
  <c r="ED117" i="12"/>
  <c r="EE117" i="12"/>
  <c r="EF117" i="12"/>
  <c r="EG117" i="12"/>
  <c r="EH117" i="12"/>
  <c r="EI117" i="12"/>
  <c r="EJ117" i="12"/>
  <c r="EK117" i="12"/>
  <c r="EL117" i="12"/>
  <c r="EM117" i="12"/>
  <c r="EN117" i="12"/>
  <c r="EO117" i="12"/>
  <c r="EP117" i="12"/>
  <c r="EQ117" i="12"/>
  <c r="ER117" i="12"/>
  <c r="ES117" i="12"/>
  <c r="ET117" i="12"/>
  <c r="EU117" i="12"/>
  <c r="EV117" i="12"/>
  <c r="EW117" i="12"/>
  <c r="EX117" i="12"/>
  <c r="EY117" i="12"/>
  <c r="EZ117" i="12"/>
  <c r="FA117" i="12"/>
  <c r="FB117" i="12"/>
  <c r="FC117" i="12"/>
  <c r="FD117" i="12"/>
  <c r="FE117" i="12"/>
  <c r="FF117" i="12"/>
  <c r="FG117" i="12"/>
  <c r="FH117" i="12"/>
  <c r="FI117" i="12"/>
  <c r="FJ117" i="12"/>
  <c r="FK117" i="12"/>
  <c r="FL117" i="12"/>
  <c r="FM117" i="12"/>
  <c r="FN117" i="12"/>
  <c r="FO117" i="12"/>
  <c r="FP117" i="12"/>
  <c r="FQ117" i="12"/>
  <c r="FR117" i="12"/>
  <c r="FS117" i="12"/>
  <c r="FT117" i="12"/>
  <c r="FU117" i="12"/>
  <c r="FV117" i="12"/>
  <c r="FW117" i="12"/>
  <c r="FX117" i="12"/>
  <c r="FY117" i="12"/>
  <c r="FZ117" i="12"/>
  <c r="GA117" i="12"/>
  <c r="GB117" i="12"/>
  <c r="GC117" i="12"/>
  <c r="GD117" i="12"/>
  <c r="GE117" i="12"/>
  <c r="GF117" i="12"/>
  <c r="GG117" i="12"/>
  <c r="GH117" i="12"/>
  <c r="GI117" i="12"/>
  <c r="GJ117" i="12"/>
  <c r="GK117" i="12"/>
  <c r="GL117" i="12"/>
  <c r="GM117" i="12"/>
  <c r="GN117" i="12"/>
  <c r="GO117" i="12"/>
  <c r="GP117" i="12"/>
  <c r="GQ117" i="12"/>
  <c r="GR117" i="12"/>
  <c r="GS117" i="12"/>
  <c r="GT117" i="12"/>
  <c r="GU117" i="12"/>
  <c r="GV117" i="12"/>
  <c r="GW117" i="12"/>
  <c r="GX117" i="12"/>
  <c r="GY117" i="12"/>
  <c r="GZ117" i="12"/>
  <c r="HA117" i="12"/>
  <c r="HB117" i="12"/>
  <c r="HC117" i="12"/>
  <c r="HD117" i="12"/>
  <c r="HE117" i="12"/>
  <c r="HF117" i="12"/>
  <c r="HG117" i="12"/>
  <c r="HH117" i="12"/>
  <c r="HI117" i="12"/>
  <c r="HJ117" i="12"/>
  <c r="HK117" i="12"/>
  <c r="HL117" i="12"/>
  <c r="HM117" i="12"/>
  <c r="HN117" i="12"/>
  <c r="HO117" i="12"/>
  <c r="HP117" i="12"/>
  <c r="HQ117" i="12"/>
  <c r="HR117" i="12"/>
  <c r="HS117" i="12"/>
  <c r="HT117" i="12"/>
  <c r="HU117" i="12"/>
  <c r="HV117" i="12"/>
  <c r="HW117" i="12"/>
  <c r="HX117" i="12"/>
  <c r="HY117" i="12"/>
  <c r="HZ117" i="12"/>
  <c r="IA117" i="12"/>
  <c r="IB117" i="12"/>
  <c r="IC117" i="12"/>
  <c r="ID117" i="12"/>
  <c r="IE117" i="12"/>
  <c r="IF117" i="12"/>
  <c r="IG117" i="12"/>
  <c r="IH117" i="12"/>
  <c r="II117" i="12"/>
  <c r="IJ117" i="12"/>
  <c r="IK117" i="12"/>
  <c r="IL117" i="12"/>
  <c r="IM117" i="12"/>
  <c r="IN117" i="12"/>
  <c r="IO117" i="12"/>
  <c r="IP117" i="12"/>
  <c r="IQ117" i="12"/>
  <c r="IR117" i="12"/>
  <c r="IS117" i="12"/>
  <c r="IT117" i="12"/>
  <c r="IU117" i="12"/>
  <c r="IV117" i="12"/>
  <c r="A116" i="12"/>
  <c r="B116" i="12"/>
  <c r="C116" i="12"/>
  <c r="D116" i="12"/>
  <c r="E116" i="12"/>
  <c r="F116" i="12"/>
  <c r="G116" i="12"/>
  <c r="H116" i="12"/>
  <c r="I116" i="12"/>
  <c r="J116" i="12"/>
  <c r="L116" i="12"/>
  <c r="M116" i="12"/>
  <c r="N116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BC116" i="12"/>
  <c r="BD116" i="12"/>
  <c r="BE116" i="12"/>
  <c r="BF116" i="12"/>
  <c r="BG116" i="12"/>
  <c r="BH116" i="12"/>
  <c r="BI116" i="12"/>
  <c r="BJ116" i="12"/>
  <c r="BK116" i="12"/>
  <c r="BL116" i="12"/>
  <c r="BM116" i="12"/>
  <c r="BN116" i="12"/>
  <c r="BO116" i="12"/>
  <c r="BP116" i="12"/>
  <c r="BQ116" i="12"/>
  <c r="BR116" i="12"/>
  <c r="BS116" i="12"/>
  <c r="BT116" i="12"/>
  <c r="BU116" i="12"/>
  <c r="BV116" i="12"/>
  <c r="BW116" i="12"/>
  <c r="BX116" i="12"/>
  <c r="BY116" i="12"/>
  <c r="BZ116" i="12"/>
  <c r="CA116" i="12"/>
  <c r="CB116" i="12"/>
  <c r="CC116" i="12"/>
  <c r="CD116" i="12"/>
  <c r="CE116" i="12"/>
  <c r="CF116" i="12"/>
  <c r="CG116" i="12"/>
  <c r="CH116" i="12"/>
  <c r="CI116" i="12"/>
  <c r="CJ116" i="12"/>
  <c r="CK116" i="12"/>
  <c r="CL116" i="12"/>
  <c r="CM116" i="12"/>
  <c r="CN116" i="12"/>
  <c r="CO116" i="12"/>
  <c r="CP116" i="12"/>
  <c r="CQ116" i="12"/>
  <c r="CR116" i="12"/>
  <c r="CS116" i="12"/>
  <c r="CT116" i="12"/>
  <c r="CU116" i="12"/>
  <c r="CV116" i="12"/>
  <c r="CW116" i="12"/>
  <c r="CX116" i="12"/>
  <c r="CY116" i="12"/>
  <c r="CZ116" i="12"/>
  <c r="DA116" i="12"/>
  <c r="DB116" i="12"/>
  <c r="DC116" i="12"/>
  <c r="DD116" i="12"/>
  <c r="DE116" i="12"/>
  <c r="DF116" i="12"/>
  <c r="DG116" i="12"/>
  <c r="DH116" i="12"/>
  <c r="DI116" i="12"/>
  <c r="DJ116" i="12"/>
  <c r="DK116" i="12"/>
  <c r="DL116" i="12"/>
  <c r="DM116" i="12"/>
  <c r="DN116" i="12"/>
  <c r="DO116" i="12"/>
  <c r="DP116" i="12"/>
  <c r="DQ116" i="12"/>
  <c r="DR116" i="12"/>
  <c r="DS116" i="12"/>
  <c r="DT116" i="12"/>
  <c r="DU116" i="12"/>
  <c r="DV116" i="12"/>
  <c r="DW116" i="12"/>
  <c r="DX116" i="12"/>
  <c r="DY116" i="12"/>
  <c r="DZ116" i="12"/>
  <c r="EA116" i="12"/>
  <c r="EB116" i="12"/>
  <c r="EC116" i="12"/>
  <c r="ED116" i="12"/>
  <c r="EE116" i="12"/>
  <c r="EF116" i="12"/>
  <c r="EG116" i="12"/>
  <c r="EH116" i="12"/>
  <c r="EI116" i="12"/>
  <c r="EJ116" i="12"/>
  <c r="EK116" i="12"/>
  <c r="EL116" i="12"/>
  <c r="EM116" i="12"/>
  <c r="EN116" i="12"/>
  <c r="EO116" i="12"/>
  <c r="EP116" i="12"/>
  <c r="EQ116" i="12"/>
  <c r="ER116" i="12"/>
  <c r="ES116" i="12"/>
  <c r="ET116" i="12"/>
  <c r="EU116" i="12"/>
  <c r="EV116" i="12"/>
  <c r="EW116" i="12"/>
  <c r="EX116" i="12"/>
  <c r="EY116" i="12"/>
  <c r="EZ116" i="12"/>
  <c r="FA116" i="12"/>
  <c r="FB116" i="12"/>
  <c r="FC116" i="12"/>
  <c r="FD116" i="12"/>
  <c r="FE116" i="12"/>
  <c r="FF116" i="12"/>
  <c r="FG116" i="12"/>
  <c r="FH116" i="12"/>
  <c r="FI116" i="12"/>
  <c r="FJ116" i="12"/>
  <c r="FK116" i="12"/>
  <c r="FL116" i="12"/>
  <c r="FM116" i="12"/>
  <c r="FN116" i="12"/>
  <c r="FO116" i="12"/>
  <c r="FP116" i="12"/>
  <c r="FQ116" i="12"/>
  <c r="FR116" i="12"/>
  <c r="FS116" i="12"/>
  <c r="FT116" i="12"/>
  <c r="FU116" i="12"/>
  <c r="FV116" i="12"/>
  <c r="FW116" i="12"/>
  <c r="FX116" i="12"/>
  <c r="FY116" i="12"/>
  <c r="FZ116" i="12"/>
  <c r="GA116" i="12"/>
  <c r="GB116" i="12"/>
  <c r="GC116" i="12"/>
  <c r="GD116" i="12"/>
  <c r="GE116" i="12"/>
  <c r="GF116" i="12"/>
  <c r="GG116" i="12"/>
  <c r="GH116" i="12"/>
  <c r="GI116" i="12"/>
  <c r="GJ116" i="12"/>
  <c r="GK116" i="12"/>
  <c r="GL116" i="12"/>
  <c r="GM116" i="12"/>
  <c r="GN116" i="12"/>
  <c r="GO116" i="12"/>
  <c r="GP116" i="12"/>
  <c r="GQ116" i="12"/>
  <c r="GR116" i="12"/>
  <c r="GS116" i="12"/>
  <c r="GT116" i="12"/>
  <c r="GU116" i="12"/>
  <c r="GV116" i="12"/>
  <c r="GW116" i="12"/>
  <c r="GX116" i="12"/>
  <c r="GY116" i="12"/>
  <c r="GZ116" i="12"/>
  <c r="HA116" i="12"/>
  <c r="HB116" i="12"/>
  <c r="HC116" i="12"/>
  <c r="HD116" i="12"/>
  <c r="HE116" i="12"/>
  <c r="HF116" i="12"/>
  <c r="HG116" i="12"/>
  <c r="HH116" i="12"/>
  <c r="HI116" i="12"/>
  <c r="HJ116" i="12"/>
  <c r="HK116" i="12"/>
  <c r="HL116" i="12"/>
  <c r="HM116" i="12"/>
  <c r="HN116" i="12"/>
  <c r="HO116" i="12"/>
  <c r="HP116" i="12"/>
  <c r="HQ116" i="12"/>
  <c r="HR116" i="12"/>
  <c r="HS116" i="12"/>
  <c r="HT116" i="12"/>
  <c r="HU116" i="12"/>
  <c r="HV116" i="12"/>
  <c r="HW116" i="12"/>
  <c r="HX116" i="12"/>
  <c r="HY116" i="12"/>
  <c r="HZ116" i="12"/>
  <c r="IA116" i="12"/>
  <c r="IB116" i="12"/>
  <c r="IC116" i="12"/>
  <c r="ID116" i="12"/>
  <c r="IE116" i="12"/>
  <c r="IF116" i="12"/>
  <c r="IG116" i="12"/>
  <c r="IH116" i="12"/>
  <c r="II116" i="12"/>
  <c r="IJ116" i="12"/>
  <c r="IK116" i="12"/>
  <c r="IL116" i="12"/>
  <c r="IM116" i="12"/>
  <c r="IN116" i="12"/>
  <c r="IO116" i="12"/>
  <c r="IP116" i="12"/>
  <c r="IQ116" i="12"/>
  <c r="IR116" i="12"/>
  <c r="IS116" i="12"/>
  <c r="IT116" i="12"/>
  <c r="IU116" i="12"/>
  <c r="IV116" i="12"/>
  <c r="A115" i="12"/>
  <c r="B115" i="12"/>
  <c r="C115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P115" i="12"/>
  <c r="Q115" i="12"/>
  <c r="R115" i="12"/>
  <c r="S115" i="12"/>
  <c r="T115" i="12"/>
  <c r="U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BC115" i="12"/>
  <c r="BD115" i="12"/>
  <c r="BE115" i="12"/>
  <c r="BF115" i="12"/>
  <c r="BG115" i="12"/>
  <c r="BH115" i="12"/>
  <c r="BI115" i="12"/>
  <c r="BJ115" i="12"/>
  <c r="BK115" i="12"/>
  <c r="BL115" i="12"/>
  <c r="BM115" i="12"/>
  <c r="BN115" i="12"/>
  <c r="BO115" i="12"/>
  <c r="BP115" i="12"/>
  <c r="BQ115" i="12"/>
  <c r="BR115" i="12"/>
  <c r="BS115" i="12"/>
  <c r="BT115" i="12"/>
  <c r="BU115" i="12"/>
  <c r="BV115" i="12"/>
  <c r="BW115" i="12"/>
  <c r="BX115" i="12"/>
  <c r="BY115" i="12"/>
  <c r="BZ115" i="12"/>
  <c r="CA115" i="12"/>
  <c r="CB115" i="12"/>
  <c r="CC115" i="12"/>
  <c r="CD115" i="12"/>
  <c r="CE115" i="12"/>
  <c r="CF115" i="12"/>
  <c r="CG115" i="12"/>
  <c r="CH115" i="12"/>
  <c r="CI115" i="12"/>
  <c r="CJ115" i="12"/>
  <c r="CK115" i="12"/>
  <c r="CL115" i="12"/>
  <c r="CM115" i="12"/>
  <c r="CN115" i="12"/>
  <c r="CO115" i="12"/>
  <c r="CP115" i="12"/>
  <c r="CQ115" i="12"/>
  <c r="CR115" i="12"/>
  <c r="CS115" i="12"/>
  <c r="CT115" i="12"/>
  <c r="CU115" i="12"/>
  <c r="CV115" i="12"/>
  <c r="CW115" i="12"/>
  <c r="CX115" i="12"/>
  <c r="CY115" i="12"/>
  <c r="CZ115" i="12"/>
  <c r="DA115" i="12"/>
  <c r="DB115" i="12"/>
  <c r="DC115" i="12"/>
  <c r="DD115" i="12"/>
  <c r="DE115" i="12"/>
  <c r="DF115" i="12"/>
  <c r="DG115" i="12"/>
  <c r="DH115" i="12"/>
  <c r="DI115" i="12"/>
  <c r="DJ115" i="12"/>
  <c r="DK115" i="12"/>
  <c r="DL115" i="12"/>
  <c r="DM115" i="12"/>
  <c r="DN115" i="12"/>
  <c r="DO115" i="12"/>
  <c r="DP115" i="12"/>
  <c r="DQ115" i="12"/>
  <c r="DR115" i="12"/>
  <c r="DS115" i="12"/>
  <c r="DT115" i="12"/>
  <c r="DU115" i="12"/>
  <c r="DV115" i="12"/>
  <c r="DW115" i="12"/>
  <c r="DX115" i="12"/>
  <c r="DY115" i="12"/>
  <c r="DZ115" i="12"/>
  <c r="EA115" i="12"/>
  <c r="EB115" i="12"/>
  <c r="EC115" i="12"/>
  <c r="ED115" i="12"/>
  <c r="EE115" i="12"/>
  <c r="EF115" i="12"/>
  <c r="EG115" i="12"/>
  <c r="EH115" i="12"/>
  <c r="EI115" i="12"/>
  <c r="EJ115" i="12"/>
  <c r="EK115" i="12"/>
  <c r="EL115" i="12"/>
  <c r="EM115" i="12"/>
  <c r="EN115" i="12"/>
  <c r="EO115" i="12"/>
  <c r="EP115" i="12"/>
  <c r="EQ115" i="12"/>
  <c r="ER115" i="12"/>
  <c r="ES115" i="12"/>
  <c r="ET115" i="12"/>
  <c r="EU115" i="12"/>
  <c r="EV115" i="12"/>
  <c r="EW115" i="12"/>
  <c r="EX115" i="12"/>
  <c r="EY115" i="12"/>
  <c r="EZ115" i="12"/>
  <c r="FA115" i="12"/>
  <c r="FB115" i="12"/>
  <c r="FC115" i="12"/>
  <c r="FD115" i="12"/>
  <c r="FE115" i="12"/>
  <c r="FF115" i="12"/>
  <c r="FG115" i="12"/>
  <c r="FH115" i="12"/>
  <c r="FI115" i="12"/>
  <c r="FJ115" i="12"/>
  <c r="FK115" i="12"/>
  <c r="FL115" i="12"/>
  <c r="FM115" i="12"/>
  <c r="FN115" i="12"/>
  <c r="FO115" i="12"/>
  <c r="FP115" i="12"/>
  <c r="FQ115" i="12"/>
  <c r="FR115" i="12"/>
  <c r="FS115" i="12"/>
  <c r="FT115" i="12"/>
  <c r="FU115" i="12"/>
  <c r="FV115" i="12"/>
  <c r="FW115" i="12"/>
  <c r="FX115" i="12"/>
  <c r="FY115" i="12"/>
  <c r="FZ115" i="12"/>
  <c r="GA115" i="12"/>
  <c r="GB115" i="12"/>
  <c r="GC115" i="12"/>
  <c r="GD115" i="12"/>
  <c r="GE115" i="12"/>
  <c r="GF115" i="12"/>
  <c r="GG115" i="12"/>
  <c r="GH115" i="12"/>
  <c r="GI115" i="12"/>
  <c r="GJ115" i="12"/>
  <c r="GK115" i="12"/>
  <c r="GL115" i="12"/>
  <c r="GM115" i="12"/>
  <c r="GN115" i="12"/>
  <c r="GO115" i="12"/>
  <c r="GP115" i="12"/>
  <c r="GQ115" i="12"/>
  <c r="GR115" i="12"/>
  <c r="GS115" i="12"/>
  <c r="GT115" i="12"/>
  <c r="GU115" i="12"/>
  <c r="GV115" i="12"/>
  <c r="GW115" i="12"/>
  <c r="GX115" i="12"/>
  <c r="GY115" i="12"/>
  <c r="GZ115" i="12"/>
  <c r="HA115" i="12"/>
  <c r="HB115" i="12"/>
  <c r="HC115" i="12"/>
  <c r="HD115" i="12"/>
  <c r="HE115" i="12"/>
  <c r="HF115" i="12"/>
  <c r="HG115" i="12"/>
  <c r="HH115" i="12"/>
  <c r="HI115" i="12"/>
  <c r="HJ115" i="12"/>
  <c r="HK115" i="12"/>
  <c r="HL115" i="12"/>
  <c r="HM115" i="12"/>
  <c r="HN115" i="12"/>
  <c r="HO115" i="12"/>
  <c r="HP115" i="12"/>
  <c r="HQ115" i="12"/>
  <c r="HR115" i="12"/>
  <c r="HS115" i="12"/>
  <c r="HT115" i="12"/>
  <c r="HU115" i="12"/>
  <c r="HV115" i="12"/>
  <c r="HW115" i="12"/>
  <c r="HX115" i="12"/>
  <c r="HY115" i="12"/>
  <c r="HZ115" i="12"/>
  <c r="IA115" i="12"/>
  <c r="IB115" i="12"/>
  <c r="IC115" i="12"/>
  <c r="ID115" i="12"/>
  <c r="IE115" i="12"/>
  <c r="IF115" i="12"/>
  <c r="IG115" i="12"/>
  <c r="IH115" i="12"/>
  <c r="II115" i="12"/>
  <c r="IJ115" i="12"/>
  <c r="IK115" i="12"/>
  <c r="IL115" i="12"/>
  <c r="IM115" i="12"/>
  <c r="IN115" i="12"/>
  <c r="IO115" i="12"/>
  <c r="IP115" i="12"/>
  <c r="IQ115" i="12"/>
  <c r="IR115" i="12"/>
  <c r="IS115" i="12"/>
  <c r="IT115" i="12"/>
  <c r="IU115" i="12"/>
  <c r="IV115" i="12"/>
  <c r="A114" i="12"/>
  <c r="B114" i="12"/>
  <c r="C114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BC114" i="12"/>
  <c r="BD114" i="12"/>
  <c r="BE114" i="12"/>
  <c r="BF114" i="12"/>
  <c r="BG114" i="12"/>
  <c r="BH114" i="12"/>
  <c r="BI114" i="12"/>
  <c r="BJ114" i="12"/>
  <c r="BK114" i="12"/>
  <c r="BL114" i="12"/>
  <c r="BM114" i="12"/>
  <c r="BN114" i="12"/>
  <c r="BO114" i="12"/>
  <c r="BP114" i="12"/>
  <c r="BQ114" i="12"/>
  <c r="BR114" i="12"/>
  <c r="BS114" i="12"/>
  <c r="BT114" i="12"/>
  <c r="BU114" i="12"/>
  <c r="BV114" i="12"/>
  <c r="BW114" i="12"/>
  <c r="BX114" i="12"/>
  <c r="BY114" i="12"/>
  <c r="BZ114" i="12"/>
  <c r="CA114" i="12"/>
  <c r="CB114" i="12"/>
  <c r="CC114" i="12"/>
  <c r="CD114" i="12"/>
  <c r="CE114" i="12"/>
  <c r="CF114" i="12"/>
  <c r="CG114" i="12"/>
  <c r="CH114" i="12"/>
  <c r="CI114" i="12"/>
  <c r="CJ114" i="12"/>
  <c r="CK114" i="12"/>
  <c r="CL114" i="12"/>
  <c r="CM114" i="12"/>
  <c r="CN114" i="12"/>
  <c r="CO114" i="12"/>
  <c r="CP114" i="12"/>
  <c r="CQ114" i="12"/>
  <c r="CR114" i="12"/>
  <c r="CS114" i="12"/>
  <c r="CT114" i="12"/>
  <c r="CU114" i="12"/>
  <c r="CV114" i="12"/>
  <c r="CW114" i="12"/>
  <c r="CX114" i="12"/>
  <c r="CY114" i="12"/>
  <c r="CZ114" i="12"/>
  <c r="DA114" i="12"/>
  <c r="DB114" i="12"/>
  <c r="DC114" i="12"/>
  <c r="DD114" i="12"/>
  <c r="DE114" i="12"/>
  <c r="DF114" i="12"/>
  <c r="DG114" i="12"/>
  <c r="DH114" i="12"/>
  <c r="DI114" i="12"/>
  <c r="DJ114" i="12"/>
  <c r="DK114" i="12"/>
  <c r="DL114" i="12"/>
  <c r="DM114" i="12"/>
  <c r="DN114" i="12"/>
  <c r="DO114" i="12"/>
  <c r="DP114" i="12"/>
  <c r="DQ114" i="12"/>
  <c r="DR114" i="12"/>
  <c r="DS114" i="12"/>
  <c r="DT114" i="12"/>
  <c r="DU114" i="12"/>
  <c r="DV114" i="12"/>
  <c r="DW114" i="12"/>
  <c r="DX114" i="12"/>
  <c r="DY114" i="12"/>
  <c r="DZ114" i="12"/>
  <c r="EA114" i="12"/>
  <c r="EB114" i="12"/>
  <c r="EC114" i="12"/>
  <c r="ED114" i="12"/>
  <c r="EE114" i="12"/>
  <c r="EF114" i="12"/>
  <c r="EG114" i="12"/>
  <c r="EH114" i="12"/>
  <c r="EI114" i="12"/>
  <c r="EJ114" i="12"/>
  <c r="EK114" i="12"/>
  <c r="EL114" i="12"/>
  <c r="EM114" i="12"/>
  <c r="EN114" i="12"/>
  <c r="EO114" i="12"/>
  <c r="EP114" i="12"/>
  <c r="EQ114" i="12"/>
  <c r="ER114" i="12"/>
  <c r="ES114" i="12"/>
  <c r="ET114" i="12"/>
  <c r="EU114" i="12"/>
  <c r="EV114" i="12"/>
  <c r="EW114" i="12"/>
  <c r="EX114" i="12"/>
  <c r="EY114" i="12"/>
  <c r="EZ114" i="12"/>
  <c r="FA114" i="12"/>
  <c r="FB114" i="12"/>
  <c r="FC114" i="12"/>
  <c r="FD114" i="12"/>
  <c r="FE114" i="12"/>
  <c r="FF114" i="12"/>
  <c r="FG114" i="12"/>
  <c r="FH114" i="12"/>
  <c r="FI114" i="12"/>
  <c r="FJ114" i="12"/>
  <c r="FK114" i="12"/>
  <c r="FL114" i="12"/>
  <c r="FM114" i="12"/>
  <c r="FN114" i="12"/>
  <c r="FO114" i="12"/>
  <c r="FP114" i="12"/>
  <c r="FQ114" i="12"/>
  <c r="FR114" i="12"/>
  <c r="FS114" i="12"/>
  <c r="FT114" i="12"/>
  <c r="FU114" i="12"/>
  <c r="FV114" i="12"/>
  <c r="FW114" i="12"/>
  <c r="FX114" i="12"/>
  <c r="FY114" i="12"/>
  <c r="FZ114" i="12"/>
  <c r="GA114" i="12"/>
  <c r="GB114" i="12"/>
  <c r="GC114" i="12"/>
  <c r="GD114" i="12"/>
  <c r="GE114" i="12"/>
  <c r="GF114" i="12"/>
  <c r="GG114" i="12"/>
  <c r="GH114" i="12"/>
  <c r="GI114" i="12"/>
  <c r="GJ114" i="12"/>
  <c r="GK114" i="12"/>
  <c r="GL114" i="12"/>
  <c r="GM114" i="12"/>
  <c r="GN114" i="12"/>
  <c r="GO114" i="12"/>
  <c r="GP114" i="12"/>
  <c r="GQ114" i="12"/>
  <c r="GR114" i="12"/>
  <c r="GS114" i="12"/>
  <c r="GT114" i="12"/>
  <c r="GU114" i="12"/>
  <c r="GV114" i="12"/>
  <c r="GW114" i="12"/>
  <c r="GX114" i="12"/>
  <c r="GY114" i="12"/>
  <c r="GZ114" i="12"/>
  <c r="HA114" i="12"/>
  <c r="HB114" i="12"/>
  <c r="HC114" i="12"/>
  <c r="HD114" i="12"/>
  <c r="HE114" i="12"/>
  <c r="HF114" i="12"/>
  <c r="HG114" i="12"/>
  <c r="HH114" i="12"/>
  <c r="HI114" i="12"/>
  <c r="HJ114" i="12"/>
  <c r="HK114" i="12"/>
  <c r="HL114" i="12"/>
  <c r="HM114" i="12"/>
  <c r="HN114" i="12"/>
  <c r="HO114" i="12"/>
  <c r="HP114" i="12"/>
  <c r="HQ114" i="12"/>
  <c r="HR114" i="12"/>
  <c r="HS114" i="12"/>
  <c r="HT114" i="12"/>
  <c r="HU114" i="12"/>
  <c r="HV114" i="12"/>
  <c r="HW114" i="12"/>
  <c r="HX114" i="12"/>
  <c r="HY114" i="12"/>
  <c r="HZ114" i="12"/>
  <c r="IA114" i="12"/>
  <c r="IB114" i="12"/>
  <c r="IC114" i="12"/>
  <c r="ID114" i="12"/>
  <c r="IE114" i="12"/>
  <c r="IF114" i="12"/>
  <c r="IG114" i="12"/>
  <c r="IH114" i="12"/>
  <c r="II114" i="12"/>
  <c r="IJ114" i="12"/>
  <c r="IK114" i="12"/>
  <c r="IL114" i="12"/>
  <c r="IM114" i="12"/>
  <c r="IN114" i="12"/>
  <c r="IO114" i="12"/>
  <c r="IP114" i="12"/>
  <c r="IQ114" i="12"/>
  <c r="IR114" i="12"/>
  <c r="IS114" i="12"/>
  <c r="IT114" i="12"/>
  <c r="IU114" i="12"/>
  <c r="IV114" i="12"/>
  <c r="A113" i="12"/>
  <c r="B113" i="12"/>
  <c r="C113" i="12"/>
  <c r="D113" i="12"/>
  <c r="E113" i="12"/>
  <c r="F113" i="12"/>
  <c r="G113" i="12"/>
  <c r="H113" i="12"/>
  <c r="J113" i="12"/>
  <c r="K113" i="12"/>
  <c r="L113" i="12"/>
  <c r="M113" i="12"/>
  <c r="N113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BC113" i="12"/>
  <c r="BD113" i="12"/>
  <c r="BE113" i="12"/>
  <c r="BF113" i="12"/>
  <c r="BG113" i="12"/>
  <c r="BH113" i="12"/>
  <c r="BI113" i="12"/>
  <c r="BJ113" i="12"/>
  <c r="BK113" i="12"/>
  <c r="BL113" i="12"/>
  <c r="BM113" i="12"/>
  <c r="BN113" i="12"/>
  <c r="BO113" i="12"/>
  <c r="BP113" i="12"/>
  <c r="BQ113" i="12"/>
  <c r="BR113" i="12"/>
  <c r="BS113" i="12"/>
  <c r="BT113" i="12"/>
  <c r="BU113" i="12"/>
  <c r="BV113" i="12"/>
  <c r="BW113" i="12"/>
  <c r="BX113" i="12"/>
  <c r="BY113" i="12"/>
  <c r="BZ113" i="12"/>
  <c r="CA113" i="12"/>
  <c r="CB113" i="12"/>
  <c r="CC113" i="12"/>
  <c r="CD113" i="12"/>
  <c r="CE113" i="12"/>
  <c r="CF113" i="12"/>
  <c r="CG113" i="12"/>
  <c r="CH113" i="12"/>
  <c r="CI113" i="12"/>
  <c r="CJ113" i="12"/>
  <c r="CK113" i="12"/>
  <c r="CL113" i="12"/>
  <c r="CM113" i="12"/>
  <c r="CN113" i="12"/>
  <c r="CO113" i="12"/>
  <c r="CP113" i="12"/>
  <c r="CQ113" i="12"/>
  <c r="CR113" i="12"/>
  <c r="CS113" i="12"/>
  <c r="CT113" i="12"/>
  <c r="CU113" i="12"/>
  <c r="CV113" i="12"/>
  <c r="CW113" i="12"/>
  <c r="CX113" i="12"/>
  <c r="CY113" i="12"/>
  <c r="CZ113" i="12"/>
  <c r="DA113" i="12"/>
  <c r="DB113" i="12"/>
  <c r="DC113" i="12"/>
  <c r="DD113" i="12"/>
  <c r="DE113" i="12"/>
  <c r="DF113" i="12"/>
  <c r="DG113" i="12"/>
  <c r="DH113" i="12"/>
  <c r="DI113" i="12"/>
  <c r="DJ113" i="12"/>
  <c r="DK113" i="12"/>
  <c r="DL113" i="12"/>
  <c r="DM113" i="12"/>
  <c r="DN113" i="12"/>
  <c r="DO113" i="12"/>
  <c r="DP113" i="12"/>
  <c r="DQ113" i="12"/>
  <c r="DR113" i="12"/>
  <c r="DS113" i="12"/>
  <c r="DT113" i="12"/>
  <c r="DU113" i="12"/>
  <c r="DV113" i="12"/>
  <c r="DW113" i="12"/>
  <c r="DX113" i="12"/>
  <c r="DY113" i="12"/>
  <c r="DZ113" i="12"/>
  <c r="EA113" i="12"/>
  <c r="EB113" i="12"/>
  <c r="EC113" i="12"/>
  <c r="ED113" i="12"/>
  <c r="EE113" i="12"/>
  <c r="EF113" i="12"/>
  <c r="EG113" i="12"/>
  <c r="EH113" i="12"/>
  <c r="EI113" i="12"/>
  <c r="EJ113" i="12"/>
  <c r="EK113" i="12"/>
  <c r="EL113" i="12"/>
  <c r="EM113" i="12"/>
  <c r="EN113" i="12"/>
  <c r="EO113" i="12"/>
  <c r="EP113" i="12"/>
  <c r="EQ113" i="12"/>
  <c r="ER113" i="12"/>
  <c r="ES113" i="12"/>
  <c r="ET113" i="12"/>
  <c r="EU113" i="12"/>
  <c r="EV113" i="12"/>
  <c r="EW113" i="12"/>
  <c r="EX113" i="12"/>
  <c r="EY113" i="12"/>
  <c r="EZ113" i="12"/>
  <c r="FA113" i="12"/>
  <c r="FB113" i="12"/>
  <c r="FC113" i="12"/>
  <c r="FD113" i="12"/>
  <c r="FE113" i="12"/>
  <c r="FF113" i="12"/>
  <c r="FG113" i="12"/>
  <c r="FH113" i="12"/>
  <c r="FI113" i="12"/>
  <c r="FJ113" i="12"/>
  <c r="FK113" i="12"/>
  <c r="FL113" i="12"/>
  <c r="FM113" i="12"/>
  <c r="FN113" i="12"/>
  <c r="FO113" i="12"/>
  <c r="FP113" i="12"/>
  <c r="FQ113" i="12"/>
  <c r="FR113" i="12"/>
  <c r="FS113" i="12"/>
  <c r="FT113" i="12"/>
  <c r="FU113" i="12"/>
  <c r="FV113" i="12"/>
  <c r="FW113" i="12"/>
  <c r="FX113" i="12"/>
  <c r="FY113" i="12"/>
  <c r="FZ113" i="12"/>
  <c r="GA113" i="12"/>
  <c r="GB113" i="12"/>
  <c r="GC113" i="12"/>
  <c r="GD113" i="12"/>
  <c r="GE113" i="12"/>
  <c r="GF113" i="12"/>
  <c r="GG113" i="12"/>
  <c r="GH113" i="12"/>
  <c r="GI113" i="12"/>
  <c r="GJ113" i="12"/>
  <c r="GK113" i="12"/>
  <c r="GL113" i="12"/>
  <c r="GM113" i="12"/>
  <c r="GN113" i="12"/>
  <c r="GO113" i="12"/>
  <c r="GP113" i="12"/>
  <c r="GQ113" i="12"/>
  <c r="GR113" i="12"/>
  <c r="GS113" i="12"/>
  <c r="GT113" i="12"/>
  <c r="GU113" i="12"/>
  <c r="GV113" i="12"/>
  <c r="GW113" i="12"/>
  <c r="GX113" i="12"/>
  <c r="GY113" i="12"/>
  <c r="GZ113" i="12"/>
  <c r="HA113" i="12"/>
  <c r="HB113" i="12"/>
  <c r="HC113" i="12"/>
  <c r="HD113" i="12"/>
  <c r="HE113" i="12"/>
  <c r="HF113" i="12"/>
  <c r="HG113" i="12"/>
  <c r="HH113" i="12"/>
  <c r="HI113" i="12"/>
  <c r="HJ113" i="12"/>
  <c r="HK113" i="12"/>
  <c r="HL113" i="12"/>
  <c r="HM113" i="12"/>
  <c r="HN113" i="12"/>
  <c r="HO113" i="12"/>
  <c r="HP113" i="12"/>
  <c r="HQ113" i="12"/>
  <c r="HR113" i="12"/>
  <c r="HS113" i="12"/>
  <c r="HT113" i="12"/>
  <c r="HU113" i="12"/>
  <c r="HV113" i="12"/>
  <c r="HW113" i="12"/>
  <c r="HX113" i="12"/>
  <c r="HY113" i="12"/>
  <c r="HZ113" i="12"/>
  <c r="IA113" i="12"/>
  <c r="IB113" i="12"/>
  <c r="IC113" i="12"/>
  <c r="ID113" i="12"/>
  <c r="IE113" i="12"/>
  <c r="IF113" i="12"/>
  <c r="IG113" i="12"/>
  <c r="IH113" i="12"/>
  <c r="II113" i="12"/>
  <c r="IJ113" i="12"/>
  <c r="IK113" i="12"/>
  <c r="IL113" i="12"/>
  <c r="IM113" i="12"/>
  <c r="IN113" i="12"/>
  <c r="IO113" i="12"/>
  <c r="IP113" i="12"/>
  <c r="IQ113" i="12"/>
  <c r="IR113" i="12"/>
  <c r="IS113" i="12"/>
  <c r="IT113" i="12"/>
  <c r="IU113" i="12"/>
  <c r="IV113" i="12"/>
  <c r="A112" i="12"/>
  <c r="B112" i="12"/>
  <c r="C112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Q112" i="12"/>
  <c r="R112" i="12"/>
  <c r="S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BC112" i="12"/>
  <c r="BD112" i="12"/>
  <c r="BE112" i="12"/>
  <c r="BF112" i="12"/>
  <c r="BG112" i="12"/>
  <c r="BH112" i="12"/>
  <c r="BI112" i="12"/>
  <c r="BJ112" i="12"/>
  <c r="BK112" i="12"/>
  <c r="BL112" i="12"/>
  <c r="BM112" i="12"/>
  <c r="BN112" i="12"/>
  <c r="BO112" i="12"/>
  <c r="BP112" i="12"/>
  <c r="BQ112" i="12"/>
  <c r="BR112" i="12"/>
  <c r="BS112" i="12"/>
  <c r="BT112" i="12"/>
  <c r="BU112" i="12"/>
  <c r="BV112" i="12"/>
  <c r="BW112" i="12"/>
  <c r="BX112" i="12"/>
  <c r="BY112" i="12"/>
  <c r="BZ112" i="12"/>
  <c r="CA112" i="12"/>
  <c r="CB112" i="12"/>
  <c r="CC112" i="12"/>
  <c r="CD112" i="12"/>
  <c r="CE112" i="12"/>
  <c r="CF112" i="12"/>
  <c r="CG112" i="12"/>
  <c r="CH112" i="12"/>
  <c r="CI112" i="12"/>
  <c r="CJ112" i="12"/>
  <c r="CK112" i="12"/>
  <c r="CL112" i="12"/>
  <c r="CM112" i="12"/>
  <c r="CN112" i="12"/>
  <c r="CO112" i="12"/>
  <c r="CP112" i="12"/>
  <c r="CQ112" i="12"/>
  <c r="CR112" i="12"/>
  <c r="CS112" i="12"/>
  <c r="CT112" i="12"/>
  <c r="CU112" i="12"/>
  <c r="CV112" i="12"/>
  <c r="CW112" i="12"/>
  <c r="CX112" i="12"/>
  <c r="CY112" i="12"/>
  <c r="CZ112" i="12"/>
  <c r="DA112" i="12"/>
  <c r="DB112" i="12"/>
  <c r="DC112" i="12"/>
  <c r="DD112" i="12"/>
  <c r="DE112" i="12"/>
  <c r="DF112" i="12"/>
  <c r="DG112" i="12"/>
  <c r="DH112" i="12"/>
  <c r="DI112" i="12"/>
  <c r="DJ112" i="12"/>
  <c r="DK112" i="12"/>
  <c r="DL112" i="12"/>
  <c r="DM112" i="12"/>
  <c r="DN112" i="12"/>
  <c r="DO112" i="12"/>
  <c r="DP112" i="12"/>
  <c r="DQ112" i="12"/>
  <c r="DR112" i="12"/>
  <c r="DS112" i="12"/>
  <c r="DT112" i="12"/>
  <c r="DU112" i="12"/>
  <c r="DV112" i="12"/>
  <c r="DW112" i="12"/>
  <c r="DX112" i="12"/>
  <c r="DY112" i="12"/>
  <c r="DZ112" i="12"/>
  <c r="EA112" i="12"/>
  <c r="EB112" i="12"/>
  <c r="EC112" i="12"/>
  <c r="ED112" i="12"/>
  <c r="EE112" i="12"/>
  <c r="EF112" i="12"/>
  <c r="EG112" i="12"/>
  <c r="EH112" i="12"/>
  <c r="EI112" i="12"/>
  <c r="EJ112" i="12"/>
  <c r="EK112" i="12"/>
  <c r="EL112" i="12"/>
  <c r="EM112" i="12"/>
  <c r="EN112" i="12"/>
  <c r="EO112" i="12"/>
  <c r="EP112" i="12"/>
  <c r="EQ112" i="12"/>
  <c r="ER112" i="12"/>
  <c r="ES112" i="12"/>
  <c r="ET112" i="12"/>
  <c r="EU112" i="12"/>
  <c r="EV112" i="12"/>
  <c r="EW112" i="12"/>
  <c r="EX112" i="12"/>
  <c r="EY112" i="12"/>
  <c r="EZ112" i="12"/>
  <c r="FA112" i="12"/>
  <c r="FB112" i="12"/>
  <c r="FC112" i="12"/>
  <c r="FD112" i="12"/>
  <c r="FE112" i="12"/>
  <c r="FF112" i="12"/>
  <c r="FG112" i="12"/>
  <c r="FH112" i="12"/>
  <c r="FI112" i="12"/>
  <c r="FJ112" i="12"/>
  <c r="FK112" i="12"/>
  <c r="FL112" i="12"/>
  <c r="FM112" i="12"/>
  <c r="FN112" i="12"/>
  <c r="FO112" i="12"/>
  <c r="FP112" i="12"/>
  <c r="FQ112" i="12"/>
  <c r="FR112" i="12"/>
  <c r="FS112" i="12"/>
  <c r="FT112" i="12"/>
  <c r="FU112" i="12"/>
  <c r="FV112" i="12"/>
  <c r="FW112" i="12"/>
  <c r="FX112" i="12"/>
  <c r="FY112" i="12"/>
  <c r="FZ112" i="12"/>
  <c r="GA112" i="12"/>
  <c r="GB112" i="12"/>
  <c r="GC112" i="12"/>
  <c r="GD112" i="12"/>
  <c r="GE112" i="12"/>
  <c r="GF112" i="12"/>
  <c r="GG112" i="12"/>
  <c r="GH112" i="12"/>
  <c r="GI112" i="12"/>
  <c r="GJ112" i="12"/>
  <c r="GK112" i="12"/>
  <c r="GL112" i="12"/>
  <c r="GM112" i="12"/>
  <c r="GN112" i="12"/>
  <c r="GO112" i="12"/>
  <c r="GP112" i="12"/>
  <c r="GQ112" i="12"/>
  <c r="GR112" i="12"/>
  <c r="GS112" i="12"/>
  <c r="GT112" i="12"/>
  <c r="GU112" i="12"/>
  <c r="GV112" i="12"/>
  <c r="GW112" i="12"/>
  <c r="GX112" i="12"/>
  <c r="GY112" i="12"/>
  <c r="GZ112" i="12"/>
  <c r="HA112" i="12"/>
  <c r="HB112" i="12"/>
  <c r="HC112" i="12"/>
  <c r="HD112" i="12"/>
  <c r="HE112" i="12"/>
  <c r="HF112" i="12"/>
  <c r="HG112" i="12"/>
  <c r="HH112" i="12"/>
  <c r="HI112" i="12"/>
  <c r="HJ112" i="12"/>
  <c r="HK112" i="12"/>
  <c r="HL112" i="12"/>
  <c r="HM112" i="12"/>
  <c r="HN112" i="12"/>
  <c r="HO112" i="12"/>
  <c r="HP112" i="12"/>
  <c r="HQ112" i="12"/>
  <c r="HR112" i="12"/>
  <c r="HS112" i="12"/>
  <c r="HT112" i="12"/>
  <c r="HU112" i="12"/>
  <c r="HV112" i="12"/>
  <c r="HW112" i="12"/>
  <c r="HX112" i="12"/>
  <c r="HY112" i="12"/>
  <c r="HZ112" i="12"/>
  <c r="IA112" i="12"/>
  <c r="IB112" i="12"/>
  <c r="IC112" i="12"/>
  <c r="ID112" i="12"/>
  <c r="IE112" i="12"/>
  <c r="IF112" i="12"/>
  <c r="IG112" i="12"/>
  <c r="IH112" i="12"/>
  <c r="II112" i="12"/>
  <c r="IJ112" i="12"/>
  <c r="IK112" i="12"/>
  <c r="IL112" i="12"/>
  <c r="IM112" i="12"/>
  <c r="IN112" i="12"/>
  <c r="IO112" i="12"/>
  <c r="IP112" i="12"/>
  <c r="IQ112" i="12"/>
  <c r="IR112" i="12"/>
  <c r="IS112" i="12"/>
  <c r="IT112" i="12"/>
  <c r="IU112" i="12"/>
  <c r="IV112" i="12"/>
  <c r="A111" i="12"/>
  <c r="B111" i="12"/>
  <c r="C111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BC111" i="12"/>
  <c r="BD111" i="12"/>
  <c r="BE111" i="12"/>
  <c r="BF111" i="12"/>
  <c r="BG111" i="12"/>
  <c r="BH111" i="12"/>
  <c r="BI111" i="12"/>
  <c r="BJ111" i="12"/>
  <c r="BK111" i="12"/>
  <c r="BL111" i="12"/>
  <c r="BM111" i="12"/>
  <c r="BN111" i="12"/>
  <c r="BO111" i="12"/>
  <c r="BP111" i="12"/>
  <c r="BQ111" i="12"/>
  <c r="BR111" i="12"/>
  <c r="BS111" i="12"/>
  <c r="BT111" i="12"/>
  <c r="BU111" i="12"/>
  <c r="BV111" i="12"/>
  <c r="BW111" i="12"/>
  <c r="BX111" i="12"/>
  <c r="BY111" i="12"/>
  <c r="BZ111" i="12"/>
  <c r="CA111" i="12"/>
  <c r="CB111" i="12"/>
  <c r="CC111" i="12"/>
  <c r="CD111" i="12"/>
  <c r="CE111" i="12"/>
  <c r="CF111" i="12"/>
  <c r="CG111" i="12"/>
  <c r="CH111" i="12"/>
  <c r="CI111" i="12"/>
  <c r="CJ111" i="12"/>
  <c r="CK111" i="12"/>
  <c r="CL111" i="12"/>
  <c r="CM111" i="12"/>
  <c r="CN111" i="12"/>
  <c r="CO111" i="12"/>
  <c r="CP111" i="12"/>
  <c r="CQ111" i="12"/>
  <c r="CR111" i="12"/>
  <c r="CS111" i="12"/>
  <c r="CT111" i="12"/>
  <c r="CU111" i="12"/>
  <c r="CV111" i="12"/>
  <c r="CW111" i="12"/>
  <c r="CX111" i="12"/>
  <c r="CY111" i="12"/>
  <c r="CZ111" i="12"/>
  <c r="DA111" i="12"/>
  <c r="DB111" i="12"/>
  <c r="DC111" i="12"/>
  <c r="DD111" i="12"/>
  <c r="DE111" i="12"/>
  <c r="DF111" i="12"/>
  <c r="DG111" i="12"/>
  <c r="DH111" i="12"/>
  <c r="DI111" i="12"/>
  <c r="DJ111" i="12"/>
  <c r="DK111" i="12"/>
  <c r="DL111" i="12"/>
  <c r="DM111" i="12"/>
  <c r="DN111" i="12"/>
  <c r="DO111" i="12"/>
  <c r="DP111" i="12"/>
  <c r="DQ111" i="12"/>
  <c r="DR111" i="12"/>
  <c r="DS111" i="12"/>
  <c r="DT111" i="12"/>
  <c r="DU111" i="12"/>
  <c r="DV111" i="12"/>
  <c r="DW111" i="12"/>
  <c r="DX111" i="12"/>
  <c r="DY111" i="12"/>
  <c r="DZ111" i="12"/>
  <c r="EA111" i="12"/>
  <c r="EB111" i="12"/>
  <c r="EC111" i="12"/>
  <c r="ED111" i="12"/>
  <c r="EE111" i="12"/>
  <c r="EF111" i="12"/>
  <c r="EG111" i="12"/>
  <c r="EH111" i="12"/>
  <c r="EI111" i="12"/>
  <c r="EJ111" i="12"/>
  <c r="EK111" i="12"/>
  <c r="EL111" i="12"/>
  <c r="EM111" i="12"/>
  <c r="EN111" i="12"/>
  <c r="EO111" i="12"/>
  <c r="EP111" i="12"/>
  <c r="EQ111" i="12"/>
  <c r="ER111" i="12"/>
  <c r="ES111" i="12"/>
  <c r="ET111" i="12"/>
  <c r="EU111" i="12"/>
  <c r="EV111" i="12"/>
  <c r="EW111" i="12"/>
  <c r="EX111" i="12"/>
  <c r="EY111" i="12"/>
  <c r="EZ111" i="12"/>
  <c r="FA111" i="12"/>
  <c r="FB111" i="12"/>
  <c r="FC111" i="12"/>
  <c r="FD111" i="12"/>
  <c r="FE111" i="12"/>
  <c r="FF111" i="12"/>
  <c r="FG111" i="12"/>
  <c r="FH111" i="12"/>
  <c r="FI111" i="12"/>
  <c r="FJ111" i="12"/>
  <c r="FK111" i="12"/>
  <c r="FL111" i="12"/>
  <c r="FM111" i="12"/>
  <c r="FN111" i="12"/>
  <c r="FO111" i="12"/>
  <c r="FP111" i="12"/>
  <c r="FQ111" i="12"/>
  <c r="FR111" i="12"/>
  <c r="FS111" i="12"/>
  <c r="FT111" i="12"/>
  <c r="FU111" i="12"/>
  <c r="FV111" i="12"/>
  <c r="FW111" i="12"/>
  <c r="FX111" i="12"/>
  <c r="FY111" i="12"/>
  <c r="FZ111" i="12"/>
  <c r="GA111" i="12"/>
  <c r="GB111" i="12"/>
  <c r="GC111" i="12"/>
  <c r="GD111" i="12"/>
  <c r="GE111" i="12"/>
  <c r="GF111" i="12"/>
  <c r="GG111" i="12"/>
  <c r="GH111" i="12"/>
  <c r="GI111" i="12"/>
  <c r="GJ111" i="12"/>
  <c r="GK111" i="12"/>
  <c r="GL111" i="12"/>
  <c r="GM111" i="12"/>
  <c r="GN111" i="12"/>
  <c r="GO111" i="12"/>
  <c r="GP111" i="12"/>
  <c r="GQ111" i="12"/>
  <c r="GR111" i="12"/>
  <c r="GS111" i="12"/>
  <c r="GT111" i="12"/>
  <c r="GU111" i="12"/>
  <c r="GV111" i="12"/>
  <c r="GW111" i="12"/>
  <c r="GX111" i="12"/>
  <c r="GY111" i="12"/>
  <c r="GZ111" i="12"/>
  <c r="HA111" i="12"/>
  <c r="HB111" i="12"/>
  <c r="HC111" i="12"/>
  <c r="HD111" i="12"/>
  <c r="HE111" i="12"/>
  <c r="HF111" i="12"/>
  <c r="HG111" i="12"/>
  <c r="HH111" i="12"/>
  <c r="HI111" i="12"/>
  <c r="HJ111" i="12"/>
  <c r="HK111" i="12"/>
  <c r="HL111" i="12"/>
  <c r="HM111" i="12"/>
  <c r="HN111" i="12"/>
  <c r="HO111" i="12"/>
  <c r="HP111" i="12"/>
  <c r="HQ111" i="12"/>
  <c r="HR111" i="12"/>
  <c r="HS111" i="12"/>
  <c r="HT111" i="12"/>
  <c r="HU111" i="12"/>
  <c r="HV111" i="12"/>
  <c r="HW111" i="12"/>
  <c r="HX111" i="12"/>
  <c r="HY111" i="12"/>
  <c r="HZ111" i="12"/>
  <c r="IA111" i="12"/>
  <c r="IB111" i="12"/>
  <c r="IC111" i="12"/>
  <c r="ID111" i="12"/>
  <c r="IE111" i="12"/>
  <c r="IF111" i="12"/>
  <c r="IG111" i="12"/>
  <c r="IH111" i="12"/>
  <c r="II111" i="12"/>
  <c r="IJ111" i="12"/>
  <c r="IK111" i="12"/>
  <c r="IL111" i="12"/>
  <c r="IM111" i="12"/>
  <c r="IN111" i="12"/>
  <c r="IO111" i="12"/>
  <c r="IP111" i="12"/>
  <c r="IQ111" i="12"/>
  <c r="IR111" i="12"/>
  <c r="IS111" i="12"/>
  <c r="IT111" i="12"/>
  <c r="IU111" i="12"/>
  <c r="IV111" i="12"/>
  <c r="A110" i="12"/>
  <c r="B110" i="12"/>
  <c r="C110" i="12"/>
  <c r="D110" i="12"/>
  <c r="E110" i="12"/>
  <c r="F110" i="12"/>
  <c r="H110" i="12"/>
  <c r="I110" i="12"/>
  <c r="J110" i="12"/>
  <c r="K110" i="12"/>
  <c r="L110" i="12"/>
  <c r="M110" i="12"/>
  <c r="N110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BC110" i="12"/>
  <c r="BD110" i="12"/>
  <c r="BE110" i="12"/>
  <c r="BF110" i="12"/>
  <c r="BG110" i="12"/>
  <c r="BH110" i="12"/>
  <c r="BI110" i="12"/>
  <c r="BJ110" i="12"/>
  <c r="BK110" i="12"/>
  <c r="BL110" i="12"/>
  <c r="BM110" i="12"/>
  <c r="BN110" i="12"/>
  <c r="BO110" i="12"/>
  <c r="BP110" i="12"/>
  <c r="BQ110" i="12"/>
  <c r="BR110" i="12"/>
  <c r="BS110" i="12"/>
  <c r="BT110" i="12"/>
  <c r="BU110" i="12"/>
  <c r="BV110" i="12"/>
  <c r="BW110" i="12"/>
  <c r="BX110" i="12"/>
  <c r="BY110" i="12"/>
  <c r="BZ110" i="12"/>
  <c r="CA110" i="12"/>
  <c r="CB110" i="12"/>
  <c r="CC110" i="12"/>
  <c r="CD110" i="12"/>
  <c r="CE110" i="12"/>
  <c r="CF110" i="12"/>
  <c r="CG110" i="12"/>
  <c r="CH110" i="12"/>
  <c r="CI110" i="12"/>
  <c r="CJ110" i="12"/>
  <c r="CK110" i="12"/>
  <c r="CL110" i="12"/>
  <c r="CM110" i="12"/>
  <c r="CN110" i="12"/>
  <c r="CO110" i="12"/>
  <c r="CP110" i="12"/>
  <c r="CQ110" i="12"/>
  <c r="CR110" i="12"/>
  <c r="CS110" i="12"/>
  <c r="CT110" i="12"/>
  <c r="CU110" i="12"/>
  <c r="CV110" i="12"/>
  <c r="CW110" i="12"/>
  <c r="CX110" i="12"/>
  <c r="CY110" i="12"/>
  <c r="CZ110" i="12"/>
  <c r="DA110" i="12"/>
  <c r="DB110" i="12"/>
  <c r="DC110" i="12"/>
  <c r="DD110" i="12"/>
  <c r="DE110" i="12"/>
  <c r="DF110" i="12"/>
  <c r="DG110" i="12"/>
  <c r="DH110" i="12"/>
  <c r="DI110" i="12"/>
  <c r="DJ110" i="12"/>
  <c r="DK110" i="12"/>
  <c r="DL110" i="12"/>
  <c r="DM110" i="12"/>
  <c r="DN110" i="12"/>
  <c r="DO110" i="12"/>
  <c r="DP110" i="12"/>
  <c r="DQ110" i="12"/>
  <c r="DR110" i="12"/>
  <c r="DS110" i="12"/>
  <c r="DT110" i="12"/>
  <c r="DU110" i="12"/>
  <c r="DV110" i="12"/>
  <c r="DW110" i="12"/>
  <c r="DX110" i="12"/>
  <c r="DY110" i="12"/>
  <c r="DZ110" i="12"/>
  <c r="EA110" i="12"/>
  <c r="EB110" i="12"/>
  <c r="EC110" i="12"/>
  <c r="ED110" i="12"/>
  <c r="EE110" i="12"/>
  <c r="EF110" i="12"/>
  <c r="EG110" i="12"/>
  <c r="EH110" i="12"/>
  <c r="EI110" i="12"/>
  <c r="EJ110" i="12"/>
  <c r="EK110" i="12"/>
  <c r="EL110" i="12"/>
  <c r="EM110" i="12"/>
  <c r="EN110" i="12"/>
  <c r="EO110" i="12"/>
  <c r="EP110" i="12"/>
  <c r="EQ110" i="12"/>
  <c r="ER110" i="12"/>
  <c r="ES110" i="12"/>
  <c r="ET110" i="12"/>
  <c r="EU110" i="12"/>
  <c r="EV110" i="12"/>
  <c r="EW110" i="12"/>
  <c r="EX110" i="12"/>
  <c r="EY110" i="12"/>
  <c r="EZ110" i="12"/>
  <c r="FA110" i="12"/>
  <c r="FB110" i="12"/>
  <c r="FC110" i="12"/>
  <c r="FD110" i="12"/>
  <c r="FE110" i="12"/>
  <c r="FF110" i="12"/>
  <c r="FG110" i="12"/>
  <c r="FH110" i="12"/>
  <c r="FI110" i="12"/>
  <c r="FJ110" i="12"/>
  <c r="FK110" i="12"/>
  <c r="FL110" i="12"/>
  <c r="FM110" i="12"/>
  <c r="FN110" i="12"/>
  <c r="FO110" i="12"/>
  <c r="FP110" i="12"/>
  <c r="FQ110" i="12"/>
  <c r="FR110" i="12"/>
  <c r="FS110" i="12"/>
  <c r="FT110" i="12"/>
  <c r="FU110" i="12"/>
  <c r="FV110" i="12"/>
  <c r="FW110" i="12"/>
  <c r="FX110" i="12"/>
  <c r="FY110" i="12"/>
  <c r="FZ110" i="12"/>
  <c r="GA110" i="12"/>
  <c r="GB110" i="12"/>
  <c r="GC110" i="12"/>
  <c r="GD110" i="12"/>
  <c r="GE110" i="12"/>
  <c r="GF110" i="12"/>
  <c r="GG110" i="12"/>
  <c r="GH110" i="12"/>
  <c r="GI110" i="12"/>
  <c r="GJ110" i="12"/>
  <c r="GK110" i="12"/>
  <c r="GL110" i="12"/>
  <c r="GM110" i="12"/>
  <c r="GN110" i="12"/>
  <c r="GO110" i="12"/>
  <c r="GP110" i="12"/>
  <c r="GQ110" i="12"/>
  <c r="GR110" i="12"/>
  <c r="GS110" i="12"/>
  <c r="GT110" i="12"/>
  <c r="GU110" i="12"/>
  <c r="GV110" i="12"/>
  <c r="GW110" i="12"/>
  <c r="GX110" i="12"/>
  <c r="GY110" i="12"/>
  <c r="GZ110" i="12"/>
  <c r="HA110" i="12"/>
  <c r="HB110" i="12"/>
  <c r="HC110" i="12"/>
  <c r="HD110" i="12"/>
  <c r="HE110" i="12"/>
  <c r="HF110" i="12"/>
  <c r="HG110" i="12"/>
  <c r="HH110" i="12"/>
  <c r="HI110" i="12"/>
  <c r="HJ110" i="12"/>
  <c r="HK110" i="12"/>
  <c r="HL110" i="12"/>
  <c r="HM110" i="12"/>
  <c r="HN110" i="12"/>
  <c r="HO110" i="12"/>
  <c r="HP110" i="12"/>
  <c r="HQ110" i="12"/>
  <c r="HR110" i="12"/>
  <c r="HS110" i="12"/>
  <c r="HT110" i="12"/>
  <c r="HU110" i="12"/>
  <c r="HV110" i="12"/>
  <c r="HW110" i="12"/>
  <c r="HX110" i="12"/>
  <c r="HY110" i="12"/>
  <c r="HZ110" i="12"/>
  <c r="IA110" i="12"/>
  <c r="IB110" i="12"/>
  <c r="IC110" i="12"/>
  <c r="ID110" i="12"/>
  <c r="IE110" i="12"/>
  <c r="IF110" i="12"/>
  <c r="IG110" i="12"/>
  <c r="IH110" i="12"/>
  <c r="II110" i="12"/>
  <c r="IJ110" i="12"/>
  <c r="IK110" i="12"/>
  <c r="IL110" i="12"/>
  <c r="IM110" i="12"/>
  <c r="IN110" i="12"/>
  <c r="IO110" i="12"/>
  <c r="IP110" i="12"/>
  <c r="IQ110" i="12"/>
  <c r="IR110" i="12"/>
  <c r="IS110" i="12"/>
  <c r="IT110" i="12"/>
  <c r="IU110" i="12"/>
  <c r="IV110" i="12"/>
  <c r="A109" i="12"/>
  <c r="B109" i="12"/>
  <c r="C109" i="12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P109" i="12"/>
  <c r="Q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BC109" i="12"/>
  <c r="BD109" i="12"/>
  <c r="BE109" i="12"/>
  <c r="BF109" i="12"/>
  <c r="BG109" i="12"/>
  <c r="BH109" i="12"/>
  <c r="BI109" i="12"/>
  <c r="BJ109" i="12"/>
  <c r="BK109" i="12"/>
  <c r="BL109" i="12"/>
  <c r="BM109" i="12"/>
  <c r="BN109" i="12"/>
  <c r="BO109" i="12"/>
  <c r="BP109" i="12"/>
  <c r="BQ109" i="12"/>
  <c r="BR109" i="12"/>
  <c r="BS109" i="12"/>
  <c r="BT109" i="12"/>
  <c r="BU109" i="12"/>
  <c r="BV109" i="12"/>
  <c r="BW109" i="12"/>
  <c r="BX109" i="12"/>
  <c r="BY109" i="12"/>
  <c r="BZ109" i="12"/>
  <c r="CA109" i="12"/>
  <c r="CB109" i="12"/>
  <c r="CC109" i="12"/>
  <c r="CD109" i="12"/>
  <c r="CE109" i="12"/>
  <c r="CF109" i="12"/>
  <c r="CG109" i="12"/>
  <c r="CH109" i="12"/>
  <c r="CI109" i="12"/>
  <c r="CJ109" i="12"/>
  <c r="CK109" i="12"/>
  <c r="CL109" i="12"/>
  <c r="CM109" i="12"/>
  <c r="CN109" i="12"/>
  <c r="CO109" i="12"/>
  <c r="CP109" i="12"/>
  <c r="CQ109" i="12"/>
  <c r="CR109" i="12"/>
  <c r="CS109" i="12"/>
  <c r="CT109" i="12"/>
  <c r="CU109" i="12"/>
  <c r="CV109" i="12"/>
  <c r="CW109" i="12"/>
  <c r="CX109" i="12"/>
  <c r="CY109" i="12"/>
  <c r="CZ109" i="12"/>
  <c r="DA109" i="12"/>
  <c r="DB109" i="12"/>
  <c r="DC109" i="12"/>
  <c r="DD109" i="12"/>
  <c r="DE109" i="12"/>
  <c r="DF109" i="12"/>
  <c r="DG109" i="12"/>
  <c r="DH109" i="12"/>
  <c r="DI109" i="12"/>
  <c r="DJ109" i="12"/>
  <c r="DK109" i="12"/>
  <c r="DL109" i="12"/>
  <c r="DM109" i="12"/>
  <c r="DN109" i="12"/>
  <c r="DO109" i="12"/>
  <c r="DP109" i="12"/>
  <c r="DQ109" i="12"/>
  <c r="DR109" i="12"/>
  <c r="DS109" i="12"/>
  <c r="DT109" i="12"/>
  <c r="DU109" i="12"/>
  <c r="DV109" i="12"/>
  <c r="DW109" i="12"/>
  <c r="DX109" i="12"/>
  <c r="DY109" i="12"/>
  <c r="DZ109" i="12"/>
  <c r="EA109" i="12"/>
  <c r="EB109" i="12"/>
  <c r="EC109" i="12"/>
  <c r="ED109" i="12"/>
  <c r="EE109" i="12"/>
  <c r="EF109" i="12"/>
  <c r="EG109" i="12"/>
  <c r="EH109" i="12"/>
  <c r="EI109" i="12"/>
  <c r="EJ109" i="12"/>
  <c r="EK109" i="12"/>
  <c r="EL109" i="12"/>
  <c r="EM109" i="12"/>
  <c r="EN109" i="12"/>
  <c r="EO109" i="12"/>
  <c r="EP109" i="12"/>
  <c r="EQ109" i="12"/>
  <c r="ER109" i="12"/>
  <c r="ES109" i="12"/>
  <c r="ET109" i="12"/>
  <c r="EU109" i="12"/>
  <c r="EV109" i="12"/>
  <c r="EW109" i="12"/>
  <c r="EX109" i="12"/>
  <c r="EY109" i="12"/>
  <c r="EZ109" i="12"/>
  <c r="FA109" i="12"/>
  <c r="FB109" i="12"/>
  <c r="FC109" i="12"/>
  <c r="FD109" i="12"/>
  <c r="FE109" i="12"/>
  <c r="FF109" i="12"/>
  <c r="FG109" i="12"/>
  <c r="FH109" i="12"/>
  <c r="FI109" i="12"/>
  <c r="FJ109" i="12"/>
  <c r="FK109" i="12"/>
  <c r="FL109" i="12"/>
  <c r="FM109" i="12"/>
  <c r="FN109" i="12"/>
  <c r="FO109" i="12"/>
  <c r="FP109" i="12"/>
  <c r="FQ109" i="12"/>
  <c r="FR109" i="12"/>
  <c r="FS109" i="12"/>
  <c r="FT109" i="12"/>
  <c r="FU109" i="12"/>
  <c r="FV109" i="12"/>
  <c r="FW109" i="12"/>
  <c r="FX109" i="12"/>
  <c r="FY109" i="12"/>
  <c r="FZ109" i="12"/>
  <c r="GA109" i="12"/>
  <c r="GB109" i="12"/>
  <c r="GC109" i="12"/>
  <c r="GD109" i="12"/>
  <c r="GE109" i="12"/>
  <c r="GF109" i="12"/>
  <c r="GG109" i="12"/>
  <c r="GH109" i="12"/>
  <c r="GI109" i="12"/>
  <c r="GJ109" i="12"/>
  <c r="GK109" i="12"/>
  <c r="GL109" i="12"/>
  <c r="GM109" i="12"/>
  <c r="GN109" i="12"/>
  <c r="GO109" i="12"/>
  <c r="GP109" i="12"/>
  <c r="GQ109" i="12"/>
  <c r="GR109" i="12"/>
  <c r="GS109" i="12"/>
  <c r="GT109" i="12"/>
  <c r="GU109" i="12"/>
  <c r="GV109" i="12"/>
  <c r="GW109" i="12"/>
  <c r="GX109" i="12"/>
  <c r="GY109" i="12"/>
  <c r="GZ109" i="12"/>
  <c r="HA109" i="12"/>
  <c r="HB109" i="12"/>
  <c r="HC109" i="12"/>
  <c r="HD109" i="12"/>
  <c r="HE109" i="12"/>
  <c r="HF109" i="12"/>
  <c r="HG109" i="12"/>
  <c r="HH109" i="12"/>
  <c r="HI109" i="12"/>
  <c r="HJ109" i="12"/>
  <c r="HK109" i="12"/>
  <c r="HL109" i="12"/>
  <c r="HM109" i="12"/>
  <c r="HN109" i="12"/>
  <c r="HO109" i="12"/>
  <c r="HP109" i="12"/>
  <c r="HQ109" i="12"/>
  <c r="HR109" i="12"/>
  <c r="HS109" i="12"/>
  <c r="HT109" i="12"/>
  <c r="HU109" i="12"/>
  <c r="HV109" i="12"/>
  <c r="HW109" i="12"/>
  <c r="HX109" i="12"/>
  <c r="HY109" i="12"/>
  <c r="HZ109" i="12"/>
  <c r="IA109" i="12"/>
  <c r="IB109" i="12"/>
  <c r="IC109" i="12"/>
  <c r="ID109" i="12"/>
  <c r="IE109" i="12"/>
  <c r="IF109" i="12"/>
  <c r="IG109" i="12"/>
  <c r="IH109" i="12"/>
  <c r="II109" i="12"/>
  <c r="IJ109" i="12"/>
  <c r="IK109" i="12"/>
  <c r="IL109" i="12"/>
  <c r="IM109" i="12"/>
  <c r="IN109" i="12"/>
  <c r="IO109" i="12"/>
  <c r="IP109" i="12"/>
  <c r="IQ109" i="12"/>
  <c r="IR109" i="12"/>
  <c r="IS109" i="12"/>
  <c r="IT109" i="12"/>
  <c r="IU109" i="12"/>
  <c r="IV109" i="12"/>
  <c r="A108" i="12"/>
  <c r="B108" i="12"/>
  <c r="C108" i="12"/>
  <c r="D108" i="12"/>
  <c r="E108" i="12"/>
  <c r="F108" i="12"/>
  <c r="G108" i="12"/>
  <c r="H108" i="12"/>
  <c r="I108" i="12"/>
  <c r="J108" i="12"/>
  <c r="K108" i="12"/>
  <c r="L108" i="12"/>
  <c r="M108" i="12"/>
  <c r="N108" i="12"/>
  <c r="O108" i="12"/>
  <c r="P108" i="12"/>
  <c r="Q108" i="12"/>
  <c r="R108" i="12"/>
  <c r="S108" i="12"/>
  <c r="T108" i="12"/>
  <c r="U108" i="12"/>
  <c r="V108" i="12"/>
  <c r="W108" i="12"/>
  <c r="X108" i="12"/>
  <c r="Y108" i="12"/>
  <c r="Z108" i="12"/>
  <c r="AA108" i="12"/>
  <c r="AB108" i="12"/>
  <c r="AD108" i="12"/>
  <c r="AE108" i="12"/>
  <c r="AF108" i="12"/>
  <c r="AG108" i="12"/>
  <c r="AH108" i="12"/>
  <c r="AI108" i="12"/>
  <c r="AJ108" i="12"/>
  <c r="AK108" i="12"/>
  <c r="AL108" i="12"/>
  <c r="AM108" i="12"/>
  <c r="AN108" i="12"/>
  <c r="AO108" i="12"/>
  <c r="AP108" i="12"/>
  <c r="AQ108" i="12"/>
  <c r="AR108" i="12"/>
  <c r="AS108" i="12"/>
  <c r="AT108" i="12"/>
  <c r="AU108" i="12"/>
  <c r="AV108" i="12"/>
  <c r="AW108" i="12"/>
  <c r="AX108" i="12"/>
  <c r="AY108" i="12"/>
  <c r="AZ108" i="12"/>
  <c r="BA108" i="12"/>
  <c r="BB108" i="12"/>
  <c r="BC108" i="12"/>
  <c r="BD108" i="12"/>
  <c r="BE108" i="12"/>
  <c r="BF108" i="12"/>
  <c r="BG108" i="12"/>
  <c r="BH108" i="12"/>
  <c r="BI108" i="12"/>
  <c r="BJ108" i="12"/>
  <c r="BK108" i="12"/>
  <c r="BL108" i="12"/>
  <c r="BM108" i="12"/>
  <c r="BN108" i="12"/>
  <c r="BO108" i="12"/>
  <c r="BP108" i="12"/>
  <c r="BQ108" i="12"/>
  <c r="BR108" i="12"/>
  <c r="BS108" i="12"/>
  <c r="BT108" i="12"/>
  <c r="BU108" i="12"/>
  <c r="BV108" i="12"/>
  <c r="BW108" i="12"/>
  <c r="BX108" i="12"/>
  <c r="BY108" i="12"/>
  <c r="BZ108" i="12"/>
  <c r="CA108" i="12"/>
  <c r="CB108" i="12"/>
  <c r="CC108" i="12"/>
  <c r="CD108" i="12"/>
  <c r="CE108" i="12"/>
  <c r="CF108" i="12"/>
  <c r="CG108" i="12"/>
  <c r="CH108" i="12"/>
  <c r="CI108" i="12"/>
  <c r="CJ108" i="12"/>
  <c r="CK108" i="12"/>
  <c r="CL108" i="12"/>
  <c r="CM108" i="12"/>
  <c r="CN108" i="12"/>
  <c r="CO108" i="12"/>
  <c r="CP108" i="12"/>
  <c r="CQ108" i="12"/>
  <c r="CR108" i="12"/>
  <c r="CS108" i="12"/>
  <c r="CT108" i="12"/>
  <c r="CU108" i="12"/>
  <c r="CV108" i="12"/>
  <c r="CW108" i="12"/>
  <c r="CX108" i="12"/>
  <c r="CY108" i="12"/>
  <c r="CZ108" i="12"/>
  <c r="DA108" i="12"/>
  <c r="DB108" i="12"/>
  <c r="DC108" i="12"/>
  <c r="DD108" i="12"/>
  <c r="DE108" i="12"/>
  <c r="DF108" i="12"/>
  <c r="DG108" i="12"/>
  <c r="DH108" i="12"/>
  <c r="DI108" i="12"/>
  <c r="DJ108" i="12"/>
  <c r="DK108" i="12"/>
  <c r="DL108" i="12"/>
  <c r="DM108" i="12"/>
  <c r="DN108" i="12"/>
  <c r="DO108" i="12"/>
  <c r="DP108" i="12"/>
  <c r="DQ108" i="12"/>
  <c r="DR108" i="12"/>
  <c r="DS108" i="12"/>
  <c r="DT108" i="12"/>
  <c r="DU108" i="12"/>
  <c r="DV108" i="12"/>
  <c r="DW108" i="12"/>
  <c r="DX108" i="12"/>
  <c r="DY108" i="12"/>
  <c r="DZ108" i="12"/>
  <c r="EA108" i="12"/>
  <c r="EB108" i="12"/>
  <c r="EC108" i="12"/>
  <c r="ED108" i="12"/>
  <c r="EE108" i="12"/>
  <c r="EF108" i="12"/>
  <c r="EG108" i="12"/>
  <c r="EH108" i="12"/>
  <c r="EI108" i="12"/>
  <c r="EJ108" i="12"/>
  <c r="EK108" i="12"/>
  <c r="EL108" i="12"/>
  <c r="EM108" i="12"/>
  <c r="EN108" i="12"/>
  <c r="EO108" i="12"/>
  <c r="EP108" i="12"/>
  <c r="EQ108" i="12"/>
  <c r="ER108" i="12"/>
  <c r="ES108" i="12"/>
  <c r="ET108" i="12"/>
  <c r="EU108" i="12"/>
  <c r="EV108" i="12"/>
  <c r="EW108" i="12"/>
  <c r="EX108" i="12"/>
  <c r="EY108" i="12"/>
  <c r="EZ108" i="12"/>
  <c r="FA108" i="12"/>
  <c r="FB108" i="12"/>
  <c r="FC108" i="12"/>
  <c r="FD108" i="12"/>
  <c r="FE108" i="12"/>
  <c r="FF108" i="12"/>
  <c r="FG108" i="12"/>
  <c r="FH108" i="12"/>
  <c r="FI108" i="12"/>
  <c r="FJ108" i="12"/>
  <c r="FK108" i="12"/>
  <c r="FL108" i="12"/>
  <c r="FM108" i="12"/>
  <c r="FN108" i="12"/>
  <c r="FO108" i="12"/>
  <c r="FP108" i="12"/>
  <c r="FQ108" i="12"/>
  <c r="FR108" i="12"/>
  <c r="FS108" i="12"/>
  <c r="FT108" i="12"/>
  <c r="FU108" i="12"/>
  <c r="FV108" i="12"/>
  <c r="FW108" i="12"/>
  <c r="FX108" i="12"/>
  <c r="FY108" i="12"/>
  <c r="FZ108" i="12"/>
  <c r="GA108" i="12"/>
  <c r="GB108" i="12"/>
  <c r="GC108" i="12"/>
  <c r="GD108" i="12"/>
  <c r="GE108" i="12"/>
  <c r="GF108" i="12"/>
  <c r="GG108" i="12"/>
  <c r="GH108" i="12"/>
  <c r="GI108" i="12"/>
  <c r="GJ108" i="12"/>
  <c r="GK108" i="12"/>
  <c r="GL108" i="12"/>
  <c r="GM108" i="12"/>
  <c r="GN108" i="12"/>
  <c r="GO108" i="12"/>
  <c r="GP108" i="12"/>
  <c r="GQ108" i="12"/>
  <c r="GR108" i="12"/>
  <c r="GS108" i="12"/>
  <c r="GT108" i="12"/>
  <c r="GU108" i="12"/>
  <c r="GV108" i="12"/>
  <c r="GW108" i="12"/>
  <c r="GX108" i="12"/>
  <c r="GY108" i="12"/>
  <c r="GZ108" i="12"/>
  <c r="HA108" i="12"/>
  <c r="HB108" i="12"/>
  <c r="HC108" i="12"/>
  <c r="HD108" i="12"/>
  <c r="HE108" i="12"/>
  <c r="HF108" i="12"/>
  <c r="HG108" i="12"/>
  <c r="HH108" i="12"/>
  <c r="HI108" i="12"/>
  <c r="HJ108" i="12"/>
  <c r="HK108" i="12"/>
  <c r="HL108" i="12"/>
  <c r="HM108" i="12"/>
  <c r="HN108" i="12"/>
  <c r="HO108" i="12"/>
  <c r="HP108" i="12"/>
  <c r="HQ108" i="12"/>
  <c r="HR108" i="12"/>
  <c r="HS108" i="12"/>
  <c r="HT108" i="12"/>
  <c r="HU108" i="12"/>
  <c r="HV108" i="12"/>
  <c r="HW108" i="12"/>
  <c r="HX108" i="12"/>
  <c r="HY108" i="12"/>
  <c r="HZ108" i="12"/>
  <c r="IA108" i="12"/>
  <c r="IB108" i="12"/>
  <c r="IC108" i="12"/>
  <c r="ID108" i="12"/>
  <c r="IE108" i="12"/>
  <c r="IF108" i="12"/>
  <c r="IG108" i="12"/>
  <c r="IH108" i="12"/>
  <c r="II108" i="12"/>
  <c r="IJ108" i="12"/>
  <c r="IK108" i="12"/>
  <c r="IL108" i="12"/>
  <c r="IM108" i="12"/>
  <c r="IN108" i="12"/>
  <c r="IO108" i="12"/>
  <c r="IP108" i="12"/>
  <c r="IQ108" i="12"/>
  <c r="IR108" i="12"/>
  <c r="IS108" i="12"/>
  <c r="IT108" i="12"/>
  <c r="IU108" i="12"/>
  <c r="IV108" i="12"/>
  <c r="A107" i="12"/>
  <c r="B107" i="12"/>
  <c r="C107" i="12"/>
  <c r="D107" i="12"/>
  <c r="F107" i="12"/>
  <c r="G107" i="12"/>
  <c r="H107" i="12"/>
  <c r="I107" i="12"/>
  <c r="J107" i="12"/>
  <c r="K107" i="12"/>
  <c r="L107" i="12"/>
  <c r="M107" i="12"/>
  <c r="N107" i="12"/>
  <c r="O107" i="12"/>
  <c r="P107" i="12"/>
  <c r="Q107" i="12"/>
  <c r="R107" i="12"/>
  <c r="S107" i="12"/>
  <c r="T107" i="12"/>
  <c r="U107" i="12"/>
  <c r="V107" i="12"/>
  <c r="W107" i="12"/>
  <c r="X107" i="12"/>
  <c r="Y107" i="12"/>
  <c r="Z107" i="12"/>
  <c r="AA107" i="12"/>
  <c r="AB107" i="12"/>
  <c r="AC107" i="12"/>
  <c r="AD107" i="12"/>
  <c r="AE107" i="12"/>
  <c r="AF107" i="12"/>
  <c r="AG107" i="12"/>
  <c r="AH107" i="12"/>
  <c r="AI107" i="12"/>
  <c r="AJ107" i="12"/>
  <c r="AK107" i="12"/>
  <c r="AL107" i="12"/>
  <c r="AM107" i="12"/>
  <c r="AN107" i="12"/>
  <c r="AO107" i="12"/>
  <c r="AP107" i="12"/>
  <c r="AQ107" i="12"/>
  <c r="AR107" i="12"/>
  <c r="AS107" i="12"/>
  <c r="AT107" i="12"/>
  <c r="AU107" i="12"/>
  <c r="AV107" i="12"/>
  <c r="AW107" i="12"/>
  <c r="AX107" i="12"/>
  <c r="AY107" i="12"/>
  <c r="AZ107" i="12"/>
  <c r="BA107" i="12"/>
  <c r="BB107" i="12"/>
  <c r="BC107" i="12"/>
  <c r="BD107" i="12"/>
  <c r="BE107" i="12"/>
  <c r="BF107" i="12"/>
  <c r="BG107" i="12"/>
  <c r="BH107" i="12"/>
  <c r="BI107" i="12"/>
  <c r="BJ107" i="12"/>
  <c r="BK107" i="12"/>
  <c r="BL107" i="12"/>
  <c r="BM107" i="12"/>
  <c r="BN107" i="12"/>
  <c r="BO107" i="12"/>
  <c r="BP107" i="12"/>
  <c r="BQ107" i="12"/>
  <c r="BR107" i="12"/>
  <c r="BS107" i="12"/>
  <c r="BT107" i="12"/>
  <c r="BU107" i="12"/>
  <c r="BV107" i="12"/>
  <c r="BW107" i="12"/>
  <c r="BX107" i="12"/>
  <c r="BY107" i="12"/>
  <c r="BZ107" i="12"/>
  <c r="CA107" i="12"/>
  <c r="CB107" i="12"/>
  <c r="CC107" i="12"/>
  <c r="CD107" i="12"/>
  <c r="CE107" i="12"/>
  <c r="CF107" i="12"/>
  <c r="CG107" i="12"/>
  <c r="CH107" i="12"/>
  <c r="CI107" i="12"/>
  <c r="CJ107" i="12"/>
  <c r="CK107" i="12"/>
  <c r="CL107" i="12"/>
  <c r="CM107" i="12"/>
  <c r="CN107" i="12"/>
  <c r="CO107" i="12"/>
  <c r="CP107" i="12"/>
  <c r="CQ107" i="12"/>
  <c r="CR107" i="12"/>
  <c r="CS107" i="12"/>
  <c r="CT107" i="12"/>
  <c r="CU107" i="12"/>
  <c r="CV107" i="12"/>
  <c r="CW107" i="12"/>
  <c r="CX107" i="12"/>
  <c r="CY107" i="12"/>
  <c r="CZ107" i="12"/>
  <c r="DA107" i="12"/>
  <c r="DB107" i="12"/>
  <c r="DC107" i="12"/>
  <c r="DD107" i="12"/>
  <c r="DE107" i="12"/>
  <c r="DF107" i="12"/>
  <c r="DG107" i="12"/>
  <c r="DH107" i="12"/>
  <c r="DI107" i="12"/>
  <c r="DJ107" i="12"/>
  <c r="DK107" i="12"/>
  <c r="DL107" i="12"/>
  <c r="DM107" i="12"/>
  <c r="DN107" i="12"/>
  <c r="DO107" i="12"/>
  <c r="DP107" i="12"/>
  <c r="DQ107" i="12"/>
  <c r="DR107" i="12"/>
  <c r="DS107" i="12"/>
  <c r="DT107" i="12"/>
  <c r="DU107" i="12"/>
  <c r="DV107" i="12"/>
  <c r="DW107" i="12"/>
  <c r="DX107" i="12"/>
  <c r="DY107" i="12"/>
  <c r="DZ107" i="12"/>
  <c r="EA107" i="12"/>
  <c r="EB107" i="12"/>
  <c r="EC107" i="12"/>
  <c r="ED107" i="12"/>
  <c r="EE107" i="12"/>
  <c r="EF107" i="12"/>
  <c r="EG107" i="12"/>
  <c r="EH107" i="12"/>
  <c r="EI107" i="12"/>
  <c r="EJ107" i="12"/>
  <c r="EK107" i="12"/>
  <c r="EL107" i="12"/>
  <c r="EM107" i="12"/>
  <c r="EN107" i="12"/>
  <c r="EO107" i="12"/>
  <c r="EP107" i="12"/>
  <c r="EQ107" i="12"/>
  <c r="ER107" i="12"/>
  <c r="ES107" i="12"/>
  <c r="ET107" i="12"/>
  <c r="EU107" i="12"/>
  <c r="EV107" i="12"/>
  <c r="EW107" i="12"/>
  <c r="EX107" i="12"/>
  <c r="EY107" i="12"/>
  <c r="EZ107" i="12"/>
  <c r="FA107" i="12"/>
  <c r="FB107" i="12"/>
  <c r="FC107" i="12"/>
  <c r="FD107" i="12"/>
  <c r="FE107" i="12"/>
  <c r="FF107" i="12"/>
  <c r="FG107" i="12"/>
  <c r="FH107" i="12"/>
  <c r="FI107" i="12"/>
  <c r="FJ107" i="12"/>
  <c r="FK107" i="12"/>
  <c r="FL107" i="12"/>
  <c r="FM107" i="12"/>
  <c r="FN107" i="12"/>
  <c r="FO107" i="12"/>
  <c r="FP107" i="12"/>
  <c r="FQ107" i="12"/>
  <c r="FR107" i="12"/>
  <c r="FS107" i="12"/>
  <c r="FT107" i="12"/>
  <c r="FU107" i="12"/>
  <c r="FV107" i="12"/>
  <c r="FW107" i="12"/>
  <c r="FX107" i="12"/>
  <c r="FY107" i="12"/>
  <c r="FZ107" i="12"/>
  <c r="GA107" i="12"/>
  <c r="GB107" i="12"/>
  <c r="GC107" i="12"/>
  <c r="GD107" i="12"/>
  <c r="GE107" i="12"/>
  <c r="GF107" i="12"/>
  <c r="GG107" i="12"/>
  <c r="GH107" i="12"/>
  <c r="GI107" i="12"/>
  <c r="GJ107" i="12"/>
  <c r="GK107" i="12"/>
  <c r="GL107" i="12"/>
  <c r="GM107" i="12"/>
  <c r="GN107" i="12"/>
  <c r="GO107" i="12"/>
  <c r="GP107" i="12"/>
  <c r="GQ107" i="12"/>
  <c r="GR107" i="12"/>
  <c r="GS107" i="12"/>
  <c r="GT107" i="12"/>
  <c r="GU107" i="12"/>
  <c r="GV107" i="12"/>
  <c r="GW107" i="12"/>
  <c r="GX107" i="12"/>
  <c r="GY107" i="12"/>
  <c r="GZ107" i="12"/>
  <c r="HA107" i="12"/>
  <c r="HB107" i="12"/>
  <c r="HC107" i="12"/>
  <c r="HD107" i="12"/>
  <c r="HE107" i="12"/>
  <c r="HF107" i="12"/>
  <c r="HG107" i="12"/>
  <c r="HH107" i="12"/>
  <c r="HI107" i="12"/>
  <c r="HJ107" i="12"/>
  <c r="HK107" i="12"/>
  <c r="HL107" i="12"/>
  <c r="HM107" i="12"/>
  <c r="HN107" i="12"/>
  <c r="HO107" i="12"/>
  <c r="HP107" i="12"/>
  <c r="HQ107" i="12"/>
  <c r="HR107" i="12"/>
  <c r="HS107" i="12"/>
  <c r="HT107" i="12"/>
  <c r="HU107" i="12"/>
  <c r="HV107" i="12"/>
  <c r="HW107" i="12"/>
  <c r="HX107" i="12"/>
  <c r="HY107" i="12"/>
  <c r="HZ107" i="12"/>
  <c r="IA107" i="12"/>
  <c r="IB107" i="12"/>
  <c r="IC107" i="12"/>
  <c r="ID107" i="12"/>
  <c r="IE107" i="12"/>
  <c r="IF107" i="12"/>
  <c r="IG107" i="12"/>
  <c r="IH107" i="12"/>
  <c r="II107" i="12"/>
  <c r="IJ107" i="12"/>
  <c r="IK107" i="12"/>
  <c r="IL107" i="12"/>
  <c r="IM107" i="12"/>
  <c r="IN107" i="12"/>
  <c r="IO107" i="12"/>
  <c r="IP107" i="12"/>
  <c r="IQ107" i="12"/>
  <c r="IR107" i="12"/>
  <c r="IS107" i="12"/>
  <c r="IT107" i="12"/>
  <c r="IU107" i="12"/>
  <c r="IV107" i="12"/>
  <c r="A106" i="12"/>
  <c r="B106" i="12"/>
  <c r="C106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Q106" i="12"/>
  <c r="R106" i="12"/>
  <c r="S106" i="12"/>
  <c r="T106" i="12"/>
  <c r="U106" i="12"/>
  <c r="V106" i="12"/>
  <c r="W106" i="12"/>
  <c r="X106" i="12"/>
  <c r="Y106" i="12"/>
  <c r="Z106" i="12"/>
  <c r="AA106" i="12"/>
  <c r="AB106" i="12"/>
  <c r="AC106" i="12"/>
  <c r="AD106" i="12"/>
  <c r="AE106" i="12"/>
  <c r="AF106" i="12"/>
  <c r="AG106" i="12"/>
  <c r="AH106" i="12"/>
  <c r="AI106" i="12"/>
  <c r="AJ106" i="12"/>
  <c r="AK106" i="12"/>
  <c r="AL106" i="12"/>
  <c r="AM106" i="12"/>
  <c r="AN106" i="12"/>
  <c r="AO106" i="12"/>
  <c r="AP106" i="12"/>
  <c r="AQ106" i="12"/>
  <c r="AR106" i="12"/>
  <c r="AS106" i="12"/>
  <c r="AT106" i="12"/>
  <c r="AU106" i="12"/>
  <c r="AV106" i="12"/>
  <c r="AW106" i="12"/>
  <c r="AX106" i="12"/>
  <c r="AY106" i="12"/>
  <c r="AZ106" i="12"/>
  <c r="BA106" i="12"/>
  <c r="BB106" i="12"/>
  <c r="BC106" i="12"/>
  <c r="BD106" i="12"/>
  <c r="BE106" i="12"/>
  <c r="BF106" i="12"/>
  <c r="BG106" i="12"/>
  <c r="BH106" i="12"/>
  <c r="BI106" i="12"/>
  <c r="BJ106" i="12"/>
  <c r="BK106" i="12"/>
  <c r="BL106" i="12"/>
  <c r="BM106" i="12"/>
  <c r="BN106" i="12"/>
  <c r="BO106" i="12"/>
  <c r="BP106" i="12"/>
  <c r="BQ106" i="12"/>
  <c r="BR106" i="12"/>
  <c r="BS106" i="12"/>
  <c r="BT106" i="12"/>
  <c r="BU106" i="12"/>
  <c r="BV106" i="12"/>
  <c r="BW106" i="12"/>
  <c r="BX106" i="12"/>
  <c r="BY106" i="12"/>
  <c r="BZ106" i="12"/>
  <c r="CA106" i="12"/>
  <c r="CB106" i="12"/>
  <c r="CC106" i="12"/>
  <c r="CD106" i="12"/>
  <c r="CE106" i="12"/>
  <c r="CF106" i="12"/>
  <c r="CG106" i="12"/>
  <c r="CH106" i="12"/>
  <c r="CI106" i="12"/>
  <c r="CJ106" i="12"/>
  <c r="CK106" i="12"/>
  <c r="CL106" i="12"/>
  <c r="CM106" i="12"/>
  <c r="CN106" i="12"/>
  <c r="CO106" i="12"/>
  <c r="CP106" i="12"/>
  <c r="CQ106" i="12"/>
  <c r="CR106" i="12"/>
  <c r="CS106" i="12"/>
  <c r="CT106" i="12"/>
  <c r="CU106" i="12"/>
  <c r="CV106" i="12"/>
  <c r="CW106" i="12"/>
  <c r="CX106" i="12"/>
  <c r="CY106" i="12"/>
  <c r="CZ106" i="12"/>
  <c r="DA106" i="12"/>
  <c r="DB106" i="12"/>
  <c r="DC106" i="12"/>
  <c r="DD106" i="12"/>
  <c r="DE106" i="12"/>
  <c r="DF106" i="12"/>
  <c r="DG106" i="12"/>
  <c r="DH106" i="12"/>
  <c r="DI106" i="12"/>
  <c r="DJ106" i="12"/>
  <c r="DK106" i="12"/>
  <c r="DL106" i="12"/>
  <c r="DM106" i="12"/>
  <c r="DN106" i="12"/>
  <c r="DO106" i="12"/>
  <c r="DP106" i="12"/>
  <c r="DQ106" i="12"/>
  <c r="DR106" i="12"/>
  <c r="DS106" i="12"/>
  <c r="DT106" i="12"/>
  <c r="DU106" i="12"/>
  <c r="DV106" i="12"/>
  <c r="DW106" i="12"/>
  <c r="DX106" i="12"/>
  <c r="DY106" i="12"/>
  <c r="DZ106" i="12"/>
  <c r="EA106" i="12"/>
  <c r="EB106" i="12"/>
  <c r="EC106" i="12"/>
  <c r="ED106" i="12"/>
  <c r="EE106" i="12"/>
  <c r="EF106" i="12"/>
  <c r="EG106" i="12"/>
  <c r="EH106" i="12"/>
  <c r="EI106" i="12"/>
  <c r="EJ106" i="12"/>
  <c r="EK106" i="12"/>
  <c r="EL106" i="12"/>
  <c r="EM106" i="12"/>
  <c r="EN106" i="12"/>
  <c r="EO106" i="12"/>
  <c r="EP106" i="12"/>
  <c r="EQ106" i="12"/>
  <c r="ER106" i="12"/>
  <c r="ES106" i="12"/>
  <c r="ET106" i="12"/>
  <c r="EU106" i="12"/>
  <c r="EV106" i="12"/>
  <c r="EW106" i="12"/>
  <c r="EX106" i="12"/>
  <c r="EY106" i="12"/>
  <c r="EZ106" i="12"/>
  <c r="FA106" i="12"/>
  <c r="FB106" i="12"/>
  <c r="FC106" i="12"/>
  <c r="FD106" i="12"/>
  <c r="FE106" i="12"/>
  <c r="FF106" i="12"/>
  <c r="FG106" i="12"/>
  <c r="FH106" i="12"/>
  <c r="FI106" i="12"/>
  <c r="FJ106" i="12"/>
  <c r="FK106" i="12"/>
  <c r="FL106" i="12"/>
  <c r="FM106" i="12"/>
  <c r="FN106" i="12"/>
  <c r="FO106" i="12"/>
  <c r="FP106" i="12"/>
  <c r="FQ106" i="12"/>
  <c r="FR106" i="12"/>
  <c r="FS106" i="12"/>
  <c r="FT106" i="12"/>
  <c r="FU106" i="12"/>
  <c r="FV106" i="12"/>
  <c r="FW106" i="12"/>
  <c r="FX106" i="12"/>
  <c r="FY106" i="12"/>
  <c r="FZ106" i="12"/>
  <c r="GA106" i="12"/>
  <c r="GB106" i="12"/>
  <c r="GC106" i="12"/>
  <c r="GD106" i="12"/>
  <c r="GE106" i="12"/>
  <c r="GF106" i="12"/>
  <c r="GG106" i="12"/>
  <c r="GH106" i="12"/>
  <c r="GI106" i="12"/>
  <c r="GJ106" i="12"/>
  <c r="GK106" i="12"/>
  <c r="GL106" i="12"/>
  <c r="GM106" i="12"/>
  <c r="GN106" i="12"/>
  <c r="GO106" i="12"/>
  <c r="GP106" i="12"/>
  <c r="GQ106" i="12"/>
  <c r="GR106" i="12"/>
  <c r="GS106" i="12"/>
  <c r="GT106" i="12"/>
  <c r="GU106" i="12"/>
  <c r="GV106" i="12"/>
  <c r="GW106" i="12"/>
  <c r="GX106" i="12"/>
  <c r="GY106" i="12"/>
  <c r="GZ106" i="12"/>
  <c r="HA106" i="12"/>
  <c r="HB106" i="12"/>
  <c r="HC106" i="12"/>
  <c r="HD106" i="12"/>
  <c r="HE106" i="12"/>
  <c r="HF106" i="12"/>
  <c r="HG106" i="12"/>
  <c r="HH106" i="12"/>
  <c r="HI106" i="12"/>
  <c r="HJ106" i="12"/>
  <c r="HK106" i="12"/>
  <c r="HL106" i="12"/>
  <c r="HM106" i="12"/>
  <c r="HN106" i="12"/>
  <c r="HO106" i="12"/>
  <c r="HP106" i="12"/>
  <c r="HQ106" i="12"/>
  <c r="HR106" i="12"/>
  <c r="HS106" i="12"/>
  <c r="HT106" i="12"/>
  <c r="HU106" i="12"/>
  <c r="HV106" i="12"/>
  <c r="HW106" i="12"/>
  <c r="HX106" i="12"/>
  <c r="HY106" i="12"/>
  <c r="HZ106" i="12"/>
  <c r="IA106" i="12"/>
  <c r="IB106" i="12"/>
  <c r="IC106" i="12"/>
  <c r="ID106" i="12"/>
  <c r="IE106" i="12"/>
  <c r="IF106" i="12"/>
  <c r="IG106" i="12"/>
  <c r="IH106" i="12"/>
  <c r="II106" i="12"/>
  <c r="IJ106" i="12"/>
  <c r="IK106" i="12"/>
  <c r="IL106" i="12"/>
  <c r="IM106" i="12"/>
  <c r="IN106" i="12"/>
  <c r="IO106" i="12"/>
  <c r="IP106" i="12"/>
  <c r="IQ106" i="12"/>
  <c r="IR106" i="12"/>
  <c r="IS106" i="12"/>
  <c r="IT106" i="12"/>
  <c r="IU106" i="12"/>
  <c r="IV106" i="12"/>
  <c r="A105" i="12"/>
  <c r="B105" i="12"/>
  <c r="C105" i="12"/>
  <c r="D105" i="12"/>
  <c r="E105" i="12"/>
  <c r="F105" i="12"/>
  <c r="G105" i="12"/>
  <c r="H105" i="12"/>
  <c r="I105" i="12"/>
  <c r="J105" i="12"/>
  <c r="K105" i="12"/>
  <c r="L105" i="12"/>
  <c r="M105" i="12"/>
  <c r="N105" i="12"/>
  <c r="O105" i="12"/>
  <c r="P105" i="12"/>
  <c r="Q105" i="12"/>
  <c r="R105" i="12"/>
  <c r="S105" i="12"/>
  <c r="T105" i="12"/>
  <c r="U105" i="12"/>
  <c r="V105" i="12"/>
  <c r="W105" i="12"/>
  <c r="X105" i="12"/>
  <c r="Y105" i="12"/>
  <c r="Z105" i="12"/>
  <c r="AB105" i="12"/>
  <c r="AC105" i="12"/>
  <c r="AD105" i="12"/>
  <c r="AE105" i="12"/>
  <c r="AF105" i="12"/>
  <c r="AG105" i="12"/>
  <c r="AH105" i="12"/>
  <c r="AI105" i="12"/>
  <c r="AJ105" i="12"/>
  <c r="AK105" i="12"/>
  <c r="AL105" i="12"/>
  <c r="AM105" i="12"/>
  <c r="AN105" i="12"/>
  <c r="AO105" i="12"/>
  <c r="AP105" i="12"/>
  <c r="AQ105" i="12"/>
  <c r="AR105" i="12"/>
  <c r="AS105" i="12"/>
  <c r="AT105" i="12"/>
  <c r="AU105" i="12"/>
  <c r="AV105" i="12"/>
  <c r="AW105" i="12"/>
  <c r="AX105" i="12"/>
  <c r="AY105" i="12"/>
  <c r="AZ105" i="12"/>
  <c r="BA105" i="12"/>
  <c r="BB105" i="12"/>
  <c r="BC105" i="12"/>
  <c r="BD105" i="12"/>
  <c r="BE105" i="12"/>
  <c r="BF105" i="12"/>
  <c r="BG105" i="12"/>
  <c r="BH105" i="12"/>
  <c r="BI105" i="12"/>
  <c r="BJ105" i="12"/>
  <c r="BK105" i="12"/>
  <c r="BL105" i="12"/>
  <c r="BM105" i="12"/>
  <c r="BN105" i="12"/>
  <c r="BO105" i="12"/>
  <c r="BP105" i="12"/>
  <c r="BQ105" i="12"/>
  <c r="BR105" i="12"/>
  <c r="BS105" i="12"/>
  <c r="BT105" i="12"/>
  <c r="BU105" i="12"/>
  <c r="BV105" i="12"/>
  <c r="BW105" i="12"/>
  <c r="BX105" i="12"/>
  <c r="BY105" i="12"/>
  <c r="BZ105" i="12"/>
  <c r="CA105" i="12"/>
  <c r="CB105" i="12"/>
  <c r="CC105" i="12"/>
  <c r="CD105" i="12"/>
  <c r="CE105" i="12"/>
  <c r="CF105" i="12"/>
  <c r="CG105" i="12"/>
  <c r="CH105" i="12"/>
  <c r="CI105" i="12"/>
  <c r="CJ105" i="12"/>
  <c r="CK105" i="12"/>
  <c r="CL105" i="12"/>
  <c r="CM105" i="12"/>
  <c r="CN105" i="12"/>
  <c r="CO105" i="12"/>
  <c r="CP105" i="12"/>
  <c r="CQ105" i="12"/>
  <c r="CR105" i="12"/>
  <c r="CS105" i="12"/>
  <c r="CT105" i="12"/>
  <c r="CU105" i="12"/>
  <c r="CV105" i="12"/>
  <c r="CW105" i="12"/>
  <c r="CX105" i="12"/>
  <c r="CY105" i="12"/>
  <c r="CZ105" i="12"/>
  <c r="DA105" i="12"/>
  <c r="DB105" i="12"/>
  <c r="DC105" i="12"/>
  <c r="DD105" i="12"/>
  <c r="DE105" i="12"/>
  <c r="DF105" i="12"/>
  <c r="DG105" i="12"/>
  <c r="DH105" i="12"/>
  <c r="DI105" i="12"/>
  <c r="DJ105" i="12"/>
  <c r="DK105" i="12"/>
  <c r="DL105" i="12"/>
  <c r="DM105" i="12"/>
  <c r="DN105" i="12"/>
  <c r="DO105" i="12"/>
  <c r="DP105" i="12"/>
  <c r="DQ105" i="12"/>
  <c r="DR105" i="12"/>
  <c r="DS105" i="12"/>
  <c r="DT105" i="12"/>
  <c r="DU105" i="12"/>
  <c r="DV105" i="12"/>
  <c r="DW105" i="12"/>
  <c r="DX105" i="12"/>
  <c r="DY105" i="12"/>
  <c r="DZ105" i="12"/>
  <c r="EA105" i="12"/>
  <c r="EB105" i="12"/>
  <c r="EC105" i="12"/>
  <c r="ED105" i="12"/>
  <c r="EE105" i="12"/>
  <c r="EF105" i="12"/>
  <c r="EG105" i="12"/>
  <c r="EH105" i="12"/>
  <c r="EI105" i="12"/>
  <c r="EJ105" i="12"/>
  <c r="EK105" i="12"/>
  <c r="EL105" i="12"/>
  <c r="EM105" i="12"/>
  <c r="EN105" i="12"/>
  <c r="EO105" i="12"/>
  <c r="EP105" i="12"/>
  <c r="EQ105" i="12"/>
  <c r="ER105" i="12"/>
  <c r="ES105" i="12"/>
  <c r="ET105" i="12"/>
  <c r="EU105" i="12"/>
  <c r="EV105" i="12"/>
  <c r="EW105" i="12"/>
  <c r="EX105" i="12"/>
  <c r="EY105" i="12"/>
  <c r="EZ105" i="12"/>
  <c r="FA105" i="12"/>
  <c r="FB105" i="12"/>
  <c r="FC105" i="12"/>
  <c r="FD105" i="12"/>
  <c r="FE105" i="12"/>
  <c r="FF105" i="12"/>
  <c r="FG105" i="12"/>
  <c r="FH105" i="12"/>
  <c r="FI105" i="12"/>
  <c r="FJ105" i="12"/>
  <c r="FK105" i="12"/>
  <c r="FL105" i="12"/>
  <c r="FM105" i="12"/>
  <c r="FN105" i="12"/>
  <c r="FO105" i="12"/>
  <c r="FP105" i="12"/>
  <c r="FQ105" i="12"/>
  <c r="FR105" i="12"/>
  <c r="FS105" i="12"/>
  <c r="FT105" i="12"/>
  <c r="FU105" i="12"/>
  <c r="FV105" i="12"/>
  <c r="FW105" i="12"/>
  <c r="FX105" i="12"/>
  <c r="FY105" i="12"/>
  <c r="FZ105" i="12"/>
  <c r="GA105" i="12"/>
  <c r="GB105" i="12"/>
  <c r="GC105" i="12"/>
  <c r="GD105" i="12"/>
  <c r="GE105" i="12"/>
  <c r="GF105" i="12"/>
  <c r="GG105" i="12"/>
  <c r="GH105" i="12"/>
  <c r="GI105" i="12"/>
  <c r="GJ105" i="12"/>
  <c r="GK105" i="12"/>
  <c r="GL105" i="12"/>
  <c r="GM105" i="12"/>
  <c r="GN105" i="12"/>
  <c r="GO105" i="12"/>
  <c r="GP105" i="12"/>
  <c r="GQ105" i="12"/>
  <c r="GR105" i="12"/>
  <c r="GS105" i="12"/>
  <c r="GT105" i="12"/>
  <c r="GU105" i="12"/>
  <c r="GV105" i="12"/>
  <c r="GW105" i="12"/>
  <c r="GX105" i="12"/>
  <c r="GY105" i="12"/>
  <c r="GZ105" i="12"/>
  <c r="HA105" i="12"/>
  <c r="HB105" i="12"/>
  <c r="HC105" i="12"/>
  <c r="HD105" i="12"/>
  <c r="HE105" i="12"/>
  <c r="HF105" i="12"/>
  <c r="HG105" i="12"/>
  <c r="HH105" i="12"/>
  <c r="HI105" i="12"/>
  <c r="HJ105" i="12"/>
  <c r="HK105" i="12"/>
  <c r="HL105" i="12"/>
  <c r="HM105" i="12"/>
  <c r="HN105" i="12"/>
  <c r="HO105" i="12"/>
  <c r="HP105" i="12"/>
  <c r="HQ105" i="12"/>
  <c r="HR105" i="12"/>
  <c r="HS105" i="12"/>
  <c r="HT105" i="12"/>
  <c r="HU105" i="12"/>
  <c r="HV105" i="12"/>
  <c r="HW105" i="12"/>
  <c r="HX105" i="12"/>
  <c r="HY105" i="12"/>
  <c r="HZ105" i="12"/>
  <c r="IA105" i="12"/>
  <c r="IB105" i="12"/>
  <c r="IC105" i="12"/>
  <c r="ID105" i="12"/>
  <c r="IE105" i="12"/>
  <c r="IF105" i="12"/>
  <c r="IG105" i="12"/>
  <c r="IH105" i="12"/>
  <c r="II105" i="12"/>
  <c r="IJ105" i="12"/>
  <c r="IK105" i="12"/>
  <c r="IL105" i="12"/>
  <c r="IM105" i="12"/>
  <c r="IN105" i="12"/>
  <c r="IO105" i="12"/>
  <c r="IP105" i="12"/>
  <c r="IQ105" i="12"/>
  <c r="IR105" i="12"/>
  <c r="IS105" i="12"/>
  <c r="IT105" i="12"/>
  <c r="IU105" i="12"/>
  <c r="IV105" i="12"/>
  <c r="A104" i="12"/>
  <c r="B104" i="12"/>
  <c r="D104" i="12"/>
  <c r="E104" i="12"/>
  <c r="F104" i="12"/>
  <c r="G104" i="12"/>
  <c r="H104" i="12"/>
  <c r="I104" i="12"/>
  <c r="J104" i="12"/>
  <c r="K104" i="12"/>
  <c r="L104" i="12"/>
  <c r="M104" i="12"/>
  <c r="N104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BC104" i="12"/>
  <c r="BD104" i="12"/>
  <c r="BE104" i="12"/>
  <c r="BF104" i="12"/>
  <c r="BG104" i="12"/>
  <c r="BH104" i="12"/>
  <c r="BI104" i="12"/>
  <c r="BJ104" i="12"/>
  <c r="BK104" i="12"/>
  <c r="BL104" i="12"/>
  <c r="BM104" i="12"/>
  <c r="BN104" i="12"/>
  <c r="BO104" i="12"/>
  <c r="BP104" i="12"/>
  <c r="BQ104" i="12"/>
  <c r="BR104" i="12"/>
  <c r="BS104" i="12"/>
  <c r="BT104" i="12"/>
  <c r="BU104" i="12"/>
  <c r="BV104" i="12"/>
  <c r="BW104" i="12"/>
  <c r="BX104" i="12"/>
  <c r="BY104" i="12"/>
  <c r="BZ104" i="12"/>
  <c r="CA104" i="12"/>
  <c r="CB104" i="12"/>
  <c r="CC104" i="12"/>
  <c r="CD104" i="12"/>
  <c r="CE104" i="12"/>
  <c r="CF104" i="12"/>
  <c r="CG104" i="12"/>
  <c r="CH104" i="12"/>
  <c r="CI104" i="12"/>
  <c r="CJ104" i="12"/>
  <c r="CK104" i="12"/>
  <c r="CL104" i="12"/>
  <c r="CM104" i="12"/>
  <c r="CN104" i="12"/>
  <c r="CO104" i="12"/>
  <c r="CP104" i="12"/>
  <c r="CQ104" i="12"/>
  <c r="CR104" i="12"/>
  <c r="CS104" i="12"/>
  <c r="CT104" i="12"/>
  <c r="CU104" i="12"/>
  <c r="CV104" i="12"/>
  <c r="CW104" i="12"/>
  <c r="CX104" i="12"/>
  <c r="CY104" i="12"/>
  <c r="CZ104" i="12"/>
  <c r="DA104" i="12"/>
  <c r="DB104" i="12"/>
  <c r="DC104" i="12"/>
  <c r="DD104" i="12"/>
  <c r="DE104" i="12"/>
  <c r="DF104" i="12"/>
  <c r="DG104" i="12"/>
  <c r="DH104" i="12"/>
  <c r="DI104" i="12"/>
  <c r="DJ104" i="12"/>
  <c r="DK104" i="12"/>
  <c r="DL104" i="12"/>
  <c r="DM104" i="12"/>
  <c r="DN104" i="12"/>
  <c r="DO104" i="12"/>
  <c r="DP104" i="12"/>
  <c r="DQ104" i="12"/>
  <c r="DR104" i="12"/>
  <c r="DS104" i="12"/>
  <c r="DT104" i="12"/>
  <c r="DU104" i="12"/>
  <c r="DV104" i="12"/>
  <c r="DW104" i="12"/>
  <c r="DX104" i="12"/>
  <c r="DY104" i="12"/>
  <c r="DZ104" i="12"/>
  <c r="EA104" i="12"/>
  <c r="EB104" i="12"/>
  <c r="EC104" i="12"/>
  <c r="ED104" i="12"/>
  <c r="EE104" i="12"/>
  <c r="EF104" i="12"/>
  <c r="EG104" i="12"/>
  <c r="EH104" i="12"/>
  <c r="EI104" i="12"/>
  <c r="EJ104" i="12"/>
  <c r="EK104" i="12"/>
  <c r="EL104" i="12"/>
  <c r="EM104" i="12"/>
  <c r="EN104" i="12"/>
  <c r="EO104" i="12"/>
  <c r="EP104" i="12"/>
  <c r="EQ104" i="12"/>
  <c r="ER104" i="12"/>
  <c r="ES104" i="12"/>
  <c r="ET104" i="12"/>
  <c r="EU104" i="12"/>
  <c r="EV104" i="12"/>
  <c r="EW104" i="12"/>
  <c r="EX104" i="12"/>
  <c r="EY104" i="12"/>
  <c r="EZ104" i="12"/>
  <c r="FA104" i="12"/>
  <c r="FB104" i="12"/>
  <c r="FC104" i="12"/>
  <c r="FD104" i="12"/>
  <c r="FE104" i="12"/>
  <c r="FF104" i="12"/>
  <c r="FG104" i="12"/>
  <c r="FH104" i="12"/>
  <c r="FI104" i="12"/>
  <c r="FJ104" i="12"/>
  <c r="FK104" i="12"/>
  <c r="FL104" i="12"/>
  <c r="FM104" i="12"/>
  <c r="FN104" i="12"/>
  <c r="FO104" i="12"/>
  <c r="FP104" i="12"/>
  <c r="FQ104" i="12"/>
  <c r="FR104" i="12"/>
  <c r="FS104" i="12"/>
  <c r="FT104" i="12"/>
  <c r="FU104" i="12"/>
  <c r="FV104" i="12"/>
  <c r="FW104" i="12"/>
  <c r="FX104" i="12"/>
  <c r="FY104" i="12"/>
  <c r="FZ104" i="12"/>
  <c r="GA104" i="12"/>
  <c r="GB104" i="12"/>
  <c r="GC104" i="12"/>
  <c r="GD104" i="12"/>
  <c r="GE104" i="12"/>
  <c r="GF104" i="12"/>
  <c r="GG104" i="12"/>
  <c r="GH104" i="12"/>
  <c r="GI104" i="12"/>
  <c r="GJ104" i="12"/>
  <c r="GK104" i="12"/>
  <c r="GL104" i="12"/>
  <c r="GM104" i="12"/>
  <c r="GN104" i="12"/>
  <c r="GO104" i="12"/>
  <c r="GP104" i="12"/>
  <c r="GQ104" i="12"/>
  <c r="GR104" i="12"/>
  <c r="GS104" i="12"/>
  <c r="GT104" i="12"/>
  <c r="GU104" i="12"/>
  <c r="GV104" i="12"/>
  <c r="GW104" i="12"/>
  <c r="GX104" i="12"/>
  <c r="GY104" i="12"/>
  <c r="GZ104" i="12"/>
  <c r="HA104" i="12"/>
  <c r="HB104" i="12"/>
  <c r="HC104" i="12"/>
  <c r="HD104" i="12"/>
  <c r="HE104" i="12"/>
  <c r="HF104" i="12"/>
  <c r="HG104" i="12"/>
  <c r="HH104" i="12"/>
  <c r="HI104" i="12"/>
  <c r="HJ104" i="12"/>
  <c r="HK104" i="12"/>
  <c r="HL104" i="12"/>
  <c r="HM104" i="12"/>
  <c r="HN104" i="12"/>
  <c r="HO104" i="12"/>
  <c r="HP104" i="12"/>
  <c r="HQ104" i="12"/>
  <c r="HR104" i="12"/>
  <c r="HS104" i="12"/>
  <c r="HT104" i="12"/>
  <c r="HU104" i="12"/>
  <c r="HV104" i="12"/>
  <c r="HW104" i="12"/>
  <c r="HX104" i="12"/>
  <c r="HY104" i="12"/>
  <c r="HZ104" i="12"/>
  <c r="IA104" i="12"/>
  <c r="IB104" i="12"/>
  <c r="IC104" i="12"/>
  <c r="ID104" i="12"/>
  <c r="IE104" i="12"/>
  <c r="IF104" i="12"/>
  <c r="IG104" i="12"/>
  <c r="IH104" i="12"/>
  <c r="II104" i="12"/>
  <c r="IJ104" i="12"/>
  <c r="IK104" i="12"/>
  <c r="IL104" i="12"/>
  <c r="IM104" i="12"/>
  <c r="IN104" i="12"/>
  <c r="IO104" i="12"/>
  <c r="IP104" i="12"/>
  <c r="IQ104" i="12"/>
  <c r="IR104" i="12"/>
  <c r="IS104" i="12"/>
  <c r="IT104" i="12"/>
  <c r="IU104" i="12"/>
  <c r="IV104" i="12"/>
  <c r="A103" i="12"/>
  <c r="B103" i="12"/>
  <c r="C103" i="12"/>
  <c r="D103" i="12"/>
  <c r="E103" i="12"/>
  <c r="F103" i="12"/>
  <c r="G103" i="12"/>
  <c r="H103" i="12"/>
  <c r="I103" i="12"/>
  <c r="J103" i="12"/>
  <c r="K103" i="12"/>
  <c r="L103" i="12"/>
  <c r="M103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BC103" i="12"/>
  <c r="BD103" i="12"/>
  <c r="BE103" i="12"/>
  <c r="BF103" i="12"/>
  <c r="BG103" i="12"/>
  <c r="BH103" i="12"/>
  <c r="BI103" i="12"/>
  <c r="BJ103" i="12"/>
  <c r="BK103" i="12"/>
  <c r="BL103" i="12"/>
  <c r="BM103" i="12"/>
  <c r="BN103" i="12"/>
  <c r="BO103" i="12"/>
  <c r="BP103" i="12"/>
  <c r="BQ103" i="12"/>
  <c r="BR103" i="12"/>
  <c r="BS103" i="12"/>
  <c r="BT103" i="12"/>
  <c r="BU103" i="12"/>
  <c r="BV103" i="12"/>
  <c r="BW103" i="12"/>
  <c r="BX103" i="12"/>
  <c r="BY103" i="12"/>
  <c r="BZ103" i="12"/>
  <c r="CA103" i="12"/>
  <c r="CB103" i="12"/>
  <c r="CC103" i="12"/>
  <c r="CD103" i="12"/>
  <c r="CE103" i="12"/>
  <c r="CF103" i="12"/>
  <c r="CG103" i="12"/>
  <c r="CH103" i="12"/>
  <c r="CI103" i="12"/>
  <c r="CJ103" i="12"/>
  <c r="CK103" i="12"/>
  <c r="CL103" i="12"/>
  <c r="CM103" i="12"/>
  <c r="CN103" i="12"/>
  <c r="CO103" i="12"/>
  <c r="CP103" i="12"/>
  <c r="CQ103" i="12"/>
  <c r="CR103" i="12"/>
  <c r="CS103" i="12"/>
  <c r="CT103" i="12"/>
  <c r="CU103" i="12"/>
  <c r="CV103" i="12"/>
  <c r="CW103" i="12"/>
  <c r="CX103" i="12"/>
  <c r="CY103" i="12"/>
  <c r="CZ103" i="12"/>
  <c r="DA103" i="12"/>
  <c r="DB103" i="12"/>
  <c r="DC103" i="12"/>
  <c r="DD103" i="12"/>
  <c r="DE103" i="12"/>
  <c r="DF103" i="12"/>
  <c r="DG103" i="12"/>
  <c r="DH103" i="12"/>
  <c r="DI103" i="12"/>
  <c r="DJ103" i="12"/>
  <c r="DK103" i="12"/>
  <c r="DL103" i="12"/>
  <c r="DM103" i="12"/>
  <c r="DN103" i="12"/>
  <c r="DO103" i="12"/>
  <c r="DP103" i="12"/>
  <c r="DQ103" i="12"/>
  <c r="DR103" i="12"/>
  <c r="DS103" i="12"/>
  <c r="DT103" i="12"/>
  <c r="DU103" i="12"/>
  <c r="DV103" i="12"/>
  <c r="DW103" i="12"/>
  <c r="DX103" i="12"/>
  <c r="DY103" i="12"/>
  <c r="DZ103" i="12"/>
  <c r="EA103" i="12"/>
  <c r="EB103" i="12"/>
  <c r="EC103" i="12"/>
  <c r="ED103" i="12"/>
  <c r="EE103" i="12"/>
  <c r="EF103" i="12"/>
  <c r="EG103" i="12"/>
  <c r="EH103" i="12"/>
  <c r="EI103" i="12"/>
  <c r="EJ103" i="12"/>
  <c r="EK103" i="12"/>
  <c r="EL103" i="12"/>
  <c r="EM103" i="12"/>
  <c r="EN103" i="12"/>
  <c r="EO103" i="12"/>
  <c r="EP103" i="12"/>
  <c r="EQ103" i="12"/>
  <c r="ER103" i="12"/>
  <c r="ES103" i="12"/>
  <c r="ET103" i="12"/>
  <c r="EU103" i="12"/>
  <c r="EV103" i="12"/>
  <c r="EW103" i="12"/>
  <c r="EX103" i="12"/>
  <c r="EY103" i="12"/>
  <c r="EZ103" i="12"/>
  <c r="FA103" i="12"/>
  <c r="FB103" i="12"/>
  <c r="FC103" i="12"/>
  <c r="FD103" i="12"/>
  <c r="FE103" i="12"/>
  <c r="FF103" i="12"/>
  <c r="FG103" i="12"/>
  <c r="FH103" i="12"/>
  <c r="FI103" i="12"/>
  <c r="FJ103" i="12"/>
  <c r="FK103" i="12"/>
  <c r="FL103" i="12"/>
  <c r="FM103" i="12"/>
  <c r="FN103" i="12"/>
  <c r="FO103" i="12"/>
  <c r="FP103" i="12"/>
  <c r="FQ103" i="12"/>
  <c r="FR103" i="12"/>
  <c r="FS103" i="12"/>
  <c r="FT103" i="12"/>
  <c r="FU103" i="12"/>
  <c r="FV103" i="12"/>
  <c r="FW103" i="12"/>
  <c r="FX103" i="12"/>
  <c r="FY103" i="12"/>
  <c r="FZ103" i="12"/>
  <c r="GA103" i="12"/>
  <c r="GB103" i="12"/>
  <c r="GC103" i="12"/>
  <c r="GD103" i="12"/>
  <c r="GE103" i="12"/>
  <c r="GF103" i="12"/>
  <c r="GG103" i="12"/>
  <c r="GH103" i="12"/>
  <c r="GI103" i="12"/>
  <c r="GJ103" i="12"/>
  <c r="GK103" i="12"/>
  <c r="GL103" i="12"/>
  <c r="GM103" i="12"/>
  <c r="GN103" i="12"/>
  <c r="GO103" i="12"/>
  <c r="GP103" i="12"/>
  <c r="GQ103" i="12"/>
  <c r="GR103" i="12"/>
  <c r="GS103" i="12"/>
  <c r="GT103" i="12"/>
  <c r="GU103" i="12"/>
  <c r="GV103" i="12"/>
  <c r="GW103" i="12"/>
  <c r="GX103" i="12"/>
  <c r="GY103" i="12"/>
  <c r="GZ103" i="12"/>
  <c r="HA103" i="12"/>
  <c r="HB103" i="12"/>
  <c r="HC103" i="12"/>
  <c r="HD103" i="12"/>
  <c r="HE103" i="12"/>
  <c r="HF103" i="12"/>
  <c r="HG103" i="12"/>
  <c r="HH103" i="12"/>
  <c r="HI103" i="12"/>
  <c r="HJ103" i="12"/>
  <c r="HK103" i="12"/>
  <c r="HL103" i="12"/>
  <c r="HM103" i="12"/>
  <c r="HN103" i="12"/>
  <c r="HO103" i="12"/>
  <c r="HP103" i="12"/>
  <c r="HQ103" i="12"/>
  <c r="HR103" i="12"/>
  <c r="HS103" i="12"/>
  <c r="HT103" i="12"/>
  <c r="HU103" i="12"/>
  <c r="HV103" i="12"/>
  <c r="HW103" i="12"/>
  <c r="HX103" i="12"/>
  <c r="HY103" i="12"/>
  <c r="HZ103" i="12"/>
  <c r="IA103" i="12"/>
  <c r="IB103" i="12"/>
  <c r="IC103" i="12"/>
  <c r="ID103" i="12"/>
  <c r="IE103" i="12"/>
  <c r="IF103" i="12"/>
  <c r="IG103" i="12"/>
  <c r="IH103" i="12"/>
  <c r="II103" i="12"/>
  <c r="IJ103" i="12"/>
  <c r="IK103" i="12"/>
  <c r="IL103" i="12"/>
  <c r="IM103" i="12"/>
  <c r="IN103" i="12"/>
  <c r="IO103" i="12"/>
  <c r="IP103" i="12"/>
  <c r="IQ103" i="12"/>
  <c r="IR103" i="12"/>
  <c r="IS103" i="12"/>
  <c r="IT103" i="12"/>
  <c r="IU103" i="12"/>
  <c r="IV103" i="12"/>
  <c r="A102" i="12"/>
  <c r="B102" i="12"/>
  <c r="C102" i="12"/>
  <c r="D102" i="12"/>
  <c r="E102" i="12"/>
  <c r="F102" i="12"/>
  <c r="G102" i="12"/>
  <c r="H102" i="12"/>
  <c r="I102" i="12"/>
  <c r="J102" i="12"/>
  <c r="K102" i="12"/>
  <c r="L102" i="12"/>
  <c r="M102" i="12"/>
  <c r="N102" i="12"/>
  <c r="O102" i="12"/>
  <c r="P102" i="12"/>
  <c r="Q102" i="12"/>
  <c r="R102" i="12"/>
  <c r="S102" i="12"/>
  <c r="T102" i="12"/>
  <c r="U102" i="12"/>
  <c r="V102" i="12"/>
  <c r="W102" i="12"/>
  <c r="X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BC102" i="12"/>
  <c r="BD102" i="12"/>
  <c r="BE102" i="12"/>
  <c r="BF102" i="12"/>
  <c r="BG102" i="12"/>
  <c r="BH102" i="12"/>
  <c r="BI102" i="12"/>
  <c r="BJ102" i="12"/>
  <c r="BK102" i="12"/>
  <c r="BL102" i="12"/>
  <c r="BM102" i="12"/>
  <c r="BN102" i="12"/>
  <c r="BO102" i="12"/>
  <c r="BP102" i="12"/>
  <c r="BQ102" i="12"/>
  <c r="BR102" i="12"/>
  <c r="BS102" i="12"/>
  <c r="BT102" i="12"/>
  <c r="BU102" i="12"/>
  <c r="BV102" i="12"/>
  <c r="BW102" i="12"/>
  <c r="BX102" i="12"/>
  <c r="BY102" i="12"/>
  <c r="BZ102" i="12"/>
  <c r="CA102" i="12"/>
  <c r="CB102" i="12"/>
  <c r="CC102" i="12"/>
  <c r="CD102" i="12"/>
  <c r="CE102" i="12"/>
  <c r="CF102" i="12"/>
  <c r="CG102" i="12"/>
  <c r="CH102" i="12"/>
  <c r="CI102" i="12"/>
  <c r="CJ102" i="12"/>
  <c r="CK102" i="12"/>
  <c r="CL102" i="12"/>
  <c r="CM102" i="12"/>
  <c r="CN102" i="12"/>
  <c r="CO102" i="12"/>
  <c r="CP102" i="12"/>
  <c r="CQ102" i="12"/>
  <c r="CR102" i="12"/>
  <c r="CS102" i="12"/>
  <c r="CT102" i="12"/>
  <c r="CU102" i="12"/>
  <c r="CV102" i="12"/>
  <c r="CW102" i="12"/>
  <c r="CX102" i="12"/>
  <c r="CY102" i="12"/>
  <c r="CZ102" i="12"/>
  <c r="DA102" i="12"/>
  <c r="DB102" i="12"/>
  <c r="DC102" i="12"/>
  <c r="DD102" i="12"/>
  <c r="DE102" i="12"/>
  <c r="DF102" i="12"/>
  <c r="DG102" i="12"/>
  <c r="DH102" i="12"/>
  <c r="DI102" i="12"/>
  <c r="DJ102" i="12"/>
  <c r="DK102" i="12"/>
  <c r="DL102" i="12"/>
  <c r="DM102" i="12"/>
  <c r="DN102" i="12"/>
  <c r="DO102" i="12"/>
  <c r="DP102" i="12"/>
  <c r="DQ102" i="12"/>
  <c r="DR102" i="12"/>
  <c r="DS102" i="12"/>
  <c r="DT102" i="12"/>
  <c r="DU102" i="12"/>
  <c r="DV102" i="12"/>
  <c r="DW102" i="12"/>
  <c r="DX102" i="12"/>
  <c r="DY102" i="12"/>
  <c r="DZ102" i="12"/>
  <c r="EA102" i="12"/>
  <c r="EB102" i="12"/>
  <c r="EC102" i="12"/>
  <c r="ED102" i="12"/>
  <c r="EE102" i="12"/>
  <c r="EF102" i="12"/>
  <c r="EG102" i="12"/>
  <c r="EH102" i="12"/>
  <c r="EI102" i="12"/>
  <c r="EJ102" i="12"/>
  <c r="EK102" i="12"/>
  <c r="EL102" i="12"/>
  <c r="EM102" i="12"/>
  <c r="EN102" i="12"/>
  <c r="EO102" i="12"/>
  <c r="EP102" i="12"/>
  <c r="EQ102" i="12"/>
  <c r="ER102" i="12"/>
  <c r="ES102" i="12"/>
  <c r="ET102" i="12"/>
  <c r="EU102" i="12"/>
  <c r="EV102" i="12"/>
  <c r="EW102" i="12"/>
  <c r="EX102" i="12"/>
  <c r="EY102" i="12"/>
  <c r="EZ102" i="12"/>
  <c r="FA102" i="12"/>
  <c r="FB102" i="12"/>
  <c r="FC102" i="12"/>
  <c r="FD102" i="12"/>
  <c r="FE102" i="12"/>
  <c r="FF102" i="12"/>
  <c r="FG102" i="12"/>
  <c r="FH102" i="12"/>
  <c r="FI102" i="12"/>
  <c r="FJ102" i="12"/>
  <c r="FK102" i="12"/>
  <c r="FL102" i="12"/>
  <c r="FM102" i="12"/>
  <c r="FN102" i="12"/>
  <c r="FO102" i="12"/>
  <c r="FP102" i="12"/>
  <c r="FQ102" i="12"/>
  <c r="FR102" i="12"/>
  <c r="FS102" i="12"/>
  <c r="FT102" i="12"/>
  <c r="FU102" i="12"/>
  <c r="FV102" i="12"/>
  <c r="FW102" i="12"/>
  <c r="FX102" i="12"/>
  <c r="FY102" i="12"/>
  <c r="FZ102" i="12"/>
  <c r="GA102" i="12"/>
  <c r="GB102" i="12"/>
  <c r="GC102" i="12"/>
  <c r="GD102" i="12"/>
  <c r="GE102" i="12"/>
  <c r="GF102" i="12"/>
  <c r="GG102" i="12"/>
  <c r="GH102" i="12"/>
  <c r="GI102" i="12"/>
  <c r="GJ102" i="12"/>
  <c r="GK102" i="12"/>
  <c r="GL102" i="12"/>
  <c r="GM102" i="12"/>
  <c r="GN102" i="12"/>
  <c r="GO102" i="12"/>
  <c r="GP102" i="12"/>
  <c r="GQ102" i="12"/>
  <c r="GR102" i="12"/>
  <c r="GS102" i="12"/>
  <c r="GT102" i="12"/>
  <c r="GU102" i="12"/>
  <c r="GV102" i="12"/>
  <c r="GW102" i="12"/>
  <c r="GX102" i="12"/>
  <c r="GY102" i="12"/>
  <c r="GZ102" i="12"/>
  <c r="HA102" i="12"/>
  <c r="HB102" i="12"/>
  <c r="HC102" i="12"/>
  <c r="HD102" i="12"/>
  <c r="HE102" i="12"/>
  <c r="HF102" i="12"/>
  <c r="HG102" i="12"/>
  <c r="HH102" i="12"/>
  <c r="HI102" i="12"/>
  <c r="HJ102" i="12"/>
  <c r="HK102" i="12"/>
  <c r="HL102" i="12"/>
  <c r="HM102" i="12"/>
  <c r="HN102" i="12"/>
  <c r="HO102" i="12"/>
  <c r="HP102" i="12"/>
  <c r="HQ102" i="12"/>
  <c r="HR102" i="12"/>
  <c r="HS102" i="12"/>
  <c r="HT102" i="12"/>
  <c r="HU102" i="12"/>
  <c r="HV102" i="12"/>
  <c r="HW102" i="12"/>
  <c r="HX102" i="12"/>
  <c r="HY102" i="12"/>
  <c r="HZ102" i="12"/>
  <c r="IA102" i="12"/>
  <c r="IB102" i="12"/>
  <c r="IC102" i="12"/>
  <c r="ID102" i="12"/>
  <c r="IE102" i="12"/>
  <c r="IF102" i="12"/>
  <c r="IG102" i="12"/>
  <c r="IH102" i="12"/>
  <c r="II102" i="12"/>
  <c r="IJ102" i="12"/>
  <c r="IK102" i="12"/>
  <c r="IL102" i="12"/>
  <c r="IM102" i="12"/>
  <c r="IN102" i="12"/>
  <c r="IO102" i="12"/>
  <c r="IP102" i="12"/>
  <c r="IQ102" i="12"/>
  <c r="IR102" i="12"/>
  <c r="IS102" i="12"/>
  <c r="IT102" i="12"/>
  <c r="IU102" i="12"/>
  <c r="IV102" i="12"/>
  <c r="A101" i="12"/>
  <c r="B101" i="12"/>
  <c r="C101" i="12"/>
  <c r="D101" i="12"/>
  <c r="E101" i="12"/>
  <c r="F101" i="12"/>
  <c r="G101" i="12"/>
  <c r="H101" i="12"/>
  <c r="I101" i="12"/>
  <c r="J101" i="12"/>
  <c r="K101" i="12"/>
  <c r="L101" i="12"/>
  <c r="M101" i="12"/>
  <c r="N101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BC101" i="12"/>
  <c r="BD101" i="12"/>
  <c r="BE101" i="12"/>
  <c r="BF101" i="12"/>
  <c r="BG101" i="12"/>
  <c r="BH101" i="12"/>
  <c r="BI101" i="12"/>
  <c r="BJ101" i="12"/>
  <c r="BK101" i="12"/>
  <c r="BL101" i="12"/>
  <c r="BM101" i="12"/>
  <c r="BN101" i="12"/>
  <c r="BO101" i="12"/>
  <c r="BP101" i="12"/>
  <c r="BQ101" i="12"/>
  <c r="BR101" i="12"/>
  <c r="BS101" i="12"/>
  <c r="BT101" i="12"/>
  <c r="BU101" i="12"/>
  <c r="BV101" i="12"/>
  <c r="BW101" i="12"/>
  <c r="BX101" i="12"/>
  <c r="BY101" i="12"/>
  <c r="BZ101" i="12"/>
  <c r="CA101" i="12"/>
  <c r="CB101" i="12"/>
  <c r="CC101" i="12"/>
  <c r="CD101" i="12"/>
  <c r="CE101" i="12"/>
  <c r="CF101" i="12"/>
  <c r="CG101" i="12"/>
  <c r="CH101" i="12"/>
  <c r="CI101" i="12"/>
  <c r="CJ101" i="12"/>
  <c r="CK101" i="12"/>
  <c r="CL101" i="12"/>
  <c r="CM101" i="12"/>
  <c r="CN101" i="12"/>
  <c r="CO101" i="12"/>
  <c r="CP101" i="12"/>
  <c r="CQ101" i="12"/>
  <c r="CR101" i="12"/>
  <c r="CS101" i="12"/>
  <c r="CT101" i="12"/>
  <c r="CU101" i="12"/>
  <c r="CV101" i="12"/>
  <c r="CW101" i="12"/>
  <c r="CX101" i="12"/>
  <c r="CY101" i="12"/>
  <c r="CZ101" i="12"/>
  <c r="DA101" i="12"/>
  <c r="DB101" i="12"/>
  <c r="DC101" i="12"/>
  <c r="DD101" i="12"/>
  <c r="DE101" i="12"/>
  <c r="DF101" i="12"/>
  <c r="DG101" i="12"/>
  <c r="DH101" i="12"/>
  <c r="DI101" i="12"/>
  <c r="DJ101" i="12"/>
  <c r="DK101" i="12"/>
  <c r="DL101" i="12"/>
  <c r="DM101" i="12"/>
  <c r="DN101" i="12"/>
  <c r="DO101" i="12"/>
  <c r="DP101" i="12"/>
  <c r="DQ101" i="12"/>
  <c r="DR101" i="12"/>
  <c r="DS101" i="12"/>
  <c r="DT101" i="12"/>
  <c r="DU101" i="12"/>
  <c r="DV101" i="12"/>
  <c r="DW101" i="12"/>
  <c r="DX101" i="12"/>
  <c r="DY101" i="12"/>
  <c r="DZ101" i="12"/>
  <c r="EA101" i="12"/>
  <c r="EB101" i="12"/>
  <c r="EC101" i="12"/>
  <c r="ED101" i="12"/>
  <c r="EE101" i="12"/>
  <c r="EF101" i="12"/>
  <c r="EG101" i="12"/>
  <c r="EH101" i="12"/>
  <c r="EI101" i="12"/>
  <c r="EJ101" i="12"/>
  <c r="EK101" i="12"/>
  <c r="EL101" i="12"/>
  <c r="EM101" i="12"/>
  <c r="EN101" i="12"/>
  <c r="EO101" i="12"/>
  <c r="EP101" i="12"/>
  <c r="EQ101" i="12"/>
  <c r="ER101" i="12"/>
  <c r="ES101" i="12"/>
  <c r="ET101" i="12"/>
  <c r="EU101" i="12"/>
  <c r="EV101" i="12"/>
  <c r="EW101" i="12"/>
  <c r="EX101" i="12"/>
  <c r="EY101" i="12"/>
  <c r="EZ101" i="12"/>
  <c r="FA101" i="12"/>
  <c r="FB101" i="12"/>
  <c r="FC101" i="12"/>
  <c r="FD101" i="12"/>
  <c r="FE101" i="12"/>
  <c r="FF101" i="12"/>
  <c r="FG101" i="12"/>
  <c r="FH101" i="12"/>
  <c r="FI101" i="12"/>
  <c r="FJ101" i="12"/>
  <c r="FK101" i="12"/>
  <c r="FL101" i="12"/>
  <c r="FM101" i="12"/>
  <c r="FN101" i="12"/>
  <c r="FO101" i="12"/>
  <c r="FP101" i="12"/>
  <c r="FQ101" i="12"/>
  <c r="FR101" i="12"/>
  <c r="FS101" i="12"/>
  <c r="FT101" i="12"/>
  <c r="FU101" i="12"/>
  <c r="FV101" i="12"/>
  <c r="FW101" i="12"/>
  <c r="FX101" i="12"/>
  <c r="FY101" i="12"/>
  <c r="FZ101" i="12"/>
  <c r="GA101" i="12"/>
  <c r="GB101" i="12"/>
  <c r="GC101" i="12"/>
  <c r="GD101" i="12"/>
  <c r="GE101" i="12"/>
  <c r="GF101" i="12"/>
  <c r="GG101" i="12"/>
  <c r="GH101" i="12"/>
  <c r="GI101" i="12"/>
  <c r="GJ101" i="12"/>
  <c r="GK101" i="12"/>
  <c r="GL101" i="12"/>
  <c r="GM101" i="12"/>
  <c r="GN101" i="12"/>
  <c r="GO101" i="12"/>
  <c r="GP101" i="12"/>
  <c r="GQ101" i="12"/>
  <c r="GR101" i="12"/>
  <c r="GS101" i="12"/>
  <c r="GT101" i="12"/>
  <c r="GU101" i="12"/>
  <c r="GV101" i="12"/>
  <c r="GW101" i="12"/>
  <c r="GX101" i="12"/>
  <c r="GY101" i="12"/>
  <c r="GZ101" i="12"/>
  <c r="HA101" i="12"/>
  <c r="HB101" i="12"/>
  <c r="HC101" i="12"/>
  <c r="HD101" i="12"/>
  <c r="HE101" i="12"/>
  <c r="HF101" i="12"/>
  <c r="HG101" i="12"/>
  <c r="HH101" i="12"/>
  <c r="HI101" i="12"/>
  <c r="HJ101" i="12"/>
  <c r="HK101" i="12"/>
  <c r="HL101" i="12"/>
  <c r="HM101" i="12"/>
  <c r="HN101" i="12"/>
  <c r="HO101" i="12"/>
  <c r="HP101" i="12"/>
  <c r="HQ101" i="12"/>
  <c r="HR101" i="12"/>
  <c r="HS101" i="12"/>
  <c r="HT101" i="12"/>
  <c r="HU101" i="12"/>
  <c r="HV101" i="12"/>
  <c r="HW101" i="12"/>
  <c r="HX101" i="12"/>
  <c r="HY101" i="12"/>
  <c r="HZ101" i="12"/>
  <c r="IA101" i="12"/>
  <c r="IB101" i="12"/>
  <c r="IC101" i="12"/>
  <c r="ID101" i="12"/>
  <c r="IE101" i="12"/>
  <c r="IF101" i="12"/>
  <c r="IG101" i="12"/>
  <c r="IH101" i="12"/>
  <c r="II101" i="12"/>
  <c r="IJ101" i="12"/>
  <c r="IK101" i="12"/>
  <c r="IL101" i="12"/>
  <c r="IM101" i="12"/>
  <c r="IN101" i="12"/>
  <c r="IO101" i="12"/>
  <c r="IP101" i="12"/>
  <c r="IQ101" i="12"/>
  <c r="IR101" i="12"/>
  <c r="IS101" i="12"/>
  <c r="IT101" i="12"/>
  <c r="IU101" i="12"/>
  <c r="IV101" i="12"/>
  <c r="E142" i="12"/>
  <c r="G145" i="12"/>
  <c r="I148" i="12"/>
  <c r="J132" i="12"/>
  <c r="K151" i="12"/>
  <c r="L135" i="12"/>
  <c r="M154" i="12"/>
  <c r="N138" i="12"/>
  <c r="O157" i="12"/>
  <c r="P141" i="12"/>
  <c r="R144" i="12"/>
  <c r="T147" i="12"/>
  <c r="U131" i="12"/>
  <c r="V150" i="12"/>
  <c r="W134" i="12"/>
  <c r="X153" i="12"/>
  <c r="Y137" i="12"/>
  <c r="Z156" i="12"/>
  <c r="AA140" i="12"/>
  <c r="AC143" i="12"/>
  <c r="AE146" i="12"/>
  <c r="AF130" i="12"/>
  <c r="AG149" i="12"/>
  <c r="D123" i="12"/>
  <c r="E107" i="12"/>
  <c r="F126" i="12"/>
  <c r="G110" i="12"/>
  <c r="H129" i="12"/>
  <c r="I113" i="12"/>
  <c r="K116" i="12"/>
  <c r="M119" i="12"/>
  <c r="N103" i="12"/>
  <c r="O122" i="12"/>
  <c r="P106" i="12"/>
  <c r="Q125" i="12"/>
  <c r="R109" i="12"/>
  <c r="S128" i="12"/>
  <c r="T112" i="12"/>
  <c r="V115" i="12"/>
  <c r="X118" i="12"/>
  <c r="Y102" i="12"/>
  <c r="Z121" i="12"/>
  <c r="AA105" i="12"/>
  <c r="AB124" i="12"/>
  <c r="AC108" i="12"/>
  <c r="AD127" i="12"/>
  <c r="AE111" i="12"/>
  <c r="AG114" i="12"/>
  <c r="AH133" i="12" l="1"/>
  <c r="Q97" i="12"/>
  <c r="M91" i="12"/>
  <c r="V87" i="12"/>
  <c r="N75" i="12"/>
  <c r="AD99" i="12"/>
  <c r="F98" i="12"/>
  <c r="Z93" i="12"/>
  <c r="AE83" i="12"/>
  <c r="G82" i="12"/>
  <c r="AA77" i="12"/>
  <c r="O94" i="12"/>
  <c r="K88" i="12"/>
  <c r="K100" i="12"/>
  <c r="L100" i="12"/>
  <c r="O100" i="12"/>
  <c r="C100" i="12"/>
  <c r="D100" i="12"/>
  <c r="G100" i="12"/>
  <c r="H100" i="12"/>
  <c r="I100" i="12"/>
  <c r="J100" i="12"/>
  <c r="M100" i="12"/>
  <c r="N100" i="12"/>
  <c r="A100" i="12"/>
  <c r="E100" i="12"/>
  <c r="F100" i="12"/>
  <c r="P78" i="12"/>
  <c r="AB96" i="12"/>
  <c r="D95" i="12"/>
  <c r="X90" i="12"/>
  <c r="AG86" i="12"/>
  <c r="I85" i="12"/>
  <c r="AC80" i="12"/>
  <c r="E79" i="12"/>
  <c r="EL69" i="12"/>
  <c r="C139" i="12"/>
  <c r="D211" i="8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99" i="12"/>
  <c r="B99" i="12"/>
  <c r="C99" i="12"/>
  <c r="D99" i="12"/>
  <c r="E99" i="12"/>
  <c r="F99" i="12"/>
  <c r="G99" i="12"/>
  <c r="H99" i="12"/>
  <c r="I99" i="12"/>
  <c r="J99" i="12"/>
  <c r="K99" i="12"/>
  <c r="L99" i="12"/>
  <c r="M99" i="12"/>
  <c r="N99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BC99" i="12"/>
  <c r="BD99" i="12"/>
  <c r="BE99" i="12"/>
  <c r="BF99" i="12"/>
  <c r="BG99" i="12"/>
  <c r="BH99" i="12"/>
  <c r="BI99" i="12"/>
  <c r="BJ99" i="12"/>
  <c r="BK99" i="12"/>
  <c r="BL99" i="12"/>
  <c r="BM99" i="12"/>
  <c r="BN99" i="12"/>
  <c r="BO99" i="12"/>
  <c r="BP99" i="12"/>
  <c r="BQ99" i="12"/>
  <c r="BR99" i="12"/>
  <c r="BS99" i="12"/>
  <c r="BT99" i="12"/>
  <c r="BU99" i="12"/>
  <c r="BV99" i="12"/>
  <c r="BW99" i="12"/>
  <c r="BX99" i="12"/>
  <c r="BY99" i="12"/>
  <c r="BZ99" i="12"/>
  <c r="CA99" i="12"/>
  <c r="CB99" i="12"/>
  <c r="CC99" i="12"/>
  <c r="CD99" i="12"/>
  <c r="CE99" i="12"/>
  <c r="CF99" i="12"/>
  <c r="CG99" i="12"/>
  <c r="CH99" i="12"/>
  <c r="CI99" i="12"/>
  <c r="CJ99" i="12"/>
  <c r="CK99" i="12"/>
  <c r="CL99" i="12"/>
  <c r="CM99" i="12"/>
  <c r="CN99" i="12"/>
  <c r="CO99" i="12"/>
  <c r="CP99" i="12"/>
  <c r="CQ99" i="12"/>
  <c r="CR99" i="12"/>
  <c r="CS99" i="12"/>
  <c r="CT99" i="12"/>
  <c r="CU99" i="12"/>
  <c r="CV99" i="12"/>
  <c r="CW99" i="12"/>
  <c r="CX99" i="12"/>
  <c r="CY99" i="12"/>
  <c r="CZ99" i="12"/>
  <c r="DA99" i="12"/>
  <c r="DB99" i="12"/>
  <c r="DC99" i="12"/>
  <c r="DD99" i="12"/>
  <c r="DE99" i="12"/>
  <c r="DF99" i="12"/>
  <c r="DG99" i="12"/>
  <c r="DH99" i="12"/>
  <c r="DI99" i="12"/>
  <c r="DJ99" i="12"/>
  <c r="DK99" i="12"/>
  <c r="DL99" i="12"/>
  <c r="DM99" i="12"/>
  <c r="DN99" i="12"/>
  <c r="DO99" i="12"/>
  <c r="DP99" i="12"/>
  <c r="DQ99" i="12"/>
  <c r="DR99" i="12"/>
  <c r="DS99" i="12"/>
  <c r="DT99" i="12"/>
  <c r="DU99" i="12"/>
  <c r="DV99" i="12"/>
  <c r="DW99" i="12"/>
  <c r="DX99" i="12"/>
  <c r="DY99" i="12"/>
  <c r="DZ99" i="12"/>
  <c r="EA99" i="12"/>
  <c r="EB99" i="12"/>
  <c r="EC99" i="12"/>
  <c r="ED99" i="12"/>
  <c r="EE99" i="12"/>
  <c r="EF99" i="12"/>
  <c r="EG99" i="12"/>
  <c r="EH99" i="12"/>
  <c r="EI99" i="12"/>
  <c r="EJ99" i="12"/>
  <c r="EK99" i="12"/>
  <c r="EL99" i="12"/>
  <c r="EM99" i="12"/>
  <c r="EN99" i="12"/>
  <c r="EO99" i="12"/>
  <c r="EP99" i="12"/>
  <c r="EQ99" i="12"/>
  <c r="ER99" i="12"/>
  <c r="ES99" i="12"/>
  <c r="ET99" i="12"/>
  <c r="EU99" i="12"/>
  <c r="EV99" i="12"/>
  <c r="EW99" i="12"/>
  <c r="EX99" i="12"/>
  <c r="EY99" i="12"/>
  <c r="EZ99" i="12"/>
  <c r="FA99" i="12"/>
  <c r="FB99" i="12"/>
  <c r="FC99" i="12"/>
  <c r="FD99" i="12"/>
  <c r="FE99" i="12"/>
  <c r="FF99" i="12"/>
  <c r="FG99" i="12"/>
  <c r="FH99" i="12"/>
  <c r="FI99" i="12"/>
  <c r="FJ99" i="12"/>
  <c r="FK99" i="12"/>
  <c r="FL99" i="12"/>
  <c r="FM99" i="12"/>
  <c r="FN99" i="12"/>
  <c r="FO99" i="12"/>
  <c r="FP99" i="12"/>
  <c r="FQ99" i="12"/>
  <c r="FR99" i="12"/>
  <c r="FS99" i="12"/>
  <c r="FT99" i="12"/>
  <c r="FU99" i="12"/>
  <c r="FV99" i="12"/>
  <c r="FW99" i="12"/>
  <c r="FX99" i="12"/>
  <c r="FY99" i="12"/>
  <c r="FZ99" i="12"/>
  <c r="GA99" i="12"/>
  <c r="GB99" i="12"/>
  <c r="GC99" i="12"/>
  <c r="GD99" i="12"/>
  <c r="GE99" i="12"/>
  <c r="GF99" i="12"/>
  <c r="GG99" i="12"/>
  <c r="GH99" i="12"/>
  <c r="GI99" i="12"/>
  <c r="GJ99" i="12"/>
  <c r="GK99" i="12"/>
  <c r="GL99" i="12"/>
  <c r="GM99" i="12"/>
  <c r="GN99" i="12"/>
  <c r="GO99" i="12"/>
  <c r="GP99" i="12"/>
  <c r="GQ99" i="12"/>
  <c r="GR99" i="12"/>
  <c r="GS99" i="12"/>
  <c r="GT99" i="12"/>
  <c r="GU99" i="12"/>
  <c r="GV99" i="12"/>
  <c r="GW99" i="12"/>
  <c r="GX99" i="12"/>
  <c r="GY99" i="12"/>
  <c r="GZ99" i="12"/>
  <c r="HA99" i="12"/>
  <c r="HB99" i="12"/>
  <c r="HC99" i="12"/>
  <c r="HD99" i="12"/>
  <c r="HE99" i="12"/>
  <c r="HF99" i="12"/>
  <c r="HG99" i="12"/>
  <c r="HH99" i="12"/>
  <c r="HI99" i="12"/>
  <c r="HJ99" i="12"/>
  <c r="HK99" i="12"/>
  <c r="HL99" i="12"/>
  <c r="HM99" i="12"/>
  <c r="HN99" i="12"/>
  <c r="HO99" i="12"/>
  <c r="HP99" i="12"/>
  <c r="HQ99" i="12"/>
  <c r="HR99" i="12"/>
  <c r="HS99" i="12"/>
  <c r="HT99" i="12"/>
  <c r="HU99" i="12"/>
  <c r="HV99" i="12"/>
  <c r="HW99" i="12"/>
  <c r="HX99" i="12"/>
  <c r="HY99" i="12"/>
  <c r="HZ99" i="12"/>
  <c r="IA99" i="12"/>
  <c r="IB99" i="12"/>
  <c r="IC99" i="12"/>
  <c r="ID99" i="12"/>
  <c r="IE99" i="12"/>
  <c r="IF99" i="12"/>
  <c r="A98" i="12"/>
  <c r="B98" i="12"/>
  <c r="C98" i="12"/>
  <c r="D98" i="12"/>
  <c r="E98" i="12"/>
  <c r="G98" i="12"/>
  <c r="H98" i="12"/>
  <c r="I98" i="12"/>
  <c r="J98" i="12"/>
  <c r="K98" i="12"/>
  <c r="L98" i="12"/>
  <c r="M98" i="12"/>
  <c r="N98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W98" i="12"/>
  <c r="AX98" i="12"/>
  <c r="AY98" i="12"/>
  <c r="AZ98" i="12"/>
  <c r="BA98" i="12"/>
  <c r="BB98" i="12"/>
  <c r="BC98" i="12"/>
  <c r="BD98" i="12"/>
  <c r="BE98" i="12"/>
  <c r="BF98" i="12"/>
  <c r="BG98" i="12"/>
  <c r="BH98" i="12"/>
  <c r="BI98" i="12"/>
  <c r="BJ98" i="12"/>
  <c r="BK98" i="12"/>
  <c r="BL98" i="12"/>
  <c r="BM98" i="12"/>
  <c r="BN98" i="12"/>
  <c r="BO98" i="12"/>
  <c r="BP98" i="12"/>
  <c r="BQ98" i="12"/>
  <c r="BR98" i="12"/>
  <c r="BS98" i="12"/>
  <c r="BT98" i="12"/>
  <c r="BU98" i="12"/>
  <c r="BV98" i="12"/>
  <c r="BW98" i="12"/>
  <c r="BX98" i="12"/>
  <c r="BY98" i="12"/>
  <c r="BZ98" i="12"/>
  <c r="CA98" i="12"/>
  <c r="CB98" i="12"/>
  <c r="CC98" i="12"/>
  <c r="CD98" i="12"/>
  <c r="CE98" i="12"/>
  <c r="CF98" i="12"/>
  <c r="CG98" i="12"/>
  <c r="CH98" i="12"/>
  <c r="CI98" i="12"/>
  <c r="CJ98" i="12"/>
  <c r="CK98" i="12"/>
  <c r="CL98" i="12"/>
  <c r="CM98" i="12"/>
  <c r="CN98" i="12"/>
  <c r="CO98" i="12"/>
  <c r="CP98" i="12"/>
  <c r="CQ98" i="12"/>
  <c r="CR98" i="12"/>
  <c r="CS98" i="12"/>
  <c r="CT98" i="12"/>
  <c r="CU98" i="12"/>
  <c r="CV98" i="12"/>
  <c r="CW98" i="12"/>
  <c r="CX98" i="12"/>
  <c r="CY98" i="12"/>
  <c r="CZ98" i="12"/>
  <c r="DA98" i="12"/>
  <c r="DB98" i="12"/>
  <c r="DC98" i="12"/>
  <c r="DD98" i="12"/>
  <c r="DE98" i="12"/>
  <c r="DF98" i="12"/>
  <c r="DG98" i="12"/>
  <c r="DH98" i="12"/>
  <c r="DI98" i="12"/>
  <c r="DJ98" i="12"/>
  <c r="DK98" i="12"/>
  <c r="DL98" i="12"/>
  <c r="DM98" i="12"/>
  <c r="DN98" i="12"/>
  <c r="DO98" i="12"/>
  <c r="DP98" i="12"/>
  <c r="DQ98" i="12"/>
  <c r="DR98" i="12"/>
  <c r="DS98" i="12"/>
  <c r="DT98" i="12"/>
  <c r="DU98" i="12"/>
  <c r="DV98" i="12"/>
  <c r="DW98" i="12"/>
  <c r="DX98" i="12"/>
  <c r="DY98" i="12"/>
  <c r="DZ98" i="12"/>
  <c r="EA98" i="12"/>
  <c r="EB98" i="12"/>
  <c r="EC98" i="12"/>
  <c r="ED98" i="12"/>
  <c r="EE98" i="12"/>
  <c r="EF98" i="12"/>
  <c r="EG98" i="12"/>
  <c r="EH98" i="12"/>
  <c r="EI98" i="12"/>
  <c r="EJ98" i="12"/>
  <c r="EK98" i="12"/>
  <c r="EL98" i="12"/>
  <c r="EM98" i="12"/>
  <c r="EN98" i="12"/>
  <c r="EO98" i="12"/>
  <c r="EP98" i="12"/>
  <c r="EQ98" i="12"/>
  <c r="ER98" i="12"/>
  <c r="ES98" i="12"/>
  <c r="ET98" i="12"/>
  <c r="EU98" i="12"/>
  <c r="EV98" i="12"/>
  <c r="EW98" i="12"/>
  <c r="EX98" i="12"/>
  <c r="EY98" i="12"/>
  <c r="EZ98" i="12"/>
  <c r="FA98" i="12"/>
  <c r="FB98" i="12"/>
  <c r="FC98" i="12"/>
  <c r="FD98" i="12"/>
  <c r="FE98" i="12"/>
  <c r="FF98" i="12"/>
  <c r="FG98" i="12"/>
  <c r="FH98" i="12"/>
  <c r="FI98" i="12"/>
  <c r="FJ98" i="12"/>
  <c r="FK98" i="12"/>
  <c r="FL98" i="12"/>
  <c r="FM98" i="12"/>
  <c r="FN98" i="12"/>
  <c r="FO98" i="12"/>
  <c r="FP98" i="12"/>
  <c r="FQ98" i="12"/>
  <c r="FR98" i="12"/>
  <c r="FS98" i="12"/>
  <c r="FT98" i="12"/>
  <c r="FU98" i="12"/>
  <c r="FV98" i="12"/>
  <c r="FW98" i="12"/>
  <c r="FX98" i="12"/>
  <c r="FY98" i="12"/>
  <c r="FZ98" i="12"/>
  <c r="GA98" i="12"/>
  <c r="GB98" i="12"/>
  <c r="GC98" i="12"/>
  <c r="GD98" i="12"/>
  <c r="GE98" i="12"/>
  <c r="GF98" i="12"/>
  <c r="GG98" i="12"/>
  <c r="GH98" i="12"/>
  <c r="GI98" i="12"/>
  <c r="GJ98" i="12"/>
  <c r="GK98" i="12"/>
  <c r="GL98" i="12"/>
  <c r="GM98" i="12"/>
  <c r="GN98" i="12"/>
  <c r="GO98" i="12"/>
  <c r="GP98" i="12"/>
  <c r="GQ98" i="12"/>
  <c r="GR98" i="12"/>
  <c r="GS98" i="12"/>
  <c r="GT98" i="12"/>
  <c r="GU98" i="12"/>
  <c r="GV98" i="12"/>
  <c r="GW98" i="12"/>
  <c r="GX98" i="12"/>
  <c r="GY98" i="12"/>
  <c r="GZ98" i="12"/>
  <c r="HA98" i="12"/>
  <c r="HB98" i="12"/>
  <c r="HC98" i="12"/>
  <c r="HD98" i="12"/>
  <c r="HE98" i="12"/>
  <c r="HF98" i="12"/>
  <c r="HG98" i="12"/>
  <c r="HH98" i="12"/>
  <c r="HI98" i="12"/>
  <c r="HJ98" i="12"/>
  <c r="HK98" i="12"/>
  <c r="HL98" i="12"/>
  <c r="HM98" i="12"/>
  <c r="HN98" i="12"/>
  <c r="HO98" i="12"/>
  <c r="HP98" i="12"/>
  <c r="HQ98" i="12"/>
  <c r="HR98" i="12"/>
  <c r="HS98" i="12"/>
  <c r="HT98" i="12"/>
  <c r="HU98" i="12"/>
  <c r="HV98" i="12"/>
  <c r="HW98" i="12"/>
  <c r="HX98" i="12"/>
  <c r="HY98" i="12"/>
  <c r="HZ98" i="12"/>
  <c r="IA98" i="12"/>
  <c r="IB98" i="12"/>
  <c r="IC98" i="12"/>
  <c r="ID98" i="12"/>
  <c r="IE98" i="12"/>
  <c r="IF98" i="12"/>
  <c r="IG98" i="12"/>
  <c r="IH98" i="12"/>
  <c r="II98" i="12"/>
  <c r="IJ98" i="12"/>
  <c r="IK98" i="12"/>
  <c r="IL98" i="12"/>
  <c r="IM98" i="12"/>
  <c r="IN98" i="12"/>
  <c r="IO98" i="12"/>
  <c r="IP98" i="12"/>
  <c r="IQ98" i="12"/>
  <c r="IR98" i="12"/>
  <c r="IS98" i="12"/>
  <c r="IT98" i="12"/>
  <c r="IU98" i="12"/>
  <c r="IV98" i="12"/>
  <c r="A97" i="12"/>
  <c r="B97" i="12"/>
  <c r="C97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P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BC97" i="12"/>
  <c r="BD97" i="12"/>
  <c r="BE97" i="12"/>
  <c r="BF97" i="12"/>
  <c r="BG97" i="12"/>
  <c r="BH97" i="12"/>
  <c r="BI97" i="12"/>
  <c r="BJ97" i="12"/>
  <c r="BK97" i="12"/>
  <c r="BL97" i="12"/>
  <c r="BM97" i="12"/>
  <c r="BN97" i="12"/>
  <c r="BO97" i="12"/>
  <c r="BP97" i="12"/>
  <c r="BQ97" i="12"/>
  <c r="BR97" i="12"/>
  <c r="BS97" i="12"/>
  <c r="BT97" i="12"/>
  <c r="BU97" i="12"/>
  <c r="BV97" i="12"/>
  <c r="BW97" i="12"/>
  <c r="BX97" i="12"/>
  <c r="BY97" i="12"/>
  <c r="BZ97" i="12"/>
  <c r="CA97" i="12"/>
  <c r="CB97" i="12"/>
  <c r="CC97" i="12"/>
  <c r="CD97" i="12"/>
  <c r="CE97" i="12"/>
  <c r="CF97" i="12"/>
  <c r="CG97" i="12"/>
  <c r="CH97" i="12"/>
  <c r="CI97" i="12"/>
  <c r="CJ97" i="12"/>
  <c r="CK97" i="12"/>
  <c r="CL97" i="12"/>
  <c r="CM97" i="12"/>
  <c r="CN97" i="12"/>
  <c r="CO97" i="12"/>
  <c r="CP97" i="12"/>
  <c r="CQ97" i="12"/>
  <c r="CR97" i="12"/>
  <c r="CS97" i="12"/>
  <c r="CT97" i="12"/>
  <c r="CU97" i="12"/>
  <c r="CV97" i="12"/>
  <c r="CW97" i="12"/>
  <c r="CX97" i="12"/>
  <c r="CY97" i="12"/>
  <c r="CZ97" i="12"/>
  <c r="DA97" i="12"/>
  <c r="DB97" i="12"/>
  <c r="DC97" i="12"/>
  <c r="DD97" i="12"/>
  <c r="DE97" i="12"/>
  <c r="DF97" i="12"/>
  <c r="DG97" i="12"/>
  <c r="DH97" i="12"/>
  <c r="DI97" i="12"/>
  <c r="DJ97" i="12"/>
  <c r="DK97" i="12"/>
  <c r="DL97" i="12"/>
  <c r="DM97" i="12"/>
  <c r="DN97" i="12"/>
  <c r="DO97" i="12"/>
  <c r="DP97" i="12"/>
  <c r="DQ97" i="12"/>
  <c r="DR97" i="12"/>
  <c r="DS97" i="12"/>
  <c r="DT97" i="12"/>
  <c r="DU97" i="12"/>
  <c r="DV97" i="12"/>
  <c r="DW97" i="12"/>
  <c r="DX97" i="12"/>
  <c r="DY97" i="12"/>
  <c r="DZ97" i="12"/>
  <c r="EA97" i="12"/>
  <c r="EB97" i="12"/>
  <c r="EC97" i="12"/>
  <c r="ED97" i="12"/>
  <c r="EE97" i="12"/>
  <c r="EF97" i="12"/>
  <c r="EG97" i="12"/>
  <c r="EH97" i="12"/>
  <c r="EI97" i="12"/>
  <c r="EJ97" i="12"/>
  <c r="EK97" i="12"/>
  <c r="EL97" i="12"/>
  <c r="EM97" i="12"/>
  <c r="EN97" i="12"/>
  <c r="EO97" i="12"/>
  <c r="EP97" i="12"/>
  <c r="EQ97" i="12"/>
  <c r="ER97" i="12"/>
  <c r="ES97" i="12"/>
  <c r="ET97" i="12"/>
  <c r="EU97" i="12"/>
  <c r="EV97" i="12"/>
  <c r="EW97" i="12"/>
  <c r="EX97" i="12"/>
  <c r="EY97" i="12"/>
  <c r="EZ97" i="12"/>
  <c r="FA97" i="12"/>
  <c r="FB97" i="12"/>
  <c r="FC97" i="12"/>
  <c r="FD97" i="12"/>
  <c r="FE97" i="12"/>
  <c r="FF97" i="12"/>
  <c r="FG97" i="12"/>
  <c r="FH97" i="12"/>
  <c r="FI97" i="12"/>
  <c r="FJ97" i="12"/>
  <c r="FK97" i="12"/>
  <c r="FL97" i="12"/>
  <c r="FM97" i="12"/>
  <c r="FN97" i="12"/>
  <c r="FO97" i="12"/>
  <c r="FP97" i="12"/>
  <c r="FQ97" i="12"/>
  <c r="FR97" i="12"/>
  <c r="FS97" i="12"/>
  <c r="FT97" i="12"/>
  <c r="FU97" i="12"/>
  <c r="FV97" i="12"/>
  <c r="FW97" i="12"/>
  <c r="FX97" i="12"/>
  <c r="FY97" i="12"/>
  <c r="FZ97" i="12"/>
  <c r="GA97" i="12"/>
  <c r="GB97" i="12"/>
  <c r="GC97" i="12"/>
  <c r="GD97" i="12"/>
  <c r="GE97" i="12"/>
  <c r="GF97" i="12"/>
  <c r="GG97" i="12"/>
  <c r="GH97" i="12"/>
  <c r="GI97" i="12"/>
  <c r="GJ97" i="12"/>
  <c r="GK97" i="12"/>
  <c r="GL97" i="12"/>
  <c r="GM97" i="12"/>
  <c r="GN97" i="12"/>
  <c r="GO97" i="12"/>
  <c r="GP97" i="12"/>
  <c r="GQ97" i="12"/>
  <c r="GR97" i="12"/>
  <c r="GS97" i="12"/>
  <c r="GT97" i="12"/>
  <c r="GU97" i="12"/>
  <c r="GV97" i="12"/>
  <c r="GW97" i="12"/>
  <c r="GX97" i="12"/>
  <c r="GY97" i="12"/>
  <c r="GZ97" i="12"/>
  <c r="HA97" i="12"/>
  <c r="HB97" i="12"/>
  <c r="HC97" i="12"/>
  <c r="HD97" i="12"/>
  <c r="HE97" i="12"/>
  <c r="HF97" i="12"/>
  <c r="HG97" i="12"/>
  <c r="HH97" i="12"/>
  <c r="HI97" i="12"/>
  <c r="HJ97" i="12"/>
  <c r="HK97" i="12"/>
  <c r="HL97" i="12"/>
  <c r="HM97" i="12"/>
  <c r="HN97" i="12"/>
  <c r="HO97" i="12"/>
  <c r="HP97" i="12"/>
  <c r="HQ97" i="12"/>
  <c r="HR97" i="12"/>
  <c r="HS97" i="12"/>
  <c r="HT97" i="12"/>
  <c r="HU97" i="12"/>
  <c r="HV97" i="12"/>
  <c r="HW97" i="12"/>
  <c r="HX97" i="12"/>
  <c r="HY97" i="12"/>
  <c r="HZ97" i="12"/>
  <c r="IA97" i="12"/>
  <c r="IB97" i="12"/>
  <c r="IC97" i="12"/>
  <c r="ID97" i="12"/>
  <c r="IE97" i="12"/>
  <c r="IF97" i="12"/>
  <c r="IG97" i="12"/>
  <c r="IH97" i="12"/>
  <c r="II97" i="12"/>
  <c r="IJ97" i="12"/>
  <c r="IK97" i="12"/>
  <c r="IL97" i="12"/>
  <c r="IM97" i="12"/>
  <c r="IN97" i="12"/>
  <c r="IO97" i="12"/>
  <c r="IP97" i="12"/>
  <c r="IQ97" i="12"/>
  <c r="IR97" i="12"/>
  <c r="IS97" i="12"/>
  <c r="IT97" i="12"/>
  <c r="IU97" i="12"/>
  <c r="IV97" i="12"/>
  <c r="A96" i="12"/>
  <c r="B96" i="12"/>
  <c r="C96" i="12"/>
  <c r="D96" i="12"/>
  <c r="E96" i="12"/>
  <c r="F96" i="12"/>
  <c r="G96" i="12"/>
  <c r="H96" i="12"/>
  <c r="I96" i="12"/>
  <c r="J96" i="12"/>
  <c r="K96" i="12"/>
  <c r="L96" i="12"/>
  <c r="M96" i="12"/>
  <c r="N96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BC96" i="12"/>
  <c r="BD96" i="12"/>
  <c r="BE96" i="12"/>
  <c r="BF96" i="12"/>
  <c r="BG96" i="12"/>
  <c r="BH96" i="12"/>
  <c r="BI96" i="12"/>
  <c r="BJ96" i="12"/>
  <c r="BK96" i="12"/>
  <c r="BL96" i="12"/>
  <c r="BM96" i="12"/>
  <c r="BN96" i="12"/>
  <c r="BO96" i="12"/>
  <c r="BP96" i="12"/>
  <c r="BQ96" i="12"/>
  <c r="BR96" i="12"/>
  <c r="BS96" i="12"/>
  <c r="BT96" i="12"/>
  <c r="BU96" i="12"/>
  <c r="BV96" i="12"/>
  <c r="BW96" i="12"/>
  <c r="BX96" i="12"/>
  <c r="BY96" i="12"/>
  <c r="BZ96" i="12"/>
  <c r="CA96" i="12"/>
  <c r="CB96" i="12"/>
  <c r="CC96" i="12"/>
  <c r="CD96" i="12"/>
  <c r="CE96" i="12"/>
  <c r="CF96" i="12"/>
  <c r="CG96" i="12"/>
  <c r="CH96" i="12"/>
  <c r="CI96" i="12"/>
  <c r="CJ96" i="12"/>
  <c r="CK96" i="12"/>
  <c r="CL96" i="12"/>
  <c r="CM96" i="12"/>
  <c r="CN96" i="12"/>
  <c r="CO96" i="12"/>
  <c r="CP96" i="12"/>
  <c r="CQ96" i="12"/>
  <c r="CR96" i="12"/>
  <c r="CS96" i="12"/>
  <c r="CT96" i="12"/>
  <c r="CU96" i="12"/>
  <c r="CV96" i="12"/>
  <c r="CW96" i="12"/>
  <c r="CX96" i="12"/>
  <c r="CY96" i="12"/>
  <c r="CZ96" i="12"/>
  <c r="DA96" i="12"/>
  <c r="DB96" i="12"/>
  <c r="DC96" i="12"/>
  <c r="DD96" i="12"/>
  <c r="DE96" i="12"/>
  <c r="DF96" i="12"/>
  <c r="DG96" i="12"/>
  <c r="DH96" i="12"/>
  <c r="DI96" i="12"/>
  <c r="DJ96" i="12"/>
  <c r="DK96" i="12"/>
  <c r="DL96" i="12"/>
  <c r="DM96" i="12"/>
  <c r="DN96" i="12"/>
  <c r="DO96" i="12"/>
  <c r="DP96" i="12"/>
  <c r="DQ96" i="12"/>
  <c r="DR96" i="12"/>
  <c r="DS96" i="12"/>
  <c r="DT96" i="12"/>
  <c r="DU96" i="12"/>
  <c r="DV96" i="12"/>
  <c r="DW96" i="12"/>
  <c r="DX96" i="12"/>
  <c r="DY96" i="12"/>
  <c r="DZ96" i="12"/>
  <c r="EA96" i="12"/>
  <c r="EB96" i="12"/>
  <c r="EC96" i="12"/>
  <c r="ED96" i="12"/>
  <c r="EE96" i="12"/>
  <c r="EF96" i="12"/>
  <c r="EG96" i="12"/>
  <c r="EH96" i="12"/>
  <c r="EI96" i="12"/>
  <c r="EJ96" i="12"/>
  <c r="EK96" i="12"/>
  <c r="EL96" i="12"/>
  <c r="EM96" i="12"/>
  <c r="EN96" i="12"/>
  <c r="EO96" i="12"/>
  <c r="EP96" i="12"/>
  <c r="EQ96" i="12"/>
  <c r="ER96" i="12"/>
  <c r="ES96" i="12"/>
  <c r="ET96" i="12"/>
  <c r="EU96" i="12"/>
  <c r="EV96" i="12"/>
  <c r="EW96" i="12"/>
  <c r="EX96" i="12"/>
  <c r="EY96" i="12"/>
  <c r="EZ96" i="12"/>
  <c r="FA96" i="12"/>
  <c r="FB96" i="12"/>
  <c r="FC96" i="12"/>
  <c r="FD96" i="12"/>
  <c r="FE96" i="12"/>
  <c r="FF96" i="12"/>
  <c r="FG96" i="12"/>
  <c r="FH96" i="12"/>
  <c r="FI96" i="12"/>
  <c r="FJ96" i="12"/>
  <c r="FK96" i="12"/>
  <c r="FL96" i="12"/>
  <c r="FM96" i="12"/>
  <c r="FN96" i="12"/>
  <c r="FO96" i="12"/>
  <c r="FP96" i="12"/>
  <c r="FQ96" i="12"/>
  <c r="FR96" i="12"/>
  <c r="FS96" i="12"/>
  <c r="FT96" i="12"/>
  <c r="FU96" i="12"/>
  <c r="FV96" i="12"/>
  <c r="FW96" i="12"/>
  <c r="FX96" i="12"/>
  <c r="FY96" i="12"/>
  <c r="FZ96" i="12"/>
  <c r="GA96" i="12"/>
  <c r="GB96" i="12"/>
  <c r="GC96" i="12"/>
  <c r="GD96" i="12"/>
  <c r="GE96" i="12"/>
  <c r="GF96" i="12"/>
  <c r="GG96" i="12"/>
  <c r="GH96" i="12"/>
  <c r="GI96" i="12"/>
  <c r="GJ96" i="12"/>
  <c r="GK96" i="12"/>
  <c r="GL96" i="12"/>
  <c r="GM96" i="12"/>
  <c r="GN96" i="12"/>
  <c r="GO96" i="12"/>
  <c r="GP96" i="12"/>
  <c r="GQ96" i="12"/>
  <c r="GR96" i="12"/>
  <c r="GS96" i="12"/>
  <c r="GT96" i="12"/>
  <c r="GU96" i="12"/>
  <c r="GV96" i="12"/>
  <c r="GW96" i="12"/>
  <c r="GX96" i="12"/>
  <c r="GY96" i="12"/>
  <c r="GZ96" i="12"/>
  <c r="HA96" i="12"/>
  <c r="HB96" i="12"/>
  <c r="HC96" i="12"/>
  <c r="HD96" i="12"/>
  <c r="HE96" i="12"/>
  <c r="HF96" i="12"/>
  <c r="HG96" i="12"/>
  <c r="HH96" i="12"/>
  <c r="HI96" i="12"/>
  <c r="HJ96" i="12"/>
  <c r="HK96" i="12"/>
  <c r="HL96" i="12"/>
  <c r="HM96" i="12"/>
  <c r="HN96" i="12"/>
  <c r="HO96" i="12"/>
  <c r="HP96" i="12"/>
  <c r="HQ96" i="12"/>
  <c r="HR96" i="12"/>
  <c r="HS96" i="12"/>
  <c r="HT96" i="12"/>
  <c r="HU96" i="12"/>
  <c r="HV96" i="12"/>
  <c r="HW96" i="12"/>
  <c r="HX96" i="12"/>
  <c r="HY96" i="12"/>
  <c r="HZ96" i="12"/>
  <c r="IA96" i="12"/>
  <c r="IB96" i="12"/>
  <c r="IC96" i="12"/>
  <c r="ID96" i="12"/>
  <c r="IE96" i="12"/>
  <c r="IF96" i="12"/>
  <c r="IG96" i="12"/>
  <c r="IH96" i="12"/>
  <c r="II96" i="12"/>
  <c r="IJ96" i="12"/>
  <c r="IK96" i="12"/>
  <c r="IL96" i="12"/>
  <c r="IM96" i="12"/>
  <c r="IN96" i="12"/>
  <c r="IO96" i="12"/>
  <c r="IP96" i="12"/>
  <c r="IQ96" i="12"/>
  <c r="IR96" i="12"/>
  <c r="IS96" i="12"/>
  <c r="IT96" i="12"/>
  <c r="IU96" i="12"/>
  <c r="IV96" i="12"/>
  <c r="A95" i="12"/>
  <c r="B95" i="12"/>
  <c r="C95" i="12"/>
  <c r="E95" i="12"/>
  <c r="F95" i="12"/>
  <c r="G95" i="12"/>
  <c r="H95" i="12"/>
  <c r="I95" i="12"/>
  <c r="J95" i="12"/>
  <c r="K95" i="12"/>
  <c r="L95" i="12"/>
  <c r="M95" i="12"/>
  <c r="N95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BC95" i="12"/>
  <c r="BD95" i="12"/>
  <c r="BE95" i="12"/>
  <c r="BF95" i="12"/>
  <c r="BG95" i="12"/>
  <c r="BH95" i="12"/>
  <c r="BI95" i="12"/>
  <c r="BJ95" i="12"/>
  <c r="BK95" i="12"/>
  <c r="BL95" i="12"/>
  <c r="BM95" i="12"/>
  <c r="BN95" i="12"/>
  <c r="BO95" i="12"/>
  <c r="BP95" i="12"/>
  <c r="BQ95" i="12"/>
  <c r="BR95" i="12"/>
  <c r="BS95" i="12"/>
  <c r="BT95" i="12"/>
  <c r="BU95" i="12"/>
  <c r="BV95" i="12"/>
  <c r="BW95" i="12"/>
  <c r="BX95" i="12"/>
  <c r="BY95" i="12"/>
  <c r="BZ95" i="12"/>
  <c r="CA95" i="12"/>
  <c r="CB95" i="12"/>
  <c r="CC95" i="12"/>
  <c r="CD95" i="12"/>
  <c r="CE95" i="12"/>
  <c r="CF95" i="12"/>
  <c r="CG95" i="12"/>
  <c r="CH95" i="12"/>
  <c r="CI95" i="12"/>
  <c r="CJ95" i="12"/>
  <c r="CK95" i="12"/>
  <c r="CL95" i="12"/>
  <c r="CM95" i="12"/>
  <c r="CN95" i="12"/>
  <c r="CO95" i="12"/>
  <c r="CP95" i="12"/>
  <c r="CQ95" i="12"/>
  <c r="CR95" i="12"/>
  <c r="CS95" i="12"/>
  <c r="CT95" i="12"/>
  <c r="CU95" i="12"/>
  <c r="CV95" i="12"/>
  <c r="CW95" i="12"/>
  <c r="CX95" i="12"/>
  <c r="CY95" i="12"/>
  <c r="CZ95" i="12"/>
  <c r="DA95" i="12"/>
  <c r="DB95" i="12"/>
  <c r="DC95" i="12"/>
  <c r="DD95" i="12"/>
  <c r="DE95" i="12"/>
  <c r="DF95" i="12"/>
  <c r="DG95" i="12"/>
  <c r="DH95" i="12"/>
  <c r="DI95" i="12"/>
  <c r="DJ95" i="12"/>
  <c r="DK95" i="12"/>
  <c r="DL95" i="12"/>
  <c r="DM95" i="12"/>
  <c r="DN95" i="12"/>
  <c r="DO95" i="12"/>
  <c r="DP95" i="12"/>
  <c r="DQ95" i="12"/>
  <c r="DR95" i="12"/>
  <c r="DS95" i="12"/>
  <c r="DT95" i="12"/>
  <c r="DU95" i="12"/>
  <c r="DV95" i="12"/>
  <c r="DW95" i="12"/>
  <c r="DX95" i="12"/>
  <c r="DY95" i="12"/>
  <c r="DZ95" i="12"/>
  <c r="EA95" i="12"/>
  <c r="EB95" i="12"/>
  <c r="EC95" i="12"/>
  <c r="ED95" i="12"/>
  <c r="EE95" i="12"/>
  <c r="EF95" i="12"/>
  <c r="EG95" i="12"/>
  <c r="EH95" i="12"/>
  <c r="EI95" i="12"/>
  <c r="EJ95" i="12"/>
  <c r="EK95" i="12"/>
  <c r="EL95" i="12"/>
  <c r="EM95" i="12"/>
  <c r="EN95" i="12"/>
  <c r="EO95" i="12"/>
  <c r="EP95" i="12"/>
  <c r="EQ95" i="12"/>
  <c r="ER95" i="12"/>
  <c r="ES95" i="12"/>
  <c r="ET95" i="12"/>
  <c r="EU95" i="12"/>
  <c r="EV95" i="12"/>
  <c r="EW95" i="12"/>
  <c r="EX95" i="12"/>
  <c r="EY95" i="12"/>
  <c r="EZ95" i="12"/>
  <c r="FA95" i="12"/>
  <c r="FB95" i="12"/>
  <c r="FC95" i="12"/>
  <c r="FD95" i="12"/>
  <c r="FE95" i="12"/>
  <c r="FF95" i="12"/>
  <c r="FG95" i="12"/>
  <c r="FH95" i="12"/>
  <c r="FI95" i="12"/>
  <c r="FJ95" i="12"/>
  <c r="FK95" i="12"/>
  <c r="FL95" i="12"/>
  <c r="FM95" i="12"/>
  <c r="FN95" i="12"/>
  <c r="FO95" i="12"/>
  <c r="FP95" i="12"/>
  <c r="FQ95" i="12"/>
  <c r="FR95" i="12"/>
  <c r="FS95" i="12"/>
  <c r="FT95" i="12"/>
  <c r="FU95" i="12"/>
  <c r="FV95" i="12"/>
  <c r="FW95" i="12"/>
  <c r="FX95" i="12"/>
  <c r="FY95" i="12"/>
  <c r="FZ95" i="12"/>
  <c r="GA95" i="12"/>
  <c r="GB95" i="12"/>
  <c r="GC95" i="12"/>
  <c r="GD95" i="12"/>
  <c r="GE95" i="12"/>
  <c r="GF95" i="12"/>
  <c r="GG95" i="12"/>
  <c r="GH95" i="12"/>
  <c r="GI95" i="12"/>
  <c r="GJ95" i="12"/>
  <c r="GK95" i="12"/>
  <c r="GL95" i="12"/>
  <c r="GM95" i="12"/>
  <c r="GN95" i="12"/>
  <c r="GO95" i="12"/>
  <c r="GP95" i="12"/>
  <c r="GQ95" i="12"/>
  <c r="GR95" i="12"/>
  <c r="GS95" i="12"/>
  <c r="GT95" i="12"/>
  <c r="GU95" i="12"/>
  <c r="GV95" i="12"/>
  <c r="GW95" i="12"/>
  <c r="GX95" i="12"/>
  <c r="GY95" i="12"/>
  <c r="GZ95" i="12"/>
  <c r="HA95" i="12"/>
  <c r="HB95" i="12"/>
  <c r="HC95" i="12"/>
  <c r="HD95" i="12"/>
  <c r="HE95" i="12"/>
  <c r="HF95" i="12"/>
  <c r="HG95" i="12"/>
  <c r="HH95" i="12"/>
  <c r="HI95" i="12"/>
  <c r="HJ95" i="12"/>
  <c r="HK95" i="12"/>
  <c r="HL95" i="12"/>
  <c r="HM95" i="12"/>
  <c r="HN95" i="12"/>
  <c r="HO95" i="12"/>
  <c r="HP95" i="12"/>
  <c r="HQ95" i="12"/>
  <c r="HR95" i="12"/>
  <c r="HS95" i="12"/>
  <c r="HT95" i="12"/>
  <c r="HU95" i="12"/>
  <c r="HV95" i="12"/>
  <c r="HW95" i="12"/>
  <c r="HX95" i="12"/>
  <c r="HY95" i="12"/>
  <c r="HZ95" i="12"/>
  <c r="IA95" i="12"/>
  <c r="IB95" i="12"/>
  <c r="IC95" i="12"/>
  <c r="ID95" i="12"/>
  <c r="IE95" i="12"/>
  <c r="IF95" i="12"/>
  <c r="IG95" i="12"/>
  <c r="IH95" i="12"/>
  <c r="II95" i="12"/>
  <c r="IJ95" i="12"/>
  <c r="IK95" i="12"/>
  <c r="IL95" i="12"/>
  <c r="IM95" i="12"/>
  <c r="IN95" i="12"/>
  <c r="IO95" i="12"/>
  <c r="IP95" i="12"/>
  <c r="IQ95" i="12"/>
  <c r="IR95" i="12"/>
  <c r="IS95" i="12"/>
  <c r="IT95" i="12"/>
  <c r="IU95" i="12"/>
  <c r="IV95" i="12"/>
  <c r="A94" i="12"/>
  <c r="B94" i="12"/>
  <c r="C94" i="12"/>
  <c r="D94" i="12"/>
  <c r="E94" i="12"/>
  <c r="F94" i="12"/>
  <c r="G94" i="12"/>
  <c r="H94" i="12"/>
  <c r="I94" i="12"/>
  <c r="J94" i="12"/>
  <c r="K94" i="12"/>
  <c r="L94" i="12"/>
  <c r="M94" i="12"/>
  <c r="N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BC94" i="12"/>
  <c r="BD94" i="12"/>
  <c r="BE94" i="12"/>
  <c r="BF94" i="12"/>
  <c r="BG94" i="12"/>
  <c r="BH94" i="12"/>
  <c r="BI94" i="12"/>
  <c r="BJ94" i="12"/>
  <c r="BK94" i="12"/>
  <c r="BL94" i="12"/>
  <c r="BM94" i="12"/>
  <c r="BN94" i="12"/>
  <c r="BO94" i="12"/>
  <c r="BP94" i="12"/>
  <c r="BQ94" i="12"/>
  <c r="BR94" i="12"/>
  <c r="BS94" i="12"/>
  <c r="BT94" i="12"/>
  <c r="BU94" i="12"/>
  <c r="BV94" i="12"/>
  <c r="BW94" i="12"/>
  <c r="BX94" i="12"/>
  <c r="BY94" i="12"/>
  <c r="BZ94" i="12"/>
  <c r="CA94" i="12"/>
  <c r="CB94" i="12"/>
  <c r="CC94" i="12"/>
  <c r="CD94" i="12"/>
  <c r="CE94" i="12"/>
  <c r="CF94" i="12"/>
  <c r="CG94" i="12"/>
  <c r="CH94" i="12"/>
  <c r="CI94" i="12"/>
  <c r="CJ94" i="12"/>
  <c r="CK94" i="12"/>
  <c r="CL94" i="12"/>
  <c r="CM94" i="12"/>
  <c r="CN94" i="12"/>
  <c r="CO94" i="12"/>
  <c r="CP94" i="12"/>
  <c r="CQ94" i="12"/>
  <c r="CR94" i="12"/>
  <c r="CS94" i="12"/>
  <c r="CT94" i="12"/>
  <c r="CU94" i="12"/>
  <c r="CV94" i="12"/>
  <c r="CW94" i="12"/>
  <c r="CX94" i="12"/>
  <c r="CY94" i="12"/>
  <c r="CZ94" i="12"/>
  <c r="DA94" i="12"/>
  <c r="DB94" i="12"/>
  <c r="DC94" i="12"/>
  <c r="DD94" i="12"/>
  <c r="DE94" i="12"/>
  <c r="DF94" i="12"/>
  <c r="DG94" i="12"/>
  <c r="DH94" i="12"/>
  <c r="DI94" i="12"/>
  <c r="DJ94" i="12"/>
  <c r="DK94" i="12"/>
  <c r="DL94" i="12"/>
  <c r="DM94" i="12"/>
  <c r="DN94" i="12"/>
  <c r="DO94" i="12"/>
  <c r="DP94" i="12"/>
  <c r="DQ94" i="12"/>
  <c r="DR94" i="12"/>
  <c r="DS94" i="12"/>
  <c r="DT94" i="12"/>
  <c r="DU94" i="12"/>
  <c r="DV94" i="12"/>
  <c r="DW94" i="12"/>
  <c r="DX94" i="12"/>
  <c r="DY94" i="12"/>
  <c r="DZ94" i="12"/>
  <c r="EA94" i="12"/>
  <c r="EB94" i="12"/>
  <c r="EC94" i="12"/>
  <c r="ED94" i="12"/>
  <c r="EE94" i="12"/>
  <c r="EF94" i="12"/>
  <c r="EG94" i="12"/>
  <c r="EH94" i="12"/>
  <c r="EI94" i="12"/>
  <c r="EJ94" i="12"/>
  <c r="EK94" i="12"/>
  <c r="EL94" i="12"/>
  <c r="EM94" i="12"/>
  <c r="EN94" i="12"/>
  <c r="EO94" i="12"/>
  <c r="EP94" i="12"/>
  <c r="EQ94" i="12"/>
  <c r="ER94" i="12"/>
  <c r="ES94" i="12"/>
  <c r="ET94" i="12"/>
  <c r="EU94" i="12"/>
  <c r="EV94" i="12"/>
  <c r="EW94" i="12"/>
  <c r="EX94" i="12"/>
  <c r="EY94" i="12"/>
  <c r="EZ94" i="12"/>
  <c r="FA94" i="12"/>
  <c r="FB94" i="12"/>
  <c r="FC94" i="12"/>
  <c r="FD94" i="12"/>
  <c r="FE94" i="12"/>
  <c r="FF94" i="12"/>
  <c r="FG94" i="12"/>
  <c r="FH94" i="12"/>
  <c r="FI94" i="12"/>
  <c r="FJ94" i="12"/>
  <c r="FK94" i="12"/>
  <c r="FL94" i="12"/>
  <c r="FM94" i="12"/>
  <c r="FN94" i="12"/>
  <c r="FO94" i="12"/>
  <c r="FP94" i="12"/>
  <c r="FQ94" i="12"/>
  <c r="FR94" i="12"/>
  <c r="FS94" i="12"/>
  <c r="FT94" i="12"/>
  <c r="FU94" i="12"/>
  <c r="FV94" i="12"/>
  <c r="FW94" i="12"/>
  <c r="FX94" i="12"/>
  <c r="FY94" i="12"/>
  <c r="FZ94" i="12"/>
  <c r="GA94" i="12"/>
  <c r="GB94" i="12"/>
  <c r="GC94" i="12"/>
  <c r="GD94" i="12"/>
  <c r="GE94" i="12"/>
  <c r="GF94" i="12"/>
  <c r="GG94" i="12"/>
  <c r="GH94" i="12"/>
  <c r="GI94" i="12"/>
  <c r="GJ94" i="12"/>
  <c r="GK94" i="12"/>
  <c r="GL94" i="12"/>
  <c r="GM94" i="12"/>
  <c r="GN94" i="12"/>
  <c r="GO94" i="12"/>
  <c r="GP94" i="12"/>
  <c r="GQ94" i="12"/>
  <c r="GR94" i="12"/>
  <c r="GS94" i="12"/>
  <c r="GT94" i="12"/>
  <c r="GU94" i="12"/>
  <c r="GV94" i="12"/>
  <c r="GW94" i="12"/>
  <c r="GX94" i="12"/>
  <c r="GY94" i="12"/>
  <c r="GZ94" i="12"/>
  <c r="HA94" i="12"/>
  <c r="HB94" i="12"/>
  <c r="HC94" i="12"/>
  <c r="HD94" i="12"/>
  <c r="HE94" i="12"/>
  <c r="HF94" i="12"/>
  <c r="HG94" i="12"/>
  <c r="HH94" i="12"/>
  <c r="HI94" i="12"/>
  <c r="HJ94" i="12"/>
  <c r="HK94" i="12"/>
  <c r="HL94" i="12"/>
  <c r="HM94" i="12"/>
  <c r="HN94" i="12"/>
  <c r="HO94" i="12"/>
  <c r="HP94" i="12"/>
  <c r="HQ94" i="12"/>
  <c r="HR94" i="12"/>
  <c r="HS94" i="12"/>
  <c r="HT94" i="12"/>
  <c r="HU94" i="12"/>
  <c r="HV94" i="12"/>
  <c r="HW94" i="12"/>
  <c r="HX94" i="12"/>
  <c r="HY94" i="12"/>
  <c r="HZ94" i="12"/>
  <c r="IA94" i="12"/>
  <c r="IB94" i="12"/>
  <c r="IC94" i="12"/>
  <c r="ID94" i="12"/>
  <c r="IE94" i="12"/>
  <c r="IF94" i="12"/>
  <c r="IG94" i="12"/>
  <c r="IH94" i="12"/>
  <c r="II94" i="12"/>
  <c r="IJ94" i="12"/>
  <c r="IK94" i="12"/>
  <c r="IL94" i="12"/>
  <c r="IM94" i="12"/>
  <c r="IN94" i="12"/>
  <c r="IO94" i="12"/>
  <c r="IP94" i="12"/>
  <c r="IQ94" i="12"/>
  <c r="IR94" i="12"/>
  <c r="IS94" i="12"/>
  <c r="IT94" i="12"/>
  <c r="IU94" i="12"/>
  <c r="IV94" i="12"/>
  <c r="A93" i="12"/>
  <c r="B93" i="12"/>
  <c r="C93" i="12"/>
  <c r="D93" i="12"/>
  <c r="E93" i="12"/>
  <c r="F93" i="12"/>
  <c r="G93" i="12"/>
  <c r="H93" i="12"/>
  <c r="I93" i="12"/>
  <c r="J93" i="12"/>
  <c r="K93" i="12"/>
  <c r="L93" i="12"/>
  <c r="M93" i="12"/>
  <c r="N93" i="12"/>
  <c r="O93" i="12"/>
  <c r="P93" i="12"/>
  <c r="Q93" i="12"/>
  <c r="R93" i="12"/>
  <c r="S93" i="12"/>
  <c r="T93" i="12"/>
  <c r="U93" i="12"/>
  <c r="V93" i="12"/>
  <c r="W93" i="12"/>
  <c r="X93" i="12"/>
  <c r="Y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BC93" i="12"/>
  <c r="BD93" i="12"/>
  <c r="BE93" i="12"/>
  <c r="BF93" i="12"/>
  <c r="BG93" i="12"/>
  <c r="BH93" i="12"/>
  <c r="BI93" i="12"/>
  <c r="BJ93" i="12"/>
  <c r="BK93" i="12"/>
  <c r="BL93" i="12"/>
  <c r="BM93" i="12"/>
  <c r="BN93" i="12"/>
  <c r="BO93" i="12"/>
  <c r="BP93" i="12"/>
  <c r="BQ93" i="12"/>
  <c r="BR93" i="12"/>
  <c r="BS93" i="12"/>
  <c r="BT93" i="12"/>
  <c r="BU93" i="12"/>
  <c r="BV93" i="12"/>
  <c r="BW93" i="12"/>
  <c r="BX93" i="12"/>
  <c r="BY93" i="12"/>
  <c r="BZ93" i="12"/>
  <c r="CA93" i="12"/>
  <c r="CB93" i="12"/>
  <c r="CC93" i="12"/>
  <c r="CD93" i="12"/>
  <c r="CE93" i="12"/>
  <c r="CF93" i="12"/>
  <c r="CG93" i="12"/>
  <c r="CH93" i="12"/>
  <c r="CI93" i="12"/>
  <c r="CJ93" i="12"/>
  <c r="CK93" i="12"/>
  <c r="CL93" i="12"/>
  <c r="CM93" i="12"/>
  <c r="CN93" i="12"/>
  <c r="CO93" i="12"/>
  <c r="CP93" i="12"/>
  <c r="CQ93" i="12"/>
  <c r="CR93" i="12"/>
  <c r="CS93" i="12"/>
  <c r="CT93" i="12"/>
  <c r="CU93" i="12"/>
  <c r="CV93" i="12"/>
  <c r="CW93" i="12"/>
  <c r="CX93" i="12"/>
  <c r="CY93" i="12"/>
  <c r="CZ93" i="12"/>
  <c r="DA93" i="12"/>
  <c r="DB93" i="12"/>
  <c r="DC93" i="12"/>
  <c r="DD93" i="12"/>
  <c r="DE93" i="12"/>
  <c r="DF93" i="12"/>
  <c r="DG93" i="12"/>
  <c r="DH93" i="12"/>
  <c r="DI93" i="12"/>
  <c r="DJ93" i="12"/>
  <c r="DK93" i="12"/>
  <c r="DL93" i="12"/>
  <c r="DM93" i="12"/>
  <c r="DN93" i="12"/>
  <c r="DO93" i="12"/>
  <c r="DP93" i="12"/>
  <c r="DQ93" i="12"/>
  <c r="DR93" i="12"/>
  <c r="DS93" i="12"/>
  <c r="DT93" i="12"/>
  <c r="DU93" i="12"/>
  <c r="DV93" i="12"/>
  <c r="DW93" i="12"/>
  <c r="DX93" i="12"/>
  <c r="DY93" i="12"/>
  <c r="DZ93" i="12"/>
  <c r="EA93" i="12"/>
  <c r="EB93" i="12"/>
  <c r="EC93" i="12"/>
  <c r="ED93" i="12"/>
  <c r="EE93" i="12"/>
  <c r="EF93" i="12"/>
  <c r="EG93" i="12"/>
  <c r="EH93" i="12"/>
  <c r="EI93" i="12"/>
  <c r="EJ93" i="12"/>
  <c r="EK93" i="12"/>
  <c r="EL93" i="12"/>
  <c r="EM93" i="12"/>
  <c r="EN93" i="12"/>
  <c r="EO93" i="12"/>
  <c r="EP93" i="12"/>
  <c r="EQ93" i="12"/>
  <c r="ER93" i="12"/>
  <c r="ES93" i="12"/>
  <c r="ET93" i="12"/>
  <c r="EU93" i="12"/>
  <c r="EV93" i="12"/>
  <c r="EW93" i="12"/>
  <c r="EX93" i="12"/>
  <c r="EY93" i="12"/>
  <c r="EZ93" i="12"/>
  <c r="FA93" i="12"/>
  <c r="FB93" i="12"/>
  <c r="FC93" i="12"/>
  <c r="FD93" i="12"/>
  <c r="FE93" i="12"/>
  <c r="FF93" i="12"/>
  <c r="FG93" i="12"/>
  <c r="FH93" i="12"/>
  <c r="FI93" i="12"/>
  <c r="FJ93" i="12"/>
  <c r="FK93" i="12"/>
  <c r="FL93" i="12"/>
  <c r="FM93" i="12"/>
  <c r="FN93" i="12"/>
  <c r="FO93" i="12"/>
  <c r="FP93" i="12"/>
  <c r="FQ93" i="12"/>
  <c r="FR93" i="12"/>
  <c r="FS93" i="12"/>
  <c r="FT93" i="12"/>
  <c r="FU93" i="12"/>
  <c r="FV93" i="12"/>
  <c r="FW93" i="12"/>
  <c r="FX93" i="12"/>
  <c r="FY93" i="12"/>
  <c r="FZ93" i="12"/>
  <c r="GA93" i="12"/>
  <c r="GB93" i="12"/>
  <c r="GC93" i="12"/>
  <c r="GD93" i="12"/>
  <c r="GE93" i="12"/>
  <c r="GF93" i="12"/>
  <c r="GG93" i="12"/>
  <c r="GH93" i="12"/>
  <c r="GI93" i="12"/>
  <c r="GJ93" i="12"/>
  <c r="GK93" i="12"/>
  <c r="GL93" i="12"/>
  <c r="GM93" i="12"/>
  <c r="GN93" i="12"/>
  <c r="GO93" i="12"/>
  <c r="GP93" i="12"/>
  <c r="GQ93" i="12"/>
  <c r="GR93" i="12"/>
  <c r="GS93" i="12"/>
  <c r="GT93" i="12"/>
  <c r="GU93" i="12"/>
  <c r="GV93" i="12"/>
  <c r="GW93" i="12"/>
  <c r="GX93" i="12"/>
  <c r="GY93" i="12"/>
  <c r="GZ93" i="12"/>
  <c r="HA93" i="12"/>
  <c r="HB93" i="12"/>
  <c r="HC93" i="12"/>
  <c r="HD93" i="12"/>
  <c r="HE93" i="12"/>
  <c r="HF93" i="12"/>
  <c r="HG93" i="12"/>
  <c r="HH93" i="12"/>
  <c r="HI93" i="12"/>
  <c r="HJ93" i="12"/>
  <c r="HK93" i="12"/>
  <c r="HL93" i="12"/>
  <c r="HM93" i="12"/>
  <c r="HN93" i="12"/>
  <c r="HO93" i="12"/>
  <c r="HP93" i="12"/>
  <c r="HQ93" i="12"/>
  <c r="HR93" i="12"/>
  <c r="HS93" i="12"/>
  <c r="HT93" i="12"/>
  <c r="HU93" i="12"/>
  <c r="HV93" i="12"/>
  <c r="HW93" i="12"/>
  <c r="HX93" i="12"/>
  <c r="HY93" i="12"/>
  <c r="HZ93" i="12"/>
  <c r="IA93" i="12"/>
  <c r="IB93" i="12"/>
  <c r="IC93" i="12"/>
  <c r="ID93" i="12"/>
  <c r="IE93" i="12"/>
  <c r="IF93" i="12"/>
  <c r="IG93" i="12"/>
  <c r="IH93" i="12"/>
  <c r="II93" i="12"/>
  <c r="IJ93" i="12"/>
  <c r="IK93" i="12"/>
  <c r="IL93" i="12"/>
  <c r="IM93" i="12"/>
  <c r="IN93" i="12"/>
  <c r="IO93" i="12"/>
  <c r="IP93" i="12"/>
  <c r="IQ93" i="12"/>
  <c r="IR93" i="12"/>
  <c r="IS93" i="12"/>
  <c r="IT93" i="12"/>
  <c r="IU93" i="12"/>
  <c r="IV93" i="12"/>
  <c r="A92" i="12"/>
  <c r="B92" i="12"/>
  <c r="C92" i="12"/>
  <c r="D92" i="12"/>
  <c r="E92" i="12"/>
  <c r="F92" i="12"/>
  <c r="G92" i="12"/>
  <c r="H92" i="12"/>
  <c r="I92" i="12"/>
  <c r="J92" i="12"/>
  <c r="K92" i="12"/>
  <c r="L92" i="12"/>
  <c r="M92" i="12"/>
  <c r="N92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BC92" i="12"/>
  <c r="BD92" i="12"/>
  <c r="BE92" i="12"/>
  <c r="BF92" i="12"/>
  <c r="BG92" i="12"/>
  <c r="BH92" i="12"/>
  <c r="BI92" i="12"/>
  <c r="BJ92" i="12"/>
  <c r="BK92" i="12"/>
  <c r="BL92" i="12"/>
  <c r="BM92" i="12"/>
  <c r="BN92" i="12"/>
  <c r="BO92" i="12"/>
  <c r="BP92" i="12"/>
  <c r="BQ92" i="12"/>
  <c r="BR92" i="12"/>
  <c r="BS92" i="12"/>
  <c r="BT92" i="12"/>
  <c r="BU92" i="12"/>
  <c r="BV92" i="12"/>
  <c r="BW92" i="12"/>
  <c r="BX92" i="12"/>
  <c r="BY92" i="12"/>
  <c r="BZ92" i="12"/>
  <c r="CA92" i="12"/>
  <c r="CB92" i="12"/>
  <c r="CC92" i="12"/>
  <c r="CD92" i="12"/>
  <c r="CE92" i="12"/>
  <c r="CF92" i="12"/>
  <c r="CG92" i="12"/>
  <c r="CH92" i="12"/>
  <c r="CI92" i="12"/>
  <c r="CJ92" i="12"/>
  <c r="CK92" i="12"/>
  <c r="CL92" i="12"/>
  <c r="CM92" i="12"/>
  <c r="CN92" i="12"/>
  <c r="CO92" i="12"/>
  <c r="CP92" i="12"/>
  <c r="CQ92" i="12"/>
  <c r="CR92" i="12"/>
  <c r="CS92" i="12"/>
  <c r="CT92" i="12"/>
  <c r="CU92" i="12"/>
  <c r="CV92" i="12"/>
  <c r="CW92" i="12"/>
  <c r="CX92" i="12"/>
  <c r="CY92" i="12"/>
  <c r="CZ92" i="12"/>
  <c r="DA92" i="12"/>
  <c r="DB92" i="12"/>
  <c r="DC92" i="12"/>
  <c r="DD92" i="12"/>
  <c r="DE92" i="12"/>
  <c r="DF92" i="12"/>
  <c r="DG92" i="12"/>
  <c r="DH92" i="12"/>
  <c r="DI92" i="12"/>
  <c r="DJ92" i="12"/>
  <c r="DK92" i="12"/>
  <c r="DL92" i="12"/>
  <c r="DM92" i="12"/>
  <c r="DN92" i="12"/>
  <c r="DO92" i="12"/>
  <c r="DP92" i="12"/>
  <c r="DQ92" i="12"/>
  <c r="DR92" i="12"/>
  <c r="DS92" i="12"/>
  <c r="DT92" i="12"/>
  <c r="DU92" i="12"/>
  <c r="DV92" i="12"/>
  <c r="DW92" i="12"/>
  <c r="DX92" i="12"/>
  <c r="DY92" i="12"/>
  <c r="DZ92" i="12"/>
  <c r="EA92" i="12"/>
  <c r="EB92" i="12"/>
  <c r="EC92" i="12"/>
  <c r="ED92" i="12"/>
  <c r="EE92" i="12"/>
  <c r="EF92" i="12"/>
  <c r="EG92" i="12"/>
  <c r="EH92" i="12"/>
  <c r="EI92" i="12"/>
  <c r="EJ92" i="12"/>
  <c r="EK92" i="12"/>
  <c r="EL92" i="12"/>
  <c r="EM92" i="12"/>
  <c r="EN92" i="12"/>
  <c r="EO92" i="12"/>
  <c r="EP92" i="12"/>
  <c r="EQ92" i="12"/>
  <c r="ER92" i="12"/>
  <c r="ES92" i="12"/>
  <c r="ET92" i="12"/>
  <c r="EU92" i="12"/>
  <c r="EV92" i="12"/>
  <c r="EW92" i="12"/>
  <c r="EX92" i="12"/>
  <c r="EY92" i="12"/>
  <c r="EZ92" i="12"/>
  <c r="FA92" i="12"/>
  <c r="FB92" i="12"/>
  <c r="FC92" i="12"/>
  <c r="FD92" i="12"/>
  <c r="FE92" i="12"/>
  <c r="FF92" i="12"/>
  <c r="FG92" i="12"/>
  <c r="FH92" i="12"/>
  <c r="FI92" i="12"/>
  <c r="FJ92" i="12"/>
  <c r="FK92" i="12"/>
  <c r="FL92" i="12"/>
  <c r="FM92" i="12"/>
  <c r="FN92" i="12"/>
  <c r="FO92" i="12"/>
  <c r="FP92" i="12"/>
  <c r="FQ92" i="12"/>
  <c r="FR92" i="12"/>
  <c r="FS92" i="12"/>
  <c r="FT92" i="12"/>
  <c r="FU92" i="12"/>
  <c r="FV92" i="12"/>
  <c r="FW92" i="12"/>
  <c r="FX92" i="12"/>
  <c r="FY92" i="12"/>
  <c r="FZ92" i="12"/>
  <c r="GA92" i="12"/>
  <c r="GB92" i="12"/>
  <c r="GC92" i="12"/>
  <c r="GD92" i="12"/>
  <c r="GE92" i="12"/>
  <c r="GF92" i="12"/>
  <c r="GG92" i="12"/>
  <c r="GH92" i="12"/>
  <c r="GI92" i="12"/>
  <c r="GJ92" i="12"/>
  <c r="GK92" i="12"/>
  <c r="GL92" i="12"/>
  <c r="GM92" i="12"/>
  <c r="GN92" i="12"/>
  <c r="GO92" i="12"/>
  <c r="GP92" i="12"/>
  <c r="GQ92" i="12"/>
  <c r="GR92" i="12"/>
  <c r="GS92" i="12"/>
  <c r="GT92" i="12"/>
  <c r="GU92" i="12"/>
  <c r="GV92" i="12"/>
  <c r="GW92" i="12"/>
  <c r="GX92" i="12"/>
  <c r="GY92" i="12"/>
  <c r="GZ92" i="12"/>
  <c r="HA92" i="12"/>
  <c r="HB92" i="12"/>
  <c r="HC92" i="12"/>
  <c r="HD92" i="12"/>
  <c r="HE92" i="12"/>
  <c r="HF92" i="12"/>
  <c r="HG92" i="12"/>
  <c r="HH92" i="12"/>
  <c r="HI92" i="12"/>
  <c r="HJ92" i="12"/>
  <c r="HK92" i="12"/>
  <c r="HL92" i="12"/>
  <c r="HM92" i="12"/>
  <c r="HN92" i="12"/>
  <c r="HO92" i="12"/>
  <c r="HP92" i="12"/>
  <c r="HQ92" i="12"/>
  <c r="HR92" i="12"/>
  <c r="HS92" i="12"/>
  <c r="HT92" i="12"/>
  <c r="HU92" i="12"/>
  <c r="HV92" i="12"/>
  <c r="HW92" i="12"/>
  <c r="HX92" i="12"/>
  <c r="HY92" i="12"/>
  <c r="HZ92" i="12"/>
  <c r="IA92" i="12"/>
  <c r="IB92" i="12"/>
  <c r="IC92" i="12"/>
  <c r="ID92" i="12"/>
  <c r="IE92" i="12"/>
  <c r="IF92" i="12"/>
  <c r="IG92" i="12"/>
  <c r="IH92" i="12"/>
  <c r="II92" i="12"/>
  <c r="IJ92" i="12"/>
  <c r="IK92" i="12"/>
  <c r="IL92" i="12"/>
  <c r="IM92" i="12"/>
  <c r="IN92" i="12"/>
  <c r="IO92" i="12"/>
  <c r="IP92" i="12"/>
  <c r="IQ92" i="12"/>
  <c r="IR92" i="12"/>
  <c r="IS92" i="12"/>
  <c r="IT92" i="12"/>
  <c r="IU92" i="12"/>
  <c r="IV92" i="12"/>
  <c r="A91" i="12"/>
  <c r="B91" i="12"/>
  <c r="C91" i="12"/>
  <c r="D91" i="12"/>
  <c r="E91" i="12"/>
  <c r="F91" i="12"/>
  <c r="G91" i="12"/>
  <c r="H91" i="12"/>
  <c r="I91" i="12"/>
  <c r="J91" i="12"/>
  <c r="K91" i="12"/>
  <c r="L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BC91" i="12"/>
  <c r="BD91" i="12"/>
  <c r="BE91" i="12"/>
  <c r="BF91" i="12"/>
  <c r="BG91" i="12"/>
  <c r="BH91" i="12"/>
  <c r="BI91" i="12"/>
  <c r="BJ91" i="12"/>
  <c r="BK91" i="12"/>
  <c r="BL91" i="12"/>
  <c r="BM91" i="12"/>
  <c r="BN91" i="12"/>
  <c r="BO91" i="12"/>
  <c r="BP91" i="12"/>
  <c r="BQ91" i="12"/>
  <c r="BR91" i="12"/>
  <c r="BS91" i="12"/>
  <c r="BT91" i="12"/>
  <c r="BU91" i="12"/>
  <c r="BV91" i="12"/>
  <c r="BW91" i="12"/>
  <c r="BX91" i="12"/>
  <c r="BY91" i="12"/>
  <c r="BZ91" i="12"/>
  <c r="CA91" i="12"/>
  <c r="CB91" i="12"/>
  <c r="CC91" i="12"/>
  <c r="CD91" i="12"/>
  <c r="CE91" i="12"/>
  <c r="CF91" i="12"/>
  <c r="CG91" i="12"/>
  <c r="CH91" i="12"/>
  <c r="CI91" i="12"/>
  <c r="CJ91" i="12"/>
  <c r="CK91" i="12"/>
  <c r="CL91" i="12"/>
  <c r="CM91" i="12"/>
  <c r="CN91" i="12"/>
  <c r="CO91" i="12"/>
  <c r="CP91" i="12"/>
  <c r="CQ91" i="12"/>
  <c r="CR91" i="12"/>
  <c r="CS91" i="12"/>
  <c r="CT91" i="12"/>
  <c r="CU91" i="12"/>
  <c r="CV91" i="12"/>
  <c r="CW91" i="12"/>
  <c r="CX91" i="12"/>
  <c r="CY91" i="12"/>
  <c r="CZ91" i="12"/>
  <c r="DA91" i="12"/>
  <c r="DB91" i="12"/>
  <c r="DC91" i="12"/>
  <c r="DD91" i="12"/>
  <c r="DE91" i="12"/>
  <c r="DF91" i="12"/>
  <c r="DG91" i="12"/>
  <c r="DH91" i="12"/>
  <c r="DI91" i="12"/>
  <c r="DJ91" i="12"/>
  <c r="DK91" i="12"/>
  <c r="DL91" i="12"/>
  <c r="DM91" i="12"/>
  <c r="DN91" i="12"/>
  <c r="DO91" i="12"/>
  <c r="DP91" i="12"/>
  <c r="DQ91" i="12"/>
  <c r="DR91" i="12"/>
  <c r="DS91" i="12"/>
  <c r="DT91" i="12"/>
  <c r="DU91" i="12"/>
  <c r="DV91" i="12"/>
  <c r="DW91" i="12"/>
  <c r="DX91" i="12"/>
  <c r="DY91" i="12"/>
  <c r="DZ91" i="12"/>
  <c r="EA91" i="12"/>
  <c r="EB91" i="12"/>
  <c r="EC91" i="12"/>
  <c r="ED91" i="12"/>
  <c r="EE91" i="12"/>
  <c r="EF91" i="12"/>
  <c r="EG91" i="12"/>
  <c r="EH91" i="12"/>
  <c r="EI91" i="12"/>
  <c r="EJ91" i="12"/>
  <c r="EK91" i="12"/>
  <c r="EL91" i="12"/>
  <c r="EM91" i="12"/>
  <c r="EN91" i="12"/>
  <c r="EO91" i="12"/>
  <c r="EP91" i="12"/>
  <c r="EQ91" i="12"/>
  <c r="ER91" i="12"/>
  <c r="ES91" i="12"/>
  <c r="ET91" i="12"/>
  <c r="EU91" i="12"/>
  <c r="EV91" i="12"/>
  <c r="EW91" i="12"/>
  <c r="EX91" i="12"/>
  <c r="EY91" i="12"/>
  <c r="EZ91" i="12"/>
  <c r="FA91" i="12"/>
  <c r="FB91" i="12"/>
  <c r="FC91" i="12"/>
  <c r="FD91" i="12"/>
  <c r="FE91" i="12"/>
  <c r="FF91" i="12"/>
  <c r="FG91" i="12"/>
  <c r="FH91" i="12"/>
  <c r="FI91" i="12"/>
  <c r="FJ91" i="12"/>
  <c r="FK91" i="12"/>
  <c r="FL91" i="12"/>
  <c r="FM91" i="12"/>
  <c r="FN91" i="12"/>
  <c r="FO91" i="12"/>
  <c r="FP91" i="12"/>
  <c r="FQ91" i="12"/>
  <c r="FR91" i="12"/>
  <c r="FS91" i="12"/>
  <c r="FT91" i="12"/>
  <c r="FU91" i="12"/>
  <c r="FV91" i="12"/>
  <c r="FW91" i="12"/>
  <c r="FX91" i="12"/>
  <c r="FY91" i="12"/>
  <c r="FZ91" i="12"/>
  <c r="GA91" i="12"/>
  <c r="GB91" i="12"/>
  <c r="GC91" i="12"/>
  <c r="GD91" i="12"/>
  <c r="GE91" i="12"/>
  <c r="GF91" i="12"/>
  <c r="GG91" i="12"/>
  <c r="GH91" i="12"/>
  <c r="GI91" i="12"/>
  <c r="GJ91" i="12"/>
  <c r="GK91" i="12"/>
  <c r="GL91" i="12"/>
  <c r="GM91" i="12"/>
  <c r="GN91" i="12"/>
  <c r="GO91" i="12"/>
  <c r="GP91" i="12"/>
  <c r="GQ91" i="12"/>
  <c r="GR91" i="12"/>
  <c r="GS91" i="12"/>
  <c r="GT91" i="12"/>
  <c r="GU91" i="12"/>
  <c r="GV91" i="12"/>
  <c r="GW91" i="12"/>
  <c r="GX91" i="12"/>
  <c r="GY91" i="12"/>
  <c r="GZ91" i="12"/>
  <c r="HA91" i="12"/>
  <c r="HB91" i="12"/>
  <c r="HC91" i="12"/>
  <c r="HD91" i="12"/>
  <c r="HE91" i="12"/>
  <c r="HF91" i="12"/>
  <c r="HG91" i="12"/>
  <c r="HH91" i="12"/>
  <c r="HI91" i="12"/>
  <c r="HJ91" i="12"/>
  <c r="HK91" i="12"/>
  <c r="HL91" i="12"/>
  <c r="HM91" i="12"/>
  <c r="HN91" i="12"/>
  <c r="HO91" i="12"/>
  <c r="HP91" i="12"/>
  <c r="HQ91" i="12"/>
  <c r="HR91" i="12"/>
  <c r="HS91" i="12"/>
  <c r="HT91" i="12"/>
  <c r="HU91" i="12"/>
  <c r="HV91" i="12"/>
  <c r="HW91" i="12"/>
  <c r="HX91" i="12"/>
  <c r="HY91" i="12"/>
  <c r="HZ91" i="12"/>
  <c r="IA91" i="12"/>
  <c r="IB91" i="12"/>
  <c r="IC91" i="12"/>
  <c r="ID91" i="12"/>
  <c r="IE91" i="12"/>
  <c r="IF91" i="12"/>
  <c r="IG91" i="12"/>
  <c r="IH91" i="12"/>
  <c r="II91" i="12"/>
  <c r="IJ91" i="12"/>
  <c r="IK91" i="12"/>
  <c r="IL91" i="12"/>
  <c r="IM91" i="12"/>
  <c r="IN91" i="12"/>
  <c r="IO91" i="12"/>
  <c r="IP91" i="12"/>
  <c r="IQ91" i="12"/>
  <c r="IR91" i="12"/>
  <c r="IS91" i="12"/>
  <c r="IT91" i="12"/>
  <c r="IU91" i="12"/>
  <c r="IV91" i="12"/>
  <c r="A90" i="12"/>
  <c r="B90" i="12"/>
  <c r="C90" i="12"/>
  <c r="D90" i="12"/>
  <c r="E90" i="12"/>
  <c r="F90" i="12"/>
  <c r="G90" i="12"/>
  <c r="H90" i="12"/>
  <c r="I90" i="12"/>
  <c r="J90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BC90" i="12"/>
  <c r="BD90" i="12"/>
  <c r="BE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X90" i="12"/>
  <c r="CY90" i="12"/>
  <c r="CZ90" i="12"/>
  <c r="DA90" i="12"/>
  <c r="DB90" i="12"/>
  <c r="DC90" i="12"/>
  <c r="DD90" i="12"/>
  <c r="DE90" i="12"/>
  <c r="DF90" i="12"/>
  <c r="DG90" i="12"/>
  <c r="DH90" i="12"/>
  <c r="DI90" i="12"/>
  <c r="DJ90" i="12"/>
  <c r="DK90" i="12"/>
  <c r="DL90" i="12"/>
  <c r="DM90" i="12"/>
  <c r="DN90" i="12"/>
  <c r="DO90" i="12"/>
  <c r="DP90" i="12"/>
  <c r="DQ90" i="12"/>
  <c r="DR90" i="12"/>
  <c r="DS90" i="12"/>
  <c r="DT90" i="12"/>
  <c r="DU90" i="12"/>
  <c r="DV90" i="12"/>
  <c r="DW90" i="12"/>
  <c r="DX90" i="12"/>
  <c r="DY90" i="12"/>
  <c r="DZ90" i="12"/>
  <c r="EA90" i="12"/>
  <c r="EB90" i="12"/>
  <c r="EC90" i="12"/>
  <c r="ED90" i="12"/>
  <c r="EE90" i="12"/>
  <c r="EF90" i="12"/>
  <c r="EG90" i="12"/>
  <c r="EH90" i="12"/>
  <c r="EI90" i="12"/>
  <c r="EJ90" i="12"/>
  <c r="EK90" i="12"/>
  <c r="EL90" i="12"/>
  <c r="EM90" i="12"/>
  <c r="EN90" i="12"/>
  <c r="EO90" i="12"/>
  <c r="EP90" i="12"/>
  <c r="EQ90" i="12"/>
  <c r="ER90" i="12"/>
  <c r="ES90" i="12"/>
  <c r="ET90" i="12"/>
  <c r="EU90" i="12"/>
  <c r="EV90" i="12"/>
  <c r="EW90" i="12"/>
  <c r="EX90" i="12"/>
  <c r="EY90" i="12"/>
  <c r="EZ90" i="12"/>
  <c r="FA90" i="12"/>
  <c r="FB90" i="12"/>
  <c r="FC90" i="12"/>
  <c r="FD90" i="12"/>
  <c r="FE90" i="12"/>
  <c r="FF90" i="12"/>
  <c r="FG90" i="12"/>
  <c r="FH90" i="12"/>
  <c r="FI90" i="12"/>
  <c r="FJ90" i="12"/>
  <c r="FK90" i="12"/>
  <c r="FL90" i="12"/>
  <c r="FM90" i="12"/>
  <c r="FN90" i="12"/>
  <c r="FO90" i="12"/>
  <c r="FP90" i="12"/>
  <c r="FQ90" i="12"/>
  <c r="FR90" i="12"/>
  <c r="FS90" i="12"/>
  <c r="FT90" i="12"/>
  <c r="FU90" i="12"/>
  <c r="FV90" i="12"/>
  <c r="FW90" i="12"/>
  <c r="FX90" i="12"/>
  <c r="FY90" i="12"/>
  <c r="FZ90" i="12"/>
  <c r="GA90" i="12"/>
  <c r="GB90" i="12"/>
  <c r="GC90" i="12"/>
  <c r="GD90" i="12"/>
  <c r="GE90" i="12"/>
  <c r="GF90" i="12"/>
  <c r="GG90" i="12"/>
  <c r="GH90" i="12"/>
  <c r="GI90" i="12"/>
  <c r="GJ90" i="12"/>
  <c r="GK90" i="12"/>
  <c r="GL90" i="12"/>
  <c r="GM90" i="12"/>
  <c r="GN90" i="12"/>
  <c r="GO90" i="12"/>
  <c r="GP90" i="12"/>
  <c r="GQ90" i="12"/>
  <c r="GR90" i="12"/>
  <c r="GS90" i="12"/>
  <c r="GT90" i="12"/>
  <c r="GU90" i="12"/>
  <c r="GV90" i="12"/>
  <c r="GW90" i="12"/>
  <c r="GX90" i="12"/>
  <c r="GY90" i="12"/>
  <c r="GZ90" i="12"/>
  <c r="HA90" i="12"/>
  <c r="HB90" i="12"/>
  <c r="HC90" i="12"/>
  <c r="HD90" i="12"/>
  <c r="HE90" i="12"/>
  <c r="HF90" i="12"/>
  <c r="HG90" i="12"/>
  <c r="HH90" i="12"/>
  <c r="HI90" i="12"/>
  <c r="HJ90" i="12"/>
  <c r="HK90" i="12"/>
  <c r="HL90" i="12"/>
  <c r="HM90" i="12"/>
  <c r="HN90" i="12"/>
  <c r="HO90" i="12"/>
  <c r="HP90" i="12"/>
  <c r="HQ90" i="12"/>
  <c r="HR90" i="12"/>
  <c r="HS90" i="12"/>
  <c r="HT90" i="12"/>
  <c r="HU90" i="12"/>
  <c r="HV90" i="12"/>
  <c r="HW90" i="12"/>
  <c r="HX90" i="12"/>
  <c r="HY90" i="12"/>
  <c r="HZ90" i="12"/>
  <c r="IA90" i="12"/>
  <c r="IB90" i="12"/>
  <c r="IC90" i="12"/>
  <c r="ID90" i="12"/>
  <c r="IE90" i="12"/>
  <c r="IF90" i="12"/>
  <c r="IG90" i="12"/>
  <c r="IH90" i="12"/>
  <c r="II90" i="12"/>
  <c r="IJ90" i="12"/>
  <c r="IK90" i="12"/>
  <c r="IL90" i="12"/>
  <c r="IM90" i="12"/>
  <c r="IN90" i="12"/>
  <c r="IO90" i="12"/>
  <c r="IP90" i="12"/>
  <c r="IQ90" i="12"/>
  <c r="IR90" i="12"/>
  <c r="IS90" i="12"/>
  <c r="IT90" i="12"/>
  <c r="IU90" i="12"/>
  <c r="IV90" i="12"/>
  <c r="A89" i="12"/>
  <c r="B89" i="12"/>
  <c r="C89" i="12"/>
  <c r="D89" i="12"/>
  <c r="E89" i="12"/>
  <c r="F89" i="12"/>
  <c r="G89" i="12"/>
  <c r="H89" i="12"/>
  <c r="I89" i="12"/>
  <c r="J89" i="12"/>
  <c r="K89" i="12"/>
  <c r="L89" i="12"/>
  <c r="M89" i="12"/>
  <c r="N89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BC89" i="12"/>
  <c r="BD89" i="12"/>
  <c r="BE89" i="12"/>
  <c r="BF89" i="12"/>
  <c r="BG89" i="12"/>
  <c r="BH89" i="12"/>
  <c r="BI89" i="12"/>
  <c r="BJ89" i="12"/>
  <c r="BK89" i="12"/>
  <c r="BL89" i="12"/>
  <c r="BM89" i="12"/>
  <c r="BN89" i="12"/>
  <c r="BO89" i="12"/>
  <c r="BP89" i="12"/>
  <c r="BQ89" i="12"/>
  <c r="BR89" i="12"/>
  <c r="BS89" i="12"/>
  <c r="BT89" i="12"/>
  <c r="BU89" i="12"/>
  <c r="BV89" i="12"/>
  <c r="BW89" i="12"/>
  <c r="BX89" i="12"/>
  <c r="BY89" i="12"/>
  <c r="BZ89" i="12"/>
  <c r="CA89" i="12"/>
  <c r="CB89" i="12"/>
  <c r="CC89" i="12"/>
  <c r="CD89" i="12"/>
  <c r="CE89" i="12"/>
  <c r="CF89" i="12"/>
  <c r="CG89" i="12"/>
  <c r="CH89" i="12"/>
  <c r="CI89" i="12"/>
  <c r="CJ89" i="12"/>
  <c r="CK89" i="12"/>
  <c r="CL89" i="12"/>
  <c r="CM89" i="12"/>
  <c r="CN89" i="12"/>
  <c r="CO89" i="12"/>
  <c r="CP89" i="12"/>
  <c r="CQ89" i="12"/>
  <c r="CR89" i="12"/>
  <c r="CS89" i="12"/>
  <c r="CT89" i="12"/>
  <c r="CU89" i="12"/>
  <c r="CV89" i="12"/>
  <c r="CW89" i="12"/>
  <c r="CX89" i="12"/>
  <c r="CY89" i="12"/>
  <c r="CZ89" i="12"/>
  <c r="DA89" i="12"/>
  <c r="DB89" i="12"/>
  <c r="DC89" i="12"/>
  <c r="DD89" i="12"/>
  <c r="DE89" i="12"/>
  <c r="DF89" i="12"/>
  <c r="DG89" i="12"/>
  <c r="DH89" i="12"/>
  <c r="DI89" i="12"/>
  <c r="DJ89" i="12"/>
  <c r="DK89" i="12"/>
  <c r="DL89" i="12"/>
  <c r="DM89" i="12"/>
  <c r="DN89" i="12"/>
  <c r="DO89" i="12"/>
  <c r="DP89" i="12"/>
  <c r="DQ89" i="12"/>
  <c r="DR89" i="12"/>
  <c r="DS89" i="12"/>
  <c r="DT89" i="12"/>
  <c r="DU89" i="12"/>
  <c r="DV89" i="12"/>
  <c r="DW89" i="12"/>
  <c r="DX89" i="12"/>
  <c r="DY89" i="12"/>
  <c r="DZ89" i="12"/>
  <c r="EA89" i="12"/>
  <c r="EB89" i="12"/>
  <c r="EC89" i="12"/>
  <c r="ED89" i="12"/>
  <c r="EE89" i="12"/>
  <c r="EF89" i="12"/>
  <c r="EG89" i="12"/>
  <c r="EH89" i="12"/>
  <c r="EI89" i="12"/>
  <c r="EJ89" i="12"/>
  <c r="EK89" i="12"/>
  <c r="EL89" i="12"/>
  <c r="EM89" i="12"/>
  <c r="EN89" i="12"/>
  <c r="EO89" i="12"/>
  <c r="EP89" i="12"/>
  <c r="EQ89" i="12"/>
  <c r="ER89" i="12"/>
  <c r="ES89" i="12"/>
  <c r="ET89" i="12"/>
  <c r="EU89" i="12"/>
  <c r="EV89" i="12"/>
  <c r="EW89" i="12"/>
  <c r="EX89" i="12"/>
  <c r="EY89" i="12"/>
  <c r="EZ89" i="12"/>
  <c r="FA89" i="12"/>
  <c r="FB89" i="12"/>
  <c r="FC89" i="12"/>
  <c r="FD89" i="12"/>
  <c r="FE89" i="12"/>
  <c r="FF89" i="12"/>
  <c r="FG89" i="12"/>
  <c r="FH89" i="12"/>
  <c r="FI89" i="12"/>
  <c r="FJ89" i="12"/>
  <c r="FK89" i="12"/>
  <c r="FL89" i="12"/>
  <c r="FM89" i="12"/>
  <c r="FN89" i="12"/>
  <c r="FO89" i="12"/>
  <c r="FP89" i="12"/>
  <c r="FQ89" i="12"/>
  <c r="FR89" i="12"/>
  <c r="FS89" i="12"/>
  <c r="FT89" i="12"/>
  <c r="FU89" i="12"/>
  <c r="FV89" i="12"/>
  <c r="FW89" i="12"/>
  <c r="FX89" i="12"/>
  <c r="FY89" i="12"/>
  <c r="FZ89" i="12"/>
  <c r="GA89" i="12"/>
  <c r="GB89" i="12"/>
  <c r="GC89" i="12"/>
  <c r="GD89" i="12"/>
  <c r="GE89" i="12"/>
  <c r="GF89" i="12"/>
  <c r="GG89" i="12"/>
  <c r="GH89" i="12"/>
  <c r="GI89" i="12"/>
  <c r="GJ89" i="12"/>
  <c r="GK89" i="12"/>
  <c r="GL89" i="12"/>
  <c r="GM89" i="12"/>
  <c r="GN89" i="12"/>
  <c r="GO89" i="12"/>
  <c r="GP89" i="12"/>
  <c r="GQ89" i="12"/>
  <c r="GR89" i="12"/>
  <c r="GS89" i="12"/>
  <c r="GT89" i="12"/>
  <c r="GU89" i="12"/>
  <c r="GV89" i="12"/>
  <c r="GW89" i="12"/>
  <c r="GX89" i="12"/>
  <c r="GY89" i="12"/>
  <c r="GZ89" i="12"/>
  <c r="HA89" i="12"/>
  <c r="HB89" i="12"/>
  <c r="HC89" i="12"/>
  <c r="HD89" i="12"/>
  <c r="HE89" i="12"/>
  <c r="HF89" i="12"/>
  <c r="HG89" i="12"/>
  <c r="HH89" i="12"/>
  <c r="HI89" i="12"/>
  <c r="HJ89" i="12"/>
  <c r="HK89" i="12"/>
  <c r="HL89" i="12"/>
  <c r="HM89" i="12"/>
  <c r="HN89" i="12"/>
  <c r="HO89" i="12"/>
  <c r="HP89" i="12"/>
  <c r="HQ89" i="12"/>
  <c r="HR89" i="12"/>
  <c r="HS89" i="12"/>
  <c r="HT89" i="12"/>
  <c r="HU89" i="12"/>
  <c r="HV89" i="12"/>
  <c r="HW89" i="12"/>
  <c r="HX89" i="12"/>
  <c r="HY89" i="12"/>
  <c r="HZ89" i="12"/>
  <c r="IA89" i="12"/>
  <c r="IB89" i="12"/>
  <c r="IC89" i="12"/>
  <c r="ID89" i="12"/>
  <c r="IE89" i="12"/>
  <c r="IF89" i="12"/>
  <c r="IG89" i="12"/>
  <c r="IH89" i="12"/>
  <c r="II89" i="12"/>
  <c r="IJ89" i="12"/>
  <c r="IK89" i="12"/>
  <c r="IL89" i="12"/>
  <c r="IM89" i="12"/>
  <c r="IN89" i="12"/>
  <c r="IO89" i="12"/>
  <c r="IP89" i="12"/>
  <c r="IQ89" i="12"/>
  <c r="IR89" i="12"/>
  <c r="IS89" i="12"/>
  <c r="IT89" i="12"/>
  <c r="IU89" i="12"/>
  <c r="IV89" i="12"/>
  <c r="A88" i="12"/>
  <c r="B88" i="12"/>
  <c r="C88" i="12"/>
  <c r="D88" i="12"/>
  <c r="E88" i="12"/>
  <c r="F88" i="12"/>
  <c r="G88" i="12"/>
  <c r="H88" i="12"/>
  <c r="I88" i="12"/>
  <c r="J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BC88" i="12"/>
  <c r="BD88" i="12"/>
  <c r="BE88" i="12"/>
  <c r="BF88" i="12"/>
  <c r="BG88" i="12"/>
  <c r="BH88" i="12"/>
  <c r="BI88" i="12"/>
  <c r="BJ88" i="12"/>
  <c r="BK88" i="12"/>
  <c r="BL88" i="12"/>
  <c r="BM88" i="12"/>
  <c r="BN88" i="12"/>
  <c r="BO88" i="12"/>
  <c r="BP88" i="12"/>
  <c r="BQ88" i="12"/>
  <c r="BR88" i="12"/>
  <c r="BS88" i="12"/>
  <c r="BT88" i="12"/>
  <c r="BU88" i="12"/>
  <c r="BV88" i="12"/>
  <c r="BW88" i="12"/>
  <c r="BX88" i="12"/>
  <c r="BY88" i="12"/>
  <c r="BZ88" i="12"/>
  <c r="CA88" i="12"/>
  <c r="CB88" i="12"/>
  <c r="CC88" i="12"/>
  <c r="CD88" i="12"/>
  <c r="CE88" i="12"/>
  <c r="CF88" i="12"/>
  <c r="CG88" i="12"/>
  <c r="CH88" i="12"/>
  <c r="CI88" i="12"/>
  <c r="CJ88" i="12"/>
  <c r="CK88" i="12"/>
  <c r="CL88" i="12"/>
  <c r="CM88" i="12"/>
  <c r="CN88" i="12"/>
  <c r="CO88" i="12"/>
  <c r="CP88" i="12"/>
  <c r="CQ88" i="12"/>
  <c r="CR88" i="12"/>
  <c r="CS88" i="12"/>
  <c r="CT88" i="12"/>
  <c r="CU88" i="12"/>
  <c r="CV88" i="12"/>
  <c r="CW88" i="12"/>
  <c r="CX88" i="12"/>
  <c r="CY88" i="12"/>
  <c r="CZ88" i="12"/>
  <c r="DA88" i="12"/>
  <c r="DB88" i="12"/>
  <c r="DC88" i="12"/>
  <c r="DD88" i="12"/>
  <c r="DE88" i="12"/>
  <c r="DF88" i="12"/>
  <c r="DG88" i="12"/>
  <c r="DH88" i="12"/>
  <c r="DI88" i="12"/>
  <c r="DJ88" i="12"/>
  <c r="DK88" i="12"/>
  <c r="DL88" i="12"/>
  <c r="DM88" i="12"/>
  <c r="DN88" i="12"/>
  <c r="DO88" i="12"/>
  <c r="DP88" i="12"/>
  <c r="DQ88" i="12"/>
  <c r="DR88" i="12"/>
  <c r="DS88" i="12"/>
  <c r="DT88" i="12"/>
  <c r="DU88" i="12"/>
  <c r="DV88" i="12"/>
  <c r="DW88" i="12"/>
  <c r="DX88" i="12"/>
  <c r="DY88" i="12"/>
  <c r="DZ88" i="12"/>
  <c r="EA88" i="12"/>
  <c r="EB88" i="12"/>
  <c r="EC88" i="12"/>
  <c r="ED88" i="12"/>
  <c r="EE88" i="12"/>
  <c r="EF88" i="12"/>
  <c r="EG88" i="12"/>
  <c r="EH88" i="12"/>
  <c r="EI88" i="12"/>
  <c r="EJ88" i="12"/>
  <c r="EK88" i="12"/>
  <c r="EL88" i="12"/>
  <c r="EM88" i="12"/>
  <c r="EN88" i="12"/>
  <c r="EO88" i="12"/>
  <c r="EP88" i="12"/>
  <c r="EQ88" i="12"/>
  <c r="ER88" i="12"/>
  <c r="ES88" i="12"/>
  <c r="ET88" i="12"/>
  <c r="EU88" i="12"/>
  <c r="EV88" i="12"/>
  <c r="EW88" i="12"/>
  <c r="EX88" i="12"/>
  <c r="EY88" i="12"/>
  <c r="EZ88" i="12"/>
  <c r="FA88" i="12"/>
  <c r="FB88" i="12"/>
  <c r="FC88" i="12"/>
  <c r="FD88" i="12"/>
  <c r="FE88" i="12"/>
  <c r="FF88" i="12"/>
  <c r="FG88" i="12"/>
  <c r="FH88" i="12"/>
  <c r="FI88" i="12"/>
  <c r="FJ88" i="12"/>
  <c r="FK88" i="12"/>
  <c r="FL88" i="12"/>
  <c r="FM88" i="12"/>
  <c r="FN88" i="12"/>
  <c r="FO88" i="12"/>
  <c r="FP88" i="12"/>
  <c r="FQ88" i="12"/>
  <c r="FR88" i="12"/>
  <c r="FS88" i="12"/>
  <c r="FT88" i="12"/>
  <c r="FU88" i="12"/>
  <c r="FV88" i="12"/>
  <c r="FW88" i="12"/>
  <c r="FX88" i="12"/>
  <c r="FY88" i="12"/>
  <c r="FZ88" i="12"/>
  <c r="GA88" i="12"/>
  <c r="GB88" i="12"/>
  <c r="GC88" i="12"/>
  <c r="GD88" i="12"/>
  <c r="GE88" i="12"/>
  <c r="GF88" i="12"/>
  <c r="GG88" i="12"/>
  <c r="GH88" i="12"/>
  <c r="GI88" i="12"/>
  <c r="GJ88" i="12"/>
  <c r="GK88" i="12"/>
  <c r="GL88" i="12"/>
  <c r="GM88" i="12"/>
  <c r="GN88" i="12"/>
  <c r="GO88" i="12"/>
  <c r="GP88" i="12"/>
  <c r="GQ88" i="12"/>
  <c r="GR88" i="12"/>
  <c r="GS88" i="12"/>
  <c r="GT88" i="12"/>
  <c r="GU88" i="12"/>
  <c r="GV88" i="12"/>
  <c r="GW88" i="12"/>
  <c r="GX88" i="12"/>
  <c r="GY88" i="12"/>
  <c r="GZ88" i="12"/>
  <c r="HA88" i="12"/>
  <c r="HB88" i="12"/>
  <c r="HC88" i="12"/>
  <c r="HD88" i="12"/>
  <c r="HE88" i="12"/>
  <c r="HF88" i="12"/>
  <c r="HG88" i="12"/>
  <c r="HH88" i="12"/>
  <c r="HI88" i="12"/>
  <c r="HJ88" i="12"/>
  <c r="HK88" i="12"/>
  <c r="HL88" i="12"/>
  <c r="HM88" i="12"/>
  <c r="HN88" i="12"/>
  <c r="HO88" i="12"/>
  <c r="HP88" i="12"/>
  <c r="HQ88" i="12"/>
  <c r="HR88" i="12"/>
  <c r="HS88" i="12"/>
  <c r="HT88" i="12"/>
  <c r="HU88" i="12"/>
  <c r="HV88" i="12"/>
  <c r="HW88" i="12"/>
  <c r="HX88" i="12"/>
  <c r="HY88" i="12"/>
  <c r="HZ88" i="12"/>
  <c r="IA88" i="12"/>
  <c r="IB88" i="12"/>
  <c r="IC88" i="12"/>
  <c r="ID88" i="12"/>
  <c r="IE88" i="12"/>
  <c r="IF88" i="12"/>
  <c r="IG88" i="12"/>
  <c r="IH88" i="12"/>
  <c r="II88" i="12"/>
  <c r="IJ88" i="12"/>
  <c r="IK88" i="12"/>
  <c r="IL88" i="12"/>
  <c r="IM88" i="12"/>
  <c r="IN88" i="12"/>
  <c r="IO88" i="12"/>
  <c r="IP88" i="12"/>
  <c r="IQ88" i="12"/>
  <c r="IR88" i="12"/>
  <c r="IS88" i="12"/>
  <c r="IT88" i="12"/>
  <c r="IU88" i="12"/>
  <c r="IV88" i="12"/>
  <c r="A87" i="12"/>
  <c r="B87" i="12"/>
  <c r="C87" i="12"/>
  <c r="D87" i="12"/>
  <c r="E87" i="12"/>
  <c r="F87" i="12"/>
  <c r="G87" i="12"/>
  <c r="H87" i="12"/>
  <c r="I87" i="12"/>
  <c r="J87" i="12"/>
  <c r="K87" i="12"/>
  <c r="L87" i="12"/>
  <c r="M87" i="12"/>
  <c r="N87" i="12"/>
  <c r="O87" i="12"/>
  <c r="P87" i="12"/>
  <c r="Q87" i="12"/>
  <c r="R87" i="12"/>
  <c r="S87" i="12"/>
  <c r="T87" i="12"/>
  <c r="U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BC87" i="12"/>
  <c r="BD87" i="12"/>
  <c r="BE87" i="12"/>
  <c r="BF87" i="12"/>
  <c r="BG87" i="12"/>
  <c r="BH87" i="12"/>
  <c r="BI87" i="12"/>
  <c r="BJ87" i="12"/>
  <c r="BK87" i="12"/>
  <c r="BL87" i="12"/>
  <c r="BM87" i="12"/>
  <c r="BN87" i="12"/>
  <c r="BO87" i="12"/>
  <c r="BP87" i="12"/>
  <c r="BQ87" i="12"/>
  <c r="BR87" i="12"/>
  <c r="BS87" i="12"/>
  <c r="BT87" i="12"/>
  <c r="BU87" i="12"/>
  <c r="BV87" i="12"/>
  <c r="BW87" i="12"/>
  <c r="BX87" i="12"/>
  <c r="BY87" i="12"/>
  <c r="BZ87" i="12"/>
  <c r="CA87" i="12"/>
  <c r="CB87" i="12"/>
  <c r="CC87" i="12"/>
  <c r="CD87" i="12"/>
  <c r="CE87" i="12"/>
  <c r="CF87" i="12"/>
  <c r="CG87" i="12"/>
  <c r="CH87" i="12"/>
  <c r="CI87" i="12"/>
  <c r="CJ87" i="12"/>
  <c r="CK87" i="12"/>
  <c r="CL87" i="12"/>
  <c r="CM87" i="12"/>
  <c r="CN87" i="12"/>
  <c r="CO87" i="12"/>
  <c r="CP87" i="12"/>
  <c r="CQ87" i="12"/>
  <c r="CR87" i="12"/>
  <c r="CS87" i="12"/>
  <c r="CT87" i="12"/>
  <c r="CU87" i="12"/>
  <c r="CV87" i="12"/>
  <c r="CW87" i="12"/>
  <c r="CX87" i="12"/>
  <c r="CY87" i="12"/>
  <c r="CZ87" i="12"/>
  <c r="DA87" i="12"/>
  <c r="DB87" i="12"/>
  <c r="DC87" i="12"/>
  <c r="DD87" i="12"/>
  <c r="DE87" i="12"/>
  <c r="DF87" i="12"/>
  <c r="DG87" i="12"/>
  <c r="DH87" i="12"/>
  <c r="DI87" i="12"/>
  <c r="DJ87" i="12"/>
  <c r="DK87" i="12"/>
  <c r="DL87" i="12"/>
  <c r="DM87" i="12"/>
  <c r="DN87" i="12"/>
  <c r="DO87" i="12"/>
  <c r="DP87" i="12"/>
  <c r="DQ87" i="12"/>
  <c r="DR87" i="12"/>
  <c r="DS87" i="12"/>
  <c r="DT87" i="12"/>
  <c r="DU87" i="12"/>
  <c r="DV87" i="12"/>
  <c r="DW87" i="12"/>
  <c r="DX87" i="12"/>
  <c r="DY87" i="12"/>
  <c r="DZ87" i="12"/>
  <c r="EA87" i="12"/>
  <c r="EB87" i="12"/>
  <c r="EC87" i="12"/>
  <c r="ED87" i="12"/>
  <c r="EE87" i="12"/>
  <c r="EF87" i="12"/>
  <c r="EG87" i="12"/>
  <c r="EH87" i="12"/>
  <c r="EI87" i="12"/>
  <c r="EJ87" i="12"/>
  <c r="EK87" i="12"/>
  <c r="EL87" i="12"/>
  <c r="EM87" i="12"/>
  <c r="EN87" i="12"/>
  <c r="EO87" i="12"/>
  <c r="EP87" i="12"/>
  <c r="EQ87" i="12"/>
  <c r="ER87" i="12"/>
  <c r="ES87" i="12"/>
  <c r="ET87" i="12"/>
  <c r="EU87" i="12"/>
  <c r="EV87" i="12"/>
  <c r="EW87" i="12"/>
  <c r="EX87" i="12"/>
  <c r="EY87" i="12"/>
  <c r="EZ87" i="12"/>
  <c r="FA87" i="12"/>
  <c r="FB87" i="12"/>
  <c r="FC87" i="12"/>
  <c r="FD87" i="12"/>
  <c r="FE87" i="12"/>
  <c r="FF87" i="12"/>
  <c r="FG87" i="12"/>
  <c r="FH87" i="12"/>
  <c r="FI87" i="12"/>
  <c r="FJ87" i="12"/>
  <c r="FK87" i="12"/>
  <c r="FL87" i="12"/>
  <c r="FM87" i="12"/>
  <c r="FN87" i="12"/>
  <c r="FO87" i="12"/>
  <c r="FP87" i="12"/>
  <c r="FQ87" i="12"/>
  <c r="FR87" i="12"/>
  <c r="FS87" i="12"/>
  <c r="FT87" i="12"/>
  <c r="FU87" i="12"/>
  <c r="FV87" i="12"/>
  <c r="FW87" i="12"/>
  <c r="FX87" i="12"/>
  <c r="FY87" i="12"/>
  <c r="FZ87" i="12"/>
  <c r="GA87" i="12"/>
  <c r="GB87" i="12"/>
  <c r="GC87" i="12"/>
  <c r="GD87" i="12"/>
  <c r="GE87" i="12"/>
  <c r="GF87" i="12"/>
  <c r="GG87" i="12"/>
  <c r="GH87" i="12"/>
  <c r="GI87" i="12"/>
  <c r="GJ87" i="12"/>
  <c r="GK87" i="12"/>
  <c r="GL87" i="12"/>
  <c r="GM87" i="12"/>
  <c r="GN87" i="12"/>
  <c r="GO87" i="12"/>
  <c r="GP87" i="12"/>
  <c r="GQ87" i="12"/>
  <c r="GR87" i="12"/>
  <c r="GS87" i="12"/>
  <c r="GT87" i="12"/>
  <c r="GU87" i="12"/>
  <c r="GV87" i="12"/>
  <c r="GW87" i="12"/>
  <c r="GX87" i="12"/>
  <c r="GY87" i="12"/>
  <c r="GZ87" i="12"/>
  <c r="HA87" i="12"/>
  <c r="HB87" i="12"/>
  <c r="HC87" i="12"/>
  <c r="HD87" i="12"/>
  <c r="HE87" i="12"/>
  <c r="HF87" i="12"/>
  <c r="HG87" i="12"/>
  <c r="HH87" i="12"/>
  <c r="HI87" i="12"/>
  <c r="HJ87" i="12"/>
  <c r="HK87" i="12"/>
  <c r="HL87" i="12"/>
  <c r="HM87" i="12"/>
  <c r="HN87" i="12"/>
  <c r="HO87" i="12"/>
  <c r="HP87" i="12"/>
  <c r="HQ87" i="12"/>
  <c r="HR87" i="12"/>
  <c r="HS87" i="12"/>
  <c r="HT87" i="12"/>
  <c r="HU87" i="12"/>
  <c r="HV87" i="12"/>
  <c r="HW87" i="12"/>
  <c r="HX87" i="12"/>
  <c r="HY87" i="12"/>
  <c r="HZ87" i="12"/>
  <c r="IA87" i="12"/>
  <c r="IB87" i="12"/>
  <c r="IC87" i="12"/>
  <c r="ID87" i="12"/>
  <c r="IE87" i="12"/>
  <c r="IF87" i="12"/>
  <c r="IG87" i="12"/>
  <c r="IH87" i="12"/>
  <c r="II87" i="12"/>
  <c r="IJ87" i="12"/>
  <c r="IK87" i="12"/>
  <c r="IL87" i="12"/>
  <c r="IM87" i="12"/>
  <c r="IN87" i="12"/>
  <c r="IO87" i="12"/>
  <c r="IP87" i="12"/>
  <c r="IQ87" i="12"/>
  <c r="IR87" i="12"/>
  <c r="IS87" i="12"/>
  <c r="IT87" i="12"/>
  <c r="IU87" i="12"/>
  <c r="IV87" i="12"/>
  <c r="A86" i="12"/>
  <c r="B86" i="12"/>
  <c r="C86" i="12"/>
  <c r="D86" i="12"/>
  <c r="E86" i="12"/>
  <c r="F86" i="12"/>
  <c r="G86" i="12"/>
  <c r="H86" i="12"/>
  <c r="I86" i="12"/>
  <c r="J86" i="12"/>
  <c r="K86" i="12"/>
  <c r="L86" i="12"/>
  <c r="M86" i="12"/>
  <c r="N86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BC86" i="12"/>
  <c r="BD86" i="12"/>
  <c r="BE86" i="12"/>
  <c r="BF86" i="12"/>
  <c r="BG86" i="12"/>
  <c r="BH86" i="12"/>
  <c r="BI86" i="12"/>
  <c r="BJ86" i="12"/>
  <c r="BK86" i="12"/>
  <c r="BL86" i="12"/>
  <c r="BM86" i="12"/>
  <c r="BN86" i="12"/>
  <c r="BO86" i="12"/>
  <c r="BP86" i="12"/>
  <c r="BQ86" i="12"/>
  <c r="BR86" i="12"/>
  <c r="BS86" i="12"/>
  <c r="BT86" i="12"/>
  <c r="BU86" i="12"/>
  <c r="BV86" i="12"/>
  <c r="BW86" i="12"/>
  <c r="BX86" i="12"/>
  <c r="BY86" i="12"/>
  <c r="BZ86" i="12"/>
  <c r="CA86" i="12"/>
  <c r="CB86" i="12"/>
  <c r="CC86" i="12"/>
  <c r="CD86" i="12"/>
  <c r="CE86" i="12"/>
  <c r="CF86" i="12"/>
  <c r="CG86" i="12"/>
  <c r="CH86" i="12"/>
  <c r="CI86" i="12"/>
  <c r="CJ86" i="12"/>
  <c r="CK86" i="12"/>
  <c r="CL86" i="12"/>
  <c r="CM86" i="12"/>
  <c r="CN86" i="12"/>
  <c r="CO86" i="12"/>
  <c r="CP86" i="12"/>
  <c r="CQ86" i="12"/>
  <c r="CR86" i="12"/>
  <c r="CS86" i="12"/>
  <c r="CT86" i="12"/>
  <c r="CU86" i="12"/>
  <c r="CV86" i="12"/>
  <c r="CW86" i="12"/>
  <c r="CX86" i="12"/>
  <c r="CY86" i="12"/>
  <c r="CZ86" i="12"/>
  <c r="DA86" i="12"/>
  <c r="DB86" i="12"/>
  <c r="DC86" i="12"/>
  <c r="DD86" i="12"/>
  <c r="DE86" i="12"/>
  <c r="DF86" i="12"/>
  <c r="DG86" i="12"/>
  <c r="DH86" i="12"/>
  <c r="DI86" i="12"/>
  <c r="DJ86" i="12"/>
  <c r="DK86" i="12"/>
  <c r="DL86" i="12"/>
  <c r="DM86" i="12"/>
  <c r="DN86" i="12"/>
  <c r="DO86" i="12"/>
  <c r="DP86" i="12"/>
  <c r="DQ86" i="12"/>
  <c r="DR86" i="12"/>
  <c r="DS86" i="12"/>
  <c r="DT86" i="12"/>
  <c r="DU86" i="12"/>
  <c r="DV86" i="12"/>
  <c r="DW86" i="12"/>
  <c r="DX86" i="12"/>
  <c r="DY86" i="12"/>
  <c r="DZ86" i="12"/>
  <c r="EA86" i="12"/>
  <c r="EB86" i="12"/>
  <c r="EC86" i="12"/>
  <c r="ED86" i="12"/>
  <c r="EE86" i="12"/>
  <c r="EF86" i="12"/>
  <c r="EG86" i="12"/>
  <c r="EH86" i="12"/>
  <c r="EI86" i="12"/>
  <c r="EJ86" i="12"/>
  <c r="EK86" i="12"/>
  <c r="EL86" i="12"/>
  <c r="EM86" i="12"/>
  <c r="EN86" i="12"/>
  <c r="EO86" i="12"/>
  <c r="EP86" i="12"/>
  <c r="EQ86" i="12"/>
  <c r="ER86" i="12"/>
  <c r="ES86" i="12"/>
  <c r="ET86" i="12"/>
  <c r="EU86" i="12"/>
  <c r="EV86" i="12"/>
  <c r="EW86" i="12"/>
  <c r="EX86" i="12"/>
  <c r="EY86" i="12"/>
  <c r="EZ86" i="12"/>
  <c r="FA86" i="12"/>
  <c r="FB86" i="12"/>
  <c r="FC86" i="12"/>
  <c r="FD86" i="12"/>
  <c r="FE86" i="12"/>
  <c r="FF86" i="12"/>
  <c r="FG86" i="12"/>
  <c r="FH86" i="12"/>
  <c r="FI86" i="12"/>
  <c r="FJ86" i="12"/>
  <c r="FK86" i="12"/>
  <c r="FL86" i="12"/>
  <c r="FM86" i="12"/>
  <c r="FN86" i="12"/>
  <c r="FO86" i="12"/>
  <c r="FP86" i="12"/>
  <c r="FQ86" i="12"/>
  <c r="FR86" i="12"/>
  <c r="FS86" i="12"/>
  <c r="FT86" i="12"/>
  <c r="FU86" i="12"/>
  <c r="FV86" i="12"/>
  <c r="FW86" i="12"/>
  <c r="FX86" i="12"/>
  <c r="FY86" i="12"/>
  <c r="FZ86" i="12"/>
  <c r="GA86" i="12"/>
  <c r="GB86" i="12"/>
  <c r="GC86" i="12"/>
  <c r="GD86" i="12"/>
  <c r="GE86" i="12"/>
  <c r="GF86" i="12"/>
  <c r="GG86" i="12"/>
  <c r="GH86" i="12"/>
  <c r="GI86" i="12"/>
  <c r="GJ86" i="12"/>
  <c r="GK86" i="12"/>
  <c r="GL86" i="12"/>
  <c r="GM86" i="12"/>
  <c r="GN86" i="12"/>
  <c r="GO86" i="12"/>
  <c r="GP86" i="12"/>
  <c r="GQ86" i="12"/>
  <c r="GR86" i="12"/>
  <c r="GS86" i="12"/>
  <c r="GT86" i="12"/>
  <c r="GU86" i="12"/>
  <c r="GV86" i="12"/>
  <c r="GW86" i="12"/>
  <c r="GX86" i="12"/>
  <c r="GY86" i="12"/>
  <c r="GZ86" i="12"/>
  <c r="HA86" i="12"/>
  <c r="HB86" i="12"/>
  <c r="HC86" i="12"/>
  <c r="HD86" i="12"/>
  <c r="HE86" i="12"/>
  <c r="HF86" i="12"/>
  <c r="HG86" i="12"/>
  <c r="HH86" i="12"/>
  <c r="HI86" i="12"/>
  <c r="HJ86" i="12"/>
  <c r="HK86" i="12"/>
  <c r="HL86" i="12"/>
  <c r="HM86" i="12"/>
  <c r="HN86" i="12"/>
  <c r="HO86" i="12"/>
  <c r="HP86" i="12"/>
  <c r="HQ86" i="12"/>
  <c r="HR86" i="12"/>
  <c r="HS86" i="12"/>
  <c r="HT86" i="12"/>
  <c r="HU86" i="12"/>
  <c r="HV86" i="12"/>
  <c r="HW86" i="12"/>
  <c r="HX86" i="12"/>
  <c r="HY86" i="12"/>
  <c r="HZ86" i="12"/>
  <c r="IA86" i="12"/>
  <c r="IB86" i="12"/>
  <c r="IC86" i="12"/>
  <c r="ID86" i="12"/>
  <c r="IE86" i="12"/>
  <c r="IF86" i="12"/>
  <c r="IG86" i="12"/>
  <c r="IH86" i="12"/>
  <c r="II86" i="12"/>
  <c r="IJ86" i="12"/>
  <c r="IK86" i="12"/>
  <c r="IL86" i="12"/>
  <c r="IM86" i="12"/>
  <c r="IN86" i="12"/>
  <c r="IO86" i="12"/>
  <c r="IP86" i="12"/>
  <c r="IQ86" i="12"/>
  <c r="IR86" i="12"/>
  <c r="IS86" i="12"/>
  <c r="IT86" i="12"/>
  <c r="IU86" i="12"/>
  <c r="IV86" i="12"/>
  <c r="A85" i="12"/>
  <c r="B85" i="12"/>
  <c r="C85" i="12"/>
  <c r="D85" i="12"/>
  <c r="E85" i="12"/>
  <c r="F85" i="12"/>
  <c r="G85" i="12"/>
  <c r="H85" i="12"/>
  <c r="J85" i="12"/>
  <c r="K85" i="12"/>
  <c r="L85" i="12"/>
  <c r="M85" i="12"/>
  <c r="N85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BC85" i="12"/>
  <c r="BD85" i="12"/>
  <c r="BE85" i="12"/>
  <c r="BF85" i="12"/>
  <c r="BG85" i="12"/>
  <c r="BH85" i="12"/>
  <c r="BI85" i="12"/>
  <c r="BJ85" i="12"/>
  <c r="BK85" i="12"/>
  <c r="BL85" i="12"/>
  <c r="BM85" i="12"/>
  <c r="BN85" i="12"/>
  <c r="BO85" i="12"/>
  <c r="BP85" i="12"/>
  <c r="BQ85" i="12"/>
  <c r="BR85" i="12"/>
  <c r="BS85" i="12"/>
  <c r="BT85" i="12"/>
  <c r="BU85" i="12"/>
  <c r="BV85" i="12"/>
  <c r="BW85" i="12"/>
  <c r="BX85" i="12"/>
  <c r="BY85" i="12"/>
  <c r="BZ85" i="12"/>
  <c r="CA85" i="12"/>
  <c r="CB85" i="12"/>
  <c r="CC85" i="12"/>
  <c r="CD85" i="12"/>
  <c r="CE85" i="12"/>
  <c r="CF85" i="12"/>
  <c r="CG85" i="12"/>
  <c r="CH85" i="12"/>
  <c r="CI85" i="12"/>
  <c r="CJ85" i="12"/>
  <c r="CK85" i="12"/>
  <c r="CL85" i="12"/>
  <c r="CM85" i="12"/>
  <c r="CN85" i="12"/>
  <c r="CO85" i="12"/>
  <c r="CP85" i="12"/>
  <c r="CQ85" i="12"/>
  <c r="CR85" i="12"/>
  <c r="CS85" i="12"/>
  <c r="CT85" i="12"/>
  <c r="CU85" i="12"/>
  <c r="CV85" i="12"/>
  <c r="CW85" i="12"/>
  <c r="CX85" i="12"/>
  <c r="CY85" i="12"/>
  <c r="CZ85" i="12"/>
  <c r="DA85" i="12"/>
  <c r="DB85" i="12"/>
  <c r="DC85" i="12"/>
  <c r="DD85" i="12"/>
  <c r="DE85" i="12"/>
  <c r="DF85" i="12"/>
  <c r="DG85" i="12"/>
  <c r="DH85" i="12"/>
  <c r="DI85" i="12"/>
  <c r="DJ85" i="12"/>
  <c r="DK85" i="12"/>
  <c r="DL85" i="12"/>
  <c r="DM85" i="12"/>
  <c r="DN85" i="12"/>
  <c r="DO85" i="12"/>
  <c r="DP85" i="12"/>
  <c r="DQ85" i="12"/>
  <c r="DR85" i="12"/>
  <c r="DS85" i="12"/>
  <c r="DT85" i="12"/>
  <c r="DU85" i="12"/>
  <c r="DV85" i="12"/>
  <c r="DW85" i="12"/>
  <c r="DX85" i="12"/>
  <c r="DY85" i="12"/>
  <c r="DZ85" i="12"/>
  <c r="EA85" i="12"/>
  <c r="EB85" i="12"/>
  <c r="EC85" i="12"/>
  <c r="ED85" i="12"/>
  <c r="EE85" i="12"/>
  <c r="EF85" i="12"/>
  <c r="EG85" i="12"/>
  <c r="EH85" i="12"/>
  <c r="EI85" i="12"/>
  <c r="EJ85" i="12"/>
  <c r="EK85" i="12"/>
  <c r="EL85" i="12"/>
  <c r="EM85" i="12"/>
  <c r="EN85" i="12"/>
  <c r="EO85" i="12"/>
  <c r="EP85" i="12"/>
  <c r="EQ85" i="12"/>
  <c r="ER85" i="12"/>
  <c r="ES85" i="12"/>
  <c r="ET85" i="12"/>
  <c r="EU85" i="12"/>
  <c r="EV85" i="12"/>
  <c r="EW85" i="12"/>
  <c r="EX85" i="12"/>
  <c r="EY85" i="12"/>
  <c r="EZ85" i="12"/>
  <c r="FA85" i="12"/>
  <c r="FB85" i="12"/>
  <c r="FC85" i="12"/>
  <c r="FD85" i="12"/>
  <c r="FE85" i="12"/>
  <c r="FF85" i="12"/>
  <c r="FG85" i="12"/>
  <c r="FH85" i="12"/>
  <c r="FI85" i="12"/>
  <c r="FJ85" i="12"/>
  <c r="FK85" i="12"/>
  <c r="FL85" i="12"/>
  <c r="FM85" i="12"/>
  <c r="FN85" i="12"/>
  <c r="FO85" i="12"/>
  <c r="FP85" i="12"/>
  <c r="FQ85" i="12"/>
  <c r="FR85" i="12"/>
  <c r="FS85" i="12"/>
  <c r="FT85" i="12"/>
  <c r="FU85" i="12"/>
  <c r="FV85" i="12"/>
  <c r="FW85" i="12"/>
  <c r="FX85" i="12"/>
  <c r="FY85" i="12"/>
  <c r="FZ85" i="12"/>
  <c r="GA85" i="12"/>
  <c r="GB85" i="12"/>
  <c r="GC85" i="12"/>
  <c r="GD85" i="12"/>
  <c r="GE85" i="12"/>
  <c r="GF85" i="12"/>
  <c r="GG85" i="12"/>
  <c r="GH85" i="12"/>
  <c r="GI85" i="12"/>
  <c r="GJ85" i="12"/>
  <c r="GK85" i="12"/>
  <c r="GL85" i="12"/>
  <c r="GM85" i="12"/>
  <c r="GN85" i="12"/>
  <c r="GO85" i="12"/>
  <c r="GP85" i="12"/>
  <c r="GQ85" i="12"/>
  <c r="GR85" i="12"/>
  <c r="GS85" i="12"/>
  <c r="GT85" i="12"/>
  <c r="GU85" i="12"/>
  <c r="GV85" i="12"/>
  <c r="GW85" i="12"/>
  <c r="GX85" i="12"/>
  <c r="GY85" i="12"/>
  <c r="GZ85" i="12"/>
  <c r="HA85" i="12"/>
  <c r="HB85" i="12"/>
  <c r="HC85" i="12"/>
  <c r="HD85" i="12"/>
  <c r="HE85" i="12"/>
  <c r="HF85" i="12"/>
  <c r="HG85" i="12"/>
  <c r="HH85" i="12"/>
  <c r="HI85" i="12"/>
  <c r="HJ85" i="12"/>
  <c r="HK85" i="12"/>
  <c r="HL85" i="12"/>
  <c r="HM85" i="12"/>
  <c r="HN85" i="12"/>
  <c r="HO85" i="12"/>
  <c r="HP85" i="12"/>
  <c r="HQ85" i="12"/>
  <c r="HR85" i="12"/>
  <c r="HS85" i="12"/>
  <c r="HT85" i="12"/>
  <c r="HU85" i="12"/>
  <c r="HV85" i="12"/>
  <c r="HW85" i="12"/>
  <c r="HX85" i="12"/>
  <c r="HY85" i="12"/>
  <c r="HZ85" i="12"/>
  <c r="IA85" i="12"/>
  <c r="IB85" i="12"/>
  <c r="IC85" i="12"/>
  <c r="ID85" i="12"/>
  <c r="IE85" i="12"/>
  <c r="IF85" i="12"/>
  <c r="IG85" i="12"/>
  <c r="IH85" i="12"/>
  <c r="II85" i="12"/>
  <c r="IJ85" i="12"/>
  <c r="IK85" i="12"/>
  <c r="IL85" i="12"/>
  <c r="IM85" i="12"/>
  <c r="IN85" i="12"/>
  <c r="IO85" i="12"/>
  <c r="IP85" i="12"/>
  <c r="IQ85" i="12"/>
  <c r="IR85" i="12"/>
  <c r="IS85" i="12"/>
  <c r="IT85" i="12"/>
  <c r="IU85" i="12"/>
  <c r="IV85" i="12"/>
  <c r="A84" i="12"/>
  <c r="B84" i="12"/>
  <c r="C84" i="12"/>
  <c r="D84" i="12"/>
  <c r="E84" i="12"/>
  <c r="F84" i="12"/>
  <c r="G84" i="12"/>
  <c r="H84" i="12"/>
  <c r="I84" i="12"/>
  <c r="J84" i="12"/>
  <c r="K84" i="12"/>
  <c r="L84" i="12"/>
  <c r="M84" i="12"/>
  <c r="N84" i="12"/>
  <c r="O84" i="12"/>
  <c r="P84" i="12"/>
  <c r="Q84" i="12"/>
  <c r="R84" i="12"/>
  <c r="S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BC84" i="12"/>
  <c r="BD84" i="12"/>
  <c r="BE84" i="12"/>
  <c r="BF84" i="12"/>
  <c r="BG84" i="12"/>
  <c r="BH84" i="12"/>
  <c r="BI84" i="12"/>
  <c r="BJ84" i="12"/>
  <c r="BK84" i="12"/>
  <c r="BL84" i="12"/>
  <c r="BM84" i="12"/>
  <c r="BN84" i="12"/>
  <c r="BO84" i="12"/>
  <c r="BP84" i="12"/>
  <c r="BQ84" i="12"/>
  <c r="BR84" i="12"/>
  <c r="BS84" i="12"/>
  <c r="BT84" i="12"/>
  <c r="BU84" i="12"/>
  <c r="BV84" i="12"/>
  <c r="BW84" i="12"/>
  <c r="BX84" i="12"/>
  <c r="BY84" i="12"/>
  <c r="BZ84" i="12"/>
  <c r="CA84" i="12"/>
  <c r="CB84" i="12"/>
  <c r="CC84" i="12"/>
  <c r="CD84" i="12"/>
  <c r="CE84" i="12"/>
  <c r="CF84" i="12"/>
  <c r="CG84" i="12"/>
  <c r="CH84" i="12"/>
  <c r="CI84" i="12"/>
  <c r="CJ84" i="12"/>
  <c r="CK84" i="12"/>
  <c r="CL84" i="12"/>
  <c r="CM84" i="12"/>
  <c r="CN84" i="12"/>
  <c r="CO84" i="12"/>
  <c r="CP84" i="12"/>
  <c r="CQ84" i="12"/>
  <c r="CR84" i="12"/>
  <c r="CS84" i="12"/>
  <c r="CT84" i="12"/>
  <c r="CU84" i="12"/>
  <c r="CV84" i="12"/>
  <c r="CW84" i="12"/>
  <c r="CX84" i="12"/>
  <c r="CY84" i="12"/>
  <c r="CZ84" i="12"/>
  <c r="DA84" i="12"/>
  <c r="DB84" i="12"/>
  <c r="DC84" i="12"/>
  <c r="DD84" i="12"/>
  <c r="DE84" i="12"/>
  <c r="DF84" i="12"/>
  <c r="DG84" i="12"/>
  <c r="DH84" i="12"/>
  <c r="DI84" i="12"/>
  <c r="DJ84" i="12"/>
  <c r="DK84" i="12"/>
  <c r="DL84" i="12"/>
  <c r="DM84" i="12"/>
  <c r="DN84" i="12"/>
  <c r="DO84" i="12"/>
  <c r="DP84" i="12"/>
  <c r="DQ84" i="12"/>
  <c r="DR84" i="12"/>
  <c r="DS84" i="12"/>
  <c r="DT84" i="12"/>
  <c r="DU84" i="12"/>
  <c r="DV84" i="12"/>
  <c r="DW84" i="12"/>
  <c r="DX84" i="12"/>
  <c r="DY84" i="12"/>
  <c r="DZ84" i="12"/>
  <c r="EA84" i="12"/>
  <c r="EB84" i="12"/>
  <c r="EC84" i="12"/>
  <c r="ED84" i="12"/>
  <c r="EE84" i="12"/>
  <c r="EF84" i="12"/>
  <c r="EG84" i="12"/>
  <c r="EH84" i="12"/>
  <c r="EI84" i="12"/>
  <c r="EJ84" i="12"/>
  <c r="EK84" i="12"/>
  <c r="EL84" i="12"/>
  <c r="EM84" i="12"/>
  <c r="EN84" i="12"/>
  <c r="EO84" i="12"/>
  <c r="EP84" i="12"/>
  <c r="EQ84" i="12"/>
  <c r="ER84" i="12"/>
  <c r="ES84" i="12"/>
  <c r="ET84" i="12"/>
  <c r="EU84" i="12"/>
  <c r="EV84" i="12"/>
  <c r="EW84" i="12"/>
  <c r="EX84" i="12"/>
  <c r="EY84" i="12"/>
  <c r="EZ84" i="12"/>
  <c r="FA84" i="12"/>
  <c r="FB84" i="12"/>
  <c r="FC84" i="12"/>
  <c r="FD84" i="12"/>
  <c r="FE84" i="12"/>
  <c r="FF84" i="12"/>
  <c r="FG84" i="12"/>
  <c r="FH84" i="12"/>
  <c r="FI84" i="12"/>
  <c r="FJ84" i="12"/>
  <c r="FK84" i="12"/>
  <c r="FL84" i="12"/>
  <c r="FM84" i="12"/>
  <c r="FN84" i="12"/>
  <c r="FO84" i="12"/>
  <c r="FP84" i="12"/>
  <c r="FQ84" i="12"/>
  <c r="FR84" i="12"/>
  <c r="FS84" i="12"/>
  <c r="FT84" i="12"/>
  <c r="FU84" i="12"/>
  <c r="FV84" i="12"/>
  <c r="FW84" i="12"/>
  <c r="FX84" i="12"/>
  <c r="FY84" i="12"/>
  <c r="FZ84" i="12"/>
  <c r="GA84" i="12"/>
  <c r="GB84" i="12"/>
  <c r="GC84" i="12"/>
  <c r="GD84" i="12"/>
  <c r="GE84" i="12"/>
  <c r="GF84" i="12"/>
  <c r="GG84" i="12"/>
  <c r="GH84" i="12"/>
  <c r="GI84" i="12"/>
  <c r="GJ84" i="12"/>
  <c r="GK84" i="12"/>
  <c r="GL84" i="12"/>
  <c r="GM84" i="12"/>
  <c r="GN84" i="12"/>
  <c r="GO84" i="12"/>
  <c r="GP84" i="12"/>
  <c r="GQ84" i="12"/>
  <c r="GR84" i="12"/>
  <c r="GS84" i="12"/>
  <c r="GT84" i="12"/>
  <c r="GU84" i="12"/>
  <c r="GV84" i="12"/>
  <c r="GW84" i="12"/>
  <c r="GX84" i="12"/>
  <c r="GY84" i="12"/>
  <c r="GZ84" i="12"/>
  <c r="HA84" i="12"/>
  <c r="HB84" i="12"/>
  <c r="HC84" i="12"/>
  <c r="HD84" i="12"/>
  <c r="HE84" i="12"/>
  <c r="HF84" i="12"/>
  <c r="HG84" i="12"/>
  <c r="HH84" i="12"/>
  <c r="HI84" i="12"/>
  <c r="HJ84" i="12"/>
  <c r="HK84" i="12"/>
  <c r="HL84" i="12"/>
  <c r="HM84" i="12"/>
  <c r="HN84" i="12"/>
  <c r="HO84" i="12"/>
  <c r="HP84" i="12"/>
  <c r="HQ84" i="12"/>
  <c r="HR84" i="12"/>
  <c r="HS84" i="12"/>
  <c r="HT84" i="12"/>
  <c r="HU84" i="12"/>
  <c r="HV84" i="12"/>
  <c r="HW84" i="12"/>
  <c r="HX84" i="12"/>
  <c r="HY84" i="12"/>
  <c r="HZ84" i="12"/>
  <c r="IA84" i="12"/>
  <c r="IB84" i="12"/>
  <c r="IC84" i="12"/>
  <c r="ID84" i="12"/>
  <c r="IE84" i="12"/>
  <c r="IF84" i="12"/>
  <c r="IG84" i="12"/>
  <c r="IH84" i="12"/>
  <c r="II84" i="12"/>
  <c r="IJ84" i="12"/>
  <c r="IK84" i="12"/>
  <c r="IL84" i="12"/>
  <c r="IM84" i="12"/>
  <c r="IN84" i="12"/>
  <c r="IO84" i="12"/>
  <c r="IP84" i="12"/>
  <c r="IQ84" i="12"/>
  <c r="IR84" i="12"/>
  <c r="IS84" i="12"/>
  <c r="IT84" i="12"/>
  <c r="IU84" i="12"/>
  <c r="IV84" i="12"/>
  <c r="A83" i="12"/>
  <c r="B83" i="12"/>
  <c r="C83" i="12"/>
  <c r="D83" i="12"/>
  <c r="E83" i="12"/>
  <c r="F83" i="12"/>
  <c r="G83" i="12"/>
  <c r="H83" i="12"/>
  <c r="I83" i="12"/>
  <c r="J83" i="12"/>
  <c r="K83" i="12"/>
  <c r="L83" i="12"/>
  <c r="M83" i="12"/>
  <c r="N83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BC83" i="12"/>
  <c r="BD83" i="12"/>
  <c r="BE83" i="12"/>
  <c r="BF83" i="12"/>
  <c r="BG83" i="12"/>
  <c r="BH83" i="12"/>
  <c r="BI83" i="12"/>
  <c r="BJ83" i="12"/>
  <c r="BK83" i="12"/>
  <c r="BL83" i="12"/>
  <c r="BM83" i="12"/>
  <c r="BN83" i="12"/>
  <c r="BO83" i="12"/>
  <c r="BP83" i="12"/>
  <c r="BQ83" i="12"/>
  <c r="BR83" i="12"/>
  <c r="BS83" i="12"/>
  <c r="BT83" i="12"/>
  <c r="BU83" i="12"/>
  <c r="BV83" i="12"/>
  <c r="BW83" i="12"/>
  <c r="BX83" i="12"/>
  <c r="BY83" i="12"/>
  <c r="BZ83" i="12"/>
  <c r="CA83" i="12"/>
  <c r="CB83" i="12"/>
  <c r="CC83" i="12"/>
  <c r="CD83" i="12"/>
  <c r="CE83" i="12"/>
  <c r="CF83" i="12"/>
  <c r="CG83" i="12"/>
  <c r="CH83" i="12"/>
  <c r="CI83" i="12"/>
  <c r="CJ83" i="12"/>
  <c r="CK83" i="12"/>
  <c r="CL83" i="12"/>
  <c r="CM83" i="12"/>
  <c r="CN83" i="12"/>
  <c r="CO83" i="12"/>
  <c r="CP83" i="12"/>
  <c r="CQ83" i="12"/>
  <c r="CR83" i="12"/>
  <c r="CS83" i="12"/>
  <c r="CT83" i="12"/>
  <c r="CU83" i="12"/>
  <c r="CV83" i="12"/>
  <c r="CW83" i="12"/>
  <c r="CX83" i="12"/>
  <c r="CY83" i="12"/>
  <c r="CZ83" i="12"/>
  <c r="DA83" i="12"/>
  <c r="DB83" i="12"/>
  <c r="DC83" i="12"/>
  <c r="DD83" i="12"/>
  <c r="DE83" i="12"/>
  <c r="DF83" i="12"/>
  <c r="DG83" i="12"/>
  <c r="DH83" i="12"/>
  <c r="DI83" i="12"/>
  <c r="DJ83" i="12"/>
  <c r="DK83" i="12"/>
  <c r="DL83" i="12"/>
  <c r="DM83" i="12"/>
  <c r="DN83" i="12"/>
  <c r="DO83" i="12"/>
  <c r="DP83" i="12"/>
  <c r="DQ83" i="12"/>
  <c r="DR83" i="12"/>
  <c r="DS83" i="12"/>
  <c r="DT83" i="12"/>
  <c r="DU83" i="12"/>
  <c r="DV83" i="12"/>
  <c r="DW83" i="12"/>
  <c r="DX83" i="12"/>
  <c r="DY83" i="12"/>
  <c r="DZ83" i="12"/>
  <c r="EA83" i="12"/>
  <c r="EB83" i="12"/>
  <c r="EC83" i="12"/>
  <c r="ED83" i="12"/>
  <c r="EE83" i="12"/>
  <c r="EF83" i="12"/>
  <c r="EG83" i="12"/>
  <c r="EH83" i="12"/>
  <c r="EI83" i="12"/>
  <c r="EJ83" i="12"/>
  <c r="EK83" i="12"/>
  <c r="EL83" i="12"/>
  <c r="EM83" i="12"/>
  <c r="EN83" i="12"/>
  <c r="EO83" i="12"/>
  <c r="EP83" i="12"/>
  <c r="EQ83" i="12"/>
  <c r="ER83" i="12"/>
  <c r="ES83" i="12"/>
  <c r="ET83" i="12"/>
  <c r="EU83" i="12"/>
  <c r="EV83" i="12"/>
  <c r="EW83" i="12"/>
  <c r="EX83" i="12"/>
  <c r="EY83" i="12"/>
  <c r="EZ83" i="12"/>
  <c r="FA83" i="12"/>
  <c r="FB83" i="12"/>
  <c r="FC83" i="12"/>
  <c r="FD83" i="12"/>
  <c r="FE83" i="12"/>
  <c r="FF83" i="12"/>
  <c r="FG83" i="12"/>
  <c r="FH83" i="12"/>
  <c r="FI83" i="12"/>
  <c r="FJ83" i="12"/>
  <c r="FK83" i="12"/>
  <c r="FL83" i="12"/>
  <c r="FM83" i="12"/>
  <c r="FN83" i="12"/>
  <c r="FO83" i="12"/>
  <c r="FP83" i="12"/>
  <c r="FQ83" i="12"/>
  <c r="FR83" i="12"/>
  <c r="FS83" i="12"/>
  <c r="FT83" i="12"/>
  <c r="FU83" i="12"/>
  <c r="FV83" i="12"/>
  <c r="FW83" i="12"/>
  <c r="FX83" i="12"/>
  <c r="FY83" i="12"/>
  <c r="FZ83" i="12"/>
  <c r="GA83" i="12"/>
  <c r="GB83" i="12"/>
  <c r="GC83" i="12"/>
  <c r="GD83" i="12"/>
  <c r="GE83" i="12"/>
  <c r="GF83" i="12"/>
  <c r="GG83" i="12"/>
  <c r="GH83" i="12"/>
  <c r="GI83" i="12"/>
  <c r="GJ83" i="12"/>
  <c r="GK83" i="12"/>
  <c r="GL83" i="12"/>
  <c r="GM83" i="12"/>
  <c r="GN83" i="12"/>
  <c r="GO83" i="12"/>
  <c r="GP83" i="12"/>
  <c r="GQ83" i="12"/>
  <c r="GR83" i="12"/>
  <c r="GS83" i="12"/>
  <c r="GT83" i="12"/>
  <c r="GU83" i="12"/>
  <c r="GV83" i="12"/>
  <c r="GW83" i="12"/>
  <c r="GX83" i="12"/>
  <c r="GY83" i="12"/>
  <c r="GZ83" i="12"/>
  <c r="HA83" i="12"/>
  <c r="HB83" i="12"/>
  <c r="HC83" i="12"/>
  <c r="HD83" i="12"/>
  <c r="HE83" i="12"/>
  <c r="HF83" i="12"/>
  <c r="HG83" i="12"/>
  <c r="HH83" i="12"/>
  <c r="HI83" i="12"/>
  <c r="HJ83" i="12"/>
  <c r="HK83" i="12"/>
  <c r="HL83" i="12"/>
  <c r="HM83" i="12"/>
  <c r="HN83" i="12"/>
  <c r="HO83" i="12"/>
  <c r="HP83" i="12"/>
  <c r="HQ83" i="12"/>
  <c r="HR83" i="12"/>
  <c r="HS83" i="12"/>
  <c r="HT83" i="12"/>
  <c r="HU83" i="12"/>
  <c r="HV83" i="12"/>
  <c r="HW83" i="12"/>
  <c r="HX83" i="12"/>
  <c r="HY83" i="12"/>
  <c r="HZ83" i="12"/>
  <c r="IA83" i="12"/>
  <c r="IB83" i="12"/>
  <c r="IC83" i="12"/>
  <c r="ID83" i="12"/>
  <c r="IE83" i="12"/>
  <c r="IF83" i="12"/>
  <c r="IG83" i="12"/>
  <c r="IH83" i="12"/>
  <c r="II83" i="12"/>
  <c r="IJ83" i="12"/>
  <c r="IK83" i="12"/>
  <c r="IL83" i="12"/>
  <c r="IM83" i="12"/>
  <c r="IN83" i="12"/>
  <c r="IO83" i="12"/>
  <c r="IP83" i="12"/>
  <c r="IQ83" i="12"/>
  <c r="IR83" i="12"/>
  <c r="IS83" i="12"/>
  <c r="IT83" i="12"/>
  <c r="IU83" i="12"/>
  <c r="IV83" i="12"/>
  <c r="A82" i="12"/>
  <c r="B82" i="12"/>
  <c r="C82" i="12"/>
  <c r="D82" i="12"/>
  <c r="E82" i="12"/>
  <c r="F82" i="12"/>
  <c r="H82" i="12"/>
  <c r="I82" i="12"/>
  <c r="J82" i="12"/>
  <c r="K82" i="12"/>
  <c r="L82" i="12"/>
  <c r="M82" i="12"/>
  <c r="N82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BC82" i="12"/>
  <c r="BD82" i="12"/>
  <c r="BE82" i="12"/>
  <c r="BF82" i="12"/>
  <c r="BG82" i="12"/>
  <c r="BH82" i="12"/>
  <c r="BI82" i="12"/>
  <c r="BJ82" i="12"/>
  <c r="BK82" i="12"/>
  <c r="BL82" i="12"/>
  <c r="BM82" i="12"/>
  <c r="BN82" i="12"/>
  <c r="BO82" i="12"/>
  <c r="BP82" i="12"/>
  <c r="BQ82" i="12"/>
  <c r="BR82" i="12"/>
  <c r="BS82" i="12"/>
  <c r="BT82" i="12"/>
  <c r="BU82" i="12"/>
  <c r="BV82" i="12"/>
  <c r="BW82" i="12"/>
  <c r="BX82" i="12"/>
  <c r="BY82" i="12"/>
  <c r="BZ82" i="12"/>
  <c r="CA82" i="12"/>
  <c r="CB82" i="12"/>
  <c r="CC82" i="12"/>
  <c r="CD82" i="12"/>
  <c r="CE82" i="12"/>
  <c r="CF82" i="12"/>
  <c r="CG82" i="12"/>
  <c r="CH82" i="12"/>
  <c r="CI82" i="12"/>
  <c r="CJ82" i="12"/>
  <c r="CK82" i="12"/>
  <c r="CL82" i="12"/>
  <c r="CM82" i="12"/>
  <c r="CN82" i="12"/>
  <c r="CO82" i="12"/>
  <c r="CP82" i="12"/>
  <c r="CQ82" i="12"/>
  <c r="CR82" i="12"/>
  <c r="CS82" i="12"/>
  <c r="CT82" i="12"/>
  <c r="CU82" i="12"/>
  <c r="CV82" i="12"/>
  <c r="CW82" i="12"/>
  <c r="CX82" i="12"/>
  <c r="CY82" i="12"/>
  <c r="CZ82" i="12"/>
  <c r="DA82" i="12"/>
  <c r="DB82" i="12"/>
  <c r="DC82" i="12"/>
  <c r="DD82" i="12"/>
  <c r="DE82" i="12"/>
  <c r="DF82" i="12"/>
  <c r="DG82" i="12"/>
  <c r="DH82" i="12"/>
  <c r="DI82" i="12"/>
  <c r="DJ82" i="12"/>
  <c r="DK82" i="12"/>
  <c r="DL82" i="12"/>
  <c r="DM82" i="12"/>
  <c r="DN82" i="12"/>
  <c r="DO82" i="12"/>
  <c r="DP82" i="12"/>
  <c r="DQ82" i="12"/>
  <c r="DR82" i="12"/>
  <c r="DS82" i="12"/>
  <c r="DT82" i="12"/>
  <c r="DU82" i="12"/>
  <c r="DV82" i="12"/>
  <c r="DW82" i="12"/>
  <c r="DX82" i="12"/>
  <c r="DY82" i="12"/>
  <c r="DZ82" i="12"/>
  <c r="EA82" i="12"/>
  <c r="EB82" i="12"/>
  <c r="EC82" i="12"/>
  <c r="ED82" i="12"/>
  <c r="EE82" i="12"/>
  <c r="EF82" i="12"/>
  <c r="EG82" i="12"/>
  <c r="EH82" i="12"/>
  <c r="EI82" i="12"/>
  <c r="EJ82" i="12"/>
  <c r="EK82" i="12"/>
  <c r="EL82" i="12"/>
  <c r="EM82" i="12"/>
  <c r="EN82" i="12"/>
  <c r="EO82" i="12"/>
  <c r="EP82" i="12"/>
  <c r="EQ82" i="12"/>
  <c r="ER82" i="12"/>
  <c r="ES82" i="12"/>
  <c r="ET82" i="12"/>
  <c r="EU82" i="12"/>
  <c r="EV82" i="12"/>
  <c r="EW82" i="12"/>
  <c r="EX82" i="12"/>
  <c r="EY82" i="12"/>
  <c r="EZ82" i="12"/>
  <c r="FA82" i="12"/>
  <c r="FB82" i="12"/>
  <c r="FC82" i="12"/>
  <c r="FD82" i="12"/>
  <c r="FE82" i="12"/>
  <c r="FF82" i="12"/>
  <c r="FG82" i="12"/>
  <c r="FH82" i="12"/>
  <c r="FI82" i="12"/>
  <c r="FJ82" i="12"/>
  <c r="FK82" i="12"/>
  <c r="FL82" i="12"/>
  <c r="FM82" i="12"/>
  <c r="FN82" i="12"/>
  <c r="FO82" i="12"/>
  <c r="FP82" i="12"/>
  <c r="FQ82" i="12"/>
  <c r="FR82" i="12"/>
  <c r="FS82" i="12"/>
  <c r="FT82" i="12"/>
  <c r="FU82" i="12"/>
  <c r="FV82" i="12"/>
  <c r="FW82" i="12"/>
  <c r="FX82" i="12"/>
  <c r="FY82" i="12"/>
  <c r="FZ82" i="12"/>
  <c r="GA82" i="12"/>
  <c r="GB82" i="12"/>
  <c r="GC82" i="12"/>
  <c r="GD82" i="12"/>
  <c r="GE82" i="12"/>
  <c r="GF82" i="12"/>
  <c r="GG82" i="12"/>
  <c r="GH82" i="12"/>
  <c r="GI82" i="12"/>
  <c r="GJ82" i="12"/>
  <c r="GK82" i="12"/>
  <c r="GL82" i="12"/>
  <c r="GM82" i="12"/>
  <c r="GN82" i="12"/>
  <c r="GO82" i="12"/>
  <c r="GP82" i="12"/>
  <c r="GQ82" i="12"/>
  <c r="GR82" i="12"/>
  <c r="GS82" i="12"/>
  <c r="GT82" i="12"/>
  <c r="GU82" i="12"/>
  <c r="GV82" i="12"/>
  <c r="GW82" i="12"/>
  <c r="GX82" i="12"/>
  <c r="GY82" i="12"/>
  <c r="GZ82" i="12"/>
  <c r="HA82" i="12"/>
  <c r="HB82" i="12"/>
  <c r="HC82" i="12"/>
  <c r="HD82" i="12"/>
  <c r="HE82" i="12"/>
  <c r="HF82" i="12"/>
  <c r="HG82" i="12"/>
  <c r="HH82" i="12"/>
  <c r="HI82" i="12"/>
  <c r="HJ82" i="12"/>
  <c r="HK82" i="12"/>
  <c r="HL82" i="12"/>
  <c r="HM82" i="12"/>
  <c r="HN82" i="12"/>
  <c r="HO82" i="12"/>
  <c r="HP82" i="12"/>
  <c r="HQ82" i="12"/>
  <c r="HR82" i="12"/>
  <c r="HS82" i="12"/>
  <c r="HT82" i="12"/>
  <c r="HU82" i="12"/>
  <c r="HV82" i="12"/>
  <c r="HW82" i="12"/>
  <c r="HX82" i="12"/>
  <c r="HY82" i="12"/>
  <c r="HZ82" i="12"/>
  <c r="IA82" i="12"/>
  <c r="IB82" i="12"/>
  <c r="IC82" i="12"/>
  <c r="ID82" i="12"/>
  <c r="IE82" i="12"/>
  <c r="IF82" i="12"/>
  <c r="IG82" i="12"/>
  <c r="IH82" i="12"/>
  <c r="II82" i="12"/>
  <c r="IJ82" i="12"/>
  <c r="IK82" i="12"/>
  <c r="IL82" i="12"/>
  <c r="IM82" i="12"/>
  <c r="IN82" i="12"/>
  <c r="IO82" i="12"/>
  <c r="IP82" i="12"/>
  <c r="IQ82" i="12"/>
  <c r="IR82" i="12"/>
  <c r="IS82" i="12"/>
  <c r="IT82" i="12"/>
  <c r="IU82" i="12"/>
  <c r="IV82" i="12"/>
  <c r="A81" i="12"/>
  <c r="B81" i="12"/>
  <c r="C81" i="12"/>
  <c r="D81" i="12"/>
  <c r="E81" i="12"/>
  <c r="F81" i="12"/>
  <c r="G81" i="12"/>
  <c r="H81" i="12"/>
  <c r="I81" i="12"/>
  <c r="J81" i="12"/>
  <c r="K81" i="12"/>
  <c r="L81" i="12"/>
  <c r="M81" i="12"/>
  <c r="N81" i="12"/>
  <c r="O81" i="12"/>
  <c r="P81" i="12"/>
  <c r="Q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BC81" i="12"/>
  <c r="BD81" i="12"/>
  <c r="BE81" i="12"/>
  <c r="BF81" i="12"/>
  <c r="BG81" i="12"/>
  <c r="BH81" i="12"/>
  <c r="BI81" i="12"/>
  <c r="BJ81" i="12"/>
  <c r="BK81" i="12"/>
  <c r="BL81" i="12"/>
  <c r="BM81" i="12"/>
  <c r="BN81" i="12"/>
  <c r="BO81" i="12"/>
  <c r="BP81" i="12"/>
  <c r="BQ81" i="12"/>
  <c r="BR81" i="12"/>
  <c r="BS81" i="12"/>
  <c r="BT81" i="12"/>
  <c r="BU81" i="12"/>
  <c r="BV81" i="12"/>
  <c r="BW81" i="12"/>
  <c r="BX81" i="12"/>
  <c r="BY81" i="12"/>
  <c r="BZ81" i="12"/>
  <c r="CA81" i="12"/>
  <c r="CB81" i="12"/>
  <c r="CC81" i="12"/>
  <c r="CD81" i="12"/>
  <c r="CE81" i="12"/>
  <c r="CF81" i="12"/>
  <c r="CG81" i="12"/>
  <c r="CH81" i="12"/>
  <c r="CI81" i="12"/>
  <c r="CJ81" i="12"/>
  <c r="CK81" i="12"/>
  <c r="CL81" i="12"/>
  <c r="CM81" i="12"/>
  <c r="CN81" i="12"/>
  <c r="CO81" i="12"/>
  <c r="CP81" i="12"/>
  <c r="CQ81" i="12"/>
  <c r="CR81" i="12"/>
  <c r="CS81" i="12"/>
  <c r="CT81" i="12"/>
  <c r="CU81" i="12"/>
  <c r="CV81" i="12"/>
  <c r="CW81" i="12"/>
  <c r="CX81" i="12"/>
  <c r="CY81" i="12"/>
  <c r="CZ81" i="12"/>
  <c r="DA81" i="12"/>
  <c r="DB81" i="12"/>
  <c r="DC81" i="12"/>
  <c r="DD81" i="12"/>
  <c r="DE81" i="12"/>
  <c r="DF81" i="12"/>
  <c r="DG81" i="12"/>
  <c r="DH81" i="12"/>
  <c r="DI81" i="12"/>
  <c r="DJ81" i="12"/>
  <c r="DK81" i="12"/>
  <c r="DL81" i="12"/>
  <c r="DM81" i="12"/>
  <c r="DN81" i="12"/>
  <c r="DO81" i="12"/>
  <c r="DP81" i="12"/>
  <c r="DQ81" i="12"/>
  <c r="DR81" i="12"/>
  <c r="DS81" i="12"/>
  <c r="DT81" i="12"/>
  <c r="DU81" i="12"/>
  <c r="DV81" i="12"/>
  <c r="DW81" i="12"/>
  <c r="DX81" i="12"/>
  <c r="DY81" i="12"/>
  <c r="DZ81" i="12"/>
  <c r="EA81" i="12"/>
  <c r="EB81" i="12"/>
  <c r="EC81" i="12"/>
  <c r="ED81" i="12"/>
  <c r="EE81" i="12"/>
  <c r="EF81" i="12"/>
  <c r="EG81" i="12"/>
  <c r="EH81" i="12"/>
  <c r="EI81" i="12"/>
  <c r="EJ81" i="12"/>
  <c r="EK81" i="12"/>
  <c r="EL81" i="12"/>
  <c r="EM81" i="12"/>
  <c r="EN81" i="12"/>
  <c r="EO81" i="12"/>
  <c r="EP81" i="12"/>
  <c r="EQ81" i="12"/>
  <c r="ER81" i="12"/>
  <c r="ES81" i="12"/>
  <c r="ET81" i="12"/>
  <c r="EU81" i="12"/>
  <c r="EV81" i="12"/>
  <c r="EW81" i="12"/>
  <c r="EX81" i="12"/>
  <c r="EY81" i="12"/>
  <c r="EZ81" i="12"/>
  <c r="FA81" i="12"/>
  <c r="FB81" i="12"/>
  <c r="FC81" i="12"/>
  <c r="FD81" i="12"/>
  <c r="FE81" i="12"/>
  <c r="FF81" i="12"/>
  <c r="FG81" i="12"/>
  <c r="FH81" i="12"/>
  <c r="FI81" i="12"/>
  <c r="FJ81" i="12"/>
  <c r="FK81" i="12"/>
  <c r="FL81" i="12"/>
  <c r="FM81" i="12"/>
  <c r="FN81" i="12"/>
  <c r="FO81" i="12"/>
  <c r="FP81" i="12"/>
  <c r="FQ81" i="12"/>
  <c r="FR81" i="12"/>
  <c r="FS81" i="12"/>
  <c r="FT81" i="12"/>
  <c r="FU81" i="12"/>
  <c r="FV81" i="12"/>
  <c r="FW81" i="12"/>
  <c r="FX81" i="12"/>
  <c r="FY81" i="12"/>
  <c r="FZ81" i="12"/>
  <c r="GA81" i="12"/>
  <c r="GB81" i="12"/>
  <c r="GC81" i="12"/>
  <c r="GD81" i="12"/>
  <c r="GE81" i="12"/>
  <c r="GF81" i="12"/>
  <c r="GG81" i="12"/>
  <c r="GH81" i="12"/>
  <c r="GI81" i="12"/>
  <c r="GJ81" i="12"/>
  <c r="GK81" i="12"/>
  <c r="GL81" i="12"/>
  <c r="GM81" i="12"/>
  <c r="GN81" i="12"/>
  <c r="GO81" i="12"/>
  <c r="GP81" i="12"/>
  <c r="GQ81" i="12"/>
  <c r="GR81" i="12"/>
  <c r="GS81" i="12"/>
  <c r="GT81" i="12"/>
  <c r="GU81" i="12"/>
  <c r="GV81" i="12"/>
  <c r="GW81" i="12"/>
  <c r="GX81" i="12"/>
  <c r="GY81" i="12"/>
  <c r="GZ81" i="12"/>
  <c r="HA81" i="12"/>
  <c r="HB81" i="12"/>
  <c r="HC81" i="12"/>
  <c r="HD81" i="12"/>
  <c r="HE81" i="12"/>
  <c r="HF81" i="12"/>
  <c r="HG81" i="12"/>
  <c r="HH81" i="12"/>
  <c r="HI81" i="12"/>
  <c r="HJ81" i="12"/>
  <c r="HK81" i="12"/>
  <c r="HL81" i="12"/>
  <c r="HM81" i="12"/>
  <c r="HN81" i="12"/>
  <c r="HO81" i="12"/>
  <c r="HP81" i="12"/>
  <c r="HQ81" i="12"/>
  <c r="HR81" i="12"/>
  <c r="HS81" i="12"/>
  <c r="HT81" i="12"/>
  <c r="HU81" i="12"/>
  <c r="HV81" i="12"/>
  <c r="HW81" i="12"/>
  <c r="HX81" i="12"/>
  <c r="HY81" i="12"/>
  <c r="HZ81" i="12"/>
  <c r="IA81" i="12"/>
  <c r="IB81" i="12"/>
  <c r="IC81" i="12"/>
  <c r="ID81" i="12"/>
  <c r="IE81" i="12"/>
  <c r="IF81" i="12"/>
  <c r="IG81" i="12"/>
  <c r="IH81" i="12"/>
  <c r="II81" i="12"/>
  <c r="IJ81" i="12"/>
  <c r="IK81" i="12"/>
  <c r="IL81" i="12"/>
  <c r="IM81" i="12"/>
  <c r="IN81" i="12"/>
  <c r="IO81" i="12"/>
  <c r="IP81" i="12"/>
  <c r="IQ81" i="12"/>
  <c r="IR81" i="12"/>
  <c r="IS81" i="12"/>
  <c r="IT81" i="12"/>
  <c r="IU81" i="12"/>
  <c r="IV81" i="12"/>
  <c r="A80" i="12"/>
  <c r="B80" i="12"/>
  <c r="C80" i="12"/>
  <c r="D80" i="12"/>
  <c r="E80" i="12"/>
  <c r="F80" i="12"/>
  <c r="G80" i="12"/>
  <c r="H80" i="12"/>
  <c r="I80" i="12"/>
  <c r="J80" i="12"/>
  <c r="K80" i="12"/>
  <c r="L80" i="12"/>
  <c r="M80" i="12"/>
  <c r="N80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BC80" i="12"/>
  <c r="BD80" i="12"/>
  <c r="BE80" i="12"/>
  <c r="BF80" i="12"/>
  <c r="BG80" i="12"/>
  <c r="BH80" i="12"/>
  <c r="BI80" i="12"/>
  <c r="BJ80" i="12"/>
  <c r="BK80" i="12"/>
  <c r="BL80" i="12"/>
  <c r="BM80" i="12"/>
  <c r="BN80" i="12"/>
  <c r="BO80" i="12"/>
  <c r="BP80" i="12"/>
  <c r="BQ80" i="12"/>
  <c r="BR80" i="12"/>
  <c r="BS80" i="12"/>
  <c r="BT80" i="12"/>
  <c r="BU80" i="12"/>
  <c r="BV80" i="12"/>
  <c r="BW80" i="12"/>
  <c r="BX80" i="12"/>
  <c r="BY80" i="12"/>
  <c r="BZ80" i="12"/>
  <c r="CA80" i="12"/>
  <c r="CB80" i="12"/>
  <c r="CC80" i="12"/>
  <c r="CD80" i="12"/>
  <c r="CE80" i="12"/>
  <c r="CF80" i="12"/>
  <c r="CG80" i="12"/>
  <c r="CH80" i="12"/>
  <c r="CI80" i="12"/>
  <c r="CJ80" i="12"/>
  <c r="CK80" i="12"/>
  <c r="CL80" i="12"/>
  <c r="CM80" i="12"/>
  <c r="CN80" i="12"/>
  <c r="CO80" i="12"/>
  <c r="CP80" i="12"/>
  <c r="CQ80" i="12"/>
  <c r="CR80" i="12"/>
  <c r="CS80" i="12"/>
  <c r="CT80" i="12"/>
  <c r="CU80" i="12"/>
  <c r="CV80" i="12"/>
  <c r="CW80" i="12"/>
  <c r="CX80" i="12"/>
  <c r="CY80" i="12"/>
  <c r="CZ80" i="12"/>
  <c r="DA80" i="12"/>
  <c r="DB80" i="12"/>
  <c r="DC80" i="12"/>
  <c r="DD80" i="12"/>
  <c r="DE80" i="12"/>
  <c r="DF80" i="12"/>
  <c r="DG80" i="12"/>
  <c r="DH80" i="12"/>
  <c r="DI80" i="12"/>
  <c r="DJ80" i="12"/>
  <c r="DK80" i="12"/>
  <c r="DL80" i="12"/>
  <c r="DM80" i="12"/>
  <c r="DN80" i="12"/>
  <c r="DO80" i="12"/>
  <c r="DP80" i="12"/>
  <c r="DQ80" i="12"/>
  <c r="DR80" i="12"/>
  <c r="DS80" i="12"/>
  <c r="DT80" i="12"/>
  <c r="DU80" i="12"/>
  <c r="DV80" i="12"/>
  <c r="DW80" i="12"/>
  <c r="DX80" i="12"/>
  <c r="DY80" i="12"/>
  <c r="DZ80" i="12"/>
  <c r="EA80" i="12"/>
  <c r="EB80" i="12"/>
  <c r="EC80" i="12"/>
  <c r="ED80" i="12"/>
  <c r="EE80" i="12"/>
  <c r="EF80" i="12"/>
  <c r="EG80" i="12"/>
  <c r="EH80" i="12"/>
  <c r="EI80" i="12"/>
  <c r="EJ80" i="12"/>
  <c r="EK80" i="12"/>
  <c r="EL80" i="12"/>
  <c r="EM80" i="12"/>
  <c r="EN80" i="12"/>
  <c r="EO80" i="12"/>
  <c r="EP80" i="12"/>
  <c r="EQ80" i="12"/>
  <c r="ER80" i="12"/>
  <c r="ES80" i="12"/>
  <c r="ET80" i="12"/>
  <c r="EU80" i="12"/>
  <c r="EV80" i="12"/>
  <c r="EW80" i="12"/>
  <c r="EX80" i="12"/>
  <c r="EY80" i="12"/>
  <c r="EZ80" i="12"/>
  <c r="FA80" i="12"/>
  <c r="FB80" i="12"/>
  <c r="FC80" i="12"/>
  <c r="FD80" i="12"/>
  <c r="FE80" i="12"/>
  <c r="FF80" i="12"/>
  <c r="FG80" i="12"/>
  <c r="FH80" i="12"/>
  <c r="FI80" i="12"/>
  <c r="FJ80" i="12"/>
  <c r="FK80" i="12"/>
  <c r="FL80" i="12"/>
  <c r="FM80" i="12"/>
  <c r="FN80" i="12"/>
  <c r="FO80" i="12"/>
  <c r="FP80" i="12"/>
  <c r="FQ80" i="12"/>
  <c r="FR80" i="12"/>
  <c r="FS80" i="12"/>
  <c r="FT80" i="12"/>
  <c r="FU80" i="12"/>
  <c r="FV80" i="12"/>
  <c r="FW80" i="12"/>
  <c r="FX80" i="12"/>
  <c r="FY80" i="12"/>
  <c r="FZ80" i="12"/>
  <c r="GA80" i="12"/>
  <c r="GB80" i="12"/>
  <c r="GC80" i="12"/>
  <c r="GD80" i="12"/>
  <c r="GE80" i="12"/>
  <c r="GF80" i="12"/>
  <c r="GG80" i="12"/>
  <c r="GH80" i="12"/>
  <c r="GI80" i="12"/>
  <c r="GJ80" i="12"/>
  <c r="GK80" i="12"/>
  <c r="GL80" i="12"/>
  <c r="GM80" i="12"/>
  <c r="GN80" i="12"/>
  <c r="GO80" i="12"/>
  <c r="GP80" i="12"/>
  <c r="GQ80" i="12"/>
  <c r="GR80" i="12"/>
  <c r="GS80" i="12"/>
  <c r="GT80" i="12"/>
  <c r="GU80" i="12"/>
  <c r="GV80" i="12"/>
  <c r="GW80" i="12"/>
  <c r="GX80" i="12"/>
  <c r="GY80" i="12"/>
  <c r="GZ80" i="12"/>
  <c r="HA80" i="12"/>
  <c r="HB80" i="12"/>
  <c r="HC80" i="12"/>
  <c r="HD80" i="12"/>
  <c r="HE80" i="12"/>
  <c r="HF80" i="12"/>
  <c r="HG80" i="12"/>
  <c r="HH80" i="12"/>
  <c r="HI80" i="12"/>
  <c r="HJ80" i="12"/>
  <c r="HK80" i="12"/>
  <c r="HL80" i="12"/>
  <c r="HM80" i="12"/>
  <c r="HN80" i="12"/>
  <c r="HO80" i="12"/>
  <c r="HP80" i="12"/>
  <c r="HQ80" i="12"/>
  <c r="HR80" i="12"/>
  <c r="HS80" i="12"/>
  <c r="HT80" i="12"/>
  <c r="HU80" i="12"/>
  <c r="HV80" i="12"/>
  <c r="HW80" i="12"/>
  <c r="HX80" i="12"/>
  <c r="HY80" i="12"/>
  <c r="HZ80" i="12"/>
  <c r="IA80" i="12"/>
  <c r="IB80" i="12"/>
  <c r="IC80" i="12"/>
  <c r="ID80" i="12"/>
  <c r="IE80" i="12"/>
  <c r="IF80" i="12"/>
  <c r="IG80" i="12"/>
  <c r="IH80" i="12"/>
  <c r="II80" i="12"/>
  <c r="IJ80" i="12"/>
  <c r="IK80" i="12"/>
  <c r="IL80" i="12"/>
  <c r="IM80" i="12"/>
  <c r="IN80" i="12"/>
  <c r="IO80" i="12"/>
  <c r="IP80" i="12"/>
  <c r="IQ80" i="12"/>
  <c r="IR80" i="12"/>
  <c r="IS80" i="12"/>
  <c r="IT80" i="12"/>
  <c r="IU80" i="12"/>
  <c r="IV80" i="12"/>
  <c r="A79" i="12"/>
  <c r="B79" i="12"/>
  <c r="C79" i="12"/>
  <c r="D79" i="12"/>
  <c r="F79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BS79" i="12"/>
  <c r="BT79" i="12"/>
  <c r="BU79" i="12"/>
  <c r="BV79" i="12"/>
  <c r="BW79" i="12"/>
  <c r="BX79" i="12"/>
  <c r="BY79" i="12"/>
  <c r="BZ79" i="12"/>
  <c r="CA79" i="12"/>
  <c r="CB79" i="12"/>
  <c r="CC79" i="12"/>
  <c r="CD79" i="12"/>
  <c r="CE79" i="12"/>
  <c r="CF79" i="12"/>
  <c r="CG79" i="12"/>
  <c r="CH79" i="12"/>
  <c r="CI79" i="12"/>
  <c r="CJ79" i="12"/>
  <c r="CK79" i="12"/>
  <c r="CL79" i="12"/>
  <c r="CM79" i="12"/>
  <c r="CN79" i="12"/>
  <c r="CO79" i="12"/>
  <c r="CP79" i="12"/>
  <c r="CQ79" i="12"/>
  <c r="CR79" i="12"/>
  <c r="CS79" i="12"/>
  <c r="CT79" i="12"/>
  <c r="CU79" i="12"/>
  <c r="CV79" i="12"/>
  <c r="CW79" i="12"/>
  <c r="CX79" i="12"/>
  <c r="CY79" i="12"/>
  <c r="CZ79" i="12"/>
  <c r="DA79" i="12"/>
  <c r="DB79" i="12"/>
  <c r="DC79" i="12"/>
  <c r="DD79" i="12"/>
  <c r="DE79" i="12"/>
  <c r="DF79" i="12"/>
  <c r="DG79" i="12"/>
  <c r="DH79" i="12"/>
  <c r="DI79" i="12"/>
  <c r="DJ79" i="12"/>
  <c r="DK79" i="12"/>
  <c r="DL79" i="12"/>
  <c r="DM79" i="12"/>
  <c r="DN79" i="12"/>
  <c r="DO79" i="12"/>
  <c r="DP79" i="12"/>
  <c r="DQ79" i="12"/>
  <c r="DR79" i="12"/>
  <c r="DS79" i="12"/>
  <c r="DT79" i="12"/>
  <c r="DU79" i="12"/>
  <c r="DV79" i="12"/>
  <c r="DW79" i="12"/>
  <c r="DX79" i="12"/>
  <c r="DY79" i="12"/>
  <c r="DZ79" i="12"/>
  <c r="EA79" i="12"/>
  <c r="EB79" i="12"/>
  <c r="EC79" i="12"/>
  <c r="ED79" i="12"/>
  <c r="EE79" i="12"/>
  <c r="EF79" i="12"/>
  <c r="EG79" i="12"/>
  <c r="EH79" i="12"/>
  <c r="EI79" i="12"/>
  <c r="EJ79" i="12"/>
  <c r="EK79" i="12"/>
  <c r="EL79" i="12"/>
  <c r="EM79" i="12"/>
  <c r="EN79" i="12"/>
  <c r="EO79" i="12"/>
  <c r="EP79" i="12"/>
  <c r="EQ79" i="12"/>
  <c r="ER79" i="12"/>
  <c r="ES79" i="12"/>
  <c r="ET79" i="12"/>
  <c r="EU79" i="12"/>
  <c r="EV79" i="12"/>
  <c r="EW79" i="12"/>
  <c r="EX79" i="12"/>
  <c r="EY79" i="12"/>
  <c r="EZ79" i="12"/>
  <c r="FA79" i="12"/>
  <c r="FB79" i="12"/>
  <c r="FC79" i="12"/>
  <c r="FD79" i="12"/>
  <c r="FE79" i="12"/>
  <c r="FF79" i="12"/>
  <c r="FG79" i="12"/>
  <c r="FH79" i="12"/>
  <c r="FI79" i="12"/>
  <c r="FJ79" i="12"/>
  <c r="FK79" i="12"/>
  <c r="FL79" i="12"/>
  <c r="FM79" i="12"/>
  <c r="FN79" i="12"/>
  <c r="FO79" i="12"/>
  <c r="FP79" i="12"/>
  <c r="FQ79" i="12"/>
  <c r="FR79" i="12"/>
  <c r="FS79" i="12"/>
  <c r="FT79" i="12"/>
  <c r="FU79" i="12"/>
  <c r="FV79" i="12"/>
  <c r="FW79" i="12"/>
  <c r="FX79" i="12"/>
  <c r="FY79" i="12"/>
  <c r="FZ79" i="12"/>
  <c r="GA79" i="12"/>
  <c r="GB79" i="12"/>
  <c r="GC79" i="12"/>
  <c r="GD79" i="12"/>
  <c r="GE79" i="12"/>
  <c r="GF79" i="12"/>
  <c r="GG79" i="12"/>
  <c r="GH79" i="12"/>
  <c r="GI79" i="12"/>
  <c r="GJ79" i="12"/>
  <c r="GK79" i="12"/>
  <c r="GL79" i="12"/>
  <c r="GM79" i="12"/>
  <c r="GN79" i="12"/>
  <c r="GO79" i="12"/>
  <c r="GP79" i="12"/>
  <c r="GQ79" i="12"/>
  <c r="GR79" i="12"/>
  <c r="GS79" i="12"/>
  <c r="GT79" i="12"/>
  <c r="GU79" i="12"/>
  <c r="GV79" i="12"/>
  <c r="GW79" i="12"/>
  <c r="GX79" i="12"/>
  <c r="GY79" i="12"/>
  <c r="GZ79" i="12"/>
  <c r="HA79" i="12"/>
  <c r="HB79" i="12"/>
  <c r="HC79" i="12"/>
  <c r="HD79" i="12"/>
  <c r="HE79" i="12"/>
  <c r="HF79" i="12"/>
  <c r="HG79" i="12"/>
  <c r="HH79" i="12"/>
  <c r="HI79" i="12"/>
  <c r="HJ79" i="12"/>
  <c r="HK79" i="12"/>
  <c r="HL79" i="12"/>
  <c r="HM79" i="12"/>
  <c r="HN79" i="12"/>
  <c r="HO79" i="12"/>
  <c r="HP79" i="12"/>
  <c r="HQ79" i="12"/>
  <c r="HR79" i="12"/>
  <c r="HS79" i="12"/>
  <c r="HT79" i="12"/>
  <c r="HU79" i="12"/>
  <c r="HV79" i="12"/>
  <c r="HW79" i="12"/>
  <c r="HX79" i="12"/>
  <c r="HY79" i="12"/>
  <c r="HZ79" i="12"/>
  <c r="IA79" i="12"/>
  <c r="IB79" i="12"/>
  <c r="IC79" i="12"/>
  <c r="ID79" i="12"/>
  <c r="IE79" i="12"/>
  <c r="IF79" i="12"/>
  <c r="IG79" i="12"/>
  <c r="IH79" i="12"/>
  <c r="II79" i="12"/>
  <c r="IJ79" i="12"/>
  <c r="IK79" i="12"/>
  <c r="IL79" i="12"/>
  <c r="IM79" i="12"/>
  <c r="IN79" i="12"/>
  <c r="IO79" i="12"/>
  <c r="IP79" i="12"/>
  <c r="IQ79" i="12"/>
  <c r="IR79" i="12"/>
  <c r="IS79" i="12"/>
  <c r="IT79" i="12"/>
  <c r="IU79" i="12"/>
  <c r="IV79" i="12"/>
  <c r="A78" i="12"/>
  <c r="B78" i="12"/>
  <c r="C78" i="12"/>
  <c r="D78" i="12"/>
  <c r="E78" i="12"/>
  <c r="F78" i="12"/>
  <c r="G78" i="12"/>
  <c r="H78" i="12"/>
  <c r="I78" i="12"/>
  <c r="J78" i="12"/>
  <c r="K78" i="12"/>
  <c r="L78" i="12"/>
  <c r="M78" i="12"/>
  <c r="N78" i="12"/>
  <c r="O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BC78" i="12"/>
  <c r="BD78" i="12"/>
  <c r="BE78" i="12"/>
  <c r="BF78" i="12"/>
  <c r="BG78" i="12"/>
  <c r="BH78" i="12"/>
  <c r="BI78" i="12"/>
  <c r="BJ78" i="12"/>
  <c r="BK78" i="12"/>
  <c r="BL78" i="12"/>
  <c r="BM78" i="12"/>
  <c r="BN78" i="12"/>
  <c r="BO78" i="12"/>
  <c r="BP78" i="12"/>
  <c r="BQ78" i="12"/>
  <c r="BR78" i="12"/>
  <c r="BS78" i="12"/>
  <c r="BT78" i="12"/>
  <c r="BU78" i="12"/>
  <c r="BV78" i="12"/>
  <c r="BW78" i="12"/>
  <c r="BX78" i="12"/>
  <c r="BY78" i="12"/>
  <c r="BZ78" i="12"/>
  <c r="CA78" i="12"/>
  <c r="CB78" i="12"/>
  <c r="CC78" i="12"/>
  <c r="CD78" i="12"/>
  <c r="CE78" i="12"/>
  <c r="CF78" i="12"/>
  <c r="CG78" i="12"/>
  <c r="CH78" i="12"/>
  <c r="CI78" i="12"/>
  <c r="CJ78" i="12"/>
  <c r="CK78" i="12"/>
  <c r="CL78" i="12"/>
  <c r="CM78" i="12"/>
  <c r="CN78" i="12"/>
  <c r="CO78" i="12"/>
  <c r="CP78" i="12"/>
  <c r="CQ78" i="12"/>
  <c r="CR78" i="12"/>
  <c r="CS78" i="12"/>
  <c r="CT78" i="12"/>
  <c r="CU78" i="12"/>
  <c r="CV78" i="12"/>
  <c r="CW78" i="12"/>
  <c r="CX78" i="12"/>
  <c r="CY78" i="12"/>
  <c r="CZ78" i="12"/>
  <c r="DA78" i="12"/>
  <c r="DB78" i="12"/>
  <c r="DC78" i="12"/>
  <c r="DD78" i="12"/>
  <c r="DE78" i="12"/>
  <c r="DF78" i="12"/>
  <c r="DG78" i="12"/>
  <c r="DH78" i="12"/>
  <c r="DI78" i="12"/>
  <c r="DJ78" i="12"/>
  <c r="DK78" i="12"/>
  <c r="DL78" i="12"/>
  <c r="DM78" i="12"/>
  <c r="DN78" i="12"/>
  <c r="DO78" i="12"/>
  <c r="DP78" i="12"/>
  <c r="DQ78" i="12"/>
  <c r="DR78" i="12"/>
  <c r="DS78" i="12"/>
  <c r="DT78" i="12"/>
  <c r="DU78" i="12"/>
  <c r="DV78" i="12"/>
  <c r="DW78" i="12"/>
  <c r="DX78" i="12"/>
  <c r="DY78" i="12"/>
  <c r="DZ78" i="12"/>
  <c r="EA78" i="12"/>
  <c r="EB78" i="12"/>
  <c r="EC78" i="12"/>
  <c r="ED78" i="12"/>
  <c r="EE78" i="12"/>
  <c r="EF78" i="12"/>
  <c r="EG78" i="12"/>
  <c r="EH78" i="12"/>
  <c r="EI78" i="12"/>
  <c r="EJ78" i="12"/>
  <c r="EK78" i="12"/>
  <c r="EL78" i="12"/>
  <c r="EM78" i="12"/>
  <c r="EN78" i="12"/>
  <c r="EO78" i="12"/>
  <c r="EP78" i="12"/>
  <c r="EQ78" i="12"/>
  <c r="ER78" i="12"/>
  <c r="ES78" i="12"/>
  <c r="ET78" i="12"/>
  <c r="EU78" i="12"/>
  <c r="EV78" i="12"/>
  <c r="EW78" i="12"/>
  <c r="EX78" i="12"/>
  <c r="EY78" i="12"/>
  <c r="EZ78" i="12"/>
  <c r="FA78" i="12"/>
  <c r="FB78" i="12"/>
  <c r="FC78" i="12"/>
  <c r="FD78" i="12"/>
  <c r="FE78" i="12"/>
  <c r="FF78" i="12"/>
  <c r="FG78" i="12"/>
  <c r="FH78" i="12"/>
  <c r="FI78" i="12"/>
  <c r="FJ78" i="12"/>
  <c r="FK78" i="12"/>
  <c r="FL78" i="12"/>
  <c r="FM78" i="12"/>
  <c r="FN78" i="12"/>
  <c r="FO78" i="12"/>
  <c r="FP78" i="12"/>
  <c r="FQ78" i="12"/>
  <c r="FR78" i="12"/>
  <c r="FS78" i="12"/>
  <c r="FT78" i="12"/>
  <c r="FU78" i="12"/>
  <c r="FV78" i="12"/>
  <c r="FW78" i="12"/>
  <c r="FX78" i="12"/>
  <c r="FY78" i="12"/>
  <c r="FZ78" i="12"/>
  <c r="GA78" i="12"/>
  <c r="GB78" i="12"/>
  <c r="GC78" i="12"/>
  <c r="GD78" i="12"/>
  <c r="GE78" i="12"/>
  <c r="GF78" i="12"/>
  <c r="GG78" i="12"/>
  <c r="GH78" i="12"/>
  <c r="GI78" i="12"/>
  <c r="GJ78" i="12"/>
  <c r="GK78" i="12"/>
  <c r="GL78" i="12"/>
  <c r="GM78" i="12"/>
  <c r="GN78" i="12"/>
  <c r="GO78" i="12"/>
  <c r="GP78" i="12"/>
  <c r="GQ78" i="12"/>
  <c r="GR78" i="12"/>
  <c r="GS78" i="12"/>
  <c r="GT78" i="12"/>
  <c r="GU78" i="12"/>
  <c r="GV78" i="12"/>
  <c r="GW78" i="12"/>
  <c r="GX78" i="12"/>
  <c r="GY78" i="12"/>
  <c r="GZ78" i="12"/>
  <c r="HA78" i="12"/>
  <c r="HB78" i="12"/>
  <c r="HC78" i="12"/>
  <c r="HD78" i="12"/>
  <c r="HE78" i="12"/>
  <c r="HF78" i="12"/>
  <c r="HG78" i="12"/>
  <c r="HH78" i="12"/>
  <c r="HI78" i="12"/>
  <c r="HJ78" i="12"/>
  <c r="HK78" i="12"/>
  <c r="HL78" i="12"/>
  <c r="HM78" i="12"/>
  <c r="HN78" i="12"/>
  <c r="HO78" i="12"/>
  <c r="HP78" i="12"/>
  <c r="HQ78" i="12"/>
  <c r="HR78" i="12"/>
  <c r="HS78" i="12"/>
  <c r="HT78" i="12"/>
  <c r="HU78" i="12"/>
  <c r="HV78" i="12"/>
  <c r="HW78" i="12"/>
  <c r="HX78" i="12"/>
  <c r="HY78" i="12"/>
  <c r="HZ78" i="12"/>
  <c r="IA78" i="12"/>
  <c r="IB78" i="12"/>
  <c r="IC78" i="12"/>
  <c r="ID78" i="12"/>
  <c r="IE78" i="12"/>
  <c r="IF78" i="12"/>
  <c r="IG78" i="12"/>
  <c r="IH78" i="12"/>
  <c r="II78" i="12"/>
  <c r="IJ78" i="12"/>
  <c r="IK78" i="12"/>
  <c r="IL78" i="12"/>
  <c r="IM78" i="12"/>
  <c r="IN78" i="12"/>
  <c r="IO78" i="12"/>
  <c r="IP78" i="12"/>
  <c r="IQ78" i="12"/>
  <c r="IR78" i="12"/>
  <c r="IS78" i="12"/>
  <c r="IT78" i="12"/>
  <c r="IU78" i="12"/>
  <c r="IV78" i="12"/>
  <c r="A77" i="12"/>
  <c r="B77" i="12"/>
  <c r="C77" i="12"/>
  <c r="D77" i="12"/>
  <c r="E77" i="12"/>
  <c r="F77" i="12"/>
  <c r="G77" i="12"/>
  <c r="H77" i="12"/>
  <c r="I77" i="12"/>
  <c r="J77" i="12"/>
  <c r="K77" i="12"/>
  <c r="L77" i="12"/>
  <c r="M77" i="12"/>
  <c r="N77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BC77" i="12"/>
  <c r="BD77" i="12"/>
  <c r="BE77" i="12"/>
  <c r="BF77" i="12"/>
  <c r="BG77" i="12"/>
  <c r="BH77" i="12"/>
  <c r="BI77" i="12"/>
  <c r="BJ77" i="12"/>
  <c r="BK77" i="12"/>
  <c r="BL77" i="12"/>
  <c r="BM77" i="12"/>
  <c r="BN77" i="12"/>
  <c r="BO77" i="12"/>
  <c r="BP77" i="12"/>
  <c r="BQ77" i="12"/>
  <c r="BR77" i="12"/>
  <c r="BS77" i="12"/>
  <c r="BT77" i="12"/>
  <c r="BU77" i="12"/>
  <c r="BV77" i="12"/>
  <c r="BW77" i="12"/>
  <c r="BX77" i="12"/>
  <c r="BY77" i="12"/>
  <c r="BZ77" i="12"/>
  <c r="CA77" i="12"/>
  <c r="CB77" i="12"/>
  <c r="CC77" i="12"/>
  <c r="CD77" i="12"/>
  <c r="CE77" i="12"/>
  <c r="CF77" i="12"/>
  <c r="CG77" i="12"/>
  <c r="CH77" i="12"/>
  <c r="CI77" i="12"/>
  <c r="CJ77" i="12"/>
  <c r="CK77" i="12"/>
  <c r="CL77" i="12"/>
  <c r="CM77" i="12"/>
  <c r="CN77" i="12"/>
  <c r="CO77" i="12"/>
  <c r="CP77" i="12"/>
  <c r="CQ77" i="12"/>
  <c r="CR77" i="12"/>
  <c r="CS77" i="12"/>
  <c r="CT77" i="12"/>
  <c r="CU77" i="12"/>
  <c r="CV77" i="12"/>
  <c r="CW77" i="12"/>
  <c r="CX77" i="12"/>
  <c r="CY77" i="12"/>
  <c r="CZ77" i="12"/>
  <c r="DA77" i="12"/>
  <c r="DB77" i="12"/>
  <c r="DC77" i="12"/>
  <c r="DD77" i="12"/>
  <c r="DE77" i="12"/>
  <c r="DF77" i="12"/>
  <c r="DG77" i="12"/>
  <c r="DH77" i="12"/>
  <c r="DI77" i="12"/>
  <c r="DJ77" i="12"/>
  <c r="DK77" i="12"/>
  <c r="DL77" i="12"/>
  <c r="DM77" i="12"/>
  <c r="DN77" i="12"/>
  <c r="DO77" i="12"/>
  <c r="DP77" i="12"/>
  <c r="DQ77" i="12"/>
  <c r="DR77" i="12"/>
  <c r="DS77" i="12"/>
  <c r="DT77" i="12"/>
  <c r="DU77" i="12"/>
  <c r="DV77" i="12"/>
  <c r="DW77" i="12"/>
  <c r="DX77" i="12"/>
  <c r="DY77" i="12"/>
  <c r="DZ77" i="12"/>
  <c r="EA77" i="12"/>
  <c r="EB77" i="12"/>
  <c r="EC77" i="12"/>
  <c r="ED77" i="12"/>
  <c r="EE77" i="12"/>
  <c r="EF77" i="12"/>
  <c r="EG77" i="12"/>
  <c r="EH77" i="12"/>
  <c r="EI77" i="12"/>
  <c r="EJ77" i="12"/>
  <c r="EK77" i="12"/>
  <c r="EL77" i="12"/>
  <c r="EM77" i="12"/>
  <c r="EN77" i="12"/>
  <c r="EO77" i="12"/>
  <c r="EP77" i="12"/>
  <c r="EQ77" i="12"/>
  <c r="ER77" i="12"/>
  <c r="ES77" i="12"/>
  <c r="ET77" i="12"/>
  <c r="EU77" i="12"/>
  <c r="EV77" i="12"/>
  <c r="EW77" i="12"/>
  <c r="EX77" i="12"/>
  <c r="EY77" i="12"/>
  <c r="EZ77" i="12"/>
  <c r="FA77" i="12"/>
  <c r="FB77" i="12"/>
  <c r="FC77" i="12"/>
  <c r="FD77" i="12"/>
  <c r="FE77" i="12"/>
  <c r="FF77" i="12"/>
  <c r="FG77" i="12"/>
  <c r="FH77" i="12"/>
  <c r="FI77" i="12"/>
  <c r="FJ77" i="12"/>
  <c r="FK77" i="12"/>
  <c r="FL77" i="12"/>
  <c r="FM77" i="12"/>
  <c r="FN77" i="12"/>
  <c r="FO77" i="12"/>
  <c r="FP77" i="12"/>
  <c r="FQ77" i="12"/>
  <c r="FR77" i="12"/>
  <c r="FS77" i="12"/>
  <c r="FT77" i="12"/>
  <c r="FU77" i="12"/>
  <c r="FV77" i="12"/>
  <c r="FW77" i="12"/>
  <c r="FX77" i="12"/>
  <c r="FY77" i="12"/>
  <c r="FZ77" i="12"/>
  <c r="GA77" i="12"/>
  <c r="GB77" i="12"/>
  <c r="GC77" i="12"/>
  <c r="GD77" i="12"/>
  <c r="GE77" i="12"/>
  <c r="GF77" i="12"/>
  <c r="GG77" i="12"/>
  <c r="GH77" i="12"/>
  <c r="GI77" i="12"/>
  <c r="GJ77" i="12"/>
  <c r="GK77" i="12"/>
  <c r="GL77" i="12"/>
  <c r="GM77" i="12"/>
  <c r="GN77" i="12"/>
  <c r="GO77" i="12"/>
  <c r="GP77" i="12"/>
  <c r="GQ77" i="12"/>
  <c r="GR77" i="12"/>
  <c r="GS77" i="12"/>
  <c r="GT77" i="12"/>
  <c r="GU77" i="12"/>
  <c r="GV77" i="12"/>
  <c r="GW77" i="12"/>
  <c r="GX77" i="12"/>
  <c r="GY77" i="12"/>
  <c r="GZ77" i="12"/>
  <c r="HA77" i="12"/>
  <c r="HB77" i="12"/>
  <c r="HC77" i="12"/>
  <c r="HD77" i="12"/>
  <c r="HE77" i="12"/>
  <c r="HF77" i="12"/>
  <c r="HG77" i="12"/>
  <c r="HH77" i="12"/>
  <c r="HI77" i="12"/>
  <c r="HJ77" i="12"/>
  <c r="HK77" i="12"/>
  <c r="HL77" i="12"/>
  <c r="HM77" i="12"/>
  <c r="HN77" i="12"/>
  <c r="HO77" i="12"/>
  <c r="HP77" i="12"/>
  <c r="HQ77" i="12"/>
  <c r="HR77" i="12"/>
  <c r="HS77" i="12"/>
  <c r="HT77" i="12"/>
  <c r="HU77" i="12"/>
  <c r="HV77" i="12"/>
  <c r="HW77" i="12"/>
  <c r="HX77" i="12"/>
  <c r="HY77" i="12"/>
  <c r="HZ77" i="12"/>
  <c r="IA77" i="12"/>
  <c r="IB77" i="12"/>
  <c r="IC77" i="12"/>
  <c r="ID77" i="12"/>
  <c r="IE77" i="12"/>
  <c r="IF77" i="12"/>
  <c r="IG77" i="12"/>
  <c r="IH77" i="12"/>
  <c r="II77" i="12"/>
  <c r="IJ77" i="12"/>
  <c r="IK77" i="12"/>
  <c r="IL77" i="12"/>
  <c r="IM77" i="12"/>
  <c r="IN77" i="12"/>
  <c r="IO77" i="12"/>
  <c r="IP77" i="12"/>
  <c r="IQ77" i="12"/>
  <c r="IR77" i="12"/>
  <c r="IS77" i="12"/>
  <c r="IT77" i="12"/>
  <c r="IU77" i="12"/>
  <c r="IV77" i="12"/>
  <c r="A76" i="12"/>
  <c r="B76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BC76" i="12"/>
  <c r="BD76" i="12"/>
  <c r="BE76" i="12"/>
  <c r="BF76" i="12"/>
  <c r="BG76" i="12"/>
  <c r="BH76" i="12"/>
  <c r="BI76" i="12"/>
  <c r="BJ76" i="12"/>
  <c r="BK76" i="12"/>
  <c r="BL76" i="12"/>
  <c r="BM76" i="12"/>
  <c r="BN76" i="12"/>
  <c r="BO76" i="12"/>
  <c r="BP76" i="12"/>
  <c r="BQ76" i="12"/>
  <c r="BR76" i="12"/>
  <c r="BS76" i="12"/>
  <c r="BT76" i="12"/>
  <c r="BU76" i="12"/>
  <c r="BV76" i="12"/>
  <c r="BW76" i="12"/>
  <c r="BX76" i="12"/>
  <c r="BY76" i="12"/>
  <c r="BZ76" i="12"/>
  <c r="CA76" i="12"/>
  <c r="CB76" i="12"/>
  <c r="CC76" i="12"/>
  <c r="CD76" i="12"/>
  <c r="CE76" i="12"/>
  <c r="CF76" i="12"/>
  <c r="CG76" i="12"/>
  <c r="CH76" i="12"/>
  <c r="CI76" i="12"/>
  <c r="CJ76" i="12"/>
  <c r="CK76" i="12"/>
  <c r="CL76" i="12"/>
  <c r="CM76" i="12"/>
  <c r="CN76" i="12"/>
  <c r="CO76" i="12"/>
  <c r="CP76" i="12"/>
  <c r="CQ76" i="12"/>
  <c r="CR76" i="12"/>
  <c r="CS76" i="12"/>
  <c r="CT76" i="12"/>
  <c r="CU76" i="12"/>
  <c r="CV76" i="12"/>
  <c r="CW76" i="12"/>
  <c r="CX76" i="12"/>
  <c r="CY76" i="12"/>
  <c r="CZ76" i="12"/>
  <c r="DA76" i="12"/>
  <c r="DB76" i="12"/>
  <c r="DC76" i="12"/>
  <c r="DD76" i="12"/>
  <c r="DE76" i="12"/>
  <c r="DF76" i="12"/>
  <c r="DG76" i="12"/>
  <c r="DH76" i="12"/>
  <c r="DI76" i="12"/>
  <c r="DJ76" i="12"/>
  <c r="DK76" i="12"/>
  <c r="DL76" i="12"/>
  <c r="DM76" i="12"/>
  <c r="DN76" i="12"/>
  <c r="DO76" i="12"/>
  <c r="DP76" i="12"/>
  <c r="DQ76" i="12"/>
  <c r="DR76" i="12"/>
  <c r="DS76" i="12"/>
  <c r="DT76" i="12"/>
  <c r="DU76" i="12"/>
  <c r="DV76" i="12"/>
  <c r="DW76" i="12"/>
  <c r="DX76" i="12"/>
  <c r="DY76" i="12"/>
  <c r="DZ76" i="12"/>
  <c r="EA76" i="12"/>
  <c r="EB76" i="12"/>
  <c r="EC76" i="12"/>
  <c r="ED76" i="12"/>
  <c r="EE76" i="12"/>
  <c r="EF76" i="12"/>
  <c r="EG76" i="12"/>
  <c r="EH76" i="12"/>
  <c r="EI76" i="12"/>
  <c r="EJ76" i="12"/>
  <c r="EK76" i="12"/>
  <c r="EL76" i="12"/>
  <c r="EM76" i="12"/>
  <c r="EN76" i="12"/>
  <c r="EO76" i="12"/>
  <c r="EP76" i="12"/>
  <c r="EQ76" i="12"/>
  <c r="ER76" i="12"/>
  <c r="ES76" i="12"/>
  <c r="ET76" i="12"/>
  <c r="EU76" i="12"/>
  <c r="EV76" i="12"/>
  <c r="EW76" i="12"/>
  <c r="EX76" i="12"/>
  <c r="EY76" i="12"/>
  <c r="EZ76" i="12"/>
  <c r="FA76" i="12"/>
  <c r="FB76" i="12"/>
  <c r="FC76" i="12"/>
  <c r="FD76" i="12"/>
  <c r="FE76" i="12"/>
  <c r="FF76" i="12"/>
  <c r="FG76" i="12"/>
  <c r="FH76" i="12"/>
  <c r="FI76" i="12"/>
  <c r="FJ76" i="12"/>
  <c r="FK76" i="12"/>
  <c r="FL76" i="12"/>
  <c r="FM76" i="12"/>
  <c r="FN76" i="12"/>
  <c r="FO76" i="12"/>
  <c r="FP76" i="12"/>
  <c r="FQ76" i="12"/>
  <c r="FR76" i="12"/>
  <c r="FS76" i="12"/>
  <c r="FT76" i="12"/>
  <c r="FU76" i="12"/>
  <c r="FV76" i="12"/>
  <c r="FW76" i="12"/>
  <c r="FX76" i="12"/>
  <c r="FY76" i="12"/>
  <c r="FZ76" i="12"/>
  <c r="GA76" i="12"/>
  <c r="GB76" i="12"/>
  <c r="GC76" i="12"/>
  <c r="GD76" i="12"/>
  <c r="GE76" i="12"/>
  <c r="GF76" i="12"/>
  <c r="GG76" i="12"/>
  <c r="GH76" i="12"/>
  <c r="GI76" i="12"/>
  <c r="GJ76" i="12"/>
  <c r="GK76" i="12"/>
  <c r="GL76" i="12"/>
  <c r="GM76" i="12"/>
  <c r="GN76" i="12"/>
  <c r="GO76" i="12"/>
  <c r="GP76" i="12"/>
  <c r="GQ76" i="12"/>
  <c r="GR76" i="12"/>
  <c r="GS76" i="12"/>
  <c r="GT76" i="12"/>
  <c r="GU76" i="12"/>
  <c r="GV76" i="12"/>
  <c r="GW76" i="12"/>
  <c r="GX76" i="12"/>
  <c r="GY76" i="12"/>
  <c r="GZ76" i="12"/>
  <c r="HA76" i="12"/>
  <c r="HB76" i="12"/>
  <c r="HC76" i="12"/>
  <c r="HD76" i="12"/>
  <c r="HE76" i="12"/>
  <c r="HF76" i="12"/>
  <c r="HG76" i="12"/>
  <c r="HH76" i="12"/>
  <c r="HI76" i="12"/>
  <c r="HJ76" i="12"/>
  <c r="HK76" i="12"/>
  <c r="HL76" i="12"/>
  <c r="HM76" i="12"/>
  <c r="HN76" i="12"/>
  <c r="HO76" i="12"/>
  <c r="HP76" i="12"/>
  <c r="HQ76" i="12"/>
  <c r="HR76" i="12"/>
  <c r="HS76" i="12"/>
  <c r="HT76" i="12"/>
  <c r="HU76" i="12"/>
  <c r="HV76" i="12"/>
  <c r="HW76" i="12"/>
  <c r="HX76" i="12"/>
  <c r="HY76" i="12"/>
  <c r="HZ76" i="12"/>
  <c r="IA76" i="12"/>
  <c r="IB76" i="12"/>
  <c r="IC76" i="12"/>
  <c r="ID76" i="12"/>
  <c r="IE76" i="12"/>
  <c r="IF76" i="12"/>
  <c r="IG76" i="12"/>
  <c r="IH76" i="12"/>
  <c r="II76" i="12"/>
  <c r="IJ76" i="12"/>
  <c r="IK76" i="12"/>
  <c r="IL76" i="12"/>
  <c r="IM76" i="12"/>
  <c r="IN76" i="12"/>
  <c r="IO76" i="12"/>
  <c r="IP76" i="12"/>
  <c r="IQ76" i="12"/>
  <c r="IR76" i="12"/>
  <c r="IS76" i="12"/>
  <c r="IT76" i="12"/>
  <c r="IU76" i="12"/>
  <c r="IV76" i="12"/>
  <c r="A75" i="12"/>
  <c r="B75" i="12"/>
  <c r="C75" i="12"/>
  <c r="D75" i="12"/>
  <c r="E75" i="12"/>
  <c r="F75" i="12"/>
  <c r="G75" i="12"/>
  <c r="H75" i="12"/>
  <c r="I75" i="12"/>
  <c r="J75" i="12"/>
  <c r="K75" i="12"/>
  <c r="L75" i="12"/>
  <c r="M75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BC75" i="12"/>
  <c r="BD75" i="12"/>
  <c r="BE75" i="12"/>
  <c r="BF75" i="12"/>
  <c r="BG75" i="12"/>
  <c r="BH75" i="12"/>
  <c r="BI75" i="12"/>
  <c r="BJ75" i="12"/>
  <c r="BK75" i="12"/>
  <c r="BL75" i="12"/>
  <c r="BM75" i="12"/>
  <c r="BN75" i="12"/>
  <c r="BO75" i="12"/>
  <c r="BP75" i="12"/>
  <c r="BQ75" i="12"/>
  <c r="BR75" i="12"/>
  <c r="BS75" i="12"/>
  <c r="BT75" i="12"/>
  <c r="BU75" i="12"/>
  <c r="BV75" i="12"/>
  <c r="BW75" i="12"/>
  <c r="BX75" i="12"/>
  <c r="BY75" i="12"/>
  <c r="BZ75" i="12"/>
  <c r="CA75" i="12"/>
  <c r="CB75" i="12"/>
  <c r="CC75" i="12"/>
  <c r="CD75" i="12"/>
  <c r="CE75" i="12"/>
  <c r="CF75" i="12"/>
  <c r="CG75" i="12"/>
  <c r="CH75" i="12"/>
  <c r="CI75" i="12"/>
  <c r="CJ75" i="12"/>
  <c r="CK75" i="12"/>
  <c r="CL75" i="12"/>
  <c r="CM75" i="12"/>
  <c r="CN75" i="12"/>
  <c r="CO75" i="12"/>
  <c r="CP75" i="12"/>
  <c r="CQ75" i="12"/>
  <c r="CR75" i="12"/>
  <c r="CS75" i="12"/>
  <c r="CT75" i="12"/>
  <c r="CU75" i="12"/>
  <c r="CV75" i="12"/>
  <c r="CW75" i="12"/>
  <c r="CX75" i="12"/>
  <c r="CY75" i="12"/>
  <c r="CZ75" i="12"/>
  <c r="DA75" i="12"/>
  <c r="DB75" i="12"/>
  <c r="DC75" i="12"/>
  <c r="DD75" i="12"/>
  <c r="DE75" i="12"/>
  <c r="DF75" i="12"/>
  <c r="DG75" i="12"/>
  <c r="DH75" i="12"/>
  <c r="DI75" i="12"/>
  <c r="DJ75" i="12"/>
  <c r="DK75" i="12"/>
  <c r="DL75" i="12"/>
  <c r="DM75" i="12"/>
  <c r="DN75" i="12"/>
  <c r="DO75" i="12"/>
  <c r="DP75" i="12"/>
  <c r="DQ75" i="12"/>
  <c r="DR75" i="12"/>
  <c r="DS75" i="12"/>
  <c r="DT75" i="12"/>
  <c r="DU75" i="12"/>
  <c r="DV75" i="12"/>
  <c r="DW75" i="12"/>
  <c r="DX75" i="12"/>
  <c r="DY75" i="12"/>
  <c r="DZ75" i="12"/>
  <c r="EA75" i="12"/>
  <c r="EB75" i="12"/>
  <c r="EC75" i="12"/>
  <c r="ED75" i="12"/>
  <c r="EE75" i="12"/>
  <c r="EF75" i="12"/>
  <c r="EG75" i="12"/>
  <c r="EH75" i="12"/>
  <c r="EI75" i="12"/>
  <c r="EJ75" i="12"/>
  <c r="EK75" i="12"/>
  <c r="EL75" i="12"/>
  <c r="EM75" i="12"/>
  <c r="EN75" i="12"/>
  <c r="EO75" i="12"/>
  <c r="EP75" i="12"/>
  <c r="EQ75" i="12"/>
  <c r="ER75" i="12"/>
  <c r="ES75" i="12"/>
  <c r="ET75" i="12"/>
  <c r="EU75" i="12"/>
  <c r="EV75" i="12"/>
  <c r="EW75" i="12"/>
  <c r="EX75" i="12"/>
  <c r="EY75" i="12"/>
  <c r="EZ75" i="12"/>
  <c r="FA75" i="12"/>
  <c r="FB75" i="12"/>
  <c r="FC75" i="12"/>
  <c r="FD75" i="12"/>
  <c r="FE75" i="12"/>
  <c r="FF75" i="12"/>
  <c r="FG75" i="12"/>
  <c r="FH75" i="12"/>
  <c r="FI75" i="12"/>
  <c r="FJ75" i="12"/>
  <c r="FK75" i="12"/>
  <c r="FL75" i="12"/>
  <c r="FM75" i="12"/>
  <c r="FN75" i="12"/>
  <c r="FO75" i="12"/>
  <c r="FP75" i="12"/>
  <c r="FQ75" i="12"/>
  <c r="FR75" i="12"/>
  <c r="FS75" i="12"/>
  <c r="FT75" i="12"/>
  <c r="FU75" i="12"/>
  <c r="FV75" i="12"/>
  <c r="FW75" i="12"/>
  <c r="FX75" i="12"/>
  <c r="FY75" i="12"/>
  <c r="FZ75" i="12"/>
  <c r="GA75" i="12"/>
  <c r="GB75" i="12"/>
  <c r="GC75" i="12"/>
  <c r="GD75" i="12"/>
  <c r="GE75" i="12"/>
  <c r="GF75" i="12"/>
  <c r="GG75" i="12"/>
  <c r="GH75" i="12"/>
  <c r="GI75" i="12"/>
  <c r="GJ75" i="12"/>
  <c r="GK75" i="12"/>
  <c r="GL75" i="12"/>
  <c r="GM75" i="12"/>
  <c r="GN75" i="12"/>
  <c r="GO75" i="12"/>
  <c r="GP75" i="12"/>
  <c r="GQ75" i="12"/>
  <c r="GR75" i="12"/>
  <c r="GS75" i="12"/>
  <c r="GT75" i="12"/>
  <c r="GU75" i="12"/>
  <c r="GV75" i="12"/>
  <c r="GW75" i="12"/>
  <c r="GX75" i="12"/>
  <c r="GY75" i="12"/>
  <c r="GZ75" i="12"/>
  <c r="HA75" i="12"/>
  <c r="HB75" i="12"/>
  <c r="HC75" i="12"/>
  <c r="HD75" i="12"/>
  <c r="HE75" i="12"/>
  <c r="HF75" i="12"/>
  <c r="HG75" i="12"/>
  <c r="HH75" i="12"/>
  <c r="HI75" i="12"/>
  <c r="HJ75" i="12"/>
  <c r="HK75" i="12"/>
  <c r="HL75" i="12"/>
  <c r="HM75" i="12"/>
  <c r="HN75" i="12"/>
  <c r="HO75" i="12"/>
  <c r="HP75" i="12"/>
  <c r="HQ75" i="12"/>
  <c r="HR75" i="12"/>
  <c r="HS75" i="12"/>
  <c r="HT75" i="12"/>
  <c r="HU75" i="12"/>
  <c r="HV75" i="12"/>
  <c r="HW75" i="12"/>
  <c r="HX75" i="12"/>
  <c r="HY75" i="12"/>
  <c r="HZ75" i="12"/>
  <c r="IA75" i="12"/>
  <c r="IB75" i="12"/>
  <c r="IC75" i="12"/>
  <c r="ID75" i="12"/>
  <c r="IE75" i="12"/>
  <c r="IF75" i="12"/>
  <c r="IG75" i="12"/>
  <c r="IH75" i="12"/>
  <c r="II75" i="12"/>
  <c r="IJ75" i="12"/>
  <c r="IK75" i="12"/>
  <c r="IL75" i="12"/>
  <c r="IM75" i="12"/>
  <c r="IN75" i="12"/>
  <c r="IO75" i="12"/>
  <c r="IP75" i="12"/>
  <c r="IQ75" i="12"/>
  <c r="IR75" i="12"/>
  <c r="IS75" i="12"/>
  <c r="IT75" i="12"/>
  <c r="IU75" i="12"/>
  <c r="IV75" i="12"/>
  <c r="A74" i="12"/>
  <c r="B74" i="12"/>
  <c r="C74" i="12"/>
  <c r="D74" i="12"/>
  <c r="E74" i="12"/>
  <c r="F74" i="12"/>
  <c r="G74" i="12"/>
  <c r="H74" i="12"/>
  <c r="I74" i="12"/>
  <c r="J74" i="12"/>
  <c r="K74" i="12"/>
  <c r="L74" i="12"/>
  <c r="M74" i="12"/>
  <c r="N74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BC74" i="12"/>
  <c r="BD74" i="12"/>
  <c r="BE74" i="12"/>
  <c r="BF74" i="12"/>
  <c r="BG74" i="12"/>
  <c r="BH74" i="12"/>
  <c r="BI74" i="12"/>
  <c r="BJ74" i="12"/>
  <c r="BK74" i="12"/>
  <c r="BL74" i="12"/>
  <c r="BM74" i="12"/>
  <c r="BN74" i="12"/>
  <c r="BO74" i="12"/>
  <c r="BP74" i="12"/>
  <c r="BQ74" i="12"/>
  <c r="BR74" i="12"/>
  <c r="BS74" i="12"/>
  <c r="BT74" i="12"/>
  <c r="BU74" i="12"/>
  <c r="BV74" i="12"/>
  <c r="BW74" i="12"/>
  <c r="BX74" i="12"/>
  <c r="BY74" i="12"/>
  <c r="BZ74" i="12"/>
  <c r="CA74" i="12"/>
  <c r="CB74" i="12"/>
  <c r="CC74" i="12"/>
  <c r="CD74" i="12"/>
  <c r="CE74" i="12"/>
  <c r="CF74" i="12"/>
  <c r="CG74" i="12"/>
  <c r="CH74" i="12"/>
  <c r="CI74" i="12"/>
  <c r="CJ74" i="12"/>
  <c r="CK74" i="12"/>
  <c r="CL74" i="12"/>
  <c r="CM74" i="12"/>
  <c r="CN74" i="12"/>
  <c r="CO74" i="12"/>
  <c r="CP74" i="12"/>
  <c r="CQ74" i="12"/>
  <c r="CR74" i="12"/>
  <c r="CS74" i="12"/>
  <c r="CT74" i="12"/>
  <c r="CU74" i="12"/>
  <c r="CV74" i="12"/>
  <c r="CW74" i="12"/>
  <c r="CX74" i="12"/>
  <c r="CY74" i="12"/>
  <c r="CZ74" i="12"/>
  <c r="DA74" i="12"/>
  <c r="DB74" i="12"/>
  <c r="DC74" i="12"/>
  <c r="DD74" i="12"/>
  <c r="DE74" i="12"/>
  <c r="DF74" i="12"/>
  <c r="DG74" i="12"/>
  <c r="DH74" i="12"/>
  <c r="DI74" i="12"/>
  <c r="DJ74" i="12"/>
  <c r="DK74" i="12"/>
  <c r="DL74" i="12"/>
  <c r="DM74" i="12"/>
  <c r="DN74" i="12"/>
  <c r="DO74" i="12"/>
  <c r="DP74" i="12"/>
  <c r="DQ74" i="12"/>
  <c r="DR74" i="12"/>
  <c r="DS74" i="12"/>
  <c r="DT74" i="12"/>
  <c r="DU74" i="12"/>
  <c r="DV74" i="12"/>
  <c r="DW74" i="12"/>
  <c r="DX74" i="12"/>
  <c r="DY74" i="12"/>
  <c r="DZ74" i="12"/>
  <c r="EA74" i="12"/>
  <c r="EB74" i="12"/>
  <c r="EC74" i="12"/>
  <c r="ED74" i="12"/>
  <c r="EE74" i="12"/>
  <c r="EF74" i="12"/>
  <c r="EG74" i="12"/>
  <c r="EH74" i="12"/>
  <c r="EI74" i="12"/>
  <c r="EJ74" i="12"/>
  <c r="EK74" i="12"/>
  <c r="EL74" i="12"/>
  <c r="EM74" i="12"/>
  <c r="EN74" i="12"/>
  <c r="EO74" i="12"/>
  <c r="EP74" i="12"/>
  <c r="EQ74" i="12"/>
  <c r="ER74" i="12"/>
  <c r="ES74" i="12"/>
  <c r="ET74" i="12"/>
  <c r="EU74" i="12"/>
  <c r="EV74" i="12"/>
  <c r="EW74" i="12"/>
  <c r="EX74" i="12"/>
  <c r="EY74" i="12"/>
  <c r="EZ74" i="12"/>
  <c r="FA74" i="12"/>
  <c r="FB74" i="12"/>
  <c r="FC74" i="12"/>
  <c r="FD74" i="12"/>
  <c r="FE74" i="12"/>
  <c r="FF74" i="12"/>
  <c r="FG74" i="12"/>
  <c r="FH74" i="12"/>
  <c r="FI74" i="12"/>
  <c r="FJ74" i="12"/>
  <c r="FK74" i="12"/>
  <c r="FL74" i="12"/>
  <c r="FM74" i="12"/>
  <c r="FN74" i="12"/>
  <c r="FO74" i="12"/>
  <c r="FP74" i="12"/>
  <c r="FQ74" i="12"/>
  <c r="FR74" i="12"/>
  <c r="FS74" i="12"/>
  <c r="FT74" i="12"/>
  <c r="FU74" i="12"/>
  <c r="FV74" i="12"/>
  <c r="FW74" i="12"/>
  <c r="FX74" i="12"/>
  <c r="FY74" i="12"/>
  <c r="FZ74" i="12"/>
  <c r="GA74" i="12"/>
  <c r="GB74" i="12"/>
  <c r="GC74" i="12"/>
  <c r="GD74" i="12"/>
  <c r="GE74" i="12"/>
  <c r="GF74" i="12"/>
  <c r="GG74" i="12"/>
  <c r="GH74" i="12"/>
  <c r="GI74" i="12"/>
  <c r="GJ74" i="12"/>
  <c r="GK74" i="12"/>
  <c r="GL74" i="12"/>
  <c r="GM74" i="12"/>
  <c r="GN74" i="12"/>
  <c r="GO74" i="12"/>
  <c r="GP74" i="12"/>
  <c r="GQ74" i="12"/>
  <c r="GR74" i="12"/>
  <c r="GS74" i="12"/>
  <c r="GT74" i="12"/>
  <c r="GU74" i="12"/>
  <c r="GV74" i="12"/>
  <c r="GW74" i="12"/>
  <c r="GX74" i="12"/>
  <c r="GY74" i="12"/>
  <c r="GZ74" i="12"/>
  <c r="HA74" i="12"/>
  <c r="HB74" i="12"/>
  <c r="HC74" i="12"/>
  <c r="HD74" i="12"/>
  <c r="HE74" i="12"/>
  <c r="HF74" i="12"/>
  <c r="HG74" i="12"/>
  <c r="HH74" i="12"/>
  <c r="HI74" i="12"/>
  <c r="HJ74" i="12"/>
  <c r="HK74" i="12"/>
  <c r="HL74" i="12"/>
  <c r="HM74" i="12"/>
  <c r="HN74" i="12"/>
  <c r="HO74" i="12"/>
  <c r="HP74" i="12"/>
  <c r="HQ74" i="12"/>
  <c r="HR74" i="12"/>
  <c r="HS74" i="12"/>
  <c r="HT74" i="12"/>
  <c r="HU74" i="12"/>
  <c r="HV74" i="12"/>
  <c r="HW74" i="12"/>
  <c r="HX74" i="12"/>
  <c r="HY74" i="12"/>
  <c r="HZ74" i="12"/>
  <c r="IA74" i="12"/>
  <c r="IB74" i="12"/>
  <c r="IC74" i="12"/>
  <c r="ID74" i="12"/>
  <c r="IE74" i="12"/>
  <c r="IF74" i="12"/>
  <c r="IG74" i="12"/>
  <c r="IH74" i="12"/>
  <c r="II74" i="12"/>
  <c r="IJ74" i="12"/>
  <c r="IK74" i="12"/>
  <c r="IL74" i="12"/>
  <c r="IM74" i="12"/>
  <c r="IN74" i="12"/>
  <c r="IO74" i="12"/>
  <c r="IP74" i="12"/>
  <c r="IQ74" i="12"/>
  <c r="IR74" i="12"/>
  <c r="IS74" i="12"/>
  <c r="IT74" i="12"/>
  <c r="IU74" i="12"/>
  <c r="IV74" i="12"/>
  <c r="A73" i="12"/>
  <c r="B73" i="12"/>
  <c r="C73" i="12"/>
  <c r="D73" i="12"/>
  <c r="E73" i="12"/>
  <c r="F73" i="12"/>
  <c r="G73" i="12"/>
  <c r="H73" i="12"/>
  <c r="I73" i="12"/>
  <c r="J73" i="12"/>
  <c r="K73" i="12"/>
  <c r="L73" i="12"/>
  <c r="M73" i="12"/>
  <c r="N73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AA73" i="12"/>
  <c r="AB73" i="12"/>
  <c r="AC73" i="12"/>
  <c r="AD73" i="12"/>
  <c r="AE73" i="12"/>
  <c r="AF73" i="12"/>
  <c r="AG73" i="12"/>
  <c r="AH73" i="12"/>
  <c r="AI73" i="12"/>
  <c r="AJ73" i="12"/>
  <c r="AK73" i="12"/>
  <c r="AL73" i="12"/>
  <c r="AM73" i="12"/>
  <c r="AN73" i="12"/>
  <c r="AO73" i="12"/>
  <c r="AP73" i="12"/>
  <c r="AQ73" i="12"/>
  <c r="AR73" i="12"/>
  <c r="AS73" i="12"/>
  <c r="AT73" i="12"/>
  <c r="AU73" i="12"/>
  <c r="AV73" i="12"/>
  <c r="AW73" i="12"/>
  <c r="AX73" i="12"/>
  <c r="AY73" i="12"/>
  <c r="AZ73" i="12"/>
  <c r="BA73" i="12"/>
  <c r="BB73" i="12"/>
  <c r="BC73" i="12"/>
  <c r="BD73" i="12"/>
  <c r="BE73" i="12"/>
  <c r="BF73" i="12"/>
  <c r="BG73" i="12"/>
  <c r="BH73" i="12"/>
  <c r="BI73" i="12"/>
  <c r="BJ73" i="12"/>
  <c r="BK73" i="12"/>
  <c r="BL73" i="12"/>
  <c r="BM73" i="12"/>
  <c r="BN73" i="12"/>
  <c r="BO73" i="12"/>
  <c r="BP73" i="12"/>
  <c r="BQ73" i="12"/>
  <c r="BR73" i="12"/>
  <c r="BS73" i="12"/>
  <c r="BT73" i="12"/>
  <c r="BU73" i="12"/>
  <c r="BV73" i="12"/>
  <c r="BW73" i="12"/>
  <c r="BX73" i="12"/>
  <c r="BY73" i="12"/>
  <c r="BZ73" i="12"/>
  <c r="CA73" i="12"/>
  <c r="CB73" i="12"/>
  <c r="CC73" i="12"/>
  <c r="CD73" i="12"/>
  <c r="CE73" i="12"/>
  <c r="CF73" i="12"/>
  <c r="CG73" i="12"/>
  <c r="CH73" i="12"/>
  <c r="CI73" i="12"/>
  <c r="CJ73" i="12"/>
  <c r="CK73" i="12"/>
  <c r="CL73" i="12"/>
  <c r="CM73" i="12"/>
  <c r="CN73" i="12"/>
  <c r="CO73" i="12"/>
  <c r="CP73" i="12"/>
  <c r="CQ73" i="12"/>
  <c r="CR73" i="12"/>
  <c r="CS73" i="12"/>
  <c r="CT73" i="12"/>
  <c r="CU73" i="12"/>
  <c r="CV73" i="12"/>
  <c r="CW73" i="12"/>
  <c r="CX73" i="12"/>
  <c r="CY73" i="12"/>
  <c r="CZ73" i="12"/>
  <c r="DA73" i="12"/>
  <c r="DB73" i="12"/>
  <c r="DC73" i="12"/>
  <c r="DD73" i="12"/>
  <c r="DE73" i="12"/>
  <c r="DF73" i="12"/>
  <c r="DG73" i="12"/>
  <c r="DH73" i="12"/>
  <c r="DI73" i="12"/>
  <c r="DJ73" i="12"/>
  <c r="DK73" i="12"/>
  <c r="DL73" i="12"/>
  <c r="DM73" i="12"/>
  <c r="DN73" i="12"/>
  <c r="DO73" i="12"/>
  <c r="DP73" i="12"/>
  <c r="DQ73" i="12"/>
  <c r="DR73" i="12"/>
  <c r="DS73" i="12"/>
  <c r="DT73" i="12"/>
  <c r="DU73" i="12"/>
  <c r="DV73" i="12"/>
  <c r="DW73" i="12"/>
  <c r="DX73" i="12"/>
  <c r="DY73" i="12"/>
  <c r="DZ73" i="12"/>
  <c r="EA73" i="12"/>
  <c r="EB73" i="12"/>
  <c r="EC73" i="12"/>
  <c r="ED73" i="12"/>
  <c r="EE73" i="12"/>
  <c r="EF73" i="12"/>
  <c r="EG73" i="12"/>
  <c r="EH73" i="12"/>
  <c r="EI73" i="12"/>
  <c r="EJ73" i="12"/>
  <c r="EK73" i="12"/>
  <c r="EL73" i="12"/>
  <c r="EM73" i="12"/>
  <c r="EN73" i="12"/>
  <c r="EO73" i="12"/>
  <c r="EP73" i="12"/>
  <c r="EQ73" i="12"/>
  <c r="ER73" i="12"/>
  <c r="ES73" i="12"/>
  <c r="ET73" i="12"/>
  <c r="EU73" i="12"/>
  <c r="EV73" i="12"/>
  <c r="EW73" i="12"/>
  <c r="EX73" i="12"/>
  <c r="EY73" i="12"/>
  <c r="EZ73" i="12"/>
  <c r="FA73" i="12"/>
  <c r="FB73" i="12"/>
  <c r="FC73" i="12"/>
  <c r="FD73" i="12"/>
  <c r="FE73" i="12"/>
  <c r="FF73" i="12"/>
  <c r="FG73" i="12"/>
  <c r="FH73" i="12"/>
  <c r="FI73" i="12"/>
  <c r="FJ73" i="12"/>
  <c r="FK73" i="12"/>
  <c r="FL73" i="12"/>
  <c r="FM73" i="12"/>
  <c r="FN73" i="12"/>
  <c r="FO73" i="12"/>
  <c r="FP73" i="12"/>
  <c r="FQ73" i="12"/>
  <c r="FR73" i="12"/>
  <c r="FS73" i="12"/>
  <c r="FT73" i="12"/>
  <c r="FU73" i="12"/>
  <c r="FV73" i="12"/>
  <c r="FW73" i="12"/>
  <c r="FX73" i="12"/>
  <c r="FY73" i="12"/>
  <c r="FZ73" i="12"/>
  <c r="GA73" i="12"/>
  <c r="GB73" i="12"/>
  <c r="GC73" i="12"/>
  <c r="GD73" i="12"/>
  <c r="GE73" i="12"/>
  <c r="GF73" i="12"/>
  <c r="GG73" i="12"/>
  <c r="GH73" i="12"/>
  <c r="GI73" i="12"/>
  <c r="GJ73" i="12"/>
  <c r="GK73" i="12"/>
  <c r="GL73" i="12"/>
  <c r="GM73" i="12"/>
  <c r="GN73" i="12"/>
  <c r="GO73" i="12"/>
  <c r="GP73" i="12"/>
  <c r="GQ73" i="12"/>
  <c r="GR73" i="12"/>
  <c r="GS73" i="12"/>
  <c r="GT73" i="12"/>
  <c r="GU73" i="12"/>
  <c r="GV73" i="12"/>
  <c r="GW73" i="12"/>
  <c r="GX73" i="12"/>
  <c r="GY73" i="12"/>
  <c r="GZ73" i="12"/>
  <c r="HA73" i="12"/>
  <c r="HB73" i="12"/>
  <c r="HC73" i="12"/>
  <c r="HD73" i="12"/>
  <c r="HE73" i="12"/>
  <c r="HF73" i="12"/>
  <c r="HG73" i="12"/>
  <c r="HH73" i="12"/>
  <c r="HI73" i="12"/>
  <c r="HJ73" i="12"/>
  <c r="HK73" i="12"/>
  <c r="HL73" i="12"/>
  <c r="HM73" i="12"/>
  <c r="HN73" i="12"/>
  <c r="HO73" i="12"/>
  <c r="HP73" i="12"/>
  <c r="HQ73" i="12"/>
  <c r="HR73" i="12"/>
  <c r="HS73" i="12"/>
  <c r="HT73" i="12"/>
  <c r="HU73" i="12"/>
  <c r="HV73" i="12"/>
  <c r="HW73" i="12"/>
  <c r="HX73" i="12"/>
  <c r="HY73" i="12"/>
  <c r="HZ73" i="12"/>
  <c r="IA73" i="12"/>
  <c r="IB73" i="12"/>
  <c r="IC73" i="12"/>
  <c r="ID73" i="12"/>
  <c r="IE73" i="12"/>
  <c r="IF73" i="12"/>
  <c r="IG73" i="12"/>
  <c r="IH73" i="12"/>
  <c r="II73" i="12"/>
  <c r="IJ73" i="12"/>
  <c r="IK73" i="12"/>
  <c r="IL73" i="12"/>
  <c r="IM73" i="12"/>
  <c r="IN73" i="12"/>
  <c r="IO73" i="12"/>
  <c r="IP73" i="12"/>
  <c r="IQ73" i="12"/>
  <c r="IR73" i="12"/>
  <c r="IS73" i="12"/>
  <c r="IT73" i="12"/>
  <c r="IU73" i="12"/>
  <c r="IV73" i="12"/>
  <c r="P100" i="12"/>
  <c r="IV99" i="12"/>
  <c r="IU99" i="12"/>
  <c r="IT99" i="12"/>
  <c r="IS99" i="12"/>
  <c r="IR99" i="12"/>
  <c r="IQ99" i="12"/>
  <c r="IP99" i="12"/>
  <c r="IO99" i="12"/>
  <c r="IN99" i="12"/>
  <c r="IM99" i="12"/>
  <c r="IL99" i="12"/>
  <c r="IK99" i="12"/>
  <c r="IJ99" i="12"/>
  <c r="II99" i="12"/>
  <c r="IG99" i="12"/>
  <c r="A72" i="12"/>
  <c r="B72" i="12"/>
  <c r="C72" i="12"/>
  <c r="D72" i="12"/>
  <c r="E72" i="12"/>
  <c r="F72" i="12"/>
  <c r="G72" i="12"/>
  <c r="H72" i="12"/>
  <c r="I72" i="12"/>
  <c r="J72" i="12"/>
  <c r="K72" i="12"/>
  <c r="L72" i="12"/>
  <c r="M72" i="12"/>
  <c r="N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AQ72" i="12"/>
  <c r="AR72" i="12"/>
  <c r="AS72" i="12"/>
  <c r="AT72" i="12"/>
  <c r="AU72" i="12"/>
  <c r="AV72" i="12"/>
  <c r="AW72" i="12"/>
  <c r="AX72" i="12"/>
  <c r="AY72" i="12"/>
  <c r="AZ72" i="12"/>
  <c r="BA72" i="12"/>
  <c r="BB72" i="12"/>
  <c r="BC72" i="12"/>
  <c r="BD72" i="12"/>
  <c r="BE72" i="12"/>
  <c r="BF72" i="12"/>
  <c r="BG72" i="12"/>
  <c r="BH72" i="12"/>
  <c r="BI72" i="12"/>
  <c r="BJ72" i="12"/>
  <c r="BK72" i="12"/>
  <c r="BL72" i="12"/>
  <c r="BM72" i="12"/>
  <c r="BN72" i="12"/>
  <c r="BO72" i="12"/>
  <c r="BP72" i="12"/>
  <c r="BQ72" i="12"/>
  <c r="BR72" i="12"/>
  <c r="BS72" i="12"/>
  <c r="BT72" i="12"/>
  <c r="BU72" i="12"/>
  <c r="BV72" i="12"/>
  <c r="BW72" i="12"/>
  <c r="BX72" i="12"/>
  <c r="BY72" i="12"/>
  <c r="BZ72" i="12"/>
  <c r="CA72" i="12"/>
  <c r="CB72" i="12"/>
  <c r="CC72" i="12"/>
  <c r="CD72" i="12"/>
  <c r="CE72" i="12"/>
  <c r="CF72" i="12"/>
  <c r="CG72" i="12"/>
  <c r="CH72" i="12"/>
  <c r="CI72" i="12"/>
  <c r="CJ72" i="12"/>
  <c r="CK72" i="12"/>
  <c r="CL72" i="12"/>
  <c r="CM72" i="12"/>
  <c r="CN72" i="12"/>
  <c r="CO72" i="12"/>
  <c r="CP72" i="12"/>
  <c r="CQ72" i="12"/>
  <c r="CR72" i="12"/>
  <c r="CS72" i="12"/>
  <c r="CT72" i="12"/>
  <c r="CU72" i="12"/>
  <c r="CV72" i="12"/>
  <c r="CW72" i="12"/>
  <c r="CX72" i="12"/>
  <c r="CY72" i="12"/>
  <c r="CZ72" i="12"/>
  <c r="DA72" i="12"/>
  <c r="DB72" i="12"/>
  <c r="DC72" i="12"/>
  <c r="DD72" i="12"/>
  <c r="DE72" i="12"/>
  <c r="DF72" i="12"/>
  <c r="DG72" i="12"/>
  <c r="DH72" i="12"/>
  <c r="DI72" i="12"/>
  <c r="DJ72" i="12"/>
  <c r="DK72" i="12"/>
  <c r="DL72" i="12"/>
  <c r="DM72" i="12"/>
  <c r="DN72" i="12"/>
  <c r="DO72" i="12"/>
  <c r="DP72" i="12"/>
  <c r="DQ72" i="12"/>
  <c r="DR72" i="12"/>
  <c r="DS72" i="12"/>
  <c r="DT72" i="12"/>
  <c r="DU72" i="12"/>
  <c r="DV72" i="12"/>
  <c r="DW72" i="12"/>
  <c r="DX72" i="12"/>
  <c r="DY72" i="12"/>
  <c r="DZ72" i="12"/>
  <c r="EA72" i="12"/>
  <c r="EB72" i="12"/>
  <c r="EC72" i="12"/>
  <c r="ED72" i="12"/>
  <c r="EE72" i="12"/>
  <c r="EF72" i="12"/>
  <c r="EG72" i="12"/>
  <c r="EH72" i="12"/>
  <c r="EI72" i="12"/>
  <c r="EJ72" i="12"/>
  <c r="EK72" i="12"/>
  <c r="EL72" i="12"/>
  <c r="EM72" i="12"/>
  <c r="EN72" i="12"/>
  <c r="EO72" i="12"/>
  <c r="EP72" i="12"/>
  <c r="EQ72" i="12"/>
  <c r="ER72" i="12"/>
  <c r="ES72" i="12"/>
  <c r="ET72" i="12"/>
  <c r="EU72" i="12"/>
  <c r="EV72" i="12"/>
  <c r="EW72" i="12"/>
  <c r="EX72" i="12"/>
  <c r="EY72" i="12"/>
  <c r="EZ72" i="12"/>
  <c r="FA72" i="12"/>
  <c r="FB72" i="12"/>
  <c r="FC72" i="12"/>
  <c r="FD72" i="12"/>
  <c r="FE72" i="12"/>
  <c r="FF72" i="12"/>
  <c r="FG72" i="12"/>
  <c r="FH72" i="12"/>
  <c r="FI72" i="12"/>
  <c r="FJ72" i="12"/>
  <c r="FK72" i="12"/>
  <c r="FL72" i="12"/>
  <c r="FM72" i="12"/>
  <c r="FN72" i="12"/>
  <c r="FO72" i="12"/>
  <c r="FP72" i="12"/>
  <c r="FQ72" i="12"/>
  <c r="FR72" i="12"/>
  <c r="FS72" i="12"/>
  <c r="FT72" i="12"/>
  <c r="FU72" i="12"/>
  <c r="FV72" i="12"/>
  <c r="FW72" i="12"/>
  <c r="FX72" i="12"/>
  <c r="FY72" i="12"/>
  <c r="FZ72" i="12"/>
  <c r="GA72" i="12"/>
  <c r="GB72" i="12"/>
  <c r="GC72" i="12"/>
  <c r="GD72" i="12"/>
  <c r="GE72" i="12"/>
  <c r="GF72" i="12"/>
  <c r="GG72" i="12"/>
  <c r="GH72" i="12"/>
  <c r="GI72" i="12"/>
  <c r="GJ72" i="12"/>
  <c r="GK72" i="12"/>
  <c r="GL72" i="12"/>
  <c r="GM72" i="12"/>
  <c r="GN72" i="12"/>
  <c r="GO72" i="12"/>
  <c r="GP72" i="12"/>
  <c r="GQ72" i="12"/>
  <c r="GR72" i="12"/>
  <c r="GS72" i="12"/>
  <c r="GT72" i="12"/>
  <c r="GU72" i="12"/>
  <c r="GV72" i="12"/>
  <c r="GW72" i="12"/>
  <c r="GX72" i="12"/>
  <c r="GY72" i="12"/>
  <c r="GZ72" i="12"/>
  <c r="HA72" i="12"/>
  <c r="HB72" i="12"/>
  <c r="HC72" i="12"/>
  <c r="HD72" i="12"/>
  <c r="HE72" i="12"/>
  <c r="HF72" i="12"/>
  <c r="HG72" i="12"/>
  <c r="HH72" i="12"/>
  <c r="HI72" i="12"/>
  <c r="HJ72" i="12"/>
  <c r="HK72" i="12"/>
  <c r="HL72" i="12"/>
  <c r="HM72" i="12"/>
  <c r="HN72" i="12"/>
  <c r="HO72" i="12"/>
  <c r="HP72" i="12"/>
  <c r="HQ72" i="12"/>
  <c r="HR72" i="12"/>
  <c r="HS72" i="12"/>
  <c r="HT72" i="12"/>
  <c r="HU72" i="12"/>
  <c r="HV72" i="12"/>
  <c r="HW72" i="12"/>
  <c r="HX72" i="12"/>
  <c r="HY72" i="12"/>
  <c r="HZ72" i="12"/>
  <c r="IA72" i="12"/>
  <c r="IB72" i="12"/>
  <c r="IC72" i="12"/>
  <c r="A71" i="12"/>
  <c r="B71" i="12"/>
  <c r="C71" i="12"/>
  <c r="D71" i="12"/>
  <c r="E71" i="12"/>
  <c r="F71" i="12"/>
  <c r="G71" i="12"/>
  <c r="H71" i="12"/>
  <c r="I71" i="12"/>
  <c r="J71" i="12"/>
  <c r="K71" i="12"/>
  <c r="L71" i="12"/>
  <c r="M71" i="12"/>
  <c r="N71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AA71" i="12"/>
  <c r="AB71" i="12"/>
  <c r="AC71" i="12"/>
  <c r="AD71" i="12"/>
  <c r="AE71" i="12"/>
  <c r="AF71" i="12"/>
  <c r="AG71" i="12"/>
  <c r="AH71" i="12"/>
  <c r="AI71" i="12"/>
  <c r="AJ71" i="12"/>
  <c r="AK71" i="12"/>
  <c r="AL71" i="12"/>
  <c r="AM71" i="12"/>
  <c r="AN71" i="12"/>
  <c r="AO71" i="12"/>
  <c r="AP71" i="12"/>
  <c r="AQ71" i="12"/>
  <c r="AR71" i="12"/>
  <c r="AS71" i="12"/>
  <c r="AT71" i="12"/>
  <c r="AU71" i="12"/>
  <c r="AV71" i="12"/>
  <c r="AW71" i="12"/>
  <c r="AX71" i="12"/>
  <c r="AY71" i="12"/>
  <c r="AZ71" i="12"/>
  <c r="BA71" i="12"/>
  <c r="BB71" i="12"/>
  <c r="BC71" i="12"/>
  <c r="BD71" i="12"/>
  <c r="BE71" i="12"/>
  <c r="BF71" i="12"/>
  <c r="BG71" i="12"/>
  <c r="BH71" i="12"/>
  <c r="BI71" i="12"/>
  <c r="BJ71" i="12"/>
  <c r="BK71" i="12"/>
  <c r="BL71" i="12"/>
  <c r="BM71" i="12"/>
  <c r="BN71" i="12"/>
  <c r="BO71" i="12"/>
  <c r="BP71" i="12"/>
  <c r="BQ71" i="12"/>
  <c r="BR71" i="12"/>
  <c r="BS71" i="12"/>
  <c r="BT71" i="12"/>
  <c r="BU71" i="12"/>
  <c r="BV71" i="12"/>
  <c r="BW71" i="12"/>
  <c r="BX71" i="12"/>
  <c r="BY71" i="12"/>
  <c r="BZ71" i="12"/>
  <c r="CA71" i="12"/>
  <c r="CB71" i="12"/>
  <c r="CC71" i="12"/>
  <c r="CD71" i="12"/>
  <c r="CE71" i="12"/>
  <c r="CF71" i="12"/>
  <c r="CG71" i="12"/>
  <c r="CH71" i="12"/>
  <c r="CI71" i="12"/>
  <c r="CJ71" i="12"/>
  <c r="CK71" i="12"/>
  <c r="CL71" i="12"/>
  <c r="CM71" i="12"/>
  <c r="CN71" i="12"/>
  <c r="CO71" i="12"/>
  <c r="CP71" i="12"/>
  <c r="CQ71" i="12"/>
  <c r="CR71" i="12"/>
  <c r="CS71" i="12"/>
  <c r="CT71" i="12"/>
  <c r="CU71" i="12"/>
  <c r="CV71" i="12"/>
  <c r="CW71" i="12"/>
  <c r="CX71" i="12"/>
  <c r="CY71" i="12"/>
  <c r="CZ71" i="12"/>
  <c r="DA71" i="12"/>
  <c r="DB71" i="12"/>
  <c r="DC71" i="12"/>
  <c r="DD71" i="12"/>
  <c r="DE71" i="12"/>
  <c r="DF71" i="12"/>
  <c r="DG71" i="12"/>
  <c r="DH71" i="12"/>
  <c r="DI71" i="12"/>
  <c r="DJ71" i="12"/>
  <c r="DK71" i="12"/>
  <c r="DL71" i="12"/>
  <c r="DM71" i="12"/>
  <c r="DN71" i="12"/>
  <c r="DO71" i="12"/>
  <c r="DP71" i="12"/>
  <c r="DQ71" i="12"/>
  <c r="DR71" i="12"/>
  <c r="DS71" i="12"/>
  <c r="DT71" i="12"/>
  <c r="DU71" i="12"/>
  <c r="DV71" i="12"/>
  <c r="DW71" i="12"/>
  <c r="DX71" i="12"/>
  <c r="DY71" i="12"/>
  <c r="DZ71" i="12"/>
  <c r="EA71" i="12"/>
  <c r="EB71" i="12"/>
  <c r="EC71" i="12"/>
  <c r="ED71" i="12"/>
  <c r="EE71" i="12"/>
  <c r="EF71" i="12"/>
  <c r="EG71" i="12"/>
  <c r="EH71" i="12"/>
  <c r="EI71" i="12"/>
  <c r="EJ71" i="12"/>
  <c r="EK71" i="12"/>
  <c r="EL71" i="12"/>
  <c r="EM71" i="12"/>
  <c r="EN71" i="12"/>
  <c r="EO71" i="12"/>
  <c r="EP71" i="12"/>
  <c r="EQ71" i="12"/>
  <c r="ER71" i="12"/>
  <c r="ES71" i="12"/>
  <c r="ET71" i="12"/>
  <c r="EU71" i="12"/>
  <c r="EV71" i="12"/>
  <c r="EW71" i="12"/>
  <c r="EX71" i="12"/>
  <c r="EY71" i="12"/>
  <c r="EZ71" i="12"/>
  <c r="FA71" i="12"/>
  <c r="FB71" i="12"/>
  <c r="FC71" i="12"/>
  <c r="FD71" i="12"/>
  <c r="FE71" i="12"/>
  <c r="FF71" i="12"/>
  <c r="FG71" i="12"/>
  <c r="FH71" i="12"/>
  <c r="FI71" i="12"/>
  <c r="FJ71" i="12"/>
  <c r="FK71" i="12"/>
  <c r="FL71" i="12"/>
  <c r="FM71" i="12"/>
  <c r="FN71" i="12"/>
  <c r="FO71" i="12"/>
  <c r="FP71" i="12"/>
  <c r="FQ71" i="12"/>
  <c r="FR71" i="12"/>
  <c r="FS71" i="12"/>
  <c r="FT71" i="12"/>
  <c r="FU71" i="12"/>
  <c r="FV71" i="12"/>
  <c r="FW71" i="12"/>
  <c r="FX71" i="12"/>
  <c r="FY71" i="12"/>
  <c r="FZ71" i="12"/>
  <c r="GA71" i="12"/>
  <c r="GB71" i="12"/>
  <c r="GC71" i="12"/>
  <c r="GD71" i="12"/>
  <c r="GE71" i="12"/>
  <c r="GF71" i="12"/>
  <c r="GG71" i="12"/>
  <c r="GH71" i="12"/>
  <c r="GI71" i="12"/>
  <c r="GJ71" i="12"/>
  <c r="GK71" i="12"/>
  <c r="GL71" i="12"/>
  <c r="GM71" i="12"/>
  <c r="GN71" i="12"/>
  <c r="GO71" i="12"/>
  <c r="GP71" i="12"/>
  <c r="GQ71" i="12"/>
  <c r="GR71" i="12"/>
  <c r="GS71" i="12"/>
  <c r="GT71" i="12"/>
  <c r="GU71" i="12"/>
  <c r="GV71" i="12"/>
  <c r="GW71" i="12"/>
  <c r="GX71" i="12"/>
  <c r="GY71" i="12"/>
  <c r="GZ71" i="12"/>
  <c r="HA71" i="12"/>
  <c r="HB71" i="12"/>
  <c r="HC71" i="12"/>
  <c r="HD71" i="12"/>
  <c r="HE71" i="12"/>
  <c r="HF71" i="12"/>
  <c r="HG71" i="12"/>
  <c r="HH71" i="12"/>
  <c r="HI71" i="12"/>
  <c r="HJ71" i="12"/>
  <c r="HK71" i="12"/>
  <c r="HL71" i="12"/>
  <c r="HM71" i="12"/>
  <c r="HN71" i="12"/>
  <c r="HO71" i="12"/>
  <c r="HP71" i="12"/>
  <c r="HQ71" i="12"/>
  <c r="HR71" i="12"/>
  <c r="HS71" i="12"/>
  <c r="HT71" i="12"/>
  <c r="HU71" i="12"/>
  <c r="HV71" i="12"/>
  <c r="HW71" i="12"/>
  <c r="HX71" i="12"/>
  <c r="HY71" i="12"/>
  <c r="HZ71" i="12"/>
  <c r="IA71" i="12"/>
  <c r="IB71" i="12"/>
  <c r="IC71" i="12"/>
  <c r="ID71" i="12"/>
  <c r="IE71" i="12"/>
  <c r="IF71" i="12"/>
  <c r="IG71" i="12"/>
  <c r="IH71" i="12"/>
  <c r="II71" i="12"/>
  <c r="IJ71" i="12"/>
  <c r="IK71" i="12"/>
  <c r="IL71" i="12"/>
  <c r="IM71" i="12"/>
  <c r="IN71" i="12"/>
  <c r="IO71" i="12"/>
  <c r="IP71" i="12"/>
  <c r="IQ71" i="12"/>
  <c r="IR71" i="12"/>
  <c r="IS71" i="12"/>
  <c r="IT71" i="12"/>
  <c r="IU71" i="12"/>
  <c r="IV71" i="12"/>
  <c r="A70" i="12"/>
  <c r="B70" i="12"/>
  <c r="C70" i="12"/>
  <c r="D70" i="12"/>
  <c r="E70" i="12"/>
  <c r="F70" i="12"/>
  <c r="G70" i="12"/>
  <c r="H70" i="12"/>
  <c r="I70" i="12"/>
  <c r="J70" i="12"/>
  <c r="K70" i="12"/>
  <c r="L70" i="12"/>
  <c r="M70" i="12"/>
  <c r="N70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AA70" i="12"/>
  <c r="AB70" i="12"/>
  <c r="AC70" i="12"/>
  <c r="AD70" i="12"/>
  <c r="AE70" i="12"/>
  <c r="AF70" i="12"/>
  <c r="AG70" i="12"/>
  <c r="AH70" i="12"/>
  <c r="AI70" i="12"/>
  <c r="AJ70" i="12"/>
  <c r="AK70" i="12"/>
  <c r="AL70" i="12"/>
  <c r="AM70" i="12"/>
  <c r="AN70" i="12"/>
  <c r="AO70" i="12"/>
  <c r="AP70" i="12"/>
  <c r="AQ70" i="12"/>
  <c r="AR70" i="12"/>
  <c r="AS70" i="12"/>
  <c r="AT70" i="12"/>
  <c r="AU70" i="12"/>
  <c r="AV70" i="12"/>
  <c r="AW70" i="12"/>
  <c r="AX70" i="12"/>
  <c r="AY70" i="12"/>
  <c r="AZ70" i="12"/>
  <c r="BA70" i="12"/>
  <c r="BB70" i="12"/>
  <c r="BC70" i="12"/>
  <c r="BD70" i="12"/>
  <c r="BE70" i="12"/>
  <c r="BF70" i="12"/>
  <c r="BG70" i="12"/>
  <c r="BH70" i="12"/>
  <c r="BI70" i="12"/>
  <c r="BJ70" i="12"/>
  <c r="BK70" i="12"/>
  <c r="BL70" i="12"/>
  <c r="BM70" i="12"/>
  <c r="BN70" i="12"/>
  <c r="BO70" i="12"/>
  <c r="BP70" i="12"/>
  <c r="BQ70" i="12"/>
  <c r="BR70" i="12"/>
  <c r="BS70" i="12"/>
  <c r="BT70" i="12"/>
  <c r="BU70" i="12"/>
  <c r="BV70" i="12"/>
  <c r="BW70" i="12"/>
  <c r="BX70" i="12"/>
  <c r="BY70" i="12"/>
  <c r="BZ70" i="12"/>
  <c r="CA70" i="12"/>
  <c r="CB70" i="12"/>
  <c r="CC70" i="12"/>
  <c r="CD70" i="12"/>
  <c r="CE70" i="12"/>
  <c r="CF70" i="12"/>
  <c r="CG70" i="12"/>
  <c r="CH70" i="12"/>
  <c r="CI70" i="12"/>
  <c r="CJ70" i="12"/>
  <c r="CK70" i="12"/>
  <c r="CL70" i="12"/>
  <c r="CM70" i="12"/>
  <c r="CN70" i="12"/>
  <c r="CO70" i="12"/>
  <c r="CP70" i="12"/>
  <c r="CQ70" i="12"/>
  <c r="CR70" i="12"/>
  <c r="CS70" i="12"/>
  <c r="CT70" i="12"/>
  <c r="CU70" i="12"/>
  <c r="CV70" i="12"/>
  <c r="CW70" i="12"/>
  <c r="CX70" i="12"/>
  <c r="CY70" i="12"/>
  <c r="CZ70" i="12"/>
  <c r="DA70" i="12"/>
  <c r="DB70" i="12"/>
  <c r="DC70" i="12"/>
  <c r="DD70" i="12"/>
  <c r="DE70" i="12"/>
  <c r="DF70" i="12"/>
  <c r="DG70" i="12"/>
  <c r="DH70" i="12"/>
  <c r="DI70" i="12"/>
  <c r="DJ70" i="12"/>
  <c r="DK70" i="12"/>
  <c r="DL70" i="12"/>
  <c r="DM70" i="12"/>
  <c r="DN70" i="12"/>
  <c r="DO70" i="12"/>
  <c r="DP70" i="12"/>
  <c r="DQ70" i="12"/>
  <c r="DR70" i="12"/>
  <c r="DS70" i="12"/>
  <c r="DT70" i="12"/>
  <c r="DU70" i="12"/>
  <c r="DV70" i="12"/>
  <c r="DW70" i="12"/>
  <c r="DX70" i="12"/>
  <c r="DY70" i="12"/>
  <c r="DZ70" i="12"/>
  <c r="EA70" i="12"/>
  <c r="EB70" i="12"/>
  <c r="EC70" i="12"/>
  <c r="ED70" i="12"/>
  <c r="EE70" i="12"/>
  <c r="EF70" i="12"/>
  <c r="EG70" i="12"/>
  <c r="EH70" i="12"/>
  <c r="EI70" i="12"/>
  <c r="EJ70" i="12"/>
  <c r="EK70" i="12"/>
  <c r="EL70" i="12"/>
  <c r="EM70" i="12"/>
  <c r="EN70" i="12"/>
  <c r="EO70" i="12"/>
  <c r="EP70" i="12"/>
  <c r="EQ70" i="12"/>
  <c r="ER70" i="12"/>
  <c r="ES70" i="12"/>
  <c r="ET70" i="12"/>
  <c r="EU70" i="12"/>
  <c r="EV70" i="12"/>
  <c r="EW70" i="12"/>
  <c r="EX70" i="12"/>
  <c r="EY70" i="12"/>
  <c r="EZ70" i="12"/>
  <c r="FA70" i="12"/>
  <c r="FB70" i="12"/>
  <c r="FC70" i="12"/>
  <c r="FD70" i="12"/>
  <c r="FE70" i="12"/>
  <c r="FF70" i="12"/>
  <c r="FG70" i="12"/>
  <c r="FH70" i="12"/>
  <c r="FI70" i="12"/>
  <c r="FJ70" i="12"/>
  <c r="FK70" i="12"/>
  <c r="FL70" i="12"/>
  <c r="FM70" i="12"/>
  <c r="FN70" i="12"/>
  <c r="FO70" i="12"/>
  <c r="FP70" i="12"/>
  <c r="FQ70" i="12"/>
  <c r="FR70" i="12"/>
  <c r="FS70" i="12"/>
  <c r="FT70" i="12"/>
  <c r="FU70" i="12"/>
  <c r="FV70" i="12"/>
  <c r="FW70" i="12"/>
  <c r="FX70" i="12"/>
  <c r="FY70" i="12"/>
  <c r="FZ70" i="12"/>
  <c r="GA70" i="12"/>
  <c r="GB70" i="12"/>
  <c r="GC70" i="12"/>
  <c r="GD70" i="12"/>
  <c r="GE70" i="12"/>
  <c r="GF70" i="12"/>
  <c r="GG70" i="12"/>
  <c r="GH70" i="12"/>
  <c r="GI70" i="12"/>
  <c r="GJ70" i="12"/>
  <c r="GK70" i="12"/>
  <c r="GL70" i="12"/>
  <c r="GM70" i="12"/>
  <c r="GN70" i="12"/>
  <c r="GO70" i="12"/>
  <c r="GP70" i="12"/>
  <c r="GQ70" i="12"/>
  <c r="GR70" i="12"/>
  <c r="GS70" i="12"/>
  <c r="GT70" i="12"/>
  <c r="GU70" i="12"/>
  <c r="GV70" i="12"/>
  <c r="GW70" i="12"/>
  <c r="GX70" i="12"/>
  <c r="GY70" i="12"/>
  <c r="GZ70" i="12"/>
  <c r="HA70" i="12"/>
  <c r="HB70" i="12"/>
  <c r="HC70" i="12"/>
  <c r="HD70" i="12"/>
  <c r="HE70" i="12"/>
  <c r="HF70" i="12"/>
  <c r="HG70" i="12"/>
  <c r="HH70" i="12"/>
  <c r="HI70" i="12"/>
  <c r="HJ70" i="12"/>
  <c r="HK70" i="12"/>
  <c r="HL70" i="12"/>
  <c r="HM70" i="12"/>
  <c r="HN70" i="12"/>
  <c r="HO70" i="12"/>
  <c r="HP70" i="12"/>
  <c r="HQ70" i="12"/>
  <c r="HR70" i="12"/>
  <c r="HS70" i="12"/>
  <c r="HT70" i="12"/>
  <c r="HU70" i="12"/>
  <c r="HV70" i="12"/>
  <c r="HW70" i="12"/>
  <c r="HX70" i="12"/>
  <c r="HY70" i="12"/>
  <c r="HZ70" i="12"/>
  <c r="IA70" i="12"/>
  <c r="IB70" i="12"/>
  <c r="IC70" i="12"/>
  <c r="ID70" i="12"/>
  <c r="IE70" i="12"/>
  <c r="IF70" i="12"/>
  <c r="IG70" i="12"/>
  <c r="IH70" i="12"/>
  <c r="II70" i="12"/>
  <c r="IJ70" i="12"/>
  <c r="IK70" i="12"/>
  <c r="IL70" i="12"/>
  <c r="IM70" i="12"/>
  <c r="IN70" i="12"/>
  <c r="IO70" i="12"/>
  <c r="IP70" i="12"/>
  <c r="IQ70" i="12"/>
  <c r="IR70" i="12"/>
  <c r="IS70" i="12"/>
  <c r="IT70" i="12"/>
  <c r="IU70" i="12"/>
  <c r="IV70" i="12"/>
  <c r="E69" i="12"/>
  <c r="P68" i="12"/>
  <c r="A69" i="12"/>
  <c r="B69" i="12"/>
  <c r="C69" i="12"/>
  <c r="D69" i="12"/>
  <c r="F69" i="12"/>
  <c r="G69" i="12"/>
  <c r="H69" i="12"/>
  <c r="I69" i="12"/>
  <c r="J69" i="12"/>
  <c r="K69" i="12"/>
  <c r="L69" i="12"/>
  <c r="M69" i="12"/>
  <c r="N69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BC69" i="12"/>
  <c r="BD69" i="12"/>
  <c r="BE69" i="12"/>
  <c r="BF69" i="12"/>
  <c r="BG69" i="12"/>
  <c r="BH69" i="12"/>
  <c r="BI69" i="12"/>
  <c r="BJ69" i="12"/>
  <c r="BK69" i="12"/>
  <c r="BL69" i="12"/>
  <c r="BM69" i="12"/>
  <c r="BN69" i="12"/>
  <c r="BO69" i="12"/>
  <c r="BP69" i="12"/>
  <c r="BQ69" i="12"/>
  <c r="BR69" i="12"/>
  <c r="BS69" i="12"/>
  <c r="BT69" i="12"/>
  <c r="BU69" i="12"/>
  <c r="BV69" i="12"/>
  <c r="BW69" i="12"/>
  <c r="BX69" i="12"/>
  <c r="BY69" i="12"/>
  <c r="BZ69" i="12"/>
  <c r="CA69" i="12"/>
  <c r="CB69" i="12"/>
  <c r="CC69" i="12"/>
  <c r="CD69" i="12"/>
  <c r="CE69" i="12"/>
  <c r="CF69" i="12"/>
  <c r="CG69" i="12"/>
  <c r="CH69" i="12"/>
  <c r="CI69" i="12"/>
  <c r="CJ69" i="12"/>
  <c r="CK69" i="12"/>
  <c r="CL69" i="12"/>
  <c r="CM69" i="12"/>
  <c r="CN69" i="12"/>
  <c r="CO69" i="12"/>
  <c r="CP69" i="12"/>
  <c r="CQ69" i="12"/>
  <c r="CR69" i="12"/>
  <c r="CS69" i="12"/>
  <c r="CT69" i="12"/>
  <c r="CU69" i="12"/>
  <c r="CV69" i="12"/>
  <c r="CW69" i="12"/>
  <c r="CX69" i="12"/>
  <c r="CY69" i="12"/>
  <c r="CZ69" i="12"/>
  <c r="DA69" i="12"/>
  <c r="DB69" i="12"/>
  <c r="DC69" i="12"/>
  <c r="DD69" i="12"/>
  <c r="DE69" i="12"/>
  <c r="DF69" i="12"/>
  <c r="DG69" i="12"/>
  <c r="DH69" i="12"/>
  <c r="DI69" i="12"/>
  <c r="DJ69" i="12"/>
  <c r="DK69" i="12"/>
  <c r="DL69" i="12"/>
  <c r="DM69" i="12"/>
  <c r="DN69" i="12"/>
  <c r="DO69" i="12"/>
  <c r="DP69" i="12"/>
  <c r="DQ69" i="12"/>
  <c r="DR69" i="12"/>
  <c r="DS69" i="12"/>
  <c r="DT69" i="12"/>
  <c r="DU69" i="12"/>
  <c r="DV69" i="12"/>
  <c r="DW69" i="12"/>
  <c r="DX69" i="12"/>
  <c r="DY69" i="12"/>
  <c r="DZ69" i="12"/>
  <c r="EA69" i="12"/>
  <c r="EB69" i="12"/>
  <c r="EC69" i="12"/>
  <c r="ED69" i="12"/>
  <c r="EE69" i="12"/>
  <c r="EF69" i="12"/>
  <c r="EG69" i="12"/>
  <c r="EH69" i="12"/>
  <c r="EI69" i="12"/>
  <c r="EJ69" i="12"/>
  <c r="EK69" i="12"/>
  <c r="EM69" i="12"/>
  <c r="A68" i="12"/>
  <c r="B68" i="12"/>
  <c r="C68" i="12"/>
  <c r="D68" i="12"/>
  <c r="E68" i="12"/>
  <c r="F68" i="12"/>
  <c r="G68" i="12"/>
  <c r="H68" i="12"/>
  <c r="I68" i="12"/>
  <c r="J68" i="12"/>
  <c r="K68" i="12"/>
  <c r="L68" i="12"/>
  <c r="M68" i="12"/>
  <c r="N68" i="12"/>
  <c r="O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E68" i="12"/>
  <c r="AF68" i="12"/>
  <c r="AG68" i="12"/>
  <c r="AH68" i="12"/>
  <c r="AI68" i="12"/>
  <c r="AJ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AY68" i="12"/>
  <c r="AZ68" i="12"/>
  <c r="BA68" i="12"/>
  <c r="BB68" i="12"/>
  <c r="BC68" i="12"/>
  <c r="BD68" i="12"/>
  <c r="BE68" i="12"/>
  <c r="BF68" i="12"/>
  <c r="BG68" i="12"/>
  <c r="BH68" i="12"/>
  <c r="BI68" i="12"/>
  <c r="BJ68" i="12"/>
  <c r="BK68" i="12"/>
  <c r="BL68" i="12"/>
  <c r="BM68" i="12"/>
  <c r="BN68" i="12"/>
  <c r="BO68" i="12"/>
  <c r="BP68" i="12"/>
  <c r="BQ68" i="12"/>
  <c r="BR68" i="12"/>
  <c r="BS68" i="12"/>
  <c r="BT68" i="12"/>
  <c r="BU68" i="12"/>
  <c r="BV68" i="12"/>
  <c r="BW68" i="12"/>
  <c r="BX68" i="12"/>
  <c r="BY68" i="12"/>
  <c r="BZ68" i="12"/>
  <c r="CA68" i="12"/>
  <c r="CB68" i="12"/>
  <c r="CC68" i="12"/>
  <c r="CD68" i="12"/>
  <c r="CE68" i="12"/>
  <c r="CF68" i="12"/>
  <c r="CG68" i="12"/>
  <c r="CH68" i="12"/>
  <c r="CI68" i="12"/>
  <c r="CJ68" i="12"/>
  <c r="CK68" i="12"/>
  <c r="CL68" i="12"/>
  <c r="CM68" i="12"/>
  <c r="CN68" i="12"/>
  <c r="CO68" i="12"/>
  <c r="CP68" i="12"/>
  <c r="CQ68" i="12"/>
  <c r="CR68" i="12"/>
  <c r="CS68" i="12"/>
  <c r="CT68" i="12"/>
  <c r="CU68" i="12"/>
  <c r="CV68" i="12"/>
  <c r="CW68" i="12"/>
  <c r="CX68" i="12"/>
  <c r="CY68" i="12"/>
  <c r="CZ68" i="12"/>
  <c r="DA68" i="12"/>
  <c r="DB68" i="12"/>
  <c r="DC68" i="12"/>
  <c r="DD68" i="12"/>
  <c r="DE68" i="12"/>
  <c r="DF68" i="12"/>
  <c r="DG68" i="12"/>
  <c r="DH68" i="12"/>
  <c r="DI68" i="12"/>
  <c r="DJ68" i="12"/>
  <c r="DK68" i="12"/>
  <c r="DL68" i="12"/>
  <c r="DM68" i="12"/>
  <c r="DN68" i="12"/>
  <c r="DO68" i="12"/>
  <c r="DP68" i="12"/>
  <c r="DQ68" i="12"/>
  <c r="DR68" i="12"/>
  <c r="DS68" i="12"/>
  <c r="DT68" i="12"/>
  <c r="DU68" i="12"/>
  <c r="DV68" i="12"/>
  <c r="DW68" i="12"/>
  <c r="DX68" i="12"/>
  <c r="DY68" i="12"/>
  <c r="DZ68" i="12"/>
  <c r="EA68" i="12"/>
  <c r="EB68" i="12"/>
  <c r="EC68" i="12"/>
  <c r="ED68" i="12"/>
  <c r="EE68" i="12"/>
  <c r="EF68" i="12"/>
  <c r="EG68" i="12"/>
  <c r="EH68" i="12"/>
  <c r="EI68" i="12"/>
  <c r="EJ68" i="12"/>
  <c r="EK68" i="12"/>
  <c r="EL68" i="12"/>
  <c r="EM68" i="12"/>
  <c r="EN68" i="12"/>
  <c r="EO68" i="12"/>
  <c r="EP68" i="12"/>
  <c r="EQ68" i="12"/>
  <c r="ER68" i="12"/>
  <c r="ES68" i="12"/>
  <c r="ET68" i="12"/>
  <c r="EU68" i="12"/>
  <c r="EV68" i="12"/>
  <c r="EW68" i="12"/>
  <c r="EX68" i="12"/>
  <c r="EY68" i="12"/>
  <c r="EZ68" i="12"/>
  <c r="FA68" i="12"/>
  <c r="FB68" i="12"/>
  <c r="FC68" i="12"/>
  <c r="FD68" i="12"/>
  <c r="FE68" i="12"/>
  <c r="FF68" i="12"/>
  <c r="FG68" i="12"/>
  <c r="FH68" i="12"/>
  <c r="FI68" i="12"/>
  <c r="FJ68" i="12"/>
  <c r="FK68" i="12"/>
  <c r="FL68" i="12"/>
  <c r="FM68" i="12"/>
  <c r="FN68" i="12"/>
  <c r="FO68" i="12"/>
  <c r="FP68" i="12"/>
  <c r="FQ68" i="12"/>
  <c r="FR68" i="12"/>
  <c r="FS68" i="12"/>
  <c r="FT68" i="12"/>
  <c r="FU68" i="12"/>
  <c r="FV68" i="12"/>
  <c r="FW68" i="12"/>
  <c r="FX68" i="12"/>
  <c r="FY68" i="12"/>
  <c r="FZ68" i="12"/>
  <c r="GA68" i="12"/>
  <c r="GB68" i="12"/>
  <c r="GC68" i="12"/>
  <c r="GD68" i="12"/>
  <c r="GE68" i="12"/>
  <c r="GF68" i="12"/>
  <c r="GG68" i="12"/>
  <c r="GH68" i="12"/>
  <c r="GI68" i="12"/>
  <c r="GJ68" i="12"/>
  <c r="GK68" i="12"/>
  <c r="GL68" i="12"/>
  <c r="GM68" i="12"/>
  <c r="GN68" i="12"/>
  <c r="GO68" i="12"/>
  <c r="GP68" i="12"/>
  <c r="GQ68" i="12"/>
  <c r="GR68" i="12"/>
  <c r="GS68" i="12"/>
  <c r="GT68" i="12"/>
  <c r="GU68" i="12"/>
  <c r="GV68" i="12"/>
  <c r="GW68" i="12"/>
  <c r="GX68" i="12"/>
  <c r="GY68" i="12"/>
  <c r="GZ68" i="12"/>
  <c r="HA68" i="12"/>
  <c r="HB68" i="12"/>
  <c r="HC68" i="12"/>
  <c r="HD68" i="12"/>
  <c r="HE68" i="12"/>
  <c r="HF68" i="12"/>
  <c r="HG68" i="12"/>
  <c r="HH68" i="12"/>
  <c r="HI68" i="12"/>
  <c r="HJ68" i="12"/>
  <c r="HK68" i="12"/>
  <c r="HL68" i="12"/>
  <c r="HM68" i="12"/>
  <c r="HN68" i="12"/>
  <c r="HO68" i="12"/>
  <c r="HP68" i="12"/>
  <c r="HQ68" i="12"/>
  <c r="HR68" i="12"/>
  <c r="HS68" i="12"/>
  <c r="HT68" i="12"/>
  <c r="HU68" i="12"/>
  <c r="HV68" i="12"/>
  <c r="HW68" i="12"/>
  <c r="HX68" i="12"/>
  <c r="HY68" i="12"/>
  <c r="HZ68" i="12"/>
  <c r="IA68" i="12"/>
  <c r="IB68" i="12"/>
  <c r="IC68" i="12"/>
  <c r="ID68" i="12"/>
  <c r="IE68" i="12"/>
  <c r="IF68" i="12"/>
  <c r="IG68" i="12"/>
  <c r="IH68" i="12"/>
  <c r="II68" i="12"/>
  <c r="IJ68" i="12"/>
  <c r="IK68" i="12"/>
  <c r="IL68" i="12"/>
  <c r="IM68" i="12"/>
  <c r="IN68" i="12"/>
  <c r="IO68" i="12"/>
  <c r="IP68" i="12"/>
  <c r="IQ68" i="12"/>
  <c r="IR68" i="12"/>
  <c r="IS68" i="12"/>
  <c r="IT68" i="12"/>
  <c r="IU68" i="12"/>
  <c r="IV68" i="12"/>
  <c r="A67" i="12"/>
  <c r="B67" i="12"/>
  <c r="C67" i="12"/>
  <c r="D67" i="12"/>
  <c r="E67" i="12"/>
  <c r="F67" i="12"/>
  <c r="G67" i="12"/>
  <c r="H67" i="12"/>
  <c r="I67" i="12"/>
  <c r="J67" i="12"/>
  <c r="K67" i="12"/>
  <c r="L67" i="12"/>
  <c r="M67" i="12"/>
  <c r="N67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AA67" i="12"/>
  <c r="AB67" i="12"/>
  <c r="AC67" i="12"/>
  <c r="AD67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AZ67" i="12"/>
  <c r="BA67" i="12"/>
  <c r="BB67" i="12"/>
  <c r="BC67" i="12"/>
  <c r="BD67" i="12"/>
  <c r="BE67" i="12"/>
  <c r="BF67" i="12"/>
  <c r="BG67" i="12"/>
  <c r="BH67" i="12"/>
  <c r="BI67" i="12"/>
  <c r="BJ67" i="12"/>
  <c r="BK67" i="12"/>
  <c r="BL67" i="12"/>
  <c r="BM67" i="12"/>
  <c r="BN67" i="12"/>
  <c r="BO67" i="12"/>
  <c r="BP67" i="12"/>
  <c r="BQ67" i="12"/>
  <c r="BR67" i="12"/>
  <c r="BS67" i="12"/>
  <c r="BT67" i="12"/>
  <c r="BU67" i="12"/>
  <c r="BV67" i="12"/>
  <c r="BW67" i="12"/>
  <c r="BX67" i="12"/>
  <c r="BY67" i="12"/>
  <c r="BZ67" i="12"/>
  <c r="CA67" i="12"/>
  <c r="CB67" i="12"/>
  <c r="CC67" i="12"/>
  <c r="CD67" i="12"/>
  <c r="CE67" i="12"/>
  <c r="CF67" i="12"/>
  <c r="CG67" i="12"/>
  <c r="CH67" i="12"/>
  <c r="CI67" i="12"/>
  <c r="CJ67" i="12"/>
  <c r="CK67" i="12"/>
  <c r="CL67" i="12"/>
  <c r="CM67" i="12"/>
  <c r="CN67" i="12"/>
  <c r="CO67" i="12"/>
  <c r="CP67" i="12"/>
  <c r="CQ67" i="12"/>
  <c r="CR67" i="12"/>
  <c r="CS67" i="12"/>
  <c r="CT67" i="12"/>
  <c r="CU67" i="12"/>
  <c r="CV67" i="12"/>
  <c r="CW67" i="12"/>
  <c r="CX67" i="12"/>
  <c r="CY67" i="12"/>
  <c r="CZ67" i="12"/>
  <c r="DA67" i="12"/>
  <c r="DB67" i="12"/>
  <c r="DC67" i="12"/>
  <c r="DD67" i="12"/>
  <c r="DE67" i="12"/>
  <c r="DF67" i="12"/>
  <c r="DG67" i="12"/>
  <c r="DH67" i="12"/>
  <c r="DI67" i="12"/>
  <c r="DJ67" i="12"/>
  <c r="DK67" i="12"/>
  <c r="DL67" i="12"/>
  <c r="DM67" i="12"/>
  <c r="DN67" i="12"/>
  <c r="DO67" i="12"/>
  <c r="DP67" i="12"/>
  <c r="DQ67" i="12"/>
  <c r="DR67" i="12"/>
  <c r="DS67" i="12"/>
  <c r="DT67" i="12"/>
  <c r="DU67" i="12"/>
  <c r="DV67" i="12"/>
  <c r="DW67" i="12"/>
  <c r="DX67" i="12"/>
  <c r="DY67" i="12"/>
  <c r="DZ67" i="12"/>
  <c r="EA67" i="12"/>
  <c r="EB67" i="12"/>
  <c r="EC67" i="12"/>
  <c r="ED67" i="12"/>
  <c r="EE67" i="12"/>
  <c r="EF67" i="12"/>
  <c r="EG67" i="12"/>
  <c r="EH67" i="12"/>
  <c r="EI67" i="12"/>
  <c r="EJ67" i="12"/>
  <c r="EK67" i="12"/>
  <c r="EL67" i="12"/>
  <c r="EM67" i="12"/>
  <c r="EN67" i="12"/>
  <c r="EO67" i="12"/>
  <c r="EP67" i="12"/>
  <c r="EQ67" i="12"/>
  <c r="ER67" i="12"/>
  <c r="ES67" i="12"/>
  <c r="ET67" i="12"/>
  <c r="EU67" i="12"/>
  <c r="EV67" i="12"/>
  <c r="EW67" i="12"/>
  <c r="EX67" i="12"/>
  <c r="EY67" i="12"/>
  <c r="EZ67" i="12"/>
  <c r="FA67" i="12"/>
  <c r="FB67" i="12"/>
  <c r="FC67" i="12"/>
  <c r="FD67" i="12"/>
  <c r="FE67" i="12"/>
  <c r="FF67" i="12"/>
  <c r="FG67" i="12"/>
  <c r="FH67" i="12"/>
  <c r="FI67" i="12"/>
  <c r="FJ67" i="12"/>
  <c r="FK67" i="12"/>
  <c r="FL67" i="12"/>
  <c r="FM67" i="12"/>
  <c r="FN67" i="12"/>
  <c r="FO67" i="12"/>
  <c r="FP67" i="12"/>
  <c r="FQ67" i="12"/>
  <c r="FR67" i="12"/>
  <c r="FS67" i="12"/>
  <c r="FT67" i="12"/>
  <c r="FU67" i="12"/>
  <c r="FV67" i="12"/>
  <c r="FW67" i="12"/>
  <c r="FX67" i="12"/>
  <c r="FY67" i="12"/>
  <c r="FZ67" i="12"/>
  <c r="GA67" i="12"/>
  <c r="GB67" i="12"/>
  <c r="GC67" i="12"/>
  <c r="GD67" i="12"/>
  <c r="GE67" i="12"/>
  <c r="GF67" i="12"/>
  <c r="GG67" i="12"/>
  <c r="GH67" i="12"/>
  <c r="GI67" i="12"/>
  <c r="GJ67" i="12"/>
  <c r="GK67" i="12"/>
  <c r="GL67" i="12"/>
  <c r="GM67" i="12"/>
  <c r="GN67" i="12"/>
  <c r="GO67" i="12"/>
  <c r="GP67" i="12"/>
  <c r="GQ67" i="12"/>
  <c r="GR67" i="12"/>
  <c r="GS67" i="12"/>
  <c r="GT67" i="12"/>
  <c r="GU67" i="12"/>
  <c r="GV67" i="12"/>
  <c r="GW67" i="12"/>
  <c r="GX67" i="12"/>
  <c r="GY67" i="12"/>
  <c r="GZ67" i="12"/>
  <c r="HA67" i="12"/>
  <c r="HB67" i="12"/>
  <c r="HC67" i="12"/>
  <c r="HD67" i="12"/>
  <c r="HE67" i="12"/>
  <c r="HF67" i="12"/>
  <c r="HG67" i="12"/>
  <c r="HH67" i="12"/>
  <c r="HI67" i="12"/>
  <c r="HJ67" i="12"/>
  <c r="HK67" i="12"/>
  <c r="HL67" i="12"/>
  <c r="HM67" i="12"/>
  <c r="HN67" i="12"/>
  <c r="HO67" i="12"/>
  <c r="HP67" i="12"/>
  <c r="HQ67" i="12"/>
  <c r="HR67" i="12"/>
  <c r="HS67" i="12"/>
  <c r="HT67" i="12"/>
  <c r="HU67" i="12"/>
  <c r="HV67" i="12"/>
  <c r="HW67" i="12"/>
  <c r="HX67" i="12"/>
  <c r="HY67" i="12"/>
  <c r="HZ67" i="12"/>
  <c r="IA67" i="12"/>
  <c r="IB67" i="12"/>
  <c r="IC67" i="12"/>
  <c r="ID67" i="12"/>
  <c r="IE67" i="12"/>
  <c r="IF67" i="12"/>
  <c r="IG67" i="12"/>
  <c r="IH67" i="12"/>
  <c r="II67" i="12"/>
  <c r="IJ67" i="12"/>
  <c r="IK67" i="12"/>
  <c r="IL67" i="12"/>
  <c r="IM67" i="12"/>
  <c r="IN67" i="12"/>
  <c r="IO67" i="12"/>
  <c r="IP67" i="12"/>
  <c r="IQ67" i="12"/>
  <c r="IR67" i="12"/>
  <c r="IS67" i="12"/>
  <c r="IT67" i="12"/>
  <c r="IU67" i="12"/>
  <c r="IV67" i="12"/>
  <c r="A66" i="12"/>
  <c r="B66" i="12"/>
  <c r="C66" i="12"/>
  <c r="D66" i="12"/>
  <c r="E66" i="12"/>
  <c r="F66" i="12"/>
  <c r="G66" i="12"/>
  <c r="H66" i="12"/>
  <c r="I66" i="12"/>
  <c r="J66" i="12"/>
  <c r="K66" i="12"/>
  <c r="L66" i="12"/>
  <c r="M66" i="12"/>
  <c r="N66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BC66" i="12"/>
  <c r="BD66" i="12"/>
  <c r="BE66" i="12"/>
  <c r="BF66" i="12"/>
  <c r="BG66" i="12"/>
  <c r="BH66" i="12"/>
  <c r="BI66" i="12"/>
  <c r="BJ66" i="12"/>
  <c r="BK66" i="12"/>
  <c r="BL66" i="12"/>
  <c r="BM66" i="12"/>
  <c r="BN66" i="12"/>
  <c r="BO66" i="12"/>
  <c r="BP66" i="12"/>
  <c r="BQ66" i="12"/>
  <c r="BR66" i="12"/>
  <c r="BS66" i="12"/>
  <c r="BT66" i="12"/>
  <c r="BU66" i="12"/>
  <c r="BV66" i="12"/>
  <c r="BW66" i="12"/>
  <c r="BX66" i="12"/>
  <c r="BY66" i="12"/>
  <c r="BZ66" i="12"/>
  <c r="CA66" i="12"/>
  <c r="CB66" i="12"/>
  <c r="CC66" i="12"/>
  <c r="CD66" i="12"/>
  <c r="CE66" i="12"/>
  <c r="CF66" i="12"/>
  <c r="CG66" i="12"/>
  <c r="CH66" i="12"/>
  <c r="CI66" i="12"/>
  <c r="CJ66" i="12"/>
  <c r="CK66" i="12"/>
  <c r="CL66" i="12"/>
  <c r="CM66" i="12"/>
  <c r="CN66" i="12"/>
  <c r="CO66" i="12"/>
  <c r="CP66" i="12"/>
  <c r="CQ66" i="12"/>
  <c r="CR66" i="12"/>
  <c r="CS66" i="12"/>
  <c r="CT66" i="12"/>
  <c r="CU66" i="12"/>
  <c r="CV66" i="12"/>
  <c r="CW66" i="12"/>
  <c r="CX66" i="12"/>
  <c r="CY66" i="12"/>
  <c r="CZ66" i="12"/>
  <c r="DA66" i="12"/>
  <c r="DB66" i="12"/>
  <c r="DC66" i="12"/>
  <c r="DD66" i="12"/>
  <c r="DE66" i="12"/>
  <c r="DF66" i="12"/>
  <c r="DG66" i="12"/>
  <c r="DH66" i="12"/>
  <c r="DI66" i="12"/>
  <c r="DJ66" i="12"/>
  <c r="DK66" i="12"/>
  <c r="DL66" i="12"/>
  <c r="DM66" i="12"/>
  <c r="DN66" i="12"/>
  <c r="DO66" i="12"/>
  <c r="DP66" i="12"/>
  <c r="DQ66" i="12"/>
  <c r="DR66" i="12"/>
  <c r="DS66" i="12"/>
  <c r="DT66" i="12"/>
  <c r="DU66" i="12"/>
  <c r="DV66" i="12"/>
  <c r="DW66" i="12"/>
  <c r="DX66" i="12"/>
  <c r="DY66" i="12"/>
  <c r="DZ66" i="12"/>
  <c r="EA66" i="12"/>
  <c r="EB66" i="12"/>
  <c r="EC66" i="12"/>
  <c r="ED66" i="12"/>
  <c r="EE66" i="12"/>
  <c r="EF66" i="12"/>
  <c r="EG66" i="12"/>
  <c r="EH66" i="12"/>
  <c r="EI66" i="12"/>
  <c r="EJ66" i="12"/>
  <c r="EK66" i="12"/>
  <c r="EL66" i="12"/>
  <c r="EM66" i="12"/>
  <c r="EN66" i="12"/>
  <c r="EO66" i="12"/>
  <c r="EP66" i="12"/>
  <c r="EQ66" i="12"/>
  <c r="ER66" i="12"/>
  <c r="ES66" i="12"/>
  <c r="ET66" i="12"/>
  <c r="EU66" i="12"/>
  <c r="EV66" i="12"/>
  <c r="EW66" i="12"/>
  <c r="EX66" i="12"/>
  <c r="EY66" i="12"/>
  <c r="EZ66" i="12"/>
  <c r="FA66" i="12"/>
  <c r="FB66" i="12"/>
  <c r="FC66" i="12"/>
  <c r="FD66" i="12"/>
  <c r="FE66" i="12"/>
  <c r="FF66" i="12"/>
  <c r="FG66" i="12"/>
  <c r="FH66" i="12"/>
  <c r="FI66" i="12"/>
  <c r="FJ66" i="12"/>
  <c r="FK66" i="12"/>
  <c r="FL66" i="12"/>
  <c r="FM66" i="12"/>
  <c r="FN66" i="12"/>
  <c r="FO66" i="12"/>
  <c r="FP66" i="12"/>
  <c r="FQ66" i="12"/>
  <c r="FR66" i="12"/>
  <c r="FS66" i="12"/>
  <c r="FT66" i="12"/>
  <c r="FU66" i="12"/>
  <c r="FV66" i="12"/>
  <c r="FW66" i="12"/>
  <c r="FX66" i="12"/>
  <c r="FY66" i="12"/>
  <c r="FZ66" i="12"/>
  <c r="GA66" i="12"/>
  <c r="GB66" i="12"/>
  <c r="GC66" i="12"/>
  <c r="GD66" i="12"/>
  <c r="GE66" i="12"/>
  <c r="GF66" i="12"/>
  <c r="GG66" i="12"/>
  <c r="GH66" i="12"/>
  <c r="GI66" i="12"/>
  <c r="GJ66" i="12"/>
  <c r="GK66" i="12"/>
  <c r="GL66" i="12"/>
  <c r="GM66" i="12"/>
  <c r="GN66" i="12"/>
  <c r="GO66" i="12"/>
  <c r="GP66" i="12"/>
  <c r="GQ66" i="12"/>
  <c r="GR66" i="12"/>
  <c r="GS66" i="12"/>
  <c r="GT66" i="12"/>
  <c r="GU66" i="12"/>
  <c r="GV66" i="12"/>
  <c r="GW66" i="12"/>
  <c r="GX66" i="12"/>
  <c r="GY66" i="12"/>
  <c r="GZ66" i="12"/>
  <c r="HA66" i="12"/>
  <c r="HB66" i="12"/>
  <c r="HC66" i="12"/>
  <c r="HD66" i="12"/>
  <c r="HE66" i="12"/>
  <c r="HF66" i="12"/>
  <c r="HG66" i="12"/>
  <c r="HH66" i="12"/>
  <c r="HI66" i="12"/>
  <c r="HJ66" i="12"/>
  <c r="HK66" i="12"/>
  <c r="HL66" i="12"/>
  <c r="HM66" i="12"/>
  <c r="HN66" i="12"/>
  <c r="HO66" i="12"/>
  <c r="HP66" i="12"/>
  <c r="HQ66" i="12"/>
  <c r="HR66" i="12"/>
  <c r="HS66" i="12"/>
  <c r="HT66" i="12"/>
  <c r="HU66" i="12"/>
  <c r="HV66" i="12"/>
  <c r="HW66" i="12"/>
  <c r="HX66" i="12"/>
  <c r="HY66" i="12"/>
  <c r="HZ66" i="12"/>
  <c r="IA66" i="12"/>
  <c r="IB66" i="12"/>
  <c r="IC66" i="12"/>
  <c r="ID66" i="12"/>
  <c r="IE66" i="12"/>
  <c r="IF66" i="12"/>
  <c r="IG66" i="12"/>
  <c r="IH66" i="12"/>
  <c r="II66" i="12"/>
  <c r="IJ66" i="12"/>
  <c r="IK66" i="12"/>
  <c r="IL66" i="12"/>
  <c r="IM66" i="12"/>
  <c r="IN66" i="12"/>
  <c r="IO66" i="12"/>
  <c r="IP66" i="12"/>
  <c r="IQ66" i="12"/>
  <c r="IR66" i="12"/>
  <c r="IS66" i="12"/>
  <c r="IT66" i="12"/>
  <c r="IU66" i="12"/>
  <c r="IV66" i="12"/>
  <c r="A65" i="12"/>
  <c r="B65" i="12"/>
  <c r="C65" i="12"/>
  <c r="D65" i="12"/>
  <c r="E65" i="12"/>
  <c r="F65" i="12"/>
  <c r="G65" i="12"/>
  <c r="H65" i="12"/>
  <c r="I65" i="12"/>
  <c r="J65" i="12"/>
  <c r="K65" i="12"/>
  <c r="L65" i="12"/>
  <c r="M65" i="12"/>
  <c r="N65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BC65" i="12"/>
  <c r="BD65" i="12"/>
  <c r="BE65" i="12"/>
  <c r="BF65" i="12"/>
  <c r="BG65" i="12"/>
  <c r="BH65" i="12"/>
  <c r="BI65" i="12"/>
  <c r="BJ65" i="12"/>
  <c r="BK65" i="12"/>
  <c r="BL65" i="12"/>
  <c r="BM65" i="12"/>
  <c r="BN65" i="12"/>
  <c r="BO65" i="12"/>
  <c r="BP65" i="12"/>
  <c r="BQ65" i="12"/>
  <c r="BR65" i="12"/>
  <c r="BS65" i="12"/>
  <c r="BT65" i="12"/>
  <c r="BU65" i="12"/>
  <c r="BV65" i="12"/>
  <c r="BW65" i="12"/>
  <c r="BX65" i="12"/>
  <c r="BY65" i="12"/>
  <c r="BZ65" i="12"/>
  <c r="CA65" i="12"/>
  <c r="CB65" i="12"/>
  <c r="CC65" i="12"/>
  <c r="CD65" i="12"/>
  <c r="CE65" i="12"/>
  <c r="CF65" i="12"/>
  <c r="CG65" i="12"/>
  <c r="CH65" i="12"/>
  <c r="CI65" i="12"/>
  <c r="CJ65" i="12"/>
  <c r="CK65" i="12"/>
  <c r="CL65" i="12"/>
  <c r="CM65" i="12"/>
  <c r="CN65" i="12"/>
  <c r="CO65" i="12"/>
  <c r="CP65" i="12"/>
  <c r="CQ65" i="12"/>
  <c r="CR65" i="12"/>
  <c r="CS65" i="12"/>
  <c r="CT65" i="12"/>
  <c r="CU65" i="12"/>
  <c r="CV65" i="12"/>
  <c r="CW65" i="12"/>
  <c r="CX65" i="12"/>
  <c r="CY65" i="12"/>
  <c r="CZ65" i="12"/>
  <c r="DA65" i="12"/>
  <c r="DB65" i="12"/>
  <c r="DC65" i="12"/>
  <c r="DD65" i="12"/>
  <c r="DE65" i="12"/>
  <c r="DF65" i="12"/>
  <c r="DG65" i="12"/>
  <c r="DH65" i="12"/>
  <c r="DI65" i="12"/>
  <c r="DJ65" i="12"/>
  <c r="DK65" i="12"/>
  <c r="DL65" i="12"/>
  <c r="DM65" i="12"/>
  <c r="DN65" i="12"/>
  <c r="DO65" i="12"/>
  <c r="DP65" i="12"/>
  <c r="DQ65" i="12"/>
  <c r="DR65" i="12"/>
  <c r="DS65" i="12"/>
  <c r="DT65" i="12"/>
  <c r="DU65" i="12"/>
  <c r="DV65" i="12"/>
  <c r="DW65" i="12"/>
  <c r="DX65" i="12"/>
  <c r="DY65" i="12"/>
  <c r="DZ65" i="12"/>
  <c r="EA65" i="12"/>
  <c r="EB65" i="12"/>
  <c r="EC65" i="12"/>
  <c r="ED65" i="12"/>
  <c r="EE65" i="12"/>
  <c r="EF65" i="12"/>
  <c r="EG65" i="12"/>
  <c r="EH65" i="12"/>
  <c r="EI65" i="12"/>
  <c r="EJ65" i="12"/>
  <c r="EK65" i="12"/>
  <c r="EL65" i="12"/>
  <c r="EM65" i="12"/>
  <c r="EN65" i="12"/>
  <c r="EO65" i="12"/>
  <c r="EP65" i="12"/>
  <c r="EQ65" i="12"/>
  <c r="ER65" i="12"/>
  <c r="ES65" i="12"/>
  <c r="ET65" i="12"/>
  <c r="EU65" i="12"/>
  <c r="EV65" i="12"/>
  <c r="EW65" i="12"/>
  <c r="EX65" i="12"/>
  <c r="EY65" i="12"/>
  <c r="EZ65" i="12"/>
  <c r="FA65" i="12"/>
  <c r="FB65" i="12"/>
  <c r="FC65" i="12"/>
  <c r="FD65" i="12"/>
  <c r="FE65" i="12"/>
  <c r="FF65" i="12"/>
  <c r="FG65" i="12"/>
  <c r="FH65" i="12"/>
  <c r="FI65" i="12"/>
  <c r="FJ65" i="12"/>
  <c r="FK65" i="12"/>
  <c r="FL65" i="12"/>
  <c r="FM65" i="12"/>
  <c r="FN65" i="12"/>
  <c r="FO65" i="12"/>
  <c r="FP65" i="12"/>
  <c r="FQ65" i="12"/>
  <c r="FR65" i="12"/>
  <c r="FS65" i="12"/>
  <c r="FT65" i="12"/>
  <c r="FU65" i="12"/>
  <c r="FV65" i="12"/>
  <c r="FW65" i="12"/>
  <c r="FX65" i="12"/>
  <c r="FY65" i="12"/>
  <c r="FZ65" i="12"/>
  <c r="GA65" i="12"/>
  <c r="GB65" i="12"/>
  <c r="GC65" i="12"/>
  <c r="GD65" i="12"/>
  <c r="GE65" i="12"/>
  <c r="GF65" i="12"/>
  <c r="GG65" i="12"/>
  <c r="GH65" i="12"/>
  <c r="GI65" i="12"/>
  <c r="GJ65" i="12"/>
  <c r="GK65" i="12"/>
  <c r="GL65" i="12"/>
  <c r="GM65" i="12"/>
  <c r="GN65" i="12"/>
  <c r="GO65" i="12"/>
  <c r="GP65" i="12"/>
  <c r="GQ65" i="12"/>
  <c r="GR65" i="12"/>
  <c r="GS65" i="12"/>
  <c r="GT65" i="12"/>
  <c r="GU65" i="12"/>
  <c r="GV65" i="12"/>
  <c r="GW65" i="12"/>
  <c r="GX65" i="12"/>
  <c r="GY65" i="12"/>
  <c r="GZ65" i="12"/>
  <c r="HA65" i="12"/>
  <c r="HB65" i="12"/>
  <c r="HC65" i="12"/>
  <c r="HD65" i="12"/>
  <c r="HE65" i="12"/>
  <c r="HF65" i="12"/>
  <c r="HG65" i="12"/>
  <c r="HH65" i="12"/>
  <c r="HI65" i="12"/>
  <c r="HJ65" i="12"/>
  <c r="HK65" i="12"/>
  <c r="HL65" i="12"/>
  <c r="HM65" i="12"/>
  <c r="HN65" i="12"/>
  <c r="HO65" i="12"/>
  <c r="HP65" i="12"/>
  <c r="HQ65" i="12"/>
  <c r="HR65" i="12"/>
  <c r="HS65" i="12"/>
  <c r="HT65" i="12"/>
  <c r="HU65" i="12"/>
  <c r="HV65" i="12"/>
  <c r="HW65" i="12"/>
  <c r="HX65" i="12"/>
  <c r="HY65" i="12"/>
  <c r="HZ65" i="12"/>
  <c r="IA65" i="12"/>
  <c r="IB65" i="12"/>
  <c r="IC65" i="12"/>
  <c r="ID65" i="12"/>
  <c r="IE65" i="12"/>
  <c r="IF65" i="12"/>
  <c r="IG65" i="12"/>
  <c r="IH65" i="12"/>
  <c r="II65" i="12"/>
  <c r="IJ65" i="12"/>
  <c r="IK65" i="12"/>
  <c r="IL65" i="12"/>
  <c r="IM65" i="12"/>
  <c r="IN65" i="12"/>
  <c r="IO65" i="12"/>
  <c r="IP65" i="12"/>
  <c r="IQ65" i="12"/>
  <c r="IR65" i="12"/>
  <c r="IS65" i="12"/>
  <c r="IT65" i="12"/>
  <c r="IU65" i="12"/>
  <c r="IV65" i="12"/>
  <c r="A64" i="12"/>
  <c r="B64" i="12"/>
  <c r="C64" i="12"/>
  <c r="D64" i="12"/>
  <c r="E64" i="12"/>
  <c r="F64" i="12"/>
  <c r="G64" i="12"/>
  <c r="H64" i="12"/>
  <c r="I64" i="12"/>
  <c r="J64" i="12"/>
  <c r="K64" i="12"/>
  <c r="L64" i="12"/>
  <c r="M64" i="12"/>
  <c r="N64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W64" i="12"/>
  <c r="AX64" i="12"/>
  <c r="AY64" i="12"/>
  <c r="AZ64" i="12"/>
  <c r="BA64" i="12"/>
  <c r="BB64" i="12"/>
  <c r="BC64" i="12"/>
  <c r="BD64" i="12"/>
  <c r="BE64" i="12"/>
  <c r="BF64" i="12"/>
  <c r="BG64" i="12"/>
  <c r="BH64" i="12"/>
  <c r="BI64" i="12"/>
  <c r="BJ64" i="12"/>
  <c r="BK64" i="12"/>
  <c r="BL64" i="12"/>
  <c r="BM64" i="12"/>
  <c r="BN64" i="12"/>
  <c r="BO64" i="12"/>
  <c r="BP64" i="12"/>
  <c r="BQ64" i="12"/>
  <c r="BR64" i="12"/>
  <c r="BS64" i="12"/>
  <c r="BT64" i="12"/>
  <c r="BU64" i="12"/>
  <c r="BV64" i="12"/>
  <c r="BW64" i="12"/>
  <c r="BX64" i="12"/>
  <c r="BY64" i="12"/>
  <c r="BZ64" i="12"/>
  <c r="CA64" i="12"/>
  <c r="CB64" i="12"/>
  <c r="CC64" i="12"/>
  <c r="CD64" i="12"/>
  <c r="CE64" i="12"/>
  <c r="CF64" i="12"/>
  <c r="CG64" i="12"/>
  <c r="CH64" i="12"/>
  <c r="CI64" i="12"/>
  <c r="CJ64" i="12"/>
  <c r="CK64" i="12"/>
  <c r="CL64" i="12"/>
  <c r="CM64" i="12"/>
  <c r="CN64" i="12"/>
  <c r="CO64" i="12"/>
  <c r="CP64" i="12"/>
  <c r="CQ64" i="12"/>
  <c r="CR64" i="12"/>
  <c r="CS64" i="12"/>
  <c r="CT64" i="12"/>
  <c r="CU64" i="12"/>
  <c r="CV64" i="12"/>
  <c r="CW64" i="12"/>
  <c r="CX64" i="12"/>
  <c r="CY64" i="12"/>
  <c r="CZ64" i="12"/>
  <c r="DA64" i="12"/>
  <c r="DB64" i="12"/>
  <c r="DC64" i="12"/>
  <c r="DD64" i="12"/>
  <c r="DE64" i="12"/>
  <c r="DF64" i="12"/>
  <c r="DG64" i="12"/>
  <c r="DH64" i="12"/>
  <c r="DI64" i="12"/>
  <c r="DJ64" i="12"/>
  <c r="DK64" i="12"/>
  <c r="DL64" i="12"/>
  <c r="DM64" i="12"/>
  <c r="DN64" i="12"/>
  <c r="DO64" i="12"/>
  <c r="DP64" i="12"/>
  <c r="DQ64" i="12"/>
  <c r="DR64" i="12"/>
  <c r="DS64" i="12"/>
  <c r="DT64" i="12"/>
  <c r="DU64" i="12"/>
  <c r="DV64" i="12"/>
  <c r="DW64" i="12"/>
  <c r="DX64" i="12"/>
  <c r="DY64" i="12"/>
  <c r="DZ64" i="12"/>
  <c r="EA64" i="12"/>
  <c r="EB64" i="12"/>
  <c r="EC64" i="12"/>
  <c r="ED64" i="12"/>
  <c r="EE64" i="12"/>
  <c r="EF64" i="12"/>
  <c r="EG64" i="12"/>
  <c r="EH64" i="12"/>
  <c r="EI64" i="12"/>
  <c r="EJ64" i="12"/>
  <c r="EK64" i="12"/>
  <c r="EL64" i="12"/>
  <c r="EM64" i="12"/>
  <c r="EN64" i="12"/>
  <c r="EO64" i="12"/>
  <c r="EP64" i="12"/>
  <c r="EQ64" i="12"/>
  <c r="ER64" i="12"/>
  <c r="ES64" i="12"/>
  <c r="ET64" i="12"/>
  <c r="EU64" i="12"/>
  <c r="EV64" i="12"/>
  <c r="EW64" i="12"/>
  <c r="EX64" i="12"/>
  <c r="EY64" i="12"/>
  <c r="EZ64" i="12"/>
  <c r="FA64" i="12"/>
  <c r="FB64" i="12"/>
  <c r="FC64" i="12"/>
  <c r="FD64" i="12"/>
  <c r="FE64" i="12"/>
  <c r="FF64" i="12"/>
  <c r="FG64" i="12"/>
  <c r="FH64" i="12"/>
  <c r="FI64" i="12"/>
  <c r="FJ64" i="12"/>
  <c r="FK64" i="12"/>
  <c r="FL64" i="12"/>
  <c r="FM64" i="12"/>
  <c r="FN64" i="12"/>
  <c r="FO64" i="12"/>
  <c r="FP64" i="12"/>
  <c r="FQ64" i="12"/>
  <c r="FR64" i="12"/>
  <c r="FS64" i="12"/>
  <c r="FT64" i="12"/>
  <c r="FU64" i="12"/>
  <c r="FV64" i="12"/>
  <c r="FW64" i="12"/>
  <c r="FX64" i="12"/>
  <c r="FY64" i="12"/>
  <c r="FZ64" i="12"/>
  <c r="GA64" i="12"/>
  <c r="GB64" i="12"/>
  <c r="GC64" i="12"/>
  <c r="GD64" i="12"/>
  <c r="GE64" i="12"/>
  <c r="GF64" i="12"/>
  <c r="GG64" i="12"/>
  <c r="GH64" i="12"/>
  <c r="GI64" i="12"/>
  <c r="GJ64" i="12"/>
  <c r="GK64" i="12"/>
  <c r="GL64" i="12"/>
  <c r="GM64" i="12"/>
  <c r="GN64" i="12"/>
  <c r="GO64" i="12"/>
  <c r="GP64" i="12"/>
  <c r="GQ64" i="12"/>
  <c r="GR64" i="12"/>
  <c r="GS64" i="12"/>
  <c r="GT64" i="12"/>
  <c r="GU64" i="12"/>
  <c r="GV64" i="12"/>
  <c r="GW64" i="12"/>
  <c r="GX64" i="12"/>
  <c r="GY64" i="12"/>
  <c r="GZ64" i="12"/>
  <c r="HA64" i="12"/>
  <c r="HB64" i="12"/>
  <c r="HC64" i="12"/>
  <c r="HD64" i="12"/>
  <c r="HE64" i="12"/>
  <c r="HF64" i="12"/>
  <c r="HG64" i="12"/>
  <c r="HH64" i="12"/>
  <c r="HI64" i="12"/>
  <c r="HJ64" i="12"/>
  <c r="HK64" i="12"/>
  <c r="HL64" i="12"/>
  <c r="HM64" i="12"/>
  <c r="HN64" i="12"/>
  <c r="HO64" i="12"/>
  <c r="HP64" i="12"/>
  <c r="HQ64" i="12"/>
  <c r="HR64" i="12"/>
  <c r="HS64" i="12"/>
  <c r="HT64" i="12"/>
  <c r="HU64" i="12"/>
  <c r="HV64" i="12"/>
  <c r="HW64" i="12"/>
  <c r="HX64" i="12"/>
  <c r="HY64" i="12"/>
  <c r="HZ64" i="12"/>
  <c r="IA64" i="12"/>
  <c r="IB64" i="12"/>
  <c r="IC64" i="12"/>
  <c r="ID64" i="12"/>
  <c r="IE64" i="12"/>
  <c r="IF64" i="12"/>
  <c r="IG64" i="12"/>
  <c r="IH64" i="12"/>
  <c r="II64" i="12"/>
  <c r="IJ64" i="12"/>
  <c r="IK64" i="12"/>
  <c r="IL64" i="12"/>
  <c r="IM64" i="12"/>
  <c r="IN64" i="12"/>
  <c r="IO64" i="12"/>
  <c r="IP64" i="12"/>
  <c r="IQ64" i="12"/>
  <c r="IR64" i="12"/>
  <c r="IS64" i="12"/>
  <c r="IT64" i="12"/>
  <c r="IU64" i="12"/>
  <c r="IV64" i="12"/>
  <c r="A63" i="12"/>
  <c r="B63" i="12"/>
  <c r="C63" i="12"/>
  <c r="D63" i="12"/>
  <c r="E63" i="12"/>
  <c r="F63" i="12"/>
  <c r="G63" i="12"/>
  <c r="H63" i="12"/>
  <c r="I63" i="12"/>
  <c r="J63" i="12"/>
  <c r="K63" i="12"/>
  <c r="L63" i="12"/>
  <c r="M63" i="12"/>
  <c r="N63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AY63" i="12"/>
  <c r="AZ63" i="12"/>
  <c r="BA63" i="12"/>
  <c r="BB63" i="12"/>
  <c r="BC63" i="12"/>
  <c r="BD63" i="12"/>
  <c r="BE63" i="12"/>
  <c r="BF63" i="12"/>
  <c r="BG63" i="12"/>
  <c r="BH63" i="12"/>
  <c r="BI63" i="12"/>
  <c r="BJ63" i="12"/>
  <c r="BK63" i="12"/>
  <c r="BL63" i="12"/>
  <c r="BM63" i="12"/>
  <c r="BN63" i="12"/>
  <c r="BO63" i="12"/>
  <c r="BP63" i="12"/>
  <c r="BQ63" i="12"/>
  <c r="BR63" i="12"/>
  <c r="BS63" i="12"/>
  <c r="BT63" i="12"/>
  <c r="BU63" i="12"/>
  <c r="BV63" i="12"/>
  <c r="BW63" i="12"/>
  <c r="BX63" i="12"/>
  <c r="BY63" i="12"/>
  <c r="BZ63" i="12"/>
  <c r="CA63" i="12"/>
  <c r="CB63" i="12"/>
  <c r="CC63" i="12"/>
  <c r="CD63" i="12"/>
  <c r="CE63" i="12"/>
  <c r="CF63" i="12"/>
  <c r="CG63" i="12"/>
  <c r="CH63" i="12"/>
  <c r="CI63" i="12"/>
  <c r="CJ63" i="12"/>
  <c r="CK63" i="12"/>
  <c r="CL63" i="12"/>
  <c r="CM63" i="12"/>
  <c r="CN63" i="12"/>
  <c r="CO63" i="12"/>
  <c r="CP63" i="12"/>
  <c r="CQ63" i="12"/>
  <c r="CR63" i="12"/>
  <c r="CS63" i="12"/>
  <c r="CT63" i="12"/>
  <c r="CU63" i="12"/>
  <c r="CV63" i="12"/>
  <c r="CW63" i="12"/>
  <c r="CX63" i="12"/>
  <c r="CY63" i="12"/>
  <c r="CZ63" i="12"/>
  <c r="DA63" i="12"/>
  <c r="DB63" i="12"/>
  <c r="DC63" i="12"/>
  <c r="DD63" i="12"/>
  <c r="DE63" i="12"/>
  <c r="DF63" i="12"/>
  <c r="DG63" i="12"/>
  <c r="DH63" i="12"/>
  <c r="DI63" i="12"/>
  <c r="DJ63" i="12"/>
  <c r="DK63" i="12"/>
  <c r="DL63" i="12"/>
  <c r="DM63" i="12"/>
  <c r="DN63" i="12"/>
  <c r="DO63" i="12"/>
  <c r="DP63" i="12"/>
  <c r="DQ63" i="12"/>
  <c r="DR63" i="12"/>
  <c r="DS63" i="12"/>
  <c r="DT63" i="12"/>
  <c r="DU63" i="12"/>
  <c r="DV63" i="12"/>
  <c r="DW63" i="12"/>
  <c r="DX63" i="12"/>
  <c r="DY63" i="12"/>
  <c r="DZ63" i="12"/>
  <c r="EA63" i="12"/>
  <c r="EB63" i="12"/>
  <c r="EC63" i="12"/>
  <c r="ED63" i="12"/>
  <c r="EE63" i="12"/>
  <c r="EF63" i="12"/>
  <c r="EG63" i="12"/>
  <c r="EH63" i="12"/>
  <c r="EI63" i="12"/>
  <c r="EJ63" i="12"/>
  <c r="EK63" i="12"/>
  <c r="EL63" i="12"/>
  <c r="EM63" i="12"/>
  <c r="EN63" i="12"/>
  <c r="EO63" i="12"/>
  <c r="EP63" i="12"/>
  <c r="EQ63" i="12"/>
  <c r="ER63" i="12"/>
  <c r="ES63" i="12"/>
  <c r="ET63" i="12"/>
  <c r="EU63" i="12"/>
  <c r="EV63" i="12"/>
  <c r="EW63" i="12"/>
  <c r="EX63" i="12"/>
  <c r="EY63" i="12"/>
  <c r="EZ63" i="12"/>
  <c r="FA63" i="12"/>
  <c r="FB63" i="12"/>
  <c r="FC63" i="12"/>
  <c r="FD63" i="12"/>
  <c r="FE63" i="12"/>
  <c r="FF63" i="12"/>
  <c r="FG63" i="12"/>
  <c r="FH63" i="12"/>
  <c r="FI63" i="12"/>
  <c r="FJ63" i="12"/>
  <c r="FK63" i="12"/>
  <c r="FL63" i="12"/>
  <c r="FM63" i="12"/>
  <c r="FN63" i="12"/>
  <c r="FO63" i="12"/>
  <c r="FP63" i="12"/>
  <c r="FQ63" i="12"/>
  <c r="FR63" i="12"/>
  <c r="FS63" i="12"/>
  <c r="FT63" i="12"/>
  <c r="FU63" i="12"/>
  <c r="FV63" i="12"/>
  <c r="FW63" i="12"/>
  <c r="FX63" i="12"/>
  <c r="FY63" i="12"/>
  <c r="FZ63" i="12"/>
  <c r="GA63" i="12"/>
  <c r="GB63" i="12"/>
  <c r="GC63" i="12"/>
  <c r="GD63" i="12"/>
  <c r="GE63" i="12"/>
  <c r="GF63" i="12"/>
  <c r="GG63" i="12"/>
  <c r="GH63" i="12"/>
  <c r="GI63" i="12"/>
  <c r="GJ63" i="12"/>
  <c r="GK63" i="12"/>
  <c r="GL63" i="12"/>
  <c r="GM63" i="12"/>
  <c r="GN63" i="12"/>
  <c r="GO63" i="12"/>
  <c r="GP63" i="12"/>
  <c r="GQ63" i="12"/>
  <c r="GR63" i="12"/>
  <c r="GS63" i="12"/>
  <c r="GT63" i="12"/>
  <c r="GU63" i="12"/>
  <c r="GV63" i="12"/>
  <c r="GW63" i="12"/>
  <c r="GX63" i="12"/>
  <c r="GY63" i="12"/>
  <c r="GZ63" i="12"/>
  <c r="HA63" i="12"/>
  <c r="HB63" i="12"/>
  <c r="HC63" i="12"/>
  <c r="HD63" i="12"/>
  <c r="HE63" i="12"/>
  <c r="HF63" i="12"/>
  <c r="HG63" i="12"/>
  <c r="HH63" i="12"/>
  <c r="HI63" i="12"/>
  <c r="HJ63" i="12"/>
  <c r="HK63" i="12"/>
  <c r="HL63" i="12"/>
  <c r="HM63" i="12"/>
  <c r="HN63" i="12"/>
  <c r="HO63" i="12"/>
  <c r="HP63" i="12"/>
  <c r="HQ63" i="12"/>
  <c r="HR63" i="12"/>
  <c r="HS63" i="12"/>
  <c r="HT63" i="12"/>
  <c r="HU63" i="12"/>
  <c r="HV63" i="12"/>
  <c r="HW63" i="12"/>
  <c r="HX63" i="12"/>
  <c r="HY63" i="12"/>
  <c r="HZ63" i="12"/>
  <c r="IA63" i="12"/>
  <c r="IB63" i="12"/>
  <c r="IC63" i="12"/>
  <c r="ID63" i="12"/>
  <c r="IE63" i="12"/>
  <c r="IF63" i="12"/>
  <c r="IG63" i="12"/>
  <c r="IH63" i="12"/>
  <c r="II63" i="12"/>
  <c r="IJ63" i="12"/>
  <c r="IK63" i="12"/>
  <c r="IL63" i="12"/>
  <c r="IM63" i="12"/>
  <c r="IN63" i="12"/>
  <c r="IO63" i="12"/>
  <c r="IP63" i="12"/>
  <c r="IQ63" i="12"/>
  <c r="IR63" i="12"/>
  <c r="IS63" i="12"/>
  <c r="IT63" i="12"/>
  <c r="IU63" i="12"/>
  <c r="IV63" i="12"/>
  <c r="A62" i="12"/>
  <c r="B62" i="12"/>
  <c r="C62" i="12"/>
  <c r="D62" i="12"/>
  <c r="E62" i="12"/>
  <c r="F62" i="12"/>
  <c r="G62" i="12"/>
  <c r="H62" i="12"/>
  <c r="I62" i="12"/>
  <c r="J62" i="12"/>
  <c r="K62" i="12"/>
  <c r="L62" i="12"/>
  <c r="M62" i="12"/>
  <c r="N62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AY62" i="12"/>
  <c r="AZ62" i="12"/>
  <c r="BA62" i="12"/>
  <c r="BB62" i="12"/>
  <c r="BC62" i="12"/>
  <c r="BD62" i="12"/>
  <c r="BE62" i="12"/>
  <c r="BF62" i="12"/>
  <c r="BG62" i="12"/>
  <c r="BH62" i="12"/>
  <c r="BI62" i="12"/>
  <c r="BJ62" i="12"/>
  <c r="BK62" i="12"/>
  <c r="BL62" i="12"/>
  <c r="BM62" i="12"/>
  <c r="BN62" i="12"/>
  <c r="BO62" i="12"/>
  <c r="BP62" i="12"/>
  <c r="BQ62" i="12"/>
  <c r="BR62" i="12"/>
  <c r="BS62" i="12"/>
  <c r="BT62" i="12"/>
  <c r="BU62" i="12"/>
  <c r="BV62" i="12"/>
  <c r="BW62" i="12"/>
  <c r="BX62" i="12"/>
  <c r="BY62" i="12"/>
  <c r="BZ62" i="12"/>
  <c r="CA62" i="12"/>
  <c r="CB62" i="12"/>
  <c r="CC62" i="12"/>
  <c r="CD62" i="12"/>
  <c r="CE62" i="12"/>
  <c r="CF62" i="12"/>
  <c r="CG62" i="12"/>
  <c r="CH62" i="12"/>
  <c r="CI62" i="12"/>
  <c r="CJ62" i="12"/>
  <c r="CK62" i="12"/>
  <c r="CL62" i="12"/>
  <c r="CM62" i="12"/>
  <c r="CN62" i="12"/>
  <c r="CO62" i="12"/>
  <c r="CP62" i="12"/>
  <c r="CQ62" i="12"/>
  <c r="CR62" i="12"/>
  <c r="CS62" i="12"/>
  <c r="CT62" i="12"/>
  <c r="CU62" i="12"/>
  <c r="CV62" i="12"/>
  <c r="CW62" i="12"/>
  <c r="CX62" i="12"/>
  <c r="CY62" i="12"/>
  <c r="CZ62" i="12"/>
  <c r="DA62" i="12"/>
  <c r="DB62" i="12"/>
  <c r="DC62" i="12"/>
  <c r="DD62" i="12"/>
  <c r="DE62" i="12"/>
  <c r="DF62" i="12"/>
  <c r="DG62" i="12"/>
  <c r="DH62" i="12"/>
  <c r="DI62" i="12"/>
  <c r="DJ62" i="12"/>
  <c r="DK62" i="12"/>
  <c r="DL62" i="12"/>
  <c r="DM62" i="12"/>
  <c r="DN62" i="12"/>
  <c r="DO62" i="12"/>
  <c r="DP62" i="12"/>
  <c r="DQ62" i="12"/>
  <c r="DR62" i="12"/>
  <c r="DS62" i="12"/>
  <c r="DT62" i="12"/>
  <c r="DU62" i="12"/>
  <c r="DV62" i="12"/>
  <c r="DW62" i="12"/>
  <c r="DX62" i="12"/>
  <c r="DY62" i="12"/>
  <c r="DZ62" i="12"/>
  <c r="EA62" i="12"/>
  <c r="EB62" i="12"/>
  <c r="EC62" i="12"/>
  <c r="ED62" i="12"/>
  <c r="EE62" i="12"/>
  <c r="EF62" i="12"/>
  <c r="EG62" i="12"/>
  <c r="EH62" i="12"/>
  <c r="EI62" i="12"/>
  <c r="EJ62" i="12"/>
  <c r="EK62" i="12"/>
  <c r="EL62" i="12"/>
  <c r="EM62" i="12"/>
  <c r="EN62" i="12"/>
  <c r="EO62" i="12"/>
  <c r="EP62" i="12"/>
  <c r="EQ62" i="12"/>
  <c r="ER62" i="12"/>
  <c r="ES62" i="12"/>
  <c r="ET62" i="12"/>
  <c r="EU62" i="12"/>
  <c r="EV62" i="12"/>
  <c r="EW62" i="12"/>
  <c r="EX62" i="12"/>
  <c r="EY62" i="12"/>
  <c r="EZ62" i="12"/>
  <c r="FA62" i="12"/>
  <c r="FB62" i="12"/>
  <c r="FC62" i="12"/>
  <c r="FD62" i="12"/>
  <c r="FE62" i="12"/>
  <c r="FF62" i="12"/>
  <c r="FG62" i="12"/>
  <c r="FH62" i="12"/>
  <c r="FI62" i="12"/>
  <c r="FJ62" i="12"/>
  <c r="FK62" i="12"/>
  <c r="FL62" i="12"/>
  <c r="FM62" i="12"/>
  <c r="FN62" i="12"/>
  <c r="FO62" i="12"/>
  <c r="FP62" i="12"/>
  <c r="FQ62" i="12"/>
  <c r="FR62" i="12"/>
  <c r="FS62" i="12"/>
  <c r="FT62" i="12"/>
  <c r="FU62" i="12"/>
  <c r="FV62" i="12"/>
  <c r="FW62" i="12"/>
  <c r="FX62" i="12"/>
  <c r="FY62" i="12"/>
  <c r="FZ62" i="12"/>
  <c r="GA62" i="12"/>
  <c r="GB62" i="12"/>
  <c r="GC62" i="12"/>
  <c r="GD62" i="12"/>
  <c r="GE62" i="12"/>
  <c r="GF62" i="12"/>
  <c r="GG62" i="12"/>
  <c r="GH62" i="12"/>
  <c r="GI62" i="12"/>
  <c r="GJ62" i="12"/>
  <c r="GK62" i="12"/>
  <c r="GL62" i="12"/>
  <c r="GM62" i="12"/>
  <c r="GN62" i="12"/>
  <c r="GO62" i="12"/>
  <c r="GP62" i="12"/>
  <c r="GQ62" i="12"/>
  <c r="GR62" i="12"/>
  <c r="GS62" i="12"/>
  <c r="GT62" i="12"/>
  <c r="GU62" i="12"/>
  <c r="GV62" i="12"/>
  <c r="GW62" i="12"/>
  <c r="GX62" i="12"/>
  <c r="GY62" i="12"/>
  <c r="GZ62" i="12"/>
  <c r="HA62" i="12"/>
  <c r="HB62" i="12"/>
  <c r="HC62" i="12"/>
  <c r="HD62" i="12"/>
  <c r="HE62" i="12"/>
  <c r="HF62" i="12"/>
  <c r="HG62" i="12"/>
  <c r="HH62" i="12"/>
  <c r="HI62" i="12"/>
  <c r="HJ62" i="12"/>
  <c r="HK62" i="12"/>
  <c r="HL62" i="12"/>
  <c r="HM62" i="12"/>
  <c r="HN62" i="12"/>
  <c r="HO62" i="12"/>
  <c r="HP62" i="12"/>
  <c r="HQ62" i="12"/>
  <c r="HR62" i="12"/>
  <c r="HS62" i="12"/>
  <c r="HT62" i="12"/>
  <c r="HU62" i="12"/>
  <c r="HV62" i="12"/>
  <c r="HW62" i="12"/>
  <c r="HX62" i="12"/>
  <c r="HY62" i="12"/>
  <c r="HZ62" i="12"/>
  <c r="IA62" i="12"/>
  <c r="IB62" i="12"/>
  <c r="IC62" i="12"/>
  <c r="ID62" i="12"/>
  <c r="IE62" i="12"/>
  <c r="IF62" i="12"/>
  <c r="IG62" i="12"/>
  <c r="IH62" i="12"/>
  <c r="II62" i="12"/>
  <c r="IJ62" i="12"/>
  <c r="IK62" i="12"/>
  <c r="IL62" i="12"/>
  <c r="IM62" i="12"/>
  <c r="IN62" i="12"/>
  <c r="IO62" i="12"/>
  <c r="IP62" i="12"/>
  <c r="IQ62" i="12"/>
  <c r="IR62" i="12"/>
  <c r="IS62" i="12"/>
  <c r="IT62" i="12"/>
  <c r="IU62" i="12"/>
  <c r="IV62" i="12"/>
  <c r="A61" i="12"/>
  <c r="B61" i="12"/>
  <c r="C61" i="12"/>
  <c r="D61" i="12"/>
  <c r="E61" i="12"/>
  <c r="F61" i="12"/>
  <c r="G61" i="12"/>
  <c r="H61" i="12"/>
  <c r="I61" i="12"/>
  <c r="J61" i="12"/>
  <c r="K61" i="12"/>
  <c r="L61" i="12"/>
  <c r="M61" i="12"/>
  <c r="N61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Z61" i="12"/>
  <c r="BA61" i="12"/>
  <c r="BB61" i="12"/>
  <c r="BC61" i="12"/>
  <c r="BD61" i="12"/>
  <c r="BE61" i="12"/>
  <c r="BF61" i="12"/>
  <c r="BG61" i="12"/>
  <c r="BH61" i="12"/>
  <c r="BI61" i="12"/>
  <c r="BJ61" i="12"/>
  <c r="BK61" i="12"/>
  <c r="BL61" i="12"/>
  <c r="BM61" i="12"/>
  <c r="BN61" i="12"/>
  <c r="BO61" i="12"/>
  <c r="BP61" i="12"/>
  <c r="BQ61" i="12"/>
  <c r="BR61" i="12"/>
  <c r="BS61" i="12"/>
  <c r="BT61" i="12"/>
  <c r="BU61" i="12"/>
  <c r="BV61" i="12"/>
  <c r="BW61" i="12"/>
  <c r="BX61" i="12"/>
  <c r="BY61" i="12"/>
  <c r="BZ61" i="12"/>
  <c r="CA61" i="12"/>
  <c r="CB61" i="12"/>
  <c r="CC61" i="12"/>
  <c r="CD61" i="12"/>
  <c r="CE61" i="12"/>
  <c r="CF61" i="12"/>
  <c r="CG61" i="12"/>
  <c r="CH61" i="12"/>
  <c r="CI61" i="12"/>
  <c r="CJ61" i="12"/>
  <c r="CK61" i="12"/>
  <c r="CL61" i="12"/>
  <c r="CM61" i="12"/>
  <c r="CN61" i="12"/>
  <c r="CO61" i="12"/>
  <c r="CP61" i="12"/>
  <c r="CQ61" i="12"/>
  <c r="CR61" i="12"/>
  <c r="CS61" i="12"/>
  <c r="CT61" i="12"/>
  <c r="CU61" i="12"/>
  <c r="CV61" i="12"/>
  <c r="CW61" i="12"/>
  <c r="CX61" i="12"/>
  <c r="CY61" i="12"/>
  <c r="CZ61" i="12"/>
  <c r="DA61" i="12"/>
  <c r="DB61" i="12"/>
  <c r="DC61" i="12"/>
  <c r="DD61" i="12"/>
  <c r="DE61" i="12"/>
  <c r="DF61" i="12"/>
  <c r="DG61" i="12"/>
  <c r="DH61" i="12"/>
  <c r="DI61" i="12"/>
  <c r="DJ61" i="12"/>
  <c r="DK61" i="12"/>
  <c r="DL61" i="12"/>
  <c r="DM61" i="12"/>
  <c r="DN61" i="12"/>
  <c r="DO61" i="12"/>
  <c r="DP61" i="12"/>
  <c r="DQ61" i="12"/>
  <c r="DR61" i="12"/>
  <c r="DS61" i="12"/>
  <c r="DT61" i="12"/>
  <c r="DU61" i="12"/>
  <c r="DV61" i="12"/>
  <c r="DW61" i="12"/>
  <c r="DX61" i="12"/>
  <c r="DY61" i="12"/>
  <c r="DZ61" i="12"/>
  <c r="EA61" i="12"/>
  <c r="EB61" i="12"/>
  <c r="EC61" i="12"/>
  <c r="ED61" i="12"/>
  <c r="EE61" i="12"/>
  <c r="EF61" i="12"/>
  <c r="EG61" i="12"/>
  <c r="EH61" i="12"/>
  <c r="EI61" i="12"/>
  <c r="EJ61" i="12"/>
  <c r="EK61" i="12"/>
  <c r="EL61" i="12"/>
  <c r="EM61" i="12"/>
  <c r="EN61" i="12"/>
  <c r="EO61" i="12"/>
  <c r="EP61" i="12"/>
  <c r="EQ61" i="12"/>
  <c r="ER61" i="12"/>
  <c r="ES61" i="12"/>
  <c r="ET61" i="12"/>
  <c r="EU61" i="12"/>
  <c r="EV61" i="12"/>
  <c r="EW61" i="12"/>
  <c r="EX61" i="12"/>
  <c r="EY61" i="12"/>
  <c r="EZ61" i="12"/>
  <c r="FA61" i="12"/>
  <c r="FB61" i="12"/>
  <c r="FC61" i="12"/>
  <c r="FD61" i="12"/>
  <c r="FE61" i="12"/>
  <c r="FF61" i="12"/>
  <c r="FG61" i="12"/>
  <c r="FH61" i="12"/>
  <c r="FI61" i="12"/>
  <c r="FJ61" i="12"/>
  <c r="FK61" i="12"/>
  <c r="FL61" i="12"/>
  <c r="FM61" i="12"/>
  <c r="FN61" i="12"/>
  <c r="FO61" i="12"/>
  <c r="FP61" i="12"/>
  <c r="FQ61" i="12"/>
  <c r="FR61" i="12"/>
  <c r="FS61" i="12"/>
  <c r="FT61" i="12"/>
  <c r="FU61" i="12"/>
  <c r="FV61" i="12"/>
  <c r="FW61" i="12"/>
  <c r="FX61" i="12"/>
  <c r="FY61" i="12"/>
  <c r="FZ61" i="12"/>
  <c r="GA61" i="12"/>
  <c r="GB61" i="12"/>
  <c r="GC61" i="12"/>
  <c r="GD61" i="12"/>
  <c r="GE61" i="12"/>
  <c r="GF61" i="12"/>
  <c r="GG61" i="12"/>
  <c r="GH61" i="12"/>
  <c r="GI61" i="12"/>
  <c r="GJ61" i="12"/>
  <c r="GK61" i="12"/>
  <c r="GL61" i="12"/>
  <c r="GM61" i="12"/>
  <c r="GN61" i="12"/>
  <c r="GO61" i="12"/>
  <c r="GP61" i="12"/>
  <c r="GQ61" i="12"/>
  <c r="GR61" i="12"/>
  <c r="GS61" i="12"/>
  <c r="GT61" i="12"/>
  <c r="GU61" i="12"/>
  <c r="GV61" i="12"/>
  <c r="GW61" i="12"/>
  <c r="GX61" i="12"/>
  <c r="GY61" i="12"/>
  <c r="GZ61" i="12"/>
  <c r="HA61" i="12"/>
  <c r="HB61" i="12"/>
  <c r="HC61" i="12"/>
  <c r="HD61" i="12"/>
  <c r="HE61" i="12"/>
  <c r="HF61" i="12"/>
  <c r="HG61" i="12"/>
  <c r="HH61" i="12"/>
  <c r="HI61" i="12"/>
  <c r="HJ61" i="12"/>
  <c r="HK61" i="12"/>
  <c r="HL61" i="12"/>
  <c r="HM61" i="12"/>
  <c r="HN61" i="12"/>
  <c r="HO61" i="12"/>
  <c r="HP61" i="12"/>
  <c r="HQ61" i="12"/>
  <c r="HR61" i="12"/>
  <c r="HS61" i="12"/>
  <c r="HT61" i="12"/>
  <c r="HU61" i="12"/>
  <c r="HV61" i="12"/>
  <c r="HW61" i="12"/>
  <c r="HX61" i="12"/>
  <c r="HY61" i="12"/>
  <c r="HZ61" i="12"/>
  <c r="IA61" i="12"/>
  <c r="IB61" i="12"/>
  <c r="IC61" i="12"/>
  <c r="ID61" i="12"/>
  <c r="IE61" i="12"/>
  <c r="IF61" i="12"/>
  <c r="IG61" i="12"/>
  <c r="IH61" i="12"/>
  <c r="II61" i="12"/>
  <c r="IJ61" i="12"/>
  <c r="IK61" i="12"/>
  <c r="IL61" i="12"/>
  <c r="IM61" i="12"/>
  <c r="IN61" i="12"/>
  <c r="IO61" i="12"/>
  <c r="IP61" i="12"/>
  <c r="IQ61" i="12"/>
  <c r="IR61" i="12"/>
  <c r="IS61" i="12"/>
  <c r="IT61" i="12"/>
  <c r="IU61" i="12"/>
  <c r="IV61" i="12"/>
  <c r="A60" i="12"/>
  <c r="B60" i="12"/>
  <c r="C60" i="12"/>
  <c r="D60" i="12"/>
  <c r="E60" i="12"/>
  <c r="F60" i="12"/>
  <c r="G60" i="12"/>
  <c r="H60" i="12"/>
  <c r="I60" i="12"/>
  <c r="J60" i="12"/>
  <c r="K60" i="12"/>
  <c r="L60" i="12"/>
  <c r="M60" i="12"/>
  <c r="N60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BC60" i="12"/>
  <c r="BD60" i="12"/>
  <c r="BE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CW60" i="12"/>
  <c r="CX60" i="12"/>
  <c r="CY60" i="12"/>
  <c r="CZ60" i="12"/>
  <c r="DA60" i="12"/>
  <c r="DB60" i="12"/>
  <c r="DC60" i="12"/>
  <c r="DD60" i="12"/>
  <c r="DE60" i="12"/>
  <c r="DF60" i="12"/>
  <c r="DG60" i="12"/>
  <c r="DH60" i="12"/>
  <c r="DI60" i="12"/>
  <c r="DJ60" i="12"/>
  <c r="DK60" i="12"/>
  <c r="DL60" i="12"/>
  <c r="DM60" i="12"/>
  <c r="DN60" i="12"/>
  <c r="DO60" i="12"/>
  <c r="DP60" i="12"/>
  <c r="DQ60" i="12"/>
  <c r="DR60" i="12"/>
  <c r="DS60" i="12"/>
  <c r="DT60" i="12"/>
  <c r="DU60" i="12"/>
  <c r="DV60" i="12"/>
  <c r="DW60" i="12"/>
  <c r="DX60" i="12"/>
  <c r="DY60" i="12"/>
  <c r="DZ60" i="12"/>
  <c r="EA60" i="12"/>
  <c r="EB60" i="12"/>
  <c r="EC60" i="12"/>
  <c r="ED60" i="12"/>
  <c r="EE60" i="12"/>
  <c r="EF60" i="12"/>
  <c r="EG60" i="12"/>
  <c r="EH60" i="12"/>
  <c r="EI60" i="12"/>
  <c r="EJ60" i="12"/>
  <c r="EK60" i="12"/>
  <c r="EL60" i="12"/>
  <c r="EM60" i="12"/>
  <c r="EN60" i="12"/>
  <c r="EO60" i="12"/>
  <c r="EP60" i="12"/>
  <c r="EQ60" i="12"/>
  <c r="ER60" i="12"/>
  <c r="ES60" i="12"/>
  <c r="ET60" i="12"/>
  <c r="EU60" i="12"/>
  <c r="EV60" i="12"/>
  <c r="EW60" i="12"/>
  <c r="EX60" i="12"/>
  <c r="EY60" i="12"/>
  <c r="EZ60" i="12"/>
  <c r="FA60" i="12"/>
  <c r="FB60" i="12"/>
  <c r="FC60" i="12"/>
  <c r="FD60" i="12"/>
  <c r="FE60" i="12"/>
  <c r="FF60" i="12"/>
  <c r="FG60" i="12"/>
  <c r="FH60" i="12"/>
  <c r="FI60" i="12"/>
  <c r="FJ60" i="12"/>
  <c r="FK60" i="12"/>
  <c r="FL60" i="12"/>
  <c r="FM60" i="12"/>
  <c r="FN60" i="12"/>
  <c r="FO60" i="12"/>
  <c r="FP60" i="12"/>
  <c r="FQ60" i="12"/>
  <c r="FR60" i="12"/>
  <c r="FS60" i="12"/>
  <c r="FT60" i="12"/>
  <c r="FU60" i="12"/>
  <c r="FV60" i="12"/>
  <c r="FW60" i="12"/>
  <c r="FX60" i="12"/>
  <c r="FY60" i="12"/>
  <c r="FZ60" i="12"/>
  <c r="GA60" i="12"/>
  <c r="GB60" i="12"/>
  <c r="GC60" i="12"/>
  <c r="GD60" i="12"/>
  <c r="GE60" i="12"/>
  <c r="GF60" i="12"/>
  <c r="GG60" i="12"/>
  <c r="GH60" i="12"/>
  <c r="GI60" i="12"/>
  <c r="GJ60" i="12"/>
  <c r="GK60" i="12"/>
  <c r="GL60" i="12"/>
  <c r="GM60" i="12"/>
  <c r="GN60" i="12"/>
  <c r="GO60" i="12"/>
  <c r="GP60" i="12"/>
  <c r="GQ60" i="12"/>
  <c r="GR60" i="12"/>
  <c r="GS60" i="12"/>
  <c r="GT60" i="12"/>
  <c r="GU60" i="12"/>
  <c r="GV60" i="12"/>
  <c r="GW60" i="12"/>
  <c r="GX60" i="12"/>
  <c r="GY60" i="12"/>
  <c r="GZ60" i="12"/>
  <c r="HA60" i="12"/>
  <c r="HB60" i="12"/>
  <c r="HC60" i="12"/>
  <c r="HD60" i="12"/>
  <c r="HE60" i="12"/>
  <c r="HF60" i="12"/>
  <c r="HG60" i="12"/>
  <c r="HH60" i="12"/>
  <c r="HI60" i="12"/>
  <c r="HJ60" i="12"/>
  <c r="HK60" i="12"/>
  <c r="HL60" i="12"/>
  <c r="HM60" i="12"/>
  <c r="HN60" i="12"/>
  <c r="HO60" i="12"/>
  <c r="HP60" i="12"/>
  <c r="HQ60" i="12"/>
  <c r="HR60" i="12"/>
  <c r="HS60" i="12"/>
  <c r="HT60" i="12"/>
  <c r="HU60" i="12"/>
  <c r="HV60" i="12"/>
  <c r="HW60" i="12"/>
  <c r="HX60" i="12"/>
  <c r="HY60" i="12"/>
  <c r="HZ60" i="12"/>
  <c r="IA60" i="12"/>
  <c r="IB60" i="12"/>
  <c r="IC60" i="12"/>
  <c r="ID60" i="12"/>
  <c r="IE60" i="12"/>
  <c r="IF60" i="12"/>
  <c r="IG60" i="12"/>
  <c r="IH60" i="12"/>
  <c r="II60" i="12"/>
  <c r="IJ60" i="12"/>
  <c r="IK60" i="12"/>
  <c r="IL60" i="12"/>
  <c r="IM60" i="12"/>
  <c r="IN60" i="12"/>
  <c r="IO60" i="12"/>
  <c r="IP60" i="12"/>
  <c r="IQ60" i="12"/>
  <c r="IR60" i="12"/>
  <c r="IS60" i="12"/>
  <c r="IT60" i="12"/>
  <c r="IU60" i="12"/>
  <c r="IV60" i="12"/>
  <c r="A59" i="12"/>
  <c r="B59" i="12"/>
  <c r="C59" i="12"/>
  <c r="D59" i="12"/>
  <c r="E59" i="12"/>
  <c r="F59" i="12"/>
  <c r="G59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CW59" i="12"/>
  <c r="CX59" i="12"/>
  <c r="CY59" i="12"/>
  <c r="CZ59" i="12"/>
  <c r="DA59" i="12"/>
  <c r="DB59" i="12"/>
  <c r="DC59" i="12"/>
  <c r="DD59" i="12"/>
  <c r="DE59" i="12"/>
  <c r="DF59" i="12"/>
  <c r="DG59" i="12"/>
  <c r="DH59" i="12"/>
  <c r="DI59" i="12"/>
  <c r="DJ59" i="12"/>
  <c r="DK59" i="12"/>
  <c r="DL59" i="12"/>
  <c r="DM59" i="12"/>
  <c r="DN59" i="12"/>
  <c r="DO59" i="12"/>
  <c r="DP59" i="12"/>
  <c r="DQ59" i="12"/>
  <c r="DR59" i="12"/>
  <c r="DS59" i="12"/>
  <c r="DT59" i="12"/>
  <c r="DU59" i="12"/>
  <c r="DV59" i="12"/>
  <c r="DW59" i="12"/>
  <c r="DX59" i="12"/>
  <c r="DY59" i="12"/>
  <c r="DZ59" i="12"/>
  <c r="EA59" i="12"/>
  <c r="EB59" i="12"/>
  <c r="EC59" i="12"/>
  <c r="ED59" i="12"/>
  <c r="EE59" i="12"/>
  <c r="EF59" i="12"/>
  <c r="EG59" i="12"/>
  <c r="EH59" i="12"/>
  <c r="EI59" i="12"/>
  <c r="EJ59" i="12"/>
  <c r="EK59" i="12"/>
  <c r="EL59" i="12"/>
  <c r="EM59" i="12"/>
  <c r="EN59" i="12"/>
  <c r="EO59" i="12"/>
  <c r="EP59" i="12"/>
  <c r="EQ59" i="12"/>
  <c r="ER59" i="12"/>
  <c r="ES59" i="12"/>
  <c r="ET59" i="12"/>
  <c r="EU59" i="12"/>
  <c r="EV59" i="12"/>
  <c r="EW59" i="12"/>
  <c r="EX59" i="12"/>
  <c r="EY59" i="12"/>
  <c r="EZ59" i="12"/>
  <c r="FA59" i="12"/>
  <c r="FB59" i="12"/>
  <c r="FC59" i="12"/>
  <c r="FD59" i="12"/>
  <c r="FE59" i="12"/>
  <c r="FF59" i="12"/>
  <c r="FG59" i="12"/>
  <c r="FH59" i="12"/>
  <c r="FI59" i="12"/>
  <c r="FJ59" i="12"/>
  <c r="FK59" i="12"/>
  <c r="FL59" i="12"/>
  <c r="FM59" i="12"/>
  <c r="FN59" i="12"/>
  <c r="FO59" i="12"/>
  <c r="FP59" i="12"/>
  <c r="FQ59" i="12"/>
  <c r="FR59" i="12"/>
  <c r="FS59" i="12"/>
  <c r="FT59" i="12"/>
  <c r="FU59" i="12"/>
  <c r="FV59" i="12"/>
  <c r="FW59" i="12"/>
  <c r="FX59" i="12"/>
  <c r="FY59" i="12"/>
  <c r="FZ59" i="12"/>
  <c r="GA59" i="12"/>
  <c r="GB59" i="12"/>
  <c r="GC59" i="12"/>
  <c r="GD59" i="12"/>
  <c r="GE59" i="12"/>
  <c r="GF59" i="12"/>
  <c r="GG59" i="12"/>
  <c r="GH59" i="12"/>
  <c r="GI59" i="12"/>
  <c r="GJ59" i="12"/>
  <c r="GK59" i="12"/>
  <c r="GL59" i="12"/>
  <c r="GM59" i="12"/>
  <c r="GN59" i="12"/>
  <c r="GO59" i="12"/>
  <c r="GP59" i="12"/>
  <c r="GQ59" i="12"/>
  <c r="GR59" i="12"/>
  <c r="GS59" i="12"/>
  <c r="GT59" i="12"/>
  <c r="GU59" i="12"/>
  <c r="GV59" i="12"/>
  <c r="GW59" i="12"/>
  <c r="GX59" i="12"/>
  <c r="GY59" i="12"/>
  <c r="GZ59" i="12"/>
  <c r="HA59" i="12"/>
  <c r="HB59" i="12"/>
  <c r="HC59" i="12"/>
  <c r="HD59" i="12"/>
  <c r="HE59" i="12"/>
  <c r="HF59" i="12"/>
  <c r="HG59" i="12"/>
  <c r="HH59" i="12"/>
  <c r="HI59" i="12"/>
  <c r="HJ59" i="12"/>
  <c r="HK59" i="12"/>
  <c r="HL59" i="12"/>
  <c r="HM59" i="12"/>
  <c r="HN59" i="12"/>
  <c r="HO59" i="12"/>
  <c r="HP59" i="12"/>
  <c r="HQ59" i="12"/>
  <c r="HR59" i="12"/>
  <c r="HS59" i="12"/>
  <c r="HT59" i="12"/>
  <c r="HU59" i="12"/>
  <c r="HV59" i="12"/>
  <c r="HW59" i="12"/>
  <c r="HX59" i="12"/>
  <c r="HY59" i="12"/>
  <c r="HZ59" i="12"/>
  <c r="IA59" i="12"/>
  <c r="IB59" i="12"/>
  <c r="IC59" i="12"/>
  <c r="ID59" i="12"/>
  <c r="IE59" i="12"/>
  <c r="IF59" i="12"/>
  <c r="IG59" i="12"/>
  <c r="IH59" i="12"/>
  <c r="II59" i="12"/>
  <c r="IJ59" i="12"/>
  <c r="IK59" i="12"/>
  <c r="IL59" i="12"/>
  <c r="IM59" i="12"/>
  <c r="IN59" i="12"/>
  <c r="IO59" i="12"/>
  <c r="IP59" i="12"/>
  <c r="IQ59" i="12"/>
  <c r="IR59" i="12"/>
  <c r="IS59" i="12"/>
  <c r="IT59" i="12"/>
  <c r="IU59" i="12"/>
  <c r="IV59" i="12"/>
  <c r="A58" i="12"/>
  <c r="B58" i="12"/>
  <c r="C58" i="12"/>
  <c r="D58" i="12"/>
  <c r="E58" i="12"/>
  <c r="F58" i="12"/>
  <c r="G58" i="12"/>
  <c r="H58" i="12"/>
  <c r="I58" i="12"/>
  <c r="J58" i="12"/>
  <c r="K58" i="12"/>
  <c r="L58" i="12"/>
  <c r="M58" i="12"/>
  <c r="N58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BC58" i="12"/>
  <c r="BD58" i="12"/>
  <c r="BE58" i="12"/>
  <c r="BF58" i="12"/>
  <c r="BG58" i="12"/>
  <c r="BH58" i="12"/>
  <c r="BI58" i="12"/>
  <c r="BJ58" i="12"/>
  <c r="BK58" i="12"/>
  <c r="BL58" i="12"/>
  <c r="BM58" i="12"/>
  <c r="BN58" i="12"/>
  <c r="BO58" i="12"/>
  <c r="BP58" i="12"/>
  <c r="BQ58" i="12"/>
  <c r="BR58" i="12"/>
  <c r="BS58" i="12"/>
  <c r="BT58" i="12"/>
  <c r="BU58" i="12"/>
  <c r="BV58" i="12"/>
  <c r="BW58" i="12"/>
  <c r="BX58" i="12"/>
  <c r="BY58" i="12"/>
  <c r="BZ58" i="12"/>
  <c r="CA58" i="12"/>
  <c r="CB58" i="12"/>
  <c r="CC58" i="12"/>
  <c r="CD58" i="12"/>
  <c r="CE58" i="12"/>
  <c r="CF58" i="12"/>
  <c r="CG58" i="12"/>
  <c r="CH58" i="12"/>
  <c r="CI58" i="12"/>
  <c r="CJ58" i="12"/>
  <c r="CK58" i="12"/>
  <c r="CL58" i="12"/>
  <c r="CM58" i="12"/>
  <c r="CN58" i="12"/>
  <c r="CO58" i="12"/>
  <c r="CP58" i="12"/>
  <c r="CQ58" i="12"/>
  <c r="CR58" i="12"/>
  <c r="CS58" i="12"/>
  <c r="CT58" i="12"/>
  <c r="CU58" i="12"/>
  <c r="CV58" i="12"/>
  <c r="CW58" i="12"/>
  <c r="CX58" i="12"/>
  <c r="CY58" i="12"/>
  <c r="CZ58" i="12"/>
  <c r="DA58" i="12"/>
  <c r="DB58" i="12"/>
  <c r="DC58" i="12"/>
  <c r="DD58" i="12"/>
  <c r="DE58" i="12"/>
  <c r="DF58" i="12"/>
  <c r="DG58" i="12"/>
  <c r="DH58" i="12"/>
  <c r="DI58" i="12"/>
  <c r="DJ58" i="12"/>
  <c r="DK58" i="12"/>
  <c r="DL58" i="12"/>
  <c r="DM58" i="12"/>
  <c r="DN58" i="12"/>
  <c r="DO58" i="12"/>
  <c r="DP58" i="12"/>
  <c r="DQ58" i="12"/>
  <c r="DR58" i="12"/>
  <c r="DS58" i="12"/>
  <c r="DT58" i="12"/>
  <c r="DU58" i="12"/>
  <c r="DV58" i="12"/>
  <c r="DW58" i="12"/>
  <c r="DX58" i="12"/>
  <c r="DY58" i="12"/>
  <c r="DZ58" i="12"/>
  <c r="EA58" i="12"/>
  <c r="EB58" i="12"/>
  <c r="EC58" i="12"/>
  <c r="ED58" i="12"/>
  <c r="EE58" i="12"/>
  <c r="EF58" i="12"/>
  <c r="EG58" i="12"/>
  <c r="EH58" i="12"/>
  <c r="EI58" i="12"/>
  <c r="EJ58" i="12"/>
  <c r="EK58" i="12"/>
  <c r="EL58" i="12"/>
  <c r="EM58" i="12"/>
  <c r="EN58" i="12"/>
  <c r="EO58" i="12"/>
  <c r="EP58" i="12"/>
  <c r="EQ58" i="12"/>
  <c r="ER58" i="12"/>
  <c r="ES58" i="12"/>
  <c r="ET58" i="12"/>
  <c r="EU58" i="12"/>
  <c r="EV58" i="12"/>
  <c r="EW58" i="12"/>
  <c r="EX58" i="12"/>
  <c r="EY58" i="12"/>
  <c r="EZ58" i="12"/>
  <c r="FA58" i="12"/>
  <c r="FB58" i="12"/>
  <c r="FC58" i="12"/>
  <c r="FD58" i="12"/>
  <c r="FE58" i="12"/>
  <c r="FF58" i="12"/>
  <c r="FG58" i="12"/>
  <c r="FH58" i="12"/>
  <c r="FI58" i="12"/>
  <c r="FJ58" i="12"/>
  <c r="FK58" i="12"/>
  <c r="FL58" i="12"/>
  <c r="FM58" i="12"/>
  <c r="FN58" i="12"/>
  <c r="FO58" i="12"/>
  <c r="FP58" i="12"/>
  <c r="FQ58" i="12"/>
  <c r="FR58" i="12"/>
  <c r="FS58" i="12"/>
  <c r="FT58" i="12"/>
  <c r="FU58" i="12"/>
  <c r="FV58" i="12"/>
  <c r="FW58" i="12"/>
  <c r="FX58" i="12"/>
  <c r="FY58" i="12"/>
  <c r="FZ58" i="12"/>
  <c r="GA58" i="12"/>
  <c r="GB58" i="12"/>
  <c r="GC58" i="12"/>
  <c r="GD58" i="12"/>
  <c r="GE58" i="12"/>
  <c r="GF58" i="12"/>
  <c r="GG58" i="12"/>
  <c r="GH58" i="12"/>
  <c r="GI58" i="12"/>
  <c r="GJ58" i="12"/>
  <c r="GK58" i="12"/>
  <c r="GL58" i="12"/>
  <c r="GM58" i="12"/>
  <c r="GN58" i="12"/>
  <c r="GO58" i="12"/>
  <c r="GP58" i="12"/>
  <c r="GQ58" i="12"/>
  <c r="GR58" i="12"/>
  <c r="GS58" i="12"/>
  <c r="GT58" i="12"/>
  <c r="GU58" i="12"/>
  <c r="GV58" i="12"/>
  <c r="GW58" i="12"/>
  <c r="GX58" i="12"/>
  <c r="GY58" i="12"/>
  <c r="GZ58" i="12"/>
  <c r="HA58" i="12"/>
  <c r="HB58" i="12"/>
  <c r="HC58" i="12"/>
  <c r="HD58" i="12"/>
  <c r="HE58" i="12"/>
  <c r="HF58" i="12"/>
  <c r="HG58" i="12"/>
  <c r="HH58" i="12"/>
  <c r="HI58" i="12"/>
  <c r="HJ58" i="12"/>
  <c r="HK58" i="12"/>
  <c r="HL58" i="12"/>
  <c r="HM58" i="12"/>
  <c r="HN58" i="12"/>
  <c r="HO58" i="12"/>
  <c r="HP58" i="12"/>
  <c r="HQ58" i="12"/>
  <c r="HR58" i="12"/>
  <c r="HS58" i="12"/>
  <c r="HT58" i="12"/>
  <c r="HU58" i="12"/>
  <c r="HV58" i="12"/>
  <c r="HW58" i="12"/>
  <c r="HX58" i="12"/>
  <c r="HY58" i="12"/>
  <c r="HZ58" i="12"/>
  <c r="IA58" i="12"/>
  <c r="IB58" i="12"/>
  <c r="IC58" i="12"/>
  <c r="ID58" i="12"/>
  <c r="IE58" i="12"/>
  <c r="IF58" i="12"/>
  <c r="IG58" i="12"/>
  <c r="IH58" i="12"/>
  <c r="II58" i="12"/>
  <c r="IJ58" i="12"/>
  <c r="IK58" i="12"/>
  <c r="IL58" i="12"/>
  <c r="IM58" i="12"/>
  <c r="IN58" i="12"/>
  <c r="IO58" i="12"/>
  <c r="IP58" i="12"/>
  <c r="IQ58" i="12"/>
  <c r="IR58" i="12"/>
  <c r="IS58" i="12"/>
  <c r="IT58" i="12"/>
  <c r="IU58" i="12"/>
  <c r="IV58" i="12"/>
  <c r="A57" i="12"/>
  <c r="B57" i="12"/>
  <c r="C57" i="12"/>
  <c r="D57" i="12"/>
  <c r="E57" i="12"/>
  <c r="F57" i="12"/>
  <c r="G57" i="12"/>
  <c r="H57" i="12"/>
  <c r="I57" i="12"/>
  <c r="J57" i="12"/>
  <c r="K57" i="12"/>
  <c r="L57" i="12"/>
  <c r="M57" i="12"/>
  <c r="N57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BC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P57" i="12"/>
  <c r="BQ57" i="12"/>
  <c r="BR57" i="12"/>
  <c r="BS57" i="12"/>
  <c r="BT57" i="12"/>
  <c r="BU57" i="12"/>
  <c r="BV57" i="12"/>
  <c r="BW57" i="12"/>
  <c r="BX57" i="12"/>
  <c r="BY57" i="12"/>
  <c r="BZ57" i="12"/>
  <c r="CA57" i="12"/>
  <c r="CB57" i="12"/>
  <c r="CC57" i="12"/>
  <c r="CD57" i="12"/>
  <c r="CE57" i="12"/>
  <c r="CF57" i="12"/>
  <c r="CG57" i="12"/>
  <c r="CH57" i="12"/>
  <c r="CI57" i="12"/>
  <c r="CJ57" i="12"/>
  <c r="CK57" i="12"/>
  <c r="CL57" i="12"/>
  <c r="CM57" i="12"/>
  <c r="CN57" i="12"/>
  <c r="CO57" i="12"/>
  <c r="CP57" i="12"/>
  <c r="CQ57" i="12"/>
  <c r="CR57" i="12"/>
  <c r="CS57" i="12"/>
  <c r="CT57" i="12"/>
  <c r="CU57" i="12"/>
  <c r="CV57" i="12"/>
  <c r="CW57" i="12"/>
  <c r="CX57" i="12"/>
  <c r="CY57" i="12"/>
  <c r="CZ57" i="12"/>
  <c r="DA57" i="12"/>
  <c r="DB57" i="12"/>
  <c r="DC57" i="12"/>
  <c r="DD57" i="12"/>
  <c r="DE57" i="12"/>
  <c r="DF57" i="12"/>
  <c r="DG57" i="12"/>
  <c r="DH57" i="12"/>
  <c r="DI57" i="12"/>
  <c r="DJ57" i="12"/>
  <c r="DK57" i="12"/>
  <c r="DL57" i="12"/>
  <c r="DM57" i="12"/>
  <c r="DN57" i="12"/>
  <c r="DO57" i="12"/>
  <c r="DP57" i="12"/>
  <c r="DQ57" i="12"/>
  <c r="DR57" i="12"/>
  <c r="DS57" i="12"/>
  <c r="DT57" i="12"/>
  <c r="DU57" i="12"/>
  <c r="DV57" i="12"/>
  <c r="DW57" i="12"/>
  <c r="DX57" i="12"/>
  <c r="DY57" i="12"/>
  <c r="DZ57" i="12"/>
  <c r="EA57" i="12"/>
  <c r="EB57" i="12"/>
  <c r="EC57" i="12"/>
  <c r="ED57" i="12"/>
  <c r="EE57" i="12"/>
  <c r="EF57" i="12"/>
  <c r="EG57" i="12"/>
  <c r="EH57" i="12"/>
  <c r="EI57" i="12"/>
  <c r="EJ57" i="12"/>
  <c r="EK57" i="12"/>
  <c r="EL57" i="12"/>
  <c r="EM57" i="12"/>
  <c r="EN57" i="12"/>
  <c r="EO57" i="12"/>
  <c r="EP57" i="12"/>
  <c r="EQ57" i="12"/>
  <c r="ER57" i="12"/>
  <c r="ES57" i="12"/>
  <c r="ET57" i="12"/>
  <c r="EU57" i="12"/>
  <c r="EV57" i="12"/>
  <c r="EW57" i="12"/>
  <c r="EX57" i="12"/>
  <c r="EY57" i="12"/>
  <c r="EZ57" i="12"/>
  <c r="FA57" i="12"/>
  <c r="FB57" i="12"/>
  <c r="FC57" i="12"/>
  <c r="FD57" i="12"/>
  <c r="FE57" i="12"/>
  <c r="FF57" i="12"/>
  <c r="FG57" i="12"/>
  <c r="FH57" i="12"/>
  <c r="FI57" i="12"/>
  <c r="FJ57" i="12"/>
  <c r="FK57" i="12"/>
  <c r="FL57" i="12"/>
  <c r="FM57" i="12"/>
  <c r="FN57" i="12"/>
  <c r="FO57" i="12"/>
  <c r="FP57" i="12"/>
  <c r="FQ57" i="12"/>
  <c r="FR57" i="12"/>
  <c r="FS57" i="12"/>
  <c r="FT57" i="12"/>
  <c r="FU57" i="12"/>
  <c r="FV57" i="12"/>
  <c r="FW57" i="12"/>
  <c r="FX57" i="12"/>
  <c r="FY57" i="12"/>
  <c r="FZ57" i="12"/>
  <c r="GA57" i="12"/>
  <c r="GB57" i="12"/>
  <c r="GC57" i="12"/>
  <c r="GD57" i="12"/>
  <c r="GE57" i="12"/>
  <c r="GF57" i="12"/>
  <c r="GG57" i="12"/>
  <c r="GH57" i="12"/>
  <c r="GI57" i="12"/>
  <c r="GJ57" i="12"/>
  <c r="GK57" i="12"/>
  <c r="GL57" i="12"/>
  <c r="GM57" i="12"/>
  <c r="GN57" i="12"/>
  <c r="GO57" i="12"/>
  <c r="GP57" i="12"/>
  <c r="GQ57" i="12"/>
  <c r="GR57" i="12"/>
  <c r="GS57" i="12"/>
  <c r="GT57" i="12"/>
  <c r="GU57" i="12"/>
  <c r="GV57" i="12"/>
  <c r="GW57" i="12"/>
  <c r="GX57" i="12"/>
  <c r="GY57" i="12"/>
  <c r="GZ57" i="12"/>
  <c r="HA57" i="12"/>
  <c r="HB57" i="12"/>
  <c r="HC57" i="12"/>
  <c r="HD57" i="12"/>
  <c r="HE57" i="12"/>
  <c r="HF57" i="12"/>
  <c r="HG57" i="12"/>
  <c r="HH57" i="12"/>
  <c r="HI57" i="12"/>
  <c r="HJ57" i="12"/>
  <c r="HK57" i="12"/>
  <c r="HL57" i="12"/>
  <c r="HM57" i="12"/>
  <c r="HN57" i="12"/>
  <c r="HO57" i="12"/>
  <c r="HP57" i="12"/>
  <c r="HQ57" i="12"/>
  <c r="HR57" i="12"/>
  <c r="HS57" i="12"/>
  <c r="HT57" i="12"/>
  <c r="HU57" i="12"/>
  <c r="HV57" i="12"/>
  <c r="HW57" i="12"/>
  <c r="HX57" i="12"/>
  <c r="HY57" i="12"/>
  <c r="HZ57" i="12"/>
  <c r="IA57" i="12"/>
  <c r="IB57" i="12"/>
  <c r="IC57" i="12"/>
  <c r="ID57" i="12"/>
  <c r="IE57" i="12"/>
  <c r="IF57" i="12"/>
  <c r="IG57" i="12"/>
  <c r="IH57" i="12"/>
  <c r="II57" i="12"/>
  <c r="IJ57" i="12"/>
  <c r="IK57" i="12"/>
  <c r="IL57" i="12"/>
  <c r="IM57" i="12"/>
  <c r="IN57" i="12"/>
  <c r="IO57" i="12"/>
  <c r="IP57" i="12"/>
  <c r="IQ57" i="12"/>
  <c r="IR57" i="12"/>
  <c r="IS57" i="12"/>
  <c r="IT57" i="12"/>
  <c r="IU57" i="12"/>
  <c r="IV57" i="12"/>
  <c r="A56" i="12"/>
  <c r="B56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BC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P56" i="12"/>
  <c r="BQ56" i="12"/>
  <c r="BR56" i="12"/>
  <c r="BS56" i="12"/>
  <c r="BT56" i="12"/>
  <c r="BU56" i="12"/>
  <c r="BV56" i="12"/>
  <c r="BW56" i="12"/>
  <c r="BX56" i="12"/>
  <c r="BY56" i="12"/>
  <c r="BZ56" i="12"/>
  <c r="CA56" i="12"/>
  <c r="CB56" i="12"/>
  <c r="CC56" i="12"/>
  <c r="CD56" i="12"/>
  <c r="CE56" i="12"/>
  <c r="CF56" i="12"/>
  <c r="CG56" i="12"/>
  <c r="CH56" i="12"/>
  <c r="CI56" i="12"/>
  <c r="CJ56" i="12"/>
  <c r="CK56" i="12"/>
  <c r="CL56" i="12"/>
  <c r="CM56" i="12"/>
  <c r="CN56" i="12"/>
  <c r="CO56" i="12"/>
  <c r="CP56" i="12"/>
  <c r="CQ56" i="12"/>
  <c r="CR56" i="12"/>
  <c r="CS56" i="12"/>
  <c r="CT56" i="12"/>
  <c r="CU56" i="12"/>
  <c r="CV56" i="12"/>
  <c r="CW56" i="12"/>
  <c r="CX56" i="12"/>
  <c r="CY56" i="12"/>
  <c r="CZ56" i="12"/>
  <c r="DA56" i="12"/>
  <c r="DB56" i="12"/>
  <c r="DC56" i="12"/>
  <c r="DD56" i="12"/>
  <c r="DE56" i="12"/>
  <c r="DF56" i="12"/>
  <c r="DG56" i="12"/>
  <c r="DH56" i="12"/>
  <c r="DI56" i="12"/>
  <c r="DJ56" i="12"/>
  <c r="DK56" i="12"/>
  <c r="DL56" i="12"/>
  <c r="DM56" i="12"/>
  <c r="DN56" i="12"/>
  <c r="DO56" i="12"/>
  <c r="DP56" i="12"/>
  <c r="DQ56" i="12"/>
  <c r="DR56" i="12"/>
  <c r="DS56" i="12"/>
  <c r="DT56" i="12"/>
  <c r="DU56" i="12"/>
  <c r="DV56" i="12"/>
  <c r="DW56" i="12"/>
  <c r="DX56" i="12"/>
  <c r="DY56" i="12"/>
  <c r="DZ56" i="12"/>
  <c r="EA56" i="12"/>
  <c r="EB56" i="12"/>
  <c r="EC56" i="12"/>
  <c r="ED56" i="12"/>
  <c r="EE56" i="12"/>
  <c r="EF56" i="12"/>
  <c r="EG56" i="12"/>
  <c r="EH56" i="12"/>
  <c r="EI56" i="12"/>
  <c r="EJ56" i="12"/>
  <c r="EK56" i="12"/>
  <c r="EL56" i="12"/>
  <c r="EM56" i="12"/>
  <c r="EN56" i="12"/>
  <c r="EO56" i="12"/>
  <c r="EP56" i="12"/>
  <c r="EQ56" i="12"/>
  <c r="ER56" i="12"/>
  <c r="ES56" i="12"/>
  <c r="ET56" i="12"/>
  <c r="EU56" i="12"/>
  <c r="EV56" i="12"/>
  <c r="EW56" i="12"/>
  <c r="EX56" i="12"/>
  <c r="EY56" i="12"/>
  <c r="EZ56" i="12"/>
  <c r="FA56" i="12"/>
  <c r="FB56" i="12"/>
  <c r="FC56" i="12"/>
  <c r="FD56" i="12"/>
  <c r="FE56" i="12"/>
  <c r="FF56" i="12"/>
  <c r="FG56" i="12"/>
  <c r="FH56" i="12"/>
  <c r="FI56" i="12"/>
  <c r="FJ56" i="12"/>
  <c r="FK56" i="12"/>
  <c r="FL56" i="12"/>
  <c r="FM56" i="12"/>
  <c r="FN56" i="12"/>
  <c r="FO56" i="12"/>
  <c r="FP56" i="12"/>
  <c r="FQ56" i="12"/>
  <c r="FR56" i="12"/>
  <c r="FS56" i="12"/>
  <c r="FT56" i="12"/>
  <c r="FU56" i="12"/>
  <c r="FV56" i="12"/>
  <c r="FW56" i="12"/>
  <c r="FX56" i="12"/>
  <c r="FY56" i="12"/>
  <c r="FZ56" i="12"/>
  <c r="GA56" i="12"/>
  <c r="GB56" i="12"/>
  <c r="GC56" i="12"/>
  <c r="GD56" i="12"/>
  <c r="GE56" i="12"/>
  <c r="GF56" i="12"/>
  <c r="GG56" i="12"/>
  <c r="GH56" i="12"/>
  <c r="GI56" i="12"/>
  <c r="GJ56" i="12"/>
  <c r="GK56" i="12"/>
  <c r="GL56" i="12"/>
  <c r="GM56" i="12"/>
  <c r="GN56" i="12"/>
  <c r="GO56" i="12"/>
  <c r="GP56" i="12"/>
  <c r="GQ56" i="12"/>
  <c r="GR56" i="12"/>
  <c r="GS56" i="12"/>
  <c r="GT56" i="12"/>
  <c r="GU56" i="12"/>
  <c r="GV56" i="12"/>
  <c r="GW56" i="12"/>
  <c r="GX56" i="12"/>
  <c r="GY56" i="12"/>
  <c r="GZ56" i="12"/>
  <c r="HA56" i="12"/>
  <c r="HB56" i="12"/>
  <c r="HC56" i="12"/>
  <c r="HD56" i="12"/>
  <c r="HE56" i="12"/>
  <c r="HF56" i="12"/>
  <c r="HG56" i="12"/>
  <c r="HH56" i="12"/>
  <c r="HI56" i="12"/>
  <c r="HJ56" i="12"/>
  <c r="HK56" i="12"/>
  <c r="HL56" i="12"/>
  <c r="HM56" i="12"/>
  <c r="HN56" i="12"/>
  <c r="HO56" i="12"/>
  <c r="HP56" i="12"/>
  <c r="HQ56" i="12"/>
  <c r="HR56" i="12"/>
  <c r="HS56" i="12"/>
  <c r="HT56" i="12"/>
  <c r="HU56" i="12"/>
  <c r="HV56" i="12"/>
  <c r="HW56" i="12"/>
  <c r="HX56" i="12"/>
  <c r="HY56" i="12"/>
  <c r="HZ56" i="12"/>
  <c r="IA56" i="12"/>
  <c r="IB56" i="12"/>
  <c r="IC56" i="12"/>
  <c r="ID56" i="12"/>
  <c r="IE56" i="12"/>
  <c r="IF56" i="12"/>
  <c r="IG56" i="12"/>
  <c r="IH56" i="12"/>
  <c r="II56" i="12"/>
  <c r="IJ56" i="12"/>
  <c r="IK56" i="12"/>
  <c r="IL56" i="12"/>
  <c r="IM56" i="12"/>
  <c r="IN56" i="12"/>
  <c r="IO56" i="12"/>
  <c r="IP56" i="12"/>
  <c r="IQ56" i="12"/>
  <c r="IR56" i="12"/>
  <c r="IS56" i="12"/>
  <c r="IT56" i="12"/>
  <c r="IU56" i="12"/>
  <c r="IV56" i="12"/>
  <c r="A55" i="12"/>
  <c r="B55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CM55" i="12"/>
  <c r="CN55" i="12"/>
  <c r="CO55" i="12"/>
  <c r="CP55" i="12"/>
  <c r="CQ55" i="12"/>
  <c r="CR55" i="12"/>
  <c r="CS55" i="12"/>
  <c r="CT55" i="12"/>
  <c r="CU55" i="12"/>
  <c r="CV55" i="12"/>
  <c r="CW55" i="12"/>
  <c r="CX55" i="12"/>
  <c r="CY55" i="12"/>
  <c r="CZ55" i="12"/>
  <c r="DA55" i="12"/>
  <c r="DB55" i="12"/>
  <c r="DC55" i="12"/>
  <c r="DD55" i="12"/>
  <c r="DE55" i="12"/>
  <c r="DF55" i="12"/>
  <c r="DG55" i="12"/>
  <c r="DH55" i="12"/>
  <c r="DI55" i="12"/>
  <c r="DJ55" i="12"/>
  <c r="DK55" i="12"/>
  <c r="DL55" i="12"/>
  <c r="DM55" i="12"/>
  <c r="DN55" i="12"/>
  <c r="DO55" i="12"/>
  <c r="DP55" i="12"/>
  <c r="DQ55" i="12"/>
  <c r="DR55" i="12"/>
  <c r="DS55" i="12"/>
  <c r="DT55" i="12"/>
  <c r="DU55" i="12"/>
  <c r="DV55" i="12"/>
  <c r="DW55" i="12"/>
  <c r="DX55" i="12"/>
  <c r="DY55" i="12"/>
  <c r="DZ55" i="12"/>
  <c r="EA55" i="12"/>
  <c r="EB55" i="12"/>
  <c r="EC55" i="12"/>
  <c r="ED55" i="12"/>
  <c r="EE55" i="12"/>
  <c r="EF55" i="12"/>
  <c r="EG55" i="12"/>
  <c r="EH55" i="12"/>
  <c r="EI55" i="12"/>
  <c r="EJ55" i="12"/>
  <c r="EK55" i="12"/>
  <c r="EL55" i="12"/>
  <c r="EM55" i="12"/>
  <c r="EN55" i="12"/>
  <c r="EO55" i="12"/>
  <c r="EP55" i="12"/>
  <c r="EQ55" i="12"/>
  <c r="ER55" i="12"/>
  <c r="ES55" i="12"/>
  <c r="ET55" i="12"/>
  <c r="EU55" i="12"/>
  <c r="EV55" i="12"/>
  <c r="EW55" i="12"/>
  <c r="EX55" i="12"/>
  <c r="EY55" i="12"/>
  <c r="EZ55" i="12"/>
  <c r="FA55" i="12"/>
  <c r="FB55" i="12"/>
  <c r="FC55" i="12"/>
  <c r="FD55" i="12"/>
  <c r="FE55" i="12"/>
  <c r="FF55" i="12"/>
  <c r="FG55" i="12"/>
  <c r="FH55" i="12"/>
  <c r="FI55" i="12"/>
  <c r="FJ55" i="12"/>
  <c r="FK55" i="12"/>
  <c r="FL55" i="12"/>
  <c r="FM55" i="12"/>
  <c r="FN55" i="12"/>
  <c r="FO55" i="12"/>
  <c r="FP55" i="12"/>
  <c r="FQ55" i="12"/>
  <c r="FR55" i="12"/>
  <c r="FS55" i="12"/>
  <c r="FT55" i="12"/>
  <c r="FU55" i="12"/>
  <c r="FV55" i="12"/>
  <c r="FW55" i="12"/>
  <c r="FX55" i="12"/>
  <c r="FY55" i="12"/>
  <c r="FZ55" i="12"/>
  <c r="GA55" i="12"/>
  <c r="GB55" i="12"/>
  <c r="GC55" i="12"/>
  <c r="GD55" i="12"/>
  <c r="GE55" i="12"/>
  <c r="GF55" i="12"/>
  <c r="GG55" i="12"/>
  <c r="GH55" i="12"/>
  <c r="GI55" i="12"/>
  <c r="GJ55" i="12"/>
  <c r="GK55" i="12"/>
  <c r="GL55" i="12"/>
  <c r="GM55" i="12"/>
  <c r="GN55" i="12"/>
  <c r="GO55" i="12"/>
  <c r="GP55" i="12"/>
  <c r="GQ55" i="12"/>
  <c r="GR55" i="12"/>
  <c r="GS55" i="12"/>
  <c r="GT55" i="12"/>
  <c r="GU55" i="12"/>
  <c r="GV55" i="12"/>
  <c r="GW55" i="12"/>
  <c r="GX55" i="12"/>
  <c r="GY55" i="12"/>
  <c r="GZ55" i="12"/>
  <c r="HA55" i="12"/>
  <c r="HB55" i="12"/>
  <c r="HC55" i="12"/>
  <c r="HD55" i="12"/>
  <c r="HE55" i="12"/>
  <c r="HF55" i="12"/>
  <c r="HG55" i="12"/>
  <c r="HH55" i="12"/>
  <c r="HI55" i="12"/>
  <c r="HJ55" i="12"/>
  <c r="HK55" i="12"/>
  <c r="HL55" i="12"/>
  <c r="HM55" i="12"/>
  <c r="HN55" i="12"/>
  <c r="HO55" i="12"/>
  <c r="HP55" i="12"/>
  <c r="HQ55" i="12"/>
  <c r="HR55" i="12"/>
  <c r="HS55" i="12"/>
  <c r="HT55" i="12"/>
  <c r="HU55" i="12"/>
  <c r="HV55" i="12"/>
  <c r="HW55" i="12"/>
  <c r="HX55" i="12"/>
  <c r="HY55" i="12"/>
  <c r="HZ55" i="12"/>
  <c r="IA55" i="12"/>
  <c r="IB55" i="12"/>
  <c r="IC55" i="12"/>
  <c r="ID55" i="12"/>
  <c r="IE55" i="12"/>
  <c r="IF55" i="12"/>
  <c r="IG55" i="12"/>
  <c r="IH55" i="12"/>
  <c r="II55" i="12"/>
  <c r="IJ55" i="12"/>
  <c r="IK55" i="12"/>
  <c r="IL55" i="12"/>
  <c r="IM55" i="12"/>
  <c r="IN55" i="12"/>
  <c r="IO55" i="12"/>
  <c r="IP55" i="12"/>
  <c r="IQ55" i="12"/>
  <c r="IR55" i="12"/>
  <c r="IS55" i="12"/>
  <c r="IT55" i="12"/>
  <c r="IU55" i="12"/>
  <c r="IV55" i="12"/>
  <c r="A54" i="12"/>
  <c r="B54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BC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P54" i="12"/>
  <c r="BQ54" i="12"/>
  <c r="BR54" i="12"/>
  <c r="BS54" i="12"/>
  <c r="BT54" i="12"/>
  <c r="BU54" i="12"/>
  <c r="BV54" i="12"/>
  <c r="BW54" i="12"/>
  <c r="BX54" i="12"/>
  <c r="BY54" i="12"/>
  <c r="BZ54" i="12"/>
  <c r="CA54" i="12"/>
  <c r="CB54" i="12"/>
  <c r="CC54" i="12"/>
  <c r="CD54" i="12"/>
  <c r="CE54" i="12"/>
  <c r="CF54" i="12"/>
  <c r="CG54" i="12"/>
  <c r="CH54" i="12"/>
  <c r="CI54" i="12"/>
  <c r="CJ54" i="12"/>
  <c r="CK54" i="12"/>
  <c r="CL54" i="12"/>
  <c r="CM54" i="12"/>
  <c r="CN54" i="12"/>
  <c r="CO54" i="12"/>
  <c r="CP54" i="12"/>
  <c r="CQ54" i="12"/>
  <c r="CR54" i="12"/>
  <c r="CS54" i="12"/>
  <c r="CT54" i="12"/>
  <c r="CU54" i="12"/>
  <c r="CV54" i="12"/>
  <c r="CW54" i="12"/>
  <c r="CX54" i="12"/>
  <c r="CY54" i="12"/>
  <c r="CZ54" i="12"/>
  <c r="DA54" i="12"/>
  <c r="DB54" i="12"/>
  <c r="DC54" i="12"/>
  <c r="DD54" i="12"/>
  <c r="DE54" i="12"/>
  <c r="DF54" i="12"/>
  <c r="DG54" i="12"/>
  <c r="DH54" i="12"/>
  <c r="DI54" i="12"/>
  <c r="DJ54" i="12"/>
  <c r="DK54" i="12"/>
  <c r="DL54" i="12"/>
  <c r="DM54" i="12"/>
  <c r="DN54" i="12"/>
  <c r="DO54" i="12"/>
  <c r="DP54" i="12"/>
  <c r="DQ54" i="12"/>
  <c r="DR54" i="12"/>
  <c r="DS54" i="12"/>
  <c r="DT54" i="12"/>
  <c r="DU54" i="12"/>
  <c r="DV54" i="12"/>
  <c r="DW54" i="12"/>
  <c r="DX54" i="12"/>
  <c r="DY54" i="12"/>
  <c r="DZ54" i="12"/>
  <c r="EA54" i="12"/>
  <c r="EB54" i="12"/>
  <c r="EC54" i="12"/>
  <c r="ED54" i="12"/>
  <c r="EE54" i="12"/>
  <c r="EF54" i="12"/>
  <c r="EG54" i="12"/>
  <c r="EH54" i="12"/>
  <c r="EI54" i="12"/>
  <c r="EJ54" i="12"/>
  <c r="EK54" i="12"/>
  <c r="EL54" i="12"/>
  <c r="EM54" i="12"/>
  <c r="EN54" i="12"/>
  <c r="EO54" i="12"/>
  <c r="EP54" i="12"/>
  <c r="EQ54" i="12"/>
  <c r="ER54" i="12"/>
  <c r="ES54" i="12"/>
  <c r="ET54" i="12"/>
  <c r="EU54" i="12"/>
  <c r="EV54" i="12"/>
  <c r="EW54" i="12"/>
  <c r="EX54" i="12"/>
  <c r="EY54" i="12"/>
  <c r="EZ54" i="12"/>
  <c r="FA54" i="12"/>
  <c r="FB54" i="12"/>
  <c r="FC54" i="12"/>
  <c r="FD54" i="12"/>
  <c r="FE54" i="12"/>
  <c r="FF54" i="12"/>
  <c r="FG54" i="12"/>
  <c r="FH54" i="12"/>
  <c r="FI54" i="12"/>
  <c r="FJ54" i="12"/>
  <c r="FK54" i="12"/>
  <c r="FL54" i="12"/>
  <c r="FM54" i="12"/>
  <c r="FN54" i="12"/>
  <c r="FO54" i="12"/>
  <c r="FP54" i="12"/>
  <c r="FQ54" i="12"/>
  <c r="FR54" i="12"/>
  <c r="FS54" i="12"/>
  <c r="FT54" i="12"/>
  <c r="FU54" i="12"/>
  <c r="FV54" i="12"/>
  <c r="FW54" i="12"/>
  <c r="FX54" i="12"/>
  <c r="FY54" i="12"/>
  <c r="FZ54" i="12"/>
  <c r="GA54" i="12"/>
  <c r="GB54" i="12"/>
  <c r="GC54" i="12"/>
  <c r="GD54" i="12"/>
  <c r="GE54" i="12"/>
  <c r="GF54" i="12"/>
  <c r="GG54" i="12"/>
  <c r="GH54" i="12"/>
  <c r="GI54" i="12"/>
  <c r="GJ54" i="12"/>
  <c r="GK54" i="12"/>
  <c r="GL54" i="12"/>
  <c r="GM54" i="12"/>
  <c r="GN54" i="12"/>
  <c r="GO54" i="12"/>
  <c r="GP54" i="12"/>
  <c r="GQ54" i="12"/>
  <c r="GR54" i="12"/>
  <c r="GS54" i="12"/>
  <c r="GT54" i="12"/>
  <c r="GU54" i="12"/>
  <c r="GV54" i="12"/>
  <c r="GW54" i="12"/>
  <c r="GX54" i="12"/>
  <c r="GY54" i="12"/>
  <c r="GZ54" i="12"/>
  <c r="HA54" i="12"/>
  <c r="HB54" i="12"/>
  <c r="HC54" i="12"/>
  <c r="HD54" i="12"/>
  <c r="HE54" i="12"/>
  <c r="HF54" i="12"/>
  <c r="HG54" i="12"/>
  <c r="HH54" i="12"/>
  <c r="HI54" i="12"/>
  <c r="HJ54" i="12"/>
  <c r="HK54" i="12"/>
  <c r="HL54" i="12"/>
  <c r="HM54" i="12"/>
  <c r="HN54" i="12"/>
  <c r="HO54" i="12"/>
  <c r="HP54" i="12"/>
  <c r="HQ54" i="12"/>
  <c r="HR54" i="12"/>
  <c r="HS54" i="12"/>
  <c r="HT54" i="12"/>
  <c r="HU54" i="12"/>
  <c r="HV54" i="12"/>
  <c r="HW54" i="12"/>
  <c r="HX54" i="12"/>
  <c r="HY54" i="12"/>
  <c r="HZ54" i="12"/>
  <c r="IA54" i="12"/>
  <c r="IB54" i="12"/>
  <c r="IC54" i="12"/>
  <c r="ID54" i="12"/>
  <c r="IE54" i="12"/>
  <c r="IF54" i="12"/>
  <c r="IG54" i="12"/>
  <c r="IH54" i="12"/>
  <c r="II54" i="12"/>
  <c r="IJ54" i="12"/>
  <c r="IK54" i="12"/>
  <c r="IL54" i="12"/>
  <c r="IM54" i="12"/>
  <c r="IN54" i="12"/>
  <c r="IO54" i="12"/>
  <c r="IP54" i="12"/>
  <c r="IQ54" i="12"/>
  <c r="IR54" i="12"/>
  <c r="IS54" i="12"/>
  <c r="IT54" i="12"/>
  <c r="IU54" i="12"/>
  <c r="IV54" i="12"/>
  <c r="A53" i="12"/>
  <c r="B53" i="12"/>
  <c r="C53" i="12"/>
  <c r="D53" i="12"/>
  <c r="E53" i="12"/>
  <c r="F53" i="12"/>
  <c r="G53" i="12"/>
  <c r="H53" i="12"/>
  <c r="I53" i="12"/>
  <c r="J53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BC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P53" i="12"/>
  <c r="BQ53" i="12"/>
  <c r="BR53" i="12"/>
  <c r="BS53" i="12"/>
  <c r="BT53" i="12"/>
  <c r="BU53" i="12"/>
  <c r="BV53" i="12"/>
  <c r="BW53" i="12"/>
  <c r="BX53" i="12"/>
  <c r="BY53" i="12"/>
  <c r="BZ53" i="12"/>
  <c r="CA53" i="12"/>
  <c r="CB53" i="12"/>
  <c r="CC53" i="12"/>
  <c r="CD53" i="12"/>
  <c r="CE53" i="12"/>
  <c r="CF53" i="12"/>
  <c r="CG53" i="12"/>
  <c r="CH53" i="12"/>
  <c r="CI53" i="12"/>
  <c r="CJ53" i="12"/>
  <c r="CK53" i="12"/>
  <c r="CL53" i="12"/>
  <c r="CM53" i="12"/>
  <c r="CN53" i="12"/>
  <c r="CO53" i="12"/>
  <c r="CP53" i="12"/>
  <c r="CQ53" i="12"/>
  <c r="CR53" i="12"/>
  <c r="CS53" i="12"/>
  <c r="CT53" i="12"/>
  <c r="CU53" i="12"/>
  <c r="CV53" i="12"/>
  <c r="CW53" i="12"/>
  <c r="CX53" i="12"/>
  <c r="CY53" i="12"/>
  <c r="CZ53" i="12"/>
  <c r="DA53" i="12"/>
  <c r="DB53" i="12"/>
  <c r="DC53" i="12"/>
  <c r="DD53" i="12"/>
  <c r="DE53" i="12"/>
  <c r="DF53" i="12"/>
  <c r="DG53" i="12"/>
  <c r="DH53" i="12"/>
  <c r="DI53" i="12"/>
  <c r="DJ53" i="12"/>
  <c r="DK53" i="12"/>
  <c r="DL53" i="12"/>
  <c r="DM53" i="12"/>
  <c r="DN53" i="12"/>
  <c r="DO53" i="12"/>
  <c r="DP53" i="12"/>
  <c r="DQ53" i="12"/>
  <c r="DR53" i="12"/>
  <c r="DS53" i="12"/>
  <c r="DT53" i="12"/>
  <c r="DU53" i="12"/>
  <c r="DV53" i="12"/>
  <c r="DW53" i="12"/>
  <c r="DX53" i="12"/>
  <c r="DY53" i="12"/>
  <c r="DZ53" i="12"/>
  <c r="EA53" i="12"/>
  <c r="EB53" i="12"/>
  <c r="EC53" i="12"/>
  <c r="ED53" i="12"/>
  <c r="EE53" i="12"/>
  <c r="EF53" i="12"/>
  <c r="EG53" i="12"/>
  <c r="EH53" i="12"/>
  <c r="EI53" i="12"/>
  <c r="EJ53" i="12"/>
  <c r="EK53" i="12"/>
  <c r="EL53" i="12"/>
  <c r="EM53" i="12"/>
  <c r="EN53" i="12"/>
  <c r="EO53" i="12"/>
  <c r="EP53" i="12"/>
  <c r="EQ53" i="12"/>
  <c r="ER53" i="12"/>
  <c r="ES53" i="12"/>
  <c r="ET53" i="12"/>
  <c r="EU53" i="12"/>
  <c r="EV53" i="12"/>
  <c r="EW53" i="12"/>
  <c r="EX53" i="12"/>
  <c r="EY53" i="12"/>
  <c r="EZ53" i="12"/>
  <c r="FA53" i="12"/>
  <c r="FB53" i="12"/>
  <c r="FC53" i="12"/>
  <c r="FD53" i="12"/>
  <c r="FE53" i="12"/>
  <c r="FF53" i="12"/>
  <c r="FG53" i="12"/>
  <c r="FH53" i="12"/>
  <c r="FI53" i="12"/>
  <c r="FJ53" i="12"/>
  <c r="FK53" i="12"/>
  <c r="FL53" i="12"/>
  <c r="FM53" i="12"/>
  <c r="FN53" i="12"/>
  <c r="FO53" i="12"/>
  <c r="FP53" i="12"/>
  <c r="FQ53" i="12"/>
  <c r="FR53" i="12"/>
  <c r="FS53" i="12"/>
  <c r="FT53" i="12"/>
  <c r="FU53" i="12"/>
  <c r="FV53" i="12"/>
  <c r="FW53" i="12"/>
  <c r="FX53" i="12"/>
  <c r="FY53" i="12"/>
  <c r="FZ53" i="12"/>
  <c r="GA53" i="12"/>
  <c r="GB53" i="12"/>
  <c r="GC53" i="12"/>
  <c r="GD53" i="12"/>
  <c r="GE53" i="12"/>
  <c r="GF53" i="12"/>
  <c r="GG53" i="12"/>
  <c r="GH53" i="12"/>
  <c r="GI53" i="12"/>
  <c r="GJ53" i="12"/>
  <c r="GK53" i="12"/>
  <c r="GL53" i="12"/>
  <c r="GM53" i="12"/>
  <c r="GN53" i="12"/>
  <c r="GO53" i="12"/>
  <c r="GP53" i="12"/>
  <c r="GQ53" i="12"/>
  <c r="GR53" i="12"/>
  <c r="GS53" i="12"/>
  <c r="GT53" i="12"/>
  <c r="GU53" i="12"/>
  <c r="GV53" i="12"/>
  <c r="GW53" i="12"/>
  <c r="GX53" i="12"/>
  <c r="GY53" i="12"/>
  <c r="GZ53" i="12"/>
  <c r="HA53" i="12"/>
  <c r="HB53" i="12"/>
  <c r="HC53" i="12"/>
  <c r="HD53" i="12"/>
  <c r="HE53" i="12"/>
  <c r="HF53" i="12"/>
  <c r="HG53" i="12"/>
  <c r="HH53" i="12"/>
  <c r="HI53" i="12"/>
  <c r="HJ53" i="12"/>
  <c r="HK53" i="12"/>
  <c r="HL53" i="12"/>
  <c r="HM53" i="12"/>
  <c r="HN53" i="12"/>
  <c r="HO53" i="12"/>
  <c r="HP53" i="12"/>
  <c r="HQ53" i="12"/>
  <c r="HR53" i="12"/>
  <c r="HS53" i="12"/>
  <c r="HT53" i="12"/>
  <c r="HU53" i="12"/>
  <c r="HV53" i="12"/>
  <c r="HW53" i="12"/>
  <c r="HX53" i="12"/>
  <c r="HY53" i="12"/>
  <c r="HZ53" i="12"/>
  <c r="IA53" i="12"/>
  <c r="IB53" i="12"/>
  <c r="IC53" i="12"/>
  <c r="ID53" i="12"/>
  <c r="IE53" i="12"/>
  <c r="IF53" i="12"/>
  <c r="IG53" i="12"/>
  <c r="IH53" i="12"/>
  <c r="II53" i="12"/>
  <c r="IJ53" i="12"/>
  <c r="IK53" i="12"/>
  <c r="IL53" i="12"/>
  <c r="IM53" i="12"/>
  <c r="IN53" i="12"/>
  <c r="IO53" i="12"/>
  <c r="IP53" i="12"/>
  <c r="IQ53" i="12"/>
  <c r="IR53" i="12"/>
  <c r="IS53" i="12"/>
  <c r="IT53" i="12"/>
  <c r="IU53" i="12"/>
  <c r="IV53" i="12"/>
  <c r="A52" i="12"/>
  <c r="B52" i="12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BC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BS52" i="12"/>
  <c r="BT52" i="12"/>
  <c r="BU52" i="12"/>
  <c r="BV52" i="12"/>
  <c r="BW52" i="12"/>
  <c r="BX52" i="12"/>
  <c r="BY52" i="12"/>
  <c r="BZ52" i="12"/>
  <c r="CA52" i="12"/>
  <c r="CB52" i="12"/>
  <c r="CC52" i="12"/>
  <c r="CD52" i="12"/>
  <c r="CE52" i="12"/>
  <c r="CF52" i="12"/>
  <c r="CG52" i="12"/>
  <c r="CH52" i="12"/>
  <c r="CI52" i="12"/>
  <c r="CJ52" i="12"/>
  <c r="CK52" i="12"/>
  <c r="CL52" i="12"/>
  <c r="CM52" i="12"/>
  <c r="CN52" i="12"/>
  <c r="CO52" i="12"/>
  <c r="CP52" i="12"/>
  <c r="CQ52" i="12"/>
  <c r="CR52" i="12"/>
  <c r="CS52" i="12"/>
  <c r="CT52" i="12"/>
  <c r="CU52" i="12"/>
  <c r="CV52" i="12"/>
  <c r="CW52" i="12"/>
  <c r="CX52" i="12"/>
  <c r="CY52" i="12"/>
  <c r="CZ52" i="12"/>
  <c r="DA52" i="12"/>
  <c r="DB52" i="12"/>
  <c r="DC52" i="12"/>
  <c r="DD52" i="12"/>
  <c r="DE52" i="12"/>
  <c r="DF52" i="12"/>
  <c r="DG52" i="12"/>
  <c r="DH52" i="12"/>
  <c r="DI52" i="12"/>
  <c r="DJ52" i="12"/>
  <c r="DK52" i="12"/>
  <c r="DL52" i="12"/>
  <c r="DM52" i="12"/>
  <c r="DN52" i="12"/>
  <c r="DO52" i="12"/>
  <c r="DP52" i="12"/>
  <c r="DQ52" i="12"/>
  <c r="DR52" i="12"/>
  <c r="DS52" i="12"/>
  <c r="DT52" i="12"/>
  <c r="DU52" i="12"/>
  <c r="DV52" i="12"/>
  <c r="DW52" i="12"/>
  <c r="DX52" i="12"/>
  <c r="DY52" i="12"/>
  <c r="DZ52" i="12"/>
  <c r="EA52" i="12"/>
  <c r="EB52" i="12"/>
  <c r="EC52" i="12"/>
  <c r="ED52" i="12"/>
  <c r="EE52" i="12"/>
  <c r="EF52" i="12"/>
  <c r="EG52" i="12"/>
  <c r="EH52" i="12"/>
  <c r="EI52" i="12"/>
  <c r="EJ52" i="12"/>
  <c r="EK52" i="12"/>
  <c r="EL52" i="12"/>
  <c r="EM52" i="12"/>
  <c r="EN52" i="12"/>
  <c r="EO52" i="12"/>
  <c r="EP52" i="12"/>
  <c r="EQ52" i="12"/>
  <c r="ER52" i="12"/>
  <c r="ES52" i="12"/>
  <c r="ET52" i="12"/>
  <c r="EU52" i="12"/>
  <c r="EV52" i="12"/>
  <c r="EW52" i="12"/>
  <c r="EX52" i="12"/>
  <c r="EY52" i="12"/>
  <c r="EZ52" i="12"/>
  <c r="FA52" i="12"/>
  <c r="FB52" i="12"/>
  <c r="FC52" i="12"/>
  <c r="FD52" i="12"/>
  <c r="FE52" i="12"/>
  <c r="FF52" i="12"/>
  <c r="FG52" i="12"/>
  <c r="FH52" i="12"/>
  <c r="FI52" i="12"/>
  <c r="FJ52" i="12"/>
  <c r="FK52" i="12"/>
  <c r="FL52" i="12"/>
  <c r="FM52" i="12"/>
  <c r="FN52" i="12"/>
  <c r="FO52" i="12"/>
  <c r="FP52" i="12"/>
  <c r="FQ52" i="12"/>
  <c r="FR52" i="12"/>
  <c r="FS52" i="12"/>
  <c r="FT52" i="12"/>
  <c r="FU52" i="12"/>
  <c r="FV52" i="12"/>
  <c r="FW52" i="12"/>
  <c r="FX52" i="12"/>
  <c r="FY52" i="12"/>
  <c r="FZ52" i="12"/>
  <c r="GA52" i="12"/>
  <c r="GB52" i="12"/>
  <c r="GC52" i="12"/>
  <c r="GD52" i="12"/>
  <c r="GE52" i="12"/>
  <c r="GF52" i="12"/>
  <c r="GG52" i="12"/>
  <c r="GH52" i="12"/>
  <c r="GI52" i="12"/>
  <c r="GJ52" i="12"/>
  <c r="GK52" i="12"/>
  <c r="GL52" i="12"/>
  <c r="GM52" i="12"/>
  <c r="GN52" i="12"/>
  <c r="GO52" i="12"/>
  <c r="GP52" i="12"/>
  <c r="GQ52" i="12"/>
  <c r="GR52" i="12"/>
  <c r="GS52" i="12"/>
  <c r="GT52" i="12"/>
  <c r="GU52" i="12"/>
  <c r="GV52" i="12"/>
  <c r="GW52" i="12"/>
  <c r="GX52" i="12"/>
  <c r="GY52" i="12"/>
  <c r="GZ52" i="12"/>
  <c r="HA52" i="12"/>
  <c r="HB52" i="12"/>
  <c r="HC52" i="12"/>
  <c r="HD52" i="12"/>
  <c r="HE52" i="12"/>
  <c r="HF52" i="12"/>
  <c r="HG52" i="12"/>
  <c r="HH52" i="12"/>
  <c r="HI52" i="12"/>
  <c r="HJ52" i="12"/>
  <c r="HK52" i="12"/>
  <c r="HL52" i="12"/>
  <c r="HM52" i="12"/>
  <c r="HN52" i="12"/>
  <c r="HO52" i="12"/>
  <c r="HP52" i="12"/>
  <c r="HQ52" i="12"/>
  <c r="HR52" i="12"/>
  <c r="HS52" i="12"/>
  <c r="HT52" i="12"/>
  <c r="HU52" i="12"/>
  <c r="HV52" i="12"/>
  <c r="HW52" i="12"/>
  <c r="HX52" i="12"/>
  <c r="HY52" i="12"/>
  <c r="HZ52" i="12"/>
  <c r="IA52" i="12"/>
  <c r="IB52" i="12"/>
  <c r="IC52" i="12"/>
  <c r="ID52" i="12"/>
  <c r="IE52" i="12"/>
  <c r="IF52" i="12"/>
  <c r="IG52" i="12"/>
  <c r="IH52" i="12"/>
  <c r="II52" i="12"/>
  <c r="IJ52" i="12"/>
  <c r="IK52" i="12"/>
  <c r="IL52" i="12"/>
  <c r="IM52" i="12"/>
  <c r="IN52" i="12"/>
  <c r="IO52" i="12"/>
  <c r="IP52" i="12"/>
  <c r="IQ52" i="12"/>
  <c r="IR52" i="12"/>
  <c r="IS52" i="12"/>
  <c r="IT52" i="12"/>
  <c r="IU52" i="12"/>
  <c r="IV52" i="12"/>
  <c r="A51" i="12"/>
  <c r="B51" i="12"/>
  <c r="C51" i="12"/>
  <c r="D51" i="12"/>
  <c r="E51" i="12"/>
  <c r="F51" i="12"/>
  <c r="G51" i="12"/>
  <c r="H51" i="12"/>
  <c r="I51" i="12"/>
  <c r="J51" i="12"/>
  <c r="K51" i="12"/>
  <c r="L51" i="12"/>
  <c r="M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BC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P51" i="12"/>
  <c r="BQ51" i="12"/>
  <c r="BR51" i="12"/>
  <c r="BS51" i="12"/>
  <c r="BT51" i="12"/>
  <c r="BU51" i="12"/>
  <c r="BV51" i="12"/>
  <c r="BW51" i="12"/>
  <c r="BX51" i="12"/>
  <c r="BY51" i="12"/>
  <c r="BZ51" i="12"/>
  <c r="CA51" i="12"/>
  <c r="CB51" i="12"/>
  <c r="CC51" i="12"/>
  <c r="CD51" i="12"/>
  <c r="CE51" i="12"/>
  <c r="CF51" i="12"/>
  <c r="CG51" i="12"/>
  <c r="CH51" i="12"/>
  <c r="CI51" i="12"/>
  <c r="CJ51" i="12"/>
  <c r="CK51" i="12"/>
  <c r="CL51" i="12"/>
  <c r="CM51" i="12"/>
  <c r="CN51" i="12"/>
  <c r="CO51" i="12"/>
  <c r="CP51" i="12"/>
  <c r="CQ51" i="12"/>
  <c r="CR51" i="12"/>
  <c r="CS51" i="12"/>
  <c r="CT51" i="12"/>
  <c r="CU51" i="12"/>
  <c r="CV51" i="12"/>
  <c r="CW51" i="12"/>
  <c r="CX51" i="12"/>
  <c r="CY51" i="12"/>
  <c r="CZ51" i="12"/>
  <c r="DA51" i="12"/>
  <c r="DB51" i="12"/>
  <c r="DC51" i="12"/>
  <c r="DD51" i="12"/>
  <c r="DE51" i="12"/>
  <c r="DF51" i="12"/>
  <c r="DG51" i="12"/>
  <c r="DH51" i="12"/>
  <c r="DI51" i="12"/>
  <c r="DJ51" i="12"/>
  <c r="DK51" i="12"/>
  <c r="DL51" i="12"/>
  <c r="DM51" i="12"/>
  <c r="DN51" i="12"/>
  <c r="DO51" i="12"/>
  <c r="DP51" i="12"/>
  <c r="DQ51" i="12"/>
  <c r="DR51" i="12"/>
  <c r="DS51" i="12"/>
  <c r="DT51" i="12"/>
  <c r="DU51" i="12"/>
  <c r="DV51" i="12"/>
  <c r="DW51" i="12"/>
  <c r="DX51" i="12"/>
  <c r="DY51" i="12"/>
  <c r="DZ51" i="12"/>
  <c r="EA51" i="12"/>
  <c r="EB51" i="12"/>
  <c r="EC51" i="12"/>
  <c r="ED51" i="12"/>
  <c r="EE51" i="12"/>
  <c r="EF51" i="12"/>
  <c r="EG51" i="12"/>
  <c r="EH51" i="12"/>
  <c r="EI51" i="12"/>
  <c r="EJ51" i="12"/>
  <c r="EK51" i="12"/>
  <c r="EL51" i="12"/>
  <c r="EM51" i="12"/>
  <c r="EN51" i="12"/>
  <c r="EO51" i="12"/>
  <c r="EP51" i="12"/>
  <c r="EQ51" i="12"/>
  <c r="ER51" i="12"/>
  <c r="ES51" i="12"/>
  <c r="ET51" i="12"/>
  <c r="EU51" i="12"/>
  <c r="EV51" i="12"/>
  <c r="EW51" i="12"/>
  <c r="EX51" i="12"/>
  <c r="EY51" i="12"/>
  <c r="EZ51" i="12"/>
  <c r="FA51" i="12"/>
  <c r="FB51" i="12"/>
  <c r="FC51" i="12"/>
  <c r="FD51" i="12"/>
  <c r="FE51" i="12"/>
  <c r="FF51" i="12"/>
  <c r="FG51" i="12"/>
  <c r="FH51" i="12"/>
  <c r="FI51" i="12"/>
  <c r="FJ51" i="12"/>
  <c r="FK51" i="12"/>
  <c r="FL51" i="12"/>
  <c r="FM51" i="12"/>
  <c r="FN51" i="12"/>
  <c r="FO51" i="12"/>
  <c r="FP51" i="12"/>
  <c r="FQ51" i="12"/>
  <c r="FR51" i="12"/>
  <c r="FS51" i="12"/>
  <c r="FT51" i="12"/>
  <c r="FU51" i="12"/>
  <c r="FV51" i="12"/>
  <c r="FW51" i="12"/>
  <c r="FX51" i="12"/>
  <c r="FY51" i="12"/>
  <c r="FZ51" i="12"/>
  <c r="GA51" i="12"/>
  <c r="GB51" i="12"/>
  <c r="GC51" i="12"/>
  <c r="GD51" i="12"/>
  <c r="GE51" i="12"/>
  <c r="GF51" i="12"/>
  <c r="GG51" i="12"/>
  <c r="GH51" i="12"/>
  <c r="GI51" i="12"/>
  <c r="GJ51" i="12"/>
  <c r="GK51" i="12"/>
  <c r="GL51" i="12"/>
  <c r="GM51" i="12"/>
  <c r="GN51" i="12"/>
  <c r="GO51" i="12"/>
  <c r="GP51" i="12"/>
  <c r="GQ51" i="12"/>
  <c r="GR51" i="12"/>
  <c r="GS51" i="12"/>
  <c r="GT51" i="12"/>
  <c r="GU51" i="12"/>
  <c r="GV51" i="12"/>
  <c r="GW51" i="12"/>
  <c r="GX51" i="12"/>
  <c r="GY51" i="12"/>
  <c r="GZ51" i="12"/>
  <c r="HA51" i="12"/>
  <c r="HB51" i="12"/>
  <c r="HC51" i="12"/>
  <c r="HD51" i="12"/>
  <c r="HE51" i="12"/>
  <c r="HF51" i="12"/>
  <c r="HG51" i="12"/>
  <c r="HH51" i="12"/>
  <c r="HI51" i="12"/>
  <c r="HJ51" i="12"/>
  <c r="HK51" i="12"/>
  <c r="HL51" i="12"/>
  <c r="HM51" i="12"/>
  <c r="HN51" i="12"/>
  <c r="HO51" i="12"/>
  <c r="HP51" i="12"/>
  <c r="HQ51" i="12"/>
  <c r="HR51" i="12"/>
  <c r="HS51" i="12"/>
  <c r="HT51" i="12"/>
  <c r="HU51" i="12"/>
  <c r="HV51" i="12"/>
  <c r="HW51" i="12"/>
  <c r="HX51" i="12"/>
  <c r="HY51" i="12"/>
  <c r="HZ51" i="12"/>
  <c r="IA51" i="12"/>
  <c r="IB51" i="12"/>
  <c r="IC51" i="12"/>
  <c r="ID51" i="12"/>
  <c r="IE51" i="12"/>
  <c r="IF51" i="12"/>
  <c r="IG51" i="12"/>
  <c r="IH51" i="12"/>
  <c r="II51" i="12"/>
  <c r="IJ51" i="12"/>
  <c r="IK51" i="12"/>
  <c r="IL51" i="12"/>
  <c r="IM51" i="12"/>
  <c r="IN51" i="12"/>
  <c r="IO51" i="12"/>
  <c r="IP51" i="12"/>
  <c r="IQ51" i="12"/>
  <c r="IR51" i="12"/>
  <c r="IS51" i="12"/>
  <c r="IT51" i="12"/>
  <c r="IU51" i="12"/>
  <c r="IV51" i="12"/>
  <c r="A50" i="12"/>
  <c r="B50" i="12"/>
  <c r="C50" i="12"/>
  <c r="D50" i="12"/>
  <c r="E50" i="12"/>
  <c r="F50" i="12"/>
  <c r="G50" i="12"/>
  <c r="H50" i="12"/>
  <c r="I50" i="12"/>
  <c r="J50" i="12"/>
  <c r="K50" i="12"/>
  <c r="L50" i="12"/>
  <c r="M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BC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P50" i="12"/>
  <c r="BQ50" i="12"/>
  <c r="BR50" i="12"/>
  <c r="BS50" i="12"/>
  <c r="BT50" i="12"/>
  <c r="BU50" i="12"/>
  <c r="BV50" i="12"/>
  <c r="BW50" i="12"/>
  <c r="BX50" i="12"/>
  <c r="BY50" i="12"/>
  <c r="BZ50" i="12"/>
  <c r="CA50" i="12"/>
  <c r="CB50" i="12"/>
  <c r="CC50" i="12"/>
  <c r="CD50" i="12"/>
  <c r="CE50" i="12"/>
  <c r="CF50" i="12"/>
  <c r="CG50" i="12"/>
  <c r="CH50" i="12"/>
  <c r="CI50" i="12"/>
  <c r="CJ50" i="12"/>
  <c r="CK50" i="12"/>
  <c r="CL50" i="12"/>
  <c r="CM50" i="12"/>
  <c r="CN50" i="12"/>
  <c r="CO50" i="12"/>
  <c r="CP50" i="12"/>
  <c r="CQ50" i="12"/>
  <c r="CR50" i="12"/>
  <c r="CS50" i="12"/>
  <c r="CT50" i="12"/>
  <c r="CU50" i="12"/>
  <c r="CV50" i="12"/>
  <c r="CW50" i="12"/>
  <c r="CX50" i="12"/>
  <c r="CY50" i="12"/>
  <c r="CZ50" i="12"/>
  <c r="DA50" i="12"/>
  <c r="DB50" i="12"/>
  <c r="DC50" i="12"/>
  <c r="DD50" i="12"/>
  <c r="DE50" i="12"/>
  <c r="DF50" i="12"/>
  <c r="DG50" i="12"/>
  <c r="DH50" i="12"/>
  <c r="DI50" i="12"/>
  <c r="DJ50" i="12"/>
  <c r="DK50" i="12"/>
  <c r="DL50" i="12"/>
  <c r="DM50" i="12"/>
  <c r="DN50" i="12"/>
  <c r="DO50" i="12"/>
  <c r="DP50" i="12"/>
  <c r="DQ50" i="12"/>
  <c r="DR50" i="12"/>
  <c r="DS50" i="12"/>
  <c r="DT50" i="12"/>
  <c r="DU50" i="12"/>
  <c r="DV50" i="12"/>
  <c r="DW50" i="12"/>
  <c r="DX50" i="12"/>
  <c r="DY50" i="12"/>
  <c r="DZ50" i="12"/>
  <c r="EA50" i="12"/>
  <c r="EB50" i="12"/>
  <c r="EC50" i="12"/>
  <c r="ED50" i="12"/>
  <c r="EE50" i="12"/>
  <c r="EF50" i="12"/>
  <c r="EG50" i="12"/>
  <c r="EH50" i="12"/>
  <c r="EI50" i="12"/>
  <c r="EJ50" i="12"/>
  <c r="EK50" i="12"/>
  <c r="EL50" i="12"/>
  <c r="EM50" i="12"/>
  <c r="EN50" i="12"/>
  <c r="EO50" i="12"/>
  <c r="EP50" i="12"/>
  <c r="EQ50" i="12"/>
  <c r="ER50" i="12"/>
  <c r="ES50" i="12"/>
  <c r="ET50" i="12"/>
  <c r="EU50" i="12"/>
  <c r="EV50" i="12"/>
  <c r="EW50" i="12"/>
  <c r="EX50" i="12"/>
  <c r="EY50" i="12"/>
  <c r="EZ50" i="12"/>
  <c r="FA50" i="12"/>
  <c r="FB50" i="12"/>
  <c r="FC50" i="12"/>
  <c r="FD50" i="12"/>
  <c r="FE50" i="12"/>
  <c r="FF50" i="12"/>
  <c r="FG50" i="12"/>
  <c r="FH50" i="12"/>
  <c r="FI50" i="12"/>
  <c r="FJ50" i="12"/>
  <c r="FK50" i="12"/>
  <c r="FL50" i="12"/>
  <c r="FM50" i="12"/>
  <c r="FN50" i="12"/>
  <c r="FO50" i="12"/>
  <c r="FP50" i="12"/>
  <c r="FQ50" i="12"/>
  <c r="FR50" i="12"/>
  <c r="FS50" i="12"/>
  <c r="FT50" i="12"/>
  <c r="FU50" i="12"/>
  <c r="FV50" i="12"/>
  <c r="FW50" i="12"/>
  <c r="FX50" i="12"/>
  <c r="FY50" i="12"/>
  <c r="FZ50" i="12"/>
  <c r="GA50" i="12"/>
  <c r="GB50" i="12"/>
  <c r="GC50" i="12"/>
  <c r="GD50" i="12"/>
  <c r="GE50" i="12"/>
  <c r="GF50" i="12"/>
  <c r="GG50" i="12"/>
  <c r="GH50" i="12"/>
  <c r="GI50" i="12"/>
  <c r="GJ50" i="12"/>
  <c r="GK50" i="12"/>
  <c r="GL50" i="12"/>
  <c r="GM50" i="12"/>
  <c r="GN50" i="12"/>
  <c r="GO50" i="12"/>
  <c r="GP50" i="12"/>
  <c r="GQ50" i="12"/>
  <c r="GR50" i="12"/>
  <c r="GS50" i="12"/>
  <c r="GT50" i="12"/>
  <c r="GU50" i="12"/>
  <c r="GV50" i="12"/>
  <c r="GW50" i="12"/>
  <c r="GX50" i="12"/>
  <c r="GY50" i="12"/>
  <c r="GZ50" i="12"/>
  <c r="HA50" i="12"/>
  <c r="HB50" i="12"/>
  <c r="HC50" i="12"/>
  <c r="HD50" i="12"/>
  <c r="HE50" i="12"/>
  <c r="HF50" i="12"/>
  <c r="HG50" i="12"/>
  <c r="HH50" i="12"/>
  <c r="HI50" i="12"/>
  <c r="HJ50" i="12"/>
  <c r="HK50" i="12"/>
  <c r="HL50" i="12"/>
  <c r="HM50" i="12"/>
  <c r="HN50" i="12"/>
  <c r="HO50" i="12"/>
  <c r="HP50" i="12"/>
  <c r="HQ50" i="12"/>
  <c r="HR50" i="12"/>
  <c r="HS50" i="12"/>
  <c r="HT50" i="12"/>
  <c r="HU50" i="12"/>
  <c r="HV50" i="12"/>
  <c r="HW50" i="12"/>
  <c r="HX50" i="12"/>
  <c r="HY50" i="12"/>
  <c r="HZ50" i="12"/>
  <c r="IA50" i="12"/>
  <c r="IB50" i="12"/>
  <c r="IC50" i="12"/>
  <c r="ID50" i="12"/>
  <c r="IE50" i="12"/>
  <c r="IF50" i="12"/>
  <c r="IG50" i="12"/>
  <c r="IH50" i="12"/>
  <c r="II50" i="12"/>
  <c r="IJ50" i="12"/>
  <c r="IK50" i="12"/>
  <c r="IL50" i="12"/>
  <c r="IM50" i="12"/>
  <c r="IN50" i="12"/>
  <c r="IO50" i="12"/>
  <c r="IP50" i="12"/>
  <c r="IQ50" i="12"/>
  <c r="IR50" i="12"/>
  <c r="IS50" i="12"/>
  <c r="IT50" i="12"/>
  <c r="IU50" i="12"/>
  <c r="IV50" i="12"/>
  <c r="A49" i="12"/>
  <c r="B49" i="12"/>
  <c r="C49" i="12"/>
  <c r="D49" i="12"/>
  <c r="E49" i="12"/>
  <c r="F49" i="12"/>
  <c r="G49" i="12"/>
  <c r="H49" i="12"/>
  <c r="I49" i="12"/>
  <c r="J49" i="12"/>
  <c r="K49" i="12"/>
  <c r="L49" i="12"/>
  <c r="M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BC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P49" i="12"/>
  <c r="BQ49" i="12"/>
  <c r="BR49" i="12"/>
  <c r="BS49" i="12"/>
  <c r="BT49" i="12"/>
  <c r="BU49" i="12"/>
  <c r="BV49" i="12"/>
  <c r="BW49" i="12"/>
  <c r="BX49" i="12"/>
  <c r="BY49" i="12"/>
  <c r="BZ49" i="12"/>
  <c r="CA49" i="12"/>
  <c r="CB49" i="12"/>
  <c r="CC49" i="12"/>
  <c r="CD49" i="12"/>
  <c r="CE49" i="12"/>
  <c r="CF49" i="12"/>
  <c r="CG49" i="12"/>
  <c r="CH49" i="12"/>
  <c r="CI49" i="12"/>
  <c r="CJ49" i="12"/>
  <c r="CK49" i="12"/>
  <c r="CL49" i="12"/>
  <c r="CM49" i="12"/>
  <c r="CN49" i="12"/>
  <c r="CO49" i="12"/>
  <c r="CP49" i="12"/>
  <c r="CQ49" i="12"/>
  <c r="CR49" i="12"/>
  <c r="CS49" i="12"/>
  <c r="CT49" i="12"/>
  <c r="CU49" i="12"/>
  <c r="CV49" i="12"/>
  <c r="CW49" i="12"/>
  <c r="CX49" i="12"/>
  <c r="CY49" i="12"/>
  <c r="CZ49" i="12"/>
  <c r="DA49" i="12"/>
  <c r="DB49" i="12"/>
  <c r="DC49" i="12"/>
  <c r="DD49" i="12"/>
  <c r="DE49" i="12"/>
  <c r="DF49" i="12"/>
  <c r="DG49" i="12"/>
  <c r="DH49" i="12"/>
  <c r="DI49" i="12"/>
  <c r="DJ49" i="12"/>
  <c r="DK49" i="12"/>
  <c r="DL49" i="12"/>
  <c r="DM49" i="12"/>
  <c r="DN49" i="12"/>
  <c r="DO49" i="12"/>
  <c r="DP49" i="12"/>
  <c r="DQ49" i="12"/>
  <c r="DR49" i="12"/>
  <c r="DS49" i="12"/>
  <c r="DT49" i="12"/>
  <c r="DU49" i="12"/>
  <c r="DV49" i="12"/>
  <c r="DW49" i="12"/>
  <c r="DX49" i="12"/>
  <c r="DY49" i="12"/>
  <c r="DZ49" i="12"/>
  <c r="EA49" i="12"/>
  <c r="EB49" i="12"/>
  <c r="EC49" i="12"/>
  <c r="ED49" i="12"/>
  <c r="EE49" i="12"/>
  <c r="EF49" i="12"/>
  <c r="EG49" i="12"/>
  <c r="EH49" i="12"/>
  <c r="EI49" i="12"/>
  <c r="EJ49" i="12"/>
  <c r="EK49" i="12"/>
  <c r="EL49" i="12"/>
  <c r="EM49" i="12"/>
  <c r="EN49" i="12"/>
  <c r="EO49" i="12"/>
  <c r="EP49" i="12"/>
  <c r="EQ49" i="12"/>
  <c r="ER49" i="12"/>
  <c r="ES49" i="12"/>
  <c r="ET49" i="12"/>
  <c r="EU49" i="12"/>
  <c r="EV49" i="12"/>
  <c r="EW49" i="12"/>
  <c r="EX49" i="12"/>
  <c r="EY49" i="12"/>
  <c r="EZ49" i="12"/>
  <c r="FA49" i="12"/>
  <c r="FB49" i="12"/>
  <c r="FC49" i="12"/>
  <c r="FD49" i="12"/>
  <c r="FE49" i="12"/>
  <c r="FF49" i="12"/>
  <c r="FG49" i="12"/>
  <c r="FH49" i="12"/>
  <c r="FI49" i="12"/>
  <c r="FJ49" i="12"/>
  <c r="FK49" i="12"/>
  <c r="FL49" i="12"/>
  <c r="FM49" i="12"/>
  <c r="FN49" i="12"/>
  <c r="FO49" i="12"/>
  <c r="FP49" i="12"/>
  <c r="FQ49" i="12"/>
  <c r="FR49" i="12"/>
  <c r="FS49" i="12"/>
  <c r="FT49" i="12"/>
  <c r="FU49" i="12"/>
  <c r="FV49" i="12"/>
  <c r="FW49" i="12"/>
  <c r="FX49" i="12"/>
  <c r="FY49" i="12"/>
  <c r="FZ49" i="12"/>
  <c r="GA49" i="12"/>
  <c r="GB49" i="12"/>
  <c r="GC49" i="12"/>
  <c r="GD49" i="12"/>
  <c r="GE49" i="12"/>
  <c r="GF49" i="12"/>
  <c r="GG49" i="12"/>
  <c r="GH49" i="12"/>
  <c r="GI49" i="12"/>
  <c r="GJ49" i="12"/>
  <c r="GK49" i="12"/>
  <c r="GL49" i="12"/>
  <c r="GM49" i="12"/>
  <c r="GN49" i="12"/>
  <c r="GO49" i="12"/>
  <c r="GP49" i="12"/>
  <c r="GQ49" i="12"/>
  <c r="GR49" i="12"/>
  <c r="GS49" i="12"/>
  <c r="GT49" i="12"/>
  <c r="GU49" i="12"/>
  <c r="GV49" i="12"/>
  <c r="GW49" i="12"/>
  <c r="GX49" i="12"/>
  <c r="GY49" i="12"/>
  <c r="GZ49" i="12"/>
  <c r="HA49" i="12"/>
  <c r="HB49" i="12"/>
  <c r="HC49" i="12"/>
  <c r="HD49" i="12"/>
  <c r="HE49" i="12"/>
  <c r="HF49" i="12"/>
  <c r="HG49" i="12"/>
  <c r="HH49" i="12"/>
  <c r="HI49" i="12"/>
  <c r="HJ49" i="12"/>
  <c r="HK49" i="12"/>
  <c r="HL49" i="12"/>
  <c r="HM49" i="12"/>
  <c r="HN49" i="12"/>
  <c r="HO49" i="12"/>
  <c r="HP49" i="12"/>
  <c r="HQ49" i="12"/>
  <c r="HR49" i="12"/>
  <c r="HS49" i="12"/>
  <c r="HT49" i="12"/>
  <c r="HU49" i="12"/>
  <c r="HV49" i="12"/>
  <c r="HW49" i="12"/>
  <c r="HX49" i="12"/>
  <c r="HY49" i="12"/>
  <c r="HZ49" i="12"/>
  <c r="IA49" i="12"/>
  <c r="IB49" i="12"/>
  <c r="IC49" i="12"/>
  <c r="ID49" i="12"/>
  <c r="IE49" i="12"/>
  <c r="IF49" i="12"/>
  <c r="IG49" i="12"/>
  <c r="IH49" i="12"/>
  <c r="II49" i="12"/>
  <c r="IJ49" i="12"/>
  <c r="IK49" i="12"/>
  <c r="IL49" i="12"/>
  <c r="IM49" i="12"/>
  <c r="IN49" i="12"/>
  <c r="IO49" i="12"/>
  <c r="IP49" i="12"/>
  <c r="IQ49" i="12"/>
  <c r="IR49" i="12"/>
  <c r="IS49" i="12"/>
  <c r="IT49" i="12"/>
  <c r="IU49" i="12"/>
  <c r="IV49" i="12"/>
  <c r="A48" i="12"/>
  <c r="B48" i="12"/>
  <c r="C48" i="12"/>
  <c r="D48" i="12"/>
  <c r="E48" i="12"/>
  <c r="F48" i="12"/>
  <c r="G48" i="12"/>
  <c r="H48" i="12"/>
  <c r="I48" i="12"/>
  <c r="J48" i="12"/>
  <c r="K48" i="12"/>
  <c r="L48" i="12"/>
  <c r="M48" i="12"/>
  <c r="N48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BC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P48" i="12"/>
  <c r="BQ48" i="12"/>
  <c r="BR48" i="12"/>
  <c r="BS48" i="12"/>
  <c r="BT48" i="12"/>
  <c r="BU48" i="12"/>
  <c r="BV48" i="12"/>
  <c r="BW48" i="12"/>
  <c r="BX48" i="12"/>
  <c r="BY48" i="12"/>
  <c r="BZ48" i="12"/>
  <c r="CA48" i="12"/>
  <c r="CB48" i="12"/>
  <c r="CC48" i="12"/>
  <c r="CD48" i="12"/>
  <c r="CE48" i="12"/>
  <c r="CF48" i="12"/>
  <c r="CG48" i="12"/>
  <c r="CH48" i="12"/>
  <c r="CI48" i="12"/>
  <c r="CJ48" i="12"/>
  <c r="CK48" i="12"/>
  <c r="CL48" i="12"/>
  <c r="CM48" i="12"/>
  <c r="CN48" i="12"/>
  <c r="CO48" i="12"/>
  <c r="CP48" i="12"/>
  <c r="CQ48" i="12"/>
  <c r="CR48" i="12"/>
  <c r="CS48" i="12"/>
  <c r="CT48" i="12"/>
  <c r="CU48" i="12"/>
  <c r="CV48" i="12"/>
  <c r="CW48" i="12"/>
  <c r="CX48" i="12"/>
  <c r="CY48" i="12"/>
  <c r="CZ48" i="12"/>
  <c r="DA48" i="12"/>
  <c r="DB48" i="12"/>
  <c r="DC48" i="12"/>
  <c r="DD48" i="12"/>
  <c r="DE48" i="12"/>
  <c r="DF48" i="12"/>
  <c r="DG48" i="12"/>
  <c r="DH48" i="12"/>
  <c r="DI48" i="12"/>
  <c r="DJ48" i="12"/>
  <c r="DK48" i="12"/>
  <c r="DL48" i="12"/>
  <c r="DM48" i="12"/>
  <c r="DN48" i="12"/>
  <c r="DO48" i="12"/>
  <c r="DP48" i="12"/>
  <c r="DQ48" i="12"/>
  <c r="DR48" i="12"/>
  <c r="DS48" i="12"/>
  <c r="DT48" i="12"/>
  <c r="DU48" i="12"/>
  <c r="DV48" i="12"/>
  <c r="DW48" i="12"/>
  <c r="DX48" i="12"/>
  <c r="DY48" i="12"/>
  <c r="DZ48" i="12"/>
  <c r="EA48" i="12"/>
  <c r="EB48" i="12"/>
  <c r="EC48" i="12"/>
  <c r="ED48" i="12"/>
  <c r="EE48" i="12"/>
  <c r="EF48" i="12"/>
  <c r="EG48" i="12"/>
  <c r="EH48" i="12"/>
  <c r="EI48" i="12"/>
  <c r="EJ48" i="12"/>
  <c r="EK48" i="12"/>
  <c r="EL48" i="12"/>
  <c r="EM48" i="12"/>
  <c r="EN48" i="12"/>
  <c r="EO48" i="12"/>
  <c r="EP48" i="12"/>
  <c r="EQ48" i="12"/>
  <c r="ER48" i="12"/>
  <c r="ES48" i="12"/>
  <c r="ET48" i="12"/>
  <c r="EU48" i="12"/>
  <c r="EV48" i="12"/>
  <c r="EW48" i="12"/>
  <c r="EX48" i="12"/>
  <c r="EY48" i="12"/>
  <c r="EZ48" i="12"/>
  <c r="FA48" i="12"/>
  <c r="FB48" i="12"/>
  <c r="FC48" i="12"/>
  <c r="FD48" i="12"/>
  <c r="FE48" i="12"/>
  <c r="FF48" i="12"/>
  <c r="FG48" i="12"/>
  <c r="FH48" i="12"/>
  <c r="FI48" i="12"/>
  <c r="FJ48" i="12"/>
  <c r="FK48" i="12"/>
  <c r="FL48" i="12"/>
  <c r="FM48" i="12"/>
  <c r="FN48" i="12"/>
  <c r="FO48" i="12"/>
  <c r="FP48" i="12"/>
  <c r="FQ48" i="12"/>
  <c r="FR48" i="12"/>
  <c r="FS48" i="12"/>
  <c r="FT48" i="12"/>
  <c r="FU48" i="12"/>
  <c r="FV48" i="12"/>
  <c r="FW48" i="12"/>
  <c r="FX48" i="12"/>
  <c r="FY48" i="12"/>
  <c r="FZ48" i="12"/>
  <c r="GA48" i="12"/>
  <c r="GB48" i="12"/>
  <c r="GC48" i="12"/>
  <c r="GD48" i="12"/>
  <c r="GE48" i="12"/>
  <c r="GF48" i="12"/>
  <c r="GG48" i="12"/>
  <c r="GH48" i="12"/>
  <c r="GI48" i="12"/>
  <c r="GJ48" i="12"/>
  <c r="GK48" i="12"/>
  <c r="GL48" i="12"/>
  <c r="GM48" i="12"/>
  <c r="GN48" i="12"/>
  <c r="GO48" i="12"/>
  <c r="GP48" i="12"/>
  <c r="GQ48" i="12"/>
  <c r="GR48" i="12"/>
  <c r="GS48" i="12"/>
  <c r="GT48" i="12"/>
  <c r="GU48" i="12"/>
  <c r="GV48" i="12"/>
  <c r="GW48" i="12"/>
  <c r="GX48" i="12"/>
  <c r="GY48" i="12"/>
  <c r="GZ48" i="12"/>
  <c r="HA48" i="12"/>
  <c r="HB48" i="12"/>
  <c r="HC48" i="12"/>
  <c r="HD48" i="12"/>
  <c r="HE48" i="12"/>
  <c r="HF48" i="12"/>
  <c r="HG48" i="12"/>
  <c r="HH48" i="12"/>
  <c r="HI48" i="12"/>
  <c r="HJ48" i="12"/>
  <c r="HK48" i="12"/>
  <c r="HL48" i="12"/>
  <c r="HM48" i="12"/>
  <c r="HN48" i="12"/>
  <c r="HO48" i="12"/>
  <c r="HP48" i="12"/>
  <c r="HQ48" i="12"/>
  <c r="HR48" i="12"/>
  <c r="HS48" i="12"/>
  <c r="HT48" i="12"/>
  <c r="HU48" i="12"/>
  <c r="HV48" i="12"/>
  <c r="HW48" i="12"/>
  <c r="HX48" i="12"/>
  <c r="HY48" i="12"/>
  <c r="HZ48" i="12"/>
  <c r="IA48" i="12"/>
  <c r="IB48" i="12"/>
  <c r="IC48" i="12"/>
  <c r="ID48" i="12"/>
  <c r="IE48" i="12"/>
  <c r="IF48" i="12"/>
  <c r="IG48" i="12"/>
  <c r="IH48" i="12"/>
  <c r="II48" i="12"/>
  <c r="IJ48" i="12"/>
  <c r="IK48" i="12"/>
  <c r="IL48" i="12"/>
  <c r="IM48" i="12"/>
  <c r="IN48" i="12"/>
  <c r="IO48" i="12"/>
  <c r="IP48" i="12"/>
  <c r="IQ48" i="12"/>
  <c r="IR48" i="12"/>
  <c r="IS48" i="12"/>
  <c r="IT48" i="12"/>
  <c r="IU48" i="12"/>
  <c r="IV48" i="12"/>
  <c r="A47" i="12"/>
  <c r="B47" i="12"/>
  <c r="C47" i="12"/>
  <c r="D47" i="12"/>
  <c r="E47" i="12"/>
  <c r="F47" i="12"/>
  <c r="G47" i="12"/>
  <c r="H47" i="12"/>
  <c r="I47" i="12"/>
  <c r="J47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BC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P47" i="12"/>
  <c r="BQ47" i="12"/>
  <c r="BR47" i="12"/>
  <c r="BS47" i="12"/>
  <c r="BT47" i="12"/>
  <c r="BU47" i="12"/>
  <c r="BV47" i="12"/>
  <c r="BW47" i="12"/>
  <c r="BX47" i="12"/>
  <c r="BY47" i="12"/>
  <c r="BZ47" i="12"/>
  <c r="CA47" i="12"/>
  <c r="CB47" i="12"/>
  <c r="CC47" i="12"/>
  <c r="CD47" i="12"/>
  <c r="CE47" i="12"/>
  <c r="CF47" i="12"/>
  <c r="CG47" i="12"/>
  <c r="CH47" i="12"/>
  <c r="CI47" i="12"/>
  <c r="CJ47" i="12"/>
  <c r="CK47" i="12"/>
  <c r="CL47" i="12"/>
  <c r="CM47" i="12"/>
  <c r="CN47" i="12"/>
  <c r="CO47" i="12"/>
  <c r="CP47" i="12"/>
  <c r="CQ47" i="12"/>
  <c r="CR47" i="12"/>
  <c r="CS47" i="12"/>
  <c r="CT47" i="12"/>
  <c r="CU47" i="12"/>
  <c r="CV47" i="12"/>
  <c r="CW47" i="12"/>
  <c r="CX47" i="12"/>
  <c r="CY47" i="12"/>
  <c r="CZ47" i="12"/>
  <c r="DA47" i="12"/>
  <c r="DB47" i="12"/>
  <c r="DC47" i="12"/>
  <c r="DD47" i="12"/>
  <c r="DE47" i="12"/>
  <c r="DF47" i="12"/>
  <c r="DG47" i="12"/>
  <c r="DH47" i="12"/>
  <c r="DI47" i="12"/>
  <c r="DJ47" i="12"/>
  <c r="DK47" i="12"/>
  <c r="DL47" i="12"/>
  <c r="DM47" i="12"/>
  <c r="DN47" i="12"/>
  <c r="DO47" i="12"/>
  <c r="DP47" i="12"/>
  <c r="DQ47" i="12"/>
  <c r="DR47" i="12"/>
  <c r="DS47" i="12"/>
  <c r="DT47" i="12"/>
  <c r="DU47" i="12"/>
  <c r="DV47" i="12"/>
  <c r="DW47" i="12"/>
  <c r="DX47" i="12"/>
  <c r="DY47" i="12"/>
  <c r="DZ47" i="12"/>
  <c r="EA47" i="12"/>
  <c r="EB47" i="12"/>
  <c r="EC47" i="12"/>
  <c r="ED47" i="12"/>
  <c r="EE47" i="12"/>
  <c r="EF47" i="12"/>
  <c r="EG47" i="12"/>
  <c r="EH47" i="12"/>
  <c r="EI47" i="12"/>
  <c r="EJ47" i="12"/>
  <c r="EK47" i="12"/>
  <c r="EL47" i="12"/>
  <c r="EM47" i="12"/>
  <c r="EN47" i="12"/>
  <c r="EO47" i="12"/>
  <c r="EP47" i="12"/>
  <c r="EQ47" i="12"/>
  <c r="ER47" i="12"/>
  <c r="ES47" i="12"/>
  <c r="ET47" i="12"/>
  <c r="EU47" i="12"/>
  <c r="EV47" i="12"/>
  <c r="EW47" i="12"/>
  <c r="EX47" i="12"/>
  <c r="EY47" i="12"/>
  <c r="EZ47" i="12"/>
  <c r="FA47" i="12"/>
  <c r="FB47" i="12"/>
  <c r="FC47" i="12"/>
  <c r="FD47" i="12"/>
  <c r="FE47" i="12"/>
  <c r="FF47" i="12"/>
  <c r="FG47" i="12"/>
  <c r="FH47" i="12"/>
  <c r="FI47" i="12"/>
  <c r="FJ47" i="12"/>
  <c r="FK47" i="12"/>
  <c r="FL47" i="12"/>
  <c r="FM47" i="12"/>
  <c r="FN47" i="12"/>
  <c r="FO47" i="12"/>
  <c r="FP47" i="12"/>
  <c r="FQ47" i="12"/>
  <c r="FR47" i="12"/>
  <c r="FS47" i="12"/>
  <c r="FT47" i="12"/>
  <c r="FU47" i="12"/>
  <c r="FV47" i="12"/>
  <c r="FW47" i="12"/>
  <c r="FX47" i="12"/>
  <c r="FY47" i="12"/>
  <c r="FZ47" i="12"/>
  <c r="GA47" i="12"/>
  <c r="GB47" i="12"/>
  <c r="GC47" i="12"/>
  <c r="GD47" i="12"/>
  <c r="GE47" i="12"/>
  <c r="GF47" i="12"/>
  <c r="GG47" i="12"/>
  <c r="GH47" i="12"/>
  <c r="GI47" i="12"/>
  <c r="GJ47" i="12"/>
  <c r="GK47" i="12"/>
  <c r="GL47" i="12"/>
  <c r="GM47" i="12"/>
  <c r="GN47" i="12"/>
  <c r="GO47" i="12"/>
  <c r="GP47" i="12"/>
  <c r="GQ47" i="12"/>
  <c r="GR47" i="12"/>
  <c r="GS47" i="12"/>
  <c r="GT47" i="12"/>
  <c r="GU47" i="12"/>
  <c r="GV47" i="12"/>
  <c r="GW47" i="12"/>
  <c r="GX47" i="12"/>
  <c r="GY47" i="12"/>
  <c r="GZ47" i="12"/>
  <c r="HA47" i="12"/>
  <c r="HB47" i="12"/>
  <c r="HC47" i="12"/>
  <c r="HD47" i="12"/>
  <c r="HE47" i="12"/>
  <c r="HF47" i="12"/>
  <c r="HG47" i="12"/>
  <c r="HH47" i="12"/>
  <c r="HI47" i="12"/>
  <c r="HJ47" i="12"/>
  <c r="HK47" i="12"/>
  <c r="HL47" i="12"/>
  <c r="HM47" i="12"/>
  <c r="HN47" i="12"/>
  <c r="HO47" i="12"/>
  <c r="HP47" i="12"/>
  <c r="HQ47" i="12"/>
  <c r="HR47" i="12"/>
  <c r="HS47" i="12"/>
  <c r="HT47" i="12"/>
  <c r="HU47" i="12"/>
  <c r="HV47" i="12"/>
  <c r="HW47" i="12"/>
  <c r="HX47" i="12"/>
  <c r="HY47" i="12"/>
  <c r="HZ47" i="12"/>
  <c r="IA47" i="12"/>
  <c r="IB47" i="12"/>
  <c r="IC47" i="12"/>
  <c r="ID47" i="12"/>
  <c r="IE47" i="12"/>
  <c r="IF47" i="12"/>
  <c r="IG47" i="12"/>
  <c r="IH47" i="12"/>
  <c r="II47" i="12"/>
  <c r="IJ47" i="12"/>
  <c r="IK47" i="12"/>
  <c r="IL47" i="12"/>
  <c r="IM47" i="12"/>
  <c r="IN47" i="12"/>
  <c r="IO47" i="12"/>
  <c r="IP47" i="12"/>
  <c r="IQ47" i="12"/>
  <c r="IR47" i="12"/>
  <c r="IS47" i="12"/>
  <c r="IT47" i="12"/>
  <c r="IU47" i="12"/>
  <c r="IV47" i="12"/>
  <c r="A46" i="12"/>
  <c r="B46" i="12"/>
  <c r="C46" i="12"/>
  <c r="D46" i="12"/>
  <c r="E46" i="12"/>
  <c r="F46" i="12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BC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P46" i="12"/>
  <c r="BQ46" i="12"/>
  <c r="BR46" i="12"/>
  <c r="BS46" i="12"/>
  <c r="BT46" i="12"/>
  <c r="BU46" i="12"/>
  <c r="BV46" i="12"/>
  <c r="BW46" i="12"/>
  <c r="BX46" i="12"/>
  <c r="BY46" i="12"/>
  <c r="BZ46" i="12"/>
  <c r="CA46" i="12"/>
  <c r="CB46" i="12"/>
  <c r="CC46" i="12"/>
  <c r="CD46" i="12"/>
  <c r="CE46" i="12"/>
  <c r="CF46" i="12"/>
  <c r="CG46" i="12"/>
  <c r="CH46" i="12"/>
  <c r="CI46" i="12"/>
  <c r="CJ46" i="12"/>
  <c r="CK46" i="12"/>
  <c r="CL46" i="12"/>
  <c r="CM46" i="12"/>
  <c r="CN46" i="12"/>
  <c r="CO46" i="12"/>
  <c r="CP46" i="12"/>
  <c r="CQ46" i="12"/>
  <c r="CR46" i="12"/>
  <c r="CS46" i="12"/>
  <c r="CT46" i="12"/>
  <c r="CU46" i="12"/>
  <c r="CV46" i="12"/>
  <c r="CW46" i="12"/>
  <c r="CX46" i="12"/>
  <c r="CY46" i="12"/>
  <c r="CZ46" i="12"/>
  <c r="DA46" i="12"/>
  <c r="DB46" i="12"/>
  <c r="DC46" i="12"/>
  <c r="DD46" i="12"/>
  <c r="DE46" i="12"/>
  <c r="DF46" i="12"/>
  <c r="DG46" i="12"/>
  <c r="DH46" i="12"/>
  <c r="DI46" i="12"/>
  <c r="DJ46" i="12"/>
  <c r="DK46" i="12"/>
  <c r="DL46" i="12"/>
  <c r="DM46" i="12"/>
  <c r="DN46" i="12"/>
  <c r="DO46" i="12"/>
  <c r="DP46" i="12"/>
  <c r="DQ46" i="12"/>
  <c r="DR46" i="12"/>
  <c r="DS46" i="12"/>
  <c r="DT46" i="12"/>
  <c r="DU46" i="12"/>
  <c r="DV46" i="12"/>
  <c r="DW46" i="12"/>
  <c r="DX46" i="12"/>
  <c r="DY46" i="12"/>
  <c r="DZ46" i="12"/>
  <c r="EA46" i="12"/>
  <c r="EB46" i="12"/>
  <c r="EC46" i="12"/>
  <c r="ED46" i="12"/>
  <c r="EE46" i="12"/>
  <c r="EF46" i="12"/>
  <c r="EG46" i="12"/>
  <c r="EH46" i="12"/>
  <c r="EI46" i="12"/>
  <c r="EJ46" i="12"/>
  <c r="EK46" i="12"/>
  <c r="EL46" i="12"/>
  <c r="EM46" i="12"/>
  <c r="EN46" i="12"/>
  <c r="EO46" i="12"/>
  <c r="EP46" i="12"/>
  <c r="EQ46" i="12"/>
  <c r="ER46" i="12"/>
  <c r="ES46" i="12"/>
  <c r="ET46" i="12"/>
  <c r="EU46" i="12"/>
  <c r="EV46" i="12"/>
  <c r="EW46" i="12"/>
  <c r="EX46" i="12"/>
  <c r="EY46" i="12"/>
  <c r="EZ46" i="12"/>
  <c r="FA46" i="12"/>
  <c r="FB46" i="12"/>
  <c r="FC46" i="12"/>
  <c r="FD46" i="12"/>
  <c r="FE46" i="12"/>
  <c r="FF46" i="12"/>
  <c r="FG46" i="12"/>
  <c r="FH46" i="12"/>
  <c r="FI46" i="12"/>
  <c r="FJ46" i="12"/>
  <c r="FK46" i="12"/>
  <c r="FL46" i="12"/>
  <c r="FM46" i="12"/>
  <c r="FN46" i="12"/>
  <c r="FO46" i="12"/>
  <c r="FP46" i="12"/>
  <c r="FQ46" i="12"/>
  <c r="FR46" i="12"/>
  <c r="FS46" i="12"/>
  <c r="FT46" i="12"/>
  <c r="FU46" i="12"/>
  <c r="FV46" i="12"/>
  <c r="FW46" i="12"/>
  <c r="FX46" i="12"/>
  <c r="FY46" i="12"/>
  <c r="FZ46" i="12"/>
  <c r="GA46" i="12"/>
  <c r="GB46" i="12"/>
  <c r="GC46" i="12"/>
  <c r="GD46" i="12"/>
  <c r="GE46" i="12"/>
  <c r="GF46" i="12"/>
  <c r="GG46" i="12"/>
  <c r="GH46" i="12"/>
  <c r="GI46" i="12"/>
  <c r="GJ46" i="12"/>
  <c r="GK46" i="12"/>
  <c r="GL46" i="12"/>
  <c r="GM46" i="12"/>
  <c r="GN46" i="12"/>
  <c r="GO46" i="12"/>
  <c r="GP46" i="12"/>
  <c r="GQ46" i="12"/>
  <c r="GR46" i="12"/>
  <c r="GS46" i="12"/>
  <c r="GT46" i="12"/>
  <c r="GU46" i="12"/>
  <c r="GV46" i="12"/>
  <c r="GW46" i="12"/>
  <c r="GX46" i="12"/>
  <c r="GY46" i="12"/>
  <c r="GZ46" i="12"/>
  <c r="HA46" i="12"/>
  <c r="HB46" i="12"/>
  <c r="HC46" i="12"/>
  <c r="HD46" i="12"/>
  <c r="HE46" i="12"/>
  <c r="HF46" i="12"/>
  <c r="HG46" i="12"/>
  <c r="HH46" i="12"/>
  <c r="HI46" i="12"/>
  <c r="HJ46" i="12"/>
  <c r="HK46" i="12"/>
  <c r="HL46" i="12"/>
  <c r="HM46" i="12"/>
  <c r="HN46" i="12"/>
  <c r="HO46" i="12"/>
  <c r="HP46" i="12"/>
  <c r="HQ46" i="12"/>
  <c r="HR46" i="12"/>
  <c r="HS46" i="12"/>
  <c r="HT46" i="12"/>
  <c r="HU46" i="12"/>
  <c r="HV46" i="12"/>
  <c r="HW46" i="12"/>
  <c r="HX46" i="12"/>
  <c r="HY46" i="12"/>
  <c r="HZ46" i="12"/>
  <c r="IA46" i="12"/>
  <c r="IB46" i="12"/>
  <c r="IC46" i="12"/>
  <c r="ID46" i="12"/>
  <c r="IE46" i="12"/>
  <c r="IF46" i="12"/>
  <c r="IG46" i="12"/>
  <c r="IH46" i="12"/>
  <c r="II46" i="12"/>
  <c r="IJ46" i="12"/>
  <c r="IK46" i="12"/>
  <c r="IL46" i="12"/>
  <c r="IM46" i="12"/>
  <c r="IN46" i="12"/>
  <c r="IO46" i="12"/>
  <c r="IP46" i="12"/>
  <c r="IQ46" i="12"/>
  <c r="IR46" i="12"/>
  <c r="IS46" i="12"/>
  <c r="IT46" i="12"/>
  <c r="IU46" i="12"/>
  <c r="IV46" i="12"/>
  <c r="A45" i="12"/>
  <c r="B45" i="12"/>
  <c r="C45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BC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BS45" i="12"/>
  <c r="BT45" i="12"/>
  <c r="BU45" i="12"/>
  <c r="BV45" i="12"/>
  <c r="BW45" i="12"/>
  <c r="BX45" i="12"/>
  <c r="BY45" i="12"/>
  <c r="BZ45" i="12"/>
  <c r="CA45" i="12"/>
  <c r="CB45" i="12"/>
  <c r="CC45" i="12"/>
  <c r="CD45" i="12"/>
  <c r="CE45" i="12"/>
  <c r="CF45" i="12"/>
  <c r="CG45" i="12"/>
  <c r="CH45" i="12"/>
  <c r="CI45" i="12"/>
  <c r="CJ45" i="12"/>
  <c r="CK45" i="12"/>
  <c r="CL45" i="12"/>
  <c r="CM45" i="12"/>
  <c r="CN45" i="12"/>
  <c r="CO45" i="12"/>
  <c r="CP45" i="12"/>
  <c r="CQ45" i="12"/>
  <c r="CR45" i="12"/>
  <c r="CS45" i="12"/>
  <c r="CT45" i="12"/>
  <c r="CU45" i="12"/>
  <c r="CV45" i="12"/>
  <c r="CW45" i="12"/>
  <c r="CX45" i="12"/>
  <c r="CY45" i="12"/>
  <c r="CZ45" i="12"/>
  <c r="DA45" i="12"/>
  <c r="DB45" i="12"/>
  <c r="DC45" i="12"/>
  <c r="DD45" i="12"/>
  <c r="DE45" i="12"/>
  <c r="DF45" i="12"/>
  <c r="DG45" i="12"/>
  <c r="DH45" i="12"/>
  <c r="DI45" i="12"/>
  <c r="DJ45" i="12"/>
  <c r="DK45" i="12"/>
  <c r="DL45" i="12"/>
  <c r="DM45" i="12"/>
  <c r="DN45" i="12"/>
  <c r="DO45" i="12"/>
  <c r="DP45" i="12"/>
  <c r="DQ45" i="12"/>
  <c r="DR45" i="12"/>
  <c r="DS45" i="12"/>
  <c r="DT45" i="12"/>
  <c r="DU45" i="12"/>
  <c r="DV45" i="12"/>
  <c r="DW45" i="12"/>
  <c r="DX45" i="12"/>
  <c r="DY45" i="12"/>
  <c r="DZ45" i="12"/>
  <c r="EA45" i="12"/>
  <c r="EB45" i="12"/>
  <c r="EC45" i="12"/>
  <c r="ED45" i="12"/>
  <c r="EE45" i="12"/>
  <c r="EF45" i="12"/>
  <c r="EG45" i="12"/>
  <c r="EH45" i="12"/>
  <c r="EI45" i="12"/>
  <c r="EJ45" i="12"/>
  <c r="EK45" i="12"/>
  <c r="EL45" i="12"/>
  <c r="EM45" i="12"/>
  <c r="EN45" i="12"/>
  <c r="EO45" i="12"/>
  <c r="EP45" i="12"/>
  <c r="EQ45" i="12"/>
  <c r="ER45" i="12"/>
  <c r="ES45" i="12"/>
  <c r="ET45" i="12"/>
  <c r="EU45" i="12"/>
  <c r="EV45" i="12"/>
  <c r="EW45" i="12"/>
  <c r="EX45" i="12"/>
  <c r="EY45" i="12"/>
  <c r="EZ45" i="12"/>
  <c r="FA45" i="12"/>
  <c r="FB45" i="12"/>
  <c r="FC45" i="12"/>
  <c r="FD45" i="12"/>
  <c r="FE45" i="12"/>
  <c r="FF45" i="12"/>
  <c r="FG45" i="12"/>
  <c r="FH45" i="12"/>
  <c r="FI45" i="12"/>
  <c r="FJ45" i="12"/>
  <c r="FK45" i="12"/>
  <c r="FL45" i="12"/>
  <c r="FM45" i="12"/>
  <c r="FN45" i="12"/>
  <c r="FO45" i="12"/>
  <c r="FP45" i="12"/>
  <c r="FQ45" i="12"/>
  <c r="FR45" i="12"/>
  <c r="FS45" i="12"/>
  <c r="FT45" i="12"/>
  <c r="FU45" i="12"/>
  <c r="FV45" i="12"/>
  <c r="FW45" i="12"/>
  <c r="FX45" i="12"/>
  <c r="FY45" i="12"/>
  <c r="FZ45" i="12"/>
  <c r="GA45" i="12"/>
  <c r="GB45" i="12"/>
  <c r="GC45" i="12"/>
  <c r="GD45" i="12"/>
  <c r="GE45" i="12"/>
  <c r="GF45" i="12"/>
  <c r="GG45" i="12"/>
  <c r="GH45" i="12"/>
  <c r="GI45" i="12"/>
  <c r="GJ45" i="12"/>
  <c r="GK45" i="12"/>
  <c r="GL45" i="12"/>
  <c r="GM45" i="12"/>
  <c r="GN45" i="12"/>
  <c r="GO45" i="12"/>
  <c r="GP45" i="12"/>
  <c r="GQ45" i="12"/>
  <c r="GR45" i="12"/>
  <c r="GS45" i="12"/>
  <c r="GT45" i="12"/>
  <c r="GU45" i="12"/>
  <c r="GV45" i="12"/>
  <c r="GW45" i="12"/>
  <c r="GX45" i="12"/>
  <c r="GY45" i="12"/>
  <c r="GZ45" i="12"/>
  <c r="HA45" i="12"/>
  <c r="HB45" i="12"/>
  <c r="HC45" i="12"/>
  <c r="HD45" i="12"/>
  <c r="HE45" i="12"/>
  <c r="HF45" i="12"/>
  <c r="HG45" i="12"/>
  <c r="HH45" i="12"/>
  <c r="HI45" i="12"/>
  <c r="HJ45" i="12"/>
  <c r="HK45" i="12"/>
  <c r="HL45" i="12"/>
  <c r="HM45" i="12"/>
  <c r="HN45" i="12"/>
  <c r="HO45" i="12"/>
  <c r="HP45" i="12"/>
  <c r="HQ45" i="12"/>
  <c r="HR45" i="12"/>
  <c r="HS45" i="12"/>
  <c r="HT45" i="12"/>
  <c r="HU45" i="12"/>
  <c r="HV45" i="12"/>
  <c r="HW45" i="12"/>
  <c r="HX45" i="12"/>
  <c r="HY45" i="12"/>
  <c r="HZ45" i="12"/>
  <c r="IA45" i="12"/>
  <c r="IB45" i="12"/>
  <c r="IC45" i="12"/>
  <c r="ID45" i="12"/>
  <c r="IE45" i="12"/>
  <c r="IF45" i="12"/>
  <c r="IG45" i="12"/>
  <c r="IH45" i="12"/>
  <c r="II45" i="12"/>
  <c r="IJ45" i="12"/>
  <c r="IK45" i="12"/>
  <c r="IL45" i="12"/>
  <c r="IM45" i="12"/>
  <c r="IN45" i="12"/>
  <c r="IO45" i="12"/>
  <c r="IP45" i="12"/>
  <c r="IQ45" i="12"/>
  <c r="IR45" i="12"/>
  <c r="IS45" i="12"/>
  <c r="IT45" i="12"/>
  <c r="IU45" i="12"/>
  <c r="IV45" i="12"/>
  <c r="A44" i="12"/>
  <c r="B44" i="12"/>
  <c r="C44" i="12"/>
  <c r="D44" i="12"/>
  <c r="E44" i="12"/>
  <c r="F44" i="12"/>
  <c r="G44" i="12"/>
  <c r="H44" i="12"/>
  <c r="I44" i="12"/>
  <c r="J44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BC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P44" i="12"/>
  <c r="BQ44" i="12"/>
  <c r="BR44" i="12"/>
  <c r="BS44" i="12"/>
  <c r="BT44" i="12"/>
  <c r="BU44" i="12"/>
  <c r="BV44" i="12"/>
  <c r="BW44" i="12"/>
  <c r="BX44" i="12"/>
  <c r="BY44" i="12"/>
  <c r="BZ44" i="12"/>
  <c r="CA44" i="12"/>
  <c r="CB44" i="12"/>
  <c r="CC44" i="12"/>
  <c r="CD44" i="12"/>
  <c r="CE44" i="12"/>
  <c r="CF44" i="12"/>
  <c r="CG44" i="12"/>
  <c r="CH44" i="12"/>
  <c r="CI44" i="12"/>
  <c r="CJ44" i="12"/>
  <c r="CK44" i="12"/>
  <c r="CL44" i="12"/>
  <c r="CM44" i="12"/>
  <c r="CN44" i="12"/>
  <c r="CO44" i="12"/>
  <c r="CP44" i="12"/>
  <c r="CQ44" i="12"/>
  <c r="CR44" i="12"/>
  <c r="CS44" i="12"/>
  <c r="CT44" i="12"/>
  <c r="CU44" i="12"/>
  <c r="CV44" i="12"/>
  <c r="CW44" i="12"/>
  <c r="CX44" i="12"/>
  <c r="CY44" i="12"/>
  <c r="CZ44" i="12"/>
  <c r="DA44" i="12"/>
  <c r="DB44" i="12"/>
  <c r="DC44" i="12"/>
  <c r="DD44" i="12"/>
  <c r="DE44" i="12"/>
  <c r="DF44" i="12"/>
  <c r="DG44" i="12"/>
  <c r="DH44" i="12"/>
  <c r="DI44" i="12"/>
  <c r="DJ44" i="12"/>
  <c r="DK44" i="12"/>
  <c r="DL44" i="12"/>
  <c r="DM44" i="12"/>
  <c r="DN44" i="12"/>
  <c r="DO44" i="12"/>
  <c r="DP44" i="12"/>
  <c r="DQ44" i="12"/>
  <c r="DR44" i="12"/>
  <c r="DS44" i="12"/>
  <c r="DT44" i="12"/>
  <c r="DU44" i="12"/>
  <c r="DV44" i="12"/>
  <c r="DW44" i="12"/>
  <c r="DX44" i="12"/>
  <c r="DY44" i="12"/>
  <c r="DZ44" i="12"/>
  <c r="EA44" i="12"/>
  <c r="EB44" i="12"/>
  <c r="EC44" i="12"/>
  <c r="ED44" i="12"/>
  <c r="EE44" i="12"/>
  <c r="EF44" i="12"/>
  <c r="EG44" i="12"/>
  <c r="EH44" i="12"/>
  <c r="EI44" i="12"/>
  <c r="EJ44" i="12"/>
  <c r="EK44" i="12"/>
  <c r="EL44" i="12"/>
  <c r="EM44" i="12"/>
  <c r="EN44" i="12"/>
  <c r="EO44" i="12"/>
  <c r="EP44" i="12"/>
  <c r="EQ44" i="12"/>
  <c r="ER44" i="12"/>
  <c r="ES44" i="12"/>
  <c r="ET44" i="12"/>
  <c r="EU44" i="12"/>
  <c r="EV44" i="12"/>
  <c r="EW44" i="12"/>
  <c r="EX44" i="12"/>
  <c r="EY44" i="12"/>
  <c r="EZ44" i="12"/>
  <c r="FA44" i="12"/>
  <c r="FB44" i="12"/>
  <c r="FC44" i="12"/>
  <c r="FD44" i="12"/>
  <c r="FE44" i="12"/>
  <c r="FF44" i="12"/>
  <c r="FG44" i="12"/>
  <c r="FH44" i="12"/>
  <c r="FI44" i="12"/>
  <c r="FJ44" i="12"/>
  <c r="FK44" i="12"/>
  <c r="FL44" i="12"/>
  <c r="FM44" i="12"/>
  <c r="FN44" i="12"/>
  <c r="FO44" i="12"/>
  <c r="FP44" i="12"/>
  <c r="FQ44" i="12"/>
  <c r="FR44" i="12"/>
  <c r="FS44" i="12"/>
  <c r="FT44" i="12"/>
  <c r="FU44" i="12"/>
  <c r="FV44" i="12"/>
  <c r="FW44" i="12"/>
  <c r="FX44" i="12"/>
  <c r="FY44" i="12"/>
  <c r="FZ44" i="12"/>
  <c r="GA44" i="12"/>
  <c r="GB44" i="12"/>
  <c r="GC44" i="12"/>
  <c r="GD44" i="12"/>
  <c r="GE44" i="12"/>
  <c r="GF44" i="12"/>
  <c r="GG44" i="12"/>
  <c r="GH44" i="12"/>
  <c r="GI44" i="12"/>
  <c r="GJ44" i="12"/>
  <c r="GK44" i="12"/>
  <c r="GL44" i="12"/>
  <c r="GM44" i="12"/>
  <c r="GN44" i="12"/>
  <c r="GO44" i="12"/>
  <c r="GP44" i="12"/>
  <c r="GQ44" i="12"/>
  <c r="GR44" i="12"/>
  <c r="GS44" i="12"/>
  <c r="GT44" i="12"/>
  <c r="GU44" i="12"/>
  <c r="GV44" i="12"/>
  <c r="GW44" i="12"/>
  <c r="GX44" i="12"/>
  <c r="GY44" i="12"/>
  <c r="GZ44" i="12"/>
  <c r="HA44" i="12"/>
  <c r="HB44" i="12"/>
  <c r="HC44" i="12"/>
  <c r="HD44" i="12"/>
  <c r="HE44" i="12"/>
  <c r="HF44" i="12"/>
  <c r="HG44" i="12"/>
  <c r="HH44" i="12"/>
  <c r="HI44" i="12"/>
  <c r="HJ44" i="12"/>
  <c r="HK44" i="12"/>
  <c r="HL44" i="12"/>
  <c r="HM44" i="12"/>
  <c r="HN44" i="12"/>
  <c r="HO44" i="12"/>
  <c r="HP44" i="12"/>
  <c r="HQ44" i="12"/>
  <c r="HR44" i="12"/>
  <c r="HS44" i="12"/>
  <c r="HT44" i="12"/>
  <c r="HU44" i="12"/>
  <c r="HV44" i="12"/>
  <c r="HW44" i="12"/>
  <c r="HX44" i="12"/>
  <c r="HY44" i="12"/>
  <c r="HZ44" i="12"/>
  <c r="IA44" i="12"/>
  <c r="IB44" i="12"/>
  <c r="IC44" i="12"/>
  <c r="ID44" i="12"/>
  <c r="IE44" i="12"/>
  <c r="IF44" i="12"/>
  <c r="IG44" i="12"/>
  <c r="IH44" i="12"/>
  <c r="II44" i="12"/>
  <c r="IJ44" i="12"/>
  <c r="IK44" i="12"/>
  <c r="IL44" i="12"/>
  <c r="IM44" i="12"/>
  <c r="IN44" i="12"/>
  <c r="IO44" i="12"/>
  <c r="IP44" i="12"/>
  <c r="IQ44" i="12"/>
  <c r="IR44" i="12"/>
  <c r="IS44" i="12"/>
  <c r="IT44" i="12"/>
  <c r="IU44" i="12"/>
  <c r="IV44" i="12"/>
  <c r="A43" i="12"/>
  <c r="B43" i="12"/>
  <c r="C43" i="12"/>
  <c r="D43" i="12"/>
  <c r="E43" i="12"/>
  <c r="F43" i="12"/>
  <c r="G43" i="12"/>
  <c r="H43" i="12"/>
  <c r="I43" i="12"/>
  <c r="J43" i="12"/>
  <c r="K43" i="12"/>
  <c r="L43" i="12"/>
  <c r="M43" i="12"/>
  <c r="N43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BC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P43" i="12"/>
  <c r="BQ43" i="12"/>
  <c r="BR43" i="12"/>
  <c r="BS43" i="12"/>
  <c r="BT43" i="12"/>
  <c r="BU43" i="12"/>
  <c r="BV43" i="12"/>
  <c r="BW43" i="12"/>
  <c r="BX43" i="12"/>
  <c r="BY43" i="12"/>
  <c r="BZ43" i="12"/>
  <c r="CA43" i="12"/>
  <c r="CB43" i="12"/>
  <c r="CC43" i="12"/>
  <c r="CD43" i="12"/>
  <c r="CE43" i="12"/>
  <c r="CF43" i="12"/>
  <c r="CG43" i="12"/>
  <c r="CH43" i="12"/>
  <c r="CI43" i="12"/>
  <c r="CJ43" i="12"/>
  <c r="CK43" i="12"/>
  <c r="CL43" i="12"/>
  <c r="CM43" i="12"/>
  <c r="CN43" i="12"/>
  <c r="CO43" i="12"/>
  <c r="CP43" i="12"/>
  <c r="CQ43" i="12"/>
  <c r="CR43" i="12"/>
  <c r="CS43" i="12"/>
  <c r="CT43" i="12"/>
  <c r="CU43" i="12"/>
  <c r="CV43" i="12"/>
  <c r="CW43" i="12"/>
  <c r="CX43" i="12"/>
  <c r="CY43" i="12"/>
  <c r="CZ43" i="12"/>
  <c r="DA43" i="12"/>
  <c r="DB43" i="12"/>
  <c r="DC43" i="12"/>
  <c r="DD43" i="12"/>
  <c r="DE43" i="12"/>
  <c r="DF43" i="12"/>
  <c r="DG43" i="12"/>
  <c r="DH43" i="12"/>
  <c r="DI43" i="12"/>
  <c r="DJ43" i="12"/>
  <c r="DK43" i="12"/>
  <c r="DL43" i="12"/>
  <c r="DM43" i="12"/>
  <c r="DN43" i="12"/>
  <c r="DO43" i="12"/>
  <c r="DP43" i="12"/>
  <c r="DQ43" i="12"/>
  <c r="DR43" i="12"/>
  <c r="DS43" i="12"/>
  <c r="DT43" i="12"/>
  <c r="DU43" i="12"/>
  <c r="DV43" i="12"/>
  <c r="DW43" i="12"/>
  <c r="DX43" i="12"/>
  <c r="DY43" i="12"/>
  <c r="DZ43" i="12"/>
  <c r="EA43" i="12"/>
  <c r="EB43" i="12"/>
  <c r="EC43" i="12"/>
  <c r="ED43" i="12"/>
  <c r="EE43" i="12"/>
  <c r="EF43" i="12"/>
  <c r="EG43" i="12"/>
  <c r="EH43" i="12"/>
  <c r="EI43" i="12"/>
  <c r="EJ43" i="12"/>
  <c r="EK43" i="12"/>
  <c r="EL43" i="12"/>
  <c r="EM43" i="12"/>
  <c r="EN43" i="12"/>
  <c r="EO43" i="12"/>
  <c r="EP43" i="12"/>
  <c r="EQ43" i="12"/>
  <c r="ER43" i="12"/>
  <c r="ES43" i="12"/>
  <c r="ET43" i="12"/>
  <c r="EU43" i="12"/>
  <c r="EV43" i="12"/>
  <c r="EW43" i="12"/>
  <c r="EX43" i="12"/>
  <c r="EY43" i="12"/>
  <c r="EZ43" i="12"/>
  <c r="FA43" i="12"/>
  <c r="FB43" i="12"/>
  <c r="FC43" i="12"/>
  <c r="FD43" i="12"/>
  <c r="FE43" i="12"/>
  <c r="FF43" i="12"/>
  <c r="FG43" i="12"/>
  <c r="FH43" i="12"/>
  <c r="FI43" i="12"/>
  <c r="FJ43" i="12"/>
  <c r="FK43" i="12"/>
  <c r="FL43" i="12"/>
  <c r="FM43" i="12"/>
  <c r="FN43" i="12"/>
  <c r="FO43" i="12"/>
  <c r="FP43" i="12"/>
  <c r="FQ43" i="12"/>
  <c r="FR43" i="12"/>
  <c r="FS43" i="12"/>
  <c r="FT43" i="12"/>
  <c r="FU43" i="12"/>
  <c r="FV43" i="12"/>
  <c r="FW43" i="12"/>
  <c r="FX43" i="12"/>
  <c r="FY43" i="12"/>
  <c r="FZ43" i="12"/>
  <c r="GA43" i="12"/>
  <c r="GB43" i="12"/>
  <c r="GC43" i="12"/>
  <c r="GD43" i="12"/>
  <c r="GE43" i="12"/>
  <c r="GF43" i="12"/>
  <c r="GG43" i="12"/>
  <c r="GH43" i="12"/>
  <c r="GI43" i="12"/>
  <c r="GJ43" i="12"/>
  <c r="GK43" i="12"/>
  <c r="GL43" i="12"/>
  <c r="GM43" i="12"/>
  <c r="GN43" i="12"/>
  <c r="GO43" i="12"/>
  <c r="GP43" i="12"/>
  <c r="GQ43" i="12"/>
  <c r="GR43" i="12"/>
  <c r="GS43" i="12"/>
  <c r="GT43" i="12"/>
  <c r="GU43" i="12"/>
  <c r="GV43" i="12"/>
  <c r="GW43" i="12"/>
  <c r="GX43" i="12"/>
  <c r="GY43" i="12"/>
  <c r="GZ43" i="12"/>
  <c r="HA43" i="12"/>
  <c r="HB43" i="12"/>
  <c r="HC43" i="12"/>
  <c r="HD43" i="12"/>
  <c r="HE43" i="12"/>
  <c r="HF43" i="12"/>
  <c r="HG43" i="12"/>
  <c r="HH43" i="12"/>
  <c r="HI43" i="12"/>
  <c r="HJ43" i="12"/>
  <c r="HK43" i="12"/>
  <c r="HL43" i="12"/>
  <c r="HM43" i="12"/>
  <c r="HN43" i="12"/>
  <c r="HO43" i="12"/>
  <c r="HP43" i="12"/>
  <c r="HQ43" i="12"/>
  <c r="HR43" i="12"/>
  <c r="HS43" i="12"/>
  <c r="HT43" i="12"/>
  <c r="HU43" i="12"/>
  <c r="HV43" i="12"/>
  <c r="HW43" i="12"/>
  <c r="HX43" i="12"/>
  <c r="HY43" i="12"/>
  <c r="HZ43" i="12"/>
  <c r="IA43" i="12"/>
  <c r="IB43" i="12"/>
  <c r="IC43" i="12"/>
  <c r="ID43" i="12"/>
  <c r="IE43" i="12"/>
  <c r="IF43" i="12"/>
  <c r="IG43" i="12"/>
  <c r="IH43" i="12"/>
  <c r="II43" i="12"/>
  <c r="IJ43" i="12"/>
  <c r="IK43" i="12"/>
  <c r="IL43" i="12"/>
  <c r="IM43" i="12"/>
  <c r="IN43" i="12"/>
  <c r="IO43" i="12"/>
  <c r="IP43" i="12"/>
  <c r="IQ43" i="12"/>
  <c r="IR43" i="12"/>
  <c r="IS43" i="12"/>
  <c r="IT43" i="12"/>
  <c r="IU43" i="12"/>
  <c r="IV43" i="12"/>
  <c r="AH60" i="12"/>
  <c r="A42" i="12"/>
  <c r="B42" i="12"/>
  <c r="C42" i="12"/>
  <c r="D42" i="12"/>
  <c r="E42" i="12"/>
  <c r="F42" i="12"/>
  <c r="G42" i="12"/>
  <c r="H42" i="12"/>
  <c r="I42" i="12"/>
  <c r="J42" i="12"/>
  <c r="K42" i="12"/>
  <c r="L42" i="12"/>
  <c r="M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BC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P42" i="12"/>
  <c r="BQ42" i="12"/>
  <c r="BR42" i="12"/>
  <c r="BS42" i="12"/>
  <c r="BT42" i="12"/>
  <c r="BU42" i="12"/>
  <c r="BV42" i="12"/>
  <c r="BW42" i="12"/>
  <c r="BX42" i="12"/>
  <c r="BY42" i="12"/>
  <c r="BZ42" i="12"/>
  <c r="CA42" i="12"/>
  <c r="CB42" i="12"/>
  <c r="CC42" i="12"/>
  <c r="CD42" i="12"/>
  <c r="CE42" i="12"/>
  <c r="CF42" i="12"/>
  <c r="CG42" i="12"/>
  <c r="CH42" i="12"/>
  <c r="CI42" i="12"/>
  <c r="CJ42" i="12"/>
  <c r="CK42" i="12"/>
  <c r="CL42" i="12"/>
  <c r="CM42" i="12"/>
  <c r="CN42" i="12"/>
  <c r="CO42" i="12"/>
  <c r="CP42" i="12"/>
  <c r="CQ42" i="12"/>
  <c r="CR42" i="12"/>
  <c r="CS42" i="12"/>
  <c r="CT42" i="12"/>
  <c r="CU42" i="12"/>
  <c r="CV42" i="12"/>
  <c r="CW42" i="12"/>
  <c r="CX42" i="12"/>
  <c r="CY42" i="12"/>
  <c r="CZ42" i="12"/>
  <c r="DA42" i="12"/>
  <c r="DB42" i="12"/>
  <c r="DC42" i="12"/>
  <c r="DD42" i="12"/>
  <c r="DE42" i="12"/>
  <c r="DF42" i="12"/>
  <c r="DG42" i="12"/>
  <c r="DH42" i="12"/>
  <c r="DI42" i="12"/>
  <c r="DJ42" i="12"/>
  <c r="DK42" i="12"/>
  <c r="DL42" i="12"/>
  <c r="DM42" i="12"/>
  <c r="DN42" i="12"/>
  <c r="DO42" i="12"/>
  <c r="DP42" i="12"/>
  <c r="DQ42" i="12"/>
  <c r="DR42" i="12"/>
  <c r="DS42" i="12"/>
  <c r="DT42" i="12"/>
  <c r="DU42" i="12"/>
  <c r="DV42" i="12"/>
  <c r="DW42" i="12"/>
  <c r="DX42" i="12"/>
  <c r="DY42" i="12"/>
  <c r="DZ42" i="12"/>
  <c r="EA42" i="12"/>
  <c r="EB42" i="12"/>
  <c r="EC42" i="12"/>
  <c r="ED42" i="12"/>
  <c r="EE42" i="12"/>
  <c r="EF42" i="12"/>
  <c r="EG42" i="12"/>
  <c r="EH42" i="12"/>
  <c r="EI42" i="12"/>
  <c r="EJ42" i="12"/>
  <c r="EK42" i="12"/>
  <c r="EL42" i="12"/>
  <c r="EM42" i="12"/>
  <c r="EN42" i="12"/>
  <c r="EO42" i="12"/>
  <c r="EP42" i="12"/>
  <c r="EQ42" i="12"/>
  <c r="ER42" i="12"/>
  <c r="ES42" i="12"/>
  <c r="ET42" i="12"/>
  <c r="EU42" i="12"/>
  <c r="EV42" i="12"/>
  <c r="EW42" i="12"/>
  <c r="EX42" i="12"/>
  <c r="EY42" i="12"/>
  <c r="EZ42" i="12"/>
  <c r="FA42" i="12"/>
  <c r="FB42" i="12"/>
  <c r="FC42" i="12"/>
  <c r="FD42" i="12"/>
  <c r="FE42" i="12"/>
  <c r="FF42" i="12"/>
  <c r="FG42" i="12"/>
  <c r="FH42" i="12"/>
  <c r="FI42" i="12"/>
  <c r="FJ42" i="12"/>
  <c r="FK42" i="12"/>
  <c r="FL42" i="12"/>
  <c r="FM42" i="12"/>
  <c r="FN42" i="12"/>
  <c r="FO42" i="12"/>
  <c r="FP42" i="12"/>
  <c r="FQ42" i="12"/>
  <c r="FR42" i="12"/>
  <c r="FS42" i="12"/>
  <c r="FT42" i="12"/>
  <c r="FU42" i="12"/>
  <c r="FV42" i="12"/>
  <c r="FW42" i="12"/>
  <c r="FX42" i="12"/>
  <c r="FY42" i="12"/>
  <c r="FZ42" i="12"/>
  <c r="GA42" i="12"/>
  <c r="GB42" i="12"/>
  <c r="GC42" i="12"/>
  <c r="GD42" i="12"/>
  <c r="GE42" i="12"/>
  <c r="GF42" i="12"/>
  <c r="GG42" i="12"/>
  <c r="GH42" i="12"/>
  <c r="GI42" i="12"/>
  <c r="GJ42" i="12"/>
  <c r="GK42" i="12"/>
  <c r="GL42" i="12"/>
  <c r="GM42" i="12"/>
  <c r="GN42" i="12"/>
  <c r="GO42" i="12"/>
  <c r="GP42" i="12"/>
  <c r="GQ42" i="12"/>
  <c r="GR42" i="12"/>
  <c r="GS42" i="12"/>
  <c r="GT42" i="12"/>
  <c r="GU42" i="12"/>
  <c r="GV42" i="12"/>
  <c r="GW42" i="12"/>
  <c r="GX42" i="12"/>
  <c r="GY42" i="12"/>
  <c r="GZ42" i="12"/>
  <c r="HA42" i="12"/>
  <c r="HB42" i="12"/>
  <c r="HC42" i="12"/>
  <c r="HD42" i="12"/>
  <c r="A41" i="12"/>
  <c r="B41" i="12"/>
  <c r="C41" i="12"/>
  <c r="D41" i="12"/>
  <c r="E41" i="12"/>
  <c r="F41" i="12"/>
  <c r="G41" i="12"/>
  <c r="H41" i="12"/>
  <c r="I41" i="12"/>
  <c r="J41" i="12"/>
  <c r="K41" i="12"/>
  <c r="L41" i="12"/>
  <c r="M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BC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P41" i="12"/>
  <c r="BQ41" i="12"/>
  <c r="BR41" i="12"/>
  <c r="BS41" i="12"/>
  <c r="BT41" i="12"/>
  <c r="BU41" i="12"/>
  <c r="BV41" i="12"/>
  <c r="BW41" i="12"/>
  <c r="BX41" i="12"/>
  <c r="BY41" i="12"/>
  <c r="BZ41" i="12"/>
  <c r="CA41" i="12"/>
  <c r="CB41" i="12"/>
  <c r="CC41" i="12"/>
  <c r="CD41" i="12"/>
  <c r="CE41" i="12"/>
  <c r="CF41" i="12"/>
  <c r="CG41" i="12"/>
  <c r="CH41" i="12"/>
  <c r="CI41" i="12"/>
  <c r="CJ41" i="12"/>
  <c r="CK41" i="12"/>
  <c r="CL41" i="12"/>
  <c r="CM41" i="12"/>
  <c r="CN41" i="12"/>
  <c r="CO41" i="12"/>
  <c r="CP41" i="12"/>
  <c r="CQ41" i="12"/>
  <c r="CR41" i="12"/>
  <c r="CS41" i="12"/>
  <c r="CT41" i="12"/>
  <c r="CU41" i="12"/>
  <c r="CV41" i="12"/>
  <c r="CW41" i="12"/>
  <c r="CX41" i="12"/>
  <c r="CY41" i="12"/>
  <c r="CZ41" i="12"/>
  <c r="DA41" i="12"/>
  <c r="DB41" i="12"/>
  <c r="DC41" i="12"/>
  <c r="DD41" i="12"/>
  <c r="DE41" i="12"/>
  <c r="DF41" i="12"/>
  <c r="DG41" i="12"/>
  <c r="DH41" i="12"/>
  <c r="DI41" i="12"/>
  <c r="DJ41" i="12"/>
  <c r="DK41" i="12"/>
  <c r="DL41" i="12"/>
  <c r="DM41" i="12"/>
  <c r="DN41" i="12"/>
  <c r="DO41" i="12"/>
  <c r="DP41" i="12"/>
  <c r="DQ41" i="12"/>
  <c r="DR41" i="12"/>
  <c r="DS41" i="12"/>
  <c r="DT41" i="12"/>
  <c r="DU41" i="12"/>
  <c r="DV41" i="12"/>
  <c r="DW41" i="12"/>
  <c r="DX41" i="12"/>
  <c r="DY41" i="12"/>
  <c r="DZ41" i="12"/>
  <c r="EA41" i="12"/>
  <c r="EB41" i="12"/>
  <c r="EC41" i="12"/>
  <c r="ED41" i="12"/>
  <c r="EE41" i="12"/>
  <c r="EF41" i="12"/>
  <c r="EG41" i="12"/>
  <c r="EH41" i="12"/>
  <c r="EI41" i="12"/>
  <c r="EJ41" i="12"/>
  <c r="EK41" i="12"/>
  <c r="EL41" i="12"/>
  <c r="EM41" i="12"/>
  <c r="EN41" i="12"/>
  <c r="EO41" i="12"/>
  <c r="EP41" i="12"/>
  <c r="EQ41" i="12"/>
  <c r="ER41" i="12"/>
  <c r="ES41" i="12"/>
  <c r="ET41" i="12"/>
  <c r="EU41" i="12"/>
  <c r="EV41" i="12"/>
  <c r="EW41" i="12"/>
  <c r="EX41" i="12"/>
  <c r="EY41" i="12"/>
  <c r="EZ41" i="12"/>
  <c r="FA41" i="12"/>
  <c r="FB41" i="12"/>
  <c r="FC41" i="12"/>
  <c r="FD41" i="12"/>
  <c r="FE41" i="12"/>
  <c r="FF41" i="12"/>
  <c r="FG41" i="12"/>
  <c r="FH41" i="12"/>
  <c r="FI41" i="12"/>
  <c r="FJ41" i="12"/>
  <c r="FK41" i="12"/>
  <c r="FL41" i="12"/>
  <c r="FM41" i="12"/>
  <c r="FN41" i="12"/>
  <c r="FO41" i="12"/>
  <c r="FP41" i="12"/>
  <c r="FQ41" i="12"/>
  <c r="FR41" i="12"/>
  <c r="FS41" i="12"/>
  <c r="FT41" i="12"/>
  <c r="FU41" i="12"/>
  <c r="FV41" i="12"/>
  <c r="FW41" i="12"/>
  <c r="FX41" i="12"/>
  <c r="FY41" i="12"/>
  <c r="FZ41" i="12"/>
  <c r="GA41" i="12"/>
  <c r="GB41" i="12"/>
  <c r="GC41" i="12"/>
  <c r="GD41" i="12"/>
  <c r="GE41" i="12"/>
  <c r="GF41" i="12"/>
  <c r="GG41" i="12"/>
  <c r="GH41" i="12"/>
  <c r="GI41" i="12"/>
  <c r="GJ41" i="12"/>
  <c r="GK41" i="12"/>
  <c r="GL41" i="12"/>
  <c r="GM41" i="12"/>
  <c r="GN41" i="12"/>
  <c r="GO41" i="12"/>
  <c r="GP41" i="12"/>
  <c r="GQ41" i="12"/>
  <c r="GR41" i="12"/>
  <c r="GS41" i="12"/>
  <c r="GT41" i="12"/>
  <c r="GU41" i="12"/>
  <c r="GV41" i="12"/>
  <c r="GW41" i="12"/>
  <c r="GX41" i="12"/>
  <c r="GY41" i="12"/>
  <c r="GZ41" i="12"/>
  <c r="HA41" i="12"/>
  <c r="HB41" i="12"/>
  <c r="HC41" i="12"/>
  <c r="HD41" i="12"/>
  <c r="HE41" i="12"/>
  <c r="HF41" i="12"/>
  <c r="HG41" i="12"/>
  <c r="HH41" i="12"/>
  <c r="HI41" i="12"/>
  <c r="HJ41" i="12"/>
  <c r="HK41" i="12"/>
  <c r="HL41" i="12"/>
  <c r="HM41" i="12"/>
  <c r="HN41" i="12"/>
  <c r="HO41" i="12"/>
  <c r="HP41" i="12"/>
  <c r="HQ41" i="12"/>
  <c r="HR41" i="12"/>
  <c r="HS41" i="12"/>
  <c r="HT41" i="12"/>
  <c r="HU41" i="12"/>
  <c r="HV41" i="12"/>
  <c r="HW41" i="12"/>
  <c r="HX41" i="12"/>
  <c r="HY41" i="12"/>
  <c r="HZ41" i="12"/>
  <c r="IA41" i="12"/>
  <c r="IB41" i="12"/>
  <c r="IC41" i="12"/>
  <c r="ID41" i="12"/>
  <c r="IE41" i="12"/>
  <c r="IF41" i="12"/>
  <c r="IG41" i="12"/>
  <c r="IH41" i="12"/>
  <c r="II41" i="12"/>
  <c r="IJ41" i="12"/>
  <c r="IK41" i="12"/>
  <c r="IL41" i="12"/>
  <c r="IM41" i="12"/>
  <c r="IN41" i="12"/>
  <c r="IO41" i="12"/>
  <c r="IP41" i="12"/>
  <c r="IQ41" i="12"/>
  <c r="IR41" i="12"/>
  <c r="IS41" i="12"/>
  <c r="IT41" i="12"/>
  <c r="IU41" i="12"/>
  <c r="IV41" i="12"/>
  <c r="A40" i="12"/>
  <c r="B40" i="12"/>
  <c r="C40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BS40" i="12"/>
  <c r="BT40" i="12"/>
  <c r="BU40" i="12"/>
  <c r="BV40" i="12"/>
  <c r="BW40" i="12"/>
  <c r="BX40" i="12"/>
  <c r="BY40" i="12"/>
  <c r="BZ40" i="12"/>
  <c r="CA40" i="12"/>
  <c r="CB40" i="12"/>
  <c r="CC40" i="12"/>
  <c r="CD40" i="12"/>
  <c r="CE40" i="12"/>
  <c r="CF40" i="12"/>
  <c r="CG40" i="12"/>
  <c r="CH40" i="12"/>
  <c r="CI40" i="12"/>
  <c r="CJ40" i="12"/>
  <c r="CK40" i="12"/>
  <c r="CL40" i="12"/>
  <c r="CM40" i="12"/>
  <c r="CN40" i="12"/>
  <c r="CO40" i="12"/>
  <c r="CP40" i="12"/>
  <c r="CQ40" i="12"/>
  <c r="CR40" i="12"/>
  <c r="CS40" i="12"/>
  <c r="CT40" i="12"/>
  <c r="CU40" i="12"/>
  <c r="CV40" i="12"/>
  <c r="CW40" i="12"/>
  <c r="CX40" i="12"/>
  <c r="CY40" i="12"/>
  <c r="CZ40" i="12"/>
  <c r="DA40" i="12"/>
  <c r="DB40" i="12"/>
  <c r="DC40" i="12"/>
  <c r="DD40" i="12"/>
  <c r="DE40" i="12"/>
  <c r="DF40" i="12"/>
  <c r="DG40" i="12"/>
  <c r="DH40" i="12"/>
  <c r="DI40" i="12"/>
  <c r="DJ40" i="12"/>
  <c r="DK40" i="12"/>
  <c r="DL40" i="12"/>
  <c r="DM40" i="12"/>
  <c r="DN40" i="12"/>
  <c r="DO40" i="12"/>
  <c r="DP40" i="12"/>
  <c r="DQ40" i="12"/>
  <c r="DR40" i="12"/>
  <c r="DS40" i="12"/>
  <c r="DT40" i="12"/>
  <c r="DU40" i="12"/>
  <c r="DV40" i="12"/>
  <c r="DW40" i="12"/>
  <c r="DX40" i="12"/>
  <c r="DY40" i="12"/>
  <c r="DZ40" i="12"/>
  <c r="EA40" i="12"/>
  <c r="EB40" i="12"/>
  <c r="EC40" i="12"/>
  <c r="ED40" i="12"/>
  <c r="EE40" i="12"/>
  <c r="EF40" i="12"/>
  <c r="EG40" i="12"/>
  <c r="EH40" i="12"/>
  <c r="EI40" i="12"/>
  <c r="EJ40" i="12"/>
  <c r="EK40" i="12"/>
  <c r="EL40" i="12"/>
  <c r="EM40" i="12"/>
  <c r="EN40" i="12"/>
  <c r="EO40" i="12"/>
  <c r="EP40" i="12"/>
  <c r="EQ40" i="12"/>
  <c r="ER40" i="12"/>
  <c r="ES40" i="12"/>
  <c r="ET40" i="12"/>
  <c r="EU40" i="12"/>
  <c r="EV40" i="12"/>
  <c r="EW40" i="12"/>
  <c r="EX40" i="12"/>
  <c r="EY40" i="12"/>
  <c r="EZ40" i="12"/>
  <c r="FA40" i="12"/>
  <c r="FB40" i="12"/>
  <c r="FC40" i="12"/>
  <c r="FD40" i="12"/>
  <c r="FE40" i="12"/>
  <c r="FF40" i="12"/>
  <c r="FG40" i="12"/>
  <c r="FH40" i="12"/>
  <c r="FI40" i="12"/>
  <c r="FJ40" i="12"/>
  <c r="FK40" i="12"/>
  <c r="FL40" i="12"/>
  <c r="FM40" i="12"/>
  <c r="FN40" i="12"/>
  <c r="FO40" i="12"/>
  <c r="FP40" i="12"/>
  <c r="FQ40" i="12"/>
  <c r="FR40" i="12"/>
  <c r="FS40" i="12"/>
  <c r="FT40" i="12"/>
  <c r="FU40" i="12"/>
  <c r="FV40" i="12"/>
  <c r="FW40" i="12"/>
  <c r="FX40" i="12"/>
  <c r="FY40" i="12"/>
  <c r="FZ40" i="12"/>
  <c r="GA40" i="12"/>
  <c r="GB40" i="12"/>
  <c r="GC40" i="12"/>
  <c r="GD40" i="12"/>
  <c r="GE40" i="12"/>
  <c r="GF40" i="12"/>
  <c r="GG40" i="12"/>
  <c r="GH40" i="12"/>
  <c r="GI40" i="12"/>
  <c r="GJ40" i="12"/>
  <c r="GK40" i="12"/>
  <c r="GL40" i="12"/>
  <c r="GM40" i="12"/>
  <c r="GN40" i="12"/>
  <c r="GO40" i="12"/>
  <c r="GP40" i="12"/>
  <c r="GQ40" i="12"/>
  <c r="GR40" i="12"/>
  <c r="GS40" i="12"/>
  <c r="GT40" i="12"/>
  <c r="GU40" i="12"/>
  <c r="GV40" i="12"/>
  <c r="GW40" i="12"/>
  <c r="GX40" i="12"/>
  <c r="GY40" i="12"/>
  <c r="GZ40" i="12"/>
  <c r="HA40" i="12"/>
  <c r="HB40" i="12"/>
  <c r="HC40" i="12"/>
  <c r="HD40" i="12"/>
  <c r="HE40" i="12"/>
  <c r="HF40" i="12"/>
  <c r="HG40" i="12"/>
  <c r="HH40" i="12"/>
  <c r="HI40" i="12"/>
  <c r="HJ40" i="12"/>
  <c r="HK40" i="12"/>
  <c r="HL40" i="12"/>
  <c r="HM40" i="12"/>
  <c r="HN40" i="12"/>
  <c r="HO40" i="12"/>
  <c r="HP40" i="12"/>
  <c r="HQ40" i="12"/>
  <c r="HR40" i="12"/>
  <c r="HS40" i="12"/>
  <c r="HT40" i="12"/>
  <c r="HU40" i="12"/>
  <c r="HV40" i="12"/>
  <c r="HW40" i="12"/>
  <c r="HX40" i="12"/>
  <c r="HY40" i="12"/>
  <c r="HZ40" i="12"/>
  <c r="IA40" i="12"/>
  <c r="IB40" i="12"/>
  <c r="IC40" i="12"/>
  <c r="ID40" i="12"/>
  <c r="IE40" i="12"/>
  <c r="IF40" i="12"/>
  <c r="IG40" i="12"/>
  <c r="IH40" i="12"/>
  <c r="II40" i="12"/>
  <c r="IJ40" i="12"/>
  <c r="IK40" i="12"/>
  <c r="IL40" i="12"/>
  <c r="IM40" i="12"/>
  <c r="IN40" i="12"/>
  <c r="IO40" i="12"/>
  <c r="IP40" i="12"/>
  <c r="IQ40" i="12"/>
  <c r="IR40" i="12"/>
  <c r="IS40" i="12"/>
  <c r="IT40" i="12"/>
  <c r="IU40" i="12"/>
  <c r="IV40" i="12"/>
  <c r="A39" i="12"/>
  <c r="B39" i="12"/>
  <c r="C39" i="12"/>
  <c r="D39" i="12"/>
  <c r="E39" i="12"/>
  <c r="F39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BC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P39" i="12"/>
  <c r="BQ39" i="12"/>
  <c r="BR39" i="12"/>
  <c r="BS39" i="12"/>
  <c r="BT39" i="12"/>
  <c r="BU39" i="12"/>
  <c r="BV39" i="12"/>
  <c r="BW39" i="12"/>
  <c r="BX39" i="12"/>
  <c r="BY39" i="12"/>
  <c r="BZ39" i="12"/>
  <c r="CA39" i="12"/>
  <c r="CB39" i="12"/>
  <c r="CC39" i="12"/>
  <c r="CD39" i="12"/>
  <c r="CE39" i="12"/>
  <c r="CF39" i="12"/>
  <c r="CG39" i="12"/>
  <c r="CH39" i="12"/>
  <c r="CI39" i="12"/>
  <c r="CJ39" i="12"/>
  <c r="CK39" i="12"/>
  <c r="CL39" i="12"/>
  <c r="CM39" i="12"/>
  <c r="CN39" i="12"/>
  <c r="CO39" i="12"/>
  <c r="CP39" i="12"/>
  <c r="CQ39" i="12"/>
  <c r="CR39" i="12"/>
  <c r="CS39" i="12"/>
  <c r="CT39" i="12"/>
  <c r="CU39" i="12"/>
  <c r="CV39" i="12"/>
  <c r="CW39" i="12"/>
  <c r="CX39" i="12"/>
  <c r="CY39" i="12"/>
  <c r="CZ39" i="12"/>
  <c r="DA39" i="12"/>
  <c r="DB39" i="12"/>
  <c r="DC39" i="12"/>
  <c r="DD39" i="12"/>
  <c r="DE39" i="12"/>
  <c r="DF39" i="12"/>
  <c r="DG39" i="12"/>
  <c r="DH39" i="12"/>
  <c r="DI39" i="12"/>
  <c r="DJ39" i="12"/>
  <c r="DK39" i="12"/>
  <c r="DL39" i="12"/>
  <c r="DM39" i="12"/>
  <c r="DN39" i="12"/>
  <c r="DO39" i="12"/>
  <c r="DP39" i="12"/>
  <c r="DQ39" i="12"/>
  <c r="DR39" i="12"/>
  <c r="DS39" i="12"/>
  <c r="DT39" i="12"/>
  <c r="DU39" i="12"/>
  <c r="DV39" i="12"/>
  <c r="DW39" i="12"/>
  <c r="DX39" i="12"/>
  <c r="DY39" i="12"/>
  <c r="DZ39" i="12"/>
  <c r="EA39" i="12"/>
  <c r="EB39" i="12"/>
  <c r="EC39" i="12"/>
  <c r="ED39" i="12"/>
  <c r="EE39" i="12"/>
  <c r="EF39" i="12"/>
  <c r="EG39" i="12"/>
  <c r="EH39" i="12"/>
  <c r="EI39" i="12"/>
  <c r="EJ39" i="12"/>
  <c r="EK39" i="12"/>
  <c r="EL39" i="12"/>
  <c r="EM39" i="12"/>
  <c r="EN39" i="12"/>
  <c r="EO39" i="12"/>
  <c r="EP39" i="12"/>
  <c r="EQ39" i="12"/>
  <c r="ER39" i="12"/>
  <c r="ES39" i="12"/>
  <c r="ET39" i="12"/>
  <c r="EU39" i="12"/>
  <c r="EV39" i="12"/>
  <c r="EW39" i="12"/>
  <c r="EX39" i="12"/>
  <c r="EY39" i="12"/>
  <c r="EZ39" i="12"/>
  <c r="FA39" i="12"/>
  <c r="FB39" i="12"/>
  <c r="FC39" i="12"/>
  <c r="FD39" i="12"/>
  <c r="FE39" i="12"/>
  <c r="FF39" i="12"/>
  <c r="FG39" i="12"/>
  <c r="FH39" i="12"/>
  <c r="FI39" i="12"/>
  <c r="FJ39" i="12"/>
  <c r="FK39" i="12"/>
  <c r="FL39" i="12"/>
  <c r="FM39" i="12"/>
  <c r="FN39" i="12"/>
  <c r="FO39" i="12"/>
  <c r="FP39" i="12"/>
  <c r="FQ39" i="12"/>
  <c r="FR39" i="12"/>
  <c r="FS39" i="12"/>
  <c r="FT39" i="12"/>
  <c r="FU39" i="12"/>
  <c r="FV39" i="12"/>
  <c r="FW39" i="12"/>
  <c r="FX39" i="12"/>
  <c r="FY39" i="12"/>
  <c r="FZ39" i="12"/>
  <c r="GA39" i="12"/>
  <c r="GB39" i="12"/>
  <c r="GC39" i="12"/>
  <c r="GD39" i="12"/>
  <c r="GE39" i="12"/>
  <c r="GF39" i="12"/>
  <c r="GG39" i="12"/>
  <c r="GH39" i="12"/>
  <c r="GI39" i="12"/>
  <c r="GJ39" i="12"/>
  <c r="GK39" i="12"/>
  <c r="GL39" i="12"/>
  <c r="GM39" i="12"/>
  <c r="GN39" i="12"/>
  <c r="GO39" i="12"/>
  <c r="GP39" i="12"/>
  <c r="GQ39" i="12"/>
  <c r="GR39" i="12"/>
  <c r="GS39" i="12"/>
  <c r="GT39" i="12"/>
  <c r="GU39" i="12"/>
  <c r="GV39" i="12"/>
  <c r="GW39" i="12"/>
  <c r="GX39" i="12"/>
  <c r="GY39" i="12"/>
  <c r="GZ39" i="12"/>
  <c r="HA39" i="12"/>
  <c r="HB39" i="12"/>
  <c r="HC39" i="12"/>
  <c r="HD39" i="12"/>
  <c r="HE39" i="12"/>
  <c r="HF39" i="12"/>
  <c r="HG39" i="12"/>
  <c r="HH39" i="12"/>
  <c r="HI39" i="12"/>
  <c r="HJ39" i="12"/>
  <c r="HK39" i="12"/>
  <c r="HL39" i="12"/>
  <c r="HM39" i="12"/>
  <c r="HN39" i="12"/>
  <c r="HO39" i="12"/>
  <c r="HP39" i="12"/>
  <c r="HQ39" i="12"/>
  <c r="HR39" i="12"/>
  <c r="HS39" i="12"/>
  <c r="HT39" i="12"/>
  <c r="HU39" i="12"/>
  <c r="HV39" i="12"/>
  <c r="HW39" i="12"/>
  <c r="HX39" i="12"/>
  <c r="HY39" i="12"/>
  <c r="HZ39" i="12"/>
  <c r="IA39" i="12"/>
  <c r="IB39" i="12"/>
  <c r="IC39" i="12"/>
  <c r="ID39" i="12"/>
  <c r="IE39" i="12"/>
  <c r="IF39" i="12"/>
  <c r="IG39" i="12"/>
  <c r="IH39" i="12"/>
  <c r="II39" i="12"/>
  <c r="IJ39" i="12"/>
  <c r="IK39" i="12"/>
  <c r="IL39" i="12"/>
  <c r="IM39" i="12"/>
  <c r="IN39" i="12"/>
  <c r="IO39" i="12"/>
  <c r="IP39" i="12"/>
  <c r="IQ39" i="12"/>
  <c r="IR39" i="12"/>
  <c r="IS39" i="12"/>
  <c r="IT39" i="12"/>
  <c r="IU39" i="12"/>
  <c r="IV39" i="12"/>
  <c r="A38" i="12"/>
  <c r="B38" i="12"/>
  <c r="C38" i="12"/>
  <c r="D38" i="12"/>
  <c r="E38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Z38" i="12"/>
  <c r="BA38" i="12"/>
  <c r="BB38" i="12"/>
  <c r="BC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P38" i="12"/>
  <c r="BQ38" i="12"/>
  <c r="BR38" i="12"/>
  <c r="BS38" i="12"/>
  <c r="BT38" i="12"/>
  <c r="BU38" i="12"/>
  <c r="BV38" i="12"/>
  <c r="BW38" i="12"/>
  <c r="BX38" i="12"/>
  <c r="BY38" i="12"/>
  <c r="BZ38" i="12"/>
  <c r="CA38" i="12"/>
  <c r="CB38" i="12"/>
  <c r="CC38" i="12"/>
  <c r="CD38" i="12"/>
  <c r="CE38" i="12"/>
  <c r="CF38" i="12"/>
  <c r="CG38" i="12"/>
  <c r="CH38" i="12"/>
  <c r="CI38" i="12"/>
  <c r="CJ38" i="12"/>
  <c r="CK38" i="12"/>
  <c r="CL38" i="12"/>
  <c r="CM38" i="12"/>
  <c r="CN38" i="12"/>
  <c r="CO38" i="12"/>
  <c r="CP38" i="12"/>
  <c r="CQ38" i="12"/>
  <c r="CR38" i="12"/>
  <c r="CS38" i="12"/>
  <c r="CT38" i="12"/>
  <c r="CU38" i="12"/>
  <c r="CV38" i="12"/>
  <c r="CW38" i="12"/>
  <c r="CX38" i="12"/>
  <c r="CY38" i="12"/>
  <c r="CZ38" i="12"/>
  <c r="DA38" i="12"/>
  <c r="DB38" i="12"/>
  <c r="DC38" i="12"/>
  <c r="DD38" i="12"/>
  <c r="DE38" i="12"/>
  <c r="DF38" i="12"/>
  <c r="DG38" i="12"/>
  <c r="DH38" i="12"/>
  <c r="DI38" i="12"/>
  <c r="DJ38" i="12"/>
  <c r="DK38" i="12"/>
  <c r="DL38" i="12"/>
  <c r="DM38" i="12"/>
  <c r="DN38" i="12"/>
  <c r="DO38" i="12"/>
  <c r="DP38" i="12"/>
  <c r="DQ38" i="12"/>
  <c r="DR38" i="12"/>
  <c r="DS38" i="12"/>
  <c r="DT38" i="12"/>
  <c r="DU38" i="12"/>
  <c r="DV38" i="12"/>
  <c r="DW38" i="12"/>
  <c r="DX38" i="12"/>
  <c r="DY38" i="12"/>
  <c r="DZ38" i="12"/>
  <c r="EA38" i="12"/>
  <c r="EB38" i="12"/>
  <c r="EC38" i="12"/>
  <c r="ED38" i="12"/>
  <c r="EE38" i="12"/>
  <c r="EF38" i="12"/>
  <c r="EG38" i="12"/>
  <c r="EH38" i="12"/>
  <c r="EI38" i="12"/>
  <c r="EJ38" i="12"/>
  <c r="EK38" i="12"/>
  <c r="EL38" i="12"/>
  <c r="EM38" i="12"/>
  <c r="EN38" i="12"/>
  <c r="EO38" i="12"/>
  <c r="EP38" i="12"/>
  <c r="EQ38" i="12"/>
  <c r="ER38" i="12"/>
  <c r="ES38" i="12"/>
  <c r="ET38" i="12"/>
  <c r="EU38" i="12"/>
  <c r="EV38" i="12"/>
  <c r="EW38" i="12"/>
  <c r="EX38" i="12"/>
  <c r="EY38" i="12"/>
  <c r="EZ38" i="12"/>
  <c r="FA38" i="12"/>
  <c r="FB38" i="12"/>
  <c r="FC38" i="12"/>
  <c r="FD38" i="12"/>
  <c r="FE38" i="12"/>
  <c r="FF38" i="12"/>
  <c r="FG38" i="12"/>
  <c r="FH38" i="12"/>
  <c r="FI38" i="12"/>
  <c r="FJ38" i="12"/>
  <c r="FK38" i="12"/>
  <c r="FL38" i="12"/>
  <c r="FM38" i="12"/>
  <c r="FN38" i="12"/>
  <c r="FO38" i="12"/>
  <c r="FP38" i="12"/>
  <c r="FQ38" i="12"/>
  <c r="FR38" i="12"/>
  <c r="FS38" i="12"/>
  <c r="FT38" i="12"/>
  <c r="FU38" i="12"/>
  <c r="FV38" i="12"/>
  <c r="FW38" i="12"/>
  <c r="FX38" i="12"/>
  <c r="FY38" i="12"/>
  <c r="FZ38" i="12"/>
  <c r="GA38" i="12"/>
  <c r="GB38" i="12"/>
  <c r="GC38" i="12"/>
  <c r="GD38" i="12"/>
  <c r="GE38" i="12"/>
  <c r="GF38" i="12"/>
  <c r="GG38" i="12"/>
  <c r="GH38" i="12"/>
  <c r="GI38" i="12"/>
  <c r="GJ38" i="12"/>
  <c r="GK38" i="12"/>
  <c r="GL38" i="12"/>
  <c r="GM38" i="12"/>
  <c r="GN38" i="12"/>
  <c r="GO38" i="12"/>
  <c r="GP38" i="12"/>
  <c r="GQ38" i="12"/>
  <c r="GR38" i="12"/>
  <c r="GS38" i="12"/>
  <c r="GT38" i="12"/>
  <c r="GU38" i="12"/>
  <c r="GV38" i="12"/>
  <c r="GW38" i="12"/>
  <c r="GX38" i="12"/>
  <c r="GY38" i="12"/>
  <c r="GZ38" i="12"/>
  <c r="HA38" i="12"/>
  <c r="HB38" i="12"/>
  <c r="HC38" i="12"/>
  <c r="HD38" i="12"/>
  <c r="HE38" i="12"/>
  <c r="HF38" i="12"/>
  <c r="HG38" i="12"/>
  <c r="HH38" i="12"/>
  <c r="HI38" i="12"/>
  <c r="HJ38" i="12"/>
  <c r="HK38" i="12"/>
  <c r="HL38" i="12"/>
  <c r="HM38" i="12"/>
  <c r="HN38" i="12"/>
  <c r="HO38" i="12"/>
  <c r="HP38" i="12"/>
  <c r="HQ38" i="12"/>
  <c r="HR38" i="12"/>
  <c r="HS38" i="12"/>
  <c r="HT38" i="12"/>
  <c r="HU38" i="12"/>
  <c r="HV38" i="12"/>
  <c r="HW38" i="12"/>
  <c r="HX38" i="12"/>
  <c r="HY38" i="12"/>
  <c r="HZ38" i="12"/>
  <c r="IA38" i="12"/>
  <c r="IB38" i="12"/>
  <c r="IC38" i="12"/>
  <c r="ID38" i="12"/>
  <c r="IE38" i="12"/>
  <c r="IF38" i="12"/>
  <c r="IG38" i="12"/>
  <c r="IH38" i="12"/>
  <c r="II38" i="12"/>
  <c r="IJ38" i="12"/>
  <c r="IK38" i="12"/>
  <c r="IL38" i="12"/>
  <c r="IM38" i="12"/>
  <c r="IN38" i="12"/>
  <c r="IO38" i="12"/>
  <c r="IP38" i="12"/>
  <c r="IQ38" i="12"/>
  <c r="IR38" i="12"/>
  <c r="IS38" i="12"/>
  <c r="IT38" i="12"/>
  <c r="IU38" i="12"/>
  <c r="IV38" i="12"/>
  <c r="A37" i="12"/>
  <c r="B37" i="12"/>
  <c r="C37" i="12"/>
  <c r="D37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BC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BS37" i="12"/>
  <c r="BT37" i="12"/>
  <c r="BU37" i="12"/>
  <c r="BV37" i="12"/>
  <c r="BW37" i="12"/>
  <c r="BX37" i="12"/>
  <c r="BY37" i="12"/>
  <c r="BZ37" i="12"/>
  <c r="CA37" i="12"/>
  <c r="CB37" i="12"/>
  <c r="CC37" i="12"/>
  <c r="CD37" i="12"/>
  <c r="CE37" i="12"/>
  <c r="CF37" i="12"/>
  <c r="CG37" i="12"/>
  <c r="CH37" i="12"/>
  <c r="CI37" i="12"/>
  <c r="CJ37" i="12"/>
  <c r="CK37" i="12"/>
  <c r="CL37" i="12"/>
  <c r="CM37" i="12"/>
  <c r="CN37" i="12"/>
  <c r="CO37" i="12"/>
  <c r="CP37" i="12"/>
  <c r="CQ37" i="12"/>
  <c r="CR37" i="12"/>
  <c r="CS37" i="12"/>
  <c r="CT37" i="12"/>
  <c r="CU37" i="12"/>
  <c r="CV37" i="12"/>
  <c r="CW37" i="12"/>
  <c r="CX37" i="12"/>
  <c r="CY37" i="12"/>
  <c r="CZ37" i="12"/>
  <c r="DA37" i="12"/>
  <c r="DB37" i="12"/>
  <c r="DC37" i="12"/>
  <c r="DD37" i="12"/>
  <c r="DE37" i="12"/>
  <c r="DF37" i="12"/>
  <c r="DG37" i="12"/>
  <c r="DH37" i="12"/>
  <c r="DI37" i="12"/>
  <c r="DJ37" i="12"/>
  <c r="DK37" i="12"/>
  <c r="DL37" i="12"/>
  <c r="DM37" i="12"/>
  <c r="DN37" i="12"/>
  <c r="DO37" i="12"/>
  <c r="DP37" i="12"/>
  <c r="DQ37" i="12"/>
  <c r="DR37" i="12"/>
  <c r="DS37" i="12"/>
  <c r="DT37" i="12"/>
  <c r="DU37" i="12"/>
  <c r="DV37" i="12"/>
  <c r="DW37" i="12"/>
  <c r="DX37" i="12"/>
  <c r="DY37" i="12"/>
  <c r="DZ37" i="12"/>
  <c r="EA37" i="12"/>
  <c r="EB37" i="12"/>
  <c r="EC37" i="12"/>
  <c r="ED37" i="12"/>
  <c r="EE37" i="12"/>
  <c r="EF37" i="12"/>
  <c r="EG37" i="12"/>
  <c r="EH37" i="12"/>
  <c r="EI37" i="12"/>
  <c r="EJ37" i="12"/>
  <c r="EK37" i="12"/>
  <c r="EL37" i="12"/>
  <c r="EM37" i="12"/>
  <c r="EN37" i="12"/>
  <c r="EO37" i="12"/>
  <c r="EP37" i="12"/>
  <c r="EQ37" i="12"/>
  <c r="ER37" i="12"/>
  <c r="ES37" i="12"/>
  <c r="ET37" i="12"/>
  <c r="EU37" i="12"/>
  <c r="EV37" i="12"/>
  <c r="EW37" i="12"/>
  <c r="EX37" i="12"/>
  <c r="EY37" i="12"/>
  <c r="EZ37" i="12"/>
  <c r="FA37" i="12"/>
  <c r="FB37" i="12"/>
  <c r="FC37" i="12"/>
  <c r="FD37" i="12"/>
  <c r="FE37" i="12"/>
  <c r="FF37" i="12"/>
  <c r="FG37" i="12"/>
  <c r="FH37" i="12"/>
  <c r="FI37" i="12"/>
  <c r="FJ37" i="12"/>
  <c r="FK37" i="12"/>
  <c r="FL37" i="12"/>
  <c r="FM37" i="12"/>
  <c r="FN37" i="12"/>
  <c r="FO37" i="12"/>
  <c r="FP37" i="12"/>
  <c r="FQ37" i="12"/>
  <c r="FR37" i="12"/>
  <c r="FS37" i="12"/>
  <c r="FT37" i="12"/>
  <c r="FU37" i="12"/>
  <c r="FV37" i="12"/>
  <c r="FW37" i="12"/>
  <c r="FX37" i="12"/>
  <c r="FY37" i="12"/>
  <c r="FZ37" i="12"/>
  <c r="GA37" i="12"/>
  <c r="GB37" i="12"/>
  <c r="GC37" i="12"/>
  <c r="GD37" i="12"/>
  <c r="GE37" i="12"/>
  <c r="GF37" i="12"/>
  <c r="GG37" i="12"/>
  <c r="GH37" i="12"/>
  <c r="GI37" i="12"/>
  <c r="GJ37" i="12"/>
  <c r="GK37" i="12"/>
  <c r="GL37" i="12"/>
  <c r="GM37" i="12"/>
  <c r="GN37" i="12"/>
  <c r="GO37" i="12"/>
  <c r="GP37" i="12"/>
  <c r="GQ37" i="12"/>
  <c r="GR37" i="12"/>
  <c r="GS37" i="12"/>
  <c r="GT37" i="12"/>
  <c r="GU37" i="12"/>
  <c r="GV37" i="12"/>
  <c r="GW37" i="12"/>
  <c r="GX37" i="12"/>
  <c r="GY37" i="12"/>
  <c r="GZ37" i="12"/>
  <c r="HA37" i="12"/>
  <c r="HB37" i="12"/>
  <c r="HC37" i="12"/>
  <c r="HD37" i="12"/>
  <c r="HE37" i="12"/>
  <c r="HF37" i="12"/>
  <c r="HG37" i="12"/>
  <c r="HH37" i="12"/>
  <c r="HI37" i="12"/>
  <c r="HJ37" i="12"/>
  <c r="HK37" i="12"/>
  <c r="HL37" i="12"/>
  <c r="HM37" i="12"/>
  <c r="HN37" i="12"/>
  <c r="HO37" i="12"/>
  <c r="HP37" i="12"/>
  <c r="HQ37" i="12"/>
  <c r="HR37" i="12"/>
  <c r="HS37" i="12"/>
  <c r="HT37" i="12"/>
  <c r="HU37" i="12"/>
  <c r="HV37" i="12"/>
  <c r="HW37" i="12"/>
  <c r="HX37" i="12"/>
  <c r="HY37" i="12"/>
  <c r="HZ37" i="12"/>
  <c r="IA37" i="12"/>
  <c r="IB37" i="12"/>
  <c r="IC37" i="12"/>
  <c r="ID37" i="12"/>
  <c r="IE37" i="12"/>
  <c r="IF37" i="12"/>
  <c r="IG37" i="12"/>
  <c r="IH37" i="12"/>
  <c r="II37" i="12"/>
  <c r="IJ37" i="12"/>
  <c r="IK37" i="12"/>
  <c r="IL37" i="12"/>
  <c r="IM37" i="12"/>
  <c r="IN37" i="12"/>
  <c r="IO37" i="12"/>
  <c r="IP37" i="12"/>
  <c r="IQ37" i="12"/>
  <c r="IR37" i="12"/>
  <c r="IS37" i="12"/>
  <c r="IT37" i="12"/>
  <c r="IU37" i="12"/>
  <c r="IV37" i="12"/>
  <c r="A36" i="12"/>
  <c r="B36" i="12"/>
  <c r="C36" i="12"/>
  <c r="D36" i="12"/>
  <c r="E36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BS36" i="12"/>
  <c r="BT36" i="12"/>
  <c r="BU36" i="12"/>
  <c r="BV36" i="12"/>
  <c r="BW36" i="12"/>
  <c r="BX36" i="12"/>
  <c r="BY36" i="12"/>
  <c r="BZ36" i="12"/>
  <c r="CA36" i="12"/>
  <c r="CB36" i="12"/>
  <c r="CC36" i="12"/>
  <c r="CD36" i="12"/>
  <c r="CE36" i="12"/>
  <c r="CF36" i="12"/>
  <c r="CG36" i="12"/>
  <c r="CH36" i="12"/>
  <c r="CI36" i="12"/>
  <c r="CJ36" i="12"/>
  <c r="CK36" i="12"/>
  <c r="CL36" i="12"/>
  <c r="CM36" i="12"/>
  <c r="CN36" i="12"/>
  <c r="CO36" i="12"/>
  <c r="CP36" i="12"/>
  <c r="CQ36" i="12"/>
  <c r="CR36" i="12"/>
  <c r="CS36" i="12"/>
  <c r="CT36" i="12"/>
  <c r="CU36" i="12"/>
  <c r="CV36" i="12"/>
  <c r="CW36" i="12"/>
  <c r="CX36" i="12"/>
  <c r="CY36" i="12"/>
  <c r="CZ36" i="12"/>
  <c r="DA36" i="12"/>
  <c r="DB36" i="12"/>
  <c r="DC36" i="12"/>
  <c r="DD36" i="12"/>
  <c r="DE36" i="12"/>
  <c r="DF36" i="12"/>
  <c r="DG36" i="12"/>
  <c r="DH36" i="12"/>
  <c r="DI36" i="12"/>
  <c r="DJ36" i="12"/>
  <c r="DK36" i="12"/>
  <c r="DL36" i="12"/>
  <c r="DM36" i="12"/>
  <c r="DN36" i="12"/>
  <c r="DO36" i="12"/>
  <c r="DP36" i="12"/>
  <c r="DQ36" i="12"/>
  <c r="DR36" i="12"/>
  <c r="DS36" i="12"/>
  <c r="DT36" i="12"/>
  <c r="DU36" i="12"/>
  <c r="DV36" i="12"/>
  <c r="DW36" i="12"/>
  <c r="DX36" i="12"/>
  <c r="DY36" i="12"/>
  <c r="DZ36" i="12"/>
  <c r="EA36" i="12"/>
  <c r="EB36" i="12"/>
  <c r="EC36" i="12"/>
  <c r="ED36" i="12"/>
  <c r="EE36" i="12"/>
  <c r="EF36" i="12"/>
  <c r="EG36" i="12"/>
  <c r="EH36" i="12"/>
  <c r="EI36" i="12"/>
  <c r="EJ36" i="12"/>
  <c r="EK36" i="12"/>
  <c r="EL36" i="12"/>
  <c r="EM36" i="12"/>
  <c r="EN36" i="12"/>
  <c r="EO36" i="12"/>
  <c r="EP36" i="12"/>
  <c r="EQ36" i="12"/>
  <c r="ER36" i="12"/>
  <c r="ES36" i="12"/>
  <c r="ET36" i="12"/>
  <c r="EU36" i="12"/>
  <c r="EV36" i="12"/>
  <c r="EW36" i="12"/>
  <c r="EX36" i="12"/>
  <c r="EY36" i="12"/>
  <c r="EZ36" i="12"/>
  <c r="FA36" i="12"/>
  <c r="FB36" i="12"/>
  <c r="FC36" i="12"/>
  <c r="FD36" i="12"/>
  <c r="FE36" i="12"/>
  <c r="FF36" i="12"/>
  <c r="FG36" i="12"/>
  <c r="FH36" i="12"/>
  <c r="FI36" i="12"/>
  <c r="FJ36" i="12"/>
  <c r="FK36" i="12"/>
  <c r="FL36" i="12"/>
  <c r="FM36" i="12"/>
  <c r="FN36" i="12"/>
  <c r="FO36" i="12"/>
  <c r="FP36" i="12"/>
  <c r="FQ36" i="12"/>
  <c r="FR36" i="12"/>
  <c r="FS36" i="12"/>
  <c r="FT36" i="12"/>
  <c r="FU36" i="12"/>
  <c r="FV36" i="12"/>
  <c r="FW36" i="12"/>
  <c r="FX36" i="12"/>
  <c r="FY36" i="12"/>
  <c r="FZ36" i="12"/>
  <c r="GA36" i="12"/>
  <c r="GB36" i="12"/>
  <c r="GC36" i="12"/>
  <c r="GD36" i="12"/>
  <c r="GE36" i="12"/>
  <c r="GF36" i="12"/>
  <c r="GG36" i="12"/>
  <c r="GH36" i="12"/>
  <c r="GI36" i="12"/>
  <c r="GJ36" i="12"/>
  <c r="GK36" i="12"/>
  <c r="GL36" i="12"/>
  <c r="GM36" i="12"/>
  <c r="GN36" i="12"/>
  <c r="GO36" i="12"/>
  <c r="GP36" i="12"/>
  <c r="GQ36" i="12"/>
  <c r="GR36" i="12"/>
  <c r="GS36" i="12"/>
  <c r="GT36" i="12"/>
  <c r="GU36" i="12"/>
  <c r="GV36" i="12"/>
  <c r="GW36" i="12"/>
  <c r="GX36" i="12"/>
  <c r="GY36" i="12"/>
  <c r="GZ36" i="12"/>
  <c r="HA36" i="12"/>
  <c r="HB36" i="12"/>
  <c r="HC36" i="12"/>
  <c r="HD36" i="12"/>
  <c r="HE36" i="12"/>
  <c r="HF36" i="12"/>
  <c r="HG36" i="12"/>
  <c r="HH36" i="12"/>
  <c r="HI36" i="12"/>
  <c r="HJ36" i="12"/>
  <c r="HK36" i="12"/>
  <c r="HL36" i="12"/>
  <c r="HM36" i="12"/>
  <c r="HN36" i="12"/>
  <c r="HO36" i="12"/>
  <c r="HP36" i="12"/>
  <c r="HQ36" i="12"/>
  <c r="HR36" i="12"/>
  <c r="HS36" i="12"/>
  <c r="HT36" i="12"/>
  <c r="HU36" i="12"/>
  <c r="HV36" i="12"/>
  <c r="HW36" i="12"/>
  <c r="HX36" i="12"/>
  <c r="HY36" i="12"/>
  <c r="HZ36" i="12"/>
  <c r="IA36" i="12"/>
  <c r="IB36" i="12"/>
  <c r="IC36" i="12"/>
  <c r="ID36" i="12"/>
  <c r="IE36" i="12"/>
  <c r="IF36" i="12"/>
  <c r="IG36" i="12"/>
  <c r="IH36" i="12"/>
  <c r="II36" i="12"/>
  <c r="IJ36" i="12"/>
  <c r="IK36" i="12"/>
  <c r="IL36" i="12"/>
  <c r="IM36" i="12"/>
  <c r="IN36" i="12"/>
  <c r="IO36" i="12"/>
  <c r="IP36" i="12"/>
  <c r="IQ36" i="12"/>
  <c r="IR36" i="12"/>
  <c r="IS36" i="12"/>
  <c r="IT36" i="12"/>
  <c r="IU36" i="12"/>
  <c r="IV36" i="12"/>
  <c r="A35" i="12"/>
  <c r="B35" i="12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BC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Y35" i="12"/>
  <c r="BZ35" i="12"/>
  <c r="CA35" i="12"/>
  <c r="CB35" i="12"/>
  <c r="CC35" i="12"/>
  <c r="CD35" i="12"/>
  <c r="CE35" i="12"/>
  <c r="CF35" i="12"/>
  <c r="CG35" i="12"/>
  <c r="CH35" i="12"/>
  <c r="CI35" i="12"/>
  <c r="CJ35" i="12"/>
  <c r="CK35" i="12"/>
  <c r="CL35" i="12"/>
  <c r="CM35" i="12"/>
  <c r="CN35" i="12"/>
  <c r="CO35" i="12"/>
  <c r="CP35" i="12"/>
  <c r="CQ35" i="12"/>
  <c r="CR35" i="12"/>
  <c r="CS35" i="12"/>
  <c r="CT35" i="12"/>
  <c r="CU35" i="12"/>
  <c r="CV35" i="12"/>
  <c r="CW35" i="12"/>
  <c r="CX35" i="12"/>
  <c r="CY35" i="12"/>
  <c r="CZ35" i="12"/>
  <c r="DA35" i="12"/>
  <c r="DB35" i="12"/>
  <c r="DC35" i="12"/>
  <c r="DD35" i="12"/>
  <c r="DE35" i="12"/>
  <c r="DF35" i="12"/>
  <c r="DG35" i="12"/>
  <c r="DH35" i="12"/>
  <c r="DI35" i="12"/>
  <c r="DJ35" i="12"/>
  <c r="DK35" i="12"/>
  <c r="DL35" i="12"/>
  <c r="DM35" i="12"/>
  <c r="DN35" i="12"/>
  <c r="DO35" i="12"/>
  <c r="DP35" i="12"/>
  <c r="DQ35" i="12"/>
  <c r="DR35" i="12"/>
  <c r="DS35" i="12"/>
  <c r="DT35" i="12"/>
  <c r="DU35" i="12"/>
  <c r="DV35" i="12"/>
  <c r="DW35" i="12"/>
  <c r="DX35" i="12"/>
  <c r="DY35" i="12"/>
  <c r="DZ35" i="12"/>
  <c r="EA35" i="12"/>
  <c r="EB35" i="12"/>
  <c r="EC35" i="12"/>
  <c r="ED35" i="12"/>
  <c r="EE35" i="12"/>
  <c r="EF35" i="12"/>
  <c r="EG35" i="12"/>
  <c r="EH35" i="12"/>
  <c r="EI35" i="12"/>
  <c r="EJ35" i="12"/>
  <c r="EK35" i="12"/>
  <c r="EL35" i="12"/>
  <c r="EM35" i="12"/>
  <c r="EN35" i="12"/>
  <c r="EO35" i="12"/>
  <c r="EP35" i="12"/>
  <c r="EQ35" i="12"/>
  <c r="ER35" i="12"/>
  <c r="ES35" i="12"/>
  <c r="ET35" i="12"/>
  <c r="EU35" i="12"/>
  <c r="EV35" i="12"/>
  <c r="EW35" i="12"/>
  <c r="EX35" i="12"/>
  <c r="EY35" i="12"/>
  <c r="EZ35" i="12"/>
  <c r="FA35" i="12"/>
  <c r="FB35" i="12"/>
  <c r="FC35" i="12"/>
  <c r="FD35" i="12"/>
  <c r="FE35" i="12"/>
  <c r="FF35" i="12"/>
  <c r="FG35" i="12"/>
  <c r="FH35" i="12"/>
  <c r="FI35" i="12"/>
  <c r="FJ35" i="12"/>
  <c r="FK35" i="12"/>
  <c r="FL35" i="12"/>
  <c r="FM35" i="12"/>
  <c r="FN35" i="12"/>
  <c r="FO35" i="12"/>
  <c r="FP35" i="12"/>
  <c r="FQ35" i="12"/>
  <c r="FR35" i="12"/>
  <c r="FS35" i="12"/>
  <c r="FT35" i="12"/>
  <c r="FU35" i="12"/>
  <c r="FV35" i="12"/>
  <c r="FW35" i="12"/>
  <c r="FX35" i="12"/>
  <c r="FY35" i="12"/>
  <c r="FZ35" i="12"/>
  <c r="GA35" i="12"/>
  <c r="GB35" i="12"/>
  <c r="GC35" i="12"/>
  <c r="GD35" i="12"/>
  <c r="GE35" i="12"/>
  <c r="GF35" i="12"/>
  <c r="GG35" i="12"/>
  <c r="GH35" i="12"/>
  <c r="GI35" i="12"/>
  <c r="GJ35" i="12"/>
  <c r="GK35" i="12"/>
  <c r="GL35" i="12"/>
  <c r="GM35" i="12"/>
  <c r="GN35" i="12"/>
  <c r="GO35" i="12"/>
  <c r="GP35" i="12"/>
  <c r="GQ35" i="12"/>
  <c r="GR35" i="12"/>
  <c r="GS35" i="12"/>
  <c r="GT35" i="12"/>
  <c r="GU35" i="12"/>
  <c r="GV35" i="12"/>
  <c r="GW35" i="12"/>
  <c r="GX35" i="12"/>
  <c r="GY35" i="12"/>
  <c r="GZ35" i="12"/>
  <c r="HA35" i="12"/>
  <c r="HB35" i="12"/>
  <c r="HC35" i="12"/>
  <c r="HD35" i="12"/>
  <c r="HE35" i="12"/>
  <c r="HF35" i="12"/>
  <c r="HG35" i="12"/>
  <c r="HH35" i="12"/>
  <c r="HI35" i="12"/>
  <c r="HJ35" i="12"/>
  <c r="HK35" i="12"/>
  <c r="HL35" i="12"/>
  <c r="HM35" i="12"/>
  <c r="HN35" i="12"/>
  <c r="HO35" i="12"/>
  <c r="HP35" i="12"/>
  <c r="HQ35" i="12"/>
  <c r="HR35" i="12"/>
  <c r="HS35" i="12"/>
  <c r="HT35" i="12"/>
  <c r="HU35" i="12"/>
  <c r="HV35" i="12"/>
  <c r="HW35" i="12"/>
  <c r="HX35" i="12"/>
  <c r="HY35" i="12"/>
  <c r="HZ35" i="12"/>
  <c r="IA35" i="12"/>
  <c r="IB35" i="12"/>
  <c r="IC35" i="12"/>
  <c r="ID35" i="12"/>
  <c r="IE35" i="12"/>
  <c r="IF35" i="12"/>
  <c r="IG35" i="12"/>
  <c r="IH35" i="12"/>
  <c r="II35" i="12"/>
  <c r="IJ35" i="12"/>
  <c r="IK35" i="12"/>
  <c r="IL35" i="12"/>
  <c r="IM35" i="12"/>
  <c r="IN35" i="12"/>
  <c r="IO35" i="12"/>
  <c r="IP35" i="12"/>
  <c r="IQ35" i="12"/>
  <c r="IR35" i="12"/>
  <c r="IS35" i="12"/>
  <c r="IT35" i="12"/>
  <c r="IU35" i="12"/>
  <c r="IV35" i="12"/>
  <c r="A34" i="12"/>
  <c r="B34" i="12"/>
  <c r="C34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BS34" i="12"/>
  <c r="BT34" i="12"/>
  <c r="BU34" i="12"/>
  <c r="BV34" i="12"/>
  <c r="BW34" i="12"/>
  <c r="BX34" i="12"/>
  <c r="BY34" i="12"/>
  <c r="BZ34" i="12"/>
  <c r="CA34" i="12"/>
  <c r="CB34" i="12"/>
  <c r="CC34" i="12"/>
  <c r="CD34" i="12"/>
  <c r="CE34" i="12"/>
  <c r="CF34" i="12"/>
  <c r="CG34" i="12"/>
  <c r="CH34" i="12"/>
  <c r="CI34" i="12"/>
  <c r="CJ34" i="12"/>
  <c r="CK34" i="12"/>
  <c r="CL34" i="12"/>
  <c r="CM34" i="12"/>
  <c r="CN34" i="12"/>
  <c r="CO34" i="12"/>
  <c r="CP34" i="12"/>
  <c r="CQ34" i="12"/>
  <c r="CR34" i="12"/>
  <c r="CS34" i="12"/>
  <c r="CT34" i="12"/>
  <c r="CU34" i="12"/>
  <c r="CV34" i="12"/>
  <c r="CW34" i="12"/>
  <c r="CX34" i="12"/>
  <c r="CY34" i="12"/>
  <c r="CZ34" i="12"/>
  <c r="DA34" i="12"/>
  <c r="DB34" i="12"/>
  <c r="DC34" i="12"/>
  <c r="DD34" i="12"/>
  <c r="DE34" i="12"/>
  <c r="DF34" i="12"/>
  <c r="DG34" i="12"/>
  <c r="DH34" i="12"/>
  <c r="DI34" i="12"/>
  <c r="DJ34" i="12"/>
  <c r="DK34" i="12"/>
  <c r="DL34" i="12"/>
  <c r="DM34" i="12"/>
  <c r="DN34" i="12"/>
  <c r="DO34" i="12"/>
  <c r="DP34" i="12"/>
  <c r="DQ34" i="12"/>
  <c r="DR34" i="12"/>
  <c r="DS34" i="12"/>
  <c r="DT34" i="12"/>
  <c r="DU34" i="12"/>
  <c r="DV34" i="12"/>
  <c r="DW34" i="12"/>
  <c r="DX34" i="12"/>
  <c r="DY34" i="12"/>
  <c r="DZ34" i="12"/>
  <c r="EA34" i="12"/>
  <c r="EB34" i="12"/>
  <c r="EC34" i="12"/>
  <c r="ED34" i="12"/>
  <c r="EE34" i="12"/>
  <c r="EF34" i="12"/>
  <c r="EG34" i="12"/>
  <c r="EH34" i="12"/>
  <c r="EI34" i="12"/>
  <c r="EJ34" i="12"/>
  <c r="EK34" i="12"/>
  <c r="EL34" i="12"/>
  <c r="EM34" i="12"/>
  <c r="EN34" i="12"/>
  <c r="EO34" i="12"/>
  <c r="EP34" i="12"/>
  <c r="EQ34" i="12"/>
  <c r="ER34" i="12"/>
  <c r="ES34" i="12"/>
  <c r="ET34" i="12"/>
  <c r="EU34" i="12"/>
  <c r="EV34" i="12"/>
  <c r="EW34" i="12"/>
  <c r="EX34" i="12"/>
  <c r="EY34" i="12"/>
  <c r="EZ34" i="12"/>
  <c r="FA34" i="12"/>
  <c r="FB34" i="12"/>
  <c r="FC34" i="12"/>
  <c r="FD34" i="12"/>
  <c r="FE34" i="12"/>
  <c r="FF34" i="12"/>
  <c r="FG34" i="12"/>
  <c r="FH34" i="12"/>
  <c r="FI34" i="12"/>
  <c r="FJ34" i="12"/>
  <c r="FK34" i="12"/>
  <c r="FL34" i="12"/>
  <c r="FM34" i="12"/>
  <c r="FN34" i="12"/>
  <c r="FO34" i="12"/>
  <c r="FP34" i="12"/>
  <c r="FQ34" i="12"/>
  <c r="FR34" i="12"/>
  <c r="FS34" i="12"/>
  <c r="FT34" i="12"/>
  <c r="FU34" i="12"/>
  <c r="FV34" i="12"/>
  <c r="FW34" i="12"/>
  <c r="FX34" i="12"/>
  <c r="FY34" i="12"/>
  <c r="FZ34" i="12"/>
  <c r="GA34" i="12"/>
  <c r="GB34" i="12"/>
  <c r="GC34" i="12"/>
  <c r="GD34" i="12"/>
  <c r="GE34" i="12"/>
  <c r="GF34" i="12"/>
  <c r="GG34" i="12"/>
  <c r="GH34" i="12"/>
  <c r="GI34" i="12"/>
  <c r="GJ34" i="12"/>
  <c r="GK34" i="12"/>
  <c r="GL34" i="12"/>
  <c r="GM34" i="12"/>
  <c r="GN34" i="12"/>
  <c r="GO34" i="12"/>
  <c r="GP34" i="12"/>
  <c r="GQ34" i="12"/>
  <c r="GR34" i="12"/>
  <c r="GS34" i="12"/>
  <c r="GT34" i="12"/>
  <c r="GU34" i="12"/>
  <c r="GV34" i="12"/>
  <c r="GW34" i="12"/>
  <c r="GX34" i="12"/>
  <c r="GY34" i="12"/>
  <c r="GZ34" i="12"/>
  <c r="HA34" i="12"/>
  <c r="HB34" i="12"/>
  <c r="HC34" i="12"/>
  <c r="HD34" i="12"/>
  <c r="HE34" i="12"/>
  <c r="HF34" i="12"/>
  <c r="HG34" i="12"/>
  <c r="HH34" i="12"/>
  <c r="HI34" i="12"/>
  <c r="HJ34" i="12"/>
  <c r="HK34" i="12"/>
  <c r="HL34" i="12"/>
  <c r="HM34" i="12"/>
  <c r="HN34" i="12"/>
  <c r="HO34" i="12"/>
  <c r="HP34" i="12"/>
  <c r="HQ34" i="12"/>
  <c r="HR34" i="12"/>
  <c r="HS34" i="12"/>
  <c r="HT34" i="12"/>
  <c r="HU34" i="12"/>
  <c r="HV34" i="12"/>
  <c r="HW34" i="12"/>
  <c r="HX34" i="12"/>
  <c r="HY34" i="12"/>
  <c r="HZ34" i="12"/>
  <c r="IA34" i="12"/>
  <c r="IB34" i="12"/>
  <c r="IC34" i="12"/>
  <c r="ID34" i="12"/>
  <c r="IE34" i="12"/>
  <c r="IF34" i="12"/>
  <c r="IG34" i="12"/>
  <c r="IH34" i="12"/>
  <c r="II34" i="12"/>
  <c r="IJ34" i="12"/>
  <c r="IK34" i="12"/>
  <c r="IL34" i="12"/>
  <c r="IM34" i="12"/>
  <c r="IN34" i="12"/>
  <c r="IO34" i="12"/>
  <c r="IP34" i="12"/>
  <c r="IQ34" i="12"/>
  <c r="IR34" i="12"/>
  <c r="IS34" i="12"/>
  <c r="IT34" i="12"/>
  <c r="IU34" i="12"/>
  <c r="IV34" i="12"/>
  <c r="A33" i="12"/>
  <c r="B33" i="12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CO33" i="12"/>
  <c r="CP33" i="12"/>
  <c r="CQ33" i="12"/>
  <c r="CR33" i="12"/>
  <c r="CS33" i="12"/>
  <c r="CT33" i="12"/>
  <c r="CU33" i="12"/>
  <c r="CV33" i="12"/>
  <c r="CW33" i="12"/>
  <c r="CX33" i="12"/>
  <c r="CY33" i="12"/>
  <c r="CZ33" i="12"/>
  <c r="DA33" i="12"/>
  <c r="DB33" i="12"/>
  <c r="DC33" i="12"/>
  <c r="DD33" i="12"/>
  <c r="DE33" i="12"/>
  <c r="DF33" i="12"/>
  <c r="DG33" i="12"/>
  <c r="DH33" i="12"/>
  <c r="DI33" i="12"/>
  <c r="DJ33" i="12"/>
  <c r="DK33" i="12"/>
  <c r="DL33" i="12"/>
  <c r="DM33" i="12"/>
  <c r="DN33" i="12"/>
  <c r="DO33" i="12"/>
  <c r="DP33" i="12"/>
  <c r="DQ33" i="12"/>
  <c r="DR33" i="12"/>
  <c r="DS33" i="12"/>
  <c r="DT33" i="12"/>
  <c r="DU33" i="12"/>
  <c r="DV33" i="12"/>
  <c r="DW33" i="12"/>
  <c r="DX33" i="12"/>
  <c r="DY33" i="12"/>
  <c r="DZ33" i="12"/>
  <c r="EA33" i="12"/>
  <c r="EB33" i="12"/>
  <c r="EC33" i="12"/>
  <c r="ED33" i="12"/>
  <c r="EE33" i="12"/>
  <c r="EF33" i="12"/>
  <c r="EG33" i="12"/>
  <c r="EH33" i="12"/>
  <c r="EI33" i="12"/>
  <c r="EJ33" i="12"/>
  <c r="EK33" i="12"/>
  <c r="EL33" i="12"/>
  <c r="EM33" i="12"/>
  <c r="EN33" i="12"/>
  <c r="EO33" i="12"/>
  <c r="EP33" i="12"/>
  <c r="EQ33" i="12"/>
  <c r="ER33" i="12"/>
  <c r="ES33" i="12"/>
  <c r="ET33" i="12"/>
  <c r="EU33" i="12"/>
  <c r="EV33" i="12"/>
  <c r="EW33" i="12"/>
  <c r="EX33" i="12"/>
  <c r="EY33" i="12"/>
  <c r="EZ33" i="12"/>
  <c r="FA33" i="12"/>
  <c r="FB33" i="12"/>
  <c r="FC33" i="12"/>
  <c r="FD33" i="12"/>
  <c r="FE33" i="12"/>
  <c r="FF33" i="12"/>
  <c r="FG33" i="12"/>
  <c r="FH33" i="12"/>
  <c r="FI33" i="12"/>
  <c r="FJ33" i="12"/>
  <c r="FK33" i="12"/>
  <c r="FL33" i="12"/>
  <c r="FM33" i="12"/>
  <c r="FN33" i="12"/>
  <c r="FO33" i="12"/>
  <c r="FP33" i="12"/>
  <c r="FQ33" i="12"/>
  <c r="FR33" i="12"/>
  <c r="FS33" i="12"/>
  <c r="FT33" i="12"/>
  <c r="FU33" i="12"/>
  <c r="FV33" i="12"/>
  <c r="FW33" i="12"/>
  <c r="FX33" i="12"/>
  <c r="FY33" i="12"/>
  <c r="FZ33" i="12"/>
  <c r="GA33" i="12"/>
  <c r="GB33" i="12"/>
  <c r="GC33" i="12"/>
  <c r="GD33" i="12"/>
  <c r="GE33" i="12"/>
  <c r="GF33" i="12"/>
  <c r="GG33" i="12"/>
  <c r="GH33" i="12"/>
  <c r="GI33" i="12"/>
  <c r="GJ33" i="12"/>
  <c r="GK33" i="12"/>
  <c r="GL33" i="12"/>
  <c r="GM33" i="12"/>
  <c r="GN33" i="12"/>
  <c r="GO33" i="12"/>
  <c r="GP33" i="12"/>
  <c r="GQ33" i="12"/>
  <c r="GR33" i="12"/>
  <c r="GS33" i="12"/>
  <c r="GT33" i="12"/>
  <c r="GU33" i="12"/>
  <c r="GV33" i="12"/>
  <c r="GW33" i="12"/>
  <c r="GX33" i="12"/>
  <c r="GY33" i="12"/>
  <c r="GZ33" i="12"/>
  <c r="HA33" i="12"/>
  <c r="HB33" i="12"/>
  <c r="HC33" i="12"/>
  <c r="HD33" i="12"/>
  <c r="HE33" i="12"/>
  <c r="HF33" i="12"/>
  <c r="HG33" i="12"/>
  <c r="HH33" i="12"/>
  <c r="HI33" i="12"/>
  <c r="HJ33" i="12"/>
  <c r="HK33" i="12"/>
  <c r="HL33" i="12"/>
  <c r="HM33" i="12"/>
  <c r="HN33" i="12"/>
  <c r="HO33" i="12"/>
  <c r="HP33" i="12"/>
  <c r="HQ33" i="12"/>
  <c r="HR33" i="12"/>
  <c r="HS33" i="12"/>
  <c r="HT33" i="12"/>
  <c r="HU33" i="12"/>
  <c r="HV33" i="12"/>
  <c r="HW33" i="12"/>
  <c r="HX33" i="12"/>
  <c r="HY33" i="12"/>
  <c r="HZ33" i="12"/>
  <c r="IA33" i="12"/>
  <c r="IB33" i="12"/>
  <c r="IC33" i="12"/>
  <c r="ID33" i="12"/>
  <c r="IE33" i="12"/>
  <c r="IF33" i="12"/>
  <c r="IG33" i="12"/>
  <c r="IH33" i="12"/>
  <c r="II33" i="12"/>
  <c r="IJ33" i="12"/>
  <c r="IK33" i="12"/>
  <c r="IL33" i="12"/>
  <c r="IM33" i="12"/>
  <c r="IN33" i="12"/>
  <c r="IO33" i="12"/>
  <c r="IP33" i="12"/>
  <c r="IQ33" i="12"/>
  <c r="IR33" i="12"/>
  <c r="IS33" i="12"/>
  <c r="IT33" i="12"/>
  <c r="IU33" i="12"/>
  <c r="IV33" i="12"/>
  <c r="T84" i="12" l="1"/>
  <c r="B100" i="12"/>
  <c r="R81" i="12"/>
  <c r="C3" i="6"/>
  <c r="AH39" i="12"/>
  <c r="C76" i="12"/>
  <c r="IH99" i="12"/>
  <c r="L2" i="8" l="1"/>
  <c r="K2" i="8"/>
  <c r="A32" i="12"/>
  <c r="B32" i="12"/>
  <c r="C32" i="12"/>
  <c r="D32" i="12"/>
  <c r="E32" i="12"/>
  <c r="F32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BC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P32" i="12"/>
  <c r="BQ32" i="12"/>
  <c r="BR32" i="12"/>
  <c r="BS32" i="12"/>
  <c r="BT32" i="12"/>
  <c r="BU32" i="12"/>
  <c r="BV32" i="12"/>
  <c r="BW32" i="12"/>
  <c r="BX32" i="12"/>
  <c r="BY32" i="12"/>
  <c r="BZ32" i="12"/>
  <c r="CA32" i="12"/>
  <c r="CB32" i="12"/>
  <c r="CC32" i="12"/>
  <c r="CD32" i="12"/>
  <c r="CE32" i="12"/>
  <c r="CF32" i="12"/>
  <c r="CG32" i="12"/>
  <c r="CH32" i="12"/>
  <c r="CI32" i="12"/>
  <c r="CJ32" i="12"/>
  <c r="CK32" i="12"/>
  <c r="CL32" i="12"/>
  <c r="CM32" i="12"/>
  <c r="CN32" i="12"/>
  <c r="CO32" i="12"/>
  <c r="CP32" i="12"/>
  <c r="CQ32" i="12"/>
  <c r="CR32" i="12"/>
  <c r="CS32" i="12"/>
  <c r="CT32" i="12"/>
  <c r="CU32" i="12"/>
  <c r="CV32" i="12"/>
  <c r="CW32" i="12"/>
  <c r="CX32" i="12"/>
  <c r="CY32" i="12"/>
  <c r="CZ32" i="12"/>
  <c r="DA32" i="12"/>
  <c r="DB32" i="12"/>
  <c r="DC32" i="12"/>
  <c r="DD32" i="12"/>
  <c r="DE32" i="12"/>
  <c r="DF32" i="12"/>
  <c r="DG32" i="12"/>
  <c r="DH32" i="12"/>
  <c r="DI32" i="12"/>
  <c r="DJ32" i="12"/>
  <c r="DK32" i="12"/>
  <c r="DL32" i="12"/>
  <c r="DM32" i="12"/>
  <c r="DN32" i="12"/>
  <c r="DO32" i="12"/>
  <c r="DP32" i="12"/>
  <c r="DQ32" i="12"/>
  <c r="DR32" i="12"/>
  <c r="DS32" i="12"/>
  <c r="DT32" i="12"/>
  <c r="DU32" i="12"/>
  <c r="DV32" i="12"/>
  <c r="DW32" i="12"/>
  <c r="DX32" i="12"/>
  <c r="DY32" i="12"/>
  <c r="DZ32" i="12"/>
  <c r="EA32" i="12"/>
  <c r="EB32" i="12"/>
  <c r="EC32" i="12"/>
  <c r="ED32" i="12"/>
  <c r="EE32" i="12"/>
  <c r="EF32" i="12"/>
  <c r="EG32" i="12"/>
  <c r="EH32" i="12"/>
  <c r="EI32" i="12"/>
  <c r="EJ32" i="12"/>
  <c r="EK32" i="12"/>
  <c r="EL32" i="12"/>
  <c r="EM32" i="12"/>
  <c r="EN32" i="12"/>
  <c r="EO32" i="12"/>
  <c r="EP32" i="12"/>
  <c r="EQ32" i="12"/>
  <c r="ER32" i="12"/>
  <c r="ES32" i="12"/>
  <c r="ET32" i="12"/>
  <c r="EU32" i="12"/>
  <c r="EV32" i="12"/>
  <c r="EW32" i="12"/>
  <c r="EX32" i="12"/>
  <c r="EY32" i="12"/>
  <c r="EZ32" i="12"/>
  <c r="FA32" i="12"/>
  <c r="FB32" i="12"/>
  <c r="FC32" i="12"/>
  <c r="FD32" i="12"/>
  <c r="FE32" i="12"/>
  <c r="FF32" i="12"/>
  <c r="FG32" i="12"/>
  <c r="FH32" i="12"/>
  <c r="FI32" i="12"/>
  <c r="FJ32" i="12"/>
  <c r="FK32" i="12"/>
  <c r="FL32" i="12"/>
  <c r="FM32" i="12"/>
  <c r="FN32" i="12"/>
  <c r="FO32" i="12"/>
  <c r="FP32" i="12"/>
  <c r="FQ32" i="12"/>
  <c r="FR32" i="12"/>
  <c r="FS32" i="12"/>
  <c r="FT32" i="12"/>
  <c r="FU32" i="12"/>
  <c r="FV32" i="12"/>
  <c r="FW32" i="12"/>
  <c r="FX32" i="12"/>
  <c r="FY32" i="12"/>
  <c r="FZ32" i="12"/>
  <c r="GA32" i="12"/>
  <c r="GB32" i="12"/>
  <c r="GC32" i="12"/>
  <c r="A31" i="12" l="1"/>
  <c r="B31" i="12"/>
  <c r="C31" i="12"/>
  <c r="D31" i="12"/>
  <c r="E31" i="12"/>
  <c r="F31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BC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P31" i="12"/>
  <c r="BQ31" i="12"/>
  <c r="BR31" i="12"/>
  <c r="BS31" i="12"/>
  <c r="BT31" i="12"/>
  <c r="BU31" i="12"/>
  <c r="BV31" i="12"/>
  <c r="BW31" i="12"/>
  <c r="BX31" i="12"/>
  <c r="BY31" i="12"/>
  <c r="BZ31" i="12"/>
  <c r="CA31" i="12"/>
  <c r="CB31" i="12"/>
  <c r="CC31" i="12"/>
  <c r="A30" i="12"/>
  <c r="B30" i="12"/>
  <c r="C30" i="12"/>
  <c r="D30" i="12"/>
  <c r="E30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BC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P30" i="12"/>
  <c r="BQ30" i="12"/>
  <c r="BR30" i="12"/>
  <c r="BS30" i="12"/>
  <c r="BT30" i="12"/>
  <c r="BU30" i="12"/>
  <c r="BV30" i="12"/>
  <c r="BW30" i="12"/>
  <c r="BX30" i="12"/>
  <c r="BY30" i="12"/>
  <c r="BZ30" i="12"/>
  <c r="CA30" i="12"/>
  <c r="CB30" i="12"/>
  <c r="CC30" i="12"/>
  <c r="CD30" i="12"/>
  <c r="CE30" i="12"/>
  <c r="CF30" i="12"/>
  <c r="CG30" i="12"/>
  <c r="CH30" i="12"/>
  <c r="CI30" i="12"/>
  <c r="CJ30" i="12"/>
  <c r="CK30" i="12"/>
  <c r="CL30" i="12"/>
  <c r="CM30" i="12"/>
  <c r="CN30" i="12"/>
  <c r="CO30" i="12"/>
  <c r="CP30" i="12"/>
  <c r="CQ30" i="12"/>
  <c r="CR30" i="12"/>
  <c r="CS30" i="12"/>
  <c r="CT30" i="12"/>
  <c r="CU30" i="12"/>
  <c r="CV30" i="12"/>
  <c r="CW30" i="12"/>
  <c r="CX30" i="12"/>
  <c r="CY30" i="12"/>
  <c r="CZ30" i="12"/>
  <c r="DA30" i="12"/>
  <c r="DB30" i="12"/>
  <c r="DC30" i="12"/>
  <c r="DD30" i="12"/>
  <c r="DE30" i="12"/>
  <c r="DF30" i="12"/>
  <c r="DG30" i="12"/>
  <c r="DH30" i="12"/>
  <c r="DI30" i="12"/>
  <c r="DJ30" i="12"/>
  <c r="DK30" i="12"/>
  <c r="DL30" i="12"/>
  <c r="DM30" i="12"/>
  <c r="DN30" i="12"/>
  <c r="DO30" i="12"/>
  <c r="DP30" i="12"/>
  <c r="DQ30" i="12"/>
  <c r="DR30" i="12"/>
  <c r="DS30" i="12"/>
  <c r="DT30" i="12"/>
  <c r="DU30" i="12"/>
  <c r="DV30" i="12"/>
  <c r="DW30" i="12"/>
  <c r="DX30" i="12"/>
  <c r="DY30" i="12"/>
  <c r="DZ30" i="12"/>
  <c r="EA30" i="12"/>
  <c r="EB30" i="12"/>
  <c r="EC30" i="12"/>
  <c r="ED30" i="12"/>
  <c r="EE30" i="12"/>
  <c r="EF30" i="12"/>
  <c r="EG30" i="12"/>
  <c r="EH30" i="12"/>
  <c r="EI30" i="12"/>
  <c r="EJ30" i="12"/>
  <c r="EK30" i="12"/>
  <c r="EL30" i="12"/>
  <c r="EM30" i="12"/>
  <c r="EN30" i="12"/>
  <c r="EO30" i="12"/>
  <c r="EP30" i="12"/>
  <c r="EQ30" i="12"/>
  <c r="ER30" i="12"/>
  <c r="ES30" i="12"/>
  <c r="ET30" i="12"/>
  <c r="EU30" i="12"/>
  <c r="EV30" i="12"/>
  <c r="EW30" i="12"/>
  <c r="EX30" i="12"/>
  <c r="EY30" i="12"/>
  <c r="EZ30" i="12"/>
  <c r="FA30" i="12"/>
  <c r="FB30" i="12"/>
  <c r="FC30" i="12"/>
  <c r="FD30" i="12"/>
  <c r="FE30" i="12"/>
  <c r="FF30" i="12"/>
  <c r="FG30" i="12"/>
  <c r="FH30" i="12"/>
  <c r="FI30" i="12"/>
  <c r="FJ30" i="12"/>
  <c r="FK30" i="12"/>
  <c r="FL30" i="12"/>
  <c r="FM30" i="12"/>
  <c r="FN30" i="12"/>
  <c r="FO30" i="12"/>
  <c r="FP30" i="12"/>
  <c r="FQ30" i="12"/>
  <c r="FR30" i="12"/>
  <c r="FS30" i="12"/>
  <c r="FT30" i="12"/>
  <c r="FU30" i="12"/>
  <c r="FV30" i="12"/>
  <c r="FW30" i="12"/>
  <c r="FX30" i="12"/>
  <c r="FY30" i="12"/>
  <c r="FZ30" i="12"/>
  <c r="GA30" i="12"/>
  <c r="GB30" i="12"/>
  <c r="GC30" i="12"/>
  <c r="GD30" i="12"/>
  <c r="GE30" i="12"/>
  <c r="GF30" i="12"/>
  <c r="GG30" i="12"/>
  <c r="GH30" i="12"/>
  <c r="GI30" i="12"/>
  <c r="GJ30" i="12"/>
  <c r="GK30" i="12"/>
  <c r="GL30" i="12"/>
  <c r="GM30" i="12"/>
  <c r="GN30" i="12"/>
  <c r="GO30" i="12"/>
  <c r="GP30" i="12"/>
  <c r="GQ30" i="12"/>
  <c r="GR30" i="12"/>
  <c r="GS30" i="12"/>
  <c r="GT30" i="12"/>
  <c r="GU30" i="12"/>
  <c r="GV30" i="12"/>
  <c r="GW30" i="12"/>
  <c r="GX30" i="12"/>
  <c r="GY30" i="12"/>
  <c r="GZ30" i="12"/>
  <c r="HA30" i="12"/>
  <c r="HB30" i="12"/>
  <c r="HC30" i="12"/>
  <c r="HD30" i="12"/>
  <c r="HE30" i="12"/>
  <c r="HF30" i="12"/>
  <c r="HG30" i="12"/>
  <c r="HH30" i="12"/>
  <c r="HI30" i="12"/>
  <c r="HJ30" i="12"/>
  <c r="HK30" i="12"/>
  <c r="HL30" i="12"/>
  <c r="HM30" i="12"/>
  <c r="HN30" i="12"/>
  <c r="HO30" i="12"/>
  <c r="HP30" i="12"/>
  <c r="HQ30" i="12"/>
  <c r="HR30" i="12"/>
  <c r="HS30" i="12"/>
  <c r="HT30" i="12"/>
  <c r="HU30" i="12"/>
  <c r="HV30" i="12"/>
  <c r="HW30" i="12"/>
  <c r="HX30" i="12"/>
  <c r="HY30" i="12"/>
  <c r="HZ30" i="12"/>
  <c r="IA30" i="12"/>
  <c r="IB30" i="12"/>
  <c r="IC30" i="12"/>
  <c r="ID30" i="12"/>
  <c r="IE30" i="12"/>
  <c r="IF30" i="12"/>
  <c r="IG30" i="12"/>
  <c r="IH30" i="12"/>
  <c r="II30" i="12"/>
  <c r="IJ30" i="12"/>
  <c r="IK30" i="12"/>
  <c r="IL30" i="12"/>
  <c r="IM30" i="12"/>
  <c r="IN30" i="12"/>
  <c r="IO30" i="12"/>
  <c r="IP30" i="12"/>
  <c r="IQ30" i="12"/>
  <c r="IR30" i="12"/>
  <c r="IS30" i="12"/>
  <c r="IT30" i="12"/>
  <c r="IU30" i="12"/>
  <c r="IV30" i="12"/>
  <c r="A29" i="12"/>
  <c r="B29" i="12"/>
  <c r="C29" i="12"/>
  <c r="E29" i="12"/>
  <c r="F29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BC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P29" i="12"/>
  <c r="BQ29" i="12"/>
  <c r="BR29" i="12"/>
  <c r="BS29" i="12"/>
  <c r="BT29" i="12"/>
  <c r="BU29" i="12"/>
  <c r="BV29" i="12"/>
  <c r="BW29" i="12"/>
  <c r="BX29" i="12"/>
  <c r="BY29" i="12"/>
  <c r="BZ29" i="12"/>
  <c r="CA29" i="12"/>
  <c r="CB29" i="12"/>
  <c r="CC29" i="12"/>
  <c r="CD29" i="12"/>
  <c r="CE29" i="12"/>
  <c r="CF29" i="12"/>
  <c r="CG29" i="12"/>
  <c r="CH29" i="12"/>
  <c r="CI29" i="12"/>
  <c r="CJ29" i="12"/>
  <c r="CK29" i="12"/>
  <c r="CL29" i="12"/>
  <c r="CM29" i="12"/>
  <c r="CN29" i="12"/>
  <c r="CO29" i="12"/>
  <c r="CP29" i="12"/>
  <c r="CQ29" i="12"/>
  <c r="CR29" i="12"/>
  <c r="CS29" i="12"/>
  <c r="CT29" i="12"/>
  <c r="CU29" i="12"/>
  <c r="CV29" i="12"/>
  <c r="CW29" i="12"/>
  <c r="CX29" i="12"/>
  <c r="CY29" i="12"/>
  <c r="CZ29" i="12"/>
  <c r="DA29" i="12"/>
  <c r="DB29" i="12"/>
  <c r="DC29" i="12"/>
  <c r="DD29" i="12"/>
  <c r="DE29" i="12"/>
  <c r="DF29" i="12"/>
  <c r="DG29" i="12"/>
  <c r="DH29" i="12"/>
  <c r="DI29" i="12"/>
  <c r="DJ29" i="12"/>
  <c r="DK29" i="12"/>
  <c r="DL29" i="12"/>
  <c r="DM29" i="12"/>
  <c r="DN29" i="12"/>
  <c r="DO29" i="12"/>
  <c r="DP29" i="12"/>
  <c r="DQ29" i="12"/>
  <c r="DR29" i="12"/>
  <c r="DS29" i="12"/>
  <c r="DT29" i="12"/>
  <c r="DU29" i="12"/>
  <c r="DV29" i="12"/>
  <c r="DW29" i="12"/>
  <c r="DX29" i="12"/>
  <c r="DY29" i="12"/>
  <c r="DZ29" i="12"/>
  <c r="EA29" i="12"/>
  <c r="EB29" i="12"/>
  <c r="EC29" i="12"/>
  <c r="ED29" i="12"/>
  <c r="EE29" i="12"/>
  <c r="EF29" i="12"/>
  <c r="EG29" i="12"/>
  <c r="EH29" i="12"/>
  <c r="EI29" i="12"/>
  <c r="EJ29" i="12"/>
  <c r="EK29" i="12"/>
  <c r="EL29" i="12"/>
  <c r="EM29" i="12"/>
  <c r="EN29" i="12"/>
  <c r="EO29" i="12"/>
  <c r="EP29" i="12"/>
  <c r="EQ29" i="12"/>
  <c r="ER29" i="12"/>
  <c r="ES29" i="12"/>
  <c r="ET29" i="12"/>
  <c r="EU29" i="12"/>
  <c r="EV29" i="12"/>
  <c r="EW29" i="12"/>
  <c r="EX29" i="12"/>
  <c r="EY29" i="12"/>
  <c r="EZ29" i="12"/>
  <c r="FA29" i="12"/>
  <c r="FB29" i="12"/>
  <c r="FC29" i="12"/>
  <c r="FD29" i="12"/>
  <c r="FE29" i="12"/>
  <c r="FF29" i="12"/>
  <c r="FG29" i="12"/>
  <c r="FH29" i="12"/>
  <c r="FI29" i="12"/>
  <c r="FJ29" i="12"/>
  <c r="FK29" i="12"/>
  <c r="FL29" i="12"/>
  <c r="FM29" i="12"/>
  <c r="FN29" i="12"/>
  <c r="FO29" i="12"/>
  <c r="FP29" i="12"/>
  <c r="FQ29" i="12"/>
  <c r="FR29" i="12"/>
  <c r="FS29" i="12"/>
  <c r="FT29" i="12"/>
  <c r="FU29" i="12"/>
  <c r="FV29" i="12"/>
  <c r="FW29" i="12"/>
  <c r="FX29" i="12"/>
  <c r="FY29" i="12"/>
  <c r="FZ29" i="12"/>
  <c r="GA29" i="12"/>
  <c r="GB29" i="12"/>
  <c r="GC29" i="12"/>
  <c r="GD29" i="12"/>
  <c r="GE29" i="12"/>
  <c r="GF29" i="12"/>
  <c r="GG29" i="12"/>
  <c r="GH29" i="12"/>
  <c r="GI29" i="12"/>
  <c r="GJ29" i="12"/>
  <c r="GK29" i="12"/>
  <c r="GL29" i="12"/>
  <c r="GM29" i="12"/>
  <c r="GN29" i="12"/>
  <c r="GO29" i="12"/>
  <c r="GP29" i="12"/>
  <c r="GQ29" i="12"/>
  <c r="GR29" i="12"/>
  <c r="GS29" i="12"/>
  <c r="GT29" i="12"/>
  <c r="GU29" i="12"/>
  <c r="GV29" i="12"/>
  <c r="GW29" i="12"/>
  <c r="GX29" i="12"/>
  <c r="GY29" i="12"/>
  <c r="GZ29" i="12"/>
  <c r="HA29" i="12"/>
  <c r="HB29" i="12"/>
  <c r="HC29" i="12"/>
  <c r="HD29" i="12"/>
  <c r="HE29" i="12"/>
  <c r="HF29" i="12"/>
  <c r="HG29" i="12"/>
  <c r="HH29" i="12"/>
  <c r="HI29" i="12"/>
  <c r="HJ29" i="12"/>
  <c r="HK29" i="12"/>
  <c r="HL29" i="12"/>
  <c r="HM29" i="12"/>
  <c r="HN29" i="12"/>
  <c r="HO29" i="12"/>
  <c r="HP29" i="12"/>
  <c r="HQ29" i="12"/>
  <c r="HR29" i="12"/>
  <c r="HS29" i="12"/>
  <c r="HT29" i="12"/>
  <c r="HU29" i="12"/>
  <c r="HV29" i="12"/>
  <c r="HW29" i="12"/>
  <c r="HX29" i="12"/>
  <c r="HY29" i="12"/>
  <c r="HZ29" i="12"/>
  <c r="IA29" i="12"/>
  <c r="IB29" i="12"/>
  <c r="IC29" i="12"/>
  <c r="ID29" i="12"/>
  <c r="IE29" i="12"/>
  <c r="IF29" i="12"/>
  <c r="IG29" i="12"/>
  <c r="IH29" i="12"/>
  <c r="II29" i="12"/>
  <c r="IJ29" i="12"/>
  <c r="IK29" i="12"/>
  <c r="IL29" i="12"/>
  <c r="IM29" i="12"/>
  <c r="IN29" i="12"/>
  <c r="IO29" i="12"/>
  <c r="IP29" i="12"/>
  <c r="IQ29" i="12"/>
  <c r="IR29" i="12"/>
  <c r="IS29" i="12"/>
  <c r="IT29" i="12"/>
  <c r="IU29" i="12"/>
  <c r="IV29" i="12"/>
  <c r="A28" i="12"/>
  <c r="B28" i="12"/>
  <c r="C28" i="12"/>
  <c r="D28" i="12"/>
  <c r="E28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CL28" i="12"/>
  <c r="CM28" i="12"/>
  <c r="CN28" i="12"/>
  <c r="CO28" i="12"/>
  <c r="CP28" i="12"/>
  <c r="CQ28" i="12"/>
  <c r="CR28" i="12"/>
  <c r="CS28" i="12"/>
  <c r="CT28" i="12"/>
  <c r="CU28" i="12"/>
  <c r="CV28" i="12"/>
  <c r="CW28" i="12"/>
  <c r="CX28" i="12"/>
  <c r="CY28" i="12"/>
  <c r="CZ28" i="12"/>
  <c r="DA28" i="12"/>
  <c r="DB28" i="12"/>
  <c r="DC28" i="12"/>
  <c r="DD28" i="12"/>
  <c r="DE28" i="12"/>
  <c r="DF28" i="12"/>
  <c r="DG28" i="12"/>
  <c r="DH28" i="12"/>
  <c r="DI28" i="12"/>
  <c r="DJ28" i="12"/>
  <c r="DK28" i="12"/>
  <c r="DL28" i="12"/>
  <c r="DM28" i="12"/>
  <c r="DN28" i="12"/>
  <c r="DO28" i="12"/>
  <c r="DP28" i="12"/>
  <c r="DQ28" i="12"/>
  <c r="DR28" i="12"/>
  <c r="DS28" i="12"/>
  <c r="DT28" i="12"/>
  <c r="DU28" i="12"/>
  <c r="DV28" i="12"/>
  <c r="DW28" i="12"/>
  <c r="DX28" i="12"/>
  <c r="DY28" i="12"/>
  <c r="DZ28" i="12"/>
  <c r="EA28" i="12"/>
  <c r="EB28" i="12"/>
  <c r="EC28" i="12"/>
  <c r="ED28" i="12"/>
  <c r="EE28" i="12"/>
  <c r="EF28" i="12"/>
  <c r="EG28" i="12"/>
  <c r="EH28" i="12"/>
  <c r="EI28" i="12"/>
  <c r="EJ28" i="12"/>
  <c r="EK28" i="12"/>
  <c r="EL28" i="12"/>
  <c r="EM28" i="12"/>
  <c r="EN28" i="12"/>
  <c r="EO28" i="12"/>
  <c r="EP28" i="12"/>
  <c r="EQ28" i="12"/>
  <c r="ER28" i="12"/>
  <c r="ES28" i="12"/>
  <c r="ET28" i="12"/>
  <c r="EU28" i="12"/>
  <c r="EV28" i="12"/>
  <c r="EW28" i="12"/>
  <c r="EX28" i="12"/>
  <c r="EY28" i="12"/>
  <c r="EZ28" i="12"/>
  <c r="FA28" i="12"/>
  <c r="FB28" i="12"/>
  <c r="FC28" i="12"/>
  <c r="FD28" i="12"/>
  <c r="FE28" i="12"/>
  <c r="FF28" i="12"/>
  <c r="FG28" i="12"/>
  <c r="FH28" i="12"/>
  <c r="FI28" i="12"/>
  <c r="FJ28" i="12"/>
  <c r="FK28" i="12"/>
  <c r="FL28" i="12"/>
  <c r="FM28" i="12"/>
  <c r="FN28" i="12"/>
  <c r="FO28" i="12"/>
  <c r="FP28" i="12"/>
  <c r="FQ28" i="12"/>
  <c r="FR28" i="12"/>
  <c r="FS28" i="12"/>
  <c r="FT28" i="12"/>
  <c r="FU28" i="12"/>
  <c r="FV28" i="12"/>
  <c r="FW28" i="12"/>
  <c r="FX28" i="12"/>
  <c r="FY28" i="12"/>
  <c r="FZ28" i="12"/>
  <c r="GA28" i="12"/>
  <c r="GB28" i="12"/>
  <c r="GC28" i="12"/>
  <c r="GD28" i="12"/>
  <c r="GE28" i="12"/>
  <c r="GF28" i="12"/>
  <c r="GG28" i="12"/>
  <c r="GH28" i="12"/>
  <c r="GI28" i="12"/>
  <c r="GJ28" i="12"/>
  <c r="GK28" i="12"/>
  <c r="GL28" i="12"/>
  <c r="GM28" i="12"/>
  <c r="GN28" i="12"/>
  <c r="GO28" i="12"/>
  <c r="GP28" i="12"/>
  <c r="GQ28" i="12"/>
  <c r="GR28" i="12"/>
  <c r="GS28" i="12"/>
  <c r="GT28" i="12"/>
  <c r="GU28" i="12"/>
  <c r="GV28" i="12"/>
  <c r="GW28" i="12"/>
  <c r="GX28" i="12"/>
  <c r="GY28" i="12"/>
  <c r="GZ28" i="12"/>
  <c r="HA28" i="12"/>
  <c r="HB28" i="12"/>
  <c r="HC28" i="12"/>
  <c r="HD28" i="12"/>
  <c r="HE28" i="12"/>
  <c r="HF28" i="12"/>
  <c r="HG28" i="12"/>
  <c r="HH28" i="12"/>
  <c r="HI28" i="12"/>
  <c r="HJ28" i="12"/>
  <c r="HK28" i="12"/>
  <c r="HL28" i="12"/>
  <c r="HM28" i="12"/>
  <c r="HN28" i="12"/>
  <c r="HO28" i="12"/>
  <c r="HP28" i="12"/>
  <c r="HQ28" i="12"/>
  <c r="HR28" i="12"/>
  <c r="HS28" i="12"/>
  <c r="HT28" i="12"/>
  <c r="HU28" i="12"/>
  <c r="HV28" i="12"/>
  <c r="HW28" i="12"/>
  <c r="HX28" i="12"/>
  <c r="HY28" i="12"/>
  <c r="HZ28" i="12"/>
  <c r="IA28" i="12"/>
  <c r="IB28" i="12"/>
  <c r="IC28" i="12"/>
  <c r="ID28" i="12"/>
  <c r="IE28" i="12"/>
  <c r="IF28" i="12"/>
  <c r="IG28" i="12"/>
  <c r="IH28" i="12"/>
  <c r="II28" i="12"/>
  <c r="IJ28" i="12"/>
  <c r="IK28" i="12"/>
  <c r="IL28" i="12"/>
  <c r="IM28" i="12"/>
  <c r="IN28" i="12"/>
  <c r="IO28" i="12"/>
  <c r="IP28" i="12"/>
  <c r="IQ28" i="12"/>
  <c r="IR28" i="12"/>
  <c r="IS28" i="12"/>
  <c r="IT28" i="12"/>
  <c r="IU28" i="12"/>
  <c r="IV28" i="12"/>
  <c r="A27" i="12"/>
  <c r="B27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CO27" i="12"/>
  <c r="CP27" i="12"/>
  <c r="CQ27" i="12"/>
  <c r="CR27" i="12"/>
  <c r="CS27" i="12"/>
  <c r="CT27" i="12"/>
  <c r="CU27" i="12"/>
  <c r="CV27" i="12"/>
  <c r="CW27" i="12"/>
  <c r="CX27" i="12"/>
  <c r="CY27" i="12"/>
  <c r="CZ27" i="12"/>
  <c r="DA27" i="12"/>
  <c r="DB27" i="12"/>
  <c r="DC27" i="12"/>
  <c r="DD27" i="12"/>
  <c r="DE27" i="12"/>
  <c r="DF27" i="12"/>
  <c r="DG27" i="12"/>
  <c r="DH27" i="12"/>
  <c r="DI27" i="12"/>
  <c r="DJ27" i="12"/>
  <c r="DK27" i="12"/>
  <c r="DL27" i="12"/>
  <c r="DM27" i="12"/>
  <c r="DN27" i="12"/>
  <c r="DO27" i="12"/>
  <c r="DP27" i="12"/>
  <c r="DQ27" i="12"/>
  <c r="DR27" i="12"/>
  <c r="DS27" i="12"/>
  <c r="DT27" i="12"/>
  <c r="DU27" i="12"/>
  <c r="DV27" i="12"/>
  <c r="DW27" i="12"/>
  <c r="DX27" i="12"/>
  <c r="DY27" i="12"/>
  <c r="DZ27" i="12"/>
  <c r="EA27" i="12"/>
  <c r="EB27" i="12"/>
  <c r="EC27" i="12"/>
  <c r="ED27" i="12"/>
  <c r="EE27" i="12"/>
  <c r="EF27" i="12"/>
  <c r="EG27" i="12"/>
  <c r="EH27" i="12"/>
  <c r="EI27" i="12"/>
  <c r="EJ27" i="12"/>
  <c r="EK27" i="12"/>
  <c r="EL27" i="12"/>
  <c r="EM27" i="12"/>
  <c r="EN27" i="12"/>
  <c r="EO27" i="12"/>
  <c r="EP27" i="12"/>
  <c r="EQ27" i="12"/>
  <c r="ER27" i="12"/>
  <c r="ES27" i="12"/>
  <c r="ET27" i="12"/>
  <c r="EU27" i="12"/>
  <c r="EV27" i="12"/>
  <c r="EW27" i="12"/>
  <c r="EX27" i="12"/>
  <c r="EY27" i="12"/>
  <c r="EZ27" i="12"/>
  <c r="FA27" i="12"/>
  <c r="FB27" i="12"/>
  <c r="FC27" i="12"/>
  <c r="FD27" i="12"/>
  <c r="FE27" i="12"/>
  <c r="FF27" i="12"/>
  <c r="FG27" i="12"/>
  <c r="FH27" i="12"/>
  <c r="FI27" i="12"/>
  <c r="FJ27" i="12"/>
  <c r="FK27" i="12"/>
  <c r="FL27" i="12"/>
  <c r="FM27" i="12"/>
  <c r="FN27" i="12"/>
  <c r="FO27" i="12"/>
  <c r="FP27" i="12"/>
  <c r="FQ27" i="12"/>
  <c r="FR27" i="12"/>
  <c r="FS27" i="12"/>
  <c r="FT27" i="12"/>
  <c r="FU27" i="12"/>
  <c r="FV27" i="12"/>
  <c r="FW27" i="12"/>
  <c r="FX27" i="12"/>
  <c r="FY27" i="12"/>
  <c r="FZ27" i="12"/>
  <c r="GA27" i="12"/>
  <c r="GB27" i="12"/>
  <c r="GC27" i="12"/>
  <c r="GD27" i="12"/>
  <c r="GE27" i="12"/>
  <c r="GF27" i="12"/>
  <c r="GG27" i="12"/>
  <c r="GH27" i="12"/>
  <c r="GI27" i="12"/>
  <c r="GJ27" i="12"/>
  <c r="GK27" i="12"/>
  <c r="GL27" i="12"/>
  <c r="GM27" i="12"/>
  <c r="GN27" i="12"/>
  <c r="GO27" i="12"/>
  <c r="GP27" i="12"/>
  <c r="GQ27" i="12"/>
  <c r="GR27" i="12"/>
  <c r="GS27" i="12"/>
  <c r="GT27" i="12"/>
  <c r="GU27" i="12"/>
  <c r="GV27" i="12"/>
  <c r="GW27" i="12"/>
  <c r="GX27" i="12"/>
  <c r="GY27" i="12"/>
  <c r="GZ27" i="12"/>
  <c r="HA27" i="12"/>
  <c r="HB27" i="12"/>
  <c r="HC27" i="12"/>
  <c r="HD27" i="12"/>
  <c r="HE27" i="12"/>
  <c r="HF27" i="12"/>
  <c r="HG27" i="12"/>
  <c r="HH27" i="12"/>
  <c r="HI27" i="12"/>
  <c r="HJ27" i="12"/>
  <c r="HK27" i="12"/>
  <c r="HL27" i="12"/>
  <c r="HM27" i="12"/>
  <c r="HN27" i="12"/>
  <c r="HO27" i="12"/>
  <c r="HP27" i="12"/>
  <c r="HQ27" i="12"/>
  <c r="HR27" i="12"/>
  <c r="HS27" i="12"/>
  <c r="HT27" i="12"/>
  <c r="HU27" i="12"/>
  <c r="HV27" i="12"/>
  <c r="HW27" i="12"/>
  <c r="HX27" i="12"/>
  <c r="HY27" i="12"/>
  <c r="HZ27" i="12"/>
  <c r="IA27" i="12"/>
  <c r="IB27" i="12"/>
  <c r="IC27" i="12"/>
  <c r="ID27" i="12"/>
  <c r="IE27" i="12"/>
  <c r="IF27" i="12"/>
  <c r="IG27" i="12"/>
  <c r="IH27" i="12"/>
  <c r="II27" i="12"/>
  <c r="IJ27" i="12"/>
  <c r="IK27" i="12"/>
  <c r="IL27" i="12"/>
  <c r="IM27" i="12"/>
  <c r="IN27" i="12"/>
  <c r="IO27" i="12"/>
  <c r="IP27" i="12"/>
  <c r="IQ27" i="12"/>
  <c r="IR27" i="12"/>
  <c r="IS27" i="12"/>
  <c r="IT27" i="12"/>
  <c r="IU27" i="12"/>
  <c r="IV27" i="12"/>
  <c r="A26" i="12" l="1"/>
  <c r="B26" i="12"/>
  <c r="C26" i="12"/>
  <c r="D26" i="12"/>
  <c r="E26" i="12"/>
  <c r="F26" i="12"/>
  <c r="G26" i="12"/>
  <c r="H26" i="12"/>
  <c r="A25" i="12"/>
  <c r="B25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A24" i="12"/>
  <c r="B24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T24" i="12"/>
  <c r="AU24" i="12"/>
  <c r="AV24" i="12"/>
  <c r="AW24" i="12"/>
  <c r="AX24" i="12"/>
  <c r="AY24" i="12"/>
  <c r="AZ24" i="12"/>
  <c r="A23" i="12"/>
  <c r="B23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O23" i="12"/>
  <c r="CP23" i="12"/>
  <c r="CQ23" i="12"/>
  <c r="CR23" i="12"/>
  <c r="CS23" i="12"/>
  <c r="CT23" i="12"/>
  <c r="CU23" i="12"/>
  <c r="CV23" i="12"/>
  <c r="CW23" i="12"/>
  <c r="CX23" i="12"/>
  <c r="CY23" i="12"/>
  <c r="CZ23" i="12"/>
  <c r="DA23" i="12"/>
  <c r="DB23" i="12"/>
  <c r="DC23" i="12"/>
  <c r="DD23" i="12"/>
  <c r="DE23" i="12"/>
  <c r="DF23" i="12"/>
  <c r="DG23" i="12"/>
  <c r="DH23" i="12"/>
  <c r="DI23" i="12"/>
  <c r="DJ23" i="12"/>
  <c r="DK23" i="12"/>
  <c r="DL23" i="12"/>
  <c r="DM23" i="12"/>
  <c r="DN23" i="12"/>
  <c r="DO23" i="12"/>
  <c r="DP23" i="12"/>
  <c r="DQ23" i="12"/>
  <c r="DR23" i="12"/>
  <c r="DS23" i="12"/>
  <c r="DT23" i="12"/>
  <c r="DU23" i="12"/>
  <c r="DV23" i="12"/>
  <c r="DW23" i="12"/>
  <c r="DX23" i="12"/>
  <c r="DY23" i="12"/>
  <c r="DZ23" i="12"/>
  <c r="EA23" i="12"/>
  <c r="EB23" i="12"/>
  <c r="EC23" i="12"/>
  <c r="ED23" i="12"/>
  <c r="EE23" i="12"/>
  <c r="EF23" i="12"/>
  <c r="EG23" i="12"/>
  <c r="EH23" i="12"/>
  <c r="EI23" i="12"/>
  <c r="EJ23" i="12"/>
  <c r="EK23" i="12"/>
  <c r="EL23" i="12"/>
  <c r="EM23" i="12"/>
  <c r="EN23" i="12"/>
  <c r="EO23" i="12"/>
  <c r="EP23" i="12"/>
  <c r="EQ23" i="12"/>
  <c r="ER23" i="12"/>
  <c r="ES23" i="12"/>
  <c r="ET23" i="12"/>
  <c r="EU23" i="12"/>
  <c r="EV23" i="12"/>
  <c r="EW23" i="12"/>
  <c r="EX23" i="12"/>
  <c r="EY23" i="12"/>
  <c r="EZ23" i="12"/>
  <c r="FA23" i="12"/>
  <c r="FB23" i="12"/>
  <c r="FC23" i="12"/>
  <c r="FD23" i="12"/>
  <c r="FE23" i="12"/>
  <c r="FF23" i="12"/>
  <c r="FG23" i="12"/>
  <c r="FH23" i="12"/>
  <c r="FI23" i="12"/>
  <c r="FJ23" i="12"/>
  <c r="FK23" i="12"/>
  <c r="FL23" i="12"/>
  <c r="FM23" i="12"/>
  <c r="FN23" i="12"/>
  <c r="FO23" i="12"/>
  <c r="FP23" i="12"/>
  <c r="FQ23" i="12"/>
  <c r="FR23" i="12"/>
  <c r="FS23" i="12"/>
  <c r="FT23" i="12"/>
  <c r="FU23" i="12"/>
  <c r="FV23" i="12"/>
  <c r="FW23" i="12"/>
  <c r="FX23" i="12"/>
  <c r="FY23" i="12"/>
  <c r="FZ23" i="12"/>
  <c r="GA23" i="12"/>
  <c r="GB23" i="12"/>
  <c r="GC23" i="12"/>
  <c r="GD23" i="12"/>
  <c r="GE23" i="12"/>
  <c r="GF23" i="12"/>
  <c r="GG23" i="12"/>
  <c r="GH23" i="12"/>
  <c r="GI23" i="12"/>
  <c r="GJ23" i="12"/>
  <c r="GK23" i="12"/>
  <c r="GL23" i="12"/>
  <c r="GM23" i="12"/>
  <c r="GN23" i="12"/>
  <c r="GO23" i="12"/>
  <c r="GP23" i="12"/>
  <c r="GQ23" i="12"/>
  <c r="GR23" i="12"/>
  <c r="GS23" i="12"/>
  <c r="GT23" i="12"/>
  <c r="GU23" i="12"/>
  <c r="GV23" i="12"/>
  <c r="GW23" i="12"/>
  <c r="GX23" i="12"/>
  <c r="GY23" i="12"/>
  <c r="GZ23" i="12"/>
  <c r="HA23" i="12"/>
  <c r="HB23" i="12"/>
  <c r="HC23" i="12"/>
  <c r="HD23" i="12"/>
  <c r="HE23" i="12"/>
  <c r="HF23" i="12"/>
  <c r="HG23" i="12"/>
  <c r="HH23" i="12"/>
  <c r="HI23" i="12"/>
  <c r="HJ23" i="12"/>
  <c r="HK23" i="12"/>
  <c r="HL23" i="12"/>
  <c r="HM23" i="12"/>
  <c r="HN23" i="12"/>
  <c r="HO23" i="12"/>
  <c r="HP23" i="12"/>
  <c r="HQ23" i="12"/>
  <c r="HR23" i="12"/>
  <c r="HS23" i="12"/>
  <c r="HT23" i="12"/>
  <c r="HU23" i="12"/>
  <c r="HV23" i="12"/>
  <c r="HW23" i="12"/>
  <c r="HX23" i="12"/>
  <c r="HY23" i="12"/>
  <c r="HZ23" i="12"/>
  <c r="IA23" i="12"/>
  <c r="IB23" i="12"/>
  <c r="IC23" i="12"/>
  <c r="ID23" i="12"/>
  <c r="IE23" i="12"/>
  <c r="IF23" i="12"/>
  <c r="IG23" i="12"/>
  <c r="IH23" i="12"/>
  <c r="II23" i="12"/>
  <c r="IJ23" i="12"/>
  <c r="IK23" i="12"/>
  <c r="IL23" i="12"/>
  <c r="IM23" i="12"/>
  <c r="IN23" i="12"/>
  <c r="IO23" i="12"/>
  <c r="IP23" i="12"/>
  <c r="IQ23" i="12"/>
  <c r="IR23" i="12"/>
  <c r="IS23" i="12"/>
  <c r="IT23" i="12"/>
  <c r="IU23" i="12"/>
  <c r="IV23" i="12"/>
  <c r="A22" i="12"/>
  <c r="B22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O22" i="12"/>
  <c r="CP22" i="12"/>
  <c r="CQ22" i="12"/>
  <c r="CR22" i="12"/>
  <c r="CS22" i="12"/>
  <c r="CT22" i="12"/>
  <c r="CU22" i="12"/>
  <c r="CV22" i="12"/>
  <c r="CW22" i="12"/>
  <c r="CX22" i="12"/>
  <c r="CY22" i="12"/>
  <c r="CZ22" i="12"/>
  <c r="DA22" i="12"/>
  <c r="DB22" i="12"/>
  <c r="DC22" i="12"/>
  <c r="DD22" i="12"/>
  <c r="DE22" i="12"/>
  <c r="DF22" i="12"/>
  <c r="DG22" i="12"/>
  <c r="DH22" i="12"/>
  <c r="DI22" i="12"/>
  <c r="DJ22" i="12"/>
  <c r="DK22" i="12"/>
  <c r="DL22" i="12"/>
  <c r="DM22" i="12"/>
  <c r="DN22" i="12"/>
  <c r="DO22" i="12"/>
  <c r="DP22" i="12"/>
  <c r="DQ22" i="12"/>
  <c r="DR22" i="12"/>
  <c r="DS22" i="12"/>
  <c r="DT22" i="12"/>
  <c r="DU22" i="12"/>
  <c r="DV22" i="12"/>
  <c r="DW22" i="12"/>
  <c r="DX22" i="12"/>
  <c r="DY22" i="12"/>
  <c r="DZ22" i="12"/>
  <c r="EA22" i="12"/>
  <c r="EB22" i="12"/>
  <c r="EC22" i="12"/>
  <c r="ED22" i="12"/>
  <c r="EE22" i="12"/>
  <c r="EF22" i="12"/>
  <c r="EG22" i="12"/>
  <c r="EH22" i="12"/>
  <c r="EI22" i="12"/>
  <c r="EJ22" i="12"/>
  <c r="EK22" i="12"/>
  <c r="EL22" i="12"/>
  <c r="EM22" i="12"/>
  <c r="EN22" i="12"/>
  <c r="EO22" i="12"/>
  <c r="EP22" i="12"/>
  <c r="EQ22" i="12"/>
  <c r="ER22" i="12"/>
  <c r="ES22" i="12"/>
  <c r="ET22" i="12"/>
  <c r="EU22" i="12"/>
  <c r="EV22" i="12"/>
  <c r="EW22" i="12"/>
  <c r="EX22" i="12"/>
  <c r="EY22" i="12"/>
  <c r="EZ22" i="12"/>
  <c r="FA22" i="12"/>
  <c r="FB22" i="12"/>
  <c r="FC22" i="12"/>
  <c r="FD22" i="12"/>
  <c r="FE22" i="12"/>
  <c r="FF22" i="12"/>
  <c r="FG22" i="12"/>
  <c r="FH22" i="12"/>
  <c r="FI22" i="12"/>
  <c r="FJ22" i="12"/>
  <c r="FK22" i="12"/>
  <c r="FL22" i="12"/>
  <c r="FM22" i="12"/>
  <c r="FN22" i="12"/>
  <c r="FO22" i="12"/>
  <c r="FP22" i="12"/>
  <c r="FQ22" i="12"/>
  <c r="FR22" i="12"/>
  <c r="FS22" i="12"/>
  <c r="FT22" i="12"/>
  <c r="FU22" i="12"/>
  <c r="FV22" i="12"/>
  <c r="FW22" i="12"/>
  <c r="FX22" i="12"/>
  <c r="FY22" i="12"/>
  <c r="FZ22" i="12"/>
  <c r="GA22" i="12"/>
  <c r="GB22" i="12"/>
  <c r="GC22" i="12"/>
  <c r="GD22" i="12"/>
  <c r="GE22" i="12"/>
  <c r="GF22" i="12"/>
  <c r="GG22" i="12"/>
  <c r="GH22" i="12"/>
  <c r="GI22" i="12"/>
  <c r="GJ22" i="12"/>
  <c r="GK22" i="12"/>
  <c r="GL22" i="12"/>
  <c r="GM22" i="12"/>
  <c r="GN22" i="12"/>
  <c r="GO22" i="12"/>
  <c r="GP22" i="12"/>
  <c r="GQ22" i="12"/>
  <c r="GR22" i="12"/>
  <c r="GS22" i="12"/>
  <c r="GT22" i="12"/>
  <c r="GU22" i="12"/>
  <c r="GV22" i="12"/>
  <c r="GW22" i="12"/>
  <c r="GX22" i="12"/>
  <c r="GY22" i="12"/>
  <c r="GZ22" i="12"/>
  <c r="HA22" i="12"/>
  <c r="HB22" i="12"/>
  <c r="HC22" i="12"/>
  <c r="HD22" i="12"/>
  <c r="HE22" i="12"/>
  <c r="HF22" i="12"/>
  <c r="HG22" i="12"/>
  <c r="HH22" i="12"/>
  <c r="HI22" i="12"/>
  <c r="HJ22" i="12"/>
  <c r="HK22" i="12"/>
  <c r="HL22" i="12"/>
  <c r="HM22" i="12"/>
  <c r="HN22" i="12"/>
  <c r="HO22" i="12"/>
  <c r="HP22" i="12"/>
  <c r="HQ22" i="12"/>
  <c r="HR22" i="12"/>
  <c r="HS22" i="12"/>
  <c r="HT22" i="12"/>
  <c r="HU22" i="12"/>
  <c r="HV22" i="12"/>
  <c r="HW22" i="12"/>
  <c r="HX22" i="12"/>
  <c r="HY22" i="12"/>
  <c r="HZ22" i="12"/>
  <c r="IA22" i="12"/>
  <c r="IB22" i="12"/>
  <c r="IC22" i="12"/>
  <c r="ID22" i="12"/>
  <c r="IE22" i="12"/>
  <c r="IF22" i="12"/>
  <c r="IG22" i="12"/>
  <c r="IH22" i="12"/>
  <c r="II22" i="12"/>
  <c r="IJ22" i="12"/>
  <c r="IK22" i="12"/>
  <c r="IL22" i="12"/>
  <c r="IM22" i="12"/>
  <c r="IN22" i="12"/>
  <c r="IO22" i="12"/>
  <c r="IP22" i="12"/>
  <c r="IQ22" i="12"/>
  <c r="IR22" i="12"/>
  <c r="IS22" i="12"/>
  <c r="IT22" i="12"/>
  <c r="IU22" i="12"/>
  <c r="IV22" i="12"/>
  <c r="A21" i="12"/>
  <c r="B21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O21" i="12"/>
  <c r="CP21" i="12"/>
  <c r="CQ21" i="12"/>
  <c r="CR21" i="12"/>
  <c r="CS21" i="12"/>
  <c r="CT21" i="12"/>
  <c r="CU21" i="12"/>
  <c r="CV21" i="12"/>
  <c r="CW21" i="12"/>
  <c r="CX21" i="12"/>
  <c r="CY21" i="12"/>
  <c r="CZ21" i="12"/>
  <c r="DA21" i="12"/>
  <c r="DB21" i="12"/>
  <c r="DC21" i="12"/>
  <c r="DD21" i="12"/>
  <c r="DE21" i="12"/>
  <c r="DF21" i="12"/>
  <c r="DH21" i="12"/>
  <c r="DI21" i="12"/>
  <c r="DJ21" i="12"/>
  <c r="DK21" i="12"/>
  <c r="DL21" i="12"/>
  <c r="DM21" i="12"/>
  <c r="DN21" i="12"/>
  <c r="DO21" i="12"/>
  <c r="DP21" i="12"/>
  <c r="DQ21" i="12"/>
  <c r="DR21" i="12"/>
  <c r="DS21" i="12"/>
  <c r="DT21" i="12"/>
  <c r="DU21" i="12"/>
  <c r="DV21" i="12"/>
  <c r="DW21" i="12"/>
  <c r="DX21" i="12"/>
  <c r="DY21" i="12"/>
  <c r="DZ21" i="12"/>
  <c r="EA21" i="12"/>
  <c r="EB21" i="12"/>
  <c r="EC21" i="12"/>
  <c r="ED21" i="12"/>
  <c r="EE21" i="12"/>
  <c r="EF21" i="12"/>
  <c r="EG21" i="12"/>
  <c r="EH21" i="12"/>
  <c r="EI21" i="12"/>
  <c r="EJ21" i="12"/>
  <c r="EK21" i="12"/>
  <c r="EM21" i="12"/>
  <c r="EN21" i="12"/>
  <c r="EO21" i="12"/>
  <c r="EP21" i="12"/>
  <c r="EQ21" i="12"/>
  <c r="ER21" i="12"/>
  <c r="ES21" i="12"/>
  <c r="ET21" i="12"/>
  <c r="EU21" i="12"/>
  <c r="EV21" i="12"/>
  <c r="EW21" i="12"/>
  <c r="EX21" i="12"/>
  <c r="EY21" i="12"/>
  <c r="EZ21" i="12"/>
  <c r="FA21" i="12"/>
  <c r="FB21" i="12"/>
  <c r="FC21" i="12"/>
  <c r="FD21" i="12"/>
  <c r="FE21" i="12"/>
  <c r="FF21" i="12"/>
  <c r="FG21" i="12"/>
  <c r="FH21" i="12"/>
  <c r="FI21" i="12"/>
  <c r="FJ21" i="12"/>
  <c r="FK21" i="12"/>
  <c r="FL21" i="12"/>
  <c r="FM21" i="12"/>
  <c r="FN21" i="12"/>
  <c r="FO21" i="12"/>
  <c r="FP21" i="12"/>
  <c r="FQ21" i="12"/>
  <c r="FR21" i="12"/>
  <c r="FS21" i="12"/>
  <c r="FT21" i="12"/>
  <c r="FU21" i="12"/>
  <c r="FV21" i="12"/>
  <c r="FW21" i="12"/>
  <c r="FX21" i="12"/>
  <c r="FY21" i="12"/>
  <c r="FZ21" i="12"/>
  <c r="GA21" i="12"/>
  <c r="GB21" i="12"/>
  <c r="GC21" i="12"/>
  <c r="GD21" i="12"/>
  <c r="GE21" i="12"/>
  <c r="GF21" i="12"/>
  <c r="GG21" i="12"/>
  <c r="GH21" i="12"/>
  <c r="GI21" i="12"/>
  <c r="GJ21" i="12"/>
  <c r="GK21" i="12"/>
  <c r="GL21" i="12"/>
  <c r="GM21" i="12"/>
  <c r="GN21" i="12"/>
  <c r="GO21" i="12"/>
  <c r="GP21" i="12"/>
  <c r="GQ21" i="12"/>
  <c r="GR21" i="12"/>
  <c r="GS21" i="12"/>
  <c r="GT21" i="12"/>
  <c r="GU21" i="12"/>
  <c r="GV21" i="12"/>
  <c r="GW21" i="12"/>
  <c r="GX21" i="12"/>
  <c r="GY21" i="12"/>
  <c r="GZ21" i="12"/>
  <c r="HA21" i="12"/>
  <c r="HB21" i="12"/>
  <c r="HC21" i="12"/>
  <c r="HD21" i="12"/>
  <c r="HE21" i="12"/>
  <c r="HF21" i="12"/>
  <c r="HG21" i="12"/>
  <c r="HH21" i="12"/>
  <c r="HI21" i="12"/>
  <c r="HJ21" i="12"/>
  <c r="HK21" i="12"/>
  <c r="HL21" i="12"/>
  <c r="HM21" i="12"/>
  <c r="HN21" i="12"/>
  <c r="HO21" i="12"/>
  <c r="HP21" i="12"/>
  <c r="HQ21" i="12"/>
  <c r="HR21" i="12"/>
  <c r="HS21" i="12"/>
  <c r="HT21" i="12"/>
  <c r="HU21" i="12"/>
  <c r="HV21" i="12"/>
  <c r="HW21" i="12"/>
  <c r="HX21" i="12"/>
  <c r="HY21" i="12"/>
  <c r="HZ21" i="12"/>
  <c r="IA21" i="12"/>
  <c r="IB21" i="12"/>
  <c r="IC21" i="12"/>
  <c r="ID21" i="12"/>
  <c r="IE21" i="12"/>
  <c r="IF21" i="12"/>
  <c r="IG21" i="12"/>
  <c r="IH21" i="12"/>
  <c r="II21" i="12"/>
  <c r="IJ21" i="12"/>
  <c r="IK21" i="12"/>
  <c r="IL21" i="12"/>
  <c r="IM21" i="12"/>
  <c r="IN21" i="12"/>
  <c r="IO21" i="12"/>
  <c r="IP21" i="12"/>
  <c r="IQ21" i="12"/>
  <c r="IR21" i="12"/>
  <c r="IS21" i="12"/>
  <c r="IT21" i="12"/>
  <c r="IU21" i="12"/>
  <c r="IV21" i="12"/>
  <c r="A20" i="12"/>
  <c r="B20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O20" i="12"/>
  <c r="CP20" i="12"/>
  <c r="CQ20" i="12"/>
  <c r="CR20" i="12"/>
  <c r="CS20" i="12"/>
  <c r="CT20" i="12"/>
  <c r="CU20" i="12"/>
  <c r="CV20" i="12"/>
  <c r="CW20" i="12"/>
  <c r="CX20" i="12"/>
  <c r="CY20" i="12"/>
  <c r="CZ20" i="12"/>
  <c r="DA20" i="12"/>
  <c r="DB20" i="12"/>
  <c r="DC20" i="12"/>
  <c r="DD20" i="12"/>
  <c r="DE20" i="12"/>
  <c r="DF20" i="12"/>
  <c r="DG20" i="12"/>
  <c r="DH20" i="12"/>
  <c r="DI20" i="12"/>
  <c r="DJ20" i="12"/>
  <c r="DK20" i="12"/>
  <c r="DL20" i="12"/>
  <c r="DM20" i="12"/>
  <c r="DN20" i="12"/>
  <c r="DO20" i="12"/>
  <c r="DP20" i="12"/>
  <c r="DQ20" i="12"/>
  <c r="DR20" i="12"/>
  <c r="DS20" i="12"/>
  <c r="DT20" i="12"/>
  <c r="DU20" i="12"/>
  <c r="DV20" i="12"/>
  <c r="DW20" i="12"/>
  <c r="DX20" i="12"/>
  <c r="DY20" i="12"/>
  <c r="DZ20" i="12"/>
  <c r="EA20" i="12"/>
  <c r="EB20" i="12"/>
  <c r="EC20" i="12"/>
  <c r="ED20" i="12"/>
  <c r="EE20" i="12"/>
  <c r="EF20" i="12"/>
  <c r="EG20" i="12"/>
  <c r="EH20" i="12"/>
  <c r="EI20" i="12"/>
  <c r="EJ20" i="12"/>
  <c r="EK20" i="12"/>
  <c r="EL20" i="12"/>
  <c r="EM20" i="12"/>
  <c r="EN20" i="12"/>
  <c r="EO20" i="12"/>
  <c r="EP20" i="12"/>
  <c r="EQ20" i="12"/>
  <c r="ER20" i="12"/>
  <c r="ES20" i="12"/>
  <c r="ET20" i="12"/>
  <c r="EU20" i="12"/>
  <c r="EV20" i="12"/>
  <c r="EW20" i="12"/>
  <c r="EX20" i="12"/>
  <c r="EY20" i="12"/>
  <c r="EZ20" i="12"/>
  <c r="FA20" i="12"/>
  <c r="FB20" i="12"/>
  <c r="FC20" i="12"/>
  <c r="FD20" i="12"/>
  <c r="FE20" i="12"/>
  <c r="FF20" i="12"/>
  <c r="FG20" i="12"/>
  <c r="FH20" i="12"/>
  <c r="FI20" i="12"/>
  <c r="FJ20" i="12"/>
  <c r="FK20" i="12"/>
  <c r="FL20" i="12"/>
  <c r="FM20" i="12"/>
  <c r="FN20" i="12"/>
  <c r="FO20" i="12"/>
  <c r="FP20" i="12"/>
  <c r="FQ20" i="12"/>
  <c r="FR20" i="12"/>
  <c r="FS20" i="12"/>
  <c r="FT20" i="12"/>
  <c r="FU20" i="12"/>
  <c r="FV20" i="12"/>
  <c r="FW20" i="12"/>
  <c r="FX20" i="12"/>
  <c r="FY20" i="12"/>
  <c r="FZ20" i="12"/>
  <c r="GA20" i="12"/>
  <c r="GB20" i="12"/>
  <c r="GC20" i="12"/>
  <c r="GD20" i="12"/>
  <c r="GE20" i="12"/>
  <c r="GF20" i="12"/>
  <c r="GG20" i="12"/>
  <c r="GH20" i="12"/>
  <c r="GI20" i="12"/>
  <c r="GJ20" i="12"/>
  <c r="GK20" i="12"/>
  <c r="GL20" i="12"/>
  <c r="GM20" i="12"/>
  <c r="GN20" i="12"/>
  <c r="GO20" i="12"/>
  <c r="GP20" i="12"/>
  <c r="GQ20" i="12"/>
  <c r="GR20" i="12"/>
  <c r="GS20" i="12"/>
  <c r="GT20" i="12"/>
  <c r="GU20" i="12"/>
  <c r="GV20" i="12"/>
  <c r="GW20" i="12"/>
  <c r="GX20" i="12"/>
  <c r="GY20" i="12"/>
  <c r="GZ20" i="12"/>
  <c r="HA20" i="12"/>
  <c r="HB20" i="12"/>
  <c r="HC20" i="12"/>
  <c r="HD20" i="12"/>
  <c r="HE20" i="12"/>
  <c r="HF20" i="12"/>
  <c r="HG20" i="12"/>
  <c r="HH20" i="12"/>
  <c r="HI20" i="12"/>
  <c r="HJ20" i="12"/>
  <c r="HK20" i="12"/>
  <c r="HL20" i="12"/>
  <c r="HM20" i="12"/>
  <c r="HN20" i="12"/>
  <c r="HO20" i="12"/>
  <c r="HP20" i="12"/>
  <c r="HQ20" i="12"/>
  <c r="HR20" i="12"/>
  <c r="HS20" i="12"/>
  <c r="HT20" i="12"/>
  <c r="HU20" i="12"/>
  <c r="HV20" i="12"/>
  <c r="HW20" i="12"/>
  <c r="HX20" i="12"/>
  <c r="HY20" i="12"/>
  <c r="HZ20" i="12"/>
  <c r="IA20" i="12"/>
  <c r="IB20" i="12"/>
  <c r="IC20" i="12"/>
  <c r="ID20" i="12"/>
  <c r="IE20" i="12"/>
  <c r="IF20" i="12"/>
  <c r="IG20" i="12"/>
  <c r="IH20" i="12"/>
  <c r="II20" i="12"/>
  <c r="IJ20" i="12"/>
  <c r="IK20" i="12"/>
  <c r="IL20" i="12"/>
  <c r="IM20" i="12"/>
  <c r="IN20" i="12"/>
  <c r="IO20" i="12"/>
  <c r="IP20" i="12"/>
  <c r="IQ20" i="12"/>
  <c r="IR20" i="12"/>
  <c r="IS20" i="12"/>
  <c r="IT20" i="12"/>
  <c r="IU20" i="12"/>
  <c r="IV20" i="12"/>
  <c r="A19" i="12"/>
  <c r="B19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O19" i="12"/>
  <c r="CP19" i="12"/>
  <c r="CQ19" i="12"/>
  <c r="CR19" i="12"/>
  <c r="CS19" i="12"/>
  <c r="CT19" i="12"/>
  <c r="CU19" i="12"/>
  <c r="CV19" i="12"/>
  <c r="CW19" i="12"/>
  <c r="CX19" i="12"/>
  <c r="CY19" i="12"/>
  <c r="CZ19" i="12"/>
  <c r="DA19" i="12"/>
  <c r="DB19" i="12"/>
  <c r="DC19" i="12"/>
  <c r="DD19" i="12"/>
  <c r="DE19" i="12"/>
  <c r="DF19" i="12"/>
  <c r="DG19" i="12"/>
  <c r="DH19" i="12"/>
  <c r="DI19" i="12"/>
  <c r="DJ19" i="12"/>
  <c r="DK19" i="12"/>
  <c r="DL19" i="12"/>
  <c r="DM19" i="12"/>
  <c r="DN19" i="12"/>
  <c r="DO19" i="12"/>
  <c r="DP19" i="12"/>
  <c r="DQ19" i="12"/>
  <c r="DR19" i="12"/>
  <c r="DS19" i="12"/>
  <c r="DT19" i="12"/>
  <c r="DU19" i="12"/>
  <c r="DV19" i="12"/>
  <c r="DW19" i="12"/>
  <c r="DX19" i="12"/>
  <c r="DY19" i="12"/>
  <c r="DZ19" i="12"/>
  <c r="EA19" i="12"/>
  <c r="EB19" i="12"/>
  <c r="EC19" i="12"/>
  <c r="ED19" i="12"/>
  <c r="EE19" i="12"/>
  <c r="EF19" i="12"/>
  <c r="EG19" i="12"/>
  <c r="EH19" i="12"/>
  <c r="EI19" i="12"/>
  <c r="EJ19" i="12"/>
  <c r="EK19" i="12"/>
  <c r="EL19" i="12"/>
  <c r="EM19" i="12"/>
  <c r="EN19" i="12"/>
  <c r="EO19" i="12"/>
  <c r="EP19" i="12"/>
  <c r="EQ19" i="12"/>
  <c r="ER19" i="12"/>
  <c r="ES19" i="12"/>
  <c r="ET19" i="12"/>
  <c r="EU19" i="12"/>
  <c r="EV19" i="12"/>
  <c r="EW19" i="12"/>
  <c r="EX19" i="12"/>
  <c r="EY19" i="12"/>
  <c r="EZ19" i="12"/>
  <c r="FA19" i="12"/>
  <c r="FB19" i="12"/>
  <c r="FC19" i="12"/>
  <c r="FD19" i="12"/>
  <c r="FE19" i="12"/>
  <c r="FF19" i="12"/>
  <c r="FG19" i="12"/>
  <c r="FH19" i="12"/>
  <c r="FI19" i="12"/>
  <c r="FJ19" i="12"/>
  <c r="FK19" i="12"/>
  <c r="FL19" i="12"/>
  <c r="FM19" i="12"/>
  <c r="FN19" i="12"/>
  <c r="FO19" i="12"/>
  <c r="FP19" i="12"/>
  <c r="FQ19" i="12"/>
  <c r="FR19" i="12"/>
  <c r="FS19" i="12"/>
  <c r="FT19" i="12"/>
  <c r="FU19" i="12"/>
  <c r="FV19" i="12"/>
  <c r="FW19" i="12"/>
  <c r="FX19" i="12"/>
  <c r="FY19" i="12"/>
  <c r="FZ19" i="12"/>
  <c r="GA19" i="12"/>
  <c r="GB19" i="12"/>
  <c r="GC19" i="12"/>
  <c r="GD19" i="12"/>
  <c r="GE19" i="12"/>
  <c r="GF19" i="12"/>
  <c r="GG19" i="12"/>
  <c r="GH19" i="12"/>
  <c r="GI19" i="12"/>
  <c r="GJ19" i="12"/>
  <c r="GK19" i="12"/>
  <c r="GL19" i="12"/>
  <c r="GM19" i="12"/>
  <c r="GN19" i="12"/>
  <c r="GO19" i="12"/>
  <c r="GP19" i="12"/>
  <c r="GQ19" i="12"/>
  <c r="GR19" i="12"/>
  <c r="GS19" i="12"/>
  <c r="GT19" i="12"/>
  <c r="GU19" i="12"/>
  <c r="GV19" i="12"/>
  <c r="GW19" i="12"/>
  <c r="GX19" i="12"/>
  <c r="GY19" i="12"/>
  <c r="GZ19" i="12"/>
  <c r="HA19" i="12"/>
  <c r="HB19" i="12"/>
  <c r="HC19" i="12"/>
  <c r="HD19" i="12"/>
  <c r="HE19" i="12"/>
  <c r="HF19" i="12"/>
  <c r="HG19" i="12"/>
  <c r="HH19" i="12"/>
  <c r="HI19" i="12"/>
  <c r="HJ19" i="12"/>
  <c r="HK19" i="12"/>
  <c r="HL19" i="12"/>
  <c r="HM19" i="12"/>
  <c r="HN19" i="12"/>
  <c r="HO19" i="12"/>
  <c r="HP19" i="12"/>
  <c r="HQ19" i="12"/>
  <c r="HR19" i="12"/>
  <c r="HS19" i="12"/>
  <c r="HT19" i="12"/>
  <c r="HU19" i="12"/>
  <c r="HV19" i="12"/>
  <c r="HW19" i="12"/>
  <c r="HX19" i="12"/>
  <c r="HY19" i="12"/>
  <c r="HZ19" i="12"/>
  <c r="IA19" i="12"/>
  <c r="IB19" i="12"/>
  <c r="IC19" i="12"/>
  <c r="ID19" i="12"/>
  <c r="IE19" i="12"/>
  <c r="IF19" i="12"/>
  <c r="IG19" i="12"/>
  <c r="IH19" i="12"/>
  <c r="II19" i="12"/>
  <c r="IJ19" i="12"/>
  <c r="IK19" i="12"/>
  <c r="IL19" i="12"/>
  <c r="IM19" i="12"/>
  <c r="IN19" i="12"/>
  <c r="IO19" i="12"/>
  <c r="IP19" i="12"/>
  <c r="IQ19" i="12"/>
  <c r="IR19" i="12"/>
  <c r="IS19" i="12"/>
  <c r="IT19" i="12"/>
  <c r="IU19" i="12"/>
  <c r="IV19" i="12"/>
  <c r="A18" i="12"/>
  <c r="B18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O18" i="12"/>
  <c r="CP18" i="12"/>
  <c r="CQ18" i="12"/>
  <c r="CR18" i="12"/>
  <c r="CS18" i="12"/>
  <c r="CT18" i="12"/>
  <c r="CU18" i="12"/>
  <c r="CV18" i="12"/>
  <c r="CW18" i="12"/>
  <c r="CX18" i="12"/>
  <c r="CY18" i="12"/>
  <c r="CZ18" i="12"/>
  <c r="DA18" i="12"/>
  <c r="DB18" i="12"/>
  <c r="DC18" i="12"/>
  <c r="DD18" i="12"/>
  <c r="DE18" i="12"/>
  <c r="DF18" i="12"/>
  <c r="DG18" i="12"/>
  <c r="DH18" i="12"/>
  <c r="DI18" i="12"/>
  <c r="DJ18" i="12"/>
  <c r="DK18" i="12"/>
  <c r="DL18" i="12"/>
  <c r="DM18" i="12"/>
  <c r="DN18" i="12"/>
  <c r="DO18" i="12"/>
  <c r="DP18" i="12"/>
  <c r="DQ18" i="12"/>
  <c r="DR18" i="12"/>
  <c r="DS18" i="12"/>
  <c r="DT18" i="12"/>
  <c r="DU18" i="12"/>
  <c r="DV18" i="12"/>
  <c r="DW18" i="12"/>
  <c r="DX18" i="12"/>
  <c r="DY18" i="12"/>
  <c r="DZ18" i="12"/>
  <c r="EA18" i="12"/>
  <c r="EB18" i="12"/>
  <c r="EC18" i="12"/>
  <c r="ED18" i="12"/>
  <c r="EE18" i="12"/>
  <c r="EF18" i="12"/>
  <c r="EG18" i="12"/>
  <c r="EH18" i="12"/>
  <c r="EI18" i="12"/>
  <c r="EJ18" i="12"/>
  <c r="EK18" i="12"/>
  <c r="EL18" i="12"/>
  <c r="EM18" i="12"/>
  <c r="EN18" i="12"/>
  <c r="EO18" i="12"/>
  <c r="EP18" i="12"/>
  <c r="EQ18" i="12"/>
  <c r="ER18" i="12"/>
  <c r="ES18" i="12"/>
  <c r="ET18" i="12"/>
  <c r="EU18" i="12"/>
  <c r="EV18" i="12"/>
  <c r="EW18" i="12"/>
  <c r="EX18" i="12"/>
  <c r="EY18" i="12"/>
  <c r="EZ18" i="12"/>
  <c r="FA18" i="12"/>
  <c r="FB18" i="12"/>
  <c r="FC18" i="12"/>
  <c r="FD18" i="12"/>
  <c r="FE18" i="12"/>
  <c r="FF18" i="12"/>
  <c r="FG18" i="12"/>
  <c r="FH18" i="12"/>
  <c r="FI18" i="12"/>
  <c r="FJ18" i="12"/>
  <c r="FK18" i="12"/>
  <c r="FL18" i="12"/>
  <c r="FM18" i="12"/>
  <c r="FN18" i="12"/>
  <c r="FO18" i="12"/>
  <c r="FP18" i="12"/>
  <c r="FQ18" i="12"/>
  <c r="FR18" i="12"/>
  <c r="FS18" i="12"/>
  <c r="FT18" i="12"/>
  <c r="FU18" i="12"/>
  <c r="FV18" i="12"/>
  <c r="FW18" i="12"/>
  <c r="FX18" i="12"/>
  <c r="FY18" i="12"/>
  <c r="FZ18" i="12"/>
  <c r="GA18" i="12"/>
  <c r="GB18" i="12"/>
  <c r="GC18" i="12"/>
  <c r="GD18" i="12"/>
  <c r="GE18" i="12"/>
  <c r="GF18" i="12"/>
  <c r="GG18" i="12"/>
  <c r="GH18" i="12"/>
  <c r="GI18" i="12"/>
  <c r="GJ18" i="12"/>
  <c r="GK18" i="12"/>
  <c r="GL18" i="12"/>
  <c r="GM18" i="12"/>
  <c r="GN18" i="12"/>
  <c r="GO18" i="12"/>
  <c r="GP18" i="12"/>
  <c r="GQ18" i="12"/>
  <c r="GR18" i="12"/>
  <c r="GS18" i="12"/>
  <c r="GT18" i="12"/>
  <c r="GU18" i="12"/>
  <c r="GV18" i="12"/>
  <c r="GW18" i="12"/>
  <c r="GX18" i="12"/>
  <c r="GY18" i="12"/>
  <c r="GZ18" i="12"/>
  <c r="HA18" i="12"/>
  <c r="HB18" i="12"/>
  <c r="HC18" i="12"/>
  <c r="HD18" i="12"/>
  <c r="HE18" i="12"/>
  <c r="HF18" i="12"/>
  <c r="HG18" i="12"/>
  <c r="HH18" i="12"/>
  <c r="HI18" i="12"/>
  <c r="HJ18" i="12"/>
  <c r="HK18" i="12"/>
  <c r="HL18" i="12"/>
  <c r="HM18" i="12"/>
  <c r="HN18" i="12"/>
  <c r="HO18" i="12"/>
  <c r="HP18" i="12"/>
  <c r="HQ18" i="12"/>
  <c r="HR18" i="12"/>
  <c r="HS18" i="12"/>
  <c r="HT18" i="12"/>
  <c r="HU18" i="12"/>
  <c r="HV18" i="12"/>
  <c r="HW18" i="12"/>
  <c r="HX18" i="12"/>
  <c r="HY18" i="12"/>
  <c r="HZ18" i="12"/>
  <c r="IA18" i="12"/>
  <c r="IB18" i="12"/>
  <c r="IC18" i="12"/>
  <c r="ID18" i="12"/>
  <c r="IE18" i="12"/>
  <c r="IF18" i="12"/>
  <c r="IG18" i="12"/>
  <c r="IH18" i="12"/>
  <c r="II18" i="12"/>
  <c r="IJ18" i="12"/>
  <c r="IK18" i="12"/>
  <c r="IL18" i="12"/>
  <c r="IM18" i="12"/>
  <c r="IN18" i="12"/>
  <c r="IO18" i="12"/>
  <c r="IP18" i="12"/>
  <c r="IQ18" i="12"/>
  <c r="IR18" i="12"/>
  <c r="IS18" i="12"/>
  <c r="IT18" i="12"/>
  <c r="IU18" i="12"/>
  <c r="IV18" i="12"/>
  <c r="A17" i="12"/>
  <c r="B17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O17" i="12"/>
  <c r="CP17" i="12"/>
  <c r="CQ17" i="12"/>
  <c r="CR17" i="12"/>
  <c r="CS17" i="12"/>
  <c r="CT17" i="12"/>
  <c r="CU17" i="12"/>
  <c r="CV17" i="12"/>
  <c r="CW17" i="12"/>
  <c r="CX17" i="12"/>
  <c r="CY17" i="12"/>
  <c r="CZ17" i="12"/>
  <c r="DA17" i="12"/>
  <c r="DB17" i="12"/>
  <c r="DC17" i="12"/>
  <c r="DD17" i="12"/>
  <c r="DE17" i="12"/>
  <c r="DF17" i="12"/>
  <c r="DG17" i="12"/>
  <c r="DH17" i="12"/>
  <c r="DI17" i="12"/>
  <c r="DJ17" i="12"/>
  <c r="DK17" i="12"/>
  <c r="DL17" i="12"/>
  <c r="DM17" i="12"/>
  <c r="DN17" i="12"/>
  <c r="DO17" i="12"/>
  <c r="DP17" i="12"/>
  <c r="DQ17" i="12"/>
  <c r="DR17" i="12"/>
  <c r="DS17" i="12"/>
  <c r="DT17" i="12"/>
  <c r="DU17" i="12"/>
  <c r="DV17" i="12"/>
  <c r="DW17" i="12"/>
  <c r="DX17" i="12"/>
  <c r="DY17" i="12"/>
  <c r="DZ17" i="12"/>
  <c r="EA17" i="12"/>
  <c r="EB17" i="12"/>
  <c r="EC17" i="12"/>
  <c r="ED17" i="12"/>
  <c r="EE17" i="12"/>
  <c r="EF17" i="12"/>
  <c r="EG17" i="12"/>
  <c r="EH17" i="12"/>
  <c r="EI17" i="12"/>
  <c r="EJ17" i="12"/>
  <c r="EK17" i="12"/>
  <c r="EL17" i="12"/>
  <c r="EM17" i="12"/>
  <c r="EN17" i="12"/>
  <c r="EO17" i="12"/>
  <c r="EP17" i="12"/>
  <c r="EQ17" i="12"/>
  <c r="ER17" i="12"/>
  <c r="ES17" i="12"/>
  <c r="ET17" i="12"/>
  <c r="EU17" i="12"/>
  <c r="EV17" i="12"/>
  <c r="EW17" i="12"/>
  <c r="EX17" i="12"/>
  <c r="EY17" i="12"/>
  <c r="EZ17" i="12"/>
  <c r="FA17" i="12"/>
  <c r="FB17" i="12"/>
  <c r="FC17" i="12"/>
  <c r="FD17" i="12"/>
  <c r="FE17" i="12"/>
  <c r="FF17" i="12"/>
  <c r="FG17" i="12"/>
  <c r="FH17" i="12"/>
  <c r="FI17" i="12"/>
  <c r="FJ17" i="12"/>
  <c r="FK17" i="12"/>
  <c r="FL17" i="12"/>
  <c r="FM17" i="12"/>
  <c r="FN17" i="12"/>
  <c r="FO17" i="12"/>
  <c r="FP17" i="12"/>
  <c r="FQ17" i="12"/>
  <c r="FR17" i="12"/>
  <c r="FS17" i="12"/>
  <c r="FT17" i="12"/>
  <c r="FU17" i="12"/>
  <c r="FV17" i="12"/>
  <c r="FW17" i="12"/>
  <c r="FX17" i="12"/>
  <c r="FY17" i="12"/>
  <c r="FZ17" i="12"/>
  <c r="GA17" i="12"/>
  <c r="GB17" i="12"/>
  <c r="GC17" i="12"/>
  <c r="GD17" i="12"/>
  <c r="GE17" i="12"/>
  <c r="GF17" i="12"/>
  <c r="GG17" i="12"/>
  <c r="GH17" i="12"/>
  <c r="GI17" i="12"/>
  <c r="GJ17" i="12"/>
  <c r="GK17" i="12"/>
  <c r="GL17" i="12"/>
  <c r="GM17" i="12"/>
  <c r="GN17" i="12"/>
  <c r="GO17" i="12"/>
  <c r="GP17" i="12"/>
  <c r="GQ17" i="12"/>
  <c r="GR17" i="12"/>
  <c r="GS17" i="12"/>
  <c r="GT17" i="12"/>
  <c r="GU17" i="12"/>
  <c r="GV17" i="12"/>
  <c r="GW17" i="12"/>
  <c r="GX17" i="12"/>
  <c r="GY17" i="12"/>
  <c r="GZ17" i="12"/>
  <c r="HA17" i="12"/>
  <c r="HB17" i="12"/>
  <c r="HC17" i="12"/>
  <c r="HD17" i="12"/>
  <c r="HE17" i="12"/>
  <c r="HF17" i="12"/>
  <c r="HG17" i="12"/>
  <c r="HH17" i="12"/>
  <c r="HI17" i="12"/>
  <c r="HJ17" i="12"/>
  <c r="HK17" i="12"/>
  <c r="HL17" i="12"/>
  <c r="HM17" i="12"/>
  <c r="HN17" i="12"/>
  <c r="HO17" i="12"/>
  <c r="HP17" i="12"/>
  <c r="HQ17" i="12"/>
  <c r="HR17" i="12"/>
  <c r="HS17" i="12"/>
  <c r="HT17" i="12"/>
  <c r="HU17" i="12"/>
  <c r="HV17" i="12"/>
  <c r="HW17" i="12"/>
  <c r="HX17" i="12"/>
  <c r="HY17" i="12"/>
  <c r="HZ17" i="12"/>
  <c r="IA17" i="12"/>
  <c r="IB17" i="12"/>
  <c r="IC17" i="12"/>
  <c r="ID17" i="12"/>
  <c r="IE17" i="12"/>
  <c r="IF17" i="12"/>
  <c r="IG17" i="12"/>
  <c r="IH17" i="12"/>
  <c r="II17" i="12"/>
  <c r="IJ17" i="12"/>
  <c r="IK17" i="12"/>
  <c r="IL17" i="12"/>
  <c r="IM17" i="12"/>
  <c r="IN17" i="12"/>
  <c r="IO17" i="12"/>
  <c r="IP17" i="12"/>
  <c r="IQ17" i="12"/>
  <c r="IR17" i="12"/>
  <c r="IS17" i="12"/>
  <c r="IT17" i="12"/>
  <c r="IU17" i="12"/>
  <c r="IV17" i="12"/>
  <c r="A16" i="12"/>
  <c r="B16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O16" i="12"/>
  <c r="CP16" i="12"/>
  <c r="CQ16" i="12"/>
  <c r="CR16" i="12"/>
  <c r="CS16" i="12"/>
  <c r="CT16" i="12"/>
  <c r="CU16" i="12"/>
  <c r="CV16" i="12"/>
  <c r="CW16" i="12"/>
  <c r="CX16" i="12"/>
  <c r="CY16" i="12"/>
  <c r="CZ16" i="12"/>
  <c r="DA16" i="12"/>
  <c r="DB16" i="12"/>
  <c r="DC16" i="12"/>
  <c r="DD16" i="12"/>
  <c r="DE16" i="12"/>
  <c r="DF16" i="12"/>
  <c r="DG16" i="12"/>
  <c r="DH16" i="12"/>
  <c r="DI16" i="12"/>
  <c r="DJ16" i="12"/>
  <c r="DK16" i="12"/>
  <c r="DL16" i="12"/>
  <c r="DM16" i="12"/>
  <c r="DN16" i="12"/>
  <c r="DO16" i="12"/>
  <c r="DP16" i="12"/>
  <c r="DQ16" i="12"/>
  <c r="DR16" i="12"/>
  <c r="DS16" i="12"/>
  <c r="DT16" i="12"/>
  <c r="DU16" i="12"/>
  <c r="DV16" i="12"/>
  <c r="DW16" i="12"/>
  <c r="DX16" i="12"/>
  <c r="DY16" i="12"/>
  <c r="DZ16" i="12"/>
  <c r="EA16" i="12"/>
  <c r="EB16" i="12"/>
  <c r="EC16" i="12"/>
  <c r="ED16" i="12"/>
  <c r="EE16" i="12"/>
  <c r="EF16" i="12"/>
  <c r="EG16" i="12"/>
  <c r="EH16" i="12"/>
  <c r="EI16" i="12"/>
  <c r="EJ16" i="12"/>
  <c r="EK16" i="12"/>
  <c r="EL16" i="12"/>
  <c r="EM16" i="12"/>
  <c r="EN16" i="12"/>
  <c r="EO16" i="12"/>
  <c r="EP16" i="12"/>
  <c r="EQ16" i="12"/>
  <c r="ER16" i="12"/>
  <c r="ES16" i="12"/>
  <c r="ET16" i="12"/>
  <c r="EU16" i="12"/>
  <c r="EV16" i="12"/>
  <c r="EW16" i="12"/>
  <c r="EX16" i="12"/>
  <c r="EY16" i="12"/>
  <c r="EZ16" i="12"/>
  <c r="FA16" i="12"/>
  <c r="FB16" i="12"/>
  <c r="FC16" i="12"/>
  <c r="FD16" i="12"/>
  <c r="FE16" i="12"/>
  <c r="FF16" i="12"/>
  <c r="FG16" i="12"/>
  <c r="FH16" i="12"/>
  <c r="FI16" i="12"/>
  <c r="FJ16" i="12"/>
  <c r="FK16" i="12"/>
  <c r="FL16" i="12"/>
  <c r="FM16" i="12"/>
  <c r="FN16" i="12"/>
  <c r="FO16" i="12"/>
  <c r="FP16" i="12"/>
  <c r="FQ16" i="12"/>
  <c r="FR16" i="12"/>
  <c r="FS16" i="12"/>
  <c r="FT16" i="12"/>
  <c r="FU16" i="12"/>
  <c r="FV16" i="12"/>
  <c r="FW16" i="12"/>
  <c r="FX16" i="12"/>
  <c r="FY16" i="12"/>
  <c r="FZ16" i="12"/>
  <c r="GA16" i="12"/>
  <c r="GB16" i="12"/>
  <c r="GC16" i="12"/>
  <c r="GD16" i="12"/>
  <c r="GE16" i="12"/>
  <c r="GF16" i="12"/>
  <c r="GG16" i="12"/>
  <c r="GH16" i="12"/>
  <c r="GI16" i="12"/>
  <c r="GJ16" i="12"/>
  <c r="GK16" i="12"/>
  <c r="GL16" i="12"/>
  <c r="GM16" i="12"/>
  <c r="GN16" i="12"/>
  <c r="GO16" i="12"/>
  <c r="GP16" i="12"/>
  <c r="GQ16" i="12"/>
  <c r="GR16" i="12"/>
  <c r="GS16" i="12"/>
  <c r="GT16" i="12"/>
  <c r="GU16" i="12"/>
  <c r="GV16" i="12"/>
  <c r="GW16" i="12"/>
  <c r="GX16" i="12"/>
  <c r="GY16" i="12"/>
  <c r="GZ16" i="12"/>
  <c r="HA16" i="12"/>
  <c r="HB16" i="12"/>
  <c r="HC16" i="12"/>
  <c r="HD16" i="12"/>
  <c r="HE16" i="12"/>
  <c r="HF16" i="12"/>
  <c r="HG16" i="12"/>
  <c r="HH16" i="12"/>
  <c r="HI16" i="12"/>
  <c r="HJ16" i="12"/>
  <c r="HK16" i="12"/>
  <c r="HL16" i="12"/>
  <c r="HM16" i="12"/>
  <c r="HN16" i="12"/>
  <c r="HO16" i="12"/>
  <c r="HP16" i="12"/>
  <c r="HQ16" i="12"/>
  <c r="HR16" i="12"/>
  <c r="HS16" i="12"/>
  <c r="HT16" i="12"/>
  <c r="HU16" i="12"/>
  <c r="HV16" i="12"/>
  <c r="HW16" i="12"/>
  <c r="HX16" i="12"/>
  <c r="HY16" i="12"/>
  <c r="HZ16" i="12"/>
  <c r="IA16" i="12"/>
  <c r="IB16" i="12"/>
  <c r="IC16" i="12"/>
  <c r="ID16" i="12"/>
  <c r="IE16" i="12"/>
  <c r="IF16" i="12"/>
  <c r="IG16" i="12"/>
  <c r="IH16" i="12"/>
  <c r="II16" i="12"/>
  <c r="IJ16" i="12"/>
  <c r="IK16" i="12"/>
  <c r="IL16" i="12"/>
  <c r="IM16" i="12"/>
  <c r="IN16" i="12"/>
  <c r="IO16" i="12"/>
  <c r="IP16" i="12"/>
  <c r="IQ16" i="12"/>
  <c r="IR16" i="12"/>
  <c r="IS16" i="12"/>
  <c r="IT16" i="12"/>
  <c r="IU16" i="12"/>
  <c r="IV16" i="12"/>
  <c r="A15" i="12"/>
  <c r="B15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CW15" i="12"/>
  <c r="CX15" i="12"/>
  <c r="CY15" i="12"/>
  <c r="CZ15" i="12"/>
  <c r="DA15" i="12"/>
  <c r="DB15" i="12"/>
  <c r="DC15" i="12"/>
  <c r="DD15" i="12"/>
  <c r="DE15" i="12"/>
  <c r="DF15" i="12"/>
  <c r="DG15" i="12"/>
  <c r="DH15" i="12"/>
  <c r="DI15" i="12"/>
  <c r="DJ15" i="12"/>
  <c r="DK15" i="12"/>
  <c r="DL15" i="12"/>
  <c r="DM15" i="12"/>
  <c r="DN15" i="12"/>
  <c r="DO15" i="12"/>
  <c r="DP15" i="12"/>
  <c r="DQ15" i="12"/>
  <c r="DR15" i="12"/>
  <c r="DS15" i="12"/>
  <c r="DT15" i="12"/>
  <c r="DU15" i="12"/>
  <c r="DV15" i="12"/>
  <c r="DW15" i="12"/>
  <c r="DX15" i="12"/>
  <c r="DY15" i="12"/>
  <c r="DZ15" i="12"/>
  <c r="EA15" i="12"/>
  <c r="EB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EW15" i="12"/>
  <c r="EX15" i="12"/>
  <c r="EY15" i="12"/>
  <c r="EZ15" i="12"/>
  <c r="FA15" i="12"/>
  <c r="FB15" i="12"/>
  <c r="FC15" i="12"/>
  <c r="FD15" i="12"/>
  <c r="FE15" i="12"/>
  <c r="FF15" i="12"/>
  <c r="FG15" i="12"/>
  <c r="FH15" i="12"/>
  <c r="FI15" i="12"/>
  <c r="FJ15" i="12"/>
  <c r="FK15" i="12"/>
  <c r="FL15" i="12"/>
  <c r="FM15" i="12"/>
  <c r="FN15" i="12"/>
  <c r="FO15" i="12"/>
  <c r="FP15" i="12"/>
  <c r="FQ15" i="12"/>
  <c r="FR15" i="12"/>
  <c r="FS15" i="12"/>
  <c r="FT15" i="12"/>
  <c r="FU15" i="12"/>
  <c r="FV15" i="12"/>
  <c r="FW15" i="12"/>
  <c r="FX15" i="12"/>
  <c r="FY15" i="12"/>
  <c r="FZ15" i="12"/>
  <c r="GA15" i="12"/>
  <c r="GB15" i="12"/>
  <c r="GC15" i="12"/>
  <c r="GD15" i="12"/>
  <c r="GE15" i="12"/>
  <c r="GF15" i="12"/>
  <c r="GG15" i="12"/>
  <c r="GH15" i="12"/>
  <c r="GI15" i="12"/>
  <c r="GJ15" i="12"/>
  <c r="GK15" i="12"/>
  <c r="GL15" i="12"/>
  <c r="GM15" i="12"/>
  <c r="GN15" i="12"/>
  <c r="GO15" i="12"/>
  <c r="GP15" i="12"/>
  <c r="GQ15" i="12"/>
  <c r="GR15" i="12"/>
  <c r="GS15" i="12"/>
  <c r="GT15" i="12"/>
  <c r="GU15" i="12"/>
  <c r="GV15" i="12"/>
  <c r="GW15" i="12"/>
  <c r="GX15" i="12"/>
  <c r="GY15" i="12"/>
  <c r="GZ15" i="12"/>
  <c r="HA15" i="12"/>
  <c r="HB15" i="12"/>
  <c r="HC15" i="12"/>
  <c r="HD15" i="12"/>
  <c r="HE15" i="12"/>
  <c r="HF15" i="12"/>
  <c r="HG15" i="12"/>
  <c r="HH15" i="12"/>
  <c r="HI15" i="12"/>
  <c r="HJ15" i="12"/>
  <c r="HK15" i="12"/>
  <c r="HL15" i="12"/>
  <c r="HM15" i="12"/>
  <c r="HN15" i="12"/>
  <c r="HO15" i="12"/>
  <c r="HP15" i="12"/>
  <c r="HQ15" i="12"/>
  <c r="HR15" i="12"/>
  <c r="HS15" i="12"/>
  <c r="HT15" i="12"/>
  <c r="HU15" i="12"/>
  <c r="HV15" i="12"/>
  <c r="HW15" i="12"/>
  <c r="HX15" i="12"/>
  <c r="HY15" i="12"/>
  <c r="HZ15" i="12"/>
  <c r="IA15" i="12"/>
  <c r="IB15" i="12"/>
  <c r="IC15" i="12"/>
  <c r="ID15" i="12"/>
  <c r="IE15" i="12"/>
  <c r="IF15" i="12"/>
  <c r="IG15" i="12"/>
  <c r="IH15" i="12"/>
  <c r="II15" i="12"/>
  <c r="IJ15" i="12"/>
  <c r="IK15" i="12"/>
  <c r="IL15" i="12"/>
  <c r="IM15" i="12"/>
  <c r="IN15" i="12"/>
  <c r="IO15" i="12"/>
  <c r="IP15" i="12"/>
  <c r="IQ15" i="12"/>
  <c r="IR15" i="12"/>
  <c r="IS15" i="12"/>
  <c r="IT15" i="12"/>
  <c r="IU15" i="12"/>
  <c r="IV15" i="12"/>
  <c r="A14" i="12"/>
  <c r="B14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O14" i="12"/>
  <c r="CP14" i="12"/>
  <c r="CQ14" i="12"/>
  <c r="CR14" i="12"/>
  <c r="CS14" i="12"/>
  <c r="CT14" i="12"/>
  <c r="CU14" i="12"/>
  <c r="CV14" i="12"/>
  <c r="CW14" i="12"/>
  <c r="CX14" i="12"/>
  <c r="CY14" i="12"/>
  <c r="CZ14" i="12"/>
  <c r="DA14" i="12"/>
  <c r="DB14" i="12"/>
  <c r="DC14" i="12"/>
  <c r="DD14" i="12"/>
  <c r="DE14" i="12"/>
  <c r="DF14" i="12"/>
  <c r="DG14" i="12"/>
  <c r="DH14" i="12"/>
  <c r="DI14" i="12"/>
  <c r="DJ14" i="12"/>
  <c r="DK14" i="12"/>
  <c r="DL14" i="12"/>
  <c r="DM14" i="12"/>
  <c r="DN14" i="12"/>
  <c r="DO14" i="12"/>
  <c r="DP14" i="12"/>
  <c r="DQ14" i="12"/>
  <c r="DR14" i="12"/>
  <c r="DS14" i="12"/>
  <c r="DT14" i="12"/>
  <c r="DU14" i="12"/>
  <c r="DV14" i="12"/>
  <c r="DW14" i="12"/>
  <c r="DX14" i="12"/>
  <c r="DY14" i="12"/>
  <c r="DZ14" i="12"/>
  <c r="EA14" i="12"/>
  <c r="EB14" i="12"/>
  <c r="EC14" i="12"/>
  <c r="ED14" i="12"/>
  <c r="EE14" i="12"/>
  <c r="EF14" i="12"/>
  <c r="EG14" i="12"/>
  <c r="EH14" i="12"/>
  <c r="EI14" i="12"/>
  <c r="EJ14" i="12"/>
  <c r="EK14" i="12"/>
  <c r="EL14" i="12"/>
  <c r="EM14" i="12"/>
  <c r="EN14" i="12"/>
  <c r="EO14" i="12"/>
  <c r="EP14" i="12"/>
  <c r="EQ14" i="12"/>
  <c r="ER14" i="12"/>
  <c r="ES14" i="12"/>
  <c r="ET14" i="12"/>
  <c r="EU14" i="12"/>
  <c r="EV14" i="12"/>
  <c r="EW14" i="12"/>
  <c r="EX14" i="12"/>
  <c r="EY14" i="12"/>
  <c r="EZ14" i="12"/>
  <c r="FA14" i="12"/>
  <c r="FB14" i="12"/>
  <c r="FC14" i="12"/>
  <c r="FD14" i="12"/>
  <c r="FE14" i="12"/>
  <c r="FF14" i="12"/>
  <c r="FG14" i="12"/>
  <c r="FH14" i="12"/>
  <c r="FI14" i="12"/>
  <c r="FJ14" i="12"/>
  <c r="FK14" i="12"/>
  <c r="FL14" i="12"/>
  <c r="FM14" i="12"/>
  <c r="FN14" i="12"/>
  <c r="FO14" i="12"/>
  <c r="FP14" i="12"/>
  <c r="FQ14" i="12"/>
  <c r="FR14" i="12"/>
  <c r="FS14" i="12"/>
  <c r="FT14" i="12"/>
  <c r="FU14" i="12"/>
  <c r="FV14" i="12"/>
  <c r="FW14" i="12"/>
  <c r="FX14" i="12"/>
  <c r="FY14" i="12"/>
  <c r="FZ14" i="12"/>
  <c r="GA14" i="12"/>
  <c r="GB14" i="12"/>
  <c r="GC14" i="12"/>
  <c r="GD14" i="12"/>
  <c r="GE14" i="12"/>
  <c r="GF14" i="12"/>
  <c r="GG14" i="12"/>
  <c r="GH14" i="12"/>
  <c r="GI14" i="12"/>
  <c r="GJ14" i="12"/>
  <c r="GK14" i="12"/>
  <c r="GL14" i="12"/>
  <c r="GM14" i="12"/>
  <c r="GN14" i="12"/>
  <c r="GO14" i="12"/>
  <c r="GP14" i="12"/>
  <c r="GQ14" i="12"/>
  <c r="GR14" i="12"/>
  <c r="GS14" i="12"/>
  <c r="GT14" i="12"/>
  <c r="GU14" i="12"/>
  <c r="GV14" i="12"/>
  <c r="GW14" i="12"/>
  <c r="GX14" i="12"/>
  <c r="GY14" i="12"/>
  <c r="GZ14" i="12"/>
  <c r="HA14" i="12"/>
  <c r="HB14" i="12"/>
  <c r="HC14" i="12"/>
  <c r="HD14" i="12"/>
  <c r="HE14" i="12"/>
  <c r="HF14" i="12"/>
  <c r="HG14" i="12"/>
  <c r="HH14" i="12"/>
  <c r="HI14" i="12"/>
  <c r="HJ14" i="12"/>
  <c r="HK14" i="12"/>
  <c r="HL14" i="12"/>
  <c r="HM14" i="12"/>
  <c r="HN14" i="12"/>
  <c r="HO14" i="12"/>
  <c r="HP14" i="12"/>
  <c r="HQ14" i="12"/>
  <c r="HR14" i="12"/>
  <c r="HS14" i="12"/>
  <c r="HT14" i="12"/>
  <c r="HU14" i="12"/>
  <c r="HV14" i="12"/>
  <c r="HW14" i="12"/>
  <c r="HX14" i="12"/>
  <c r="HY14" i="12"/>
  <c r="HZ14" i="12"/>
  <c r="IA14" i="12"/>
  <c r="IB14" i="12"/>
  <c r="IC14" i="12"/>
  <c r="ID14" i="12"/>
  <c r="IE14" i="12"/>
  <c r="IF14" i="12"/>
  <c r="IG14" i="12"/>
  <c r="IH14" i="12"/>
  <c r="II14" i="12"/>
  <c r="IJ14" i="12"/>
  <c r="IK14" i="12"/>
  <c r="IL14" i="12"/>
  <c r="IM14" i="12"/>
  <c r="IN14" i="12"/>
  <c r="IO14" i="12"/>
  <c r="IP14" i="12"/>
  <c r="IQ14" i="12"/>
  <c r="IR14" i="12"/>
  <c r="IS14" i="12"/>
  <c r="IT14" i="12"/>
  <c r="IU14" i="12"/>
  <c r="IV14" i="12"/>
  <c r="A13" i="12"/>
  <c r="B13" i="12"/>
  <c r="C13" i="12"/>
  <c r="D13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O13" i="12"/>
  <c r="CP13" i="12"/>
  <c r="CQ13" i="12"/>
  <c r="CR13" i="12"/>
  <c r="CS13" i="12"/>
  <c r="CT13" i="12"/>
  <c r="CU13" i="12"/>
  <c r="CV13" i="12"/>
  <c r="CW13" i="12"/>
  <c r="CX13" i="12"/>
  <c r="CY13" i="12"/>
  <c r="CZ13" i="12"/>
  <c r="DA13" i="12"/>
  <c r="DB13" i="12"/>
  <c r="DC13" i="12"/>
  <c r="DD13" i="12"/>
  <c r="DE13" i="12"/>
  <c r="DF13" i="12"/>
  <c r="DG13" i="12"/>
  <c r="DH13" i="12"/>
  <c r="DI13" i="12"/>
  <c r="DJ13" i="12"/>
  <c r="DK13" i="12"/>
  <c r="DL13" i="12"/>
  <c r="DM13" i="12"/>
  <c r="DN13" i="12"/>
  <c r="DO13" i="12"/>
  <c r="DP13" i="12"/>
  <c r="DQ13" i="12"/>
  <c r="DR13" i="12"/>
  <c r="DS13" i="12"/>
  <c r="DT13" i="12"/>
  <c r="DU13" i="12"/>
  <c r="DV13" i="12"/>
  <c r="DW13" i="12"/>
  <c r="DX13" i="12"/>
  <c r="DY13" i="12"/>
  <c r="DZ13" i="12"/>
  <c r="EA13" i="12"/>
  <c r="EB13" i="12"/>
  <c r="EC13" i="12"/>
  <c r="ED13" i="12"/>
  <c r="EE13" i="12"/>
  <c r="EF13" i="12"/>
  <c r="EG13" i="12"/>
  <c r="EH13" i="12"/>
  <c r="EI13" i="12"/>
  <c r="EJ13" i="12"/>
  <c r="EK13" i="12"/>
  <c r="EL13" i="12"/>
  <c r="EM13" i="12"/>
  <c r="EN13" i="12"/>
  <c r="EO13" i="12"/>
  <c r="EP13" i="12"/>
  <c r="EQ13" i="12"/>
  <c r="ER13" i="12"/>
  <c r="ES13" i="12"/>
  <c r="ET13" i="12"/>
  <c r="EU13" i="12"/>
  <c r="EV13" i="12"/>
  <c r="EW13" i="12"/>
  <c r="EX13" i="12"/>
  <c r="EY13" i="12"/>
  <c r="EZ13" i="12"/>
  <c r="FA13" i="12"/>
  <c r="FB13" i="12"/>
  <c r="FC13" i="12"/>
  <c r="FD13" i="12"/>
  <c r="FE13" i="12"/>
  <c r="FF13" i="12"/>
  <c r="FG13" i="12"/>
  <c r="FH13" i="12"/>
  <c r="FI13" i="12"/>
  <c r="FJ13" i="12"/>
  <c r="FK13" i="12"/>
  <c r="FL13" i="12"/>
  <c r="FM13" i="12"/>
  <c r="FN13" i="12"/>
  <c r="FO13" i="12"/>
  <c r="FP13" i="12"/>
  <c r="FQ13" i="12"/>
  <c r="FR13" i="12"/>
  <c r="FS13" i="12"/>
  <c r="FT13" i="12"/>
  <c r="FU13" i="12"/>
  <c r="FV13" i="12"/>
  <c r="FW13" i="12"/>
  <c r="FX13" i="12"/>
  <c r="FY13" i="12"/>
  <c r="FZ13" i="12"/>
  <c r="GA13" i="12"/>
  <c r="GB13" i="12"/>
  <c r="GC13" i="12"/>
  <c r="GD13" i="12"/>
  <c r="GE13" i="12"/>
  <c r="GF13" i="12"/>
  <c r="GG13" i="12"/>
  <c r="GH13" i="12"/>
  <c r="GI13" i="12"/>
  <c r="GJ13" i="12"/>
  <c r="GK13" i="12"/>
  <c r="GL13" i="12"/>
  <c r="GM13" i="12"/>
  <c r="GN13" i="12"/>
  <c r="GO13" i="12"/>
  <c r="GP13" i="12"/>
  <c r="GQ13" i="12"/>
  <c r="GR13" i="12"/>
  <c r="GS13" i="12"/>
  <c r="GT13" i="12"/>
  <c r="GU13" i="12"/>
  <c r="GV13" i="12"/>
  <c r="GW13" i="12"/>
  <c r="GX13" i="12"/>
  <c r="GY13" i="12"/>
  <c r="GZ13" i="12"/>
  <c r="HA13" i="12"/>
  <c r="HB13" i="12"/>
  <c r="HC13" i="12"/>
  <c r="HD13" i="12"/>
  <c r="HE13" i="12"/>
  <c r="HF13" i="12"/>
  <c r="HG13" i="12"/>
  <c r="HH13" i="12"/>
  <c r="HI13" i="12"/>
  <c r="HJ13" i="12"/>
  <c r="HK13" i="12"/>
  <c r="HL13" i="12"/>
  <c r="HM13" i="12"/>
  <c r="HN13" i="12"/>
  <c r="HO13" i="12"/>
  <c r="HP13" i="12"/>
  <c r="HQ13" i="12"/>
  <c r="HR13" i="12"/>
  <c r="HS13" i="12"/>
  <c r="HT13" i="12"/>
  <c r="HU13" i="12"/>
  <c r="HV13" i="12"/>
  <c r="HW13" i="12"/>
  <c r="HX13" i="12"/>
  <c r="HY13" i="12"/>
  <c r="HZ13" i="12"/>
  <c r="IA13" i="12"/>
  <c r="IB13" i="12"/>
  <c r="IC13" i="12"/>
  <c r="ID13" i="12"/>
  <c r="IE13" i="12"/>
  <c r="IF13" i="12"/>
  <c r="IG13" i="12"/>
  <c r="IH13" i="12"/>
  <c r="II13" i="12"/>
  <c r="IJ13" i="12"/>
  <c r="IK13" i="12"/>
  <c r="IL13" i="12"/>
  <c r="IM13" i="12"/>
  <c r="IN13" i="12"/>
  <c r="IO13" i="12"/>
  <c r="IP13" i="12"/>
  <c r="IQ13" i="12"/>
  <c r="IR13" i="12"/>
  <c r="IS13" i="12"/>
  <c r="IT13" i="12"/>
  <c r="IU13" i="12"/>
  <c r="IV13" i="12"/>
  <c r="A12" i="12"/>
  <c r="B12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O12" i="12"/>
  <c r="CP12" i="12"/>
  <c r="CQ12" i="12"/>
  <c r="CR12" i="12"/>
  <c r="CS12" i="12"/>
  <c r="CT12" i="12"/>
  <c r="CU12" i="12"/>
  <c r="CV12" i="12"/>
  <c r="CW12" i="12"/>
  <c r="CX12" i="12"/>
  <c r="CY12" i="12"/>
  <c r="CZ12" i="12"/>
  <c r="DA12" i="12"/>
  <c r="DB12" i="12"/>
  <c r="DC12" i="12"/>
  <c r="DD12" i="12"/>
  <c r="DE12" i="12"/>
  <c r="DF12" i="12"/>
  <c r="DG12" i="12"/>
  <c r="DH12" i="12"/>
  <c r="DI12" i="12"/>
  <c r="DJ12" i="12"/>
  <c r="DK12" i="12"/>
  <c r="DL12" i="12"/>
  <c r="DM12" i="12"/>
  <c r="DN12" i="12"/>
  <c r="DO12" i="12"/>
  <c r="DP12" i="12"/>
  <c r="DQ12" i="12"/>
  <c r="DR12" i="12"/>
  <c r="DS12" i="12"/>
  <c r="DT12" i="12"/>
  <c r="DU12" i="12"/>
  <c r="DV12" i="12"/>
  <c r="DW12" i="12"/>
  <c r="DX12" i="12"/>
  <c r="DY12" i="12"/>
  <c r="DZ12" i="12"/>
  <c r="EA12" i="12"/>
  <c r="EB12" i="12"/>
  <c r="EC12" i="12"/>
  <c r="ED12" i="12"/>
  <c r="EE12" i="12"/>
  <c r="EF12" i="12"/>
  <c r="EG12" i="12"/>
  <c r="EH12" i="12"/>
  <c r="EI12" i="12"/>
  <c r="EJ12" i="12"/>
  <c r="EK12" i="12"/>
  <c r="EL12" i="12"/>
  <c r="EM12" i="12"/>
  <c r="EN12" i="12"/>
  <c r="EO12" i="12"/>
  <c r="EP12" i="12"/>
  <c r="EQ12" i="12"/>
  <c r="ER12" i="12"/>
  <c r="ES12" i="12"/>
  <c r="ET12" i="12"/>
  <c r="EU12" i="12"/>
  <c r="EV12" i="12"/>
  <c r="EW12" i="12"/>
  <c r="EX12" i="12"/>
  <c r="EY12" i="12"/>
  <c r="EZ12" i="12"/>
  <c r="FA12" i="12"/>
  <c r="FB12" i="12"/>
  <c r="FC12" i="12"/>
  <c r="FD12" i="12"/>
  <c r="FE12" i="12"/>
  <c r="FF12" i="12"/>
  <c r="FG12" i="12"/>
  <c r="FH12" i="12"/>
  <c r="FI12" i="12"/>
  <c r="FJ12" i="12"/>
  <c r="FK12" i="12"/>
  <c r="FL12" i="12"/>
  <c r="FM12" i="12"/>
  <c r="FN12" i="12"/>
  <c r="FO12" i="12"/>
  <c r="FP12" i="12"/>
  <c r="FQ12" i="12"/>
  <c r="FR12" i="12"/>
  <c r="FS12" i="12"/>
  <c r="FT12" i="12"/>
  <c r="FU12" i="12"/>
  <c r="FV12" i="12"/>
  <c r="FW12" i="12"/>
  <c r="FX12" i="12"/>
  <c r="FY12" i="12"/>
  <c r="FZ12" i="12"/>
  <c r="GA12" i="12"/>
  <c r="GB12" i="12"/>
  <c r="GC12" i="12"/>
  <c r="GD12" i="12"/>
  <c r="GE12" i="12"/>
  <c r="GF12" i="12"/>
  <c r="GG12" i="12"/>
  <c r="GH12" i="12"/>
  <c r="GI12" i="12"/>
  <c r="GJ12" i="12"/>
  <c r="GK12" i="12"/>
  <c r="GL12" i="12"/>
  <c r="GM12" i="12"/>
  <c r="GN12" i="12"/>
  <c r="GO12" i="12"/>
  <c r="GP12" i="12"/>
  <c r="GQ12" i="12"/>
  <c r="GR12" i="12"/>
  <c r="GS12" i="12"/>
  <c r="GT12" i="12"/>
  <c r="GU12" i="12"/>
  <c r="GV12" i="12"/>
  <c r="GW12" i="12"/>
  <c r="GX12" i="12"/>
  <c r="GY12" i="12"/>
  <c r="GZ12" i="12"/>
  <c r="HA12" i="12"/>
  <c r="HB12" i="12"/>
  <c r="HC12" i="12"/>
  <c r="HD12" i="12"/>
  <c r="HE12" i="12"/>
  <c r="HF12" i="12"/>
  <c r="HG12" i="12"/>
  <c r="HH12" i="12"/>
  <c r="HI12" i="12"/>
  <c r="HJ12" i="12"/>
  <c r="HK12" i="12"/>
  <c r="HL12" i="12"/>
  <c r="HM12" i="12"/>
  <c r="HN12" i="12"/>
  <c r="HO12" i="12"/>
  <c r="HP12" i="12"/>
  <c r="HQ12" i="12"/>
  <c r="HR12" i="12"/>
  <c r="HS12" i="12"/>
  <c r="HT12" i="12"/>
  <c r="HU12" i="12"/>
  <c r="HV12" i="12"/>
  <c r="HW12" i="12"/>
  <c r="HX12" i="12"/>
  <c r="HY12" i="12"/>
  <c r="HZ12" i="12"/>
  <c r="IA12" i="12"/>
  <c r="IB12" i="12"/>
  <c r="IC12" i="12"/>
  <c r="ID12" i="12"/>
  <c r="IE12" i="12"/>
  <c r="IF12" i="12"/>
  <c r="IG12" i="12"/>
  <c r="IH12" i="12"/>
  <c r="II12" i="12"/>
  <c r="IJ12" i="12"/>
  <c r="IK12" i="12"/>
  <c r="IL12" i="12"/>
  <c r="IM12" i="12"/>
  <c r="IN12" i="12"/>
  <c r="IO12" i="12"/>
  <c r="IP12" i="12"/>
  <c r="IQ12" i="12"/>
  <c r="IR12" i="12"/>
  <c r="IS12" i="12"/>
  <c r="IT12" i="12"/>
  <c r="IU12" i="12"/>
  <c r="IV12" i="12"/>
  <c r="A11" i="12"/>
  <c r="B11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O11" i="12"/>
  <c r="CP11" i="12"/>
  <c r="CQ11" i="12"/>
  <c r="CR11" i="12"/>
  <c r="CS11" i="12"/>
  <c r="CT11" i="12"/>
  <c r="CU11" i="12"/>
  <c r="CV11" i="12"/>
  <c r="CW11" i="12"/>
  <c r="CX11" i="12"/>
  <c r="CY11" i="12"/>
  <c r="CZ11" i="12"/>
  <c r="DA11" i="12"/>
  <c r="DB11" i="12"/>
  <c r="DC11" i="12"/>
  <c r="DD11" i="12"/>
  <c r="DE11" i="12"/>
  <c r="DF11" i="12"/>
  <c r="DG11" i="12"/>
  <c r="DH11" i="12"/>
  <c r="DI11" i="12"/>
  <c r="DJ11" i="12"/>
  <c r="DK11" i="12"/>
  <c r="DL11" i="12"/>
  <c r="DM11" i="12"/>
  <c r="DN11" i="12"/>
  <c r="DO11" i="12"/>
  <c r="DP11" i="12"/>
  <c r="DQ11" i="12"/>
  <c r="DR11" i="12"/>
  <c r="DS11" i="12"/>
  <c r="DT11" i="12"/>
  <c r="DU11" i="12"/>
  <c r="DV11" i="12"/>
  <c r="DW11" i="12"/>
  <c r="DX11" i="12"/>
  <c r="DY11" i="12"/>
  <c r="DZ11" i="12"/>
  <c r="EA11" i="12"/>
  <c r="EB11" i="12"/>
  <c r="EC11" i="12"/>
  <c r="ED11" i="12"/>
  <c r="EE11" i="12"/>
  <c r="EF11" i="12"/>
  <c r="EG11" i="12"/>
  <c r="EH11" i="12"/>
  <c r="EI11" i="12"/>
  <c r="EJ11" i="12"/>
  <c r="EK11" i="12"/>
  <c r="EL11" i="12"/>
  <c r="EM11" i="12"/>
  <c r="EN11" i="12"/>
  <c r="EO11" i="12"/>
  <c r="EP11" i="12"/>
  <c r="EQ11" i="12"/>
  <c r="ER11" i="12"/>
  <c r="ES11" i="12"/>
  <c r="ET11" i="12"/>
  <c r="EU11" i="12"/>
  <c r="EV11" i="12"/>
  <c r="EW11" i="12"/>
  <c r="EX11" i="12"/>
  <c r="EY11" i="12"/>
  <c r="EZ11" i="12"/>
  <c r="FA11" i="12"/>
  <c r="FB11" i="12"/>
  <c r="FC11" i="12"/>
  <c r="FD11" i="12"/>
  <c r="FE11" i="12"/>
  <c r="FF11" i="12"/>
  <c r="FG11" i="12"/>
  <c r="FH11" i="12"/>
  <c r="FI11" i="12"/>
  <c r="FJ11" i="12"/>
  <c r="FK11" i="12"/>
  <c r="FL11" i="12"/>
  <c r="FM11" i="12"/>
  <c r="FN11" i="12"/>
  <c r="FO11" i="12"/>
  <c r="FP11" i="12"/>
  <c r="FQ11" i="12"/>
  <c r="FR11" i="12"/>
  <c r="FS11" i="12"/>
  <c r="FT11" i="12"/>
  <c r="FU11" i="12"/>
  <c r="FV11" i="12"/>
  <c r="FW11" i="12"/>
  <c r="FX11" i="12"/>
  <c r="FY11" i="12"/>
  <c r="FZ11" i="12"/>
  <c r="GA11" i="12"/>
  <c r="GB11" i="12"/>
  <c r="GC11" i="12"/>
  <c r="GD11" i="12"/>
  <c r="GE11" i="12"/>
  <c r="GF11" i="12"/>
  <c r="GG11" i="12"/>
  <c r="GH11" i="12"/>
  <c r="GI11" i="12"/>
  <c r="GJ11" i="12"/>
  <c r="GK11" i="12"/>
  <c r="GL11" i="12"/>
  <c r="GM11" i="12"/>
  <c r="GN11" i="12"/>
  <c r="GO11" i="12"/>
  <c r="GP11" i="12"/>
  <c r="GQ11" i="12"/>
  <c r="GR11" i="12"/>
  <c r="GS11" i="12"/>
  <c r="GT11" i="12"/>
  <c r="GU11" i="12"/>
  <c r="GV11" i="12"/>
  <c r="GW11" i="12"/>
  <c r="GX11" i="12"/>
  <c r="GY11" i="12"/>
  <c r="GZ11" i="12"/>
  <c r="HA11" i="12"/>
  <c r="HB11" i="12"/>
  <c r="HC11" i="12"/>
  <c r="HD11" i="12"/>
  <c r="HE11" i="12"/>
  <c r="HF11" i="12"/>
  <c r="HG11" i="12"/>
  <c r="HH11" i="12"/>
  <c r="HI11" i="12"/>
  <c r="HJ11" i="12"/>
  <c r="HK11" i="12"/>
  <c r="HL11" i="12"/>
  <c r="HM11" i="12"/>
  <c r="HN11" i="12"/>
  <c r="HO11" i="12"/>
  <c r="HP11" i="12"/>
  <c r="HQ11" i="12"/>
  <c r="HR11" i="12"/>
  <c r="HS11" i="12"/>
  <c r="HT11" i="12"/>
  <c r="HU11" i="12"/>
  <c r="HV11" i="12"/>
  <c r="HW11" i="12"/>
  <c r="HX11" i="12"/>
  <c r="HY11" i="12"/>
  <c r="HZ11" i="12"/>
  <c r="IA11" i="12"/>
  <c r="IB11" i="12"/>
  <c r="IC11" i="12"/>
  <c r="ID11" i="12"/>
  <c r="IE11" i="12"/>
  <c r="IF11" i="12"/>
  <c r="IG11" i="12"/>
  <c r="IH11" i="12"/>
  <c r="II11" i="12"/>
  <c r="IJ11" i="12"/>
  <c r="IK11" i="12"/>
  <c r="IL11" i="12"/>
  <c r="IM11" i="12"/>
  <c r="IN11" i="12"/>
  <c r="IO11" i="12"/>
  <c r="IP11" i="12"/>
  <c r="IQ11" i="12"/>
  <c r="IR11" i="12"/>
  <c r="IS11" i="12"/>
  <c r="IT11" i="12"/>
  <c r="IU11" i="12"/>
  <c r="IV11" i="12"/>
  <c r="A10" i="12"/>
  <c r="B10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O10" i="12"/>
  <c r="CP10" i="12"/>
  <c r="CQ10" i="12"/>
  <c r="CR10" i="12"/>
  <c r="CS10" i="12"/>
  <c r="CT10" i="12"/>
  <c r="CU10" i="12"/>
  <c r="CV10" i="12"/>
  <c r="CW10" i="12"/>
  <c r="CX10" i="12"/>
  <c r="CY10" i="12"/>
  <c r="CZ10" i="12"/>
  <c r="DA10" i="12"/>
  <c r="DB10" i="12"/>
  <c r="DC10" i="12"/>
  <c r="DD10" i="12"/>
  <c r="DE10" i="12"/>
  <c r="DF10" i="12"/>
  <c r="DG10" i="12"/>
  <c r="DH10" i="12"/>
  <c r="DI10" i="12"/>
  <c r="DJ10" i="12"/>
  <c r="DK10" i="12"/>
  <c r="DL10" i="12"/>
  <c r="DM10" i="12"/>
  <c r="DN10" i="12"/>
  <c r="DO10" i="12"/>
  <c r="DP10" i="12"/>
  <c r="DQ10" i="12"/>
  <c r="DR10" i="12"/>
  <c r="DS10" i="12"/>
  <c r="DT10" i="12"/>
  <c r="DU10" i="12"/>
  <c r="DV10" i="12"/>
  <c r="DW10" i="12"/>
  <c r="DX10" i="12"/>
  <c r="DY10" i="12"/>
  <c r="DZ10" i="12"/>
  <c r="EA10" i="12"/>
  <c r="EB10" i="12"/>
  <c r="EC10" i="12"/>
  <c r="ED10" i="12"/>
  <c r="EE10" i="12"/>
  <c r="EF10" i="12"/>
  <c r="EG10" i="12"/>
  <c r="EH10" i="12"/>
  <c r="EI10" i="12"/>
  <c r="EJ10" i="12"/>
  <c r="EK10" i="12"/>
  <c r="EL10" i="12"/>
  <c r="EM10" i="12"/>
  <c r="EN10" i="12"/>
  <c r="EO10" i="12"/>
  <c r="EP10" i="12"/>
  <c r="EQ10" i="12"/>
  <c r="ER10" i="12"/>
  <c r="ES10" i="12"/>
  <c r="ET10" i="12"/>
  <c r="EU10" i="12"/>
  <c r="EV10" i="12"/>
  <c r="EW10" i="12"/>
  <c r="EX10" i="12"/>
  <c r="EY10" i="12"/>
  <c r="EZ10" i="12"/>
  <c r="FA10" i="12"/>
  <c r="FB10" i="12"/>
  <c r="FC10" i="12"/>
  <c r="FD10" i="12"/>
  <c r="FE10" i="12"/>
  <c r="FF10" i="12"/>
  <c r="FG10" i="12"/>
  <c r="FH10" i="12"/>
  <c r="FI10" i="12"/>
  <c r="FJ10" i="12"/>
  <c r="FK10" i="12"/>
  <c r="FL10" i="12"/>
  <c r="FM10" i="12"/>
  <c r="FN10" i="12"/>
  <c r="FO10" i="12"/>
  <c r="FP10" i="12"/>
  <c r="FQ10" i="12"/>
  <c r="FR10" i="12"/>
  <c r="FS10" i="12"/>
  <c r="FT10" i="12"/>
  <c r="FU10" i="12"/>
  <c r="FV10" i="12"/>
  <c r="FW10" i="12"/>
  <c r="FX10" i="12"/>
  <c r="FY10" i="12"/>
  <c r="FZ10" i="12"/>
  <c r="GA10" i="12"/>
  <c r="GB10" i="12"/>
  <c r="GC10" i="12"/>
  <c r="GD10" i="12"/>
  <c r="GE10" i="12"/>
  <c r="GF10" i="12"/>
  <c r="GG10" i="12"/>
  <c r="GH10" i="12"/>
  <c r="GI10" i="12"/>
  <c r="GJ10" i="12"/>
  <c r="GK10" i="12"/>
  <c r="GL10" i="12"/>
  <c r="GM10" i="12"/>
  <c r="GN10" i="12"/>
  <c r="GO10" i="12"/>
  <c r="GP10" i="12"/>
  <c r="GQ10" i="12"/>
  <c r="GR10" i="12"/>
  <c r="GS10" i="12"/>
  <c r="GT10" i="12"/>
  <c r="GU10" i="12"/>
  <c r="GV10" i="12"/>
  <c r="GW10" i="12"/>
  <c r="GX10" i="12"/>
  <c r="GY10" i="12"/>
  <c r="GZ10" i="12"/>
  <c r="HA10" i="12"/>
  <c r="HB10" i="12"/>
  <c r="HC10" i="12"/>
  <c r="HD10" i="12"/>
  <c r="HE10" i="12"/>
  <c r="HF10" i="12"/>
  <c r="HG10" i="12"/>
  <c r="HH10" i="12"/>
  <c r="HI10" i="12"/>
  <c r="HJ10" i="12"/>
  <c r="HK10" i="12"/>
  <c r="HL10" i="12"/>
  <c r="HM10" i="12"/>
  <c r="HN10" i="12"/>
  <c r="HO10" i="12"/>
  <c r="HP10" i="12"/>
  <c r="HQ10" i="12"/>
  <c r="HR10" i="12"/>
  <c r="HS10" i="12"/>
  <c r="HT10" i="12"/>
  <c r="HU10" i="12"/>
  <c r="HV10" i="12"/>
  <c r="HW10" i="12"/>
  <c r="HX10" i="12"/>
  <c r="HY10" i="12"/>
  <c r="HZ10" i="12"/>
  <c r="IA10" i="12"/>
  <c r="IB10" i="12"/>
  <c r="IC10" i="12"/>
  <c r="ID10" i="12"/>
  <c r="IE10" i="12"/>
  <c r="IF10" i="12"/>
  <c r="IG10" i="12"/>
  <c r="IH10" i="12"/>
  <c r="II10" i="12"/>
  <c r="IJ10" i="12"/>
  <c r="IK10" i="12"/>
  <c r="IL10" i="12"/>
  <c r="IM10" i="12"/>
  <c r="IN10" i="12"/>
  <c r="IO10" i="12"/>
  <c r="IP10" i="12"/>
  <c r="IQ10" i="12"/>
  <c r="IR10" i="12"/>
  <c r="IS10" i="12"/>
  <c r="IT10" i="12"/>
  <c r="IU10" i="12"/>
  <c r="IV10" i="12"/>
  <c r="A9" i="12"/>
  <c r="B9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O9" i="12"/>
  <c r="CP9" i="12"/>
  <c r="CQ9" i="12"/>
  <c r="CR9" i="12"/>
  <c r="CS9" i="12"/>
  <c r="CT9" i="12"/>
  <c r="CU9" i="12"/>
  <c r="CV9" i="12"/>
  <c r="CW9" i="12"/>
  <c r="CX9" i="12"/>
  <c r="CY9" i="12"/>
  <c r="CZ9" i="12"/>
  <c r="DA9" i="12"/>
  <c r="DB9" i="12"/>
  <c r="DC9" i="12"/>
  <c r="DD9" i="12"/>
  <c r="DE9" i="12"/>
  <c r="DF9" i="12"/>
  <c r="DG9" i="12"/>
  <c r="DH9" i="12"/>
  <c r="DI9" i="12"/>
  <c r="DJ9" i="12"/>
  <c r="DK9" i="12"/>
  <c r="DL9" i="12"/>
  <c r="DM9" i="12"/>
  <c r="DN9" i="12"/>
  <c r="DO9" i="12"/>
  <c r="DP9" i="12"/>
  <c r="DQ9" i="12"/>
  <c r="DR9" i="12"/>
  <c r="DS9" i="12"/>
  <c r="DT9" i="12"/>
  <c r="DU9" i="12"/>
  <c r="DV9" i="12"/>
  <c r="DW9" i="12"/>
  <c r="DX9" i="12"/>
  <c r="DY9" i="12"/>
  <c r="DZ9" i="12"/>
  <c r="EA9" i="12"/>
  <c r="EB9" i="12"/>
  <c r="EC9" i="12"/>
  <c r="ED9" i="12"/>
  <c r="EE9" i="12"/>
  <c r="EF9" i="12"/>
  <c r="EG9" i="12"/>
  <c r="EH9" i="12"/>
  <c r="EI9" i="12"/>
  <c r="EJ9" i="12"/>
  <c r="EK9" i="12"/>
  <c r="EL9" i="12"/>
  <c r="EM9" i="12"/>
  <c r="EN9" i="12"/>
  <c r="EO9" i="12"/>
  <c r="EP9" i="12"/>
  <c r="EQ9" i="12"/>
  <c r="ER9" i="12"/>
  <c r="ES9" i="12"/>
  <c r="ET9" i="12"/>
  <c r="EU9" i="12"/>
  <c r="EV9" i="12"/>
  <c r="EW9" i="12"/>
  <c r="EX9" i="12"/>
  <c r="EY9" i="12"/>
  <c r="EZ9" i="12"/>
  <c r="FA9" i="12"/>
  <c r="FB9" i="12"/>
  <c r="FC9" i="12"/>
  <c r="FD9" i="12"/>
  <c r="FE9" i="12"/>
  <c r="FF9" i="12"/>
  <c r="FG9" i="12"/>
  <c r="FH9" i="12"/>
  <c r="FI9" i="12"/>
  <c r="FJ9" i="12"/>
  <c r="FK9" i="12"/>
  <c r="FL9" i="12"/>
  <c r="FM9" i="12"/>
  <c r="FN9" i="12"/>
  <c r="FO9" i="12"/>
  <c r="FP9" i="12"/>
  <c r="FQ9" i="12"/>
  <c r="FR9" i="12"/>
  <c r="FS9" i="12"/>
  <c r="FT9" i="12"/>
  <c r="FU9" i="12"/>
  <c r="FV9" i="12"/>
  <c r="FW9" i="12"/>
  <c r="FX9" i="12"/>
  <c r="FY9" i="12"/>
  <c r="FZ9" i="12"/>
  <c r="GA9" i="12"/>
  <c r="GB9" i="12"/>
  <c r="GC9" i="12"/>
  <c r="GD9" i="12"/>
  <c r="GE9" i="12"/>
  <c r="GF9" i="12"/>
  <c r="GG9" i="12"/>
  <c r="GH9" i="12"/>
  <c r="GI9" i="12"/>
  <c r="GJ9" i="12"/>
  <c r="GK9" i="12"/>
  <c r="GL9" i="12"/>
  <c r="GM9" i="12"/>
  <c r="GN9" i="12"/>
  <c r="GO9" i="12"/>
  <c r="GP9" i="12"/>
  <c r="GQ9" i="12"/>
  <c r="GR9" i="12"/>
  <c r="GS9" i="12"/>
  <c r="GT9" i="12"/>
  <c r="GU9" i="12"/>
  <c r="GV9" i="12"/>
  <c r="GW9" i="12"/>
  <c r="GX9" i="12"/>
  <c r="GY9" i="12"/>
  <c r="GZ9" i="12"/>
  <c r="HA9" i="12"/>
  <c r="HB9" i="12"/>
  <c r="HC9" i="12"/>
  <c r="HD9" i="12"/>
  <c r="HE9" i="12"/>
  <c r="HF9" i="12"/>
  <c r="HG9" i="12"/>
  <c r="HH9" i="12"/>
  <c r="HI9" i="12"/>
  <c r="HJ9" i="12"/>
  <c r="HK9" i="12"/>
  <c r="HL9" i="12"/>
  <c r="HM9" i="12"/>
  <c r="HN9" i="12"/>
  <c r="HO9" i="12"/>
  <c r="HP9" i="12"/>
  <c r="HQ9" i="12"/>
  <c r="HR9" i="12"/>
  <c r="HS9" i="12"/>
  <c r="HT9" i="12"/>
  <c r="HU9" i="12"/>
  <c r="HV9" i="12"/>
  <c r="HW9" i="12"/>
  <c r="HX9" i="12"/>
  <c r="HY9" i="12"/>
  <c r="HZ9" i="12"/>
  <c r="IA9" i="12"/>
  <c r="IB9" i="12"/>
  <c r="IC9" i="12"/>
  <c r="ID9" i="12"/>
  <c r="IE9" i="12"/>
  <c r="IF9" i="12"/>
  <c r="IG9" i="12"/>
  <c r="IH9" i="12"/>
  <c r="II9" i="12"/>
  <c r="IJ9" i="12"/>
  <c r="IK9" i="12"/>
  <c r="IL9" i="12"/>
  <c r="IM9" i="12"/>
  <c r="IN9" i="12"/>
  <c r="IO9" i="12"/>
  <c r="IP9" i="12"/>
  <c r="IQ9" i="12"/>
  <c r="IR9" i="12"/>
  <c r="IS9" i="12"/>
  <c r="IT9" i="12"/>
  <c r="IU9" i="12"/>
  <c r="IV9" i="12"/>
  <c r="A8" i="12"/>
  <c r="B8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O8" i="12"/>
  <c r="CP8" i="12"/>
  <c r="CQ8" i="12"/>
  <c r="CR8" i="12"/>
  <c r="CS8" i="12"/>
  <c r="CT8" i="12"/>
  <c r="CU8" i="12"/>
  <c r="CV8" i="12"/>
  <c r="CW8" i="12"/>
  <c r="CX8" i="12"/>
  <c r="CY8" i="12"/>
  <c r="CZ8" i="12"/>
  <c r="DA8" i="12"/>
  <c r="DB8" i="12"/>
  <c r="DC8" i="12"/>
  <c r="DD8" i="12"/>
  <c r="DE8" i="12"/>
  <c r="DF8" i="12"/>
  <c r="DG8" i="12"/>
  <c r="DH8" i="12"/>
  <c r="DI8" i="12"/>
  <c r="DJ8" i="12"/>
  <c r="DK8" i="12"/>
  <c r="DL8" i="12"/>
  <c r="DM8" i="12"/>
  <c r="DN8" i="12"/>
  <c r="DO8" i="12"/>
  <c r="DP8" i="12"/>
  <c r="DQ8" i="12"/>
  <c r="DR8" i="12"/>
  <c r="DS8" i="12"/>
  <c r="DT8" i="12"/>
  <c r="DU8" i="12"/>
  <c r="DV8" i="12"/>
  <c r="DW8" i="12"/>
  <c r="DX8" i="12"/>
  <c r="DY8" i="12"/>
  <c r="DZ8" i="12"/>
  <c r="EA8" i="12"/>
  <c r="EB8" i="12"/>
  <c r="EC8" i="12"/>
  <c r="ED8" i="12"/>
  <c r="EE8" i="12"/>
  <c r="EF8" i="12"/>
  <c r="EG8" i="12"/>
  <c r="EH8" i="12"/>
  <c r="EI8" i="12"/>
  <c r="EJ8" i="12"/>
  <c r="EK8" i="12"/>
  <c r="EL8" i="12"/>
  <c r="EM8" i="12"/>
  <c r="EN8" i="12"/>
  <c r="EO8" i="12"/>
  <c r="EP8" i="12"/>
  <c r="EQ8" i="12"/>
  <c r="ER8" i="12"/>
  <c r="ES8" i="12"/>
  <c r="ET8" i="12"/>
  <c r="EU8" i="12"/>
  <c r="EV8" i="12"/>
  <c r="EW8" i="12"/>
  <c r="EX8" i="12"/>
  <c r="EY8" i="12"/>
  <c r="EZ8" i="12"/>
  <c r="FA8" i="12"/>
  <c r="FB8" i="12"/>
  <c r="FC8" i="12"/>
  <c r="FD8" i="12"/>
  <c r="FE8" i="12"/>
  <c r="FF8" i="12"/>
  <c r="FG8" i="12"/>
  <c r="FH8" i="12"/>
  <c r="FI8" i="12"/>
  <c r="FJ8" i="12"/>
  <c r="FK8" i="12"/>
  <c r="FL8" i="12"/>
  <c r="FM8" i="12"/>
  <c r="FN8" i="12"/>
  <c r="FO8" i="12"/>
  <c r="FP8" i="12"/>
  <c r="FQ8" i="12"/>
  <c r="FR8" i="12"/>
  <c r="FS8" i="12"/>
  <c r="FT8" i="12"/>
  <c r="FU8" i="12"/>
  <c r="FV8" i="12"/>
  <c r="FW8" i="12"/>
  <c r="FX8" i="12"/>
  <c r="FY8" i="12"/>
  <c r="FZ8" i="12"/>
  <c r="GA8" i="12"/>
  <c r="GB8" i="12"/>
  <c r="GC8" i="12"/>
  <c r="GD8" i="12"/>
  <c r="GE8" i="12"/>
  <c r="GF8" i="12"/>
  <c r="GG8" i="12"/>
  <c r="GH8" i="12"/>
  <c r="GI8" i="12"/>
  <c r="GJ8" i="12"/>
  <c r="GK8" i="12"/>
  <c r="GL8" i="12"/>
  <c r="GM8" i="12"/>
  <c r="GN8" i="12"/>
  <c r="GO8" i="12"/>
  <c r="GP8" i="12"/>
  <c r="GQ8" i="12"/>
  <c r="GR8" i="12"/>
  <c r="GS8" i="12"/>
  <c r="GT8" i="12"/>
  <c r="GU8" i="12"/>
  <c r="GV8" i="12"/>
  <c r="GW8" i="12"/>
  <c r="GX8" i="12"/>
  <c r="GY8" i="12"/>
  <c r="GZ8" i="12"/>
  <c r="HA8" i="12"/>
  <c r="HB8" i="12"/>
  <c r="HC8" i="12"/>
  <c r="HD8" i="12"/>
  <c r="HE8" i="12"/>
  <c r="HF8" i="12"/>
  <c r="HG8" i="12"/>
  <c r="HH8" i="12"/>
  <c r="HI8" i="12"/>
  <c r="HJ8" i="12"/>
  <c r="HK8" i="12"/>
  <c r="HL8" i="12"/>
  <c r="HM8" i="12"/>
  <c r="HN8" i="12"/>
  <c r="HO8" i="12"/>
  <c r="HP8" i="12"/>
  <c r="HQ8" i="12"/>
  <c r="HR8" i="12"/>
  <c r="HS8" i="12"/>
  <c r="HT8" i="12"/>
  <c r="HU8" i="12"/>
  <c r="HV8" i="12"/>
  <c r="HW8" i="12"/>
  <c r="HX8" i="12"/>
  <c r="HY8" i="12"/>
  <c r="HZ8" i="12"/>
  <c r="IA8" i="12"/>
  <c r="IB8" i="12"/>
  <c r="IC8" i="12"/>
  <c r="ID8" i="12"/>
  <c r="IE8" i="12"/>
  <c r="IF8" i="12"/>
  <c r="IG8" i="12"/>
  <c r="IH8" i="12"/>
  <c r="II8" i="12"/>
  <c r="IJ8" i="12"/>
  <c r="IK8" i="12"/>
  <c r="IL8" i="12"/>
  <c r="IM8" i="12"/>
  <c r="IN8" i="12"/>
  <c r="IO8" i="12"/>
  <c r="IP8" i="12"/>
  <c r="IQ8" i="12"/>
  <c r="IR8" i="12"/>
  <c r="IS8" i="12"/>
  <c r="IT8" i="12"/>
  <c r="IU8" i="12"/>
  <c r="IV8" i="12"/>
  <c r="A7" i="12"/>
  <c r="B7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O7" i="12"/>
  <c r="CP7" i="12"/>
  <c r="CQ7" i="12"/>
  <c r="CR7" i="12"/>
  <c r="CS7" i="12"/>
  <c r="CT7" i="12"/>
  <c r="CU7" i="12"/>
  <c r="CV7" i="12"/>
  <c r="CW7" i="12"/>
  <c r="CX7" i="12"/>
  <c r="CY7" i="12"/>
  <c r="CZ7" i="12"/>
  <c r="DA7" i="12"/>
  <c r="DB7" i="12"/>
  <c r="DC7" i="12"/>
  <c r="DD7" i="12"/>
  <c r="DE7" i="12"/>
  <c r="DF7" i="12"/>
  <c r="DG7" i="12"/>
  <c r="DH7" i="12"/>
  <c r="DI7" i="12"/>
  <c r="DJ7" i="12"/>
  <c r="DK7" i="12"/>
  <c r="DL7" i="12"/>
  <c r="DM7" i="12"/>
  <c r="DN7" i="12"/>
  <c r="DO7" i="12"/>
  <c r="DP7" i="12"/>
  <c r="DQ7" i="12"/>
  <c r="DR7" i="12"/>
  <c r="DS7" i="12"/>
  <c r="DT7" i="12"/>
  <c r="DU7" i="12"/>
  <c r="DV7" i="12"/>
  <c r="DW7" i="12"/>
  <c r="DX7" i="12"/>
  <c r="DY7" i="12"/>
  <c r="DZ7" i="12"/>
  <c r="EA7" i="12"/>
  <c r="EB7" i="12"/>
  <c r="EC7" i="12"/>
  <c r="ED7" i="12"/>
  <c r="EE7" i="12"/>
  <c r="EF7" i="12"/>
  <c r="EG7" i="12"/>
  <c r="EH7" i="12"/>
  <c r="EI7" i="12"/>
  <c r="EJ7" i="12"/>
  <c r="EK7" i="12"/>
  <c r="EL7" i="12"/>
  <c r="EM7" i="12"/>
  <c r="EN7" i="12"/>
  <c r="EO7" i="12"/>
  <c r="EP7" i="12"/>
  <c r="EQ7" i="12"/>
  <c r="ER7" i="12"/>
  <c r="ES7" i="12"/>
  <c r="ET7" i="12"/>
  <c r="EU7" i="12"/>
  <c r="EV7" i="12"/>
  <c r="EW7" i="12"/>
  <c r="EX7" i="12"/>
  <c r="EY7" i="12"/>
  <c r="EZ7" i="12"/>
  <c r="FA7" i="12"/>
  <c r="FB7" i="12"/>
  <c r="FC7" i="12"/>
  <c r="FD7" i="12"/>
  <c r="FE7" i="12"/>
  <c r="FF7" i="12"/>
  <c r="FG7" i="12"/>
  <c r="FH7" i="12"/>
  <c r="FI7" i="12"/>
  <c r="FJ7" i="12"/>
  <c r="FK7" i="12"/>
  <c r="FL7" i="12"/>
  <c r="FM7" i="12"/>
  <c r="FN7" i="12"/>
  <c r="FO7" i="12"/>
  <c r="FP7" i="12"/>
  <c r="FQ7" i="12"/>
  <c r="FR7" i="12"/>
  <c r="FS7" i="12"/>
  <c r="FT7" i="12"/>
  <c r="FU7" i="12"/>
  <c r="FV7" i="12"/>
  <c r="FW7" i="12"/>
  <c r="FX7" i="12"/>
  <c r="FY7" i="12"/>
  <c r="FZ7" i="12"/>
  <c r="GA7" i="12"/>
  <c r="GB7" i="12"/>
  <c r="GC7" i="12"/>
  <c r="GD7" i="12"/>
  <c r="GE7" i="12"/>
  <c r="GF7" i="12"/>
  <c r="GG7" i="12"/>
  <c r="GH7" i="12"/>
  <c r="GI7" i="12"/>
  <c r="GJ7" i="12"/>
  <c r="GK7" i="12"/>
  <c r="GL7" i="12"/>
  <c r="GM7" i="12"/>
  <c r="GN7" i="12"/>
  <c r="GO7" i="12"/>
  <c r="GP7" i="12"/>
  <c r="GQ7" i="12"/>
  <c r="GR7" i="12"/>
  <c r="GS7" i="12"/>
  <c r="GT7" i="12"/>
  <c r="GU7" i="12"/>
  <c r="GV7" i="12"/>
  <c r="GW7" i="12"/>
  <c r="GX7" i="12"/>
  <c r="GY7" i="12"/>
  <c r="GZ7" i="12"/>
  <c r="HA7" i="12"/>
  <c r="HB7" i="12"/>
  <c r="HC7" i="12"/>
  <c r="HD7" i="12"/>
  <c r="HE7" i="12"/>
  <c r="HF7" i="12"/>
  <c r="HG7" i="12"/>
  <c r="HH7" i="12"/>
  <c r="HI7" i="12"/>
  <c r="HJ7" i="12"/>
  <c r="HK7" i="12"/>
  <c r="HL7" i="12"/>
  <c r="HM7" i="12"/>
  <c r="HN7" i="12"/>
  <c r="HO7" i="12"/>
  <c r="HP7" i="12"/>
  <c r="HQ7" i="12"/>
  <c r="HR7" i="12"/>
  <c r="HS7" i="12"/>
  <c r="HT7" i="12"/>
  <c r="HU7" i="12"/>
  <c r="HV7" i="12"/>
  <c r="HW7" i="12"/>
  <c r="HX7" i="12"/>
  <c r="HY7" i="12"/>
  <c r="HZ7" i="12"/>
  <c r="IA7" i="12"/>
  <c r="IB7" i="12"/>
  <c r="IC7" i="12"/>
  <c r="ID7" i="12"/>
  <c r="IE7" i="12"/>
  <c r="IF7" i="12"/>
  <c r="IG7" i="12"/>
  <c r="IH7" i="12"/>
  <c r="II7" i="12"/>
  <c r="IJ7" i="12"/>
  <c r="IK7" i="12"/>
  <c r="IL7" i="12"/>
  <c r="IM7" i="12"/>
  <c r="IN7" i="12"/>
  <c r="IO7" i="12"/>
  <c r="IP7" i="12"/>
  <c r="IQ7" i="12"/>
  <c r="IR7" i="12"/>
  <c r="IS7" i="12"/>
  <c r="IT7" i="12"/>
  <c r="IU7" i="12"/>
  <c r="IV7" i="12"/>
  <c r="A6" i="12"/>
  <c r="B6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CR6" i="12"/>
  <c r="CS6" i="12"/>
  <c r="CT6" i="12"/>
  <c r="CU6" i="12"/>
  <c r="CV6" i="12"/>
  <c r="CW6" i="12"/>
  <c r="CX6" i="12"/>
  <c r="CY6" i="12"/>
  <c r="CZ6" i="12"/>
  <c r="DA6" i="12"/>
  <c r="DB6" i="12"/>
  <c r="DC6" i="12"/>
  <c r="DD6" i="12"/>
  <c r="DE6" i="12"/>
  <c r="DF6" i="12"/>
  <c r="DG6" i="12"/>
  <c r="DH6" i="12"/>
  <c r="DI6" i="12"/>
  <c r="DJ6" i="12"/>
  <c r="DK6" i="12"/>
  <c r="DL6" i="12"/>
  <c r="DM6" i="12"/>
  <c r="DN6" i="12"/>
  <c r="DO6" i="12"/>
  <c r="DP6" i="12"/>
  <c r="DQ6" i="12"/>
  <c r="DR6" i="12"/>
  <c r="DS6" i="12"/>
  <c r="DT6" i="12"/>
  <c r="DU6" i="12"/>
  <c r="DV6" i="12"/>
  <c r="DW6" i="12"/>
  <c r="DX6" i="12"/>
  <c r="DY6" i="12"/>
  <c r="DZ6" i="12"/>
  <c r="EA6" i="12"/>
  <c r="EB6" i="12"/>
  <c r="EC6" i="12"/>
  <c r="ED6" i="12"/>
  <c r="EE6" i="12"/>
  <c r="EF6" i="12"/>
  <c r="EG6" i="12"/>
  <c r="EH6" i="12"/>
  <c r="EI6" i="12"/>
  <c r="EJ6" i="12"/>
  <c r="EK6" i="12"/>
  <c r="EL6" i="12"/>
  <c r="EM6" i="12"/>
  <c r="EN6" i="12"/>
  <c r="EO6" i="12"/>
  <c r="EP6" i="12"/>
  <c r="EQ6" i="12"/>
  <c r="ER6" i="12"/>
  <c r="ES6" i="12"/>
  <c r="ET6" i="12"/>
  <c r="EU6" i="12"/>
  <c r="EV6" i="12"/>
  <c r="EW6" i="12"/>
  <c r="EX6" i="12"/>
  <c r="EY6" i="12"/>
  <c r="EZ6" i="12"/>
  <c r="FA6" i="12"/>
  <c r="FB6" i="12"/>
  <c r="FC6" i="12"/>
  <c r="FD6" i="12"/>
  <c r="FE6" i="12"/>
  <c r="FF6" i="12"/>
  <c r="FG6" i="12"/>
  <c r="FH6" i="12"/>
  <c r="FI6" i="12"/>
  <c r="FJ6" i="12"/>
  <c r="FK6" i="12"/>
  <c r="FL6" i="12"/>
  <c r="FM6" i="12"/>
  <c r="FN6" i="12"/>
  <c r="FO6" i="12"/>
  <c r="FP6" i="12"/>
  <c r="FQ6" i="12"/>
  <c r="FR6" i="12"/>
  <c r="FS6" i="12"/>
  <c r="FT6" i="12"/>
  <c r="FU6" i="12"/>
  <c r="FV6" i="12"/>
  <c r="FW6" i="12"/>
  <c r="FX6" i="12"/>
  <c r="FY6" i="12"/>
  <c r="FZ6" i="12"/>
  <c r="GA6" i="12"/>
  <c r="GB6" i="12"/>
  <c r="GC6" i="12"/>
  <c r="GD6" i="12"/>
  <c r="GE6" i="12"/>
  <c r="GF6" i="12"/>
  <c r="GG6" i="12"/>
  <c r="GH6" i="12"/>
  <c r="GI6" i="12"/>
  <c r="GJ6" i="12"/>
  <c r="GK6" i="12"/>
  <c r="GL6" i="12"/>
  <c r="GM6" i="12"/>
  <c r="GN6" i="12"/>
  <c r="GO6" i="12"/>
  <c r="GP6" i="12"/>
  <c r="GQ6" i="12"/>
  <c r="GR6" i="12"/>
  <c r="GS6" i="12"/>
  <c r="GT6" i="12"/>
  <c r="GU6" i="12"/>
  <c r="GV6" i="12"/>
  <c r="GW6" i="12"/>
  <c r="GX6" i="12"/>
  <c r="GY6" i="12"/>
  <c r="GZ6" i="12"/>
  <c r="HA6" i="12"/>
  <c r="HB6" i="12"/>
  <c r="HC6" i="12"/>
  <c r="HD6" i="12"/>
  <c r="HE6" i="12"/>
  <c r="HF6" i="12"/>
  <c r="HG6" i="12"/>
  <c r="HH6" i="12"/>
  <c r="HI6" i="12"/>
  <c r="HJ6" i="12"/>
  <c r="HK6" i="12"/>
  <c r="HL6" i="12"/>
  <c r="HM6" i="12"/>
  <c r="HN6" i="12"/>
  <c r="HO6" i="12"/>
  <c r="HP6" i="12"/>
  <c r="HQ6" i="12"/>
  <c r="HR6" i="12"/>
  <c r="HS6" i="12"/>
  <c r="HT6" i="12"/>
  <c r="HU6" i="12"/>
  <c r="HV6" i="12"/>
  <c r="HW6" i="12"/>
  <c r="HX6" i="12"/>
  <c r="HY6" i="12"/>
  <c r="HZ6" i="12"/>
  <c r="IA6" i="12"/>
  <c r="IB6" i="12"/>
  <c r="IC6" i="12"/>
  <c r="ID6" i="12"/>
  <c r="IE6" i="12"/>
  <c r="IF6" i="12"/>
  <c r="IG6" i="12"/>
  <c r="IH6" i="12"/>
  <c r="II6" i="12"/>
  <c r="IJ6" i="12"/>
  <c r="IK6" i="12"/>
  <c r="IL6" i="12"/>
  <c r="IM6" i="12"/>
  <c r="IN6" i="12"/>
  <c r="IO6" i="12"/>
  <c r="IP6" i="12"/>
  <c r="IQ6" i="12"/>
  <c r="IR6" i="12"/>
  <c r="IS6" i="12"/>
  <c r="IT6" i="12"/>
  <c r="IU6" i="12"/>
  <c r="IV6" i="12"/>
  <c r="A5" i="12"/>
  <c r="B5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DV5" i="12"/>
  <c r="DW5" i="12"/>
  <c r="DX5" i="12"/>
  <c r="DY5" i="12"/>
  <c r="DZ5" i="12"/>
  <c r="EA5" i="12"/>
  <c r="EB5" i="12"/>
  <c r="EC5" i="12"/>
  <c r="ED5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S5" i="12"/>
  <c r="ET5" i="12"/>
  <c r="EU5" i="12"/>
  <c r="EV5" i="12"/>
  <c r="EW5" i="12"/>
  <c r="EX5" i="12"/>
  <c r="EY5" i="12"/>
  <c r="EZ5" i="12"/>
  <c r="FA5" i="12"/>
  <c r="FB5" i="12"/>
  <c r="FC5" i="12"/>
  <c r="FD5" i="12"/>
  <c r="FE5" i="12"/>
  <c r="FF5" i="12"/>
  <c r="FG5" i="12"/>
  <c r="FH5" i="12"/>
  <c r="FI5" i="12"/>
  <c r="FJ5" i="12"/>
  <c r="FK5" i="12"/>
  <c r="FL5" i="12"/>
  <c r="FM5" i="12"/>
  <c r="FN5" i="12"/>
  <c r="FO5" i="12"/>
  <c r="FP5" i="12"/>
  <c r="FQ5" i="12"/>
  <c r="FR5" i="12"/>
  <c r="FS5" i="12"/>
  <c r="FT5" i="12"/>
  <c r="FU5" i="12"/>
  <c r="FV5" i="12"/>
  <c r="FW5" i="12"/>
  <c r="FX5" i="12"/>
  <c r="FY5" i="12"/>
  <c r="FZ5" i="12"/>
  <c r="GA5" i="12"/>
  <c r="GB5" i="12"/>
  <c r="GC5" i="12"/>
  <c r="GD5" i="12"/>
  <c r="GE5" i="12"/>
  <c r="GF5" i="12"/>
  <c r="GG5" i="12"/>
  <c r="GH5" i="12"/>
  <c r="GI5" i="12"/>
  <c r="GJ5" i="12"/>
  <c r="GK5" i="12"/>
  <c r="GL5" i="12"/>
  <c r="GM5" i="12"/>
  <c r="GN5" i="12"/>
  <c r="GO5" i="12"/>
  <c r="GP5" i="12"/>
  <c r="GQ5" i="12"/>
  <c r="GR5" i="12"/>
  <c r="GS5" i="12"/>
  <c r="GT5" i="12"/>
  <c r="GU5" i="12"/>
  <c r="GV5" i="12"/>
  <c r="GW5" i="12"/>
  <c r="GX5" i="12"/>
  <c r="GY5" i="12"/>
  <c r="GZ5" i="12"/>
  <c r="HA5" i="12"/>
  <c r="HB5" i="12"/>
  <c r="HC5" i="12"/>
  <c r="HD5" i="12"/>
  <c r="HE5" i="12"/>
  <c r="HF5" i="12"/>
  <c r="HG5" i="12"/>
  <c r="HH5" i="12"/>
  <c r="HI5" i="12"/>
  <c r="HJ5" i="12"/>
  <c r="HK5" i="12"/>
  <c r="HL5" i="12"/>
  <c r="HM5" i="12"/>
  <c r="HN5" i="12"/>
  <c r="HO5" i="12"/>
  <c r="HP5" i="12"/>
  <c r="HQ5" i="12"/>
  <c r="HR5" i="12"/>
  <c r="HS5" i="12"/>
  <c r="HT5" i="12"/>
  <c r="HU5" i="12"/>
  <c r="HV5" i="12"/>
  <c r="HW5" i="12"/>
  <c r="HX5" i="12"/>
  <c r="HY5" i="12"/>
  <c r="HZ5" i="12"/>
  <c r="IA5" i="12"/>
  <c r="IB5" i="12"/>
  <c r="IC5" i="12"/>
  <c r="ID5" i="12"/>
  <c r="IE5" i="12"/>
  <c r="IF5" i="12"/>
  <c r="IG5" i="12"/>
  <c r="IH5" i="12"/>
  <c r="II5" i="12"/>
  <c r="IJ5" i="12"/>
  <c r="IK5" i="12"/>
  <c r="IL5" i="12"/>
  <c r="IM5" i="12"/>
  <c r="IN5" i="12"/>
  <c r="IO5" i="12"/>
  <c r="IP5" i="12"/>
  <c r="IQ5" i="12"/>
  <c r="IR5" i="12"/>
  <c r="IS5" i="12"/>
  <c r="IT5" i="12"/>
  <c r="IU5" i="12"/>
  <c r="IV5" i="12"/>
  <c r="A4" i="12"/>
  <c r="B4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O4" i="12"/>
  <c r="CP4" i="12"/>
  <c r="CQ4" i="12"/>
  <c r="CR4" i="12"/>
  <c r="CS4" i="12"/>
  <c r="CT4" i="12"/>
  <c r="CU4" i="12"/>
  <c r="CV4" i="12"/>
  <c r="CW4" i="12"/>
  <c r="CX4" i="12"/>
  <c r="CY4" i="12"/>
  <c r="CZ4" i="12"/>
  <c r="DA4" i="12"/>
  <c r="DB4" i="12"/>
  <c r="DC4" i="12"/>
  <c r="DD4" i="12"/>
  <c r="DE4" i="12"/>
  <c r="DF4" i="12"/>
  <c r="DG4" i="12"/>
  <c r="DH4" i="12"/>
  <c r="DI4" i="12"/>
  <c r="DJ4" i="12"/>
  <c r="DK4" i="12"/>
  <c r="DL4" i="12"/>
  <c r="DM4" i="12"/>
  <c r="DN4" i="12"/>
  <c r="DO4" i="12"/>
  <c r="DP4" i="12"/>
  <c r="DQ4" i="12"/>
  <c r="DR4" i="12"/>
  <c r="DS4" i="12"/>
  <c r="DT4" i="12"/>
  <c r="DU4" i="12"/>
  <c r="DV4" i="12"/>
  <c r="DW4" i="12"/>
  <c r="DX4" i="12"/>
  <c r="DY4" i="12"/>
  <c r="DZ4" i="12"/>
  <c r="EA4" i="12"/>
  <c r="EB4" i="12"/>
  <c r="EC4" i="12"/>
  <c r="ED4" i="12"/>
  <c r="EE4" i="12"/>
  <c r="EF4" i="12"/>
  <c r="EG4" i="12"/>
  <c r="EH4" i="12"/>
  <c r="EI4" i="12"/>
  <c r="EJ4" i="12"/>
  <c r="EK4" i="12"/>
  <c r="EL4" i="12"/>
  <c r="EM4" i="12"/>
  <c r="EN4" i="12"/>
  <c r="EO4" i="12"/>
  <c r="EP4" i="12"/>
  <c r="EQ4" i="12"/>
  <c r="ER4" i="12"/>
  <c r="ES4" i="12"/>
  <c r="ET4" i="12"/>
  <c r="EU4" i="12"/>
  <c r="EV4" i="12"/>
  <c r="EW4" i="12"/>
  <c r="EX4" i="12"/>
  <c r="EY4" i="12"/>
  <c r="EZ4" i="12"/>
  <c r="FA4" i="12"/>
  <c r="FB4" i="12"/>
  <c r="FC4" i="12"/>
  <c r="FD4" i="12"/>
  <c r="FE4" i="12"/>
  <c r="FF4" i="12"/>
  <c r="FG4" i="12"/>
  <c r="FH4" i="12"/>
  <c r="FI4" i="12"/>
  <c r="FJ4" i="12"/>
  <c r="FK4" i="12"/>
  <c r="FL4" i="12"/>
  <c r="FM4" i="12"/>
  <c r="FN4" i="12"/>
  <c r="FO4" i="12"/>
  <c r="FP4" i="12"/>
  <c r="FQ4" i="12"/>
  <c r="FR4" i="12"/>
  <c r="FS4" i="12"/>
  <c r="FT4" i="12"/>
  <c r="FU4" i="12"/>
  <c r="FV4" i="12"/>
  <c r="FW4" i="12"/>
  <c r="FX4" i="12"/>
  <c r="FY4" i="12"/>
  <c r="FZ4" i="12"/>
  <c r="GA4" i="12"/>
  <c r="GB4" i="12"/>
  <c r="GC4" i="12"/>
  <c r="GD4" i="12"/>
  <c r="GE4" i="12"/>
  <c r="GF4" i="12"/>
  <c r="GG4" i="12"/>
  <c r="GH4" i="12"/>
  <c r="GI4" i="12"/>
  <c r="GJ4" i="12"/>
  <c r="GK4" i="12"/>
  <c r="GL4" i="12"/>
  <c r="GM4" i="12"/>
  <c r="GN4" i="12"/>
  <c r="GO4" i="12"/>
  <c r="GP4" i="12"/>
  <c r="GQ4" i="12"/>
  <c r="GR4" i="12"/>
  <c r="GS4" i="12"/>
  <c r="GT4" i="12"/>
  <c r="GU4" i="12"/>
  <c r="GV4" i="12"/>
  <c r="GW4" i="12"/>
  <c r="GX4" i="12"/>
  <c r="GY4" i="12"/>
  <c r="GZ4" i="12"/>
  <c r="HA4" i="12"/>
  <c r="HB4" i="12"/>
  <c r="HC4" i="12"/>
  <c r="HD4" i="12"/>
  <c r="HE4" i="12"/>
  <c r="HF4" i="12"/>
  <c r="HG4" i="12"/>
  <c r="HH4" i="12"/>
  <c r="HI4" i="12"/>
  <c r="HJ4" i="12"/>
  <c r="HK4" i="12"/>
  <c r="HL4" i="12"/>
  <c r="HM4" i="12"/>
  <c r="HN4" i="12"/>
  <c r="HO4" i="12"/>
  <c r="HP4" i="12"/>
  <c r="HQ4" i="12"/>
  <c r="HR4" i="12"/>
  <c r="HS4" i="12"/>
  <c r="HT4" i="12"/>
  <c r="HU4" i="12"/>
  <c r="HV4" i="12"/>
  <c r="HW4" i="12"/>
  <c r="HX4" i="12"/>
  <c r="HY4" i="12"/>
  <c r="HZ4" i="12"/>
  <c r="IA4" i="12"/>
  <c r="IB4" i="12"/>
  <c r="IC4" i="12"/>
  <c r="ID4" i="12"/>
  <c r="IE4" i="12"/>
  <c r="IF4" i="12"/>
  <c r="IG4" i="12"/>
  <c r="IH4" i="12"/>
  <c r="II4" i="12"/>
  <c r="IJ4" i="12"/>
  <c r="IK4" i="12"/>
  <c r="IL4" i="12"/>
  <c r="IM4" i="12"/>
  <c r="IN4" i="12"/>
  <c r="IO4" i="12"/>
  <c r="IP4" i="12"/>
  <c r="IQ4" i="12"/>
  <c r="IR4" i="12"/>
  <c r="IS4" i="12"/>
  <c r="IT4" i="12"/>
  <c r="IU4" i="12"/>
  <c r="IV4" i="12"/>
  <c r="A3" i="12"/>
  <c r="B3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CL3" i="12"/>
  <c r="CM3" i="12"/>
  <c r="CN3" i="12"/>
  <c r="CO3" i="12"/>
  <c r="CP3" i="12"/>
  <c r="CQ3" i="12"/>
  <c r="CR3" i="12"/>
  <c r="CS3" i="12"/>
  <c r="CT3" i="12"/>
  <c r="CU3" i="12"/>
  <c r="CV3" i="12"/>
  <c r="CW3" i="12"/>
  <c r="CX3" i="12"/>
  <c r="CY3" i="12"/>
  <c r="CZ3" i="12"/>
  <c r="DA3" i="12"/>
  <c r="DB3" i="12"/>
  <c r="DC3" i="12"/>
  <c r="DD3" i="12"/>
  <c r="DE3" i="12"/>
  <c r="DF3" i="12"/>
  <c r="DG3" i="12"/>
  <c r="DH3" i="12"/>
  <c r="DI3" i="12"/>
  <c r="DJ3" i="12"/>
  <c r="DK3" i="12"/>
  <c r="DL3" i="12"/>
  <c r="DM3" i="12"/>
  <c r="DN3" i="12"/>
  <c r="DO3" i="12"/>
  <c r="DP3" i="12"/>
  <c r="DQ3" i="12"/>
  <c r="DR3" i="12"/>
  <c r="DS3" i="12"/>
  <c r="DT3" i="12"/>
  <c r="DU3" i="12"/>
  <c r="DV3" i="12"/>
  <c r="DW3" i="12"/>
  <c r="DX3" i="12"/>
  <c r="DY3" i="12"/>
  <c r="DZ3" i="12"/>
  <c r="EA3" i="12"/>
  <c r="EB3" i="12"/>
  <c r="EC3" i="12"/>
  <c r="ED3" i="12"/>
  <c r="EE3" i="12"/>
  <c r="EF3" i="12"/>
  <c r="EG3" i="12"/>
  <c r="EH3" i="12"/>
  <c r="EI3" i="12"/>
  <c r="EJ3" i="12"/>
  <c r="EK3" i="12"/>
  <c r="EL3" i="12"/>
  <c r="EM3" i="12"/>
  <c r="EN3" i="12"/>
  <c r="EO3" i="12"/>
  <c r="EP3" i="12"/>
  <c r="EQ3" i="12"/>
  <c r="ER3" i="12"/>
  <c r="ES3" i="12"/>
  <c r="ET3" i="12"/>
  <c r="EU3" i="12"/>
  <c r="EV3" i="12"/>
  <c r="EW3" i="12"/>
  <c r="EX3" i="12"/>
  <c r="EY3" i="12"/>
  <c r="EZ3" i="12"/>
  <c r="FA3" i="12"/>
  <c r="FB3" i="12"/>
  <c r="FC3" i="12"/>
  <c r="FD3" i="12"/>
  <c r="FE3" i="12"/>
  <c r="FF3" i="12"/>
  <c r="FG3" i="12"/>
  <c r="FH3" i="12"/>
  <c r="FI3" i="12"/>
  <c r="FJ3" i="12"/>
  <c r="FK3" i="12"/>
  <c r="FL3" i="12"/>
  <c r="FM3" i="12"/>
  <c r="FN3" i="12"/>
  <c r="FO3" i="12"/>
  <c r="FP3" i="12"/>
  <c r="FQ3" i="12"/>
  <c r="FR3" i="12"/>
  <c r="FS3" i="12"/>
  <c r="FT3" i="12"/>
  <c r="FU3" i="12"/>
  <c r="FV3" i="12"/>
  <c r="FW3" i="12"/>
  <c r="FX3" i="12"/>
  <c r="FY3" i="12"/>
  <c r="FZ3" i="12"/>
  <c r="GA3" i="12"/>
  <c r="GB3" i="12"/>
  <c r="GC3" i="12"/>
  <c r="GD3" i="12"/>
  <c r="GE3" i="12"/>
  <c r="GF3" i="12"/>
  <c r="GG3" i="12"/>
  <c r="GH3" i="12"/>
  <c r="GI3" i="12"/>
  <c r="GJ3" i="12"/>
  <c r="GK3" i="12"/>
  <c r="GL3" i="12"/>
  <c r="GM3" i="12"/>
  <c r="GN3" i="12"/>
  <c r="GO3" i="12"/>
  <c r="GP3" i="12"/>
  <c r="GQ3" i="12"/>
  <c r="GR3" i="12"/>
  <c r="GS3" i="12"/>
  <c r="GT3" i="12"/>
  <c r="GU3" i="12"/>
  <c r="GV3" i="12"/>
  <c r="GW3" i="12"/>
  <c r="GX3" i="12"/>
  <c r="GY3" i="12"/>
  <c r="GZ3" i="12"/>
  <c r="HA3" i="12"/>
  <c r="HB3" i="12"/>
  <c r="HC3" i="12"/>
  <c r="HD3" i="12"/>
  <c r="HE3" i="12"/>
  <c r="HF3" i="12"/>
  <c r="HG3" i="12"/>
  <c r="HH3" i="12"/>
  <c r="HI3" i="12"/>
  <c r="HJ3" i="12"/>
  <c r="HK3" i="12"/>
  <c r="HL3" i="12"/>
  <c r="HM3" i="12"/>
  <c r="HN3" i="12"/>
  <c r="HO3" i="12"/>
  <c r="HP3" i="12"/>
  <c r="HQ3" i="12"/>
  <c r="HR3" i="12"/>
  <c r="HS3" i="12"/>
  <c r="HT3" i="12"/>
  <c r="HU3" i="12"/>
  <c r="HV3" i="12"/>
  <c r="HW3" i="12"/>
  <c r="HX3" i="12"/>
  <c r="HY3" i="12"/>
  <c r="HZ3" i="12"/>
  <c r="IA3" i="12"/>
  <c r="IB3" i="12"/>
  <c r="IC3" i="12"/>
  <c r="ID3" i="12"/>
  <c r="IE3" i="12"/>
  <c r="IF3" i="12"/>
  <c r="IG3" i="12"/>
  <c r="IH3" i="12"/>
  <c r="II3" i="12"/>
  <c r="IJ3" i="12"/>
  <c r="IK3" i="12"/>
  <c r="IL3" i="12"/>
  <c r="IM3" i="12"/>
  <c r="IN3" i="12"/>
  <c r="IO3" i="12"/>
  <c r="IP3" i="12"/>
  <c r="IQ3" i="12"/>
  <c r="IR3" i="12"/>
  <c r="IS3" i="12"/>
  <c r="IT3" i="12"/>
  <c r="IU3" i="12"/>
  <c r="IV3" i="12"/>
  <c r="A2" i="12"/>
  <c r="B2" i="12"/>
  <c r="C2" i="12"/>
  <c r="D2" i="12"/>
  <c r="E2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CM2" i="12"/>
  <c r="CN2" i="12"/>
  <c r="CO2" i="12"/>
  <c r="CP2" i="12"/>
  <c r="CQ2" i="12"/>
  <c r="CR2" i="12"/>
  <c r="CS2" i="12"/>
  <c r="CT2" i="12"/>
  <c r="CU2" i="12"/>
  <c r="CV2" i="12"/>
  <c r="CW2" i="12"/>
  <c r="CX2" i="12"/>
  <c r="CY2" i="12"/>
  <c r="CZ2" i="12"/>
  <c r="DA2" i="12"/>
  <c r="DB2" i="12"/>
  <c r="DC2" i="12"/>
  <c r="DD2" i="12"/>
  <c r="DE2" i="12"/>
  <c r="DF2" i="12"/>
  <c r="DG2" i="12"/>
  <c r="DH2" i="12"/>
  <c r="DI2" i="12"/>
  <c r="DJ2" i="12"/>
  <c r="DK2" i="12"/>
  <c r="DL2" i="12"/>
  <c r="DM2" i="12"/>
  <c r="DN2" i="12"/>
  <c r="DO2" i="12"/>
  <c r="DP2" i="12"/>
  <c r="DQ2" i="12"/>
  <c r="DR2" i="12"/>
  <c r="DS2" i="12"/>
  <c r="DT2" i="12"/>
  <c r="DU2" i="12"/>
  <c r="DV2" i="12"/>
  <c r="DW2" i="12"/>
  <c r="DX2" i="12"/>
  <c r="DY2" i="12"/>
  <c r="DZ2" i="12"/>
  <c r="EA2" i="12"/>
  <c r="EB2" i="12"/>
  <c r="EC2" i="12"/>
  <c r="ED2" i="12"/>
  <c r="EE2" i="12"/>
  <c r="EF2" i="12"/>
  <c r="EG2" i="12"/>
  <c r="EH2" i="12"/>
  <c r="EI2" i="12"/>
  <c r="EJ2" i="12"/>
  <c r="EK2" i="12"/>
  <c r="EL2" i="12"/>
  <c r="EM2" i="12"/>
  <c r="EN2" i="12"/>
  <c r="EO2" i="12"/>
  <c r="EP2" i="12"/>
  <c r="EQ2" i="12"/>
  <c r="ER2" i="12"/>
  <c r="ES2" i="12"/>
  <c r="ET2" i="12"/>
  <c r="EU2" i="12"/>
  <c r="EV2" i="12"/>
  <c r="EW2" i="12"/>
  <c r="EX2" i="12"/>
  <c r="EY2" i="12"/>
  <c r="EZ2" i="12"/>
  <c r="FA2" i="12"/>
  <c r="FB2" i="12"/>
  <c r="FC2" i="12"/>
  <c r="FD2" i="12"/>
  <c r="FE2" i="12"/>
  <c r="FF2" i="12"/>
  <c r="FG2" i="12"/>
  <c r="FH2" i="12"/>
  <c r="FI2" i="12"/>
  <c r="FJ2" i="12"/>
  <c r="FK2" i="12"/>
  <c r="FL2" i="12"/>
  <c r="FM2" i="12"/>
  <c r="FN2" i="12"/>
  <c r="FO2" i="12"/>
  <c r="FP2" i="12"/>
  <c r="FQ2" i="12"/>
  <c r="FR2" i="12"/>
  <c r="FS2" i="12"/>
  <c r="FT2" i="12"/>
  <c r="FU2" i="12"/>
  <c r="FV2" i="12"/>
  <c r="FW2" i="12"/>
  <c r="FX2" i="12"/>
  <c r="FY2" i="12"/>
  <c r="FZ2" i="12"/>
  <c r="GA2" i="12"/>
  <c r="GB2" i="12"/>
  <c r="GC2" i="12"/>
  <c r="GD2" i="12"/>
  <c r="GE2" i="12"/>
  <c r="GF2" i="12"/>
  <c r="GG2" i="12"/>
  <c r="GH2" i="12"/>
  <c r="GI2" i="12"/>
  <c r="GJ2" i="12"/>
  <c r="GK2" i="12"/>
  <c r="GL2" i="12"/>
  <c r="GM2" i="12"/>
  <c r="GN2" i="12"/>
  <c r="GO2" i="12"/>
  <c r="GP2" i="12"/>
  <c r="GQ2" i="12"/>
  <c r="GR2" i="12"/>
  <c r="GS2" i="12"/>
  <c r="GT2" i="12"/>
  <c r="GU2" i="12"/>
  <c r="GV2" i="12"/>
  <c r="GW2" i="12"/>
  <c r="GX2" i="12"/>
  <c r="GY2" i="12"/>
  <c r="GZ2" i="12"/>
  <c r="HA2" i="12"/>
  <c r="HB2" i="12"/>
  <c r="HC2" i="12"/>
  <c r="HD2" i="12"/>
  <c r="HE2" i="12"/>
  <c r="HF2" i="12"/>
  <c r="HG2" i="12"/>
  <c r="HH2" i="12"/>
  <c r="HI2" i="12"/>
  <c r="HJ2" i="12"/>
  <c r="HK2" i="12"/>
  <c r="HL2" i="12"/>
  <c r="HM2" i="12"/>
  <c r="HN2" i="12"/>
  <c r="HO2" i="12"/>
  <c r="HP2" i="12"/>
  <c r="HQ2" i="12"/>
  <c r="HR2" i="12"/>
  <c r="HS2" i="12"/>
  <c r="HT2" i="12"/>
  <c r="HU2" i="12"/>
  <c r="HV2" i="12"/>
  <c r="HW2" i="12"/>
  <c r="HX2" i="12"/>
  <c r="HY2" i="12"/>
  <c r="HZ2" i="12"/>
  <c r="IA2" i="12"/>
  <c r="IB2" i="12"/>
  <c r="IC2" i="12"/>
  <c r="ID2" i="12"/>
  <c r="IE2" i="12"/>
  <c r="IF2" i="12"/>
  <c r="IG2" i="12"/>
  <c r="IH2" i="12"/>
  <c r="II2" i="12"/>
  <c r="IJ2" i="12"/>
  <c r="IK2" i="12"/>
  <c r="IL2" i="12"/>
  <c r="IM2" i="12"/>
  <c r="IN2" i="12"/>
  <c r="IO2" i="12"/>
  <c r="IP2" i="12"/>
  <c r="IQ2" i="12"/>
  <c r="IR2" i="12"/>
  <c r="IS2" i="12"/>
  <c r="IT2" i="12"/>
  <c r="IU2" i="12"/>
  <c r="IV2" i="12"/>
  <c r="A1" i="12"/>
  <c r="B1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U1" i="12"/>
  <c r="V1" i="12"/>
  <c r="W1" i="12"/>
  <c r="X1" i="12"/>
  <c r="Y1" i="12"/>
  <c r="Z1" i="12"/>
  <c r="AA1" i="12"/>
  <c r="AB1" i="12"/>
  <c r="AC1" i="12"/>
  <c r="AD1" i="12"/>
  <c r="AE1" i="12"/>
  <c r="AF1" i="12"/>
  <c r="AG1" i="12"/>
  <c r="AH1" i="12"/>
  <c r="AI1" i="12"/>
  <c r="AJ1" i="12"/>
  <c r="AK1" i="12"/>
  <c r="AL1" i="12"/>
  <c r="AM1" i="12"/>
  <c r="AN1" i="12"/>
  <c r="AO1" i="12"/>
  <c r="AP1" i="12"/>
  <c r="AQ1" i="12"/>
  <c r="AR1" i="12"/>
  <c r="AS1" i="12"/>
  <c r="AT1" i="12"/>
  <c r="AU1" i="12"/>
  <c r="AV1" i="12"/>
  <c r="AW1" i="12"/>
  <c r="AX1" i="12"/>
  <c r="AY1" i="12"/>
  <c r="AZ1" i="12"/>
  <c r="BA1" i="12"/>
  <c r="BB1" i="12"/>
  <c r="BC1" i="12"/>
  <c r="BD1" i="12"/>
  <c r="BE1" i="12"/>
  <c r="BF1" i="12"/>
  <c r="BG1" i="12"/>
  <c r="BH1" i="12"/>
  <c r="BI1" i="12"/>
  <c r="BJ1" i="12"/>
  <c r="BK1" i="12"/>
  <c r="BL1" i="12"/>
  <c r="BM1" i="12"/>
  <c r="BN1" i="12"/>
  <c r="BO1" i="12"/>
  <c r="BP1" i="12"/>
  <c r="BQ1" i="12"/>
  <c r="BR1" i="12"/>
  <c r="BS1" i="12"/>
  <c r="BT1" i="12"/>
  <c r="BU1" i="12"/>
  <c r="BV1" i="12"/>
  <c r="BW1" i="12"/>
  <c r="BX1" i="12"/>
  <c r="BY1" i="12"/>
  <c r="BZ1" i="12"/>
  <c r="CA1" i="12"/>
  <c r="CB1" i="12"/>
  <c r="CC1" i="12"/>
  <c r="CD1" i="12"/>
  <c r="CE1" i="12"/>
  <c r="CF1" i="12"/>
  <c r="CG1" i="12"/>
  <c r="CH1" i="12"/>
  <c r="CI1" i="12"/>
  <c r="CJ1" i="12"/>
  <c r="CK1" i="12"/>
  <c r="CL1" i="12"/>
  <c r="CM1" i="12"/>
  <c r="CN1" i="12"/>
  <c r="CO1" i="12"/>
  <c r="CP1" i="12"/>
  <c r="CQ1" i="12"/>
  <c r="CR1" i="12"/>
  <c r="CS1" i="12"/>
  <c r="CT1" i="12"/>
  <c r="CU1" i="12"/>
  <c r="CV1" i="12"/>
  <c r="CW1" i="12"/>
  <c r="CX1" i="12"/>
  <c r="CY1" i="12"/>
  <c r="CZ1" i="12"/>
  <c r="DA1" i="12"/>
  <c r="DB1" i="12"/>
  <c r="DC1" i="12"/>
  <c r="DD1" i="12"/>
  <c r="DE1" i="12"/>
  <c r="DF1" i="12"/>
  <c r="DG1" i="12"/>
  <c r="DH1" i="12"/>
  <c r="DI1" i="12"/>
  <c r="DJ1" i="12"/>
  <c r="DK1" i="12"/>
  <c r="DL1" i="12"/>
  <c r="DM1" i="12"/>
  <c r="DN1" i="12"/>
  <c r="DO1" i="12"/>
  <c r="DP1" i="12"/>
  <c r="DQ1" i="12"/>
  <c r="DR1" i="12"/>
  <c r="DS1" i="12"/>
  <c r="DT1" i="12"/>
  <c r="DU1" i="12"/>
  <c r="DV1" i="12"/>
  <c r="DW1" i="12"/>
  <c r="DX1" i="12"/>
  <c r="DY1" i="12"/>
  <c r="DZ1" i="12"/>
  <c r="EA1" i="12"/>
  <c r="EB1" i="12"/>
  <c r="EC1" i="12"/>
  <c r="ED1" i="12"/>
  <c r="EE1" i="12"/>
  <c r="EF1" i="12"/>
  <c r="EG1" i="12"/>
  <c r="EH1" i="12"/>
  <c r="EI1" i="12"/>
  <c r="EJ1" i="12"/>
  <c r="EK1" i="12"/>
  <c r="EL1" i="12"/>
  <c r="EM1" i="12"/>
  <c r="EN1" i="12"/>
  <c r="EO1" i="12"/>
  <c r="EP1" i="12"/>
  <c r="EQ1" i="12"/>
  <c r="ER1" i="12"/>
  <c r="ES1" i="12"/>
  <c r="ET1" i="12"/>
  <c r="EU1" i="12"/>
  <c r="EV1" i="12"/>
  <c r="EW1" i="12"/>
  <c r="EX1" i="12"/>
  <c r="EY1" i="12"/>
  <c r="EZ1" i="12"/>
  <c r="FA1" i="12"/>
  <c r="FB1" i="12"/>
  <c r="FC1" i="12"/>
  <c r="FD1" i="12"/>
  <c r="FE1" i="12"/>
  <c r="FF1" i="12"/>
  <c r="FG1" i="12"/>
  <c r="FH1" i="12"/>
  <c r="FI1" i="12"/>
  <c r="FJ1" i="12"/>
  <c r="FK1" i="12"/>
  <c r="FL1" i="12"/>
  <c r="FM1" i="12"/>
  <c r="FN1" i="12"/>
  <c r="FO1" i="12"/>
  <c r="FP1" i="12"/>
  <c r="FQ1" i="12"/>
  <c r="FR1" i="12"/>
  <c r="FS1" i="12"/>
  <c r="FT1" i="12"/>
  <c r="FU1" i="12"/>
  <c r="FV1" i="12"/>
  <c r="FW1" i="12"/>
  <c r="FX1" i="12"/>
  <c r="FY1" i="12"/>
  <c r="FZ1" i="12"/>
  <c r="GA1" i="12"/>
  <c r="GB1" i="12"/>
  <c r="GC1" i="12"/>
  <c r="GD1" i="12"/>
  <c r="GE1" i="12"/>
  <c r="GF1" i="12"/>
  <c r="GG1" i="12"/>
  <c r="GH1" i="12"/>
  <c r="GI1" i="12"/>
  <c r="GJ1" i="12"/>
  <c r="GK1" i="12"/>
  <c r="GL1" i="12"/>
  <c r="GM1" i="12"/>
  <c r="GN1" i="12"/>
  <c r="GO1" i="12"/>
  <c r="GP1" i="12"/>
  <c r="GQ1" i="12"/>
  <c r="GR1" i="12"/>
  <c r="GS1" i="12"/>
  <c r="GT1" i="12"/>
  <c r="GU1" i="12"/>
  <c r="GV1" i="12"/>
  <c r="GW1" i="12"/>
  <c r="GX1" i="12"/>
  <c r="GY1" i="12"/>
  <c r="GZ1" i="12"/>
  <c r="HA1" i="12"/>
  <c r="HB1" i="12"/>
  <c r="HC1" i="12"/>
  <c r="HD1" i="12"/>
  <c r="HE1" i="12"/>
  <c r="HF1" i="12"/>
  <c r="HG1" i="12"/>
  <c r="HH1" i="12"/>
  <c r="HI1" i="12"/>
  <c r="HJ1" i="12"/>
  <c r="HK1" i="12"/>
  <c r="HL1" i="12"/>
  <c r="HM1" i="12"/>
  <c r="HN1" i="12"/>
  <c r="HO1" i="12"/>
  <c r="HP1" i="12"/>
  <c r="HQ1" i="12"/>
  <c r="HR1" i="12"/>
  <c r="HS1" i="12"/>
  <c r="HT1" i="12"/>
  <c r="HU1" i="12"/>
  <c r="HV1" i="12"/>
  <c r="HW1" i="12"/>
  <c r="HX1" i="12"/>
  <c r="HY1" i="12"/>
  <c r="HZ1" i="12"/>
  <c r="IA1" i="12"/>
  <c r="IB1" i="12"/>
  <c r="IC1" i="12"/>
  <c r="ID1" i="12"/>
  <c r="IE1" i="12"/>
  <c r="IF1" i="12"/>
  <c r="IG1" i="12"/>
  <c r="IH1" i="12"/>
  <c r="II1" i="12"/>
  <c r="IJ1" i="12"/>
  <c r="IK1" i="12"/>
  <c r="IL1" i="12"/>
  <c r="IM1" i="12"/>
  <c r="IN1" i="12"/>
  <c r="IO1" i="12"/>
  <c r="IP1" i="12"/>
  <c r="IQ1" i="12"/>
  <c r="IR1" i="12"/>
  <c r="IS1" i="12"/>
  <c r="IT1" i="12"/>
  <c r="IU1" i="12"/>
  <c r="IV1" i="12"/>
  <c r="T5" i="12" l="1"/>
  <c r="D58" i="8"/>
  <c r="D31" i="8"/>
  <c r="D47" i="8"/>
  <c r="DG21" i="12"/>
  <c r="D92" i="8"/>
  <c r="C104" i="12"/>
  <c r="D176" i="8"/>
  <c r="D95" i="8"/>
  <c r="D127" i="8"/>
  <c r="D63" i="8"/>
  <c r="D119" i="8"/>
  <c r="D152" i="8"/>
  <c r="D6" i="8"/>
  <c r="D89" i="8"/>
  <c r="D79" i="8"/>
  <c r="D215" i="8"/>
  <c r="D164" i="8"/>
  <c r="D21" i="8"/>
  <c r="D128" i="8"/>
  <c r="D24" i="8"/>
  <c r="D170" i="8"/>
  <c r="D9" i="8"/>
  <c r="D198" i="8"/>
  <c r="D16" i="8"/>
  <c r="D43" i="8"/>
  <c r="D76" i="8"/>
  <c r="D138" i="8"/>
  <c r="D154" i="8"/>
  <c r="D143" i="8"/>
  <c r="D168" i="8"/>
  <c r="D111" i="8"/>
  <c r="D81" i="8"/>
  <c r="D45" i="8"/>
  <c r="D37" i="8"/>
  <c r="D112" i="8"/>
  <c r="D26" i="8"/>
  <c r="D98" i="8"/>
  <c r="D42" i="8"/>
  <c r="D36" i="8"/>
  <c r="D78" i="8"/>
  <c r="D73" i="8"/>
  <c r="D87" i="8"/>
  <c r="D48" i="8"/>
  <c r="D156" i="8"/>
  <c r="D30" i="8"/>
  <c r="D54" i="8"/>
  <c r="D122" i="8"/>
  <c r="D39" i="8"/>
  <c r="D15" i="8"/>
  <c r="D157" i="8"/>
  <c r="D22" i="8"/>
  <c r="D139" i="8"/>
  <c r="D131" i="8"/>
  <c r="D167" i="8"/>
  <c r="D72" i="8"/>
  <c r="D107" i="8"/>
  <c r="D149" i="8"/>
  <c r="D142" i="8"/>
  <c r="D145" i="8"/>
  <c r="D109" i="8"/>
  <c r="D75" i="8"/>
  <c r="D179" i="8"/>
  <c r="D57" i="8"/>
  <c r="D169" i="8"/>
  <c r="D120" i="8"/>
  <c r="D66" i="8"/>
  <c r="D108" i="8"/>
  <c r="D214" i="8"/>
  <c r="D194" i="8"/>
  <c r="D56" i="8"/>
  <c r="D34" i="8"/>
  <c r="D133" i="8"/>
  <c r="D161" i="8"/>
  <c r="D8" i="8"/>
  <c r="D99" i="8"/>
  <c r="D10" i="8"/>
  <c r="D110" i="8"/>
  <c r="D125" i="8"/>
  <c r="D4" i="8"/>
  <c r="D116" i="8"/>
  <c r="D189" i="8"/>
  <c r="D88" i="8"/>
  <c r="D118" i="8"/>
  <c r="D180" i="8"/>
  <c r="D114" i="8"/>
  <c r="D181" i="8"/>
  <c r="D68" i="8"/>
  <c r="D153" i="8"/>
  <c r="D150" i="8"/>
  <c r="D117" i="8"/>
  <c r="D18" i="8"/>
  <c r="D35" i="8"/>
  <c r="D136" i="8"/>
  <c r="D196" i="8"/>
  <c r="D19" i="8"/>
  <c r="D71" i="8"/>
  <c r="D134" i="8"/>
  <c r="D13" i="8"/>
  <c r="D129" i="8"/>
  <c r="D124" i="8"/>
  <c r="D59" i="8"/>
  <c r="D97" i="8"/>
  <c r="D46" i="8"/>
  <c r="D184" i="8"/>
  <c r="D53" i="8"/>
  <c r="D77" i="8"/>
  <c r="D70" i="8"/>
  <c r="D178" i="8"/>
  <c r="D148" i="8"/>
  <c r="D52" i="8"/>
  <c r="D14" i="8"/>
  <c r="D182" i="8"/>
  <c r="D171" i="8"/>
  <c r="D69" i="8"/>
  <c r="D144" i="8"/>
  <c r="D40" i="8"/>
  <c r="D166" i="8"/>
  <c r="D91" i="8"/>
  <c r="D121" i="8"/>
  <c r="D49" i="8"/>
  <c r="D85" i="8"/>
  <c r="D123" i="8"/>
  <c r="D155" i="8"/>
  <c r="D32" i="8"/>
  <c r="D94" i="8"/>
  <c r="D41" i="8"/>
  <c r="D84" i="8"/>
  <c r="D135" i="8"/>
  <c r="D61" i="8"/>
  <c r="D130" i="8"/>
  <c r="D193" i="8"/>
  <c r="D33" i="8"/>
  <c r="D195" i="8"/>
  <c r="D191" i="8"/>
  <c r="D177" i="8"/>
  <c r="D20" i="8"/>
  <c r="D44" i="8"/>
  <c r="D192" i="8"/>
  <c r="D51" i="8"/>
  <c r="D80" i="8"/>
  <c r="D12" i="8"/>
  <c r="D62" i="8"/>
  <c r="D140" i="8"/>
  <c r="D11" i="8"/>
  <c r="D27" i="8"/>
  <c r="D55" i="8"/>
  <c r="D93" i="8"/>
  <c r="D172" i="8"/>
  <c r="D132" i="8"/>
  <c r="D183" i="8"/>
  <c r="D83" i="8"/>
  <c r="D65" i="8"/>
  <c r="D100" i="8"/>
  <c r="D106" i="8"/>
  <c r="D96" i="8"/>
  <c r="D159" i="8"/>
  <c r="D50" i="8"/>
  <c r="D64" i="8"/>
  <c r="D74" i="8"/>
  <c r="D151" i="8"/>
  <c r="D28" i="8"/>
  <c r="D158" i="8"/>
  <c r="D187" i="8"/>
  <c r="D17" i="8"/>
  <c r="D38" i="8"/>
  <c r="D23" i="8"/>
  <c r="D162" i="8"/>
  <c r="D197" i="8"/>
  <c r="D186" i="8"/>
  <c r="D25" i="8"/>
  <c r="D185" i="8"/>
  <c r="D3" i="8"/>
  <c r="D190" i="8"/>
  <c r="D86" i="8"/>
  <c r="D115" i="8"/>
  <c r="D7" i="8"/>
  <c r="D82" i="8"/>
  <c r="D113" i="8"/>
  <c r="D137" i="8"/>
  <c r="D67" i="8"/>
  <c r="D188" i="8"/>
  <c r="D141" i="8"/>
  <c r="D60" i="8"/>
  <c r="D2" i="8"/>
  <c r="D158" i="12" l="1"/>
  <c r="D216" i="8"/>
  <c r="D218" i="8"/>
  <c r="D217" i="8"/>
  <c r="D212" i="8"/>
  <c r="D213" i="8"/>
  <c r="D29" i="12"/>
  <c r="AS24" i="12"/>
  <c r="AK120" i="12"/>
  <c r="EL21" i="12"/>
</calcChain>
</file>

<file path=xl/sharedStrings.xml><?xml version="1.0" encoding="utf-8"?>
<sst xmlns="http://schemas.openxmlformats.org/spreadsheetml/2006/main" count="1206" uniqueCount="677">
  <si>
    <t>Mã SP</t>
  </si>
  <si>
    <t>Tên sản phẩm</t>
  </si>
  <si>
    <t>A025</t>
  </si>
  <si>
    <t>Gà bông</t>
  </si>
  <si>
    <t>A026</t>
  </si>
  <si>
    <t>Dép bốn lá</t>
  </si>
  <si>
    <t>A028</t>
  </si>
  <si>
    <t>Cá voi</t>
  </si>
  <si>
    <t>A041</t>
  </si>
  <si>
    <t>Cup cake</t>
  </si>
  <si>
    <t>A042</t>
  </si>
  <si>
    <t>Dino</t>
  </si>
  <si>
    <t>A049</t>
  </si>
  <si>
    <t>A050</t>
  </si>
  <si>
    <t>XX and XY</t>
  </si>
  <si>
    <t>A051</t>
  </si>
  <si>
    <t>Kem đôi</t>
  </si>
  <si>
    <t>A052</t>
  </si>
  <si>
    <t>Nấm đôi</t>
  </si>
  <si>
    <t>A054</t>
  </si>
  <si>
    <t>Cáo đôi</t>
  </si>
  <si>
    <t>A055</t>
  </si>
  <si>
    <t>Cơm nắm</t>
  </si>
  <si>
    <t>A056</t>
  </si>
  <si>
    <t>Ong</t>
  </si>
  <si>
    <t>A057</t>
  </si>
  <si>
    <t>Cỏ 4 lá</t>
  </si>
  <si>
    <t>A058</t>
  </si>
  <si>
    <t>Ếch</t>
  </si>
  <si>
    <t>A059</t>
  </si>
  <si>
    <t>Bọ dừa</t>
  </si>
  <si>
    <t>A060</t>
  </si>
  <si>
    <t>Cánh cụt</t>
  </si>
  <si>
    <t>A061</t>
  </si>
  <si>
    <t>Gấu trúc</t>
  </si>
  <si>
    <t>A062</t>
  </si>
  <si>
    <t>Hươu</t>
  </si>
  <si>
    <t>A063</t>
  </si>
  <si>
    <t>Lừa</t>
  </si>
  <si>
    <t>A064</t>
  </si>
  <si>
    <t>Bánh sữa</t>
  </si>
  <si>
    <t>A069</t>
  </si>
  <si>
    <t>Bánh kem</t>
  </si>
  <si>
    <t>A071</t>
  </si>
  <si>
    <t>Bao tay</t>
  </si>
  <si>
    <t>A073</t>
  </si>
  <si>
    <t>Cá heo</t>
  </si>
  <si>
    <t>A075</t>
  </si>
  <si>
    <t>Bánh kẹp trứng</t>
  </si>
  <si>
    <t>A076</t>
  </si>
  <si>
    <t>Búp bê Nga</t>
  </si>
  <si>
    <t>A077</t>
  </si>
  <si>
    <t>Chim</t>
  </si>
  <si>
    <t>A079</t>
  </si>
  <si>
    <t>Trăng sao</t>
  </si>
  <si>
    <t>A080</t>
  </si>
  <si>
    <t>Chuột cheese</t>
  </si>
  <si>
    <t>Trà sữa</t>
  </si>
  <si>
    <t>A090</t>
  </si>
  <si>
    <t>Hamster</t>
  </si>
  <si>
    <t>A091</t>
  </si>
  <si>
    <t>Cánh cụt bơi</t>
  </si>
  <si>
    <t>A092</t>
  </si>
  <si>
    <t>Heo đất</t>
  </si>
  <si>
    <t>A121</t>
  </si>
  <si>
    <t>Gà mẹ con</t>
  </si>
  <si>
    <t>A122</t>
  </si>
  <si>
    <t>Ếch kêu mưa</t>
  </si>
  <si>
    <t>A123</t>
  </si>
  <si>
    <t>Tê giác tắm</t>
  </si>
  <si>
    <t>A124</t>
  </si>
  <si>
    <t>Cá mú</t>
  </si>
  <si>
    <t>A125</t>
  </si>
  <si>
    <t>Ỉn hồng</t>
  </si>
  <si>
    <t>A127</t>
  </si>
  <si>
    <t>A126</t>
  </si>
  <si>
    <t>A128</t>
  </si>
  <si>
    <t>A129</t>
  </si>
  <si>
    <t>Chó</t>
  </si>
  <si>
    <t>A130</t>
  </si>
  <si>
    <t>A131</t>
  </si>
  <si>
    <t>A132</t>
  </si>
  <si>
    <t>Bánh cuộn</t>
  </si>
  <si>
    <t>A133</t>
  </si>
  <si>
    <t>Sushi</t>
  </si>
  <si>
    <t>A134</t>
  </si>
  <si>
    <t>Caramen</t>
  </si>
  <si>
    <t>A135</t>
  </si>
  <si>
    <t>Bánh quy</t>
  </si>
  <si>
    <t>A136</t>
  </si>
  <si>
    <t>Chuột</t>
  </si>
  <si>
    <t>A137</t>
  </si>
  <si>
    <t>A138</t>
  </si>
  <si>
    <t>Khỉ yoyo cici</t>
  </si>
  <si>
    <t>A139</t>
  </si>
  <si>
    <t>Cú</t>
  </si>
  <si>
    <t>A140</t>
  </si>
  <si>
    <t>Domokun</t>
  </si>
  <si>
    <t>A141</t>
  </si>
  <si>
    <t>Mèo</t>
  </si>
  <si>
    <t>A142</t>
  </si>
  <si>
    <t>Bọt biển</t>
  </si>
  <si>
    <t>A152</t>
  </si>
  <si>
    <t>A151</t>
  </si>
  <si>
    <t>Nhân Mã</t>
  </si>
  <si>
    <t>A150</t>
  </si>
  <si>
    <t>Bọ Cạp</t>
  </si>
  <si>
    <t>A149</t>
  </si>
  <si>
    <t>Thiên Bình</t>
  </si>
  <si>
    <t>A148</t>
  </si>
  <si>
    <t>A145</t>
  </si>
  <si>
    <t>Sư Tử</t>
  </si>
  <si>
    <t>A146</t>
  </si>
  <si>
    <t>Cự Giải</t>
  </si>
  <si>
    <t>A147</t>
  </si>
  <si>
    <t>Song Tử</t>
  </si>
  <si>
    <t>A143</t>
  </si>
  <si>
    <t>Bạch Dương</t>
  </si>
  <si>
    <t>A154</t>
  </si>
  <si>
    <t>Song Ngư</t>
  </si>
  <si>
    <t>A153</t>
  </si>
  <si>
    <t>Bảo Bình</t>
  </si>
  <si>
    <t>A144</t>
  </si>
  <si>
    <t>B01</t>
  </si>
  <si>
    <t>B02</t>
  </si>
  <si>
    <t>Lò nướng kitty</t>
  </si>
  <si>
    <t>B03</t>
  </si>
  <si>
    <t>B04</t>
  </si>
  <si>
    <t>Fastfood</t>
  </si>
  <si>
    <t>B07</t>
  </si>
  <si>
    <t>Bánh dâu</t>
  </si>
  <si>
    <t>B08</t>
  </si>
  <si>
    <t>B09</t>
  </si>
  <si>
    <t>Pizza hoa quả</t>
  </si>
  <si>
    <t>B10</t>
  </si>
  <si>
    <t>Bánh trái cây</t>
  </si>
  <si>
    <t>B11</t>
  </si>
  <si>
    <t>B12</t>
  </si>
  <si>
    <t>B13</t>
  </si>
  <si>
    <t>Cheese cake</t>
  </si>
  <si>
    <t>B14</t>
  </si>
  <si>
    <t>Tiramisu</t>
  </si>
  <si>
    <t>B15</t>
  </si>
  <si>
    <t>Ngày bán hàng</t>
  </si>
  <si>
    <t>Thu ngân</t>
  </si>
  <si>
    <t>Bán hàng</t>
  </si>
  <si>
    <t>Giá bán</t>
  </si>
  <si>
    <t>Tên SP</t>
  </si>
  <si>
    <t>Tổng bán</t>
  </si>
  <si>
    <t>Ghi chú</t>
  </si>
  <si>
    <t>AAAAAG7/1zQ=</t>
  </si>
  <si>
    <t>AAAAAG7/1zU=</t>
  </si>
  <si>
    <t xml:space="preserve">Key - lock </t>
  </si>
  <si>
    <t>A085</t>
  </si>
  <si>
    <t>Gối bốn lá</t>
  </si>
  <si>
    <t>Kim Ngưu</t>
  </si>
  <si>
    <t xml:space="preserve">Xử Nữ </t>
  </si>
  <si>
    <t>Ma Kết</t>
  </si>
  <si>
    <t>A155</t>
  </si>
  <si>
    <t>Phao bơi và mỏ neo</t>
  </si>
  <si>
    <t>A156</t>
  </si>
  <si>
    <t>Hải cẩu</t>
  </si>
  <si>
    <t>A157</t>
  </si>
  <si>
    <t>Cá vàng</t>
  </si>
  <si>
    <t>A158</t>
  </si>
  <si>
    <t>Dâu Tây</t>
  </si>
  <si>
    <t>A159</t>
  </si>
  <si>
    <t>Nấm rừng</t>
  </si>
  <si>
    <t>A160</t>
  </si>
  <si>
    <t>Đầu lâu</t>
  </si>
  <si>
    <t>A161</t>
  </si>
  <si>
    <t>Tuần lộc kute</t>
  </si>
  <si>
    <t>A162</t>
  </si>
  <si>
    <t>Bóng Noel</t>
  </si>
  <si>
    <t>A163</t>
  </si>
  <si>
    <t>Tuần lộc đỏ</t>
  </si>
  <si>
    <t>A164</t>
  </si>
  <si>
    <t>Quả cầu Noel</t>
  </si>
  <si>
    <t>A165</t>
  </si>
  <si>
    <t>Găng tất Noel</t>
  </si>
  <si>
    <t>A093</t>
  </si>
  <si>
    <t>Cây thông</t>
  </si>
  <si>
    <t>A094</t>
  </si>
  <si>
    <t>Người bánh gừng</t>
  </si>
  <si>
    <t>A095</t>
  </si>
  <si>
    <t>Người tuyết</t>
  </si>
  <si>
    <t>A098</t>
  </si>
  <si>
    <t>Kẹo que</t>
  </si>
  <si>
    <t>A101</t>
  </si>
  <si>
    <t>Ông già Noel</t>
  </si>
  <si>
    <t>Ấm trà tình yêu</t>
  </si>
  <si>
    <t>3D</t>
  </si>
  <si>
    <t>Cơm Nhật</t>
  </si>
  <si>
    <t>Bánh chocolate</t>
  </si>
  <si>
    <t>Hộp chocolate</t>
  </si>
  <si>
    <t>C01</t>
  </si>
  <si>
    <t>Thiệp</t>
  </si>
  <si>
    <t>R001</t>
  </si>
  <si>
    <t>Rollygami</t>
  </si>
  <si>
    <t>R002</t>
  </si>
  <si>
    <t>R003</t>
  </si>
  <si>
    <t>Gấu Panda</t>
  </si>
  <si>
    <t>R004</t>
  </si>
  <si>
    <t>Angry bird đen</t>
  </si>
  <si>
    <t>R005</t>
  </si>
  <si>
    <t>Angry bird đỏ</t>
  </si>
  <si>
    <t>R006</t>
  </si>
  <si>
    <t>Angry bird trắng</t>
  </si>
  <si>
    <t>R007</t>
  </si>
  <si>
    <t>Angry bird vàng</t>
  </si>
  <si>
    <t>R008</t>
  </si>
  <si>
    <t>Rùa</t>
  </si>
  <si>
    <t>Vải dạ 10x10</t>
  </si>
  <si>
    <t>Vải dạ 18x18</t>
  </si>
  <si>
    <t>Vải dạ 30x30</t>
  </si>
  <si>
    <t>Vải dạ 45x45</t>
  </si>
  <si>
    <t>Vải dạ 90x90</t>
  </si>
  <si>
    <t>GC01</t>
  </si>
  <si>
    <t>Dây cói</t>
  </si>
  <si>
    <t>GC02</t>
  </si>
  <si>
    <t>Dây da lộn</t>
  </si>
  <si>
    <t>GC03</t>
  </si>
  <si>
    <t>Dây xích</t>
  </si>
  <si>
    <t>GC04</t>
  </si>
  <si>
    <t>Khoen tròn (lạng)</t>
  </si>
  <si>
    <t>GC05</t>
  </si>
  <si>
    <t>Mặt lớn</t>
  </si>
  <si>
    <t>GC06</t>
  </si>
  <si>
    <t>Mặt vừa</t>
  </si>
  <si>
    <t>GC07</t>
  </si>
  <si>
    <t>Mặt nhỏ</t>
  </si>
  <si>
    <t>GC08</t>
  </si>
  <si>
    <t>Mặt cung</t>
  </si>
  <si>
    <t>GC09</t>
  </si>
  <si>
    <t>Kẹp ngang to (số 4)</t>
  </si>
  <si>
    <t>GC10</t>
  </si>
  <si>
    <t>Kẹp ngang nhỏ(số 3)</t>
  </si>
  <si>
    <t>GC11</t>
  </si>
  <si>
    <t>Kẹp dọc (số 1)</t>
  </si>
  <si>
    <t>GC12</t>
  </si>
  <si>
    <t>Càng cua</t>
  </si>
  <si>
    <t>GC13</t>
  </si>
  <si>
    <t xml:space="preserve">Chuông bạc </t>
  </si>
  <si>
    <t>GC14</t>
  </si>
  <si>
    <t>Chuông giả cổ</t>
  </si>
  <si>
    <t>GC15</t>
  </si>
  <si>
    <t>Móc điện thoại giả cổ</t>
  </si>
  <si>
    <t>GC16</t>
  </si>
  <si>
    <t>Bộ 12 cung</t>
  </si>
  <si>
    <t>Chỉ DC</t>
  </si>
  <si>
    <t>Móc điện thoại</t>
  </si>
  <si>
    <t>Móc khóa</t>
  </si>
  <si>
    <t>Keo nến</t>
  </si>
  <si>
    <t>Set chỉ</t>
  </si>
  <si>
    <t>Chỉ đơn</t>
  </si>
  <si>
    <t>Bông túi</t>
  </si>
  <si>
    <t>Bông cân</t>
  </si>
  <si>
    <t>Mắt nhựa</t>
  </si>
  <si>
    <t>VD10</t>
  </si>
  <si>
    <t>Đế huy hiệu</t>
  </si>
  <si>
    <t>DS01</t>
  </si>
  <si>
    <t>Đất sét Malay</t>
  </si>
  <si>
    <t>DS02</t>
  </si>
  <si>
    <t>Đất sét Thái</t>
  </si>
  <si>
    <t>DS03</t>
  </si>
  <si>
    <t>Đất sét Hàn Quốc</t>
  </si>
  <si>
    <t>DS04</t>
  </si>
  <si>
    <t>Túi khoen 10</t>
  </si>
  <si>
    <t>DS05</t>
  </si>
  <si>
    <t>Kem ủ</t>
  </si>
  <si>
    <t>DS06</t>
  </si>
  <si>
    <t>Kem mềm</t>
  </si>
  <si>
    <t>DS07</t>
  </si>
  <si>
    <t>Keo sữa</t>
  </si>
  <si>
    <t>DS08</t>
  </si>
  <si>
    <t>Dung dịch đất sét</t>
  </si>
  <si>
    <t>DS09</t>
  </si>
  <si>
    <t>DS10</t>
  </si>
  <si>
    <t>Sơn bóng</t>
  </si>
  <si>
    <t>DS11</t>
  </si>
  <si>
    <t>Set màu</t>
  </si>
  <si>
    <t>DS12</t>
  </si>
  <si>
    <t>Bút vẽ</t>
  </si>
  <si>
    <t>DS13</t>
  </si>
  <si>
    <t>Đất sét hoa quả</t>
  </si>
  <si>
    <t>DS14</t>
  </si>
  <si>
    <t>Đất sét hoa quả thanh</t>
  </si>
  <si>
    <t>DS15</t>
  </si>
  <si>
    <t>Lọ thủy tinh</t>
  </si>
  <si>
    <t>DS16</t>
  </si>
  <si>
    <t>Combo classic</t>
  </si>
  <si>
    <t>DS17</t>
  </si>
  <si>
    <t>Combo bánh</t>
  </si>
  <si>
    <t>DS18</t>
  </si>
  <si>
    <t>Tấm phơi</t>
  </si>
  <si>
    <t>DS19</t>
  </si>
  <si>
    <t>Cây lăn</t>
  </si>
  <si>
    <t>VN01</t>
  </si>
  <si>
    <t>Vải mét</t>
  </si>
  <si>
    <t>VN02</t>
  </si>
  <si>
    <t>Vải 40x40</t>
  </si>
  <si>
    <t>VN03</t>
  </si>
  <si>
    <t>VN04</t>
  </si>
  <si>
    <t>VN05</t>
  </si>
  <si>
    <t>Khóa 40cm nổi</t>
  </si>
  <si>
    <t>VN06</t>
  </si>
  <si>
    <t>VN07</t>
  </si>
  <si>
    <t>Khóa 25cm chìm trắng</t>
  </si>
  <si>
    <t>VN08</t>
  </si>
  <si>
    <t>Khóa 25cm chìm màu</t>
  </si>
  <si>
    <t>VN09</t>
  </si>
  <si>
    <t>VN10</t>
  </si>
  <si>
    <t>AAAAAH3//rk=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</si>
  <si>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</si>
  <si>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</si>
  <si>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</si>
  <si>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</si>
  <si>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</si>
  <si>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</si>
  <si>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</si>
  <si>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</si>
  <si>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</si>
  <si>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</si>
  <si>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</si>
  <si>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</si>
  <si>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</si>
  <si>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</si>
  <si>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</si>
  <si>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</si>
  <si>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</si>
  <si>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</si>
  <si>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</si>
  <si>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</si>
  <si>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</si>
  <si>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</si>
  <si>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</si>
  <si>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</si>
  <si>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</si>
  <si>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</si>
  <si>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</si>
  <si>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</si>
  <si>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</si>
  <si>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</si>
  <si>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</si>
  <si>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Tổng nhập</t>
  </si>
  <si>
    <t>Tồn kho</t>
  </si>
  <si>
    <t>NHẬT KÝ HÀNG TỒN THÁNG 10</t>
  </si>
  <si>
    <t>VD1</t>
  </si>
  <si>
    <t>VD2</t>
  </si>
  <si>
    <t>VD3</t>
  </si>
  <si>
    <t>VD4</t>
  </si>
  <si>
    <t>VD5</t>
  </si>
  <si>
    <t>VD6</t>
  </si>
  <si>
    <t>VD7</t>
  </si>
  <si>
    <t>VD8</t>
  </si>
  <si>
    <t>VD9</t>
  </si>
  <si>
    <t>VD11</t>
  </si>
  <si>
    <t>VD12</t>
  </si>
  <si>
    <t>VD13</t>
  </si>
  <si>
    <t>VD14</t>
  </si>
  <si>
    <t>VD15</t>
  </si>
  <si>
    <t>VD16</t>
  </si>
  <si>
    <t>DS20</t>
  </si>
  <si>
    <t>GC17</t>
  </si>
  <si>
    <t>GC18</t>
  </si>
  <si>
    <t>GC19</t>
  </si>
  <si>
    <t>GC20</t>
  </si>
  <si>
    <t>GC101</t>
  </si>
  <si>
    <t>GC102</t>
  </si>
  <si>
    <t>GC103</t>
  </si>
  <si>
    <t>GC104</t>
  </si>
  <si>
    <t>GC105</t>
  </si>
  <si>
    <t>GC106</t>
  </si>
  <si>
    <t>GC107</t>
  </si>
  <si>
    <t>GC108</t>
  </si>
  <si>
    <t>GC109</t>
  </si>
  <si>
    <t>GC110</t>
  </si>
  <si>
    <t>GC111</t>
  </si>
  <si>
    <t>GC112</t>
  </si>
  <si>
    <t>GC113</t>
  </si>
  <si>
    <t>GC114</t>
  </si>
  <si>
    <t>GC115</t>
  </si>
  <si>
    <t>GC116</t>
  </si>
  <si>
    <t>GC117</t>
  </si>
  <si>
    <t>GC118</t>
  </si>
  <si>
    <t>GC119</t>
  </si>
  <si>
    <t>GC120</t>
  </si>
  <si>
    <t>GC121</t>
  </si>
  <si>
    <t>GC122</t>
  </si>
  <si>
    <t>GC123</t>
  </si>
  <si>
    <t>CT01</t>
  </si>
  <si>
    <t>VN11</t>
  </si>
  <si>
    <t>VN12</t>
  </si>
  <si>
    <t>VN13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</si>
  <si>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</si>
  <si>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</si>
  <si>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</si>
  <si>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</si>
  <si>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</si>
  <si>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</si>
  <si>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</si>
  <si>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</si>
  <si>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</si>
  <si>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</si>
  <si>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</si>
  <si>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</si>
  <si>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Cafe hoa quả</t>
  </si>
  <si>
    <t>Bông nửa cân</t>
  </si>
  <si>
    <t>Hoa tai móc ĐÔI</t>
  </si>
  <si>
    <t>Đầu tạo hình</t>
  </si>
  <si>
    <t>Khuôn dập chữ số</t>
  </si>
  <si>
    <t>Dây xích vàng</t>
  </si>
  <si>
    <t>Đinh tán</t>
  </si>
  <si>
    <t>Bông tuyết</t>
  </si>
  <si>
    <t>Chùm chìa khoá</t>
  </si>
  <si>
    <t>Chìa khoá</t>
  </si>
  <si>
    <t>Ổ khoá</t>
  </si>
  <si>
    <t>Nhẫn cú</t>
  </si>
  <si>
    <t>Đôi cú trái tim</t>
  </si>
  <si>
    <t>Mặt giả cổ mỏ neo</t>
  </si>
  <si>
    <t>Mặt giả cổ mèo</t>
  </si>
  <si>
    <t>Đèn dầu thần</t>
  </si>
  <si>
    <t>Máy ảnh cổ</t>
  </si>
  <si>
    <t>Máy ảnh hiện đại</t>
  </si>
  <si>
    <t>Giày Converse</t>
  </si>
  <si>
    <t>Bánh Happy Birthday</t>
  </si>
  <si>
    <t>Chữ Love</t>
  </si>
  <si>
    <t>Chó con</t>
  </si>
  <si>
    <t>Cỏ bốn lá nhỏ</t>
  </si>
  <si>
    <t>Cây nhiều lá</t>
  </si>
  <si>
    <t>Cánh bướm</t>
  </si>
  <si>
    <t>Ngôi sao nhỏ</t>
  </si>
  <si>
    <t>Ngôi sao nổi</t>
  </si>
  <si>
    <t>Cánh thiên thần</t>
  </si>
  <si>
    <t>Thư trái tim</t>
  </si>
  <si>
    <t>Hai chú chim</t>
  </si>
  <si>
    <t>Vải nỉ làm gối 1.6 x 0.5m</t>
  </si>
  <si>
    <t>Vải nỉ làm gối 1.6 x 1m</t>
  </si>
  <si>
    <t>Vải vụn 1 LẠNG</t>
  </si>
  <si>
    <t>Chun 1m</t>
  </si>
  <si>
    <t>Vải lót 1m</t>
  </si>
  <si>
    <t>Vải lót 0.5m</t>
  </si>
  <si>
    <t>20' basic</t>
  </si>
  <si>
    <t>20' advanced</t>
  </si>
  <si>
    <t>3D basic</t>
  </si>
  <si>
    <t>3D advanced</t>
  </si>
  <si>
    <t>Vải dạ nỉ basic</t>
  </si>
  <si>
    <t>Vải dạ nỉ plus</t>
  </si>
  <si>
    <t>Vải dạ nỉ advanced</t>
  </si>
  <si>
    <t>Vải nỉ HQ basic</t>
  </si>
  <si>
    <t>Vải nỉ HQ advanced</t>
  </si>
  <si>
    <t>Mặt giả cổ hoàng đạo</t>
  </si>
  <si>
    <t>Mặt giả cổ chữ</t>
  </si>
  <si>
    <t>Mặt giả cổ số</t>
  </si>
  <si>
    <t>20'</t>
  </si>
  <si>
    <t>4love</t>
  </si>
  <si>
    <t>NL vải dạ</t>
  </si>
  <si>
    <t xml:space="preserve">NL đất sét </t>
  </si>
  <si>
    <t>NL làm vòng</t>
  </si>
  <si>
    <t xml:space="preserve">NL thêu </t>
  </si>
  <si>
    <t>NL làm gối</t>
  </si>
  <si>
    <t>Combo bán sỉ</t>
  </si>
  <si>
    <t>k</t>
  </si>
  <si>
    <t>Loại SP</t>
  </si>
  <si>
    <t>R000</t>
  </si>
  <si>
    <t>Rollygami làm sẵn</t>
  </si>
  <si>
    <t>Mặt chữ</t>
  </si>
  <si>
    <t>Mặt số</t>
  </si>
  <si>
    <t>GC124</t>
  </si>
  <si>
    <t>GC125</t>
  </si>
  <si>
    <t>GC126</t>
  </si>
  <si>
    <t>GC127</t>
  </si>
  <si>
    <t>GC128</t>
  </si>
  <si>
    <t>GC129</t>
  </si>
  <si>
    <t>GC130</t>
  </si>
  <si>
    <t>GC131</t>
  </si>
  <si>
    <t>GC132</t>
  </si>
  <si>
    <t>GC133</t>
  </si>
  <si>
    <t>GC134</t>
  </si>
  <si>
    <t>GC135</t>
  </si>
  <si>
    <t>Tháp Eiffel mini</t>
  </si>
  <si>
    <t>Thỏ con tai dài</t>
  </si>
  <si>
    <t>Móc có hoa văn</t>
  </si>
  <si>
    <t>Ghế tiểu thư mini</t>
  </si>
  <si>
    <t>Love heart</t>
  </si>
  <si>
    <t>Vespa mini</t>
  </si>
  <si>
    <t>Trái tim có cánh</t>
  </si>
  <si>
    <t>Mề đay chữ ovan</t>
  </si>
  <si>
    <t>Trái tim cách điệu</t>
  </si>
  <si>
    <t>Chìa khóa hoa</t>
  </si>
  <si>
    <t>Đôi cánh</t>
  </si>
  <si>
    <t>Online?</t>
  </si>
  <si>
    <t>Giá mới?</t>
  </si>
  <si>
    <t>Kem ngang vừa (số 2)</t>
  </si>
  <si>
    <t>GC21</t>
  </si>
  <si>
    <t>GC138</t>
  </si>
  <si>
    <t>GC139</t>
  </si>
  <si>
    <t>Ko tính tồn</t>
  </si>
  <si>
    <t>x</t>
  </si>
  <si>
    <t>GC136</t>
  </si>
  <si>
    <t>Ấm trà</t>
  </si>
  <si>
    <t>GC137</t>
  </si>
  <si>
    <t>Chìa khoá đôi</t>
  </si>
  <si>
    <t>Vòng tròn peace</t>
  </si>
  <si>
    <t>Be proud</t>
  </si>
  <si>
    <t>GC140</t>
  </si>
  <si>
    <t>Vòng tròn 3 lá đeo cổ</t>
  </si>
  <si>
    <t>GC141</t>
  </si>
  <si>
    <t>Tháp eiffel 1 mặt</t>
  </si>
  <si>
    <t>GC142</t>
  </si>
  <si>
    <t>Bánh lái</t>
  </si>
  <si>
    <t>GC143</t>
  </si>
  <si>
    <t>Mỏ neo cách điệu</t>
  </si>
  <si>
    <t>Hàng mới hết</t>
  </si>
  <si>
    <t>Hàng mới có</t>
  </si>
  <si>
    <t>Thay giá</t>
  </si>
  <si>
    <t>GC22</t>
  </si>
  <si>
    <t>Kẹp số 5</t>
  </si>
  <si>
    <t>GC144</t>
  </si>
  <si>
    <t>Vương miện</t>
  </si>
  <si>
    <t>GC145</t>
  </si>
  <si>
    <t>GC146</t>
  </si>
  <si>
    <t>GC147</t>
  </si>
  <si>
    <t>GC148</t>
  </si>
  <si>
    <t>GC149</t>
  </si>
  <si>
    <t>GC150</t>
  </si>
  <si>
    <t>GC151</t>
  </si>
  <si>
    <t>GC152</t>
  </si>
  <si>
    <t>GC153</t>
  </si>
  <si>
    <t>GC154</t>
  </si>
  <si>
    <t>GC155</t>
  </si>
  <si>
    <t>GC156</t>
  </si>
  <si>
    <t>GC157</t>
  </si>
  <si>
    <t>GC158</t>
  </si>
  <si>
    <t>Cú đặc có cành cây</t>
  </si>
  <si>
    <t>Cú đặc xòe cánh</t>
  </si>
  <si>
    <t>Cú đặc mắt tròn</t>
  </si>
  <si>
    <t>Ô dài 1 mặt</t>
  </si>
  <si>
    <t>Ô ngắn</t>
  </si>
  <si>
    <t>Lược</t>
  </si>
  <si>
    <t>Quạt</t>
  </si>
  <si>
    <t>Điện thoại bàn</t>
  </si>
  <si>
    <t>Nấm</t>
  </si>
  <si>
    <t>Mặt người tròn mắt sao mắt tròn</t>
  </si>
  <si>
    <t>Thỏ nhắm mắt</t>
  </si>
  <si>
    <t>Tàu hỏa</t>
  </si>
  <si>
    <t>Cánh chim</t>
  </si>
  <si>
    <t>Sao 1 mặt có vân</t>
  </si>
  <si>
    <t>GC23</t>
  </si>
  <si>
    <t>GC24</t>
  </si>
  <si>
    <t>Bộ 10 số</t>
  </si>
  <si>
    <t>GC159</t>
  </si>
  <si>
    <t>GC160</t>
  </si>
  <si>
    <t>GC161</t>
  </si>
  <si>
    <t>Trái tim Thank u nhỏ</t>
  </si>
  <si>
    <t>Ovan made with love</t>
  </si>
  <si>
    <t>Sao mặt cười nhỏ</t>
  </si>
  <si>
    <t>GC165</t>
  </si>
  <si>
    <t>GC166</t>
  </si>
  <si>
    <t>GC167</t>
  </si>
  <si>
    <t>GC168</t>
  </si>
  <si>
    <t>TR01</t>
  </si>
  <si>
    <t>Tranh tô màu cỡ đại</t>
  </si>
  <si>
    <t>Tranh</t>
  </si>
  <si>
    <t>TR02</t>
  </si>
  <si>
    <t>Tranh tô màu cỡ nhỏ</t>
  </si>
  <si>
    <t>GC162</t>
  </si>
  <si>
    <t>GC163</t>
  </si>
  <si>
    <t>GC164</t>
  </si>
  <si>
    <t>Cỏ bốn lá viền nhỏ xinh</t>
  </si>
  <si>
    <t>Tháp Eiffel trong tranh</t>
  </si>
  <si>
    <t>Đồng hồ báo thức</t>
  </si>
  <si>
    <t>Đồng hồ quả lắc</t>
  </si>
  <si>
    <t>Trái tim có cánh chim</t>
  </si>
  <si>
    <t>Cánh chim rỗng</t>
  </si>
  <si>
    <t>Bàn tay Handmade</t>
  </si>
  <si>
    <t>GC25</t>
  </si>
  <si>
    <t>Mặt BCS</t>
  </si>
  <si>
    <t>A078</t>
  </si>
  <si>
    <t>Angry Bird</t>
  </si>
  <si>
    <t>NHẬT KÝ BÁN THÁNG 12</t>
  </si>
  <si>
    <t>NHẬT KÝ NHẬP THÁNG 12</t>
  </si>
  <si>
    <t>A031</t>
  </si>
  <si>
    <t>B06</t>
  </si>
  <si>
    <t>Tình trạng trên web</t>
  </si>
  <si>
    <t>chưa cho lên</t>
  </si>
  <si>
    <t>Bàn cờ caro</t>
  </si>
  <si>
    <t>pending</t>
  </si>
  <si>
    <t>pending x</t>
  </si>
  <si>
    <t>D01</t>
  </si>
  <si>
    <t>D04</t>
  </si>
  <si>
    <t>D06</t>
  </si>
  <si>
    <t>D05</t>
  </si>
  <si>
    <t>D03</t>
  </si>
  <si>
    <t>Bánh kem dâu tây</t>
  </si>
  <si>
    <t>Bánh kem chocolate</t>
  </si>
  <si>
    <t>Bánh hoa quả</t>
  </si>
  <si>
    <t>Bánh kem trà xanh</t>
  </si>
  <si>
    <t>Cupcake dâu tây</t>
  </si>
  <si>
    <t>3D mini</t>
  </si>
  <si>
    <t>Mã Sp</t>
  </si>
  <si>
    <t>Tên sp</t>
  </si>
  <si>
    <t>Đỏ</t>
  </si>
  <si>
    <t>Vàng</t>
  </si>
  <si>
    <t>Cam</t>
  </si>
  <si>
    <t>Tím</t>
  </si>
  <si>
    <t>Hồng</t>
  </si>
  <si>
    <t>Đen</t>
  </si>
  <si>
    <t>Nâu</t>
  </si>
  <si>
    <t>Lục</t>
  </si>
  <si>
    <t>Lam</t>
  </si>
  <si>
    <t>V1</t>
  </si>
  <si>
    <t>Trắng</t>
  </si>
  <si>
    <t>Đ1</t>
  </si>
  <si>
    <t>H1</t>
  </si>
  <si>
    <t>T1</t>
  </si>
  <si>
    <t>X1</t>
  </si>
  <si>
    <t>X2</t>
  </si>
  <si>
    <t>X3</t>
  </si>
  <si>
    <t>B1</t>
  </si>
  <si>
    <t>H2</t>
  </si>
  <si>
    <t>N1</t>
  </si>
  <si>
    <t>1 lạng = 263 cái</t>
  </si>
  <si>
    <t>Theo dõi</t>
  </si>
  <si>
    <t>Bộ 26 chữ</t>
  </si>
  <si>
    <t>GC169</t>
  </si>
  <si>
    <t>GC170</t>
  </si>
  <si>
    <t>GC171</t>
  </si>
  <si>
    <t>GC172</t>
  </si>
  <si>
    <t>GC173</t>
  </si>
  <si>
    <t>GC174</t>
  </si>
  <si>
    <t>Hộp nhẫn kim cương</t>
  </si>
  <si>
    <t>Thuyền buồm</t>
  </si>
  <si>
    <t>Súng</t>
  </si>
  <si>
    <t>Tháp Effeil Trăng</t>
  </si>
  <si>
    <t>Nốt nhạc</t>
  </si>
  <si>
    <t>Bông tuyết mới</t>
  </si>
  <si>
    <t>bỏ</t>
  </si>
  <si>
    <t>Khóa trắng</t>
  </si>
  <si>
    <t>Khóa màu</t>
  </si>
  <si>
    <t>draft</t>
  </si>
  <si>
    <t>Bông gói</t>
  </si>
  <si>
    <t>sắp hết</t>
  </si>
  <si>
    <t>hết</t>
  </si>
  <si>
    <t>Mặt cung thần nông</t>
  </si>
  <si>
    <t>túi khoen đất sét</t>
  </si>
  <si>
    <t>vải nỉ</t>
  </si>
  <si>
    <t>n1</t>
  </si>
  <si>
    <t xml:space="preserve">màu đỏ đun </t>
  </si>
  <si>
    <t>x1 gần hết hàng</t>
  </si>
  <si>
    <t>h2</t>
  </si>
  <si>
    <t>vải dạ</t>
  </si>
  <si>
    <t>c4</t>
  </si>
  <si>
    <t>dây cói</t>
  </si>
  <si>
    <t>màu cam</t>
  </si>
  <si>
    <t>màu nâu</t>
  </si>
  <si>
    <t>xanh da trời</t>
  </si>
  <si>
    <t>set chỉ</t>
  </si>
  <si>
    <t>dây da lộn</t>
  </si>
  <si>
    <t>trắng sữa</t>
  </si>
  <si>
    <t>đen thay bằng nâu?</t>
  </si>
  <si>
    <t>Tbinh 1 ngay</t>
  </si>
  <si>
    <t xml:space="preserve">1 tuan </t>
  </si>
  <si>
    <t>safe</t>
  </si>
  <si>
    <t>thuc te</t>
  </si>
  <si>
    <t>level</t>
  </si>
  <si>
    <t>18x18</t>
  </si>
  <si>
    <t>10x10</t>
  </si>
  <si>
    <t>30x30</t>
  </si>
  <si>
    <t>45x45</t>
  </si>
  <si>
    <t>số lượng màu trong 1 level</t>
  </si>
  <si>
    <t>số lượng miếng vải cần có 1 tuần của mỗi màu của lv</t>
  </si>
  <si>
    <t>sample 1 khay 4 màu</t>
  </si>
  <si>
    <t>lv</t>
  </si>
  <si>
    <t>số lượng màu của 1 level</t>
  </si>
  <si>
    <t>tổng</t>
  </si>
  <si>
    <t>(đã *2 màu)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</si>
</sst>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0">
    <font>
      <sz val="10"/>
      <color rgb="FF000000"/>
      <name val="Arial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name val="Arial"/>
      <family val="2"/>
      <charset val="163"/>
    </font>
    <font>
      <b/>
      <sz val="8"/>
      <name val="Times New Roman"/>
      <family val="1"/>
      <charset val="163"/>
    </font>
    <font>
      <sz val="8"/>
      <name val="Inherit"/>
    </font>
    <font>
      <sz val="8"/>
      <name val="Arial"/>
      <family val="2"/>
    </font>
    <font>
      <sz val="8"/>
      <name val="Times New Roman"/>
      <family val="2"/>
    </font>
    <font>
      <sz val="8"/>
      <name val="Times New Roman"/>
      <family val="1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8"/>
      <name val="Times New Roman"/>
      <family val="1"/>
    </font>
    <font>
      <sz val="1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9F9AD"/>
        <bgColor indexed="64"/>
      </patternFill>
    </fill>
    <fill>
      <patternFill patternType="solid">
        <fgColor rgb="FFE7D59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5BA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</cellStyleXfs>
  <cellXfs count="90">
    <xf numFmtId="0" fontId="0" fillId="0" borderId="0" xfId="0" applyAlignment="1">
      <alignment wrapText="1"/>
    </xf>
    <xf numFmtId="0" fontId="2" fillId="0" borderId="0" xfId="1" applyAlignment="1">
      <alignment wrapText="1"/>
    </xf>
    <xf numFmtId="0" fontId="0" fillId="0" borderId="0" xfId="0"/>
    <xf numFmtId="43" fontId="0" fillId="0" borderId="0" xfId="2" applyFont="1" applyAlignment="1">
      <alignment wrapText="1"/>
    </xf>
    <xf numFmtId="0" fontId="1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2" xfId="0" applyFont="1" applyBorder="1" applyAlignment="1">
      <alignment wrapText="1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wrapText="1"/>
    </xf>
    <xf numFmtId="0" fontId="6" fillId="0" borderId="2" xfId="0" applyFont="1" applyFill="1" applyBorder="1" applyAlignment="1">
      <alignment horizontal="center"/>
    </xf>
    <xf numFmtId="0" fontId="8" fillId="0" borderId="2" xfId="0" applyFont="1" applyFill="1" applyBorder="1" applyAlignment="1">
      <alignment wrapText="1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/>
    <xf numFmtId="0" fontId="10" fillId="0" borderId="2" xfId="0" applyFont="1" applyFill="1" applyBorder="1"/>
    <xf numFmtId="0" fontId="4" fillId="0" borderId="2" xfId="0" applyFont="1" applyBorder="1"/>
    <xf numFmtId="0" fontId="11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0" borderId="2" xfId="0" applyFont="1" applyBorder="1" applyAlignment="1">
      <alignment wrapText="1"/>
    </xf>
    <xf numFmtId="0" fontId="8" fillId="0" borderId="2" xfId="0" applyNumberFormat="1" applyFont="1" applyFill="1" applyBorder="1" applyAlignment="1">
      <alignment wrapText="1"/>
    </xf>
    <xf numFmtId="0" fontId="6" fillId="0" borderId="2" xfId="0" applyNumberFormat="1" applyFont="1" applyFill="1" applyBorder="1" applyAlignment="1">
      <alignment horizontal="center"/>
    </xf>
    <xf numFmtId="0" fontId="13" fillId="0" borderId="0" xfId="0" applyFont="1" applyAlignment="1">
      <alignment wrapText="1"/>
    </xf>
    <xf numFmtId="0" fontId="9" fillId="0" borderId="5" xfId="0" applyNumberFormat="1" applyFont="1" applyFill="1" applyBorder="1" applyAlignment="1">
      <alignment horizontal="center"/>
    </xf>
    <xf numFmtId="0" fontId="10" fillId="0" borderId="5" xfId="0" applyNumberFormat="1" applyFont="1" applyFill="1" applyBorder="1" applyAlignment="1"/>
    <xf numFmtId="0" fontId="4" fillId="0" borderId="5" xfId="0" applyFont="1" applyBorder="1" applyAlignment="1">
      <alignment wrapText="1"/>
    </xf>
    <xf numFmtId="0" fontId="4" fillId="0" borderId="5" xfId="0" applyFont="1" applyBorder="1"/>
    <xf numFmtId="0" fontId="11" fillId="0" borderId="2" xfId="0" applyFont="1" applyBorder="1" applyAlignment="1">
      <alignment wrapText="1"/>
    </xf>
    <xf numFmtId="0" fontId="14" fillId="0" borderId="5" xfId="0" applyFont="1" applyBorder="1"/>
    <xf numFmtId="0" fontId="14" fillId="0" borderId="2" xfId="0" applyFont="1" applyBorder="1"/>
    <xf numFmtId="0" fontId="4" fillId="0" borderId="2" xfId="0" applyFont="1" applyFill="1" applyBorder="1" applyAlignment="1">
      <alignment wrapText="1"/>
    </xf>
    <xf numFmtId="0" fontId="4" fillId="0" borderId="0" xfId="0" applyFont="1" applyFill="1" applyAlignment="1">
      <alignment wrapText="1"/>
    </xf>
    <xf numFmtId="0" fontId="4" fillId="0" borderId="7" xfId="0" applyFont="1" applyBorder="1" applyAlignment="1">
      <alignment wrapText="1"/>
    </xf>
    <xf numFmtId="0" fontId="11" fillId="0" borderId="5" xfId="0" applyFont="1" applyBorder="1" applyAlignment="1">
      <alignment wrapText="1"/>
    </xf>
    <xf numFmtId="0" fontId="4" fillId="0" borderId="6" xfId="0" applyFont="1" applyBorder="1" applyAlignment="1">
      <alignment vertical="center" wrapText="1"/>
    </xf>
    <xf numFmtId="0" fontId="12" fillId="0" borderId="2" xfId="0" applyFont="1" applyBorder="1" applyAlignment="1">
      <alignment vertical="center" wrapText="1"/>
    </xf>
    <xf numFmtId="0" fontId="9" fillId="0" borderId="5" xfId="0" applyNumberFormat="1" applyFont="1" applyFill="1" applyBorder="1" applyAlignment="1"/>
    <xf numFmtId="0" fontId="9" fillId="0" borderId="2" xfId="0" applyNumberFormat="1" applyFont="1" applyFill="1" applyBorder="1" applyAlignment="1"/>
    <xf numFmtId="0" fontId="9" fillId="0" borderId="2" xfId="0" applyNumberFormat="1" applyFont="1" applyFill="1" applyBorder="1" applyAlignment="1">
      <alignment vertical="center"/>
    </xf>
    <xf numFmtId="0" fontId="7" fillId="0" borderId="2" xfId="0" applyFont="1" applyFill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15" fillId="0" borderId="2" xfId="0" applyNumberFormat="1" applyFont="1" applyFill="1" applyBorder="1" applyAlignment="1">
      <alignment wrapText="1"/>
    </xf>
    <xf numFmtId="0" fontId="16" fillId="0" borderId="1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wrapText="1"/>
    </xf>
    <xf numFmtId="0" fontId="16" fillId="0" borderId="9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8" fillId="10" borderId="2" xfId="0" applyFont="1" applyFill="1" applyBorder="1" applyAlignment="1">
      <alignment wrapText="1"/>
    </xf>
    <xf numFmtId="0" fontId="1" fillId="13" borderId="2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8" borderId="2" xfId="0" applyFont="1" applyFill="1" applyBorder="1" applyAlignment="1">
      <alignment wrapText="1"/>
    </xf>
    <xf numFmtId="0" fontId="1" fillId="16" borderId="2" xfId="0" applyFont="1" applyFill="1" applyBorder="1" applyAlignment="1">
      <alignment wrapText="1"/>
    </xf>
    <xf numFmtId="0" fontId="1" fillId="9" borderId="2" xfId="0" applyFont="1" applyFill="1" applyBorder="1" applyAlignment="1">
      <alignment wrapText="1"/>
    </xf>
    <xf numFmtId="0" fontId="1" fillId="14" borderId="2" xfId="0" applyFont="1" applyFill="1" applyBorder="1" applyAlignment="1">
      <alignment wrapText="1"/>
    </xf>
    <xf numFmtId="0" fontId="1" fillId="12" borderId="2" xfId="0" applyFont="1" applyFill="1" applyBorder="1" applyAlignment="1">
      <alignment wrapText="1"/>
    </xf>
    <xf numFmtId="0" fontId="1" fillId="11" borderId="2" xfId="0" applyFont="1" applyFill="1" applyBorder="1" applyAlignment="1">
      <alignment wrapText="1"/>
    </xf>
    <xf numFmtId="0" fontId="17" fillId="7" borderId="2" xfId="0" applyFont="1" applyFill="1" applyBorder="1" applyAlignment="1">
      <alignment wrapText="1"/>
    </xf>
    <xf numFmtId="0" fontId="17" fillId="5" borderId="2" xfId="0" applyFont="1" applyFill="1" applyBorder="1" applyAlignment="1">
      <alignment wrapText="1"/>
    </xf>
    <xf numFmtId="0" fontId="1" fillId="6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17" fillId="15" borderId="2" xfId="0" applyFont="1" applyFill="1" applyBorder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wrapText="1"/>
    </xf>
    <xf numFmtId="0" fontId="9" fillId="6" borderId="2" xfId="0" applyNumberFormat="1" applyFont="1" applyFill="1" applyBorder="1" applyAlignment="1"/>
    <xf numFmtId="0" fontId="10" fillId="6" borderId="2" xfId="0" applyNumberFormat="1" applyFont="1" applyFill="1" applyBorder="1" applyAlignment="1"/>
    <xf numFmtId="0" fontId="14" fillId="6" borderId="2" xfId="0" applyFont="1" applyFill="1" applyBorder="1"/>
    <xf numFmtId="0" fontId="4" fillId="6" borderId="5" xfId="0" applyFont="1" applyFill="1" applyBorder="1" applyAlignment="1">
      <alignment wrapText="1"/>
    </xf>
    <xf numFmtId="0" fontId="4" fillId="6" borderId="2" xfId="0" applyFont="1" applyFill="1" applyBorder="1"/>
    <xf numFmtId="0" fontId="4" fillId="6" borderId="2" xfId="0" applyFont="1" applyFill="1" applyBorder="1" applyAlignment="1">
      <alignment wrapText="1"/>
    </xf>
    <xf numFmtId="0" fontId="10" fillId="0" borderId="2" xfId="0" applyNumberFormat="1" applyFont="1" applyFill="1" applyBorder="1" applyAlignment="1">
      <alignment wrapText="1"/>
    </xf>
    <xf numFmtId="0" fontId="9" fillId="0" borderId="5" xfId="0" applyNumberFormat="1" applyFont="1" applyFill="1" applyBorder="1" applyAlignment="1">
      <alignment horizontal="center" vertical="center"/>
    </xf>
    <xf numFmtId="0" fontId="10" fillId="0" borderId="2" xfId="0" applyNumberFormat="1" applyFont="1" applyFill="1" applyBorder="1" applyAlignment="1">
      <alignment vertical="center" wrapText="1"/>
    </xf>
    <xf numFmtId="0" fontId="7" fillId="0" borderId="2" xfId="0" applyNumberFormat="1" applyFont="1" applyFill="1" applyBorder="1" applyAlignment="1">
      <alignment wrapText="1"/>
    </xf>
    <xf numFmtId="0" fontId="5" fillId="0" borderId="0" xfId="0" applyFont="1" applyFill="1" applyAlignment="1">
      <alignment vertical="center" wrapText="1"/>
    </xf>
    <xf numFmtId="0" fontId="7" fillId="0" borderId="2" xfId="0" applyNumberFormat="1" applyFont="1" applyFill="1" applyBorder="1" applyAlignment="1">
      <alignment horizontal="center" vertical="center" wrapText="1"/>
    </xf>
    <xf numFmtId="0" fontId="8" fillId="17" borderId="2" xfId="0" applyFont="1" applyFill="1" applyBorder="1" applyAlignment="1">
      <alignment wrapText="1"/>
    </xf>
    <xf numFmtId="0" fontId="4" fillId="17" borderId="2" xfId="0" applyFont="1" applyFill="1" applyBorder="1" applyAlignment="1">
      <alignment wrapText="1"/>
    </xf>
    <xf numFmtId="0" fontId="4" fillId="17" borderId="5" xfId="0" applyFont="1" applyFill="1" applyBorder="1" applyAlignment="1">
      <alignment wrapText="1"/>
    </xf>
    <xf numFmtId="0" fontId="4" fillId="17" borderId="0" xfId="0" applyFont="1" applyFill="1" applyAlignment="1">
      <alignment wrapText="1"/>
    </xf>
    <xf numFmtId="0" fontId="4" fillId="17" borderId="7" xfId="0" applyFont="1" applyFill="1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0" fontId="19" fillId="0" borderId="5" xfId="0" applyFont="1" applyBorder="1" applyAlignment="1">
      <alignment wrapText="1"/>
    </xf>
    <xf numFmtId="0" fontId="5" fillId="0" borderId="0" xfId="0" applyFont="1" applyFill="1" applyAlignment="1">
      <alignment horizontal="center" vertical="center"/>
    </xf>
  </cellXfs>
  <cellStyles count="3">
    <cellStyle name="Comma" xfId="2" builtinId="3"/>
    <cellStyle name="Hyperlink" xfId="1" builtinId="8"/>
    <cellStyle name="Normal" xfId="0" builtinId="0"/>
  </cellStyles>
  <dxfs count="1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Inheri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Inherit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3399"/>
      <color rgb="FFFF75BA"/>
      <color rgb="FFE7D591"/>
      <color rgb="FFF9F9A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hap%20hang%20BDS%20Thang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Banh%20Da%20Shop%20Sale/Sale%20v1.0%20Thang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hapHang"/>
      <sheetName val="BaoTai"/>
    </sheetNames>
    <sheetDataSet>
      <sheetData sheetId="0">
        <row r="1">
          <cell r="A1" t="str">
            <v>Ngày</v>
          </cell>
          <cell r="B1" t="str">
            <v>STT</v>
          </cell>
          <cell r="C1" t="str">
            <v>Mã SP</v>
          </cell>
          <cell r="D1" t="str">
            <v>Tên sản phẩm</v>
          </cell>
          <cell r="E1" t="str">
            <v>Số lượng</v>
          </cell>
          <cell r="F1" t="str">
            <v>Người nhập</v>
          </cell>
          <cell r="G1" t="str">
            <v>Lý do nhập</v>
          </cell>
          <cell r="H1" t="str">
            <v>Người nhận</v>
          </cell>
        </row>
        <row r="2">
          <cell r="A2">
            <v>1</v>
          </cell>
          <cell r="B2"/>
          <cell r="C2"/>
          <cell r="D2"/>
          <cell r="E2"/>
          <cell r="F2" t="str">
            <v>Hiệp</v>
          </cell>
          <cell r="G2" t="str">
            <v>Nhập kho đầu tháng</v>
          </cell>
          <cell r="H2"/>
        </row>
        <row r="3">
          <cell r="A3">
            <v>1</v>
          </cell>
          <cell r="B3">
            <v>1</v>
          </cell>
          <cell r="C3" t="str">
            <v>A025</v>
          </cell>
          <cell r="D3" t="str">
            <v>Gà bông</v>
          </cell>
          <cell r="E3">
            <v>22</v>
          </cell>
          <cell r="G3" t="str">
            <v>Số liệu từ cuối tháng 12</v>
          </cell>
        </row>
        <row r="4">
          <cell r="A4">
            <v>1</v>
          </cell>
          <cell r="B4">
            <v>2</v>
          </cell>
          <cell r="C4" t="str">
            <v>A026</v>
          </cell>
          <cell r="D4" t="str">
            <v>Dép bốn lá</v>
          </cell>
          <cell r="E4">
            <v>53</v>
          </cell>
        </row>
        <row r="5">
          <cell r="A5">
            <v>1</v>
          </cell>
          <cell r="B5">
            <v>3</v>
          </cell>
          <cell r="C5" t="str">
            <v>A028</v>
          </cell>
          <cell r="D5" t="str">
            <v>Cá voi</v>
          </cell>
          <cell r="E5">
            <v>34</v>
          </cell>
        </row>
        <row r="6">
          <cell r="A6">
            <v>1</v>
          </cell>
          <cell r="B6">
            <v>4</v>
          </cell>
          <cell r="C6" t="str">
            <v>A031</v>
          </cell>
          <cell r="D6" t="str">
            <v>Angry Bird</v>
          </cell>
          <cell r="E6">
            <v>8</v>
          </cell>
        </row>
        <row r="7">
          <cell r="A7">
            <v>1</v>
          </cell>
          <cell r="B7">
            <v>5</v>
          </cell>
          <cell r="C7" t="str">
            <v>A041</v>
          </cell>
          <cell r="D7" t="str">
            <v>Cup cake</v>
          </cell>
          <cell r="E7">
            <v>16</v>
          </cell>
        </row>
        <row r="8">
          <cell r="A8">
            <v>1</v>
          </cell>
          <cell r="B8">
            <v>6</v>
          </cell>
          <cell r="C8" t="str">
            <v>A042</v>
          </cell>
          <cell r="D8" t="str">
            <v>Dino</v>
          </cell>
          <cell r="E8">
            <v>12</v>
          </cell>
        </row>
        <row r="9">
          <cell r="A9">
            <v>1</v>
          </cell>
          <cell r="B9">
            <v>7</v>
          </cell>
          <cell r="C9" t="str">
            <v>A049</v>
          </cell>
          <cell r="D9" t="str">
            <v xml:space="preserve">Key - lock </v>
          </cell>
          <cell r="E9">
            <v>1</v>
          </cell>
        </row>
        <row r="10">
          <cell r="A10">
            <v>1</v>
          </cell>
          <cell r="B10">
            <v>8</v>
          </cell>
          <cell r="C10" t="str">
            <v>A050</v>
          </cell>
          <cell r="D10" t="str">
            <v>XX and XY</v>
          </cell>
          <cell r="E10">
            <v>5</v>
          </cell>
        </row>
        <row r="11">
          <cell r="A11">
            <v>1</v>
          </cell>
          <cell r="B11">
            <v>9</v>
          </cell>
          <cell r="C11" t="str">
            <v>A051</v>
          </cell>
          <cell r="D11" t="str">
            <v>Kem đôi</v>
          </cell>
          <cell r="E11">
            <v>34</v>
          </cell>
        </row>
        <row r="12">
          <cell r="A12">
            <v>1</v>
          </cell>
          <cell r="B12">
            <v>10</v>
          </cell>
          <cell r="C12" t="str">
            <v>A052</v>
          </cell>
          <cell r="D12" t="str">
            <v>Nấm đôi</v>
          </cell>
          <cell r="E12">
            <v>30</v>
          </cell>
        </row>
        <row r="13">
          <cell r="A13">
            <v>1</v>
          </cell>
          <cell r="B13">
            <v>11</v>
          </cell>
          <cell r="C13" t="str">
            <v>A054</v>
          </cell>
          <cell r="D13" t="str">
            <v>Cáo đôi</v>
          </cell>
          <cell r="E13">
            <v>9</v>
          </cell>
        </row>
        <row r="14">
          <cell r="A14">
            <v>1</v>
          </cell>
          <cell r="B14">
            <v>12</v>
          </cell>
          <cell r="C14" t="str">
            <v>A055</v>
          </cell>
          <cell r="D14" t="str">
            <v>Cơm nắm</v>
          </cell>
          <cell r="E14">
            <v>45</v>
          </cell>
        </row>
        <row r="15">
          <cell r="A15">
            <v>1</v>
          </cell>
          <cell r="B15">
            <v>13</v>
          </cell>
          <cell r="C15" t="str">
            <v>A056</v>
          </cell>
          <cell r="D15" t="str">
            <v>Ong</v>
          </cell>
          <cell r="E15">
            <v>0</v>
          </cell>
        </row>
        <row r="16">
          <cell r="A16">
            <v>1</v>
          </cell>
          <cell r="B16">
            <v>14</v>
          </cell>
          <cell r="C16" t="str">
            <v>A057</v>
          </cell>
          <cell r="D16" t="str">
            <v>Cỏ 4 lá</v>
          </cell>
          <cell r="E16">
            <v>58</v>
          </cell>
        </row>
        <row r="17">
          <cell r="A17">
            <v>1</v>
          </cell>
          <cell r="B17">
            <v>15</v>
          </cell>
          <cell r="C17" t="str">
            <v>A058</v>
          </cell>
          <cell r="D17" t="str">
            <v>Ếch</v>
          </cell>
          <cell r="E17">
            <v>47</v>
          </cell>
        </row>
        <row r="18">
          <cell r="A18">
            <v>1</v>
          </cell>
          <cell r="B18">
            <v>16</v>
          </cell>
          <cell r="C18" t="str">
            <v>A059</v>
          </cell>
          <cell r="D18" t="str">
            <v>Bọ dừa</v>
          </cell>
          <cell r="E18">
            <v>18</v>
          </cell>
        </row>
        <row r="19">
          <cell r="A19">
            <v>1</v>
          </cell>
          <cell r="B19">
            <v>17</v>
          </cell>
          <cell r="C19" t="str">
            <v>A060</v>
          </cell>
          <cell r="D19" t="str">
            <v>Cánh cụt</v>
          </cell>
          <cell r="E19">
            <v>32</v>
          </cell>
        </row>
        <row r="20">
          <cell r="A20">
            <v>1</v>
          </cell>
          <cell r="B20">
            <v>18</v>
          </cell>
          <cell r="C20" t="str">
            <v>A061</v>
          </cell>
          <cell r="D20" t="str">
            <v>Gấu trúc</v>
          </cell>
          <cell r="E20">
            <v>54</v>
          </cell>
        </row>
        <row r="21">
          <cell r="A21">
            <v>1</v>
          </cell>
          <cell r="B21">
            <v>19</v>
          </cell>
          <cell r="C21" t="str">
            <v>A062</v>
          </cell>
          <cell r="D21" t="str">
            <v>Hươu</v>
          </cell>
          <cell r="E21">
            <v>30</v>
          </cell>
        </row>
        <row r="22">
          <cell r="A22">
            <v>1</v>
          </cell>
          <cell r="B22">
            <v>20</v>
          </cell>
          <cell r="C22" t="str">
            <v>A063</v>
          </cell>
          <cell r="D22" t="str">
            <v>Lừa</v>
          </cell>
          <cell r="E22">
            <v>21</v>
          </cell>
        </row>
        <row r="23">
          <cell r="A23">
            <v>1</v>
          </cell>
          <cell r="B23">
            <v>21</v>
          </cell>
          <cell r="C23" t="str">
            <v>A064</v>
          </cell>
          <cell r="D23" t="str">
            <v>Bánh sữa</v>
          </cell>
          <cell r="E23">
            <v>36</v>
          </cell>
        </row>
        <row r="24">
          <cell r="A24">
            <v>1</v>
          </cell>
          <cell r="B24">
            <v>22</v>
          </cell>
          <cell r="C24" t="str">
            <v>A069</v>
          </cell>
          <cell r="D24" t="str">
            <v>Bánh kem</v>
          </cell>
          <cell r="E24">
            <v>-1</v>
          </cell>
        </row>
        <row r="25">
          <cell r="A25">
            <v>1</v>
          </cell>
          <cell r="B25">
            <v>23</v>
          </cell>
          <cell r="C25" t="str">
            <v>A071</v>
          </cell>
          <cell r="D25" t="str">
            <v>Bao tay</v>
          </cell>
          <cell r="E25">
            <v>34</v>
          </cell>
        </row>
        <row r="26">
          <cell r="A26">
            <v>1</v>
          </cell>
          <cell r="B26">
            <v>24</v>
          </cell>
          <cell r="C26" t="str">
            <v>A073</v>
          </cell>
          <cell r="D26" t="str">
            <v>Cá heo</v>
          </cell>
          <cell r="E26">
            <v>0</v>
          </cell>
        </row>
        <row r="27">
          <cell r="A27">
            <v>1</v>
          </cell>
          <cell r="B27">
            <v>25</v>
          </cell>
          <cell r="C27" t="str">
            <v>A075</v>
          </cell>
          <cell r="D27" t="str">
            <v>Bánh kẹp trứng</v>
          </cell>
          <cell r="E27">
            <v>20</v>
          </cell>
        </row>
        <row r="28">
          <cell r="A28">
            <v>1</v>
          </cell>
          <cell r="B28">
            <v>26</v>
          </cell>
          <cell r="C28" t="str">
            <v>A076</v>
          </cell>
          <cell r="D28" t="str">
            <v>Búp bê Nga</v>
          </cell>
          <cell r="E28">
            <v>25</v>
          </cell>
        </row>
        <row r="29">
          <cell r="A29">
            <v>1</v>
          </cell>
          <cell r="B29">
            <v>27</v>
          </cell>
          <cell r="C29" t="str">
            <v>A077</v>
          </cell>
          <cell r="D29" t="str">
            <v>Chim</v>
          </cell>
          <cell r="E29">
            <v>34</v>
          </cell>
        </row>
        <row r="30">
          <cell r="A30">
            <v>1</v>
          </cell>
          <cell r="B30">
            <v>28</v>
          </cell>
          <cell r="C30" t="str">
            <v>A078</v>
          </cell>
          <cell r="D30" t="str">
            <v>Trà sữa</v>
          </cell>
          <cell r="E30">
            <v>22</v>
          </cell>
        </row>
        <row r="31">
          <cell r="A31">
            <v>1</v>
          </cell>
          <cell r="B31">
            <v>29</v>
          </cell>
          <cell r="C31" t="str">
            <v>A079</v>
          </cell>
          <cell r="D31" t="str">
            <v>Trăng sao</v>
          </cell>
          <cell r="E31">
            <v>32</v>
          </cell>
        </row>
        <row r="32">
          <cell r="A32">
            <v>1</v>
          </cell>
          <cell r="B32">
            <v>30</v>
          </cell>
          <cell r="C32" t="str">
            <v>A080</v>
          </cell>
          <cell r="D32" t="str">
            <v>Chuột cheese</v>
          </cell>
          <cell r="E32">
            <v>60</v>
          </cell>
        </row>
        <row r="33">
          <cell r="A33">
            <v>1</v>
          </cell>
          <cell r="B33">
            <v>31</v>
          </cell>
          <cell r="C33" t="str">
            <v>A085</v>
          </cell>
          <cell r="D33" t="str">
            <v>Trà sữa</v>
          </cell>
          <cell r="E33">
            <v>0</v>
          </cell>
        </row>
        <row r="34">
          <cell r="A34">
            <v>1</v>
          </cell>
          <cell r="B34">
            <v>32</v>
          </cell>
          <cell r="C34" t="str">
            <v>A090</v>
          </cell>
          <cell r="D34" t="str">
            <v>Hamster</v>
          </cell>
          <cell r="E34">
            <v>0</v>
          </cell>
        </row>
        <row r="35">
          <cell r="A35">
            <v>1</v>
          </cell>
          <cell r="B35">
            <v>33</v>
          </cell>
          <cell r="C35" t="str">
            <v>A091</v>
          </cell>
          <cell r="D35" t="str">
            <v>Cánh cụt bơi</v>
          </cell>
          <cell r="E35">
            <v>0</v>
          </cell>
        </row>
        <row r="36">
          <cell r="A36">
            <v>1</v>
          </cell>
          <cell r="B36">
            <v>34</v>
          </cell>
          <cell r="C36" t="str">
            <v>A092</v>
          </cell>
          <cell r="D36" t="str">
            <v>Heo đất</v>
          </cell>
          <cell r="E36">
            <v>32</v>
          </cell>
        </row>
        <row r="37">
          <cell r="A37">
            <v>1</v>
          </cell>
          <cell r="B37">
            <v>35</v>
          </cell>
          <cell r="C37" t="str">
            <v>A121</v>
          </cell>
          <cell r="D37" t="str">
            <v>Gà mẹ con</v>
          </cell>
          <cell r="E37">
            <v>0</v>
          </cell>
        </row>
        <row r="38">
          <cell r="A38">
            <v>1</v>
          </cell>
          <cell r="B38">
            <v>36</v>
          </cell>
          <cell r="C38" t="str">
            <v>A122</v>
          </cell>
          <cell r="D38" t="str">
            <v>Ếch kêu mưa</v>
          </cell>
          <cell r="E38">
            <v>18</v>
          </cell>
        </row>
        <row r="39">
          <cell r="A39">
            <v>1</v>
          </cell>
          <cell r="B39">
            <v>37</v>
          </cell>
          <cell r="C39" t="str">
            <v>A123</v>
          </cell>
          <cell r="D39" t="str">
            <v>Tê giác tắm</v>
          </cell>
          <cell r="E39">
            <v>0</v>
          </cell>
        </row>
        <row r="40">
          <cell r="A40">
            <v>1</v>
          </cell>
          <cell r="B40">
            <v>38</v>
          </cell>
          <cell r="C40" t="str">
            <v>A124</v>
          </cell>
          <cell r="D40" t="str">
            <v>Cá mú</v>
          </cell>
          <cell r="E40">
            <v>0</v>
          </cell>
        </row>
        <row r="41">
          <cell r="A41">
            <v>1</v>
          </cell>
          <cell r="B41">
            <v>39</v>
          </cell>
          <cell r="C41" t="str">
            <v>A125</v>
          </cell>
          <cell r="D41" t="str">
            <v>Ỉn hồng</v>
          </cell>
          <cell r="E41">
            <v>0</v>
          </cell>
        </row>
        <row r="42">
          <cell r="A42">
            <v>1</v>
          </cell>
          <cell r="B42">
            <v>40</v>
          </cell>
          <cell r="C42" t="str">
            <v>A126</v>
          </cell>
          <cell r="D42" t="str">
            <v>Cá voi</v>
          </cell>
          <cell r="E42">
            <v>0</v>
          </cell>
        </row>
        <row r="43">
          <cell r="A43">
            <v>1</v>
          </cell>
          <cell r="B43">
            <v>41</v>
          </cell>
          <cell r="C43" t="str">
            <v>A127</v>
          </cell>
          <cell r="D43" t="str">
            <v>Gối bốn lá</v>
          </cell>
          <cell r="E43">
            <v>35</v>
          </cell>
        </row>
        <row r="44">
          <cell r="A44">
            <v>1</v>
          </cell>
          <cell r="B44">
            <v>42</v>
          </cell>
          <cell r="C44" t="str">
            <v>A128</v>
          </cell>
          <cell r="D44" t="str">
            <v>Ếch</v>
          </cell>
          <cell r="E44">
            <v>9</v>
          </cell>
        </row>
        <row r="45">
          <cell r="A45">
            <v>1</v>
          </cell>
          <cell r="B45">
            <v>43</v>
          </cell>
          <cell r="C45" t="str">
            <v>A129</v>
          </cell>
          <cell r="D45" t="str">
            <v>Chó</v>
          </cell>
          <cell r="E45">
            <v>32</v>
          </cell>
        </row>
        <row r="46">
          <cell r="A46">
            <v>1</v>
          </cell>
          <cell r="B46">
            <v>44</v>
          </cell>
          <cell r="C46" t="str">
            <v>A130</v>
          </cell>
          <cell r="D46" t="str">
            <v>Cơm nắm</v>
          </cell>
          <cell r="E46">
            <v>28</v>
          </cell>
        </row>
        <row r="47">
          <cell r="A47">
            <v>1</v>
          </cell>
          <cell r="B47">
            <v>45</v>
          </cell>
          <cell r="C47" t="str">
            <v>A131</v>
          </cell>
          <cell r="D47" t="str">
            <v>Bánh kem</v>
          </cell>
          <cell r="E47">
            <v>0</v>
          </cell>
        </row>
        <row r="48">
          <cell r="A48">
            <v>1</v>
          </cell>
          <cell r="B48">
            <v>46</v>
          </cell>
          <cell r="C48" t="str">
            <v>A132</v>
          </cell>
          <cell r="D48" t="str">
            <v>Bánh cuộn</v>
          </cell>
          <cell r="E48">
            <v>0</v>
          </cell>
        </row>
        <row r="49">
          <cell r="A49">
            <v>1</v>
          </cell>
          <cell r="B49">
            <v>47</v>
          </cell>
          <cell r="C49" t="str">
            <v>A133</v>
          </cell>
          <cell r="D49" t="str">
            <v>Sushi</v>
          </cell>
          <cell r="E49">
            <v>30</v>
          </cell>
        </row>
        <row r="50">
          <cell r="A50">
            <v>1</v>
          </cell>
          <cell r="B50">
            <v>48</v>
          </cell>
          <cell r="C50" t="str">
            <v>A134</v>
          </cell>
          <cell r="D50" t="str">
            <v>Caramen</v>
          </cell>
          <cell r="E50">
            <v>18</v>
          </cell>
        </row>
        <row r="51">
          <cell r="A51">
            <v>1</v>
          </cell>
          <cell r="B51">
            <v>49</v>
          </cell>
          <cell r="C51" t="str">
            <v>A135</v>
          </cell>
          <cell r="D51" t="str">
            <v>Bánh quy</v>
          </cell>
          <cell r="E51">
            <v>0</v>
          </cell>
        </row>
        <row r="52">
          <cell r="A52">
            <v>1</v>
          </cell>
          <cell r="B52">
            <v>50</v>
          </cell>
          <cell r="C52" t="str">
            <v>A136</v>
          </cell>
          <cell r="D52" t="str">
            <v>Chuột</v>
          </cell>
          <cell r="E52">
            <v>0</v>
          </cell>
        </row>
        <row r="53">
          <cell r="A53">
            <v>1</v>
          </cell>
          <cell r="B53">
            <v>51</v>
          </cell>
          <cell r="C53" t="str">
            <v>A137</v>
          </cell>
          <cell r="D53" t="str">
            <v>Cánh cụt</v>
          </cell>
          <cell r="E53">
            <v>23</v>
          </cell>
        </row>
        <row r="54">
          <cell r="A54">
            <v>1</v>
          </cell>
          <cell r="B54">
            <v>52</v>
          </cell>
          <cell r="C54" t="str">
            <v>A138</v>
          </cell>
          <cell r="D54" t="str">
            <v>Khỉ yoyo cici</v>
          </cell>
          <cell r="E54">
            <v>32</v>
          </cell>
        </row>
        <row r="55">
          <cell r="A55">
            <v>1</v>
          </cell>
          <cell r="B55">
            <v>53</v>
          </cell>
          <cell r="C55" t="str">
            <v>A139</v>
          </cell>
          <cell r="D55" t="str">
            <v>Cú</v>
          </cell>
          <cell r="E55">
            <v>20</v>
          </cell>
        </row>
        <row r="56">
          <cell r="A56">
            <v>1</v>
          </cell>
          <cell r="B56">
            <v>54</v>
          </cell>
          <cell r="C56" t="str">
            <v>A140</v>
          </cell>
          <cell r="D56" t="str">
            <v>Domokun</v>
          </cell>
          <cell r="E56">
            <v>26</v>
          </cell>
        </row>
        <row r="57">
          <cell r="A57">
            <v>1</v>
          </cell>
          <cell r="B57">
            <v>55</v>
          </cell>
          <cell r="C57" t="str">
            <v>A141</v>
          </cell>
          <cell r="D57" t="str">
            <v>Mèo</v>
          </cell>
          <cell r="E57">
            <v>52</v>
          </cell>
        </row>
        <row r="58">
          <cell r="A58">
            <v>1</v>
          </cell>
          <cell r="B58">
            <v>56</v>
          </cell>
          <cell r="C58" t="str">
            <v>A142</v>
          </cell>
          <cell r="D58" t="str">
            <v>Bọt biển</v>
          </cell>
          <cell r="E58">
            <v>21</v>
          </cell>
        </row>
        <row r="59">
          <cell r="A59">
            <v>1</v>
          </cell>
          <cell r="B59">
            <v>57</v>
          </cell>
          <cell r="C59" t="str">
            <v>A143</v>
          </cell>
          <cell r="D59" t="str">
            <v>Bạch Dương</v>
          </cell>
          <cell r="E59">
            <v>0</v>
          </cell>
        </row>
        <row r="60">
          <cell r="A60">
            <v>1</v>
          </cell>
          <cell r="B60">
            <v>58</v>
          </cell>
          <cell r="C60" t="str">
            <v>A144</v>
          </cell>
          <cell r="D60" t="str">
            <v>Kim Ngưu</v>
          </cell>
          <cell r="E60">
            <v>0</v>
          </cell>
        </row>
        <row r="61">
          <cell r="A61">
            <v>1</v>
          </cell>
          <cell r="B61">
            <v>59</v>
          </cell>
          <cell r="C61" t="str">
            <v>A145</v>
          </cell>
          <cell r="D61" t="str">
            <v>Song Tử</v>
          </cell>
          <cell r="E61">
            <v>0</v>
          </cell>
        </row>
        <row r="62">
          <cell r="A62">
            <v>1</v>
          </cell>
          <cell r="B62">
            <v>60</v>
          </cell>
          <cell r="C62" t="str">
            <v>A146</v>
          </cell>
          <cell r="D62" t="str">
            <v>Cự Giải</v>
          </cell>
          <cell r="E62">
            <v>0</v>
          </cell>
        </row>
        <row r="63">
          <cell r="A63">
            <v>1</v>
          </cell>
          <cell r="B63">
            <v>61</v>
          </cell>
          <cell r="C63" t="str">
            <v>A147</v>
          </cell>
          <cell r="D63" t="str">
            <v>Sư Tử</v>
          </cell>
          <cell r="E63">
            <v>0</v>
          </cell>
        </row>
        <row r="64">
          <cell r="A64">
            <v>1</v>
          </cell>
          <cell r="B64">
            <v>62</v>
          </cell>
          <cell r="C64" t="str">
            <v>A148</v>
          </cell>
          <cell r="D64" t="str">
            <v xml:space="preserve">Xử Nữ </v>
          </cell>
          <cell r="E64">
            <v>0</v>
          </cell>
        </row>
        <row r="65">
          <cell r="A65">
            <v>1</v>
          </cell>
          <cell r="B65">
            <v>63</v>
          </cell>
          <cell r="C65" t="str">
            <v>A149</v>
          </cell>
          <cell r="D65" t="str">
            <v>Thiên Bình</v>
          </cell>
          <cell r="E65">
            <v>0</v>
          </cell>
        </row>
        <row r="66">
          <cell r="A66">
            <v>1</v>
          </cell>
          <cell r="B66">
            <v>64</v>
          </cell>
          <cell r="C66" t="str">
            <v>A150</v>
          </cell>
          <cell r="D66" t="str">
            <v>Bọ Cạp</v>
          </cell>
          <cell r="E66">
            <v>1</v>
          </cell>
        </row>
        <row r="67">
          <cell r="A67">
            <v>1</v>
          </cell>
          <cell r="B67">
            <v>65</v>
          </cell>
          <cell r="C67" t="str">
            <v>A151</v>
          </cell>
          <cell r="D67" t="str">
            <v>Nhân Mã</v>
          </cell>
          <cell r="E67">
            <v>0</v>
          </cell>
        </row>
        <row r="68">
          <cell r="A68">
            <v>1</v>
          </cell>
          <cell r="B68">
            <v>66</v>
          </cell>
          <cell r="C68" t="str">
            <v>A152</v>
          </cell>
          <cell r="D68" t="str">
            <v>Ma Kết</v>
          </cell>
          <cell r="E68">
            <v>0</v>
          </cell>
        </row>
        <row r="69">
          <cell r="A69">
            <v>1</v>
          </cell>
          <cell r="B69">
            <v>67</v>
          </cell>
          <cell r="C69" t="str">
            <v>A153</v>
          </cell>
          <cell r="D69" t="str">
            <v>Bảo Bình</v>
          </cell>
          <cell r="E69">
            <v>0</v>
          </cell>
        </row>
        <row r="70">
          <cell r="A70">
            <v>1</v>
          </cell>
          <cell r="B70">
            <v>68</v>
          </cell>
          <cell r="C70" t="str">
            <v>A154</v>
          </cell>
          <cell r="D70" t="str">
            <v>Song Ngư</v>
          </cell>
          <cell r="E70">
            <v>0</v>
          </cell>
        </row>
        <row r="71">
          <cell r="A71">
            <v>1</v>
          </cell>
          <cell r="B71">
            <v>69</v>
          </cell>
          <cell r="C71" t="str">
            <v>A155</v>
          </cell>
          <cell r="D71" t="str">
            <v>Phao bơi và mỏ neo</v>
          </cell>
          <cell r="E71">
            <v>15</v>
          </cell>
        </row>
        <row r="72">
          <cell r="A72">
            <v>1</v>
          </cell>
          <cell r="B72">
            <v>70</v>
          </cell>
          <cell r="C72" t="str">
            <v>A156</v>
          </cell>
          <cell r="D72" t="str">
            <v>Hải cẩu</v>
          </cell>
          <cell r="E72">
            <v>19</v>
          </cell>
        </row>
        <row r="73">
          <cell r="A73">
            <v>1</v>
          </cell>
          <cell r="B73">
            <v>71</v>
          </cell>
          <cell r="C73" t="str">
            <v>A157</v>
          </cell>
          <cell r="D73" t="str">
            <v>Cá vàng</v>
          </cell>
          <cell r="E73">
            <v>8</v>
          </cell>
        </row>
        <row r="74">
          <cell r="A74">
            <v>1</v>
          </cell>
          <cell r="B74">
            <v>72</v>
          </cell>
          <cell r="C74" t="str">
            <v>A158</v>
          </cell>
          <cell r="D74" t="str">
            <v>Dâu Tây</v>
          </cell>
          <cell r="E74">
            <v>14</v>
          </cell>
        </row>
        <row r="75">
          <cell r="A75">
            <v>1</v>
          </cell>
          <cell r="B75">
            <v>73</v>
          </cell>
          <cell r="C75" t="str">
            <v>A159</v>
          </cell>
          <cell r="D75" t="str">
            <v>Nấm rừng</v>
          </cell>
          <cell r="E75">
            <v>17</v>
          </cell>
        </row>
        <row r="76">
          <cell r="A76">
            <v>1</v>
          </cell>
          <cell r="B76">
            <v>74</v>
          </cell>
          <cell r="C76" t="str">
            <v>A160</v>
          </cell>
          <cell r="D76" t="str">
            <v>Đầu lâu</v>
          </cell>
          <cell r="E76">
            <v>15</v>
          </cell>
        </row>
        <row r="77">
          <cell r="A77">
            <v>1</v>
          </cell>
          <cell r="B77">
            <v>75</v>
          </cell>
          <cell r="C77" t="str">
            <v>A161</v>
          </cell>
          <cell r="D77" t="str">
            <v>Tuần lộc kute</v>
          </cell>
          <cell r="E77">
            <v>5</v>
          </cell>
        </row>
        <row r="78">
          <cell r="A78">
            <v>1</v>
          </cell>
          <cell r="B78">
            <v>76</v>
          </cell>
          <cell r="C78" t="str">
            <v>A162</v>
          </cell>
          <cell r="D78" t="str">
            <v>Bóng Noel</v>
          </cell>
          <cell r="E78">
            <v>7</v>
          </cell>
        </row>
        <row r="79">
          <cell r="A79">
            <v>1</v>
          </cell>
          <cell r="B79">
            <v>77</v>
          </cell>
          <cell r="C79" t="str">
            <v>A163</v>
          </cell>
          <cell r="D79" t="str">
            <v>Tuần lộc đỏ</v>
          </cell>
          <cell r="E79">
            <v>2</v>
          </cell>
        </row>
        <row r="80">
          <cell r="A80">
            <v>1</v>
          </cell>
          <cell r="B80">
            <v>78</v>
          </cell>
          <cell r="C80" t="str">
            <v>A164</v>
          </cell>
          <cell r="D80" t="str">
            <v>Quả cầu Noel</v>
          </cell>
          <cell r="E80">
            <v>5</v>
          </cell>
        </row>
        <row r="81">
          <cell r="A81">
            <v>1</v>
          </cell>
          <cell r="B81">
            <v>79</v>
          </cell>
          <cell r="C81" t="str">
            <v>A165</v>
          </cell>
          <cell r="D81" t="str">
            <v>Găng tất Noel</v>
          </cell>
          <cell r="E81">
            <v>0</v>
          </cell>
        </row>
        <row r="82">
          <cell r="A82">
            <v>1</v>
          </cell>
          <cell r="B82">
            <v>80</v>
          </cell>
          <cell r="C82" t="str">
            <v>A093</v>
          </cell>
          <cell r="D82" t="str">
            <v>Cây thông</v>
          </cell>
          <cell r="E82">
            <v>0</v>
          </cell>
        </row>
        <row r="83">
          <cell r="A83">
            <v>1</v>
          </cell>
          <cell r="B83">
            <v>81</v>
          </cell>
          <cell r="C83" t="str">
            <v>A094</v>
          </cell>
          <cell r="D83" t="str">
            <v>Người bánh gừng</v>
          </cell>
          <cell r="E83">
            <v>5</v>
          </cell>
        </row>
        <row r="84">
          <cell r="A84">
            <v>1</v>
          </cell>
          <cell r="B84">
            <v>82</v>
          </cell>
          <cell r="C84" t="str">
            <v>A095</v>
          </cell>
          <cell r="D84" t="str">
            <v>Người tuyết</v>
          </cell>
          <cell r="E84">
            <v>2</v>
          </cell>
        </row>
        <row r="85">
          <cell r="A85">
            <v>1</v>
          </cell>
          <cell r="B85">
            <v>83</v>
          </cell>
          <cell r="C85" t="str">
            <v>A098</v>
          </cell>
          <cell r="D85" t="str">
            <v>Kẹo que</v>
          </cell>
          <cell r="E85">
            <v>10</v>
          </cell>
        </row>
        <row r="86">
          <cell r="A86">
            <v>1</v>
          </cell>
          <cell r="B86">
            <v>84</v>
          </cell>
          <cell r="C86" t="str">
            <v>A101</v>
          </cell>
          <cell r="D86" t="str">
            <v>Ông già Noel</v>
          </cell>
          <cell r="E86">
            <v>5</v>
          </cell>
        </row>
        <row r="87">
          <cell r="A87">
            <v>1</v>
          </cell>
          <cell r="B87">
            <v>85</v>
          </cell>
          <cell r="C87" t="str">
            <v>B01</v>
          </cell>
          <cell r="D87" t="str">
            <v>Ấm trà tình yêu</v>
          </cell>
          <cell r="E87">
            <v>12</v>
          </cell>
        </row>
        <row r="88">
          <cell r="A88">
            <v>1</v>
          </cell>
          <cell r="B88">
            <v>86</v>
          </cell>
          <cell r="C88" t="str">
            <v>B02</v>
          </cell>
          <cell r="D88" t="str">
            <v>Lò nướng kitty</v>
          </cell>
          <cell r="E88">
            <v>0</v>
          </cell>
        </row>
        <row r="89">
          <cell r="A89">
            <v>1</v>
          </cell>
          <cell r="B89">
            <v>87</v>
          </cell>
          <cell r="C89" t="str">
            <v>B03</v>
          </cell>
          <cell r="D89" t="str">
            <v>Cafe hoa quả</v>
          </cell>
          <cell r="E89">
            <v>0</v>
          </cell>
        </row>
        <row r="90">
          <cell r="A90">
            <v>1</v>
          </cell>
          <cell r="B90">
            <v>88</v>
          </cell>
          <cell r="C90" t="str">
            <v>B04</v>
          </cell>
          <cell r="D90" t="str">
            <v>Fastfood</v>
          </cell>
          <cell r="E90">
            <v>12</v>
          </cell>
        </row>
        <row r="91">
          <cell r="A91">
            <v>1</v>
          </cell>
          <cell r="B91">
            <v>89</v>
          </cell>
          <cell r="C91" t="str">
            <v>B06</v>
          </cell>
          <cell r="D91" t="str">
            <v>Bàn cờ caro</v>
          </cell>
          <cell r="E91">
            <v>0</v>
          </cell>
        </row>
        <row r="92">
          <cell r="A92">
            <v>1</v>
          </cell>
          <cell r="B92">
            <v>90</v>
          </cell>
          <cell r="C92" t="str">
            <v>B07</v>
          </cell>
          <cell r="D92" t="str">
            <v>Bánh dâu</v>
          </cell>
          <cell r="E92">
            <v>18</v>
          </cell>
        </row>
        <row r="93">
          <cell r="A93">
            <v>1</v>
          </cell>
          <cell r="B93">
            <v>91</v>
          </cell>
          <cell r="C93" t="str">
            <v>B08</v>
          </cell>
          <cell r="D93" t="str">
            <v>Cơm Nhật</v>
          </cell>
          <cell r="E93">
            <v>7</v>
          </cell>
        </row>
        <row r="94">
          <cell r="A94">
            <v>1</v>
          </cell>
          <cell r="B94">
            <v>92</v>
          </cell>
          <cell r="C94" t="str">
            <v>B09</v>
          </cell>
          <cell r="D94" t="str">
            <v>Pizza hoa quả</v>
          </cell>
          <cell r="E94">
            <v>3</v>
          </cell>
        </row>
        <row r="95">
          <cell r="A95">
            <v>1</v>
          </cell>
          <cell r="B95">
            <v>93</v>
          </cell>
          <cell r="C95" t="str">
            <v>B10</v>
          </cell>
          <cell r="D95" t="str">
            <v>Bánh trái cây</v>
          </cell>
          <cell r="E95">
            <v>5</v>
          </cell>
        </row>
        <row r="96">
          <cell r="A96">
            <v>1</v>
          </cell>
          <cell r="B96">
            <v>94</v>
          </cell>
          <cell r="C96" t="str">
            <v>B11</v>
          </cell>
          <cell r="D96" t="str">
            <v>Bánh quy</v>
          </cell>
          <cell r="E96">
            <v>16</v>
          </cell>
        </row>
        <row r="97">
          <cell r="A97">
            <v>1</v>
          </cell>
          <cell r="B97">
            <v>95</v>
          </cell>
          <cell r="C97" t="str">
            <v>B12</v>
          </cell>
          <cell r="D97" t="str">
            <v>Bánh chocolate</v>
          </cell>
          <cell r="E97">
            <v>0</v>
          </cell>
        </row>
        <row r="98">
          <cell r="A98">
            <v>1</v>
          </cell>
          <cell r="B98">
            <v>96</v>
          </cell>
          <cell r="C98" t="str">
            <v>B13</v>
          </cell>
          <cell r="D98" t="str">
            <v>Cheese cake</v>
          </cell>
          <cell r="E98">
            <v>18</v>
          </cell>
        </row>
        <row r="99">
          <cell r="A99">
            <v>1</v>
          </cell>
          <cell r="B99">
            <v>97</v>
          </cell>
          <cell r="C99" t="str">
            <v>B14</v>
          </cell>
          <cell r="D99" t="str">
            <v>Tiramisu</v>
          </cell>
          <cell r="E99">
            <v>21</v>
          </cell>
        </row>
        <row r="100">
          <cell r="A100">
            <v>1</v>
          </cell>
          <cell r="B100">
            <v>98</v>
          </cell>
          <cell r="C100" t="str">
            <v>B15</v>
          </cell>
          <cell r="D100" t="str">
            <v>Hộp chocolate</v>
          </cell>
          <cell r="E100">
            <v>0</v>
          </cell>
        </row>
        <row r="101">
          <cell r="A101">
            <v>1</v>
          </cell>
          <cell r="B101">
            <v>99</v>
          </cell>
          <cell r="C101" t="str">
            <v>C01</v>
          </cell>
          <cell r="D101" t="str">
            <v>Thiệp</v>
          </cell>
          <cell r="E101">
            <v>-2</v>
          </cell>
        </row>
        <row r="102">
          <cell r="A102">
            <v>1</v>
          </cell>
          <cell r="B102">
            <v>100</v>
          </cell>
          <cell r="C102" t="str">
            <v>D01</v>
          </cell>
          <cell r="D102" t="str">
            <v>Bánh kem dâu tây</v>
          </cell>
          <cell r="E102">
            <v>9</v>
          </cell>
        </row>
        <row r="103">
          <cell r="A103">
            <v>1</v>
          </cell>
          <cell r="B103">
            <v>101</v>
          </cell>
          <cell r="C103" t="str">
            <v>D03</v>
          </cell>
          <cell r="D103" t="str">
            <v>Cupcake dâu tây</v>
          </cell>
          <cell r="E103">
            <v>6</v>
          </cell>
        </row>
        <row r="104">
          <cell r="A104">
            <v>1</v>
          </cell>
          <cell r="B104">
            <v>102</v>
          </cell>
          <cell r="C104" t="str">
            <v>D04</v>
          </cell>
          <cell r="D104" t="str">
            <v>Bánh kem chocolate</v>
          </cell>
          <cell r="E104">
            <v>7</v>
          </cell>
        </row>
        <row r="105">
          <cell r="A105">
            <v>1</v>
          </cell>
          <cell r="B105">
            <v>103</v>
          </cell>
          <cell r="C105" t="str">
            <v>D05</v>
          </cell>
          <cell r="D105" t="str">
            <v>Bánh kem trà xanh</v>
          </cell>
          <cell r="E105">
            <v>11</v>
          </cell>
        </row>
        <row r="106">
          <cell r="A106">
            <v>1</v>
          </cell>
          <cell r="B106">
            <v>104</v>
          </cell>
          <cell r="C106" t="str">
            <v>D06</v>
          </cell>
          <cell r="D106" t="str">
            <v>Bánh hoa quả</v>
          </cell>
          <cell r="E106">
            <v>12</v>
          </cell>
        </row>
        <row r="107">
          <cell r="A107">
            <v>1</v>
          </cell>
          <cell r="B107">
            <v>105</v>
          </cell>
          <cell r="C107" t="str">
            <v>R000</v>
          </cell>
          <cell r="D107" t="str">
            <v>Rollygami làm sẵn</v>
          </cell>
          <cell r="E107">
            <v>44</v>
          </cell>
        </row>
        <row r="108">
          <cell r="A108">
            <v>1</v>
          </cell>
          <cell r="B108">
            <v>106</v>
          </cell>
          <cell r="C108" t="str">
            <v>R001</v>
          </cell>
          <cell r="D108" t="str">
            <v>Gà bông</v>
          </cell>
          <cell r="E108">
            <v>0</v>
          </cell>
        </row>
        <row r="109">
          <cell r="A109">
            <v>1</v>
          </cell>
          <cell r="B109">
            <v>107</v>
          </cell>
          <cell r="C109" t="str">
            <v>R002</v>
          </cell>
          <cell r="D109" t="str">
            <v>Ỉn hồng</v>
          </cell>
          <cell r="E109">
            <v>0</v>
          </cell>
        </row>
        <row r="110">
          <cell r="A110">
            <v>1</v>
          </cell>
          <cell r="B110">
            <v>108</v>
          </cell>
          <cell r="C110" t="str">
            <v>R003</v>
          </cell>
          <cell r="D110" t="str">
            <v>Gấu Panda</v>
          </cell>
          <cell r="E110">
            <v>2</v>
          </cell>
        </row>
        <row r="111">
          <cell r="A111">
            <v>1</v>
          </cell>
          <cell r="B111">
            <v>109</v>
          </cell>
          <cell r="C111" t="str">
            <v>R004</v>
          </cell>
          <cell r="D111" t="str">
            <v>Angry bird đen</v>
          </cell>
          <cell r="E111">
            <v>0</v>
          </cell>
        </row>
        <row r="112">
          <cell r="A112">
            <v>1</v>
          </cell>
          <cell r="B112">
            <v>110</v>
          </cell>
          <cell r="C112" t="str">
            <v>R005</v>
          </cell>
          <cell r="D112" t="str">
            <v>Angry bird đỏ</v>
          </cell>
          <cell r="E112">
            <v>0</v>
          </cell>
        </row>
        <row r="113">
          <cell r="A113">
            <v>1</v>
          </cell>
          <cell r="B113">
            <v>111</v>
          </cell>
          <cell r="C113" t="str">
            <v>R006</v>
          </cell>
          <cell r="D113" t="str">
            <v>Angry bird trắng</v>
          </cell>
          <cell r="E113">
            <v>1</v>
          </cell>
        </row>
        <row r="114">
          <cell r="A114">
            <v>1</v>
          </cell>
          <cell r="B114">
            <v>112</v>
          </cell>
          <cell r="C114" t="str">
            <v>R007</v>
          </cell>
          <cell r="D114" t="str">
            <v>Angry bird vàng</v>
          </cell>
          <cell r="E114">
            <v>2</v>
          </cell>
        </row>
        <row r="115">
          <cell r="A115">
            <v>1</v>
          </cell>
          <cell r="B115">
            <v>113</v>
          </cell>
          <cell r="C115" t="str">
            <v>R008</v>
          </cell>
          <cell r="D115" t="str">
            <v>Rùa</v>
          </cell>
          <cell r="E115">
            <v>0</v>
          </cell>
        </row>
        <row r="116">
          <cell r="A116">
            <v>1</v>
          </cell>
          <cell r="B116">
            <v>114</v>
          </cell>
          <cell r="C116" t="str">
            <v>VD1</v>
          </cell>
          <cell r="D116" t="str">
            <v>Vải dạ 10x10</v>
          </cell>
          <cell r="E116">
            <v>736</v>
          </cell>
        </row>
        <row r="117">
          <cell r="A117">
            <v>1</v>
          </cell>
          <cell r="B117">
            <v>115</v>
          </cell>
          <cell r="C117" t="str">
            <v>VD2</v>
          </cell>
          <cell r="D117" t="str">
            <v>Vải dạ 18x18</v>
          </cell>
          <cell r="E117">
            <v>422</v>
          </cell>
        </row>
        <row r="118">
          <cell r="A118">
            <v>1</v>
          </cell>
          <cell r="B118">
            <v>116</v>
          </cell>
          <cell r="C118" t="str">
            <v>VD3</v>
          </cell>
          <cell r="D118" t="str">
            <v>Vải dạ 30x30</v>
          </cell>
          <cell r="E118">
            <v>199</v>
          </cell>
        </row>
        <row r="119">
          <cell r="A119">
            <v>1</v>
          </cell>
          <cell r="B119">
            <v>117</v>
          </cell>
          <cell r="C119" t="str">
            <v>VD4</v>
          </cell>
          <cell r="D119" t="str">
            <v>Vải dạ 45x45</v>
          </cell>
          <cell r="E119">
            <v>123</v>
          </cell>
        </row>
        <row r="120">
          <cell r="A120">
            <v>1</v>
          </cell>
          <cell r="B120">
            <v>118</v>
          </cell>
          <cell r="C120" t="str">
            <v>VD5</v>
          </cell>
          <cell r="D120" t="str">
            <v>Vải dạ 90x90</v>
          </cell>
          <cell r="E120" t="str">
            <v>N/A</v>
          </cell>
        </row>
        <row r="121">
          <cell r="A121">
            <v>1</v>
          </cell>
          <cell r="B121">
            <v>119</v>
          </cell>
          <cell r="C121" t="str">
            <v>VD6</v>
          </cell>
          <cell r="D121" t="str">
            <v>Móc điện thoại</v>
          </cell>
          <cell r="E121">
            <v>937</v>
          </cell>
        </row>
        <row r="122">
          <cell r="A122">
            <v>1</v>
          </cell>
          <cell r="B122">
            <v>120</v>
          </cell>
          <cell r="C122" t="str">
            <v>VD7</v>
          </cell>
          <cell r="D122" t="str">
            <v>Móc khóa</v>
          </cell>
          <cell r="E122">
            <v>241</v>
          </cell>
        </row>
        <row r="123">
          <cell r="A123">
            <v>1</v>
          </cell>
          <cell r="B123">
            <v>121</v>
          </cell>
          <cell r="C123" t="str">
            <v>VD8</v>
          </cell>
          <cell r="D123" t="str">
            <v>Keo nến</v>
          </cell>
          <cell r="E123">
            <v>305</v>
          </cell>
        </row>
        <row r="124">
          <cell r="A124">
            <v>1</v>
          </cell>
          <cell r="B124">
            <v>122</v>
          </cell>
          <cell r="C124" t="str">
            <v>VD9</v>
          </cell>
          <cell r="D124" t="str">
            <v>Set chỉ</v>
          </cell>
          <cell r="E124">
            <v>99</v>
          </cell>
        </row>
        <row r="125">
          <cell r="A125">
            <v>1</v>
          </cell>
          <cell r="B125">
            <v>123</v>
          </cell>
          <cell r="C125" t="str">
            <v>VD10</v>
          </cell>
          <cell r="D125" t="str">
            <v>Chỉ đơn</v>
          </cell>
          <cell r="E125">
            <v>88</v>
          </cell>
        </row>
        <row r="126">
          <cell r="A126">
            <v>1</v>
          </cell>
          <cell r="B126">
            <v>124</v>
          </cell>
          <cell r="C126" t="str">
            <v>VD11</v>
          </cell>
          <cell r="D126" t="str">
            <v>Bông túi</v>
          </cell>
          <cell r="E126">
            <v>83</v>
          </cell>
        </row>
        <row r="127">
          <cell r="A127">
            <v>1</v>
          </cell>
          <cell r="B127">
            <v>125</v>
          </cell>
          <cell r="C127" t="str">
            <v>VD12</v>
          </cell>
          <cell r="D127" t="str">
            <v>Bông nửa cân</v>
          </cell>
          <cell r="E127" t="str">
            <v>N/A</v>
          </cell>
        </row>
        <row r="128">
          <cell r="A128">
            <v>1</v>
          </cell>
          <cell r="B128">
            <v>126</v>
          </cell>
          <cell r="C128" t="str">
            <v>VD13</v>
          </cell>
          <cell r="D128" t="str">
            <v>Bông cân</v>
          </cell>
          <cell r="E128">
            <v>-28</v>
          </cell>
        </row>
        <row r="129">
          <cell r="A129">
            <v>1</v>
          </cell>
          <cell r="B129">
            <v>127</v>
          </cell>
          <cell r="C129" t="str">
            <v>VD14</v>
          </cell>
          <cell r="D129" t="str">
            <v>Mắt nhựa</v>
          </cell>
          <cell r="E129">
            <v>0</v>
          </cell>
        </row>
        <row r="130">
          <cell r="A130">
            <v>1</v>
          </cell>
          <cell r="B130">
            <v>128</v>
          </cell>
          <cell r="C130" t="str">
            <v>VD15</v>
          </cell>
          <cell r="D130" t="str">
            <v>Hoa tai móc ĐÔI</v>
          </cell>
          <cell r="E130">
            <v>0</v>
          </cell>
        </row>
        <row r="131">
          <cell r="A131">
            <v>1</v>
          </cell>
          <cell r="B131">
            <v>129</v>
          </cell>
          <cell r="C131" t="str">
            <v>VD16</v>
          </cell>
          <cell r="D131" t="str">
            <v>Đế huy hiệu</v>
          </cell>
          <cell r="E131">
            <v>0</v>
          </cell>
        </row>
        <row r="132">
          <cell r="A132">
            <v>1</v>
          </cell>
          <cell r="B132">
            <v>130</v>
          </cell>
          <cell r="C132" t="str">
            <v>DS01</v>
          </cell>
          <cell r="D132" t="str">
            <v>Đất sét Malay</v>
          </cell>
          <cell r="E132">
            <v>3</v>
          </cell>
        </row>
        <row r="133">
          <cell r="A133">
            <v>1</v>
          </cell>
          <cell r="B133">
            <v>131</v>
          </cell>
          <cell r="C133" t="str">
            <v>DS02</v>
          </cell>
          <cell r="D133" t="str">
            <v>Đất sét Thái</v>
          </cell>
          <cell r="E133">
            <v>-1</v>
          </cell>
        </row>
        <row r="134">
          <cell r="A134">
            <v>1</v>
          </cell>
          <cell r="B134">
            <v>132</v>
          </cell>
          <cell r="C134" t="str">
            <v>DS03</v>
          </cell>
          <cell r="D134" t="str">
            <v>Đất sét Hàn Quốc</v>
          </cell>
          <cell r="E134">
            <v>8</v>
          </cell>
        </row>
        <row r="135">
          <cell r="A135">
            <v>1</v>
          </cell>
          <cell r="B135">
            <v>133</v>
          </cell>
          <cell r="C135" t="str">
            <v>DS04</v>
          </cell>
          <cell r="D135" t="str">
            <v>Túi khoen 10</v>
          </cell>
          <cell r="E135">
            <v>19</v>
          </cell>
        </row>
        <row r="136">
          <cell r="A136">
            <v>1</v>
          </cell>
          <cell r="B136">
            <v>134</v>
          </cell>
          <cell r="C136" t="str">
            <v>DS05</v>
          </cell>
          <cell r="D136" t="str">
            <v>Kem ủ</v>
          </cell>
          <cell r="E136">
            <v>71</v>
          </cell>
        </row>
        <row r="137">
          <cell r="A137">
            <v>1</v>
          </cell>
          <cell r="B137">
            <v>135</v>
          </cell>
          <cell r="C137" t="str">
            <v>DS06</v>
          </cell>
          <cell r="D137" t="str">
            <v>Kem mềm</v>
          </cell>
          <cell r="E137">
            <v>-1</v>
          </cell>
        </row>
        <row r="138">
          <cell r="A138">
            <v>1</v>
          </cell>
          <cell r="B138">
            <v>136</v>
          </cell>
          <cell r="C138" t="str">
            <v>DS07</v>
          </cell>
          <cell r="D138" t="str">
            <v>Keo sữa</v>
          </cell>
          <cell r="E138">
            <v>31</v>
          </cell>
        </row>
        <row r="139">
          <cell r="A139">
            <v>1</v>
          </cell>
          <cell r="B139">
            <v>137</v>
          </cell>
          <cell r="C139" t="str">
            <v>DS08</v>
          </cell>
          <cell r="D139" t="str">
            <v>Dung dịch đất sét</v>
          </cell>
          <cell r="E139">
            <v>26</v>
          </cell>
        </row>
        <row r="140">
          <cell r="A140">
            <v>1</v>
          </cell>
          <cell r="B140">
            <v>138</v>
          </cell>
          <cell r="C140" t="str">
            <v>DS09</v>
          </cell>
          <cell r="D140" t="str">
            <v>Đầu tạo hình</v>
          </cell>
          <cell r="E140">
            <v>27</v>
          </cell>
        </row>
        <row r="141">
          <cell r="A141">
            <v>1</v>
          </cell>
          <cell r="B141">
            <v>139</v>
          </cell>
          <cell r="C141" t="str">
            <v>DS10</v>
          </cell>
          <cell r="D141" t="str">
            <v>Sơn bóng</v>
          </cell>
          <cell r="E141">
            <v>13</v>
          </cell>
        </row>
        <row r="142">
          <cell r="A142">
            <v>1</v>
          </cell>
          <cell r="B142">
            <v>140</v>
          </cell>
          <cell r="C142" t="str">
            <v>DS11</v>
          </cell>
          <cell r="D142" t="str">
            <v>Set màu</v>
          </cell>
          <cell r="E142">
            <v>22</v>
          </cell>
        </row>
        <row r="143">
          <cell r="A143">
            <v>1</v>
          </cell>
          <cell r="B143">
            <v>141</v>
          </cell>
          <cell r="C143" t="str">
            <v>DS12</v>
          </cell>
          <cell r="D143" t="str">
            <v>Bút vẽ</v>
          </cell>
          <cell r="E143">
            <v>11</v>
          </cell>
        </row>
        <row r="144">
          <cell r="A144">
            <v>1</v>
          </cell>
          <cell r="B144">
            <v>142</v>
          </cell>
          <cell r="C144" t="str">
            <v>DS13</v>
          </cell>
          <cell r="D144" t="str">
            <v>Đất sét hoa quả</v>
          </cell>
          <cell r="E144">
            <v>0</v>
          </cell>
        </row>
        <row r="145">
          <cell r="A145">
            <v>1</v>
          </cell>
          <cell r="B145">
            <v>143</v>
          </cell>
          <cell r="C145" t="str">
            <v>DS14</v>
          </cell>
          <cell r="D145" t="str">
            <v>Đất sét hoa quả thanh</v>
          </cell>
          <cell r="E145">
            <v>1</v>
          </cell>
        </row>
        <row r="146">
          <cell r="A146">
            <v>1</v>
          </cell>
          <cell r="B146">
            <v>144</v>
          </cell>
          <cell r="C146" t="str">
            <v>DS15</v>
          </cell>
          <cell r="D146" t="str">
            <v>Lọ thủy tinh</v>
          </cell>
          <cell r="E146">
            <v>-1</v>
          </cell>
        </row>
        <row r="147">
          <cell r="A147">
            <v>1</v>
          </cell>
          <cell r="B147">
            <v>145</v>
          </cell>
          <cell r="C147" t="str">
            <v>DS16</v>
          </cell>
          <cell r="D147" t="str">
            <v>Combo classic</v>
          </cell>
          <cell r="E147" t="str">
            <v>N/A</v>
          </cell>
        </row>
        <row r="148">
          <cell r="A148">
            <v>1</v>
          </cell>
          <cell r="B148">
            <v>146</v>
          </cell>
          <cell r="C148" t="str">
            <v>DS17</v>
          </cell>
          <cell r="D148" t="str">
            <v>Combo bánh</v>
          </cell>
          <cell r="E148" t="str">
            <v>N/A</v>
          </cell>
        </row>
        <row r="149">
          <cell r="A149">
            <v>1</v>
          </cell>
          <cell r="B149">
            <v>147</v>
          </cell>
          <cell r="C149" t="str">
            <v>DS18</v>
          </cell>
          <cell r="D149" t="str">
            <v>Tấm phơi</v>
          </cell>
          <cell r="E149">
            <v>86</v>
          </cell>
        </row>
        <row r="150">
          <cell r="A150">
            <v>1</v>
          </cell>
          <cell r="B150">
            <v>148</v>
          </cell>
          <cell r="C150" t="str">
            <v>DS19</v>
          </cell>
          <cell r="D150" t="str">
            <v>Khuôn dập chữ số</v>
          </cell>
          <cell r="E150">
            <v>0</v>
          </cell>
        </row>
        <row r="151">
          <cell r="A151">
            <v>1</v>
          </cell>
          <cell r="B151">
            <v>149</v>
          </cell>
          <cell r="C151" t="str">
            <v>DS20</v>
          </cell>
          <cell r="D151" t="str">
            <v>Cây lăn</v>
          </cell>
          <cell r="E151">
            <v>3</v>
          </cell>
        </row>
        <row r="152">
          <cell r="A152">
            <v>1</v>
          </cell>
          <cell r="B152">
            <v>150</v>
          </cell>
          <cell r="C152" t="str">
            <v>GC01</v>
          </cell>
          <cell r="D152" t="str">
            <v>Dây cói</v>
          </cell>
          <cell r="E152">
            <v>180</v>
          </cell>
        </row>
        <row r="153">
          <cell r="A153">
            <v>1</v>
          </cell>
          <cell r="B153">
            <v>151</v>
          </cell>
          <cell r="C153" t="str">
            <v>GC02</v>
          </cell>
          <cell r="D153" t="str">
            <v>Dây da lộn</v>
          </cell>
          <cell r="E153">
            <v>-198</v>
          </cell>
        </row>
        <row r="154">
          <cell r="A154">
            <v>1</v>
          </cell>
          <cell r="B154">
            <v>152</v>
          </cell>
          <cell r="C154" t="str">
            <v>GC03</v>
          </cell>
          <cell r="D154" t="str">
            <v>Dây xích</v>
          </cell>
          <cell r="E154" t="str">
            <v>N/A</v>
          </cell>
        </row>
        <row r="155">
          <cell r="A155">
            <v>1</v>
          </cell>
          <cell r="B155">
            <v>153</v>
          </cell>
          <cell r="C155" t="str">
            <v>GC04</v>
          </cell>
          <cell r="D155" t="str">
            <v>Dây xích vàng</v>
          </cell>
          <cell r="E155" t="str">
            <v>N/A</v>
          </cell>
        </row>
        <row r="156">
          <cell r="A156">
            <v>1</v>
          </cell>
          <cell r="B156">
            <v>154</v>
          </cell>
          <cell r="C156" t="str">
            <v>GC05</v>
          </cell>
          <cell r="D156" t="str">
            <v>Khoen tròn (lạng)</v>
          </cell>
          <cell r="E156">
            <v>8.1999999999999993</v>
          </cell>
        </row>
        <row r="157">
          <cell r="A157">
            <v>1</v>
          </cell>
          <cell r="B157">
            <v>155</v>
          </cell>
          <cell r="C157" t="str">
            <v>GC06</v>
          </cell>
          <cell r="D157" t="str">
            <v>Mặt lớn</v>
          </cell>
          <cell r="E157">
            <v>0</v>
          </cell>
        </row>
        <row r="158">
          <cell r="A158">
            <v>1</v>
          </cell>
          <cell r="B158">
            <v>156</v>
          </cell>
          <cell r="C158" t="str">
            <v>GC07</v>
          </cell>
          <cell r="D158" t="str">
            <v>Mặt vừa</v>
          </cell>
          <cell r="E158">
            <v>-5</v>
          </cell>
        </row>
        <row r="159">
          <cell r="A159">
            <v>1</v>
          </cell>
          <cell r="B159">
            <v>157</v>
          </cell>
          <cell r="C159" t="str">
            <v>GC08</v>
          </cell>
          <cell r="D159" t="str">
            <v>Mặt nhỏ</v>
          </cell>
          <cell r="E159">
            <v>-1</v>
          </cell>
        </row>
        <row r="160">
          <cell r="A160">
            <v>1</v>
          </cell>
          <cell r="B160">
            <v>158</v>
          </cell>
          <cell r="C160" t="str">
            <v>GC09</v>
          </cell>
          <cell r="D160" t="str">
            <v>Mặt cung</v>
          </cell>
          <cell r="E160">
            <v>217</v>
          </cell>
        </row>
        <row r="161">
          <cell r="A161">
            <v>1</v>
          </cell>
          <cell r="B161">
            <v>159</v>
          </cell>
          <cell r="C161" t="str">
            <v>GC10</v>
          </cell>
          <cell r="D161" t="str">
            <v>Bộ 12 cung</v>
          </cell>
          <cell r="E161" t="str">
            <v>N/A</v>
          </cell>
        </row>
        <row r="162">
          <cell r="A162">
            <v>1</v>
          </cell>
          <cell r="B162">
            <v>160</v>
          </cell>
          <cell r="C162" t="str">
            <v>GC11</v>
          </cell>
          <cell r="D162" t="str">
            <v>Kẹp ngang to (số 4)</v>
          </cell>
          <cell r="E162" t="str">
            <v>N/A</v>
          </cell>
        </row>
        <row r="163">
          <cell r="A163">
            <v>1</v>
          </cell>
          <cell r="B163">
            <v>161</v>
          </cell>
          <cell r="C163" t="str">
            <v>GC12</v>
          </cell>
          <cell r="D163" t="str">
            <v>Kẹp ngang nhỏ(số 3)</v>
          </cell>
          <cell r="E163" t="str">
            <v>N/A</v>
          </cell>
        </row>
        <row r="164">
          <cell r="A164">
            <v>1</v>
          </cell>
          <cell r="B164">
            <v>162</v>
          </cell>
          <cell r="C164" t="str">
            <v>GC21</v>
          </cell>
          <cell r="D164" t="str">
            <v>Kem ngang vừa (số 2)</v>
          </cell>
          <cell r="E164" t="str">
            <v>N/A</v>
          </cell>
        </row>
        <row r="165">
          <cell r="A165">
            <v>1</v>
          </cell>
          <cell r="B165">
            <v>163</v>
          </cell>
          <cell r="C165" t="str">
            <v>GC13</v>
          </cell>
          <cell r="D165" t="str">
            <v>Kẹp dọc (số 1)</v>
          </cell>
          <cell r="E165" t="str">
            <v>N/A</v>
          </cell>
        </row>
        <row r="166">
          <cell r="A166">
            <v>1</v>
          </cell>
          <cell r="B166">
            <v>164</v>
          </cell>
          <cell r="C166" t="str">
            <v>GC22</v>
          </cell>
          <cell r="D166" t="str">
            <v>Kẹp số 5</v>
          </cell>
          <cell r="E166">
            <v>72</v>
          </cell>
        </row>
        <row r="167">
          <cell r="A167">
            <v>1</v>
          </cell>
          <cell r="B167">
            <v>165</v>
          </cell>
          <cell r="C167" t="str">
            <v>GC14</v>
          </cell>
          <cell r="D167" t="str">
            <v>Càng cua</v>
          </cell>
          <cell r="E167">
            <v>1533</v>
          </cell>
        </row>
        <row r="168">
          <cell r="A168">
            <v>1</v>
          </cell>
          <cell r="B168">
            <v>166</v>
          </cell>
          <cell r="C168" t="str">
            <v>GC15</v>
          </cell>
          <cell r="D168" t="str">
            <v xml:space="preserve">Chuông bạc </v>
          </cell>
          <cell r="E168" t="str">
            <v>N/A</v>
          </cell>
        </row>
        <row r="169">
          <cell r="A169">
            <v>1</v>
          </cell>
          <cell r="B169">
            <v>167</v>
          </cell>
          <cell r="C169" t="str">
            <v>GC16</v>
          </cell>
          <cell r="D169" t="str">
            <v>Chuông giả cổ</v>
          </cell>
          <cell r="E169" t="str">
            <v>N/A</v>
          </cell>
        </row>
        <row r="170">
          <cell r="A170">
            <v>1</v>
          </cell>
          <cell r="B170">
            <v>168</v>
          </cell>
          <cell r="C170" t="str">
            <v>GC17</v>
          </cell>
          <cell r="D170" t="str">
            <v>Móc điện thoại giả cổ</v>
          </cell>
          <cell r="E170">
            <v>0</v>
          </cell>
        </row>
        <row r="171">
          <cell r="A171">
            <v>1</v>
          </cell>
          <cell r="B171">
            <v>169</v>
          </cell>
          <cell r="C171" t="str">
            <v>GC18</v>
          </cell>
          <cell r="D171" t="str">
            <v>Đinh tán</v>
          </cell>
          <cell r="E171">
            <v>0</v>
          </cell>
        </row>
        <row r="172">
          <cell r="A172">
            <v>1</v>
          </cell>
          <cell r="B172">
            <v>170</v>
          </cell>
          <cell r="C172" t="str">
            <v>GC19</v>
          </cell>
          <cell r="D172" t="str">
            <v>Mặt chữ</v>
          </cell>
          <cell r="E172">
            <v>1242</v>
          </cell>
        </row>
        <row r="173">
          <cell r="A173">
            <v>1</v>
          </cell>
          <cell r="B173">
            <v>171</v>
          </cell>
          <cell r="C173" t="str">
            <v>GC20</v>
          </cell>
          <cell r="D173" t="str">
            <v>Mặt số</v>
          </cell>
          <cell r="E173">
            <v>325</v>
          </cell>
        </row>
        <row r="174">
          <cell r="A174">
            <v>1</v>
          </cell>
          <cell r="B174">
            <v>172</v>
          </cell>
          <cell r="C174" t="str">
            <v>GC23</v>
          </cell>
          <cell r="D174" t="str">
            <v>Bộ 26 chữ</v>
          </cell>
          <cell r="E174" t="str">
            <v>N/A</v>
          </cell>
        </row>
        <row r="175">
          <cell r="A175">
            <v>1</v>
          </cell>
          <cell r="B175">
            <v>173</v>
          </cell>
          <cell r="C175" t="str">
            <v>GC24</v>
          </cell>
          <cell r="D175" t="str">
            <v>Bộ 10 số</v>
          </cell>
          <cell r="E175" t="str">
            <v>N/A</v>
          </cell>
        </row>
        <row r="176">
          <cell r="A176">
            <v>1</v>
          </cell>
          <cell r="B176">
            <v>174</v>
          </cell>
          <cell r="C176" t="str">
            <v>GC25</v>
          </cell>
          <cell r="D176" t="str">
            <v>Mặt BCS</v>
          </cell>
          <cell r="E176">
            <v>161</v>
          </cell>
        </row>
        <row r="177">
          <cell r="A177">
            <v>1</v>
          </cell>
          <cell r="B177">
            <v>175</v>
          </cell>
          <cell r="C177" t="str">
            <v>GC101</v>
          </cell>
          <cell r="D177" t="str">
            <v>Bông tuyết</v>
          </cell>
          <cell r="E177">
            <v>0</v>
          </cell>
        </row>
        <row r="178">
          <cell r="A178">
            <v>1</v>
          </cell>
          <cell r="B178">
            <v>176</v>
          </cell>
          <cell r="C178" t="str">
            <v>GC102</v>
          </cell>
          <cell r="D178" t="str">
            <v>Chùm chìa khoá</v>
          </cell>
          <cell r="E178">
            <v>0</v>
          </cell>
        </row>
        <row r="179">
          <cell r="A179">
            <v>1</v>
          </cell>
          <cell r="B179">
            <v>177</v>
          </cell>
          <cell r="C179" t="str">
            <v>GC103</v>
          </cell>
          <cell r="D179" t="str">
            <v>Chìa khoá</v>
          </cell>
          <cell r="E179">
            <v>2</v>
          </cell>
        </row>
        <row r="180">
          <cell r="A180">
            <v>1</v>
          </cell>
          <cell r="B180">
            <v>178</v>
          </cell>
          <cell r="C180" t="str">
            <v>GC104</v>
          </cell>
          <cell r="D180" t="str">
            <v>Ổ khoá</v>
          </cell>
          <cell r="E180">
            <v>0</v>
          </cell>
        </row>
        <row r="181">
          <cell r="A181">
            <v>1</v>
          </cell>
          <cell r="B181">
            <v>179</v>
          </cell>
          <cell r="C181" t="str">
            <v>GC105</v>
          </cell>
          <cell r="D181" t="str">
            <v>Nhẫn cú</v>
          </cell>
          <cell r="E181">
            <v>0</v>
          </cell>
        </row>
        <row r="182">
          <cell r="A182">
            <v>1</v>
          </cell>
          <cell r="B182">
            <v>180</v>
          </cell>
          <cell r="C182" t="str">
            <v>GC106</v>
          </cell>
          <cell r="D182" t="str">
            <v>Đôi cú trái tim</v>
          </cell>
          <cell r="E182">
            <v>0</v>
          </cell>
        </row>
        <row r="183">
          <cell r="A183">
            <v>1</v>
          </cell>
          <cell r="B183">
            <v>181</v>
          </cell>
          <cell r="C183" t="str">
            <v>GC107</v>
          </cell>
          <cell r="D183" t="str">
            <v>Mặt giả cổ mỏ neo</v>
          </cell>
          <cell r="E183">
            <v>0</v>
          </cell>
        </row>
        <row r="184">
          <cell r="A184">
            <v>1</v>
          </cell>
          <cell r="B184">
            <v>182</v>
          </cell>
          <cell r="C184" t="str">
            <v>GC108</v>
          </cell>
          <cell r="D184" t="str">
            <v>Mặt giả cổ mèo</v>
          </cell>
          <cell r="E184">
            <v>0</v>
          </cell>
        </row>
        <row r="185">
          <cell r="A185">
            <v>1</v>
          </cell>
          <cell r="B185">
            <v>183</v>
          </cell>
          <cell r="C185" t="str">
            <v>GC109</v>
          </cell>
          <cell r="D185" t="str">
            <v>Đèn dầu thần</v>
          </cell>
          <cell r="E185">
            <v>14</v>
          </cell>
        </row>
        <row r="186">
          <cell r="A186">
            <v>1</v>
          </cell>
          <cell r="B186">
            <v>184</v>
          </cell>
          <cell r="C186" t="str">
            <v>GC110</v>
          </cell>
          <cell r="D186" t="str">
            <v>Máy ảnh cổ</v>
          </cell>
          <cell r="E186">
            <v>93</v>
          </cell>
        </row>
        <row r="187">
          <cell r="A187">
            <v>1</v>
          </cell>
          <cell r="B187">
            <v>185</v>
          </cell>
          <cell r="C187" t="str">
            <v>GC111</v>
          </cell>
          <cell r="D187" t="str">
            <v>Máy ảnh hiện đại</v>
          </cell>
          <cell r="E187">
            <v>0</v>
          </cell>
        </row>
        <row r="188">
          <cell r="A188">
            <v>1</v>
          </cell>
          <cell r="B188">
            <v>186</v>
          </cell>
          <cell r="C188" t="str">
            <v>GC112</v>
          </cell>
          <cell r="D188" t="str">
            <v>Giày Converse</v>
          </cell>
          <cell r="E188">
            <v>0</v>
          </cell>
        </row>
        <row r="189">
          <cell r="A189">
            <v>1</v>
          </cell>
          <cell r="B189">
            <v>187</v>
          </cell>
          <cell r="C189" t="str">
            <v>GC113</v>
          </cell>
          <cell r="D189" t="str">
            <v>Bánh Happy Birthday</v>
          </cell>
          <cell r="E189">
            <v>0</v>
          </cell>
        </row>
        <row r="190">
          <cell r="A190">
            <v>1</v>
          </cell>
          <cell r="B190">
            <v>188</v>
          </cell>
          <cell r="C190" t="str">
            <v>GC114</v>
          </cell>
          <cell r="D190" t="str">
            <v>Chữ Love</v>
          </cell>
          <cell r="E190">
            <v>0</v>
          </cell>
        </row>
        <row r="191">
          <cell r="A191">
            <v>1</v>
          </cell>
          <cell r="B191">
            <v>189</v>
          </cell>
          <cell r="C191" t="str">
            <v>GC115</v>
          </cell>
          <cell r="D191" t="str">
            <v>Chó con</v>
          </cell>
          <cell r="E191">
            <v>0</v>
          </cell>
        </row>
        <row r="192">
          <cell r="A192">
            <v>1</v>
          </cell>
          <cell r="B192">
            <v>190</v>
          </cell>
          <cell r="C192" t="str">
            <v>GC116</v>
          </cell>
          <cell r="D192" t="str">
            <v>Cỏ bốn lá nhỏ</v>
          </cell>
          <cell r="E192">
            <v>0</v>
          </cell>
        </row>
        <row r="193">
          <cell r="A193">
            <v>1</v>
          </cell>
          <cell r="B193">
            <v>191</v>
          </cell>
          <cell r="C193" t="str">
            <v>GC117</v>
          </cell>
          <cell r="D193" t="str">
            <v>Cây nhiều lá</v>
          </cell>
          <cell r="E193">
            <v>0</v>
          </cell>
        </row>
        <row r="194">
          <cell r="A194">
            <v>1</v>
          </cell>
          <cell r="B194">
            <v>192</v>
          </cell>
          <cell r="C194" t="str">
            <v>GC118</v>
          </cell>
          <cell r="D194" t="str">
            <v>Cánh bướm</v>
          </cell>
          <cell r="E194">
            <v>0</v>
          </cell>
        </row>
        <row r="195">
          <cell r="A195">
            <v>1</v>
          </cell>
          <cell r="B195">
            <v>193</v>
          </cell>
          <cell r="C195" t="str">
            <v>GC119</v>
          </cell>
          <cell r="D195" t="str">
            <v>Ngôi sao nhỏ</v>
          </cell>
          <cell r="E195">
            <v>0</v>
          </cell>
        </row>
        <row r="196">
          <cell r="A196">
            <v>1</v>
          </cell>
          <cell r="B196">
            <v>194</v>
          </cell>
          <cell r="C196" t="str">
            <v>GC120</v>
          </cell>
          <cell r="D196" t="str">
            <v>Ngôi sao nổi</v>
          </cell>
          <cell r="E196">
            <v>103</v>
          </cell>
        </row>
        <row r="197">
          <cell r="A197">
            <v>1</v>
          </cell>
          <cell r="B197">
            <v>195</v>
          </cell>
          <cell r="C197" t="str">
            <v>GC121</v>
          </cell>
          <cell r="D197" t="str">
            <v>Cánh thiên thần</v>
          </cell>
          <cell r="E197">
            <v>0</v>
          </cell>
        </row>
        <row r="198">
          <cell r="A198">
            <v>1</v>
          </cell>
          <cell r="B198">
            <v>196</v>
          </cell>
          <cell r="C198" t="str">
            <v>GC122</v>
          </cell>
          <cell r="D198" t="str">
            <v>Thư trái tim</v>
          </cell>
          <cell r="E198">
            <v>43</v>
          </cell>
        </row>
        <row r="199">
          <cell r="A199">
            <v>1</v>
          </cell>
          <cell r="B199">
            <v>197</v>
          </cell>
          <cell r="C199" t="str">
            <v>GC123</v>
          </cell>
          <cell r="D199" t="str">
            <v>Hai chú chim</v>
          </cell>
          <cell r="E199">
            <v>0</v>
          </cell>
        </row>
        <row r="200">
          <cell r="A200">
            <v>1</v>
          </cell>
          <cell r="B200">
            <v>198</v>
          </cell>
          <cell r="C200" t="str">
            <v>GC124</v>
          </cell>
          <cell r="D200" t="str">
            <v>Tháp Eiffel mini</v>
          </cell>
          <cell r="E200">
            <v>0</v>
          </cell>
        </row>
        <row r="201">
          <cell r="A201">
            <v>1</v>
          </cell>
          <cell r="B201">
            <v>199</v>
          </cell>
          <cell r="C201" t="str">
            <v>GC125</v>
          </cell>
          <cell r="D201" t="str">
            <v>Thỏ con tai dài</v>
          </cell>
          <cell r="E201">
            <v>22</v>
          </cell>
        </row>
        <row r="202">
          <cell r="A202">
            <v>1</v>
          </cell>
          <cell r="B202">
            <v>200</v>
          </cell>
          <cell r="C202" t="str">
            <v>GC126</v>
          </cell>
          <cell r="D202" t="str">
            <v>Móc có hoa văn</v>
          </cell>
          <cell r="E202">
            <v>0</v>
          </cell>
        </row>
        <row r="203">
          <cell r="A203">
            <v>1</v>
          </cell>
          <cell r="B203">
            <v>201</v>
          </cell>
          <cell r="C203" t="str">
            <v>GC127</v>
          </cell>
          <cell r="D203" t="str">
            <v>Ghế tiểu thư mini</v>
          </cell>
          <cell r="E203">
            <v>28</v>
          </cell>
        </row>
        <row r="204">
          <cell r="A204">
            <v>1</v>
          </cell>
          <cell r="B204">
            <v>202</v>
          </cell>
          <cell r="C204" t="str">
            <v>GC128</v>
          </cell>
          <cell r="D204" t="str">
            <v>Love heart</v>
          </cell>
          <cell r="E204">
            <v>0</v>
          </cell>
        </row>
        <row r="205">
          <cell r="A205">
            <v>1</v>
          </cell>
          <cell r="B205">
            <v>203</v>
          </cell>
          <cell r="C205" t="str">
            <v>GC129</v>
          </cell>
          <cell r="D205" t="str">
            <v>Vespa mini</v>
          </cell>
          <cell r="E205">
            <v>84</v>
          </cell>
        </row>
        <row r="206">
          <cell r="A206">
            <v>1</v>
          </cell>
          <cell r="B206">
            <v>204</v>
          </cell>
          <cell r="C206" t="str">
            <v>GC130</v>
          </cell>
          <cell r="D206" t="str">
            <v>Trái tim có cánh</v>
          </cell>
          <cell r="E206">
            <v>0</v>
          </cell>
        </row>
        <row r="207">
          <cell r="A207">
            <v>1</v>
          </cell>
          <cell r="B207">
            <v>205</v>
          </cell>
          <cell r="C207" t="str">
            <v>GC131</v>
          </cell>
          <cell r="D207" t="str">
            <v>Mề đay chữ ovan</v>
          </cell>
          <cell r="E207">
            <v>9</v>
          </cell>
        </row>
        <row r="208">
          <cell r="A208">
            <v>1</v>
          </cell>
          <cell r="B208">
            <v>206</v>
          </cell>
          <cell r="C208" t="str">
            <v>GC132</v>
          </cell>
          <cell r="D208" t="str">
            <v>Trái tim cách điệu</v>
          </cell>
          <cell r="E208">
            <v>8</v>
          </cell>
        </row>
        <row r="209">
          <cell r="A209">
            <v>1</v>
          </cell>
          <cell r="B209">
            <v>207</v>
          </cell>
          <cell r="C209" t="str">
            <v>GC133</v>
          </cell>
          <cell r="D209" t="str">
            <v>Chìa khóa hoa</v>
          </cell>
          <cell r="E209">
            <v>10</v>
          </cell>
        </row>
        <row r="210">
          <cell r="A210">
            <v>1</v>
          </cell>
          <cell r="B210">
            <v>208</v>
          </cell>
          <cell r="C210" t="str">
            <v>GC134</v>
          </cell>
          <cell r="D210" t="str">
            <v>Cỏ 4 lá</v>
          </cell>
          <cell r="E210">
            <v>1</v>
          </cell>
        </row>
        <row r="211">
          <cell r="A211">
            <v>1</v>
          </cell>
          <cell r="B211">
            <v>209</v>
          </cell>
          <cell r="C211" t="str">
            <v>GC135</v>
          </cell>
          <cell r="D211" t="str">
            <v>Đôi cánh</v>
          </cell>
          <cell r="E211">
            <v>3</v>
          </cell>
        </row>
        <row r="212">
          <cell r="A212">
            <v>1</v>
          </cell>
          <cell r="B212">
            <v>210</v>
          </cell>
          <cell r="C212" t="str">
            <v>GC136</v>
          </cell>
          <cell r="D212" t="str">
            <v>Ấm trà</v>
          </cell>
          <cell r="E212">
            <v>38</v>
          </cell>
        </row>
        <row r="213">
          <cell r="A213">
            <v>1</v>
          </cell>
          <cell r="B213">
            <v>211</v>
          </cell>
          <cell r="C213" t="str">
            <v>GC137</v>
          </cell>
          <cell r="D213" t="str">
            <v>Chìa khoá đôi</v>
          </cell>
          <cell r="E213">
            <v>71</v>
          </cell>
        </row>
        <row r="214">
          <cell r="A214">
            <v>1</v>
          </cell>
          <cell r="B214">
            <v>212</v>
          </cell>
          <cell r="C214" t="str">
            <v>GC138</v>
          </cell>
          <cell r="D214" t="str">
            <v>Vòng tròn peace</v>
          </cell>
          <cell r="E214">
            <v>10</v>
          </cell>
        </row>
        <row r="215">
          <cell r="A215">
            <v>1</v>
          </cell>
          <cell r="B215">
            <v>213</v>
          </cell>
          <cell r="C215" t="str">
            <v>GC139</v>
          </cell>
          <cell r="D215" t="str">
            <v>Be proud</v>
          </cell>
          <cell r="E215">
            <v>0</v>
          </cell>
        </row>
        <row r="216">
          <cell r="A216">
            <v>1</v>
          </cell>
          <cell r="B216">
            <v>214</v>
          </cell>
          <cell r="C216" t="str">
            <v>GC140</v>
          </cell>
          <cell r="D216" t="str">
            <v>Vòng tròn 3 lá đeo cổ</v>
          </cell>
          <cell r="E216">
            <v>20</v>
          </cell>
        </row>
        <row r="217">
          <cell r="A217">
            <v>1</v>
          </cell>
          <cell r="B217">
            <v>215</v>
          </cell>
          <cell r="C217" t="str">
            <v>GC141</v>
          </cell>
          <cell r="D217" t="str">
            <v>Tháp eiffel 1 mặt</v>
          </cell>
          <cell r="E217">
            <v>0</v>
          </cell>
        </row>
        <row r="218">
          <cell r="A218">
            <v>1</v>
          </cell>
          <cell r="B218">
            <v>216</v>
          </cell>
          <cell r="C218" t="str">
            <v>GC142</v>
          </cell>
          <cell r="D218" t="str">
            <v>Bánh lái</v>
          </cell>
          <cell r="E218">
            <v>26</v>
          </cell>
        </row>
        <row r="219">
          <cell r="A219">
            <v>1</v>
          </cell>
          <cell r="B219">
            <v>217</v>
          </cell>
          <cell r="C219" t="str">
            <v>GC143</v>
          </cell>
          <cell r="D219" t="str">
            <v>Mỏ neo cách điệu</v>
          </cell>
          <cell r="E219">
            <v>41</v>
          </cell>
        </row>
        <row r="220">
          <cell r="A220">
            <v>1</v>
          </cell>
          <cell r="B220">
            <v>218</v>
          </cell>
          <cell r="C220" t="str">
            <v>GC144</v>
          </cell>
          <cell r="D220" t="str">
            <v>Vương miện</v>
          </cell>
          <cell r="E220">
            <v>0</v>
          </cell>
        </row>
        <row r="221">
          <cell r="A221">
            <v>1</v>
          </cell>
          <cell r="B221">
            <v>219</v>
          </cell>
          <cell r="C221" t="str">
            <v>GC145</v>
          </cell>
          <cell r="D221" t="str">
            <v>Cú đặc có cành cây</v>
          </cell>
          <cell r="E221">
            <v>65</v>
          </cell>
        </row>
        <row r="222">
          <cell r="A222">
            <v>1</v>
          </cell>
          <cell r="B222">
            <v>220</v>
          </cell>
          <cell r="C222" t="str">
            <v>GC146</v>
          </cell>
          <cell r="D222" t="str">
            <v>Cú đặc xòe cánh</v>
          </cell>
          <cell r="E222">
            <v>56</v>
          </cell>
        </row>
        <row r="223">
          <cell r="A223">
            <v>1</v>
          </cell>
          <cell r="B223">
            <v>221</v>
          </cell>
          <cell r="C223" t="str">
            <v>GC147</v>
          </cell>
          <cell r="D223" t="str">
            <v>Cú đặc mắt tròn</v>
          </cell>
          <cell r="E223">
            <v>63</v>
          </cell>
        </row>
        <row r="224">
          <cell r="A224">
            <v>1</v>
          </cell>
          <cell r="B224">
            <v>222</v>
          </cell>
          <cell r="C224" t="str">
            <v>GC148</v>
          </cell>
          <cell r="D224" t="str">
            <v>Ô dài 1 mặt</v>
          </cell>
          <cell r="E224">
            <v>32</v>
          </cell>
        </row>
        <row r="225">
          <cell r="A225">
            <v>1</v>
          </cell>
          <cell r="B225">
            <v>223</v>
          </cell>
          <cell r="C225" t="str">
            <v>GC149</v>
          </cell>
          <cell r="D225" t="str">
            <v>Ô ngắn</v>
          </cell>
          <cell r="E225">
            <v>35</v>
          </cell>
        </row>
        <row r="226">
          <cell r="A226">
            <v>1</v>
          </cell>
          <cell r="B226">
            <v>224</v>
          </cell>
          <cell r="C226" t="str">
            <v>GC150</v>
          </cell>
          <cell r="D226" t="str">
            <v>Lược</v>
          </cell>
          <cell r="E226">
            <v>17</v>
          </cell>
        </row>
        <row r="227">
          <cell r="A227">
            <v>1</v>
          </cell>
          <cell r="B227">
            <v>225</v>
          </cell>
          <cell r="C227" t="str">
            <v>GC151</v>
          </cell>
          <cell r="D227" t="str">
            <v>Quạt</v>
          </cell>
          <cell r="E227">
            <v>9</v>
          </cell>
        </row>
        <row r="228">
          <cell r="A228">
            <v>1</v>
          </cell>
          <cell r="B228">
            <v>226</v>
          </cell>
          <cell r="C228" t="str">
            <v>GC152</v>
          </cell>
          <cell r="D228" t="str">
            <v>Điện thoại bàn</v>
          </cell>
          <cell r="E228">
            <v>56</v>
          </cell>
        </row>
        <row r="229">
          <cell r="A229">
            <v>1</v>
          </cell>
          <cell r="B229">
            <v>227</v>
          </cell>
          <cell r="C229" t="str">
            <v>GC153</v>
          </cell>
          <cell r="D229" t="str">
            <v>Nấm</v>
          </cell>
          <cell r="E229">
            <v>26</v>
          </cell>
        </row>
        <row r="230">
          <cell r="A230">
            <v>1</v>
          </cell>
          <cell r="B230">
            <v>228</v>
          </cell>
          <cell r="C230" t="str">
            <v>GC154</v>
          </cell>
          <cell r="D230" t="str">
            <v>Mặt người tròn mắt sao mắt tròn</v>
          </cell>
          <cell r="E230">
            <v>5</v>
          </cell>
        </row>
        <row r="231">
          <cell r="A231">
            <v>1</v>
          </cell>
          <cell r="B231">
            <v>229</v>
          </cell>
          <cell r="C231" t="str">
            <v>GC155</v>
          </cell>
          <cell r="D231" t="str">
            <v>Thỏ nhắm mắt</v>
          </cell>
          <cell r="E231">
            <v>6</v>
          </cell>
        </row>
        <row r="232">
          <cell r="A232">
            <v>1</v>
          </cell>
          <cell r="B232">
            <v>230</v>
          </cell>
          <cell r="C232" t="str">
            <v>GC156</v>
          </cell>
          <cell r="D232" t="str">
            <v>Tàu hỏa</v>
          </cell>
          <cell r="E232">
            <v>19</v>
          </cell>
        </row>
        <row r="233">
          <cell r="A233">
            <v>1</v>
          </cell>
          <cell r="B233">
            <v>231</v>
          </cell>
          <cell r="C233" t="str">
            <v>GC157</v>
          </cell>
          <cell r="D233" t="str">
            <v>Cánh chim</v>
          </cell>
          <cell r="E233">
            <v>52</v>
          </cell>
        </row>
        <row r="234">
          <cell r="A234">
            <v>1</v>
          </cell>
          <cell r="B234">
            <v>232</v>
          </cell>
          <cell r="C234" t="str">
            <v>GC158</v>
          </cell>
          <cell r="D234" t="str">
            <v>Sao 1 mặt có vân</v>
          </cell>
          <cell r="E234">
            <v>3</v>
          </cell>
        </row>
        <row r="235">
          <cell r="A235">
            <v>1</v>
          </cell>
          <cell r="B235">
            <v>233</v>
          </cell>
          <cell r="C235" t="str">
            <v>GC159</v>
          </cell>
          <cell r="D235" t="str">
            <v>Trái tim Thank u nhỏ</v>
          </cell>
          <cell r="E235">
            <v>2</v>
          </cell>
        </row>
        <row r="236">
          <cell r="A236">
            <v>1</v>
          </cell>
          <cell r="B236">
            <v>234</v>
          </cell>
          <cell r="C236" t="str">
            <v>GC160</v>
          </cell>
          <cell r="D236" t="str">
            <v>Ovan made with love</v>
          </cell>
          <cell r="E236">
            <v>1</v>
          </cell>
        </row>
        <row r="237">
          <cell r="A237">
            <v>1</v>
          </cell>
          <cell r="B237">
            <v>235</v>
          </cell>
          <cell r="C237" t="str">
            <v>GC161</v>
          </cell>
          <cell r="D237" t="str">
            <v>Sao mặt cười nhỏ</v>
          </cell>
          <cell r="E237">
            <v>0</v>
          </cell>
        </row>
        <row r="238">
          <cell r="A238">
            <v>1</v>
          </cell>
          <cell r="B238">
            <v>236</v>
          </cell>
          <cell r="C238" t="str">
            <v>GC162</v>
          </cell>
          <cell r="D238" t="str">
            <v>Tháp Eiffel trong tranh</v>
          </cell>
          <cell r="E238">
            <v>32</v>
          </cell>
        </row>
        <row r="239">
          <cell r="A239">
            <v>1</v>
          </cell>
          <cell r="B239">
            <v>237</v>
          </cell>
          <cell r="C239" t="str">
            <v>GC163</v>
          </cell>
          <cell r="D239" t="str">
            <v>Cỏ bốn lá viền nhỏ xinh</v>
          </cell>
          <cell r="E239">
            <v>82</v>
          </cell>
        </row>
        <row r="240">
          <cell r="A240">
            <v>1</v>
          </cell>
          <cell r="B240">
            <v>238</v>
          </cell>
          <cell r="C240" t="str">
            <v>GC164</v>
          </cell>
          <cell r="D240" t="str">
            <v>Đồng hồ báo thức</v>
          </cell>
          <cell r="E240">
            <v>36</v>
          </cell>
        </row>
        <row r="241">
          <cell r="A241">
            <v>1</v>
          </cell>
          <cell r="B241">
            <v>239</v>
          </cell>
          <cell r="C241" t="str">
            <v>GC165</v>
          </cell>
          <cell r="D241" t="str">
            <v>Đồng hồ quả lắc</v>
          </cell>
          <cell r="E241">
            <v>2</v>
          </cell>
        </row>
        <row r="242">
          <cell r="A242">
            <v>1</v>
          </cell>
          <cell r="B242">
            <v>240</v>
          </cell>
          <cell r="C242" t="str">
            <v>GC166</v>
          </cell>
          <cell r="D242" t="str">
            <v>Trái tim có cánh chim</v>
          </cell>
          <cell r="E242">
            <v>0</v>
          </cell>
        </row>
        <row r="243">
          <cell r="A243">
            <v>1</v>
          </cell>
          <cell r="B243">
            <v>241</v>
          </cell>
          <cell r="C243" t="str">
            <v>GC167</v>
          </cell>
          <cell r="D243" t="str">
            <v>Cánh chim rỗng</v>
          </cell>
          <cell r="E243">
            <v>80</v>
          </cell>
        </row>
        <row r="244">
          <cell r="A244">
            <v>1</v>
          </cell>
          <cell r="B244">
            <v>242</v>
          </cell>
          <cell r="C244" t="str">
            <v>GC168</v>
          </cell>
          <cell r="D244" t="str">
            <v>Bàn tay Handmade</v>
          </cell>
          <cell r="E244">
            <v>31</v>
          </cell>
        </row>
        <row r="245">
          <cell r="A245">
            <v>1</v>
          </cell>
          <cell r="B245">
            <v>243</v>
          </cell>
          <cell r="C245" t="str">
            <v>GC169</v>
          </cell>
          <cell r="D245" t="str">
            <v>Hộp nhẫn kim cương</v>
          </cell>
          <cell r="E245">
            <v>99</v>
          </cell>
        </row>
        <row r="246">
          <cell r="A246">
            <v>1</v>
          </cell>
          <cell r="B246">
            <v>244</v>
          </cell>
          <cell r="C246" t="str">
            <v>GC170</v>
          </cell>
          <cell r="D246" t="str">
            <v>Thuyền buồm</v>
          </cell>
          <cell r="E246">
            <v>40</v>
          </cell>
        </row>
        <row r="247">
          <cell r="A247">
            <v>1</v>
          </cell>
          <cell r="B247">
            <v>245</v>
          </cell>
          <cell r="C247" t="str">
            <v>GC171</v>
          </cell>
          <cell r="D247" t="str">
            <v>Súng</v>
          </cell>
          <cell r="E247">
            <v>45</v>
          </cell>
        </row>
        <row r="248">
          <cell r="A248">
            <v>1</v>
          </cell>
          <cell r="B248">
            <v>246</v>
          </cell>
          <cell r="C248" t="str">
            <v>GC172</v>
          </cell>
          <cell r="D248" t="str">
            <v>Tháp Effeil Trăng</v>
          </cell>
          <cell r="E248">
            <v>39</v>
          </cell>
        </row>
        <row r="249">
          <cell r="A249">
            <v>1</v>
          </cell>
          <cell r="B249">
            <v>247</v>
          </cell>
          <cell r="C249" t="str">
            <v>GC173</v>
          </cell>
          <cell r="D249" t="str">
            <v>Nốt nhạc</v>
          </cell>
          <cell r="E249">
            <v>41</v>
          </cell>
        </row>
        <row r="250">
          <cell r="A250">
            <v>1</v>
          </cell>
          <cell r="B250">
            <v>248</v>
          </cell>
          <cell r="C250" t="str">
            <v>GC174</v>
          </cell>
          <cell r="D250" t="str">
            <v>Bông tuyết mới</v>
          </cell>
          <cell r="E250">
            <v>77</v>
          </cell>
        </row>
        <row r="251">
          <cell r="A251">
            <v>1</v>
          </cell>
          <cell r="B251">
            <v>249</v>
          </cell>
          <cell r="C251" t="str">
            <v>CT01</v>
          </cell>
          <cell r="D251" t="str">
            <v>Chỉ DC</v>
          </cell>
          <cell r="E251">
            <v>9</v>
          </cell>
        </row>
        <row r="252">
          <cell r="A252">
            <v>1</v>
          </cell>
          <cell r="B252">
            <v>250</v>
          </cell>
          <cell r="C252" t="str">
            <v>VN01</v>
          </cell>
          <cell r="D252" t="str">
            <v>Vải mét</v>
          </cell>
          <cell r="E252" t="str">
            <v>N/A</v>
          </cell>
        </row>
        <row r="253">
          <cell r="A253">
            <v>1</v>
          </cell>
          <cell r="B253">
            <v>251</v>
          </cell>
          <cell r="C253" t="str">
            <v>VN02</v>
          </cell>
          <cell r="D253" t="str">
            <v>Vải nỉ làm gối 1.6 x 0.5m</v>
          </cell>
          <cell r="E253" t="str">
            <v>N/A</v>
          </cell>
        </row>
        <row r="254">
          <cell r="A254">
            <v>1</v>
          </cell>
          <cell r="B254">
            <v>252</v>
          </cell>
          <cell r="C254" t="str">
            <v>VN03</v>
          </cell>
          <cell r="D254" t="str">
            <v>Vải nỉ làm gối 1.6 x 1m</v>
          </cell>
          <cell r="E254" t="str">
            <v>N/A</v>
          </cell>
        </row>
        <row r="255">
          <cell r="A255">
            <v>1</v>
          </cell>
          <cell r="B255">
            <v>253</v>
          </cell>
          <cell r="C255" t="str">
            <v>VN04</v>
          </cell>
          <cell r="D255" t="str">
            <v>Vải 40x40</v>
          </cell>
          <cell r="E255" t="str">
            <v>N/A</v>
          </cell>
        </row>
        <row r="256">
          <cell r="A256">
            <v>1</v>
          </cell>
          <cell r="B256">
            <v>254</v>
          </cell>
          <cell r="C256" t="str">
            <v>VN05</v>
          </cell>
          <cell r="D256" t="str">
            <v>Vải vụn 1 LẠNG</v>
          </cell>
          <cell r="E256" t="str">
            <v>N/A</v>
          </cell>
        </row>
        <row r="257">
          <cell r="A257">
            <v>1</v>
          </cell>
          <cell r="B257">
            <v>255</v>
          </cell>
          <cell r="C257" t="str">
            <v>VN06</v>
          </cell>
          <cell r="D257" t="str">
            <v>Khóa trắng</v>
          </cell>
          <cell r="E257">
            <v>6</v>
          </cell>
        </row>
        <row r="258">
          <cell r="A258">
            <v>1</v>
          </cell>
          <cell r="B258">
            <v>256</v>
          </cell>
          <cell r="C258" t="str">
            <v>VN07</v>
          </cell>
          <cell r="D258" t="str">
            <v>Khóa 40cm nổi</v>
          </cell>
          <cell r="E258" t="str">
            <v>N/A</v>
          </cell>
        </row>
        <row r="259">
          <cell r="A259">
            <v>1</v>
          </cell>
          <cell r="B259">
            <v>257</v>
          </cell>
          <cell r="C259" t="str">
            <v>VN08</v>
          </cell>
          <cell r="D259" t="str">
            <v>Khóa màu</v>
          </cell>
          <cell r="E259">
            <v>25</v>
          </cell>
        </row>
        <row r="260">
          <cell r="A260">
            <v>1</v>
          </cell>
          <cell r="B260">
            <v>258</v>
          </cell>
          <cell r="C260" t="str">
            <v>VN09</v>
          </cell>
          <cell r="D260" t="str">
            <v>Khóa 25cm chìm trắng</v>
          </cell>
          <cell r="E260" t="str">
            <v>N/A</v>
          </cell>
        </row>
        <row r="261">
          <cell r="A261">
            <v>1</v>
          </cell>
          <cell r="B261">
            <v>259</v>
          </cell>
          <cell r="C261" t="str">
            <v>VN10</v>
          </cell>
          <cell r="D261" t="str">
            <v>Khóa 25cm chìm màu</v>
          </cell>
          <cell r="E261">
            <v>1</v>
          </cell>
        </row>
        <row r="262">
          <cell r="A262">
            <v>1</v>
          </cell>
          <cell r="B262">
            <v>260</v>
          </cell>
          <cell r="C262" t="str">
            <v>VN11</v>
          </cell>
          <cell r="D262" t="str">
            <v>Chun 1m</v>
          </cell>
          <cell r="E262" t="str">
            <v>N/A</v>
          </cell>
        </row>
        <row r="263">
          <cell r="A263">
            <v>1</v>
          </cell>
          <cell r="B263">
            <v>261</v>
          </cell>
          <cell r="C263" t="str">
            <v>VN12</v>
          </cell>
          <cell r="D263" t="str">
            <v>Vải lót 1m</v>
          </cell>
          <cell r="E263">
            <v>7</v>
          </cell>
        </row>
        <row r="264">
          <cell r="A264">
            <v>1</v>
          </cell>
          <cell r="B264">
            <v>262</v>
          </cell>
          <cell r="C264" t="str">
            <v>VN13</v>
          </cell>
          <cell r="D264" t="str">
            <v>Vải lót 0.5m</v>
          </cell>
          <cell r="E264" t="str">
            <v>N/A</v>
          </cell>
        </row>
        <row r="265">
          <cell r="A265">
            <v>1</v>
          </cell>
          <cell r="B265">
            <v>263</v>
          </cell>
          <cell r="C265" t="str">
            <v>CB01</v>
          </cell>
          <cell r="D265" t="str">
            <v>20' basic</v>
          </cell>
          <cell r="E265" t="str">
            <v>N/A</v>
          </cell>
        </row>
        <row r="266">
          <cell r="A266">
            <v>1</v>
          </cell>
          <cell r="B266">
            <v>264</v>
          </cell>
          <cell r="C266" t="str">
            <v>CB02</v>
          </cell>
          <cell r="D266" t="str">
            <v>20' advanced</v>
          </cell>
          <cell r="E266" t="str">
            <v>N/A</v>
          </cell>
        </row>
        <row r="267">
          <cell r="A267">
            <v>1</v>
          </cell>
          <cell r="B267">
            <v>265</v>
          </cell>
          <cell r="C267" t="str">
            <v>CB03</v>
          </cell>
          <cell r="D267" t="str">
            <v>3D basic</v>
          </cell>
          <cell r="E267" t="str">
            <v>N/A</v>
          </cell>
        </row>
        <row r="268">
          <cell r="A268">
            <v>1</v>
          </cell>
          <cell r="B268">
            <v>266</v>
          </cell>
          <cell r="C268" t="str">
            <v>CB04</v>
          </cell>
          <cell r="D268" t="str">
            <v>3D advanced</v>
          </cell>
          <cell r="E268" t="str">
            <v>N/A</v>
          </cell>
        </row>
        <row r="269">
          <cell r="A269">
            <v>1</v>
          </cell>
          <cell r="B269">
            <v>267</v>
          </cell>
          <cell r="C269" t="str">
            <v>CB05</v>
          </cell>
          <cell r="D269" t="str">
            <v>Vải dạ nỉ basic</v>
          </cell>
          <cell r="E269" t="str">
            <v>N/A</v>
          </cell>
        </row>
        <row r="270">
          <cell r="A270">
            <v>1</v>
          </cell>
          <cell r="B270">
            <v>268</v>
          </cell>
          <cell r="C270" t="str">
            <v>CB06</v>
          </cell>
          <cell r="D270" t="str">
            <v>Vải dạ nỉ plus</v>
          </cell>
          <cell r="E270" t="str">
            <v>N/A</v>
          </cell>
        </row>
        <row r="271">
          <cell r="A271">
            <v>1</v>
          </cell>
          <cell r="B271">
            <v>269</v>
          </cell>
          <cell r="C271" t="str">
            <v>CB07</v>
          </cell>
          <cell r="D271" t="str">
            <v>Vải dạ nỉ advanced</v>
          </cell>
          <cell r="E271" t="str">
            <v>N/A</v>
          </cell>
        </row>
        <row r="272">
          <cell r="A272">
            <v>1</v>
          </cell>
          <cell r="B272">
            <v>270</v>
          </cell>
          <cell r="C272" t="str">
            <v>CB08</v>
          </cell>
          <cell r="D272" t="str">
            <v>Vải nỉ HQ basic</v>
          </cell>
          <cell r="E272" t="str">
            <v>N/A</v>
          </cell>
        </row>
        <row r="273">
          <cell r="A273">
            <v>1</v>
          </cell>
          <cell r="B273">
            <v>271</v>
          </cell>
          <cell r="C273" t="str">
            <v>CB09</v>
          </cell>
          <cell r="D273" t="str">
            <v>Vải nỉ HQ advanced</v>
          </cell>
          <cell r="E273" t="str">
            <v>N/A</v>
          </cell>
        </row>
        <row r="274">
          <cell r="A274">
            <v>1</v>
          </cell>
          <cell r="B274">
            <v>272</v>
          </cell>
          <cell r="C274" t="str">
            <v>CB10</v>
          </cell>
          <cell r="D274" t="str">
            <v>Mặt giả cổ hoàng đạo</v>
          </cell>
          <cell r="E274" t="str">
            <v>N/A</v>
          </cell>
        </row>
        <row r="275">
          <cell r="A275">
            <v>1</v>
          </cell>
          <cell r="B275">
            <v>273</v>
          </cell>
          <cell r="C275" t="str">
            <v>CB11</v>
          </cell>
          <cell r="D275" t="str">
            <v>Mặt giả cổ chữ</v>
          </cell>
          <cell r="E275" t="str">
            <v>N/A</v>
          </cell>
        </row>
        <row r="276">
          <cell r="A276">
            <v>1</v>
          </cell>
          <cell r="B276">
            <v>274</v>
          </cell>
          <cell r="C276" t="str">
            <v>CB12</v>
          </cell>
          <cell r="D276" t="str">
            <v>Mặt giả cổ số</v>
          </cell>
          <cell r="E276" t="str">
            <v>N/A</v>
          </cell>
        </row>
        <row r="277">
          <cell r="A277">
            <v>1</v>
          </cell>
          <cell r="B277">
            <v>275</v>
          </cell>
          <cell r="C277" t="str">
            <v>TR01</v>
          </cell>
          <cell r="D277" t="str">
            <v>Tranh tô màu cỡ đại</v>
          </cell>
          <cell r="E277">
            <v>6</v>
          </cell>
        </row>
        <row r="278">
          <cell r="A278">
            <v>1</v>
          </cell>
          <cell r="B278">
            <v>276</v>
          </cell>
          <cell r="C278" t="str">
            <v>TR02</v>
          </cell>
          <cell r="D278" t="str">
            <v>Tranh tô màu cỡ nhỏ</v>
          </cell>
          <cell r="E278">
            <v>3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Le"/>
      <sheetName val="XuatHang"/>
      <sheetName val="TongHop"/>
      <sheetName val="DSSP"/>
      <sheetName val="NhapNhanh"/>
      <sheetName val="Combo"/>
    </sheetNames>
    <sheetDataSet>
      <sheetData sheetId="0"/>
      <sheetData sheetId="1"/>
      <sheetData sheetId="2">
        <row r="1">
          <cell r="A1" t="str">
            <v>Ngày</v>
          </cell>
          <cell r="B1" t="str">
            <v>Mã đơn hàng</v>
          </cell>
          <cell r="C1" t="str">
            <v>SKU</v>
          </cell>
          <cell r="D1" t="str">
            <v>Tên mặt hàng</v>
          </cell>
          <cell r="E1" t="str">
            <v>Số lượng</v>
          </cell>
          <cell r="F1" t="str">
            <v>Đơn giá</v>
          </cell>
          <cell r="G1" t="str">
            <v>Doanh thu kế toán</v>
          </cell>
          <cell r="H1" t="str">
            <v>Chiết khấu</v>
          </cell>
          <cell r="I1" t="str">
            <v>Thực thu</v>
          </cell>
          <cell r="J1" t="str">
            <v>Ghi chú</v>
          </cell>
          <cell r="K1" t="str">
            <v>Tên khách</v>
          </cell>
          <cell r="L1" t="str">
            <v>Email</v>
          </cell>
          <cell r="M1" t="str">
            <v>ĐT</v>
          </cell>
          <cell r="N1" t="str">
            <v>Shop/HN/TI/XU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2" name="Table2" displayName="Table2" ref="A2:AH278" totalsRowShown="0" headerRowDxfId="122" dataDxfId="120" headerRowBorderDxfId="121" tableBorderDxfId="119" totalsRowBorderDxfId="118">
  <tableColumns count="34">
    <tableColumn id="1" name="Mã SP" dataDxfId="117">
      <calculatedColumnFormula>DSSP!A2</calculatedColumnFormula>
    </tableColumn>
    <tableColumn id="2" name="Tên SP" dataDxfId="116">
      <calculatedColumnFormula>DSSP!B2</calculatedColumnFormula>
    </tableColumn>
    <tableColumn id="3" name="1" dataDxfId="115">
      <calculatedColumnFormula>IF(SUMIFS(Sheet2!$E:$E,Sheet2!$C:$C,$A3,Sheet2!$A:$A,C$2)&lt;&gt;0,SUMIFS(Sheet2!$E:$E,Sheet2!$C:$C,$A3,Sheet2!$A:$A,C$2),"")</calculatedColumnFormula>
    </tableColumn>
    <tableColumn id="4" name="2" dataDxfId="114">
      <calculatedColumnFormula>IF(SUMIFS(Sheet2!$E:$E,Sheet2!$C:$C,$A3,Sheet2!$A:$A,D$2)&lt;&gt;0,SUMIFS(Sheet2!$E:$E,Sheet2!$C:$C,$A3,Sheet2!$A:$A,D$2),"")</calculatedColumnFormula>
    </tableColumn>
    <tableColumn id="5" name="3" dataDxfId="113">
      <calculatedColumnFormula>IF(SUMIFS(Sheet2!$E:$E,Sheet2!$C:$C,$A3,Sheet2!$A:$A,E$2)&lt;&gt;0,SUMIFS(Sheet2!$E:$E,Sheet2!$C:$C,$A3,Sheet2!$A:$A,E$2),"")</calculatedColumnFormula>
    </tableColumn>
    <tableColumn id="6" name="4" dataDxfId="112">
      <calculatedColumnFormula>IF(SUMIFS(Sheet2!$E:$E,Sheet2!$C:$C,$A3,Sheet2!$A:$A,F$2)&lt;&gt;0,SUMIFS(Sheet2!$E:$E,Sheet2!$C:$C,$A3,Sheet2!$A:$A,F$2),"")</calculatedColumnFormula>
    </tableColumn>
    <tableColumn id="7" name="5" dataDxfId="111">
      <calculatedColumnFormula>IF(SUMIFS(Sheet2!$E:$E,Sheet2!$C:$C,$A3,Sheet2!$A:$A,G$2)&lt;&gt;0,SUMIFS(Sheet2!$E:$E,Sheet2!$C:$C,$A3,Sheet2!$A:$A,G$2),"")</calculatedColumnFormula>
    </tableColumn>
    <tableColumn id="8" name="6" dataDxfId="110">
      <calculatedColumnFormula>IF(SUMIFS(Sheet2!$E:$E,Sheet2!$C:$C,$A3,Sheet2!$A:$A,H$2)&lt;&gt;0,SUMIFS(Sheet2!$E:$E,Sheet2!$C:$C,$A3,Sheet2!$A:$A,H$2),"")</calculatedColumnFormula>
    </tableColumn>
    <tableColumn id="9" name="7" dataDxfId="109">
      <calculatedColumnFormula>IF(SUMIFS(Sheet2!$E:$E,Sheet2!$C:$C,$A3,Sheet2!$A:$A,I$2)&lt;&gt;0,SUMIFS(Sheet2!$E:$E,Sheet2!$C:$C,$A3,Sheet2!$A:$A,I$2),"")</calculatedColumnFormula>
    </tableColumn>
    <tableColumn id="10" name="8" dataDxfId="108">
      <calculatedColumnFormula>IF(SUMIFS(Sheet2!$E:$E,Sheet2!$C:$C,$A3,Sheet2!$A:$A,J$2)&lt;&gt;0,SUMIFS(Sheet2!$E:$E,Sheet2!$C:$C,$A3,Sheet2!$A:$A,J$2),"")</calculatedColumnFormula>
    </tableColumn>
    <tableColumn id="11" name="9" dataDxfId="107">
      <calculatedColumnFormula>IF(SUMIFS(Sheet2!$E:$E,Sheet2!$C:$C,$A3,Sheet2!$A:$A,K$2)&lt;&gt;0,SUMIFS(Sheet2!$E:$E,Sheet2!$C:$C,$A3,Sheet2!$A:$A,K$2),"")</calculatedColumnFormula>
    </tableColumn>
    <tableColumn id="12" name="10" dataDxfId="106">
      <calculatedColumnFormula>IF(SUMIFS(Sheet2!$E:$E,Sheet2!$C:$C,$A3,Sheet2!$A:$A,L$2)&lt;&gt;0,SUMIFS(Sheet2!$E:$E,Sheet2!$C:$C,$A3,Sheet2!$A:$A,L$2),"")</calculatedColumnFormula>
    </tableColumn>
    <tableColumn id="13" name="11" dataDxfId="105">
      <calculatedColumnFormula>IF(SUMIFS(Sheet2!$E:$E,Sheet2!$C:$C,$A3,Sheet2!$A:$A,M$2)&lt;&gt;0,SUMIFS(Sheet2!$E:$E,Sheet2!$C:$C,$A3,Sheet2!$A:$A,M$2),"")</calculatedColumnFormula>
    </tableColumn>
    <tableColumn id="14" name="12" dataDxfId="104">
      <calculatedColumnFormula>IF(SUMIFS(Sheet2!$E:$E,Sheet2!$C:$C,$A3,Sheet2!$A:$A,N$2)&lt;&gt;0,SUMIFS(Sheet2!$E:$E,Sheet2!$C:$C,$A3,Sheet2!$A:$A,N$2),"")</calculatedColumnFormula>
    </tableColumn>
    <tableColumn id="15" name="13" dataDxfId="103">
      <calculatedColumnFormula>IF(SUMIFS(Sheet2!$E:$E,Sheet2!$C:$C,$A3,Sheet2!$A:$A,O$2)&lt;&gt;0,SUMIFS(Sheet2!$E:$E,Sheet2!$C:$C,$A3,Sheet2!$A:$A,O$2),"")</calculatedColumnFormula>
    </tableColumn>
    <tableColumn id="16" name="14" dataDxfId="102">
      <calculatedColumnFormula>IF(SUMIFS(Sheet2!$E:$E,Sheet2!$C:$C,$A3,Sheet2!$A:$A,P$2)&lt;&gt;0,SUMIFS(Sheet2!$E:$E,Sheet2!$C:$C,$A3,Sheet2!$A:$A,P$2),"")</calculatedColumnFormula>
    </tableColumn>
    <tableColumn id="17" name="15" dataDxfId="101">
      <calculatedColumnFormula>IF(SUMIFS(Sheet2!$E:$E,Sheet2!$C:$C,$A3,Sheet2!$A:$A,Q$2)&lt;&gt;0,SUMIFS(Sheet2!$E:$E,Sheet2!$C:$C,$A3,Sheet2!$A:$A,Q$2),"")</calculatedColumnFormula>
    </tableColumn>
    <tableColumn id="18" name="16" dataDxfId="100">
      <calculatedColumnFormula>IF(SUMIFS(Sheet2!$E:$E,Sheet2!$C:$C,$A3,Sheet2!$A:$A,R$2)&lt;&gt;0,SUMIFS(Sheet2!$E:$E,Sheet2!$C:$C,$A3,Sheet2!$A:$A,R$2),"")</calculatedColumnFormula>
    </tableColumn>
    <tableColumn id="19" name="17" dataDxfId="99">
      <calculatedColumnFormula>IF(SUMIFS(Sheet2!$E:$E,Sheet2!$C:$C,$A3,Sheet2!$A:$A,S$2)&lt;&gt;0,SUMIFS(Sheet2!$E:$E,Sheet2!$C:$C,$A3,Sheet2!$A:$A,S$2),"")</calculatedColumnFormula>
    </tableColumn>
    <tableColumn id="20" name="18" dataDxfId="98">
      <calculatedColumnFormula>IF(SUMIFS(Sheet2!$E:$E,Sheet2!$C:$C,$A3,Sheet2!$A:$A,T$2)&lt;&gt;0,SUMIFS(Sheet2!$E:$E,Sheet2!$C:$C,$A3,Sheet2!$A:$A,T$2),"")</calculatedColumnFormula>
    </tableColumn>
    <tableColumn id="21" name="19" dataDxfId="97">
      <calculatedColumnFormula>IF(SUMIFS(Sheet2!$E:$E,Sheet2!$C:$C,$A3,Sheet2!$A:$A,U$2)&lt;&gt;0,SUMIFS(Sheet2!$E:$E,Sheet2!$C:$C,$A3,Sheet2!$A:$A,U$2),"")</calculatedColumnFormula>
    </tableColumn>
    <tableColumn id="22" name="20" dataDxfId="96">
      <calculatedColumnFormula>IF(SUMIFS(Sheet2!$E:$E,Sheet2!$C:$C,$A3,Sheet2!$A:$A,V$2)&lt;&gt;0,SUMIFS(Sheet2!$E:$E,Sheet2!$C:$C,$A3,Sheet2!$A:$A,V$2),"")</calculatedColumnFormula>
    </tableColumn>
    <tableColumn id="23" name="21" dataDxfId="95">
      <calculatedColumnFormula>IF(SUMIFS(Sheet2!$E:$E,Sheet2!$C:$C,$A3,Sheet2!$A:$A,W$2)&lt;&gt;0,SUMIFS(Sheet2!$E:$E,Sheet2!$C:$C,$A3,Sheet2!$A:$A,W$2),"")</calculatedColumnFormula>
    </tableColumn>
    <tableColumn id="24" name="22" dataDxfId="94">
      <calculatedColumnFormula>IF(SUMIFS(Sheet2!$E:$E,Sheet2!$C:$C,$A3,Sheet2!$A:$A,X$2)&lt;&gt;0,SUMIFS(Sheet2!$E:$E,Sheet2!$C:$C,$A3,Sheet2!$A:$A,X$2),"")</calculatedColumnFormula>
    </tableColumn>
    <tableColumn id="25" name="23" dataDxfId="93">
      <calculatedColumnFormula>IF(SUMIFS(Sheet2!$E:$E,Sheet2!$C:$C,$A3,Sheet2!$A:$A,Y$2)&lt;&gt;0,SUMIFS(Sheet2!$E:$E,Sheet2!$C:$C,$A3,Sheet2!$A:$A,Y$2),"")</calculatedColumnFormula>
    </tableColumn>
    <tableColumn id="26" name="24" dataDxfId="92">
      <calculatedColumnFormula>IF(SUMIFS(Sheet2!$E:$E,Sheet2!$C:$C,$A3,Sheet2!$A:$A,Z$2)&lt;&gt;0,SUMIFS(Sheet2!$E:$E,Sheet2!$C:$C,$A3,Sheet2!$A:$A,Z$2),"")</calculatedColumnFormula>
    </tableColumn>
    <tableColumn id="27" name="25" dataDxfId="91">
      <calculatedColumnFormula>IF(SUMIFS(Sheet2!$E:$E,Sheet2!$C:$C,$A3,Sheet2!$A:$A,AA$2)&lt;&gt;0,SUMIFS(Sheet2!$E:$E,Sheet2!$C:$C,$A3,Sheet2!$A:$A,AA$2),"")</calculatedColumnFormula>
    </tableColumn>
    <tableColumn id="28" name="26" dataDxfId="90">
      <calculatedColumnFormula>IF(SUMIFS(Sheet2!$E:$E,Sheet2!$C:$C,$A3,Sheet2!$A:$A,AB$2)&lt;&gt;0,SUMIFS(Sheet2!$E:$E,Sheet2!$C:$C,$A3,Sheet2!$A:$A,AB$2),"")</calculatedColumnFormula>
    </tableColumn>
    <tableColumn id="29" name="27" dataDxfId="89">
      <calculatedColumnFormula>IF(SUMIFS(Sheet2!$E:$E,Sheet2!$C:$C,$A3,Sheet2!$A:$A,AC$2)&lt;&gt;0,SUMIFS(Sheet2!$E:$E,Sheet2!$C:$C,$A3,Sheet2!$A:$A,AC$2),"")</calculatedColumnFormula>
    </tableColumn>
    <tableColumn id="30" name="28" dataDxfId="88">
      <calculatedColumnFormula>IF(SUMIFS(Sheet2!$E:$E,Sheet2!$C:$C,$A3,Sheet2!$A:$A,AD$2)&lt;&gt;0,SUMIFS(Sheet2!$E:$E,Sheet2!$C:$C,$A3,Sheet2!$A:$A,AD$2),"")</calculatedColumnFormula>
    </tableColumn>
    <tableColumn id="31" name="29" dataDxfId="87">
      <calculatedColumnFormula>IF(SUMIFS(Sheet2!$E:$E,Sheet2!$C:$C,$A3,Sheet2!$A:$A,AE$2)&lt;&gt;0,SUMIFS(Sheet2!$E:$E,Sheet2!$C:$C,$A3,Sheet2!$A:$A,AE$2),"")</calculatedColumnFormula>
    </tableColumn>
    <tableColumn id="32" name="30" dataDxfId="86">
      <calculatedColumnFormula>IF(SUMIFS(Sheet2!$E:$E,Sheet2!$C:$C,$A3,Sheet2!$A:$A,AF$2)&lt;&gt;0,SUMIFS(Sheet2!$E:$E,Sheet2!$C:$C,$A3,Sheet2!$A:$A,AF$2),"")</calculatedColumnFormula>
    </tableColumn>
    <tableColumn id="33" name="31" dataDxfId="85">
      <calculatedColumnFormula>IF(SUMIFS(Sheet2!$E:$E,Sheet2!$C:$C,$A3,Sheet2!$A:$A,AG$2)&lt;&gt;0,SUMIFS(Sheet2!$E:$E,Sheet2!$C:$C,$A3,Sheet2!$A:$A,AG$2),"")</calculatedColumnFormula>
    </tableColumn>
    <tableColumn id="34" name="Tổng bán" dataDxfId="84">
      <calculatedColumnFormula>SUM(Table2[[#This Row],[1]:[31]])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2:AH278" totalsRowShown="0" headerRowDxfId="83" dataDxfId="81" headerRowBorderDxfId="82" tableBorderDxfId="80" totalsRowBorderDxfId="79">
  <tableColumns count="34">
    <tableColumn id="1" name="Mã SP" dataDxfId="78">
      <calculatedColumnFormula>DSSP!A2</calculatedColumnFormula>
    </tableColumn>
    <tableColumn id="2" name="Tên SP" dataDxfId="77">
      <calculatedColumnFormula>DSSP!B2</calculatedColumnFormula>
    </tableColumn>
    <tableColumn id="3" name="1" dataDxfId="76">
      <calculatedColumnFormula>IF(SUMIFS(Sheet1!$E:$E,Sheet1!$C:$C,$A3,Sheet1!$A:$A,C$2)&lt;&gt;0,SUMIFS(Sheet1!$E:$E,Sheet1!$C:$C,$A3,Sheet1!$A:$A,C$2),"")</calculatedColumnFormula>
    </tableColumn>
    <tableColumn id="4" name="2" dataDxfId="75">
      <calculatedColumnFormula>IF(SUMIFS(Sheet1!$E:$E,Sheet1!$C:$C,$A3,Sheet1!$A:$A,D$2)&lt;&gt;0,SUMIFS(Sheet1!$E:$E,Sheet1!$C:$C,$A3,Sheet1!$A:$A,D$2),"")</calculatedColumnFormula>
    </tableColumn>
    <tableColumn id="5" name="3" dataDxfId="74">
      <calculatedColumnFormula>IF(SUMIFS(Sheet1!$E:$E,Sheet1!$C:$C,$A3,Sheet1!$A:$A,E$2)&lt;&gt;0,SUMIFS(Sheet1!$E:$E,Sheet1!$C:$C,$A3,Sheet1!$A:$A,E$2),"")</calculatedColumnFormula>
    </tableColumn>
    <tableColumn id="6" name="4" dataDxfId="73">
      <calculatedColumnFormula>IF(SUMIFS(Sheet1!$E:$E,Sheet1!$C:$C,$A3,Sheet1!$A:$A,F$2)&lt;&gt;0,SUMIFS(Sheet1!$E:$E,Sheet1!$C:$C,$A3,Sheet1!$A:$A,F$2),"")</calculatedColumnFormula>
    </tableColumn>
    <tableColumn id="7" name="5" dataDxfId="72">
      <calculatedColumnFormula>IF(SUMIFS(Sheet1!$E:$E,Sheet1!$C:$C,$A3,Sheet1!$A:$A,G$2)&lt;&gt;0,SUMIFS(Sheet1!$E:$E,Sheet1!$C:$C,$A3,Sheet1!$A:$A,G$2),"")</calculatedColumnFormula>
    </tableColumn>
    <tableColumn id="8" name="6" dataDxfId="71">
      <calculatedColumnFormula>IF(SUMIFS(Sheet1!$E:$E,Sheet1!$C:$C,$A3,Sheet1!$A:$A,H$2)&lt;&gt;0,SUMIFS(Sheet1!$E:$E,Sheet1!$C:$C,$A3,Sheet1!$A:$A,H$2),"")</calculatedColumnFormula>
    </tableColumn>
    <tableColumn id="9" name="7" dataDxfId="70">
      <calculatedColumnFormula>IF(SUMIFS(Sheet1!$E:$E,Sheet1!$C:$C,$A3,Sheet1!$A:$A,I$2)&lt;&gt;0,SUMIFS(Sheet1!$E:$E,Sheet1!$C:$C,$A3,Sheet1!$A:$A,I$2),"")</calculatedColumnFormula>
    </tableColumn>
    <tableColumn id="10" name="8" dataDxfId="69">
      <calculatedColumnFormula>IF(SUMIFS(Sheet1!$E:$E,Sheet1!$C:$C,$A3,Sheet1!$A:$A,J$2)&lt;&gt;0,SUMIFS(Sheet1!$E:$E,Sheet1!$C:$C,$A3,Sheet1!$A:$A,J$2),"")</calculatedColumnFormula>
    </tableColumn>
    <tableColumn id="11" name="9" dataDxfId="68">
      <calculatedColumnFormula>IF(SUMIFS(Sheet1!$E:$E,Sheet1!$C:$C,$A3,Sheet1!$A:$A,K$2)&lt;&gt;0,SUMIFS(Sheet1!$E:$E,Sheet1!$C:$C,$A3,Sheet1!$A:$A,K$2),"")</calculatedColumnFormula>
    </tableColumn>
    <tableColumn id="12" name="10" dataDxfId="67">
      <calculatedColumnFormula>IF(SUMIFS(Sheet1!$E:$E,Sheet1!$C:$C,$A3,Sheet1!$A:$A,L$2)&lt;&gt;0,SUMIFS(Sheet1!$E:$E,Sheet1!$C:$C,$A3,Sheet1!$A:$A,L$2),"")</calculatedColumnFormula>
    </tableColumn>
    <tableColumn id="13" name="11" dataDxfId="66">
      <calculatedColumnFormula>IF(SUMIFS(Sheet1!$E:$E,Sheet1!$C:$C,$A3,Sheet1!$A:$A,M$2)&lt;&gt;0,SUMIFS(Sheet1!$E:$E,Sheet1!$C:$C,$A3,Sheet1!$A:$A,M$2),"")</calculatedColumnFormula>
    </tableColumn>
    <tableColumn id="14" name="12" dataDxfId="65">
      <calculatedColumnFormula>IF(SUMIFS(Sheet1!$E:$E,Sheet1!$C:$C,$A3,Sheet1!$A:$A,N$2)&lt;&gt;0,SUMIFS(Sheet1!$E:$E,Sheet1!$C:$C,$A3,Sheet1!$A:$A,N$2),"")</calculatedColumnFormula>
    </tableColumn>
    <tableColumn id="15" name="13" dataDxfId="64">
      <calculatedColumnFormula>IF(SUMIFS(Sheet1!$E:$E,Sheet1!$C:$C,$A3,Sheet1!$A:$A,O$2)&lt;&gt;0,SUMIFS(Sheet1!$E:$E,Sheet1!$C:$C,$A3,Sheet1!$A:$A,O$2),"")</calculatedColumnFormula>
    </tableColumn>
    <tableColumn id="16" name="14" dataDxfId="63">
      <calculatedColumnFormula>IF(SUMIFS(Sheet1!$E:$E,Sheet1!$C:$C,$A3,Sheet1!$A:$A,P$2)&lt;&gt;0,SUMIFS(Sheet1!$E:$E,Sheet1!$C:$C,$A3,Sheet1!$A:$A,P$2),"")</calculatedColumnFormula>
    </tableColumn>
    <tableColumn id="17" name="15" dataDxfId="62">
      <calculatedColumnFormula>IF(SUMIFS(Sheet1!$E:$E,Sheet1!$C:$C,$A3,Sheet1!$A:$A,Q$2)&lt;&gt;0,SUMIFS(Sheet1!$E:$E,Sheet1!$C:$C,$A3,Sheet1!$A:$A,Q$2),"")</calculatedColumnFormula>
    </tableColumn>
    <tableColumn id="18" name="16" dataDxfId="61">
      <calculatedColumnFormula>IF(SUMIFS(Sheet1!$E:$E,Sheet1!$C:$C,$A3,Sheet1!$A:$A,R$2)&lt;&gt;0,SUMIFS(Sheet1!$E:$E,Sheet1!$C:$C,$A3,Sheet1!$A:$A,R$2),"")</calculatedColumnFormula>
    </tableColumn>
    <tableColumn id="19" name="17" dataDxfId="60">
      <calculatedColumnFormula>IF(SUMIFS(Sheet1!$E:$E,Sheet1!$C:$C,$A3,Sheet1!$A:$A,S$2)&lt;&gt;0,SUMIFS(Sheet1!$E:$E,Sheet1!$C:$C,$A3,Sheet1!$A:$A,S$2),"")</calculatedColumnFormula>
    </tableColumn>
    <tableColumn id="20" name="18" dataDxfId="59">
      <calculatedColumnFormula>IF(SUMIFS(Sheet1!$E:$E,Sheet1!$C:$C,$A3,Sheet1!$A:$A,T$2)&lt;&gt;0,SUMIFS(Sheet1!$E:$E,Sheet1!$C:$C,$A3,Sheet1!$A:$A,T$2),"")</calculatedColumnFormula>
    </tableColumn>
    <tableColumn id="21" name="19" dataDxfId="58">
      <calculatedColumnFormula>IF(SUMIFS(Sheet1!$E:$E,Sheet1!$C:$C,$A3,Sheet1!$A:$A,U$2)&lt;&gt;0,SUMIFS(Sheet1!$E:$E,Sheet1!$C:$C,$A3,Sheet1!$A:$A,U$2),"")</calculatedColumnFormula>
    </tableColumn>
    <tableColumn id="22" name="20" dataDxfId="57">
      <calculatedColumnFormula>IF(SUMIFS(Sheet1!$E:$E,Sheet1!$C:$C,$A3,Sheet1!$A:$A,V$2)&lt;&gt;0,SUMIFS(Sheet1!$E:$E,Sheet1!$C:$C,$A3,Sheet1!$A:$A,V$2),"")</calculatedColumnFormula>
    </tableColumn>
    <tableColumn id="23" name="21" dataDxfId="56">
      <calculatedColumnFormula>IF(SUMIFS(Sheet1!$E:$E,Sheet1!$C:$C,$A3,Sheet1!$A:$A,W$2)&lt;&gt;0,SUMIFS(Sheet1!$E:$E,Sheet1!$C:$C,$A3,Sheet1!$A:$A,W$2),"")</calculatedColumnFormula>
    </tableColumn>
    <tableColumn id="24" name="22" dataDxfId="55">
      <calculatedColumnFormula>IF(SUMIFS(Sheet1!$E:$E,Sheet1!$C:$C,$A3,Sheet1!$A:$A,X$2)&lt;&gt;0,SUMIFS(Sheet1!$E:$E,Sheet1!$C:$C,$A3,Sheet1!$A:$A,X$2),"")</calculatedColumnFormula>
    </tableColumn>
    <tableColumn id="25" name="23" dataDxfId="54">
      <calculatedColumnFormula>IF(SUMIFS(Sheet1!$E:$E,Sheet1!$C:$C,$A3,Sheet1!$A:$A,Y$2)&lt;&gt;0,SUMIFS(Sheet1!$E:$E,Sheet1!$C:$C,$A3,Sheet1!$A:$A,Y$2),"")</calculatedColumnFormula>
    </tableColumn>
    <tableColumn id="26" name="24" dataDxfId="53">
      <calculatedColumnFormula>IF(SUMIFS(Sheet1!$E:$E,Sheet1!$C:$C,$A3,Sheet1!$A:$A,Z$2)&lt;&gt;0,SUMIFS(Sheet1!$E:$E,Sheet1!$C:$C,$A3,Sheet1!$A:$A,Z$2),"")</calculatedColumnFormula>
    </tableColumn>
    <tableColumn id="27" name="25" dataDxfId="52">
      <calculatedColumnFormula>IF(SUMIFS(Sheet1!$E:$E,Sheet1!$C:$C,$A3,Sheet1!$A:$A,AA$2)&lt;&gt;0,SUMIFS(Sheet1!$E:$E,Sheet1!$C:$C,$A3,Sheet1!$A:$A,AA$2),"")</calculatedColumnFormula>
    </tableColumn>
    <tableColumn id="28" name="26" dataDxfId="51">
      <calculatedColumnFormula>IF(SUMIFS(Sheet1!$E:$E,Sheet1!$C:$C,$A3,Sheet1!$A:$A,AB$2)&lt;&gt;0,SUMIFS(Sheet1!$E:$E,Sheet1!$C:$C,$A3,Sheet1!$A:$A,AB$2),"")</calculatedColumnFormula>
    </tableColumn>
    <tableColumn id="29" name="27" dataDxfId="50">
      <calculatedColumnFormula>IF(SUMIFS(Sheet1!$E:$E,Sheet1!$C:$C,$A3,Sheet1!$A:$A,AC$2)&lt;&gt;0,SUMIFS(Sheet1!$E:$E,Sheet1!$C:$C,$A3,Sheet1!$A:$A,AC$2),"")</calculatedColumnFormula>
    </tableColumn>
    <tableColumn id="30" name="28" dataDxfId="49">
      <calculatedColumnFormula>IF(SUMIFS(Sheet1!$E:$E,Sheet1!$C:$C,$A3,Sheet1!$A:$A,AD$2)&lt;&gt;0,SUMIFS(Sheet1!$E:$E,Sheet1!$C:$C,$A3,Sheet1!$A:$A,AD$2),"")</calculatedColumnFormula>
    </tableColumn>
    <tableColumn id="31" name="29" dataDxfId="48">
      <calculatedColumnFormula>IF(SUMIFS(Sheet1!$E:$E,Sheet1!$C:$C,$A3,Sheet1!$A:$A,AE$2)&lt;&gt;0,SUMIFS(Sheet1!$E:$E,Sheet1!$C:$C,$A3,Sheet1!$A:$A,AE$2),"")</calculatedColumnFormula>
    </tableColumn>
    <tableColumn id="32" name="30" dataDxfId="47">
      <calculatedColumnFormula>IF(SUMIFS(Sheet1!$E:$E,Sheet1!$C:$C,$A3,Sheet1!$A:$A,AF$2)&lt;&gt;0,SUMIFS(Sheet1!$E:$E,Sheet1!$C:$C,$A3,Sheet1!$A:$A,AF$2),"")</calculatedColumnFormula>
    </tableColumn>
    <tableColumn id="33" name="31" dataDxfId="46">
      <calculatedColumnFormula>IF(SUMIFS(Sheet1!$E:$E,Sheet1!$C:$C,$A3,Sheet1!$A:$A,AG$2)&lt;&gt;0,SUMIFS(Sheet1!$E:$E,Sheet1!$C:$C,$A3,Sheet1!$A:$A,AG$2),"")</calculatedColumnFormula>
    </tableColumn>
    <tableColumn id="34" name="Tổng nhập" dataDxfId="45">
      <calculatedColumnFormula>SUM(Table24[[#This Row],[1]:[31]])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4" name="Table25" displayName="Table25" ref="A2:AG278" totalsRowShown="0" headerRowDxfId="43" dataDxfId="41" headerRowBorderDxfId="42" tableBorderDxfId="40" totalsRowBorderDxfId="39">
  <tableColumns count="33">
    <tableColumn id="1" name="Mã SP" dataDxfId="38">
      <calculatedColumnFormula>DSSP!A2</calculatedColumnFormula>
    </tableColumn>
    <tableColumn id="2" name="Tên SP" dataDxfId="37">
      <calculatedColumnFormula>DSSP!B2</calculatedColumnFormula>
    </tableColumn>
    <tableColumn id="3" name="1" dataDxfId="36">
      <calculatedColumnFormula>SUM(NhatkyNhap!$C3:C278)-SUM(NhatkyBan!$C3:C278)</calculatedColumnFormula>
    </tableColumn>
    <tableColumn id="4" name="2" dataDxfId="35">
      <calculatedColumnFormula>SUM(NhatkyNhap!$C3:D278)-SUM(NhatkyBan!$C3:D278)</calculatedColumnFormula>
    </tableColumn>
    <tableColumn id="5" name="3" dataDxfId="34">
      <calculatedColumnFormula>SUM(NhatkyNhap!$C3:E278)-SUM(NhatkyBan!$C3:E278)</calculatedColumnFormula>
    </tableColumn>
    <tableColumn id="6" name="4" dataDxfId="33">
      <calculatedColumnFormula>SUM(NhatkyNhap!$C3:F278)-SUM(NhatkyBan!$C3:F278)</calculatedColumnFormula>
    </tableColumn>
    <tableColumn id="7" name="5" dataDxfId="32">
      <calculatedColumnFormula>SUM(NhatkyNhap!$C3:G278)-SUM(NhatkyBan!$C3:G278)</calculatedColumnFormula>
    </tableColumn>
    <tableColumn id="8" name="6" dataDxfId="31">
      <calculatedColumnFormula>SUM(NhatkyNhap!$C3:H278)-SUM(NhatkyBan!$C3:H278)</calculatedColumnFormula>
    </tableColumn>
    <tableColumn id="9" name="7" dataDxfId="30">
      <calculatedColumnFormula>SUM(NhatkyNhap!$C3:I278)-SUM(NhatkyBan!$C3:I278)</calculatedColumnFormula>
    </tableColumn>
    <tableColumn id="10" name="8" dataDxfId="29">
      <calculatedColumnFormula>SUM(NhatkyNhap!$C3:J278)-SUM(NhatkyBan!$C3:J278)</calculatedColumnFormula>
    </tableColumn>
    <tableColumn id="11" name="9" dataDxfId="28">
      <calculatedColumnFormula>SUM(NhatkyNhap!$C3:K278)-SUM(NhatkyBan!$C3:K278)</calculatedColumnFormula>
    </tableColumn>
    <tableColumn id="12" name="10" dataDxfId="27">
      <calculatedColumnFormula>SUM(NhatkyNhap!$C3:L278)-SUM(NhatkyBan!$C3:L278)</calculatedColumnFormula>
    </tableColumn>
    <tableColumn id="13" name="11" dataDxfId="26">
      <calculatedColumnFormula>SUM(NhatkyNhap!$C3:M278)-SUM(NhatkyBan!$C3:M278)</calculatedColumnFormula>
    </tableColumn>
    <tableColumn id="14" name="12" dataDxfId="25">
      <calculatedColumnFormula>SUM(NhatkyNhap!$C3:N278)-SUM(NhatkyBan!$C3:N278)</calculatedColumnFormula>
    </tableColumn>
    <tableColumn id="15" name="13" dataDxfId="24">
      <calculatedColumnFormula>SUM(NhatkyNhap!$C3:O278)-SUM(NhatkyBan!$C3:O278)</calculatedColumnFormula>
    </tableColumn>
    <tableColumn id="16" name="14" dataDxfId="23">
      <calculatedColumnFormula>SUM(NhatkyNhap!$C3:P278)-SUM(NhatkyBan!$C3:P278)</calculatedColumnFormula>
    </tableColumn>
    <tableColumn id="17" name="15" dataDxfId="22">
      <calculatedColumnFormula>SUM(NhatkyNhap!$C3:Q278)-SUM(NhatkyBan!$C3:Q278)</calculatedColumnFormula>
    </tableColumn>
    <tableColumn id="18" name="16" dataDxfId="21">
      <calculatedColumnFormula>SUM(NhatkyNhap!$C3:R278)-SUM(NhatkyBan!$C3:R278)</calculatedColumnFormula>
    </tableColumn>
    <tableColumn id="19" name="17" dataDxfId="20">
      <calculatedColumnFormula>SUM(NhatkyNhap!$C3:S278)-SUM(NhatkyBan!$C3:S278)</calculatedColumnFormula>
    </tableColumn>
    <tableColumn id="20" name="18" dataDxfId="19">
      <calculatedColumnFormula>SUM(NhatkyNhap!$C3:T278)-SUM(NhatkyBan!$C3:T278)</calculatedColumnFormula>
    </tableColumn>
    <tableColumn id="21" name="19" dataDxfId="18">
      <calculatedColumnFormula>SUM(NhatkyNhap!$C3:U278)-SUM(NhatkyBan!$C3:U278)</calculatedColumnFormula>
    </tableColumn>
    <tableColumn id="22" name="20" dataDxfId="17">
      <calculatedColumnFormula>SUM(NhatkyNhap!$C3:V278)-SUM(NhatkyBan!$C3:V278)</calculatedColumnFormula>
    </tableColumn>
    <tableColumn id="23" name="21" dataDxfId="16">
      <calculatedColumnFormula>SUM(NhatkyNhap!$C3:W278)-SUM(NhatkyBan!$C3:W278)</calculatedColumnFormula>
    </tableColumn>
    <tableColumn id="24" name="22" dataDxfId="15">
      <calculatedColumnFormula>SUM(NhatkyNhap!$C3:X278)-SUM(NhatkyBan!$C3:X278)</calculatedColumnFormula>
    </tableColumn>
    <tableColumn id="25" name="23" dataDxfId="14">
      <calculatedColumnFormula>SUM(NhatkyNhap!$C3:Y278)-SUM(NhatkyBan!$C3:Y278)</calculatedColumnFormula>
    </tableColumn>
    <tableColumn id="26" name="24" dataDxfId="13">
      <calculatedColumnFormula>SUM(NhatkyNhap!$C3:Z278)-SUM(NhatkyBan!$C3:Z278)</calculatedColumnFormula>
    </tableColumn>
    <tableColumn id="27" name="25" dataDxfId="12">
      <calculatedColumnFormula>SUM(NhatkyNhap!$C3:AA278)-SUM(NhatkyBan!$C3:AA278)</calculatedColumnFormula>
    </tableColumn>
    <tableColumn id="28" name="26" dataDxfId="11">
      <calculatedColumnFormula>SUM(NhatkyNhap!$C3:AB278)-SUM(NhatkyBan!$C3:AB278)</calculatedColumnFormula>
    </tableColumn>
    <tableColumn id="29" name="27" dataDxfId="10">
      <calculatedColumnFormula>SUM(NhatkyNhap!$C3:AC278)-SUM(NhatkyBan!$C3:AC278)</calculatedColumnFormula>
    </tableColumn>
    <tableColumn id="30" name="28" dataDxfId="9">
      <calculatedColumnFormula>SUM(NhatkyNhap!$C3:AD278)-SUM(NhatkyBan!$C3:AD278)</calculatedColumnFormula>
    </tableColumn>
    <tableColumn id="31" name="29" dataDxfId="8">
      <calculatedColumnFormula>SUM(NhatkyNhap!$C3:AE278)-SUM(NhatkyBan!$C3:AE278)</calculatedColumnFormula>
    </tableColumn>
    <tableColumn id="32" name="30" dataDxfId="7">
      <calculatedColumnFormula>SUM(NhatkyNhap!$C3:AF278)-SUM(NhatkyBan!$C3:AF278)</calculatedColumnFormula>
    </tableColumn>
    <tableColumn id="33" name="31" dataDxfId="6">
      <calculatedColumnFormula>SUM(NhatkyNhap!$C3:AG278)-SUM(NhatkyBan!$C3:AG278)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278"/>
  <sheetViews>
    <sheetView topLeftCell="A103" workbookViewId="0">
      <selection activeCell="S116" sqref="S116"/>
    </sheetView>
  </sheetViews>
  <sheetFormatPr defaultColWidth="17.140625" defaultRowHeight="12.75" customHeight="1"/>
  <cols>
    <col min="1" max="1" width="10" style="8" customWidth="1"/>
    <col min="2" max="2" width="18.140625" style="8" customWidth="1"/>
    <col min="3" max="3" width="4" style="8" bestFit="1" customWidth="1"/>
    <col min="4" max="4" width="4.28515625" style="8" bestFit="1" customWidth="1"/>
    <col min="5" max="5" width="4.42578125" style="8" customWidth="1"/>
    <col min="6" max="6" width="4.140625" style="8" bestFit="1" customWidth="1"/>
    <col min="7" max="19" width="4" style="8" bestFit="1" customWidth="1"/>
    <col min="20" max="20" width="4.140625" style="8" customWidth="1"/>
    <col min="21" max="21" width="4.85546875" style="8" customWidth="1"/>
    <col min="22" max="32" width="4" style="8" bestFit="1" customWidth="1"/>
    <col min="33" max="33" width="4.140625" style="8" customWidth="1"/>
    <col min="34" max="34" width="10.42578125" style="8" customWidth="1"/>
    <col min="35" max="16384" width="17.140625" style="8"/>
  </cols>
  <sheetData>
    <row r="1" spans="1:38" s="7" customFormat="1" ht="20.25" customHeight="1">
      <c r="A1" s="89" t="s">
        <v>580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</row>
    <row r="2" spans="1:38" ht="12.75" customHeight="1">
      <c r="A2" s="11" t="s">
        <v>0</v>
      </c>
      <c r="B2" s="12" t="s">
        <v>147</v>
      </c>
      <c r="C2" s="13" t="s">
        <v>313</v>
      </c>
      <c r="D2" s="13" t="s">
        <v>314</v>
      </c>
      <c r="E2" s="13" t="s">
        <v>315</v>
      </c>
      <c r="F2" s="13" t="s">
        <v>316</v>
      </c>
      <c r="G2" s="13" t="s">
        <v>317</v>
      </c>
      <c r="H2" s="13" t="s">
        <v>318</v>
      </c>
      <c r="I2" s="13" t="s">
        <v>319</v>
      </c>
      <c r="J2" s="13" t="s">
        <v>320</v>
      </c>
      <c r="K2" s="13" t="s">
        <v>321</v>
      </c>
      <c r="L2" s="13" t="s">
        <v>322</v>
      </c>
      <c r="M2" s="13" t="s">
        <v>323</v>
      </c>
      <c r="N2" s="13" t="s">
        <v>324</v>
      </c>
      <c r="O2" s="13" t="s">
        <v>325</v>
      </c>
      <c r="P2" s="13" t="s">
        <v>326</v>
      </c>
      <c r="Q2" s="13" t="s">
        <v>327</v>
      </c>
      <c r="R2" s="13" t="s">
        <v>328</v>
      </c>
      <c r="S2" s="13" t="s">
        <v>329</v>
      </c>
      <c r="T2" s="13" t="s">
        <v>330</v>
      </c>
      <c r="U2" s="13" t="s">
        <v>331</v>
      </c>
      <c r="V2" s="13" t="s">
        <v>332</v>
      </c>
      <c r="W2" s="13" t="s">
        <v>333</v>
      </c>
      <c r="X2" s="13" t="s">
        <v>334</v>
      </c>
      <c r="Y2" s="13" t="s">
        <v>335</v>
      </c>
      <c r="Z2" s="13" t="s">
        <v>336</v>
      </c>
      <c r="AA2" s="13" t="s">
        <v>337</v>
      </c>
      <c r="AB2" s="13" t="s">
        <v>338</v>
      </c>
      <c r="AC2" s="13" t="s">
        <v>339</v>
      </c>
      <c r="AD2" s="13" t="s">
        <v>340</v>
      </c>
      <c r="AE2" s="13" t="s">
        <v>341</v>
      </c>
      <c r="AF2" s="13" t="s">
        <v>342</v>
      </c>
      <c r="AG2" s="13" t="s">
        <v>343</v>
      </c>
      <c r="AH2" s="14" t="s">
        <v>148</v>
      </c>
    </row>
    <row r="3" spans="1:38">
      <c r="A3" s="76" t="str">
        <f>DSSP!A2</f>
        <v>A025</v>
      </c>
      <c r="B3" s="25" t="str">
        <f>DSSP!B2</f>
        <v>Gà bông</v>
      </c>
      <c r="C3" s="22" t="str">
        <f>IF(SUMIFS(Sheet2!$E:$E,Sheet2!$C:$C,$A3,Sheet2!$A:$A,C$2)&lt;&gt;0,SUMIFS(Sheet2!$E:$E,Sheet2!$C:$C,$A3,Sheet2!$A:$A,C$2),"")</f>
        <v/>
      </c>
      <c r="D3" s="22" t="str">
        <f>IF(SUMIFS(Sheet2!$E:$E,Sheet2!$C:$C,$A3,Sheet2!$A:$A,D$2)&lt;&gt;0,SUMIFS(Sheet2!$E:$E,Sheet2!$C:$C,$A3,Sheet2!$A:$A,D$2),"")</f>
        <v/>
      </c>
      <c r="E3" s="22" t="str">
        <f>IF(SUMIFS(Sheet2!$E:$E,Sheet2!$C:$C,$A3,Sheet2!$A:$A,E$2)&lt;&gt;0,SUMIFS(Sheet2!$E:$E,Sheet2!$C:$C,$A3,Sheet2!$A:$A,E$2),"")</f>
        <v/>
      </c>
      <c r="F3" s="22" t="str">
        <f>IF(SUMIFS(Sheet2!$E:$E,Sheet2!$C:$C,$A3,Sheet2!$A:$A,F$2)&lt;&gt;0,SUMIFS(Sheet2!$E:$E,Sheet2!$C:$C,$A3,Sheet2!$A:$A,F$2),"")</f>
        <v/>
      </c>
      <c r="G3" s="22" t="str">
        <f>IF(SUMIFS(Sheet2!$E:$E,Sheet2!$C:$C,$A3,Sheet2!$A:$A,G$2)&lt;&gt;0,SUMIFS(Sheet2!$E:$E,Sheet2!$C:$C,$A3,Sheet2!$A:$A,G$2),"")</f>
        <v/>
      </c>
      <c r="H3" s="22" t="str">
        <f>IF(SUMIFS(Sheet2!$E:$E,Sheet2!$C:$C,$A3,Sheet2!$A:$A,H$2)&lt;&gt;0,SUMIFS(Sheet2!$E:$E,Sheet2!$C:$C,$A3,Sheet2!$A:$A,H$2),"")</f>
        <v/>
      </c>
      <c r="I3" s="22" t="str">
        <f>IF(SUMIFS(Sheet2!$E:$E,Sheet2!$C:$C,$A3,Sheet2!$A:$A,I$2)&lt;&gt;0,SUMIFS(Sheet2!$E:$E,Sheet2!$C:$C,$A3,Sheet2!$A:$A,I$2),"")</f>
        <v/>
      </c>
      <c r="J3" s="22" t="str">
        <f>IF(SUMIFS(Sheet2!$E:$E,Sheet2!$C:$C,$A3,Sheet2!$A:$A,J$2)&lt;&gt;0,SUMIFS(Sheet2!$E:$E,Sheet2!$C:$C,$A3,Sheet2!$A:$A,J$2),"")</f>
        <v/>
      </c>
      <c r="K3" s="22" t="str">
        <f>IF(SUMIFS(Sheet2!$E:$E,Sheet2!$C:$C,$A3,Sheet2!$A:$A,K$2)&lt;&gt;0,SUMIFS(Sheet2!$E:$E,Sheet2!$C:$C,$A3,Sheet2!$A:$A,K$2),"")</f>
        <v/>
      </c>
      <c r="L3" s="22" t="str">
        <f>IF(SUMIFS(Sheet2!$E:$E,Sheet2!$C:$C,$A3,Sheet2!$A:$A,L$2)&lt;&gt;0,SUMIFS(Sheet2!$E:$E,Sheet2!$C:$C,$A3,Sheet2!$A:$A,L$2),"")</f>
        <v/>
      </c>
      <c r="M3" s="22" t="str">
        <f>IF(SUMIFS(Sheet2!$E:$E,Sheet2!$C:$C,$A3,Sheet2!$A:$A,M$2)&lt;&gt;0,SUMIFS(Sheet2!$E:$E,Sheet2!$C:$C,$A3,Sheet2!$A:$A,M$2),"")</f>
        <v/>
      </c>
      <c r="N3" s="22" t="str">
        <f>IF(SUMIFS(Sheet2!$E:$E,Sheet2!$C:$C,$A3,Sheet2!$A:$A,N$2)&lt;&gt;0,SUMIFS(Sheet2!$E:$E,Sheet2!$C:$C,$A3,Sheet2!$A:$A,N$2),"")</f>
        <v/>
      </c>
      <c r="O3" s="22" t="str">
        <f>IF(SUMIFS(Sheet2!$E:$E,Sheet2!$C:$C,$A3,Sheet2!$A:$A,O$2)&lt;&gt;0,SUMIFS(Sheet2!$E:$E,Sheet2!$C:$C,$A3,Sheet2!$A:$A,O$2),"")</f>
        <v/>
      </c>
      <c r="P3" s="22" t="str">
        <f>IF(SUMIFS(Sheet2!$E:$E,Sheet2!$C:$C,$A3,Sheet2!$A:$A,P$2)&lt;&gt;0,SUMIFS(Sheet2!$E:$E,Sheet2!$C:$C,$A3,Sheet2!$A:$A,P$2),"")</f>
        <v/>
      </c>
      <c r="Q3" s="22" t="str">
        <f>IF(SUMIFS(Sheet2!$E:$E,Sheet2!$C:$C,$A3,Sheet2!$A:$A,Q$2)&lt;&gt;0,SUMIFS(Sheet2!$E:$E,Sheet2!$C:$C,$A3,Sheet2!$A:$A,Q$2),"")</f>
        <v/>
      </c>
      <c r="R3" s="22" t="str">
        <f>IF(SUMIFS(Sheet2!$E:$E,Sheet2!$C:$C,$A3,Sheet2!$A:$A,R$2)&lt;&gt;0,SUMIFS(Sheet2!$E:$E,Sheet2!$C:$C,$A3,Sheet2!$A:$A,R$2),"")</f>
        <v/>
      </c>
      <c r="S3" s="22" t="str">
        <f>IF(SUMIFS(Sheet2!$E:$E,Sheet2!$C:$C,$A3,Sheet2!$A:$A,S$2)&lt;&gt;0,SUMIFS(Sheet2!$E:$E,Sheet2!$C:$C,$A3,Sheet2!$A:$A,S$2),"")</f>
        <v/>
      </c>
      <c r="T3" s="22" t="str">
        <f>IF(SUMIFS(Sheet2!$E:$E,Sheet2!$C:$C,$A3,Sheet2!$A:$A,T$2)&lt;&gt;0,SUMIFS(Sheet2!$E:$E,Sheet2!$C:$C,$A3,Sheet2!$A:$A,T$2),"")</f>
        <v/>
      </c>
      <c r="U3" s="22" t="str">
        <f>IF(SUMIFS(Sheet2!$E:$E,Sheet2!$C:$C,$A3,Sheet2!$A:$A,U$2)&lt;&gt;0,SUMIFS(Sheet2!$E:$E,Sheet2!$C:$C,$A3,Sheet2!$A:$A,U$2),"")</f>
        <v/>
      </c>
      <c r="V3" s="22" t="str">
        <f>IF(SUMIFS(Sheet2!$E:$E,Sheet2!$C:$C,$A3,Sheet2!$A:$A,V$2)&lt;&gt;0,SUMIFS(Sheet2!$E:$E,Sheet2!$C:$C,$A3,Sheet2!$A:$A,V$2),"")</f>
        <v/>
      </c>
      <c r="W3" s="22" t="str">
        <f>IF(SUMIFS(Sheet2!$E:$E,Sheet2!$C:$C,$A3,Sheet2!$A:$A,W$2)&lt;&gt;0,SUMIFS(Sheet2!$E:$E,Sheet2!$C:$C,$A3,Sheet2!$A:$A,W$2),"")</f>
        <v/>
      </c>
      <c r="X3" s="22" t="str">
        <f>IF(SUMIFS(Sheet2!$E:$E,Sheet2!$C:$C,$A3,Sheet2!$A:$A,X$2)&lt;&gt;0,SUMIFS(Sheet2!$E:$E,Sheet2!$C:$C,$A3,Sheet2!$A:$A,X$2),"")</f>
        <v/>
      </c>
      <c r="Y3" s="22" t="str">
        <f>IF(SUMIFS(Sheet2!$E:$E,Sheet2!$C:$C,$A3,Sheet2!$A:$A,Y$2)&lt;&gt;0,SUMIFS(Sheet2!$E:$E,Sheet2!$C:$C,$A3,Sheet2!$A:$A,Y$2),"")</f>
        <v/>
      </c>
      <c r="Z3" s="22" t="str">
        <f>IF(SUMIFS(Sheet2!$E:$E,Sheet2!$C:$C,$A3,Sheet2!$A:$A,Z$2)&lt;&gt;0,SUMIFS(Sheet2!$E:$E,Sheet2!$C:$C,$A3,Sheet2!$A:$A,Z$2),"")</f>
        <v/>
      </c>
      <c r="AA3" s="22" t="str">
        <f>IF(SUMIFS(Sheet2!$E:$E,Sheet2!$C:$C,$A3,Sheet2!$A:$A,AA$2)&lt;&gt;0,SUMIFS(Sheet2!$E:$E,Sheet2!$C:$C,$A3,Sheet2!$A:$A,AA$2),"")</f>
        <v/>
      </c>
      <c r="AB3" s="22" t="str">
        <f>IF(SUMIFS(Sheet2!$E:$E,Sheet2!$C:$C,$A3,Sheet2!$A:$A,AB$2)&lt;&gt;0,SUMIFS(Sheet2!$E:$E,Sheet2!$C:$C,$A3,Sheet2!$A:$A,AB$2),"")</f>
        <v/>
      </c>
      <c r="AC3" s="22" t="str">
        <f>IF(SUMIFS(Sheet2!$E:$E,Sheet2!$C:$C,$A3,Sheet2!$A:$A,AC$2)&lt;&gt;0,SUMIFS(Sheet2!$E:$E,Sheet2!$C:$C,$A3,Sheet2!$A:$A,AC$2),"")</f>
        <v/>
      </c>
      <c r="AD3" s="22" t="str">
        <f>IF(SUMIFS(Sheet2!$E:$E,Sheet2!$C:$C,$A3,Sheet2!$A:$A,AD$2)&lt;&gt;0,SUMIFS(Sheet2!$E:$E,Sheet2!$C:$C,$A3,Sheet2!$A:$A,AD$2),"")</f>
        <v/>
      </c>
      <c r="AE3" s="22" t="str">
        <f>IF(SUMIFS(Sheet2!$E:$E,Sheet2!$C:$C,$A3,Sheet2!$A:$A,AE$2)&lt;&gt;0,SUMIFS(Sheet2!$E:$E,Sheet2!$C:$C,$A3,Sheet2!$A:$A,AE$2),"")</f>
        <v/>
      </c>
      <c r="AF3" s="22" t="str">
        <f>IF(SUMIFS(Sheet2!$E:$E,Sheet2!$C:$C,$A3,Sheet2!$A:$A,AF$2)&lt;&gt;0,SUMIFS(Sheet2!$E:$E,Sheet2!$C:$C,$A3,Sheet2!$A:$A,AF$2),"")</f>
        <v/>
      </c>
      <c r="AG3" s="22" t="str">
        <f>IF(SUMIFS(Sheet2!$E:$E,Sheet2!$C:$C,$A3,Sheet2!$A:$A,AG$2)&lt;&gt;0,SUMIFS(Sheet2!$E:$E,Sheet2!$C:$C,$A3,Sheet2!$A:$A,AG$2),"")</f>
        <v/>
      </c>
      <c r="AH3" s="46">
        <f>SUM(Table2[[#This Row],[1]:[31]])</f>
        <v>0</v>
      </c>
      <c r="AL3" s="8">
        <v>350</v>
      </c>
    </row>
    <row r="4" spans="1:38" ht="12.75" customHeight="1">
      <c r="A4" s="76" t="str">
        <f>DSSP!A3</f>
        <v>A026</v>
      </c>
      <c r="B4" s="25" t="str">
        <f>DSSP!B3</f>
        <v>Dép bốn lá</v>
      </c>
      <c r="C4" s="42" t="str">
        <f>IF(SUMIFS(Sheet2!$E:$E,Sheet2!$C:$C,$A4,Sheet2!$A:$A,C$2)&lt;&gt;0,SUMIFS(Sheet2!$E:$E,Sheet2!$C:$C,$A4,Sheet2!$A:$A,C$2),"")</f>
        <v/>
      </c>
      <c r="D4" s="42" t="str">
        <f>IF(SUMIFS(Sheet2!$E:$E,Sheet2!$C:$C,$A4,Sheet2!$A:$A,D$2)&lt;&gt;0,SUMIFS(Sheet2!$E:$E,Sheet2!$C:$C,$A4,Sheet2!$A:$A,D$2),"")</f>
        <v/>
      </c>
      <c r="E4" s="42" t="str">
        <f>IF(SUMIFS(Sheet2!$E:$E,Sheet2!$C:$C,$A4,Sheet2!$A:$A,E$2)&lt;&gt;0,SUMIFS(Sheet2!$E:$E,Sheet2!$C:$C,$A4,Sheet2!$A:$A,E$2),"")</f>
        <v/>
      </c>
      <c r="F4" s="42" t="str">
        <f>IF(SUMIFS(Sheet2!$E:$E,Sheet2!$C:$C,$A4,Sheet2!$A:$A,F$2)&lt;&gt;0,SUMIFS(Sheet2!$E:$E,Sheet2!$C:$C,$A4,Sheet2!$A:$A,F$2),"")</f>
        <v/>
      </c>
      <c r="G4" s="42" t="str">
        <f>IF(SUMIFS(Sheet2!$E:$E,Sheet2!$C:$C,$A4,Sheet2!$A:$A,G$2)&lt;&gt;0,SUMIFS(Sheet2!$E:$E,Sheet2!$C:$C,$A4,Sheet2!$A:$A,G$2),"")</f>
        <v/>
      </c>
      <c r="H4" s="42" t="str">
        <f>IF(SUMIFS(Sheet2!$E:$E,Sheet2!$C:$C,$A4,Sheet2!$A:$A,H$2)&lt;&gt;0,SUMIFS(Sheet2!$E:$E,Sheet2!$C:$C,$A4,Sheet2!$A:$A,H$2),"")</f>
        <v/>
      </c>
      <c r="I4" s="42" t="str">
        <f>IF(SUMIFS(Sheet2!$E:$E,Sheet2!$C:$C,$A4,Sheet2!$A:$A,I$2)&lt;&gt;0,SUMIFS(Sheet2!$E:$E,Sheet2!$C:$C,$A4,Sheet2!$A:$A,I$2),"")</f>
        <v/>
      </c>
      <c r="J4" s="42" t="str">
        <f>IF(SUMIFS(Sheet2!$E:$E,Sheet2!$C:$C,$A4,Sheet2!$A:$A,J$2)&lt;&gt;0,SUMIFS(Sheet2!$E:$E,Sheet2!$C:$C,$A4,Sheet2!$A:$A,J$2),"")</f>
        <v/>
      </c>
      <c r="K4" s="42" t="str">
        <f>IF(SUMIFS(Sheet2!$E:$E,Sheet2!$C:$C,$A4,Sheet2!$A:$A,K$2)&lt;&gt;0,SUMIFS(Sheet2!$E:$E,Sheet2!$C:$C,$A4,Sheet2!$A:$A,K$2),"")</f>
        <v/>
      </c>
      <c r="L4" s="42" t="str">
        <f>IF(SUMIFS(Sheet2!$E:$E,Sheet2!$C:$C,$A4,Sheet2!$A:$A,L$2)&lt;&gt;0,SUMIFS(Sheet2!$E:$E,Sheet2!$C:$C,$A4,Sheet2!$A:$A,L$2),"")</f>
        <v/>
      </c>
      <c r="M4" s="42" t="str">
        <f>IF(SUMIFS(Sheet2!$E:$E,Sheet2!$C:$C,$A4,Sheet2!$A:$A,M$2)&lt;&gt;0,SUMIFS(Sheet2!$E:$E,Sheet2!$C:$C,$A4,Sheet2!$A:$A,M$2),"")</f>
        <v/>
      </c>
      <c r="N4" s="42" t="str">
        <f>IF(SUMIFS(Sheet2!$E:$E,Sheet2!$C:$C,$A4,Sheet2!$A:$A,N$2)&lt;&gt;0,SUMIFS(Sheet2!$E:$E,Sheet2!$C:$C,$A4,Sheet2!$A:$A,N$2),"")</f>
        <v/>
      </c>
      <c r="O4" s="42" t="str">
        <f>IF(SUMIFS(Sheet2!$E:$E,Sheet2!$C:$C,$A4,Sheet2!$A:$A,O$2)&lt;&gt;0,SUMIFS(Sheet2!$E:$E,Sheet2!$C:$C,$A4,Sheet2!$A:$A,O$2),"")</f>
        <v/>
      </c>
      <c r="P4" s="42" t="str">
        <f>IF(SUMIFS(Sheet2!$E:$E,Sheet2!$C:$C,$A4,Sheet2!$A:$A,P$2)&lt;&gt;0,SUMIFS(Sheet2!$E:$E,Sheet2!$C:$C,$A4,Sheet2!$A:$A,P$2),"")</f>
        <v/>
      </c>
      <c r="Q4" s="42" t="str">
        <f>IF(SUMIFS(Sheet2!$E:$E,Sheet2!$C:$C,$A4,Sheet2!$A:$A,Q$2)&lt;&gt;0,SUMIFS(Sheet2!$E:$E,Sheet2!$C:$C,$A4,Sheet2!$A:$A,Q$2),"")</f>
        <v/>
      </c>
      <c r="R4" s="42" t="str">
        <f>IF(SUMIFS(Sheet2!$E:$E,Sheet2!$C:$C,$A4,Sheet2!$A:$A,R$2)&lt;&gt;0,SUMIFS(Sheet2!$E:$E,Sheet2!$C:$C,$A4,Sheet2!$A:$A,R$2),"")</f>
        <v/>
      </c>
      <c r="S4" s="42" t="str">
        <f>IF(SUMIFS(Sheet2!$E:$E,Sheet2!$C:$C,$A4,Sheet2!$A:$A,S$2)&lt;&gt;0,SUMIFS(Sheet2!$E:$E,Sheet2!$C:$C,$A4,Sheet2!$A:$A,S$2),"")</f>
        <v/>
      </c>
      <c r="T4" s="42" t="str">
        <f>IF(SUMIFS(Sheet2!$E:$E,Sheet2!$C:$C,$A4,Sheet2!$A:$A,T$2)&lt;&gt;0,SUMIFS(Sheet2!$E:$E,Sheet2!$C:$C,$A4,Sheet2!$A:$A,T$2),"")</f>
        <v/>
      </c>
      <c r="U4" s="42" t="str">
        <f>IF(SUMIFS(Sheet2!$E:$E,Sheet2!$C:$C,$A4,Sheet2!$A:$A,U$2)&lt;&gt;0,SUMIFS(Sheet2!$E:$E,Sheet2!$C:$C,$A4,Sheet2!$A:$A,U$2),"")</f>
        <v/>
      </c>
      <c r="V4" s="42" t="str">
        <f>IF(SUMIFS(Sheet2!$E:$E,Sheet2!$C:$C,$A4,Sheet2!$A:$A,V$2)&lt;&gt;0,SUMIFS(Sheet2!$E:$E,Sheet2!$C:$C,$A4,Sheet2!$A:$A,V$2),"")</f>
        <v/>
      </c>
      <c r="W4" s="42" t="str">
        <f>IF(SUMIFS(Sheet2!$E:$E,Sheet2!$C:$C,$A4,Sheet2!$A:$A,W$2)&lt;&gt;0,SUMIFS(Sheet2!$E:$E,Sheet2!$C:$C,$A4,Sheet2!$A:$A,W$2),"")</f>
        <v/>
      </c>
      <c r="X4" s="42" t="str">
        <f>IF(SUMIFS(Sheet2!$E:$E,Sheet2!$C:$C,$A4,Sheet2!$A:$A,X$2)&lt;&gt;0,SUMIFS(Sheet2!$E:$E,Sheet2!$C:$C,$A4,Sheet2!$A:$A,X$2),"")</f>
        <v/>
      </c>
      <c r="Y4" s="42" t="str">
        <f>IF(SUMIFS(Sheet2!$E:$E,Sheet2!$C:$C,$A4,Sheet2!$A:$A,Y$2)&lt;&gt;0,SUMIFS(Sheet2!$E:$E,Sheet2!$C:$C,$A4,Sheet2!$A:$A,Y$2),"")</f>
        <v/>
      </c>
      <c r="Z4" s="42" t="str">
        <f>IF(SUMIFS(Sheet2!$E:$E,Sheet2!$C:$C,$A4,Sheet2!$A:$A,Z$2)&lt;&gt;0,SUMIFS(Sheet2!$E:$E,Sheet2!$C:$C,$A4,Sheet2!$A:$A,Z$2),"")</f>
        <v/>
      </c>
      <c r="AA4" s="42" t="str">
        <f>IF(SUMIFS(Sheet2!$E:$E,Sheet2!$C:$C,$A4,Sheet2!$A:$A,AA$2)&lt;&gt;0,SUMIFS(Sheet2!$E:$E,Sheet2!$C:$C,$A4,Sheet2!$A:$A,AA$2),"")</f>
        <v/>
      </c>
      <c r="AB4" s="42" t="str">
        <f>IF(SUMIFS(Sheet2!$E:$E,Sheet2!$C:$C,$A4,Sheet2!$A:$A,AB$2)&lt;&gt;0,SUMIFS(Sheet2!$E:$E,Sheet2!$C:$C,$A4,Sheet2!$A:$A,AB$2),"")</f>
        <v/>
      </c>
      <c r="AC4" s="42" t="str">
        <f>IF(SUMIFS(Sheet2!$E:$E,Sheet2!$C:$C,$A4,Sheet2!$A:$A,AC$2)&lt;&gt;0,SUMIFS(Sheet2!$E:$E,Sheet2!$C:$C,$A4,Sheet2!$A:$A,AC$2),"")</f>
        <v/>
      </c>
      <c r="AD4" s="42" t="str">
        <f>IF(SUMIFS(Sheet2!$E:$E,Sheet2!$C:$C,$A4,Sheet2!$A:$A,AD$2)&lt;&gt;0,SUMIFS(Sheet2!$E:$E,Sheet2!$C:$C,$A4,Sheet2!$A:$A,AD$2),"")</f>
        <v/>
      </c>
      <c r="AE4" s="42" t="str">
        <f>IF(SUMIFS(Sheet2!$E:$E,Sheet2!$C:$C,$A4,Sheet2!$A:$A,AE$2)&lt;&gt;0,SUMIFS(Sheet2!$E:$E,Sheet2!$C:$C,$A4,Sheet2!$A:$A,AE$2),"")</f>
        <v/>
      </c>
      <c r="AF4" s="42" t="str">
        <f>IF(SUMIFS(Sheet2!$E:$E,Sheet2!$C:$C,$A4,Sheet2!$A:$A,AF$2)&lt;&gt;0,SUMIFS(Sheet2!$E:$E,Sheet2!$C:$C,$A4,Sheet2!$A:$A,AF$2),"")</f>
        <v/>
      </c>
      <c r="AG4" s="42" t="str">
        <f>IF(SUMIFS(Sheet2!$E:$E,Sheet2!$C:$C,$A4,Sheet2!$A:$A,AG$2)&lt;&gt;0,SUMIFS(Sheet2!$E:$E,Sheet2!$C:$C,$A4,Sheet2!$A:$A,AG$2),"")</f>
        <v/>
      </c>
      <c r="AH4" s="43">
        <f>SUM(Table2[[#This Row],[1]:[31]])</f>
        <v>0</v>
      </c>
    </row>
    <row r="5" spans="1:38" ht="12.75" customHeight="1">
      <c r="A5" s="76" t="str">
        <f>DSSP!A4</f>
        <v>A028</v>
      </c>
      <c r="B5" s="25" t="str">
        <f>DSSP!B4</f>
        <v>Cá voi</v>
      </c>
      <c r="C5" s="42" t="str">
        <f>IF(SUMIFS(Sheet2!$E:$E,Sheet2!$C:$C,$A5,Sheet2!$A:$A,C$2)&lt;&gt;0,SUMIFS(Sheet2!$E:$E,Sheet2!$C:$C,$A5,Sheet2!$A:$A,C$2),"")</f>
        <v/>
      </c>
      <c r="D5" s="42" t="str">
        <f>IF(SUMIFS(Sheet2!$E:$E,Sheet2!$C:$C,$A5,Sheet2!$A:$A,D$2)&lt;&gt;0,SUMIFS(Sheet2!$E:$E,Sheet2!$C:$C,$A5,Sheet2!$A:$A,D$2),"")</f>
        <v/>
      </c>
      <c r="E5" s="42" t="str">
        <f>IF(SUMIFS(Sheet2!$E:$E,Sheet2!$C:$C,$A5,Sheet2!$A:$A,E$2)&lt;&gt;0,SUMIFS(Sheet2!$E:$E,Sheet2!$C:$C,$A5,Sheet2!$A:$A,E$2),"")</f>
        <v/>
      </c>
      <c r="F5" s="42" t="str">
        <f>IF(SUMIFS(Sheet2!$E:$E,Sheet2!$C:$C,$A5,Sheet2!$A:$A,F$2)&lt;&gt;0,SUMIFS(Sheet2!$E:$E,Sheet2!$C:$C,$A5,Sheet2!$A:$A,F$2),"")</f>
        <v/>
      </c>
      <c r="G5" s="42" t="str">
        <f>IF(SUMIFS(Sheet2!$E:$E,Sheet2!$C:$C,$A5,Sheet2!$A:$A,G$2)&lt;&gt;0,SUMIFS(Sheet2!$E:$E,Sheet2!$C:$C,$A5,Sheet2!$A:$A,G$2),"")</f>
        <v/>
      </c>
      <c r="H5" s="42" t="str">
        <f>IF(SUMIFS(Sheet2!$E:$E,Sheet2!$C:$C,$A5,Sheet2!$A:$A,H$2)&lt;&gt;0,SUMIFS(Sheet2!$E:$E,Sheet2!$C:$C,$A5,Sheet2!$A:$A,H$2),"")</f>
        <v/>
      </c>
      <c r="I5" s="42" t="str">
        <f>IF(SUMIFS(Sheet2!$E:$E,Sheet2!$C:$C,$A5,Sheet2!$A:$A,I$2)&lt;&gt;0,SUMIFS(Sheet2!$E:$E,Sheet2!$C:$C,$A5,Sheet2!$A:$A,I$2),"")</f>
        <v/>
      </c>
      <c r="J5" s="42" t="str">
        <f>IF(SUMIFS(Sheet2!$E:$E,Sheet2!$C:$C,$A5,Sheet2!$A:$A,J$2)&lt;&gt;0,SUMIFS(Sheet2!$E:$E,Sheet2!$C:$C,$A5,Sheet2!$A:$A,J$2),"")</f>
        <v/>
      </c>
      <c r="K5" s="42" t="str">
        <f>IF(SUMIFS(Sheet2!$E:$E,Sheet2!$C:$C,$A5,Sheet2!$A:$A,K$2)&lt;&gt;0,SUMIFS(Sheet2!$E:$E,Sheet2!$C:$C,$A5,Sheet2!$A:$A,K$2),"")</f>
        <v/>
      </c>
      <c r="L5" s="42" t="str">
        <f>IF(SUMIFS(Sheet2!$E:$E,Sheet2!$C:$C,$A5,Sheet2!$A:$A,L$2)&lt;&gt;0,SUMIFS(Sheet2!$E:$E,Sheet2!$C:$C,$A5,Sheet2!$A:$A,L$2),"")</f>
        <v/>
      </c>
      <c r="M5" s="42" t="str">
        <f>IF(SUMIFS(Sheet2!$E:$E,Sheet2!$C:$C,$A5,Sheet2!$A:$A,M$2)&lt;&gt;0,SUMIFS(Sheet2!$E:$E,Sheet2!$C:$C,$A5,Sheet2!$A:$A,M$2),"")</f>
        <v/>
      </c>
      <c r="N5" s="42" t="str">
        <f>IF(SUMIFS(Sheet2!$E:$E,Sheet2!$C:$C,$A5,Sheet2!$A:$A,N$2)&lt;&gt;0,SUMIFS(Sheet2!$E:$E,Sheet2!$C:$C,$A5,Sheet2!$A:$A,N$2),"")</f>
        <v/>
      </c>
      <c r="O5" s="42" t="str">
        <f>IF(SUMIFS(Sheet2!$E:$E,Sheet2!$C:$C,$A5,Sheet2!$A:$A,O$2)&lt;&gt;0,SUMIFS(Sheet2!$E:$E,Sheet2!$C:$C,$A5,Sheet2!$A:$A,O$2),"")</f>
        <v/>
      </c>
      <c r="P5" s="42" t="str">
        <f>IF(SUMIFS(Sheet2!$E:$E,Sheet2!$C:$C,$A5,Sheet2!$A:$A,P$2)&lt;&gt;0,SUMIFS(Sheet2!$E:$E,Sheet2!$C:$C,$A5,Sheet2!$A:$A,P$2),"")</f>
        <v/>
      </c>
      <c r="Q5" s="42" t="str">
        <f>IF(SUMIFS(Sheet2!$E:$E,Sheet2!$C:$C,$A5,Sheet2!$A:$A,Q$2)&lt;&gt;0,SUMIFS(Sheet2!$E:$E,Sheet2!$C:$C,$A5,Sheet2!$A:$A,Q$2),"")</f>
        <v/>
      </c>
      <c r="R5" s="42" t="str">
        <f>IF(SUMIFS(Sheet2!$E:$E,Sheet2!$C:$C,$A5,Sheet2!$A:$A,R$2)&lt;&gt;0,SUMIFS(Sheet2!$E:$E,Sheet2!$C:$C,$A5,Sheet2!$A:$A,R$2),"")</f>
        <v/>
      </c>
      <c r="S5" s="42" t="str">
        <f>IF(SUMIFS(Sheet2!$E:$E,Sheet2!$C:$C,$A5,Sheet2!$A:$A,S$2)&lt;&gt;0,SUMIFS(Sheet2!$E:$E,Sheet2!$C:$C,$A5,Sheet2!$A:$A,S$2),"")</f>
        <v/>
      </c>
      <c r="T5" s="42" t="str">
        <f>IF(SUMIFS(Sheet2!$E:$E,Sheet2!$C:$C,$A5,Sheet2!$A:$A,T$2)&lt;&gt;0,SUMIFS(Sheet2!$E:$E,Sheet2!$C:$C,$A5,Sheet2!$A:$A,T$2),"")</f>
        <v/>
      </c>
      <c r="U5" s="42" t="str">
        <f>IF(SUMIFS(Sheet2!$E:$E,Sheet2!$C:$C,$A5,Sheet2!$A:$A,U$2)&lt;&gt;0,SUMIFS(Sheet2!$E:$E,Sheet2!$C:$C,$A5,Sheet2!$A:$A,U$2),"")</f>
        <v/>
      </c>
      <c r="V5" s="42" t="str">
        <f>IF(SUMIFS(Sheet2!$E:$E,Sheet2!$C:$C,$A5,Sheet2!$A:$A,V$2)&lt;&gt;0,SUMIFS(Sheet2!$E:$E,Sheet2!$C:$C,$A5,Sheet2!$A:$A,V$2),"")</f>
        <v/>
      </c>
      <c r="W5" s="42" t="str">
        <f>IF(SUMIFS(Sheet2!$E:$E,Sheet2!$C:$C,$A5,Sheet2!$A:$A,W$2)&lt;&gt;0,SUMIFS(Sheet2!$E:$E,Sheet2!$C:$C,$A5,Sheet2!$A:$A,W$2),"")</f>
        <v/>
      </c>
      <c r="X5" s="42" t="str">
        <f>IF(SUMIFS(Sheet2!$E:$E,Sheet2!$C:$C,$A5,Sheet2!$A:$A,X$2)&lt;&gt;0,SUMIFS(Sheet2!$E:$E,Sheet2!$C:$C,$A5,Sheet2!$A:$A,X$2),"")</f>
        <v/>
      </c>
      <c r="Y5" s="42" t="str">
        <f>IF(SUMIFS(Sheet2!$E:$E,Sheet2!$C:$C,$A5,Sheet2!$A:$A,Y$2)&lt;&gt;0,SUMIFS(Sheet2!$E:$E,Sheet2!$C:$C,$A5,Sheet2!$A:$A,Y$2),"")</f>
        <v/>
      </c>
      <c r="Z5" s="42" t="str">
        <f>IF(SUMIFS(Sheet2!$E:$E,Sheet2!$C:$C,$A5,Sheet2!$A:$A,Z$2)&lt;&gt;0,SUMIFS(Sheet2!$E:$E,Sheet2!$C:$C,$A5,Sheet2!$A:$A,Z$2),"")</f>
        <v/>
      </c>
      <c r="AA5" s="42" t="str">
        <f>IF(SUMIFS(Sheet2!$E:$E,Sheet2!$C:$C,$A5,Sheet2!$A:$A,AA$2)&lt;&gt;0,SUMIFS(Sheet2!$E:$E,Sheet2!$C:$C,$A5,Sheet2!$A:$A,AA$2),"")</f>
        <v/>
      </c>
      <c r="AB5" s="42" t="str">
        <f>IF(SUMIFS(Sheet2!$E:$E,Sheet2!$C:$C,$A5,Sheet2!$A:$A,AB$2)&lt;&gt;0,SUMIFS(Sheet2!$E:$E,Sheet2!$C:$C,$A5,Sheet2!$A:$A,AB$2),"")</f>
        <v/>
      </c>
      <c r="AC5" s="42" t="str">
        <f>IF(SUMIFS(Sheet2!$E:$E,Sheet2!$C:$C,$A5,Sheet2!$A:$A,AC$2)&lt;&gt;0,SUMIFS(Sheet2!$E:$E,Sheet2!$C:$C,$A5,Sheet2!$A:$A,AC$2),"")</f>
        <v/>
      </c>
      <c r="AD5" s="42" t="str">
        <f>IF(SUMIFS(Sheet2!$E:$E,Sheet2!$C:$C,$A5,Sheet2!$A:$A,AD$2)&lt;&gt;0,SUMIFS(Sheet2!$E:$E,Sheet2!$C:$C,$A5,Sheet2!$A:$A,AD$2),"")</f>
        <v/>
      </c>
      <c r="AE5" s="42" t="str">
        <f>IF(SUMIFS(Sheet2!$E:$E,Sheet2!$C:$C,$A5,Sheet2!$A:$A,AE$2)&lt;&gt;0,SUMIFS(Sheet2!$E:$E,Sheet2!$C:$C,$A5,Sheet2!$A:$A,AE$2),"")</f>
        <v/>
      </c>
      <c r="AF5" s="42" t="str">
        <f>IF(SUMIFS(Sheet2!$E:$E,Sheet2!$C:$C,$A5,Sheet2!$A:$A,AF$2)&lt;&gt;0,SUMIFS(Sheet2!$E:$E,Sheet2!$C:$C,$A5,Sheet2!$A:$A,AF$2),"")</f>
        <v/>
      </c>
      <c r="AG5" s="42" t="str">
        <f>IF(SUMIFS(Sheet2!$E:$E,Sheet2!$C:$C,$A5,Sheet2!$A:$A,AG$2)&lt;&gt;0,SUMIFS(Sheet2!$E:$E,Sheet2!$C:$C,$A5,Sheet2!$A:$A,AG$2),"")</f>
        <v/>
      </c>
      <c r="AH5" s="43">
        <f>SUM(Table2[[#This Row],[1]:[31]])</f>
        <v>0</v>
      </c>
    </row>
    <row r="6" spans="1:38" ht="12.75" customHeight="1">
      <c r="A6" s="76" t="str">
        <f>DSSP!A5</f>
        <v>A031</v>
      </c>
      <c r="B6" s="25" t="str">
        <f>DSSP!B5</f>
        <v>Angry Bird</v>
      </c>
      <c r="C6" s="42" t="str">
        <f>IF(SUMIFS(Sheet2!$E:$E,Sheet2!$C:$C,$A6,Sheet2!$A:$A,C$2)&lt;&gt;0,SUMIFS(Sheet2!$E:$E,Sheet2!$C:$C,$A6,Sheet2!$A:$A,C$2),"")</f>
        <v/>
      </c>
      <c r="D6" s="42" t="str">
        <f>IF(SUMIFS(Sheet2!$E:$E,Sheet2!$C:$C,$A6,Sheet2!$A:$A,D$2)&lt;&gt;0,SUMIFS(Sheet2!$E:$E,Sheet2!$C:$C,$A6,Sheet2!$A:$A,D$2),"")</f>
        <v/>
      </c>
      <c r="E6" s="42" t="str">
        <f>IF(SUMIFS(Sheet2!$E:$E,Sheet2!$C:$C,$A6,Sheet2!$A:$A,E$2)&lt;&gt;0,SUMIFS(Sheet2!$E:$E,Sheet2!$C:$C,$A6,Sheet2!$A:$A,E$2),"")</f>
        <v/>
      </c>
      <c r="F6" s="42" t="str">
        <f>IF(SUMIFS(Sheet2!$E:$E,Sheet2!$C:$C,$A6,Sheet2!$A:$A,F$2)&lt;&gt;0,SUMIFS(Sheet2!$E:$E,Sheet2!$C:$C,$A6,Sheet2!$A:$A,F$2),"")</f>
        <v/>
      </c>
      <c r="G6" s="42" t="str">
        <f>IF(SUMIFS(Sheet2!$E:$E,Sheet2!$C:$C,$A6,Sheet2!$A:$A,G$2)&lt;&gt;0,SUMIFS(Sheet2!$E:$E,Sheet2!$C:$C,$A6,Sheet2!$A:$A,G$2),"")</f>
        <v/>
      </c>
      <c r="H6" s="42" t="str">
        <f>IF(SUMIFS(Sheet2!$E:$E,Sheet2!$C:$C,$A6,Sheet2!$A:$A,H$2)&lt;&gt;0,SUMIFS(Sheet2!$E:$E,Sheet2!$C:$C,$A6,Sheet2!$A:$A,H$2),"")</f>
        <v/>
      </c>
      <c r="I6" s="42" t="str">
        <f>IF(SUMIFS(Sheet2!$E:$E,Sheet2!$C:$C,$A6,Sheet2!$A:$A,I$2)&lt;&gt;0,SUMIFS(Sheet2!$E:$E,Sheet2!$C:$C,$A6,Sheet2!$A:$A,I$2),"")</f>
        <v/>
      </c>
      <c r="J6" s="42" t="str">
        <f>IF(SUMIFS(Sheet2!$E:$E,Sheet2!$C:$C,$A6,Sheet2!$A:$A,J$2)&lt;&gt;0,SUMIFS(Sheet2!$E:$E,Sheet2!$C:$C,$A6,Sheet2!$A:$A,J$2),"")</f>
        <v/>
      </c>
      <c r="K6" s="42" t="str">
        <f>IF(SUMIFS(Sheet2!$E:$E,Sheet2!$C:$C,$A6,Sheet2!$A:$A,K$2)&lt;&gt;0,SUMIFS(Sheet2!$E:$E,Sheet2!$C:$C,$A6,Sheet2!$A:$A,K$2),"")</f>
        <v/>
      </c>
      <c r="L6" s="42" t="str">
        <f>IF(SUMIFS(Sheet2!$E:$E,Sheet2!$C:$C,$A6,Sheet2!$A:$A,L$2)&lt;&gt;0,SUMIFS(Sheet2!$E:$E,Sheet2!$C:$C,$A6,Sheet2!$A:$A,L$2),"")</f>
        <v/>
      </c>
      <c r="M6" s="42" t="str">
        <f>IF(SUMIFS(Sheet2!$E:$E,Sheet2!$C:$C,$A6,Sheet2!$A:$A,M$2)&lt;&gt;0,SUMIFS(Sheet2!$E:$E,Sheet2!$C:$C,$A6,Sheet2!$A:$A,M$2),"")</f>
        <v/>
      </c>
      <c r="N6" s="42" t="str">
        <f>IF(SUMIFS(Sheet2!$E:$E,Sheet2!$C:$C,$A6,Sheet2!$A:$A,N$2)&lt;&gt;0,SUMIFS(Sheet2!$E:$E,Sheet2!$C:$C,$A6,Sheet2!$A:$A,N$2),"")</f>
        <v/>
      </c>
      <c r="O6" s="42" t="str">
        <f>IF(SUMIFS(Sheet2!$E:$E,Sheet2!$C:$C,$A6,Sheet2!$A:$A,O$2)&lt;&gt;0,SUMIFS(Sheet2!$E:$E,Sheet2!$C:$C,$A6,Sheet2!$A:$A,O$2),"")</f>
        <v/>
      </c>
      <c r="P6" s="42" t="str">
        <f>IF(SUMIFS(Sheet2!$E:$E,Sheet2!$C:$C,$A6,Sheet2!$A:$A,P$2)&lt;&gt;0,SUMIFS(Sheet2!$E:$E,Sheet2!$C:$C,$A6,Sheet2!$A:$A,P$2),"")</f>
        <v/>
      </c>
      <c r="Q6" s="42" t="str">
        <f>IF(SUMIFS(Sheet2!$E:$E,Sheet2!$C:$C,$A6,Sheet2!$A:$A,Q$2)&lt;&gt;0,SUMIFS(Sheet2!$E:$E,Sheet2!$C:$C,$A6,Sheet2!$A:$A,Q$2),"")</f>
        <v/>
      </c>
      <c r="R6" s="42" t="str">
        <f>IF(SUMIFS(Sheet2!$E:$E,Sheet2!$C:$C,$A6,Sheet2!$A:$A,R$2)&lt;&gt;0,SUMIFS(Sheet2!$E:$E,Sheet2!$C:$C,$A6,Sheet2!$A:$A,R$2),"")</f>
        <v/>
      </c>
      <c r="S6" s="42" t="str">
        <f>IF(SUMIFS(Sheet2!$E:$E,Sheet2!$C:$C,$A6,Sheet2!$A:$A,S$2)&lt;&gt;0,SUMIFS(Sheet2!$E:$E,Sheet2!$C:$C,$A6,Sheet2!$A:$A,S$2),"")</f>
        <v/>
      </c>
      <c r="T6" s="42" t="str">
        <f>IF(SUMIFS(Sheet2!$E:$E,Sheet2!$C:$C,$A6,Sheet2!$A:$A,T$2)&lt;&gt;0,SUMIFS(Sheet2!$E:$E,Sheet2!$C:$C,$A6,Sheet2!$A:$A,T$2),"")</f>
        <v/>
      </c>
      <c r="U6" s="42" t="str">
        <f>IF(SUMIFS(Sheet2!$E:$E,Sheet2!$C:$C,$A6,Sheet2!$A:$A,U$2)&lt;&gt;0,SUMIFS(Sheet2!$E:$E,Sheet2!$C:$C,$A6,Sheet2!$A:$A,U$2),"")</f>
        <v/>
      </c>
      <c r="V6" s="42" t="str">
        <f>IF(SUMIFS(Sheet2!$E:$E,Sheet2!$C:$C,$A6,Sheet2!$A:$A,V$2)&lt;&gt;0,SUMIFS(Sheet2!$E:$E,Sheet2!$C:$C,$A6,Sheet2!$A:$A,V$2),"")</f>
        <v/>
      </c>
      <c r="W6" s="42" t="str">
        <f>IF(SUMIFS(Sheet2!$E:$E,Sheet2!$C:$C,$A6,Sheet2!$A:$A,W$2)&lt;&gt;0,SUMIFS(Sheet2!$E:$E,Sheet2!$C:$C,$A6,Sheet2!$A:$A,W$2),"")</f>
        <v/>
      </c>
      <c r="X6" s="42" t="str">
        <f>IF(SUMIFS(Sheet2!$E:$E,Sheet2!$C:$C,$A6,Sheet2!$A:$A,X$2)&lt;&gt;0,SUMIFS(Sheet2!$E:$E,Sheet2!$C:$C,$A6,Sheet2!$A:$A,X$2),"")</f>
        <v/>
      </c>
      <c r="Y6" s="42" t="str">
        <f>IF(SUMIFS(Sheet2!$E:$E,Sheet2!$C:$C,$A6,Sheet2!$A:$A,Y$2)&lt;&gt;0,SUMIFS(Sheet2!$E:$E,Sheet2!$C:$C,$A6,Sheet2!$A:$A,Y$2),"")</f>
        <v/>
      </c>
      <c r="Z6" s="42" t="str">
        <f>IF(SUMIFS(Sheet2!$E:$E,Sheet2!$C:$C,$A6,Sheet2!$A:$A,Z$2)&lt;&gt;0,SUMIFS(Sheet2!$E:$E,Sheet2!$C:$C,$A6,Sheet2!$A:$A,Z$2),"")</f>
        <v/>
      </c>
      <c r="AA6" s="42" t="str">
        <f>IF(SUMIFS(Sheet2!$E:$E,Sheet2!$C:$C,$A6,Sheet2!$A:$A,AA$2)&lt;&gt;0,SUMIFS(Sheet2!$E:$E,Sheet2!$C:$C,$A6,Sheet2!$A:$A,AA$2),"")</f>
        <v/>
      </c>
      <c r="AB6" s="42" t="str">
        <f>IF(SUMIFS(Sheet2!$E:$E,Sheet2!$C:$C,$A6,Sheet2!$A:$A,AB$2)&lt;&gt;0,SUMIFS(Sheet2!$E:$E,Sheet2!$C:$C,$A6,Sheet2!$A:$A,AB$2),"")</f>
        <v/>
      </c>
      <c r="AC6" s="42" t="str">
        <f>IF(SUMIFS(Sheet2!$E:$E,Sheet2!$C:$C,$A6,Sheet2!$A:$A,AC$2)&lt;&gt;0,SUMIFS(Sheet2!$E:$E,Sheet2!$C:$C,$A6,Sheet2!$A:$A,AC$2),"")</f>
        <v/>
      </c>
      <c r="AD6" s="42" t="str">
        <f>IF(SUMIFS(Sheet2!$E:$E,Sheet2!$C:$C,$A6,Sheet2!$A:$A,AD$2)&lt;&gt;0,SUMIFS(Sheet2!$E:$E,Sheet2!$C:$C,$A6,Sheet2!$A:$A,AD$2),"")</f>
        <v/>
      </c>
      <c r="AE6" s="42" t="str">
        <f>IF(SUMIFS(Sheet2!$E:$E,Sheet2!$C:$C,$A6,Sheet2!$A:$A,AE$2)&lt;&gt;0,SUMIFS(Sheet2!$E:$E,Sheet2!$C:$C,$A6,Sheet2!$A:$A,AE$2),"")</f>
        <v/>
      </c>
      <c r="AF6" s="42" t="str">
        <f>IF(SUMIFS(Sheet2!$E:$E,Sheet2!$C:$C,$A6,Sheet2!$A:$A,AF$2)&lt;&gt;0,SUMIFS(Sheet2!$E:$E,Sheet2!$C:$C,$A6,Sheet2!$A:$A,AF$2),"")</f>
        <v/>
      </c>
      <c r="AG6" s="42" t="str">
        <f>IF(SUMIFS(Sheet2!$E:$E,Sheet2!$C:$C,$A6,Sheet2!$A:$A,AG$2)&lt;&gt;0,SUMIFS(Sheet2!$E:$E,Sheet2!$C:$C,$A6,Sheet2!$A:$A,AG$2),"")</f>
        <v/>
      </c>
      <c r="AH6" s="43">
        <f>SUM(Table2[[#This Row],[1]:[31]])</f>
        <v>0</v>
      </c>
    </row>
    <row r="7" spans="1:38" ht="12.75" customHeight="1">
      <c r="A7" s="76" t="str">
        <f>DSSP!A6</f>
        <v>A041</v>
      </c>
      <c r="B7" s="25" t="str">
        <f>DSSP!B6</f>
        <v>Cup cake</v>
      </c>
      <c r="C7" s="42" t="str">
        <f>IF(SUMIFS(Sheet2!$E:$E,Sheet2!$C:$C,$A7,Sheet2!$A:$A,C$2)&lt;&gt;0,SUMIFS(Sheet2!$E:$E,Sheet2!$C:$C,$A7,Sheet2!$A:$A,C$2),"")</f>
        <v/>
      </c>
      <c r="D7" s="42" t="str">
        <f>IF(SUMIFS(Sheet2!$E:$E,Sheet2!$C:$C,$A7,Sheet2!$A:$A,D$2)&lt;&gt;0,SUMIFS(Sheet2!$E:$E,Sheet2!$C:$C,$A7,Sheet2!$A:$A,D$2),"")</f>
        <v/>
      </c>
      <c r="E7" s="42" t="str">
        <f>IF(SUMIFS(Sheet2!$E:$E,Sheet2!$C:$C,$A7,Sheet2!$A:$A,E$2)&lt;&gt;0,SUMIFS(Sheet2!$E:$E,Sheet2!$C:$C,$A7,Sheet2!$A:$A,E$2),"")</f>
        <v/>
      </c>
      <c r="F7" s="42" t="str">
        <f>IF(SUMIFS(Sheet2!$E:$E,Sheet2!$C:$C,$A7,Sheet2!$A:$A,F$2)&lt;&gt;0,SUMIFS(Sheet2!$E:$E,Sheet2!$C:$C,$A7,Sheet2!$A:$A,F$2),"")</f>
        <v/>
      </c>
      <c r="G7" s="42" t="str">
        <f>IF(SUMIFS(Sheet2!$E:$E,Sheet2!$C:$C,$A7,Sheet2!$A:$A,G$2)&lt;&gt;0,SUMIFS(Sheet2!$E:$E,Sheet2!$C:$C,$A7,Sheet2!$A:$A,G$2),"")</f>
        <v/>
      </c>
      <c r="H7" s="42" t="str">
        <f>IF(SUMIFS(Sheet2!$E:$E,Sheet2!$C:$C,$A7,Sheet2!$A:$A,H$2)&lt;&gt;0,SUMIFS(Sheet2!$E:$E,Sheet2!$C:$C,$A7,Sheet2!$A:$A,H$2),"")</f>
        <v/>
      </c>
      <c r="I7" s="42" t="str">
        <f>IF(SUMIFS(Sheet2!$E:$E,Sheet2!$C:$C,$A7,Sheet2!$A:$A,I$2)&lt;&gt;0,SUMIFS(Sheet2!$E:$E,Sheet2!$C:$C,$A7,Sheet2!$A:$A,I$2),"")</f>
        <v/>
      </c>
      <c r="J7" s="42" t="str">
        <f>IF(SUMIFS(Sheet2!$E:$E,Sheet2!$C:$C,$A7,Sheet2!$A:$A,J$2)&lt;&gt;0,SUMIFS(Sheet2!$E:$E,Sheet2!$C:$C,$A7,Sheet2!$A:$A,J$2),"")</f>
        <v/>
      </c>
      <c r="K7" s="42" t="str">
        <f>IF(SUMIFS(Sheet2!$E:$E,Sheet2!$C:$C,$A7,Sheet2!$A:$A,K$2)&lt;&gt;0,SUMIFS(Sheet2!$E:$E,Sheet2!$C:$C,$A7,Sheet2!$A:$A,K$2),"")</f>
        <v/>
      </c>
      <c r="L7" s="42" t="str">
        <f>IF(SUMIFS(Sheet2!$E:$E,Sheet2!$C:$C,$A7,Sheet2!$A:$A,L$2)&lt;&gt;0,SUMIFS(Sheet2!$E:$E,Sheet2!$C:$C,$A7,Sheet2!$A:$A,L$2),"")</f>
        <v/>
      </c>
      <c r="M7" s="42" t="str">
        <f>IF(SUMIFS(Sheet2!$E:$E,Sheet2!$C:$C,$A7,Sheet2!$A:$A,M$2)&lt;&gt;0,SUMIFS(Sheet2!$E:$E,Sheet2!$C:$C,$A7,Sheet2!$A:$A,M$2),"")</f>
        <v/>
      </c>
      <c r="N7" s="42" t="str">
        <f>IF(SUMIFS(Sheet2!$E:$E,Sheet2!$C:$C,$A7,Sheet2!$A:$A,N$2)&lt;&gt;0,SUMIFS(Sheet2!$E:$E,Sheet2!$C:$C,$A7,Sheet2!$A:$A,N$2),"")</f>
        <v/>
      </c>
      <c r="O7" s="42" t="str">
        <f>IF(SUMIFS(Sheet2!$E:$E,Sheet2!$C:$C,$A7,Sheet2!$A:$A,O$2)&lt;&gt;0,SUMIFS(Sheet2!$E:$E,Sheet2!$C:$C,$A7,Sheet2!$A:$A,O$2),"")</f>
        <v/>
      </c>
      <c r="P7" s="42" t="str">
        <f>IF(SUMIFS(Sheet2!$E:$E,Sheet2!$C:$C,$A7,Sheet2!$A:$A,P$2)&lt;&gt;0,SUMIFS(Sheet2!$E:$E,Sheet2!$C:$C,$A7,Sheet2!$A:$A,P$2),"")</f>
        <v/>
      </c>
      <c r="Q7" s="42" t="str">
        <f>IF(SUMIFS(Sheet2!$E:$E,Sheet2!$C:$C,$A7,Sheet2!$A:$A,Q$2)&lt;&gt;0,SUMIFS(Sheet2!$E:$E,Sheet2!$C:$C,$A7,Sheet2!$A:$A,Q$2),"")</f>
        <v/>
      </c>
      <c r="R7" s="42" t="str">
        <f>IF(SUMIFS(Sheet2!$E:$E,Sheet2!$C:$C,$A7,Sheet2!$A:$A,R$2)&lt;&gt;0,SUMIFS(Sheet2!$E:$E,Sheet2!$C:$C,$A7,Sheet2!$A:$A,R$2),"")</f>
        <v/>
      </c>
      <c r="S7" s="42" t="str">
        <f>IF(SUMIFS(Sheet2!$E:$E,Sheet2!$C:$C,$A7,Sheet2!$A:$A,S$2)&lt;&gt;0,SUMIFS(Sheet2!$E:$E,Sheet2!$C:$C,$A7,Sheet2!$A:$A,S$2),"")</f>
        <v/>
      </c>
      <c r="T7" s="42" t="str">
        <f>IF(SUMIFS(Sheet2!$E:$E,Sheet2!$C:$C,$A7,Sheet2!$A:$A,T$2)&lt;&gt;0,SUMIFS(Sheet2!$E:$E,Sheet2!$C:$C,$A7,Sheet2!$A:$A,T$2),"")</f>
        <v/>
      </c>
      <c r="U7" s="42" t="str">
        <f>IF(SUMIFS(Sheet2!$E:$E,Sheet2!$C:$C,$A7,Sheet2!$A:$A,U$2)&lt;&gt;0,SUMIFS(Sheet2!$E:$E,Sheet2!$C:$C,$A7,Sheet2!$A:$A,U$2),"")</f>
        <v/>
      </c>
      <c r="V7" s="42" t="str">
        <f>IF(SUMIFS(Sheet2!$E:$E,Sheet2!$C:$C,$A7,Sheet2!$A:$A,V$2)&lt;&gt;0,SUMIFS(Sheet2!$E:$E,Sheet2!$C:$C,$A7,Sheet2!$A:$A,V$2),"")</f>
        <v/>
      </c>
      <c r="W7" s="42" t="str">
        <f>IF(SUMIFS(Sheet2!$E:$E,Sheet2!$C:$C,$A7,Sheet2!$A:$A,W$2)&lt;&gt;0,SUMIFS(Sheet2!$E:$E,Sheet2!$C:$C,$A7,Sheet2!$A:$A,W$2),"")</f>
        <v/>
      </c>
      <c r="X7" s="42" t="str">
        <f>IF(SUMIFS(Sheet2!$E:$E,Sheet2!$C:$C,$A7,Sheet2!$A:$A,X$2)&lt;&gt;0,SUMIFS(Sheet2!$E:$E,Sheet2!$C:$C,$A7,Sheet2!$A:$A,X$2),"")</f>
        <v/>
      </c>
      <c r="Y7" s="42" t="str">
        <f>IF(SUMIFS(Sheet2!$E:$E,Sheet2!$C:$C,$A7,Sheet2!$A:$A,Y$2)&lt;&gt;0,SUMIFS(Sheet2!$E:$E,Sheet2!$C:$C,$A7,Sheet2!$A:$A,Y$2),"")</f>
        <v/>
      </c>
      <c r="Z7" s="42" t="str">
        <f>IF(SUMIFS(Sheet2!$E:$E,Sheet2!$C:$C,$A7,Sheet2!$A:$A,Z$2)&lt;&gt;0,SUMIFS(Sheet2!$E:$E,Sheet2!$C:$C,$A7,Sheet2!$A:$A,Z$2),"")</f>
        <v/>
      </c>
      <c r="AA7" s="42" t="str">
        <f>IF(SUMIFS(Sheet2!$E:$E,Sheet2!$C:$C,$A7,Sheet2!$A:$A,AA$2)&lt;&gt;0,SUMIFS(Sheet2!$E:$E,Sheet2!$C:$C,$A7,Sheet2!$A:$A,AA$2),"")</f>
        <v/>
      </c>
      <c r="AB7" s="42" t="str">
        <f>IF(SUMIFS(Sheet2!$E:$E,Sheet2!$C:$C,$A7,Sheet2!$A:$A,AB$2)&lt;&gt;0,SUMIFS(Sheet2!$E:$E,Sheet2!$C:$C,$A7,Sheet2!$A:$A,AB$2),"")</f>
        <v/>
      </c>
      <c r="AC7" s="42" t="str">
        <f>IF(SUMIFS(Sheet2!$E:$E,Sheet2!$C:$C,$A7,Sheet2!$A:$A,AC$2)&lt;&gt;0,SUMIFS(Sheet2!$E:$E,Sheet2!$C:$C,$A7,Sheet2!$A:$A,AC$2),"")</f>
        <v/>
      </c>
      <c r="AD7" s="42" t="str">
        <f>IF(SUMIFS(Sheet2!$E:$E,Sheet2!$C:$C,$A7,Sheet2!$A:$A,AD$2)&lt;&gt;0,SUMIFS(Sheet2!$E:$E,Sheet2!$C:$C,$A7,Sheet2!$A:$A,AD$2),"")</f>
        <v/>
      </c>
      <c r="AE7" s="42" t="str">
        <f>IF(SUMIFS(Sheet2!$E:$E,Sheet2!$C:$C,$A7,Sheet2!$A:$A,AE$2)&lt;&gt;0,SUMIFS(Sheet2!$E:$E,Sheet2!$C:$C,$A7,Sheet2!$A:$A,AE$2),"")</f>
        <v/>
      </c>
      <c r="AF7" s="42" t="str">
        <f>IF(SUMIFS(Sheet2!$E:$E,Sheet2!$C:$C,$A7,Sheet2!$A:$A,AF$2)&lt;&gt;0,SUMIFS(Sheet2!$E:$E,Sheet2!$C:$C,$A7,Sheet2!$A:$A,AF$2),"")</f>
        <v/>
      </c>
      <c r="AG7" s="42" t="str">
        <f>IF(SUMIFS(Sheet2!$E:$E,Sheet2!$C:$C,$A7,Sheet2!$A:$A,AG$2)&lt;&gt;0,SUMIFS(Sheet2!$E:$E,Sheet2!$C:$C,$A7,Sheet2!$A:$A,AG$2),"")</f>
        <v/>
      </c>
      <c r="AH7" s="43">
        <f>SUM(Table2[[#This Row],[1]:[31]])</f>
        <v>0</v>
      </c>
    </row>
    <row r="8" spans="1:38" ht="12.75" customHeight="1">
      <c r="A8" s="76" t="str">
        <f>DSSP!A7</f>
        <v>A042</v>
      </c>
      <c r="B8" s="25" t="str">
        <f>DSSP!B7</f>
        <v>Dino</v>
      </c>
      <c r="C8" s="42" t="str">
        <f>IF(SUMIFS(Sheet2!$E:$E,Sheet2!$C:$C,$A8,Sheet2!$A:$A,C$2)&lt;&gt;0,SUMIFS(Sheet2!$E:$E,Sheet2!$C:$C,$A8,Sheet2!$A:$A,C$2),"")</f>
        <v/>
      </c>
      <c r="D8" s="42" t="str">
        <f>IF(SUMIFS(Sheet2!$E:$E,Sheet2!$C:$C,$A8,Sheet2!$A:$A,D$2)&lt;&gt;0,SUMIFS(Sheet2!$E:$E,Sheet2!$C:$C,$A8,Sheet2!$A:$A,D$2),"")</f>
        <v/>
      </c>
      <c r="E8" s="42" t="str">
        <f>IF(SUMIFS(Sheet2!$E:$E,Sheet2!$C:$C,$A8,Sheet2!$A:$A,E$2)&lt;&gt;0,SUMIFS(Sheet2!$E:$E,Sheet2!$C:$C,$A8,Sheet2!$A:$A,E$2),"")</f>
        <v/>
      </c>
      <c r="F8" s="42" t="str">
        <f>IF(SUMIFS(Sheet2!$E:$E,Sheet2!$C:$C,$A8,Sheet2!$A:$A,F$2)&lt;&gt;0,SUMIFS(Sheet2!$E:$E,Sheet2!$C:$C,$A8,Sheet2!$A:$A,F$2),"")</f>
        <v/>
      </c>
      <c r="G8" s="42" t="str">
        <f>IF(SUMIFS(Sheet2!$E:$E,Sheet2!$C:$C,$A8,Sheet2!$A:$A,G$2)&lt;&gt;0,SUMIFS(Sheet2!$E:$E,Sheet2!$C:$C,$A8,Sheet2!$A:$A,G$2),"")</f>
        <v/>
      </c>
      <c r="H8" s="42" t="str">
        <f>IF(SUMIFS(Sheet2!$E:$E,Sheet2!$C:$C,$A8,Sheet2!$A:$A,H$2)&lt;&gt;0,SUMIFS(Sheet2!$E:$E,Sheet2!$C:$C,$A8,Sheet2!$A:$A,H$2),"")</f>
        <v/>
      </c>
      <c r="I8" s="42" t="str">
        <f>IF(SUMIFS(Sheet2!$E:$E,Sheet2!$C:$C,$A8,Sheet2!$A:$A,I$2)&lt;&gt;0,SUMIFS(Sheet2!$E:$E,Sheet2!$C:$C,$A8,Sheet2!$A:$A,I$2),"")</f>
        <v/>
      </c>
      <c r="J8" s="42" t="str">
        <f>IF(SUMIFS(Sheet2!$E:$E,Sheet2!$C:$C,$A8,Sheet2!$A:$A,J$2)&lt;&gt;0,SUMIFS(Sheet2!$E:$E,Sheet2!$C:$C,$A8,Sheet2!$A:$A,J$2),"")</f>
        <v/>
      </c>
      <c r="K8" s="42" t="str">
        <f>IF(SUMIFS(Sheet2!$E:$E,Sheet2!$C:$C,$A8,Sheet2!$A:$A,K$2)&lt;&gt;0,SUMIFS(Sheet2!$E:$E,Sheet2!$C:$C,$A8,Sheet2!$A:$A,K$2),"")</f>
        <v/>
      </c>
      <c r="L8" s="42" t="str">
        <f>IF(SUMIFS(Sheet2!$E:$E,Sheet2!$C:$C,$A8,Sheet2!$A:$A,L$2)&lt;&gt;0,SUMIFS(Sheet2!$E:$E,Sheet2!$C:$C,$A8,Sheet2!$A:$A,L$2),"")</f>
        <v/>
      </c>
      <c r="M8" s="42" t="str">
        <f>IF(SUMIFS(Sheet2!$E:$E,Sheet2!$C:$C,$A8,Sheet2!$A:$A,M$2)&lt;&gt;0,SUMIFS(Sheet2!$E:$E,Sheet2!$C:$C,$A8,Sheet2!$A:$A,M$2),"")</f>
        <v/>
      </c>
      <c r="N8" s="42" t="str">
        <f>IF(SUMIFS(Sheet2!$E:$E,Sheet2!$C:$C,$A8,Sheet2!$A:$A,N$2)&lt;&gt;0,SUMIFS(Sheet2!$E:$E,Sheet2!$C:$C,$A8,Sheet2!$A:$A,N$2),"")</f>
        <v/>
      </c>
      <c r="O8" s="42" t="str">
        <f>IF(SUMIFS(Sheet2!$E:$E,Sheet2!$C:$C,$A8,Sheet2!$A:$A,O$2)&lt;&gt;0,SUMIFS(Sheet2!$E:$E,Sheet2!$C:$C,$A8,Sheet2!$A:$A,O$2),"")</f>
        <v/>
      </c>
      <c r="P8" s="42" t="str">
        <f>IF(SUMIFS(Sheet2!$E:$E,Sheet2!$C:$C,$A8,Sheet2!$A:$A,P$2)&lt;&gt;0,SUMIFS(Sheet2!$E:$E,Sheet2!$C:$C,$A8,Sheet2!$A:$A,P$2),"")</f>
        <v/>
      </c>
      <c r="Q8" s="42" t="str">
        <f>IF(SUMIFS(Sheet2!$E:$E,Sheet2!$C:$C,$A8,Sheet2!$A:$A,Q$2)&lt;&gt;0,SUMIFS(Sheet2!$E:$E,Sheet2!$C:$C,$A8,Sheet2!$A:$A,Q$2),"")</f>
        <v/>
      </c>
      <c r="R8" s="42" t="str">
        <f>IF(SUMIFS(Sheet2!$E:$E,Sheet2!$C:$C,$A8,Sheet2!$A:$A,R$2)&lt;&gt;0,SUMIFS(Sheet2!$E:$E,Sheet2!$C:$C,$A8,Sheet2!$A:$A,R$2),"")</f>
        <v/>
      </c>
      <c r="S8" s="42" t="str">
        <f>IF(SUMIFS(Sheet2!$E:$E,Sheet2!$C:$C,$A8,Sheet2!$A:$A,S$2)&lt;&gt;0,SUMIFS(Sheet2!$E:$E,Sheet2!$C:$C,$A8,Sheet2!$A:$A,S$2),"")</f>
        <v/>
      </c>
      <c r="T8" s="42" t="str">
        <f>IF(SUMIFS(Sheet2!$E:$E,Sheet2!$C:$C,$A8,Sheet2!$A:$A,T$2)&lt;&gt;0,SUMIFS(Sheet2!$E:$E,Sheet2!$C:$C,$A8,Sheet2!$A:$A,T$2),"")</f>
        <v/>
      </c>
      <c r="U8" s="42" t="str">
        <f>IF(SUMIFS(Sheet2!$E:$E,Sheet2!$C:$C,$A8,Sheet2!$A:$A,U$2)&lt;&gt;0,SUMIFS(Sheet2!$E:$E,Sheet2!$C:$C,$A8,Sheet2!$A:$A,U$2),"")</f>
        <v/>
      </c>
      <c r="V8" s="42" t="str">
        <f>IF(SUMIFS(Sheet2!$E:$E,Sheet2!$C:$C,$A8,Sheet2!$A:$A,V$2)&lt;&gt;0,SUMIFS(Sheet2!$E:$E,Sheet2!$C:$C,$A8,Sheet2!$A:$A,V$2),"")</f>
        <v/>
      </c>
      <c r="W8" s="42" t="str">
        <f>IF(SUMIFS(Sheet2!$E:$E,Sheet2!$C:$C,$A8,Sheet2!$A:$A,W$2)&lt;&gt;0,SUMIFS(Sheet2!$E:$E,Sheet2!$C:$C,$A8,Sheet2!$A:$A,W$2),"")</f>
        <v/>
      </c>
      <c r="X8" s="42" t="str">
        <f>IF(SUMIFS(Sheet2!$E:$E,Sheet2!$C:$C,$A8,Sheet2!$A:$A,X$2)&lt;&gt;0,SUMIFS(Sheet2!$E:$E,Sheet2!$C:$C,$A8,Sheet2!$A:$A,X$2),"")</f>
        <v/>
      </c>
      <c r="Y8" s="42" t="str">
        <f>IF(SUMIFS(Sheet2!$E:$E,Sheet2!$C:$C,$A8,Sheet2!$A:$A,Y$2)&lt;&gt;0,SUMIFS(Sheet2!$E:$E,Sheet2!$C:$C,$A8,Sheet2!$A:$A,Y$2),"")</f>
        <v/>
      </c>
      <c r="Z8" s="42" t="str">
        <f>IF(SUMIFS(Sheet2!$E:$E,Sheet2!$C:$C,$A8,Sheet2!$A:$A,Z$2)&lt;&gt;0,SUMIFS(Sheet2!$E:$E,Sheet2!$C:$C,$A8,Sheet2!$A:$A,Z$2),"")</f>
        <v/>
      </c>
      <c r="AA8" s="42" t="str">
        <f>IF(SUMIFS(Sheet2!$E:$E,Sheet2!$C:$C,$A8,Sheet2!$A:$A,AA$2)&lt;&gt;0,SUMIFS(Sheet2!$E:$E,Sheet2!$C:$C,$A8,Sheet2!$A:$A,AA$2),"")</f>
        <v/>
      </c>
      <c r="AB8" s="42" t="str">
        <f>IF(SUMIFS(Sheet2!$E:$E,Sheet2!$C:$C,$A8,Sheet2!$A:$A,AB$2)&lt;&gt;0,SUMIFS(Sheet2!$E:$E,Sheet2!$C:$C,$A8,Sheet2!$A:$A,AB$2),"")</f>
        <v/>
      </c>
      <c r="AC8" s="42" t="str">
        <f>IF(SUMIFS(Sheet2!$E:$E,Sheet2!$C:$C,$A8,Sheet2!$A:$A,AC$2)&lt;&gt;0,SUMIFS(Sheet2!$E:$E,Sheet2!$C:$C,$A8,Sheet2!$A:$A,AC$2),"")</f>
        <v/>
      </c>
      <c r="AD8" s="42" t="str">
        <f>IF(SUMIFS(Sheet2!$E:$E,Sheet2!$C:$C,$A8,Sheet2!$A:$A,AD$2)&lt;&gt;0,SUMIFS(Sheet2!$E:$E,Sheet2!$C:$C,$A8,Sheet2!$A:$A,AD$2),"")</f>
        <v/>
      </c>
      <c r="AE8" s="42" t="str">
        <f>IF(SUMIFS(Sheet2!$E:$E,Sheet2!$C:$C,$A8,Sheet2!$A:$A,AE$2)&lt;&gt;0,SUMIFS(Sheet2!$E:$E,Sheet2!$C:$C,$A8,Sheet2!$A:$A,AE$2),"")</f>
        <v/>
      </c>
      <c r="AF8" s="42" t="str">
        <f>IF(SUMIFS(Sheet2!$E:$E,Sheet2!$C:$C,$A8,Sheet2!$A:$A,AF$2)&lt;&gt;0,SUMIFS(Sheet2!$E:$E,Sheet2!$C:$C,$A8,Sheet2!$A:$A,AF$2),"")</f>
        <v/>
      </c>
      <c r="AG8" s="42" t="str">
        <f>IF(SUMIFS(Sheet2!$E:$E,Sheet2!$C:$C,$A8,Sheet2!$A:$A,AG$2)&lt;&gt;0,SUMIFS(Sheet2!$E:$E,Sheet2!$C:$C,$A8,Sheet2!$A:$A,AG$2),"")</f>
        <v/>
      </c>
      <c r="AH8" s="43">
        <f>SUM(Table2[[#This Row],[1]:[31]])</f>
        <v>0</v>
      </c>
    </row>
    <row r="9" spans="1:38" ht="12.75" customHeight="1">
      <c r="A9" s="76" t="str">
        <f>DSSP!A8</f>
        <v>A049</v>
      </c>
      <c r="B9" s="25" t="str">
        <f>DSSP!B8</f>
        <v xml:space="preserve">Key - lock </v>
      </c>
      <c r="C9" s="42" t="str">
        <f>IF(SUMIFS(Sheet2!$E:$E,Sheet2!$C:$C,$A9,Sheet2!$A:$A,C$2)&lt;&gt;0,SUMIFS(Sheet2!$E:$E,Sheet2!$C:$C,$A9,Sheet2!$A:$A,C$2),"")</f>
        <v/>
      </c>
      <c r="D9" s="42" t="str">
        <f>IF(SUMIFS(Sheet2!$E:$E,Sheet2!$C:$C,$A9,Sheet2!$A:$A,D$2)&lt;&gt;0,SUMIFS(Sheet2!$E:$E,Sheet2!$C:$C,$A9,Sheet2!$A:$A,D$2),"")</f>
        <v/>
      </c>
      <c r="E9" s="42" t="str">
        <f>IF(SUMIFS(Sheet2!$E:$E,Sheet2!$C:$C,$A9,Sheet2!$A:$A,E$2)&lt;&gt;0,SUMIFS(Sheet2!$E:$E,Sheet2!$C:$C,$A9,Sheet2!$A:$A,E$2),"")</f>
        <v/>
      </c>
      <c r="F9" s="42" t="str">
        <f>IF(SUMIFS(Sheet2!$E:$E,Sheet2!$C:$C,$A9,Sheet2!$A:$A,F$2)&lt;&gt;0,SUMIFS(Sheet2!$E:$E,Sheet2!$C:$C,$A9,Sheet2!$A:$A,F$2),"")</f>
        <v/>
      </c>
      <c r="G9" s="42" t="str">
        <f>IF(SUMIFS(Sheet2!$E:$E,Sheet2!$C:$C,$A9,Sheet2!$A:$A,G$2)&lt;&gt;0,SUMIFS(Sheet2!$E:$E,Sheet2!$C:$C,$A9,Sheet2!$A:$A,G$2),"")</f>
        <v/>
      </c>
      <c r="H9" s="42" t="str">
        <f>IF(SUMIFS(Sheet2!$E:$E,Sheet2!$C:$C,$A9,Sheet2!$A:$A,H$2)&lt;&gt;0,SUMIFS(Sheet2!$E:$E,Sheet2!$C:$C,$A9,Sheet2!$A:$A,H$2),"")</f>
        <v/>
      </c>
      <c r="I9" s="42" t="str">
        <f>IF(SUMIFS(Sheet2!$E:$E,Sheet2!$C:$C,$A9,Sheet2!$A:$A,I$2)&lt;&gt;0,SUMIFS(Sheet2!$E:$E,Sheet2!$C:$C,$A9,Sheet2!$A:$A,I$2),"")</f>
        <v/>
      </c>
      <c r="J9" s="42" t="str">
        <f>IF(SUMIFS(Sheet2!$E:$E,Sheet2!$C:$C,$A9,Sheet2!$A:$A,J$2)&lt;&gt;0,SUMIFS(Sheet2!$E:$E,Sheet2!$C:$C,$A9,Sheet2!$A:$A,J$2),"")</f>
        <v/>
      </c>
      <c r="K9" s="42" t="str">
        <f>IF(SUMIFS(Sheet2!$E:$E,Sheet2!$C:$C,$A9,Sheet2!$A:$A,K$2)&lt;&gt;0,SUMIFS(Sheet2!$E:$E,Sheet2!$C:$C,$A9,Sheet2!$A:$A,K$2),"")</f>
        <v/>
      </c>
      <c r="L9" s="42" t="str">
        <f>IF(SUMIFS(Sheet2!$E:$E,Sheet2!$C:$C,$A9,Sheet2!$A:$A,L$2)&lt;&gt;0,SUMIFS(Sheet2!$E:$E,Sheet2!$C:$C,$A9,Sheet2!$A:$A,L$2),"")</f>
        <v/>
      </c>
      <c r="M9" s="42" t="str">
        <f>IF(SUMIFS(Sheet2!$E:$E,Sheet2!$C:$C,$A9,Sheet2!$A:$A,M$2)&lt;&gt;0,SUMIFS(Sheet2!$E:$E,Sheet2!$C:$C,$A9,Sheet2!$A:$A,M$2),"")</f>
        <v/>
      </c>
      <c r="N9" s="42" t="str">
        <f>IF(SUMIFS(Sheet2!$E:$E,Sheet2!$C:$C,$A9,Sheet2!$A:$A,N$2)&lt;&gt;0,SUMIFS(Sheet2!$E:$E,Sheet2!$C:$C,$A9,Sheet2!$A:$A,N$2),"")</f>
        <v/>
      </c>
      <c r="O9" s="42" t="str">
        <f>IF(SUMIFS(Sheet2!$E:$E,Sheet2!$C:$C,$A9,Sheet2!$A:$A,O$2)&lt;&gt;0,SUMIFS(Sheet2!$E:$E,Sheet2!$C:$C,$A9,Sheet2!$A:$A,O$2),"")</f>
        <v/>
      </c>
      <c r="P9" s="42" t="str">
        <f>IF(SUMIFS(Sheet2!$E:$E,Sheet2!$C:$C,$A9,Sheet2!$A:$A,P$2)&lt;&gt;0,SUMIFS(Sheet2!$E:$E,Sheet2!$C:$C,$A9,Sheet2!$A:$A,P$2),"")</f>
        <v/>
      </c>
      <c r="Q9" s="42" t="str">
        <f>IF(SUMIFS(Sheet2!$E:$E,Sheet2!$C:$C,$A9,Sheet2!$A:$A,Q$2)&lt;&gt;0,SUMIFS(Sheet2!$E:$E,Sheet2!$C:$C,$A9,Sheet2!$A:$A,Q$2),"")</f>
        <v/>
      </c>
      <c r="R9" s="42" t="str">
        <f>IF(SUMIFS(Sheet2!$E:$E,Sheet2!$C:$C,$A9,Sheet2!$A:$A,R$2)&lt;&gt;0,SUMIFS(Sheet2!$E:$E,Sheet2!$C:$C,$A9,Sheet2!$A:$A,R$2),"")</f>
        <v/>
      </c>
      <c r="S9" s="42" t="str">
        <f>IF(SUMIFS(Sheet2!$E:$E,Sheet2!$C:$C,$A9,Sheet2!$A:$A,S$2)&lt;&gt;0,SUMIFS(Sheet2!$E:$E,Sheet2!$C:$C,$A9,Sheet2!$A:$A,S$2),"")</f>
        <v/>
      </c>
      <c r="T9" s="42" t="str">
        <f>IF(SUMIFS(Sheet2!$E:$E,Sheet2!$C:$C,$A9,Sheet2!$A:$A,T$2)&lt;&gt;0,SUMIFS(Sheet2!$E:$E,Sheet2!$C:$C,$A9,Sheet2!$A:$A,T$2),"")</f>
        <v/>
      </c>
      <c r="U9" s="42" t="str">
        <f>IF(SUMIFS(Sheet2!$E:$E,Sheet2!$C:$C,$A9,Sheet2!$A:$A,U$2)&lt;&gt;0,SUMIFS(Sheet2!$E:$E,Sheet2!$C:$C,$A9,Sheet2!$A:$A,U$2),"")</f>
        <v/>
      </c>
      <c r="V9" s="42" t="str">
        <f>IF(SUMIFS(Sheet2!$E:$E,Sheet2!$C:$C,$A9,Sheet2!$A:$A,V$2)&lt;&gt;0,SUMIFS(Sheet2!$E:$E,Sheet2!$C:$C,$A9,Sheet2!$A:$A,V$2),"")</f>
        <v/>
      </c>
      <c r="W9" s="42" t="str">
        <f>IF(SUMIFS(Sheet2!$E:$E,Sheet2!$C:$C,$A9,Sheet2!$A:$A,W$2)&lt;&gt;0,SUMIFS(Sheet2!$E:$E,Sheet2!$C:$C,$A9,Sheet2!$A:$A,W$2),"")</f>
        <v/>
      </c>
      <c r="X9" s="42" t="str">
        <f>IF(SUMIFS(Sheet2!$E:$E,Sheet2!$C:$C,$A9,Sheet2!$A:$A,X$2)&lt;&gt;0,SUMIFS(Sheet2!$E:$E,Sheet2!$C:$C,$A9,Sheet2!$A:$A,X$2),"")</f>
        <v/>
      </c>
      <c r="Y9" s="42" t="str">
        <f>IF(SUMIFS(Sheet2!$E:$E,Sheet2!$C:$C,$A9,Sheet2!$A:$A,Y$2)&lt;&gt;0,SUMIFS(Sheet2!$E:$E,Sheet2!$C:$C,$A9,Sheet2!$A:$A,Y$2),"")</f>
        <v/>
      </c>
      <c r="Z9" s="42" t="str">
        <f>IF(SUMIFS(Sheet2!$E:$E,Sheet2!$C:$C,$A9,Sheet2!$A:$A,Z$2)&lt;&gt;0,SUMIFS(Sheet2!$E:$E,Sheet2!$C:$C,$A9,Sheet2!$A:$A,Z$2),"")</f>
        <v/>
      </c>
      <c r="AA9" s="42" t="str">
        <f>IF(SUMIFS(Sheet2!$E:$E,Sheet2!$C:$C,$A9,Sheet2!$A:$A,AA$2)&lt;&gt;0,SUMIFS(Sheet2!$E:$E,Sheet2!$C:$C,$A9,Sheet2!$A:$A,AA$2),"")</f>
        <v/>
      </c>
      <c r="AB9" s="42" t="str">
        <f>IF(SUMIFS(Sheet2!$E:$E,Sheet2!$C:$C,$A9,Sheet2!$A:$A,AB$2)&lt;&gt;0,SUMIFS(Sheet2!$E:$E,Sheet2!$C:$C,$A9,Sheet2!$A:$A,AB$2),"")</f>
        <v/>
      </c>
      <c r="AC9" s="42" t="str">
        <f>IF(SUMIFS(Sheet2!$E:$E,Sheet2!$C:$C,$A9,Sheet2!$A:$A,AC$2)&lt;&gt;0,SUMIFS(Sheet2!$E:$E,Sheet2!$C:$C,$A9,Sheet2!$A:$A,AC$2),"")</f>
        <v/>
      </c>
      <c r="AD9" s="42" t="str">
        <f>IF(SUMIFS(Sheet2!$E:$E,Sheet2!$C:$C,$A9,Sheet2!$A:$A,AD$2)&lt;&gt;0,SUMIFS(Sheet2!$E:$E,Sheet2!$C:$C,$A9,Sheet2!$A:$A,AD$2),"")</f>
        <v/>
      </c>
      <c r="AE9" s="42" t="str">
        <f>IF(SUMIFS(Sheet2!$E:$E,Sheet2!$C:$C,$A9,Sheet2!$A:$A,AE$2)&lt;&gt;0,SUMIFS(Sheet2!$E:$E,Sheet2!$C:$C,$A9,Sheet2!$A:$A,AE$2),"")</f>
        <v/>
      </c>
      <c r="AF9" s="42" t="str">
        <f>IF(SUMIFS(Sheet2!$E:$E,Sheet2!$C:$C,$A9,Sheet2!$A:$A,AF$2)&lt;&gt;0,SUMIFS(Sheet2!$E:$E,Sheet2!$C:$C,$A9,Sheet2!$A:$A,AF$2),"")</f>
        <v/>
      </c>
      <c r="AG9" s="42" t="str">
        <f>IF(SUMIFS(Sheet2!$E:$E,Sheet2!$C:$C,$A9,Sheet2!$A:$A,AG$2)&lt;&gt;0,SUMIFS(Sheet2!$E:$E,Sheet2!$C:$C,$A9,Sheet2!$A:$A,AG$2),"")</f>
        <v/>
      </c>
      <c r="AH9" s="43">
        <f>SUM(Table2[[#This Row],[1]:[31]])</f>
        <v>0</v>
      </c>
    </row>
    <row r="10" spans="1:38" ht="12.75" customHeight="1">
      <c r="A10" s="76" t="str">
        <f>DSSP!A9</f>
        <v>A050</v>
      </c>
      <c r="B10" s="25" t="str">
        <f>DSSP!B9</f>
        <v>XX and XY</v>
      </c>
      <c r="C10" s="42" t="str">
        <f>IF(SUMIFS(Sheet2!$E:$E,Sheet2!$C:$C,$A10,Sheet2!$A:$A,C$2)&lt;&gt;0,SUMIFS(Sheet2!$E:$E,Sheet2!$C:$C,$A10,Sheet2!$A:$A,C$2),"")</f>
        <v/>
      </c>
      <c r="D10" s="42" t="str">
        <f>IF(SUMIFS(Sheet2!$E:$E,Sheet2!$C:$C,$A10,Sheet2!$A:$A,D$2)&lt;&gt;0,SUMIFS(Sheet2!$E:$E,Sheet2!$C:$C,$A10,Sheet2!$A:$A,D$2),"")</f>
        <v/>
      </c>
      <c r="E10" s="42" t="str">
        <f>IF(SUMIFS(Sheet2!$E:$E,Sheet2!$C:$C,$A10,Sheet2!$A:$A,E$2)&lt;&gt;0,SUMIFS(Sheet2!$E:$E,Sheet2!$C:$C,$A10,Sheet2!$A:$A,E$2),"")</f>
        <v/>
      </c>
      <c r="F10" s="42" t="str">
        <f>IF(SUMIFS(Sheet2!$E:$E,Sheet2!$C:$C,$A10,Sheet2!$A:$A,F$2)&lt;&gt;0,SUMIFS(Sheet2!$E:$E,Sheet2!$C:$C,$A10,Sheet2!$A:$A,F$2),"")</f>
        <v/>
      </c>
      <c r="G10" s="42" t="str">
        <f>IF(SUMIFS(Sheet2!$E:$E,Sheet2!$C:$C,$A10,Sheet2!$A:$A,G$2)&lt;&gt;0,SUMIFS(Sheet2!$E:$E,Sheet2!$C:$C,$A10,Sheet2!$A:$A,G$2),"")</f>
        <v/>
      </c>
      <c r="H10" s="42" t="str">
        <f>IF(SUMIFS(Sheet2!$E:$E,Sheet2!$C:$C,$A10,Sheet2!$A:$A,H$2)&lt;&gt;0,SUMIFS(Sheet2!$E:$E,Sheet2!$C:$C,$A10,Sheet2!$A:$A,H$2),"")</f>
        <v/>
      </c>
      <c r="I10" s="42" t="str">
        <f>IF(SUMIFS(Sheet2!$E:$E,Sheet2!$C:$C,$A10,Sheet2!$A:$A,I$2)&lt;&gt;0,SUMIFS(Sheet2!$E:$E,Sheet2!$C:$C,$A10,Sheet2!$A:$A,I$2),"")</f>
        <v/>
      </c>
      <c r="J10" s="42" t="str">
        <f>IF(SUMIFS(Sheet2!$E:$E,Sheet2!$C:$C,$A10,Sheet2!$A:$A,J$2)&lt;&gt;0,SUMIFS(Sheet2!$E:$E,Sheet2!$C:$C,$A10,Sheet2!$A:$A,J$2),"")</f>
        <v/>
      </c>
      <c r="K10" s="42" t="str">
        <f>IF(SUMIFS(Sheet2!$E:$E,Sheet2!$C:$C,$A10,Sheet2!$A:$A,K$2)&lt;&gt;0,SUMIFS(Sheet2!$E:$E,Sheet2!$C:$C,$A10,Sheet2!$A:$A,K$2),"")</f>
        <v/>
      </c>
      <c r="L10" s="42" t="str">
        <f>IF(SUMIFS(Sheet2!$E:$E,Sheet2!$C:$C,$A10,Sheet2!$A:$A,L$2)&lt;&gt;0,SUMIFS(Sheet2!$E:$E,Sheet2!$C:$C,$A10,Sheet2!$A:$A,L$2),"")</f>
        <v/>
      </c>
      <c r="M10" s="42" t="str">
        <f>IF(SUMIFS(Sheet2!$E:$E,Sheet2!$C:$C,$A10,Sheet2!$A:$A,M$2)&lt;&gt;0,SUMIFS(Sheet2!$E:$E,Sheet2!$C:$C,$A10,Sheet2!$A:$A,M$2),"")</f>
        <v/>
      </c>
      <c r="N10" s="42" t="str">
        <f>IF(SUMIFS(Sheet2!$E:$E,Sheet2!$C:$C,$A10,Sheet2!$A:$A,N$2)&lt;&gt;0,SUMIFS(Sheet2!$E:$E,Sheet2!$C:$C,$A10,Sheet2!$A:$A,N$2),"")</f>
        <v/>
      </c>
      <c r="O10" s="42" t="str">
        <f>IF(SUMIFS(Sheet2!$E:$E,Sheet2!$C:$C,$A10,Sheet2!$A:$A,O$2)&lt;&gt;0,SUMIFS(Sheet2!$E:$E,Sheet2!$C:$C,$A10,Sheet2!$A:$A,O$2),"")</f>
        <v/>
      </c>
      <c r="P10" s="42" t="str">
        <f>IF(SUMIFS(Sheet2!$E:$E,Sheet2!$C:$C,$A10,Sheet2!$A:$A,P$2)&lt;&gt;0,SUMIFS(Sheet2!$E:$E,Sheet2!$C:$C,$A10,Sheet2!$A:$A,P$2),"")</f>
        <v/>
      </c>
      <c r="Q10" s="42" t="str">
        <f>IF(SUMIFS(Sheet2!$E:$E,Sheet2!$C:$C,$A10,Sheet2!$A:$A,Q$2)&lt;&gt;0,SUMIFS(Sheet2!$E:$E,Sheet2!$C:$C,$A10,Sheet2!$A:$A,Q$2),"")</f>
        <v/>
      </c>
      <c r="R10" s="42" t="str">
        <f>IF(SUMIFS(Sheet2!$E:$E,Sheet2!$C:$C,$A10,Sheet2!$A:$A,R$2)&lt;&gt;0,SUMIFS(Sheet2!$E:$E,Sheet2!$C:$C,$A10,Sheet2!$A:$A,R$2),"")</f>
        <v/>
      </c>
      <c r="S10" s="42" t="str">
        <f>IF(SUMIFS(Sheet2!$E:$E,Sheet2!$C:$C,$A10,Sheet2!$A:$A,S$2)&lt;&gt;0,SUMIFS(Sheet2!$E:$E,Sheet2!$C:$C,$A10,Sheet2!$A:$A,S$2),"")</f>
        <v/>
      </c>
      <c r="T10" s="42" t="str">
        <f>IF(SUMIFS(Sheet2!$E:$E,Sheet2!$C:$C,$A10,Sheet2!$A:$A,T$2)&lt;&gt;0,SUMIFS(Sheet2!$E:$E,Sheet2!$C:$C,$A10,Sheet2!$A:$A,T$2),"")</f>
        <v/>
      </c>
      <c r="U10" s="42" t="str">
        <f>IF(SUMIFS(Sheet2!$E:$E,Sheet2!$C:$C,$A10,Sheet2!$A:$A,U$2)&lt;&gt;0,SUMIFS(Sheet2!$E:$E,Sheet2!$C:$C,$A10,Sheet2!$A:$A,U$2),"")</f>
        <v/>
      </c>
      <c r="V10" s="42" t="str">
        <f>IF(SUMIFS(Sheet2!$E:$E,Sheet2!$C:$C,$A10,Sheet2!$A:$A,V$2)&lt;&gt;0,SUMIFS(Sheet2!$E:$E,Sheet2!$C:$C,$A10,Sheet2!$A:$A,V$2),"")</f>
        <v/>
      </c>
      <c r="W10" s="42" t="str">
        <f>IF(SUMIFS(Sheet2!$E:$E,Sheet2!$C:$C,$A10,Sheet2!$A:$A,W$2)&lt;&gt;0,SUMIFS(Sheet2!$E:$E,Sheet2!$C:$C,$A10,Sheet2!$A:$A,W$2),"")</f>
        <v/>
      </c>
      <c r="X10" s="42" t="str">
        <f>IF(SUMIFS(Sheet2!$E:$E,Sheet2!$C:$C,$A10,Sheet2!$A:$A,X$2)&lt;&gt;0,SUMIFS(Sheet2!$E:$E,Sheet2!$C:$C,$A10,Sheet2!$A:$A,X$2),"")</f>
        <v/>
      </c>
      <c r="Y10" s="42" t="str">
        <f>IF(SUMIFS(Sheet2!$E:$E,Sheet2!$C:$C,$A10,Sheet2!$A:$A,Y$2)&lt;&gt;0,SUMIFS(Sheet2!$E:$E,Sheet2!$C:$C,$A10,Sheet2!$A:$A,Y$2),"")</f>
        <v/>
      </c>
      <c r="Z10" s="42" t="str">
        <f>IF(SUMIFS(Sheet2!$E:$E,Sheet2!$C:$C,$A10,Sheet2!$A:$A,Z$2)&lt;&gt;0,SUMIFS(Sheet2!$E:$E,Sheet2!$C:$C,$A10,Sheet2!$A:$A,Z$2),"")</f>
        <v/>
      </c>
      <c r="AA10" s="42" t="str">
        <f>IF(SUMIFS(Sheet2!$E:$E,Sheet2!$C:$C,$A10,Sheet2!$A:$A,AA$2)&lt;&gt;0,SUMIFS(Sheet2!$E:$E,Sheet2!$C:$C,$A10,Sheet2!$A:$A,AA$2),"")</f>
        <v/>
      </c>
      <c r="AB10" s="42" t="str">
        <f>IF(SUMIFS(Sheet2!$E:$E,Sheet2!$C:$C,$A10,Sheet2!$A:$A,AB$2)&lt;&gt;0,SUMIFS(Sheet2!$E:$E,Sheet2!$C:$C,$A10,Sheet2!$A:$A,AB$2),"")</f>
        <v/>
      </c>
      <c r="AC10" s="42" t="str">
        <f>IF(SUMIFS(Sheet2!$E:$E,Sheet2!$C:$C,$A10,Sheet2!$A:$A,AC$2)&lt;&gt;0,SUMIFS(Sheet2!$E:$E,Sheet2!$C:$C,$A10,Sheet2!$A:$A,AC$2),"")</f>
        <v/>
      </c>
      <c r="AD10" s="42" t="str">
        <f>IF(SUMIFS(Sheet2!$E:$E,Sheet2!$C:$C,$A10,Sheet2!$A:$A,AD$2)&lt;&gt;0,SUMIFS(Sheet2!$E:$E,Sheet2!$C:$C,$A10,Sheet2!$A:$A,AD$2),"")</f>
        <v/>
      </c>
      <c r="AE10" s="42" t="str">
        <f>IF(SUMIFS(Sheet2!$E:$E,Sheet2!$C:$C,$A10,Sheet2!$A:$A,AE$2)&lt;&gt;0,SUMIFS(Sheet2!$E:$E,Sheet2!$C:$C,$A10,Sheet2!$A:$A,AE$2),"")</f>
        <v/>
      </c>
      <c r="AF10" s="42" t="str">
        <f>IF(SUMIFS(Sheet2!$E:$E,Sheet2!$C:$C,$A10,Sheet2!$A:$A,AF$2)&lt;&gt;0,SUMIFS(Sheet2!$E:$E,Sheet2!$C:$C,$A10,Sheet2!$A:$A,AF$2),"")</f>
        <v/>
      </c>
      <c r="AG10" s="42" t="str">
        <f>IF(SUMIFS(Sheet2!$E:$E,Sheet2!$C:$C,$A10,Sheet2!$A:$A,AG$2)&lt;&gt;0,SUMIFS(Sheet2!$E:$E,Sheet2!$C:$C,$A10,Sheet2!$A:$A,AG$2),"")</f>
        <v/>
      </c>
      <c r="AH10" s="43">
        <f>SUM(Table2[[#This Row],[1]:[31]])</f>
        <v>0</v>
      </c>
    </row>
    <row r="11" spans="1:38" ht="12.75" customHeight="1">
      <c r="A11" s="76" t="str">
        <f>DSSP!A10</f>
        <v>A051</v>
      </c>
      <c r="B11" s="25" t="str">
        <f>DSSP!B10</f>
        <v>Kem đôi</v>
      </c>
      <c r="C11" s="42" t="str">
        <f>IF(SUMIFS(Sheet2!$E:$E,Sheet2!$C:$C,$A11,Sheet2!$A:$A,C$2)&lt;&gt;0,SUMIFS(Sheet2!$E:$E,Sheet2!$C:$C,$A11,Sheet2!$A:$A,C$2),"")</f>
        <v/>
      </c>
      <c r="D11" s="42" t="str">
        <f>IF(SUMIFS(Sheet2!$E:$E,Sheet2!$C:$C,$A11,Sheet2!$A:$A,D$2)&lt;&gt;0,SUMIFS(Sheet2!$E:$E,Sheet2!$C:$C,$A11,Sheet2!$A:$A,D$2),"")</f>
        <v/>
      </c>
      <c r="E11" s="42" t="str">
        <f>IF(SUMIFS(Sheet2!$E:$E,Sheet2!$C:$C,$A11,Sheet2!$A:$A,E$2)&lt;&gt;0,SUMIFS(Sheet2!$E:$E,Sheet2!$C:$C,$A11,Sheet2!$A:$A,E$2),"")</f>
        <v/>
      </c>
      <c r="F11" s="42" t="str">
        <f>IF(SUMIFS(Sheet2!$E:$E,Sheet2!$C:$C,$A11,Sheet2!$A:$A,F$2)&lt;&gt;0,SUMIFS(Sheet2!$E:$E,Sheet2!$C:$C,$A11,Sheet2!$A:$A,F$2),"")</f>
        <v/>
      </c>
      <c r="G11" s="42" t="str">
        <f>IF(SUMIFS(Sheet2!$E:$E,Sheet2!$C:$C,$A11,Sheet2!$A:$A,G$2)&lt;&gt;0,SUMIFS(Sheet2!$E:$E,Sheet2!$C:$C,$A11,Sheet2!$A:$A,G$2),"")</f>
        <v/>
      </c>
      <c r="H11" s="42" t="str">
        <f>IF(SUMIFS(Sheet2!$E:$E,Sheet2!$C:$C,$A11,Sheet2!$A:$A,H$2)&lt;&gt;0,SUMIFS(Sheet2!$E:$E,Sheet2!$C:$C,$A11,Sheet2!$A:$A,H$2),"")</f>
        <v/>
      </c>
      <c r="I11" s="42" t="str">
        <f>IF(SUMIFS(Sheet2!$E:$E,Sheet2!$C:$C,$A11,Sheet2!$A:$A,I$2)&lt;&gt;0,SUMIFS(Sheet2!$E:$E,Sheet2!$C:$C,$A11,Sheet2!$A:$A,I$2),"")</f>
        <v/>
      </c>
      <c r="J11" s="42" t="str">
        <f>IF(SUMIFS(Sheet2!$E:$E,Sheet2!$C:$C,$A11,Sheet2!$A:$A,J$2)&lt;&gt;0,SUMIFS(Sheet2!$E:$E,Sheet2!$C:$C,$A11,Sheet2!$A:$A,J$2),"")</f>
        <v/>
      </c>
      <c r="K11" s="42" t="str">
        <f>IF(SUMIFS(Sheet2!$E:$E,Sheet2!$C:$C,$A11,Sheet2!$A:$A,K$2)&lt;&gt;0,SUMIFS(Sheet2!$E:$E,Sheet2!$C:$C,$A11,Sheet2!$A:$A,K$2),"")</f>
        <v/>
      </c>
      <c r="L11" s="42" t="str">
        <f>IF(SUMIFS(Sheet2!$E:$E,Sheet2!$C:$C,$A11,Sheet2!$A:$A,L$2)&lt;&gt;0,SUMIFS(Sheet2!$E:$E,Sheet2!$C:$C,$A11,Sheet2!$A:$A,L$2),"")</f>
        <v/>
      </c>
      <c r="M11" s="42" t="str">
        <f>IF(SUMIFS(Sheet2!$E:$E,Sheet2!$C:$C,$A11,Sheet2!$A:$A,M$2)&lt;&gt;0,SUMIFS(Sheet2!$E:$E,Sheet2!$C:$C,$A11,Sheet2!$A:$A,M$2),"")</f>
        <v/>
      </c>
      <c r="N11" s="42" t="str">
        <f>IF(SUMIFS(Sheet2!$E:$E,Sheet2!$C:$C,$A11,Sheet2!$A:$A,N$2)&lt;&gt;0,SUMIFS(Sheet2!$E:$E,Sheet2!$C:$C,$A11,Sheet2!$A:$A,N$2),"")</f>
        <v/>
      </c>
      <c r="O11" s="42" t="str">
        <f>IF(SUMIFS(Sheet2!$E:$E,Sheet2!$C:$C,$A11,Sheet2!$A:$A,O$2)&lt;&gt;0,SUMIFS(Sheet2!$E:$E,Sheet2!$C:$C,$A11,Sheet2!$A:$A,O$2),"")</f>
        <v/>
      </c>
      <c r="P11" s="42" t="str">
        <f>IF(SUMIFS(Sheet2!$E:$E,Sheet2!$C:$C,$A11,Sheet2!$A:$A,P$2)&lt;&gt;0,SUMIFS(Sheet2!$E:$E,Sheet2!$C:$C,$A11,Sheet2!$A:$A,P$2),"")</f>
        <v/>
      </c>
      <c r="Q11" s="42" t="str">
        <f>IF(SUMIFS(Sheet2!$E:$E,Sheet2!$C:$C,$A11,Sheet2!$A:$A,Q$2)&lt;&gt;0,SUMIFS(Sheet2!$E:$E,Sheet2!$C:$C,$A11,Sheet2!$A:$A,Q$2),"")</f>
        <v/>
      </c>
      <c r="R11" s="42" t="str">
        <f>IF(SUMIFS(Sheet2!$E:$E,Sheet2!$C:$C,$A11,Sheet2!$A:$A,R$2)&lt;&gt;0,SUMIFS(Sheet2!$E:$E,Sheet2!$C:$C,$A11,Sheet2!$A:$A,R$2),"")</f>
        <v/>
      </c>
      <c r="S11" s="42" t="str">
        <f>IF(SUMIFS(Sheet2!$E:$E,Sheet2!$C:$C,$A11,Sheet2!$A:$A,S$2)&lt;&gt;0,SUMIFS(Sheet2!$E:$E,Sheet2!$C:$C,$A11,Sheet2!$A:$A,S$2),"")</f>
        <v/>
      </c>
      <c r="T11" s="42" t="str">
        <f>IF(SUMIFS(Sheet2!$E:$E,Sheet2!$C:$C,$A11,Sheet2!$A:$A,T$2)&lt;&gt;0,SUMIFS(Sheet2!$E:$E,Sheet2!$C:$C,$A11,Sheet2!$A:$A,T$2),"")</f>
        <v/>
      </c>
      <c r="U11" s="42" t="str">
        <f>IF(SUMIFS(Sheet2!$E:$E,Sheet2!$C:$C,$A11,Sheet2!$A:$A,U$2)&lt;&gt;0,SUMIFS(Sheet2!$E:$E,Sheet2!$C:$C,$A11,Sheet2!$A:$A,U$2),"")</f>
        <v/>
      </c>
      <c r="V11" s="42" t="str">
        <f>IF(SUMIFS(Sheet2!$E:$E,Sheet2!$C:$C,$A11,Sheet2!$A:$A,V$2)&lt;&gt;0,SUMIFS(Sheet2!$E:$E,Sheet2!$C:$C,$A11,Sheet2!$A:$A,V$2),"")</f>
        <v/>
      </c>
      <c r="W11" s="42" t="str">
        <f>IF(SUMIFS(Sheet2!$E:$E,Sheet2!$C:$C,$A11,Sheet2!$A:$A,W$2)&lt;&gt;0,SUMIFS(Sheet2!$E:$E,Sheet2!$C:$C,$A11,Sheet2!$A:$A,W$2),"")</f>
        <v/>
      </c>
      <c r="X11" s="42" t="str">
        <f>IF(SUMIFS(Sheet2!$E:$E,Sheet2!$C:$C,$A11,Sheet2!$A:$A,X$2)&lt;&gt;0,SUMIFS(Sheet2!$E:$E,Sheet2!$C:$C,$A11,Sheet2!$A:$A,X$2),"")</f>
        <v/>
      </c>
      <c r="Y11" s="42" t="str">
        <f>IF(SUMIFS(Sheet2!$E:$E,Sheet2!$C:$C,$A11,Sheet2!$A:$A,Y$2)&lt;&gt;0,SUMIFS(Sheet2!$E:$E,Sheet2!$C:$C,$A11,Sheet2!$A:$A,Y$2),"")</f>
        <v/>
      </c>
      <c r="Z11" s="42" t="str">
        <f>IF(SUMIFS(Sheet2!$E:$E,Sheet2!$C:$C,$A11,Sheet2!$A:$A,Z$2)&lt;&gt;0,SUMIFS(Sheet2!$E:$E,Sheet2!$C:$C,$A11,Sheet2!$A:$A,Z$2),"")</f>
        <v/>
      </c>
      <c r="AA11" s="42" t="str">
        <f>IF(SUMIFS(Sheet2!$E:$E,Sheet2!$C:$C,$A11,Sheet2!$A:$A,AA$2)&lt;&gt;0,SUMIFS(Sheet2!$E:$E,Sheet2!$C:$C,$A11,Sheet2!$A:$A,AA$2),"")</f>
        <v/>
      </c>
      <c r="AB11" s="42" t="str">
        <f>IF(SUMIFS(Sheet2!$E:$E,Sheet2!$C:$C,$A11,Sheet2!$A:$A,AB$2)&lt;&gt;0,SUMIFS(Sheet2!$E:$E,Sheet2!$C:$C,$A11,Sheet2!$A:$A,AB$2),"")</f>
        <v/>
      </c>
      <c r="AC11" s="42" t="str">
        <f>IF(SUMIFS(Sheet2!$E:$E,Sheet2!$C:$C,$A11,Sheet2!$A:$A,AC$2)&lt;&gt;0,SUMIFS(Sheet2!$E:$E,Sheet2!$C:$C,$A11,Sheet2!$A:$A,AC$2),"")</f>
        <v/>
      </c>
      <c r="AD11" s="42" t="str">
        <f>IF(SUMIFS(Sheet2!$E:$E,Sheet2!$C:$C,$A11,Sheet2!$A:$A,AD$2)&lt;&gt;0,SUMIFS(Sheet2!$E:$E,Sheet2!$C:$C,$A11,Sheet2!$A:$A,AD$2),"")</f>
        <v/>
      </c>
      <c r="AE11" s="42" t="str">
        <f>IF(SUMIFS(Sheet2!$E:$E,Sheet2!$C:$C,$A11,Sheet2!$A:$A,AE$2)&lt;&gt;0,SUMIFS(Sheet2!$E:$E,Sheet2!$C:$C,$A11,Sheet2!$A:$A,AE$2),"")</f>
        <v/>
      </c>
      <c r="AF11" s="42" t="str">
        <f>IF(SUMIFS(Sheet2!$E:$E,Sheet2!$C:$C,$A11,Sheet2!$A:$A,AF$2)&lt;&gt;0,SUMIFS(Sheet2!$E:$E,Sheet2!$C:$C,$A11,Sheet2!$A:$A,AF$2),"")</f>
        <v/>
      </c>
      <c r="AG11" s="42" t="str">
        <f>IF(SUMIFS(Sheet2!$E:$E,Sheet2!$C:$C,$A11,Sheet2!$A:$A,AG$2)&lt;&gt;0,SUMIFS(Sheet2!$E:$E,Sheet2!$C:$C,$A11,Sheet2!$A:$A,AG$2),"")</f>
        <v/>
      </c>
      <c r="AH11" s="43">
        <f>SUM(Table2[[#This Row],[1]:[31]])</f>
        <v>0</v>
      </c>
    </row>
    <row r="12" spans="1:38" ht="12.75" customHeight="1">
      <c r="A12" s="76" t="str">
        <f>DSSP!A11</f>
        <v>A052</v>
      </c>
      <c r="B12" s="25" t="str">
        <f>DSSP!B11</f>
        <v>Nấm đôi</v>
      </c>
      <c r="C12" s="42" t="str">
        <f>IF(SUMIFS(Sheet2!$E:$E,Sheet2!$C:$C,$A12,Sheet2!$A:$A,C$2)&lt;&gt;0,SUMIFS(Sheet2!$E:$E,Sheet2!$C:$C,$A12,Sheet2!$A:$A,C$2),"")</f>
        <v/>
      </c>
      <c r="D12" s="42" t="str">
        <f>IF(SUMIFS(Sheet2!$E:$E,Sheet2!$C:$C,$A12,Sheet2!$A:$A,D$2)&lt;&gt;0,SUMIFS(Sheet2!$E:$E,Sheet2!$C:$C,$A12,Sheet2!$A:$A,D$2),"")</f>
        <v/>
      </c>
      <c r="E12" s="42" t="str">
        <f>IF(SUMIFS(Sheet2!$E:$E,Sheet2!$C:$C,$A12,Sheet2!$A:$A,E$2)&lt;&gt;0,SUMIFS(Sheet2!$E:$E,Sheet2!$C:$C,$A12,Sheet2!$A:$A,E$2),"")</f>
        <v/>
      </c>
      <c r="F12" s="42" t="str">
        <f>IF(SUMIFS(Sheet2!$E:$E,Sheet2!$C:$C,$A12,Sheet2!$A:$A,F$2)&lt;&gt;0,SUMIFS(Sheet2!$E:$E,Sheet2!$C:$C,$A12,Sheet2!$A:$A,F$2),"")</f>
        <v/>
      </c>
      <c r="G12" s="42" t="str">
        <f>IF(SUMIFS(Sheet2!$E:$E,Sheet2!$C:$C,$A12,Sheet2!$A:$A,G$2)&lt;&gt;0,SUMIFS(Sheet2!$E:$E,Sheet2!$C:$C,$A12,Sheet2!$A:$A,G$2),"")</f>
        <v/>
      </c>
      <c r="H12" s="42" t="str">
        <f>IF(SUMIFS(Sheet2!$E:$E,Sheet2!$C:$C,$A12,Sheet2!$A:$A,H$2)&lt;&gt;0,SUMIFS(Sheet2!$E:$E,Sheet2!$C:$C,$A12,Sheet2!$A:$A,H$2),"")</f>
        <v/>
      </c>
      <c r="I12" s="42" t="str">
        <f>IF(SUMIFS(Sheet2!$E:$E,Sheet2!$C:$C,$A12,Sheet2!$A:$A,I$2)&lt;&gt;0,SUMIFS(Sheet2!$E:$E,Sheet2!$C:$C,$A12,Sheet2!$A:$A,I$2),"")</f>
        <v/>
      </c>
      <c r="J12" s="42" t="str">
        <f>IF(SUMIFS(Sheet2!$E:$E,Sheet2!$C:$C,$A12,Sheet2!$A:$A,J$2)&lt;&gt;0,SUMIFS(Sheet2!$E:$E,Sheet2!$C:$C,$A12,Sheet2!$A:$A,J$2),"")</f>
        <v/>
      </c>
      <c r="K12" s="42" t="str">
        <f>IF(SUMIFS(Sheet2!$E:$E,Sheet2!$C:$C,$A12,Sheet2!$A:$A,K$2)&lt;&gt;0,SUMIFS(Sheet2!$E:$E,Sheet2!$C:$C,$A12,Sheet2!$A:$A,K$2),"")</f>
        <v/>
      </c>
      <c r="L12" s="42" t="str">
        <f>IF(SUMIFS(Sheet2!$E:$E,Sheet2!$C:$C,$A12,Sheet2!$A:$A,L$2)&lt;&gt;0,SUMIFS(Sheet2!$E:$E,Sheet2!$C:$C,$A12,Sheet2!$A:$A,L$2),"")</f>
        <v/>
      </c>
      <c r="M12" s="42" t="str">
        <f>IF(SUMIFS(Sheet2!$E:$E,Sheet2!$C:$C,$A12,Sheet2!$A:$A,M$2)&lt;&gt;0,SUMIFS(Sheet2!$E:$E,Sheet2!$C:$C,$A12,Sheet2!$A:$A,M$2),"")</f>
        <v/>
      </c>
      <c r="N12" s="42" t="str">
        <f>IF(SUMIFS(Sheet2!$E:$E,Sheet2!$C:$C,$A12,Sheet2!$A:$A,N$2)&lt;&gt;0,SUMIFS(Sheet2!$E:$E,Sheet2!$C:$C,$A12,Sheet2!$A:$A,N$2),"")</f>
        <v/>
      </c>
      <c r="O12" s="42" t="str">
        <f>IF(SUMIFS(Sheet2!$E:$E,Sheet2!$C:$C,$A12,Sheet2!$A:$A,O$2)&lt;&gt;0,SUMIFS(Sheet2!$E:$E,Sheet2!$C:$C,$A12,Sheet2!$A:$A,O$2),"")</f>
        <v/>
      </c>
      <c r="P12" s="42" t="str">
        <f>IF(SUMIFS(Sheet2!$E:$E,Sheet2!$C:$C,$A12,Sheet2!$A:$A,P$2)&lt;&gt;0,SUMIFS(Sheet2!$E:$E,Sheet2!$C:$C,$A12,Sheet2!$A:$A,P$2),"")</f>
        <v/>
      </c>
      <c r="Q12" s="42" t="str">
        <f>IF(SUMIFS(Sheet2!$E:$E,Sheet2!$C:$C,$A12,Sheet2!$A:$A,Q$2)&lt;&gt;0,SUMIFS(Sheet2!$E:$E,Sheet2!$C:$C,$A12,Sheet2!$A:$A,Q$2),"")</f>
        <v/>
      </c>
      <c r="R12" s="42" t="str">
        <f>IF(SUMIFS(Sheet2!$E:$E,Sheet2!$C:$C,$A12,Sheet2!$A:$A,R$2)&lt;&gt;0,SUMIFS(Sheet2!$E:$E,Sheet2!$C:$C,$A12,Sheet2!$A:$A,R$2),"")</f>
        <v/>
      </c>
      <c r="S12" s="42" t="str">
        <f>IF(SUMIFS(Sheet2!$E:$E,Sheet2!$C:$C,$A12,Sheet2!$A:$A,S$2)&lt;&gt;0,SUMIFS(Sheet2!$E:$E,Sheet2!$C:$C,$A12,Sheet2!$A:$A,S$2),"")</f>
        <v/>
      </c>
      <c r="T12" s="42" t="str">
        <f>IF(SUMIFS(Sheet2!$E:$E,Sheet2!$C:$C,$A12,Sheet2!$A:$A,T$2)&lt;&gt;0,SUMIFS(Sheet2!$E:$E,Sheet2!$C:$C,$A12,Sheet2!$A:$A,T$2),"")</f>
        <v/>
      </c>
      <c r="U12" s="42" t="str">
        <f>IF(SUMIFS(Sheet2!$E:$E,Sheet2!$C:$C,$A12,Sheet2!$A:$A,U$2)&lt;&gt;0,SUMIFS(Sheet2!$E:$E,Sheet2!$C:$C,$A12,Sheet2!$A:$A,U$2),"")</f>
        <v/>
      </c>
      <c r="V12" s="42" t="str">
        <f>IF(SUMIFS(Sheet2!$E:$E,Sheet2!$C:$C,$A12,Sheet2!$A:$A,V$2)&lt;&gt;0,SUMIFS(Sheet2!$E:$E,Sheet2!$C:$C,$A12,Sheet2!$A:$A,V$2),"")</f>
        <v/>
      </c>
      <c r="W12" s="42" t="str">
        <f>IF(SUMIFS(Sheet2!$E:$E,Sheet2!$C:$C,$A12,Sheet2!$A:$A,W$2)&lt;&gt;0,SUMIFS(Sheet2!$E:$E,Sheet2!$C:$C,$A12,Sheet2!$A:$A,W$2),"")</f>
        <v/>
      </c>
      <c r="X12" s="42" t="str">
        <f>IF(SUMIFS(Sheet2!$E:$E,Sheet2!$C:$C,$A12,Sheet2!$A:$A,X$2)&lt;&gt;0,SUMIFS(Sheet2!$E:$E,Sheet2!$C:$C,$A12,Sheet2!$A:$A,X$2),"")</f>
        <v/>
      </c>
      <c r="Y12" s="42" t="str">
        <f>IF(SUMIFS(Sheet2!$E:$E,Sheet2!$C:$C,$A12,Sheet2!$A:$A,Y$2)&lt;&gt;0,SUMIFS(Sheet2!$E:$E,Sheet2!$C:$C,$A12,Sheet2!$A:$A,Y$2),"")</f>
        <v/>
      </c>
      <c r="Z12" s="42" t="str">
        <f>IF(SUMIFS(Sheet2!$E:$E,Sheet2!$C:$C,$A12,Sheet2!$A:$A,Z$2)&lt;&gt;0,SUMIFS(Sheet2!$E:$E,Sheet2!$C:$C,$A12,Sheet2!$A:$A,Z$2),"")</f>
        <v/>
      </c>
      <c r="AA12" s="42" t="str">
        <f>IF(SUMIFS(Sheet2!$E:$E,Sheet2!$C:$C,$A12,Sheet2!$A:$A,AA$2)&lt;&gt;0,SUMIFS(Sheet2!$E:$E,Sheet2!$C:$C,$A12,Sheet2!$A:$A,AA$2),"")</f>
        <v/>
      </c>
      <c r="AB12" s="42" t="str">
        <f>IF(SUMIFS(Sheet2!$E:$E,Sheet2!$C:$C,$A12,Sheet2!$A:$A,AB$2)&lt;&gt;0,SUMIFS(Sheet2!$E:$E,Sheet2!$C:$C,$A12,Sheet2!$A:$A,AB$2),"")</f>
        <v/>
      </c>
      <c r="AC12" s="42" t="str">
        <f>IF(SUMIFS(Sheet2!$E:$E,Sheet2!$C:$C,$A12,Sheet2!$A:$A,AC$2)&lt;&gt;0,SUMIFS(Sheet2!$E:$E,Sheet2!$C:$C,$A12,Sheet2!$A:$A,AC$2),"")</f>
        <v/>
      </c>
      <c r="AD12" s="42" t="str">
        <f>IF(SUMIFS(Sheet2!$E:$E,Sheet2!$C:$C,$A12,Sheet2!$A:$A,AD$2)&lt;&gt;0,SUMIFS(Sheet2!$E:$E,Sheet2!$C:$C,$A12,Sheet2!$A:$A,AD$2),"")</f>
        <v/>
      </c>
      <c r="AE12" s="42" t="str">
        <f>IF(SUMIFS(Sheet2!$E:$E,Sheet2!$C:$C,$A12,Sheet2!$A:$A,AE$2)&lt;&gt;0,SUMIFS(Sheet2!$E:$E,Sheet2!$C:$C,$A12,Sheet2!$A:$A,AE$2),"")</f>
        <v/>
      </c>
      <c r="AF12" s="42" t="str">
        <f>IF(SUMIFS(Sheet2!$E:$E,Sheet2!$C:$C,$A12,Sheet2!$A:$A,AF$2)&lt;&gt;0,SUMIFS(Sheet2!$E:$E,Sheet2!$C:$C,$A12,Sheet2!$A:$A,AF$2),"")</f>
        <v/>
      </c>
      <c r="AG12" s="42" t="str">
        <f>IF(SUMIFS(Sheet2!$E:$E,Sheet2!$C:$C,$A12,Sheet2!$A:$A,AG$2)&lt;&gt;0,SUMIFS(Sheet2!$E:$E,Sheet2!$C:$C,$A12,Sheet2!$A:$A,AG$2),"")</f>
        <v/>
      </c>
      <c r="AH12" s="43">
        <f>SUM(Table2[[#This Row],[1]:[31]])</f>
        <v>0</v>
      </c>
    </row>
    <row r="13" spans="1:38" ht="12.75" customHeight="1">
      <c r="A13" s="76" t="str">
        <f>DSSP!A12</f>
        <v>A054</v>
      </c>
      <c r="B13" s="25" t="str">
        <f>DSSP!B12</f>
        <v>Cáo đôi</v>
      </c>
      <c r="C13" s="42" t="str">
        <f>IF(SUMIFS(Sheet2!$E:$E,Sheet2!$C:$C,$A13,Sheet2!$A:$A,C$2)&lt;&gt;0,SUMIFS(Sheet2!$E:$E,Sheet2!$C:$C,$A13,Sheet2!$A:$A,C$2),"")</f>
        <v/>
      </c>
      <c r="D13" s="42" t="str">
        <f>IF(SUMIFS(Sheet2!$E:$E,Sheet2!$C:$C,$A13,Sheet2!$A:$A,D$2)&lt;&gt;0,SUMIFS(Sheet2!$E:$E,Sheet2!$C:$C,$A13,Sheet2!$A:$A,D$2),"")</f>
        <v/>
      </c>
      <c r="E13" s="42" t="str">
        <f>IF(SUMIFS(Sheet2!$E:$E,Sheet2!$C:$C,$A13,Sheet2!$A:$A,E$2)&lt;&gt;0,SUMIFS(Sheet2!$E:$E,Sheet2!$C:$C,$A13,Sheet2!$A:$A,E$2),"")</f>
        <v/>
      </c>
      <c r="F13" s="42" t="str">
        <f>IF(SUMIFS(Sheet2!$E:$E,Sheet2!$C:$C,$A13,Sheet2!$A:$A,F$2)&lt;&gt;0,SUMIFS(Sheet2!$E:$E,Sheet2!$C:$C,$A13,Sheet2!$A:$A,F$2),"")</f>
        <v/>
      </c>
      <c r="G13" s="42" t="str">
        <f>IF(SUMIFS(Sheet2!$E:$E,Sheet2!$C:$C,$A13,Sheet2!$A:$A,G$2)&lt;&gt;0,SUMIFS(Sheet2!$E:$E,Sheet2!$C:$C,$A13,Sheet2!$A:$A,G$2),"")</f>
        <v/>
      </c>
      <c r="H13" s="42" t="str">
        <f>IF(SUMIFS(Sheet2!$E:$E,Sheet2!$C:$C,$A13,Sheet2!$A:$A,H$2)&lt;&gt;0,SUMIFS(Sheet2!$E:$E,Sheet2!$C:$C,$A13,Sheet2!$A:$A,H$2),"")</f>
        <v/>
      </c>
      <c r="I13" s="42" t="str">
        <f>IF(SUMIFS(Sheet2!$E:$E,Sheet2!$C:$C,$A13,Sheet2!$A:$A,I$2)&lt;&gt;0,SUMIFS(Sheet2!$E:$E,Sheet2!$C:$C,$A13,Sheet2!$A:$A,I$2),"")</f>
        <v/>
      </c>
      <c r="J13" s="42" t="str">
        <f>IF(SUMIFS(Sheet2!$E:$E,Sheet2!$C:$C,$A13,Sheet2!$A:$A,J$2)&lt;&gt;0,SUMIFS(Sheet2!$E:$E,Sheet2!$C:$C,$A13,Sheet2!$A:$A,J$2),"")</f>
        <v/>
      </c>
      <c r="K13" s="42" t="str">
        <f>IF(SUMIFS(Sheet2!$E:$E,Sheet2!$C:$C,$A13,Sheet2!$A:$A,K$2)&lt;&gt;0,SUMIFS(Sheet2!$E:$E,Sheet2!$C:$C,$A13,Sheet2!$A:$A,K$2),"")</f>
        <v/>
      </c>
      <c r="L13" s="42" t="str">
        <f>IF(SUMIFS(Sheet2!$E:$E,Sheet2!$C:$C,$A13,Sheet2!$A:$A,L$2)&lt;&gt;0,SUMIFS(Sheet2!$E:$E,Sheet2!$C:$C,$A13,Sheet2!$A:$A,L$2),"")</f>
        <v/>
      </c>
      <c r="M13" s="42" t="str">
        <f>IF(SUMIFS(Sheet2!$E:$E,Sheet2!$C:$C,$A13,Sheet2!$A:$A,M$2)&lt;&gt;0,SUMIFS(Sheet2!$E:$E,Sheet2!$C:$C,$A13,Sheet2!$A:$A,M$2),"")</f>
        <v/>
      </c>
      <c r="N13" s="42" t="str">
        <f>IF(SUMIFS(Sheet2!$E:$E,Sheet2!$C:$C,$A13,Sheet2!$A:$A,N$2)&lt;&gt;0,SUMIFS(Sheet2!$E:$E,Sheet2!$C:$C,$A13,Sheet2!$A:$A,N$2),"")</f>
        <v/>
      </c>
      <c r="O13" s="42" t="str">
        <f>IF(SUMIFS(Sheet2!$E:$E,Sheet2!$C:$C,$A13,Sheet2!$A:$A,O$2)&lt;&gt;0,SUMIFS(Sheet2!$E:$E,Sheet2!$C:$C,$A13,Sheet2!$A:$A,O$2),"")</f>
        <v/>
      </c>
      <c r="P13" s="42" t="str">
        <f>IF(SUMIFS(Sheet2!$E:$E,Sheet2!$C:$C,$A13,Sheet2!$A:$A,P$2)&lt;&gt;0,SUMIFS(Sheet2!$E:$E,Sheet2!$C:$C,$A13,Sheet2!$A:$A,P$2),"")</f>
        <v/>
      </c>
      <c r="Q13" s="42" t="str">
        <f>IF(SUMIFS(Sheet2!$E:$E,Sheet2!$C:$C,$A13,Sheet2!$A:$A,Q$2)&lt;&gt;0,SUMIFS(Sheet2!$E:$E,Sheet2!$C:$C,$A13,Sheet2!$A:$A,Q$2),"")</f>
        <v/>
      </c>
      <c r="R13" s="42" t="str">
        <f>IF(SUMIFS(Sheet2!$E:$E,Sheet2!$C:$C,$A13,Sheet2!$A:$A,R$2)&lt;&gt;0,SUMIFS(Sheet2!$E:$E,Sheet2!$C:$C,$A13,Sheet2!$A:$A,R$2),"")</f>
        <v/>
      </c>
      <c r="S13" s="42" t="str">
        <f>IF(SUMIFS(Sheet2!$E:$E,Sheet2!$C:$C,$A13,Sheet2!$A:$A,S$2)&lt;&gt;0,SUMIFS(Sheet2!$E:$E,Sheet2!$C:$C,$A13,Sheet2!$A:$A,S$2),"")</f>
        <v/>
      </c>
      <c r="T13" s="42" t="str">
        <f>IF(SUMIFS(Sheet2!$E:$E,Sheet2!$C:$C,$A13,Sheet2!$A:$A,T$2)&lt;&gt;0,SUMIFS(Sheet2!$E:$E,Sheet2!$C:$C,$A13,Sheet2!$A:$A,T$2),"")</f>
        <v/>
      </c>
      <c r="U13" s="42" t="str">
        <f>IF(SUMIFS(Sheet2!$E:$E,Sheet2!$C:$C,$A13,Sheet2!$A:$A,U$2)&lt;&gt;0,SUMIFS(Sheet2!$E:$E,Sheet2!$C:$C,$A13,Sheet2!$A:$A,U$2),"")</f>
        <v/>
      </c>
      <c r="V13" s="42" t="str">
        <f>IF(SUMIFS(Sheet2!$E:$E,Sheet2!$C:$C,$A13,Sheet2!$A:$A,V$2)&lt;&gt;0,SUMIFS(Sheet2!$E:$E,Sheet2!$C:$C,$A13,Sheet2!$A:$A,V$2),"")</f>
        <v/>
      </c>
      <c r="W13" s="42" t="str">
        <f>IF(SUMIFS(Sheet2!$E:$E,Sheet2!$C:$C,$A13,Sheet2!$A:$A,W$2)&lt;&gt;0,SUMIFS(Sheet2!$E:$E,Sheet2!$C:$C,$A13,Sheet2!$A:$A,W$2),"")</f>
        <v/>
      </c>
      <c r="X13" s="42" t="str">
        <f>IF(SUMIFS(Sheet2!$E:$E,Sheet2!$C:$C,$A13,Sheet2!$A:$A,X$2)&lt;&gt;0,SUMIFS(Sheet2!$E:$E,Sheet2!$C:$C,$A13,Sheet2!$A:$A,X$2),"")</f>
        <v/>
      </c>
      <c r="Y13" s="42" t="str">
        <f>IF(SUMIFS(Sheet2!$E:$E,Sheet2!$C:$C,$A13,Sheet2!$A:$A,Y$2)&lt;&gt;0,SUMIFS(Sheet2!$E:$E,Sheet2!$C:$C,$A13,Sheet2!$A:$A,Y$2),"")</f>
        <v/>
      </c>
      <c r="Z13" s="42" t="str">
        <f>IF(SUMIFS(Sheet2!$E:$E,Sheet2!$C:$C,$A13,Sheet2!$A:$A,Z$2)&lt;&gt;0,SUMIFS(Sheet2!$E:$E,Sheet2!$C:$C,$A13,Sheet2!$A:$A,Z$2),"")</f>
        <v/>
      </c>
      <c r="AA13" s="42" t="str">
        <f>IF(SUMIFS(Sheet2!$E:$E,Sheet2!$C:$C,$A13,Sheet2!$A:$A,AA$2)&lt;&gt;0,SUMIFS(Sheet2!$E:$E,Sheet2!$C:$C,$A13,Sheet2!$A:$A,AA$2),"")</f>
        <v/>
      </c>
      <c r="AB13" s="42" t="str">
        <f>IF(SUMIFS(Sheet2!$E:$E,Sheet2!$C:$C,$A13,Sheet2!$A:$A,AB$2)&lt;&gt;0,SUMIFS(Sheet2!$E:$E,Sheet2!$C:$C,$A13,Sheet2!$A:$A,AB$2),"")</f>
        <v/>
      </c>
      <c r="AC13" s="42" t="str">
        <f>IF(SUMIFS(Sheet2!$E:$E,Sheet2!$C:$C,$A13,Sheet2!$A:$A,AC$2)&lt;&gt;0,SUMIFS(Sheet2!$E:$E,Sheet2!$C:$C,$A13,Sheet2!$A:$A,AC$2),"")</f>
        <v/>
      </c>
      <c r="AD13" s="42" t="str">
        <f>IF(SUMIFS(Sheet2!$E:$E,Sheet2!$C:$C,$A13,Sheet2!$A:$A,AD$2)&lt;&gt;0,SUMIFS(Sheet2!$E:$E,Sheet2!$C:$C,$A13,Sheet2!$A:$A,AD$2),"")</f>
        <v/>
      </c>
      <c r="AE13" s="42" t="str">
        <f>IF(SUMIFS(Sheet2!$E:$E,Sheet2!$C:$C,$A13,Sheet2!$A:$A,AE$2)&lt;&gt;0,SUMIFS(Sheet2!$E:$E,Sheet2!$C:$C,$A13,Sheet2!$A:$A,AE$2),"")</f>
        <v/>
      </c>
      <c r="AF13" s="42" t="str">
        <f>IF(SUMIFS(Sheet2!$E:$E,Sheet2!$C:$C,$A13,Sheet2!$A:$A,AF$2)&lt;&gt;0,SUMIFS(Sheet2!$E:$E,Sheet2!$C:$C,$A13,Sheet2!$A:$A,AF$2),"")</f>
        <v/>
      </c>
      <c r="AG13" s="42" t="str">
        <f>IF(SUMIFS(Sheet2!$E:$E,Sheet2!$C:$C,$A13,Sheet2!$A:$A,AG$2)&lt;&gt;0,SUMIFS(Sheet2!$E:$E,Sheet2!$C:$C,$A13,Sheet2!$A:$A,AG$2),"")</f>
        <v/>
      </c>
      <c r="AH13" s="43">
        <f>SUM(Table2[[#This Row],[1]:[31]])</f>
        <v>0</v>
      </c>
    </row>
    <row r="14" spans="1:38" ht="12.75" customHeight="1">
      <c r="A14" s="76" t="str">
        <f>DSSP!A13</f>
        <v>A055</v>
      </c>
      <c r="B14" s="25" t="str">
        <f>DSSP!B13</f>
        <v>Cơm nắm</v>
      </c>
      <c r="C14" s="42" t="str">
        <f>IF(SUMIFS(Sheet2!$E:$E,Sheet2!$C:$C,$A14,Sheet2!$A:$A,C$2)&lt;&gt;0,SUMIFS(Sheet2!$E:$E,Sheet2!$C:$C,$A14,Sheet2!$A:$A,C$2),"")</f>
        <v/>
      </c>
      <c r="D14" s="42" t="str">
        <f>IF(SUMIFS(Sheet2!$E:$E,Sheet2!$C:$C,$A14,Sheet2!$A:$A,D$2)&lt;&gt;0,SUMIFS(Sheet2!$E:$E,Sheet2!$C:$C,$A14,Sheet2!$A:$A,D$2),"")</f>
        <v/>
      </c>
      <c r="E14" s="42" t="str">
        <f>IF(SUMIFS(Sheet2!$E:$E,Sheet2!$C:$C,$A14,Sheet2!$A:$A,E$2)&lt;&gt;0,SUMIFS(Sheet2!$E:$E,Sheet2!$C:$C,$A14,Sheet2!$A:$A,E$2),"")</f>
        <v/>
      </c>
      <c r="F14" s="42" t="str">
        <f>IF(SUMIFS(Sheet2!$E:$E,Sheet2!$C:$C,$A14,Sheet2!$A:$A,F$2)&lt;&gt;0,SUMIFS(Sheet2!$E:$E,Sheet2!$C:$C,$A14,Sheet2!$A:$A,F$2),"")</f>
        <v/>
      </c>
      <c r="G14" s="42" t="str">
        <f>IF(SUMIFS(Sheet2!$E:$E,Sheet2!$C:$C,$A14,Sheet2!$A:$A,G$2)&lt;&gt;0,SUMIFS(Sheet2!$E:$E,Sheet2!$C:$C,$A14,Sheet2!$A:$A,G$2),"")</f>
        <v/>
      </c>
      <c r="H14" s="42" t="str">
        <f>IF(SUMIFS(Sheet2!$E:$E,Sheet2!$C:$C,$A14,Sheet2!$A:$A,H$2)&lt;&gt;0,SUMIFS(Sheet2!$E:$E,Sheet2!$C:$C,$A14,Sheet2!$A:$A,H$2),"")</f>
        <v/>
      </c>
      <c r="I14" s="42" t="str">
        <f>IF(SUMIFS(Sheet2!$E:$E,Sheet2!$C:$C,$A14,Sheet2!$A:$A,I$2)&lt;&gt;0,SUMIFS(Sheet2!$E:$E,Sheet2!$C:$C,$A14,Sheet2!$A:$A,I$2),"")</f>
        <v/>
      </c>
      <c r="J14" s="42" t="str">
        <f>IF(SUMIFS(Sheet2!$E:$E,Sheet2!$C:$C,$A14,Sheet2!$A:$A,J$2)&lt;&gt;0,SUMIFS(Sheet2!$E:$E,Sheet2!$C:$C,$A14,Sheet2!$A:$A,J$2),"")</f>
        <v/>
      </c>
      <c r="K14" s="42" t="str">
        <f>IF(SUMIFS(Sheet2!$E:$E,Sheet2!$C:$C,$A14,Sheet2!$A:$A,K$2)&lt;&gt;0,SUMIFS(Sheet2!$E:$E,Sheet2!$C:$C,$A14,Sheet2!$A:$A,K$2),"")</f>
        <v/>
      </c>
      <c r="L14" s="42" t="str">
        <f>IF(SUMIFS(Sheet2!$E:$E,Sheet2!$C:$C,$A14,Sheet2!$A:$A,L$2)&lt;&gt;0,SUMIFS(Sheet2!$E:$E,Sheet2!$C:$C,$A14,Sheet2!$A:$A,L$2),"")</f>
        <v/>
      </c>
      <c r="M14" s="42" t="str">
        <f>IF(SUMIFS(Sheet2!$E:$E,Sheet2!$C:$C,$A14,Sheet2!$A:$A,M$2)&lt;&gt;0,SUMIFS(Sheet2!$E:$E,Sheet2!$C:$C,$A14,Sheet2!$A:$A,M$2),"")</f>
        <v/>
      </c>
      <c r="N14" s="42" t="str">
        <f>IF(SUMIFS(Sheet2!$E:$E,Sheet2!$C:$C,$A14,Sheet2!$A:$A,N$2)&lt;&gt;0,SUMIFS(Sheet2!$E:$E,Sheet2!$C:$C,$A14,Sheet2!$A:$A,N$2),"")</f>
        <v/>
      </c>
      <c r="O14" s="42" t="str">
        <f>IF(SUMIFS(Sheet2!$E:$E,Sheet2!$C:$C,$A14,Sheet2!$A:$A,O$2)&lt;&gt;0,SUMIFS(Sheet2!$E:$E,Sheet2!$C:$C,$A14,Sheet2!$A:$A,O$2),"")</f>
        <v/>
      </c>
      <c r="P14" s="42" t="str">
        <f>IF(SUMIFS(Sheet2!$E:$E,Sheet2!$C:$C,$A14,Sheet2!$A:$A,P$2)&lt;&gt;0,SUMIFS(Sheet2!$E:$E,Sheet2!$C:$C,$A14,Sheet2!$A:$A,P$2),"")</f>
        <v/>
      </c>
      <c r="Q14" s="42" t="str">
        <f>IF(SUMIFS(Sheet2!$E:$E,Sheet2!$C:$C,$A14,Sheet2!$A:$A,Q$2)&lt;&gt;0,SUMIFS(Sheet2!$E:$E,Sheet2!$C:$C,$A14,Sheet2!$A:$A,Q$2),"")</f>
        <v/>
      </c>
      <c r="R14" s="42" t="str">
        <f>IF(SUMIFS(Sheet2!$E:$E,Sheet2!$C:$C,$A14,Sheet2!$A:$A,R$2)&lt;&gt;0,SUMIFS(Sheet2!$E:$E,Sheet2!$C:$C,$A14,Sheet2!$A:$A,R$2),"")</f>
        <v/>
      </c>
      <c r="S14" s="42" t="str">
        <f>IF(SUMIFS(Sheet2!$E:$E,Sheet2!$C:$C,$A14,Sheet2!$A:$A,S$2)&lt;&gt;0,SUMIFS(Sheet2!$E:$E,Sheet2!$C:$C,$A14,Sheet2!$A:$A,S$2),"")</f>
        <v/>
      </c>
      <c r="T14" s="42" t="str">
        <f>IF(SUMIFS(Sheet2!$E:$E,Sheet2!$C:$C,$A14,Sheet2!$A:$A,T$2)&lt;&gt;0,SUMIFS(Sheet2!$E:$E,Sheet2!$C:$C,$A14,Sheet2!$A:$A,T$2),"")</f>
        <v/>
      </c>
      <c r="U14" s="42" t="str">
        <f>IF(SUMIFS(Sheet2!$E:$E,Sheet2!$C:$C,$A14,Sheet2!$A:$A,U$2)&lt;&gt;0,SUMIFS(Sheet2!$E:$E,Sheet2!$C:$C,$A14,Sheet2!$A:$A,U$2),"")</f>
        <v/>
      </c>
      <c r="V14" s="42" t="str">
        <f>IF(SUMIFS(Sheet2!$E:$E,Sheet2!$C:$C,$A14,Sheet2!$A:$A,V$2)&lt;&gt;0,SUMIFS(Sheet2!$E:$E,Sheet2!$C:$C,$A14,Sheet2!$A:$A,V$2),"")</f>
        <v/>
      </c>
      <c r="W14" s="42" t="str">
        <f>IF(SUMIFS(Sheet2!$E:$E,Sheet2!$C:$C,$A14,Sheet2!$A:$A,W$2)&lt;&gt;0,SUMIFS(Sheet2!$E:$E,Sheet2!$C:$C,$A14,Sheet2!$A:$A,W$2),"")</f>
        <v/>
      </c>
      <c r="X14" s="42" t="str">
        <f>IF(SUMIFS(Sheet2!$E:$E,Sheet2!$C:$C,$A14,Sheet2!$A:$A,X$2)&lt;&gt;0,SUMIFS(Sheet2!$E:$E,Sheet2!$C:$C,$A14,Sheet2!$A:$A,X$2),"")</f>
        <v/>
      </c>
      <c r="Y14" s="42" t="str">
        <f>IF(SUMIFS(Sheet2!$E:$E,Sheet2!$C:$C,$A14,Sheet2!$A:$A,Y$2)&lt;&gt;0,SUMIFS(Sheet2!$E:$E,Sheet2!$C:$C,$A14,Sheet2!$A:$A,Y$2),"")</f>
        <v/>
      </c>
      <c r="Z14" s="42" t="str">
        <f>IF(SUMIFS(Sheet2!$E:$E,Sheet2!$C:$C,$A14,Sheet2!$A:$A,Z$2)&lt;&gt;0,SUMIFS(Sheet2!$E:$E,Sheet2!$C:$C,$A14,Sheet2!$A:$A,Z$2),"")</f>
        <v/>
      </c>
      <c r="AA14" s="42" t="str">
        <f>IF(SUMIFS(Sheet2!$E:$E,Sheet2!$C:$C,$A14,Sheet2!$A:$A,AA$2)&lt;&gt;0,SUMIFS(Sheet2!$E:$E,Sheet2!$C:$C,$A14,Sheet2!$A:$A,AA$2),"")</f>
        <v/>
      </c>
      <c r="AB14" s="42" t="str">
        <f>IF(SUMIFS(Sheet2!$E:$E,Sheet2!$C:$C,$A14,Sheet2!$A:$A,AB$2)&lt;&gt;0,SUMIFS(Sheet2!$E:$E,Sheet2!$C:$C,$A14,Sheet2!$A:$A,AB$2),"")</f>
        <v/>
      </c>
      <c r="AC14" s="42" t="str">
        <f>IF(SUMIFS(Sheet2!$E:$E,Sheet2!$C:$C,$A14,Sheet2!$A:$A,AC$2)&lt;&gt;0,SUMIFS(Sheet2!$E:$E,Sheet2!$C:$C,$A14,Sheet2!$A:$A,AC$2),"")</f>
        <v/>
      </c>
      <c r="AD14" s="42" t="str">
        <f>IF(SUMIFS(Sheet2!$E:$E,Sheet2!$C:$C,$A14,Sheet2!$A:$A,AD$2)&lt;&gt;0,SUMIFS(Sheet2!$E:$E,Sheet2!$C:$C,$A14,Sheet2!$A:$A,AD$2),"")</f>
        <v/>
      </c>
      <c r="AE14" s="42" t="str">
        <f>IF(SUMIFS(Sheet2!$E:$E,Sheet2!$C:$C,$A14,Sheet2!$A:$A,AE$2)&lt;&gt;0,SUMIFS(Sheet2!$E:$E,Sheet2!$C:$C,$A14,Sheet2!$A:$A,AE$2),"")</f>
        <v/>
      </c>
      <c r="AF14" s="42" t="str">
        <f>IF(SUMIFS(Sheet2!$E:$E,Sheet2!$C:$C,$A14,Sheet2!$A:$A,AF$2)&lt;&gt;0,SUMIFS(Sheet2!$E:$E,Sheet2!$C:$C,$A14,Sheet2!$A:$A,AF$2),"")</f>
        <v/>
      </c>
      <c r="AG14" s="42" t="str">
        <f>IF(SUMIFS(Sheet2!$E:$E,Sheet2!$C:$C,$A14,Sheet2!$A:$A,AG$2)&lt;&gt;0,SUMIFS(Sheet2!$E:$E,Sheet2!$C:$C,$A14,Sheet2!$A:$A,AG$2),"")</f>
        <v/>
      </c>
      <c r="AH14" s="43">
        <f>SUM(Table2[[#This Row],[1]:[31]])</f>
        <v>0</v>
      </c>
    </row>
    <row r="15" spans="1:38" ht="12.75" customHeight="1">
      <c r="A15" s="76" t="str">
        <f>DSSP!A14</f>
        <v>A056</v>
      </c>
      <c r="B15" s="25" t="str">
        <f>DSSP!B14</f>
        <v>Ong</v>
      </c>
      <c r="C15" s="42" t="str">
        <f>IF(SUMIFS(Sheet2!$E:$E,Sheet2!$C:$C,$A15,Sheet2!$A:$A,C$2)&lt;&gt;0,SUMIFS(Sheet2!$E:$E,Sheet2!$C:$C,$A15,Sheet2!$A:$A,C$2),"")</f>
        <v/>
      </c>
      <c r="D15" s="42" t="str">
        <f>IF(SUMIFS(Sheet2!$E:$E,Sheet2!$C:$C,$A15,Sheet2!$A:$A,D$2)&lt;&gt;0,SUMIFS(Sheet2!$E:$E,Sheet2!$C:$C,$A15,Sheet2!$A:$A,D$2),"")</f>
        <v/>
      </c>
      <c r="E15" s="42" t="str">
        <f>IF(SUMIFS(Sheet2!$E:$E,Sheet2!$C:$C,$A15,Sheet2!$A:$A,E$2)&lt;&gt;0,SUMIFS(Sheet2!$E:$E,Sheet2!$C:$C,$A15,Sheet2!$A:$A,E$2),"")</f>
        <v/>
      </c>
      <c r="F15" s="42" t="str">
        <f>IF(SUMIFS(Sheet2!$E:$E,Sheet2!$C:$C,$A15,Sheet2!$A:$A,F$2)&lt;&gt;0,SUMIFS(Sheet2!$E:$E,Sheet2!$C:$C,$A15,Sheet2!$A:$A,F$2),"")</f>
        <v/>
      </c>
      <c r="G15" s="42" t="str">
        <f>IF(SUMIFS(Sheet2!$E:$E,Sheet2!$C:$C,$A15,Sheet2!$A:$A,G$2)&lt;&gt;0,SUMIFS(Sheet2!$E:$E,Sheet2!$C:$C,$A15,Sheet2!$A:$A,G$2),"")</f>
        <v/>
      </c>
      <c r="H15" s="42" t="str">
        <f>IF(SUMIFS(Sheet2!$E:$E,Sheet2!$C:$C,$A15,Sheet2!$A:$A,H$2)&lt;&gt;0,SUMIFS(Sheet2!$E:$E,Sheet2!$C:$C,$A15,Sheet2!$A:$A,H$2),"")</f>
        <v/>
      </c>
      <c r="I15" s="42" t="str">
        <f>IF(SUMIFS(Sheet2!$E:$E,Sheet2!$C:$C,$A15,Sheet2!$A:$A,I$2)&lt;&gt;0,SUMIFS(Sheet2!$E:$E,Sheet2!$C:$C,$A15,Sheet2!$A:$A,I$2),"")</f>
        <v/>
      </c>
      <c r="J15" s="42" t="str">
        <f>IF(SUMIFS(Sheet2!$E:$E,Sheet2!$C:$C,$A15,Sheet2!$A:$A,J$2)&lt;&gt;0,SUMIFS(Sheet2!$E:$E,Sheet2!$C:$C,$A15,Sheet2!$A:$A,J$2),"")</f>
        <v/>
      </c>
      <c r="K15" s="42" t="str">
        <f>IF(SUMIFS(Sheet2!$E:$E,Sheet2!$C:$C,$A15,Sheet2!$A:$A,K$2)&lt;&gt;0,SUMIFS(Sheet2!$E:$E,Sheet2!$C:$C,$A15,Sheet2!$A:$A,K$2),"")</f>
        <v/>
      </c>
      <c r="L15" s="42" t="str">
        <f>IF(SUMIFS(Sheet2!$E:$E,Sheet2!$C:$C,$A15,Sheet2!$A:$A,L$2)&lt;&gt;0,SUMIFS(Sheet2!$E:$E,Sheet2!$C:$C,$A15,Sheet2!$A:$A,L$2),"")</f>
        <v/>
      </c>
      <c r="M15" s="42" t="str">
        <f>IF(SUMIFS(Sheet2!$E:$E,Sheet2!$C:$C,$A15,Sheet2!$A:$A,M$2)&lt;&gt;0,SUMIFS(Sheet2!$E:$E,Sheet2!$C:$C,$A15,Sheet2!$A:$A,M$2),"")</f>
        <v/>
      </c>
      <c r="N15" s="42" t="str">
        <f>IF(SUMIFS(Sheet2!$E:$E,Sheet2!$C:$C,$A15,Sheet2!$A:$A,N$2)&lt;&gt;0,SUMIFS(Sheet2!$E:$E,Sheet2!$C:$C,$A15,Sheet2!$A:$A,N$2),"")</f>
        <v/>
      </c>
      <c r="O15" s="42" t="str">
        <f>IF(SUMIFS(Sheet2!$E:$E,Sheet2!$C:$C,$A15,Sheet2!$A:$A,O$2)&lt;&gt;0,SUMIFS(Sheet2!$E:$E,Sheet2!$C:$C,$A15,Sheet2!$A:$A,O$2),"")</f>
        <v/>
      </c>
      <c r="P15" s="42" t="str">
        <f>IF(SUMIFS(Sheet2!$E:$E,Sheet2!$C:$C,$A15,Sheet2!$A:$A,P$2)&lt;&gt;0,SUMIFS(Sheet2!$E:$E,Sheet2!$C:$C,$A15,Sheet2!$A:$A,P$2),"")</f>
        <v/>
      </c>
      <c r="Q15" s="42" t="str">
        <f>IF(SUMIFS(Sheet2!$E:$E,Sheet2!$C:$C,$A15,Sheet2!$A:$A,Q$2)&lt;&gt;0,SUMIFS(Sheet2!$E:$E,Sheet2!$C:$C,$A15,Sheet2!$A:$A,Q$2),"")</f>
        <v/>
      </c>
      <c r="R15" s="42" t="str">
        <f>IF(SUMIFS(Sheet2!$E:$E,Sheet2!$C:$C,$A15,Sheet2!$A:$A,R$2)&lt;&gt;0,SUMIFS(Sheet2!$E:$E,Sheet2!$C:$C,$A15,Sheet2!$A:$A,R$2),"")</f>
        <v/>
      </c>
      <c r="S15" s="42" t="str">
        <f>IF(SUMIFS(Sheet2!$E:$E,Sheet2!$C:$C,$A15,Sheet2!$A:$A,S$2)&lt;&gt;0,SUMIFS(Sheet2!$E:$E,Sheet2!$C:$C,$A15,Sheet2!$A:$A,S$2),"")</f>
        <v/>
      </c>
      <c r="T15" s="42" t="str">
        <f>IF(SUMIFS(Sheet2!$E:$E,Sheet2!$C:$C,$A15,Sheet2!$A:$A,T$2)&lt;&gt;0,SUMIFS(Sheet2!$E:$E,Sheet2!$C:$C,$A15,Sheet2!$A:$A,T$2),"")</f>
        <v/>
      </c>
      <c r="U15" s="42" t="str">
        <f>IF(SUMIFS(Sheet2!$E:$E,Sheet2!$C:$C,$A15,Sheet2!$A:$A,U$2)&lt;&gt;0,SUMIFS(Sheet2!$E:$E,Sheet2!$C:$C,$A15,Sheet2!$A:$A,U$2),"")</f>
        <v/>
      </c>
      <c r="V15" s="42" t="str">
        <f>IF(SUMIFS(Sheet2!$E:$E,Sheet2!$C:$C,$A15,Sheet2!$A:$A,V$2)&lt;&gt;0,SUMIFS(Sheet2!$E:$E,Sheet2!$C:$C,$A15,Sheet2!$A:$A,V$2),"")</f>
        <v/>
      </c>
      <c r="W15" s="42" t="str">
        <f>IF(SUMIFS(Sheet2!$E:$E,Sheet2!$C:$C,$A15,Sheet2!$A:$A,W$2)&lt;&gt;0,SUMIFS(Sheet2!$E:$E,Sheet2!$C:$C,$A15,Sheet2!$A:$A,W$2),"")</f>
        <v/>
      </c>
      <c r="X15" s="42" t="str">
        <f>IF(SUMIFS(Sheet2!$E:$E,Sheet2!$C:$C,$A15,Sheet2!$A:$A,X$2)&lt;&gt;0,SUMIFS(Sheet2!$E:$E,Sheet2!$C:$C,$A15,Sheet2!$A:$A,X$2),"")</f>
        <v/>
      </c>
      <c r="Y15" s="42" t="str">
        <f>IF(SUMIFS(Sheet2!$E:$E,Sheet2!$C:$C,$A15,Sheet2!$A:$A,Y$2)&lt;&gt;0,SUMIFS(Sheet2!$E:$E,Sheet2!$C:$C,$A15,Sheet2!$A:$A,Y$2),"")</f>
        <v/>
      </c>
      <c r="Z15" s="42" t="str">
        <f>IF(SUMIFS(Sheet2!$E:$E,Sheet2!$C:$C,$A15,Sheet2!$A:$A,Z$2)&lt;&gt;0,SUMIFS(Sheet2!$E:$E,Sheet2!$C:$C,$A15,Sheet2!$A:$A,Z$2),"")</f>
        <v/>
      </c>
      <c r="AA15" s="42" t="str">
        <f>IF(SUMIFS(Sheet2!$E:$E,Sheet2!$C:$C,$A15,Sheet2!$A:$A,AA$2)&lt;&gt;0,SUMIFS(Sheet2!$E:$E,Sheet2!$C:$C,$A15,Sheet2!$A:$A,AA$2),"")</f>
        <v/>
      </c>
      <c r="AB15" s="42" t="str">
        <f>IF(SUMIFS(Sheet2!$E:$E,Sheet2!$C:$C,$A15,Sheet2!$A:$A,AB$2)&lt;&gt;0,SUMIFS(Sheet2!$E:$E,Sheet2!$C:$C,$A15,Sheet2!$A:$A,AB$2),"")</f>
        <v/>
      </c>
      <c r="AC15" s="42" t="str">
        <f>IF(SUMIFS(Sheet2!$E:$E,Sheet2!$C:$C,$A15,Sheet2!$A:$A,AC$2)&lt;&gt;0,SUMIFS(Sheet2!$E:$E,Sheet2!$C:$C,$A15,Sheet2!$A:$A,AC$2),"")</f>
        <v/>
      </c>
      <c r="AD15" s="42" t="str">
        <f>IF(SUMIFS(Sheet2!$E:$E,Sheet2!$C:$C,$A15,Sheet2!$A:$A,AD$2)&lt;&gt;0,SUMIFS(Sheet2!$E:$E,Sheet2!$C:$C,$A15,Sheet2!$A:$A,AD$2),"")</f>
        <v/>
      </c>
      <c r="AE15" s="42" t="str">
        <f>IF(SUMIFS(Sheet2!$E:$E,Sheet2!$C:$C,$A15,Sheet2!$A:$A,AE$2)&lt;&gt;0,SUMIFS(Sheet2!$E:$E,Sheet2!$C:$C,$A15,Sheet2!$A:$A,AE$2),"")</f>
        <v/>
      </c>
      <c r="AF15" s="42" t="str">
        <f>IF(SUMIFS(Sheet2!$E:$E,Sheet2!$C:$C,$A15,Sheet2!$A:$A,AF$2)&lt;&gt;0,SUMIFS(Sheet2!$E:$E,Sheet2!$C:$C,$A15,Sheet2!$A:$A,AF$2),"")</f>
        <v/>
      </c>
      <c r="AG15" s="42" t="str">
        <f>IF(SUMIFS(Sheet2!$E:$E,Sheet2!$C:$C,$A15,Sheet2!$A:$A,AG$2)&lt;&gt;0,SUMIFS(Sheet2!$E:$E,Sheet2!$C:$C,$A15,Sheet2!$A:$A,AG$2),"")</f>
        <v/>
      </c>
      <c r="AH15" s="43">
        <f>SUM(Table2[[#This Row],[1]:[31]])</f>
        <v>0</v>
      </c>
    </row>
    <row r="16" spans="1:38" ht="12.75" customHeight="1">
      <c r="A16" s="76" t="str">
        <f>DSSP!A15</f>
        <v>A057</v>
      </c>
      <c r="B16" s="25" t="str">
        <f>DSSP!B15</f>
        <v>Cỏ 4 lá</v>
      </c>
      <c r="C16" s="42" t="str">
        <f>IF(SUMIFS(Sheet2!$E:$E,Sheet2!$C:$C,$A16,Sheet2!$A:$A,C$2)&lt;&gt;0,SUMIFS(Sheet2!$E:$E,Sheet2!$C:$C,$A16,Sheet2!$A:$A,C$2),"")</f>
        <v/>
      </c>
      <c r="D16" s="42" t="str">
        <f>IF(SUMIFS(Sheet2!$E:$E,Sheet2!$C:$C,$A16,Sheet2!$A:$A,D$2)&lt;&gt;0,SUMIFS(Sheet2!$E:$E,Sheet2!$C:$C,$A16,Sheet2!$A:$A,D$2),"")</f>
        <v/>
      </c>
      <c r="E16" s="42" t="str">
        <f>IF(SUMIFS(Sheet2!$E:$E,Sheet2!$C:$C,$A16,Sheet2!$A:$A,E$2)&lt;&gt;0,SUMIFS(Sheet2!$E:$E,Sheet2!$C:$C,$A16,Sheet2!$A:$A,E$2),"")</f>
        <v/>
      </c>
      <c r="F16" s="42" t="str">
        <f>IF(SUMIFS(Sheet2!$E:$E,Sheet2!$C:$C,$A16,Sheet2!$A:$A,F$2)&lt;&gt;0,SUMIFS(Sheet2!$E:$E,Sheet2!$C:$C,$A16,Sheet2!$A:$A,F$2),"")</f>
        <v/>
      </c>
      <c r="G16" s="42" t="str">
        <f>IF(SUMIFS(Sheet2!$E:$E,Sheet2!$C:$C,$A16,Sheet2!$A:$A,G$2)&lt;&gt;0,SUMIFS(Sheet2!$E:$E,Sheet2!$C:$C,$A16,Sheet2!$A:$A,G$2),"")</f>
        <v/>
      </c>
      <c r="H16" s="42" t="str">
        <f>IF(SUMIFS(Sheet2!$E:$E,Sheet2!$C:$C,$A16,Sheet2!$A:$A,H$2)&lt;&gt;0,SUMIFS(Sheet2!$E:$E,Sheet2!$C:$C,$A16,Sheet2!$A:$A,H$2),"")</f>
        <v/>
      </c>
      <c r="I16" s="42" t="str">
        <f>IF(SUMIFS(Sheet2!$E:$E,Sheet2!$C:$C,$A16,Sheet2!$A:$A,I$2)&lt;&gt;0,SUMIFS(Sheet2!$E:$E,Sheet2!$C:$C,$A16,Sheet2!$A:$A,I$2),"")</f>
        <v/>
      </c>
      <c r="J16" s="42" t="str">
        <f>IF(SUMIFS(Sheet2!$E:$E,Sheet2!$C:$C,$A16,Sheet2!$A:$A,J$2)&lt;&gt;0,SUMIFS(Sheet2!$E:$E,Sheet2!$C:$C,$A16,Sheet2!$A:$A,J$2),"")</f>
        <v/>
      </c>
      <c r="K16" s="42" t="str">
        <f>IF(SUMIFS(Sheet2!$E:$E,Sheet2!$C:$C,$A16,Sheet2!$A:$A,K$2)&lt;&gt;0,SUMIFS(Sheet2!$E:$E,Sheet2!$C:$C,$A16,Sheet2!$A:$A,K$2),"")</f>
        <v/>
      </c>
      <c r="L16" s="42" t="str">
        <f>IF(SUMIFS(Sheet2!$E:$E,Sheet2!$C:$C,$A16,Sheet2!$A:$A,L$2)&lt;&gt;0,SUMIFS(Sheet2!$E:$E,Sheet2!$C:$C,$A16,Sheet2!$A:$A,L$2),"")</f>
        <v/>
      </c>
      <c r="M16" s="42" t="str">
        <f>IF(SUMIFS(Sheet2!$E:$E,Sheet2!$C:$C,$A16,Sheet2!$A:$A,M$2)&lt;&gt;0,SUMIFS(Sheet2!$E:$E,Sheet2!$C:$C,$A16,Sheet2!$A:$A,M$2),"")</f>
        <v/>
      </c>
      <c r="N16" s="42" t="str">
        <f>IF(SUMIFS(Sheet2!$E:$E,Sheet2!$C:$C,$A16,Sheet2!$A:$A,N$2)&lt;&gt;0,SUMIFS(Sheet2!$E:$E,Sheet2!$C:$C,$A16,Sheet2!$A:$A,N$2),"")</f>
        <v/>
      </c>
      <c r="O16" s="42" t="str">
        <f>IF(SUMIFS(Sheet2!$E:$E,Sheet2!$C:$C,$A16,Sheet2!$A:$A,O$2)&lt;&gt;0,SUMIFS(Sheet2!$E:$E,Sheet2!$C:$C,$A16,Sheet2!$A:$A,O$2),"")</f>
        <v/>
      </c>
      <c r="P16" s="42" t="str">
        <f>IF(SUMIFS(Sheet2!$E:$E,Sheet2!$C:$C,$A16,Sheet2!$A:$A,P$2)&lt;&gt;0,SUMIFS(Sheet2!$E:$E,Sheet2!$C:$C,$A16,Sheet2!$A:$A,P$2),"")</f>
        <v/>
      </c>
      <c r="Q16" s="42" t="str">
        <f>IF(SUMIFS(Sheet2!$E:$E,Sheet2!$C:$C,$A16,Sheet2!$A:$A,Q$2)&lt;&gt;0,SUMIFS(Sheet2!$E:$E,Sheet2!$C:$C,$A16,Sheet2!$A:$A,Q$2),"")</f>
        <v/>
      </c>
      <c r="R16" s="42" t="str">
        <f>IF(SUMIFS(Sheet2!$E:$E,Sheet2!$C:$C,$A16,Sheet2!$A:$A,R$2)&lt;&gt;0,SUMIFS(Sheet2!$E:$E,Sheet2!$C:$C,$A16,Sheet2!$A:$A,R$2),"")</f>
        <v/>
      </c>
      <c r="S16" s="42" t="str">
        <f>IF(SUMIFS(Sheet2!$E:$E,Sheet2!$C:$C,$A16,Sheet2!$A:$A,S$2)&lt;&gt;0,SUMIFS(Sheet2!$E:$E,Sheet2!$C:$C,$A16,Sheet2!$A:$A,S$2),"")</f>
        <v/>
      </c>
      <c r="T16" s="42" t="str">
        <f>IF(SUMIFS(Sheet2!$E:$E,Sheet2!$C:$C,$A16,Sheet2!$A:$A,T$2)&lt;&gt;0,SUMIFS(Sheet2!$E:$E,Sheet2!$C:$C,$A16,Sheet2!$A:$A,T$2),"")</f>
        <v/>
      </c>
      <c r="U16" s="42" t="str">
        <f>IF(SUMIFS(Sheet2!$E:$E,Sheet2!$C:$C,$A16,Sheet2!$A:$A,U$2)&lt;&gt;0,SUMIFS(Sheet2!$E:$E,Sheet2!$C:$C,$A16,Sheet2!$A:$A,U$2),"")</f>
        <v/>
      </c>
      <c r="V16" s="42" t="str">
        <f>IF(SUMIFS(Sheet2!$E:$E,Sheet2!$C:$C,$A16,Sheet2!$A:$A,V$2)&lt;&gt;0,SUMIFS(Sheet2!$E:$E,Sheet2!$C:$C,$A16,Sheet2!$A:$A,V$2),"")</f>
        <v/>
      </c>
      <c r="W16" s="42" t="str">
        <f>IF(SUMIFS(Sheet2!$E:$E,Sheet2!$C:$C,$A16,Sheet2!$A:$A,W$2)&lt;&gt;0,SUMIFS(Sheet2!$E:$E,Sheet2!$C:$C,$A16,Sheet2!$A:$A,W$2),"")</f>
        <v/>
      </c>
      <c r="X16" s="42" t="str">
        <f>IF(SUMIFS(Sheet2!$E:$E,Sheet2!$C:$C,$A16,Sheet2!$A:$A,X$2)&lt;&gt;0,SUMIFS(Sheet2!$E:$E,Sheet2!$C:$C,$A16,Sheet2!$A:$A,X$2),"")</f>
        <v/>
      </c>
      <c r="Y16" s="42" t="str">
        <f>IF(SUMIFS(Sheet2!$E:$E,Sheet2!$C:$C,$A16,Sheet2!$A:$A,Y$2)&lt;&gt;0,SUMIFS(Sheet2!$E:$E,Sheet2!$C:$C,$A16,Sheet2!$A:$A,Y$2),"")</f>
        <v/>
      </c>
      <c r="Z16" s="42" t="str">
        <f>IF(SUMIFS(Sheet2!$E:$E,Sheet2!$C:$C,$A16,Sheet2!$A:$A,Z$2)&lt;&gt;0,SUMIFS(Sheet2!$E:$E,Sheet2!$C:$C,$A16,Sheet2!$A:$A,Z$2),"")</f>
        <v/>
      </c>
      <c r="AA16" s="42" t="str">
        <f>IF(SUMIFS(Sheet2!$E:$E,Sheet2!$C:$C,$A16,Sheet2!$A:$A,AA$2)&lt;&gt;0,SUMIFS(Sheet2!$E:$E,Sheet2!$C:$C,$A16,Sheet2!$A:$A,AA$2),"")</f>
        <v/>
      </c>
      <c r="AB16" s="42" t="str">
        <f>IF(SUMIFS(Sheet2!$E:$E,Sheet2!$C:$C,$A16,Sheet2!$A:$A,AB$2)&lt;&gt;0,SUMIFS(Sheet2!$E:$E,Sheet2!$C:$C,$A16,Sheet2!$A:$A,AB$2),"")</f>
        <v/>
      </c>
      <c r="AC16" s="42" t="str">
        <f>IF(SUMIFS(Sheet2!$E:$E,Sheet2!$C:$C,$A16,Sheet2!$A:$A,AC$2)&lt;&gt;0,SUMIFS(Sheet2!$E:$E,Sheet2!$C:$C,$A16,Sheet2!$A:$A,AC$2),"")</f>
        <v/>
      </c>
      <c r="AD16" s="42" t="str">
        <f>IF(SUMIFS(Sheet2!$E:$E,Sheet2!$C:$C,$A16,Sheet2!$A:$A,AD$2)&lt;&gt;0,SUMIFS(Sheet2!$E:$E,Sheet2!$C:$C,$A16,Sheet2!$A:$A,AD$2),"")</f>
        <v/>
      </c>
      <c r="AE16" s="42" t="str">
        <f>IF(SUMIFS(Sheet2!$E:$E,Sheet2!$C:$C,$A16,Sheet2!$A:$A,AE$2)&lt;&gt;0,SUMIFS(Sheet2!$E:$E,Sheet2!$C:$C,$A16,Sheet2!$A:$A,AE$2),"")</f>
        <v/>
      </c>
      <c r="AF16" s="42" t="str">
        <f>IF(SUMIFS(Sheet2!$E:$E,Sheet2!$C:$C,$A16,Sheet2!$A:$A,AF$2)&lt;&gt;0,SUMIFS(Sheet2!$E:$E,Sheet2!$C:$C,$A16,Sheet2!$A:$A,AF$2),"")</f>
        <v/>
      </c>
      <c r="AG16" s="42" t="str">
        <f>IF(SUMIFS(Sheet2!$E:$E,Sheet2!$C:$C,$A16,Sheet2!$A:$A,AG$2)&lt;&gt;0,SUMIFS(Sheet2!$E:$E,Sheet2!$C:$C,$A16,Sheet2!$A:$A,AG$2),"")</f>
        <v/>
      </c>
      <c r="AH16" s="43">
        <f>SUM(Table2[[#This Row],[1]:[31]])</f>
        <v>0</v>
      </c>
    </row>
    <row r="17" spans="1:34" ht="12.75" customHeight="1">
      <c r="A17" s="76" t="str">
        <f>DSSP!A16</f>
        <v>A058</v>
      </c>
      <c r="B17" s="25" t="str">
        <f>DSSP!B16</f>
        <v>Ếch</v>
      </c>
      <c r="C17" s="42" t="str">
        <f>IF(SUMIFS(Sheet2!$E:$E,Sheet2!$C:$C,$A17,Sheet2!$A:$A,C$2)&lt;&gt;0,SUMIFS(Sheet2!$E:$E,Sheet2!$C:$C,$A17,Sheet2!$A:$A,C$2),"")</f>
        <v/>
      </c>
      <c r="D17" s="42" t="str">
        <f>IF(SUMIFS(Sheet2!$E:$E,Sheet2!$C:$C,$A17,Sheet2!$A:$A,D$2)&lt;&gt;0,SUMIFS(Sheet2!$E:$E,Sheet2!$C:$C,$A17,Sheet2!$A:$A,D$2),"")</f>
        <v/>
      </c>
      <c r="E17" s="42" t="str">
        <f>IF(SUMIFS(Sheet2!$E:$E,Sheet2!$C:$C,$A17,Sheet2!$A:$A,E$2)&lt;&gt;0,SUMIFS(Sheet2!$E:$E,Sheet2!$C:$C,$A17,Sheet2!$A:$A,E$2),"")</f>
        <v/>
      </c>
      <c r="F17" s="42" t="str">
        <f>IF(SUMIFS(Sheet2!$E:$E,Sheet2!$C:$C,$A17,Sheet2!$A:$A,F$2)&lt;&gt;0,SUMIFS(Sheet2!$E:$E,Sheet2!$C:$C,$A17,Sheet2!$A:$A,F$2),"")</f>
        <v/>
      </c>
      <c r="G17" s="42" t="str">
        <f>IF(SUMIFS(Sheet2!$E:$E,Sheet2!$C:$C,$A17,Sheet2!$A:$A,G$2)&lt;&gt;0,SUMIFS(Sheet2!$E:$E,Sheet2!$C:$C,$A17,Sheet2!$A:$A,G$2),"")</f>
        <v/>
      </c>
      <c r="H17" s="42" t="str">
        <f>IF(SUMIFS(Sheet2!$E:$E,Sheet2!$C:$C,$A17,Sheet2!$A:$A,H$2)&lt;&gt;0,SUMIFS(Sheet2!$E:$E,Sheet2!$C:$C,$A17,Sheet2!$A:$A,H$2),"")</f>
        <v/>
      </c>
      <c r="I17" s="42" t="str">
        <f>IF(SUMIFS(Sheet2!$E:$E,Sheet2!$C:$C,$A17,Sheet2!$A:$A,I$2)&lt;&gt;0,SUMIFS(Sheet2!$E:$E,Sheet2!$C:$C,$A17,Sheet2!$A:$A,I$2),"")</f>
        <v/>
      </c>
      <c r="J17" s="42" t="str">
        <f>IF(SUMIFS(Sheet2!$E:$E,Sheet2!$C:$C,$A17,Sheet2!$A:$A,J$2)&lt;&gt;0,SUMIFS(Sheet2!$E:$E,Sheet2!$C:$C,$A17,Sheet2!$A:$A,J$2),"")</f>
        <v/>
      </c>
      <c r="K17" s="42" t="str">
        <f>IF(SUMIFS(Sheet2!$E:$E,Sheet2!$C:$C,$A17,Sheet2!$A:$A,K$2)&lt;&gt;0,SUMIFS(Sheet2!$E:$E,Sheet2!$C:$C,$A17,Sheet2!$A:$A,K$2),"")</f>
        <v/>
      </c>
      <c r="L17" s="42" t="str">
        <f>IF(SUMIFS(Sheet2!$E:$E,Sheet2!$C:$C,$A17,Sheet2!$A:$A,L$2)&lt;&gt;0,SUMIFS(Sheet2!$E:$E,Sheet2!$C:$C,$A17,Sheet2!$A:$A,L$2),"")</f>
        <v/>
      </c>
      <c r="M17" s="42" t="str">
        <f>IF(SUMIFS(Sheet2!$E:$E,Sheet2!$C:$C,$A17,Sheet2!$A:$A,M$2)&lt;&gt;0,SUMIFS(Sheet2!$E:$E,Sheet2!$C:$C,$A17,Sheet2!$A:$A,M$2),"")</f>
        <v/>
      </c>
      <c r="N17" s="42" t="str">
        <f>IF(SUMIFS(Sheet2!$E:$E,Sheet2!$C:$C,$A17,Sheet2!$A:$A,N$2)&lt;&gt;0,SUMIFS(Sheet2!$E:$E,Sheet2!$C:$C,$A17,Sheet2!$A:$A,N$2),"")</f>
        <v/>
      </c>
      <c r="O17" s="42" t="str">
        <f>IF(SUMIFS(Sheet2!$E:$E,Sheet2!$C:$C,$A17,Sheet2!$A:$A,O$2)&lt;&gt;0,SUMIFS(Sheet2!$E:$E,Sheet2!$C:$C,$A17,Sheet2!$A:$A,O$2),"")</f>
        <v/>
      </c>
      <c r="P17" s="42" t="str">
        <f>IF(SUMIFS(Sheet2!$E:$E,Sheet2!$C:$C,$A17,Sheet2!$A:$A,P$2)&lt;&gt;0,SUMIFS(Sheet2!$E:$E,Sheet2!$C:$C,$A17,Sheet2!$A:$A,P$2),"")</f>
        <v/>
      </c>
      <c r="Q17" s="42" t="str">
        <f>IF(SUMIFS(Sheet2!$E:$E,Sheet2!$C:$C,$A17,Sheet2!$A:$A,Q$2)&lt;&gt;0,SUMIFS(Sheet2!$E:$E,Sheet2!$C:$C,$A17,Sheet2!$A:$A,Q$2),"")</f>
        <v/>
      </c>
      <c r="R17" s="42" t="str">
        <f>IF(SUMIFS(Sheet2!$E:$E,Sheet2!$C:$C,$A17,Sheet2!$A:$A,R$2)&lt;&gt;0,SUMIFS(Sheet2!$E:$E,Sheet2!$C:$C,$A17,Sheet2!$A:$A,R$2),"")</f>
        <v/>
      </c>
      <c r="S17" s="42" t="str">
        <f>IF(SUMIFS(Sheet2!$E:$E,Sheet2!$C:$C,$A17,Sheet2!$A:$A,S$2)&lt;&gt;0,SUMIFS(Sheet2!$E:$E,Sheet2!$C:$C,$A17,Sheet2!$A:$A,S$2),"")</f>
        <v/>
      </c>
      <c r="T17" s="42" t="str">
        <f>IF(SUMIFS(Sheet2!$E:$E,Sheet2!$C:$C,$A17,Sheet2!$A:$A,T$2)&lt;&gt;0,SUMIFS(Sheet2!$E:$E,Sheet2!$C:$C,$A17,Sheet2!$A:$A,T$2),"")</f>
        <v/>
      </c>
      <c r="U17" s="42" t="str">
        <f>IF(SUMIFS(Sheet2!$E:$E,Sheet2!$C:$C,$A17,Sheet2!$A:$A,U$2)&lt;&gt;0,SUMIFS(Sheet2!$E:$E,Sheet2!$C:$C,$A17,Sheet2!$A:$A,U$2),"")</f>
        <v/>
      </c>
      <c r="V17" s="42" t="str">
        <f>IF(SUMIFS(Sheet2!$E:$E,Sheet2!$C:$C,$A17,Sheet2!$A:$A,V$2)&lt;&gt;0,SUMIFS(Sheet2!$E:$E,Sheet2!$C:$C,$A17,Sheet2!$A:$A,V$2),"")</f>
        <v/>
      </c>
      <c r="W17" s="42" t="str">
        <f>IF(SUMIFS(Sheet2!$E:$E,Sheet2!$C:$C,$A17,Sheet2!$A:$A,W$2)&lt;&gt;0,SUMIFS(Sheet2!$E:$E,Sheet2!$C:$C,$A17,Sheet2!$A:$A,W$2),"")</f>
        <v/>
      </c>
      <c r="X17" s="42" t="str">
        <f>IF(SUMIFS(Sheet2!$E:$E,Sheet2!$C:$C,$A17,Sheet2!$A:$A,X$2)&lt;&gt;0,SUMIFS(Sheet2!$E:$E,Sheet2!$C:$C,$A17,Sheet2!$A:$A,X$2),"")</f>
        <v/>
      </c>
      <c r="Y17" s="42" t="str">
        <f>IF(SUMIFS(Sheet2!$E:$E,Sheet2!$C:$C,$A17,Sheet2!$A:$A,Y$2)&lt;&gt;0,SUMIFS(Sheet2!$E:$E,Sheet2!$C:$C,$A17,Sheet2!$A:$A,Y$2),"")</f>
        <v/>
      </c>
      <c r="Z17" s="42" t="str">
        <f>IF(SUMIFS(Sheet2!$E:$E,Sheet2!$C:$C,$A17,Sheet2!$A:$A,Z$2)&lt;&gt;0,SUMIFS(Sheet2!$E:$E,Sheet2!$C:$C,$A17,Sheet2!$A:$A,Z$2),"")</f>
        <v/>
      </c>
      <c r="AA17" s="42" t="str">
        <f>IF(SUMIFS(Sheet2!$E:$E,Sheet2!$C:$C,$A17,Sheet2!$A:$A,AA$2)&lt;&gt;0,SUMIFS(Sheet2!$E:$E,Sheet2!$C:$C,$A17,Sheet2!$A:$A,AA$2),"")</f>
        <v/>
      </c>
      <c r="AB17" s="42" t="str">
        <f>IF(SUMIFS(Sheet2!$E:$E,Sheet2!$C:$C,$A17,Sheet2!$A:$A,AB$2)&lt;&gt;0,SUMIFS(Sheet2!$E:$E,Sheet2!$C:$C,$A17,Sheet2!$A:$A,AB$2),"")</f>
        <v/>
      </c>
      <c r="AC17" s="42" t="str">
        <f>IF(SUMIFS(Sheet2!$E:$E,Sheet2!$C:$C,$A17,Sheet2!$A:$A,AC$2)&lt;&gt;0,SUMIFS(Sheet2!$E:$E,Sheet2!$C:$C,$A17,Sheet2!$A:$A,AC$2),"")</f>
        <v/>
      </c>
      <c r="AD17" s="42" t="str">
        <f>IF(SUMIFS(Sheet2!$E:$E,Sheet2!$C:$C,$A17,Sheet2!$A:$A,AD$2)&lt;&gt;0,SUMIFS(Sheet2!$E:$E,Sheet2!$C:$C,$A17,Sheet2!$A:$A,AD$2),"")</f>
        <v/>
      </c>
      <c r="AE17" s="42" t="str">
        <f>IF(SUMIFS(Sheet2!$E:$E,Sheet2!$C:$C,$A17,Sheet2!$A:$A,AE$2)&lt;&gt;0,SUMIFS(Sheet2!$E:$E,Sheet2!$C:$C,$A17,Sheet2!$A:$A,AE$2),"")</f>
        <v/>
      </c>
      <c r="AF17" s="42" t="str">
        <f>IF(SUMIFS(Sheet2!$E:$E,Sheet2!$C:$C,$A17,Sheet2!$A:$A,AF$2)&lt;&gt;0,SUMIFS(Sheet2!$E:$E,Sheet2!$C:$C,$A17,Sheet2!$A:$A,AF$2),"")</f>
        <v/>
      </c>
      <c r="AG17" s="42" t="str">
        <f>IF(SUMIFS(Sheet2!$E:$E,Sheet2!$C:$C,$A17,Sheet2!$A:$A,AG$2)&lt;&gt;0,SUMIFS(Sheet2!$E:$E,Sheet2!$C:$C,$A17,Sheet2!$A:$A,AG$2),"")</f>
        <v/>
      </c>
      <c r="AH17" s="43">
        <f>SUM(Table2[[#This Row],[1]:[31]])</f>
        <v>0</v>
      </c>
    </row>
    <row r="18" spans="1:34" ht="12.75" customHeight="1">
      <c r="A18" s="76" t="str">
        <f>DSSP!A17</f>
        <v>A059</v>
      </c>
      <c r="B18" s="25" t="str">
        <f>DSSP!B17</f>
        <v>Bọ dừa</v>
      </c>
      <c r="C18" s="42" t="str">
        <f>IF(SUMIFS(Sheet2!$E:$E,Sheet2!$C:$C,$A18,Sheet2!$A:$A,C$2)&lt;&gt;0,SUMIFS(Sheet2!$E:$E,Sheet2!$C:$C,$A18,Sheet2!$A:$A,C$2),"")</f>
        <v/>
      </c>
      <c r="D18" s="42" t="str">
        <f>IF(SUMIFS(Sheet2!$E:$E,Sheet2!$C:$C,$A18,Sheet2!$A:$A,D$2)&lt;&gt;0,SUMIFS(Sheet2!$E:$E,Sheet2!$C:$C,$A18,Sheet2!$A:$A,D$2),"")</f>
        <v/>
      </c>
      <c r="E18" s="42" t="str">
        <f>IF(SUMIFS(Sheet2!$E:$E,Sheet2!$C:$C,$A18,Sheet2!$A:$A,E$2)&lt;&gt;0,SUMIFS(Sheet2!$E:$E,Sheet2!$C:$C,$A18,Sheet2!$A:$A,E$2),"")</f>
        <v/>
      </c>
      <c r="F18" s="42" t="str">
        <f>IF(SUMIFS(Sheet2!$E:$E,Sheet2!$C:$C,$A18,Sheet2!$A:$A,F$2)&lt;&gt;0,SUMIFS(Sheet2!$E:$E,Sheet2!$C:$C,$A18,Sheet2!$A:$A,F$2),"")</f>
        <v/>
      </c>
      <c r="G18" s="42" t="str">
        <f>IF(SUMIFS(Sheet2!$E:$E,Sheet2!$C:$C,$A18,Sheet2!$A:$A,G$2)&lt;&gt;0,SUMIFS(Sheet2!$E:$E,Sheet2!$C:$C,$A18,Sheet2!$A:$A,G$2),"")</f>
        <v/>
      </c>
      <c r="H18" s="42" t="str">
        <f>IF(SUMIFS(Sheet2!$E:$E,Sheet2!$C:$C,$A18,Sheet2!$A:$A,H$2)&lt;&gt;0,SUMIFS(Sheet2!$E:$E,Sheet2!$C:$C,$A18,Sheet2!$A:$A,H$2),"")</f>
        <v/>
      </c>
      <c r="I18" s="42" t="str">
        <f>IF(SUMIFS(Sheet2!$E:$E,Sheet2!$C:$C,$A18,Sheet2!$A:$A,I$2)&lt;&gt;0,SUMIFS(Sheet2!$E:$E,Sheet2!$C:$C,$A18,Sheet2!$A:$A,I$2),"")</f>
        <v/>
      </c>
      <c r="J18" s="42" t="str">
        <f>IF(SUMIFS(Sheet2!$E:$E,Sheet2!$C:$C,$A18,Sheet2!$A:$A,J$2)&lt;&gt;0,SUMIFS(Sheet2!$E:$E,Sheet2!$C:$C,$A18,Sheet2!$A:$A,J$2),"")</f>
        <v/>
      </c>
      <c r="K18" s="42" t="str">
        <f>IF(SUMIFS(Sheet2!$E:$E,Sheet2!$C:$C,$A18,Sheet2!$A:$A,K$2)&lt;&gt;0,SUMIFS(Sheet2!$E:$E,Sheet2!$C:$C,$A18,Sheet2!$A:$A,K$2),"")</f>
        <v/>
      </c>
      <c r="L18" s="42" t="str">
        <f>IF(SUMIFS(Sheet2!$E:$E,Sheet2!$C:$C,$A18,Sheet2!$A:$A,L$2)&lt;&gt;0,SUMIFS(Sheet2!$E:$E,Sheet2!$C:$C,$A18,Sheet2!$A:$A,L$2),"")</f>
        <v/>
      </c>
      <c r="M18" s="42" t="str">
        <f>IF(SUMIFS(Sheet2!$E:$E,Sheet2!$C:$C,$A18,Sheet2!$A:$A,M$2)&lt;&gt;0,SUMIFS(Sheet2!$E:$E,Sheet2!$C:$C,$A18,Sheet2!$A:$A,M$2),"")</f>
        <v/>
      </c>
      <c r="N18" s="42" t="str">
        <f>IF(SUMIFS(Sheet2!$E:$E,Sheet2!$C:$C,$A18,Sheet2!$A:$A,N$2)&lt;&gt;0,SUMIFS(Sheet2!$E:$E,Sheet2!$C:$C,$A18,Sheet2!$A:$A,N$2),"")</f>
        <v/>
      </c>
      <c r="O18" s="42" t="str">
        <f>IF(SUMIFS(Sheet2!$E:$E,Sheet2!$C:$C,$A18,Sheet2!$A:$A,O$2)&lt;&gt;0,SUMIFS(Sheet2!$E:$E,Sheet2!$C:$C,$A18,Sheet2!$A:$A,O$2),"")</f>
        <v/>
      </c>
      <c r="P18" s="42" t="str">
        <f>IF(SUMIFS(Sheet2!$E:$E,Sheet2!$C:$C,$A18,Sheet2!$A:$A,P$2)&lt;&gt;0,SUMIFS(Sheet2!$E:$E,Sheet2!$C:$C,$A18,Sheet2!$A:$A,P$2),"")</f>
        <v/>
      </c>
      <c r="Q18" s="42" t="str">
        <f>IF(SUMIFS(Sheet2!$E:$E,Sheet2!$C:$C,$A18,Sheet2!$A:$A,Q$2)&lt;&gt;0,SUMIFS(Sheet2!$E:$E,Sheet2!$C:$C,$A18,Sheet2!$A:$A,Q$2),"")</f>
        <v/>
      </c>
      <c r="R18" s="42" t="str">
        <f>IF(SUMIFS(Sheet2!$E:$E,Sheet2!$C:$C,$A18,Sheet2!$A:$A,R$2)&lt;&gt;0,SUMIFS(Sheet2!$E:$E,Sheet2!$C:$C,$A18,Sheet2!$A:$A,R$2),"")</f>
        <v/>
      </c>
      <c r="S18" s="42" t="str">
        <f>IF(SUMIFS(Sheet2!$E:$E,Sheet2!$C:$C,$A18,Sheet2!$A:$A,S$2)&lt;&gt;0,SUMIFS(Sheet2!$E:$E,Sheet2!$C:$C,$A18,Sheet2!$A:$A,S$2),"")</f>
        <v/>
      </c>
      <c r="T18" s="42" t="str">
        <f>IF(SUMIFS(Sheet2!$E:$E,Sheet2!$C:$C,$A18,Sheet2!$A:$A,T$2)&lt;&gt;0,SUMIFS(Sheet2!$E:$E,Sheet2!$C:$C,$A18,Sheet2!$A:$A,T$2),"")</f>
        <v/>
      </c>
      <c r="U18" s="42" t="str">
        <f>IF(SUMIFS(Sheet2!$E:$E,Sheet2!$C:$C,$A18,Sheet2!$A:$A,U$2)&lt;&gt;0,SUMIFS(Sheet2!$E:$E,Sheet2!$C:$C,$A18,Sheet2!$A:$A,U$2),"")</f>
        <v/>
      </c>
      <c r="V18" s="42" t="str">
        <f>IF(SUMIFS(Sheet2!$E:$E,Sheet2!$C:$C,$A18,Sheet2!$A:$A,V$2)&lt;&gt;0,SUMIFS(Sheet2!$E:$E,Sheet2!$C:$C,$A18,Sheet2!$A:$A,V$2),"")</f>
        <v/>
      </c>
      <c r="W18" s="42" t="str">
        <f>IF(SUMIFS(Sheet2!$E:$E,Sheet2!$C:$C,$A18,Sheet2!$A:$A,W$2)&lt;&gt;0,SUMIFS(Sheet2!$E:$E,Sheet2!$C:$C,$A18,Sheet2!$A:$A,W$2),"")</f>
        <v/>
      </c>
      <c r="X18" s="42" t="str">
        <f>IF(SUMIFS(Sheet2!$E:$E,Sheet2!$C:$C,$A18,Sheet2!$A:$A,X$2)&lt;&gt;0,SUMIFS(Sheet2!$E:$E,Sheet2!$C:$C,$A18,Sheet2!$A:$A,X$2),"")</f>
        <v/>
      </c>
      <c r="Y18" s="42" t="str">
        <f>IF(SUMIFS(Sheet2!$E:$E,Sheet2!$C:$C,$A18,Sheet2!$A:$A,Y$2)&lt;&gt;0,SUMIFS(Sheet2!$E:$E,Sheet2!$C:$C,$A18,Sheet2!$A:$A,Y$2),"")</f>
        <v/>
      </c>
      <c r="Z18" s="42" t="str">
        <f>IF(SUMIFS(Sheet2!$E:$E,Sheet2!$C:$C,$A18,Sheet2!$A:$A,Z$2)&lt;&gt;0,SUMIFS(Sheet2!$E:$E,Sheet2!$C:$C,$A18,Sheet2!$A:$A,Z$2),"")</f>
        <v/>
      </c>
      <c r="AA18" s="42" t="str">
        <f>IF(SUMIFS(Sheet2!$E:$E,Sheet2!$C:$C,$A18,Sheet2!$A:$A,AA$2)&lt;&gt;0,SUMIFS(Sheet2!$E:$E,Sheet2!$C:$C,$A18,Sheet2!$A:$A,AA$2),"")</f>
        <v/>
      </c>
      <c r="AB18" s="42" t="str">
        <f>IF(SUMIFS(Sheet2!$E:$E,Sheet2!$C:$C,$A18,Sheet2!$A:$A,AB$2)&lt;&gt;0,SUMIFS(Sheet2!$E:$E,Sheet2!$C:$C,$A18,Sheet2!$A:$A,AB$2),"")</f>
        <v/>
      </c>
      <c r="AC18" s="42" t="str">
        <f>IF(SUMIFS(Sheet2!$E:$E,Sheet2!$C:$C,$A18,Sheet2!$A:$A,AC$2)&lt;&gt;0,SUMIFS(Sheet2!$E:$E,Sheet2!$C:$C,$A18,Sheet2!$A:$A,AC$2),"")</f>
        <v/>
      </c>
      <c r="AD18" s="42" t="str">
        <f>IF(SUMIFS(Sheet2!$E:$E,Sheet2!$C:$C,$A18,Sheet2!$A:$A,AD$2)&lt;&gt;0,SUMIFS(Sheet2!$E:$E,Sheet2!$C:$C,$A18,Sheet2!$A:$A,AD$2),"")</f>
        <v/>
      </c>
      <c r="AE18" s="42" t="str">
        <f>IF(SUMIFS(Sheet2!$E:$E,Sheet2!$C:$C,$A18,Sheet2!$A:$A,AE$2)&lt;&gt;0,SUMIFS(Sheet2!$E:$E,Sheet2!$C:$C,$A18,Sheet2!$A:$A,AE$2),"")</f>
        <v/>
      </c>
      <c r="AF18" s="42" t="str">
        <f>IF(SUMIFS(Sheet2!$E:$E,Sheet2!$C:$C,$A18,Sheet2!$A:$A,AF$2)&lt;&gt;0,SUMIFS(Sheet2!$E:$E,Sheet2!$C:$C,$A18,Sheet2!$A:$A,AF$2),"")</f>
        <v/>
      </c>
      <c r="AG18" s="42" t="str">
        <f>IF(SUMIFS(Sheet2!$E:$E,Sheet2!$C:$C,$A18,Sheet2!$A:$A,AG$2)&lt;&gt;0,SUMIFS(Sheet2!$E:$E,Sheet2!$C:$C,$A18,Sheet2!$A:$A,AG$2),"")</f>
        <v/>
      </c>
      <c r="AH18" s="43">
        <f>SUM(Table2[[#This Row],[1]:[31]])</f>
        <v>0</v>
      </c>
    </row>
    <row r="19" spans="1:34" ht="12.75" customHeight="1">
      <c r="A19" s="76" t="str">
        <f>DSSP!A18</f>
        <v>A060</v>
      </c>
      <c r="B19" s="25" t="str">
        <f>DSSP!B18</f>
        <v>Cánh cụt</v>
      </c>
      <c r="C19" s="42" t="str">
        <f>IF(SUMIFS(Sheet2!$E:$E,Sheet2!$C:$C,$A19,Sheet2!$A:$A,C$2)&lt;&gt;0,SUMIFS(Sheet2!$E:$E,Sheet2!$C:$C,$A19,Sheet2!$A:$A,C$2),"")</f>
        <v/>
      </c>
      <c r="D19" s="42" t="str">
        <f>IF(SUMIFS(Sheet2!$E:$E,Sheet2!$C:$C,$A19,Sheet2!$A:$A,D$2)&lt;&gt;0,SUMIFS(Sheet2!$E:$E,Sheet2!$C:$C,$A19,Sheet2!$A:$A,D$2),"")</f>
        <v/>
      </c>
      <c r="E19" s="42" t="str">
        <f>IF(SUMIFS(Sheet2!$E:$E,Sheet2!$C:$C,$A19,Sheet2!$A:$A,E$2)&lt;&gt;0,SUMIFS(Sheet2!$E:$E,Sheet2!$C:$C,$A19,Sheet2!$A:$A,E$2),"")</f>
        <v/>
      </c>
      <c r="F19" s="42" t="str">
        <f>IF(SUMIFS(Sheet2!$E:$E,Sheet2!$C:$C,$A19,Sheet2!$A:$A,F$2)&lt;&gt;0,SUMIFS(Sheet2!$E:$E,Sheet2!$C:$C,$A19,Sheet2!$A:$A,F$2),"")</f>
        <v/>
      </c>
      <c r="G19" s="42" t="str">
        <f>IF(SUMIFS(Sheet2!$E:$E,Sheet2!$C:$C,$A19,Sheet2!$A:$A,G$2)&lt;&gt;0,SUMIFS(Sheet2!$E:$E,Sheet2!$C:$C,$A19,Sheet2!$A:$A,G$2),"")</f>
        <v/>
      </c>
      <c r="H19" s="42" t="str">
        <f>IF(SUMIFS(Sheet2!$E:$E,Sheet2!$C:$C,$A19,Sheet2!$A:$A,H$2)&lt;&gt;0,SUMIFS(Sheet2!$E:$E,Sheet2!$C:$C,$A19,Sheet2!$A:$A,H$2),"")</f>
        <v/>
      </c>
      <c r="I19" s="42" t="str">
        <f>IF(SUMIFS(Sheet2!$E:$E,Sheet2!$C:$C,$A19,Sheet2!$A:$A,I$2)&lt;&gt;0,SUMIFS(Sheet2!$E:$E,Sheet2!$C:$C,$A19,Sheet2!$A:$A,I$2),"")</f>
        <v/>
      </c>
      <c r="J19" s="42" t="str">
        <f>IF(SUMIFS(Sheet2!$E:$E,Sheet2!$C:$C,$A19,Sheet2!$A:$A,J$2)&lt;&gt;0,SUMIFS(Sheet2!$E:$E,Sheet2!$C:$C,$A19,Sheet2!$A:$A,J$2),"")</f>
        <v/>
      </c>
      <c r="K19" s="42" t="str">
        <f>IF(SUMIFS(Sheet2!$E:$E,Sheet2!$C:$C,$A19,Sheet2!$A:$A,K$2)&lt;&gt;0,SUMIFS(Sheet2!$E:$E,Sheet2!$C:$C,$A19,Sheet2!$A:$A,K$2),"")</f>
        <v/>
      </c>
      <c r="L19" s="42" t="str">
        <f>IF(SUMIFS(Sheet2!$E:$E,Sheet2!$C:$C,$A19,Sheet2!$A:$A,L$2)&lt;&gt;0,SUMIFS(Sheet2!$E:$E,Sheet2!$C:$C,$A19,Sheet2!$A:$A,L$2),"")</f>
        <v/>
      </c>
      <c r="M19" s="42" t="str">
        <f>IF(SUMIFS(Sheet2!$E:$E,Sheet2!$C:$C,$A19,Sheet2!$A:$A,M$2)&lt;&gt;0,SUMIFS(Sheet2!$E:$E,Sheet2!$C:$C,$A19,Sheet2!$A:$A,M$2),"")</f>
        <v/>
      </c>
      <c r="N19" s="42" t="str">
        <f>IF(SUMIFS(Sheet2!$E:$E,Sheet2!$C:$C,$A19,Sheet2!$A:$A,N$2)&lt;&gt;0,SUMIFS(Sheet2!$E:$E,Sheet2!$C:$C,$A19,Sheet2!$A:$A,N$2),"")</f>
        <v/>
      </c>
      <c r="O19" s="42" t="str">
        <f>IF(SUMIFS(Sheet2!$E:$E,Sheet2!$C:$C,$A19,Sheet2!$A:$A,O$2)&lt;&gt;0,SUMIFS(Sheet2!$E:$E,Sheet2!$C:$C,$A19,Sheet2!$A:$A,O$2),"")</f>
        <v/>
      </c>
      <c r="P19" s="42" t="str">
        <f>IF(SUMIFS(Sheet2!$E:$E,Sheet2!$C:$C,$A19,Sheet2!$A:$A,P$2)&lt;&gt;0,SUMIFS(Sheet2!$E:$E,Sheet2!$C:$C,$A19,Sheet2!$A:$A,P$2),"")</f>
        <v/>
      </c>
      <c r="Q19" s="42" t="str">
        <f>IF(SUMIFS(Sheet2!$E:$E,Sheet2!$C:$C,$A19,Sheet2!$A:$A,Q$2)&lt;&gt;0,SUMIFS(Sheet2!$E:$E,Sheet2!$C:$C,$A19,Sheet2!$A:$A,Q$2),"")</f>
        <v/>
      </c>
      <c r="R19" s="42" t="str">
        <f>IF(SUMIFS(Sheet2!$E:$E,Sheet2!$C:$C,$A19,Sheet2!$A:$A,R$2)&lt;&gt;0,SUMIFS(Sheet2!$E:$E,Sheet2!$C:$C,$A19,Sheet2!$A:$A,R$2),"")</f>
        <v/>
      </c>
      <c r="S19" s="42" t="str">
        <f>IF(SUMIFS(Sheet2!$E:$E,Sheet2!$C:$C,$A19,Sheet2!$A:$A,S$2)&lt;&gt;0,SUMIFS(Sheet2!$E:$E,Sheet2!$C:$C,$A19,Sheet2!$A:$A,S$2),"")</f>
        <v/>
      </c>
      <c r="T19" s="42" t="str">
        <f>IF(SUMIFS(Sheet2!$E:$E,Sheet2!$C:$C,$A19,Sheet2!$A:$A,T$2)&lt;&gt;0,SUMIFS(Sheet2!$E:$E,Sheet2!$C:$C,$A19,Sheet2!$A:$A,T$2),"")</f>
        <v/>
      </c>
      <c r="U19" s="42" t="str">
        <f>IF(SUMIFS(Sheet2!$E:$E,Sheet2!$C:$C,$A19,Sheet2!$A:$A,U$2)&lt;&gt;0,SUMIFS(Sheet2!$E:$E,Sheet2!$C:$C,$A19,Sheet2!$A:$A,U$2),"")</f>
        <v/>
      </c>
      <c r="V19" s="42" t="str">
        <f>IF(SUMIFS(Sheet2!$E:$E,Sheet2!$C:$C,$A19,Sheet2!$A:$A,V$2)&lt;&gt;0,SUMIFS(Sheet2!$E:$E,Sheet2!$C:$C,$A19,Sheet2!$A:$A,V$2),"")</f>
        <v/>
      </c>
      <c r="W19" s="42" t="str">
        <f>IF(SUMIFS(Sheet2!$E:$E,Sheet2!$C:$C,$A19,Sheet2!$A:$A,W$2)&lt;&gt;0,SUMIFS(Sheet2!$E:$E,Sheet2!$C:$C,$A19,Sheet2!$A:$A,W$2),"")</f>
        <v/>
      </c>
      <c r="X19" s="42" t="str">
        <f>IF(SUMIFS(Sheet2!$E:$E,Sheet2!$C:$C,$A19,Sheet2!$A:$A,X$2)&lt;&gt;0,SUMIFS(Sheet2!$E:$E,Sheet2!$C:$C,$A19,Sheet2!$A:$A,X$2),"")</f>
        <v/>
      </c>
      <c r="Y19" s="42" t="str">
        <f>IF(SUMIFS(Sheet2!$E:$E,Sheet2!$C:$C,$A19,Sheet2!$A:$A,Y$2)&lt;&gt;0,SUMIFS(Sheet2!$E:$E,Sheet2!$C:$C,$A19,Sheet2!$A:$A,Y$2),"")</f>
        <v/>
      </c>
      <c r="Z19" s="42" t="str">
        <f>IF(SUMIFS(Sheet2!$E:$E,Sheet2!$C:$C,$A19,Sheet2!$A:$A,Z$2)&lt;&gt;0,SUMIFS(Sheet2!$E:$E,Sheet2!$C:$C,$A19,Sheet2!$A:$A,Z$2),"")</f>
        <v/>
      </c>
      <c r="AA19" s="42" t="str">
        <f>IF(SUMIFS(Sheet2!$E:$E,Sheet2!$C:$C,$A19,Sheet2!$A:$A,AA$2)&lt;&gt;0,SUMIFS(Sheet2!$E:$E,Sheet2!$C:$C,$A19,Sheet2!$A:$A,AA$2),"")</f>
        <v/>
      </c>
      <c r="AB19" s="42" t="str">
        <f>IF(SUMIFS(Sheet2!$E:$E,Sheet2!$C:$C,$A19,Sheet2!$A:$A,AB$2)&lt;&gt;0,SUMIFS(Sheet2!$E:$E,Sheet2!$C:$C,$A19,Sheet2!$A:$A,AB$2),"")</f>
        <v/>
      </c>
      <c r="AC19" s="42" t="str">
        <f>IF(SUMIFS(Sheet2!$E:$E,Sheet2!$C:$C,$A19,Sheet2!$A:$A,AC$2)&lt;&gt;0,SUMIFS(Sheet2!$E:$E,Sheet2!$C:$C,$A19,Sheet2!$A:$A,AC$2),"")</f>
        <v/>
      </c>
      <c r="AD19" s="42" t="str">
        <f>IF(SUMIFS(Sheet2!$E:$E,Sheet2!$C:$C,$A19,Sheet2!$A:$A,AD$2)&lt;&gt;0,SUMIFS(Sheet2!$E:$E,Sheet2!$C:$C,$A19,Sheet2!$A:$A,AD$2),"")</f>
        <v/>
      </c>
      <c r="AE19" s="42" t="str">
        <f>IF(SUMIFS(Sheet2!$E:$E,Sheet2!$C:$C,$A19,Sheet2!$A:$A,AE$2)&lt;&gt;0,SUMIFS(Sheet2!$E:$E,Sheet2!$C:$C,$A19,Sheet2!$A:$A,AE$2),"")</f>
        <v/>
      </c>
      <c r="AF19" s="42" t="str">
        <f>IF(SUMIFS(Sheet2!$E:$E,Sheet2!$C:$C,$A19,Sheet2!$A:$A,AF$2)&lt;&gt;0,SUMIFS(Sheet2!$E:$E,Sheet2!$C:$C,$A19,Sheet2!$A:$A,AF$2),"")</f>
        <v/>
      </c>
      <c r="AG19" s="42" t="str">
        <f>IF(SUMIFS(Sheet2!$E:$E,Sheet2!$C:$C,$A19,Sheet2!$A:$A,AG$2)&lt;&gt;0,SUMIFS(Sheet2!$E:$E,Sheet2!$C:$C,$A19,Sheet2!$A:$A,AG$2),"")</f>
        <v/>
      </c>
      <c r="AH19" s="43">
        <f>SUM(Table2[[#This Row],[1]:[31]])</f>
        <v>0</v>
      </c>
    </row>
    <row r="20" spans="1:34" ht="12.75" customHeight="1">
      <c r="A20" s="76" t="str">
        <f>DSSP!A19</f>
        <v>A061</v>
      </c>
      <c r="B20" s="25" t="str">
        <f>DSSP!B19</f>
        <v>Gấu trúc</v>
      </c>
      <c r="C20" s="42" t="str">
        <f>IF(SUMIFS(Sheet2!$E:$E,Sheet2!$C:$C,$A20,Sheet2!$A:$A,C$2)&lt;&gt;0,SUMIFS(Sheet2!$E:$E,Sheet2!$C:$C,$A20,Sheet2!$A:$A,C$2),"")</f>
        <v/>
      </c>
      <c r="D20" s="42" t="str">
        <f>IF(SUMIFS(Sheet2!$E:$E,Sheet2!$C:$C,$A20,Sheet2!$A:$A,D$2)&lt;&gt;0,SUMIFS(Sheet2!$E:$E,Sheet2!$C:$C,$A20,Sheet2!$A:$A,D$2),"")</f>
        <v/>
      </c>
      <c r="E20" s="42" t="str">
        <f>IF(SUMIFS(Sheet2!$E:$E,Sheet2!$C:$C,$A20,Sheet2!$A:$A,E$2)&lt;&gt;0,SUMIFS(Sheet2!$E:$E,Sheet2!$C:$C,$A20,Sheet2!$A:$A,E$2),"")</f>
        <v/>
      </c>
      <c r="F20" s="42" t="str">
        <f>IF(SUMIFS(Sheet2!$E:$E,Sheet2!$C:$C,$A20,Sheet2!$A:$A,F$2)&lt;&gt;0,SUMIFS(Sheet2!$E:$E,Sheet2!$C:$C,$A20,Sheet2!$A:$A,F$2),"")</f>
        <v/>
      </c>
      <c r="G20" s="42" t="str">
        <f>IF(SUMIFS(Sheet2!$E:$E,Sheet2!$C:$C,$A20,Sheet2!$A:$A,G$2)&lt;&gt;0,SUMIFS(Sheet2!$E:$E,Sheet2!$C:$C,$A20,Sheet2!$A:$A,G$2),"")</f>
        <v/>
      </c>
      <c r="H20" s="42" t="str">
        <f>IF(SUMIFS(Sheet2!$E:$E,Sheet2!$C:$C,$A20,Sheet2!$A:$A,H$2)&lt;&gt;0,SUMIFS(Sheet2!$E:$E,Sheet2!$C:$C,$A20,Sheet2!$A:$A,H$2),"")</f>
        <v/>
      </c>
      <c r="I20" s="42" t="str">
        <f>IF(SUMIFS(Sheet2!$E:$E,Sheet2!$C:$C,$A20,Sheet2!$A:$A,I$2)&lt;&gt;0,SUMIFS(Sheet2!$E:$E,Sheet2!$C:$C,$A20,Sheet2!$A:$A,I$2),"")</f>
        <v/>
      </c>
      <c r="J20" s="42" t="str">
        <f>IF(SUMIFS(Sheet2!$E:$E,Sheet2!$C:$C,$A20,Sheet2!$A:$A,J$2)&lt;&gt;0,SUMIFS(Sheet2!$E:$E,Sheet2!$C:$C,$A20,Sheet2!$A:$A,J$2),"")</f>
        <v/>
      </c>
      <c r="K20" s="42" t="str">
        <f>IF(SUMIFS(Sheet2!$E:$E,Sheet2!$C:$C,$A20,Sheet2!$A:$A,K$2)&lt;&gt;0,SUMIFS(Sheet2!$E:$E,Sheet2!$C:$C,$A20,Sheet2!$A:$A,K$2),"")</f>
        <v/>
      </c>
      <c r="L20" s="42" t="str">
        <f>IF(SUMIFS(Sheet2!$E:$E,Sheet2!$C:$C,$A20,Sheet2!$A:$A,L$2)&lt;&gt;0,SUMIFS(Sheet2!$E:$E,Sheet2!$C:$C,$A20,Sheet2!$A:$A,L$2),"")</f>
        <v/>
      </c>
      <c r="M20" s="42" t="str">
        <f>IF(SUMIFS(Sheet2!$E:$E,Sheet2!$C:$C,$A20,Sheet2!$A:$A,M$2)&lt;&gt;0,SUMIFS(Sheet2!$E:$E,Sheet2!$C:$C,$A20,Sheet2!$A:$A,M$2),"")</f>
        <v/>
      </c>
      <c r="N20" s="42" t="str">
        <f>IF(SUMIFS(Sheet2!$E:$E,Sheet2!$C:$C,$A20,Sheet2!$A:$A,N$2)&lt;&gt;0,SUMIFS(Sheet2!$E:$E,Sheet2!$C:$C,$A20,Sheet2!$A:$A,N$2),"")</f>
        <v/>
      </c>
      <c r="O20" s="42" t="str">
        <f>IF(SUMIFS(Sheet2!$E:$E,Sheet2!$C:$C,$A20,Sheet2!$A:$A,O$2)&lt;&gt;0,SUMIFS(Sheet2!$E:$E,Sheet2!$C:$C,$A20,Sheet2!$A:$A,O$2),"")</f>
        <v/>
      </c>
      <c r="P20" s="42" t="str">
        <f>IF(SUMIFS(Sheet2!$E:$E,Sheet2!$C:$C,$A20,Sheet2!$A:$A,P$2)&lt;&gt;0,SUMIFS(Sheet2!$E:$E,Sheet2!$C:$C,$A20,Sheet2!$A:$A,P$2),"")</f>
        <v/>
      </c>
      <c r="Q20" s="42" t="str">
        <f>IF(SUMIFS(Sheet2!$E:$E,Sheet2!$C:$C,$A20,Sheet2!$A:$A,Q$2)&lt;&gt;0,SUMIFS(Sheet2!$E:$E,Sheet2!$C:$C,$A20,Sheet2!$A:$A,Q$2),"")</f>
        <v/>
      </c>
      <c r="R20" s="42" t="str">
        <f>IF(SUMIFS(Sheet2!$E:$E,Sheet2!$C:$C,$A20,Sheet2!$A:$A,R$2)&lt;&gt;0,SUMIFS(Sheet2!$E:$E,Sheet2!$C:$C,$A20,Sheet2!$A:$A,R$2),"")</f>
        <v/>
      </c>
      <c r="S20" s="42" t="str">
        <f>IF(SUMIFS(Sheet2!$E:$E,Sheet2!$C:$C,$A20,Sheet2!$A:$A,S$2)&lt;&gt;0,SUMIFS(Sheet2!$E:$E,Sheet2!$C:$C,$A20,Sheet2!$A:$A,S$2),"")</f>
        <v/>
      </c>
      <c r="T20" s="42" t="str">
        <f>IF(SUMIFS(Sheet2!$E:$E,Sheet2!$C:$C,$A20,Sheet2!$A:$A,T$2)&lt;&gt;0,SUMIFS(Sheet2!$E:$E,Sheet2!$C:$C,$A20,Sheet2!$A:$A,T$2),"")</f>
        <v/>
      </c>
      <c r="U20" s="42" t="str">
        <f>IF(SUMIFS(Sheet2!$E:$E,Sheet2!$C:$C,$A20,Sheet2!$A:$A,U$2)&lt;&gt;0,SUMIFS(Sheet2!$E:$E,Sheet2!$C:$C,$A20,Sheet2!$A:$A,U$2),"")</f>
        <v/>
      </c>
      <c r="V20" s="42" t="str">
        <f>IF(SUMIFS(Sheet2!$E:$E,Sheet2!$C:$C,$A20,Sheet2!$A:$A,V$2)&lt;&gt;0,SUMIFS(Sheet2!$E:$E,Sheet2!$C:$C,$A20,Sheet2!$A:$A,V$2),"")</f>
        <v/>
      </c>
      <c r="W20" s="42" t="str">
        <f>IF(SUMIFS(Sheet2!$E:$E,Sheet2!$C:$C,$A20,Sheet2!$A:$A,W$2)&lt;&gt;0,SUMIFS(Sheet2!$E:$E,Sheet2!$C:$C,$A20,Sheet2!$A:$A,W$2),"")</f>
        <v/>
      </c>
      <c r="X20" s="42" t="str">
        <f>IF(SUMIFS(Sheet2!$E:$E,Sheet2!$C:$C,$A20,Sheet2!$A:$A,X$2)&lt;&gt;0,SUMIFS(Sheet2!$E:$E,Sheet2!$C:$C,$A20,Sheet2!$A:$A,X$2),"")</f>
        <v/>
      </c>
      <c r="Y20" s="42" t="str">
        <f>IF(SUMIFS(Sheet2!$E:$E,Sheet2!$C:$C,$A20,Sheet2!$A:$A,Y$2)&lt;&gt;0,SUMIFS(Sheet2!$E:$E,Sheet2!$C:$C,$A20,Sheet2!$A:$A,Y$2),"")</f>
        <v/>
      </c>
      <c r="Z20" s="42" t="str">
        <f>IF(SUMIFS(Sheet2!$E:$E,Sheet2!$C:$C,$A20,Sheet2!$A:$A,Z$2)&lt;&gt;0,SUMIFS(Sheet2!$E:$E,Sheet2!$C:$C,$A20,Sheet2!$A:$A,Z$2),"")</f>
        <v/>
      </c>
      <c r="AA20" s="42" t="str">
        <f>IF(SUMIFS(Sheet2!$E:$E,Sheet2!$C:$C,$A20,Sheet2!$A:$A,AA$2)&lt;&gt;0,SUMIFS(Sheet2!$E:$E,Sheet2!$C:$C,$A20,Sheet2!$A:$A,AA$2),"")</f>
        <v/>
      </c>
      <c r="AB20" s="42" t="str">
        <f>IF(SUMIFS(Sheet2!$E:$E,Sheet2!$C:$C,$A20,Sheet2!$A:$A,AB$2)&lt;&gt;0,SUMIFS(Sheet2!$E:$E,Sheet2!$C:$C,$A20,Sheet2!$A:$A,AB$2),"")</f>
        <v/>
      </c>
      <c r="AC20" s="42" t="str">
        <f>IF(SUMIFS(Sheet2!$E:$E,Sheet2!$C:$C,$A20,Sheet2!$A:$A,AC$2)&lt;&gt;0,SUMIFS(Sheet2!$E:$E,Sheet2!$C:$C,$A20,Sheet2!$A:$A,AC$2),"")</f>
        <v/>
      </c>
      <c r="AD20" s="42" t="str">
        <f>IF(SUMIFS(Sheet2!$E:$E,Sheet2!$C:$C,$A20,Sheet2!$A:$A,AD$2)&lt;&gt;0,SUMIFS(Sheet2!$E:$E,Sheet2!$C:$C,$A20,Sheet2!$A:$A,AD$2),"")</f>
        <v/>
      </c>
      <c r="AE20" s="42" t="str">
        <f>IF(SUMIFS(Sheet2!$E:$E,Sheet2!$C:$C,$A20,Sheet2!$A:$A,AE$2)&lt;&gt;0,SUMIFS(Sheet2!$E:$E,Sheet2!$C:$C,$A20,Sheet2!$A:$A,AE$2),"")</f>
        <v/>
      </c>
      <c r="AF20" s="42" t="str">
        <f>IF(SUMIFS(Sheet2!$E:$E,Sheet2!$C:$C,$A20,Sheet2!$A:$A,AF$2)&lt;&gt;0,SUMIFS(Sheet2!$E:$E,Sheet2!$C:$C,$A20,Sheet2!$A:$A,AF$2),"")</f>
        <v/>
      </c>
      <c r="AG20" s="42" t="str">
        <f>IF(SUMIFS(Sheet2!$E:$E,Sheet2!$C:$C,$A20,Sheet2!$A:$A,AG$2)&lt;&gt;0,SUMIFS(Sheet2!$E:$E,Sheet2!$C:$C,$A20,Sheet2!$A:$A,AG$2),"")</f>
        <v/>
      </c>
      <c r="AH20" s="43">
        <f>SUM(Table2[[#This Row],[1]:[31]])</f>
        <v>0</v>
      </c>
    </row>
    <row r="21" spans="1:34" ht="12.75" customHeight="1">
      <c r="A21" s="76" t="str">
        <f>DSSP!A20</f>
        <v>A062</v>
      </c>
      <c r="B21" s="25" t="str">
        <f>DSSP!B20</f>
        <v>Hươu</v>
      </c>
      <c r="C21" s="42" t="str">
        <f>IF(SUMIFS(Sheet2!$E:$E,Sheet2!$C:$C,$A21,Sheet2!$A:$A,C$2)&lt;&gt;0,SUMIFS(Sheet2!$E:$E,Sheet2!$C:$C,$A21,Sheet2!$A:$A,C$2),"")</f>
        <v/>
      </c>
      <c r="D21" s="42" t="str">
        <f>IF(SUMIFS(Sheet2!$E:$E,Sheet2!$C:$C,$A21,Sheet2!$A:$A,D$2)&lt;&gt;0,SUMIFS(Sheet2!$E:$E,Sheet2!$C:$C,$A21,Sheet2!$A:$A,D$2),"")</f>
        <v/>
      </c>
      <c r="E21" s="42" t="str">
        <f>IF(SUMIFS(Sheet2!$E:$E,Sheet2!$C:$C,$A21,Sheet2!$A:$A,E$2)&lt;&gt;0,SUMIFS(Sheet2!$E:$E,Sheet2!$C:$C,$A21,Sheet2!$A:$A,E$2),"")</f>
        <v/>
      </c>
      <c r="F21" s="42" t="str">
        <f>IF(SUMIFS(Sheet2!$E:$E,Sheet2!$C:$C,$A21,Sheet2!$A:$A,F$2)&lt;&gt;0,SUMIFS(Sheet2!$E:$E,Sheet2!$C:$C,$A21,Sheet2!$A:$A,F$2),"")</f>
        <v/>
      </c>
      <c r="G21" s="42" t="str">
        <f>IF(SUMIFS(Sheet2!$E:$E,Sheet2!$C:$C,$A21,Sheet2!$A:$A,G$2)&lt;&gt;0,SUMIFS(Sheet2!$E:$E,Sheet2!$C:$C,$A21,Sheet2!$A:$A,G$2),"")</f>
        <v/>
      </c>
      <c r="H21" s="42" t="str">
        <f>IF(SUMIFS(Sheet2!$E:$E,Sheet2!$C:$C,$A21,Sheet2!$A:$A,H$2)&lt;&gt;0,SUMIFS(Sheet2!$E:$E,Sheet2!$C:$C,$A21,Sheet2!$A:$A,H$2),"")</f>
        <v/>
      </c>
      <c r="I21" s="42" t="str">
        <f>IF(SUMIFS(Sheet2!$E:$E,Sheet2!$C:$C,$A21,Sheet2!$A:$A,I$2)&lt;&gt;0,SUMIFS(Sheet2!$E:$E,Sheet2!$C:$C,$A21,Sheet2!$A:$A,I$2),"")</f>
        <v/>
      </c>
      <c r="J21" s="42" t="str">
        <f>IF(SUMIFS(Sheet2!$E:$E,Sheet2!$C:$C,$A21,Sheet2!$A:$A,J$2)&lt;&gt;0,SUMIFS(Sheet2!$E:$E,Sheet2!$C:$C,$A21,Sheet2!$A:$A,J$2),"")</f>
        <v/>
      </c>
      <c r="K21" s="42" t="str">
        <f>IF(SUMIFS(Sheet2!$E:$E,Sheet2!$C:$C,$A21,Sheet2!$A:$A,K$2)&lt;&gt;0,SUMIFS(Sheet2!$E:$E,Sheet2!$C:$C,$A21,Sheet2!$A:$A,K$2),"")</f>
        <v/>
      </c>
      <c r="L21" s="42" t="str">
        <f>IF(SUMIFS(Sheet2!$E:$E,Sheet2!$C:$C,$A21,Sheet2!$A:$A,L$2)&lt;&gt;0,SUMIFS(Sheet2!$E:$E,Sheet2!$C:$C,$A21,Sheet2!$A:$A,L$2),"")</f>
        <v/>
      </c>
      <c r="M21" s="42" t="str">
        <f>IF(SUMIFS(Sheet2!$E:$E,Sheet2!$C:$C,$A21,Sheet2!$A:$A,M$2)&lt;&gt;0,SUMIFS(Sheet2!$E:$E,Sheet2!$C:$C,$A21,Sheet2!$A:$A,M$2),"")</f>
        <v/>
      </c>
      <c r="N21" s="42" t="str">
        <f>IF(SUMIFS(Sheet2!$E:$E,Sheet2!$C:$C,$A21,Sheet2!$A:$A,N$2)&lt;&gt;0,SUMIFS(Sheet2!$E:$E,Sheet2!$C:$C,$A21,Sheet2!$A:$A,N$2),"")</f>
        <v/>
      </c>
      <c r="O21" s="42" t="str">
        <f>IF(SUMIFS(Sheet2!$E:$E,Sheet2!$C:$C,$A21,Sheet2!$A:$A,O$2)&lt;&gt;0,SUMIFS(Sheet2!$E:$E,Sheet2!$C:$C,$A21,Sheet2!$A:$A,O$2),"")</f>
        <v/>
      </c>
      <c r="P21" s="42" t="str">
        <f>IF(SUMIFS(Sheet2!$E:$E,Sheet2!$C:$C,$A21,Sheet2!$A:$A,P$2)&lt;&gt;0,SUMIFS(Sheet2!$E:$E,Sheet2!$C:$C,$A21,Sheet2!$A:$A,P$2),"")</f>
        <v/>
      </c>
      <c r="Q21" s="42" t="str">
        <f>IF(SUMIFS(Sheet2!$E:$E,Sheet2!$C:$C,$A21,Sheet2!$A:$A,Q$2)&lt;&gt;0,SUMIFS(Sheet2!$E:$E,Sheet2!$C:$C,$A21,Sheet2!$A:$A,Q$2),"")</f>
        <v/>
      </c>
      <c r="R21" s="42" t="str">
        <f>IF(SUMIFS(Sheet2!$E:$E,Sheet2!$C:$C,$A21,Sheet2!$A:$A,R$2)&lt;&gt;0,SUMIFS(Sheet2!$E:$E,Sheet2!$C:$C,$A21,Sheet2!$A:$A,R$2),"")</f>
        <v/>
      </c>
      <c r="S21" s="42" t="str">
        <f>IF(SUMIFS(Sheet2!$E:$E,Sheet2!$C:$C,$A21,Sheet2!$A:$A,S$2)&lt;&gt;0,SUMIFS(Sheet2!$E:$E,Sheet2!$C:$C,$A21,Sheet2!$A:$A,S$2),"")</f>
        <v/>
      </c>
      <c r="T21" s="42" t="str">
        <f>IF(SUMIFS(Sheet2!$E:$E,Sheet2!$C:$C,$A21,Sheet2!$A:$A,T$2)&lt;&gt;0,SUMIFS(Sheet2!$E:$E,Sheet2!$C:$C,$A21,Sheet2!$A:$A,T$2),"")</f>
        <v/>
      </c>
      <c r="U21" s="42" t="str">
        <f>IF(SUMIFS(Sheet2!$E:$E,Sheet2!$C:$C,$A21,Sheet2!$A:$A,U$2)&lt;&gt;0,SUMIFS(Sheet2!$E:$E,Sheet2!$C:$C,$A21,Sheet2!$A:$A,U$2),"")</f>
        <v/>
      </c>
      <c r="V21" s="42" t="str">
        <f>IF(SUMIFS(Sheet2!$E:$E,Sheet2!$C:$C,$A21,Sheet2!$A:$A,V$2)&lt;&gt;0,SUMIFS(Sheet2!$E:$E,Sheet2!$C:$C,$A21,Sheet2!$A:$A,V$2),"")</f>
        <v/>
      </c>
      <c r="W21" s="42" t="str">
        <f>IF(SUMIFS(Sheet2!$E:$E,Sheet2!$C:$C,$A21,Sheet2!$A:$A,W$2)&lt;&gt;0,SUMIFS(Sheet2!$E:$E,Sheet2!$C:$C,$A21,Sheet2!$A:$A,W$2),"")</f>
        <v/>
      </c>
      <c r="X21" s="42" t="str">
        <f>IF(SUMIFS(Sheet2!$E:$E,Sheet2!$C:$C,$A21,Sheet2!$A:$A,X$2)&lt;&gt;0,SUMIFS(Sheet2!$E:$E,Sheet2!$C:$C,$A21,Sheet2!$A:$A,X$2),"")</f>
        <v/>
      </c>
      <c r="Y21" s="42" t="str">
        <f>IF(SUMIFS(Sheet2!$E:$E,Sheet2!$C:$C,$A21,Sheet2!$A:$A,Y$2)&lt;&gt;0,SUMIFS(Sheet2!$E:$E,Sheet2!$C:$C,$A21,Sheet2!$A:$A,Y$2),"")</f>
        <v/>
      </c>
      <c r="Z21" s="42" t="str">
        <f>IF(SUMIFS(Sheet2!$E:$E,Sheet2!$C:$C,$A21,Sheet2!$A:$A,Z$2)&lt;&gt;0,SUMIFS(Sheet2!$E:$E,Sheet2!$C:$C,$A21,Sheet2!$A:$A,Z$2),"")</f>
        <v/>
      </c>
      <c r="AA21" s="42" t="str">
        <f>IF(SUMIFS(Sheet2!$E:$E,Sheet2!$C:$C,$A21,Sheet2!$A:$A,AA$2)&lt;&gt;0,SUMIFS(Sheet2!$E:$E,Sheet2!$C:$C,$A21,Sheet2!$A:$A,AA$2),"")</f>
        <v/>
      </c>
      <c r="AB21" s="42" t="str">
        <f>IF(SUMIFS(Sheet2!$E:$E,Sheet2!$C:$C,$A21,Sheet2!$A:$A,AB$2)&lt;&gt;0,SUMIFS(Sheet2!$E:$E,Sheet2!$C:$C,$A21,Sheet2!$A:$A,AB$2),"")</f>
        <v/>
      </c>
      <c r="AC21" s="42" t="str">
        <f>IF(SUMIFS(Sheet2!$E:$E,Sheet2!$C:$C,$A21,Sheet2!$A:$A,AC$2)&lt;&gt;0,SUMIFS(Sheet2!$E:$E,Sheet2!$C:$C,$A21,Sheet2!$A:$A,AC$2),"")</f>
        <v/>
      </c>
      <c r="AD21" s="42" t="str">
        <f>IF(SUMIFS(Sheet2!$E:$E,Sheet2!$C:$C,$A21,Sheet2!$A:$A,AD$2)&lt;&gt;0,SUMIFS(Sheet2!$E:$E,Sheet2!$C:$C,$A21,Sheet2!$A:$A,AD$2),"")</f>
        <v/>
      </c>
      <c r="AE21" s="42" t="str">
        <f>IF(SUMIFS(Sheet2!$E:$E,Sheet2!$C:$C,$A21,Sheet2!$A:$A,AE$2)&lt;&gt;0,SUMIFS(Sheet2!$E:$E,Sheet2!$C:$C,$A21,Sheet2!$A:$A,AE$2),"")</f>
        <v/>
      </c>
      <c r="AF21" s="42" t="str">
        <f>IF(SUMIFS(Sheet2!$E:$E,Sheet2!$C:$C,$A21,Sheet2!$A:$A,AF$2)&lt;&gt;0,SUMIFS(Sheet2!$E:$E,Sheet2!$C:$C,$A21,Sheet2!$A:$A,AF$2),"")</f>
        <v/>
      </c>
      <c r="AG21" s="42" t="str">
        <f>IF(SUMIFS(Sheet2!$E:$E,Sheet2!$C:$C,$A21,Sheet2!$A:$A,AG$2)&lt;&gt;0,SUMIFS(Sheet2!$E:$E,Sheet2!$C:$C,$A21,Sheet2!$A:$A,AG$2),"")</f>
        <v/>
      </c>
      <c r="AH21" s="43">
        <f>SUM(Table2[[#This Row],[1]:[31]])</f>
        <v>0</v>
      </c>
    </row>
    <row r="22" spans="1:34" ht="12.75" customHeight="1">
      <c r="A22" s="76" t="str">
        <f>DSSP!A21</f>
        <v>A063</v>
      </c>
      <c r="B22" s="25" t="str">
        <f>DSSP!B21</f>
        <v>Lừa</v>
      </c>
      <c r="C22" s="42" t="str">
        <f>IF(SUMIFS(Sheet2!$E:$E,Sheet2!$C:$C,$A22,Sheet2!$A:$A,C$2)&lt;&gt;0,SUMIFS(Sheet2!$E:$E,Sheet2!$C:$C,$A22,Sheet2!$A:$A,C$2),"")</f>
        <v/>
      </c>
      <c r="D22" s="42" t="str">
        <f>IF(SUMIFS(Sheet2!$E:$E,Sheet2!$C:$C,$A22,Sheet2!$A:$A,D$2)&lt;&gt;0,SUMIFS(Sheet2!$E:$E,Sheet2!$C:$C,$A22,Sheet2!$A:$A,D$2),"")</f>
        <v/>
      </c>
      <c r="E22" s="42" t="str">
        <f>IF(SUMIFS(Sheet2!$E:$E,Sheet2!$C:$C,$A22,Sheet2!$A:$A,E$2)&lt;&gt;0,SUMIFS(Sheet2!$E:$E,Sheet2!$C:$C,$A22,Sheet2!$A:$A,E$2),"")</f>
        <v/>
      </c>
      <c r="F22" s="42" t="str">
        <f>IF(SUMIFS(Sheet2!$E:$E,Sheet2!$C:$C,$A22,Sheet2!$A:$A,F$2)&lt;&gt;0,SUMIFS(Sheet2!$E:$E,Sheet2!$C:$C,$A22,Sheet2!$A:$A,F$2),"")</f>
        <v/>
      </c>
      <c r="G22" s="42" t="str">
        <f>IF(SUMIFS(Sheet2!$E:$E,Sheet2!$C:$C,$A22,Sheet2!$A:$A,G$2)&lt;&gt;0,SUMIFS(Sheet2!$E:$E,Sheet2!$C:$C,$A22,Sheet2!$A:$A,G$2),"")</f>
        <v/>
      </c>
      <c r="H22" s="42" t="str">
        <f>IF(SUMIFS(Sheet2!$E:$E,Sheet2!$C:$C,$A22,Sheet2!$A:$A,H$2)&lt;&gt;0,SUMIFS(Sheet2!$E:$E,Sheet2!$C:$C,$A22,Sheet2!$A:$A,H$2),"")</f>
        <v/>
      </c>
      <c r="I22" s="42" t="str">
        <f>IF(SUMIFS(Sheet2!$E:$E,Sheet2!$C:$C,$A22,Sheet2!$A:$A,I$2)&lt;&gt;0,SUMIFS(Sheet2!$E:$E,Sheet2!$C:$C,$A22,Sheet2!$A:$A,I$2),"")</f>
        <v/>
      </c>
      <c r="J22" s="42" t="str">
        <f>IF(SUMIFS(Sheet2!$E:$E,Sheet2!$C:$C,$A22,Sheet2!$A:$A,J$2)&lt;&gt;0,SUMIFS(Sheet2!$E:$E,Sheet2!$C:$C,$A22,Sheet2!$A:$A,J$2),"")</f>
        <v/>
      </c>
      <c r="K22" s="42" t="str">
        <f>IF(SUMIFS(Sheet2!$E:$E,Sheet2!$C:$C,$A22,Sheet2!$A:$A,K$2)&lt;&gt;0,SUMIFS(Sheet2!$E:$E,Sheet2!$C:$C,$A22,Sheet2!$A:$A,K$2),"")</f>
        <v/>
      </c>
      <c r="L22" s="42" t="str">
        <f>IF(SUMIFS(Sheet2!$E:$E,Sheet2!$C:$C,$A22,Sheet2!$A:$A,L$2)&lt;&gt;0,SUMIFS(Sheet2!$E:$E,Sheet2!$C:$C,$A22,Sheet2!$A:$A,L$2),"")</f>
        <v/>
      </c>
      <c r="M22" s="42" t="str">
        <f>IF(SUMIFS(Sheet2!$E:$E,Sheet2!$C:$C,$A22,Sheet2!$A:$A,M$2)&lt;&gt;0,SUMIFS(Sheet2!$E:$E,Sheet2!$C:$C,$A22,Sheet2!$A:$A,M$2),"")</f>
        <v/>
      </c>
      <c r="N22" s="42" t="str">
        <f>IF(SUMIFS(Sheet2!$E:$E,Sheet2!$C:$C,$A22,Sheet2!$A:$A,N$2)&lt;&gt;0,SUMIFS(Sheet2!$E:$E,Sheet2!$C:$C,$A22,Sheet2!$A:$A,N$2),"")</f>
        <v/>
      </c>
      <c r="O22" s="42" t="str">
        <f>IF(SUMIFS(Sheet2!$E:$E,Sheet2!$C:$C,$A22,Sheet2!$A:$A,O$2)&lt;&gt;0,SUMIFS(Sheet2!$E:$E,Sheet2!$C:$C,$A22,Sheet2!$A:$A,O$2),"")</f>
        <v/>
      </c>
      <c r="P22" s="42" t="str">
        <f>IF(SUMIFS(Sheet2!$E:$E,Sheet2!$C:$C,$A22,Sheet2!$A:$A,P$2)&lt;&gt;0,SUMIFS(Sheet2!$E:$E,Sheet2!$C:$C,$A22,Sheet2!$A:$A,P$2),"")</f>
        <v/>
      </c>
      <c r="Q22" s="42" t="str">
        <f>IF(SUMIFS(Sheet2!$E:$E,Sheet2!$C:$C,$A22,Sheet2!$A:$A,Q$2)&lt;&gt;0,SUMIFS(Sheet2!$E:$E,Sheet2!$C:$C,$A22,Sheet2!$A:$A,Q$2),"")</f>
        <v/>
      </c>
      <c r="R22" s="42" t="str">
        <f>IF(SUMIFS(Sheet2!$E:$E,Sheet2!$C:$C,$A22,Sheet2!$A:$A,R$2)&lt;&gt;0,SUMIFS(Sheet2!$E:$E,Sheet2!$C:$C,$A22,Sheet2!$A:$A,R$2),"")</f>
        <v/>
      </c>
      <c r="S22" s="42" t="str">
        <f>IF(SUMIFS(Sheet2!$E:$E,Sheet2!$C:$C,$A22,Sheet2!$A:$A,S$2)&lt;&gt;0,SUMIFS(Sheet2!$E:$E,Sheet2!$C:$C,$A22,Sheet2!$A:$A,S$2),"")</f>
        <v/>
      </c>
      <c r="T22" s="42" t="str">
        <f>IF(SUMIFS(Sheet2!$E:$E,Sheet2!$C:$C,$A22,Sheet2!$A:$A,T$2)&lt;&gt;0,SUMIFS(Sheet2!$E:$E,Sheet2!$C:$C,$A22,Sheet2!$A:$A,T$2),"")</f>
        <v/>
      </c>
      <c r="U22" s="42" t="str">
        <f>IF(SUMIFS(Sheet2!$E:$E,Sheet2!$C:$C,$A22,Sheet2!$A:$A,U$2)&lt;&gt;0,SUMIFS(Sheet2!$E:$E,Sheet2!$C:$C,$A22,Sheet2!$A:$A,U$2),"")</f>
        <v/>
      </c>
      <c r="V22" s="42" t="str">
        <f>IF(SUMIFS(Sheet2!$E:$E,Sheet2!$C:$C,$A22,Sheet2!$A:$A,V$2)&lt;&gt;0,SUMIFS(Sheet2!$E:$E,Sheet2!$C:$C,$A22,Sheet2!$A:$A,V$2),"")</f>
        <v/>
      </c>
      <c r="W22" s="42" t="str">
        <f>IF(SUMIFS(Sheet2!$E:$E,Sheet2!$C:$C,$A22,Sheet2!$A:$A,W$2)&lt;&gt;0,SUMIFS(Sheet2!$E:$E,Sheet2!$C:$C,$A22,Sheet2!$A:$A,W$2),"")</f>
        <v/>
      </c>
      <c r="X22" s="42" t="str">
        <f>IF(SUMIFS(Sheet2!$E:$E,Sheet2!$C:$C,$A22,Sheet2!$A:$A,X$2)&lt;&gt;0,SUMIFS(Sheet2!$E:$E,Sheet2!$C:$C,$A22,Sheet2!$A:$A,X$2),"")</f>
        <v/>
      </c>
      <c r="Y22" s="42" t="str">
        <f>IF(SUMIFS(Sheet2!$E:$E,Sheet2!$C:$C,$A22,Sheet2!$A:$A,Y$2)&lt;&gt;0,SUMIFS(Sheet2!$E:$E,Sheet2!$C:$C,$A22,Sheet2!$A:$A,Y$2),"")</f>
        <v/>
      </c>
      <c r="Z22" s="42" t="str">
        <f>IF(SUMIFS(Sheet2!$E:$E,Sheet2!$C:$C,$A22,Sheet2!$A:$A,Z$2)&lt;&gt;0,SUMIFS(Sheet2!$E:$E,Sheet2!$C:$C,$A22,Sheet2!$A:$A,Z$2),"")</f>
        <v/>
      </c>
      <c r="AA22" s="42" t="str">
        <f>IF(SUMIFS(Sheet2!$E:$E,Sheet2!$C:$C,$A22,Sheet2!$A:$A,AA$2)&lt;&gt;0,SUMIFS(Sheet2!$E:$E,Sheet2!$C:$C,$A22,Sheet2!$A:$A,AA$2),"")</f>
        <v/>
      </c>
      <c r="AB22" s="42" t="str">
        <f>IF(SUMIFS(Sheet2!$E:$E,Sheet2!$C:$C,$A22,Sheet2!$A:$A,AB$2)&lt;&gt;0,SUMIFS(Sheet2!$E:$E,Sheet2!$C:$C,$A22,Sheet2!$A:$A,AB$2),"")</f>
        <v/>
      </c>
      <c r="AC22" s="42" t="str">
        <f>IF(SUMIFS(Sheet2!$E:$E,Sheet2!$C:$C,$A22,Sheet2!$A:$A,AC$2)&lt;&gt;0,SUMIFS(Sheet2!$E:$E,Sheet2!$C:$C,$A22,Sheet2!$A:$A,AC$2),"")</f>
        <v/>
      </c>
      <c r="AD22" s="42" t="str">
        <f>IF(SUMIFS(Sheet2!$E:$E,Sheet2!$C:$C,$A22,Sheet2!$A:$A,AD$2)&lt;&gt;0,SUMIFS(Sheet2!$E:$E,Sheet2!$C:$C,$A22,Sheet2!$A:$A,AD$2),"")</f>
        <v/>
      </c>
      <c r="AE22" s="42" t="str">
        <f>IF(SUMIFS(Sheet2!$E:$E,Sheet2!$C:$C,$A22,Sheet2!$A:$A,AE$2)&lt;&gt;0,SUMIFS(Sheet2!$E:$E,Sheet2!$C:$C,$A22,Sheet2!$A:$A,AE$2),"")</f>
        <v/>
      </c>
      <c r="AF22" s="42" t="str">
        <f>IF(SUMIFS(Sheet2!$E:$E,Sheet2!$C:$C,$A22,Sheet2!$A:$A,AF$2)&lt;&gt;0,SUMIFS(Sheet2!$E:$E,Sheet2!$C:$C,$A22,Sheet2!$A:$A,AF$2),"")</f>
        <v/>
      </c>
      <c r="AG22" s="42" t="str">
        <f>IF(SUMIFS(Sheet2!$E:$E,Sheet2!$C:$C,$A22,Sheet2!$A:$A,AG$2)&lt;&gt;0,SUMIFS(Sheet2!$E:$E,Sheet2!$C:$C,$A22,Sheet2!$A:$A,AG$2),"")</f>
        <v/>
      </c>
      <c r="AH22" s="43">
        <f>SUM(Table2[[#This Row],[1]:[31]])</f>
        <v>0</v>
      </c>
    </row>
    <row r="23" spans="1:34" ht="12.75" customHeight="1">
      <c r="A23" s="76" t="str">
        <f>DSSP!A22</f>
        <v>A064</v>
      </c>
      <c r="B23" s="25" t="str">
        <f>DSSP!B22</f>
        <v>Bánh sữa</v>
      </c>
      <c r="C23" s="42" t="str">
        <f>IF(SUMIFS(Sheet2!$E:$E,Sheet2!$C:$C,$A23,Sheet2!$A:$A,C$2)&lt;&gt;0,SUMIFS(Sheet2!$E:$E,Sheet2!$C:$C,$A23,Sheet2!$A:$A,C$2),"")</f>
        <v/>
      </c>
      <c r="D23" s="42" t="str">
        <f>IF(SUMIFS(Sheet2!$E:$E,Sheet2!$C:$C,$A23,Sheet2!$A:$A,D$2)&lt;&gt;0,SUMIFS(Sheet2!$E:$E,Sheet2!$C:$C,$A23,Sheet2!$A:$A,D$2),"")</f>
        <v/>
      </c>
      <c r="E23" s="42" t="str">
        <f>IF(SUMIFS(Sheet2!$E:$E,Sheet2!$C:$C,$A23,Sheet2!$A:$A,E$2)&lt;&gt;0,SUMIFS(Sheet2!$E:$E,Sheet2!$C:$C,$A23,Sheet2!$A:$A,E$2),"")</f>
        <v/>
      </c>
      <c r="F23" s="42" t="str">
        <f>IF(SUMIFS(Sheet2!$E:$E,Sheet2!$C:$C,$A23,Sheet2!$A:$A,F$2)&lt;&gt;0,SUMIFS(Sheet2!$E:$E,Sheet2!$C:$C,$A23,Sheet2!$A:$A,F$2),"")</f>
        <v/>
      </c>
      <c r="G23" s="42" t="str">
        <f>IF(SUMIFS(Sheet2!$E:$E,Sheet2!$C:$C,$A23,Sheet2!$A:$A,G$2)&lt;&gt;0,SUMIFS(Sheet2!$E:$E,Sheet2!$C:$C,$A23,Sheet2!$A:$A,G$2),"")</f>
        <v/>
      </c>
      <c r="H23" s="42" t="str">
        <f>IF(SUMIFS(Sheet2!$E:$E,Sheet2!$C:$C,$A23,Sheet2!$A:$A,H$2)&lt;&gt;0,SUMIFS(Sheet2!$E:$E,Sheet2!$C:$C,$A23,Sheet2!$A:$A,H$2),"")</f>
        <v/>
      </c>
      <c r="I23" s="42" t="str">
        <f>IF(SUMIFS(Sheet2!$E:$E,Sheet2!$C:$C,$A23,Sheet2!$A:$A,I$2)&lt;&gt;0,SUMIFS(Sheet2!$E:$E,Sheet2!$C:$C,$A23,Sheet2!$A:$A,I$2),"")</f>
        <v/>
      </c>
      <c r="J23" s="42" t="str">
        <f>IF(SUMIFS(Sheet2!$E:$E,Sheet2!$C:$C,$A23,Sheet2!$A:$A,J$2)&lt;&gt;0,SUMIFS(Sheet2!$E:$E,Sheet2!$C:$C,$A23,Sheet2!$A:$A,J$2),"")</f>
        <v/>
      </c>
      <c r="K23" s="42" t="str">
        <f>IF(SUMIFS(Sheet2!$E:$E,Sheet2!$C:$C,$A23,Sheet2!$A:$A,K$2)&lt;&gt;0,SUMIFS(Sheet2!$E:$E,Sheet2!$C:$C,$A23,Sheet2!$A:$A,K$2),"")</f>
        <v/>
      </c>
      <c r="L23" s="42" t="str">
        <f>IF(SUMIFS(Sheet2!$E:$E,Sheet2!$C:$C,$A23,Sheet2!$A:$A,L$2)&lt;&gt;0,SUMIFS(Sheet2!$E:$E,Sheet2!$C:$C,$A23,Sheet2!$A:$A,L$2),"")</f>
        <v/>
      </c>
      <c r="M23" s="42" t="str">
        <f>IF(SUMIFS(Sheet2!$E:$E,Sheet2!$C:$C,$A23,Sheet2!$A:$A,M$2)&lt;&gt;0,SUMIFS(Sheet2!$E:$E,Sheet2!$C:$C,$A23,Sheet2!$A:$A,M$2),"")</f>
        <v/>
      </c>
      <c r="N23" s="42" t="str">
        <f>IF(SUMIFS(Sheet2!$E:$E,Sheet2!$C:$C,$A23,Sheet2!$A:$A,N$2)&lt;&gt;0,SUMIFS(Sheet2!$E:$E,Sheet2!$C:$C,$A23,Sheet2!$A:$A,N$2),"")</f>
        <v/>
      </c>
      <c r="O23" s="42" t="str">
        <f>IF(SUMIFS(Sheet2!$E:$E,Sheet2!$C:$C,$A23,Sheet2!$A:$A,O$2)&lt;&gt;0,SUMIFS(Sheet2!$E:$E,Sheet2!$C:$C,$A23,Sheet2!$A:$A,O$2),"")</f>
        <v/>
      </c>
      <c r="P23" s="42" t="str">
        <f>IF(SUMIFS(Sheet2!$E:$E,Sheet2!$C:$C,$A23,Sheet2!$A:$A,P$2)&lt;&gt;0,SUMIFS(Sheet2!$E:$E,Sheet2!$C:$C,$A23,Sheet2!$A:$A,P$2),"")</f>
        <v/>
      </c>
      <c r="Q23" s="42" t="str">
        <f>IF(SUMIFS(Sheet2!$E:$E,Sheet2!$C:$C,$A23,Sheet2!$A:$A,Q$2)&lt;&gt;0,SUMIFS(Sheet2!$E:$E,Sheet2!$C:$C,$A23,Sheet2!$A:$A,Q$2),"")</f>
        <v/>
      </c>
      <c r="R23" s="42" t="str">
        <f>IF(SUMIFS(Sheet2!$E:$E,Sheet2!$C:$C,$A23,Sheet2!$A:$A,R$2)&lt;&gt;0,SUMIFS(Sheet2!$E:$E,Sheet2!$C:$C,$A23,Sheet2!$A:$A,R$2),"")</f>
        <v/>
      </c>
      <c r="S23" s="42" t="str">
        <f>IF(SUMIFS(Sheet2!$E:$E,Sheet2!$C:$C,$A23,Sheet2!$A:$A,S$2)&lt;&gt;0,SUMIFS(Sheet2!$E:$E,Sheet2!$C:$C,$A23,Sheet2!$A:$A,S$2),"")</f>
        <v/>
      </c>
      <c r="T23" s="42" t="str">
        <f>IF(SUMIFS(Sheet2!$E:$E,Sheet2!$C:$C,$A23,Sheet2!$A:$A,T$2)&lt;&gt;0,SUMIFS(Sheet2!$E:$E,Sheet2!$C:$C,$A23,Sheet2!$A:$A,T$2),"")</f>
        <v/>
      </c>
      <c r="U23" s="42" t="str">
        <f>IF(SUMIFS(Sheet2!$E:$E,Sheet2!$C:$C,$A23,Sheet2!$A:$A,U$2)&lt;&gt;0,SUMIFS(Sheet2!$E:$E,Sheet2!$C:$C,$A23,Sheet2!$A:$A,U$2),"")</f>
        <v/>
      </c>
      <c r="V23" s="42" t="str">
        <f>IF(SUMIFS(Sheet2!$E:$E,Sheet2!$C:$C,$A23,Sheet2!$A:$A,V$2)&lt;&gt;0,SUMIFS(Sheet2!$E:$E,Sheet2!$C:$C,$A23,Sheet2!$A:$A,V$2),"")</f>
        <v/>
      </c>
      <c r="W23" s="42" t="str">
        <f>IF(SUMIFS(Sheet2!$E:$E,Sheet2!$C:$C,$A23,Sheet2!$A:$A,W$2)&lt;&gt;0,SUMIFS(Sheet2!$E:$E,Sheet2!$C:$C,$A23,Sheet2!$A:$A,W$2),"")</f>
        <v/>
      </c>
      <c r="X23" s="42" t="str">
        <f>IF(SUMIFS(Sheet2!$E:$E,Sheet2!$C:$C,$A23,Sheet2!$A:$A,X$2)&lt;&gt;0,SUMIFS(Sheet2!$E:$E,Sheet2!$C:$C,$A23,Sheet2!$A:$A,X$2),"")</f>
        <v/>
      </c>
      <c r="Y23" s="42" t="str">
        <f>IF(SUMIFS(Sheet2!$E:$E,Sheet2!$C:$C,$A23,Sheet2!$A:$A,Y$2)&lt;&gt;0,SUMIFS(Sheet2!$E:$E,Sheet2!$C:$C,$A23,Sheet2!$A:$A,Y$2),"")</f>
        <v/>
      </c>
      <c r="Z23" s="42" t="str">
        <f>IF(SUMIFS(Sheet2!$E:$E,Sheet2!$C:$C,$A23,Sheet2!$A:$A,Z$2)&lt;&gt;0,SUMIFS(Sheet2!$E:$E,Sheet2!$C:$C,$A23,Sheet2!$A:$A,Z$2),"")</f>
        <v/>
      </c>
      <c r="AA23" s="42" t="str">
        <f>IF(SUMIFS(Sheet2!$E:$E,Sheet2!$C:$C,$A23,Sheet2!$A:$A,AA$2)&lt;&gt;0,SUMIFS(Sheet2!$E:$E,Sheet2!$C:$C,$A23,Sheet2!$A:$A,AA$2),"")</f>
        <v/>
      </c>
      <c r="AB23" s="42" t="str">
        <f>IF(SUMIFS(Sheet2!$E:$E,Sheet2!$C:$C,$A23,Sheet2!$A:$A,AB$2)&lt;&gt;0,SUMIFS(Sheet2!$E:$E,Sheet2!$C:$C,$A23,Sheet2!$A:$A,AB$2),"")</f>
        <v/>
      </c>
      <c r="AC23" s="42" t="str">
        <f>IF(SUMIFS(Sheet2!$E:$E,Sheet2!$C:$C,$A23,Sheet2!$A:$A,AC$2)&lt;&gt;0,SUMIFS(Sheet2!$E:$E,Sheet2!$C:$C,$A23,Sheet2!$A:$A,AC$2),"")</f>
        <v/>
      </c>
      <c r="AD23" s="42" t="str">
        <f>IF(SUMIFS(Sheet2!$E:$E,Sheet2!$C:$C,$A23,Sheet2!$A:$A,AD$2)&lt;&gt;0,SUMIFS(Sheet2!$E:$E,Sheet2!$C:$C,$A23,Sheet2!$A:$A,AD$2),"")</f>
        <v/>
      </c>
      <c r="AE23" s="42" t="str">
        <f>IF(SUMIFS(Sheet2!$E:$E,Sheet2!$C:$C,$A23,Sheet2!$A:$A,AE$2)&lt;&gt;0,SUMIFS(Sheet2!$E:$E,Sheet2!$C:$C,$A23,Sheet2!$A:$A,AE$2),"")</f>
        <v/>
      </c>
      <c r="AF23" s="42" t="str">
        <f>IF(SUMIFS(Sheet2!$E:$E,Sheet2!$C:$C,$A23,Sheet2!$A:$A,AF$2)&lt;&gt;0,SUMIFS(Sheet2!$E:$E,Sheet2!$C:$C,$A23,Sheet2!$A:$A,AF$2),"")</f>
        <v/>
      </c>
      <c r="AG23" s="42" t="str">
        <f>IF(SUMIFS(Sheet2!$E:$E,Sheet2!$C:$C,$A23,Sheet2!$A:$A,AG$2)&lt;&gt;0,SUMIFS(Sheet2!$E:$E,Sheet2!$C:$C,$A23,Sheet2!$A:$A,AG$2),"")</f>
        <v/>
      </c>
      <c r="AH23" s="43">
        <f>SUM(Table2[[#This Row],[1]:[31]])</f>
        <v>0</v>
      </c>
    </row>
    <row r="24" spans="1:34" ht="12.75" customHeight="1">
      <c r="A24" s="76" t="str">
        <f>DSSP!A23</f>
        <v>A069</v>
      </c>
      <c r="B24" s="25" t="str">
        <f>DSSP!B23</f>
        <v>Bánh kem</v>
      </c>
      <c r="C24" s="42" t="str">
        <f>IF(SUMIFS(Sheet2!$E:$E,Sheet2!$C:$C,$A24,Sheet2!$A:$A,C$2)&lt;&gt;0,SUMIFS(Sheet2!$E:$E,Sheet2!$C:$C,$A24,Sheet2!$A:$A,C$2),"")</f>
        <v/>
      </c>
      <c r="D24" s="42" t="str">
        <f>IF(SUMIFS(Sheet2!$E:$E,Sheet2!$C:$C,$A24,Sheet2!$A:$A,D$2)&lt;&gt;0,SUMIFS(Sheet2!$E:$E,Sheet2!$C:$C,$A24,Sheet2!$A:$A,D$2),"")</f>
        <v/>
      </c>
      <c r="E24" s="42" t="str">
        <f>IF(SUMIFS(Sheet2!$E:$E,Sheet2!$C:$C,$A24,Sheet2!$A:$A,E$2)&lt;&gt;0,SUMIFS(Sheet2!$E:$E,Sheet2!$C:$C,$A24,Sheet2!$A:$A,E$2),"")</f>
        <v/>
      </c>
      <c r="F24" s="42" t="str">
        <f>IF(SUMIFS(Sheet2!$E:$E,Sheet2!$C:$C,$A24,Sheet2!$A:$A,F$2)&lt;&gt;0,SUMIFS(Sheet2!$E:$E,Sheet2!$C:$C,$A24,Sheet2!$A:$A,F$2),"")</f>
        <v/>
      </c>
      <c r="G24" s="42" t="str">
        <f>IF(SUMIFS(Sheet2!$E:$E,Sheet2!$C:$C,$A24,Sheet2!$A:$A,G$2)&lt;&gt;0,SUMIFS(Sheet2!$E:$E,Sheet2!$C:$C,$A24,Sheet2!$A:$A,G$2),"")</f>
        <v/>
      </c>
      <c r="H24" s="42" t="str">
        <f>IF(SUMIFS(Sheet2!$E:$E,Sheet2!$C:$C,$A24,Sheet2!$A:$A,H$2)&lt;&gt;0,SUMIFS(Sheet2!$E:$E,Sheet2!$C:$C,$A24,Sheet2!$A:$A,H$2),"")</f>
        <v/>
      </c>
      <c r="I24" s="42" t="str">
        <f>IF(SUMIFS(Sheet2!$E:$E,Sheet2!$C:$C,$A24,Sheet2!$A:$A,I$2)&lt;&gt;0,SUMIFS(Sheet2!$E:$E,Sheet2!$C:$C,$A24,Sheet2!$A:$A,I$2),"")</f>
        <v/>
      </c>
      <c r="J24" s="42" t="str">
        <f>IF(SUMIFS(Sheet2!$E:$E,Sheet2!$C:$C,$A24,Sheet2!$A:$A,J$2)&lt;&gt;0,SUMIFS(Sheet2!$E:$E,Sheet2!$C:$C,$A24,Sheet2!$A:$A,J$2),"")</f>
        <v/>
      </c>
      <c r="K24" s="42" t="str">
        <f>IF(SUMIFS(Sheet2!$E:$E,Sheet2!$C:$C,$A24,Sheet2!$A:$A,K$2)&lt;&gt;0,SUMIFS(Sheet2!$E:$E,Sheet2!$C:$C,$A24,Sheet2!$A:$A,K$2),"")</f>
        <v/>
      </c>
      <c r="L24" s="42" t="str">
        <f>IF(SUMIFS(Sheet2!$E:$E,Sheet2!$C:$C,$A24,Sheet2!$A:$A,L$2)&lt;&gt;0,SUMIFS(Sheet2!$E:$E,Sheet2!$C:$C,$A24,Sheet2!$A:$A,L$2),"")</f>
        <v/>
      </c>
      <c r="M24" s="42" t="str">
        <f>IF(SUMIFS(Sheet2!$E:$E,Sheet2!$C:$C,$A24,Sheet2!$A:$A,M$2)&lt;&gt;0,SUMIFS(Sheet2!$E:$E,Sheet2!$C:$C,$A24,Sheet2!$A:$A,M$2),"")</f>
        <v/>
      </c>
      <c r="N24" s="42" t="str">
        <f>IF(SUMIFS(Sheet2!$E:$E,Sheet2!$C:$C,$A24,Sheet2!$A:$A,N$2)&lt;&gt;0,SUMIFS(Sheet2!$E:$E,Sheet2!$C:$C,$A24,Sheet2!$A:$A,N$2),"")</f>
        <v/>
      </c>
      <c r="O24" s="42" t="str">
        <f>IF(SUMIFS(Sheet2!$E:$E,Sheet2!$C:$C,$A24,Sheet2!$A:$A,O$2)&lt;&gt;0,SUMIFS(Sheet2!$E:$E,Sheet2!$C:$C,$A24,Sheet2!$A:$A,O$2),"")</f>
        <v/>
      </c>
      <c r="P24" s="42" t="str">
        <f>IF(SUMIFS(Sheet2!$E:$E,Sheet2!$C:$C,$A24,Sheet2!$A:$A,P$2)&lt;&gt;0,SUMIFS(Sheet2!$E:$E,Sheet2!$C:$C,$A24,Sheet2!$A:$A,P$2),"")</f>
        <v/>
      </c>
      <c r="Q24" s="42" t="str">
        <f>IF(SUMIFS(Sheet2!$E:$E,Sheet2!$C:$C,$A24,Sheet2!$A:$A,Q$2)&lt;&gt;0,SUMIFS(Sheet2!$E:$E,Sheet2!$C:$C,$A24,Sheet2!$A:$A,Q$2),"")</f>
        <v/>
      </c>
      <c r="R24" s="42" t="str">
        <f>IF(SUMIFS(Sheet2!$E:$E,Sheet2!$C:$C,$A24,Sheet2!$A:$A,R$2)&lt;&gt;0,SUMIFS(Sheet2!$E:$E,Sheet2!$C:$C,$A24,Sheet2!$A:$A,R$2),"")</f>
        <v/>
      </c>
      <c r="S24" s="42" t="str">
        <f>IF(SUMIFS(Sheet2!$E:$E,Sheet2!$C:$C,$A24,Sheet2!$A:$A,S$2)&lt;&gt;0,SUMIFS(Sheet2!$E:$E,Sheet2!$C:$C,$A24,Sheet2!$A:$A,S$2),"")</f>
        <v/>
      </c>
      <c r="T24" s="42" t="str">
        <f>IF(SUMIFS(Sheet2!$E:$E,Sheet2!$C:$C,$A24,Sheet2!$A:$A,T$2)&lt;&gt;0,SUMIFS(Sheet2!$E:$E,Sheet2!$C:$C,$A24,Sheet2!$A:$A,T$2),"")</f>
        <v/>
      </c>
      <c r="U24" s="42" t="str">
        <f>IF(SUMIFS(Sheet2!$E:$E,Sheet2!$C:$C,$A24,Sheet2!$A:$A,U$2)&lt;&gt;0,SUMIFS(Sheet2!$E:$E,Sheet2!$C:$C,$A24,Sheet2!$A:$A,U$2),"")</f>
        <v/>
      </c>
      <c r="V24" s="42" t="str">
        <f>IF(SUMIFS(Sheet2!$E:$E,Sheet2!$C:$C,$A24,Sheet2!$A:$A,V$2)&lt;&gt;0,SUMIFS(Sheet2!$E:$E,Sheet2!$C:$C,$A24,Sheet2!$A:$A,V$2),"")</f>
        <v/>
      </c>
      <c r="W24" s="42" t="str">
        <f>IF(SUMIFS(Sheet2!$E:$E,Sheet2!$C:$C,$A24,Sheet2!$A:$A,W$2)&lt;&gt;0,SUMIFS(Sheet2!$E:$E,Sheet2!$C:$C,$A24,Sheet2!$A:$A,W$2),"")</f>
        <v/>
      </c>
      <c r="X24" s="42" t="str">
        <f>IF(SUMIFS(Sheet2!$E:$E,Sheet2!$C:$C,$A24,Sheet2!$A:$A,X$2)&lt;&gt;0,SUMIFS(Sheet2!$E:$E,Sheet2!$C:$C,$A24,Sheet2!$A:$A,X$2),"")</f>
        <v/>
      </c>
      <c r="Y24" s="42" t="str">
        <f>IF(SUMIFS(Sheet2!$E:$E,Sheet2!$C:$C,$A24,Sheet2!$A:$A,Y$2)&lt;&gt;0,SUMIFS(Sheet2!$E:$E,Sheet2!$C:$C,$A24,Sheet2!$A:$A,Y$2),"")</f>
        <v/>
      </c>
      <c r="Z24" s="42" t="str">
        <f>IF(SUMIFS(Sheet2!$E:$E,Sheet2!$C:$C,$A24,Sheet2!$A:$A,Z$2)&lt;&gt;0,SUMIFS(Sheet2!$E:$E,Sheet2!$C:$C,$A24,Sheet2!$A:$A,Z$2),"")</f>
        <v/>
      </c>
      <c r="AA24" s="42" t="str">
        <f>IF(SUMIFS(Sheet2!$E:$E,Sheet2!$C:$C,$A24,Sheet2!$A:$A,AA$2)&lt;&gt;0,SUMIFS(Sheet2!$E:$E,Sheet2!$C:$C,$A24,Sheet2!$A:$A,AA$2),"")</f>
        <v/>
      </c>
      <c r="AB24" s="42" t="str">
        <f>IF(SUMIFS(Sheet2!$E:$E,Sheet2!$C:$C,$A24,Sheet2!$A:$A,AB$2)&lt;&gt;0,SUMIFS(Sheet2!$E:$E,Sheet2!$C:$C,$A24,Sheet2!$A:$A,AB$2),"")</f>
        <v/>
      </c>
      <c r="AC24" s="42" t="str">
        <f>IF(SUMIFS(Sheet2!$E:$E,Sheet2!$C:$C,$A24,Sheet2!$A:$A,AC$2)&lt;&gt;0,SUMIFS(Sheet2!$E:$E,Sheet2!$C:$C,$A24,Sheet2!$A:$A,AC$2),"")</f>
        <v/>
      </c>
      <c r="AD24" s="42" t="str">
        <f>IF(SUMIFS(Sheet2!$E:$E,Sheet2!$C:$C,$A24,Sheet2!$A:$A,AD$2)&lt;&gt;0,SUMIFS(Sheet2!$E:$E,Sheet2!$C:$C,$A24,Sheet2!$A:$A,AD$2),"")</f>
        <v/>
      </c>
      <c r="AE24" s="42" t="str">
        <f>IF(SUMIFS(Sheet2!$E:$E,Sheet2!$C:$C,$A24,Sheet2!$A:$A,AE$2)&lt;&gt;0,SUMIFS(Sheet2!$E:$E,Sheet2!$C:$C,$A24,Sheet2!$A:$A,AE$2),"")</f>
        <v/>
      </c>
      <c r="AF24" s="42" t="str">
        <f>IF(SUMIFS(Sheet2!$E:$E,Sheet2!$C:$C,$A24,Sheet2!$A:$A,AF$2)&lt;&gt;0,SUMIFS(Sheet2!$E:$E,Sheet2!$C:$C,$A24,Sheet2!$A:$A,AF$2),"")</f>
        <v/>
      </c>
      <c r="AG24" s="42" t="str">
        <f>IF(SUMIFS(Sheet2!$E:$E,Sheet2!$C:$C,$A24,Sheet2!$A:$A,AG$2)&lt;&gt;0,SUMIFS(Sheet2!$E:$E,Sheet2!$C:$C,$A24,Sheet2!$A:$A,AG$2),"")</f>
        <v/>
      </c>
      <c r="AH24" s="43">
        <f>SUM(Table2[[#This Row],[1]:[31]])</f>
        <v>0</v>
      </c>
    </row>
    <row r="25" spans="1:34" ht="12.75" customHeight="1">
      <c r="A25" s="76" t="str">
        <f>DSSP!A24</f>
        <v>A071</v>
      </c>
      <c r="B25" s="25" t="str">
        <f>DSSP!B24</f>
        <v>Bao tay</v>
      </c>
      <c r="C25" s="42" t="str">
        <f>IF(SUMIFS(Sheet2!$E:$E,Sheet2!$C:$C,$A25,Sheet2!$A:$A,C$2)&lt;&gt;0,SUMIFS(Sheet2!$E:$E,Sheet2!$C:$C,$A25,Sheet2!$A:$A,C$2),"")</f>
        <v/>
      </c>
      <c r="D25" s="42" t="str">
        <f>IF(SUMIFS(Sheet2!$E:$E,Sheet2!$C:$C,$A25,Sheet2!$A:$A,D$2)&lt;&gt;0,SUMIFS(Sheet2!$E:$E,Sheet2!$C:$C,$A25,Sheet2!$A:$A,D$2),"")</f>
        <v/>
      </c>
      <c r="E25" s="42" t="str">
        <f>IF(SUMIFS(Sheet2!$E:$E,Sheet2!$C:$C,$A25,Sheet2!$A:$A,E$2)&lt;&gt;0,SUMIFS(Sheet2!$E:$E,Sheet2!$C:$C,$A25,Sheet2!$A:$A,E$2),"")</f>
        <v/>
      </c>
      <c r="F25" s="42" t="str">
        <f>IF(SUMIFS(Sheet2!$E:$E,Sheet2!$C:$C,$A25,Sheet2!$A:$A,F$2)&lt;&gt;0,SUMIFS(Sheet2!$E:$E,Sheet2!$C:$C,$A25,Sheet2!$A:$A,F$2),"")</f>
        <v/>
      </c>
      <c r="G25" s="42" t="str">
        <f>IF(SUMIFS(Sheet2!$E:$E,Sheet2!$C:$C,$A25,Sheet2!$A:$A,G$2)&lt;&gt;0,SUMIFS(Sheet2!$E:$E,Sheet2!$C:$C,$A25,Sheet2!$A:$A,G$2),"")</f>
        <v/>
      </c>
      <c r="H25" s="42" t="str">
        <f>IF(SUMIFS(Sheet2!$E:$E,Sheet2!$C:$C,$A25,Sheet2!$A:$A,H$2)&lt;&gt;0,SUMIFS(Sheet2!$E:$E,Sheet2!$C:$C,$A25,Sheet2!$A:$A,H$2),"")</f>
        <v/>
      </c>
      <c r="I25" s="42" t="str">
        <f>IF(SUMIFS(Sheet2!$E:$E,Sheet2!$C:$C,$A25,Sheet2!$A:$A,I$2)&lt;&gt;0,SUMIFS(Sheet2!$E:$E,Sheet2!$C:$C,$A25,Sheet2!$A:$A,I$2),"")</f>
        <v/>
      </c>
      <c r="J25" s="42" t="str">
        <f>IF(SUMIFS(Sheet2!$E:$E,Sheet2!$C:$C,$A25,Sheet2!$A:$A,J$2)&lt;&gt;0,SUMIFS(Sheet2!$E:$E,Sheet2!$C:$C,$A25,Sheet2!$A:$A,J$2),"")</f>
        <v/>
      </c>
      <c r="K25" s="42" t="str">
        <f>IF(SUMIFS(Sheet2!$E:$E,Sheet2!$C:$C,$A25,Sheet2!$A:$A,K$2)&lt;&gt;0,SUMIFS(Sheet2!$E:$E,Sheet2!$C:$C,$A25,Sheet2!$A:$A,K$2),"")</f>
        <v/>
      </c>
      <c r="L25" s="42" t="str">
        <f>IF(SUMIFS(Sheet2!$E:$E,Sheet2!$C:$C,$A25,Sheet2!$A:$A,L$2)&lt;&gt;0,SUMIFS(Sheet2!$E:$E,Sheet2!$C:$C,$A25,Sheet2!$A:$A,L$2),"")</f>
        <v/>
      </c>
      <c r="M25" s="42" t="str">
        <f>IF(SUMIFS(Sheet2!$E:$E,Sheet2!$C:$C,$A25,Sheet2!$A:$A,M$2)&lt;&gt;0,SUMIFS(Sheet2!$E:$E,Sheet2!$C:$C,$A25,Sheet2!$A:$A,M$2),"")</f>
        <v/>
      </c>
      <c r="N25" s="42" t="str">
        <f>IF(SUMIFS(Sheet2!$E:$E,Sheet2!$C:$C,$A25,Sheet2!$A:$A,N$2)&lt;&gt;0,SUMIFS(Sheet2!$E:$E,Sheet2!$C:$C,$A25,Sheet2!$A:$A,N$2),"")</f>
        <v/>
      </c>
      <c r="O25" s="42" t="str">
        <f>IF(SUMIFS(Sheet2!$E:$E,Sheet2!$C:$C,$A25,Sheet2!$A:$A,O$2)&lt;&gt;0,SUMIFS(Sheet2!$E:$E,Sheet2!$C:$C,$A25,Sheet2!$A:$A,O$2),"")</f>
        <v/>
      </c>
      <c r="P25" s="42" t="str">
        <f>IF(SUMIFS(Sheet2!$E:$E,Sheet2!$C:$C,$A25,Sheet2!$A:$A,P$2)&lt;&gt;0,SUMIFS(Sheet2!$E:$E,Sheet2!$C:$C,$A25,Sheet2!$A:$A,P$2),"")</f>
        <v/>
      </c>
      <c r="Q25" s="42" t="str">
        <f>IF(SUMIFS(Sheet2!$E:$E,Sheet2!$C:$C,$A25,Sheet2!$A:$A,Q$2)&lt;&gt;0,SUMIFS(Sheet2!$E:$E,Sheet2!$C:$C,$A25,Sheet2!$A:$A,Q$2),"")</f>
        <v/>
      </c>
      <c r="R25" s="42" t="str">
        <f>IF(SUMIFS(Sheet2!$E:$E,Sheet2!$C:$C,$A25,Sheet2!$A:$A,R$2)&lt;&gt;0,SUMIFS(Sheet2!$E:$E,Sheet2!$C:$C,$A25,Sheet2!$A:$A,R$2),"")</f>
        <v/>
      </c>
      <c r="S25" s="42" t="str">
        <f>IF(SUMIFS(Sheet2!$E:$E,Sheet2!$C:$C,$A25,Sheet2!$A:$A,S$2)&lt;&gt;0,SUMIFS(Sheet2!$E:$E,Sheet2!$C:$C,$A25,Sheet2!$A:$A,S$2),"")</f>
        <v/>
      </c>
      <c r="T25" s="42" t="str">
        <f>IF(SUMIFS(Sheet2!$E:$E,Sheet2!$C:$C,$A25,Sheet2!$A:$A,T$2)&lt;&gt;0,SUMIFS(Sheet2!$E:$E,Sheet2!$C:$C,$A25,Sheet2!$A:$A,T$2),"")</f>
        <v/>
      </c>
      <c r="U25" s="42" t="str">
        <f>IF(SUMIFS(Sheet2!$E:$E,Sheet2!$C:$C,$A25,Sheet2!$A:$A,U$2)&lt;&gt;0,SUMIFS(Sheet2!$E:$E,Sheet2!$C:$C,$A25,Sheet2!$A:$A,U$2),"")</f>
        <v/>
      </c>
      <c r="V25" s="42" t="str">
        <f>IF(SUMIFS(Sheet2!$E:$E,Sheet2!$C:$C,$A25,Sheet2!$A:$A,V$2)&lt;&gt;0,SUMIFS(Sheet2!$E:$E,Sheet2!$C:$C,$A25,Sheet2!$A:$A,V$2),"")</f>
        <v/>
      </c>
      <c r="W25" s="42" t="str">
        <f>IF(SUMIFS(Sheet2!$E:$E,Sheet2!$C:$C,$A25,Sheet2!$A:$A,W$2)&lt;&gt;0,SUMIFS(Sheet2!$E:$E,Sheet2!$C:$C,$A25,Sheet2!$A:$A,W$2),"")</f>
        <v/>
      </c>
      <c r="X25" s="42" t="str">
        <f>IF(SUMIFS(Sheet2!$E:$E,Sheet2!$C:$C,$A25,Sheet2!$A:$A,X$2)&lt;&gt;0,SUMIFS(Sheet2!$E:$E,Sheet2!$C:$C,$A25,Sheet2!$A:$A,X$2),"")</f>
        <v/>
      </c>
      <c r="Y25" s="42" t="str">
        <f>IF(SUMIFS(Sheet2!$E:$E,Sheet2!$C:$C,$A25,Sheet2!$A:$A,Y$2)&lt;&gt;0,SUMIFS(Sheet2!$E:$E,Sheet2!$C:$C,$A25,Sheet2!$A:$A,Y$2),"")</f>
        <v/>
      </c>
      <c r="Z25" s="42" t="str">
        <f>IF(SUMIFS(Sheet2!$E:$E,Sheet2!$C:$C,$A25,Sheet2!$A:$A,Z$2)&lt;&gt;0,SUMIFS(Sheet2!$E:$E,Sheet2!$C:$C,$A25,Sheet2!$A:$A,Z$2),"")</f>
        <v/>
      </c>
      <c r="AA25" s="42" t="str">
        <f>IF(SUMIFS(Sheet2!$E:$E,Sheet2!$C:$C,$A25,Sheet2!$A:$A,AA$2)&lt;&gt;0,SUMIFS(Sheet2!$E:$E,Sheet2!$C:$C,$A25,Sheet2!$A:$A,AA$2),"")</f>
        <v/>
      </c>
      <c r="AB25" s="42" t="str">
        <f>IF(SUMIFS(Sheet2!$E:$E,Sheet2!$C:$C,$A25,Sheet2!$A:$A,AB$2)&lt;&gt;0,SUMIFS(Sheet2!$E:$E,Sheet2!$C:$C,$A25,Sheet2!$A:$A,AB$2),"")</f>
        <v/>
      </c>
      <c r="AC25" s="42" t="str">
        <f>IF(SUMIFS(Sheet2!$E:$E,Sheet2!$C:$C,$A25,Sheet2!$A:$A,AC$2)&lt;&gt;0,SUMIFS(Sheet2!$E:$E,Sheet2!$C:$C,$A25,Sheet2!$A:$A,AC$2),"")</f>
        <v/>
      </c>
      <c r="AD25" s="42" t="str">
        <f>IF(SUMIFS(Sheet2!$E:$E,Sheet2!$C:$C,$A25,Sheet2!$A:$A,AD$2)&lt;&gt;0,SUMIFS(Sheet2!$E:$E,Sheet2!$C:$C,$A25,Sheet2!$A:$A,AD$2),"")</f>
        <v/>
      </c>
      <c r="AE25" s="42" t="str">
        <f>IF(SUMIFS(Sheet2!$E:$E,Sheet2!$C:$C,$A25,Sheet2!$A:$A,AE$2)&lt;&gt;0,SUMIFS(Sheet2!$E:$E,Sheet2!$C:$C,$A25,Sheet2!$A:$A,AE$2),"")</f>
        <v/>
      </c>
      <c r="AF25" s="42" t="str">
        <f>IF(SUMIFS(Sheet2!$E:$E,Sheet2!$C:$C,$A25,Sheet2!$A:$A,AF$2)&lt;&gt;0,SUMIFS(Sheet2!$E:$E,Sheet2!$C:$C,$A25,Sheet2!$A:$A,AF$2),"")</f>
        <v/>
      </c>
      <c r="AG25" s="42" t="str">
        <f>IF(SUMIFS(Sheet2!$E:$E,Sheet2!$C:$C,$A25,Sheet2!$A:$A,AG$2)&lt;&gt;0,SUMIFS(Sheet2!$E:$E,Sheet2!$C:$C,$A25,Sheet2!$A:$A,AG$2),"")</f>
        <v/>
      </c>
      <c r="AH25" s="43">
        <f>SUM(Table2[[#This Row],[1]:[31]])</f>
        <v>0</v>
      </c>
    </row>
    <row r="26" spans="1:34" ht="12.75" customHeight="1">
      <c r="A26" s="76" t="str">
        <f>DSSP!A25</f>
        <v>A073</v>
      </c>
      <c r="B26" s="25" t="str">
        <f>DSSP!B25</f>
        <v>Cá heo</v>
      </c>
      <c r="C26" s="42" t="str">
        <f>IF(SUMIFS(Sheet2!$E:$E,Sheet2!$C:$C,$A26,Sheet2!$A:$A,C$2)&lt;&gt;0,SUMIFS(Sheet2!$E:$E,Sheet2!$C:$C,$A26,Sheet2!$A:$A,C$2),"")</f>
        <v/>
      </c>
      <c r="D26" s="42" t="str">
        <f>IF(SUMIFS(Sheet2!$E:$E,Sheet2!$C:$C,$A26,Sheet2!$A:$A,D$2)&lt;&gt;0,SUMIFS(Sheet2!$E:$E,Sheet2!$C:$C,$A26,Sheet2!$A:$A,D$2),"")</f>
        <v/>
      </c>
      <c r="E26" s="42" t="str">
        <f>IF(SUMIFS(Sheet2!$E:$E,Sheet2!$C:$C,$A26,Sheet2!$A:$A,E$2)&lt;&gt;0,SUMIFS(Sheet2!$E:$E,Sheet2!$C:$C,$A26,Sheet2!$A:$A,E$2),"")</f>
        <v/>
      </c>
      <c r="F26" s="42" t="str">
        <f>IF(SUMIFS(Sheet2!$E:$E,Sheet2!$C:$C,$A26,Sheet2!$A:$A,F$2)&lt;&gt;0,SUMIFS(Sheet2!$E:$E,Sheet2!$C:$C,$A26,Sheet2!$A:$A,F$2),"")</f>
        <v/>
      </c>
      <c r="G26" s="42" t="str">
        <f>IF(SUMIFS(Sheet2!$E:$E,Sheet2!$C:$C,$A26,Sheet2!$A:$A,G$2)&lt;&gt;0,SUMIFS(Sheet2!$E:$E,Sheet2!$C:$C,$A26,Sheet2!$A:$A,G$2),"")</f>
        <v/>
      </c>
      <c r="H26" s="42" t="str">
        <f>IF(SUMIFS(Sheet2!$E:$E,Sheet2!$C:$C,$A26,Sheet2!$A:$A,H$2)&lt;&gt;0,SUMIFS(Sheet2!$E:$E,Sheet2!$C:$C,$A26,Sheet2!$A:$A,H$2),"")</f>
        <v/>
      </c>
      <c r="I26" s="42" t="str">
        <f>IF(SUMIFS(Sheet2!$E:$E,Sheet2!$C:$C,$A26,Sheet2!$A:$A,I$2)&lt;&gt;0,SUMIFS(Sheet2!$E:$E,Sheet2!$C:$C,$A26,Sheet2!$A:$A,I$2),"")</f>
        <v/>
      </c>
      <c r="J26" s="42" t="str">
        <f>IF(SUMIFS(Sheet2!$E:$E,Sheet2!$C:$C,$A26,Sheet2!$A:$A,J$2)&lt;&gt;0,SUMIFS(Sheet2!$E:$E,Sheet2!$C:$C,$A26,Sheet2!$A:$A,J$2),"")</f>
        <v/>
      </c>
      <c r="K26" s="42" t="str">
        <f>IF(SUMIFS(Sheet2!$E:$E,Sheet2!$C:$C,$A26,Sheet2!$A:$A,K$2)&lt;&gt;0,SUMIFS(Sheet2!$E:$E,Sheet2!$C:$C,$A26,Sheet2!$A:$A,K$2),"")</f>
        <v/>
      </c>
      <c r="L26" s="42" t="str">
        <f>IF(SUMIFS(Sheet2!$E:$E,Sheet2!$C:$C,$A26,Sheet2!$A:$A,L$2)&lt;&gt;0,SUMIFS(Sheet2!$E:$E,Sheet2!$C:$C,$A26,Sheet2!$A:$A,L$2),"")</f>
        <v/>
      </c>
      <c r="M26" s="42" t="str">
        <f>IF(SUMIFS(Sheet2!$E:$E,Sheet2!$C:$C,$A26,Sheet2!$A:$A,M$2)&lt;&gt;0,SUMIFS(Sheet2!$E:$E,Sheet2!$C:$C,$A26,Sheet2!$A:$A,M$2),"")</f>
        <v/>
      </c>
      <c r="N26" s="42" t="str">
        <f>IF(SUMIFS(Sheet2!$E:$E,Sheet2!$C:$C,$A26,Sheet2!$A:$A,N$2)&lt;&gt;0,SUMIFS(Sheet2!$E:$E,Sheet2!$C:$C,$A26,Sheet2!$A:$A,N$2),"")</f>
        <v/>
      </c>
      <c r="O26" s="42" t="str">
        <f>IF(SUMIFS(Sheet2!$E:$E,Sheet2!$C:$C,$A26,Sheet2!$A:$A,O$2)&lt;&gt;0,SUMIFS(Sheet2!$E:$E,Sheet2!$C:$C,$A26,Sheet2!$A:$A,O$2),"")</f>
        <v/>
      </c>
      <c r="P26" s="42" t="str">
        <f>IF(SUMIFS(Sheet2!$E:$E,Sheet2!$C:$C,$A26,Sheet2!$A:$A,P$2)&lt;&gt;0,SUMIFS(Sheet2!$E:$E,Sheet2!$C:$C,$A26,Sheet2!$A:$A,P$2),"")</f>
        <v/>
      </c>
      <c r="Q26" s="42" t="str">
        <f>IF(SUMIFS(Sheet2!$E:$E,Sheet2!$C:$C,$A26,Sheet2!$A:$A,Q$2)&lt;&gt;0,SUMIFS(Sheet2!$E:$E,Sheet2!$C:$C,$A26,Sheet2!$A:$A,Q$2),"")</f>
        <v/>
      </c>
      <c r="R26" s="42" t="str">
        <f>IF(SUMIFS(Sheet2!$E:$E,Sheet2!$C:$C,$A26,Sheet2!$A:$A,R$2)&lt;&gt;0,SUMIFS(Sheet2!$E:$E,Sheet2!$C:$C,$A26,Sheet2!$A:$A,R$2),"")</f>
        <v/>
      </c>
      <c r="S26" s="42" t="str">
        <f>IF(SUMIFS(Sheet2!$E:$E,Sheet2!$C:$C,$A26,Sheet2!$A:$A,S$2)&lt;&gt;0,SUMIFS(Sheet2!$E:$E,Sheet2!$C:$C,$A26,Sheet2!$A:$A,S$2),"")</f>
        <v/>
      </c>
      <c r="T26" s="42" t="str">
        <f>IF(SUMIFS(Sheet2!$E:$E,Sheet2!$C:$C,$A26,Sheet2!$A:$A,T$2)&lt;&gt;0,SUMIFS(Sheet2!$E:$E,Sheet2!$C:$C,$A26,Sheet2!$A:$A,T$2),"")</f>
        <v/>
      </c>
      <c r="U26" s="42" t="str">
        <f>IF(SUMIFS(Sheet2!$E:$E,Sheet2!$C:$C,$A26,Sheet2!$A:$A,U$2)&lt;&gt;0,SUMIFS(Sheet2!$E:$E,Sheet2!$C:$C,$A26,Sheet2!$A:$A,U$2),"")</f>
        <v/>
      </c>
      <c r="V26" s="42" t="str">
        <f>IF(SUMIFS(Sheet2!$E:$E,Sheet2!$C:$C,$A26,Sheet2!$A:$A,V$2)&lt;&gt;0,SUMIFS(Sheet2!$E:$E,Sheet2!$C:$C,$A26,Sheet2!$A:$A,V$2),"")</f>
        <v/>
      </c>
      <c r="W26" s="42" t="str">
        <f>IF(SUMIFS(Sheet2!$E:$E,Sheet2!$C:$C,$A26,Sheet2!$A:$A,W$2)&lt;&gt;0,SUMIFS(Sheet2!$E:$E,Sheet2!$C:$C,$A26,Sheet2!$A:$A,W$2),"")</f>
        <v/>
      </c>
      <c r="X26" s="42" t="str">
        <f>IF(SUMIFS(Sheet2!$E:$E,Sheet2!$C:$C,$A26,Sheet2!$A:$A,X$2)&lt;&gt;0,SUMIFS(Sheet2!$E:$E,Sheet2!$C:$C,$A26,Sheet2!$A:$A,X$2),"")</f>
        <v/>
      </c>
      <c r="Y26" s="42" t="str">
        <f>IF(SUMIFS(Sheet2!$E:$E,Sheet2!$C:$C,$A26,Sheet2!$A:$A,Y$2)&lt;&gt;0,SUMIFS(Sheet2!$E:$E,Sheet2!$C:$C,$A26,Sheet2!$A:$A,Y$2),"")</f>
        <v/>
      </c>
      <c r="Z26" s="42" t="str">
        <f>IF(SUMIFS(Sheet2!$E:$E,Sheet2!$C:$C,$A26,Sheet2!$A:$A,Z$2)&lt;&gt;0,SUMIFS(Sheet2!$E:$E,Sheet2!$C:$C,$A26,Sheet2!$A:$A,Z$2),"")</f>
        <v/>
      </c>
      <c r="AA26" s="42" t="str">
        <f>IF(SUMIFS(Sheet2!$E:$E,Sheet2!$C:$C,$A26,Sheet2!$A:$A,AA$2)&lt;&gt;0,SUMIFS(Sheet2!$E:$E,Sheet2!$C:$C,$A26,Sheet2!$A:$A,AA$2),"")</f>
        <v/>
      </c>
      <c r="AB26" s="42" t="str">
        <f>IF(SUMIFS(Sheet2!$E:$E,Sheet2!$C:$C,$A26,Sheet2!$A:$A,AB$2)&lt;&gt;0,SUMIFS(Sheet2!$E:$E,Sheet2!$C:$C,$A26,Sheet2!$A:$A,AB$2),"")</f>
        <v/>
      </c>
      <c r="AC26" s="42" t="str">
        <f>IF(SUMIFS(Sheet2!$E:$E,Sheet2!$C:$C,$A26,Sheet2!$A:$A,AC$2)&lt;&gt;0,SUMIFS(Sheet2!$E:$E,Sheet2!$C:$C,$A26,Sheet2!$A:$A,AC$2),"")</f>
        <v/>
      </c>
      <c r="AD26" s="42" t="str">
        <f>IF(SUMIFS(Sheet2!$E:$E,Sheet2!$C:$C,$A26,Sheet2!$A:$A,AD$2)&lt;&gt;0,SUMIFS(Sheet2!$E:$E,Sheet2!$C:$C,$A26,Sheet2!$A:$A,AD$2),"")</f>
        <v/>
      </c>
      <c r="AE26" s="42" t="str">
        <f>IF(SUMIFS(Sheet2!$E:$E,Sheet2!$C:$C,$A26,Sheet2!$A:$A,AE$2)&lt;&gt;0,SUMIFS(Sheet2!$E:$E,Sheet2!$C:$C,$A26,Sheet2!$A:$A,AE$2),"")</f>
        <v/>
      </c>
      <c r="AF26" s="42" t="str">
        <f>IF(SUMIFS(Sheet2!$E:$E,Sheet2!$C:$C,$A26,Sheet2!$A:$A,AF$2)&lt;&gt;0,SUMIFS(Sheet2!$E:$E,Sheet2!$C:$C,$A26,Sheet2!$A:$A,AF$2),"")</f>
        <v/>
      </c>
      <c r="AG26" s="42" t="str">
        <f>IF(SUMIFS(Sheet2!$E:$E,Sheet2!$C:$C,$A26,Sheet2!$A:$A,AG$2)&lt;&gt;0,SUMIFS(Sheet2!$E:$E,Sheet2!$C:$C,$A26,Sheet2!$A:$A,AG$2),"")</f>
        <v/>
      </c>
      <c r="AH26" s="43">
        <f>SUM(Table2[[#This Row],[1]:[31]])</f>
        <v>0</v>
      </c>
    </row>
    <row r="27" spans="1:34" ht="12.75" customHeight="1">
      <c r="A27" s="76" t="str">
        <f>DSSP!A26</f>
        <v>A075</v>
      </c>
      <c r="B27" s="25" t="str">
        <f>DSSP!B26</f>
        <v>Bánh kẹp trứng</v>
      </c>
      <c r="C27" s="42" t="str">
        <f>IF(SUMIFS(Sheet2!$E:$E,Sheet2!$C:$C,$A27,Sheet2!$A:$A,C$2)&lt;&gt;0,SUMIFS(Sheet2!$E:$E,Sheet2!$C:$C,$A27,Sheet2!$A:$A,C$2),"")</f>
        <v/>
      </c>
      <c r="D27" s="42" t="str">
        <f>IF(SUMIFS(Sheet2!$E:$E,Sheet2!$C:$C,$A27,Sheet2!$A:$A,D$2)&lt;&gt;0,SUMIFS(Sheet2!$E:$E,Sheet2!$C:$C,$A27,Sheet2!$A:$A,D$2),"")</f>
        <v/>
      </c>
      <c r="E27" s="42" t="str">
        <f>IF(SUMIFS(Sheet2!$E:$E,Sheet2!$C:$C,$A27,Sheet2!$A:$A,E$2)&lt;&gt;0,SUMIFS(Sheet2!$E:$E,Sheet2!$C:$C,$A27,Sheet2!$A:$A,E$2),"")</f>
        <v/>
      </c>
      <c r="F27" s="42" t="str">
        <f>IF(SUMIFS(Sheet2!$E:$E,Sheet2!$C:$C,$A27,Sheet2!$A:$A,F$2)&lt;&gt;0,SUMIFS(Sheet2!$E:$E,Sheet2!$C:$C,$A27,Sheet2!$A:$A,F$2),"")</f>
        <v/>
      </c>
      <c r="G27" s="42" t="str">
        <f>IF(SUMIFS(Sheet2!$E:$E,Sheet2!$C:$C,$A27,Sheet2!$A:$A,G$2)&lt;&gt;0,SUMIFS(Sheet2!$E:$E,Sheet2!$C:$C,$A27,Sheet2!$A:$A,G$2),"")</f>
        <v/>
      </c>
      <c r="H27" s="42" t="str">
        <f>IF(SUMIFS(Sheet2!$E:$E,Sheet2!$C:$C,$A27,Sheet2!$A:$A,H$2)&lt;&gt;0,SUMIFS(Sheet2!$E:$E,Sheet2!$C:$C,$A27,Sheet2!$A:$A,H$2),"")</f>
        <v/>
      </c>
      <c r="I27" s="42" t="str">
        <f>IF(SUMIFS(Sheet2!$E:$E,Sheet2!$C:$C,$A27,Sheet2!$A:$A,I$2)&lt;&gt;0,SUMIFS(Sheet2!$E:$E,Sheet2!$C:$C,$A27,Sheet2!$A:$A,I$2),"")</f>
        <v/>
      </c>
      <c r="J27" s="42" t="str">
        <f>IF(SUMIFS(Sheet2!$E:$E,Sheet2!$C:$C,$A27,Sheet2!$A:$A,J$2)&lt;&gt;0,SUMIFS(Sheet2!$E:$E,Sheet2!$C:$C,$A27,Sheet2!$A:$A,J$2),"")</f>
        <v/>
      </c>
      <c r="K27" s="42" t="str">
        <f>IF(SUMIFS(Sheet2!$E:$E,Sheet2!$C:$C,$A27,Sheet2!$A:$A,K$2)&lt;&gt;0,SUMIFS(Sheet2!$E:$E,Sheet2!$C:$C,$A27,Sheet2!$A:$A,K$2),"")</f>
        <v/>
      </c>
      <c r="L27" s="42" t="str">
        <f>IF(SUMIFS(Sheet2!$E:$E,Sheet2!$C:$C,$A27,Sheet2!$A:$A,L$2)&lt;&gt;0,SUMIFS(Sheet2!$E:$E,Sheet2!$C:$C,$A27,Sheet2!$A:$A,L$2),"")</f>
        <v/>
      </c>
      <c r="M27" s="42" t="str">
        <f>IF(SUMIFS(Sheet2!$E:$E,Sheet2!$C:$C,$A27,Sheet2!$A:$A,M$2)&lt;&gt;0,SUMIFS(Sheet2!$E:$E,Sheet2!$C:$C,$A27,Sheet2!$A:$A,M$2),"")</f>
        <v/>
      </c>
      <c r="N27" s="42" t="str">
        <f>IF(SUMIFS(Sheet2!$E:$E,Sheet2!$C:$C,$A27,Sheet2!$A:$A,N$2)&lt;&gt;0,SUMIFS(Sheet2!$E:$E,Sheet2!$C:$C,$A27,Sheet2!$A:$A,N$2),"")</f>
        <v/>
      </c>
      <c r="O27" s="42" t="str">
        <f>IF(SUMIFS(Sheet2!$E:$E,Sheet2!$C:$C,$A27,Sheet2!$A:$A,O$2)&lt;&gt;0,SUMIFS(Sheet2!$E:$E,Sheet2!$C:$C,$A27,Sheet2!$A:$A,O$2),"")</f>
        <v/>
      </c>
      <c r="P27" s="42" t="str">
        <f>IF(SUMIFS(Sheet2!$E:$E,Sheet2!$C:$C,$A27,Sheet2!$A:$A,P$2)&lt;&gt;0,SUMIFS(Sheet2!$E:$E,Sheet2!$C:$C,$A27,Sheet2!$A:$A,P$2),"")</f>
        <v/>
      </c>
      <c r="Q27" s="42" t="str">
        <f>IF(SUMIFS(Sheet2!$E:$E,Sheet2!$C:$C,$A27,Sheet2!$A:$A,Q$2)&lt;&gt;0,SUMIFS(Sheet2!$E:$E,Sheet2!$C:$C,$A27,Sheet2!$A:$A,Q$2),"")</f>
        <v/>
      </c>
      <c r="R27" s="42" t="str">
        <f>IF(SUMIFS(Sheet2!$E:$E,Sheet2!$C:$C,$A27,Sheet2!$A:$A,R$2)&lt;&gt;0,SUMIFS(Sheet2!$E:$E,Sheet2!$C:$C,$A27,Sheet2!$A:$A,R$2),"")</f>
        <v/>
      </c>
      <c r="S27" s="42" t="str">
        <f>IF(SUMIFS(Sheet2!$E:$E,Sheet2!$C:$C,$A27,Sheet2!$A:$A,S$2)&lt;&gt;0,SUMIFS(Sheet2!$E:$E,Sheet2!$C:$C,$A27,Sheet2!$A:$A,S$2),"")</f>
        <v/>
      </c>
      <c r="T27" s="42" t="str">
        <f>IF(SUMIFS(Sheet2!$E:$E,Sheet2!$C:$C,$A27,Sheet2!$A:$A,T$2)&lt;&gt;0,SUMIFS(Sheet2!$E:$E,Sheet2!$C:$C,$A27,Sheet2!$A:$A,T$2),"")</f>
        <v/>
      </c>
      <c r="U27" s="42" t="str">
        <f>IF(SUMIFS(Sheet2!$E:$E,Sheet2!$C:$C,$A27,Sheet2!$A:$A,U$2)&lt;&gt;0,SUMIFS(Sheet2!$E:$E,Sheet2!$C:$C,$A27,Sheet2!$A:$A,U$2),"")</f>
        <v/>
      </c>
      <c r="V27" s="42" t="str">
        <f>IF(SUMIFS(Sheet2!$E:$E,Sheet2!$C:$C,$A27,Sheet2!$A:$A,V$2)&lt;&gt;0,SUMIFS(Sheet2!$E:$E,Sheet2!$C:$C,$A27,Sheet2!$A:$A,V$2),"")</f>
        <v/>
      </c>
      <c r="W27" s="42" t="str">
        <f>IF(SUMIFS(Sheet2!$E:$E,Sheet2!$C:$C,$A27,Sheet2!$A:$A,W$2)&lt;&gt;0,SUMIFS(Sheet2!$E:$E,Sheet2!$C:$C,$A27,Sheet2!$A:$A,W$2),"")</f>
        <v/>
      </c>
      <c r="X27" s="42" t="str">
        <f>IF(SUMIFS(Sheet2!$E:$E,Sheet2!$C:$C,$A27,Sheet2!$A:$A,X$2)&lt;&gt;0,SUMIFS(Sheet2!$E:$E,Sheet2!$C:$C,$A27,Sheet2!$A:$A,X$2),"")</f>
        <v/>
      </c>
      <c r="Y27" s="42" t="str">
        <f>IF(SUMIFS(Sheet2!$E:$E,Sheet2!$C:$C,$A27,Sheet2!$A:$A,Y$2)&lt;&gt;0,SUMIFS(Sheet2!$E:$E,Sheet2!$C:$C,$A27,Sheet2!$A:$A,Y$2),"")</f>
        <v/>
      </c>
      <c r="Z27" s="42" t="str">
        <f>IF(SUMIFS(Sheet2!$E:$E,Sheet2!$C:$C,$A27,Sheet2!$A:$A,Z$2)&lt;&gt;0,SUMIFS(Sheet2!$E:$E,Sheet2!$C:$C,$A27,Sheet2!$A:$A,Z$2),"")</f>
        <v/>
      </c>
      <c r="AA27" s="42" t="str">
        <f>IF(SUMIFS(Sheet2!$E:$E,Sheet2!$C:$C,$A27,Sheet2!$A:$A,AA$2)&lt;&gt;0,SUMIFS(Sheet2!$E:$E,Sheet2!$C:$C,$A27,Sheet2!$A:$A,AA$2),"")</f>
        <v/>
      </c>
      <c r="AB27" s="42" t="str">
        <f>IF(SUMIFS(Sheet2!$E:$E,Sheet2!$C:$C,$A27,Sheet2!$A:$A,AB$2)&lt;&gt;0,SUMIFS(Sheet2!$E:$E,Sheet2!$C:$C,$A27,Sheet2!$A:$A,AB$2),"")</f>
        <v/>
      </c>
      <c r="AC27" s="42" t="str">
        <f>IF(SUMIFS(Sheet2!$E:$E,Sheet2!$C:$C,$A27,Sheet2!$A:$A,AC$2)&lt;&gt;0,SUMIFS(Sheet2!$E:$E,Sheet2!$C:$C,$A27,Sheet2!$A:$A,AC$2),"")</f>
        <v/>
      </c>
      <c r="AD27" s="42" t="str">
        <f>IF(SUMIFS(Sheet2!$E:$E,Sheet2!$C:$C,$A27,Sheet2!$A:$A,AD$2)&lt;&gt;0,SUMIFS(Sheet2!$E:$E,Sheet2!$C:$C,$A27,Sheet2!$A:$A,AD$2),"")</f>
        <v/>
      </c>
      <c r="AE27" s="42" t="str">
        <f>IF(SUMIFS(Sheet2!$E:$E,Sheet2!$C:$C,$A27,Sheet2!$A:$A,AE$2)&lt;&gt;0,SUMIFS(Sheet2!$E:$E,Sheet2!$C:$C,$A27,Sheet2!$A:$A,AE$2),"")</f>
        <v/>
      </c>
      <c r="AF27" s="42" t="str">
        <f>IF(SUMIFS(Sheet2!$E:$E,Sheet2!$C:$C,$A27,Sheet2!$A:$A,AF$2)&lt;&gt;0,SUMIFS(Sheet2!$E:$E,Sheet2!$C:$C,$A27,Sheet2!$A:$A,AF$2),"")</f>
        <v/>
      </c>
      <c r="AG27" s="42" t="str">
        <f>IF(SUMIFS(Sheet2!$E:$E,Sheet2!$C:$C,$A27,Sheet2!$A:$A,AG$2)&lt;&gt;0,SUMIFS(Sheet2!$E:$E,Sheet2!$C:$C,$A27,Sheet2!$A:$A,AG$2),"")</f>
        <v/>
      </c>
      <c r="AH27" s="43">
        <f>SUM(Table2[[#This Row],[1]:[31]])</f>
        <v>0</v>
      </c>
    </row>
    <row r="28" spans="1:34" ht="12.75" customHeight="1">
      <c r="A28" s="76" t="str">
        <f>DSSP!A27</f>
        <v>A076</v>
      </c>
      <c r="B28" s="25" t="str">
        <f>DSSP!B27</f>
        <v>Búp bê Nga</v>
      </c>
      <c r="C28" s="42" t="str">
        <f>IF(SUMIFS(Sheet2!$E:$E,Sheet2!$C:$C,$A28,Sheet2!$A:$A,C$2)&lt;&gt;0,SUMIFS(Sheet2!$E:$E,Sheet2!$C:$C,$A28,Sheet2!$A:$A,C$2),"")</f>
        <v/>
      </c>
      <c r="D28" s="42" t="str">
        <f>IF(SUMIFS(Sheet2!$E:$E,Sheet2!$C:$C,$A28,Sheet2!$A:$A,D$2)&lt;&gt;0,SUMIFS(Sheet2!$E:$E,Sheet2!$C:$C,$A28,Sheet2!$A:$A,D$2),"")</f>
        <v/>
      </c>
      <c r="E28" s="42" t="str">
        <f>IF(SUMIFS(Sheet2!$E:$E,Sheet2!$C:$C,$A28,Sheet2!$A:$A,E$2)&lt;&gt;0,SUMIFS(Sheet2!$E:$E,Sheet2!$C:$C,$A28,Sheet2!$A:$A,E$2),"")</f>
        <v/>
      </c>
      <c r="F28" s="42" t="str">
        <f>IF(SUMIFS(Sheet2!$E:$E,Sheet2!$C:$C,$A28,Sheet2!$A:$A,F$2)&lt;&gt;0,SUMIFS(Sheet2!$E:$E,Sheet2!$C:$C,$A28,Sheet2!$A:$A,F$2),"")</f>
        <v/>
      </c>
      <c r="G28" s="42" t="str">
        <f>IF(SUMIFS(Sheet2!$E:$E,Sheet2!$C:$C,$A28,Sheet2!$A:$A,G$2)&lt;&gt;0,SUMIFS(Sheet2!$E:$E,Sheet2!$C:$C,$A28,Sheet2!$A:$A,G$2),"")</f>
        <v/>
      </c>
      <c r="H28" s="42" t="str">
        <f>IF(SUMIFS(Sheet2!$E:$E,Sheet2!$C:$C,$A28,Sheet2!$A:$A,H$2)&lt;&gt;0,SUMIFS(Sheet2!$E:$E,Sheet2!$C:$C,$A28,Sheet2!$A:$A,H$2),"")</f>
        <v/>
      </c>
      <c r="I28" s="42" t="str">
        <f>IF(SUMIFS(Sheet2!$E:$E,Sheet2!$C:$C,$A28,Sheet2!$A:$A,I$2)&lt;&gt;0,SUMIFS(Sheet2!$E:$E,Sheet2!$C:$C,$A28,Sheet2!$A:$A,I$2),"")</f>
        <v/>
      </c>
      <c r="J28" s="42" t="str">
        <f>IF(SUMIFS(Sheet2!$E:$E,Sheet2!$C:$C,$A28,Sheet2!$A:$A,J$2)&lt;&gt;0,SUMIFS(Sheet2!$E:$E,Sheet2!$C:$C,$A28,Sheet2!$A:$A,J$2),"")</f>
        <v/>
      </c>
      <c r="K28" s="42" t="str">
        <f>IF(SUMIFS(Sheet2!$E:$E,Sheet2!$C:$C,$A28,Sheet2!$A:$A,K$2)&lt;&gt;0,SUMIFS(Sheet2!$E:$E,Sheet2!$C:$C,$A28,Sheet2!$A:$A,K$2),"")</f>
        <v/>
      </c>
      <c r="L28" s="42" t="str">
        <f>IF(SUMIFS(Sheet2!$E:$E,Sheet2!$C:$C,$A28,Sheet2!$A:$A,L$2)&lt;&gt;0,SUMIFS(Sheet2!$E:$E,Sheet2!$C:$C,$A28,Sheet2!$A:$A,L$2),"")</f>
        <v/>
      </c>
      <c r="M28" s="42" t="str">
        <f>IF(SUMIFS(Sheet2!$E:$E,Sheet2!$C:$C,$A28,Sheet2!$A:$A,M$2)&lt;&gt;0,SUMIFS(Sheet2!$E:$E,Sheet2!$C:$C,$A28,Sheet2!$A:$A,M$2),"")</f>
        <v/>
      </c>
      <c r="N28" s="42" t="str">
        <f>IF(SUMIFS(Sheet2!$E:$E,Sheet2!$C:$C,$A28,Sheet2!$A:$A,N$2)&lt;&gt;0,SUMIFS(Sheet2!$E:$E,Sheet2!$C:$C,$A28,Sheet2!$A:$A,N$2),"")</f>
        <v/>
      </c>
      <c r="O28" s="42" t="str">
        <f>IF(SUMIFS(Sheet2!$E:$E,Sheet2!$C:$C,$A28,Sheet2!$A:$A,O$2)&lt;&gt;0,SUMIFS(Sheet2!$E:$E,Sheet2!$C:$C,$A28,Sheet2!$A:$A,O$2),"")</f>
        <v/>
      </c>
      <c r="P28" s="42" t="str">
        <f>IF(SUMIFS(Sheet2!$E:$E,Sheet2!$C:$C,$A28,Sheet2!$A:$A,P$2)&lt;&gt;0,SUMIFS(Sheet2!$E:$E,Sheet2!$C:$C,$A28,Sheet2!$A:$A,P$2),"")</f>
        <v/>
      </c>
      <c r="Q28" s="42" t="str">
        <f>IF(SUMIFS(Sheet2!$E:$E,Sheet2!$C:$C,$A28,Sheet2!$A:$A,Q$2)&lt;&gt;0,SUMIFS(Sheet2!$E:$E,Sheet2!$C:$C,$A28,Sheet2!$A:$A,Q$2),"")</f>
        <v/>
      </c>
      <c r="R28" s="42" t="str">
        <f>IF(SUMIFS(Sheet2!$E:$E,Sheet2!$C:$C,$A28,Sheet2!$A:$A,R$2)&lt;&gt;0,SUMIFS(Sheet2!$E:$E,Sheet2!$C:$C,$A28,Sheet2!$A:$A,R$2),"")</f>
        <v/>
      </c>
      <c r="S28" s="42" t="str">
        <f>IF(SUMIFS(Sheet2!$E:$E,Sheet2!$C:$C,$A28,Sheet2!$A:$A,S$2)&lt;&gt;0,SUMIFS(Sheet2!$E:$E,Sheet2!$C:$C,$A28,Sheet2!$A:$A,S$2),"")</f>
        <v/>
      </c>
      <c r="T28" s="42" t="str">
        <f>IF(SUMIFS(Sheet2!$E:$E,Sheet2!$C:$C,$A28,Sheet2!$A:$A,T$2)&lt;&gt;0,SUMIFS(Sheet2!$E:$E,Sheet2!$C:$C,$A28,Sheet2!$A:$A,T$2),"")</f>
        <v/>
      </c>
      <c r="U28" s="42" t="str">
        <f>IF(SUMIFS(Sheet2!$E:$E,Sheet2!$C:$C,$A28,Sheet2!$A:$A,U$2)&lt;&gt;0,SUMIFS(Sheet2!$E:$E,Sheet2!$C:$C,$A28,Sheet2!$A:$A,U$2),"")</f>
        <v/>
      </c>
      <c r="V28" s="42" t="str">
        <f>IF(SUMIFS(Sheet2!$E:$E,Sheet2!$C:$C,$A28,Sheet2!$A:$A,V$2)&lt;&gt;0,SUMIFS(Sheet2!$E:$E,Sheet2!$C:$C,$A28,Sheet2!$A:$A,V$2),"")</f>
        <v/>
      </c>
      <c r="W28" s="42" t="str">
        <f>IF(SUMIFS(Sheet2!$E:$E,Sheet2!$C:$C,$A28,Sheet2!$A:$A,W$2)&lt;&gt;0,SUMIFS(Sheet2!$E:$E,Sheet2!$C:$C,$A28,Sheet2!$A:$A,W$2),"")</f>
        <v/>
      </c>
      <c r="X28" s="42" t="str">
        <f>IF(SUMIFS(Sheet2!$E:$E,Sheet2!$C:$C,$A28,Sheet2!$A:$A,X$2)&lt;&gt;0,SUMIFS(Sheet2!$E:$E,Sheet2!$C:$C,$A28,Sheet2!$A:$A,X$2),"")</f>
        <v/>
      </c>
      <c r="Y28" s="42" t="str">
        <f>IF(SUMIFS(Sheet2!$E:$E,Sheet2!$C:$C,$A28,Sheet2!$A:$A,Y$2)&lt;&gt;0,SUMIFS(Sheet2!$E:$E,Sheet2!$C:$C,$A28,Sheet2!$A:$A,Y$2),"")</f>
        <v/>
      </c>
      <c r="Z28" s="42" t="str">
        <f>IF(SUMIFS(Sheet2!$E:$E,Sheet2!$C:$C,$A28,Sheet2!$A:$A,Z$2)&lt;&gt;0,SUMIFS(Sheet2!$E:$E,Sheet2!$C:$C,$A28,Sheet2!$A:$A,Z$2),"")</f>
        <v/>
      </c>
      <c r="AA28" s="42" t="str">
        <f>IF(SUMIFS(Sheet2!$E:$E,Sheet2!$C:$C,$A28,Sheet2!$A:$A,AA$2)&lt;&gt;0,SUMIFS(Sheet2!$E:$E,Sheet2!$C:$C,$A28,Sheet2!$A:$A,AA$2),"")</f>
        <v/>
      </c>
      <c r="AB28" s="42" t="str">
        <f>IF(SUMIFS(Sheet2!$E:$E,Sheet2!$C:$C,$A28,Sheet2!$A:$A,AB$2)&lt;&gt;0,SUMIFS(Sheet2!$E:$E,Sheet2!$C:$C,$A28,Sheet2!$A:$A,AB$2),"")</f>
        <v/>
      </c>
      <c r="AC28" s="42" t="str">
        <f>IF(SUMIFS(Sheet2!$E:$E,Sheet2!$C:$C,$A28,Sheet2!$A:$A,AC$2)&lt;&gt;0,SUMIFS(Sheet2!$E:$E,Sheet2!$C:$C,$A28,Sheet2!$A:$A,AC$2),"")</f>
        <v/>
      </c>
      <c r="AD28" s="42" t="str">
        <f>IF(SUMIFS(Sheet2!$E:$E,Sheet2!$C:$C,$A28,Sheet2!$A:$A,AD$2)&lt;&gt;0,SUMIFS(Sheet2!$E:$E,Sheet2!$C:$C,$A28,Sheet2!$A:$A,AD$2),"")</f>
        <v/>
      </c>
      <c r="AE28" s="42" t="str">
        <f>IF(SUMIFS(Sheet2!$E:$E,Sheet2!$C:$C,$A28,Sheet2!$A:$A,AE$2)&lt;&gt;0,SUMIFS(Sheet2!$E:$E,Sheet2!$C:$C,$A28,Sheet2!$A:$A,AE$2),"")</f>
        <v/>
      </c>
      <c r="AF28" s="42" t="str">
        <f>IF(SUMIFS(Sheet2!$E:$E,Sheet2!$C:$C,$A28,Sheet2!$A:$A,AF$2)&lt;&gt;0,SUMIFS(Sheet2!$E:$E,Sheet2!$C:$C,$A28,Sheet2!$A:$A,AF$2),"")</f>
        <v/>
      </c>
      <c r="AG28" s="42" t="str">
        <f>IF(SUMIFS(Sheet2!$E:$E,Sheet2!$C:$C,$A28,Sheet2!$A:$A,AG$2)&lt;&gt;0,SUMIFS(Sheet2!$E:$E,Sheet2!$C:$C,$A28,Sheet2!$A:$A,AG$2),"")</f>
        <v/>
      </c>
      <c r="AH28" s="43">
        <f>SUM(Table2[[#This Row],[1]:[31]])</f>
        <v>0</v>
      </c>
    </row>
    <row r="29" spans="1:34" ht="12.75" customHeight="1">
      <c r="A29" s="76" t="str">
        <f>DSSP!A28</f>
        <v>A077</v>
      </c>
      <c r="B29" s="25" t="str">
        <f>DSSP!B28</f>
        <v>Chim</v>
      </c>
      <c r="C29" s="42" t="str">
        <f>IF(SUMIFS(Sheet2!$E:$E,Sheet2!$C:$C,$A29,Sheet2!$A:$A,C$2)&lt;&gt;0,SUMIFS(Sheet2!$E:$E,Sheet2!$C:$C,$A29,Sheet2!$A:$A,C$2),"")</f>
        <v/>
      </c>
      <c r="D29" s="42" t="str">
        <f>IF(SUMIFS(Sheet2!$E:$E,Sheet2!$C:$C,$A29,Sheet2!$A:$A,D$2)&lt;&gt;0,SUMIFS(Sheet2!$E:$E,Sheet2!$C:$C,$A29,Sheet2!$A:$A,D$2),"")</f>
        <v/>
      </c>
      <c r="E29" s="42" t="str">
        <f>IF(SUMIFS(Sheet2!$E:$E,Sheet2!$C:$C,$A29,Sheet2!$A:$A,E$2)&lt;&gt;0,SUMIFS(Sheet2!$E:$E,Sheet2!$C:$C,$A29,Sheet2!$A:$A,E$2),"")</f>
        <v/>
      </c>
      <c r="F29" s="42" t="str">
        <f>IF(SUMIFS(Sheet2!$E:$E,Sheet2!$C:$C,$A29,Sheet2!$A:$A,F$2)&lt;&gt;0,SUMIFS(Sheet2!$E:$E,Sheet2!$C:$C,$A29,Sheet2!$A:$A,F$2),"")</f>
        <v/>
      </c>
      <c r="G29" s="42" t="str">
        <f>IF(SUMIFS(Sheet2!$E:$E,Sheet2!$C:$C,$A29,Sheet2!$A:$A,G$2)&lt;&gt;0,SUMIFS(Sheet2!$E:$E,Sheet2!$C:$C,$A29,Sheet2!$A:$A,G$2),"")</f>
        <v/>
      </c>
      <c r="H29" s="42" t="str">
        <f>IF(SUMIFS(Sheet2!$E:$E,Sheet2!$C:$C,$A29,Sheet2!$A:$A,H$2)&lt;&gt;0,SUMIFS(Sheet2!$E:$E,Sheet2!$C:$C,$A29,Sheet2!$A:$A,H$2),"")</f>
        <v/>
      </c>
      <c r="I29" s="42" t="str">
        <f>IF(SUMIFS(Sheet2!$E:$E,Sheet2!$C:$C,$A29,Sheet2!$A:$A,I$2)&lt;&gt;0,SUMIFS(Sheet2!$E:$E,Sheet2!$C:$C,$A29,Sheet2!$A:$A,I$2),"")</f>
        <v/>
      </c>
      <c r="J29" s="42" t="str">
        <f>IF(SUMIFS(Sheet2!$E:$E,Sheet2!$C:$C,$A29,Sheet2!$A:$A,J$2)&lt;&gt;0,SUMIFS(Sheet2!$E:$E,Sheet2!$C:$C,$A29,Sheet2!$A:$A,J$2),"")</f>
        <v/>
      </c>
      <c r="K29" s="42" t="str">
        <f>IF(SUMIFS(Sheet2!$E:$E,Sheet2!$C:$C,$A29,Sheet2!$A:$A,K$2)&lt;&gt;0,SUMIFS(Sheet2!$E:$E,Sheet2!$C:$C,$A29,Sheet2!$A:$A,K$2),"")</f>
        <v/>
      </c>
      <c r="L29" s="42" t="str">
        <f>IF(SUMIFS(Sheet2!$E:$E,Sheet2!$C:$C,$A29,Sheet2!$A:$A,L$2)&lt;&gt;0,SUMIFS(Sheet2!$E:$E,Sheet2!$C:$C,$A29,Sheet2!$A:$A,L$2),"")</f>
        <v/>
      </c>
      <c r="M29" s="42" t="str">
        <f>IF(SUMIFS(Sheet2!$E:$E,Sheet2!$C:$C,$A29,Sheet2!$A:$A,M$2)&lt;&gt;0,SUMIFS(Sheet2!$E:$E,Sheet2!$C:$C,$A29,Sheet2!$A:$A,M$2),"")</f>
        <v/>
      </c>
      <c r="N29" s="42" t="str">
        <f>IF(SUMIFS(Sheet2!$E:$E,Sheet2!$C:$C,$A29,Sheet2!$A:$A,N$2)&lt;&gt;0,SUMIFS(Sheet2!$E:$E,Sheet2!$C:$C,$A29,Sheet2!$A:$A,N$2),"")</f>
        <v/>
      </c>
      <c r="O29" s="42" t="str">
        <f>IF(SUMIFS(Sheet2!$E:$E,Sheet2!$C:$C,$A29,Sheet2!$A:$A,O$2)&lt;&gt;0,SUMIFS(Sheet2!$E:$E,Sheet2!$C:$C,$A29,Sheet2!$A:$A,O$2),"")</f>
        <v/>
      </c>
      <c r="P29" s="42" t="str">
        <f>IF(SUMIFS(Sheet2!$E:$E,Sheet2!$C:$C,$A29,Sheet2!$A:$A,P$2)&lt;&gt;0,SUMIFS(Sheet2!$E:$E,Sheet2!$C:$C,$A29,Sheet2!$A:$A,P$2),"")</f>
        <v/>
      </c>
      <c r="Q29" s="42" t="str">
        <f>IF(SUMIFS(Sheet2!$E:$E,Sheet2!$C:$C,$A29,Sheet2!$A:$A,Q$2)&lt;&gt;0,SUMIFS(Sheet2!$E:$E,Sheet2!$C:$C,$A29,Sheet2!$A:$A,Q$2),"")</f>
        <v/>
      </c>
      <c r="R29" s="42" t="str">
        <f>IF(SUMIFS(Sheet2!$E:$E,Sheet2!$C:$C,$A29,Sheet2!$A:$A,R$2)&lt;&gt;0,SUMIFS(Sheet2!$E:$E,Sheet2!$C:$C,$A29,Sheet2!$A:$A,R$2),"")</f>
        <v/>
      </c>
      <c r="S29" s="42" t="str">
        <f>IF(SUMIFS(Sheet2!$E:$E,Sheet2!$C:$C,$A29,Sheet2!$A:$A,S$2)&lt;&gt;0,SUMIFS(Sheet2!$E:$E,Sheet2!$C:$C,$A29,Sheet2!$A:$A,S$2),"")</f>
        <v/>
      </c>
      <c r="T29" s="42" t="str">
        <f>IF(SUMIFS(Sheet2!$E:$E,Sheet2!$C:$C,$A29,Sheet2!$A:$A,T$2)&lt;&gt;0,SUMIFS(Sheet2!$E:$E,Sheet2!$C:$C,$A29,Sheet2!$A:$A,T$2),"")</f>
        <v/>
      </c>
      <c r="U29" s="42" t="str">
        <f>IF(SUMIFS(Sheet2!$E:$E,Sheet2!$C:$C,$A29,Sheet2!$A:$A,U$2)&lt;&gt;0,SUMIFS(Sheet2!$E:$E,Sheet2!$C:$C,$A29,Sheet2!$A:$A,U$2),"")</f>
        <v/>
      </c>
      <c r="V29" s="42" t="str">
        <f>IF(SUMIFS(Sheet2!$E:$E,Sheet2!$C:$C,$A29,Sheet2!$A:$A,V$2)&lt;&gt;0,SUMIFS(Sheet2!$E:$E,Sheet2!$C:$C,$A29,Sheet2!$A:$A,V$2),"")</f>
        <v/>
      </c>
      <c r="W29" s="42" t="str">
        <f>IF(SUMIFS(Sheet2!$E:$E,Sheet2!$C:$C,$A29,Sheet2!$A:$A,W$2)&lt;&gt;0,SUMIFS(Sheet2!$E:$E,Sheet2!$C:$C,$A29,Sheet2!$A:$A,W$2),"")</f>
        <v/>
      </c>
      <c r="X29" s="42" t="str">
        <f>IF(SUMIFS(Sheet2!$E:$E,Sheet2!$C:$C,$A29,Sheet2!$A:$A,X$2)&lt;&gt;0,SUMIFS(Sheet2!$E:$E,Sheet2!$C:$C,$A29,Sheet2!$A:$A,X$2),"")</f>
        <v/>
      </c>
      <c r="Y29" s="42" t="str">
        <f>IF(SUMIFS(Sheet2!$E:$E,Sheet2!$C:$C,$A29,Sheet2!$A:$A,Y$2)&lt;&gt;0,SUMIFS(Sheet2!$E:$E,Sheet2!$C:$C,$A29,Sheet2!$A:$A,Y$2),"")</f>
        <v/>
      </c>
      <c r="Z29" s="42" t="str">
        <f>IF(SUMIFS(Sheet2!$E:$E,Sheet2!$C:$C,$A29,Sheet2!$A:$A,Z$2)&lt;&gt;0,SUMIFS(Sheet2!$E:$E,Sheet2!$C:$C,$A29,Sheet2!$A:$A,Z$2),"")</f>
        <v/>
      </c>
      <c r="AA29" s="42" t="str">
        <f>IF(SUMIFS(Sheet2!$E:$E,Sheet2!$C:$C,$A29,Sheet2!$A:$A,AA$2)&lt;&gt;0,SUMIFS(Sheet2!$E:$E,Sheet2!$C:$C,$A29,Sheet2!$A:$A,AA$2),"")</f>
        <v/>
      </c>
      <c r="AB29" s="42" t="str">
        <f>IF(SUMIFS(Sheet2!$E:$E,Sheet2!$C:$C,$A29,Sheet2!$A:$A,AB$2)&lt;&gt;0,SUMIFS(Sheet2!$E:$E,Sheet2!$C:$C,$A29,Sheet2!$A:$A,AB$2),"")</f>
        <v/>
      </c>
      <c r="AC29" s="42" t="str">
        <f>IF(SUMIFS(Sheet2!$E:$E,Sheet2!$C:$C,$A29,Sheet2!$A:$A,AC$2)&lt;&gt;0,SUMIFS(Sheet2!$E:$E,Sheet2!$C:$C,$A29,Sheet2!$A:$A,AC$2),"")</f>
        <v/>
      </c>
      <c r="AD29" s="42" t="str">
        <f>IF(SUMIFS(Sheet2!$E:$E,Sheet2!$C:$C,$A29,Sheet2!$A:$A,AD$2)&lt;&gt;0,SUMIFS(Sheet2!$E:$E,Sheet2!$C:$C,$A29,Sheet2!$A:$A,AD$2),"")</f>
        <v/>
      </c>
      <c r="AE29" s="42" t="str">
        <f>IF(SUMIFS(Sheet2!$E:$E,Sheet2!$C:$C,$A29,Sheet2!$A:$A,AE$2)&lt;&gt;0,SUMIFS(Sheet2!$E:$E,Sheet2!$C:$C,$A29,Sheet2!$A:$A,AE$2),"")</f>
        <v/>
      </c>
      <c r="AF29" s="42" t="str">
        <f>IF(SUMIFS(Sheet2!$E:$E,Sheet2!$C:$C,$A29,Sheet2!$A:$A,AF$2)&lt;&gt;0,SUMIFS(Sheet2!$E:$E,Sheet2!$C:$C,$A29,Sheet2!$A:$A,AF$2),"")</f>
        <v/>
      </c>
      <c r="AG29" s="42" t="str">
        <f>IF(SUMIFS(Sheet2!$E:$E,Sheet2!$C:$C,$A29,Sheet2!$A:$A,AG$2)&lt;&gt;0,SUMIFS(Sheet2!$E:$E,Sheet2!$C:$C,$A29,Sheet2!$A:$A,AG$2),"")</f>
        <v/>
      </c>
      <c r="AH29" s="43">
        <f>SUM(Table2[[#This Row],[1]:[31]])</f>
        <v>0</v>
      </c>
    </row>
    <row r="30" spans="1:34" ht="12.75" customHeight="1">
      <c r="A30" s="76" t="str">
        <f>DSSP!A29</f>
        <v>A078</v>
      </c>
      <c r="B30" s="25" t="str">
        <f>DSSP!B29</f>
        <v>Trà sữa</v>
      </c>
      <c r="C30" s="42" t="str">
        <f>IF(SUMIFS(Sheet2!$E:$E,Sheet2!$C:$C,$A30,Sheet2!$A:$A,C$2)&lt;&gt;0,SUMIFS(Sheet2!$E:$E,Sheet2!$C:$C,$A30,Sheet2!$A:$A,C$2),"")</f>
        <v/>
      </c>
      <c r="D30" s="42" t="str">
        <f>IF(SUMIFS(Sheet2!$E:$E,Sheet2!$C:$C,$A30,Sheet2!$A:$A,D$2)&lt;&gt;0,SUMIFS(Sheet2!$E:$E,Sheet2!$C:$C,$A30,Sheet2!$A:$A,D$2),"")</f>
        <v/>
      </c>
      <c r="E30" s="42" t="str">
        <f>IF(SUMIFS(Sheet2!$E:$E,Sheet2!$C:$C,$A30,Sheet2!$A:$A,E$2)&lt;&gt;0,SUMIFS(Sheet2!$E:$E,Sheet2!$C:$C,$A30,Sheet2!$A:$A,E$2),"")</f>
        <v/>
      </c>
      <c r="F30" s="42" t="str">
        <f>IF(SUMIFS(Sheet2!$E:$E,Sheet2!$C:$C,$A30,Sheet2!$A:$A,F$2)&lt;&gt;0,SUMIFS(Sheet2!$E:$E,Sheet2!$C:$C,$A30,Sheet2!$A:$A,F$2),"")</f>
        <v/>
      </c>
      <c r="G30" s="42" t="str">
        <f>IF(SUMIFS(Sheet2!$E:$E,Sheet2!$C:$C,$A30,Sheet2!$A:$A,G$2)&lt;&gt;0,SUMIFS(Sheet2!$E:$E,Sheet2!$C:$C,$A30,Sheet2!$A:$A,G$2),"")</f>
        <v/>
      </c>
      <c r="H30" s="42" t="str">
        <f>IF(SUMIFS(Sheet2!$E:$E,Sheet2!$C:$C,$A30,Sheet2!$A:$A,H$2)&lt;&gt;0,SUMIFS(Sheet2!$E:$E,Sheet2!$C:$C,$A30,Sheet2!$A:$A,H$2),"")</f>
        <v/>
      </c>
      <c r="I30" s="42" t="str">
        <f>IF(SUMIFS(Sheet2!$E:$E,Sheet2!$C:$C,$A30,Sheet2!$A:$A,I$2)&lt;&gt;0,SUMIFS(Sheet2!$E:$E,Sheet2!$C:$C,$A30,Sheet2!$A:$A,I$2),"")</f>
        <v/>
      </c>
      <c r="J30" s="42" t="str">
        <f>IF(SUMIFS(Sheet2!$E:$E,Sheet2!$C:$C,$A30,Sheet2!$A:$A,J$2)&lt;&gt;0,SUMIFS(Sheet2!$E:$E,Sheet2!$C:$C,$A30,Sheet2!$A:$A,J$2),"")</f>
        <v/>
      </c>
      <c r="K30" s="42" t="str">
        <f>IF(SUMIFS(Sheet2!$E:$E,Sheet2!$C:$C,$A30,Sheet2!$A:$A,K$2)&lt;&gt;0,SUMIFS(Sheet2!$E:$E,Sheet2!$C:$C,$A30,Sheet2!$A:$A,K$2),"")</f>
        <v/>
      </c>
      <c r="L30" s="42" t="str">
        <f>IF(SUMIFS(Sheet2!$E:$E,Sheet2!$C:$C,$A30,Sheet2!$A:$A,L$2)&lt;&gt;0,SUMIFS(Sheet2!$E:$E,Sheet2!$C:$C,$A30,Sheet2!$A:$A,L$2),"")</f>
        <v/>
      </c>
      <c r="M30" s="42" t="str">
        <f>IF(SUMIFS(Sheet2!$E:$E,Sheet2!$C:$C,$A30,Sheet2!$A:$A,M$2)&lt;&gt;0,SUMIFS(Sheet2!$E:$E,Sheet2!$C:$C,$A30,Sheet2!$A:$A,M$2),"")</f>
        <v/>
      </c>
      <c r="N30" s="42" t="str">
        <f>IF(SUMIFS(Sheet2!$E:$E,Sheet2!$C:$C,$A30,Sheet2!$A:$A,N$2)&lt;&gt;0,SUMIFS(Sheet2!$E:$E,Sheet2!$C:$C,$A30,Sheet2!$A:$A,N$2),"")</f>
        <v/>
      </c>
      <c r="O30" s="42" t="str">
        <f>IF(SUMIFS(Sheet2!$E:$E,Sheet2!$C:$C,$A30,Sheet2!$A:$A,O$2)&lt;&gt;0,SUMIFS(Sheet2!$E:$E,Sheet2!$C:$C,$A30,Sheet2!$A:$A,O$2),"")</f>
        <v/>
      </c>
      <c r="P30" s="42" t="str">
        <f>IF(SUMIFS(Sheet2!$E:$E,Sheet2!$C:$C,$A30,Sheet2!$A:$A,P$2)&lt;&gt;0,SUMIFS(Sheet2!$E:$E,Sheet2!$C:$C,$A30,Sheet2!$A:$A,P$2),"")</f>
        <v/>
      </c>
      <c r="Q30" s="42" t="str">
        <f>IF(SUMIFS(Sheet2!$E:$E,Sheet2!$C:$C,$A30,Sheet2!$A:$A,Q$2)&lt;&gt;0,SUMIFS(Sheet2!$E:$E,Sheet2!$C:$C,$A30,Sheet2!$A:$A,Q$2),"")</f>
        <v/>
      </c>
      <c r="R30" s="42" t="str">
        <f>IF(SUMIFS(Sheet2!$E:$E,Sheet2!$C:$C,$A30,Sheet2!$A:$A,R$2)&lt;&gt;0,SUMIFS(Sheet2!$E:$E,Sheet2!$C:$C,$A30,Sheet2!$A:$A,R$2),"")</f>
        <v/>
      </c>
      <c r="S30" s="42" t="str">
        <f>IF(SUMIFS(Sheet2!$E:$E,Sheet2!$C:$C,$A30,Sheet2!$A:$A,S$2)&lt;&gt;0,SUMIFS(Sheet2!$E:$E,Sheet2!$C:$C,$A30,Sheet2!$A:$A,S$2),"")</f>
        <v/>
      </c>
      <c r="T30" s="42" t="str">
        <f>IF(SUMIFS(Sheet2!$E:$E,Sheet2!$C:$C,$A30,Sheet2!$A:$A,T$2)&lt;&gt;0,SUMIFS(Sheet2!$E:$E,Sheet2!$C:$C,$A30,Sheet2!$A:$A,T$2),"")</f>
        <v/>
      </c>
      <c r="U30" s="42" t="str">
        <f>IF(SUMIFS(Sheet2!$E:$E,Sheet2!$C:$C,$A30,Sheet2!$A:$A,U$2)&lt;&gt;0,SUMIFS(Sheet2!$E:$E,Sheet2!$C:$C,$A30,Sheet2!$A:$A,U$2),"")</f>
        <v/>
      </c>
      <c r="V30" s="42" t="str">
        <f>IF(SUMIFS(Sheet2!$E:$E,Sheet2!$C:$C,$A30,Sheet2!$A:$A,V$2)&lt;&gt;0,SUMIFS(Sheet2!$E:$E,Sheet2!$C:$C,$A30,Sheet2!$A:$A,V$2),"")</f>
        <v/>
      </c>
      <c r="W30" s="42" t="str">
        <f>IF(SUMIFS(Sheet2!$E:$E,Sheet2!$C:$C,$A30,Sheet2!$A:$A,W$2)&lt;&gt;0,SUMIFS(Sheet2!$E:$E,Sheet2!$C:$C,$A30,Sheet2!$A:$A,W$2),"")</f>
        <v/>
      </c>
      <c r="X30" s="42" t="str">
        <f>IF(SUMIFS(Sheet2!$E:$E,Sheet2!$C:$C,$A30,Sheet2!$A:$A,X$2)&lt;&gt;0,SUMIFS(Sheet2!$E:$E,Sheet2!$C:$C,$A30,Sheet2!$A:$A,X$2),"")</f>
        <v/>
      </c>
      <c r="Y30" s="42" t="str">
        <f>IF(SUMIFS(Sheet2!$E:$E,Sheet2!$C:$C,$A30,Sheet2!$A:$A,Y$2)&lt;&gt;0,SUMIFS(Sheet2!$E:$E,Sheet2!$C:$C,$A30,Sheet2!$A:$A,Y$2),"")</f>
        <v/>
      </c>
      <c r="Z30" s="42" t="str">
        <f>IF(SUMIFS(Sheet2!$E:$E,Sheet2!$C:$C,$A30,Sheet2!$A:$A,Z$2)&lt;&gt;0,SUMIFS(Sheet2!$E:$E,Sheet2!$C:$C,$A30,Sheet2!$A:$A,Z$2),"")</f>
        <v/>
      </c>
      <c r="AA30" s="42" t="str">
        <f>IF(SUMIFS(Sheet2!$E:$E,Sheet2!$C:$C,$A30,Sheet2!$A:$A,AA$2)&lt;&gt;0,SUMIFS(Sheet2!$E:$E,Sheet2!$C:$C,$A30,Sheet2!$A:$A,AA$2),"")</f>
        <v/>
      </c>
      <c r="AB30" s="42" t="str">
        <f>IF(SUMIFS(Sheet2!$E:$E,Sheet2!$C:$C,$A30,Sheet2!$A:$A,AB$2)&lt;&gt;0,SUMIFS(Sheet2!$E:$E,Sheet2!$C:$C,$A30,Sheet2!$A:$A,AB$2),"")</f>
        <v/>
      </c>
      <c r="AC30" s="42" t="str">
        <f>IF(SUMIFS(Sheet2!$E:$E,Sheet2!$C:$C,$A30,Sheet2!$A:$A,AC$2)&lt;&gt;0,SUMIFS(Sheet2!$E:$E,Sheet2!$C:$C,$A30,Sheet2!$A:$A,AC$2),"")</f>
        <v/>
      </c>
      <c r="AD30" s="42" t="str">
        <f>IF(SUMIFS(Sheet2!$E:$E,Sheet2!$C:$C,$A30,Sheet2!$A:$A,AD$2)&lt;&gt;0,SUMIFS(Sheet2!$E:$E,Sheet2!$C:$C,$A30,Sheet2!$A:$A,AD$2),"")</f>
        <v/>
      </c>
      <c r="AE30" s="42" t="str">
        <f>IF(SUMIFS(Sheet2!$E:$E,Sheet2!$C:$C,$A30,Sheet2!$A:$A,AE$2)&lt;&gt;0,SUMIFS(Sheet2!$E:$E,Sheet2!$C:$C,$A30,Sheet2!$A:$A,AE$2),"")</f>
        <v/>
      </c>
      <c r="AF30" s="42" t="str">
        <f>IF(SUMIFS(Sheet2!$E:$E,Sheet2!$C:$C,$A30,Sheet2!$A:$A,AF$2)&lt;&gt;0,SUMIFS(Sheet2!$E:$E,Sheet2!$C:$C,$A30,Sheet2!$A:$A,AF$2),"")</f>
        <v/>
      </c>
      <c r="AG30" s="42" t="str">
        <f>IF(SUMIFS(Sheet2!$E:$E,Sheet2!$C:$C,$A30,Sheet2!$A:$A,AG$2)&lt;&gt;0,SUMIFS(Sheet2!$E:$E,Sheet2!$C:$C,$A30,Sheet2!$A:$A,AG$2),"")</f>
        <v/>
      </c>
      <c r="AH30" s="43">
        <f>SUM(Table2[[#This Row],[1]:[31]])</f>
        <v>0</v>
      </c>
    </row>
    <row r="31" spans="1:34" ht="12.75" customHeight="1">
      <c r="A31" s="76" t="str">
        <f>DSSP!A30</f>
        <v>A079</v>
      </c>
      <c r="B31" s="25" t="str">
        <f>DSSP!B30</f>
        <v>Trăng sao</v>
      </c>
      <c r="C31" s="42" t="str">
        <f>IF(SUMIFS(Sheet2!$E:$E,Sheet2!$C:$C,$A31,Sheet2!$A:$A,C$2)&lt;&gt;0,SUMIFS(Sheet2!$E:$E,Sheet2!$C:$C,$A31,Sheet2!$A:$A,C$2),"")</f>
        <v/>
      </c>
      <c r="D31" s="42" t="str">
        <f>IF(SUMIFS(Sheet2!$E:$E,Sheet2!$C:$C,$A31,Sheet2!$A:$A,D$2)&lt;&gt;0,SUMIFS(Sheet2!$E:$E,Sheet2!$C:$C,$A31,Sheet2!$A:$A,D$2),"")</f>
        <v/>
      </c>
      <c r="E31" s="42" t="str">
        <f>IF(SUMIFS(Sheet2!$E:$E,Sheet2!$C:$C,$A31,Sheet2!$A:$A,E$2)&lt;&gt;0,SUMIFS(Sheet2!$E:$E,Sheet2!$C:$C,$A31,Sheet2!$A:$A,E$2),"")</f>
        <v/>
      </c>
      <c r="F31" s="42" t="str">
        <f>IF(SUMIFS(Sheet2!$E:$E,Sheet2!$C:$C,$A31,Sheet2!$A:$A,F$2)&lt;&gt;0,SUMIFS(Sheet2!$E:$E,Sheet2!$C:$C,$A31,Sheet2!$A:$A,F$2),"")</f>
        <v/>
      </c>
      <c r="G31" s="42" t="str">
        <f>IF(SUMIFS(Sheet2!$E:$E,Sheet2!$C:$C,$A31,Sheet2!$A:$A,G$2)&lt;&gt;0,SUMIFS(Sheet2!$E:$E,Sheet2!$C:$C,$A31,Sheet2!$A:$A,G$2),"")</f>
        <v/>
      </c>
      <c r="H31" s="42" t="str">
        <f>IF(SUMIFS(Sheet2!$E:$E,Sheet2!$C:$C,$A31,Sheet2!$A:$A,H$2)&lt;&gt;0,SUMIFS(Sheet2!$E:$E,Sheet2!$C:$C,$A31,Sheet2!$A:$A,H$2),"")</f>
        <v/>
      </c>
      <c r="I31" s="42" t="str">
        <f>IF(SUMIFS(Sheet2!$E:$E,Sheet2!$C:$C,$A31,Sheet2!$A:$A,I$2)&lt;&gt;0,SUMIFS(Sheet2!$E:$E,Sheet2!$C:$C,$A31,Sheet2!$A:$A,I$2),"")</f>
        <v/>
      </c>
      <c r="J31" s="42" t="str">
        <f>IF(SUMIFS(Sheet2!$E:$E,Sheet2!$C:$C,$A31,Sheet2!$A:$A,J$2)&lt;&gt;0,SUMIFS(Sheet2!$E:$E,Sheet2!$C:$C,$A31,Sheet2!$A:$A,J$2),"")</f>
        <v/>
      </c>
      <c r="K31" s="42" t="str">
        <f>IF(SUMIFS(Sheet2!$E:$E,Sheet2!$C:$C,$A31,Sheet2!$A:$A,K$2)&lt;&gt;0,SUMIFS(Sheet2!$E:$E,Sheet2!$C:$C,$A31,Sheet2!$A:$A,K$2),"")</f>
        <v/>
      </c>
      <c r="L31" s="42" t="str">
        <f>IF(SUMIFS(Sheet2!$E:$E,Sheet2!$C:$C,$A31,Sheet2!$A:$A,L$2)&lt;&gt;0,SUMIFS(Sheet2!$E:$E,Sheet2!$C:$C,$A31,Sheet2!$A:$A,L$2),"")</f>
        <v/>
      </c>
      <c r="M31" s="42" t="str">
        <f>IF(SUMIFS(Sheet2!$E:$E,Sheet2!$C:$C,$A31,Sheet2!$A:$A,M$2)&lt;&gt;0,SUMIFS(Sheet2!$E:$E,Sheet2!$C:$C,$A31,Sheet2!$A:$A,M$2),"")</f>
        <v/>
      </c>
      <c r="N31" s="42" t="str">
        <f>IF(SUMIFS(Sheet2!$E:$E,Sheet2!$C:$C,$A31,Sheet2!$A:$A,N$2)&lt;&gt;0,SUMIFS(Sheet2!$E:$E,Sheet2!$C:$C,$A31,Sheet2!$A:$A,N$2),"")</f>
        <v/>
      </c>
      <c r="O31" s="42" t="str">
        <f>IF(SUMIFS(Sheet2!$E:$E,Sheet2!$C:$C,$A31,Sheet2!$A:$A,O$2)&lt;&gt;0,SUMIFS(Sheet2!$E:$E,Sheet2!$C:$C,$A31,Sheet2!$A:$A,O$2),"")</f>
        <v/>
      </c>
      <c r="P31" s="42" t="str">
        <f>IF(SUMIFS(Sheet2!$E:$E,Sheet2!$C:$C,$A31,Sheet2!$A:$A,P$2)&lt;&gt;0,SUMIFS(Sheet2!$E:$E,Sheet2!$C:$C,$A31,Sheet2!$A:$A,P$2),"")</f>
        <v/>
      </c>
      <c r="Q31" s="42" t="str">
        <f>IF(SUMIFS(Sheet2!$E:$E,Sheet2!$C:$C,$A31,Sheet2!$A:$A,Q$2)&lt;&gt;0,SUMIFS(Sheet2!$E:$E,Sheet2!$C:$C,$A31,Sheet2!$A:$A,Q$2),"")</f>
        <v/>
      </c>
      <c r="R31" s="42" t="str">
        <f>IF(SUMIFS(Sheet2!$E:$E,Sheet2!$C:$C,$A31,Sheet2!$A:$A,R$2)&lt;&gt;0,SUMIFS(Sheet2!$E:$E,Sheet2!$C:$C,$A31,Sheet2!$A:$A,R$2),"")</f>
        <v/>
      </c>
      <c r="S31" s="42" t="str">
        <f>IF(SUMIFS(Sheet2!$E:$E,Sheet2!$C:$C,$A31,Sheet2!$A:$A,S$2)&lt;&gt;0,SUMIFS(Sheet2!$E:$E,Sheet2!$C:$C,$A31,Sheet2!$A:$A,S$2),"")</f>
        <v/>
      </c>
      <c r="T31" s="42" t="str">
        <f>IF(SUMIFS(Sheet2!$E:$E,Sheet2!$C:$C,$A31,Sheet2!$A:$A,T$2)&lt;&gt;0,SUMIFS(Sheet2!$E:$E,Sheet2!$C:$C,$A31,Sheet2!$A:$A,T$2),"")</f>
        <v/>
      </c>
      <c r="U31" s="42" t="str">
        <f>IF(SUMIFS(Sheet2!$E:$E,Sheet2!$C:$C,$A31,Sheet2!$A:$A,U$2)&lt;&gt;0,SUMIFS(Sheet2!$E:$E,Sheet2!$C:$C,$A31,Sheet2!$A:$A,U$2),"")</f>
        <v/>
      </c>
      <c r="V31" s="42" t="str">
        <f>IF(SUMIFS(Sheet2!$E:$E,Sheet2!$C:$C,$A31,Sheet2!$A:$A,V$2)&lt;&gt;0,SUMIFS(Sheet2!$E:$E,Sheet2!$C:$C,$A31,Sheet2!$A:$A,V$2),"")</f>
        <v/>
      </c>
      <c r="W31" s="42" t="str">
        <f>IF(SUMIFS(Sheet2!$E:$E,Sheet2!$C:$C,$A31,Sheet2!$A:$A,W$2)&lt;&gt;0,SUMIFS(Sheet2!$E:$E,Sheet2!$C:$C,$A31,Sheet2!$A:$A,W$2),"")</f>
        <v/>
      </c>
      <c r="X31" s="42" t="str">
        <f>IF(SUMIFS(Sheet2!$E:$E,Sheet2!$C:$C,$A31,Sheet2!$A:$A,X$2)&lt;&gt;0,SUMIFS(Sheet2!$E:$E,Sheet2!$C:$C,$A31,Sheet2!$A:$A,X$2),"")</f>
        <v/>
      </c>
      <c r="Y31" s="42" t="str">
        <f>IF(SUMIFS(Sheet2!$E:$E,Sheet2!$C:$C,$A31,Sheet2!$A:$A,Y$2)&lt;&gt;0,SUMIFS(Sheet2!$E:$E,Sheet2!$C:$C,$A31,Sheet2!$A:$A,Y$2),"")</f>
        <v/>
      </c>
      <c r="Z31" s="42" t="str">
        <f>IF(SUMIFS(Sheet2!$E:$E,Sheet2!$C:$C,$A31,Sheet2!$A:$A,Z$2)&lt;&gt;0,SUMIFS(Sheet2!$E:$E,Sheet2!$C:$C,$A31,Sheet2!$A:$A,Z$2),"")</f>
        <v/>
      </c>
      <c r="AA31" s="42" t="str">
        <f>IF(SUMIFS(Sheet2!$E:$E,Sheet2!$C:$C,$A31,Sheet2!$A:$A,AA$2)&lt;&gt;0,SUMIFS(Sheet2!$E:$E,Sheet2!$C:$C,$A31,Sheet2!$A:$A,AA$2),"")</f>
        <v/>
      </c>
      <c r="AB31" s="42" t="str">
        <f>IF(SUMIFS(Sheet2!$E:$E,Sheet2!$C:$C,$A31,Sheet2!$A:$A,AB$2)&lt;&gt;0,SUMIFS(Sheet2!$E:$E,Sheet2!$C:$C,$A31,Sheet2!$A:$A,AB$2),"")</f>
        <v/>
      </c>
      <c r="AC31" s="42" t="str">
        <f>IF(SUMIFS(Sheet2!$E:$E,Sheet2!$C:$C,$A31,Sheet2!$A:$A,AC$2)&lt;&gt;0,SUMIFS(Sheet2!$E:$E,Sheet2!$C:$C,$A31,Sheet2!$A:$A,AC$2),"")</f>
        <v/>
      </c>
      <c r="AD31" s="42" t="str">
        <f>IF(SUMIFS(Sheet2!$E:$E,Sheet2!$C:$C,$A31,Sheet2!$A:$A,AD$2)&lt;&gt;0,SUMIFS(Sheet2!$E:$E,Sheet2!$C:$C,$A31,Sheet2!$A:$A,AD$2),"")</f>
        <v/>
      </c>
      <c r="AE31" s="42" t="str">
        <f>IF(SUMIFS(Sheet2!$E:$E,Sheet2!$C:$C,$A31,Sheet2!$A:$A,AE$2)&lt;&gt;0,SUMIFS(Sheet2!$E:$E,Sheet2!$C:$C,$A31,Sheet2!$A:$A,AE$2),"")</f>
        <v/>
      </c>
      <c r="AF31" s="42" t="str">
        <f>IF(SUMIFS(Sheet2!$E:$E,Sheet2!$C:$C,$A31,Sheet2!$A:$A,AF$2)&lt;&gt;0,SUMIFS(Sheet2!$E:$E,Sheet2!$C:$C,$A31,Sheet2!$A:$A,AF$2),"")</f>
        <v/>
      </c>
      <c r="AG31" s="42" t="str">
        <f>IF(SUMIFS(Sheet2!$E:$E,Sheet2!$C:$C,$A31,Sheet2!$A:$A,AG$2)&lt;&gt;0,SUMIFS(Sheet2!$E:$E,Sheet2!$C:$C,$A31,Sheet2!$A:$A,AG$2),"")</f>
        <v/>
      </c>
      <c r="AH31" s="43">
        <f>SUM(Table2[[#This Row],[1]:[31]])</f>
        <v>0</v>
      </c>
    </row>
    <row r="32" spans="1:34" ht="12.75" customHeight="1">
      <c r="A32" s="76" t="str">
        <f>DSSP!A31</f>
        <v>A080</v>
      </c>
      <c r="B32" s="25" t="str">
        <f>DSSP!B31</f>
        <v>Chuột cheese</v>
      </c>
      <c r="C32" s="42" t="str">
        <f>IF(SUMIFS(Sheet2!$E:$E,Sheet2!$C:$C,$A32,Sheet2!$A:$A,C$2)&lt;&gt;0,SUMIFS(Sheet2!$E:$E,Sheet2!$C:$C,$A32,Sheet2!$A:$A,C$2),"")</f>
        <v/>
      </c>
      <c r="D32" s="42" t="str">
        <f>IF(SUMIFS(Sheet2!$E:$E,Sheet2!$C:$C,$A32,Sheet2!$A:$A,D$2)&lt;&gt;0,SUMIFS(Sheet2!$E:$E,Sheet2!$C:$C,$A32,Sheet2!$A:$A,D$2),"")</f>
        <v/>
      </c>
      <c r="E32" s="42" t="str">
        <f>IF(SUMIFS(Sheet2!$E:$E,Sheet2!$C:$C,$A32,Sheet2!$A:$A,E$2)&lt;&gt;0,SUMIFS(Sheet2!$E:$E,Sheet2!$C:$C,$A32,Sheet2!$A:$A,E$2),"")</f>
        <v/>
      </c>
      <c r="F32" s="42" t="str">
        <f>IF(SUMIFS(Sheet2!$E:$E,Sheet2!$C:$C,$A32,Sheet2!$A:$A,F$2)&lt;&gt;0,SUMIFS(Sheet2!$E:$E,Sheet2!$C:$C,$A32,Sheet2!$A:$A,F$2),"")</f>
        <v/>
      </c>
      <c r="G32" s="42" t="str">
        <f>IF(SUMIFS(Sheet2!$E:$E,Sheet2!$C:$C,$A32,Sheet2!$A:$A,G$2)&lt;&gt;0,SUMIFS(Sheet2!$E:$E,Sheet2!$C:$C,$A32,Sheet2!$A:$A,G$2),"")</f>
        <v/>
      </c>
      <c r="H32" s="42" t="str">
        <f>IF(SUMIFS(Sheet2!$E:$E,Sheet2!$C:$C,$A32,Sheet2!$A:$A,H$2)&lt;&gt;0,SUMIFS(Sheet2!$E:$E,Sheet2!$C:$C,$A32,Sheet2!$A:$A,H$2),"")</f>
        <v/>
      </c>
      <c r="I32" s="42" t="str">
        <f>IF(SUMIFS(Sheet2!$E:$E,Sheet2!$C:$C,$A32,Sheet2!$A:$A,I$2)&lt;&gt;0,SUMIFS(Sheet2!$E:$E,Sheet2!$C:$C,$A32,Sheet2!$A:$A,I$2),"")</f>
        <v/>
      </c>
      <c r="J32" s="42" t="str">
        <f>IF(SUMIFS(Sheet2!$E:$E,Sheet2!$C:$C,$A32,Sheet2!$A:$A,J$2)&lt;&gt;0,SUMIFS(Sheet2!$E:$E,Sheet2!$C:$C,$A32,Sheet2!$A:$A,J$2),"")</f>
        <v/>
      </c>
      <c r="K32" s="42" t="str">
        <f>IF(SUMIFS(Sheet2!$E:$E,Sheet2!$C:$C,$A32,Sheet2!$A:$A,K$2)&lt;&gt;0,SUMIFS(Sheet2!$E:$E,Sheet2!$C:$C,$A32,Sheet2!$A:$A,K$2),"")</f>
        <v/>
      </c>
      <c r="L32" s="42" t="str">
        <f>IF(SUMIFS(Sheet2!$E:$E,Sheet2!$C:$C,$A32,Sheet2!$A:$A,L$2)&lt;&gt;0,SUMIFS(Sheet2!$E:$E,Sheet2!$C:$C,$A32,Sheet2!$A:$A,L$2),"")</f>
        <v/>
      </c>
      <c r="M32" s="42" t="str">
        <f>IF(SUMIFS(Sheet2!$E:$E,Sheet2!$C:$C,$A32,Sheet2!$A:$A,M$2)&lt;&gt;0,SUMIFS(Sheet2!$E:$E,Sheet2!$C:$C,$A32,Sheet2!$A:$A,M$2),"")</f>
        <v/>
      </c>
      <c r="N32" s="42" t="str">
        <f>IF(SUMIFS(Sheet2!$E:$E,Sheet2!$C:$C,$A32,Sheet2!$A:$A,N$2)&lt;&gt;0,SUMIFS(Sheet2!$E:$E,Sheet2!$C:$C,$A32,Sheet2!$A:$A,N$2),"")</f>
        <v/>
      </c>
      <c r="O32" s="42" t="str">
        <f>IF(SUMIFS(Sheet2!$E:$E,Sheet2!$C:$C,$A32,Sheet2!$A:$A,O$2)&lt;&gt;0,SUMIFS(Sheet2!$E:$E,Sheet2!$C:$C,$A32,Sheet2!$A:$A,O$2),"")</f>
        <v/>
      </c>
      <c r="P32" s="42" t="str">
        <f>IF(SUMIFS(Sheet2!$E:$E,Sheet2!$C:$C,$A32,Sheet2!$A:$A,P$2)&lt;&gt;0,SUMIFS(Sheet2!$E:$E,Sheet2!$C:$C,$A32,Sheet2!$A:$A,P$2),"")</f>
        <v/>
      </c>
      <c r="Q32" s="42" t="str">
        <f>IF(SUMIFS(Sheet2!$E:$E,Sheet2!$C:$C,$A32,Sheet2!$A:$A,Q$2)&lt;&gt;0,SUMIFS(Sheet2!$E:$E,Sheet2!$C:$C,$A32,Sheet2!$A:$A,Q$2),"")</f>
        <v/>
      </c>
      <c r="R32" s="42" t="str">
        <f>IF(SUMIFS(Sheet2!$E:$E,Sheet2!$C:$C,$A32,Sheet2!$A:$A,R$2)&lt;&gt;0,SUMIFS(Sheet2!$E:$E,Sheet2!$C:$C,$A32,Sheet2!$A:$A,R$2),"")</f>
        <v/>
      </c>
      <c r="S32" s="42" t="str">
        <f>IF(SUMIFS(Sheet2!$E:$E,Sheet2!$C:$C,$A32,Sheet2!$A:$A,S$2)&lt;&gt;0,SUMIFS(Sheet2!$E:$E,Sheet2!$C:$C,$A32,Sheet2!$A:$A,S$2),"")</f>
        <v/>
      </c>
      <c r="T32" s="42" t="str">
        <f>IF(SUMIFS(Sheet2!$E:$E,Sheet2!$C:$C,$A32,Sheet2!$A:$A,T$2)&lt;&gt;0,SUMIFS(Sheet2!$E:$E,Sheet2!$C:$C,$A32,Sheet2!$A:$A,T$2),"")</f>
        <v/>
      </c>
      <c r="U32" s="42" t="str">
        <f>IF(SUMIFS(Sheet2!$E:$E,Sheet2!$C:$C,$A32,Sheet2!$A:$A,U$2)&lt;&gt;0,SUMIFS(Sheet2!$E:$E,Sheet2!$C:$C,$A32,Sheet2!$A:$A,U$2),"")</f>
        <v/>
      </c>
      <c r="V32" s="42" t="str">
        <f>IF(SUMIFS(Sheet2!$E:$E,Sheet2!$C:$C,$A32,Sheet2!$A:$A,V$2)&lt;&gt;0,SUMIFS(Sheet2!$E:$E,Sheet2!$C:$C,$A32,Sheet2!$A:$A,V$2),"")</f>
        <v/>
      </c>
      <c r="W32" s="42" t="str">
        <f>IF(SUMIFS(Sheet2!$E:$E,Sheet2!$C:$C,$A32,Sheet2!$A:$A,W$2)&lt;&gt;0,SUMIFS(Sheet2!$E:$E,Sheet2!$C:$C,$A32,Sheet2!$A:$A,W$2),"")</f>
        <v/>
      </c>
      <c r="X32" s="42" t="str">
        <f>IF(SUMIFS(Sheet2!$E:$E,Sheet2!$C:$C,$A32,Sheet2!$A:$A,X$2)&lt;&gt;0,SUMIFS(Sheet2!$E:$E,Sheet2!$C:$C,$A32,Sheet2!$A:$A,X$2),"")</f>
        <v/>
      </c>
      <c r="Y32" s="42" t="str">
        <f>IF(SUMIFS(Sheet2!$E:$E,Sheet2!$C:$C,$A32,Sheet2!$A:$A,Y$2)&lt;&gt;0,SUMIFS(Sheet2!$E:$E,Sheet2!$C:$C,$A32,Sheet2!$A:$A,Y$2),"")</f>
        <v/>
      </c>
      <c r="Z32" s="42" t="str">
        <f>IF(SUMIFS(Sheet2!$E:$E,Sheet2!$C:$C,$A32,Sheet2!$A:$A,Z$2)&lt;&gt;0,SUMIFS(Sheet2!$E:$E,Sheet2!$C:$C,$A32,Sheet2!$A:$A,Z$2),"")</f>
        <v/>
      </c>
      <c r="AA32" s="42" t="str">
        <f>IF(SUMIFS(Sheet2!$E:$E,Sheet2!$C:$C,$A32,Sheet2!$A:$A,AA$2)&lt;&gt;0,SUMIFS(Sheet2!$E:$E,Sheet2!$C:$C,$A32,Sheet2!$A:$A,AA$2),"")</f>
        <v/>
      </c>
      <c r="AB32" s="42" t="str">
        <f>IF(SUMIFS(Sheet2!$E:$E,Sheet2!$C:$C,$A32,Sheet2!$A:$A,AB$2)&lt;&gt;0,SUMIFS(Sheet2!$E:$E,Sheet2!$C:$C,$A32,Sheet2!$A:$A,AB$2),"")</f>
        <v/>
      </c>
      <c r="AC32" s="42" t="str">
        <f>IF(SUMIFS(Sheet2!$E:$E,Sheet2!$C:$C,$A32,Sheet2!$A:$A,AC$2)&lt;&gt;0,SUMIFS(Sheet2!$E:$E,Sheet2!$C:$C,$A32,Sheet2!$A:$A,AC$2),"")</f>
        <v/>
      </c>
      <c r="AD32" s="42" t="str">
        <f>IF(SUMIFS(Sheet2!$E:$E,Sheet2!$C:$C,$A32,Sheet2!$A:$A,AD$2)&lt;&gt;0,SUMIFS(Sheet2!$E:$E,Sheet2!$C:$C,$A32,Sheet2!$A:$A,AD$2),"")</f>
        <v/>
      </c>
      <c r="AE32" s="42" t="str">
        <f>IF(SUMIFS(Sheet2!$E:$E,Sheet2!$C:$C,$A32,Sheet2!$A:$A,AE$2)&lt;&gt;0,SUMIFS(Sheet2!$E:$E,Sheet2!$C:$C,$A32,Sheet2!$A:$A,AE$2),"")</f>
        <v/>
      </c>
      <c r="AF32" s="42" t="str">
        <f>IF(SUMIFS(Sheet2!$E:$E,Sheet2!$C:$C,$A32,Sheet2!$A:$A,AF$2)&lt;&gt;0,SUMIFS(Sheet2!$E:$E,Sheet2!$C:$C,$A32,Sheet2!$A:$A,AF$2),"")</f>
        <v/>
      </c>
      <c r="AG32" s="42" t="str">
        <f>IF(SUMIFS(Sheet2!$E:$E,Sheet2!$C:$C,$A32,Sheet2!$A:$A,AG$2)&lt;&gt;0,SUMIFS(Sheet2!$E:$E,Sheet2!$C:$C,$A32,Sheet2!$A:$A,AG$2),"")</f>
        <v/>
      </c>
      <c r="AH32" s="43">
        <f>SUM(Table2[[#This Row],[1]:[31]])</f>
        <v>0</v>
      </c>
    </row>
    <row r="33" spans="1:34" ht="12.75" customHeight="1">
      <c r="A33" s="76" t="str">
        <f>DSSP!A32</f>
        <v>A085</v>
      </c>
      <c r="B33" s="25" t="str">
        <f>DSSP!B32</f>
        <v>Trà sữa</v>
      </c>
      <c r="C33" s="42" t="str">
        <f>IF(SUMIFS(Sheet2!$E:$E,Sheet2!$C:$C,$A33,Sheet2!$A:$A,C$2)&lt;&gt;0,SUMIFS(Sheet2!$E:$E,Sheet2!$C:$C,$A33,Sheet2!$A:$A,C$2),"")</f>
        <v/>
      </c>
      <c r="D33" s="42" t="str">
        <f>IF(SUMIFS(Sheet2!$E:$E,Sheet2!$C:$C,$A33,Sheet2!$A:$A,D$2)&lt;&gt;0,SUMIFS(Sheet2!$E:$E,Sheet2!$C:$C,$A33,Sheet2!$A:$A,D$2),"")</f>
        <v/>
      </c>
      <c r="E33" s="42" t="str">
        <f>IF(SUMIFS(Sheet2!$E:$E,Sheet2!$C:$C,$A33,Sheet2!$A:$A,E$2)&lt;&gt;0,SUMIFS(Sheet2!$E:$E,Sheet2!$C:$C,$A33,Sheet2!$A:$A,E$2),"")</f>
        <v/>
      </c>
      <c r="F33" s="42" t="str">
        <f>IF(SUMIFS(Sheet2!$E:$E,Sheet2!$C:$C,$A33,Sheet2!$A:$A,F$2)&lt;&gt;0,SUMIFS(Sheet2!$E:$E,Sheet2!$C:$C,$A33,Sheet2!$A:$A,F$2),"")</f>
        <v/>
      </c>
      <c r="G33" s="42" t="str">
        <f>IF(SUMIFS(Sheet2!$E:$E,Sheet2!$C:$C,$A33,Sheet2!$A:$A,G$2)&lt;&gt;0,SUMIFS(Sheet2!$E:$E,Sheet2!$C:$C,$A33,Sheet2!$A:$A,G$2),"")</f>
        <v/>
      </c>
      <c r="H33" s="42" t="str">
        <f>IF(SUMIFS(Sheet2!$E:$E,Sheet2!$C:$C,$A33,Sheet2!$A:$A,H$2)&lt;&gt;0,SUMIFS(Sheet2!$E:$E,Sheet2!$C:$C,$A33,Sheet2!$A:$A,H$2),"")</f>
        <v/>
      </c>
      <c r="I33" s="42" t="str">
        <f>IF(SUMIFS(Sheet2!$E:$E,Sheet2!$C:$C,$A33,Sheet2!$A:$A,I$2)&lt;&gt;0,SUMIFS(Sheet2!$E:$E,Sheet2!$C:$C,$A33,Sheet2!$A:$A,I$2),"")</f>
        <v/>
      </c>
      <c r="J33" s="42" t="str">
        <f>IF(SUMIFS(Sheet2!$E:$E,Sheet2!$C:$C,$A33,Sheet2!$A:$A,J$2)&lt;&gt;0,SUMIFS(Sheet2!$E:$E,Sheet2!$C:$C,$A33,Sheet2!$A:$A,J$2),"")</f>
        <v/>
      </c>
      <c r="K33" s="42" t="str">
        <f>IF(SUMIFS(Sheet2!$E:$E,Sheet2!$C:$C,$A33,Sheet2!$A:$A,K$2)&lt;&gt;0,SUMIFS(Sheet2!$E:$E,Sheet2!$C:$C,$A33,Sheet2!$A:$A,K$2),"")</f>
        <v/>
      </c>
      <c r="L33" s="42" t="str">
        <f>IF(SUMIFS(Sheet2!$E:$E,Sheet2!$C:$C,$A33,Sheet2!$A:$A,L$2)&lt;&gt;0,SUMIFS(Sheet2!$E:$E,Sheet2!$C:$C,$A33,Sheet2!$A:$A,L$2),"")</f>
        <v/>
      </c>
      <c r="M33" s="42" t="str">
        <f>IF(SUMIFS(Sheet2!$E:$E,Sheet2!$C:$C,$A33,Sheet2!$A:$A,M$2)&lt;&gt;0,SUMIFS(Sheet2!$E:$E,Sheet2!$C:$C,$A33,Sheet2!$A:$A,M$2),"")</f>
        <v/>
      </c>
      <c r="N33" s="42" t="str">
        <f>IF(SUMIFS(Sheet2!$E:$E,Sheet2!$C:$C,$A33,Sheet2!$A:$A,N$2)&lt;&gt;0,SUMIFS(Sheet2!$E:$E,Sheet2!$C:$C,$A33,Sheet2!$A:$A,N$2),"")</f>
        <v/>
      </c>
      <c r="O33" s="42" t="str">
        <f>IF(SUMIFS(Sheet2!$E:$E,Sheet2!$C:$C,$A33,Sheet2!$A:$A,O$2)&lt;&gt;0,SUMIFS(Sheet2!$E:$E,Sheet2!$C:$C,$A33,Sheet2!$A:$A,O$2),"")</f>
        <v/>
      </c>
      <c r="P33" s="42" t="str">
        <f>IF(SUMIFS(Sheet2!$E:$E,Sheet2!$C:$C,$A33,Sheet2!$A:$A,P$2)&lt;&gt;0,SUMIFS(Sheet2!$E:$E,Sheet2!$C:$C,$A33,Sheet2!$A:$A,P$2),"")</f>
        <v/>
      </c>
      <c r="Q33" s="42" t="str">
        <f>IF(SUMIFS(Sheet2!$E:$E,Sheet2!$C:$C,$A33,Sheet2!$A:$A,Q$2)&lt;&gt;0,SUMIFS(Sheet2!$E:$E,Sheet2!$C:$C,$A33,Sheet2!$A:$A,Q$2),"")</f>
        <v/>
      </c>
      <c r="R33" s="42" t="str">
        <f>IF(SUMIFS(Sheet2!$E:$E,Sheet2!$C:$C,$A33,Sheet2!$A:$A,R$2)&lt;&gt;0,SUMIFS(Sheet2!$E:$E,Sheet2!$C:$C,$A33,Sheet2!$A:$A,R$2),"")</f>
        <v/>
      </c>
      <c r="S33" s="42" t="str">
        <f>IF(SUMIFS(Sheet2!$E:$E,Sheet2!$C:$C,$A33,Sheet2!$A:$A,S$2)&lt;&gt;0,SUMIFS(Sheet2!$E:$E,Sheet2!$C:$C,$A33,Sheet2!$A:$A,S$2),"")</f>
        <v/>
      </c>
      <c r="T33" s="42" t="str">
        <f>IF(SUMIFS(Sheet2!$E:$E,Sheet2!$C:$C,$A33,Sheet2!$A:$A,T$2)&lt;&gt;0,SUMIFS(Sheet2!$E:$E,Sheet2!$C:$C,$A33,Sheet2!$A:$A,T$2),"")</f>
        <v/>
      </c>
      <c r="U33" s="42" t="str">
        <f>IF(SUMIFS(Sheet2!$E:$E,Sheet2!$C:$C,$A33,Sheet2!$A:$A,U$2)&lt;&gt;0,SUMIFS(Sheet2!$E:$E,Sheet2!$C:$C,$A33,Sheet2!$A:$A,U$2),"")</f>
        <v/>
      </c>
      <c r="V33" s="42" t="str">
        <f>IF(SUMIFS(Sheet2!$E:$E,Sheet2!$C:$C,$A33,Sheet2!$A:$A,V$2)&lt;&gt;0,SUMIFS(Sheet2!$E:$E,Sheet2!$C:$C,$A33,Sheet2!$A:$A,V$2),"")</f>
        <v/>
      </c>
      <c r="W33" s="42" t="str">
        <f>IF(SUMIFS(Sheet2!$E:$E,Sheet2!$C:$C,$A33,Sheet2!$A:$A,W$2)&lt;&gt;0,SUMIFS(Sheet2!$E:$E,Sheet2!$C:$C,$A33,Sheet2!$A:$A,W$2),"")</f>
        <v/>
      </c>
      <c r="X33" s="42" t="str">
        <f>IF(SUMIFS(Sheet2!$E:$E,Sheet2!$C:$C,$A33,Sheet2!$A:$A,X$2)&lt;&gt;0,SUMIFS(Sheet2!$E:$E,Sheet2!$C:$C,$A33,Sheet2!$A:$A,X$2),"")</f>
        <v/>
      </c>
      <c r="Y33" s="42" t="str">
        <f>IF(SUMIFS(Sheet2!$E:$E,Sheet2!$C:$C,$A33,Sheet2!$A:$A,Y$2)&lt;&gt;0,SUMIFS(Sheet2!$E:$E,Sheet2!$C:$C,$A33,Sheet2!$A:$A,Y$2),"")</f>
        <v/>
      </c>
      <c r="Z33" s="42" t="str">
        <f>IF(SUMIFS(Sheet2!$E:$E,Sheet2!$C:$C,$A33,Sheet2!$A:$A,Z$2)&lt;&gt;0,SUMIFS(Sheet2!$E:$E,Sheet2!$C:$C,$A33,Sheet2!$A:$A,Z$2),"")</f>
        <v/>
      </c>
      <c r="AA33" s="42" t="str">
        <f>IF(SUMIFS(Sheet2!$E:$E,Sheet2!$C:$C,$A33,Sheet2!$A:$A,AA$2)&lt;&gt;0,SUMIFS(Sheet2!$E:$E,Sheet2!$C:$C,$A33,Sheet2!$A:$A,AA$2),"")</f>
        <v/>
      </c>
      <c r="AB33" s="42" t="str">
        <f>IF(SUMIFS(Sheet2!$E:$E,Sheet2!$C:$C,$A33,Sheet2!$A:$A,AB$2)&lt;&gt;0,SUMIFS(Sheet2!$E:$E,Sheet2!$C:$C,$A33,Sheet2!$A:$A,AB$2),"")</f>
        <v/>
      </c>
      <c r="AC33" s="42" t="str">
        <f>IF(SUMIFS(Sheet2!$E:$E,Sheet2!$C:$C,$A33,Sheet2!$A:$A,AC$2)&lt;&gt;0,SUMIFS(Sheet2!$E:$E,Sheet2!$C:$C,$A33,Sheet2!$A:$A,AC$2),"")</f>
        <v/>
      </c>
      <c r="AD33" s="42" t="str">
        <f>IF(SUMIFS(Sheet2!$E:$E,Sheet2!$C:$C,$A33,Sheet2!$A:$A,AD$2)&lt;&gt;0,SUMIFS(Sheet2!$E:$E,Sheet2!$C:$C,$A33,Sheet2!$A:$A,AD$2),"")</f>
        <v/>
      </c>
      <c r="AE33" s="42" t="str">
        <f>IF(SUMIFS(Sheet2!$E:$E,Sheet2!$C:$C,$A33,Sheet2!$A:$A,AE$2)&lt;&gt;0,SUMIFS(Sheet2!$E:$E,Sheet2!$C:$C,$A33,Sheet2!$A:$A,AE$2),"")</f>
        <v/>
      </c>
      <c r="AF33" s="42" t="str">
        <f>IF(SUMIFS(Sheet2!$E:$E,Sheet2!$C:$C,$A33,Sheet2!$A:$A,AF$2)&lt;&gt;0,SUMIFS(Sheet2!$E:$E,Sheet2!$C:$C,$A33,Sheet2!$A:$A,AF$2),"")</f>
        <v/>
      </c>
      <c r="AG33" s="42" t="str">
        <f>IF(SUMIFS(Sheet2!$E:$E,Sheet2!$C:$C,$A33,Sheet2!$A:$A,AG$2)&lt;&gt;0,SUMIFS(Sheet2!$E:$E,Sheet2!$C:$C,$A33,Sheet2!$A:$A,AG$2),"")</f>
        <v/>
      </c>
      <c r="AH33" s="43">
        <f>SUM(Table2[[#This Row],[1]:[31]])</f>
        <v>0</v>
      </c>
    </row>
    <row r="34" spans="1:34" ht="12.75" customHeight="1">
      <c r="A34" s="76" t="str">
        <f>DSSP!A33</f>
        <v>A090</v>
      </c>
      <c r="B34" s="25" t="str">
        <f>DSSP!B33</f>
        <v>Hamster</v>
      </c>
      <c r="C34" s="42" t="str">
        <f>IF(SUMIFS(Sheet2!$E:$E,Sheet2!$C:$C,$A34,Sheet2!$A:$A,C$2)&lt;&gt;0,SUMIFS(Sheet2!$E:$E,Sheet2!$C:$C,$A34,Sheet2!$A:$A,C$2),"")</f>
        <v/>
      </c>
      <c r="D34" s="42" t="str">
        <f>IF(SUMIFS(Sheet2!$E:$E,Sheet2!$C:$C,$A34,Sheet2!$A:$A,D$2)&lt;&gt;0,SUMIFS(Sheet2!$E:$E,Sheet2!$C:$C,$A34,Sheet2!$A:$A,D$2),"")</f>
        <v/>
      </c>
      <c r="E34" s="42" t="str">
        <f>IF(SUMIFS(Sheet2!$E:$E,Sheet2!$C:$C,$A34,Sheet2!$A:$A,E$2)&lt;&gt;0,SUMIFS(Sheet2!$E:$E,Sheet2!$C:$C,$A34,Sheet2!$A:$A,E$2),"")</f>
        <v/>
      </c>
      <c r="F34" s="42" t="str">
        <f>IF(SUMIFS(Sheet2!$E:$E,Sheet2!$C:$C,$A34,Sheet2!$A:$A,F$2)&lt;&gt;0,SUMIFS(Sheet2!$E:$E,Sheet2!$C:$C,$A34,Sheet2!$A:$A,F$2),"")</f>
        <v/>
      </c>
      <c r="G34" s="42" t="str">
        <f>IF(SUMIFS(Sheet2!$E:$E,Sheet2!$C:$C,$A34,Sheet2!$A:$A,G$2)&lt;&gt;0,SUMIFS(Sheet2!$E:$E,Sheet2!$C:$C,$A34,Sheet2!$A:$A,G$2),"")</f>
        <v/>
      </c>
      <c r="H34" s="42" t="str">
        <f>IF(SUMIFS(Sheet2!$E:$E,Sheet2!$C:$C,$A34,Sheet2!$A:$A,H$2)&lt;&gt;0,SUMIFS(Sheet2!$E:$E,Sheet2!$C:$C,$A34,Sheet2!$A:$A,H$2),"")</f>
        <v/>
      </c>
      <c r="I34" s="42" t="str">
        <f>IF(SUMIFS(Sheet2!$E:$E,Sheet2!$C:$C,$A34,Sheet2!$A:$A,I$2)&lt;&gt;0,SUMIFS(Sheet2!$E:$E,Sheet2!$C:$C,$A34,Sheet2!$A:$A,I$2),"")</f>
        <v/>
      </c>
      <c r="J34" s="42" t="str">
        <f>IF(SUMIFS(Sheet2!$E:$E,Sheet2!$C:$C,$A34,Sheet2!$A:$A,J$2)&lt;&gt;0,SUMIFS(Sheet2!$E:$E,Sheet2!$C:$C,$A34,Sheet2!$A:$A,J$2),"")</f>
        <v/>
      </c>
      <c r="K34" s="42" t="str">
        <f>IF(SUMIFS(Sheet2!$E:$E,Sheet2!$C:$C,$A34,Sheet2!$A:$A,K$2)&lt;&gt;0,SUMIFS(Sheet2!$E:$E,Sheet2!$C:$C,$A34,Sheet2!$A:$A,K$2),"")</f>
        <v/>
      </c>
      <c r="L34" s="42" t="str">
        <f>IF(SUMIFS(Sheet2!$E:$E,Sheet2!$C:$C,$A34,Sheet2!$A:$A,L$2)&lt;&gt;0,SUMIFS(Sheet2!$E:$E,Sheet2!$C:$C,$A34,Sheet2!$A:$A,L$2),"")</f>
        <v/>
      </c>
      <c r="M34" s="42" t="str">
        <f>IF(SUMIFS(Sheet2!$E:$E,Sheet2!$C:$C,$A34,Sheet2!$A:$A,M$2)&lt;&gt;0,SUMIFS(Sheet2!$E:$E,Sheet2!$C:$C,$A34,Sheet2!$A:$A,M$2),"")</f>
        <v/>
      </c>
      <c r="N34" s="42" t="str">
        <f>IF(SUMIFS(Sheet2!$E:$E,Sheet2!$C:$C,$A34,Sheet2!$A:$A,N$2)&lt;&gt;0,SUMIFS(Sheet2!$E:$E,Sheet2!$C:$C,$A34,Sheet2!$A:$A,N$2),"")</f>
        <v/>
      </c>
      <c r="O34" s="42" t="str">
        <f>IF(SUMIFS(Sheet2!$E:$E,Sheet2!$C:$C,$A34,Sheet2!$A:$A,O$2)&lt;&gt;0,SUMIFS(Sheet2!$E:$E,Sheet2!$C:$C,$A34,Sheet2!$A:$A,O$2),"")</f>
        <v/>
      </c>
      <c r="P34" s="42" t="str">
        <f>IF(SUMIFS(Sheet2!$E:$E,Sheet2!$C:$C,$A34,Sheet2!$A:$A,P$2)&lt;&gt;0,SUMIFS(Sheet2!$E:$E,Sheet2!$C:$C,$A34,Sheet2!$A:$A,P$2),"")</f>
        <v/>
      </c>
      <c r="Q34" s="42" t="str">
        <f>IF(SUMIFS(Sheet2!$E:$E,Sheet2!$C:$C,$A34,Sheet2!$A:$A,Q$2)&lt;&gt;0,SUMIFS(Sheet2!$E:$E,Sheet2!$C:$C,$A34,Sheet2!$A:$A,Q$2),"")</f>
        <v/>
      </c>
      <c r="R34" s="42" t="str">
        <f>IF(SUMIFS(Sheet2!$E:$E,Sheet2!$C:$C,$A34,Sheet2!$A:$A,R$2)&lt;&gt;0,SUMIFS(Sheet2!$E:$E,Sheet2!$C:$C,$A34,Sheet2!$A:$A,R$2),"")</f>
        <v/>
      </c>
      <c r="S34" s="42" t="str">
        <f>IF(SUMIFS(Sheet2!$E:$E,Sheet2!$C:$C,$A34,Sheet2!$A:$A,S$2)&lt;&gt;0,SUMIFS(Sheet2!$E:$E,Sheet2!$C:$C,$A34,Sheet2!$A:$A,S$2),"")</f>
        <v/>
      </c>
      <c r="T34" s="42" t="str">
        <f>IF(SUMIFS(Sheet2!$E:$E,Sheet2!$C:$C,$A34,Sheet2!$A:$A,T$2)&lt;&gt;0,SUMIFS(Sheet2!$E:$E,Sheet2!$C:$C,$A34,Sheet2!$A:$A,T$2),"")</f>
        <v/>
      </c>
      <c r="U34" s="42" t="str">
        <f>IF(SUMIFS(Sheet2!$E:$E,Sheet2!$C:$C,$A34,Sheet2!$A:$A,U$2)&lt;&gt;0,SUMIFS(Sheet2!$E:$E,Sheet2!$C:$C,$A34,Sheet2!$A:$A,U$2),"")</f>
        <v/>
      </c>
      <c r="V34" s="42" t="str">
        <f>IF(SUMIFS(Sheet2!$E:$E,Sheet2!$C:$C,$A34,Sheet2!$A:$A,V$2)&lt;&gt;0,SUMIFS(Sheet2!$E:$E,Sheet2!$C:$C,$A34,Sheet2!$A:$A,V$2),"")</f>
        <v/>
      </c>
      <c r="W34" s="42" t="str">
        <f>IF(SUMIFS(Sheet2!$E:$E,Sheet2!$C:$C,$A34,Sheet2!$A:$A,W$2)&lt;&gt;0,SUMIFS(Sheet2!$E:$E,Sheet2!$C:$C,$A34,Sheet2!$A:$A,W$2),"")</f>
        <v/>
      </c>
      <c r="X34" s="42" t="str">
        <f>IF(SUMIFS(Sheet2!$E:$E,Sheet2!$C:$C,$A34,Sheet2!$A:$A,X$2)&lt;&gt;0,SUMIFS(Sheet2!$E:$E,Sheet2!$C:$C,$A34,Sheet2!$A:$A,X$2),"")</f>
        <v/>
      </c>
      <c r="Y34" s="42" t="str">
        <f>IF(SUMIFS(Sheet2!$E:$E,Sheet2!$C:$C,$A34,Sheet2!$A:$A,Y$2)&lt;&gt;0,SUMIFS(Sheet2!$E:$E,Sheet2!$C:$C,$A34,Sheet2!$A:$A,Y$2),"")</f>
        <v/>
      </c>
      <c r="Z34" s="42" t="str">
        <f>IF(SUMIFS(Sheet2!$E:$E,Sheet2!$C:$C,$A34,Sheet2!$A:$A,Z$2)&lt;&gt;0,SUMIFS(Sheet2!$E:$E,Sheet2!$C:$C,$A34,Sheet2!$A:$A,Z$2),"")</f>
        <v/>
      </c>
      <c r="AA34" s="42" t="str">
        <f>IF(SUMIFS(Sheet2!$E:$E,Sheet2!$C:$C,$A34,Sheet2!$A:$A,AA$2)&lt;&gt;0,SUMIFS(Sheet2!$E:$E,Sheet2!$C:$C,$A34,Sheet2!$A:$A,AA$2),"")</f>
        <v/>
      </c>
      <c r="AB34" s="42" t="str">
        <f>IF(SUMIFS(Sheet2!$E:$E,Sheet2!$C:$C,$A34,Sheet2!$A:$A,AB$2)&lt;&gt;0,SUMIFS(Sheet2!$E:$E,Sheet2!$C:$C,$A34,Sheet2!$A:$A,AB$2),"")</f>
        <v/>
      </c>
      <c r="AC34" s="42" t="str">
        <f>IF(SUMIFS(Sheet2!$E:$E,Sheet2!$C:$C,$A34,Sheet2!$A:$A,AC$2)&lt;&gt;0,SUMIFS(Sheet2!$E:$E,Sheet2!$C:$C,$A34,Sheet2!$A:$A,AC$2),"")</f>
        <v/>
      </c>
      <c r="AD34" s="42" t="str">
        <f>IF(SUMIFS(Sheet2!$E:$E,Sheet2!$C:$C,$A34,Sheet2!$A:$A,AD$2)&lt;&gt;0,SUMIFS(Sheet2!$E:$E,Sheet2!$C:$C,$A34,Sheet2!$A:$A,AD$2),"")</f>
        <v/>
      </c>
      <c r="AE34" s="42" t="str">
        <f>IF(SUMIFS(Sheet2!$E:$E,Sheet2!$C:$C,$A34,Sheet2!$A:$A,AE$2)&lt;&gt;0,SUMIFS(Sheet2!$E:$E,Sheet2!$C:$C,$A34,Sheet2!$A:$A,AE$2),"")</f>
        <v/>
      </c>
      <c r="AF34" s="42" t="str">
        <f>IF(SUMIFS(Sheet2!$E:$E,Sheet2!$C:$C,$A34,Sheet2!$A:$A,AF$2)&lt;&gt;0,SUMIFS(Sheet2!$E:$E,Sheet2!$C:$C,$A34,Sheet2!$A:$A,AF$2),"")</f>
        <v/>
      </c>
      <c r="AG34" s="42" t="str">
        <f>IF(SUMIFS(Sheet2!$E:$E,Sheet2!$C:$C,$A34,Sheet2!$A:$A,AG$2)&lt;&gt;0,SUMIFS(Sheet2!$E:$E,Sheet2!$C:$C,$A34,Sheet2!$A:$A,AG$2),"")</f>
        <v/>
      </c>
      <c r="AH34" s="43">
        <f>SUM(Table2[[#This Row],[1]:[31]])</f>
        <v>0</v>
      </c>
    </row>
    <row r="35" spans="1:34" ht="12.75" customHeight="1">
      <c r="A35" s="76" t="str">
        <f>DSSP!A34</f>
        <v>A091</v>
      </c>
      <c r="B35" s="25" t="str">
        <f>DSSP!B34</f>
        <v>Cánh cụt bơi</v>
      </c>
      <c r="C35" s="42" t="str">
        <f>IF(SUMIFS(Sheet2!$E:$E,Sheet2!$C:$C,$A35,Sheet2!$A:$A,C$2)&lt;&gt;0,SUMIFS(Sheet2!$E:$E,Sheet2!$C:$C,$A35,Sheet2!$A:$A,C$2),"")</f>
        <v/>
      </c>
      <c r="D35" s="42" t="str">
        <f>IF(SUMIFS(Sheet2!$E:$E,Sheet2!$C:$C,$A35,Sheet2!$A:$A,D$2)&lt;&gt;0,SUMIFS(Sheet2!$E:$E,Sheet2!$C:$C,$A35,Sheet2!$A:$A,D$2),"")</f>
        <v/>
      </c>
      <c r="E35" s="42" t="str">
        <f>IF(SUMIFS(Sheet2!$E:$E,Sheet2!$C:$C,$A35,Sheet2!$A:$A,E$2)&lt;&gt;0,SUMIFS(Sheet2!$E:$E,Sheet2!$C:$C,$A35,Sheet2!$A:$A,E$2),"")</f>
        <v/>
      </c>
      <c r="F35" s="42" t="str">
        <f>IF(SUMIFS(Sheet2!$E:$E,Sheet2!$C:$C,$A35,Sheet2!$A:$A,F$2)&lt;&gt;0,SUMIFS(Sheet2!$E:$E,Sheet2!$C:$C,$A35,Sheet2!$A:$A,F$2),"")</f>
        <v/>
      </c>
      <c r="G35" s="42" t="str">
        <f>IF(SUMIFS(Sheet2!$E:$E,Sheet2!$C:$C,$A35,Sheet2!$A:$A,G$2)&lt;&gt;0,SUMIFS(Sheet2!$E:$E,Sheet2!$C:$C,$A35,Sheet2!$A:$A,G$2),"")</f>
        <v/>
      </c>
      <c r="H35" s="42" t="str">
        <f>IF(SUMIFS(Sheet2!$E:$E,Sheet2!$C:$C,$A35,Sheet2!$A:$A,H$2)&lt;&gt;0,SUMIFS(Sheet2!$E:$E,Sheet2!$C:$C,$A35,Sheet2!$A:$A,H$2),"")</f>
        <v/>
      </c>
      <c r="I35" s="42" t="str">
        <f>IF(SUMIFS(Sheet2!$E:$E,Sheet2!$C:$C,$A35,Sheet2!$A:$A,I$2)&lt;&gt;0,SUMIFS(Sheet2!$E:$E,Sheet2!$C:$C,$A35,Sheet2!$A:$A,I$2),"")</f>
        <v/>
      </c>
      <c r="J35" s="42" t="str">
        <f>IF(SUMIFS(Sheet2!$E:$E,Sheet2!$C:$C,$A35,Sheet2!$A:$A,J$2)&lt;&gt;0,SUMIFS(Sheet2!$E:$E,Sheet2!$C:$C,$A35,Sheet2!$A:$A,J$2),"")</f>
        <v/>
      </c>
      <c r="K35" s="42" t="str">
        <f>IF(SUMIFS(Sheet2!$E:$E,Sheet2!$C:$C,$A35,Sheet2!$A:$A,K$2)&lt;&gt;0,SUMIFS(Sheet2!$E:$E,Sheet2!$C:$C,$A35,Sheet2!$A:$A,K$2),"")</f>
        <v/>
      </c>
      <c r="L35" s="42" t="str">
        <f>IF(SUMIFS(Sheet2!$E:$E,Sheet2!$C:$C,$A35,Sheet2!$A:$A,L$2)&lt;&gt;0,SUMIFS(Sheet2!$E:$E,Sheet2!$C:$C,$A35,Sheet2!$A:$A,L$2),"")</f>
        <v/>
      </c>
      <c r="M35" s="42" t="str">
        <f>IF(SUMIFS(Sheet2!$E:$E,Sheet2!$C:$C,$A35,Sheet2!$A:$A,M$2)&lt;&gt;0,SUMIFS(Sheet2!$E:$E,Sheet2!$C:$C,$A35,Sheet2!$A:$A,M$2),"")</f>
        <v/>
      </c>
      <c r="N35" s="42" t="str">
        <f>IF(SUMIFS(Sheet2!$E:$E,Sheet2!$C:$C,$A35,Sheet2!$A:$A,N$2)&lt;&gt;0,SUMIFS(Sheet2!$E:$E,Sheet2!$C:$C,$A35,Sheet2!$A:$A,N$2),"")</f>
        <v/>
      </c>
      <c r="O35" s="42" t="str">
        <f>IF(SUMIFS(Sheet2!$E:$E,Sheet2!$C:$C,$A35,Sheet2!$A:$A,O$2)&lt;&gt;0,SUMIFS(Sheet2!$E:$E,Sheet2!$C:$C,$A35,Sheet2!$A:$A,O$2),"")</f>
        <v/>
      </c>
      <c r="P35" s="42" t="str">
        <f>IF(SUMIFS(Sheet2!$E:$E,Sheet2!$C:$C,$A35,Sheet2!$A:$A,P$2)&lt;&gt;0,SUMIFS(Sheet2!$E:$E,Sheet2!$C:$C,$A35,Sheet2!$A:$A,P$2),"")</f>
        <v/>
      </c>
      <c r="Q35" s="42" t="str">
        <f>IF(SUMIFS(Sheet2!$E:$E,Sheet2!$C:$C,$A35,Sheet2!$A:$A,Q$2)&lt;&gt;0,SUMIFS(Sheet2!$E:$E,Sheet2!$C:$C,$A35,Sheet2!$A:$A,Q$2),"")</f>
        <v/>
      </c>
      <c r="R35" s="42" t="str">
        <f>IF(SUMIFS(Sheet2!$E:$E,Sheet2!$C:$C,$A35,Sheet2!$A:$A,R$2)&lt;&gt;0,SUMIFS(Sheet2!$E:$E,Sheet2!$C:$C,$A35,Sheet2!$A:$A,R$2),"")</f>
        <v/>
      </c>
      <c r="S35" s="42" t="str">
        <f>IF(SUMIFS(Sheet2!$E:$E,Sheet2!$C:$C,$A35,Sheet2!$A:$A,S$2)&lt;&gt;0,SUMIFS(Sheet2!$E:$E,Sheet2!$C:$C,$A35,Sheet2!$A:$A,S$2),"")</f>
        <v/>
      </c>
      <c r="T35" s="42" t="str">
        <f>IF(SUMIFS(Sheet2!$E:$E,Sheet2!$C:$C,$A35,Sheet2!$A:$A,T$2)&lt;&gt;0,SUMIFS(Sheet2!$E:$E,Sheet2!$C:$C,$A35,Sheet2!$A:$A,T$2),"")</f>
        <v/>
      </c>
      <c r="U35" s="42" t="str">
        <f>IF(SUMIFS(Sheet2!$E:$E,Sheet2!$C:$C,$A35,Sheet2!$A:$A,U$2)&lt;&gt;0,SUMIFS(Sheet2!$E:$E,Sheet2!$C:$C,$A35,Sheet2!$A:$A,U$2),"")</f>
        <v/>
      </c>
      <c r="V35" s="42" t="str">
        <f>IF(SUMIFS(Sheet2!$E:$E,Sheet2!$C:$C,$A35,Sheet2!$A:$A,V$2)&lt;&gt;0,SUMIFS(Sheet2!$E:$E,Sheet2!$C:$C,$A35,Sheet2!$A:$A,V$2),"")</f>
        <v/>
      </c>
      <c r="W35" s="42" t="str">
        <f>IF(SUMIFS(Sheet2!$E:$E,Sheet2!$C:$C,$A35,Sheet2!$A:$A,W$2)&lt;&gt;0,SUMIFS(Sheet2!$E:$E,Sheet2!$C:$C,$A35,Sheet2!$A:$A,W$2),"")</f>
        <v/>
      </c>
      <c r="X35" s="42" t="str">
        <f>IF(SUMIFS(Sheet2!$E:$E,Sheet2!$C:$C,$A35,Sheet2!$A:$A,X$2)&lt;&gt;0,SUMIFS(Sheet2!$E:$E,Sheet2!$C:$C,$A35,Sheet2!$A:$A,X$2),"")</f>
        <v/>
      </c>
      <c r="Y35" s="42" t="str">
        <f>IF(SUMIFS(Sheet2!$E:$E,Sheet2!$C:$C,$A35,Sheet2!$A:$A,Y$2)&lt;&gt;0,SUMIFS(Sheet2!$E:$E,Sheet2!$C:$C,$A35,Sheet2!$A:$A,Y$2),"")</f>
        <v/>
      </c>
      <c r="Z35" s="42" t="str">
        <f>IF(SUMIFS(Sheet2!$E:$E,Sheet2!$C:$C,$A35,Sheet2!$A:$A,Z$2)&lt;&gt;0,SUMIFS(Sheet2!$E:$E,Sheet2!$C:$C,$A35,Sheet2!$A:$A,Z$2),"")</f>
        <v/>
      </c>
      <c r="AA35" s="42" t="str">
        <f>IF(SUMIFS(Sheet2!$E:$E,Sheet2!$C:$C,$A35,Sheet2!$A:$A,AA$2)&lt;&gt;0,SUMIFS(Sheet2!$E:$E,Sheet2!$C:$C,$A35,Sheet2!$A:$A,AA$2),"")</f>
        <v/>
      </c>
      <c r="AB35" s="42" t="str">
        <f>IF(SUMIFS(Sheet2!$E:$E,Sheet2!$C:$C,$A35,Sheet2!$A:$A,AB$2)&lt;&gt;0,SUMIFS(Sheet2!$E:$E,Sheet2!$C:$C,$A35,Sheet2!$A:$A,AB$2),"")</f>
        <v/>
      </c>
      <c r="AC35" s="42" t="str">
        <f>IF(SUMIFS(Sheet2!$E:$E,Sheet2!$C:$C,$A35,Sheet2!$A:$A,AC$2)&lt;&gt;0,SUMIFS(Sheet2!$E:$E,Sheet2!$C:$C,$A35,Sheet2!$A:$A,AC$2),"")</f>
        <v/>
      </c>
      <c r="AD35" s="42" t="str">
        <f>IF(SUMIFS(Sheet2!$E:$E,Sheet2!$C:$C,$A35,Sheet2!$A:$A,AD$2)&lt;&gt;0,SUMIFS(Sheet2!$E:$E,Sheet2!$C:$C,$A35,Sheet2!$A:$A,AD$2),"")</f>
        <v/>
      </c>
      <c r="AE35" s="42" t="str">
        <f>IF(SUMIFS(Sheet2!$E:$E,Sheet2!$C:$C,$A35,Sheet2!$A:$A,AE$2)&lt;&gt;0,SUMIFS(Sheet2!$E:$E,Sheet2!$C:$C,$A35,Sheet2!$A:$A,AE$2),"")</f>
        <v/>
      </c>
      <c r="AF35" s="42" t="str">
        <f>IF(SUMIFS(Sheet2!$E:$E,Sheet2!$C:$C,$A35,Sheet2!$A:$A,AF$2)&lt;&gt;0,SUMIFS(Sheet2!$E:$E,Sheet2!$C:$C,$A35,Sheet2!$A:$A,AF$2),"")</f>
        <v/>
      </c>
      <c r="AG35" s="42" t="str">
        <f>IF(SUMIFS(Sheet2!$E:$E,Sheet2!$C:$C,$A35,Sheet2!$A:$A,AG$2)&lt;&gt;0,SUMIFS(Sheet2!$E:$E,Sheet2!$C:$C,$A35,Sheet2!$A:$A,AG$2),"")</f>
        <v/>
      </c>
      <c r="AH35" s="43">
        <f>SUM(Table2[[#This Row],[1]:[31]])</f>
        <v>0</v>
      </c>
    </row>
    <row r="36" spans="1:34" ht="12.75" customHeight="1">
      <c r="A36" s="76" t="str">
        <f>DSSP!A35</f>
        <v>A092</v>
      </c>
      <c r="B36" s="25" t="str">
        <f>DSSP!B35</f>
        <v>Heo đất</v>
      </c>
      <c r="C36" s="42" t="str">
        <f>IF(SUMIFS(Sheet2!$E:$E,Sheet2!$C:$C,$A36,Sheet2!$A:$A,C$2)&lt;&gt;0,SUMIFS(Sheet2!$E:$E,Sheet2!$C:$C,$A36,Sheet2!$A:$A,C$2),"")</f>
        <v/>
      </c>
      <c r="D36" s="42" t="str">
        <f>IF(SUMIFS(Sheet2!$E:$E,Sheet2!$C:$C,$A36,Sheet2!$A:$A,D$2)&lt;&gt;0,SUMIFS(Sheet2!$E:$E,Sheet2!$C:$C,$A36,Sheet2!$A:$A,D$2),"")</f>
        <v/>
      </c>
      <c r="E36" s="42" t="str">
        <f>IF(SUMIFS(Sheet2!$E:$E,Sheet2!$C:$C,$A36,Sheet2!$A:$A,E$2)&lt;&gt;0,SUMIFS(Sheet2!$E:$E,Sheet2!$C:$C,$A36,Sheet2!$A:$A,E$2),"")</f>
        <v/>
      </c>
      <c r="F36" s="42" t="str">
        <f>IF(SUMIFS(Sheet2!$E:$E,Sheet2!$C:$C,$A36,Sheet2!$A:$A,F$2)&lt;&gt;0,SUMIFS(Sheet2!$E:$E,Sheet2!$C:$C,$A36,Sheet2!$A:$A,F$2),"")</f>
        <v/>
      </c>
      <c r="G36" s="42" t="str">
        <f>IF(SUMIFS(Sheet2!$E:$E,Sheet2!$C:$C,$A36,Sheet2!$A:$A,G$2)&lt;&gt;0,SUMIFS(Sheet2!$E:$E,Sheet2!$C:$C,$A36,Sheet2!$A:$A,G$2),"")</f>
        <v/>
      </c>
      <c r="H36" s="42" t="str">
        <f>IF(SUMIFS(Sheet2!$E:$E,Sheet2!$C:$C,$A36,Sheet2!$A:$A,H$2)&lt;&gt;0,SUMIFS(Sheet2!$E:$E,Sheet2!$C:$C,$A36,Sheet2!$A:$A,H$2),"")</f>
        <v/>
      </c>
      <c r="I36" s="42" t="str">
        <f>IF(SUMIFS(Sheet2!$E:$E,Sheet2!$C:$C,$A36,Sheet2!$A:$A,I$2)&lt;&gt;0,SUMIFS(Sheet2!$E:$E,Sheet2!$C:$C,$A36,Sheet2!$A:$A,I$2),"")</f>
        <v/>
      </c>
      <c r="J36" s="42" t="str">
        <f>IF(SUMIFS(Sheet2!$E:$E,Sheet2!$C:$C,$A36,Sheet2!$A:$A,J$2)&lt;&gt;0,SUMIFS(Sheet2!$E:$E,Sheet2!$C:$C,$A36,Sheet2!$A:$A,J$2),"")</f>
        <v/>
      </c>
      <c r="K36" s="42" t="str">
        <f>IF(SUMIFS(Sheet2!$E:$E,Sheet2!$C:$C,$A36,Sheet2!$A:$A,K$2)&lt;&gt;0,SUMIFS(Sheet2!$E:$E,Sheet2!$C:$C,$A36,Sheet2!$A:$A,K$2),"")</f>
        <v/>
      </c>
      <c r="L36" s="42" t="str">
        <f>IF(SUMIFS(Sheet2!$E:$E,Sheet2!$C:$C,$A36,Sheet2!$A:$A,L$2)&lt;&gt;0,SUMIFS(Sheet2!$E:$E,Sheet2!$C:$C,$A36,Sheet2!$A:$A,L$2),"")</f>
        <v/>
      </c>
      <c r="M36" s="42" t="str">
        <f>IF(SUMIFS(Sheet2!$E:$E,Sheet2!$C:$C,$A36,Sheet2!$A:$A,M$2)&lt;&gt;0,SUMIFS(Sheet2!$E:$E,Sheet2!$C:$C,$A36,Sheet2!$A:$A,M$2),"")</f>
        <v/>
      </c>
      <c r="N36" s="42" t="str">
        <f>IF(SUMIFS(Sheet2!$E:$E,Sheet2!$C:$C,$A36,Sheet2!$A:$A,N$2)&lt;&gt;0,SUMIFS(Sheet2!$E:$E,Sheet2!$C:$C,$A36,Sheet2!$A:$A,N$2),"")</f>
        <v/>
      </c>
      <c r="O36" s="42" t="str">
        <f>IF(SUMIFS(Sheet2!$E:$E,Sheet2!$C:$C,$A36,Sheet2!$A:$A,O$2)&lt;&gt;0,SUMIFS(Sheet2!$E:$E,Sheet2!$C:$C,$A36,Sheet2!$A:$A,O$2),"")</f>
        <v/>
      </c>
      <c r="P36" s="42" t="str">
        <f>IF(SUMIFS(Sheet2!$E:$E,Sheet2!$C:$C,$A36,Sheet2!$A:$A,P$2)&lt;&gt;0,SUMIFS(Sheet2!$E:$E,Sheet2!$C:$C,$A36,Sheet2!$A:$A,P$2),"")</f>
        <v/>
      </c>
      <c r="Q36" s="42" t="str">
        <f>IF(SUMIFS(Sheet2!$E:$E,Sheet2!$C:$C,$A36,Sheet2!$A:$A,Q$2)&lt;&gt;0,SUMIFS(Sheet2!$E:$E,Sheet2!$C:$C,$A36,Sheet2!$A:$A,Q$2),"")</f>
        <v/>
      </c>
      <c r="R36" s="42" t="str">
        <f>IF(SUMIFS(Sheet2!$E:$E,Sheet2!$C:$C,$A36,Sheet2!$A:$A,R$2)&lt;&gt;0,SUMIFS(Sheet2!$E:$E,Sheet2!$C:$C,$A36,Sheet2!$A:$A,R$2),"")</f>
        <v/>
      </c>
      <c r="S36" s="42" t="str">
        <f>IF(SUMIFS(Sheet2!$E:$E,Sheet2!$C:$C,$A36,Sheet2!$A:$A,S$2)&lt;&gt;0,SUMIFS(Sheet2!$E:$E,Sheet2!$C:$C,$A36,Sheet2!$A:$A,S$2),"")</f>
        <v/>
      </c>
      <c r="T36" s="42" t="str">
        <f>IF(SUMIFS(Sheet2!$E:$E,Sheet2!$C:$C,$A36,Sheet2!$A:$A,T$2)&lt;&gt;0,SUMIFS(Sheet2!$E:$E,Sheet2!$C:$C,$A36,Sheet2!$A:$A,T$2),"")</f>
        <v/>
      </c>
      <c r="U36" s="42" t="str">
        <f>IF(SUMIFS(Sheet2!$E:$E,Sheet2!$C:$C,$A36,Sheet2!$A:$A,U$2)&lt;&gt;0,SUMIFS(Sheet2!$E:$E,Sheet2!$C:$C,$A36,Sheet2!$A:$A,U$2),"")</f>
        <v/>
      </c>
      <c r="V36" s="42" t="str">
        <f>IF(SUMIFS(Sheet2!$E:$E,Sheet2!$C:$C,$A36,Sheet2!$A:$A,V$2)&lt;&gt;0,SUMIFS(Sheet2!$E:$E,Sheet2!$C:$C,$A36,Sheet2!$A:$A,V$2),"")</f>
        <v/>
      </c>
      <c r="W36" s="42" t="str">
        <f>IF(SUMIFS(Sheet2!$E:$E,Sheet2!$C:$C,$A36,Sheet2!$A:$A,W$2)&lt;&gt;0,SUMIFS(Sheet2!$E:$E,Sheet2!$C:$C,$A36,Sheet2!$A:$A,W$2),"")</f>
        <v/>
      </c>
      <c r="X36" s="42" t="str">
        <f>IF(SUMIFS(Sheet2!$E:$E,Sheet2!$C:$C,$A36,Sheet2!$A:$A,X$2)&lt;&gt;0,SUMIFS(Sheet2!$E:$E,Sheet2!$C:$C,$A36,Sheet2!$A:$A,X$2),"")</f>
        <v/>
      </c>
      <c r="Y36" s="42" t="str">
        <f>IF(SUMIFS(Sheet2!$E:$E,Sheet2!$C:$C,$A36,Sheet2!$A:$A,Y$2)&lt;&gt;0,SUMIFS(Sheet2!$E:$E,Sheet2!$C:$C,$A36,Sheet2!$A:$A,Y$2),"")</f>
        <v/>
      </c>
      <c r="Z36" s="42" t="str">
        <f>IF(SUMIFS(Sheet2!$E:$E,Sheet2!$C:$C,$A36,Sheet2!$A:$A,Z$2)&lt;&gt;0,SUMIFS(Sheet2!$E:$E,Sheet2!$C:$C,$A36,Sheet2!$A:$A,Z$2),"")</f>
        <v/>
      </c>
      <c r="AA36" s="42" t="str">
        <f>IF(SUMIFS(Sheet2!$E:$E,Sheet2!$C:$C,$A36,Sheet2!$A:$A,AA$2)&lt;&gt;0,SUMIFS(Sheet2!$E:$E,Sheet2!$C:$C,$A36,Sheet2!$A:$A,AA$2),"")</f>
        <v/>
      </c>
      <c r="AB36" s="42" t="str">
        <f>IF(SUMIFS(Sheet2!$E:$E,Sheet2!$C:$C,$A36,Sheet2!$A:$A,AB$2)&lt;&gt;0,SUMIFS(Sheet2!$E:$E,Sheet2!$C:$C,$A36,Sheet2!$A:$A,AB$2),"")</f>
        <v/>
      </c>
      <c r="AC36" s="42" t="str">
        <f>IF(SUMIFS(Sheet2!$E:$E,Sheet2!$C:$C,$A36,Sheet2!$A:$A,AC$2)&lt;&gt;0,SUMIFS(Sheet2!$E:$E,Sheet2!$C:$C,$A36,Sheet2!$A:$A,AC$2),"")</f>
        <v/>
      </c>
      <c r="AD36" s="42" t="str">
        <f>IF(SUMIFS(Sheet2!$E:$E,Sheet2!$C:$C,$A36,Sheet2!$A:$A,AD$2)&lt;&gt;0,SUMIFS(Sheet2!$E:$E,Sheet2!$C:$C,$A36,Sheet2!$A:$A,AD$2),"")</f>
        <v/>
      </c>
      <c r="AE36" s="42" t="str">
        <f>IF(SUMIFS(Sheet2!$E:$E,Sheet2!$C:$C,$A36,Sheet2!$A:$A,AE$2)&lt;&gt;0,SUMIFS(Sheet2!$E:$E,Sheet2!$C:$C,$A36,Sheet2!$A:$A,AE$2),"")</f>
        <v/>
      </c>
      <c r="AF36" s="42" t="str">
        <f>IF(SUMIFS(Sheet2!$E:$E,Sheet2!$C:$C,$A36,Sheet2!$A:$A,AF$2)&lt;&gt;0,SUMIFS(Sheet2!$E:$E,Sheet2!$C:$C,$A36,Sheet2!$A:$A,AF$2),"")</f>
        <v/>
      </c>
      <c r="AG36" s="42" t="str">
        <f>IF(SUMIFS(Sheet2!$E:$E,Sheet2!$C:$C,$A36,Sheet2!$A:$A,AG$2)&lt;&gt;0,SUMIFS(Sheet2!$E:$E,Sheet2!$C:$C,$A36,Sheet2!$A:$A,AG$2),"")</f>
        <v/>
      </c>
      <c r="AH36" s="43">
        <f>SUM(Table2[[#This Row],[1]:[31]])</f>
        <v>0</v>
      </c>
    </row>
    <row r="37" spans="1:34" ht="12.75" customHeight="1">
      <c r="A37" s="76" t="str">
        <f>DSSP!A36</f>
        <v>A121</v>
      </c>
      <c r="B37" s="25" t="str">
        <f>DSSP!B36</f>
        <v>Gà mẹ con</v>
      </c>
      <c r="C37" s="42" t="str">
        <f>IF(SUMIFS(Sheet2!$E:$E,Sheet2!$C:$C,$A37,Sheet2!$A:$A,C$2)&lt;&gt;0,SUMIFS(Sheet2!$E:$E,Sheet2!$C:$C,$A37,Sheet2!$A:$A,C$2),"")</f>
        <v/>
      </c>
      <c r="D37" s="42" t="str">
        <f>IF(SUMIFS(Sheet2!$E:$E,Sheet2!$C:$C,$A37,Sheet2!$A:$A,D$2)&lt;&gt;0,SUMIFS(Sheet2!$E:$E,Sheet2!$C:$C,$A37,Sheet2!$A:$A,D$2),"")</f>
        <v/>
      </c>
      <c r="E37" s="42" t="str">
        <f>IF(SUMIFS(Sheet2!$E:$E,Sheet2!$C:$C,$A37,Sheet2!$A:$A,E$2)&lt;&gt;0,SUMIFS(Sheet2!$E:$E,Sheet2!$C:$C,$A37,Sheet2!$A:$A,E$2),"")</f>
        <v/>
      </c>
      <c r="F37" s="42" t="str">
        <f>IF(SUMIFS(Sheet2!$E:$E,Sheet2!$C:$C,$A37,Sheet2!$A:$A,F$2)&lt;&gt;0,SUMIFS(Sheet2!$E:$E,Sheet2!$C:$C,$A37,Sheet2!$A:$A,F$2),"")</f>
        <v/>
      </c>
      <c r="G37" s="42" t="str">
        <f>IF(SUMIFS(Sheet2!$E:$E,Sheet2!$C:$C,$A37,Sheet2!$A:$A,G$2)&lt;&gt;0,SUMIFS(Sheet2!$E:$E,Sheet2!$C:$C,$A37,Sheet2!$A:$A,G$2),"")</f>
        <v/>
      </c>
      <c r="H37" s="42" t="str">
        <f>IF(SUMIFS(Sheet2!$E:$E,Sheet2!$C:$C,$A37,Sheet2!$A:$A,H$2)&lt;&gt;0,SUMIFS(Sheet2!$E:$E,Sheet2!$C:$C,$A37,Sheet2!$A:$A,H$2),"")</f>
        <v/>
      </c>
      <c r="I37" s="42" t="str">
        <f>IF(SUMIFS(Sheet2!$E:$E,Sheet2!$C:$C,$A37,Sheet2!$A:$A,I$2)&lt;&gt;0,SUMIFS(Sheet2!$E:$E,Sheet2!$C:$C,$A37,Sheet2!$A:$A,I$2),"")</f>
        <v/>
      </c>
      <c r="J37" s="42" t="str">
        <f>IF(SUMIFS(Sheet2!$E:$E,Sheet2!$C:$C,$A37,Sheet2!$A:$A,J$2)&lt;&gt;0,SUMIFS(Sheet2!$E:$E,Sheet2!$C:$C,$A37,Sheet2!$A:$A,J$2),"")</f>
        <v/>
      </c>
      <c r="K37" s="42" t="str">
        <f>IF(SUMIFS(Sheet2!$E:$E,Sheet2!$C:$C,$A37,Sheet2!$A:$A,K$2)&lt;&gt;0,SUMIFS(Sheet2!$E:$E,Sheet2!$C:$C,$A37,Sheet2!$A:$A,K$2),"")</f>
        <v/>
      </c>
      <c r="L37" s="42" t="str">
        <f>IF(SUMIFS(Sheet2!$E:$E,Sheet2!$C:$C,$A37,Sheet2!$A:$A,L$2)&lt;&gt;0,SUMIFS(Sheet2!$E:$E,Sheet2!$C:$C,$A37,Sheet2!$A:$A,L$2),"")</f>
        <v/>
      </c>
      <c r="M37" s="42" t="str">
        <f>IF(SUMIFS(Sheet2!$E:$E,Sheet2!$C:$C,$A37,Sheet2!$A:$A,M$2)&lt;&gt;0,SUMIFS(Sheet2!$E:$E,Sheet2!$C:$C,$A37,Sheet2!$A:$A,M$2),"")</f>
        <v/>
      </c>
      <c r="N37" s="42" t="str">
        <f>IF(SUMIFS(Sheet2!$E:$E,Sheet2!$C:$C,$A37,Sheet2!$A:$A,N$2)&lt;&gt;0,SUMIFS(Sheet2!$E:$E,Sheet2!$C:$C,$A37,Sheet2!$A:$A,N$2),"")</f>
        <v/>
      </c>
      <c r="O37" s="42" t="str">
        <f>IF(SUMIFS(Sheet2!$E:$E,Sheet2!$C:$C,$A37,Sheet2!$A:$A,O$2)&lt;&gt;0,SUMIFS(Sheet2!$E:$E,Sheet2!$C:$C,$A37,Sheet2!$A:$A,O$2),"")</f>
        <v/>
      </c>
      <c r="P37" s="42" t="str">
        <f>IF(SUMIFS(Sheet2!$E:$E,Sheet2!$C:$C,$A37,Sheet2!$A:$A,P$2)&lt;&gt;0,SUMIFS(Sheet2!$E:$E,Sheet2!$C:$C,$A37,Sheet2!$A:$A,P$2),"")</f>
        <v/>
      </c>
      <c r="Q37" s="42" t="str">
        <f>IF(SUMIFS(Sheet2!$E:$E,Sheet2!$C:$C,$A37,Sheet2!$A:$A,Q$2)&lt;&gt;0,SUMIFS(Sheet2!$E:$E,Sheet2!$C:$C,$A37,Sheet2!$A:$A,Q$2),"")</f>
        <v/>
      </c>
      <c r="R37" s="42" t="str">
        <f>IF(SUMIFS(Sheet2!$E:$E,Sheet2!$C:$C,$A37,Sheet2!$A:$A,R$2)&lt;&gt;0,SUMIFS(Sheet2!$E:$E,Sheet2!$C:$C,$A37,Sheet2!$A:$A,R$2),"")</f>
        <v/>
      </c>
      <c r="S37" s="42" t="str">
        <f>IF(SUMIFS(Sheet2!$E:$E,Sheet2!$C:$C,$A37,Sheet2!$A:$A,S$2)&lt;&gt;0,SUMIFS(Sheet2!$E:$E,Sheet2!$C:$C,$A37,Sheet2!$A:$A,S$2),"")</f>
        <v/>
      </c>
      <c r="T37" s="42" t="str">
        <f>IF(SUMIFS(Sheet2!$E:$E,Sheet2!$C:$C,$A37,Sheet2!$A:$A,T$2)&lt;&gt;0,SUMIFS(Sheet2!$E:$E,Sheet2!$C:$C,$A37,Sheet2!$A:$A,T$2),"")</f>
        <v/>
      </c>
      <c r="U37" s="42" t="str">
        <f>IF(SUMIFS(Sheet2!$E:$E,Sheet2!$C:$C,$A37,Sheet2!$A:$A,U$2)&lt;&gt;0,SUMIFS(Sheet2!$E:$E,Sheet2!$C:$C,$A37,Sheet2!$A:$A,U$2),"")</f>
        <v/>
      </c>
      <c r="V37" s="42" t="str">
        <f>IF(SUMIFS(Sheet2!$E:$E,Sheet2!$C:$C,$A37,Sheet2!$A:$A,V$2)&lt;&gt;0,SUMIFS(Sheet2!$E:$E,Sheet2!$C:$C,$A37,Sheet2!$A:$A,V$2),"")</f>
        <v/>
      </c>
      <c r="W37" s="42" t="str">
        <f>IF(SUMIFS(Sheet2!$E:$E,Sheet2!$C:$C,$A37,Sheet2!$A:$A,W$2)&lt;&gt;0,SUMIFS(Sheet2!$E:$E,Sheet2!$C:$C,$A37,Sheet2!$A:$A,W$2),"")</f>
        <v/>
      </c>
      <c r="X37" s="42" t="str">
        <f>IF(SUMIFS(Sheet2!$E:$E,Sheet2!$C:$C,$A37,Sheet2!$A:$A,X$2)&lt;&gt;0,SUMIFS(Sheet2!$E:$E,Sheet2!$C:$C,$A37,Sheet2!$A:$A,X$2),"")</f>
        <v/>
      </c>
      <c r="Y37" s="42" t="str">
        <f>IF(SUMIFS(Sheet2!$E:$E,Sheet2!$C:$C,$A37,Sheet2!$A:$A,Y$2)&lt;&gt;0,SUMIFS(Sheet2!$E:$E,Sheet2!$C:$C,$A37,Sheet2!$A:$A,Y$2),"")</f>
        <v/>
      </c>
      <c r="Z37" s="42" t="str">
        <f>IF(SUMIFS(Sheet2!$E:$E,Sheet2!$C:$C,$A37,Sheet2!$A:$A,Z$2)&lt;&gt;0,SUMIFS(Sheet2!$E:$E,Sheet2!$C:$C,$A37,Sheet2!$A:$A,Z$2),"")</f>
        <v/>
      </c>
      <c r="AA37" s="42" t="str">
        <f>IF(SUMIFS(Sheet2!$E:$E,Sheet2!$C:$C,$A37,Sheet2!$A:$A,AA$2)&lt;&gt;0,SUMIFS(Sheet2!$E:$E,Sheet2!$C:$C,$A37,Sheet2!$A:$A,AA$2),"")</f>
        <v/>
      </c>
      <c r="AB37" s="42" t="str">
        <f>IF(SUMIFS(Sheet2!$E:$E,Sheet2!$C:$C,$A37,Sheet2!$A:$A,AB$2)&lt;&gt;0,SUMIFS(Sheet2!$E:$E,Sheet2!$C:$C,$A37,Sheet2!$A:$A,AB$2),"")</f>
        <v/>
      </c>
      <c r="AC37" s="42" t="str">
        <f>IF(SUMIFS(Sheet2!$E:$E,Sheet2!$C:$C,$A37,Sheet2!$A:$A,AC$2)&lt;&gt;0,SUMIFS(Sheet2!$E:$E,Sheet2!$C:$C,$A37,Sheet2!$A:$A,AC$2),"")</f>
        <v/>
      </c>
      <c r="AD37" s="42" t="str">
        <f>IF(SUMIFS(Sheet2!$E:$E,Sheet2!$C:$C,$A37,Sheet2!$A:$A,AD$2)&lt;&gt;0,SUMIFS(Sheet2!$E:$E,Sheet2!$C:$C,$A37,Sheet2!$A:$A,AD$2),"")</f>
        <v/>
      </c>
      <c r="AE37" s="42" t="str">
        <f>IF(SUMIFS(Sheet2!$E:$E,Sheet2!$C:$C,$A37,Sheet2!$A:$A,AE$2)&lt;&gt;0,SUMIFS(Sheet2!$E:$E,Sheet2!$C:$C,$A37,Sheet2!$A:$A,AE$2),"")</f>
        <v/>
      </c>
      <c r="AF37" s="42" t="str">
        <f>IF(SUMIFS(Sheet2!$E:$E,Sheet2!$C:$C,$A37,Sheet2!$A:$A,AF$2)&lt;&gt;0,SUMIFS(Sheet2!$E:$E,Sheet2!$C:$C,$A37,Sheet2!$A:$A,AF$2),"")</f>
        <v/>
      </c>
      <c r="AG37" s="42" t="str">
        <f>IF(SUMIFS(Sheet2!$E:$E,Sheet2!$C:$C,$A37,Sheet2!$A:$A,AG$2)&lt;&gt;0,SUMIFS(Sheet2!$E:$E,Sheet2!$C:$C,$A37,Sheet2!$A:$A,AG$2),"")</f>
        <v/>
      </c>
      <c r="AH37" s="43">
        <f>SUM(Table2[[#This Row],[1]:[31]])</f>
        <v>0</v>
      </c>
    </row>
    <row r="38" spans="1:34" ht="12.75" customHeight="1">
      <c r="A38" s="76" t="str">
        <f>DSSP!A37</f>
        <v>A122</v>
      </c>
      <c r="B38" s="25" t="str">
        <f>DSSP!B37</f>
        <v>Ếch kêu mưa</v>
      </c>
      <c r="C38" s="42" t="str">
        <f>IF(SUMIFS(Sheet2!$E:$E,Sheet2!$C:$C,$A38,Sheet2!$A:$A,C$2)&lt;&gt;0,SUMIFS(Sheet2!$E:$E,Sheet2!$C:$C,$A38,Sheet2!$A:$A,C$2),"")</f>
        <v/>
      </c>
      <c r="D38" s="42" t="str">
        <f>IF(SUMIFS(Sheet2!$E:$E,Sheet2!$C:$C,$A38,Sheet2!$A:$A,D$2)&lt;&gt;0,SUMIFS(Sheet2!$E:$E,Sheet2!$C:$C,$A38,Sheet2!$A:$A,D$2),"")</f>
        <v/>
      </c>
      <c r="E38" s="42" t="str">
        <f>IF(SUMIFS(Sheet2!$E:$E,Sheet2!$C:$C,$A38,Sheet2!$A:$A,E$2)&lt;&gt;0,SUMIFS(Sheet2!$E:$E,Sheet2!$C:$C,$A38,Sheet2!$A:$A,E$2),"")</f>
        <v/>
      </c>
      <c r="F38" s="42" t="str">
        <f>IF(SUMIFS(Sheet2!$E:$E,Sheet2!$C:$C,$A38,Sheet2!$A:$A,F$2)&lt;&gt;0,SUMIFS(Sheet2!$E:$E,Sheet2!$C:$C,$A38,Sheet2!$A:$A,F$2),"")</f>
        <v/>
      </c>
      <c r="G38" s="42" t="str">
        <f>IF(SUMIFS(Sheet2!$E:$E,Sheet2!$C:$C,$A38,Sheet2!$A:$A,G$2)&lt;&gt;0,SUMIFS(Sheet2!$E:$E,Sheet2!$C:$C,$A38,Sheet2!$A:$A,G$2),"")</f>
        <v/>
      </c>
      <c r="H38" s="42" t="str">
        <f>IF(SUMIFS(Sheet2!$E:$E,Sheet2!$C:$C,$A38,Sheet2!$A:$A,H$2)&lt;&gt;0,SUMIFS(Sheet2!$E:$E,Sheet2!$C:$C,$A38,Sheet2!$A:$A,H$2),"")</f>
        <v/>
      </c>
      <c r="I38" s="42" t="str">
        <f>IF(SUMIFS(Sheet2!$E:$E,Sheet2!$C:$C,$A38,Sheet2!$A:$A,I$2)&lt;&gt;0,SUMIFS(Sheet2!$E:$E,Sheet2!$C:$C,$A38,Sheet2!$A:$A,I$2),"")</f>
        <v/>
      </c>
      <c r="J38" s="42" t="str">
        <f>IF(SUMIFS(Sheet2!$E:$E,Sheet2!$C:$C,$A38,Sheet2!$A:$A,J$2)&lt;&gt;0,SUMIFS(Sheet2!$E:$E,Sheet2!$C:$C,$A38,Sheet2!$A:$A,J$2),"")</f>
        <v/>
      </c>
      <c r="K38" s="42" t="str">
        <f>IF(SUMIFS(Sheet2!$E:$E,Sheet2!$C:$C,$A38,Sheet2!$A:$A,K$2)&lt;&gt;0,SUMIFS(Sheet2!$E:$E,Sheet2!$C:$C,$A38,Sheet2!$A:$A,K$2),"")</f>
        <v/>
      </c>
      <c r="L38" s="42" t="str">
        <f>IF(SUMIFS(Sheet2!$E:$E,Sheet2!$C:$C,$A38,Sheet2!$A:$A,L$2)&lt;&gt;0,SUMIFS(Sheet2!$E:$E,Sheet2!$C:$C,$A38,Sheet2!$A:$A,L$2),"")</f>
        <v/>
      </c>
      <c r="M38" s="42" t="str">
        <f>IF(SUMIFS(Sheet2!$E:$E,Sheet2!$C:$C,$A38,Sheet2!$A:$A,M$2)&lt;&gt;0,SUMIFS(Sheet2!$E:$E,Sheet2!$C:$C,$A38,Sheet2!$A:$A,M$2),"")</f>
        <v/>
      </c>
      <c r="N38" s="42" t="str">
        <f>IF(SUMIFS(Sheet2!$E:$E,Sheet2!$C:$C,$A38,Sheet2!$A:$A,N$2)&lt;&gt;0,SUMIFS(Sheet2!$E:$E,Sheet2!$C:$C,$A38,Sheet2!$A:$A,N$2),"")</f>
        <v/>
      </c>
      <c r="O38" s="42" t="str">
        <f>IF(SUMIFS(Sheet2!$E:$E,Sheet2!$C:$C,$A38,Sheet2!$A:$A,O$2)&lt;&gt;0,SUMIFS(Sheet2!$E:$E,Sheet2!$C:$C,$A38,Sheet2!$A:$A,O$2),"")</f>
        <v/>
      </c>
      <c r="P38" s="42" t="str">
        <f>IF(SUMIFS(Sheet2!$E:$E,Sheet2!$C:$C,$A38,Sheet2!$A:$A,P$2)&lt;&gt;0,SUMIFS(Sheet2!$E:$E,Sheet2!$C:$C,$A38,Sheet2!$A:$A,P$2),"")</f>
        <v/>
      </c>
      <c r="Q38" s="42" t="str">
        <f>IF(SUMIFS(Sheet2!$E:$E,Sheet2!$C:$C,$A38,Sheet2!$A:$A,Q$2)&lt;&gt;0,SUMIFS(Sheet2!$E:$E,Sheet2!$C:$C,$A38,Sheet2!$A:$A,Q$2),"")</f>
        <v/>
      </c>
      <c r="R38" s="42" t="str">
        <f>IF(SUMIFS(Sheet2!$E:$E,Sheet2!$C:$C,$A38,Sheet2!$A:$A,R$2)&lt;&gt;0,SUMIFS(Sheet2!$E:$E,Sheet2!$C:$C,$A38,Sheet2!$A:$A,R$2),"")</f>
        <v/>
      </c>
      <c r="S38" s="42" t="str">
        <f>IF(SUMIFS(Sheet2!$E:$E,Sheet2!$C:$C,$A38,Sheet2!$A:$A,S$2)&lt;&gt;0,SUMIFS(Sheet2!$E:$E,Sheet2!$C:$C,$A38,Sheet2!$A:$A,S$2),"")</f>
        <v/>
      </c>
      <c r="T38" s="42" t="str">
        <f>IF(SUMIFS(Sheet2!$E:$E,Sheet2!$C:$C,$A38,Sheet2!$A:$A,T$2)&lt;&gt;0,SUMIFS(Sheet2!$E:$E,Sheet2!$C:$C,$A38,Sheet2!$A:$A,T$2),"")</f>
        <v/>
      </c>
      <c r="U38" s="42" t="str">
        <f>IF(SUMIFS(Sheet2!$E:$E,Sheet2!$C:$C,$A38,Sheet2!$A:$A,U$2)&lt;&gt;0,SUMIFS(Sheet2!$E:$E,Sheet2!$C:$C,$A38,Sheet2!$A:$A,U$2),"")</f>
        <v/>
      </c>
      <c r="V38" s="42" t="str">
        <f>IF(SUMIFS(Sheet2!$E:$E,Sheet2!$C:$C,$A38,Sheet2!$A:$A,V$2)&lt;&gt;0,SUMIFS(Sheet2!$E:$E,Sheet2!$C:$C,$A38,Sheet2!$A:$A,V$2),"")</f>
        <v/>
      </c>
      <c r="W38" s="42" t="str">
        <f>IF(SUMIFS(Sheet2!$E:$E,Sheet2!$C:$C,$A38,Sheet2!$A:$A,W$2)&lt;&gt;0,SUMIFS(Sheet2!$E:$E,Sheet2!$C:$C,$A38,Sheet2!$A:$A,W$2),"")</f>
        <v/>
      </c>
      <c r="X38" s="42" t="str">
        <f>IF(SUMIFS(Sheet2!$E:$E,Sheet2!$C:$C,$A38,Sheet2!$A:$A,X$2)&lt;&gt;0,SUMIFS(Sheet2!$E:$E,Sheet2!$C:$C,$A38,Sheet2!$A:$A,X$2),"")</f>
        <v/>
      </c>
      <c r="Y38" s="42" t="str">
        <f>IF(SUMIFS(Sheet2!$E:$E,Sheet2!$C:$C,$A38,Sheet2!$A:$A,Y$2)&lt;&gt;0,SUMIFS(Sheet2!$E:$E,Sheet2!$C:$C,$A38,Sheet2!$A:$A,Y$2),"")</f>
        <v/>
      </c>
      <c r="Z38" s="42" t="str">
        <f>IF(SUMIFS(Sheet2!$E:$E,Sheet2!$C:$C,$A38,Sheet2!$A:$A,Z$2)&lt;&gt;0,SUMIFS(Sheet2!$E:$E,Sheet2!$C:$C,$A38,Sheet2!$A:$A,Z$2),"")</f>
        <v/>
      </c>
      <c r="AA38" s="42" t="str">
        <f>IF(SUMIFS(Sheet2!$E:$E,Sheet2!$C:$C,$A38,Sheet2!$A:$A,AA$2)&lt;&gt;0,SUMIFS(Sheet2!$E:$E,Sheet2!$C:$C,$A38,Sheet2!$A:$A,AA$2),"")</f>
        <v/>
      </c>
      <c r="AB38" s="42" t="str">
        <f>IF(SUMIFS(Sheet2!$E:$E,Sheet2!$C:$C,$A38,Sheet2!$A:$A,AB$2)&lt;&gt;0,SUMIFS(Sheet2!$E:$E,Sheet2!$C:$C,$A38,Sheet2!$A:$A,AB$2),"")</f>
        <v/>
      </c>
      <c r="AC38" s="42" t="str">
        <f>IF(SUMIFS(Sheet2!$E:$E,Sheet2!$C:$C,$A38,Sheet2!$A:$A,AC$2)&lt;&gt;0,SUMIFS(Sheet2!$E:$E,Sheet2!$C:$C,$A38,Sheet2!$A:$A,AC$2),"")</f>
        <v/>
      </c>
      <c r="AD38" s="42" t="str">
        <f>IF(SUMIFS(Sheet2!$E:$E,Sheet2!$C:$C,$A38,Sheet2!$A:$A,AD$2)&lt;&gt;0,SUMIFS(Sheet2!$E:$E,Sheet2!$C:$C,$A38,Sheet2!$A:$A,AD$2),"")</f>
        <v/>
      </c>
      <c r="AE38" s="42" t="str">
        <f>IF(SUMIFS(Sheet2!$E:$E,Sheet2!$C:$C,$A38,Sheet2!$A:$A,AE$2)&lt;&gt;0,SUMIFS(Sheet2!$E:$E,Sheet2!$C:$C,$A38,Sheet2!$A:$A,AE$2),"")</f>
        <v/>
      </c>
      <c r="AF38" s="42" t="str">
        <f>IF(SUMIFS(Sheet2!$E:$E,Sheet2!$C:$C,$A38,Sheet2!$A:$A,AF$2)&lt;&gt;0,SUMIFS(Sheet2!$E:$E,Sheet2!$C:$C,$A38,Sheet2!$A:$A,AF$2),"")</f>
        <v/>
      </c>
      <c r="AG38" s="42" t="str">
        <f>IF(SUMIFS(Sheet2!$E:$E,Sheet2!$C:$C,$A38,Sheet2!$A:$A,AG$2)&lt;&gt;0,SUMIFS(Sheet2!$E:$E,Sheet2!$C:$C,$A38,Sheet2!$A:$A,AG$2),"")</f>
        <v/>
      </c>
      <c r="AH38" s="43">
        <f>SUM(Table2[[#This Row],[1]:[31]])</f>
        <v>0</v>
      </c>
    </row>
    <row r="39" spans="1:34" ht="12.75" customHeight="1">
      <c r="A39" s="76" t="str">
        <f>DSSP!A38</f>
        <v>A123</v>
      </c>
      <c r="B39" s="25" t="str">
        <f>DSSP!B38</f>
        <v>Tê giác tắm</v>
      </c>
      <c r="C39" s="42" t="str">
        <f>IF(SUMIFS(Sheet2!$E:$E,Sheet2!$C:$C,$A39,Sheet2!$A:$A,C$2)&lt;&gt;0,SUMIFS(Sheet2!$E:$E,Sheet2!$C:$C,$A39,Sheet2!$A:$A,C$2),"")</f>
        <v/>
      </c>
      <c r="D39" s="42" t="str">
        <f>IF(SUMIFS(Sheet2!$E:$E,Sheet2!$C:$C,$A39,Sheet2!$A:$A,D$2)&lt;&gt;0,SUMIFS(Sheet2!$E:$E,Sheet2!$C:$C,$A39,Sheet2!$A:$A,D$2),"")</f>
        <v/>
      </c>
      <c r="E39" s="42" t="str">
        <f>IF(SUMIFS(Sheet2!$E:$E,Sheet2!$C:$C,$A39,Sheet2!$A:$A,E$2)&lt;&gt;0,SUMIFS(Sheet2!$E:$E,Sheet2!$C:$C,$A39,Sheet2!$A:$A,E$2),"")</f>
        <v/>
      </c>
      <c r="F39" s="42" t="str">
        <f>IF(SUMIFS(Sheet2!$E:$E,Sheet2!$C:$C,$A39,Sheet2!$A:$A,F$2)&lt;&gt;0,SUMIFS(Sheet2!$E:$E,Sheet2!$C:$C,$A39,Sheet2!$A:$A,F$2),"")</f>
        <v/>
      </c>
      <c r="G39" s="42" t="str">
        <f>IF(SUMIFS(Sheet2!$E:$E,Sheet2!$C:$C,$A39,Sheet2!$A:$A,G$2)&lt;&gt;0,SUMIFS(Sheet2!$E:$E,Sheet2!$C:$C,$A39,Sheet2!$A:$A,G$2),"")</f>
        <v/>
      </c>
      <c r="H39" s="42" t="str">
        <f>IF(SUMIFS(Sheet2!$E:$E,Sheet2!$C:$C,$A39,Sheet2!$A:$A,H$2)&lt;&gt;0,SUMIFS(Sheet2!$E:$E,Sheet2!$C:$C,$A39,Sheet2!$A:$A,H$2),"")</f>
        <v/>
      </c>
      <c r="I39" s="42" t="str">
        <f>IF(SUMIFS(Sheet2!$E:$E,Sheet2!$C:$C,$A39,Sheet2!$A:$A,I$2)&lt;&gt;0,SUMIFS(Sheet2!$E:$E,Sheet2!$C:$C,$A39,Sheet2!$A:$A,I$2),"")</f>
        <v/>
      </c>
      <c r="J39" s="42" t="str">
        <f>IF(SUMIFS(Sheet2!$E:$E,Sheet2!$C:$C,$A39,Sheet2!$A:$A,J$2)&lt;&gt;0,SUMIFS(Sheet2!$E:$E,Sheet2!$C:$C,$A39,Sheet2!$A:$A,J$2),"")</f>
        <v/>
      </c>
      <c r="K39" s="42" t="str">
        <f>IF(SUMIFS(Sheet2!$E:$E,Sheet2!$C:$C,$A39,Sheet2!$A:$A,K$2)&lt;&gt;0,SUMIFS(Sheet2!$E:$E,Sheet2!$C:$C,$A39,Sheet2!$A:$A,K$2),"")</f>
        <v/>
      </c>
      <c r="L39" s="42" t="str">
        <f>IF(SUMIFS(Sheet2!$E:$E,Sheet2!$C:$C,$A39,Sheet2!$A:$A,L$2)&lt;&gt;0,SUMIFS(Sheet2!$E:$E,Sheet2!$C:$C,$A39,Sheet2!$A:$A,L$2),"")</f>
        <v/>
      </c>
      <c r="M39" s="42" t="str">
        <f>IF(SUMIFS(Sheet2!$E:$E,Sheet2!$C:$C,$A39,Sheet2!$A:$A,M$2)&lt;&gt;0,SUMIFS(Sheet2!$E:$E,Sheet2!$C:$C,$A39,Sheet2!$A:$A,M$2),"")</f>
        <v/>
      </c>
      <c r="N39" s="42" t="str">
        <f>IF(SUMIFS(Sheet2!$E:$E,Sheet2!$C:$C,$A39,Sheet2!$A:$A,N$2)&lt;&gt;0,SUMIFS(Sheet2!$E:$E,Sheet2!$C:$C,$A39,Sheet2!$A:$A,N$2),"")</f>
        <v/>
      </c>
      <c r="O39" s="42" t="str">
        <f>IF(SUMIFS(Sheet2!$E:$E,Sheet2!$C:$C,$A39,Sheet2!$A:$A,O$2)&lt;&gt;0,SUMIFS(Sheet2!$E:$E,Sheet2!$C:$C,$A39,Sheet2!$A:$A,O$2),"")</f>
        <v/>
      </c>
      <c r="P39" s="42" t="str">
        <f>IF(SUMIFS(Sheet2!$E:$E,Sheet2!$C:$C,$A39,Sheet2!$A:$A,P$2)&lt;&gt;0,SUMIFS(Sheet2!$E:$E,Sheet2!$C:$C,$A39,Sheet2!$A:$A,P$2),"")</f>
        <v/>
      </c>
      <c r="Q39" s="42" t="str">
        <f>IF(SUMIFS(Sheet2!$E:$E,Sheet2!$C:$C,$A39,Sheet2!$A:$A,Q$2)&lt;&gt;0,SUMIFS(Sheet2!$E:$E,Sheet2!$C:$C,$A39,Sheet2!$A:$A,Q$2),"")</f>
        <v/>
      </c>
      <c r="R39" s="42" t="str">
        <f>IF(SUMIFS(Sheet2!$E:$E,Sheet2!$C:$C,$A39,Sheet2!$A:$A,R$2)&lt;&gt;0,SUMIFS(Sheet2!$E:$E,Sheet2!$C:$C,$A39,Sheet2!$A:$A,R$2),"")</f>
        <v/>
      </c>
      <c r="S39" s="42" t="str">
        <f>IF(SUMIFS(Sheet2!$E:$E,Sheet2!$C:$C,$A39,Sheet2!$A:$A,S$2)&lt;&gt;0,SUMIFS(Sheet2!$E:$E,Sheet2!$C:$C,$A39,Sheet2!$A:$A,S$2),"")</f>
        <v/>
      </c>
      <c r="T39" s="42" t="str">
        <f>IF(SUMIFS(Sheet2!$E:$E,Sheet2!$C:$C,$A39,Sheet2!$A:$A,T$2)&lt;&gt;0,SUMIFS(Sheet2!$E:$E,Sheet2!$C:$C,$A39,Sheet2!$A:$A,T$2),"")</f>
        <v/>
      </c>
      <c r="U39" s="42" t="str">
        <f>IF(SUMIFS(Sheet2!$E:$E,Sheet2!$C:$C,$A39,Sheet2!$A:$A,U$2)&lt;&gt;0,SUMIFS(Sheet2!$E:$E,Sheet2!$C:$C,$A39,Sheet2!$A:$A,U$2),"")</f>
        <v/>
      </c>
      <c r="V39" s="42" t="str">
        <f>IF(SUMIFS(Sheet2!$E:$E,Sheet2!$C:$C,$A39,Sheet2!$A:$A,V$2)&lt;&gt;0,SUMIFS(Sheet2!$E:$E,Sheet2!$C:$C,$A39,Sheet2!$A:$A,V$2),"")</f>
        <v/>
      </c>
      <c r="W39" s="42" t="str">
        <f>IF(SUMIFS(Sheet2!$E:$E,Sheet2!$C:$C,$A39,Sheet2!$A:$A,W$2)&lt;&gt;0,SUMIFS(Sheet2!$E:$E,Sheet2!$C:$C,$A39,Sheet2!$A:$A,W$2),"")</f>
        <v/>
      </c>
      <c r="X39" s="42" t="str">
        <f>IF(SUMIFS(Sheet2!$E:$E,Sheet2!$C:$C,$A39,Sheet2!$A:$A,X$2)&lt;&gt;0,SUMIFS(Sheet2!$E:$E,Sheet2!$C:$C,$A39,Sheet2!$A:$A,X$2),"")</f>
        <v/>
      </c>
      <c r="Y39" s="42" t="str">
        <f>IF(SUMIFS(Sheet2!$E:$E,Sheet2!$C:$C,$A39,Sheet2!$A:$A,Y$2)&lt;&gt;0,SUMIFS(Sheet2!$E:$E,Sheet2!$C:$C,$A39,Sheet2!$A:$A,Y$2),"")</f>
        <v/>
      </c>
      <c r="Z39" s="42" t="str">
        <f>IF(SUMIFS(Sheet2!$E:$E,Sheet2!$C:$C,$A39,Sheet2!$A:$A,Z$2)&lt;&gt;0,SUMIFS(Sheet2!$E:$E,Sheet2!$C:$C,$A39,Sheet2!$A:$A,Z$2),"")</f>
        <v/>
      </c>
      <c r="AA39" s="42" t="str">
        <f>IF(SUMIFS(Sheet2!$E:$E,Sheet2!$C:$C,$A39,Sheet2!$A:$A,AA$2)&lt;&gt;0,SUMIFS(Sheet2!$E:$E,Sheet2!$C:$C,$A39,Sheet2!$A:$A,AA$2),"")</f>
        <v/>
      </c>
      <c r="AB39" s="42" t="str">
        <f>IF(SUMIFS(Sheet2!$E:$E,Sheet2!$C:$C,$A39,Sheet2!$A:$A,AB$2)&lt;&gt;0,SUMIFS(Sheet2!$E:$E,Sheet2!$C:$C,$A39,Sheet2!$A:$A,AB$2),"")</f>
        <v/>
      </c>
      <c r="AC39" s="42" t="str">
        <f>IF(SUMIFS(Sheet2!$E:$E,Sheet2!$C:$C,$A39,Sheet2!$A:$A,AC$2)&lt;&gt;0,SUMIFS(Sheet2!$E:$E,Sheet2!$C:$C,$A39,Sheet2!$A:$A,AC$2),"")</f>
        <v/>
      </c>
      <c r="AD39" s="42" t="str">
        <f>IF(SUMIFS(Sheet2!$E:$E,Sheet2!$C:$C,$A39,Sheet2!$A:$A,AD$2)&lt;&gt;0,SUMIFS(Sheet2!$E:$E,Sheet2!$C:$C,$A39,Sheet2!$A:$A,AD$2),"")</f>
        <v/>
      </c>
      <c r="AE39" s="42" t="str">
        <f>IF(SUMIFS(Sheet2!$E:$E,Sheet2!$C:$C,$A39,Sheet2!$A:$A,AE$2)&lt;&gt;0,SUMIFS(Sheet2!$E:$E,Sheet2!$C:$C,$A39,Sheet2!$A:$A,AE$2),"")</f>
        <v/>
      </c>
      <c r="AF39" s="42" t="str">
        <f>IF(SUMIFS(Sheet2!$E:$E,Sheet2!$C:$C,$A39,Sheet2!$A:$A,AF$2)&lt;&gt;0,SUMIFS(Sheet2!$E:$E,Sheet2!$C:$C,$A39,Sheet2!$A:$A,AF$2),"")</f>
        <v/>
      </c>
      <c r="AG39" s="42" t="str">
        <f>IF(SUMIFS(Sheet2!$E:$E,Sheet2!$C:$C,$A39,Sheet2!$A:$A,AG$2)&lt;&gt;0,SUMIFS(Sheet2!$E:$E,Sheet2!$C:$C,$A39,Sheet2!$A:$A,AG$2),"")</f>
        <v/>
      </c>
      <c r="AH39" s="43">
        <f>SUM(Table2[[#This Row],[1]:[31]])</f>
        <v>0</v>
      </c>
    </row>
    <row r="40" spans="1:34" ht="12.75" customHeight="1">
      <c r="A40" s="76" t="str">
        <f>DSSP!A39</f>
        <v>A124</v>
      </c>
      <c r="B40" s="25" t="str">
        <f>DSSP!B39</f>
        <v>Cá mú</v>
      </c>
      <c r="C40" s="42" t="str">
        <f>IF(SUMIFS(Sheet2!$E:$E,Sheet2!$C:$C,$A40,Sheet2!$A:$A,C$2)&lt;&gt;0,SUMIFS(Sheet2!$E:$E,Sheet2!$C:$C,$A40,Sheet2!$A:$A,C$2),"")</f>
        <v/>
      </c>
      <c r="D40" s="42" t="str">
        <f>IF(SUMIFS(Sheet2!$E:$E,Sheet2!$C:$C,$A40,Sheet2!$A:$A,D$2)&lt;&gt;0,SUMIFS(Sheet2!$E:$E,Sheet2!$C:$C,$A40,Sheet2!$A:$A,D$2),"")</f>
        <v/>
      </c>
      <c r="E40" s="42" t="str">
        <f>IF(SUMIFS(Sheet2!$E:$E,Sheet2!$C:$C,$A40,Sheet2!$A:$A,E$2)&lt;&gt;0,SUMIFS(Sheet2!$E:$E,Sheet2!$C:$C,$A40,Sheet2!$A:$A,E$2),"")</f>
        <v/>
      </c>
      <c r="F40" s="42" t="str">
        <f>IF(SUMIFS(Sheet2!$E:$E,Sheet2!$C:$C,$A40,Sheet2!$A:$A,F$2)&lt;&gt;0,SUMIFS(Sheet2!$E:$E,Sheet2!$C:$C,$A40,Sheet2!$A:$A,F$2),"")</f>
        <v/>
      </c>
      <c r="G40" s="42" t="str">
        <f>IF(SUMIFS(Sheet2!$E:$E,Sheet2!$C:$C,$A40,Sheet2!$A:$A,G$2)&lt;&gt;0,SUMIFS(Sheet2!$E:$E,Sheet2!$C:$C,$A40,Sheet2!$A:$A,G$2),"")</f>
        <v/>
      </c>
      <c r="H40" s="42" t="str">
        <f>IF(SUMIFS(Sheet2!$E:$E,Sheet2!$C:$C,$A40,Sheet2!$A:$A,H$2)&lt;&gt;0,SUMIFS(Sheet2!$E:$E,Sheet2!$C:$C,$A40,Sheet2!$A:$A,H$2),"")</f>
        <v/>
      </c>
      <c r="I40" s="42" t="str">
        <f>IF(SUMIFS(Sheet2!$E:$E,Sheet2!$C:$C,$A40,Sheet2!$A:$A,I$2)&lt;&gt;0,SUMIFS(Sheet2!$E:$E,Sheet2!$C:$C,$A40,Sheet2!$A:$A,I$2),"")</f>
        <v/>
      </c>
      <c r="J40" s="42" t="str">
        <f>IF(SUMIFS(Sheet2!$E:$E,Sheet2!$C:$C,$A40,Sheet2!$A:$A,J$2)&lt;&gt;0,SUMIFS(Sheet2!$E:$E,Sheet2!$C:$C,$A40,Sheet2!$A:$A,J$2),"")</f>
        <v/>
      </c>
      <c r="K40" s="42" t="str">
        <f>IF(SUMIFS(Sheet2!$E:$E,Sheet2!$C:$C,$A40,Sheet2!$A:$A,K$2)&lt;&gt;0,SUMIFS(Sheet2!$E:$E,Sheet2!$C:$C,$A40,Sheet2!$A:$A,K$2),"")</f>
        <v/>
      </c>
      <c r="L40" s="42" t="str">
        <f>IF(SUMIFS(Sheet2!$E:$E,Sheet2!$C:$C,$A40,Sheet2!$A:$A,L$2)&lt;&gt;0,SUMIFS(Sheet2!$E:$E,Sheet2!$C:$C,$A40,Sheet2!$A:$A,L$2),"")</f>
        <v/>
      </c>
      <c r="M40" s="42" t="str">
        <f>IF(SUMIFS(Sheet2!$E:$E,Sheet2!$C:$C,$A40,Sheet2!$A:$A,M$2)&lt;&gt;0,SUMIFS(Sheet2!$E:$E,Sheet2!$C:$C,$A40,Sheet2!$A:$A,M$2),"")</f>
        <v/>
      </c>
      <c r="N40" s="42" t="str">
        <f>IF(SUMIFS(Sheet2!$E:$E,Sheet2!$C:$C,$A40,Sheet2!$A:$A,N$2)&lt;&gt;0,SUMIFS(Sheet2!$E:$E,Sheet2!$C:$C,$A40,Sheet2!$A:$A,N$2),"")</f>
        <v/>
      </c>
      <c r="O40" s="42" t="str">
        <f>IF(SUMIFS(Sheet2!$E:$E,Sheet2!$C:$C,$A40,Sheet2!$A:$A,O$2)&lt;&gt;0,SUMIFS(Sheet2!$E:$E,Sheet2!$C:$C,$A40,Sheet2!$A:$A,O$2),"")</f>
        <v/>
      </c>
      <c r="P40" s="42" t="str">
        <f>IF(SUMIFS(Sheet2!$E:$E,Sheet2!$C:$C,$A40,Sheet2!$A:$A,P$2)&lt;&gt;0,SUMIFS(Sheet2!$E:$E,Sheet2!$C:$C,$A40,Sheet2!$A:$A,P$2),"")</f>
        <v/>
      </c>
      <c r="Q40" s="42" t="str">
        <f>IF(SUMIFS(Sheet2!$E:$E,Sheet2!$C:$C,$A40,Sheet2!$A:$A,Q$2)&lt;&gt;0,SUMIFS(Sheet2!$E:$E,Sheet2!$C:$C,$A40,Sheet2!$A:$A,Q$2),"")</f>
        <v/>
      </c>
      <c r="R40" s="42" t="str">
        <f>IF(SUMIFS(Sheet2!$E:$E,Sheet2!$C:$C,$A40,Sheet2!$A:$A,R$2)&lt;&gt;0,SUMIFS(Sheet2!$E:$E,Sheet2!$C:$C,$A40,Sheet2!$A:$A,R$2),"")</f>
        <v/>
      </c>
      <c r="S40" s="42" t="str">
        <f>IF(SUMIFS(Sheet2!$E:$E,Sheet2!$C:$C,$A40,Sheet2!$A:$A,S$2)&lt;&gt;0,SUMIFS(Sheet2!$E:$E,Sheet2!$C:$C,$A40,Sheet2!$A:$A,S$2),"")</f>
        <v/>
      </c>
      <c r="T40" s="42" t="str">
        <f>IF(SUMIFS(Sheet2!$E:$E,Sheet2!$C:$C,$A40,Sheet2!$A:$A,T$2)&lt;&gt;0,SUMIFS(Sheet2!$E:$E,Sheet2!$C:$C,$A40,Sheet2!$A:$A,T$2),"")</f>
        <v/>
      </c>
      <c r="U40" s="42" t="str">
        <f>IF(SUMIFS(Sheet2!$E:$E,Sheet2!$C:$C,$A40,Sheet2!$A:$A,U$2)&lt;&gt;0,SUMIFS(Sheet2!$E:$E,Sheet2!$C:$C,$A40,Sheet2!$A:$A,U$2),"")</f>
        <v/>
      </c>
      <c r="V40" s="42" t="str">
        <f>IF(SUMIFS(Sheet2!$E:$E,Sheet2!$C:$C,$A40,Sheet2!$A:$A,V$2)&lt;&gt;0,SUMIFS(Sheet2!$E:$E,Sheet2!$C:$C,$A40,Sheet2!$A:$A,V$2),"")</f>
        <v/>
      </c>
      <c r="W40" s="42" t="str">
        <f>IF(SUMIFS(Sheet2!$E:$E,Sheet2!$C:$C,$A40,Sheet2!$A:$A,W$2)&lt;&gt;0,SUMIFS(Sheet2!$E:$E,Sheet2!$C:$C,$A40,Sheet2!$A:$A,W$2),"")</f>
        <v/>
      </c>
      <c r="X40" s="42" t="str">
        <f>IF(SUMIFS(Sheet2!$E:$E,Sheet2!$C:$C,$A40,Sheet2!$A:$A,X$2)&lt;&gt;0,SUMIFS(Sheet2!$E:$E,Sheet2!$C:$C,$A40,Sheet2!$A:$A,X$2),"")</f>
        <v/>
      </c>
      <c r="Y40" s="42" t="str">
        <f>IF(SUMIFS(Sheet2!$E:$E,Sheet2!$C:$C,$A40,Sheet2!$A:$A,Y$2)&lt;&gt;0,SUMIFS(Sheet2!$E:$E,Sheet2!$C:$C,$A40,Sheet2!$A:$A,Y$2),"")</f>
        <v/>
      </c>
      <c r="Z40" s="42" t="str">
        <f>IF(SUMIFS(Sheet2!$E:$E,Sheet2!$C:$C,$A40,Sheet2!$A:$A,Z$2)&lt;&gt;0,SUMIFS(Sheet2!$E:$E,Sheet2!$C:$C,$A40,Sheet2!$A:$A,Z$2),"")</f>
        <v/>
      </c>
      <c r="AA40" s="42" t="str">
        <f>IF(SUMIFS(Sheet2!$E:$E,Sheet2!$C:$C,$A40,Sheet2!$A:$A,AA$2)&lt;&gt;0,SUMIFS(Sheet2!$E:$E,Sheet2!$C:$C,$A40,Sheet2!$A:$A,AA$2),"")</f>
        <v/>
      </c>
      <c r="AB40" s="42" t="str">
        <f>IF(SUMIFS(Sheet2!$E:$E,Sheet2!$C:$C,$A40,Sheet2!$A:$A,AB$2)&lt;&gt;0,SUMIFS(Sheet2!$E:$E,Sheet2!$C:$C,$A40,Sheet2!$A:$A,AB$2),"")</f>
        <v/>
      </c>
      <c r="AC40" s="42" t="str">
        <f>IF(SUMIFS(Sheet2!$E:$E,Sheet2!$C:$C,$A40,Sheet2!$A:$A,AC$2)&lt;&gt;0,SUMIFS(Sheet2!$E:$E,Sheet2!$C:$C,$A40,Sheet2!$A:$A,AC$2),"")</f>
        <v/>
      </c>
      <c r="AD40" s="42" t="str">
        <f>IF(SUMIFS(Sheet2!$E:$E,Sheet2!$C:$C,$A40,Sheet2!$A:$A,AD$2)&lt;&gt;0,SUMIFS(Sheet2!$E:$E,Sheet2!$C:$C,$A40,Sheet2!$A:$A,AD$2),"")</f>
        <v/>
      </c>
      <c r="AE40" s="42" t="str">
        <f>IF(SUMIFS(Sheet2!$E:$E,Sheet2!$C:$C,$A40,Sheet2!$A:$A,AE$2)&lt;&gt;0,SUMIFS(Sheet2!$E:$E,Sheet2!$C:$C,$A40,Sheet2!$A:$A,AE$2),"")</f>
        <v/>
      </c>
      <c r="AF40" s="42" t="str">
        <f>IF(SUMIFS(Sheet2!$E:$E,Sheet2!$C:$C,$A40,Sheet2!$A:$A,AF$2)&lt;&gt;0,SUMIFS(Sheet2!$E:$E,Sheet2!$C:$C,$A40,Sheet2!$A:$A,AF$2),"")</f>
        <v/>
      </c>
      <c r="AG40" s="42" t="str">
        <f>IF(SUMIFS(Sheet2!$E:$E,Sheet2!$C:$C,$A40,Sheet2!$A:$A,AG$2)&lt;&gt;0,SUMIFS(Sheet2!$E:$E,Sheet2!$C:$C,$A40,Sheet2!$A:$A,AG$2),"")</f>
        <v/>
      </c>
      <c r="AH40" s="43">
        <f>SUM(Table2[[#This Row],[1]:[31]])</f>
        <v>0</v>
      </c>
    </row>
    <row r="41" spans="1:34" ht="12.75" customHeight="1">
      <c r="A41" s="76" t="str">
        <f>DSSP!A40</f>
        <v>A125</v>
      </c>
      <c r="B41" s="25" t="str">
        <f>DSSP!B40</f>
        <v>Ỉn hồng</v>
      </c>
      <c r="C41" s="42" t="str">
        <f>IF(SUMIFS(Sheet2!$E:$E,Sheet2!$C:$C,$A41,Sheet2!$A:$A,C$2)&lt;&gt;0,SUMIFS(Sheet2!$E:$E,Sheet2!$C:$C,$A41,Sheet2!$A:$A,C$2),"")</f>
        <v/>
      </c>
      <c r="D41" s="42" t="str">
        <f>IF(SUMIFS(Sheet2!$E:$E,Sheet2!$C:$C,$A41,Sheet2!$A:$A,D$2)&lt;&gt;0,SUMIFS(Sheet2!$E:$E,Sheet2!$C:$C,$A41,Sheet2!$A:$A,D$2),"")</f>
        <v/>
      </c>
      <c r="E41" s="42" t="str">
        <f>IF(SUMIFS(Sheet2!$E:$E,Sheet2!$C:$C,$A41,Sheet2!$A:$A,E$2)&lt;&gt;0,SUMIFS(Sheet2!$E:$E,Sheet2!$C:$C,$A41,Sheet2!$A:$A,E$2),"")</f>
        <v/>
      </c>
      <c r="F41" s="42" t="str">
        <f>IF(SUMIFS(Sheet2!$E:$E,Sheet2!$C:$C,$A41,Sheet2!$A:$A,F$2)&lt;&gt;0,SUMIFS(Sheet2!$E:$E,Sheet2!$C:$C,$A41,Sheet2!$A:$A,F$2),"")</f>
        <v/>
      </c>
      <c r="G41" s="42" t="str">
        <f>IF(SUMIFS(Sheet2!$E:$E,Sheet2!$C:$C,$A41,Sheet2!$A:$A,G$2)&lt;&gt;0,SUMIFS(Sheet2!$E:$E,Sheet2!$C:$C,$A41,Sheet2!$A:$A,G$2),"")</f>
        <v/>
      </c>
      <c r="H41" s="42" t="str">
        <f>IF(SUMIFS(Sheet2!$E:$E,Sheet2!$C:$C,$A41,Sheet2!$A:$A,H$2)&lt;&gt;0,SUMIFS(Sheet2!$E:$E,Sheet2!$C:$C,$A41,Sheet2!$A:$A,H$2),"")</f>
        <v/>
      </c>
      <c r="I41" s="42" t="str">
        <f>IF(SUMIFS(Sheet2!$E:$E,Sheet2!$C:$C,$A41,Sheet2!$A:$A,I$2)&lt;&gt;0,SUMIFS(Sheet2!$E:$E,Sheet2!$C:$C,$A41,Sheet2!$A:$A,I$2),"")</f>
        <v/>
      </c>
      <c r="J41" s="42" t="str">
        <f>IF(SUMIFS(Sheet2!$E:$E,Sheet2!$C:$C,$A41,Sheet2!$A:$A,J$2)&lt;&gt;0,SUMIFS(Sheet2!$E:$E,Sheet2!$C:$C,$A41,Sheet2!$A:$A,J$2),"")</f>
        <v/>
      </c>
      <c r="K41" s="42" t="str">
        <f>IF(SUMIFS(Sheet2!$E:$E,Sheet2!$C:$C,$A41,Sheet2!$A:$A,K$2)&lt;&gt;0,SUMIFS(Sheet2!$E:$E,Sheet2!$C:$C,$A41,Sheet2!$A:$A,K$2),"")</f>
        <v/>
      </c>
      <c r="L41" s="42" t="str">
        <f>IF(SUMIFS(Sheet2!$E:$E,Sheet2!$C:$C,$A41,Sheet2!$A:$A,L$2)&lt;&gt;0,SUMIFS(Sheet2!$E:$E,Sheet2!$C:$C,$A41,Sheet2!$A:$A,L$2),"")</f>
        <v/>
      </c>
      <c r="M41" s="42" t="str">
        <f>IF(SUMIFS(Sheet2!$E:$E,Sheet2!$C:$C,$A41,Sheet2!$A:$A,M$2)&lt;&gt;0,SUMIFS(Sheet2!$E:$E,Sheet2!$C:$C,$A41,Sheet2!$A:$A,M$2),"")</f>
        <v/>
      </c>
      <c r="N41" s="42" t="str">
        <f>IF(SUMIFS(Sheet2!$E:$E,Sheet2!$C:$C,$A41,Sheet2!$A:$A,N$2)&lt;&gt;0,SUMIFS(Sheet2!$E:$E,Sheet2!$C:$C,$A41,Sheet2!$A:$A,N$2),"")</f>
        <v/>
      </c>
      <c r="O41" s="42" t="str">
        <f>IF(SUMIFS(Sheet2!$E:$E,Sheet2!$C:$C,$A41,Sheet2!$A:$A,O$2)&lt;&gt;0,SUMIFS(Sheet2!$E:$E,Sheet2!$C:$C,$A41,Sheet2!$A:$A,O$2),"")</f>
        <v/>
      </c>
      <c r="P41" s="42" t="str">
        <f>IF(SUMIFS(Sheet2!$E:$E,Sheet2!$C:$C,$A41,Sheet2!$A:$A,P$2)&lt;&gt;0,SUMIFS(Sheet2!$E:$E,Sheet2!$C:$C,$A41,Sheet2!$A:$A,P$2),"")</f>
        <v/>
      </c>
      <c r="Q41" s="42" t="str">
        <f>IF(SUMIFS(Sheet2!$E:$E,Sheet2!$C:$C,$A41,Sheet2!$A:$A,Q$2)&lt;&gt;0,SUMIFS(Sheet2!$E:$E,Sheet2!$C:$C,$A41,Sheet2!$A:$A,Q$2),"")</f>
        <v/>
      </c>
      <c r="R41" s="42" t="str">
        <f>IF(SUMIFS(Sheet2!$E:$E,Sheet2!$C:$C,$A41,Sheet2!$A:$A,R$2)&lt;&gt;0,SUMIFS(Sheet2!$E:$E,Sheet2!$C:$C,$A41,Sheet2!$A:$A,R$2),"")</f>
        <v/>
      </c>
      <c r="S41" s="42" t="str">
        <f>IF(SUMIFS(Sheet2!$E:$E,Sheet2!$C:$C,$A41,Sheet2!$A:$A,S$2)&lt;&gt;0,SUMIFS(Sheet2!$E:$E,Sheet2!$C:$C,$A41,Sheet2!$A:$A,S$2),"")</f>
        <v/>
      </c>
      <c r="T41" s="42" t="str">
        <f>IF(SUMIFS(Sheet2!$E:$E,Sheet2!$C:$C,$A41,Sheet2!$A:$A,T$2)&lt;&gt;0,SUMIFS(Sheet2!$E:$E,Sheet2!$C:$C,$A41,Sheet2!$A:$A,T$2),"")</f>
        <v/>
      </c>
      <c r="U41" s="42" t="str">
        <f>IF(SUMIFS(Sheet2!$E:$E,Sheet2!$C:$C,$A41,Sheet2!$A:$A,U$2)&lt;&gt;0,SUMIFS(Sheet2!$E:$E,Sheet2!$C:$C,$A41,Sheet2!$A:$A,U$2),"")</f>
        <v/>
      </c>
      <c r="V41" s="42" t="str">
        <f>IF(SUMIFS(Sheet2!$E:$E,Sheet2!$C:$C,$A41,Sheet2!$A:$A,V$2)&lt;&gt;0,SUMIFS(Sheet2!$E:$E,Sheet2!$C:$C,$A41,Sheet2!$A:$A,V$2),"")</f>
        <v/>
      </c>
      <c r="W41" s="42" t="str">
        <f>IF(SUMIFS(Sheet2!$E:$E,Sheet2!$C:$C,$A41,Sheet2!$A:$A,W$2)&lt;&gt;0,SUMIFS(Sheet2!$E:$E,Sheet2!$C:$C,$A41,Sheet2!$A:$A,W$2),"")</f>
        <v/>
      </c>
      <c r="X41" s="42" t="str">
        <f>IF(SUMIFS(Sheet2!$E:$E,Sheet2!$C:$C,$A41,Sheet2!$A:$A,X$2)&lt;&gt;0,SUMIFS(Sheet2!$E:$E,Sheet2!$C:$C,$A41,Sheet2!$A:$A,X$2),"")</f>
        <v/>
      </c>
      <c r="Y41" s="42" t="str">
        <f>IF(SUMIFS(Sheet2!$E:$E,Sheet2!$C:$C,$A41,Sheet2!$A:$A,Y$2)&lt;&gt;0,SUMIFS(Sheet2!$E:$E,Sheet2!$C:$C,$A41,Sheet2!$A:$A,Y$2),"")</f>
        <v/>
      </c>
      <c r="Z41" s="42" t="str">
        <f>IF(SUMIFS(Sheet2!$E:$E,Sheet2!$C:$C,$A41,Sheet2!$A:$A,Z$2)&lt;&gt;0,SUMIFS(Sheet2!$E:$E,Sheet2!$C:$C,$A41,Sheet2!$A:$A,Z$2),"")</f>
        <v/>
      </c>
      <c r="AA41" s="42" t="str">
        <f>IF(SUMIFS(Sheet2!$E:$E,Sheet2!$C:$C,$A41,Sheet2!$A:$A,AA$2)&lt;&gt;0,SUMIFS(Sheet2!$E:$E,Sheet2!$C:$C,$A41,Sheet2!$A:$A,AA$2),"")</f>
        <v/>
      </c>
      <c r="AB41" s="42" t="str">
        <f>IF(SUMIFS(Sheet2!$E:$E,Sheet2!$C:$C,$A41,Sheet2!$A:$A,AB$2)&lt;&gt;0,SUMIFS(Sheet2!$E:$E,Sheet2!$C:$C,$A41,Sheet2!$A:$A,AB$2),"")</f>
        <v/>
      </c>
      <c r="AC41" s="42" t="str">
        <f>IF(SUMIFS(Sheet2!$E:$E,Sheet2!$C:$C,$A41,Sheet2!$A:$A,AC$2)&lt;&gt;0,SUMIFS(Sheet2!$E:$E,Sheet2!$C:$C,$A41,Sheet2!$A:$A,AC$2),"")</f>
        <v/>
      </c>
      <c r="AD41" s="42" t="str">
        <f>IF(SUMIFS(Sheet2!$E:$E,Sheet2!$C:$C,$A41,Sheet2!$A:$A,AD$2)&lt;&gt;0,SUMIFS(Sheet2!$E:$E,Sheet2!$C:$C,$A41,Sheet2!$A:$A,AD$2),"")</f>
        <v/>
      </c>
      <c r="AE41" s="42" t="str">
        <f>IF(SUMIFS(Sheet2!$E:$E,Sheet2!$C:$C,$A41,Sheet2!$A:$A,AE$2)&lt;&gt;0,SUMIFS(Sheet2!$E:$E,Sheet2!$C:$C,$A41,Sheet2!$A:$A,AE$2),"")</f>
        <v/>
      </c>
      <c r="AF41" s="42" t="str">
        <f>IF(SUMIFS(Sheet2!$E:$E,Sheet2!$C:$C,$A41,Sheet2!$A:$A,AF$2)&lt;&gt;0,SUMIFS(Sheet2!$E:$E,Sheet2!$C:$C,$A41,Sheet2!$A:$A,AF$2),"")</f>
        <v/>
      </c>
      <c r="AG41" s="42" t="str">
        <f>IF(SUMIFS(Sheet2!$E:$E,Sheet2!$C:$C,$A41,Sheet2!$A:$A,AG$2)&lt;&gt;0,SUMIFS(Sheet2!$E:$E,Sheet2!$C:$C,$A41,Sheet2!$A:$A,AG$2),"")</f>
        <v/>
      </c>
      <c r="AH41" s="43">
        <f>SUM(Table2[[#This Row],[1]:[31]])</f>
        <v>0</v>
      </c>
    </row>
    <row r="42" spans="1:34" ht="12.75" customHeight="1">
      <c r="A42" s="76" t="str">
        <f>DSSP!A41</f>
        <v>A126</v>
      </c>
      <c r="B42" s="25" t="str">
        <f>DSSP!B41</f>
        <v>Cá voi</v>
      </c>
      <c r="C42" s="42" t="str">
        <f>IF(SUMIFS(Sheet2!$E:$E,Sheet2!$C:$C,$A42,Sheet2!$A:$A,C$2)&lt;&gt;0,SUMIFS(Sheet2!$E:$E,Sheet2!$C:$C,$A42,Sheet2!$A:$A,C$2),"")</f>
        <v/>
      </c>
      <c r="D42" s="42" t="str">
        <f>IF(SUMIFS(Sheet2!$E:$E,Sheet2!$C:$C,$A42,Sheet2!$A:$A,D$2)&lt;&gt;0,SUMIFS(Sheet2!$E:$E,Sheet2!$C:$C,$A42,Sheet2!$A:$A,D$2),"")</f>
        <v/>
      </c>
      <c r="E42" s="42" t="str">
        <f>IF(SUMIFS(Sheet2!$E:$E,Sheet2!$C:$C,$A42,Sheet2!$A:$A,E$2)&lt;&gt;0,SUMIFS(Sheet2!$E:$E,Sheet2!$C:$C,$A42,Sheet2!$A:$A,E$2),"")</f>
        <v/>
      </c>
      <c r="F42" s="42" t="str">
        <f>IF(SUMIFS(Sheet2!$E:$E,Sheet2!$C:$C,$A42,Sheet2!$A:$A,F$2)&lt;&gt;0,SUMIFS(Sheet2!$E:$E,Sheet2!$C:$C,$A42,Sheet2!$A:$A,F$2),"")</f>
        <v/>
      </c>
      <c r="G42" s="42" t="str">
        <f>IF(SUMIFS(Sheet2!$E:$E,Sheet2!$C:$C,$A42,Sheet2!$A:$A,G$2)&lt;&gt;0,SUMIFS(Sheet2!$E:$E,Sheet2!$C:$C,$A42,Sheet2!$A:$A,G$2),"")</f>
        <v/>
      </c>
      <c r="H42" s="42" t="str">
        <f>IF(SUMIFS(Sheet2!$E:$E,Sheet2!$C:$C,$A42,Sheet2!$A:$A,H$2)&lt;&gt;0,SUMIFS(Sheet2!$E:$E,Sheet2!$C:$C,$A42,Sheet2!$A:$A,H$2),"")</f>
        <v/>
      </c>
      <c r="I42" s="42" t="str">
        <f>IF(SUMIFS(Sheet2!$E:$E,Sheet2!$C:$C,$A42,Sheet2!$A:$A,I$2)&lt;&gt;0,SUMIFS(Sheet2!$E:$E,Sheet2!$C:$C,$A42,Sheet2!$A:$A,I$2),"")</f>
        <v/>
      </c>
      <c r="J42" s="42" t="str">
        <f>IF(SUMIFS(Sheet2!$E:$E,Sheet2!$C:$C,$A42,Sheet2!$A:$A,J$2)&lt;&gt;0,SUMIFS(Sheet2!$E:$E,Sheet2!$C:$C,$A42,Sheet2!$A:$A,J$2),"")</f>
        <v/>
      </c>
      <c r="K42" s="42" t="str">
        <f>IF(SUMIFS(Sheet2!$E:$E,Sheet2!$C:$C,$A42,Sheet2!$A:$A,K$2)&lt;&gt;0,SUMIFS(Sheet2!$E:$E,Sheet2!$C:$C,$A42,Sheet2!$A:$A,K$2),"")</f>
        <v/>
      </c>
      <c r="L42" s="42" t="str">
        <f>IF(SUMIFS(Sheet2!$E:$E,Sheet2!$C:$C,$A42,Sheet2!$A:$A,L$2)&lt;&gt;0,SUMIFS(Sheet2!$E:$E,Sheet2!$C:$C,$A42,Sheet2!$A:$A,L$2),"")</f>
        <v/>
      </c>
      <c r="M42" s="42" t="str">
        <f>IF(SUMIFS(Sheet2!$E:$E,Sheet2!$C:$C,$A42,Sheet2!$A:$A,M$2)&lt;&gt;0,SUMIFS(Sheet2!$E:$E,Sheet2!$C:$C,$A42,Sheet2!$A:$A,M$2),"")</f>
        <v/>
      </c>
      <c r="N42" s="42" t="str">
        <f>IF(SUMIFS(Sheet2!$E:$E,Sheet2!$C:$C,$A42,Sheet2!$A:$A,N$2)&lt;&gt;0,SUMIFS(Sheet2!$E:$E,Sheet2!$C:$C,$A42,Sheet2!$A:$A,N$2),"")</f>
        <v/>
      </c>
      <c r="O42" s="42" t="str">
        <f>IF(SUMIFS(Sheet2!$E:$E,Sheet2!$C:$C,$A42,Sheet2!$A:$A,O$2)&lt;&gt;0,SUMIFS(Sheet2!$E:$E,Sheet2!$C:$C,$A42,Sheet2!$A:$A,O$2),"")</f>
        <v/>
      </c>
      <c r="P42" s="42" t="str">
        <f>IF(SUMIFS(Sheet2!$E:$E,Sheet2!$C:$C,$A42,Sheet2!$A:$A,P$2)&lt;&gt;0,SUMIFS(Sheet2!$E:$E,Sheet2!$C:$C,$A42,Sheet2!$A:$A,P$2),"")</f>
        <v/>
      </c>
      <c r="Q42" s="42" t="str">
        <f>IF(SUMIFS(Sheet2!$E:$E,Sheet2!$C:$C,$A42,Sheet2!$A:$A,Q$2)&lt;&gt;0,SUMIFS(Sheet2!$E:$E,Sheet2!$C:$C,$A42,Sheet2!$A:$A,Q$2),"")</f>
        <v/>
      </c>
      <c r="R42" s="42" t="str">
        <f>IF(SUMIFS(Sheet2!$E:$E,Sheet2!$C:$C,$A42,Sheet2!$A:$A,R$2)&lt;&gt;0,SUMIFS(Sheet2!$E:$E,Sheet2!$C:$C,$A42,Sheet2!$A:$A,R$2),"")</f>
        <v/>
      </c>
      <c r="S42" s="42" t="str">
        <f>IF(SUMIFS(Sheet2!$E:$E,Sheet2!$C:$C,$A42,Sheet2!$A:$A,S$2)&lt;&gt;0,SUMIFS(Sheet2!$E:$E,Sheet2!$C:$C,$A42,Sheet2!$A:$A,S$2),"")</f>
        <v/>
      </c>
      <c r="T42" s="42" t="str">
        <f>IF(SUMIFS(Sheet2!$E:$E,Sheet2!$C:$C,$A42,Sheet2!$A:$A,T$2)&lt;&gt;0,SUMIFS(Sheet2!$E:$E,Sheet2!$C:$C,$A42,Sheet2!$A:$A,T$2),"")</f>
        <v/>
      </c>
      <c r="U42" s="42" t="str">
        <f>IF(SUMIFS(Sheet2!$E:$E,Sheet2!$C:$C,$A42,Sheet2!$A:$A,U$2)&lt;&gt;0,SUMIFS(Sheet2!$E:$E,Sheet2!$C:$C,$A42,Sheet2!$A:$A,U$2),"")</f>
        <v/>
      </c>
      <c r="V42" s="42" t="str">
        <f>IF(SUMIFS(Sheet2!$E:$E,Sheet2!$C:$C,$A42,Sheet2!$A:$A,V$2)&lt;&gt;0,SUMIFS(Sheet2!$E:$E,Sheet2!$C:$C,$A42,Sheet2!$A:$A,V$2),"")</f>
        <v/>
      </c>
      <c r="W42" s="42" t="str">
        <f>IF(SUMIFS(Sheet2!$E:$E,Sheet2!$C:$C,$A42,Sheet2!$A:$A,W$2)&lt;&gt;0,SUMIFS(Sheet2!$E:$E,Sheet2!$C:$C,$A42,Sheet2!$A:$A,W$2),"")</f>
        <v/>
      </c>
      <c r="X42" s="42" t="str">
        <f>IF(SUMIFS(Sheet2!$E:$E,Sheet2!$C:$C,$A42,Sheet2!$A:$A,X$2)&lt;&gt;0,SUMIFS(Sheet2!$E:$E,Sheet2!$C:$C,$A42,Sheet2!$A:$A,X$2),"")</f>
        <v/>
      </c>
      <c r="Y42" s="42" t="str">
        <f>IF(SUMIFS(Sheet2!$E:$E,Sheet2!$C:$C,$A42,Sheet2!$A:$A,Y$2)&lt;&gt;0,SUMIFS(Sheet2!$E:$E,Sheet2!$C:$C,$A42,Sheet2!$A:$A,Y$2),"")</f>
        <v/>
      </c>
      <c r="Z42" s="42" t="str">
        <f>IF(SUMIFS(Sheet2!$E:$E,Sheet2!$C:$C,$A42,Sheet2!$A:$A,Z$2)&lt;&gt;0,SUMIFS(Sheet2!$E:$E,Sheet2!$C:$C,$A42,Sheet2!$A:$A,Z$2),"")</f>
        <v/>
      </c>
      <c r="AA42" s="42" t="str">
        <f>IF(SUMIFS(Sheet2!$E:$E,Sheet2!$C:$C,$A42,Sheet2!$A:$A,AA$2)&lt;&gt;0,SUMIFS(Sheet2!$E:$E,Sheet2!$C:$C,$A42,Sheet2!$A:$A,AA$2),"")</f>
        <v/>
      </c>
      <c r="AB42" s="42" t="str">
        <f>IF(SUMIFS(Sheet2!$E:$E,Sheet2!$C:$C,$A42,Sheet2!$A:$A,AB$2)&lt;&gt;0,SUMIFS(Sheet2!$E:$E,Sheet2!$C:$C,$A42,Sheet2!$A:$A,AB$2),"")</f>
        <v/>
      </c>
      <c r="AC42" s="42" t="str">
        <f>IF(SUMIFS(Sheet2!$E:$E,Sheet2!$C:$C,$A42,Sheet2!$A:$A,AC$2)&lt;&gt;0,SUMIFS(Sheet2!$E:$E,Sheet2!$C:$C,$A42,Sheet2!$A:$A,AC$2),"")</f>
        <v/>
      </c>
      <c r="AD42" s="42" t="str">
        <f>IF(SUMIFS(Sheet2!$E:$E,Sheet2!$C:$C,$A42,Sheet2!$A:$A,AD$2)&lt;&gt;0,SUMIFS(Sheet2!$E:$E,Sheet2!$C:$C,$A42,Sheet2!$A:$A,AD$2),"")</f>
        <v/>
      </c>
      <c r="AE42" s="42" t="str">
        <f>IF(SUMIFS(Sheet2!$E:$E,Sheet2!$C:$C,$A42,Sheet2!$A:$A,AE$2)&lt;&gt;0,SUMIFS(Sheet2!$E:$E,Sheet2!$C:$C,$A42,Sheet2!$A:$A,AE$2),"")</f>
        <v/>
      </c>
      <c r="AF42" s="42" t="str">
        <f>IF(SUMIFS(Sheet2!$E:$E,Sheet2!$C:$C,$A42,Sheet2!$A:$A,AF$2)&lt;&gt;0,SUMIFS(Sheet2!$E:$E,Sheet2!$C:$C,$A42,Sheet2!$A:$A,AF$2),"")</f>
        <v/>
      </c>
      <c r="AG42" s="42" t="str">
        <f>IF(SUMIFS(Sheet2!$E:$E,Sheet2!$C:$C,$A42,Sheet2!$A:$A,AG$2)&lt;&gt;0,SUMIFS(Sheet2!$E:$E,Sheet2!$C:$C,$A42,Sheet2!$A:$A,AG$2),"")</f>
        <v/>
      </c>
      <c r="AH42" s="43">
        <f>SUM(Table2[[#This Row],[1]:[31]])</f>
        <v>0</v>
      </c>
    </row>
    <row r="43" spans="1:34" ht="12.75" customHeight="1">
      <c r="A43" s="76" t="str">
        <f>DSSP!A42</f>
        <v>A127</v>
      </c>
      <c r="B43" s="25" t="str">
        <f>DSSP!B42</f>
        <v>Gối bốn lá</v>
      </c>
      <c r="C43" s="42" t="str">
        <f>IF(SUMIFS(Sheet2!$E:$E,Sheet2!$C:$C,$A43,Sheet2!$A:$A,C$2)&lt;&gt;0,SUMIFS(Sheet2!$E:$E,Sheet2!$C:$C,$A43,Sheet2!$A:$A,C$2),"")</f>
        <v/>
      </c>
      <c r="D43" s="42" t="str">
        <f>IF(SUMIFS(Sheet2!$E:$E,Sheet2!$C:$C,$A43,Sheet2!$A:$A,D$2)&lt;&gt;0,SUMIFS(Sheet2!$E:$E,Sheet2!$C:$C,$A43,Sheet2!$A:$A,D$2),"")</f>
        <v/>
      </c>
      <c r="E43" s="42" t="str">
        <f>IF(SUMIFS(Sheet2!$E:$E,Sheet2!$C:$C,$A43,Sheet2!$A:$A,E$2)&lt;&gt;0,SUMIFS(Sheet2!$E:$E,Sheet2!$C:$C,$A43,Sheet2!$A:$A,E$2),"")</f>
        <v/>
      </c>
      <c r="F43" s="42" t="str">
        <f>IF(SUMIFS(Sheet2!$E:$E,Sheet2!$C:$C,$A43,Sheet2!$A:$A,F$2)&lt;&gt;0,SUMIFS(Sheet2!$E:$E,Sheet2!$C:$C,$A43,Sheet2!$A:$A,F$2),"")</f>
        <v/>
      </c>
      <c r="G43" s="42" t="str">
        <f>IF(SUMIFS(Sheet2!$E:$E,Sheet2!$C:$C,$A43,Sheet2!$A:$A,G$2)&lt;&gt;0,SUMIFS(Sheet2!$E:$E,Sheet2!$C:$C,$A43,Sheet2!$A:$A,G$2),"")</f>
        <v/>
      </c>
      <c r="H43" s="42" t="str">
        <f>IF(SUMIFS(Sheet2!$E:$E,Sheet2!$C:$C,$A43,Sheet2!$A:$A,H$2)&lt;&gt;0,SUMIFS(Sheet2!$E:$E,Sheet2!$C:$C,$A43,Sheet2!$A:$A,H$2),"")</f>
        <v/>
      </c>
      <c r="I43" s="42" t="str">
        <f>IF(SUMIFS(Sheet2!$E:$E,Sheet2!$C:$C,$A43,Sheet2!$A:$A,I$2)&lt;&gt;0,SUMIFS(Sheet2!$E:$E,Sheet2!$C:$C,$A43,Sheet2!$A:$A,I$2),"")</f>
        <v/>
      </c>
      <c r="J43" s="42" t="str">
        <f>IF(SUMIFS(Sheet2!$E:$E,Sheet2!$C:$C,$A43,Sheet2!$A:$A,J$2)&lt;&gt;0,SUMIFS(Sheet2!$E:$E,Sheet2!$C:$C,$A43,Sheet2!$A:$A,J$2),"")</f>
        <v/>
      </c>
      <c r="K43" s="42" t="str">
        <f>IF(SUMIFS(Sheet2!$E:$E,Sheet2!$C:$C,$A43,Sheet2!$A:$A,K$2)&lt;&gt;0,SUMIFS(Sheet2!$E:$E,Sheet2!$C:$C,$A43,Sheet2!$A:$A,K$2),"")</f>
        <v/>
      </c>
      <c r="L43" s="42" t="str">
        <f>IF(SUMIFS(Sheet2!$E:$E,Sheet2!$C:$C,$A43,Sheet2!$A:$A,L$2)&lt;&gt;0,SUMIFS(Sheet2!$E:$E,Sheet2!$C:$C,$A43,Sheet2!$A:$A,L$2),"")</f>
        <v/>
      </c>
      <c r="M43" s="42" t="str">
        <f>IF(SUMIFS(Sheet2!$E:$E,Sheet2!$C:$C,$A43,Sheet2!$A:$A,M$2)&lt;&gt;0,SUMIFS(Sheet2!$E:$E,Sheet2!$C:$C,$A43,Sheet2!$A:$A,M$2),"")</f>
        <v/>
      </c>
      <c r="N43" s="42" t="str">
        <f>IF(SUMIFS(Sheet2!$E:$E,Sheet2!$C:$C,$A43,Sheet2!$A:$A,N$2)&lt;&gt;0,SUMIFS(Sheet2!$E:$E,Sheet2!$C:$C,$A43,Sheet2!$A:$A,N$2),"")</f>
        <v/>
      </c>
      <c r="O43" s="42" t="str">
        <f>IF(SUMIFS(Sheet2!$E:$E,Sheet2!$C:$C,$A43,Sheet2!$A:$A,O$2)&lt;&gt;0,SUMIFS(Sheet2!$E:$E,Sheet2!$C:$C,$A43,Sheet2!$A:$A,O$2),"")</f>
        <v/>
      </c>
      <c r="P43" s="42" t="str">
        <f>IF(SUMIFS(Sheet2!$E:$E,Sheet2!$C:$C,$A43,Sheet2!$A:$A,P$2)&lt;&gt;0,SUMIFS(Sheet2!$E:$E,Sheet2!$C:$C,$A43,Sheet2!$A:$A,P$2),"")</f>
        <v/>
      </c>
      <c r="Q43" s="42" t="str">
        <f>IF(SUMIFS(Sheet2!$E:$E,Sheet2!$C:$C,$A43,Sheet2!$A:$A,Q$2)&lt;&gt;0,SUMIFS(Sheet2!$E:$E,Sheet2!$C:$C,$A43,Sheet2!$A:$A,Q$2),"")</f>
        <v/>
      </c>
      <c r="R43" s="42" t="str">
        <f>IF(SUMIFS(Sheet2!$E:$E,Sheet2!$C:$C,$A43,Sheet2!$A:$A,R$2)&lt;&gt;0,SUMIFS(Sheet2!$E:$E,Sheet2!$C:$C,$A43,Sheet2!$A:$A,R$2),"")</f>
        <v/>
      </c>
      <c r="S43" s="42" t="str">
        <f>IF(SUMIFS(Sheet2!$E:$E,Sheet2!$C:$C,$A43,Sheet2!$A:$A,S$2)&lt;&gt;0,SUMIFS(Sheet2!$E:$E,Sheet2!$C:$C,$A43,Sheet2!$A:$A,S$2),"")</f>
        <v/>
      </c>
      <c r="T43" s="42" t="str">
        <f>IF(SUMIFS(Sheet2!$E:$E,Sheet2!$C:$C,$A43,Sheet2!$A:$A,T$2)&lt;&gt;0,SUMIFS(Sheet2!$E:$E,Sheet2!$C:$C,$A43,Sheet2!$A:$A,T$2),"")</f>
        <v/>
      </c>
      <c r="U43" s="42" t="str">
        <f>IF(SUMIFS(Sheet2!$E:$E,Sheet2!$C:$C,$A43,Sheet2!$A:$A,U$2)&lt;&gt;0,SUMIFS(Sheet2!$E:$E,Sheet2!$C:$C,$A43,Sheet2!$A:$A,U$2),"")</f>
        <v/>
      </c>
      <c r="V43" s="42" t="str">
        <f>IF(SUMIFS(Sheet2!$E:$E,Sheet2!$C:$C,$A43,Sheet2!$A:$A,V$2)&lt;&gt;0,SUMIFS(Sheet2!$E:$E,Sheet2!$C:$C,$A43,Sheet2!$A:$A,V$2),"")</f>
        <v/>
      </c>
      <c r="W43" s="42" t="str">
        <f>IF(SUMIFS(Sheet2!$E:$E,Sheet2!$C:$C,$A43,Sheet2!$A:$A,W$2)&lt;&gt;0,SUMIFS(Sheet2!$E:$E,Sheet2!$C:$C,$A43,Sheet2!$A:$A,W$2),"")</f>
        <v/>
      </c>
      <c r="X43" s="42" t="str">
        <f>IF(SUMIFS(Sheet2!$E:$E,Sheet2!$C:$C,$A43,Sheet2!$A:$A,X$2)&lt;&gt;0,SUMIFS(Sheet2!$E:$E,Sheet2!$C:$C,$A43,Sheet2!$A:$A,X$2),"")</f>
        <v/>
      </c>
      <c r="Y43" s="42" t="str">
        <f>IF(SUMIFS(Sheet2!$E:$E,Sheet2!$C:$C,$A43,Sheet2!$A:$A,Y$2)&lt;&gt;0,SUMIFS(Sheet2!$E:$E,Sheet2!$C:$C,$A43,Sheet2!$A:$A,Y$2),"")</f>
        <v/>
      </c>
      <c r="Z43" s="42" t="str">
        <f>IF(SUMIFS(Sheet2!$E:$E,Sheet2!$C:$C,$A43,Sheet2!$A:$A,Z$2)&lt;&gt;0,SUMIFS(Sheet2!$E:$E,Sheet2!$C:$C,$A43,Sheet2!$A:$A,Z$2),"")</f>
        <v/>
      </c>
      <c r="AA43" s="42" t="str">
        <f>IF(SUMIFS(Sheet2!$E:$E,Sheet2!$C:$C,$A43,Sheet2!$A:$A,AA$2)&lt;&gt;0,SUMIFS(Sheet2!$E:$E,Sheet2!$C:$C,$A43,Sheet2!$A:$A,AA$2),"")</f>
        <v/>
      </c>
      <c r="AB43" s="42" t="str">
        <f>IF(SUMIFS(Sheet2!$E:$E,Sheet2!$C:$C,$A43,Sheet2!$A:$A,AB$2)&lt;&gt;0,SUMIFS(Sheet2!$E:$E,Sheet2!$C:$C,$A43,Sheet2!$A:$A,AB$2),"")</f>
        <v/>
      </c>
      <c r="AC43" s="42" t="str">
        <f>IF(SUMIFS(Sheet2!$E:$E,Sheet2!$C:$C,$A43,Sheet2!$A:$A,AC$2)&lt;&gt;0,SUMIFS(Sheet2!$E:$E,Sheet2!$C:$C,$A43,Sheet2!$A:$A,AC$2),"")</f>
        <v/>
      </c>
      <c r="AD43" s="42" t="str">
        <f>IF(SUMIFS(Sheet2!$E:$E,Sheet2!$C:$C,$A43,Sheet2!$A:$A,AD$2)&lt;&gt;0,SUMIFS(Sheet2!$E:$E,Sheet2!$C:$C,$A43,Sheet2!$A:$A,AD$2),"")</f>
        <v/>
      </c>
      <c r="AE43" s="42" t="str">
        <f>IF(SUMIFS(Sheet2!$E:$E,Sheet2!$C:$C,$A43,Sheet2!$A:$A,AE$2)&lt;&gt;0,SUMIFS(Sheet2!$E:$E,Sheet2!$C:$C,$A43,Sheet2!$A:$A,AE$2),"")</f>
        <v/>
      </c>
      <c r="AF43" s="42" t="str">
        <f>IF(SUMIFS(Sheet2!$E:$E,Sheet2!$C:$C,$A43,Sheet2!$A:$A,AF$2)&lt;&gt;0,SUMIFS(Sheet2!$E:$E,Sheet2!$C:$C,$A43,Sheet2!$A:$A,AF$2),"")</f>
        <v/>
      </c>
      <c r="AG43" s="42" t="str">
        <f>IF(SUMIFS(Sheet2!$E:$E,Sheet2!$C:$C,$A43,Sheet2!$A:$A,AG$2)&lt;&gt;0,SUMIFS(Sheet2!$E:$E,Sheet2!$C:$C,$A43,Sheet2!$A:$A,AG$2),"")</f>
        <v/>
      </c>
      <c r="AH43" s="43">
        <f>SUM(Table2[[#This Row],[1]:[31]])</f>
        <v>0</v>
      </c>
    </row>
    <row r="44" spans="1:34" ht="12.75" customHeight="1">
      <c r="A44" s="76" t="str">
        <f>DSSP!A43</f>
        <v>A128</v>
      </c>
      <c r="B44" s="25" t="str">
        <f>DSSP!B43</f>
        <v>Ếch</v>
      </c>
      <c r="C44" s="42" t="str">
        <f>IF(SUMIFS(Sheet2!$E:$E,Sheet2!$C:$C,$A44,Sheet2!$A:$A,C$2)&lt;&gt;0,SUMIFS(Sheet2!$E:$E,Sheet2!$C:$C,$A44,Sheet2!$A:$A,C$2),"")</f>
        <v/>
      </c>
      <c r="D44" s="42" t="str">
        <f>IF(SUMIFS(Sheet2!$E:$E,Sheet2!$C:$C,$A44,Sheet2!$A:$A,D$2)&lt;&gt;0,SUMIFS(Sheet2!$E:$E,Sheet2!$C:$C,$A44,Sheet2!$A:$A,D$2),"")</f>
        <v/>
      </c>
      <c r="E44" s="42" t="str">
        <f>IF(SUMIFS(Sheet2!$E:$E,Sheet2!$C:$C,$A44,Sheet2!$A:$A,E$2)&lt;&gt;0,SUMIFS(Sheet2!$E:$E,Sheet2!$C:$C,$A44,Sheet2!$A:$A,E$2),"")</f>
        <v/>
      </c>
      <c r="F44" s="42" t="str">
        <f>IF(SUMIFS(Sheet2!$E:$E,Sheet2!$C:$C,$A44,Sheet2!$A:$A,F$2)&lt;&gt;0,SUMIFS(Sheet2!$E:$E,Sheet2!$C:$C,$A44,Sheet2!$A:$A,F$2),"")</f>
        <v/>
      </c>
      <c r="G44" s="42" t="str">
        <f>IF(SUMIFS(Sheet2!$E:$E,Sheet2!$C:$C,$A44,Sheet2!$A:$A,G$2)&lt;&gt;0,SUMIFS(Sheet2!$E:$E,Sheet2!$C:$C,$A44,Sheet2!$A:$A,G$2),"")</f>
        <v/>
      </c>
      <c r="H44" s="42" t="str">
        <f>IF(SUMIFS(Sheet2!$E:$E,Sheet2!$C:$C,$A44,Sheet2!$A:$A,H$2)&lt;&gt;0,SUMIFS(Sheet2!$E:$E,Sheet2!$C:$C,$A44,Sheet2!$A:$A,H$2),"")</f>
        <v/>
      </c>
      <c r="I44" s="42" t="str">
        <f>IF(SUMIFS(Sheet2!$E:$E,Sheet2!$C:$C,$A44,Sheet2!$A:$A,I$2)&lt;&gt;0,SUMIFS(Sheet2!$E:$E,Sheet2!$C:$C,$A44,Sheet2!$A:$A,I$2),"")</f>
        <v/>
      </c>
      <c r="J44" s="42" t="str">
        <f>IF(SUMIFS(Sheet2!$E:$E,Sheet2!$C:$C,$A44,Sheet2!$A:$A,J$2)&lt;&gt;0,SUMIFS(Sheet2!$E:$E,Sheet2!$C:$C,$A44,Sheet2!$A:$A,J$2),"")</f>
        <v/>
      </c>
      <c r="K44" s="42" t="str">
        <f>IF(SUMIFS(Sheet2!$E:$E,Sheet2!$C:$C,$A44,Sheet2!$A:$A,K$2)&lt;&gt;0,SUMIFS(Sheet2!$E:$E,Sheet2!$C:$C,$A44,Sheet2!$A:$A,K$2),"")</f>
        <v/>
      </c>
      <c r="L44" s="42" t="str">
        <f>IF(SUMIFS(Sheet2!$E:$E,Sheet2!$C:$C,$A44,Sheet2!$A:$A,L$2)&lt;&gt;0,SUMIFS(Sheet2!$E:$E,Sheet2!$C:$C,$A44,Sheet2!$A:$A,L$2),"")</f>
        <v/>
      </c>
      <c r="M44" s="42" t="str">
        <f>IF(SUMIFS(Sheet2!$E:$E,Sheet2!$C:$C,$A44,Sheet2!$A:$A,M$2)&lt;&gt;0,SUMIFS(Sheet2!$E:$E,Sheet2!$C:$C,$A44,Sheet2!$A:$A,M$2),"")</f>
        <v/>
      </c>
      <c r="N44" s="42" t="str">
        <f>IF(SUMIFS(Sheet2!$E:$E,Sheet2!$C:$C,$A44,Sheet2!$A:$A,N$2)&lt;&gt;0,SUMIFS(Sheet2!$E:$E,Sheet2!$C:$C,$A44,Sheet2!$A:$A,N$2),"")</f>
        <v/>
      </c>
      <c r="O44" s="42" t="str">
        <f>IF(SUMIFS(Sheet2!$E:$E,Sheet2!$C:$C,$A44,Sheet2!$A:$A,O$2)&lt;&gt;0,SUMIFS(Sheet2!$E:$E,Sheet2!$C:$C,$A44,Sheet2!$A:$A,O$2),"")</f>
        <v/>
      </c>
      <c r="P44" s="42" t="str">
        <f>IF(SUMIFS(Sheet2!$E:$E,Sheet2!$C:$C,$A44,Sheet2!$A:$A,P$2)&lt;&gt;0,SUMIFS(Sheet2!$E:$E,Sheet2!$C:$C,$A44,Sheet2!$A:$A,P$2),"")</f>
        <v/>
      </c>
      <c r="Q44" s="42" t="str">
        <f>IF(SUMIFS(Sheet2!$E:$E,Sheet2!$C:$C,$A44,Sheet2!$A:$A,Q$2)&lt;&gt;0,SUMIFS(Sheet2!$E:$E,Sheet2!$C:$C,$A44,Sheet2!$A:$A,Q$2),"")</f>
        <v/>
      </c>
      <c r="R44" s="42" t="str">
        <f>IF(SUMIFS(Sheet2!$E:$E,Sheet2!$C:$C,$A44,Sheet2!$A:$A,R$2)&lt;&gt;0,SUMIFS(Sheet2!$E:$E,Sheet2!$C:$C,$A44,Sheet2!$A:$A,R$2),"")</f>
        <v/>
      </c>
      <c r="S44" s="42" t="str">
        <f>IF(SUMIFS(Sheet2!$E:$E,Sheet2!$C:$C,$A44,Sheet2!$A:$A,S$2)&lt;&gt;0,SUMIFS(Sheet2!$E:$E,Sheet2!$C:$C,$A44,Sheet2!$A:$A,S$2),"")</f>
        <v/>
      </c>
      <c r="T44" s="42" t="str">
        <f>IF(SUMIFS(Sheet2!$E:$E,Sheet2!$C:$C,$A44,Sheet2!$A:$A,T$2)&lt;&gt;0,SUMIFS(Sheet2!$E:$E,Sheet2!$C:$C,$A44,Sheet2!$A:$A,T$2),"")</f>
        <v/>
      </c>
      <c r="U44" s="42" t="str">
        <f>IF(SUMIFS(Sheet2!$E:$E,Sheet2!$C:$C,$A44,Sheet2!$A:$A,U$2)&lt;&gt;0,SUMIFS(Sheet2!$E:$E,Sheet2!$C:$C,$A44,Sheet2!$A:$A,U$2),"")</f>
        <v/>
      </c>
      <c r="V44" s="42" t="str">
        <f>IF(SUMIFS(Sheet2!$E:$E,Sheet2!$C:$C,$A44,Sheet2!$A:$A,V$2)&lt;&gt;0,SUMIFS(Sheet2!$E:$E,Sheet2!$C:$C,$A44,Sheet2!$A:$A,V$2),"")</f>
        <v/>
      </c>
      <c r="W44" s="42" t="str">
        <f>IF(SUMIFS(Sheet2!$E:$E,Sheet2!$C:$C,$A44,Sheet2!$A:$A,W$2)&lt;&gt;0,SUMIFS(Sheet2!$E:$E,Sheet2!$C:$C,$A44,Sheet2!$A:$A,W$2),"")</f>
        <v/>
      </c>
      <c r="X44" s="42" t="str">
        <f>IF(SUMIFS(Sheet2!$E:$E,Sheet2!$C:$C,$A44,Sheet2!$A:$A,X$2)&lt;&gt;0,SUMIFS(Sheet2!$E:$E,Sheet2!$C:$C,$A44,Sheet2!$A:$A,X$2),"")</f>
        <v/>
      </c>
      <c r="Y44" s="42" t="str">
        <f>IF(SUMIFS(Sheet2!$E:$E,Sheet2!$C:$C,$A44,Sheet2!$A:$A,Y$2)&lt;&gt;0,SUMIFS(Sheet2!$E:$E,Sheet2!$C:$C,$A44,Sheet2!$A:$A,Y$2),"")</f>
        <v/>
      </c>
      <c r="Z44" s="42" t="str">
        <f>IF(SUMIFS(Sheet2!$E:$E,Sheet2!$C:$C,$A44,Sheet2!$A:$A,Z$2)&lt;&gt;0,SUMIFS(Sheet2!$E:$E,Sheet2!$C:$C,$A44,Sheet2!$A:$A,Z$2),"")</f>
        <v/>
      </c>
      <c r="AA44" s="42" t="str">
        <f>IF(SUMIFS(Sheet2!$E:$E,Sheet2!$C:$C,$A44,Sheet2!$A:$A,AA$2)&lt;&gt;0,SUMIFS(Sheet2!$E:$E,Sheet2!$C:$C,$A44,Sheet2!$A:$A,AA$2),"")</f>
        <v/>
      </c>
      <c r="AB44" s="42" t="str">
        <f>IF(SUMIFS(Sheet2!$E:$E,Sheet2!$C:$C,$A44,Sheet2!$A:$A,AB$2)&lt;&gt;0,SUMIFS(Sheet2!$E:$E,Sheet2!$C:$C,$A44,Sheet2!$A:$A,AB$2),"")</f>
        <v/>
      </c>
      <c r="AC44" s="42" t="str">
        <f>IF(SUMIFS(Sheet2!$E:$E,Sheet2!$C:$C,$A44,Sheet2!$A:$A,AC$2)&lt;&gt;0,SUMIFS(Sheet2!$E:$E,Sheet2!$C:$C,$A44,Sheet2!$A:$A,AC$2),"")</f>
        <v/>
      </c>
      <c r="AD44" s="42" t="str">
        <f>IF(SUMIFS(Sheet2!$E:$E,Sheet2!$C:$C,$A44,Sheet2!$A:$A,AD$2)&lt;&gt;0,SUMIFS(Sheet2!$E:$E,Sheet2!$C:$C,$A44,Sheet2!$A:$A,AD$2),"")</f>
        <v/>
      </c>
      <c r="AE44" s="42" t="str">
        <f>IF(SUMIFS(Sheet2!$E:$E,Sheet2!$C:$C,$A44,Sheet2!$A:$A,AE$2)&lt;&gt;0,SUMIFS(Sheet2!$E:$E,Sheet2!$C:$C,$A44,Sheet2!$A:$A,AE$2),"")</f>
        <v/>
      </c>
      <c r="AF44" s="42" t="str">
        <f>IF(SUMIFS(Sheet2!$E:$E,Sheet2!$C:$C,$A44,Sheet2!$A:$A,AF$2)&lt;&gt;0,SUMIFS(Sheet2!$E:$E,Sheet2!$C:$C,$A44,Sheet2!$A:$A,AF$2),"")</f>
        <v/>
      </c>
      <c r="AG44" s="42" t="str">
        <f>IF(SUMIFS(Sheet2!$E:$E,Sheet2!$C:$C,$A44,Sheet2!$A:$A,AG$2)&lt;&gt;0,SUMIFS(Sheet2!$E:$E,Sheet2!$C:$C,$A44,Sheet2!$A:$A,AG$2),"")</f>
        <v/>
      </c>
      <c r="AH44" s="43">
        <f>SUM(Table2[[#This Row],[1]:[31]])</f>
        <v>0</v>
      </c>
    </row>
    <row r="45" spans="1:34" ht="12.75" customHeight="1">
      <c r="A45" s="76" t="str">
        <f>DSSP!A44</f>
        <v>A129</v>
      </c>
      <c r="B45" s="25" t="str">
        <f>DSSP!B44</f>
        <v>Chó</v>
      </c>
      <c r="C45" s="42" t="str">
        <f>IF(SUMIFS(Sheet2!$E:$E,Sheet2!$C:$C,$A45,Sheet2!$A:$A,C$2)&lt;&gt;0,SUMIFS(Sheet2!$E:$E,Sheet2!$C:$C,$A45,Sheet2!$A:$A,C$2),"")</f>
        <v/>
      </c>
      <c r="D45" s="42" t="str">
        <f>IF(SUMIFS(Sheet2!$E:$E,Sheet2!$C:$C,$A45,Sheet2!$A:$A,D$2)&lt;&gt;0,SUMIFS(Sheet2!$E:$E,Sheet2!$C:$C,$A45,Sheet2!$A:$A,D$2),"")</f>
        <v/>
      </c>
      <c r="E45" s="42" t="str">
        <f>IF(SUMIFS(Sheet2!$E:$E,Sheet2!$C:$C,$A45,Sheet2!$A:$A,E$2)&lt;&gt;0,SUMIFS(Sheet2!$E:$E,Sheet2!$C:$C,$A45,Sheet2!$A:$A,E$2),"")</f>
        <v/>
      </c>
      <c r="F45" s="42" t="str">
        <f>IF(SUMIFS(Sheet2!$E:$E,Sheet2!$C:$C,$A45,Sheet2!$A:$A,F$2)&lt;&gt;0,SUMIFS(Sheet2!$E:$E,Sheet2!$C:$C,$A45,Sheet2!$A:$A,F$2),"")</f>
        <v/>
      </c>
      <c r="G45" s="42" t="str">
        <f>IF(SUMIFS(Sheet2!$E:$E,Sheet2!$C:$C,$A45,Sheet2!$A:$A,G$2)&lt;&gt;0,SUMIFS(Sheet2!$E:$E,Sheet2!$C:$C,$A45,Sheet2!$A:$A,G$2),"")</f>
        <v/>
      </c>
      <c r="H45" s="42" t="str">
        <f>IF(SUMIFS(Sheet2!$E:$E,Sheet2!$C:$C,$A45,Sheet2!$A:$A,H$2)&lt;&gt;0,SUMIFS(Sheet2!$E:$E,Sheet2!$C:$C,$A45,Sheet2!$A:$A,H$2),"")</f>
        <v/>
      </c>
      <c r="I45" s="42" t="str">
        <f>IF(SUMIFS(Sheet2!$E:$E,Sheet2!$C:$C,$A45,Sheet2!$A:$A,I$2)&lt;&gt;0,SUMIFS(Sheet2!$E:$E,Sheet2!$C:$C,$A45,Sheet2!$A:$A,I$2),"")</f>
        <v/>
      </c>
      <c r="J45" s="42" t="str">
        <f>IF(SUMIFS(Sheet2!$E:$E,Sheet2!$C:$C,$A45,Sheet2!$A:$A,J$2)&lt;&gt;0,SUMIFS(Sheet2!$E:$E,Sheet2!$C:$C,$A45,Sheet2!$A:$A,J$2),"")</f>
        <v/>
      </c>
      <c r="K45" s="42" t="str">
        <f>IF(SUMIFS(Sheet2!$E:$E,Sheet2!$C:$C,$A45,Sheet2!$A:$A,K$2)&lt;&gt;0,SUMIFS(Sheet2!$E:$E,Sheet2!$C:$C,$A45,Sheet2!$A:$A,K$2),"")</f>
        <v/>
      </c>
      <c r="L45" s="42" t="str">
        <f>IF(SUMIFS(Sheet2!$E:$E,Sheet2!$C:$C,$A45,Sheet2!$A:$A,L$2)&lt;&gt;0,SUMIFS(Sheet2!$E:$E,Sheet2!$C:$C,$A45,Sheet2!$A:$A,L$2),"")</f>
        <v/>
      </c>
      <c r="M45" s="42" t="str">
        <f>IF(SUMIFS(Sheet2!$E:$E,Sheet2!$C:$C,$A45,Sheet2!$A:$A,M$2)&lt;&gt;0,SUMIFS(Sheet2!$E:$E,Sheet2!$C:$C,$A45,Sheet2!$A:$A,M$2),"")</f>
        <v/>
      </c>
      <c r="N45" s="42" t="str">
        <f>IF(SUMIFS(Sheet2!$E:$E,Sheet2!$C:$C,$A45,Sheet2!$A:$A,N$2)&lt;&gt;0,SUMIFS(Sheet2!$E:$E,Sheet2!$C:$C,$A45,Sheet2!$A:$A,N$2),"")</f>
        <v/>
      </c>
      <c r="O45" s="42" t="str">
        <f>IF(SUMIFS(Sheet2!$E:$E,Sheet2!$C:$C,$A45,Sheet2!$A:$A,O$2)&lt;&gt;0,SUMIFS(Sheet2!$E:$E,Sheet2!$C:$C,$A45,Sheet2!$A:$A,O$2),"")</f>
        <v/>
      </c>
      <c r="P45" s="42" t="str">
        <f>IF(SUMIFS(Sheet2!$E:$E,Sheet2!$C:$C,$A45,Sheet2!$A:$A,P$2)&lt;&gt;0,SUMIFS(Sheet2!$E:$E,Sheet2!$C:$C,$A45,Sheet2!$A:$A,P$2),"")</f>
        <v/>
      </c>
      <c r="Q45" s="42" t="str">
        <f>IF(SUMIFS(Sheet2!$E:$E,Sheet2!$C:$C,$A45,Sheet2!$A:$A,Q$2)&lt;&gt;0,SUMIFS(Sheet2!$E:$E,Sheet2!$C:$C,$A45,Sheet2!$A:$A,Q$2),"")</f>
        <v/>
      </c>
      <c r="R45" s="42" t="str">
        <f>IF(SUMIFS(Sheet2!$E:$E,Sheet2!$C:$C,$A45,Sheet2!$A:$A,R$2)&lt;&gt;0,SUMIFS(Sheet2!$E:$E,Sheet2!$C:$C,$A45,Sheet2!$A:$A,R$2),"")</f>
        <v/>
      </c>
      <c r="S45" s="42" t="str">
        <f>IF(SUMIFS(Sheet2!$E:$E,Sheet2!$C:$C,$A45,Sheet2!$A:$A,S$2)&lt;&gt;0,SUMIFS(Sheet2!$E:$E,Sheet2!$C:$C,$A45,Sheet2!$A:$A,S$2),"")</f>
        <v/>
      </c>
      <c r="T45" s="42" t="str">
        <f>IF(SUMIFS(Sheet2!$E:$E,Sheet2!$C:$C,$A45,Sheet2!$A:$A,T$2)&lt;&gt;0,SUMIFS(Sheet2!$E:$E,Sheet2!$C:$C,$A45,Sheet2!$A:$A,T$2),"")</f>
        <v/>
      </c>
      <c r="U45" s="42" t="str">
        <f>IF(SUMIFS(Sheet2!$E:$E,Sheet2!$C:$C,$A45,Sheet2!$A:$A,U$2)&lt;&gt;0,SUMIFS(Sheet2!$E:$E,Sheet2!$C:$C,$A45,Sheet2!$A:$A,U$2),"")</f>
        <v/>
      </c>
      <c r="V45" s="42" t="str">
        <f>IF(SUMIFS(Sheet2!$E:$E,Sheet2!$C:$C,$A45,Sheet2!$A:$A,V$2)&lt;&gt;0,SUMIFS(Sheet2!$E:$E,Sheet2!$C:$C,$A45,Sheet2!$A:$A,V$2),"")</f>
        <v/>
      </c>
      <c r="W45" s="42" t="str">
        <f>IF(SUMIFS(Sheet2!$E:$E,Sheet2!$C:$C,$A45,Sheet2!$A:$A,W$2)&lt;&gt;0,SUMIFS(Sheet2!$E:$E,Sheet2!$C:$C,$A45,Sheet2!$A:$A,W$2),"")</f>
        <v/>
      </c>
      <c r="X45" s="42" t="str">
        <f>IF(SUMIFS(Sheet2!$E:$E,Sheet2!$C:$C,$A45,Sheet2!$A:$A,X$2)&lt;&gt;0,SUMIFS(Sheet2!$E:$E,Sheet2!$C:$C,$A45,Sheet2!$A:$A,X$2),"")</f>
        <v/>
      </c>
      <c r="Y45" s="42" t="str">
        <f>IF(SUMIFS(Sheet2!$E:$E,Sheet2!$C:$C,$A45,Sheet2!$A:$A,Y$2)&lt;&gt;0,SUMIFS(Sheet2!$E:$E,Sheet2!$C:$C,$A45,Sheet2!$A:$A,Y$2),"")</f>
        <v/>
      </c>
      <c r="Z45" s="42" t="str">
        <f>IF(SUMIFS(Sheet2!$E:$E,Sheet2!$C:$C,$A45,Sheet2!$A:$A,Z$2)&lt;&gt;0,SUMIFS(Sheet2!$E:$E,Sheet2!$C:$C,$A45,Sheet2!$A:$A,Z$2),"")</f>
        <v/>
      </c>
      <c r="AA45" s="42" t="str">
        <f>IF(SUMIFS(Sheet2!$E:$E,Sheet2!$C:$C,$A45,Sheet2!$A:$A,AA$2)&lt;&gt;0,SUMIFS(Sheet2!$E:$E,Sheet2!$C:$C,$A45,Sheet2!$A:$A,AA$2),"")</f>
        <v/>
      </c>
      <c r="AB45" s="42" t="str">
        <f>IF(SUMIFS(Sheet2!$E:$E,Sheet2!$C:$C,$A45,Sheet2!$A:$A,AB$2)&lt;&gt;0,SUMIFS(Sheet2!$E:$E,Sheet2!$C:$C,$A45,Sheet2!$A:$A,AB$2),"")</f>
        <v/>
      </c>
      <c r="AC45" s="42" t="str">
        <f>IF(SUMIFS(Sheet2!$E:$E,Sheet2!$C:$C,$A45,Sheet2!$A:$A,AC$2)&lt;&gt;0,SUMIFS(Sheet2!$E:$E,Sheet2!$C:$C,$A45,Sheet2!$A:$A,AC$2),"")</f>
        <v/>
      </c>
      <c r="AD45" s="42" t="str">
        <f>IF(SUMIFS(Sheet2!$E:$E,Sheet2!$C:$C,$A45,Sheet2!$A:$A,AD$2)&lt;&gt;0,SUMIFS(Sheet2!$E:$E,Sheet2!$C:$C,$A45,Sheet2!$A:$A,AD$2),"")</f>
        <v/>
      </c>
      <c r="AE45" s="42" t="str">
        <f>IF(SUMIFS(Sheet2!$E:$E,Sheet2!$C:$C,$A45,Sheet2!$A:$A,AE$2)&lt;&gt;0,SUMIFS(Sheet2!$E:$E,Sheet2!$C:$C,$A45,Sheet2!$A:$A,AE$2),"")</f>
        <v/>
      </c>
      <c r="AF45" s="42" t="str">
        <f>IF(SUMIFS(Sheet2!$E:$E,Sheet2!$C:$C,$A45,Sheet2!$A:$A,AF$2)&lt;&gt;0,SUMIFS(Sheet2!$E:$E,Sheet2!$C:$C,$A45,Sheet2!$A:$A,AF$2),"")</f>
        <v/>
      </c>
      <c r="AG45" s="42" t="str">
        <f>IF(SUMIFS(Sheet2!$E:$E,Sheet2!$C:$C,$A45,Sheet2!$A:$A,AG$2)&lt;&gt;0,SUMIFS(Sheet2!$E:$E,Sheet2!$C:$C,$A45,Sheet2!$A:$A,AG$2),"")</f>
        <v/>
      </c>
      <c r="AH45" s="43">
        <f>SUM(Table2[[#This Row],[1]:[31]])</f>
        <v>0</v>
      </c>
    </row>
    <row r="46" spans="1:34" ht="12.75" customHeight="1">
      <c r="A46" s="76" t="str">
        <f>DSSP!A45</f>
        <v>A130</v>
      </c>
      <c r="B46" s="25" t="str">
        <f>DSSP!B45</f>
        <v>Cơm nắm</v>
      </c>
      <c r="C46" s="42" t="str">
        <f>IF(SUMIFS(Sheet2!$E:$E,Sheet2!$C:$C,$A46,Sheet2!$A:$A,C$2)&lt;&gt;0,SUMIFS(Sheet2!$E:$E,Sheet2!$C:$C,$A46,Sheet2!$A:$A,C$2),"")</f>
        <v/>
      </c>
      <c r="D46" s="42" t="str">
        <f>IF(SUMIFS(Sheet2!$E:$E,Sheet2!$C:$C,$A46,Sheet2!$A:$A,D$2)&lt;&gt;0,SUMIFS(Sheet2!$E:$E,Sheet2!$C:$C,$A46,Sheet2!$A:$A,D$2),"")</f>
        <v/>
      </c>
      <c r="E46" s="42" t="str">
        <f>IF(SUMIFS(Sheet2!$E:$E,Sheet2!$C:$C,$A46,Sheet2!$A:$A,E$2)&lt;&gt;0,SUMIFS(Sheet2!$E:$E,Sheet2!$C:$C,$A46,Sheet2!$A:$A,E$2),"")</f>
        <v/>
      </c>
      <c r="F46" s="42" t="str">
        <f>IF(SUMIFS(Sheet2!$E:$E,Sheet2!$C:$C,$A46,Sheet2!$A:$A,F$2)&lt;&gt;0,SUMIFS(Sheet2!$E:$E,Sheet2!$C:$C,$A46,Sheet2!$A:$A,F$2),"")</f>
        <v/>
      </c>
      <c r="G46" s="42" t="str">
        <f>IF(SUMIFS(Sheet2!$E:$E,Sheet2!$C:$C,$A46,Sheet2!$A:$A,G$2)&lt;&gt;0,SUMIFS(Sheet2!$E:$E,Sheet2!$C:$C,$A46,Sheet2!$A:$A,G$2),"")</f>
        <v/>
      </c>
      <c r="H46" s="42" t="str">
        <f>IF(SUMIFS(Sheet2!$E:$E,Sheet2!$C:$C,$A46,Sheet2!$A:$A,H$2)&lt;&gt;0,SUMIFS(Sheet2!$E:$E,Sheet2!$C:$C,$A46,Sheet2!$A:$A,H$2),"")</f>
        <v/>
      </c>
      <c r="I46" s="42" t="str">
        <f>IF(SUMIFS(Sheet2!$E:$E,Sheet2!$C:$C,$A46,Sheet2!$A:$A,I$2)&lt;&gt;0,SUMIFS(Sheet2!$E:$E,Sheet2!$C:$C,$A46,Sheet2!$A:$A,I$2),"")</f>
        <v/>
      </c>
      <c r="J46" s="42" t="str">
        <f>IF(SUMIFS(Sheet2!$E:$E,Sheet2!$C:$C,$A46,Sheet2!$A:$A,J$2)&lt;&gt;0,SUMIFS(Sheet2!$E:$E,Sheet2!$C:$C,$A46,Sheet2!$A:$A,J$2),"")</f>
        <v/>
      </c>
      <c r="K46" s="42" t="str">
        <f>IF(SUMIFS(Sheet2!$E:$E,Sheet2!$C:$C,$A46,Sheet2!$A:$A,K$2)&lt;&gt;0,SUMIFS(Sheet2!$E:$E,Sheet2!$C:$C,$A46,Sheet2!$A:$A,K$2),"")</f>
        <v/>
      </c>
      <c r="L46" s="42" t="str">
        <f>IF(SUMIFS(Sheet2!$E:$E,Sheet2!$C:$C,$A46,Sheet2!$A:$A,L$2)&lt;&gt;0,SUMIFS(Sheet2!$E:$E,Sheet2!$C:$C,$A46,Sheet2!$A:$A,L$2),"")</f>
        <v/>
      </c>
      <c r="M46" s="42" t="str">
        <f>IF(SUMIFS(Sheet2!$E:$E,Sheet2!$C:$C,$A46,Sheet2!$A:$A,M$2)&lt;&gt;0,SUMIFS(Sheet2!$E:$E,Sheet2!$C:$C,$A46,Sheet2!$A:$A,M$2),"")</f>
        <v/>
      </c>
      <c r="N46" s="42" t="str">
        <f>IF(SUMIFS(Sheet2!$E:$E,Sheet2!$C:$C,$A46,Sheet2!$A:$A,N$2)&lt;&gt;0,SUMIFS(Sheet2!$E:$E,Sheet2!$C:$C,$A46,Sheet2!$A:$A,N$2),"")</f>
        <v/>
      </c>
      <c r="O46" s="42" t="str">
        <f>IF(SUMIFS(Sheet2!$E:$E,Sheet2!$C:$C,$A46,Sheet2!$A:$A,O$2)&lt;&gt;0,SUMIFS(Sheet2!$E:$E,Sheet2!$C:$C,$A46,Sheet2!$A:$A,O$2),"")</f>
        <v/>
      </c>
      <c r="P46" s="42" t="str">
        <f>IF(SUMIFS(Sheet2!$E:$E,Sheet2!$C:$C,$A46,Sheet2!$A:$A,P$2)&lt;&gt;0,SUMIFS(Sheet2!$E:$E,Sheet2!$C:$C,$A46,Sheet2!$A:$A,P$2),"")</f>
        <v/>
      </c>
      <c r="Q46" s="42" t="str">
        <f>IF(SUMIFS(Sheet2!$E:$E,Sheet2!$C:$C,$A46,Sheet2!$A:$A,Q$2)&lt;&gt;0,SUMIFS(Sheet2!$E:$E,Sheet2!$C:$C,$A46,Sheet2!$A:$A,Q$2),"")</f>
        <v/>
      </c>
      <c r="R46" s="42" t="str">
        <f>IF(SUMIFS(Sheet2!$E:$E,Sheet2!$C:$C,$A46,Sheet2!$A:$A,R$2)&lt;&gt;0,SUMIFS(Sheet2!$E:$E,Sheet2!$C:$C,$A46,Sheet2!$A:$A,R$2),"")</f>
        <v/>
      </c>
      <c r="S46" s="42" t="str">
        <f>IF(SUMIFS(Sheet2!$E:$E,Sheet2!$C:$C,$A46,Sheet2!$A:$A,S$2)&lt;&gt;0,SUMIFS(Sheet2!$E:$E,Sheet2!$C:$C,$A46,Sheet2!$A:$A,S$2),"")</f>
        <v/>
      </c>
      <c r="T46" s="42" t="str">
        <f>IF(SUMIFS(Sheet2!$E:$E,Sheet2!$C:$C,$A46,Sheet2!$A:$A,T$2)&lt;&gt;0,SUMIFS(Sheet2!$E:$E,Sheet2!$C:$C,$A46,Sheet2!$A:$A,T$2),"")</f>
        <v/>
      </c>
      <c r="U46" s="42" t="str">
        <f>IF(SUMIFS(Sheet2!$E:$E,Sheet2!$C:$C,$A46,Sheet2!$A:$A,U$2)&lt;&gt;0,SUMIFS(Sheet2!$E:$E,Sheet2!$C:$C,$A46,Sheet2!$A:$A,U$2),"")</f>
        <v/>
      </c>
      <c r="V46" s="42" t="str">
        <f>IF(SUMIFS(Sheet2!$E:$E,Sheet2!$C:$C,$A46,Sheet2!$A:$A,V$2)&lt;&gt;0,SUMIFS(Sheet2!$E:$E,Sheet2!$C:$C,$A46,Sheet2!$A:$A,V$2),"")</f>
        <v/>
      </c>
      <c r="W46" s="42" t="str">
        <f>IF(SUMIFS(Sheet2!$E:$E,Sheet2!$C:$C,$A46,Sheet2!$A:$A,W$2)&lt;&gt;0,SUMIFS(Sheet2!$E:$E,Sheet2!$C:$C,$A46,Sheet2!$A:$A,W$2),"")</f>
        <v/>
      </c>
      <c r="X46" s="42" t="str">
        <f>IF(SUMIFS(Sheet2!$E:$E,Sheet2!$C:$C,$A46,Sheet2!$A:$A,X$2)&lt;&gt;0,SUMIFS(Sheet2!$E:$E,Sheet2!$C:$C,$A46,Sheet2!$A:$A,X$2),"")</f>
        <v/>
      </c>
      <c r="Y46" s="42" t="str">
        <f>IF(SUMIFS(Sheet2!$E:$E,Sheet2!$C:$C,$A46,Sheet2!$A:$A,Y$2)&lt;&gt;0,SUMIFS(Sheet2!$E:$E,Sheet2!$C:$C,$A46,Sheet2!$A:$A,Y$2),"")</f>
        <v/>
      </c>
      <c r="Z46" s="42" t="str">
        <f>IF(SUMIFS(Sheet2!$E:$E,Sheet2!$C:$C,$A46,Sheet2!$A:$A,Z$2)&lt;&gt;0,SUMIFS(Sheet2!$E:$E,Sheet2!$C:$C,$A46,Sheet2!$A:$A,Z$2),"")</f>
        <v/>
      </c>
      <c r="AA46" s="42" t="str">
        <f>IF(SUMIFS(Sheet2!$E:$E,Sheet2!$C:$C,$A46,Sheet2!$A:$A,AA$2)&lt;&gt;0,SUMIFS(Sheet2!$E:$E,Sheet2!$C:$C,$A46,Sheet2!$A:$A,AA$2),"")</f>
        <v/>
      </c>
      <c r="AB46" s="42" t="str">
        <f>IF(SUMIFS(Sheet2!$E:$E,Sheet2!$C:$C,$A46,Sheet2!$A:$A,AB$2)&lt;&gt;0,SUMIFS(Sheet2!$E:$E,Sheet2!$C:$C,$A46,Sheet2!$A:$A,AB$2),"")</f>
        <v/>
      </c>
      <c r="AC46" s="42" t="str">
        <f>IF(SUMIFS(Sheet2!$E:$E,Sheet2!$C:$C,$A46,Sheet2!$A:$A,AC$2)&lt;&gt;0,SUMIFS(Sheet2!$E:$E,Sheet2!$C:$C,$A46,Sheet2!$A:$A,AC$2),"")</f>
        <v/>
      </c>
      <c r="AD46" s="42" t="str">
        <f>IF(SUMIFS(Sheet2!$E:$E,Sheet2!$C:$C,$A46,Sheet2!$A:$A,AD$2)&lt;&gt;0,SUMIFS(Sheet2!$E:$E,Sheet2!$C:$C,$A46,Sheet2!$A:$A,AD$2),"")</f>
        <v/>
      </c>
      <c r="AE46" s="42" t="str">
        <f>IF(SUMIFS(Sheet2!$E:$E,Sheet2!$C:$C,$A46,Sheet2!$A:$A,AE$2)&lt;&gt;0,SUMIFS(Sheet2!$E:$E,Sheet2!$C:$C,$A46,Sheet2!$A:$A,AE$2),"")</f>
        <v/>
      </c>
      <c r="AF46" s="42" t="str">
        <f>IF(SUMIFS(Sheet2!$E:$E,Sheet2!$C:$C,$A46,Sheet2!$A:$A,AF$2)&lt;&gt;0,SUMIFS(Sheet2!$E:$E,Sheet2!$C:$C,$A46,Sheet2!$A:$A,AF$2),"")</f>
        <v/>
      </c>
      <c r="AG46" s="42" t="str">
        <f>IF(SUMIFS(Sheet2!$E:$E,Sheet2!$C:$C,$A46,Sheet2!$A:$A,AG$2)&lt;&gt;0,SUMIFS(Sheet2!$E:$E,Sheet2!$C:$C,$A46,Sheet2!$A:$A,AG$2),"")</f>
        <v/>
      </c>
      <c r="AH46" s="43">
        <f>SUM(Table2[[#This Row],[1]:[31]])</f>
        <v>0</v>
      </c>
    </row>
    <row r="47" spans="1:34" ht="12.75" customHeight="1">
      <c r="A47" s="76" t="str">
        <f>DSSP!A46</f>
        <v>A131</v>
      </c>
      <c r="B47" s="25" t="str">
        <f>DSSP!B46</f>
        <v>Bánh kem</v>
      </c>
      <c r="C47" s="42" t="str">
        <f>IF(SUMIFS(Sheet2!$E:$E,Sheet2!$C:$C,$A47,Sheet2!$A:$A,C$2)&lt;&gt;0,SUMIFS(Sheet2!$E:$E,Sheet2!$C:$C,$A47,Sheet2!$A:$A,C$2),"")</f>
        <v/>
      </c>
      <c r="D47" s="42" t="str">
        <f>IF(SUMIFS(Sheet2!$E:$E,Sheet2!$C:$C,$A47,Sheet2!$A:$A,D$2)&lt;&gt;0,SUMIFS(Sheet2!$E:$E,Sheet2!$C:$C,$A47,Sheet2!$A:$A,D$2),"")</f>
        <v/>
      </c>
      <c r="E47" s="42" t="str">
        <f>IF(SUMIFS(Sheet2!$E:$E,Sheet2!$C:$C,$A47,Sheet2!$A:$A,E$2)&lt;&gt;0,SUMIFS(Sheet2!$E:$E,Sheet2!$C:$C,$A47,Sheet2!$A:$A,E$2),"")</f>
        <v/>
      </c>
      <c r="F47" s="42" t="str">
        <f>IF(SUMIFS(Sheet2!$E:$E,Sheet2!$C:$C,$A47,Sheet2!$A:$A,F$2)&lt;&gt;0,SUMIFS(Sheet2!$E:$E,Sheet2!$C:$C,$A47,Sheet2!$A:$A,F$2),"")</f>
        <v/>
      </c>
      <c r="G47" s="42" t="str">
        <f>IF(SUMIFS(Sheet2!$E:$E,Sheet2!$C:$C,$A47,Sheet2!$A:$A,G$2)&lt;&gt;0,SUMIFS(Sheet2!$E:$E,Sheet2!$C:$C,$A47,Sheet2!$A:$A,G$2),"")</f>
        <v/>
      </c>
      <c r="H47" s="42" t="str">
        <f>IF(SUMIFS(Sheet2!$E:$E,Sheet2!$C:$C,$A47,Sheet2!$A:$A,H$2)&lt;&gt;0,SUMIFS(Sheet2!$E:$E,Sheet2!$C:$C,$A47,Sheet2!$A:$A,H$2),"")</f>
        <v/>
      </c>
      <c r="I47" s="42" t="str">
        <f>IF(SUMIFS(Sheet2!$E:$E,Sheet2!$C:$C,$A47,Sheet2!$A:$A,I$2)&lt;&gt;0,SUMIFS(Sheet2!$E:$E,Sheet2!$C:$C,$A47,Sheet2!$A:$A,I$2),"")</f>
        <v/>
      </c>
      <c r="J47" s="42" t="str">
        <f>IF(SUMIFS(Sheet2!$E:$E,Sheet2!$C:$C,$A47,Sheet2!$A:$A,J$2)&lt;&gt;0,SUMIFS(Sheet2!$E:$E,Sheet2!$C:$C,$A47,Sheet2!$A:$A,J$2),"")</f>
        <v/>
      </c>
      <c r="K47" s="42" t="str">
        <f>IF(SUMIFS(Sheet2!$E:$E,Sheet2!$C:$C,$A47,Sheet2!$A:$A,K$2)&lt;&gt;0,SUMIFS(Sheet2!$E:$E,Sheet2!$C:$C,$A47,Sheet2!$A:$A,K$2),"")</f>
        <v/>
      </c>
      <c r="L47" s="42" t="str">
        <f>IF(SUMIFS(Sheet2!$E:$E,Sheet2!$C:$C,$A47,Sheet2!$A:$A,L$2)&lt;&gt;0,SUMIFS(Sheet2!$E:$E,Sheet2!$C:$C,$A47,Sheet2!$A:$A,L$2),"")</f>
        <v/>
      </c>
      <c r="M47" s="42" t="str">
        <f>IF(SUMIFS(Sheet2!$E:$E,Sheet2!$C:$C,$A47,Sheet2!$A:$A,M$2)&lt;&gt;0,SUMIFS(Sheet2!$E:$E,Sheet2!$C:$C,$A47,Sheet2!$A:$A,M$2),"")</f>
        <v/>
      </c>
      <c r="N47" s="42" t="str">
        <f>IF(SUMIFS(Sheet2!$E:$E,Sheet2!$C:$C,$A47,Sheet2!$A:$A,N$2)&lt;&gt;0,SUMIFS(Sheet2!$E:$E,Sheet2!$C:$C,$A47,Sheet2!$A:$A,N$2),"")</f>
        <v/>
      </c>
      <c r="O47" s="42" t="str">
        <f>IF(SUMIFS(Sheet2!$E:$E,Sheet2!$C:$C,$A47,Sheet2!$A:$A,O$2)&lt;&gt;0,SUMIFS(Sheet2!$E:$E,Sheet2!$C:$C,$A47,Sheet2!$A:$A,O$2),"")</f>
        <v/>
      </c>
      <c r="P47" s="42" t="str">
        <f>IF(SUMIFS(Sheet2!$E:$E,Sheet2!$C:$C,$A47,Sheet2!$A:$A,P$2)&lt;&gt;0,SUMIFS(Sheet2!$E:$E,Sheet2!$C:$C,$A47,Sheet2!$A:$A,P$2),"")</f>
        <v/>
      </c>
      <c r="Q47" s="42" t="str">
        <f>IF(SUMIFS(Sheet2!$E:$E,Sheet2!$C:$C,$A47,Sheet2!$A:$A,Q$2)&lt;&gt;0,SUMIFS(Sheet2!$E:$E,Sheet2!$C:$C,$A47,Sheet2!$A:$A,Q$2),"")</f>
        <v/>
      </c>
      <c r="R47" s="42" t="str">
        <f>IF(SUMIFS(Sheet2!$E:$E,Sheet2!$C:$C,$A47,Sheet2!$A:$A,R$2)&lt;&gt;0,SUMIFS(Sheet2!$E:$E,Sheet2!$C:$C,$A47,Sheet2!$A:$A,R$2),"")</f>
        <v/>
      </c>
      <c r="S47" s="42" t="str">
        <f>IF(SUMIFS(Sheet2!$E:$E,Sheet2!$C:$C,$A47,Sheet2!$A:$A,S$2)&lt;&gt;0,SUMIFS(Sheet2!$E:$E,Sheet2!$C:$C,$A47,Sheet2!$A:$A,S$2),"")</f>
        <v/>
      </c>
      <c r="T47" s="42" t="str">
        <f>IF(SUMIFS(Sheet2!$E:$E,Sheet2!$C:$C,$A47,Sheet2!$A:$A,T$2)&lt;&gt;0,SUMIFS(Sheet2!$E:$E,Sheet2!$C:$C,$A47,Sheet2!$A:$A,T$2),"")</f>
        <v/>
      </c>
      <c r="U47" s="42" t="str">
        <f>IF(SUMIFS(Sheet2!$E:$E,Sheet2!$C:$C,$A47,Sheet2!$A:$A,U$2)&lt;&gt;0,SUMIFS(Sheet2!$E:$E,Sheet2!$C:$C,$A47,Sheet2!$A:$A,U$2),"")</f>
        <v/>
      </c>
      <c r="V47" s="42" t="str">
        <f>IF(SUMIFS(Sheet2!$E:$E,Sheet2!$C:$C,$A47,Sheet2!$A:$A,V$2)&lt;&gt;0,SUMIFS(Sheet2!$E:$E,Sheet2!$C:$C,$A47,Sheet2!$A:$A,V$2),"")</f>
        <v/>
      </c>
      <c r="W47" s="42" t="str">
        <f>IF(SUMIFS(Sheet2!$E:$E,Sheet2!$C:$C,$A47,Sheet2!$A:$A,W$2)&lt;&gt;0,SUMIFS(Sheet2!$E:$E,Sheet2!$C:$C,$A47,Sheet2!$A:$A,W$2),"")</f>
        <v/>
      </c>
      <c r="X47" s="42" t="str">
        <f>IF(SUMIFS(Sheet2!$E:$E,Sheet2!$C:$C,$A47,Sheet2!$A:$A,X$2)&lt;&gt;0,SUMIFS(Sheet2!$E:$E,Sheet2!$C:$C,$A47,Sheet2!$A:$A,X$2),"")</f>
        <v/>
      </c>
      <c r="Y47" s="42" t="str">
        <f>IF(SUMIFS(Sheet2!$E:$E,Sheet2!$C:$C,$A47,Sheet2!$A:$A,Y$2)&lt;&gt;0,SUMIFS(Sheet2!$E:$E,Sheet2!$C:$C,$A47,Sheet2!$A:$A,Y$2),"")</f>
        <v/>
      </c>
      <c r="Z47" s="42" t="str">
        <f>IF(SUMIFS(Sheet2!$E:$E,Sheet2!$C:$C,$A47,Sheet2!$A:$A,Z$2)&lt;&gt;0,SUMIFS(Sheet2!$E:$E,Sheet2!$C:$C,$A47,Sheet2!$A:$A,Z$2),"")</f>
        <v/>
      </c>
      <c r="AA47" s="42" t="str">
        <f>IF(SUMIFS(Sheet2!$E:$E,Sheet2!$C:$C,$A47,Sheet2!$A:$A,AA$2)&lt;&gt;0,SUMIFS(Sheet2!$E:$E,Sheet2!$C:$C,$A47,Sheet2!$A:$A,AA$2),"")</f>
        <v/>
      </c>
      <c r="AB47" s="42" t="str">
        <f>IF(SUMIFS(Sheet2!$E:$E,Sheet2!$C:$C,$A47,Sheet2!$A:$A,AB$2)&lt;&gt;0,SUMIFS(Sheet2!$E:$E,Sheet2!$C:$C,$A47,Sheet2!$A:$A,AB$2),"")</f>
        <v/>
      </c>
      <c r="AC47" s="42" t="str">
        <f>IF(SUMIFS(Sheet2!$E:$E,Sheet2!$C:$C,$A47,Sheet2!$A:$A,AC$2)&lt;&gt;0,SUMIFS(Sheet2!$E:$E,Sheet2!$C:$C,$A47,Sheet2!$A:$A,AC$2),"")</f>
        <v/>
      </c>
      <c r="AD47" s="42" t="str">
        <f>IF(SUMIFS(Sheet2!$E:$E,Sheet2!$C:$C,$A47,Sheet2!$A:$A,AD$2)&lt;&gt;0,SUMIFS(Sheet2!$E:$E,Sheet2!$C:$C,$A47,Sheet2!$A:$A,AD$2),"")</f>
        <v/>
      </c>
      <c r="AE47" s="42" t="str">
        <f>IF(SUMIFS(Sheet2!$E:$E,Sheet2!$C:$C,$A47,Sheet2!$A:$A,AE$2)&lt;&gt;0,SUMIFS(Sheet2!$E:$E,Sheet2!$C:$C,$A47,Sheet2!$A:$A,AE$2),"")</f>
        <v/>
      </c>
      <c r="AF47" s="42" t="str">
        <f>IF(SUMIFS(Sheet2!$E:$E,Sheet2!$C:$C,$A47,Sheet2!$A:$A,AF$2)&lt;&gt;0,SUMIFS(Sheet2!$E:$E,Sheet2!$C:$C,$A47,Sheet2!$A:$A,AF$2),"")</f>
        <v/>
      </c>
      <c r="AG47" s="42" t="str">
        <f>IF(SUMIFS(Sheet2!$E:$E,Sheet2!$C:$C,$A47,Sheet2!$A:$A,AG$2)&lt;&gt;0,SUMIFS(Sheet2!$E:$E,Sheet2!$C:$C,$A47,Sheet2!$A:$A,AG$2),"")</f>
        <v/>
      </c>
      <c r="AH47" s="43">
        <f>SUM(Table2[[#This Row],[1]:[31]])</f>
        <v>0</v>
      </c>
    </row>
    <row r="48" spans="1:34" ht="12.75" customHeight="1">
      <c r="A48" s="76" t="str">
        <f>DSSP!A47</f>
        <v>A132</v>
      </c>
      <c r="B48" s="25" t="str">
        <f>DSSP!B47</f>
        <v>Bánh cuộn</v>
      </c>
      <c r="C48" s="42" t="str">
        <f>IF(SUMIFS(Sheet2!$E:$E,Sheet2!$C:$C,$A48,Sheet2!$A:$A,C$2)&lt;&gt;0,SUMIFS(Sheet2!$E:$E,Sheet2!$C:$C,$A48,Sheet2!$A:$A,C$2),"")</f>
        <v/>
      </c>
      <c r="D48" s="42" t="str">
        <f>IF(SUMIFS(Sheet2!$E:$E,Sheet2!$C:$C,$A48,Sheet2!$A:$A,D$2)&lt;&gt;0,SUMIFS(Sheet2!$E:$E,Sheet2!$C:$C,$A48,Sheet2!$A:$A,D$2),"")</f>
        <v/>
      </c>
      <c r="E48" s="42" t="str">
        <f>IF(SUMIFS(Sheet2!$E:$E,Sheet2!$C:$C,$A48,Sheet2!$A:$A,E$2)&lt;&gt;0,SUMIFS(Sheet2!$E:$E,Sheet2!$C:$C,$A48,Sheet2!$A:$A,E$2),"")</f>
        <v/>
      </c>
      <c r="F48" s="42" t="str">
        <f>IF(SUMIFS(Sheet2!$E:$E,Sheet2!$C:$C,$A48,Sheet2!$A:$A,F$2)&lt;&gt;0,SUMIFS(Sheet2!$E:$E,Sheet2!$C:$C,$A48,Sheet2!$A:$A,F$2),"")</f>
        <v/>
      </c>
      <c r="G48" s="42" t="str">
        <f>IF(SUMIFS(Sheet2!$E:$E,Sheet2!$C:$C,$A48,Sheet2!$A:$A,G$2)&lt;&gt;0,SUMIFS(Sheet2!$E:$E,Sheet2!$C:$C,$A48,Sheet2!$A:$A,G$2),"")</f>
        <v/>
      </c>
      <c r="H48" s="42" t="str">
        <f>IF(SUMIFS(Sheet2!$E:$E,Sheet2!$C:$C,$A48,Sheet2!$A:$A,H$2)&lt;&gt;0,SUMIFS(Sheet2!$E:$E,Sheet2!$C:$C,$A48,Sheet2!$A:$A,H$2),"")</f>
        <v/>
      </c>
      <c r="I48" s="42" t="str">
        <f>IF(SUMIFS(Sheet2!$E:$E,Sheet2!$C:$C,$A48,Sheet2!$A:$A,I$2)&lt;&gt;0,SUMIFS(Sheet2!$E:$E,Sheet2!$C:$C,$A48,Sheet2!$A:$A,I$2),"")</f>
        <v/>
      </c>
      <c r="J48" s="42" t="str">
        <f>IF(SUMIFS(Sheet2!$E:$E,Sheet2!$C:$C,$A48,Sheet2!$A:$A,J$2)&lt;&gt;0,SUMIFS(Sheet2!$E:$E,Sheet2!$C:$C,$A48,Sheet2!$A:$A,J$2),"")</f>
        <v/>
      </c>
      <c r="K48" s="42" t="str">
        <f>IF(SUMIFS(Sheet2!$E:$E,Sheet2!$C:$C,$A48,Sheet2!$A:$A,K$2)&lt;&gt;0,SUMIFS(Sheet2!$E:$E,Sheet2!$C:$C,$A48,Sheet2!$A:$A,K$2),"")</f>
        <v/>
      </c>
      <c r="L48" s="42" t="str">
        <f>IF(SUMIFS(Sheet2!$E:$E,Sheet2!$C:$C,$A48,Sheet2!$A:$A,L$2)&lt;&gt;0,SUMIFS(Sheet2!$E:$E,Sheet2!$C:$C,$A48,Sheet2!$A:$A,L$2),"")</f>
        <v/>
      </c>
      <c r="M48" s="42" t="str">
        <f>IF(SUMIFS(Sheet2!$E:$E,Sheet2!$C:$C,$A48,Sheet2!$A:$A,M$2)&lt;&gt;0,SUMIFS(Sheet2!$E:$E,Sheet2!$C:$C,$A48,Sheet2!$A:$A,M$2),"")</f>
        <v/>
      </c>
      <c r="N48" s="42" t="str">
        <f>IF(SUMIFS(Sheet2!$E:$E,Sheet2!$C:$C,$A48,Sheet2!$A:$A,N$2)&lt;&gt;0,SUMIFS(Sheet2!$E:$E,Sheet2!$C:$C,$A48,Sheet2!$A:$A,N$2),"")</f>
        <v/>
      </c>
      <c r="O48" s="42" t="str">
        <f>IF(SUMIFS(Sheet2!$E:$E,Sheet2!$C:$C,$A48,Sheet2!$A:$A,O$2)&lt;&gt;0,SUMIFS(Sheet2!$E:$E,Sheet2!$C:$C,$A48,Sheet2!$A:$A,O$2),"")</f>
        <v/>
      </c>
      <c r="P48" s="42" t="str">
        <f>IF(SUMIFS(Sheet2!$E:$E,Sheet2!$C:$C,$A48,Sheet2!$A:$A,P$2)&lt;&gt;0,SUMIFS(Sheet2!$E:$E,Sheet2!$C:$C,$A48,Sheet2!$A:$A,P$2),"")</f>
        <v/>
      </c>
      <c r="Q48" s="42" t="str">
        <f>IF(SUMIFS(Sheet2!$E:$E,Sheet2!$C:$C,$A48,Sheet2!$A:$A,Q$2)&lt;&gt;0,SUMIFS(Sheet2!$E:$E,Sheet2!$C:$C,$A48,Sheet2!$A:$A,Q$2),"")</f>
        <v/>
      </c>
      <c r="R48" s="42" t="str">
        <f>IF(SUMIFS(Sheet2!$E:$E,Sheet2!$C:$C,$A48,Sheet2!$A:$A,R$2)&lt;&gt;0,SUMIFS(Sheet2!$E:$E,Sheet2!$C:$C,$A48,Sheet2!$A:$A,R$2),"")</f>
        <v/>
      </c>
      <c r="S48" s="42" t="str">
        <f>IF(SUMIFS(Sheet2!$E:$E,Sheet2!$C:$C,$A48,Sheet2!$A:$A,S$2)&lt;&gt;0,SUMIFS(Sheet2!$E:$E,Sheet2!$C:$C,$A48,Sheet2!$A:$A,S$2),"")</f>
        <v/>
      </c>
      <c r="T48" s="42" t="str">
        <f>IF(SUMIFS(Sheet2!$E:$E,Sheet2!$C:$C,$A48,Sheet2!$A:$A,T$2)&lt;&gt;0,SUMIFS(Sheet2!$E:$E,Sheet2!$C:$C,$A48,Sheet2!$A:$A,T$2),"")</f>
        <v/>
      </c>
      <c r="U48" s="42" t="str">
        <f>IF(SUMIFS(Sheet2!$E:$E,Sheet2!$C:$C,$A48,Sheet2!$A:$A,U$2)&lt;&gt;0,SUMIFS(Sheet2!$E:$E,Sheet2!$C:$C,$A48,Sheet2!$A:$A,U$2),"")</f>
        <v/>
      </c>
      <c r="V48" s="42" t="str">
        <f>IF(SUMIFS(Sheet2!$E:$E,Sheet2!$C:$C,$A48,Sheet2!$A:$A,V$2)&lt;&gt;0,SUMIFS(Sheet2!$E:$E,Sheet2!$C:$C,$A48,Sheet2!$A:$A,V$2),"")</f>
        <v/>
      </c>
      <c r="W48" s="42" t="str">
        <f>IF(SUMIFS(Sheet2!$E:$E,Sheet2!$C:$C,$A48,Sheet2!$A:$A,W$2)&lt;&gt;0,SUMIFS(Sheet2!$E:$E,Sheet2!$C:$C,$A48,Sheet2!$A:$A,W$2),"")</f>
        <v/>
      </c>
      <c r="X48" s="42" t="str">
        <f>IF(SUMIFS(Sheet2!$E:$E,Sheet2!$C:$C,$A48,Sheet2!$A:$A,X$2)&lt;&gt;0,SUMIFS(Sheet2!$E:$E,Sheet2!$C:$C,$A48,Sheet2!$A:$A,X$2),"")</f>
        <v/>
      </c>
      <c r="Y48" s="42" t="str">
        <f>IF(SUMIFS(Sheet2!$E:$E,Sheet2!$C:$C,$A48,Sheet2!$A:$A,Y$2)&lt;&gt;0,SUMIFS(Sheet2!$E:$E,Sheet2!$C:$C,$A48,Sheet2!$A:$A,Y$2),"")</f>
        <v/>
      </c>
      <c r="Z48" s="42" t="str">
        <f>IF(SUMIFS(Sheet2!$E:$E,Sheet2!$C:$C,$A48,Sheet2!$A:$A,Z$2)&lt;&gt;0,SUMIFS(Sheet2!$E:$E,Sheet2!$C:$C,$A48,Sheet2!$A:$A,Z$2),"")</f>
        <v/>
      </c>
      <c r="AA48" s="42" t="str">
        <f>IF(SUMIFS(Sheet2!$E:$E,Sheet2!$C:$C,$A48,Sheet2!$A:$A,AA$2)&lt;&gt;0,SUMIFS(Sheet2!$E:$E,Sheet2!$C:$C,$A48,Sheet2!$A:$A,AA$2),"")</f>
        <v/>
      </c>
      <c r="AB48" s="42" t="str">
        <f>IF(SUMIFS(Sheet2!$E:$E,Sheet2!$C:$C,$A48,Sheet2!$A:$A,AB$2)&lt;&gt;0,SUMIFS(Sheet2!$E:$E,Sheet2!$C:$C,$A48,Sheet2!$A:$A,AB$2),"")</f>
        <v/>
      </c>
      <c r="AC48" s="42" t="str">
        <f>IF(SUMIFS(Sheet2!$E:$E,Sheet2!$C:$C,$A48,Sheet2!$A:$A,AC$2)&lt;&gt;0,SUMIFS(Sheet2!$E:$E,Sheet2!$C:$C,$A48,Sheet2!$A:$A,AC$2),"")</f>
        <v/>
      </c>
      <c r="AD48" s="42" t="str">
        <f>IF(SUMIFS(Sheet2!$E:$E,Sheet2!$C:$C,$A48,Sheet2!$A:$A,AD$2)&lt;&gt;0,SUMIFS(Sheet2!$E:$E,Sheet2!$C:$C,$A48,Sheet2!$A:$A,AD$2),"")</f>
        <v/>
      </c>
      <c r="AE48" s="42" t="str">
        <f>IF(SUMIFS(Sheet2!$E:$E,Sheet2!$C:$C,$A48,Sheet2!$A:$A,AE$2)&lt;&gt;0,SUMIFS(Sheet2!$E:$E,Sheet2!$C:$C,$A48,Sheet2!$A:$A,AE$2),"")</f>
        <v/>
      </c>
      <c r="AF48" s="42" t="str">
        <f>IF(SUMIFS(Sheet2!$E:$E,Sheet2!$C:$C,$A48,Sheet2!$A:$A,AF$2)&lt;&gt;0,SUMIFS(Sheet2!$E:$E,Sheet2!$C:$C,$A48,Sheet2!$A:$A,AF$2),"")</f>
        <v/>
      </c>
      <c r="AG48" s="42" t="str">
        <f>IF(SUMIFS(Sheet2!$E:$E,Sheet2!$C:$C,$A48,Sheet2!$A:$A,AG$2)&lt;&gt;0,SUMIFS(Sheet2!$E:$E,Sheet2!$C:$C,$A48,Sheet2!$A:$A,AG$2),"")</f>
        <v/>
      </c>
      <c r="AH48" s="43">
        <f>SUM(Table2[[#This Row],[1]:[31]])</f>
        <v>0</v>
      </c>
    </row>
    <row r="49" spans="1:34" ht="12.75" customHeight="1">
      <c r="A49" s="76" t="str">
        <f>DSSP!A48</f>
        <v>A133</v>
      </c>
      <c r="B49" s="25" t="str">
        <f>DSSP!B48</f>
        <v>Sushi</v>
      </c>
      <c r="C49" s="42" t="str">
        <f>IF(SUMIFS(Sheet2!$E:$E,Sheet2!$C:$C,$A49,Sheet2!$A:$A,C$2)&lt;&gt;0,SUMIFS(Sheet2!$E:$E,Sheet2!$C:$C,$A49,Sheet2!$A:$A,C$2),"")</f>
        <v/>
      </c>
      <c r="D49" s="42" t="str">
        <f>IF(SUMIFS(Sheet2!$E:$E,Sheet2!$C:$C,$A49,Sheet2!$A:$A,D$2)&lt;&gt;0,SUMIFS(Sheet2!$E:$E,Sheet2!$C:$C,$A49,Sheet2!$A:$A,D$2),"")</f>
        <v/>
      </c>
      <c r="E49" s="42" t="str">
        <f>IF(SUMIFS(Sheet2!$E:$E,Sheet2!$C:$C,$A49,Sheet2!$A:$A,E$2)&lt;&gt;0,SUMIFS(Sheet2!$E:$E,Sheet2!$C:$C,$A49,Sheet2!$A:$A,E$2),"")</f>
        <v/>
      </c>
      <c r="F49" s="42" t="str">
        <f>IF(SUMIFS(Sheet2!$E:$E,Sheet2!$C:$C,$A49,Sheet2!$A:$A,F$2)&lt;&gt;0,SUMIFS(Sheet2!$E:$E,Sheet2!$C:$C,$A49,Sheet2!$A:$A,F$2),"")</f>
        <v/>
      </c>
      <c r="G49" s="42" t="str">
        <f>IF(SUMIFS(Sheet2!$E:$E,Sheet2!$C:$C,$A49,Sheet2!$A:$A,G$2)&lt;&gt;0,SUMIFS(Sheet2!$E:$E,Sheet2!$C:$C,$A49,Sheet2!$A:$A,G$2),"")</f>
        <v/>
      </c>
      <c r="H49" s="42" t="str">
        <f>IF(SUMIFS(Sheet2!$E:$E,Sheet2!$C:$C,$A49,Sheet2!$A:$A,H$2)&lt;&gt;0,SUMIFS(Sheet2!$E:$E,Sheet2!$C:$C,$A49,Sheet2!$A:$A,H$2),"")</f>
        <v/>
      </c>
      <c r="I49" s="42" t="str">
        <f>IF(SUMIFS(Sheet2!$E:$E,Sheet2!$C:$C,$A49,Sheet2!$A:$A,I$2)&lt;&gt;0,SUMIFS(Sheet2!$E:$E,Sheet2!$C:$C,$A49,Sheet2!$A:$A,I$2),"")</f>
        <v/>
      </c>
      <c r="J49" s="42" t="str">
        <f>IF(SUMIFS(Sheet2!$E:$E,Sheet2!$C:$C,$A49,Sheet2!$A:$A,J$2)&lt;&gt;0,SUMIFS(Sheet2!$E:$E,Sheet2!$C:$C,$A49,Sheet2!$A:$A,J$2),"")</f>
        <v/>
      </c>
      <c r="K49" s="42" t="str">
        <f>IF(SUMIFS(Sheet2!$E:$E,Sheet2!$C:$C,$A49,Sheet2!$A:$A,K$2)&lt;&gt;0,SUMIFS(Sheet2!$E:$E,Sheet2!$C:$C,$A49,Sheet2!$A:$A,K$2),"")</f>
        <v/>
      </c>
      <c r="L49" s="42" t="str">
        <f>IF(SUMIFS(Sheet2!$E:$E,Sheet2!$C:$C,$A49,Sheet2!$A:$A,L$2)&lt;&gt;0,SUMIFS(Sheet2!$E:$E,Sheet2!$C:$C,$A49,Sheet2!$A:$A,L$2),"")</f>
        <v/>
      </c>
      <c r="M49" s="42" t="str">
        <f>IF(SUMIFS(Sheet2!$E:$E,Sheet2!$C:$C,$A49,Sheet2!$A:$A,M$2)&lt;&gt;0,SUMIFS(Sheet2!$E:$E,Sheet2!$C:$C,$A49,Sheet2!$A:$A,M$2),"")</f>
        <v/>
      </c>
      <c r="N49" s="42" t="str">
        <f>IF(SUMIFS(Sheet2!$E:$E,Sheet2!$C:$C,$A49,Sheet2!$A:$A,N$2)&lt;&gt;0,SUMIFS(Sheet2!$E:$E,Sheet2!$C:$C,$A49,Sheet2!$A:$A,N$2),"")</f>
        <v/>
      </c>
      <c r="O49" s="42" t="str">
        <f>IF(SUMIFS(Sheet2!$E:$E,Sheet2!$C:$C,$A49,Sheet2!$A:$A,O$2)&lt;&gt;0,SUMIFS(Sheet2!$E:$E,Sheet2!$C:$C,$A49,Sheet2!$A:$A,O$2),"")</f>
        <v/>
      </c>
      <c r="P49" s="42" t="str">
        <f>IF(SUMIFS(Sheet2!$E:$E,Sheet2!$C:$C,$A49,Sheet2!$A:$A,P$2)&lt;&gt;0,SUMIFS(Sheet2!$E:$E,Sheet2!$C:$C,$A49,Sheet2!$A:$A,P$2),"")</f>
        <v/>
      </c>
      <c r="Q49" s="42" t="str">
        <f>IF(SUMIFS(Sheet2!$E:$E,Sheet2!$C:$C,$A49,Sheet2!$A:$A,Q$2)&lt;&gt;0,SUMIFS(Sheet2!$E:$E,Sheet2!$C:$C,$A49,Sheet2!$A:$A,Q$2),"")</f>
        <v/>
      </c>
      <c r="R49" s="42" t="str">
        <f>IF(SUMIFS(Sheet2!$E:$E,Sheet2!$C:$C,$A49,Sheet2!$A:$A,R$2)&lt;&gt;0,SUMIFS(Sheet2!$E:$E,Sheet2!$C:$C,$A49,Sheet2!$A:$A,R$2),"")</f>
        <v/>
      </c>
      <c r="S49" s="42" t="str">
        <f>IF(SUMIFS(Sheet2!$E:$E,Sheet2!$C:$C,$A49,Sheet2!$A:$A,S$2)&lt;&gt;0,SUMIFS(Sheet2!$E:$E,Sheet2!$C:$C,$A49,Sheet2!$A:$A,S$2),"")</f>
        <v/>
      </c>
      <c r="T49" s="42" t="str">
        <f>IF(SUMIFS(Sheet2!$E:$E,Sheet2!$C:$C,$A49,Sheet2!$A:$A,T$2)&lt;&gt;0,SUMIFS(Sheet2!$E:$E,Sheet2!$C:$C,$A49,Sheet2!$A:$A,T$2),"")</f>
        <v/>
      </c>
      <c r="U49" s="42" t="str">
        <f>IF(SUMIFS(Sheet2!$E:$E,Sheet2!$C:$C,$A49,Sheet2!$A:$A,U$2)&lt;&gt;0,SUMIFS(Sheet2!$E:$E,Sheet2!$C:$C,$A49,Sheet2!$A:$A,U$2),"")</f>
        <v/>
      </c>
      <c r="V49" s="42" t="str">
        <f>IF(SUMIFS(Sheet2!$E:$E,Sheet2!$C:$C,$A49,Sheet2!$A:$A,V$2)&lt;&gt;0,SUMIFS(Sheet2!$E:$E,Sheet2!$C:$C,$A49,Sheet2!$A:$A,V$2),"")</f>
        <v/>
      </c>
      <c r="W49" s="42" t="str">
        <f>IF(SUMIFS(Sheet2!$E:$E,Sheet2!$C:$C,$A49,Sheet2!$A:$A,W$2)&lt;&gt;0,SUMIFS(Sheet2!$E:$E,Sheet2!$C:$C,$A49,Sheet2!$A:$A,W$2),"")</f>
        <v/>
      </c>
      <c r="X49" s="42" t="str">
        <f>IF(SUMIFS(Sheet2!$E:$E,Sheet2!$C:$C,$A49,Sheet2!$A:$A,X$2)&lt;&gt;0,SUMIFS(Sheet2!$E:$E,Sheet2!$C:$C,$A49,Sheet2!$A:$A,X$2),"")</f>
        <v/>
      </c>
      <c r="Y49" s="42" t="str">
        <f>IF(SUMIFS(Sheet2!$E:$E,Sheet2!$C:$C,$A49,Sheet2!$A:$A,Y$2)&lt;&gt;0,SUMIFS(Sheet2!$E:$E,Sheet2!$C:$C,$A49,Sheet2!$A:$A,Y$2),"")</f>
        <v/>
      </c>
      <c r="Z49" s="42" t="str">
        <f>IF(SUMIFS(Sheet2!$E:$E,Sheet2!$C:$C,$A49,Sheet2!$A:$A,Z$2)&lt;&gt;0,SUMIFS(Sheet2!$E:$E,Sheet2!$C:$C,$A49,Sheet2!$A:$A,Z$2),"")</f>
        <v/>
      </c>
      <c r="AA49" s="42" t="str">
        <f>IF(SUMIFS(Sheet2!$E:$E,Sheet2!$C:$C,$A49,Sheet2!$A:$A,AA$2)&lt;&gt;0,SUMIFS(Sheet2!$E:$E,Sheet2!$C:$C,$A49,Sheet2!$A:$A,AA$2),"")</f>
        <v/>
      </c>
      <c r="AB49" s="42" t="str">
        <f>IF(SUMIFS(Sheet2!$E:$E,Sheet2!$C:$C,$A49,Sheet2!$A:$A,AB$2)&lt;&gt;0,SUMIFS(Sheet2!$E:$E,Sheet2!$C:$C,$A49,Sheet2!$A:$A,AB$2),"")</f>
        <v/>
      </c>
      <c r="AC49" s="42" t="str">
        <f>IF(SUMIFS(Sheet2!$E:$E,Sheet2!$C:$C,$A49,Sheet2!$A:$A,AC$2)&lt;&gt;0,SUMIFS(Sheet2!$E:$E,Sheet2!$C:$C,$A49,Sheet2!$A:$A,AC$2),"")</f>
        <v/>
      </c>
      <c r="AD49" s="42" t="str">
        <f>IF(SUMIFS(Sheet2!$E:$E,Sheet2!$C:$C,$A49,Sheet2!$A:$A,AD$2)&lt;&gt;0,SUMIFS(Sheet2!$E:$E,Sheet2!$C:$C,$A49,Sheet2!$A:$A,AD$2),"")</f>
        <v/>
      </c>
      <c r="AE49" s="42" t="str">
        <f>IF(SUMIFS(Sheet2!$E:$E,Sheet2!$C:$C,$A49,Sheet2!$A:$A,AE$2)&lt;&gt;0,SUMIFS(Sheet2!$E:$E,Sheet2!$C:$C,$A49,Sheet2!$A:$A,AE$2),"")</f>
        <v/>
      </c>
      <c r="AF49" s="42" t="str">
        <f>IF(SUMIFS(Sheet2!$E:$E,Sheet2!$C:$C,$A49,Sheet2!$A:$A,AF$2)&lt;&gt;0,SUMIFS(Sheet2!$E:$E,Sheet2!$C:$C,$A49,Sheet2!$A:$A,AF$2),"")</f>
        <v/>
      </c>
      <c r="AG49" s="42" t="str">
        <f>IF(SUMIFS(Sheet2!$E:$E,Sheet2!$C:$C,$A49,Sheet2!$A:$A,AG$2)&lt;&gt;0,SUMIFS(Sheet2!$E:$E,Sheet2!$C:$C,$A49,Sheet2!$A:$A,AG$2),"")</f>
        <v/>
      </c>
      <c r="AH49" s="43">
        <f>SUM(Table2[[#This Row],[1]:[31]])</f>
        <v>0</v>
      </c>
    </row>
    <row r="50" spans="1:34" ht="12.75" customHeight="1">
      <c r="A50" s="76" t="str">
        <f>DSSP!A49</f>
        <v>A134</v>
      </c>
      <c r="B50" s="25" t="str">
        <f>DSSP!B49</f>
        <v>Caramen</v>
      </c>
      <c r="C50" s="42" t="str">
        <f>IF(SUMIFS(Sheet2!$E:$E,Sheet2!$C:$C,$A50,Sheet2!$A:$A,C$2)&lt;&gt;0,SUMIFS(Sheet2!$E:$E,Sheet2!$C:$C,$A50,Sheet2!$A:$A,C$2),"")</f>
        <v/>
      </c>
      <c r="D50" s="42" t="str">
        <f>IF(SUMIFS(Sheet2!$E:$E,Sheet2!$C:$C,$A50,Sheet2!$A:$A,D$2)&lt;&gt;0,SUMIFS(Sheet2!$E:$E,Sheet2!$C:$C,$A50,Sheet2!$A:$A,D$2),"")</f>
        <v/>
      </c>
      <c r="E50" s="42" t="str">
        <f>IF(SUMIFS(Sheet2!$E:$E,Sheet2!$C:$C,$A50,Sheet2!$A:$A,E$2)&lt;&gt;0,SUMIFS(Sheet2!$E:$E,Sheet2!$C:$C,$A50,Sheet2!$A:$A,E$2),"")</f>
        <v/>
      </c>
      <c r="F50" s="42" t="str">
        <f>IF(SUMIFS(Sheet2!$E:$E,Sheet2!$C:$C,$A50,Sheet2!$A:$A,F$2)&lt;&gt;0,SUMIFS(Sheet2!$E:$E,Sheet2!$C:$C,$A50,Sheet2!$A:$A,F$2),"")</f>
        <v/>
      </c>
      <c r="G50" s="42" t="str">
        <f>IF(SUMIFS(Sheet2!$E:$E,Sheet2!$C:$C,$A50,Sheet2!$A:$A,G$2)&lt;&gt;0,SUMIFS(Sheet2!$E:$E,Sheet2!$C:$C,$A50,Sheet2!$A:$A,G$2),"")</f>
        <v/>
      </c>
      <c r="H50" s="42" t="str">
        <f>IF(SUMIFS(Sheet2!$E:$E,Sheet2!$C:$C,$A50,Sheet2!$A:$A,H$2)&lt;&gt;0,SUMIFS(Sheet2!$E:$E,Sheet2!$C:$C,$A50,Sheet2!$A:$A,H$2),"")</f>
        <v/>
      </c>
      <c r="I50" s="42" t="str">
        <f>IF(SUMIFS(Sheet2!$E:$E,Sheet2!$C:$C,$A50,Sheet2!$A:$A,I$2)&lt;&gt;0,SUMIFS(Sheet2!$E:$E,Sheet2!$C:$C,$A50,Sheet2!$A:$A,I$2),"")</f>
        <v/>
      </c>
      <c r="J50" s="42" t="str">
        <f>IF(SUMIFS(Sheet2!$E:$E,Sheet2!$C:$C,$A50,Sheet2!$A:$A,J$2)&lt;&gt;0,SUMIFS(Sheet2!$E:$E,Sheet2!$C:$C,$A50,Sheet2!$A:$A,J$2),"")</f>
        <v/>
      </c>
      <c r="K50" s="42" t="str">
        <f>IF(SUMIFS(Sheet2!$E:$E,Sheet2!$C:$C,$A50,Sheet2!$A:$A,K$2)&lt;&gt;0,SUMIFS(Sheet2!$E:$E,Sheet2!$C:$C,$A50,Sheet2!$A:$A,K$2),"")</f>
        <v/>
      </c>
      <c r="L50" s="42" t="str">
        <f>IF(SUMIFS(Sheet2!$E:$E,Sheet2!$C:$C,$A50,Sheet2!$A:$A,L$2)&lt;&gt;0,SUMIFS(Sheet2!$E:$E,Sheet2!$C:$C,$A50,Sheet2!$A:$A,L$2),"")</f>
        <v/>
      </c>
      <c r="M50" s="42" t="str">
        <f>IF(SUMIFS(Sheet2!$E:$E,Sheet2!$C:$C,$A50,Sheet2!$A:$A,M$2)&lt;&gt;0,SUMIFS(Sheet2!$E:$E,Sheet2!$C:$C,$A50,Sheet2!$A:$A,M$2),"")</f>
        <v/>
      </c>
      <c r="N50" s="42" t="str">
        <f>IF(SUMIFS(Sheet2!$E:$E,Sheet2!$C:$C,$A50,Sheet2!$A:$A,N$2)&lt;&gt;0,SUMIFS(Sheet2!$E:$E,Sheet2!$C:$C,$A50,Sheet2!$A:$A,N$2),"")</f>
        <v/>
      </c>
      <c r="O50" s="42" t="str">
        <f>IF(SUMIFS(Sheet2!$E:$E,Sheet2!$C:$C,$A50,Sheet2!$A:$A,O$2)&lt;&gt;0,SUMIFS(Sheet2!$E:$E,Sheet2!$C:$C,$A50,Sheet2!$A:$A,O$2),"")</f>
        <v/>
      </c>
      <c r="P50" s="42" t="str">
        <f>IF(SUMIFS(Sheet2!$E:$E,Sheet2!$C:$C,$A50,Sheet2!$A:$A,P$2)&lt;&gt;0,SUMIFS(Sheet2!$E:$E,Sheet2!$C:$C,$A50,Sheet2!$A:$A,P$2),"")</f>
        <v/>
      </c>
      <c r="Q50" s="42" t="str">
        <f>IF(SUMIFS(Sheet2!$E:$E,Sheet2!$C:$C,$A50,Sheet2!$A:$A,Q$2)&lt;&gt;0,SUMIFS(Sheet2!$E:$E,Sheet2!$C:$C,$A50,Sheet2!$A:$A,Q$2),"")</f>
        <v/>
      </c>
      <c r="R50" s="42" t="str">
        <f>IF(SUMIFS(Sheet2!$E:$E,Sheet2!$C:$C,$A50,Sheet2!$A:$A,R$2)&lt;&gt;0,SUMIFS(Sheet2!$E:$E,Sheet2!$C:$C,$A50,Sheet2!$A:$A,R$2),"")</f>
        <v/>
      </c>
      <c r="S50" s="42" t="str">
        <f>IF(SUMIFS(Sheet2!$E:$E,Sheet2!$C:$C,$A50,Sheet2!$A:$A,S$2)&lt;&gt;0,SUMIFS(Sheet2!$E:$E,Sheet2!$C:$C,$A50,Sheet2!$A:$A,S$2),"")</f>
        <v/>
      </c>
      <c r="T50" s="42" t="str">
        <f>IF(SUMIFS(Sheet2!$E:$E,Sheet2!$C:$C,$A50,Sheet2!$A:$A,T$2)&lt;&gt;0,SUMIFS(Sheet2!$E:$E,Sheet2!$C:$C,$A50,Sheet2!$A:$A,T$2),"")</f>
        <v/>
      </c>
      <c r="U50" s="42" t="str">
        <f>IF(SUMIFS(Sheet2!$E:$E,Sheet2!$C:$C,$A50,Sheet2!$A:$A,U$2)&lt;&gt;0,SUMIFS(Sheet2!$E:$E,Sheet2!$C:$C,$A50,Sheet2!$A:$A,U$2),"")</f>
        <v/>
      </c>
      <c r="V50" s="42" t="str">
        <f>IF(SUMIFS(Sheet2!$E:$E,Sheet2!$C:$C,$A50,Sheet2!$A:$A,V$2)&lt;&gt;0,SUMIFS(Sheet2!$E:$E,Sheet2!$C:$C,$A50,Sheet2!$A:$A,V$2),"")</f>
        <v/>
      </c>
      <c r="W50" s="42" t="str">
        <f>IF(SUMIFS(Sheet2!$E:$E,Sheet2!$C:$C,$A50,Sheet2!$A:$A,W$2)&lt;&gt;0,SUMIFS(Sheet2!$E:$E,Sheet2!$C:$C,$A50,Sheet2!$A:$A,W$2),"")</f>
        <v/>
      </c>
      <c r="X50" s="42" t="str">
        <f>IF(SUMIFS(Sheet2!$E:$E,Sheet2!$C:$C,$A50,Sheet2!$A:$A,X$2)&lt;&gt;0,SUMIFS(Sheet2!$E:$E,Sheet2!$C:$C,$A50,Sheet2!$A:$A,X$2),"")</f>
        <v/>
      </c>
      <c r="Y50" s="42" t="str">
        <f>IF(SUMIFS(Sheet2!$E:$E,Sheet2!$C:$C,$A50,Sheet2!$A:$A,Y$2)&lt;&gt;0,SUMIFS(Sheet2!$E:$E,Sheet2!$C:$C,$A50,Sheet2!$A:$A,Y$2),"")</f>
        <v/>
      </c>
      <c r="Z50" s="42" t="str">
        <f>IF(SUMIFS(Sheet2!$E:$E,Sheet2!$C:$C,$A50,Sheet2!$A:$A,Z$2)&lt;&gt;0,SUMIFS(Sheet2!$E:$E,Sheet2!$C:$C,$A50,Sheet2!$A:$A,Z$2),"")</f>
        <v/>
      </c>
      <c r="AA50" s="42" t="str">
        <f>IF(SUMIFS(Sheet2!$E:$E,Sheet2!$C:$C,$A50,Sheet2!$A:$A,AA$2)&lt;&gt;0,SUMIFS(Sheet2!$E:$E,Sheet2!$C:$C,$A50,Sheet2!$A:$A,AA$2),"")</f>
        <v/>
      </c>
      <c r="AB50" s="42" t="str">
        <f>IF(SUMIFS(Sheet2!$E:$E,Sheet2!$C:$C,$A50,Sheet2!$A:$A,AB$2)&lt;&gt;0,SUMIFS(Sheet2!$E:$E,Sheet2!$C:$C,$A50,Sheet2!$A:$A,AB$2),"")</f>
        <v/>
      </c>
      <c r="AC50" s="42" t="str">
        <f>IF(SUMIFS(Sheet2!$E:$E,Sheet2!$C:$C,$A50,Sheet2!$A:$A,AC$2)&lt;&gt;0,SUMIFS(Sheet2!$E:$E,Sheet2!$C:$C,$A50,Sheet2!$A:$A,AC$2),"")</f>
        <v/>
      </c>
      <c r="AD50" s="42" t="str">
        <f>IF(SUMIFS(Sheet2!$E:$E,Sheet2!$C:$C,$A50,Sheet2!$A:$A,AD$2)&lt;&gt;0,SUMIFS(Sheet2!$E:$E,Sheet2!$C:$C,$A50,Sheet2!$A:$A,AD$2),"")</f>
        <v/>
      </c>
      <c r="AE50" s="42" t="str">
        <f>IF(SUMIFS(Sheet2!$E:$E,Sheet2!$C:$C,$A50,Sheet2!$A:$A,AE$2)&lt;&gt;0,SUMIFS(Sheet2!$E:$E,Sheet2!$C:$C,$A50,Sheet2!$A:$A,AE$2),"")</f>
        <v/>
      </c>
      <c r="AF50" s="42" t="str">
        <f>IF(SUMIFS(Sheet2!$E:$E,Sheet2!$C:$C,$A50,Sheet2!$A:$A,AF$2)&lt;&gt;0,SUMIFS(Sheet2!$E:$E,Sheet2!$C:$C,$A50,Sheet2!$A:$A,AF$2),"")</f>
        <v/>
      </c>
      <c r="AG50" s="42" t="str">
        <f>IF(SUMIFS(Sheet2!$E:$E,Sheet2!$C:$C,$A50,Sheet2!$A:$A,AG$2)&lt;&gt;0,SUMIFS(Sheet2!$E:$E,Sheet2!$C:$C,$A50,Sheet2!$A:$A,AG$2),"")</f>
        <v/>
      </c>
      <c r="AH50" s="43">
        <f>SUM(Table2[[#This Row],[1]:[31]])</f>
        <v>0</v>
      </c>
    </row>
    <row r="51" spans="1:34" ht="12.75" customHeight="1">
      <c r="A51" s="76" t="str">
        <f>DSSP!A50</f>
        <v>A135</v>
      </c>
      <c r="B51" s="25" t="str">
        <f>DSSP!B50</f>
        <v>Bánh quy</v>
      </c>
      <c r="C51" s="42" t="str">
        <f>IF(SUMIFS(Sheet2!$E:$E,Sheet2!$C:$C,$A51,Sheet2!$A:$A,C$2)&lt;&gt;0,SUMIFS(Sheet2!$E:$E,Sheet2!$C:$C,$A51,Sheet2!$A:$A,C$2),"")</f>
        <v/>
      </c>
      <c r="D51" s="42" t="str">
        <f>IF(SUMIFS(Sheet2!$E:$E,Sheet2!$C:$C,$A51,Sheet2!$A:$A,D$2)&lt;&gt;0,SUMIFS(Sheet2!$E:$E,Sheet2!$C:$C,$A51,Sheet2!$A:$A,D$2),"")</f>
        <v/>
      </c>
      <c r="E51" s="42" t="str">
        <f>IF(SUMIFS(Sheet2!$E:$E,Sheet2!$C:$C,$A51,Sheet2!$A:$A,E$2)&lt;&gt;0,SUMIFS(Sheet2!$E:$E,Sheet2!$C:$C,$A51,Sheet2!$A:$A,E$2),"")</f>
        <v/>
      </c>
      <c r="F51" s="42" t="str">
        <f>IF(SUMIFS(Sheet2!$E:$E,Sheet2!$C:$C,$A51,Sheet2!$A:$A,F$2)&lt;&gt;0,SUMIFS(Sheet2!$E:$E,Sheet2!$C:$C,$A51,Sheet2!$A:$A,F$2),"")</f>
        <v/>
      </c>
      <c r="G51" s="42" t="str">
        <f>IF(SUMIFS(Sheet2!$E:$E,Sheet2!$C:$C,$A51,Sheet2!$A:$A,G$2)&lt;&gt;0,SUMIFS(Sheet2!$E:$E,Sheet2!$C:$C,$A51,Sheet2!$A:$A,G$2),"")</f>
        <v/>
      </c>
      <c r="H51" s="42" t="str">
        <f>IF(SUMIFS(Sheet2!$E:$E,Sheet2!$C:$C,$A51,Sheet2!$A:$A,H$2)&lt;&gt;0,SUMIFS(Sheet2!$E:$E,Sheet2!$C:$C,$A51,Sheet2!$A:$A,H$2),"")</f>
        <v/>
      </c>
      <c r="I51" s="42" t="str">
        <f>IF(SUMIFS(Sheet2!$E:$E,Sheet2!$C:$C,$A51,Sheet2!$A:$A,I$2)&lt;&gt;0,SUMIFS(Sheet2!$E:$E,Sheet2!$C:$C,$A51,Sheet2!$A:$A,I$2),"")</f>
        <v/>
      </c>
      <c r="J51" s="42" t="str">
        <f>IF(SUMIFS(Sheet2!$E:$E,Sheet2!$C:$C,$A51,Sheet2!$A:$A,J$2)&lt;&gt;0,SUMIFS(Sheet2!$E:$E,Sheet2!$C:$C,$A51,Sheet2!$A:$A,J$2),"")</f>
        <v/>
      </c>
      <c r="K51" s="42" t="str">
        <f>IF(SUMIFS(Sheet2!$E:$E,Sheet2!$C:$C,$A51,Sheet2!$A:$A,K$2)&lt;&gt;0,SUMIFS(Sheet2!$E:$E,Sheet2!$C:$C,$A51,Sheet2!$A:$A,K$2),"")</f>
        <v/>
      </c>
      <c r="L51" s="42" t="str">
        <f>IF(SUMIFS(Sheet2!$E:$E,Sheet2!$C:$C,$A51,Sheet2!$A:$A,L$2)&lt;&gt;0,SUMIFS(Sheet2!$E:$E,Sheet2!$C:$C,$A51,Sheet2!$A:$A,L$2),"")</f>
        <v/>
      </c>
      <c r="M51" s="42" t="str">
        <f>IF(SUMIFS(Sheet2!$E:$E,Sheet2!$C:$C,$A51,Sheet2!$A:$A,M$2)&lt;&gt;0,SUMIFS(Sheet2!$E:$E,Sheet2!$C:$C,$A51,Sheet2!$A:$A,M$2),"")</f>
        <v/>
      </c>
      <c r="N51" s="42" t="str">
        <f>IF(SUMIFS(Sheet2!$E:$E,Sheet2!$C:$C,$A51,Sheet2!$A:$A,N$2)&lt;&gt;0,SUMIFS(Sheet2!$E:$E,Sheet2!$C:$C,$A51,Sheet2!$A:$A,N$2),"")</f>
        <v/>
      </c>
      <c r="O51" s="42" t="str">
        <f>IF(SUMIFS(Sheet2!$E:$E,Sheet2!$C:$C,$A51,Sheet2!$A:$A,O$2)&lt;&gt;0,SUMIFS(Sheet2!$E:$E,Sheet2!$C:$C,$A51,Sheet2!$A:$A,O$2),"")</f>
        <v/>
      </c>
      <c r="P51" s="42" t="str">
        <f>IF(SUMIFS(Sheet2!$E:$E,Sheet2!$C:$C,$A51,Sheet2!$A:$A,P$2)&lt;&gt;0,SUMIFS(Sheet2!$E:$E,Sheet2!$C:$C,$A51,Sheet2!$A:$A,P$2),"")</f>
        <v/>
      </c>
      <c r="Q51" s="42" t="str">
        <f>IF(SUMIFS(Sheet2!$E:$E,Sheet2!$C:$C,$A51,Sheet2!$A:$A,Q$2)&lt;&gt;0,SUMIFS(Sheet2!$E:$E,Sheet2!$C:$C,$A51,Sheet2!$A:$A,Q$2),"")</f>
        <v/>
      </c>
      <c r="R51" s="42" t="str">
        <f>IF(SUMIFS(Sheet2!$E:$E,Sheet2!$C:$C,$A51,Sheet2!$A:$A,R$2)&lt;&gt;0,SUMIFS(Sheet2!$E:$E,Sheet2!$C:$C,$A51,Sheet2!$A:$A,R$2),"")</f>
        <v/>
      </c>
      <c r="S51" s="42" t="str">
        <f>IF(SUMIFS(Sheet2!$E:$E,Sheet2!$C:$C,$A51,Sheet2!$A:$A,S$2)&lt;&gt;0,SUMIFS(Sheet2!$E:$E,Sheet2!$C:$C,$A51,Sheet2!$A:$A,S$2),"")</f>
        <v/>
      </c>
      <c r="T51" s="42" t="str">
        <f>IF(SUMIFS(Sheet2!$E:$E,Sheet2!$C:$C,$A51,Sheet2!$A:$A,T$2)&lt;&gt;0,SUMIFS(Sheet2!$E:$E,Sheet2!$C:$C,$A51,Sheet2!$A:$A,T$2),"")</f>
        <v/>
      </c>
      <c r="U51" s="42" t="str">
        <f>IF(SUMIFS(Sheet2!$E:$E,Sheet2!$C:$C,$A51,Sheet2!$A:$A,U$2)&lt;&gt;0,SUMIFS(Sheet2!$E:$E,Sheet2!$C:$C,$A51,Sheet2!$A:$A,U$2),"")</f>
        <v/>
      </c>
      <c r="V51" s="42" t="str">
        <f>IF(SUMIFS(Sheet2!$E:$E,Sheet2!$C:$C,$A51,Sheet2!$A:$A,V$2)&lt;&gt;0,SUMIFS(Sheet2!$E:$E,Sheet2!$C:$C,$A51,Sheet2!$A:$A,V$2),"")</f>
        <v/>
      </c>
      <c r="W51" s="42" t="str">
        <f>IF(SUMIFS(Sheet2!$E:$E,Sheet2!$C:$C,$A51,Sheet2!$A:$A,W$2)&lt;&gt;0,SUMIFS(Sheet2!$E:$E,Sheet2!$C:$C,$A51,Sheet2!$A:$A,W$2),"")</f>
        <v/>
      </c>
      <c r="X51" s="42" t="str">
        <f>IF(SUMIFS(Sheet2!$E:$E,Sheet2!$C:$C,$A51,Sheet2!$A:$A,X$2)&lt;&gt;0,SUMIFS(Sheet2!$E:$E,Sheet2!$C:$C,$A51,Sheet2!$A:$A,X$2),"")</f>
        <v/>
      </c>
      <c r="Y51" s="42" t="str">
        <f>IF(SUMIFS(Sheet2!$E:$E,Sheet2!$C:$C,$A51,Sheet2!$A:$A,Y$2)&lt;&gt;0,SUMIFS(Sheet2!$E:$E,Sheet2!$C:$C,$A51,Sheet2!$A:$A,Y$2),"")</f>
        <v/>
      </c>
      <c r="Z51" s="42" t="str">
        <f>IF(SUMIFS(Sheet2!$E:$E,Sheet2!$C:$C,$A51,Sheet2!$A:$A,Z$2)&lt;&gt;0,SUMIFS(Sheet2!$E:$E,Sheet2!$C:$C,$A51,Sheet2!$A:$A,Z$2),"")</f>
        <v/>
      </c>
      <c r="AA51" s="42" t="str">
        <f>IF(SUMIFS(Sheet2!$E:$E,Sheet2!$C:$C,$A51,Sheet2!$A:$A,AA$2)&lt;&gt;0,SUMIFS(Sheet2!$E:$E,Sheet2!$C:$C,$A51,Sheet2!$A:$A,AA$2),"")</f>
        <v/>
      </c>
      <c r="AB51" s="42" t="str">
        <f>IF(SUMIFS(Sheet2!$E:$E,Sheet2!$C:$C,$A51,Sheet2!$A:$A,AB$2)&lt;&gt;0,SUMIFS(Sheet2!$E:$E,Sheet2!$C:$C,$A51,Sheet2!$A:$A,AB$2),"")</f>
        <v/>
      </c>
      <c r="AC51" s="42" t="str">
        <f>IF(SUMIFS(Sheet2!$E:$E,Sheet2!$C:$C,$A51,Sheet2!$A:$A,AC$2)&lt;&gt;0,SUMIFS(Sheet2!$E:$E,Sheet2!$C:$C,$A51,Sheet2!$A:$A,AC$2),"")</f>
        <v/>
      </c>
      <c r="AD51" s="42" t="str">
        <f>IF(SUMIFS(Sheet2!$E:$E,Sheet2!$C:$C,$A51,Sheet2!$A:$A,AD$2)&lt;&gt;0,SUMIFS(Sheet2!$E:$E,Sheet2!$C:$C,$A51,Sheet2!$A:$A,AD$2),"")</f>
        <v/>
      </c>
      <c r="AE51" s="42" t="str">
        <f>IF(SUMIFS(Sheet2!$E:$E,Sheet2!$C:$C,$A51,Sheet2!$A:$A,AE$2)&lt;&gt;0,SUMIFS(Sheet2!$E:$E,Sheet2!$C:$C,$A51,Sheet2!$A:$A,AE$2),"")</f>
        <v/>
      </c>
      <c r="AF51" s="42" t="str">
        <f>IF(SUMIFS(Sheet2!$E:$E,Sheet2!$C:$C,$A51,Sheet2!$A:$A,AF$2)&lt;&gt;0,SUMIFS(Sheet2!$E:$E,Sheet2!$C:$C,$A51,Sheet2!$A:$A,AF$2),"")</f>
        <v/>
      </c>
      <c r="AG51" s="42" t="str">
        <f>IF(SUMIFS(Sheet2!$E:$E,Sheet2!$C:$C,$A51,Sheet2!$A:$A,AG$2)&lt;&gt;0,SUMIFS(Sheet2!$E:$E,Sheet2!$C:$C,$A51,Sheet2!$A:$A,AG$2),"")</f>
        <v/>
      </c>
      <c r="AH51" s="43">
        <f>SUM(Table2[[#This Row],[1]:[31]])</f>
        <v>0</v>
      </c>
    </row>
    <row r="52" spans="1:34" ht="12.75" customHeight="1">
      <c r="A52" s="76" t="str">
        <f>DSSP!A51</f>
        <v>A136</v>
      </c>
      <c r="B52" s="25" t="str">
        <f>DSSP!B51</f>
        <v>Chuột</v>
      </c>
      <c r="C52" s="42" t="str">
        <f>IF(SUMIFS(Sheet2!$E:$E,Sheet2!$C:$C,$A52,Sheet2!$A:$A,C$2)&lt;&gt;0,SUMIFS(Sheet2!$E:$E,Sheet2!$C:$C,$A52,Sheet2!$A:$A,C$2),"")</f>
        <v/>
      </c>
      <c r="D52" s="42" t="str">
        <f>IF(SUMIFS(Sheet2!$E:$E,Sheet2!$C:$C,$A52,Sheet2!$A:$A,D$2)&lt;&gt;0,SUMIFS(Sheet2!$E:$E,Sheet2!$C:$C,$A52,Sheet2!$A:$A,D$2),"")</f>
        <v/>
      </c>
      <c r="E52" s="42" t="str">
        <f>IF(SUMIFS(Sheet2!$E:$E,Sheet2!$C:$C,$A52,Sheet2!$A:$A,E$2)&lt;&gt;0,SUMIFS(Sheet2!$E:$E,Sheet2!$C:$C,$A52,Sheet2!$A:$A,E$2),"")</f>
        <v/>
      </c>
      <c r="F52" s="42" t="str">
        <f>IF(SUMIFS(Sheet2!$E:$E,Sheet2!$C:$C,$A52,Sheet2!$A:$A,F$2)&lt;&gt;0,SUMIFS(Sheet2!$E:$E,Sheet2!$C:$C,$A52,Sheet2!$A:$A,F$2),"")</f>
        <v/>
      </c>
      <c r="G52" s="42" t="str">
        <f>IF(SUMIFS(Sheet2!$E:$E,Sheet2!$C:$C,$A52,Sheet2!$A:$A,G$2)&lt;&gt;0,SUMIFS(Sheet2!$E:$E,Sheet2!$C:$C,$A52,Sheet2!$A:$A,G$2),"")</f>
        <v/>
      </c>
      <c r="H52" s="42" t="str">
        <f>IF(SUMIFS(Sheet2!$E:$E,Sheet2!$C:$C,$A52,Sheet2!$A:$A,H$2)&lt;&gt;0,SUMIFS(Sheet2!$E:$E,Sheet2!$C:$C,$A52,Sheet2!$A:$A,H$2),"")</f>
        <v/>
      </c>
      <c r="I52" s="42" t="str">
        <f>IF(SUMIFS(Sheet2!$E:$E,Sheet2!$C:$C,$A52,Sheet2!$A:$A,I$2)&lt;&gt;0,SUMIFS(Sheet2!$E:$E,Sheet2!$C:$C,$A52,Sheet2!$A:$A,I$2),"")</f>
        <v/>
      </c>
      <c r="J52" s="42" t="str">
        <f>IF(SUMIFS(Sheet2!$E:$E,Sheet2!$C:$C,$A52,Sheet2!$A:$A,J$2)&lt;&gt;0,SUMIFS(Sheet2!$E:$E,Sheet2!$C:$C,$A52,Sheet2!$A:$A,J$2),"")</f>
        <v/>
      </c>
      <c r="K52" s="42" t="str">
        <f>IF(SUMIFS(Sheet2!$E:$E,Sheet2!$C:$C,$A52,Sheet2!$A:$A,K$2)&lt;&gt;0,SUMIFS(Sheet2!$E:$E,Sheet2!$C:$C,$A52,Sheet2!$A:$A,K$2),"")</f>
        <v/>
      </c>
      <c r="L52" s="42" t="str">
        <f>IF(SUMIFS(Sheet2!$E:$E,Sheet2!$C:$C,$A52,Sheet2!$A:$A,L$2)&lt;&gt;0,SUMIFS(Sheet2!$E:$E,Sheet2!$C:$C,$A52,Sheet2!$A:$A,L$2),"")</f>
        <v/>
      </c>
      <c r="M52" s="42" t="str">
        <f>IF(SUMIFS(Sheet2!$E:$E,Sheet2!$C:$C,$A52,Sheet2!$A:$A,M$2)&lt;&gt;0,SUMIFS(Sheet2!$E:$E,Sheet2!$C:$C,$A52,Sheet2!$A:$A,M$2),"")</f>
        <v/>
      </c>
      <c r="N52" s="42" t="str">
        <f>IF(SUMIFS(Sheet2!$E:$E,Sheet2!$C:$C,$A52,Sheet2!$A:$A,N$2)&lt;&gt;0,SUMIFS(Sheet2!$E:$E,Sheet2!$C:$C,$A52,Sheet2!$A:$A,N$2),"")</f>
        <v/>
      </c>
      <c r="O52" s="42" t="str">
        <f>IF(SUMIFS(Sheet2!$E:$E,Sheet2!$C:$C,$A52,Sheet2!$A:$A,O$2)&lt;&gt;0,SUMIFS(Sheet2!$E:$E,Sheet2!$C:$C,$A52,Sheet2!$A:$A,O$2),"")</f>
        <v/>
      </c>
      <c r="P52" s="42" t="str">
        <f>IF(SUMIFS(Sheet2!$E:$E,Sheet2!$C:$C,$A52,Sheet2!$A:$A,P$2)&lt;&gt;0,SUMIFS(Sheet2!$E:$E,Sheet2!$C:$C,$A52,Sheet2!$A:$A,P$2),"")</f>
        <v/>
      </c>
      <c r="Q52" s="42" t="str">
        <f>IF(SUMIFS(Sheet2!$E:$E,Sheet2!$C:$C,$A52,Sheet2!$A:$A,Q$2)&lt;&gt;0,SUMIFS(Sheet2!$E:$E,Sheet2!$C:$C,$A52,Sheet2!$A:$A,Q$2),"")</f>
        <v/>
      </c>
      <c r="R52" s="42" t="str">
        <f>IF(SUMIFS(Sheet2!$E:$E,Sheet2!$C:$C,$A52,Sheet2!$A:$A,R$2)&lt;&gt;0,SUMIFS(Sheet2!$E:$E,Sheet2!$C:$C,$A52,Sheet2!$A:$A,R$2),"")</f>
        <v/>
      </c>
      <c r="S52" s="42" t="str">
        <f>IF(SUMIFS(Sheet2!$E:$E,Sheet2!$C:$C,$A52,Sheet2!$A:$A,S$2)&lt;&gt;0,SUMIFS(Sheet2!$E:$E,Sheet2!$C:$C,$A52,Sheet2!$A:$A,S$2),"")</f>
        <v/>
      </c>
      <c r="T52" s="42" t="str">
        <f>IF(SUMIFS(Sheet2!$E:$E,Sheet2!$C:$C,$A52,Sheet2!$A:$A,T$2)&lt;&gt;0,SUMIFS(Sheet2!$E:$E,Sheet2!$C:$C,$A52,Sheet2!$A:$A,T$2),"")</f>
        <v/>
      </c>
      <c r="U52" s="42" t="str">
        <f>IF(SUMIFS(Sheet2!$E:$E,Sheet2!$C:$C,$A52,Sheet2!$A:$A,U$2)&lt;&gt;0,SUMIFS(Sheet2!$E:$E,Sheet2!$C:$C,$A52,Sheet2!$A:$A,U$2),"")</f>
        <v/>
      </c>
      <c r="V52" s="42" t="str">
        <f>IF(SUMIFS(Sheet2!$E:$E,Sheet2!$C:$C,$A52,Sheet2!$A:$A,V$2)&lt;&gt;0,SUMIFS(Sheet2!$E:$E,Sheet2!$C:$C,$A52,Sheet2!$A:$A,V$2),"")</f>
        <v/>
      </c>
      <c r="W52" s="42" t="str">
        <f>IF(SUMIFS(Sheet2!$E:$E,Sheet2!$C:$C,$A52,Sheet2!$A:$A,W$2)&lt;&gt;0,SUMIFS(Sheet2!$E:$E,Sheet2!$C:$C,$A52,Sheet2!$A:$A,W$2),"")</f>
        <v/>
      </c>
      <c r="X52" s="42" t="str">
        <f>IF(SUMIFS(Sheet2!$E:$E,Sheet2!$C:$C,$A52,Sheet2!$A:$A,X$2)&lt;&gt;0,SUMIFS(Sheet2!$E:$E,Sheet2!$C:$C,$A52,Sheet2!$A:$A,X$2),"")</f>
        <v/>
      </c>
      <c r="Y52" s="42" t="str">
        <f>IF(SUMIFS(Sheet2!$E:$E,Sheet2!$C:$C,$A52,Sheet2!$A:$A,Y$2)&lt;&gt;0,SUMIFS(Sheet2!$E:$E,Sheet2!$C:$C,$A52,Sheet2!$A:$A,Y$2),"")</f>
        <v/>
      </c>
      <c r="Z52" s="42" t="str">
        <f>IF(SUMIFS(Sheet2!$E:$E,Sheet2!$C:$C,$A52,Sheet2!$A:$A,Z$2)&lt;&gt;0,SUMIFS(Sheet2!$E:$E,Sheet2!$C:$C,$A52,Sheet2!$A:$A,Z$2),"")</f>
        <v/>
      </c>
      <c r="AA52" s="42" t="str">
        <f>IF(SUMIFS(Sheet2!$E:$E,Sheet2!$C:$C,$A52,Sheet2!$A:$A,AA$2)&lt;&gt;0,SUMIFS(Sheet2!$E:$E,Sheet2!$C:$C,$A52,Sheet2!$A:$A,AA$2),"")</f>
        <v/>
      </c>
      <c r="AB52" s="42" t="str">
        <f>IF(SUMIFS(Sheet2!$E:$E,Sheet2!$C:$C,$A52,Sheet2!$A:$A,AB$2)&lt;&gt;0,SUMIFS(Sheet2!$E:$E,Sheet2!$C:$C,$A52,Sheet2!$A:$A,AB$2),"")</f>
        <v/>
      </c>
      <c r="AC52" s="42" t="str">
        <f>IF(SUMIFS(Sheet2!$E:$E,Sheet2!$C:$C,$A52,Sheet2!$A:$A,AC$2)&lt;&gt;0,SUMIFS(Sheet2!$E:$E,Sheet2!$C:$C,$A52,Sheet2!$A:$A,AC$2),"")</f>
        <v/>
      </c>
      <c r="AD52" s="42" t="str">
        <f>IF(SUMIFS(Sheet2!$E:$E,Sheet2!$C:$C,$A52,Sheet2!$A:$A,AD$2)&lt;&gt;0,SUMIFS(Sheet2!$E:$E,Sheet2!$C:$C,$A52,Sheet2!$A:$A,AD$2),"")</f>
        <v/>
      </c>
      <c r="AE52" s="42" t="str">
        <f>IF(SUMIFS(Sheet2!$E:$E,Sheet2!$C:$C,$A52,Sheet2!$A:$A,AE$2)&lt;&gt;0,SUMIFS(Sheet2!$E:$E,Sheet2!$C:$C,$A52,Sheet2!$A:$A,AE$2),"")</f>
        <v/>
      </c>
      <c r="AF52" s="42" t="str">
        <f>IF(SUMIFS(Sheet2!$E:$E,Sheet2!$C:$C,$A52,Sheet2!$A:$A,AF$2)&lt;&gt;0,SUMIFS(Sheet2!$E:$E,Sheet2!$C:$C,$A52,Sheet2!$A:$A,AF$2),"")</f>
        <v/>
      </c>
      <c r="AG52" s="42" t="str">
        <f>IF(SUMIFS(Sheet2!$E:$E,Sheet2!$C:$C,$A52,Sheet2!$A:$A,AG$2)&lt;&gt;0,SUMIFS(Sheet2!$E:$E,Sheet2!$C:$C,$A52,Sheet2!$A:$A,AG$2),"")</f>
        <v/>
      </c>
      <c r="AH52" s="43">
        <f>SUM(Table2[[#This Row],[1]:[31]])</f>
        <v>0</v>
      </c>
    </row>
    <row r="53" spans="1:34" ht="12.75" customHeight="1">
      <c r="A53" s="76" t="str">
        <f>DSSP!A52</f>
        <v>A137</v>
      </c>
      <c r="B53" s="25" t="str">
        <f>DSSP!B52</f>
        <v>Cánh cụt</v>
      </c>
      <c r="C53" s="42" t="str">
        <f>IF(SUMIFS(Sheet2!$E:$E,Sheet2!$C:$C,$A53,Sheet2!$A:$A,C$2)&lt;&gt;0,SUMIFS(Sheet2!$E:$E,Sheet2!$C:$C,$A53,Sheet2!$A:$A,C$2),"")</f>
        <v/>
      </c>
      <c r="D53" s="42" t="str">
        <f>IF(SUMIFS(Sheet2!$E:$E,Sheet2!$C:$C,$A53,Sheet2!$A:$A,D$2)&lt;&gt;0,SUMIFS(Sheet2!$E:$E,Sheet2!$C:$C,$A53,Sheet2!$A:$A,D$2),"")</f>
        <v/>
      </c>
      <c r="E53" s="42" t="str">
        <f>IF(SUMIFS(Sheet2!$E:$E,Sheet2!$C:$C,$A53,Sheet2!$A:$A,E$2)&lt;&gt;0,SUMIFS(Sheet2!$E:$E,Sheet2!$C:$C,$A53,Sheet2!$A:$A,E$2),"")</f>
        <v/>
      </c>
      <c r="F53" s="42" t="str">
        <f>IF(SUMIFS(Sheet2!$E:$E,Sheet2!$C:$C,$A53,Sheet2!$A:$A,F$2)&lt;&gt;0,SUMIFS(Sheet2!$E:$E,Sheet2!$C:$C,$A53,Sheet2!$A:$A,F$2),"")</f>
        <v/>
      </c>
      <c r="G53" s="42" t="str">
        <f>IF(SUMIFS(Sheet2!$E:$E,Sheet2!$C:$C,$A53,Sheet2!$A:$A,G$2)&lt;&gt;0,SUMIFS(Sheet2!$E:$E,Sheet2!$C:$C,$A53,Sheet2!$A:$A,G$2),"")</f>
        <v/>
      </c>
      <c r="H53" s="42" t="str">
        <f>IF(SUMIFS(Sheet2!$E:$E,Sheet2!$C:$C,$A53,Sheet2!$A:$A,H$2)&lt;&gt;0,SUMIFS(Sheet2!$E:$E,Sheet2!$C:$C,$A53,Sheet2!$A:$A,H$2),"")</f>
        <v/>
      </c>
      <c r="I53" s="42" t="str">
        <f>IF(SUMIFS(Sheet2!$E:$E,Sheet2!$C:$C,$A53,Sheet2!$A:$A,I$2)&lt;&gt;0,SUMIFS(Sheet2!$E:$E,Sheet2!$C:$C,$A53,Sheet2!$A:$A,I$2),"")</f>
        <v/>
      </c>
      <c r="J53" s="42" t="str">
        <f>IF(SUMIFS(Sheet2!$E:$E,Sheet2!$C:$C,$A53,Sheet2!$A:$A,J$2)&lt;&gt;0,SUMIFS(Sheet2!$E:$E,Sheet2!$C:$C,$A53,Sheet2!$A:$A,J$2),"")</f>
        <v/>
      </c>
      <c r="K53" s="42" t="str">
        <f>IF(SUMIFS(Sheet2!$E:$E,Sheet2!$C:$C,$A53,Sheet2!$A:$A,K$2)&lt;&gt;0,SUMIFS(Sheet2!$E:$E,Sheet2!$C:$C,$A53,Sheet2!$A:$A,K$2),"")</f>
        <v/>
      </c>
      <c r="L53" s="42" t="str">
        <f>IF(SUMIFS(Sheet2!$E:$E,Sheet2!$C:$C,$A53,Sheet2!$A:$A,L$2)&lt;&gt;0,SUMIFS(Sheet2!$E:$E,Sheet2!$C:$C,$A53,Sheet2!$A:$A,L$2),"")</f>
        <v/>
      </c>
      <c r="M53" s="42" t="str">
        <f>IF(SUMIFS(Sheet2!$E:$E,Sheet2!$C:$C,$A53,Sheet2!$A:$A,M$2)&lt;&gt;0,SUMIFS(Sheet2!$E:$E,Sheet2!$C:$C,$A53,Sheet2!$A:$A,M$2),"")</f>
        <v/>
      </c>
      <c r="N53" s="42" t="str">
        <f>IF(SUMIFS(Sheet2!$E:$E,Sheet2!$C:$C,$A53,Sheet2!$A:$A,N$2)&lt;&gt;0,SUMIFS(Sheet2!$E:$E,Sheet2!$C:$C,$A53,Sheet2!$A:$A,N$2),"")</f>
        <v/>
      </c>
      <c r="O53" s="42" t="str">
        <f>IF(SUMIFS(Sheet2!$E:$E,Sheet2!$C:$C,$A53,Sheet2!$A:$A,O$2)&lt;&gt;0,SUMIFS(Sheet2!$E:$E,Sheet2!$C:$C,$A53,Sheet2!$A:$A,O$2),"")</f>
        <v/>
      </c>
      <c r="P53" s="42" t="str">
        <f>IF(SUMIFS(Sheet2!$E:$E,Sheet2!$C:$C,$A53,Sheet2!$A:$A,P$2)&lt;&gt;0,SUMIFS(Sheet2!$E:$E,Sheet2!$C:$C,$A53,Sheet2!$A:$A,P$2),"")</f>
        <v/>
      </c>
      <c r="Q53" s="42" t="str">
        <f>IF(SUMIFS(Sheet2!$E:$E,Sheet2!$C:$C,$A53,Sheet2!$A:$A,Q$2)&lt;&gt;0,SUMIFS(Sheet2!$E:$E,Sheet2!$C:$C,$A53,Sheet2!$A:$A,Q$2),"")</f>
        <v/>
      </c>
      <c r="R53" s="42" t="str">
        <f>IF(SUMIFS(Sheet2!$E:$E,Sheet2!$C:$C,$A53,Sheet2!$A:$A,R$2)&lt;&gt;0,SUMIFS(Sheet2!$E:$E,Sheet2!$C:$C,$A53,Sheet2!$A:$A,R$2),"")</f>
        <v/>
      </c>
      <c r="S53" s="42" t="str">
        <f>IF(SUMIFS(Sheet2!$E:$E,Sheet2!$C:$C,$A53,Sheet2!$A:$A,S$2)&lt;&gt;0,SUMIFS(Sheet2!$E:$E,Sheet2!$C:$C,$A53,Sheet2!$A:$A,S$2),"")</f>
        <v/>
      </c>
      <c r="T53" s="42" t="str">
        <f>IF(SUMIFS(Sheet2!$E:$E,Sheet2!$C:$C,$A53,Sheet2!$A:$A,T$2)&lt;&gt;0,SUMIFS(Sheet2!$E:$E,Sheet2!$C:$C,$A53,Sheet2!$A:$A,T$2),"")</f>
        <v/>
      </c>
      <c r="U53" s="42" t="str">
        <f>IF(SUMIFS(Sheet2!$E:$E,Sheet2!$C:$C,$A53,Sheet2!$A:$A,U$2)&lt;&gt;0,SUMIFS(Sheet2!$E:$E,Sheet2!$C:$C,$A53,Sheet2!$A:$A,U$2),"")</f>
        <v/>
      </c>
      <c r="V53" s="42" t="str">
        <f>IF(SUMIFS(Sheet2!$E:$E,Sheet2!$C:$C,$A53,Sheet2!$A:$A,V$2)&lt;&gt;0,SUMIFS(Sheet2!$E:$E,Sheet2!$C:$C,$A53,Sheet2!$A:$A,V$2),"")</f>
        <v/>
      </c>
      <c r="W53" s="42" t="str">
        <f>IF(SUMIFS(Sheet2!$E:$E,Sheet2!$C:$C,$A53,Sheet2!$A:$A,W$2)&lt;&gt;0,SUMIFS(Sheet2!$E:$E,Sheet2!$C:$C,$A53,Sheet2!$A:$A,W$2),"")</f>
        <v/>
      </c>
      <c r="X53" s="42" t="str">
        <f>IF(SUMIFS(Sheet2!$E:$E,Sheet2!$C:$C,$A53,Sheet2!$A:$A,X$2)&lt;&gt;0,SUMIFS(Sheet2!$E:$E,Sheet2!$C:$C,$A53,Sheet2!$A:$A,X$2),"")</f>
        <v/>
      </c>
      <c r="Y53" s="42" t="str">
        <f>IF(SUMIFS(Sheet2!$E:$E,Sheet2!$C:$C,$A53,Sheet2!$A:$A,Y$2)&lt;&gt;0,SUMIFS(Sheet2!$E:$E,Sheet2!$C:$C,$A53,Sheet2!$A:$A,Y$2),"")</f>
        <v/>
      </c>
      <c r="Z53" s="42" t="str">
        <f>IF(SUMIFS(Sheet2!$E:$E,Sheet2!$C:$C,$A53,Sheet2!$A:$A,Z$2)&lt;&gt;0,SUMIFS(Sheet2!$E:$E,Sheet2!$C:$C,$A53,Sheet2!$A:$A,Z$2),"")</f>
        <v/>
      </c>
      <c r="AA53" s="42" t="str">
        <f>IF(SUMIFS(Sheet2!$E:$E,Sheet2!$C:$C,$A53,Sheet2!$A:$A,AA$2)&lt;&gt;0,SUMIFS(Sheet2!$E:$E,Sheet2!$C:$C,$A53,Sheet2!$A:$A,AA$2),"")</f>
        <v/>
      </c>
      <c r="AB53" s="42" t="str">
        <f>IF(SUMIFS(Sheet2!$E:$E,Sheet2!$C:$C,$A53,Sheet2!$A:$A,AB$2)&lt;&gt;0,SUMIFS(Sheet2!$E:$E,Sheet2!$C:$C,$A53,Sheet2!$A:$A,AB$2),"")</f>
        <v/>
      </c>
      <c r="AC53" s="42" t="str">
        <f>IF(SUMIFS(Sheet2!$E:$E,Sheet2!$C:$C,$A53,Sheet2!$A:$A,AC$2)&lt;&gt;0,SUMIFS(Sheet2!$E:$E,Sheet2!$C:$C,$A53,Sheet2!$A:$A,AC$2),"")</f>
        <v/>
      </c>
      <c r="AD53" s="42" t="str">
        <f>IF(SUMIFS(Sheet2!$E:$E,Sheet2!$C:$C,$A53,Sheet2!$A:$A,AD$2)&lt;&gt;0,SUMIFS(Sheet2!$E:$E,Sheet2!$C:$C,$A53,Sheet2!$A:$A,AD$2),"")</f>
        <v/>
      </c>
      <c r="AE53" s="42" t="str">
        <f>IF(SUMIFS(Sheet2!$E:$E,Sheet2!$C:$C,$A53,Sheet2!$A:$A,AE$2)&lt;&gt;0,SUMIFS(Sheet2!$E:$E,Sheet2!$C:$C,$A53,Sheet2!$A:$A,AE$2),"")</f>
        <v/>
      </c>
      <c r="AF53" s="42" t="str">
        <f>IF(SUMIFS(Sheet2!$E:$E,Sheet2!$C:$C,$A53,Sheet2!$A:$A,AF$2)&lt;&gt;0,SUMIFS(Sheet2!$E:$E,Sheet2!$C:$C,$A53,Sheet2!$A:$A,AF$2),"")</f>
        <v/>
      </c>
      <c r="AG53" s="42" t="str">
        <f>IF(SUMIFS(Sheet2!$E:$E,Sheet2!$C:$C,$A53,Sheet2!$A:$A,AG$2)&lt;&gt;0,SUMIFS(Sheet2!$E:$E,Sheet2!$C:$C,$A53,Sheet2!$A:$A,AG$2),"")</f>
        <v/>
      </c>
      <c r="AH53" s="43">
        <f>SUM(Table2[[#This Row],[1]:[31]])</f>
        <v>0</v>
      </c>
    </row>
    <row r="54" spans="1:34" ht="12.75" customHeight="1">
      <c r="A54" s="76" t="str">
        <f>DSSP!A53</f>
        <v>A138</v>
      </c>
      <c r="B54" s="25" t="str">
        <f>DSSP!B53</f>
        <v>Khỉ yoyo cici</v>
      </c>
      <c r="C54" s="42" t="str">
        <f>IF(SUMIFS(Sheet2!$E:$E,Sheet2!$C:$C,$A54,Sheet2!$A:$A,C$2)&lt;&gt;0,SUMIFS(Sheet2!$E:$E,Sheet2!$C:$C,$A54,Sheet2!$A:$A,C$2),"")</f>
        <v/>
      </c>
      <c r="D54" s="42" t="str">
        <f>IF(SUMIFS(Sheet2!$E:$E,Sheet2!$C:$C,$A54,Sheet2!$A:$A,D$2)&lt;&gt;0,SUMIFS(Sheet2!$E:$E,Sheet2!$C:$C,$A54,Sheet2!$A:$A,D$2),"")</f>
        <v/>
      </c>
      <c r="E54" s="42" t="str">
        <f>IF(SUMIFS(Sheet2!$E:$E,Sheet2!$C:$C,$A54,Sheet2!$A:$A,E$2)&lt;&gt;0,SUMIFS(Sheet2!$E:$E,Sheet2!$C:$C,$A54,Sheet2!$A:$A,E$2),"")</f>
        <v/>
      </c>
      <c r="F54" s="42" t="str">
        <f>IF(SUMIFS(Sheet2!$E:$E,Sheet2!$C:$C,$A54,Sheet2!$A:$A,F$2)&lt;&gt;0,SUMIFS(Sheet2!$E:$E,Sheet2!$C:$C,$A54,Sheet2!$A:$A,F$2),"")</f>
        <v/>
      </c>
      <c r="G54" s="42" t="str">
        <f>IF(SUMIFS(Sheet2!$E:$E,Sheet2!$C:$C,$A54,Sheet2!$A:$A,G$2)&lt;&gt;0,SUMIFS(Sheet2!$E:$E,Sheet2!$C:$C,$A54,Sheet2!$A:$A,G$2),"")</f>
        <v/>
      </c>
      <c r="H54" s="42" t="str">
        <f>IF(SUMIFS(Sheet2!$E:$E,Sheet2!$C:$C,$A54,Sheet2!$A:$A,H$2)&lt;&gt;0,SUMIFS(Sheet2!$E:$E,Sheet2!$C:$C,$A54,Sheet2!$A:$A,H$2),"")</f>
        <v/>
      </c>
      <c r="I54" s="42" t="str">
        <f>IF(SUMIFS(Sheet2!$E:$E,Sheet2!$C:$C,$A54,Sheet2!$A:$A,I$2)&lt;&gt;0,SUMIFS(Sheet2!$E:$E,Sheet2!$C:$C,$A54,Sheet2!$A:$A,I$2),"")</f>
        <v/>
      </c>
      <c r="J54" s="42" t="str">
        <f>IF(SUMIFS(Sheet2!$E:$E,Sheet2!$C:$C,$A54,Sheet2!$A:$A,J$2)&lt;&gt;0,SUMIFS(Sheet2!$E:$E,Sheet2!$C:$C,$A54,Sheet2!$A:$A,J$2),"")</f>
        <v/>
      </c>
      <c r="K54" s="42" t="str">
        <f>IF(SUMIFS(Sheet2!$E:$E,Sheet2!$C:$C,$A54,Sheet2!$A:$A,K$2)&lt;&gt;0,SUMIFS(Sheet2!$E:$E,Sheet2!$C:$C,$A54,Sheet2!$A:$A,K$2),"")</f>
        <v/>
      </c>
      <c r="L54" s="42" t="str">
        <f>IF(SUMIFS(Sheet2!$E:$E,Sheet2!$C:$C,$A54,Sheet2!$A:$A,L$2)&lt;&gt;0,SUMIFS(Sheet2!$E:$E,Sheet2!$C:$C,$A54,Sheet2!$A:$A,L$2),"")</f>
        <v/>
      </c>
      <c r="M54" s="42" t="str">
        <f>IF(SUMIFS(Sheet2!$E:$E,Sheet2!$C:$C,$A54,Sheet2!$A:$A,M$2)&lt;&gt;0,SUMIFS(Sheet2!$E:$E,Sheet2!$C:$C,$A54,Sheet2!$A:$A,M$2),"")</f>
        <v/>
      </c>
      <c r="N54" s="42" t="str">
        <f>IF(SUMIFS(Sheet2!$E:$E,Sheet2!$C:$C,$A54,Sheet2!$A:$A,N$2)&lt;&gt;0,SUMIFS(Sheet2!$E:$E,Sheet2!$C:$C,$A54,Sheet2!$A:$A,N$2),"")</f>
        <v/>
      </c>
      <c r="O54" s="42" t="str">
        <f>IF(SUMIFS(Sheet2!$E:$E,Sheet2!$C:$C,$A54,Sheet2!$A:$A,O$2)&lt;&gt;0,SUMIFS(Sheet2!$E:$E,Sheet2!$C:$C,$A54,Sheet2!$A:$A,O$2),"")</f>
        <v/>
      </c>
      <c r="P54" s="42" t="str">
        <f>IF(SUMIFS(Sheet2!$E:$E,Sheet2!$C:$C,$A54,Sheet2!$A:$A,P$2)&lt;&gt;0,SUMIFS(Sheet2!$E:$E,Sheet2!$C:$C,$A54,Sheet2!$A:$A,P$2),"")</f>
        <v/>
      </c>
      <c r="Q54" s="42" t="str">
        <f>IF(SUMIFS(Sheet2!$E:$E,Sheet2!$C:$C,$A54,Sheet2!$A:$A,Q$2)&lt;&gt;0,SUMIFS(Sheet2!$E:$E,Sheet2!$C:$C,$A54,Sheet2!$A:$A,Q$2),"")</f>
        <v/>
      </c>
      <c r="R54" s="42" t="str">
        <f>IF(SUMIFS(Sheet2!$E:$E,Sheet2!$C:$C,$A54,Sheet2!$A:$A,R$2)&lt;&gt;0,SUMIFS(Sheet2!$E:$E,Sheet2!$C:$C,$A54,Sheet2!$A:$A,R$2),"")</f>
        <v/>
      </c>
      <c r="S54" s="42" t="str">
        <f>IF(SUMIFS(Sheet2!$E:$E,Sheet2!$C:$C,$A54,Sheet2!$A:$A,S$2)&lt;&gt;0,SUMIFS(Sheet2!$E:$E,Sheet2!$C:$C,$A54,Sheet2!$A:$A,S$2),"")</f>
        <v/>
      </c>
      <c r="T54" s="42" t="str">
        <f>IF(SUMIFS(Sheet2!$E:$E,Sheet2!$C:$C,$A54,Sheet2!$A:$A,T$2)&lt;&gt;0,SUMIFS(Sheet2!$E:$E,Sheet2!$C:$C,$A54,Sheet2!$A:$A,T$2),"")</f>
        <v/>
      </c>
      <c r="U54" s="42" t="str">
        <f>IF(SUMIFS(Sheet2!$E:$E,Sheet2!$C:$C,$A54,Sheet2!$A:$A,U$2)&lt;&gt;0,SUMIFS(Sheet2!$E:$E,Sheet2!$C:$C,$A54,Sheet2!$A:$A,U$2),"")</f>
        <v/>
      </c>
      <c r="V54" s="42" t="str">
        <f>IF(SUMIFS(Sheet2!$E:$E,Sheet2!$C:$C,$A54,Sheet2!$A:$A,V$2)&lt;&gt;0,SUMIFS(Sheet2!$E:$E,Sheet2!$C:$C,$A54,Sheet2!$A:$A,V$2),"")</f>
        <v/>
      </c>
      <c r="W54" s="42" t="str">
        <f>IF(SUMIFS(Sheet2!$E:$E,Sheet2!$C:$C,$A54,Sheet2!$A:$A,W$2)&lt;&gt;0,SUMIFS(Sheet2!$E:$E,Sheet2!$C:$C,$A54,Sheet2!$A:$A,W$2),"")</f>
        <v/>
      </c>
      <c r="X54" s="42" t="str">
        <f>IF(SUMIFS(Sheet2!$E:$E,Sheet2!$C:$C,$A54,Sheet2!$A:$A,X$2)&lt;&gt;0,SUMIFS(Sheet2!$E:$E,Sheet2!$C:$C,$A54,Sheet2!$A:$A,X$2),"")</f>
        <v/>
      </c>
      <c r="Y54" s="42" t="str">
        <f>IF(SUMIFS(Sheet2!$E:$E,Sheet2!$C:$C,$A54,Sheet2!$A:$A,Y$2)&lt;&gt;0,SUMIFS(Sheet2!$E:$E,Sheet2!$C:$C,$A54,Sheet2!$A:$A,Y$2),"")</f>
        <v/>
      </c>
      <c r="Z54" s="42" t="str">
        <f>IF(SUMIFS(Sheet2!$E:$E,Sheet2!$C:$C,$A54,Sheet2!$A:$A,Z$2)&lt;&gt;0,SUMIFS(Sheet2!$E:$E,Sheet2!$C:$C,$A54,Sheet2!$A:$A,Z$2),"")</f>
        <v/>
      </c>
      <c r="AA54" s="42" t="str">
        <f>IF(SUMIFS(Sheet2!$E:$E,Sheet2!$C:$C,$A54,Sheet2!$A:$A,AA$2)&lt;&gt;0,SUMIFS(Sheet2!$E:$E,Sheet2!$C:$C,$A54,Sheet2!$A:$A,AA$2),"")</f>
        <v/>
      </c>
      <c r="AB54" s="42" t="str">
        <f>IF(SUMIFS(Sheet2!$E:$E,Sheet2!$C:$C,$A54,Sheet2!$A:$A,AB$2)&lt;&gt;0,SUMIFS(Sheet2!$E:$E,Sheet2!$C:$C,$A54,Sheet2!$A:$A,AB$2),"")</f>
        <v/>
      </c>
      <c r="AC54" s="42" t="str">
        <f>IF(SUMIFS(Sheet2!$E:$E,Sheet2!$C:$C,$A54,Sheet2!$A:$A,AC$2)&lt;&gt;0,SUMIFS(Sheet2!$E:$E,Sheet2!$C:$C,$A54,Sheet2!$A:$A,AC$2),"")</f>
        <v/>
      </c>
      <c r="AD54" s="42" t="str">
        <f>IF(SUMIFS(Sheet2!$E:$E,Sheet2!$C:$C,$A54,Sheet2!$A:$A,AD$2)&lt;&gt;0,SUMIFS(Sheet2!$E:$E,Sheet2!$C:$C,$A54,Sheet2!$A:$A,AD$2),"")</f>
        <v/>
      </c>
      <c r="AE54" s="42" t="str">
        <f>IF(SUMIFS(Sheet2!$E:$E,Sheet2!$C:$C,$A54,Sheet2!$A:$A,AE$2)&lt;&gt;0,SUMIFS(Sheet2!$E:$E,Sheet2!$C:$C,$A54,Sheet2!$A:$A,AE$2),"")</f>
        <v/>
      </c>
      <c r="AF54" s="42" t="str">
        <f>IF(SUMIFS(Sheet2!$E:$E,Sheet2!$C:$C,$A54,Sheet2!$A:$A,AF$2)&lt;&gt;0,SUMIFS(Sheet2!$E:$E,Sheet2!$C:$C,$A54,Sheet2!$A:$A,AF$2),"")</f>
        <v/>
      </c>
      <c r="AG54" s="42" t="str">
        <f>IF(SUMIFS(Sheet2!$E:$E,Sheet2!$C:$C,$A54,Sheet2!$A:$A,AG$2)&lt;&gt;0,SUMIFS(Sheet2!$E:$E,Sheet2!$C:$C,$A54,Sheet2!$A:$A,AG$2),"")</f>
        <v/>
      </c>
      <c r="AH54" s="43">
        <f>SUM(Table2[[#This Row],[1]:[31]])</f>
        <v>0</v>
      </c>
    </row>
    <row r="55" spans="1:34" ht="12.75" customHeight="1">
      <c r="A55" s="76" t="str">
        <f>DSSP!A54</f>
        <v>A139</v>
      </c>
      <c r="B55" s="25" t="str">
        <f>DSSP!B54</f>
        <v>Cú</v>
      </c>
      <c r="C55" s="42" t="str">
        <f>IF(SUMIFS(Sheet2!$E:$E,Sheet2!$C:$C,$A55,Sheet2!$A:$A,C$2)&lt;&gt;0,SUMIFS(Sheet2!$E:$E,Sheet2!$C:$C,$A55,Sheet2!$A:$A,C$2),"")</f>
        <v/>
      </c>
      <c r="D55" s="42" t="str">
        <f>IF(SUMIFS(Sheet2!$E:$E,Sheet2!$C:$C,$A55,Sheet2!$A:$A,D$2)&lt;&gt;0,SUMIFS(Sheet2!$E:$E,Sheet2!$C:$C,$A55,Sheet2!$A:$A,D$2),"")</f>
        <v/>
      </c>
      <c r="E55" s="42" t="str">
        <f>IF(SUMIFS(Sheet2!$E:$E,Sheet2!$C:$C,$A55,Sheet2!$A:$A,E$2)&lt;&gt;0,SUMIFS(Sheet2!$E:$E,Sheet2!$C:$C,$A55,Sheet2!$A:$A,E$2),"")</f>
        <v/>
      </c>
      <c r="F55" s="42" t="str">
        <f>IF(SUMIFS(Sheet2!$E:$E,Sheet2!$C:$C,$A55,Sheet2!$A:$A,F$2)&lt;&gt;0,SUMIFS(Sheet2!$E:$E,Sheet2!$C:$C,$A55,Sheet2!$A:$A,F$2),"")</f>
        <v/>
      </c>
      <c r="G55" s="42" t="str">
        <f>IF(SUMIFS(Sheet2!$E:$E,Sheet2!$C:$C,$A55,Sheet2!$A:$A,G$2)&lt;&gt;0,SUMIFS(Sheet2!$E:$E,Sheet2!$C:$C,$A55,Sheet2!$A:$A,G$2),"")</f>
        <v/>
      </c>
      <c r="H55" s="42" t="str">
        <f>IF(SUMIFS(Sheet2!$E:$E,Sheet2!$C:$C,$A55,Sheet2!$A:$A,H$2)&lt;&gt;0,SUMIFS(Sheet2!$E:$E,Sheet2!$C:$C,$A55,Sheet2!$A:$A,H$2),"")</f>
        <v/>
      </c>
      <c r="I55" s="42" t="str">
        <f>IF(SUMIFS(Sheet2!$E:$E,Sheet2!$C:$C,$A55,Sheet2!$A:$A,I$2)&lt;&gt;0,SUMIFS(Sheet2!$E:$E,Sheet2!$C:$C,$A55,Sheet2!$A:$A,I$2),"")</f>
        <v/>
      </c>
      <c r="J55" s="42" t="str">
        <f>IF(SUMIFS(Sheet2!$E:$E,Sheet2!$C:$C,$A55,Sheet2!$A:$A,J$2)&lt;&gt;0,SUMIFS(Sheet2!$E:$E,Sheet2!$C:$C,$A55,Sheet2!$A:$A,J$2),"")</f>
        <v/>
      </c>
      <c r="K55" s="42" t="str">
        <f>IF(SUMIFS(Sheet2!$E:$E,Sheet2!$C:$C,$A55,Sheet2!$A:$A,K$2)&lt;&gt;0,SUMIFS(Sheet2!$E:$E,Sheet2!$C:$C,$A55,Sheet2!$A:$A,K$2),"")</f>
        <v/>
      </c>
      <c r="L55" s="42" t="str">
        <f>IF(SUMIFS(Sheet2!$E:$E,Sheet2!$C:$C,$A55,Sheet2!$A:$A,L$2)&lt;&gt;0,SUMIFS(Sheet2!$E:$E,Sheet2!$C:$C,$A55,Sheet2!$A:$A,L$2),"")</f>
        <v/>
      </c>
      <c r="M55" s="42" t="str">
        <f>IF(SUMIFS(Sheet2!$E:$E,Sheet2!$C:$C,$A55,Sheet2!$A:$A,M$2)&lt;&gt;0,SUMIFS(Sheet2!$E:$E,Sheet2!$C:$C,$A55,Sheet2!$A:$A,M$2),"")</f>
        <v/>
      </c>
      <c r="N55" s="42" t="str">
        <f>IF(SUMIFS(Sheet2!$E:$E,Sheet2!$C:$C,$A55,Sheet2!$A:$A,N$2)&lt;&gt;0,SUMIFS(Sheet2!$E:$E,Sheet2!$C:$C,$A55,Sheet2!$A:$A,N$2),"")</f>
        <v/>
      </c>
      <c r="O55" s="42" t="str">
        <f>IF(SUMIFS(Sheet2!$E:$E,Sheet2!$C:$C,$A55,Sheet2!$A:$A,O$2)&lt;&gt;0,SUMIFS(Sheet2!$E:$E,Sheet2!$C:$C,$A55,Sheet2!$A:$A,O$2),"")</f>
        <v/>
      </c>
      <c r="P55" s="42" t="str">
        <f>IF(SUMIFS(Sheet2!$E:$E,Sheet2!$C:$C,$A55,Sheet2!$A:$A,P$2)&lt;&gt;0,SUMIFS(Sheet2!$E:$E,Sheet2!$C:$C,$A55,Sheet2!$A:$A,P$2),"")</f>
        <v/>
      </c>
      <c r="Q55" s="42" t="str">
        <f>IF(SUMIFS(Sheet2!$E:$E,Sheet2!$C:$C,$A55,Sheet2!$A:$A,Q$2)&lt;&gt;0,SUMIFS(Sheet2!$E:$E,Sheet2!$C:$C,$A55,Sheet2!$A:$A,Q$2),"")</f>
        <v/>
      </c>
      <c r="R55" s="42" t="str">
        <f>IF(SUMIFS(Sheet2!$E:$E,Sheet2!$C:$C,$A55,Sheet2!$A:$A,R$2)&lt;&gt;0,SUMIFS(Sheet2!$E:$E,Sheet2!$C:$C,$A55,Sheet2!$A:$A,R$2),"")</f>
        <v/>
      </c>
      <c r="S55" s="42" t="str">
        <f>IF(SUMIFS(Sheet2!$E:$E,Sheet2!$C:$C,$A55,Sheet2!$A:$A,S$2)&lt;&gt;0,SUMIFS(Sheet2!$E:$E,Sheet2!$C:$C,$A55,Sheet2!$A:$A,S$2),"")</f>
        <v/>
      </c>
      <c r="T55" s="42" t="str">
        <f>IF(SUMIFS(Sheet2!$E:$E,Sheet2!$C:$C,$A55,Sheet2!$A:$A,T$2)&lt;&gt;0,SUMIFS(Sheet2!$E:$E,Sheet2!$C:$C,$A55,Sheet2!$A:$A,T$2),"")</f>
        <v/>
      </c>
      <c r="U55" s="42" t="str">
        <f>IF(SUMIFS(Sheet2!$E:$E,Sheet2!$C:$C,$A55,Sheet2!$A:$A,U$2)&lt;&gt;0,SUMIFS(Sheet2!$E:$E,Sheet2!$C:$C,$A55,Sheet2!$A:$A,U$2),"")</f>
        <v/>
      </c>
      <c r="V55" s="42" t="str">
        <f>IF(SUMIFS(Sheet2!$E:$E,Sheet2!$C:$C,$A55,Sheet2!$A:$A,V$2)&lt;&gt;0,SUMIFS(Sheet2!$E:$E,Sheet2!$C:$C,$A55,Sheet2!$A:$A,V$2),"")</f>
        <v/>
      </c>
      <c r="W55" s="42" t="str">
        <f>IF(SUMIFS(Sheet2!$E:$E,Sheet2!$C:$C,$A55,Sheet2!$A:$A,W$2)&lt;&gt;0,SUMIFS(Sheet2!$E:$E,Sheet2!$C:$C,$A55,Sheet2!$A:$A,W$2),"")</f>
        <v/>
      </c>
      <c r="X55" s="42" t="str">
        <f>IF(SUMIFS(Sheet2!$E:$E,Sheet2!$C:$C,$A55,Sheet2!$A:$A,X$2)&lt;&gt;0,SUMIFS(Sheet2!$E:$E,Sheet2!$C:$C,$A55,Sheet2!$A:$A,X$2),"")</f>
        <v/>
      </c>
      <c r="Y55" s="42" t="str">
        <f>IF(SUMIFS(Sheet2!$E:$E,Sheet2!$C:$C,$A55,Sheet2!$A:$A,Y$2)&lt;&gt;0,SUMIFS(Sheet2!$E:$E,Sheet2!$C:$C,$A55,Sheet2!$A:$A,Y$2),"")</f>
        <v/>
      </c>
      <c r="Z55" s="42" t="str">
        <f>IF(SUMIFS(Sheet2!$E:$E,Sheet2!$C:$C,$A55,Sheet2!$A:$A,Z$2)&lt;&gt;0,SUMIFS(Sheet2!$E:$E,Sheet2!$C:$C,$A55,Sheet2!$A:$A,Z$2),"")</f>
        <v/>
      </c>
      <c r="AA55" s="42" t="str">
        <f>IF(SUMIFS(Sheet2!$E:$E,Sheet2!$C:$C,$A55,Sheet2!$A:$A,AA$2)&lt;&gt;0,SUMIFS(Sheet2!$E:$E,Sheet2!$C:$C,$A55,Sheet2!$A:$A,AA$2),"")</f>
        <v/>
      </c>
      <c r="AB55" s="42" t="str">
        <f>IF(SUMIFS(Sheet2!$E:$E,Sheet2!$C:$C,$A55,Sheet2!$A:$A,AB$2)&lt;&gt;0,SUMIFS(Sheet2!$E:$E,Sheet2!$C:$C,$A55,Sheet2!$A:$A,AB$2),"")</f>
        <v/>
      </c>
      <c r="AC55" s="42" t="str">
        <f>IF(SUMIFS(Sheet2!$E:$E,Sheet2!$C:$C,$A55,Sheet2!$A:$A,AC$2)&lt;&gt;0,SUMIFS(Sheet2!$E:$E,Sheet2!$C:$C,$A55,Sheet2!$A:$A,AC$2),"")</f>
        <v/>
      </c>
      <c r="AD55" s="42" t="str">
        <f>IF(SUMIFS(Sheet2!$E:$E,Sheet2!$C:$C,$A55,Sheet2!$A:$A,AD$2)&lt;&gt;0,SUMIFS(Sheet2!$E:$E,Sheet2!$C:$C,$A55,Sheet2!$A:$A,AD$2),"")</f>
        <v/>
      </c>
      <c r="AE55" s="42" t="str">
        <f>IF(SUMIFS(Sheet2!$E:$E,Sheet2!$C:$C,$A55,Sheet2!$A:$A,AE$2)&lt;&gt;0,SUMIFS(Sheet2!$E:$E,Sheet2!$C:$C,$A55,Sheet2!$A:$A,AE$2),"")</f>
        <v/>
      </c>
      <c r="AF55" s="42" t="str">
        <f>IF(SUMIFS(Sheet2!$E:$E,Sheet2!$C:$C,$A55,Sheet2!$A:$A,AF$2)&lt;&gt;0,SUMIFS(Sheet2!$E:$E,Sheet2!$C:$C,$A55,Sheet2!$A:$A,AF$2),"")</f>
        <v/>
      </c>
      <c r="AG55" s="42" t="str">
        <f>IF(SUMIFS(Sheet2!$E:$E,Sheet2!$C:$C,$A55,Sheet2!$A:$A,AG$2)&lt;&gt;0,SUMIFS(Sheet2!$E:$E,Sheet2!$C:$C,$A55,Sheet2!$A:$A,AG$2),"")</f>
        <v/>
      </c>
      <c r="AH55" s="43">
        <f>SUM(Table2[[#This Row],[1]:[31]])</f>
        <v>0</v>
      </c>
    </row>
    <row r="56" spans="1:34" ht="12.75" customHeight="1">
      <c r="A56" s="76" t="str">
        <f>DSSP!A55</f>
        <v>A140</v>
      </c>
      <c r="B56" s="25" t="str">
        <f>DSSP!B55</f>
        <v>Domokun</v>
      </c>
      <c r="C56" s="42" t="str">
        <f>IF(SUMIFS(Sheet2!$E:$E,Sheet2!$C:$C,$A56,Sheet2!$A:$A,C$2)&lt;&gt;0,SUMIFS(Sheet2!$E:$E,Sheet2!$C:$C,$A56,Sheet2!$A:$A,C$2),"")</f>
        <v/>
      </c>
      <c r="D56" s="42" t="str">
        <f>IF(SUMIFS(Sheet2!$E:$E,Sheet2!$C:$C,$A56,Sheet2!$A:$A,D$2)&lt;&gt;0,SUMIFS(Sheet2!$E:$E,Sheet2!$C:$C,$A56,Sheet2!$A:$A,D$2),"")</f>
        <v/>
      </c>
      <c r="E56" s="42" t="str">
        <f>IF(SUMIFS(Sheet2!$E:$E,Sheet2!$C:$C,$A56,Sheet2!$A:$A,E$2)&lt;&gt;0,SUMIFS(Sheet2!$E:$E,Sheet2!$C:$C,$A56,Sheet2!$A:$A,E$2),"")</f>
        <v/>
      </c>
      <c r="F56" s="42" t="str">
        <f>IF(SUMIFS(Sheet2!$E:$E,Sheet2!$C:$C,$A56,Sheet2!$A:$A,F$2)&lt;&gt;0,SUMIFS(Sheet2!$E:$E,Sheet2!$C:$C,$A56,Sheet2!$A:$A,F$2),"")</f>
        <v/>
      </c>
      <c r="G56" s="42" t="str">
        <f>IF(SUMIFS(Sheet2!$E:$E,Sheet2!$C:$C,$A56,Sheet2!$A:$A,G$2)&lt;&gt;0,SUMIFS(Sheet2!$E:$E,Sheet2!$C:$C,$A56,Sheet2!$A:$A,G$2),"")</f>
        <v/>
      </c>
      <c r="H56" s="42" t="str">
        <f>IF(SUMIFS(Sheet2!$E:$E,Sheet2!$C:$C,$A56,Sheet2!$A:$A,H$2)&lt;&gt;0,SUMIFS(Sheet2!$E:$E,Sheet2!$C:$C,$A56,Sheet2!$A:$A,H$2),"")</f>
        <v/>
      </c>
      <c r="I56" s="42" t="str">
        <f>IF(SUMIFS(Sheet2!$E:$E,Sheet2!$C:$C,$A56,Sheet2!$A:$A,I$2)&lt;&gt;0,SUMIFS(Sheet2!$E:$E,Sheet2!$C:$C,$A56,Sheet2!$A:$A,I$2),"")</f>
        <v/>
      </c>
      <c r="J56" s="42" t="str">
        <f>IF(SUMIFS(Sheet2!$E:$E,Sheet2!$C:$C,$A56,Sheet2!$A:$A,J$2)&lt;&gt;0,SUMIFS(Sheet2!$E:$E,Sheet2!$C:$C,$A56,Sheet2!$A:$A,J$2),"")</f>
        <v/>
      </c>
      <c r="K56" s="42" t="str">
        <f>IF(SUMIFS(Sheet2!$E:$E,Sheet2!$C:$C,$A56,Sheet2!$A:$A,K$2)&lt;&gt;0,SUMIFS(Sheet2!$E:$E,Sheet2!$C:$C,$A56,Sheet2!$A:$A,K$2),"")</f>
        <v/>
      </c>
      <c r="L56" s="42" t="str">
        <f>IF(SUMIFS(Sheet2!$E:$E,Sheet2!$C:$C,$A56,Sheet2!$A:$A,L$2)&lt;&gt;0,SUMIFS(Sheet2!$E:$E,Sheet2!$C:$C,$A56,Sheet2!$A:$A,L$2),"")</f>
        <v/>
      </c>
      <c r="M56" s="42" t="str">
        <f>IF(SUMIFS(Sheet2!$E:$E,Sheet2!$C:$C,$A56,Sheet2!$A:$A,M$2)&lt;&gt;0,SUMIFS(Sheet2!$E:$E,Sheet2!$C:$C,$A56,Sheet2!$A:$A,M$2),"")</f>
        <v/>
      </c>
      <c r="N56" s="42" t="str">
        <f>IF(SUMIFS(Sheet2!$E:$E,Sheet2!$C:$C,$A56,Sheet2!$A:$A,N$2)&lt;&gt;0,SUMIFS(Sheet2!$E:$E,Sheet2!$C:$C,$A56,Sheet2!$A:$A,N$2),"")</f>
        <v/>
      </c>
      <c r="O56" s="42" t="str">
        <f>IF(SUMIFS(Sheet2!$E:$E,Sheet2!$C:$C,$A56,Sheet2!$A:$A,O$2)&lt;&gt;0,SUMIFS(Sheet2!$E:$E,Sheet2!$C:$C,$A56,Sheet2!$A:$A,O$2),"")</f>
        <v/>
      </c>
      <c r="P56" s="42" t="str">
        <f>IF(SUMIFS(Sheet2!$E:$E,Sheet2!$C:$C,$A56,Sheet2!$A:$A,P$2)&lt;&gt;0,SUMIFS(Sheet2!$E:$E,Sheet2!$C:$C,$A56,Sheet2!$A:$A,P$2),"")</f>
        <v/>
      </c>
      <c r="Q56" s="42" t="str">
        <f>IF(SUMIFS(Sheet2!$E:$E,Sheet2!$C:$C,$A56,Sheet2!$A:$A,Q$2)&lt;&gt;0,SUMIFS(Sheet2!$E:$E,Sheet2!$C:$C,$A56,Sheet2!$A:$A,Q$2),"")</f>
        <v/>
      </c>
      <c r="R56" s="42" t="str">
        <f>IF(SUMIFS(Sheet2!$E:$E,Sheet2!$C:$C,$A56,Sheet2!$A:$A,R$2)&lt;&gt;0,SUMIFS(Sheet2!$E:$E,Sheet2!$C:$C,$A56,Sheet2!$A:$A,R$2),"")</f>
        <v/>
      </c>
      <c r="S56" s="42" t="str">
        <f>IF(SUMIFS(Sheet2!$E:$E,Sheet2!$C:$C,$A56,Sheet2!$A:$A,S$2)&lt;&gt;0,SUMIFS(Sheet2!$E:$E,Sheet2!$C:$C,$A56,Sheet2!$A:$A,S$2),"")</f>
        <v/>
      </c>
      <c r="T56" s="42" t="str">
        <f>IF(SUMIFS(Sheet2!$E:$E,Sheet2!$C:$C,$A56,Sheet2!$A:$A,T$2)&lt;&gt;0,SUMIFS(Sheet2!$E:$E,Sheet2!$C:$C,$A56,Sheet2!$A:$A,T$2),"")</f>
        <v/>
      </c>
      <c r="U56" s="42" t="str">
        <f>IF(SUMIFS(Sheet2!$E:$E,Sheet2!$C:$C,$A56,Sheet2!$A:$A,U$2)&lt;&gt;0,SUMIFS(Sheet2!$E:$E,Sheet2!$C:$C,$A56,Sheet2!$A:$A,U$2),"")</f>
        <v/>
      </c>
      <c r="V56" s="42" t="str">
        <f>IF(SUMIFS(Sheet2!$E:$E,Sheet2!$C:$C,$A56,Sheet2!$A:$A,V$2)&lt;&gt;0,SUMIFS(Sheet2!$E:$E,Sheet2!$C:$C,$A56,Sheet2!$A:$A,V$2),"")</f>
        <v/>
      </c>
      <c r="W56" s="42" t="str">
        <f>IF(SUMIFS(Sheet2!$E:$E,Sheet2!$C:$C,$A56,Sheet2!$A:$A,W$2)&lt;&gt;0,SUMIFS(Sheet2!$E:$E,Sheet2!$C:$C,$A56,Sheet2!$A:$A,W$2),"")</f>
        <v/>
      </c>
      <c r="X56" s="42" t="str">
        <f>IF(SUMIFS(Sheet2!$E:$E,Sheet2!$C:$C,$A56,Sheet2!$A:$A,X$2)&lt;&gt;0,SUMIFS(Sheet2!$E:$E,Sheet2!$C:$C,$A56,Sheet2!$A:$A,X$2),"")</f>
        <v/>
      </c>
      <c r="Y56" s="42" t="str">
        <f>IF(SUMIFS(Sheet2!$E:$E,Sheet2!$C:$C,$A56,Sheet2!$A:$A,Y$2)&lt;&gt;0,SUMIFS(Sheet2!$E:$E,Sheet2!$C:$C,$A56,Sheet2!$A:$A,Y$2),"")</f>
        <v/>
      </c>
      <c r="Z56" s="42" t="str">
        <f>IF(SUMIFS(Sheet2!$E:$E,Sheet2!$C:$C,$A56,Sheet2!$A:$A,Z$2)&lt;&gt;0,SUMIFS(Sheet2!$E:$E,Sheet2!$C:$C,$A56,Sheet2!$A:$A,Z$2),"")</f>
        <v/>
      </c>
      <c r="AA56" s="42" t="str">
        <f>IF(SUMIFS(Sheet2!$E:$E,Sheet2!$C:$C,$A56,Sheet2!$A:$A,AA$2)&lt;&gt;0,SUMIFS(Sheet2!$E:$E,Sheet2!$C:$C,$A56,Sheet2!$A:$A,AA$2),"")</f>
        <v/>
      </c>
      <c r="AB56" s="42" t="str">
        <f>IF(SUMIFS(Sheet2!$E:$E,Sheet2!$C:$C,$A56,Sheet2!$A:$A,AB$2)&lt;&gt;0,SUMIFS(Sheet2!$E:$E,Sheet2!$C:$C,$A56,Sheet2!$A:$A,AB$2),"")</f>
        <v/>
      </c>
      <c r="AC56" s="42" t="str">
        <f>IF(SUMIFS(Sheet2!$E:$E,Sheet2!$C:$C,$A56,Sheet2!$A:$A,AC$2)&lt;&gt;0,SUMIFS(Sheet2!$E:$E,Sheet2!$C:$C,$A56,Sheet2!$A:$A,AC$2),"")</f>
        <v/>
      </c>
      <c r="AD56" s="42" t="str">
        <f>IF(SUMIFS(Sheet2!$E:$E,Sheet2!$C:$C,$A56,Sheet2!$A:$A,AD$2)&lt;&gt;0,SUMIFS(Sheet2!$E:$E,Sheet2!$C:$C,$A56,Sheet2!$A:$A,AD$2),"")</f>
        <v/>
      </c>
      <c r="AE56" s="42" t="str">
        <f>IF(SUMIFS(Sheet2!$E:$E,Sheet2!$C:$C,$A56,Sheet2!$A:$A,AE$2)&lt;&gt;0,SUMIFS(Sheet2!$E:$E,Sheet2!$C:$C,$A56,Sheet2!$A:$A,AE$2),"")</f>
        <v/>
      </c>
      <c r="AF56" s="42" t="str">
        <f>IF(SUMIFS(Sheet2!$E:$E,Sheet2!$C:$C,$A56,Sheet2!$A:$A,AF$2)&lt;&gt;0,SUMIFS(Sheet2!$E:$E,Sheet2!$C:$C,$A56,Sheet2!$A:$A,AF$2),"")</f>
        <v/>
      </c>
      <c r="AG56" s="42" t="str">
        <f>IF(SUMIFS(Sheet2!$E:$E,Sheet2!$C:$C,$A56,Sheet2!$A:$A,AG$2)&lt;&gt;0,SUMIFS(Sheet2!$E:$E,Sheet2!$C:$C,$A56,Sheet2!$A:$A,AG$2),"")</f>
        <v/>
      </c>
      <c r="AH56" s="43">
        <f>SUM(Table2[[#This Row],[1]:[31]])</f>
        <v>0</v>
      </c>
    </row>
    <row r="57" spans="1:34" ht="12.75" customHeight="1">
      <c r="A57" s="76" t="str">
        <f>DSSP!A56</f>
        <v>A141</v>
      </c>
      <c r="B57" s="25" t="str">
        <f>DSSP!B56</f>
        <v>Mèo</v>
      </c>
      <c r="C57" s="42" t="str">
        <f>IF(SUMIFS(Sheet2!$E:$E,Sheet2!$C:$C,$A57,Sheet2!$A:$A,C$2)&lt;&gt;0,SUMIFS(Sheet2!$E:$E,Sheet2!$C:$C,$A57,Sheet2!$A:$A,C$2),"")</f>
        <v/>
      </c>
      <c r="D57" s="42" t="str">
        <f>IF(SUMIFS(Sheet2!$E:$E,Sheet2!$C:$C,$A57,Sheet2!$A:$A,D$2)&lt;&gt;0,SUMIFS(Sheet2!$E:$E,Sheet2!$C:$C,$A57,Sheet2!$A:$A,D$2),"")</f>
        <v/>
      </c>
      <c r="E57" s="42" t="str">
        <f>IF(SUMIFS(Sheet2!$E:$E,Sheet2!$C:$C,$A57,Sheet2!$A:$A,E$2)&lt;&gt;0,SUMIFS(Sheet2!$E:$E,Sheet2!$C:$C,$A57,Sheet2!$A:$A,E$2),"")</f>
        <v/>
      </c>
      <c r="F57" s="42" t="str">
        <f>IF(SUMIFS(Sheet2!$E:$E,Sheet2!$C:$C,$A57,Sheet2!$A:$A,F$2)&lt;&gt;0,SUMIFS(Sheet2!$E:$E,Sheet2!$C:$C,$A57,Sheet2!$A:$A,F$2),"")</f>
        <v/>
      </c>
      <c r="G57" s="42" t="str">
        <f>IF(SUMIFS(Sheet2!$E:$E,Sheet2!$C:$C,$A57,Sheet2!$A:$A,G$2)&lt;&gt;0,SUMIFS(Sheet2!$E:$E,Sheet2!$C:$C,$A57,Sheet2!$A:$A,G$2),"")</f>
        <v/>
      </c>
      <c r="H57" s="42" t="str">
        <f>IF(SUMIFS(Sheet2!$E:$E,Sheet2!$C:$C,$A57,Sheet2!$A:$A,H$2)&lt;&gt;0,SUMIFS(Sheet2!$E:$E,Sheet2!$C:$C,$A57,Sheet2!$A:$A,H$2),"")</f>
        <v/>
      </c>
      <c r="I57" s="42" t="str">
        <f>IF(SUMIFS(Sheet2!$E:$E,Sheet2!$C:$C,$A57,Sheet2!$A:$A,I$2)&lt;&gt;0,SUMIFS(Sheet2!$E:$E,Sheet2!$C:$C,$A57,Sheet2!$A:$A,I$2),"")</f>
        <v/>
      </c>
      <c r="J57" s="42" t="str">
        <f>IF(SUMIFS(Sheet2!$E:$E,Sheet2!$C:$C,$A57,Sheet2!$A:$A,J$2)&lt;&gt;0,SUMIFS(Sheet2!$E:$E,Sheet2!$C:$C,$A57,Sheet2!$A:$A,J$2),"")</f>
        <v/>
      </c>
      <c r="K57" s="42" t="str">
        <f>IF(SUMIFS(Sheet2!$E:$E,Sheet2!$C:$C,$A57,Sheet2!$A:$A,K$2)&lt;&gt;0,SUMIFS(Sheet2!$E:$E,Sheet2!$C:$C,$A57,Sheet2!$A:$A,K$2),"")</f>
        <v/>
      </c>
      <c r="L57" s="42" t="str">
        <f>IF(SUMIFS(Sheet2!$E:$E,Sheet2!$C:$C,$A57,Sheet2!$A:$A,L$2)&lt;&gt;0,SUMIFS(Sheet2!$E:$E,Sheet2!$C:$C,$A57,Sheet2!$A:$A,L$2),"")</f>
        <v/>
      </c>
      <c r="M57" s="42" t="str">
        <f>IF(SUMIFS(Sheet2!$E:$E,Sheet2!$C:$C,$A57,Sheet2!$A:$A,M$2)&lt;&gt;0,SUMIFS(Sheet2!$E:$E,Sheet2!$C:$C,$A57,Sheet2!$A:$A,M$2),"")</f>
        <v/>
      </c>
      <c r="N57" s="42" t="str">
        <f>IF(SUMIFS(Sheet2!$E:$E,Sheet2!$C:$C,$A57,Sheet2!$A:$A,N$2)&lt;&gt;0,SUMIFS(Sheet2!$E:$E,Sheet2!$C:$C,$A57,Sheet2!$A:$A,N$2),"")</f>
        <v/>
      </c>
      <c r="O57" s="42" t="str">
        <f>IF(SUMIFS(Sheet2!$E:$E,Sheet2!$C:$C,$A57,Sheet2!$A:$A,O$2)&lt;&gt;0,SUMIFS(Sheet2!$E:$E,Sheet2!$C:$C,$A57,Sheet2!$A:$A,O$2),"")</f>
        <v/>
      </c>
      <c r="P57" s="42" t="str">
        <f>IF(SUMIFS(Sheet2!$E:$E,Sheet2!$C:$C,$A57,Sheet2!$A:$A,P$2)&lt;&gt;0,SUMIFS(Sheet2!$E:$E,Sheet2!$C:$C,$A57,Sheet2!$A:$A,P$2),"")</f>
        <v/>
      </c>
      <c r="Q57" s="42" t="str">
        <f>IF(SUMIFS(Sheet2!$E:$E,Sheet2!$C:$C,$A57,Sheet2!$A:$A,Q$2)&lt;&gt;0,SUMIFS(Sheet2!$E:$E,Sheet2!$C:$C,$A57,Sheet2!$A:$A,Q$2),"")</f>
        <v/>
      </c>
      <c r="R57" s="42" t="str">
        <f>IF(SUMIFS(Sheet2!$E:$E,Sheet2!$C:$C,$A57,Sheet2!$A:$A,R$2)&lt;&gt;0,SUMIFS(Sheet2!$E:$E,Sheet2!$C:$C,$A57,Sheet2!$A:$A,R$2),"")</f>
        <v/>
      </c>
      <c r="S57" s="42" t="str">
        <f>IF(SUMIFS(Sheet2!$E:$E,Sheet2!$C:$C,$A57,Sheet2!$A:$A,S$2)&lt;&gt;0,SUMIFS(Sheet2!$E:$E,Sheet2!$C:$C,$A57,Sheet2!$A:$A,S$2),"")</f>
        <v/>
      </c>
      <c r="T57" s="42" t="str">
        <f>IF(SUMIFS(Sheet2!$E:$E,Sheet2!$C:$C,$A57,Sheet2!$A:$A,T$2)&lt;&gt;0,SUMIFS(Sheet2!$E:$E,Sheet2!$C:$C,$A57,Sheet2!$A:$A,T$2),"")</f>
        <v/>
      </c>
      <c r="U57" s="42" t="str">
        <f>IF(SUMIFS(Sheet2!$E:$E,Sheet2!$C:$C,$A57,Sheet2!$A:$A,U$2)&lt;&gt;0,SUMIFS(Sheet2!$E:$E,Sheet2!$C:$C,$A57,Sheet2!$A:$A,U$2),"")</f>
        <v/>
      </c>
      <c r="V57" s="42" t="str">
        <f>IF(SUMIFS(Sheet2!$E:$E,Sheet2!$C:$C,$A57,Sheet2!$A:$A,V$2)&lt;&gt;0,SUMIFS(Sheet2!$E:$E,Sheet2!$C:$C,$A57,Sheet2!$A:$A,V$2),"")</f>
        <v/>
      </c>
      <c r="W57" s="42" t="str">
        <f>IF(SUMIFS(Sheet2!$E:$E,Sheet2!$C:$C,$A57,Sheet2!$A:$A,W$2)&lt;&gt;0,SUMIFS(Sheet2!$E:$E,Sheet2!$C:$C,$A57,Sheet2!$A:$A,W$2),"")</f>
        <v/>
      </c>
      <c r="X57" s="42" t="str">
        <f>IF(SUMIFS(Sheet2!$E:$E,Sheet2!$C:$C,$A57,Sheet2!$A:$A,X$2)&lt;&gt;0,SUMIFS(Sheet2!$E:$E,Sheet2!$C:$C,$A57,Sheet2!$A:$A,X$2),"")</f>
        <v/>
      </c>
      <c r="Y57" s="42" t="str">
        <f>IF(SUMIFS(Sheet2!$E:$E,Sheet2!$C:$C,$A57,Sheet2!$A:$A,Y$2)&lt;&gt;0,SUMIFS(Sheet2!$E:$E,Sheet2!$C:$C,$A57,Sheet2!$A:$A,Y$2),"")</f>
        <v/>
      </c>
      <c r="Z57" s="42" t="str">
        <f>IF(SUMIFS(Sheet2!$E:$E,Sheet2!$C:$C,$A57,Sheet2!$A:$A,Z$2)&lt;&gt;0,SUMIFS(Sheet2!$E:$E,Sheet2!$C:$C,$A57,Sheet2!$A:$A,Z$2),"")</f>
        <v/>
      </c>
      <c r="AA57" s="42" t="str">
        <f>IF(SUMIFS(Sheet2!$E:$E,Sheet2!$C:$C,$A57,Sheet2!$A:$A,AA$2)&lt;&gt;0,SUMIFS(Sheet2!$E:$E,Sheet2!$C:$C,$A57,Sheet2!$A:$A,AA$2),"")</f>
        <v/>
      </c>
      <c r="AB57" s="42" t="str">
        <f>IF(SUMIFS(Sheet2!$E:$E,Sheet2!$C:$C,$A57,Sheet2!$A:$A,AB$2)&lt;&gt;0,SUMIFS(Sheet2!$E:$E,Sheet2!$C:$C,$A57,Sheet2!$A:$A,AB$2),"")</f>
        <v/>
      </c>
      <c r="AC57" s="42" t="str">
        <f>IF(SUMIFS(Sheet2!$E:$E,Sheet2!$C:$C,$A57,Sheet2!$A:$A,AC$2)&lt;&gt;0,SUMIFS(Sheet2!$E:$E,Sheet2!$C:$C,$A57,Sheet2!$A:$A,AC$2),"")</f>
        <v/>
      </c>
      <c r="AD57" s="42" t="str">
        <f>IF(SUMIFS(Sheet2!$E:$E,Sheet2!$C:$C,$A57,Sheet2!$A:$A,AD$2)&lt;&gt;0,SUMIFS(Sheet2!$E:$E,Sheet2!$C:$C,$A57,Sheet2!$A:$A,AD$2),"")</f>
        <v/>
      </c>
      <c r="AE57" s="42" t="str">
        <f>IF(SUMIFS(Sheet2!$E:$E,Sheet2!$C:$C,$A57,Sheet2!$A:$A,AE$2)&lt;&gt;0,SUMIFS(Sheet2!$E:$E,Sheet2!$C:$C,$A57,Sheet2!$A:$A,AE$2),"")</f>
        <v/>
      </c>
      <c r="AF57" s="42" t="str">
        <f>IF(SUMIFS(Sheet2!$E:$E,Sheet2!$C:$C,$A57,Sheet2!$A:$A,AF$2)&lt;&gt;0,SUMIFS(Sheet2!$E:$E,Sheet2!$C:$C,$A57,Sheet2!$A:$A,AF$2),"")</f>
        <v/>
      </c>
      <c r="AG57" s="42" t="str">
        <f>IF(SUMIFS(Sheet2!$E:$E,Sheet2!$C:$C,$A57,Sheet2!$A:$A,AG$2)&lt;&gt;0,SUMIFS(Sheet2!$E:$E,Sheet2!$C:$C,$A57,Sheet2!$A:$A,AG$2),"")</f>
        <v/>
      </c>
      <c r="AH57" s="43">
        <f>SUM(Table2[[#This Row],[1]:[31]])</f>
        <v>0</v>
      </c>
    </row>
    <row r="58" spans="1:34" ht="12.75" customHeight="1">
      <c r="A58" s="76" t="str">
        <f>DSSP!A57</f>
        <v>A142</v>
      </c>
      <c r="B58" s="25" t="str">
        <f>DSSP!B57</f>
        <v>Bọt biển</v>
      </c>
      <c r="C58" s="42" t="str">
        <f>IF(SUMIFS(Sheet2!$E:$E,Sheet2!$C:$C,$A58,Sheet2!$A:$A,C$2)&lt;&gt;0,SUMIFS(Sheet2!$E:$E,Sheet2!$C:$C,$A58,Sheet2!$A:$A,C$2),"")</f>
        <v/>
      </c>
      <c r="D58" s="42" t="str">
        <f>IF(SUMIFS(Sheet2!$E:$E,Sheet2!$C:$C,$A58,Sheet2!$A:$A,D$2)&lt;&gt;0,SUMIFS(Sheet2!$E:$E,Sheet2!$C:$C,$A58,Sheet2!$A:$A,D$2),"")</f>
        <v/>
      </c>
      <c r="E58" s="42" t="str">
        <f>IF(SUMIFS(Sheet2!$E:$E,Sheet2!$C:$C,$A58,Sheet2!$A:$A,E$2)&lt;&gt;0,SUMIFS(Sheet2!$E:$E,Sheet2!$C:$C,$A58,Sheet2!$A:$A,E$2),"")</f>
        <v/>
      </c>
      <c r="F58" s="42" t="str">
        <f>IF(SUMIFS(Sheet2!$E:$E,Sheet2!$C:$C,$A58,Sheet2!$A:$A,F$2)&lt;&gt;0,SUMIFS(Sheet2!$E:$E,Sheet2!$C:$C,$A58,Sheet2!$A:$A,F$2),"")</f>
        <v/>
      </c>
      <c r="G58" s="42" t="str">
        <f>IF(SUMIFS(Sheet2!$E:$E,Sheet2!$C:$C,$A58,Sheet2!$A:$A,G$2)&lt;&gt;0,SUMIFS(Sheet2!$E:$E,Sheet2!$C:$C,$A58,Sheet2!$A:$A,G$2),"")</f>
        <v/>
      </c>
      <c r="H58" s="42" t="str">
        <f>IF(SUMIFS(Sheet2!$E:$E,Sheet2!$C:$C,$A58,Sheet2!$A:$A,H$2)&lt;&gt;0,SUMIFS(Sheet2!$E:$E,Sheet2!$C:$C,$A58,Sheet2!$A:$A,H$2),"")</f>
        <v/>
      </c>
      <c r="I58" s="42" t="str">
        <f>IF(SUMIFS(Sheet2!$E:$E,Sheet2!$C:$C,$A58,Sheet2!$A:$A,I$2)&lt;&gt;0,SUMIFS(Sheet2!$E:$E,Sheet2!$C:$C,$A58,Sheet2!$A:$A,I$2),"")</f>
        <v/>
      </c>
      <c r="J58" s="42" t="str">
        <f>IF(SUMIFS(Sheet2!$E:$E,Sheet2!$C:$C,$A58,Sheet2!$A:$A,J$2)&lt;&gt;0,SUMIFS(Sheet2!$E:$E,Sheet2!$C:$C,$A58,Sheet2!$A:$A,J$2),"")</f>
        <v/>
      </c>
      <c r="K58" s="42" t="str">
        <f>IF(SUMIFS(Sheet2!$E:$E,Sheet2!$C:$C,$A58,Sheet2!$A:$A,K$2)&lt;&gt;0,SUMIFS(Sheet2!$E:$E,Sheet2!$C:$C,$A58,Sheet2!$A:$A,K$2),"")</f>
        <v/>
      </c>
      <c r="L58" s="42" t="str">
        <f>IF(SUMIFS(Sheet2!$E:$E,Sheet2!$C:$C,$A58,Sheet2!$A:$A,L$2)&lt;&gt;0,SUMIFS(Sheet2!$E:$E,Sheet2!$C:$C,$A58,Sheet2!$A:$A,L$2),"")</f>
        <v/>
      </c>
      <c r="M58" s="42" t="str">
        <f>IF(SUMIFS(Sheet2!$E:$E,Sheet2!$C:$C,$A58,Sheet2!$A:$A,M$2)&lt;&gt;0,SUMIFS(Sheet2!$E:$E,Sheet2!$C:$C,$A58,Sheet2!$A:$A,M$2),"")</f>
        <v/>
      </c>
      <c r="N58" s="42" t="str">
        <f>IF(SUMIFS(Sheet2!$E:$E,Sheet2!$C:$C,$A58,Sheet2!$A:$A,N$2)&lt;&gt;0,SUMIFS(Sheet2!$E:$E,Sheet2!$C:$C,$A58,Sheet2!$A:$A,N$2),"")</f>
        <v/>
      </c>
      <c r="O58" s="42" t="str">
        <f>IF(SUMIFS(Sheet2!$E:$E,Sheet2!$C:$C,$A58,Sheet2!$A:$A,O$2)&lt;&gt;0,SUMIFS(Sheet2!$E:$E,Sheet2!$C:$C,$A58,Sheet2!$A:$A,O$2),"")</f>
        <v/>
      </c>
      <c r="P58" s="42" t="str">
        <f>IF(SUMIFS(Sheet2!$E:$E,Sheet2!$C:$C,$A58,Sheet2!$A:$A,P$2)&lt;&gt;0,SUMIFS(Sheet2!$E:$E,Sheet2!$C:$C,$A58,Sheet2!$A:$A,P$2),"")</f>
        <v/>
      </c>
      <c r="Q58" s="42" t="str">
        <f>IF(SUMIFS(Sheet2!$E:$E,Sheet2!$C:$C,$A58,Sheet2!$A:$A,Q$2)&lt;&gt;0,SUMIFS(Sheet2!$E:$E,Sheet2!$C:$C,$A58,Sheet2!$A:$A,Q$2),"")</f>
        <v/>
      </c>
      <c r="R58" s="42" t="str">
        <f>IF(SUMIFS(Sheet2!$E:$E,Sheet2!$C:$C,$A58,Sheet2!$A:$A,R$2)&lt;&gt;0,SUMIFS(Sheet2!$E:$E,Sheet2!$C:$C,$A58,Sheet2!$A:$A,R$2),"")</f>
        <v/>
      </c>
      <c r="S58" s="42" t="str">
        <f>IF(SUMIFS(Sheet2!$E:$E,Sheet2!$C:$C,$A58,Sheet2!$A:$A,S$2)&lt;&gt;0,SUMIFS(Sheet2!$E:$E,Sheet2!$C:$C,$A58,Sheet2!$A:$A,S$2),"")</f>
        <v/>
      </c>
      <c r="T58" s="42" t="str">
        <f>IF(SUMIFS(Sheet2!$E:$E,Sheet2!$C:$C,$A58,Sheet2!$A:$A,T$2)&lt;&gt;0,SUMIFS(Sheet2!$E:$E,Sheet2!$C:$C,$A58,Sheet2!$A:$A,T$2),"")</f>
        <v/>
      </c>
      <c r="U58" s="42" t="str">
        <f>IF(SUMIFS(Sheet2!$E:$E,Sheet2!$C:$C,$A58,Sheet2!$A:$A,U$2)&lt;&gt;0,SUMIFS(Sheet2!$E:$E,Sheet2!$C:$C,$A58,Sheet2!$A:$A,U$2),"")</f>
        <v/>
      </c>
      <c r="V58" s="42" t="str">
        <f>IF(SUMIFS(Sheet2!$E:$E,Sheet2!$C:$C,$A58,Sheet2!$A:$A,V$2)&lt;&gt;0,SUMIFS(Sheet2!$E:$E,Sheet2!$C:$C,$A58,Sheet2!$A:$A,V$2),"")</f>
        <v/>
      </c>
      <c r="W58" s="42" t="str">
        <f>IF(SUMIFS(Sheet2!$E:$E,Sheet2!$C:$C,$A58,Sheet2!$A:$A,W$2)&lt;&gt;0,SUMIFS(Sheet2!$E:$E,Sheet2!$C:$C,$A58,Sheet2!$A:$A,W$2),"")</f>
        <v/>
      </c>
      <c r="X58" s="42" t="str">
        <f>IF(SUMIFS(Sheet2!$E:$E,Sheet2!$C:$C,$A58,Sheet2!$A:$A,X$2)&lt;&gt;0,SUMIFS(Sheet2!$E:$E,Sheet2!$C:$C,$A58,Sheet2!$A:$A,X$2),"")</f>
        <v/>
      </c>
      <c r="Y58" s="42" t="str">
        <f>IF(SUMIFS(Sheet2!$E:$E,Sheet2!$C:$C,$A58,Sheet2!$A:$A,Y$2)&lt;&gt;0,SUMIFS(Sheet2!$E:$E,Sheet2!$C:$C,$A58,Sheet2!$A:$A,Y$2),"")</f>
        <v/>
      </c>
      <c r="Z58" s="42" t="str">
        <f>IF(SUMIFS(Sheet2!$E:$E,Sheet2!$C:$C,$A58,Sheet2!$A:$A,Z$2)&lt;&gt;0,SUMIFS(Sheet2!$E:$E,Sheet2!$C:$C,$A58,Sheet2!$A:$A,Z$2),"")</f>
        <v/>
      </c>
      <c r="AA58" s="42" t="str">
        <f>IF(SUMIFS(Sheet2!$E:$E,Sheet2!$C:$C,$A58,Sheet2!$A:$A,AA$2)&lt;&gt;0,SUMIFS(Sheet2!$E:$E,Sheet2!$C:$C,$A58,Sheet2!$A:$A,AA$2),"")</f>
        <v/>
      </c>
      <c r="AB58" s="42" t="str">
        <f>IF(SUMIFS(Sheet2!$E:$E,Sheet2!$C:$C,$A58,Sheet2!$A:$A,AB$2)&lt;&gt;0,SUMIFS(Sheet2!$E:$E,Sheet2!$C:$C,$A58,Sheet2!$A:$A,AB$2),"")</f>
        <v/>
      </c>
      <c r="AC58" s="42" t="str">
        <f>IF(SUMIFS(Sheet2!$E:$E,Sheet2!$C:$C,$A58,Sheet2!$A:$A,AC$2)&lt;&gt;0,SUMIFS(Sheet2!$E:$E,Sheet2!$C:$C,$A58,Sheet2!$A:$A,AC$2),"")</f>
        <v/>
      </c>
      <c r="AD58" s="42" t="str">
        <f>IF(SUMIFS(Sheet2!$E:$E,Sheet2!$C:$C,$A58,Sheet2!$A:$A,AD$2)&lt;&gt;0,SUMIFS(Sheet2!$E:$E,Sheet2!$C:$C,$A58,Sheet2!$A:$A,AD$2),"")</f>
        <v/>
      </c>
      <c r="AE58" s="42" t="str">
        <f>IF(SUMIFS(Sheet2!$E:$E,Sheet2!$C:$C,$A58,Sheet2!$A:$A,AE$2)&lt;&gt;0,SUMIFS(Sheet2!$E:$E,Sheet2!$C:$C,$A58,Sheet2!$A:$A,AE$2),"")</f>
        <v/>
      </c>
      <c r="AF58" s="42" t="str">
        <f>IF(SUMIFS(Sheet2!$E:$E,Sheet2!$C:$C,$A58,Sheet2!$A:$A,AF$2)&lt;&gt;0,SUMIFS(Sheet2!$E:$E,Sheet2!$C:$C,$A58,Sheet2!$A:$A,AF$2),"")</f>
        <v/>
      </c>
      <c r="AG58" s="42" t="str">
        <f>IF(SUMIFS(Sheet2!$E:$E,Sheet2!$C:$C,$A58,Sheet2!$A:$A,AG$2)&lt;&gt;0,SUMIFS(Sheet2!$E:$E,Sheet2!$C:$C,$A58,Sheet2!$A:$A,AG$2),"")</f>
        <v/>
      </c>
      <c r="AH58" s="43">
        <f>SUM(Table2[[#This Row],[1]:[31]])</f>
        <v>0</v>
      </c>
    </row>
    <row r="59" spans="1:34" ht="12.75" customHeight="1">
      <c r="A59" s="76" t="str">
        <f>DSSP!A58</f>
        <v>A143</v>
      </c>
      <c r="B59" s="25" t="str">
        <f>DSSP!B58</f>
        <v>Bạch Dương</v>
      </c>
      <c r="C59" s="42" t="str">
        <f>IF(SUMIFS(Sheet2!$E:$E,Sheet2!$C:$C,$A59,Sheet2!$A:$A,C$2)&lt;&gt;0,SUMIFS(Sheet2!$E:$E,Sheet2!$C:$C,$A59,Sheet2!$A:$A,C$2),"")</f>
        <v/>
      </c>
      <c r="D59" s="42" t="str">
        <f>IF(SUMIFS(Sheet2!$E:$E,Sheet2!$C:$C,$A59,Sheet2!$A:$A,D$2)&lt;&gt;0,SUMIFS(Sheet2!$E:$E,Sheet2!$C:$C,$A59,Sheet2!$A:$A,D$2),"")</f>
        <v/>
      </c>
      <c r="E59" s="42" t="str">
        <f>IF(SUMIFS(Sheet2!$E:$E,Sheet2!$C:$C,$A59,Sheet2!$A:$A,E$2)&lt;&gt;0,SUMIFS(Sheet2!$E:$E,Sheet2!$C:$C,$A59,Sheet2!$A:$A,E$2),"")</f>
        <v/>
      </c>
      <c r="F59" s="42" t="str">
        <f>IF(SUMIFS(Sheet2!$E:$E,Sheet2!$C:$C,$A59,Sheet2!$A:$A,F$2)&lt;&gt;0,SUMIFS(Sheet2!$E:$E,Sheet2!$C:$C,$A59,Sheet2!$A:$A,F$2),"")</f>
        <v/>
      </c>
      <c r="G59" s="42" t="str">
        <f>IF(SUMIFS(Sheet2!$E:$E,Sheet2!$C:$C,$A59,Sheet2!$A:$A,G$2)&lt;&gt;0,SUMIFS(Sheet2!$E:$E,Sheet2!$C:$C,$A59,Sheet2!$A:$A,G$2),"")</f>
        <v/>
      </c>
      <c r="H59" s="42" t="str">
        <f>IF(SUMIFS(Sheet2!$E:$E,Sheet2!$C:$C,$A59,Sheet2!$A:$A,H$2)&lt;&gt;0,SUMIFS(Sheet2!$E:$E,Sheet2!$C:$C,$A59,Sheet2!$A:$A,H$2),"")</f>
        <v/>
      </c>
      <c r="I59" s="42" t="str">
        <f>IF(SUMIFS(Sheet2!$E:$E,Sheet2!$C:$C,$A59,Sheet2!$A:$A,I$2)&lt;&gt;0,SUMIFS(Sheet2!$E:$E,Sheet2!$C:$C,$A59,Sheet2!$A:$A,I$2),"")</f>
        <v/>
      </c>
      <c r="J59" s="42" t="str">
        <f>IF(SUMIFS(Sheet2!$E:$E,Sheet2!$C:$C,$A59,Sheet2!$A:$A,J$2)&lt;&gt;0,SUMIFS(Sheet2!$E:$E,Sheet2!$C:$C,$A59,Sheet2!$A:$A,J$2),"")</f>
        <v/>
      </c>
      <c r="K59" s="42" t="str">
        <f>IF(SUMIFS(Sheet2!$E:$E,Sheet2!$C:$C,$A59,Sheet2!$A:$A,K$2)&lt;&gt;0,SUMIFS(Sheet2!$E:$E,Sheet2!$C:$C,$A59,Sheet2!$A:$A,K$2),"")</f>
        <v/>
      </c>
      <c r="L59" s="42" t="str">
        <f>IF(SUMIFS(Sheet2!$E:$E,Sheet2!$C:$C,$A59,Sheet2!$A:$A,L$2)&lt;&gt;0,SUMIFS(Sheet2!$E:$E,Sheet2!$C:$C,$A59,Sheet2!$A:$A,L$2),"")</f>
        <v/>
      </c>
      <c r="M59" s="42" t="str">
        <f>IF(SUMIFS(Sheet2!$E:$E,Sheet2!$C:$C,$A59,Sheet2!$A:$A,M$2)&lt;&gt;0,SUMIFS(Sheet2!$E:$E,Sheet2!$C:$C,$A59,Sheet2!$A:$A,M$2),"")</f>
        <v/>
      </c>
      <c r="N59" s="42" t="str">
        <f>IF(SUMIFS(Sheet2!$E:$E,Sheet2!$C:$C,$A59,Sheet2!$A:$A,N$2)&lt;&gt;0,SUMIFS(Sheet2!$E:$E,Sheet2!$C:$C,$A59,Sheet2!$A:$A,N$2),"")</f>
        <v/>
      </c>
      <c r="O59" s="42" t="str">
        <f>IF(SUMIFS(Sheet2!$E:$E,Sheet2!$C:$C,$A59,Sheet2!$A:$A,O$2)&lt;&gt;0,SUMIFS(Sheet2!$E:$E,Sheet2!$C:$C,$A59,Sheet2!$A:$A,O$2),"")</f>
        <v/>
      </c>
      <c r="P59" s="42" t="str">
        <f>IF(SUMIFS(Sheet2!$E:$E,Sheet2!$C:$C,$A59,Sheet2!$A:$A,P$2)&lt;&gt;0,SUMIFS(Sheet2!$E:$E,Sheet2!$C:$C,$A59,Sheet2!$A:$A,P$2),"")</f>
        <v/>
      </c>
      <c r="Q59" s="42" t="str">
        <f>IF(SUMIFS(Sheet2!$E:$E,Sheet2!$C:$C,$A59,Sheet2!$A:$A,Q$2)&lt;&gt;0,SUMIFS(Sheet2!$E:$E,Sheet2!$C:$C,$A59,Sheet2!$A:$A,Q$2),"")</f>
        <v/>
      </c>
      <c r="R59" s="42" t="str">
        <f>IF(SUMIFS(Sheet2!$E:$E,Sheet2!$C:$C,$A59,Sheet2!$A:$A,R$2)&lt;&gt;0,SUMIFS(Sheet2!$E:$E,Sheet2!$C:$C,$A59,Sheet2!$A:$A,R$2),"")</f>
        <v/>
      </c>
      <c r="S59" s="42" t="str">
        <f>IF(SUMIFS(Sheet2!$E:$E,Sheet2!$C:$C,$A59,Sheet2!$A:$A,S$2)&lt;&gt;0,SUMIFS(Sheet2!$E:$E,Sheet2!$C:$C,$A59,Sheet2!$A:$A,S$2),"")</f>
        <v/>
      </c>
      <c r="T59" s="42" t="str">
        <f>IF(SUMIFS(Sheet2!$E:$E,Sheet2!$C:$C,$A59,Sheet2!$A:$A,T$2)&lt;&gt;0,SUMIFS(Sheet2!$E:$E,Sheet2!$C:$C,$A59,Sheet2!$A:$A,T$2),"")</f>
        <v/>
      </c>
      <c r="U59" s="42" t="str">
        <f>IF(SUMIFS(Sheet2!$E:$E,Sheet2!$C:$C,$A59,Sheet2!$A:$A,U$2)&lt;&gt;0,SUMIFS(Sheet2!$E:$E,Sheet2!$C:$C,$A59,Sheet2!$A:$A,U$2),"")</f>
        <v/>
      </c>
      <c r="V59" s="42" t="str">
        <f>IF(SUMIFS(Sheet2!$E:$E,Sheet2!$C:$C,$A59,Sheet2!$A:$A,V$2)&lt;&gt;0,SUMIFS(Sheet2!$E:$E,Sheet2!$C:$C,$A59,Sheet2!$A:$A,V$2),"")</f>
        <v/>
      </c>
      <c r="W59" s="42" t="str">
        <f>IF(SUMIFS(Sheet2!$E:$E,Sheet2!$C:$C,$A59,Sheet2!$A:$A,W$2)&lt;&gt;0,SUMIFS(Sheet2!$E:$E,Sheet2!$C:$C,$A59,Sheet2!$A:$A,W$2),"")</f>
        <v/>
      </c>
      <c r="X59" s="42" t="str">
        <f>IF(SUMIFS(Sheet2!$E:$E,Sheet2!$C:$C,$A59,Sheet2!$A:$A,X$2)&lt;&gt;0,SUMIFS(Sheet2!$E:$E,Sheet2!$C:$C,$A59,Sheet2!$A:$A,X$2),"")</f>
        <v/>
      </c>
      <c r="Y59" s="42" t="str">
        <f>IF(SUMIFS(Sheet2!$E:$E,Sheet2!$C:$C,$A59,Sheet2!$A:$A,Y$2)&lt;&gt;0,SUMIFS(Sheet2!$E:$E,Sheet2!$C:$C,$A59,Sheet2!$A:$A,Y$2),"")</f>
        <v/>
      </c>
      <c r="Z59" s="42" t="str">
        <f>IF(SUMIFS(Sheet2!$E:$E,Sheet2!$C:$C,$A59,Sheet2!$A:$A,Z$2)&lt;&gt;0,SUMIFS(Sheet2!$E:$E,Sheet2!$C:$C,$A59,Sheet2!$A:$A,Z$2),"")</f>
        <v/>
      </c>
      <c r="AA59" s="42" t="str">
        <f>IF(SUMIFS(Sheet2!$E:$E,Sheet2!$C:$C,$A59,Sheet2!$A:$A,AA$2)&lt;&gt;0,SUMIFS(Sheet2!$E:$E,Sheet2!$C:$C,$A59,Sheet2!$A:$A,AA$2),"")</f>
        <v/>
      </c>
      <c r="AB59" s="42" t="str">
        <f>IF(SUMIFS(Sheet2!$E:$E,Sheet2!$C:$C,$A59,Sheet2!$A:$A,AB$2)&lt;&gt;0,SUMIFS(Sheet2!$E:$E,Sheet2!$C:$C,$A59,Sheet2!$A:$A,AB$2),"")</f>
        <v/>
      </c>
      <c r="AC59" s="42" t="str">
        <f>IF(SUMIFS(Sheet2!$E:$E,Sheet2!$C:$C,$A59,Sheet2!$A:$A,AC$2)&lt;&gt;0,SUMIFS(Sheet2!$E:$E,Sheet2!$C:$C,$A59,Sheet2!$A:$A,AC$2),"")</f>
        <v/>
      </c>
      <c r="AD59" s="42" t="str">
        <f>IF(SUMIFS(Sheet2!$E:$E,Sheet2!$C:$C,$A59,Sheet2!$A:$A,AD$2)&lt;&gt;0,SUMIFS(Sheet2!$E:$E,Sheet2!$C:$C,$A59,Sheet2!$A:$A,AD$2),"")</f>
        <v/>
      </c>
      <c r="AE59" s="42" t="str">
        <f>IF(SUMIFS(Sheet2!$E:$E,Sheet2!$C:$C,$A59,Sheet2!$A:$A,AE$2)&lt;&gt;0,SUMIFS(Sheet2!$E:$E,Sheet2!$C:$C,$A59,Sheet2!$A:$A,AE$2),"")</f>
        <v/>
      </c>
      <c r="AF59" s="42" t="str">
        <f>IF(SUMIFS(Sheet2!$E:$E,Sheet2!$C:$C,$A59,Sheet2!$A:$A,AF$2)&lt;&gt;0,SUMIFS(Sheet2!$E:$E,Sheet2!$C:$C,$A59,Sheet2!$A:$A,AF$2),"")</f>
        <v/>
      </c>
      <c r="AG59" s="42" t="str">
        <f>IF(SUMIFS(Sheet2!$E:$E,Sheet2!$C:$C,$A59,Sheet2!$A:$A,AG$2)&lt;&gt;0,SUMIFS(Sheet2!$E:$E,Sheet2!$C:$C,$A59,Sheet2!$A:$A,AG$2),"")</f>
        <v/>
      </c>
      <c r="AH59" s="43">
        <f>SUM(Table2[[#This Row],[1]:[31]])</f>
        <v>0</v>
      </c>
    </row>
    <row r="60" spans="1:34" ht="12.75" customHeight="1">
      <c r="A60" s="76" t="str">
        <f>DSSP!A59</f>
        <v>A144</v>
      </c>
      <c r="B60" s="25" t="str">
        <f>DSSP!B59</f>
        <v>Kim Ngưu</v>
      </c>
      <c r="C60" s="42" t="str">
        <f>IF(SUMIFS(Sheet2!$E:$E,Sheet2!$C:$C,$A60,Sheet2!$A:$A,C$2)&lt;&gt;0,SUMIFS(Sheet2!$E:$E,Sheet2!$C:$C,$A60,Sheet2!$A:$A,C$2),"")</f>
        <v/>
      </c>
      <c r="D60" s="42" t="str">
        <f>IF(SUMIFS(Sheet2!$E:$E,Sheet2!$C:$C,$A60,Sheet2!$A:$A,D$2)&lt;&gt;0,SUMIFS(Sheet2!$E:$E,Sheet2!$C:$C,$A60,Sheet2!$A:$A,D$2),"")</f>
        <v/>
      </c>
      <c r="E60" s="42" t="str">
        <f>IF(SUMIFS(Sheet2!$E:$E,Sheet2!$C:$C,$A60,Sheet2!$A:$A,E$2)&lt;&gt;0,SUMIFS(Sheet2!$E:$E,Sheet2!$C:$C,$A60,Sheet2!$A:$A,E$2),"")</f>
        <v/>
      </c>
      <c r="F60" s="42" t="str">
        <f>IF(SUMIFS(Sheet2!$E:$E,Sheet2!$C:$C,$A60,Sheet2!$A:$A,F$2)&lt;&gt;0,SUMIFS(Sheet2!$E:$E,Sheet2!$C:$C,$A60,Sheet2!$A:$A,F$2),"")</f>
        <v/>
      </c>
      <c r="G60" s="42" t="str">
        <f>IF(SUMIFS(Sheet2!$E:$E,Sheet2!$C:$C,$A60,Sheet2!$A:$A,G$2)&lt;&gt;0,SUMIFS(Sheet2!$E:$E,Sheet2!$C:$C,$A60,Sheet2!$A:$A,G$2),"")</f>
        <v/>
      </c>
      <c r="H60" s="42" t="str">
        <f>IF(SUMIFS(Sheet2!$E:$E,Sheet2!$C:$C,$A60,Sheet2!$A:$A,H$2)&lt;&gt;0,SUMIFS(Sheet2!$E:$E,Sheet2!$C:$C,$A60,Sheet2!$A:$A,H$2),"")</f>
        <v/>
      </c>
      <c r="I60" s="42" t="str">
        <f>IF(SUMIFS(Sheet2!$E:$E,Sheet2!$C:$C,$A60,Sheet2!$A:$A,I$2)&lt;&gt;0,SUMIFS(Sheet2!$E:$E,Sheet2!$C:$C,$A60,Sheet2!$A:$A,I$2),"")</f>
        <v/>
      </c>
      <c r="J60" s="42" t="str">
        <f>IF(SUMIFS(Sheet2!$E:$E,Sheet2!$C:$C,$A60,Sheet2!$A:$A,J$2)&lt;&gt;0,SUMIFS(Sheet2!$E:$E,Sheet2!$C:$C,$A60,Sheet2!$A:$A,J$2),"")</f>
        <v/>
      </c>
      <c r="K60" s="42" t="str">
        <f>IF(SUMIFS(Sheet2!$E:$E,Sheet2!$C:$C,$A60,Sheet2!$A:$A,K$2)&lt;&gt;0,SUMIFS(Sheet2!$E:$E,Sheet2!$C:$C,$A60,Sheet2!$A:$A,K$2),"")</f>
        <v/>
      </c>
      <c r="L60" s="42" t="str">
        <f>IF(SUMIFS(Sheet2!$E:$E,Sheet2!$C:$C,$A60,Sheet2!$A:$A,L$2)&lt;&gt;0,SUMIFS(Sheet2!$E:$E,Sheet2!$C:$C,$A60,Sheet2!$A:$A,L$2),"")</f>
        <v/>
      </c>
      <c r="M60" s="42" t="str">
        <f>IF(SUMIFS(Sheet2!$E:$E,Sheet2!$C:$C,$A60,Sheet2!$A:$A,M$2)&lt;&gt;0,SUMIFS(Sheet2!$E:$E,Sheet2!$C:$C,$A60,Sheet2!$A:$A,M$2),"")</f>
        <v/>
      </c>
      <c r="N60" s="42" t="str">
        <f>IF(SUMIFS(Sheet2!$E:$E,Sheet2!$C:$C,$A60,Sheet2!$A:$A,N$2)&lt;&gt;0,SUMIFS(Sheet2!$E:$E,Sheet2!$C:$C,$A60,Sheet2!$A:$A,N$2),"")</f>
        <v/>
      </c>
      <c r="O60" s="42" t="str">
        <f>IF(SUMIFS(Sheet2!$E:$E,Sheet2!$C:$C,$A60,Sheet2!$A:$A,O$2)&lt;&gt;0,SUMIFS(Sheet2!$E:$E,Sheet2!$C:$C,$A60,Sheet2!$A:$A,O$2),"")</f>
        <v/>
      </c>
      <c r="P60" s="42" t="str">
        <f>IF(SUMIFS(Sheet2!$E:$E,Sheet2!$C:$C,$A60,Sheet2!$A:$A,P$2)&lt;&gt;0,SUMIFS(Sheet2!$E:$E,Sheet2!$C:$C,$A60,Sheet2!$A:$A,P$2),"")</f>
        <v/>
      </c>
      <c r="Q60" s="42" t="str">
        <f>IF(SUMIFS(Sheet2!$E:$E,Sheet2!$C:$C,$A60,Sheet2!$A:$A,Q$2)&lt;&gt;0,SUMIFS(Sheet2!$E:$E,Sheet2!$C:$C,$A60,Sheet2!$A:$A,Q$2),"")</f>
        <v/>
      </c>
      <c r="R60" s="42" t="str">
        <f>IF(SUMIFS(Sheet2!$E:$E,Sheet2!$C:$C,$A60,Sheet2!$A:$A,R$2)&lt;&gt;0,SUMIFS(Sheet2!$E:$E,Sheet2!$C:$C,$A60,Sheet2!$A:$A,R$2),"")</f>
        <v/>
      </c>
      <c r="S60" s="42" t="str">
        <f>IF(SUMIFS(Sheet2!$E:$E,Sheet2!$C:$C,$A60,Sheet2!$A:$A,S$2)&lt;&gt;0,SUMIFS(Sheet2!$E:$E,Sheet2!$C:$C,$A60,Sheet2!$A:$A,S$2),"")</f>
        <v/>
      </c>
      <c r="T60" s="42" t="str">
        <f>IF(SUMIFS(Sheet2!$E:$E,Sheet2!$C:$C,$A60,Sheet2!$A:$A,T$2)&lt;&gt;0,SUMIFS(Sheet2!$E:$E,Sheet2!$C:$C,$A60,Sheet2!$A:$A,T$2),"")</f>
        <v/>
      </c>
      <c r="U60" s="42" t="str">
        <f>IF(SUMIFS(Sheet2!$E:$E,Sheet2!$C:$C,$A60,Sheet2!$A:$A,U$2)&lt;&gt;0,SUMIFS(Sheet2!$E:$E,Sheet2!$C:$C,$A60,Sheet2!$A:$A,U$2),"")</f>
        <v/>
      </c>
      <c r="V60" s="42" t="str">
        <f>IF(SUMIFS(Sheet2!$E:$E,Sheet2!$C:$C,$A60,Sheet2!$A:$A,V$2)&lt;&gt;0,SUMIFS(Sheet2!$E:$E,Sheet2!$C:$C,$A60,Sheet2!$A:$A,V$2),"")</f>
        <v/>
      </c>
      <c r="W60" s="42" t="str">
        <f>IF(SUMIFS(Sheet2!$E:$E,Sheet2!$C:$C,$A60,Sheet2!$A:$A,W$2)&lt;&gt;0,SUMIFS(Sheet2!$E:$E,Sheet2!$C:$C,$A60,Sheet2!$A:$A,W$2),"")</f>
        <v/>
      </c>
      <c r="X60" s="42" t="str">
        <f>IF(SUMIFS(Sheet2!$E:$E,Sheet2!$C:$C,$A60,Sheet2!$A:$A,X$2)&lt;&gt;0,SUMIFS(Sheet2!$E:$E,Sheet2!$C:$C,$A60,Sheet2!$A:$A,X$2),"")</f>
        <v/>
      </c>
      <c r="Y60" s="42" t="str">
        <f>IF(SUMIFS(Sheet2!$E:$E,Sheet2!$C:$C,$A60,Sheet2!$A:$A,Y$2)&lt;&gt;0,SUMIFS(Sheet2!$E:$E,Sheet2!$C:$C,$A60,Sheet2!$A:$A,Y$2),"")</f>
        <v/>
      </c>
      <c r="Z60" s="42" t="str">
        <f>IF(SUMIFS(Sheet2!$E:$E,Sheet2!$C:$C,$A60,Sheet2!$A:$A,Z$2)&lt;&gt;0,SUMIFS(Sheet2!$E:$E,Sheet2!$C:$C,$A60,Sheet2!$A:$A,Z$2),"")</f>
        <v/>
      </c>
      <c r="AA60" s="42" t="str">
        <f>IF(SUMIFS(Sheet2!$E:$E,Sheet2!$C:$C,$A60,Sheet2!$A:$A,AA$2)&lt;&gt;0,SUMIFS(Sheet2!$E:$E,Sheet2!$C:$C,$A60,Sheet2!$A:$A,AA$2),"")</f>
        <v/>
      </c>
      <c r="AB60" s="42" t="str">
        <f>IF(SUMIFS(Sheet2!$E:$E,Sheet2!$C:$C,$A60,Sheet2!$A:$A,AB$2)&lt;&gt;0,SUMIFS(Sheet2!$E:$E,Sheet2!$C:$C,$A60,Sheet2!$A:$A,AB$2),"")</f>
        <v/>
      </c>
      <c r="AC60" s="42" t="str">
        <f>IF(SUMIFS(Sheet2!$E:$E,Sheet2!$C:$C,$A60,Sheet2!$A:$A,AC$2)&lt;&gt;0,SUMIFS(Sheet2!$E:$E,Sheet2!$C:$C,$A60,Sheet2!$A:$A,AC$2),"")</f>
        <v/>
      </c>
      <c r="AD60" s="42" t="str">
        <f>IF(SUMIFS(Sheet2!$E:$E,Sheet2!$C:$C,$A60,Sheet2!$A:$A,AD$2)&lt;&gt;0,SUMIFS(Sheet2!$E:$E,Sheet2!$C:$C,$A60,Sheet2!$A:$A,AD$2),"")</f>
        <v/>
      </c>
      <c r="AE60" s="42" t="str">
        <f>IF(SUMIFS(Sheet2!$E:$E,Sheet2!$C:$C,$A60,Sheet2!$A:$A,AE$2)&lt;&gt;0,SUMIFS(Sheet2!$E:$E,Sheet2!$C:$C,$A60,Sheet2!$A:$A,AE$2),"")</f>
        <v/>
      </c>
      <c r="AF60" s="42" t="str">
        <f>IF(SUMIFS(Sheet2!$E:$E,Sheet2!$C:$C,$A60,Sheet2!$A:$A,AF$2)&lt;&gt;0,SUMIFS(Sheet2!$E:$E,Sheet2!$C:$C,$A60,Sheet2!$A:$A,AF$2),"")</f>
        <v/>
      </c>
      <c r="AG60" s="42" t="str">
        <f>IF(SUMIFS(Sheet2!$E:$E,Sheet2!$C:$C,$A60,Sheet2!$A:$A,AG$2)&lt;&gt;0,SUMIFS(Sheet2!$E:$E,Sheet2!$C:$C,$A60,Sheet2!$A:$A,AG$2),"")</f>
        <v/>
      </c>
      <c r="AH60" s="43">
        <f>SUM(Table2[[#This Row],[1]:[31]])</f>
        <v>0</v>
      </c>
    </row>
    <row r="61" spans="1:34" ht="12.75" customHeight="1">
      <c r="A61" s="76" t="str">
        <f>DSSP!A60</f>
        <v>A145</v>
      </c>
      <c r="B61" s="25" t="str">
        <f>DSSP!B60</f>
        <v>Song Tử</v>
      </c>
      <c r="C61" s="42" t="str">
        <f>IF(SUMIFS(Sheet2!$E:$E,Sheet2!$C:$C,$A61,Sheet2!$A:$A,C$2)&lt;&gt;0,SUMIFS(Sheet2!$E:$E,Sheet2!$C:$C,$A61,Sheet2!$A:$A,C$2),"")</f>
        <v/>
      </c>
      <c r="D61" s="42" t="str">
        <f>IF(SUMIFS(Sheet2!$E:$E,Sheet2!$C:$C,$A61,Sheet2!$A:$A,D$2)&lt;&gt;0,SUMIFS(Sheet2!$E:$E,Sheet2!$C:$C,$A61,Sheet2!$A:$A,D$2),"")</f>
        <v/>
      </c>
      <c r="E61" s="42" t="str">
        <f>IF(SUMIFS(Sheet2!$E:$E,Sheet2!$C:$C,$A61,Sheet2!$A:$A,E$2)&lt;&gt;0,SUMIFS(Sheet2!$E:$E,Sheet2!$C:$C,$A61,Sheet2!$A:$A,E$2),"")</f>
        <v/>
      </c>
      <c r="F61" s="42" t="str">
        <f>IF(SUMIFS(Sheet2!$E:$E,Sheet2!$C:$C,$A61,Sheet2!$A:$A,F$2)&lt;&gt;0,SUMIFS(Sheet2!$E:$E,Sheet2!$C:$C,$A61,Sheet2!$A:$A,F$2),"")</f>
        <v/>
      </c>
      <c r="G61" s="42" t="str">
        <f>IF(SUMIFS(Sheet2!$E:$E,Sheet2!$C:$C,$A61,Sheet2!$A:$A,G$2)&lt;&gt;0,SUMIFS(Sheet2!$E:$E,Sheet2!$C:$C,$A61,Sheet2!$A:$A,G$2),"")</f>
        <v/>
      </c>
      <c r="H61" s="42" t="str">
        <f>IF(SUMIFS(Sheet2!$E:$E,Sheet2!$C:$C,$A61,Sheet2!$A:$A,H$2)&lt;&gt;0,SUMIFS(Sheet2!$E:$E,Sheet2!$C:$C,$A61,Sheet2!$A:$A,H$2),"")</f>
        <v/>
      </c>
      <c r="I61" s="42" t="str">
        <f>IF(SUMIFS(Sheet2!$E:$E,Sheet2!$C:$C,$A61,Sheet2!$A:$A,I$2)&lt;&gt;0,SUMIFS(Sheet2!$E:$E,Sheet2!$C:$C,$A61,Sheet2!$A:$A,I$2),"")</f>
        <v/>
      </c>
      <c r="J61" s="42" t="str">
        <f>IF(SUMIFS(Sheet2!$E:$E,Sheet2!$C:$C,$A61,Sheet2!$A:$A,J$2)&lt;&gt;0,SUMIFS(Sheet2!$E:$E,Sheet2!$C:$C,$A61,Sheet2!$A:$A,J$2),"")</f>
        <v/>
      </c>
      <c r="K61" s="42" t="str">
        <f>IF(SUMIFS(Sheet2!$E:$E,Sheet2!$C:$C,$A61,Sheet2!$A:$A,K$2)&lt;&gt;0,SUMIFS(Sheet2!$E:$E,Sheet2!$C:$C,$A61,Sheet2!$A:$A,K$2),"")</f>
        <v/>
      </c>
      <c r="L61" s="42" t="str">
        <f>IF(SUMIFS(Sheet2!$E:$E,Sheet2!$C:$C,$A61,Sheet2!$A:$A,L$2)&lt;&gt;0,SUMIFS(Sheet2!$E:$E,Sheet2!$C:$C,$A61,Sheet2!$A:$A,L$2),"")</f>
        <v/>
      </c>
      <c r="M61" s="42" t="str">
        <f>IF(SUMIFS(Sheet2!$E:$E,Sheet2!$C:$C,$A61,Sheet2!$A:$A,M$2)&lt;&gt;0,SUMIFS(Sheet2!$E:$E,Sheet2!$C:$C,$A61,Sheet2!$A:$A,M$2),"")</f>
        <v/>
      </c>
      <c r="N61" s="42" t="str">
        <f>IF(SUMIFS(Sheet2!$E:$E,Sheet2!$C:$C,$A61,Sheet2!$A:$A,N$2)&lt;&gt;0,SUMIFS(Sheet2!$E:$E,Sheet2!$C:$C,$A61,Sheet2!$A:$A,N$2),"")</f>
        <v/>
      </c>
      <c r="O61" s="42" t="str">
        <f>IF(SUMIFS(Sheet2!$E:$E,Sheet2!$C:$C,$A61,Sheet2!$A:$A,O$2)&lt;&gt;0,SUMIFS(Sheet2!$E:$E,Sheet2!$C:$C,$A61,Sheet2!$A:$A,O$2),"")</f>
        <v/>
      </c>
      <c r="P61" s="42" t="str">
        <f>IF(SUMIFS(Sheet2!$E:$E,Sheet2!$C:$C,$A61,Sheet2!$A:$A,P$2)&lt;&gt;0,SUMIFS(Sheet2!$E:$E,Sheet2!$C:$C,$A61,Sheet2!$A:$A,P$2),"")</f>
        <v/>
      </c>
      <c r="Q61" s="42" t="str">
        <f>IF(SUMIFS(Sheet2!$E:$E,Sheet2!$C:$C,$A61,Sheet2!$A:$A,Q$2)&lt;&gt;0,SUMIFS(Sheet2!$E:$E,Sheet2!$C:$C,$A61,Sheet2!$A:$A,Q$2),"")</f>
        <v/>
      </c>
      <c r="R61" s="42" t="str">
        <f>IF(SUMIFS(Sheet2!$E:$E,Sheet2!$C:$C,$A61,Sheet2!$A:$A,R$2)&lt;&gt;0,SUMIFS(Sheet2!$E:$E,Sheet2!$C:$C,$A61,Sheet2!$A:$A,R$2),"")</f>
        <v/>
      </c>
      <c r="S61" s="42" t="str">
        <f>IF(SUMIFS(Sheet2!$E:$E,Sheet2!$C:$C,$A61,Sheet2!$A:$A,S$2)&lt;&gt;0,SUMIFS(Sheet2!$E:$E,Sheet2!$C:$C,$A61,Sheet2!$A:$A,S$2),"")</f>
        <v/>
      </c>
      <c r="T61" s="42" t="str">
        <f>IF(SUMIFS(Sheet2!$E:$E,Sheet2!$C:$C,$A61,Sheet2!$A:$A,T$2)&lt;&gt;0,SUMIFS(Sheet2!$E:$E,Sheet2!$C:$C,$A61,Sheet2!$A:$A,T$2),"")</f>
        <v/>
      </c>
      <c r="U61" s="42" t="str">
        <f>IF(SUMIFS(Sheet2!$E:$E,Sheet2!$C:$C,$A61,Sheet2!$A:$A,U$2)&lt;&gt;0,SUMIFS(Sheet2!$E:$E,Sheet2!$C:$C,$A61,Sheet2!$A:$A,U$2),"")</f>
        <v/>
      </c>
      <c r="V61" s="42" t="str">
        <f>IF(SUMIFS(Sheet2!$E:$E,Sheet2!$C:$C,$A61,Sheet2!$A:$A,V$2)&lt;&gt;0,SUMIFS(Sheet2!$E:$E,Sheet2!$C:$C,$A61,Sheet2!$A:$A,V$2),"")</f>
        <v/>
      </c>
      <c r="W61" s="42" t="str">
        <f>IF(SUMIFS(Sheet2!$E:$E,Sheet2!$C:$C,$A61,Sheet2!$A:$A,W$2)&lt;&gt;0,SUMIFS(Sheet2!$E:$E,Sheet2!$C:$C,$A61,Sheet2!$A:$A,W$2),"")</f>
        <v/>
      </c>
      <c r="X61" s="42" t="str">
        <f>IF(SUMIFS(Sheet2!$E:$E,Sheet2!$C:$C,$A61,Sheet2!$A:$A,X$2)&lt;&gt;0,SUMIFS(Sheet2!$E:$E,Sheet2!$C:$C,$A61,Sheet2!$A:$A,X$2),"")</f>
        <v/>
      </c>
      <c r="Y61" s="42" t="str">
        <f>IF(SUMIFS(Sheet2!$E:$E,Sheet2!$C:$C,$A61,Sheet2!$A:$A,Y$2)&lt;&gt;0,SUMIFS(Sheet2!$E:$E,Sheet2!$C:$C,$A61,Sheet2!$A:$A,Y$2),"")</f>
        <v/>
      </c>
      <c r="Z61" s="42" t="str">
        <f>IF(SUMIFS(Sheet2!$E:$E,Sheet2!$C:$C,$A61,Sheet2!$A:$A,Z$2)&lt;&gt;0,SUMIFS(Sheet2!$E:$E,Sheet2!$C:$C,$A61,Sheet2!$A:$A,Z$2),"")</f>
        <v/>
      </c>
      <c r="AA61" s="42" t="str">
        <f>IF(SUMIFS(Sheet2!$E:$E,Sheet2!$C:$C,$A61,Sheet2!$A:$A,AA$2)&lt;&gt;0,SUMIFS(Sheet2!$E:$E,Sheet2!$C:$C,$A61,Sheet2!$A:$A,AA$2),"")</f>
        <v/>
      </c>
      <c r="AB61" s="42" t="str">
        <f>IF(SUMIFS(Sheet2!$E:$E,Sheet2!$C:$C,$A61,Sheet2!$A:$A,AB$2)&lt;&gt;0,SUMIFS(Sheet2!$E:$E,Sheet2!$C:$C,$A61,Sheet2!$A:$A,AB$2),"")</f>
        <v/>
      </c>
      <c r="AC61" s="42" t="str">
        <f>IF(SUMIFS(Sheet2!$E:$E,Sheet2!$C:$C,$A61,Sheet2!$A:$A,AC$2)&lt;&gt;0,SUMIFS(Sheet2!$E:$E,Sheet2!$C:$C,$A61,Sheet2!$A:$A,AC$2),"")</f>
        <v/>
      </c>
      <c r="AD61" s="42" t="str">
        <f>IF(SUMIFS(Sheet2!$E:$E,Sheet2!$C:$C,$A61,Sheet2!$A:$A,AD$2)&lt;&gt;0,SUMIFS(Sheet2!$E:$E,Sheet2!$C:$C,$A61,Sheet2!$A:$A,AD$2),"")</f>
        <v/>
      </c>
      <c r="AE61" s="42" t="str">
        <f>IF(SUMIFS(Sheet2!$E:$E,Sheet2!$C:$C,$A61,Sheet2!$A:$A,AE$2)&lt;&gt;0,SUMIFS(Sheet2!$E:$E,Sheet2!$C:$C,$A61,Sheet2!$A:$A,AE$2),"")</f>
        <v/>
      </c>
      <c r="AF61" s="42" t="str">
        <f>IF(SUMIFS(Sheet2!$E:$E,Sheet2!$C:$C,$A61,Sheet2!$A:$A,AF$2)&lt;&gt;0,SUMIFS(Sheet2!$E:$E,Sheet2!$C:$C,$A61,Sheet2!$A:$A,AF$2),"")</f>
        <v/>
      </c>
      <c r="AG61" s="42" t="str">
        <f>IF(SUMIFS(Sheet2!$E:$E,Sheet2!$C:$C,$A61,Sheet2!$A:$A,AG$2)&lt;&gt;0,SUMIFS(Sheet2!$E:$E,Sheet2!$C:$C,$A61,Sheet2!$A:$A,AG$2),"")</f>
        <v/>
      </c>
      <c r="AH61" s="43">
        <f>SUM(Table2[[#This Row],[1]:[31]])</f>
        <v>0</v>
      </c>
    </row>
    <row r="62" spans="1:34" ht="12.75" customHeight="1">
      <c r="A62" s="76" t="str">
        <f>DSSP!A61</f>
        <v>A146</v>
      </c>
      <c r="B62" s="25" t="str">
        <f>DSSP!B61</f>
        <v>Cự Giải</v>
      </c>
      <c r="C62" s="42" t="str">
        <f>IF(SUMIFS(Sheet2!$E:$E,Sheet2!$C:$C,$A62,Sheet2!$A:$A,C$2)&lt;&gt;0,SUMIFS(Sheet2!$E:$E,Sheet2!$C:$C,$A62,Sheet2!$A:$A,C$2),"")</f>
        <v/>
      </c>
      <c r="D62" s="42" t="str">
        <f>IF(SUMIFS(Sheet2!$E:$E,Sheet2!$C:$C,$A62,Sheet2!$A:$A,D$2)&lt;&gt;0,SUMIFS(Sheet2!$E:$E,Sheet2!$C:$C,$A62,Sheet2!$A:$A,D$2),"")</f>
        <v/>
      </c>
      <c r="E62" s="42" t="str">
        <f>IF(SUMIFS(Sheet2!$E:$E,Sheet2!$C:$C,$A62,Sheet2!$A:$A,E$2)&lt;&gt;0,SUMIFS(Sheet2!$E:$E,Sheet2!$C:$C,$A62,Sheet2!$A:$A,E$2),"")</f>
        <v/>
      </c>
      <c r="F62" s="42" t="str">
        <f>IF(SUMIFS(Sheet2!$E:$E,Sheet2!$C:$C,$A62,Sheet2!$A:$A,F$2)&lt;&gt;0,SUMIFS(Sheet2!$E:$E,Sheet2!$C:$C,$A62,Sheet2!$A:$A,F$2),"")</f>
        <v/>
      </c>
      <c r="G62" s="42" t="str">
        <f>IF(SUMIFS(Sheet2!$E:$E,Sheet2!$C:$C,$A62,Sheet2!$A:$A,G$2)&lt;&gt;0,SUMIFS(Sheet2!$E:$E,Sheet2!$C:$C,$A62,Sheet2!$A:$A,G$2),"")</f>
        <v/>
      </c>
      <c r="H62" s="42" t="str">
        <f>IF(SUMIFS(Sheet2!$E:$E,Sheet2!$C:$C,$A62,Sheet2!$A:$A,H$2)&lt;&gt;0,SUMIFS(Sheet2!$E:$E,Sheet2!$C:$C,$A62,Sheet2!$A:$A,H$2),"")</f>
        <v/>
      </c>
      <c r="I62" s="42" t="str">
        <f>IF(SUMIFS(Sheet2!$E:$E,Sheet2!$C:$C,$A62,Sheet2!$A:$A,I$2)&lt;&gt;0,SUMIFS(Sheet2!$E:$E,Sheet2!$C:$C,$A62,Sheet2!$A:$A,I$2),"")</f>
        <v/>
      </c>
      <c r="J62" s="42" t="str">
        <f>IF(SUMIFS(Sheet2!$E:$E,Sheet2!$C:$C,$A62,Sheet2!$A:$A,J$2)&lt;&gt;0,SUMIFS(Sheet2!$E:$E,Sheet2!$C:$C,$A62,Sheet2!$A:$A,J$2),"")</f>
        <v/>
      </c>
      <c r="K62" s="42" t="str">
        <f>IF(SUMIFS(Sheet2!$E:$E,Sheet2!$C:$C,$A62,Sheet2!$A:$A,K$2)&lt;&gt;0,SUMIFS(Sheet2!$E:$E,Sheet2!$C:$C,$A62,Sheet2!$A:$A,K$2),"")</f>
        <v/>
      </c>
      <c r="L62" s="42" t="str">
        <f>IF(SUMIFS(Sheet2!$E:$E,Sheet2!$C:$C,$A62,Sheet2!$A:$A,L$2)&lt;&gt;0,SUMIFS(Sheet2!$E:$E,Sheet2!$C:$C,$A62,Sheet2!$A:$A,L$2),"")</f>
        <v/>
      </c>
      <c r="M62" s="42" t="str">
        <f>IF(SUMIFS(Sheet2!$E:$E,Sheet2!$C:$C,$A62,Sheet2!$A:$A,M$2)&lt;&gt;0,SUMIFS(Sheet2!$E:$E,Sheet2!$C:$C,$A62,Sheet2!$A:$A,M$2),"")</f>
        <v/>
      </c>
      <c r="N62" s="42" t="str">
        <f>IF(SUMIFS(Sheet2!$E:$E,Sheet2!$C:$C,$A62,Sheet2!$A:$A,N$2)&lt;&gt;0,SUMIFS(Sheet2!$E:$E,Sheet2!$C:$C,$A62,Sheet2!$A:$A,N$2),"")</f>
        <v/>
      </c>
      <c r="O62" s="42" t="str">
        <f>IF(SUMIFS(Sheet2!$E:$E,Sheet2!$C:$C,$A62,Sheet2!$A:$A,O$2)&lt;&gt;0,SUMIFS(Sheet2!$E:$E,Sheet2!$C:$C,$A62,Sheet2!$A:$A,O$2),"")</f>
        <v/>
      </c>
      <c r="P62" s="42" t="str">
        <f>IF(SUMIFS(Sheet2!$E:$E,Sheet2!$C:$C,$A62,Sheet2!$A:$A,P$2)&lt;&gt;0,SUMIFS(Sheet2!$E:$E,Sheet2!$C:$C,$A62,Sheet2!$A:$A,P$2),"")</f>
        <v/>
      </c>
      <c r="Q62" s="42" t="str">
        <f>IF(SUMIFS(Sheet2!$E:$E,Sheet2!$C:$C,$A62,Sheet2!$A:$A,Q$2)&lt;&gt;0,SUMIFS(Sheet2!$E:$E,Sheet2!$C:$C,$A62,Sheet2!$A:$A,Q$2),"")</f>
        <v/>
      </c>
      <c r="R62" s="42" t="str">
        <f>IF(SUMIFS(Sheet2!$E:$E,Sheet2!$C:$C,$A62,Sheet2!$A:$A,R$2)&lt;&gt;0,SUMIFS(Sheet2!$E:$E,Sheet2!$C:$C,$A62,Sheet2!$A:$A,R$2),"")</f>
        <v/>
      </c>
      <c r="S62" s="42" t="str">
        <f>IF(SUMIFS(Sheet2!$E:$E,Sheet2!$C:$C,$A62,Sheet2!$A:$A,S$2)&lt;&gt;0,SUMIFS(Sheet2!$E:$E,Sheet2!$C:$C,$A62,Sheet2!$A:$A,S$2),"")</f>
        <v/>
      </c>
      <c r="T62" s="42" t="str">
        <f>IF(SUMIFS(Sheet2!$E:$E,Sheet2!$C:$C,$A62,Sheet2!$A:$A,T$2)&lt;&gt;0,SUMIFS(Sheet2!$E:$E,Sheet2!$C:$C,$A62,Sheet2!$A:$A,T$2),"")</f>
        <v/>
      </c>
      <c r="U62" s="42" t="str">
        <f>IF(SUMIFS(Sheet2!$E:$E,Sheet2!$C:$C,$A62,Sheet2!$A:$A,U$2)&lt;&gt;0,SUMIFS(Sheet2!$E:$E,Sheet2!$C:$C,$A62,Sheet2!$A:$A,U$2),"")</f>
        <v/>
      </c>
      <c r="V62" s="42" t="str">
        <f>IF(SUMIFS(Sheet2!$E:$E,Sheet2!$C:$C,$A62,Sheet2!$A:$A,V$2)&lt;&gt;0,SUMIFS(Sheet2!$E:$E,Sheet2!$C:$C,$A62,Sheet2!$A:$A,V$2),"")</f>
        <v/>
      </c>
      <c r="W62" s="42" t="str">
        <f>IF(SUMIFS(Sheet2!$E:$E,Sheet2!$C:$C,$A62,Sheet2!$A:$A,W$2)&lt;&gt;0,SUMIFS(Sheet2!$E:$E,Sheet2!$C:$C,$A62,Sheet2!$A:$A,W$2),"")</f>
        <v/>
      </c>
      <c r="X62" s="42" t="str">
        <f>IF(SUMIFS(Sheet2!$E:$E,Sheet2!$C:$C,$A62,Sheet2!$A:$A,X$2)&lt;&gt;0,SUMIFS(Sheet2!$E:$E,Sheet2!$C:$C,$A62,Sheet2!$A:$A,X$2),"")</f>
        <v/>
      </c>
      <c r="Y62" s="42" t="str">
        <f>IF(SUMIFS(Sheet2!$E:$E,Sheet2!$C:$C,$A62,Sheet2!$A:$A,Y$2)&lt;&gt;0,SUMIFS(Sheet2!$E:$E,Sheet2!$C:$C,$A62,Sheet2!$A:$A,Y$2),"")</f>
        <v/>
      </c>
      <c r="Z62" s="42" t="str">
        <f>IF(SUMIFS(Sheet2!$E:$E,Sheet2!$C:$C,$A62,Sheet2!$A:$A,Z$2)&lt;&gt;0,SUMIFS(Sheet2!$E:$E,Sheet2!$C:$C,$A62,Sheet2!$A:$A,Z$2),"")</f>
        <v/>
      </c>
      <c r="AA62" s="42" t="str">
        <f>IF(SUMIFS(Sheet2!$E:$E,Sheet2!$C:$C,$A62,Sheet2!$A:$A,AA$2)&lt;&gt;0,SUMIFS(Sheet2!$E:$E,Sheet2!$C:$C,$A62,Sheet2!$A:$A,AA$2),"")</f>
        <v/>
      </c>
      <c r="AB62" s="42" t="str">
        <f>IF(SUMIFS(Sheet2!$E:$E,Sheet2!$C:$C,$A62,Sheet2!$A:$A,AB$2)&lt;&gt;0,SUMIFS(Sheet2!$E:$E,Sheet2!$C:$C,$A62,Sheet2!$A:$A,AB$2),"")</f>
        <v/>
      </c>
      <c r="AC62" s="42" t="str">
        <f>IF(SUMIFS(Sheet2!$E:$E,Sheet2!$C:$C,$A62,Sheet2!$A:$A,AC$2)&lt;&gt;0,SUMIFS(Sheet2!$E:$E,Sheet2!$C:$C,$A62,Sheet2!$A:$A,AC$2),"")</f>
        <v/>
      </c>
      <c r="AD62" s="42" t="str">
        <f>IF(SUMIFS(Sheet2!$E:$E,Sheet2!$C:$C,$A62,Sheet2!$A:$A,AD$2)&lt;&gt;0,SUMIFS(Sheet2!$E:$E,Sheet2!$C:$C,$A62,Sheet2!$A:$A,AD$2),"")</f>
        <v/>
      </c>
      <c r="AE62" s="42" t="str">
        <f>IF(SUMIFS(Sheet2!$E:$E,Sheet2!$C:$C,$A62,Sheet2!$A:$A,AE$2)&lt;&gt;0,SUMIFS(Sheet2!$E:$E,Sheet2!$C:$C,$A62,Sheet2!$A:$A,AE$2),"")</f>
        <v/>
      </c>
      <c r="AF62" s="42" t="str">
        <f>IF(SUMIFS(Sheet2!$E:$E,Sheet2!$C:$C,$A62,Sheet2!$A:$A,AF$2)&lt;&gt;0,SUMIFS(Sheet2!$E:$E,Sheet2!$C:$C,$A62,Sheet2!$A:$A,AF$2),"")</f>
        <v/>
      </c>
      <c r="AG62" s="42" t="str">
        <f>IF(SUMIFS(Sheet2!$E:$E,Sheet2!$C:$C,$A62,Sheet2!$A:$A,AG$2)&lt;&gt;0,SUMIFS(Sheet2!$E:$E,Sheet2!$C:$C,$A62,Sheet2!$A:$A,AG$2),"")</f>
        <v/>
      </c>
      <c r="AH62" s="43">
        <f>SUM(Table2[[#This Row],[1]:[31]])</f>
        <v>0</v>
      </c>
    </row>
    <row r="63" spans="1:34" ht="12.75" customHeight="1">
      <c r="A63" s="76" t="str">
        <f>DSSP!A62</f>
        <v>A147</v>
      </c>
      <c r="B63" s="25" t="str">
        <f>DSSP!B62</f>
        <v>Sư Tử</v>
      </c>
      <c r="C63" s="42" t="str">
        <f>IF(SUMIFS(Sheet2!$E:$E,Sheet2!$C:$C,$A63,Sheet2!$A:$A,C$2)&lt;&gt;0,SUMIFS(Sheet2!$E:$E,Sheet2!$C:$C,$A63,Sheet2!$A:$A,C$2),"")</f>
        <v/>
      </c>
      <c r="D63" s="42" t="str">
        <f>IF(SUMIFS(Sheet2!$E:$E,Sheet2!$C:$C,$A63,Sheet2!$A:$A,D$2)&lt;&gt;0,SUMIFS(Sheet2!$E:$E,Sheet2!$C:$C,$A63,Sheet2!$A:$A,D$2),"")</f>
        <v/>
      </c>
      <c r="E63" s="42" t="str">
        <f>IF(SUMIFS(Sheet2!$E:$E,Sheet2!$C:$C,$A63,Sheet2!$A:$A,E$2)&lt;&gt;0,SUMIFS(Sheet2!$E:$E,Sheet2!$C:$C,$A63,Sheet2!$A:$A,E$2),"")</f>
        <v/>
      </c>
      <c r="F63" s="42" t="str">
        <f>IF(SUMIFS(Sheet2!$E:$E,Sheet2!$C:$C,$A63,Sheet2!$A:$A,F$2)&lt;&gt;0,SUMIFS(Sheet2!$E:$E,Sheet2!$C:$C,$A63,Sheet2!$A:$A,F$2),"")</f>
        <v/>
      </c>
      <c r="G63" s="42" t="str">
        <f>IF(SUMIFS(Sheet2!$E:$E,Sheet2!$C:$C,$A63,Sheet2!$A:$A,G$2)&lt;&gt;0,SUMIFS(Sheet2!$E:$E,Sheet2!$C:$C,$A63,Sheet2!$A:$A,G$2),"")</f>
        <v/>
      </c>
      <c r="H63" s="42" t="str">
        <f>IF(SUMIFS(Sheet2!$E:$E,Sheet2!$C:$C,$A63,Sheet2!$A:$A,H$2)&lt;&gt;0,SUMIFS(Sheet2!$E:$E,Sheet2!$C:$C,$A63,Sheet2!$A:$A,H$2),"")</f>
        <v/>
      </c>
      <c r="I63" s="42" t="str">
        <f>IF(SUMIFS(Sheet2!$E:$E,Sheet2!$C:$C,$A63,Sheet2!$A:$A,I$2)&lt;&gt;0,SUMIFS(Sheet2!$E:$E,Sheet2!$C:$C,$A63,Sheet2!$A:$A,I$2),"")</f>
        <v/>
      </c>
      <c r="J63" s="42" t="str">
        <f>IF(SUMIFS(Sheet2!$E:$E,Sheet2!$C:$C,$A63,Sheet2!$A:$A,J$2)&lt;&gt;0,SUMIFS(Sheet2!$E:$E,Sheet2!$C:$C,$A63,Sheet2!$A:$A,J$2),"")</f>
        <v/>
      </c>
      <c r="K63" s="42" t="str">
        <f>IF(SUMIFS(Sheet2!$E:$E,Sheet2!$C:$C,$A63,Sheet2!$A:$A,K$2)&lt;&gt;0,SUMIFS(Sheet2!$E:$E,Sheet2!$C:$C,$A63,Sheet2!$A:$A,K$2),"")</f>
        <v/>
      </c>
      <c r="L63" s="42" t="str">
        <f>IF(SUMIFS(Sheet2!$E:$E,Sheet2!$C:$C,$A63,Sheet2!$A:$A,L$2)&lt;&gt;0,SUMIFS(Sheet2!$E:$E,Sheet2!$C:$C,$A63,Sheet2!$A:$A,L$2),"")</f>
        <v/>
      </c>
      <c r="M63" s="42" t="str">
        <f>IF(SUMIFS(Sheet2!$E:$E,Sheet2!$C:$C,$A63,Sheet2!$A:$A,M$2)&lt;&gt;0,SUMIFS(Sheet2!$E:$E,Sheet2!$C:$C,$A63,Sheet2!$A:$A,M$2),"")</f>
        <v/>
      </c>
      <c r="N63" s="42" t="str">
        <f>IF(SUMIFS(Sheet2!$E:$E,Sheet2!$C:$C,$A63,Sheet2!$A:$A,N$2)&lt;&gt;0,SUMIFS(Sheet2!$E:$E,Sheet2!$C:$C,$A63,Sheet2!$A:$A,N$2),"")</f>
        <v/>
      </c>
      <c r="O63" s="42" t="str">
        <f>IF(SUMIFS(Sheet2!$E:$E,Sheet2!$C:$C,$A63,Sheet2!$A:$A,O$2)&lt;&gt;0,SUMIFS(Sheet2!$E:$E,Sheet2!$C:$C,$A63,Sheet2!$A:$A,O$2),"")</f>
        <v/>
      </c>
      <c r="P63" s="42" t="str">
        <f>IF(SUMIFS(Sheet2!$E:$E,Sheet2!$C:$C,$A63,Sheet2!$A:$A,P$2)&lt;&gt;0,SUMIFS(Sheet2!$E:$E,Sheet2!$C:$C,$A63,Sheet2!$A:$A,P$2),"")</f>
        <v/>
      </c>
      <c r="Q63" s="42" t="str">
        <f>IF(SUMIFS(Sheet2!$E:$E,Sheet2!$C:$C,$A63,Sheet2!$A:$A,Q$2)&lt;&gt;0,SUMIFS(Sheet2!$E:$E,Sheet2!$C:$C,$A63,Sheet2!$A:$A,Q$2),"")</f>
        <v/>
      </c>
      <c r="R63" s="42" t="str">
        <f>IF(SUMIFS(Sheet2!$E:$E,Sheet2!$C:$C,$A63,Sheet2!$A:$A,R$2)&lt;&gt;0,SUMIFS(Sheet2!$E:$E,Sheet2!$C:$C,$A63,Sheet2!$A:$A,R$2),"")</f>
        <v/>
      </c>
      <c r="S63" s="42" t="str">
        <f>IF(SUMIFS(Sheet2!$E:$E,Sheet2!$C:$C,$A63,Sheet2!$A:$A,S$2)&lt;&gt;0,SUMIFS(Sheet2!$E:$E,Sheet2!$C:$C,$A63,Sheet2!$A:$A,S$2),"")</f>
        <v/>
      </c>
      <c r="T63" s="42" t="str">
        <f>IF(SUMIFS(Sheet2!$E:$E,Sheet2!$C:$C,$A63,Sheet2!$A:$A,T$2)&lt;&gt;0,SUMIFS(Sheet2!$E:$E,Sheet2!$C:$C,$A63,Sheet2!$A:$A,T$2),"")</f>
        <v/>
      </c>
      <c r="U63" s="42" t="str">
        <f>IF(SUMIFS(Sheet2!$E:$E,Sheet2!$C:$C,$A63,Sheet2!$A:$A,U$2)&lt;&gt;0,SUMIFS(Sheet2!$E:$E,Sheet2!$C:$C,$A63,Sheet2!$A:$A,U$2),"")</f>
        <v/>
      </c>
      <c r="V63" s="42" t="str">
        <f>IF(SUMIFS(Sheet2!$E:$E,Sheet2!$C:$C,$A63,Sheet2!$A:$A,V$2)&lt;&gt;0,SUMIFS(Sheet2!$E:$E,Sheet2!$C:$C,$A63,Sheet2!$A:$A,V$2),"")</f>
        <v/>
      </c>
      <c r="W63" s="42" t="str">
        <f>IF(SUMIFS(Sheet2!$E:$E,Sheet2!$C:$C,$A63,Sheet2!$A:$A,W$2)&lt;&gt;0,SUMIFS(Sheet2!$E:$E,Sheet2!$C:$C,$A63,Sheet2!$A:$A,W$2),"")</f>
        <v/>
      </c>
      <c r="X63" s="42" t="str">
        <f>IF(SUMIFS(Sheet2!$E:$E,Sheet2!$C:$C,$A63,Sheet2!$A:$A,X$2)&lt;&gt;0,SUMIFS(Sheet2!$E:$E,Sheet2!$C:$C,$A63,Sheet2!$A:$A,X$2),"")</f>
        <v/>
      </c>
      <c r="Y63" s="42" t="str">
        <f>IF(SUMIFS(Sheet2!$E:$E,Sheet2!$C:$C,$A63,Sheet2!$A:$A,Y$2)&lt;&gt;0,SUMIFS(Sheet2!$E:$E,Sheet2!$C:$C,$A63,Sheet2!$A:$A,Y$2),"")</f>
        <v/>
      </c>
      <c r="Z63" s="42" t="str">
        <f>IF(SUMIFS(Sheet2!$E:$E,Sheet2!$C:$C,$A63,Sheet2!$A:$A,Z$2)&lt;&gt;0,SUMIFS(Sheet2!$E:$E,Sheet2!$C:$C,$A63,Sheet2!$A:$A,Z$2),"")</f>
        <v/>
      </c>
      <c r="AA63" s="42" t="str">
        <f>IF(SUMIFS(Sheet2!$E:$E,Sheet2!$C:$C,$A63,Sheet2!$A:$A,AA$2)&lt;&gt;0,SUMIFS(Sheet2!$E:$E,Sheet2!$C:$C,$A63,Sheet2!$A:$A,AA$2),"")</f>
        <v/>
      </c>
      <c r="AB63" s="42" t="str">
        <f>IF(SUMIFS(Sheet2!$E:$E,Sheet2!$C:$C,$A63,Sheet2!$A:$A,AB$2)&lt;&gt;0,SUMIFS(Sheet2!$E:$E,Sheet2!$C:$C,$A63,Sheet2!$A:$A,AB$2),"")</f>
        <v/>
      </c>
      <c r="AC63" s="42" t="str">
        <f>IF(SUMIFS(Sheet2!$E:$E,Sheet2!$C:$C,$A63,Sheet2!$A:$A,AC$2)&lt;&gt;0,SUMIFS(Sheet2!$E:$E,Sheet2!$C:$C,$A63,Sheet2!$A:$A,AC$2),"")</f>
        <v/>
      </c>
      <c r="AD63" s="42" t="str">
        <f>IF(SUMIFS(Sheet2!$E:$E,Sheet2!$C:$C,$A63,Sheet2!$A:$A,AD$2)&lt;&gt;0,SUMIFS(Sheet2!$E:$E,Sheet2!$C:$C,$A63,Sheet2!$A:$A,AD$2),"")</f>
        <v/>
      </c>
      <c r="AE63" s="42" t="str">
        <f>IF(SUMIFS(Sheet2!$E:$E,Sheet2!$C:$C,$A63,Sheet2!$A:$A,AE$2)&lt;&gt;0,SUMIFS(Sheet2!$E:$E,Sheet2!$C:$C,$A63,Sheet2!$A:$A,AE$2),"")</f>
        <v/>
      </c>
      <c r="AF63" s="42" t="str">
        <f>IF(SUMIFS(Sheet2!$E:$E,Sheet2!$C:$C,$A63,Sheet2!$A:$A,AF$2)&lt;&gt;0,SUMIFS(Sheet2!$E:$E,Sheet2!$C:$C,$A63,Sheet2!$A:$A,AF$2),"")</f>
        <v/>
      </c>
      <c r="AG63" s="42" t="str">
        <f>IF(SUMIFS(Sheet2!$E:$E,Sheet2!$C:$C,$A63,Sheet2!$A:$A,AG$2)&lt;&gt;0,SUMIFS(Sheet2!$E:$E,Sheet2!$C:$C,$A63,Sheet2!$A:$A,AG$2),"")</f>
        <v/>
      </c>
      <c r="AH63" s="43">
        <f>SUM(Table2[[#This Row],[1]:[31]])</f>
        <v>0</v>
      </c>
    </row>
    <row r="64" spans="1:34" ht="12.75" customHeight="1">
      <c r="A64" s="76" t="str">
        <f>DSSP!A63</f>
        <v>A148</v>
      </c>
      <c r="B64" s="25" t="str">
        <f>DSSP!B63</f>
        <v xml:space="preserve">Xử Nữ </v>
      </c>
      <c r="C64" s="42" t="str">
        <f>IF(SUMIFS(Sheet2!$E:$E,Sheet2!$C:$C,$A64,Sheet2!$A:$A,C$2)&lt;&gt;0,SUMIFS(Sheet2!$E:$E,Sheet2!$C:$C,$A64,Sheet2!$A:$A,C$2),"")</f>
        <v/>
      </c>
      <c r="D64" s="42" t="str">
        <f>IF(SUMIFS(Sheet2!$E:$E,Sheet2!$C:$C,$A64,Sheet2!$A:$A,D$2)&lt;&gt;0,SUMIFS(Sheet2!$E:$E,Sheet2!$C:$C,$A64,Sheet2!$A:$A,D$2),"")</f>
        <v/>
      </c>
      <c r="E64" s="42" t="str">
        <f>IF(SUMIFS(Sheet2!$E:$E,Sheet2!$C:$C,$A64,Sheet2!$A:$A,E$2)&lt;&gt;0,SUMIFS(Sheet2!$E:$E,Sheet2!$C:$C,$A64,Sheet2!$A:$A,E$2),"")</f>
        <v/>
      </c>
      <c r="F64" s="42" t="str">
        <f>IF(SUMIFS(Sheet2!$E:$E,Sheet2!$C:$C,$A64,Sheet2!$A:$A,F$2)&lt;&gt;0,SUMIFS(Sheet2!$E:$E,Sheet2!$C:$C,$A64,Sheet2!$A:$A,F$2),"")</f>
        <v/>
      </c>
      <c r="G64" s="42" t="str">
        <f>IF(SUMIFS(Sheet2!$E:$E,Sheet2!$C:$C,$A64,Sheet2!$A:$A,G$2)&lt;&gt;0,SUMIFS(Sheet2!$E:$E,Sheet2!$C:$C,$A64,Sheet2!$A:$A,G$2),"")</f>
        <v/>
      </c>
      <c r="H64" s="42" t="str">
        <f>IF(SUMIFS(Sheet2!$E:$E,Sheet2!$C:$C,$A64,Sheet2!$A:$A,H$2)&lt;&gt;0,SUMIFS(Sheet2!$E:$E,Sheet2!$C:$C,$A64,Sheet2!$A:$A,H$2),"")</f>
        <v/>
      </c>
      <c r="I64" s="42" t="str">
        <f>IF(SUMIFS(Sheet2!$E:$E,Sheet2!$C:$C,$A64,Sheet2!$A:$A,I$2)&lt;&gt;0,SUMIFS(Sheet2!$E:$E,Sheet2!$C:$C,$A64,Sheet2!$A:$A,I$2),"")</f>
        <v/>
      </c>
      <c r="J64" s="42" t="str">
        <f>IF(SUMIFS(Sheet2!$E:$E,Sheet2!$C:$C,$A64,Sheet2!$A:$A,J$2)&lt;&gt;0,SUMIFS(Sheet2!$E:$E,Sheet2!$C:$C,$A64,Sheet2!$A:$A,J$2),"")</f>
        <v/>
      </c>
      <c r="K64" s="42" t="str">
        <f>IF(SUMIFS(Sheet2!$E:$E,Sheet2!$C:$C,$A64,Sheet2!$A:$A,K$2)&lt;&gt;0,SUMIFS(Sheet2!$E:$E,Sheet2!$C:$C,$A64,Sheet2!$A:$A,K$2),"")</f>
        <v/>
      </c>
      <c r="L64" s="42" t="str">
        <f>IF(SUMIFS(Sheet2!$E:$E,Sheet2!$C:$C,$A64,Sheet2!$A:$A,L$2)&lt;&gt;0,SUMIFS(Sheet2!$E:$E,Sheet2!$C:$C,$A64,Sheet2!$A:$A,L$2),"")</f>
        <v/>
      </c>
      <c r="M64" s="42" t="str">
        <f>IF(SUMIFS(Sheet2!$E:$E,Sheet2!$C:$C,$A64,Sheet2!$A:$A,M$2)&lt;&gt;0,SUMIFS(Sheet2!$E:$E,Sheet2!$C:$C,$A64,Sheet2!$A:$A,M$2),"")</f>
        <v/>
      </c>
      <c r="N64" s="42" t="str">
        <f>IF(SUMIFS(Sheet2!$E:$E,Sheet2!$C:$C,$A64,Sheet2!$A:$A,N$2)&lt;&gt;0,SUMIFS(Sheet2!$E:$E,Sheet2!$C:$C,$A64,Sheet2!$A:$A,N$2),"")</f>
        <v/>
      </c>
      <c r="O64" s="42" t="str">
        <f>IF(SUMIFS(Sheet2!$E:$E,Sheet2!$C:$C,$A64,Sheet2!$A:$A,O$2)&lt;&gt;0,SUMIFS(Sheet2!$E:$E,Sheet2!$C:$C,$A64,Sheet2!$A:$A,O$2),"")</f>
        <v/>
      </c>
      <c r="P64" s="42" t="str">
        <f>IF(SUMIFS(Sheet2!$E:$E,Sheet2!$C:$C,$A64,Sheet2!$A:$A,P$2)&lt;&gt;0,SUMIFS(Sheet2!$E:$E,Sheet2!$C:$C,$A64,Sheet2!$A:$A,P$2),"")</f>
        <v/>
      </c>
      <c r="Q64" s="42" t="str">
        <f>IF(SUMIFS(Sheet2!$E:$E,Sheet2!$C:$C,$A64,Sheet2!$A:$A,Q$2)&lt;&gt;0,SUMIFS(Sheet2!$E:$E,Sheet2!$C:$C,$A64,Sheet2!$A:$A,Q$2),"")</f>
        <v/>
      </c>
      <c r="R64" s="42" t="str">
        <f>IF(SUMIFS(Sheet2!$E:$E,Sheet2!$C:$C,$A64,Sheet2!$A:$A,R$2)&lt;&gt;0,SUMIFS(Sheet2!$E:$E,Sheet2!$C:$C,$A64,Sheet2!$A:$A,R$2),"")</f>
        <v/>
      </c>
      <c r="S64" s="42" t="str">
        <f>IF(SUMIFS(Sheet2!$E:$E,Sheet2!$C:$C,$A64,Sheet2!$A:$A,S$2)&lt;&gt;0,SUMIFS(Sheet2!$E:$E,Sheet2!$C:$C,$A64,Sheet2!$A:$A,S$2),"")</f>
        <v/>
      </c>
      <c r="T64" s="42" t="str">
        <f>IF(SUMIFS(Sheet2!$E:$E,Sheet2!$C:$C,$A64,Sheet2!$A:$A,T$2)&lt;&gt;0,SUMIFS(Sheet2!$E:$E,Sheet2!$C:$C,$A64,Sheet2!$A:$A,T$2),"")</f>
        <v/>
      </c>
      <c r="U64" s="42" t="str">
        <f>IF(SUMIFS(Sheet2!$E:$E,Sheet2!$C:$C,$A64,Sheet2!$A:$A,U$2)&lt;&gt;0,SUMIFS(Sheet2!$E:$E,Sheet2!$C:$C,$A64,Sheet2!$A:$A,U$2),"")</f>
        <v/>
      </c>
      <c r="V64" s="42" t="str">
        <f>IF(SUMIFS(Sheet2!$E:$E,Sheet2!$C:$C,$A64,Sheet2!$A:$A,V$2)&lt;&gt;0,SUMIFS(Sheet2!$E:$E,Sheet2!$C:$C,$A64,Sheet2!$A:$A,V$2),"")</f>
        <v/>
      </c>
      <c r="W64" s="42" t="str">
        <f>IF(SUMIFS(Sheet2!$E:$E,Sheet2!$C:$C,$A64,Sheet2!$A:$A,W$2)&lt;&gt;0,SUMIFS(Sheet2!$E:$E,Sheet2!$C:$C,$A64,Sheet2!$A:$A,W$2),"")</f>
        <v/>
      </c>
      <c r="X64" s="42" t="str">
        <f>IF(SUMIFS(Sheet2!$E:$E,Sheet2!$C:$C,$A64,Sheet2!$A:$A,X$2)&lt;&gt;0,SUMIFS(Sheet2!$E:$E,Sheet2!$C:$C,$A64,Sheet2!$A:$A,X$2),"")</f>
        <v/>
      </c>
      <c r="Y64" s="42" t="str">
        <f>IF(SUMIFS(Sheet2!$E:$E,Sheet2!$C:$C,$A64,Sheet2!$A:$A,Y$2)&lt;&gt;0,SUMIFS(Sheet2!$E:$E,Sheet2!$C:$C,$A64,Sheet2!$A:$A,Y$2),"")</f>
        <v/>
      </c>
      <c r="Z64" s="42" t="str">
        <f>IF(SUMIFS(Sheet2!$E:$E,Sheet2!$C:$C,$A64,Sheet2!$A:$A,Z$2)&lt;&gt;0,SUMIFS(Sheet2!$E:$E,Sheet2!$C:$C,$A64,Sheet2!$A:$A,Z$2),"")</f>
        <v/>
      </c>
      <c r="AA64" s="42" t="str">
        <f>IF(SUMIFS(Sheet2!$E:$E,Sheet2!$C:$C,$A64,Sheet2!$A:$A,AA$2)&lt;&gt;0,SUMIFS(Sheet2!$E:$E,Sheet2!$C:$C,$A64,Sheet2!$A:$A,AA$2),"")</f>
        <v/>
      </c>
      <c r="AB64" s="42" t="str">
        <f>IF(SUMIFS(Sheet2!$E:$E,Sheet2!$C:$C,$A64,Sheet2!$A:$A,AB$2)&lt;&gt;0,SUMIFS(Sheet2!$E:$E,Sheet2!$C:$C,$A64,Sheet2!$A:$A,AB$2),"")</f>
        <v/>
      </c>
      <c r="AC64" s="42" t="str">
        <f>IF(SUMIFS(Sheet2!$E:$E,Sheet2!$C:$C,$A64,Sheet2!$A:$A,AC$2)&lt;&gt;0,SUMIFS(Sheet2!$E:$E,Sheet2!$C:$C,$A64,Sheet2!$A:$A,AC$2),"")</f>
        <v/>
      </c>
      <c r="AD64" s="42" t="str">
        <f>IF(SUMIFS(Sheet2!$E:$E,Sheet2!$C:$C,$A64,Sheet2!$A:$A,AD$2)&lt;&gt;0,SUMIFS(Sheet2!$E:$E,Sheet2!$C:$C,$A64,Sheet2!$A:$A,AD$2),"")</f>
        <v/>
      </c>
      <c r="AE64" s="42" t="str">
        <f>IF(SUMIFS(Sheet2!$E:$E,Sheet2!$C:$C,$A64,Sheet2!$A:$A,AE$2)&lt;&gt;0,SUMIFS(Sheet2!$E:$E,Sheet2!$C:$C,$A64,Sheet2!$A:$A,AE$2),"")</f>
        <v/>
      </c>
      <c r="AF64" s="42" t="str">
        <f>IF(SUMIFS(Sheet2!$E:$E,Sheet2!$C:$C,$A64,Sheet2!$A:$A,AF$2)&lt;&gt;0,SUMIFS(Sheet2!$E:$E,Sheet2!$C:$C,$A64,Sheet2!$A:$A,AF$2),"")</f>
        <v/>
      </c>
      <c r="AG64" s="42" t="str">
        <f>IF(SUMIFS(Sheet2!$E:$E,Sheet2!$C:$C,$A64,Sheet2!$A:$A,AG$2)&lt;&gt;0,SUMIFS(Sheet2!$E:$E,Sheet2!$C:$C,$A64,Sheet2!$A:$A,AG$2),"")</f>
        <v/>
      </c>
      <c r="AH64" s="43">
        <f>SUM(Table2[[#This Row],[1]:[31]])</f>
        <v>0</v>
      </c>
    </row>
    <row r="65" spans="1:34" ht="12.75" customHeight="1">
      <c r="A65" s="76" t="str">
        <f>DSSP!A64</f>
        <v>A149</v>
      </c>
      <c r="B65" s="25" t="str">
        <f>DSSP!B64</f>
        <v>Thiên Bình</v>
      </c>
      <c r="C65" s="42" t="str">
        <f>IF(SUMIFS(Sheet2!$E:$E,Sheet2!$C:$C,$A65,Sheet2!$A:$A,C$2)&lt;&gt;0,SUMIFS(Sheet2!$E:$E,Sheet2!$C:$C,$A65,Sheet2!$A:$A,C$2),"")</f>
        <v/>
      </c>
      <c r="D65" s="42" t="str">
        <f>IF(SUMIFS(Sheet2!$E:$E,Sheet2!$C:$C,$A65,Sheet2!$A:$A,D$2)&lt;&gt;0,SUMIFS(Sheet2!$E:$E,Sheet2!$C:$C,$A65,Sheet2!$A:$A,D$2),"")</f>
        <v/>
      </c>
      <c r="E65" s="42" t="str">
        <f>IF(SUMIFS(Sheet2!$E:$E,Sheet2!$C:$C,$A65,Sheet2!$A:$A,E$2)&lt;&gt;0,SUMIFS(Sheet2!$E:$E,Sheet2!$C:$C,$A65,Sheet2!$A:$A,E$2),"")</f>
        <v/>
      </c>
      <c r="F65" s="42" t="str">
        <f>IF(SUMIFS(Sheet2!$E:$E,Sheet2!$C:$C,$A65,Sheet2!$A:$A,F$2)&lt;&gt;0,SUMIFS(Sheet2!$E:$E,Sheet2!$C:$C,$A65,Sheet2!$A:$A,F$2),"")</f>
        <v/>
      </c>
      <c r="G65" s="42" t="str">
        <f>IF(SUMIFS(Sheet2!$E:$E,Sheet2!$C:$C,$A65,Sheet2!$A:$A,G$2)&lt;&gt;0,SUMIFS(Sheet2!$E:$E,Sheet2!$C:$C,$A65,Sheet2!$A:$A,G$2),"")</f>
        <v/>
      </c>
      <c r="H65" s="42" t="str">
        <f>IF(SUMIFS(Sheet2!$E:$E,Sheet2!$C:$C,$A65,Sheet2!$A:$A,H$2)&lt;&gt;0,SUMIFS(Sheet2!$E:$E,Sheet2!$C:$C,$A65,Sheet2!$A:$A,H$2),"")</f>
        <v/>
      </c>
      <c r="I65" s="42" t="str">
        <f>IF(SUMIFS(Sheet2!$E:$E,Sheet2!$C:$C,$A65,Sheet2!$A:$A,I$2)&lt;&gt;0,SUMIFS(Sheet2!$E:$E,Sheet2!$C:$C,$A65,Sheet2!$A:$A,I$2),"")</f>
        <v/>
      </c>
      <c r="J65" s="42" t="str">
        <f>IF(SUMIFS(Sheet2!$E:$E,Sheet2!$C:$C,$A65,Sheet2!$A:$A,J$2)&lt;&gt;0,SUMIFS(Sheet2!$E:$E,Sheet2!$C:$C,$A65,Sheet2!$A:$A,J$2),"")</f>
        <v/>
      </c>
      <c r="K65" s="42" t="str">
        <f>IF(SUMIFS(Sheet2!$E:$E,Sheet2!$C:$C,$A65,Sheet2!$A:$A,K$2)&lt;&gt;0,SUMIFS(Sheet2!$E:$E,Sheet2!$C:$C,$A65,Sheet2!$A:$A,K$2),"")</f>
        <v/>
      </c>
      <c r="L65" s="42" t="str">
        <f>IF(SUMIFS(Sheet2!$E:$E,Sheet2!$C:$C,$A65,Sheet2!$A:$A,L$2)&lt;&gt;0,SUMIFS(Sheet2!$E:$E,Sheet2!$C:$C,$A65,Sheet2!$A:$A,L$2),"")</f>
        <v/>
      </c>
      <c r="M65" s="42" t="str">
        <f>IF(SUMIFS(Sheet2!$E:$E,Sheet2!$C:$C,$A65,Sheet2!$A:$A,M$2)&lt;&gt;0,SUMIFS(Sheet2!$E:$E,Sheet2!$C:$C,$A65,Sheet2!$A:$A,M$2),"")</f>
        <v/>
      </c>
      <c r="N65" s="42" t="str">
        <f>IF(SUMIFS(Sheet2!$E:$E,Sheet2!$C:$C,$A65,Sheet2!$A:$A,N$2)&lt;&gt;0,SUMIFS(Sheet2!$E:$E,Sheet2!$C:$C,$A65,Sheet2!$A:$A,N$2),"")</f>
        <v/>
      </c>
      <c r="O65" s="42" t="str">
        <f>IF(SUMIFS(Sheet2!$E:$E,Sheet2!$C:$C,$A65,Sheet2!$A:$A,O$2)&lt;&gt;0,SUMIFS(Sheet2!$E:$E,Sheet2!$C:$C,$A65,Sheet2!$A:$A,O$2),"")</f>
        <v/>
      </c>
      <c r="P65" s="42" t="str">
        <f>IF(SUMIFS(Sheet2!$E:$E,Sheet2!$C:$C,$A65,Sheet2!$A:$A,P$2)&lt;&gt;0,SUMIFS(Sheet2!$E:$E,Sheet2!$C:$C,$A65,Sheet2!$A:$A,P$2),"")</f>
        <v/>
      </c>
      <c r="Q65" s="42" t="str">
        <f>IF(SUMIFS(Sheet2!$E:$E,Sheet2!$C:$C,$A65,Sheet2!$A:$A,Q$2)&lt;&gt;0,SUMIFS(Sheet2!$E:$E,Sheet2!$C:$C,$A65,Sheet2!$A:$A,Q$2),"")</f>
        <v/>
      </c>
      <c r="R65" s="42" t="str">
        <f>IF(SUMIFS(Sheet2!$E:$E,Sheet2!$C:$C,$A65,Sheet2!$A:$A,R$2)&lt;&gt;0,SUMIFS(Sheet2!$E:$E,Sheet2!$C:$C,$A65,Sheet2!$A:$A,R$2),"")</f>
        <v/>
      </c>
      <c r="S65" s="42" t="str">
        <f>IF(SUMIFS(Sheet2!$E:$E,Sheet2!$C:$C,$A65,Sheet2!$A:$A,S$2)&lt;&gt;0,SUMIFS(Sheet2!$E:$E,Sheet2!$C:$C,$A65,Sheet2!$A:$A,S$2),"")</f>
        <v/>
      </c>
      <c r="T65" s="42" t="str">
        <f>IF(SUMIFS(Sheet2!$E:$E,Sheet2!$C:$C,$A65,Sheet2!$A:$A,T$2)&lt;&gt;0,SUMIFS(Sheet2!$E:$E,Sheet2!$C:$C,$A65,Sheet2!$A:$A,T$2),"")</f>
        <v/>
      </c>
      <c r="U65" s="42" t="str">
        <f>IF(SUMIFS(Sheet2!$E:$E,Sheet2!$C:$C,$A65,Sheet2!$A:$A,U$2)&lt;&gt;0,SUMIFS(Sheet2!$E:$E,Sheet2!$C:$C,$A65,Sheet2!$A:$A,U$2),"")</f>
        <v/>
      </c>
      <c r="V65" s="42" t="str">
        <f>IF(SUMIFS(Sheet2!$E:$E,Sheet2!$C:$C,$A65,Sheet2!$A:$A,V$2)&lt;&gt;0,SUMIFS(Sheet2!$E:$E,Sheet2!$C:$C,$A65,Sheet2!$A:$A,V$2),"")</f>
        <v/>
      </c>
      <c r="W65" s="42" t="str">
        <f>IF(SUMIFS(Sheet2!$E:$E,Sheet2!$C:$C,$A65,Sheet2!$A:$A,W$2)&lt;&gt;0,SUMIFS(Sheet2!$E:$E,Sheet2!$C:$C,$A65,Sheet2!$A:$A,W$2),"")</f>
        <v/>
      </c>
      <c r="X65" s="42" t="str">
        <f>IF(SUMIFS(Sheet2!$E:$E,Sheet2!$C:$C,$A65,Sheet2!$A:$A,X$2)&lt;&gt;0,SUMIFS(Sheet2!$E:$E,Sheet2!$C:$C,$A65,Sheet2!$A:$A,X$2),"")</f>
        <v/>
      </c>
      <c r="Y65" s="42" t="str">
        <f>IF(SUMIFS(Sheet2!$E:$E,Sheet2!$C:$C,$A65,Sheet2!$A:$A,Y$2)&lt;&gt;0,SUMIFS(Sheet2!$E:$E,Sheet2!$C:$C,$A65,Sheet2!$A:$A,Y$2),"")</f>
        <v/>
      </c>
      <c r="Z65" s="42" t="str">
        <f>IF(SUMIFS(Sheet2!$E:$E,Sheet2!$C:$C,$A65,Sheet2!$A:$A,Z$2)&lt;&gt;0,SUMIFS(Sheet2!$E:$E,Sheet2!$C:$C,$A65,Sheet2!$A:$A,Z$2),"")</f>
        <v/>
      </c>
      <c r="AA65" s="42" t="str">
        <f>IF(SUMIFS(Sheet2!$E:$E,Sheet2!$C:$C,$A65,Sheet2!$A:$A,AA$2)&lt;&gt;0,SUMIFS(Sheet2!$E:$E,Sheet2!$C:$C,$A65,Sheet2!$A:$A,AA$2),"")</f>
        <v/>
      </c>
      <c r="AB65" s="42" t="str">
        <f>IF(SUMIFS(Sheet2!$E:$E,Sheet2!$C:$C,$A65,Sheet2!$A:$A,AB$2)&lt;&gt;0,SUMIFS(Sheet2!$E:$E,Sheet2!$C:$C,$A65,Sheet2!$A:$A,AB$2),"")</f>
        <v/>
      </c>
      <c r="AC65" s="42" t="str">
        <f>IF(SUMIFS(Sheet2!$E:$E,Sheet2!$C:$C,$A65,Sheet2!$A:$A,AC$2)&lt;&gt;0,SUMIFS(Sheet2!$E:$E,Sheet2!$C:$C,$A65,Sheet2!$A:$A,AC$2),"")</f>
        <v/>
      </c>
      <c r="AD65" s="42" t="str">
        <f>IF(SUMIFS(Sheet2!$E:$E,Sheet2!$C:$C,$A65,Sheet2!$A:$A,AD$2)&lt;&gt;0,SUMIFS(Sheet2!$E:$E,Sheet2!$C:$C,$A65,Sheet2!$A:$A,AD$2),"")</f>
        <v/>
      </c>
      <c r="AE65" s="42" t="str">
        <f>IF(SUMIFS(Sheet2!$E:$E,Sheet2!$C:$C,$A65,Sheet2!$A:$A,AE$2)&lt;&gt;0,SUMIFS(Sheet2!$E:$E,Sheet2!$C:$C,$A65,Sheet2!$A:$A,AE$2),"")</f>
        <v/>
      </c>
      <c r="AF65" s="42" t="str">
        <f>IF(SUMIFS(Sheet2!$E:$E,Sheet2!$C:$C,$A65,Sheet2!$A:$A,AF$2)&lt;&gt;0,SUMIFS(Sheet2!$E:$E,Sheet2!$C:$C,$A65,Sheet2!$A:$A,AF$2),"")</f>
        <v/>
      </c>
      <c r="AG65" s="42" t="str">
        <f>IF(SUMIFS(Sheet2!$E:$E,Sheet2!$C:$C,$A65,Sheet2!$A:$A,AG$2)&lt;&gt;0,SUMIFS(Sheet2!$E:$E,Sheet2!$C:$C,$A65,Sheet2!$A:$A,AG$2),"")</f>
        <v/>
      </c>
      <c r="AH65" s="43">
        <f>SUM(Table2[[#This Row],[1]:[31]])</f>
        <v>0</v>
      </c>
    </row>
    <row r="66" spans="1:34" ht="12.75" customHeight="1">
      <c r="A66" s="76" t="str">
        <f>DSSP!A65</f>
        <v>A150</v>
      </c>
      <c r="B66" s="25" t="str">
        <f>DSSP!B65</f>
        <v>Bọ Cạp</v>
      </c>
      <c r="C66" s="42" t="str">
        <f>IF(SUMIFS(Sheet2!$E:$E,Sheet2!$C:$C,$A66,Sheet2!$A:$A,C$2)&lt;&gt;0,SUMIFS(Sheet2!$E:$E,Sheet2!$C:$C,$A66,Sheet2!$A:$A,C$2),"")</f>
        <v/>
      </c>
      <c r="D66" s="42" t="str">
        <f>IF(SUMIFS(Sheet2!$E:$E,Sheet2!$C:$C,$A66,Sheet2!$A:$A,D$2)&lt;&gt;0,SUMIFS(Sheet2!$E:$E,Sheet2!$C:$C,$A66,Sheet2!$A:$A,D$2),"")</f>
        <v/>
      </c>
      <c r="E66" s="42" t="str">
        <f>IF(SUMIFS(Sheet2!$E:$E,Sheet2!$C:$C,$A66,Sheet2!$A:$A,E$2)&lt;&gt;0,SUMIFS(Sheet2!$E:$E,Sheet2!$C:$C,$A66,Sheet2!$A:$A,E$2),"")</f>
        <v/>
      </c>
      <c r="F66" s="42" t="str">
        <f>IF(SUMIFS(Sheet2!$E:$E,Sheet2!$C:$C,$A66,Sheet2!$A:$A,F$2)&lt;&gt;0,SUMIFS(Sheet2!$E:$E,Sheet2!$C:$C,$A66,Sheet2!$A:$A,F$2),"")</f>
        <v/>
      </c>
      <c r="G66" s="42" t="str">
        <f>IF(SUMIFS(Sheet2!$E:$E,Sheet2!$C:$C,$A66,Sheet2!$A:$A,G$2)&lt;&gt;0,SUMIFS(Sheet2!$E:$E,Sheet2!$C:$C,$A66,Sheet2!$A:$A,G$2),"")</f>
        <v/>
      </c>
      <c r="H66" s="42" t="str">
        <f>IF(SUMIFS(Sheet2!$E:$E,Sheet2!$C:$C,$A66,Sheet2!$A:$A,H$2)&lt;&gt;0,SUMIFS(Sheet2!$E:$E,Sheet2!$C:$C,$A66,Sheet2!$A:$A,H$2),"")</f>
        <v/>
      </c>
      <c r="I66" s="42" t="str">
        <f>IF(SUMIFS(Sheet2!$E:$E,Sheet2!$C:$C,$A66,Sheet2!$A:$A,I$2)&lt;&gt;0,SUMIFS(Sheet2!$E:$E,Sheet2!$C:$C,$A66,Sheet2!$A:$A,I$2),"")</f>
        <v/>
      </c>
      <c r="J66" s="42" t="str">
        <f>IF(SUMIFS(Sheet2!$E:$E,Sheet2!$C:$C,$A66,Sheet2!$A:$A,J$2)&lt;&gt;0,SUMIFS(Sheet2!$E:$E,Sheet2!$C:$C,$A66,Sheet2!$A:$A,J$2),"")</f>
        <v/>
      </c>
      <c r="K66" s="42" t="str">
        <f>IF(SUMIFS(Sheet2!$E:$E,Sheet2!$C:$C,$A66,Sheet2!$A:$A,K$2)&lt;&gt;0,SUMIFS(Sheet2!$E:$E,Sheet2!$C:$C,$A66,Sheet2!$A:$A,K$2),"")</f>
        <v/>
      </c>
      <c r="L66" s="42" t="str">
        <f>IF(SUMIFS(Sheet2!$E:$E,Sheet2!$C:$C,$A66,Sheet2!$A:$A,L$2)&lt;&gt;0,SUMIFS(Sheet2!$E:$E,Sheet2!$C:$C,$A66,Sheet2!$A:$A,L$2),"")</f>
        <v/>
      </c>
      <c r="M66" s="42" t="str">
        <f>IF(SUMIFS(Sheet2!$E:$E,Sheet2!$C:$C,$A66,Sheet2!$A:$A,M$2)&lt;&gt;0,SUMIFS(Sheet2!$E:$E,Sheet2!$C:$C,$A66,Sheet2!$A:$A,M$2),"")</f>
        <v/>
      </c>
      <c r="N66" s="42" t="str">
        <f>IF(SUMIFS(Sheet2!$E:$E,Sheet2!$C:$C,$A66,Sheet2!$A:$A,N$2)&lt;&gt;0,SUMIFS(Sheet2!$E:$E,Sheet2!$C:$C,$A66,Sheet2!$A:$A,N$2),"")</f>
        <v/>
      </c>
      <c r="O66" s="42" t="str">
        <f>IF(SUMIFS(Sheet2!$E:$E,Sheet2!$C:$C,$A66,Sheet2!$A:$A,O$2)&lt;&gt;0,SUMIFS(Sheet2!$E:$E,Sheet2!$C:$C,$A66,Sheet2!$A:$A,O$2),"")</f>
        <v/>
      </c>
      <c r="P66" s="42" t="str">
        <f>IF(SUMIFS(Sheet2!$E:$E,Sheet2!$C:$C,$A66,Sheet2!$A:$A,P$2)&lt;&gt;0,SUMIFS(Sheet2!$E:$E,Sheet2!$C:$C,$A66,Sheet2!$A:$A,P$2),"")</f>
        <v/>
      </c>
      <c r="Q66" s="42" t="str">
        <f>IF(SUMIFS(Sheet2!$E:$E,Sheet2!$C:$C,$A66,Sheet2!$A:$A,Q$2)&lt;&gt;0,SUMIFS(Sheet2!$E:$E,Sheet2!$C:$C,$A66,Sheet2!$A:$A,Q$2),"")</f>
        <v/>
      </c>
      <c r="R66" s="42" t="str">
        <f>IF(SUMIFS(Sheet2!$E:$E,Sheet2!$C:$C,$A66,Sheet2!$A:$A,R$2)&lt;&gt;0,SUMIFS(Sheet2!$E:$E,Sheet2!$C:$C,$A66,Sheet2!$A:$A,R$2),"")</f>
        <v/>
      </c>
      <c r="S66" s="42" t="str">
        <f>IF(SUMIFS(Sheet2!$E:$E,Sheet2!$C:$C,$A66,Sheet2!$A:$A,S$2)&lt;&gt;0,SUMIFS(Sheet2!$E:$E,Sheet2!$C:$C,$A66,Sheet2!$A:$A,S$2),"")</f>
        <v/>
      </c>
      <c r="T66" s="42" t="str">
        <f>IF(SUMIFS(Sheet2!$E:$E,Sheet2!$C:$C,$A66,Sheet2!$A:$A,T$2)&lt;&gt;0,SUMIFS(Sheet2!$E:$E,Sheet2!$C:$C,$A66,Sheet2!$A:$A,T$2),"")</f>
        <v/>
      </c>
      <c r="U66" s="42" t="str">
        <f>IF(SUMIFS(Sheet2!$E:$E,Sheet2!$C:$C,$A66,Sheet2!$A:$A,U$2)&lt;&gt;0,SUMIFS(Sheet2!$E:$E,Sheet2!$C:$C,$A66,Sheet2!$A:$A,U$2),"")</f>
        <v/>
      </c>
      <c r="V66" s="42" t="str">
        <f>IF(SUMIFS(Sheet2!$E:$E,Sheet2!$C:$C,$A66,Sheet2!$A:$A,V$2)&lt;&gt;0,SUMIFS(Sheet2!$E:$E,Sheet2!$C:$C,$A66,Sheet2!$A:$A,V$2),"")</f>
        <v/>
      </c>
      <c r="W66" s="42" t="str">
        <f>IF(SUMIFS(Sheet2!$E:$E,Sheet2!$C:$C,$A66,Sheet2!$A:$A,W$2)&lt;&gt;0,SUMIFS(Sheet2!$E:$E,Sheet2!$C:$C,$A66,Sheet2!$A:$A,W$2),"")</f>
        <v/>
      </c>
      <c r="X66" s="42" t="str">
        <f>IF(SUMIFS(Sheet2!$E:$E,Sheet2!$C:$C,$A66,Sheet2!$A:$A,X$2)&lt;&gt;0,SUMIFS(Sheet2!$E:$E,Sheet2!$C:$C,$A66,Sheet2!$A:$A,X$2),"")</f>
        <v/>
      </c>
      <c r="Y66" s="42" t="str">
        <f>IF(SUMIFS(Sheet2!$E:$E,Sheet2!$C:$C,$A66,Sheet2!$A:$A,Y$2)&lt;&gt;0,SUMIFS(Sheet2!$E:$E,Sheet2!$C:$C,$A66,Sheet2!$A:$A,Y$2),"")</f>
        <v/>
      </c>
      <c r="Z66" s="42" t="str">
        <f>IF(SUMIFS(Sheet2!$E:$E,Sheet2!$C:$C,$A66,Sheet2!$A:$A,Z$2)&lt;&gt;0,SUMIFS(Sheet2!$E:$E,Sheet2!$C:$C,$A66,Sheet2!$A:$A,Z$2),"")</f>
        <v/>
      </c>
      <c r="AA66" s="42" t="str">
        <f>IF(SUMIFS(Sheet2!$E:$E,Sheet2!$C:$C,$A66,Sheet2!$A:$A,AA$2)&lt;&gt;0,SUMIFS(Sheet2!$E:$E,Sheet2!$C:$C,$A66,Sheet2!$A:$A,AA$2),"")</f>
        <v/>
      </c>
      <c r="AB66" s="42" t="str">
        <f>IF(SUMIFS(Sheet2!$E:$E,Sheet2!$C:$C,$A66,Sheet2!$A:$A,AB$2)&lt;&gt;0,SUMIFS(Sheet2!$E:$E,Sheet2!$C:$C,$A66,Sheet2!$A:$A,AB$2),"")</f>
        <v/>
      </c>
      <c r="AC66" s="42" t="str">
        <f>IF(SUMIFS(Sheet2!$E:$E,Sheet2!$C:$C,$A66,Sheet2!$A:$A,AC$2)&lt;&gt;0,SUMIFS(Sheet2!$E:$E,Sheet2!$C:$C,$A66,Sheet2!$A:$A,AC$2),"")</f>
        <v/>
      </c>
      <c r="AD66" s="42" t="str">
        <f>IF(SUMIFS(Sheet2!$E:$E,Sheet2!$C:$C,$A66,Sheet2!$A:$A,AD$2)&lt;&gt;0,SUMIFS(Sheet2!$E:$E,Sheet2!$C:$C,$A66,Sheet2!$A:$A,AD$2),"")</f>
        <v/>
      </c>
      <c r="AE66" s="42" t="str">
        <f>IF(SUMIFS(Sheet2!$E:$E,Sheet2!$C:$C,$A66,Sheet2!$A:$A,AE$2)&lt;&gt;0,SUMIFS(Sheet2!$E:$E,Sheet2!$C:$C,$A66,Sheet2!$A:$A,AE$2),"")</f>
        <v/>
      </c>
      <c r="AF66" s="42" t="str">
        <f>IF(SUMIFS(Sheet2!$E:$E,Sheet2!$C:$C,$A66,Sheet2!$A:$A,AF$2)&lt;&gt;0,SUMIFS(Sheet2!$E:$E,Sheet2!$C:$C,$A66,Sheet2!$A:$A,AF$2),"")</f>
        <v/>
      </c>
      <c r="AG66" s="42" t="str">
        <f>IF(SUMIFS(Sheet2!$E:$E,Sheet2!$C:$C,$A66,Sheet2!$A:$A,AG$2)&lt;&gt;0,SUMIFS(Sheet2!$E:$E,Sheet2!$C:$C,$A66,Sheet2!$A:$A,AG$2),"")</f>
        <v/>
      </c>
      <c r="AH66" s="43">
        <f>SUM(Table2[[#This Row],[1]:[31]])</f>
        <v>0</v>
      </c>
    </row>
    <row r="67" spans="1:34" ht="12.75" customHeight="1">
      <c r="A67" s="76" t="str">
        <f>DSSP!A66</f>
        <v>A151</v>
      </c>
      <c r="B67" s="25" t="str">
        <f>DSSP!B66</f>
        <v>Nhân Mã</v>
      </c>
      <c r="C67" s="42" t="str">
        <f>IF(SUMIFS(Sheet2!$E:$E,Sheet2!$C:$C,$A67,Sheet2!$A:$A,C$2)&lt;&gt;0,SUMIFS(Sheet2!$E:$E,Sheet2!$C:$C,$A67,Sheet2!$A:$A,C$2),"")</f>
        <v/>
      </c>
      <c r="D67" s="42" t="str">
        <f>IF(SUMIFS(Sheet2!$E:$E,Sheet2!$C:$C,$A67,Sheet2!$A:$A,D$2)&lt;&gt;0,SUMIFS(Sheet2!$E:$E,Sheet2!$C:$C,$A67,Sheet2!$A:$A,D$2),"")</f>
        <v/>
      </c>
      <c r="E67" s="42" t="str">
        <f>IF(SUMIFS(Sheet2!$E:$E,Sheet2!$C:$C,$A67,Sheet2!$A:$A,E$2)&lt;&gt;0,SUMIFS(Sheet2!$E:$E,Sheet2!$C:$C,$A67,Sheet2!$A:$A,E$2),"")</f>
        <v/>
      </c>
      <c r="F67" s="42" t="str">
        <f>IF(SUMIFS(Sheet2!$E:$E,Sheet2!$C:$C,$A67,Sheet2!$A:$A,F$2)&lt;&gt;0,SUMIFS(Sheet2!$E:$E,Sheet2!$C:$C,$A67,Sheet2!$A:$A,F$2),"")</f>
        <v/>
      </c>
      <c r="G67" s="42" t="str">
        <f>IF(SUMIFS(Sheet2!$E:$E,Sheet2!$C:$C,$A67,Sheet2!$A:$A,G$2)&lt;&gt;0,SUMIFS(Sheet2!$E:$E,Sheet2!$C:$C,$A67,Sheet2!$A:$A,G$2),"")</f>
        <v/>
      </c>
      <c r="H67" s="42" t="str">
        <f>IF(SUMIFS(Sheet2!$E:$E,Sheet2!$C:$C,$A67,Sheet2!$A:$A,H$2)&lt;&gt;0,SUMIFS(Sheet2!$E:$E,Sheet2!$C:$C,$A67,Sheet2!$A:$A,H$2),"")</f>
        <v/>
      </c>
      <c r="I67" s="42" t="str">
        <f>IF(SUMIFS(Sheet2!$E:$E,Sheet2!$C:$C,$A67,Sheet2!$A:$A,I$2)&lt;&gt;0,SUMIFS(Sheet2!$E:$E,Sheet2!$C:$C,$A67,Sheet2!$A:$A,I$2),"")</f>
        <v/>
      </c>
      <c r="J67" s="42" t="str">
        <f>IF(SUMIFS(Sheet2!$E:$E,Sheet2!$C:$C,$A67,Sheet2!$A:$A,J$2)&lt;&gt;0,SUMIFS(Sheet2!$E:$E,Sheet2!$C:$C,$A67,Sheet2!$A:$A,J$2),"")</f>
        <v/>
      </c>
      <c r="K67" s="42" t="str">
        <f>IF(SUMIFS(Sheet2!$E:$E,Sheet2!$C:$C,$A67,Sheet2!$A:$A,K$2)&lt;&gt;0,SUMIFS(Sheet2!$E:$E,Sheet2!$C:$C,$A67,Sheet2!$A:$A,K$2),"")</f>
        <v/>
      </c>
      <c r="L67" s="42" t="str">
        <f>IF(SUMIFS(Sheet2!$E:$E,Sheet2!$C:$C,$A67,Sheet2!$A:$A,L$2)&lt;&gt;0,SUMIFS(Sheet2!$E:$E,Sheet2!$C:$C,$A67,Sheet2!$A:$A,L$2),"")</f>
        <v/>
      </c>
      <c r="M67" s="42" t="str">
        <f>IF(SUMIFS(Sheet2!$E:$E,Sheet2!$C:$C,$A67,Sheet2!$A:$A,M$2)&lt;&gt;0,SUMIFS(Sheet2!$E:$E,Sheet2!$C:$C,$A67,Sheet2!$A:$A,M$2),"")</f>
        <v/>
      </c>
      <c r="N67" s="42" t="str">
        <f>IF(SUMIFS(Sheet2!$E:$E,Sheet2!$C:$C,$A67,Sheet2!$A:$A,N$2)&lt;&gt;0,SUMIFS(Sheet2!$E:$E,Sheet2!$C:$C,$A67,Sheet2!$A:$A,N$2),"")</f>
        <v/>
      </c>
      <c r="O67" s="42" t="str">
        <f>IF(SUMIFS(Sheet2!$E:$E,Sheet2!$C:$C,$A67,Sheet2!$A:$A,O$2)&lt;&gt;0,SUMIFS(Sheet2!$E:$E,Sheet2!$C:$C,$A67,Sheet2!$A:$A,O$2),"")</f>
        <v/>
      </c>
      <c r="P67" s="42" t="str">
        <f>IF(SUMIFS(Sheet2!$E:$E,Sheet2!$C:$C,$A67,Sheet2!$A:$A,P$2)&lt;&gt;0,SUMIFS(Sheet2!$E:$E,Sheet2!$C:$C,$A67,Sheet2!$A:$A,P$2),"")</f>
        <v/>
      </c>
      <c r="Q67" s="42" t="str">
        <f>IF(SUMIFS(Sheet2!$E:$E,Sheet2!$C:$C,$A67,Sheet2!$A:$A,Q$2)&lt;&gt;0,SUMIFS(Sheet2!$E:$E,Sheet2!$C:$C,$A67,Sheet2!$A:$A,Q$2),"")</f>
        <v/>
      </c>
      <c r="R67" s="42" t="str">
        <f>IF(SUMIFS(Sheet2!$E:$E,Sheet2!$C:$C,$A67,Sheet2!$A:$A,R$2)&lt;&gt;0,SUMIFS(Sheet2!$E:$E,Sheet2!$C:$C,$A67,Sheet2!$A:$A,R$2),"")</f>
        <v/>
      </c>
      <c r="S67" s="42" t="str">
        <f>IF(SUMIFS(Sheet2!$E:$E,Sheet2!$C:$C,$A67,Sheet2!$A:$A,S$2)&lt;&gt;0,SUMIFS(Sheet2!$E:$E,Sheet2!$C:$C,$A67,Sheet2!$A:$A,S$2),"")</f>
        <v/>
      </c>
      <c r="T67" s="42" t="str">
        <f>IF(SUMIFS(Sheet2!$E:$E,Sheet2!$C:$C,$A67,Sheet2!$A:$A,T$2)&lt;&gt;0,SUMIFS(Sheet2!$E:$E,Sheet2!$C:$C,$A67,Sheet2!$A:$A,T$2),"")</f>
        <v/>
      </c>
      <c r="U67" s="42" t="str">
        <f>IF(SUMIFS(Sheet2!$E:$E,Sheet2!$C:$C,$A67,Sheet2!$A:$A,U$2)&lt;&gt;0,SUMIFS(Sheet2!$E:$E,Sheet2!$C:$C,$A67,Sheet2!$A:$A,U$2),"")</f>
        <v/>
      </c>
      <c r="V67" s="42" t="str">
        <f>IF(SUMIFS(Sheet2!$E:$E,Sheet2!$C:$C,$A67,Sheet2!$A:$A,V$2)&lt;&gt;0,SUMIFS(Sheet2!$E:$E,Sheet2!$C:$C,$A67,Sheet2!$A:$A,V$2),"")</f>
        <v/>
      </c>
      <c r="W67" s="42" t="str">
        <f>IF(SUMIFS(Sheet2!$E:$E,Sheet2!$C:$C,$A67,Sheet2!$A:$A,W$2)&lt;&gt;0,SUMIFS(Sheet2!$E:$E,Sheet2!$C:$C,$A67,Sheet2!$A:$A,W$2),"")</f>
        <v/>
      </c>
      <c r="X67" s="42" t="str">
        <f>IF(SUMIFS(Sheet2!$E:$E,Sheet2!$C:$C,$A67,Sheet2!$A:$A,X$2)&lt;&gt;0,SUMIFS(Sheet2!$E:$E,Sheet2!$C:$C,$A67,Sheet2!$A:$A,X$2),"")</f>
        <v/>
      </c>
      <c r="Y67" s="42" t="str">
        <f>IF(SUMIFS(Sheet2!$E:$E,Sheet2!$C:$C,$A67,Sheet2!$A:$A,Y$2)&lt;&gt;0,SUMIFS(Sheet2!$E:$E,Sheet2!$C:$C,$A67,Sheet2!$A:$A,Y$2),"")</f>
        <v/>
      </c>
      <c r="Z67" s="42" t="str">
        <f>IF(SUMIFS(Sheet2!$E:$E,Sheet2!$C:$C,$A67,Sheet2!$A:$A,Z$2)&lt;&gt;0,SUMIFS(Sheet2!$E:$E,Sheet2!$C:$C,$A67,Sheet2!$A:$A,Z$2),"")</f>
        <v/>
      </c>
      <c r="AA67" s="42" t="str">
        <f>IF(SUMIFS(Sheet2!$E:$E,Sheet2!$C:$C,$A67,Sheet2!$A:$A,AA$2)&lt;&gt;0,SUMIFS(Sheet2!$E:$E,Sheet2!$C:$C,$A67,Sheet2!$A:$A,AA$2),"")</f>
        <v/>
      </c>
      <c r="AB67" s="42" t="str">
        <f>IF(SUMIFS(Sheet2!$E:$E,Sheet2!$C:$C,$A67,Sheet2!$A:$A,AB$2)&lt;&gt;0,SUMIFS(Sheet2!$E:$E,Sheet2!$C:$C,$A67,Sheet2!$A:$A,AB$2),"")</f>
        <v/>
      </c>
      <c r="AC67" s="42" t="str">
        <f>IF(SUMIFS(Sheet2!$E:$E,Sheet2!$C:$C,$A67,Sheet2!$A:$A,AC$2)&lt;&gt;0,SUMIFS(Sheet2!$E:$E,Sheet2!$C:$C,$A67,Sheet2!$A:$A,AC$2),"")</f>
        <v/>
      </c>
      <c r="AD67" s="42" t="str">
        <f>IF(SUMIFS(Sheet2!$E:$E,Sheet2!$C:$C,$A67,Sheet2!$A:$A,AD$2)&lt;&gt;0,SUMIFS(Sheet2!$E:$E,Sheet2!$C:$C,$A67,Sheet2!$A:$A,AD$2),"")</f>
        <v/>
      </c>
      <c r="AE67" s="42" t="str">
        <f>IF(SUMIFS(Sheet2!$E:$E,Sheet2!$C:$C,$A67,Sheet2!$A:$A,AE$2)&lt;&gt;0,SUMIFS(Sheet2!$E:$E,Sheet2!$C:$C,$A67,Sheet2!$A:$A,AE$2),"")</f>
        <v/>
      </c>
      <c r="AF67" s="42" t="str">
        <f>IF(SUMIFS(Sheet2!$E:$E,Sheet2!$C:$C,$A67,Sheet2!$A:$A,AF$2)&lt;&gt;0,SUMIFS(Sheet2!$E:$E,Sheet2!$C:$C,$A67,Sheet2!$A:$A,AF$2),"")</f>
        <v/>
      </c>
      <c r="AG67" s="42" t="str">
        <f>IF(SUMIFS(Sheet2!$E:$E,Sheet2!$C:$C,$A67,Sheet2!$A:$A,AG$2)&lt;&gt;0,SUMIFS(Sheet2!$E:$E,Sheet2!$C:$C,$A67,Sheet2!$A:$A,AG$2),"")</f>
        <v/>
      </c>
      <c r="AH67" s="43">
        <f>SUM(Table2[[#This Row],[1]:[31]])</f>
        <v>0</v>
      </c>
    </row>
    <row r="68" spans="1:34" ht="12.75" customHeight="1">
      <c r="A68" s="76" t="str">
        <f>DSSP!A67</f>
        <v>A152</v>
      </c>
      <c r="B68" s="25" t="str">
        <f>DSSP!B67</f>
        <v>Ma Kết</v>
      </c>
      <c r="C68" s="42" t="str">
        <f>IF(SUMIFS(Sheet2!$E:$E,Sheet2!$C:$C,$A68,Sheet2!$A:$A,C$2)&lt;&gt;0,SUMIFS(Sheet2!$E:$E,Sheet2!$C:$C,$A68,Sheet2!$A:$A,C$2),"")</f>
        <v/>
      </c>
      <c r="D68" s="42" t="str">
        <f>IF(SUMIFS(Sheet2!$E:$E,Sheet2!$C:$C,$A68,Sheet2!$A:$A,D$2)&lt;&gt;0,SUMIFS(Sheet2!$E:$E,Sheet2!$C:$C,$A68,Sheet2!$A:$A,D$2),"")</f>
        <v/>
      </c>
      <c r="E68" s="42" t="str">
        <f>IF(SUMIFS(Sheet2!$E:$E,Sheet2!$C:$C,$A68,Sheet2!$A:$A,E$2)&lt;&gt;0,SUMIFS(Sheet2!$E:$E,Sheet2!$C:$C,$A68,Sheet2!$A:$A,E$2),"")</f>
        <v/>
      </c>
      <c r="F68" s="42" t="str">
        <f>IF(SUMIFS(Sheet2!$E:$E,Sheet2!$C:$C,$A68,Sheet2!$A:$A,F$2)&lt;&gt;0,SUMIFS(Sheet2!$E:$E,Sheet2!$C:$C,$A68,Sheet2!$A:$A,F$2),"")</f>
        <v/>
      </c>
      <c r="G68" s="42" t="str">
        <f>IF(SUMIFS(Sheet2!$E:$E,Sheet2!$C:$C,$A68,Sheet2!$A:$A,G$2)&lt;&gt;0,SUMIFS(Sheet2!$E:$E,Sheet2!$C:$C,$A68,Sheet2!$A:$A,G$2),"")</f>
        <v/>
      </c>
      <c r="H68" s="42" t="str">
        <f>IF(SUMIFS(Sheet2!$E:$E,Sheet2!$C:$C,$A68,Sheet2!$A:$A,H$2)&lt;&gt;0,SUMIFS(Sheet2!$E:$E,Sheet2!$C:$C,$A68,Sheet2!$A:$A,H$2),"")</f>
        <v/>
      </c>
      <c r="I68" s="42" t="str">
        <f>IF(SUMIFS(Sheet2!$E:$E,Sheet2!$C:$C,$A68,Sheet2!$A:$A,I$2)&lt;&gt;0,SUMIFS(Sheet2!$E:$E,Sheet2!$C:$C,$A68,Sheet2!$A:$A,I$2),"")</f>
        <v/>
      </c>
      <c r="J68" s="42" t="str">
        <f>IF(SUMIFS(Sheet2!$E:$E,Sheet2!$C:$C,$A68,Sheet2!$A:$A,J$2)&lt;&gt;0,SUMIFS(Sheet2!$E:$E,Sheet2!$C:$C,$A68,Sheet2!$A:$A,J$2),"")</f>
        <v/>
      </c>
      <c r="K68" s="42" t="str">
        <f>IF(SUMIFS(Sheet2!$E:$E,Sheet2!$C:$C,$A68,Sheet2!$A:$A,K$2)&lt;&gt;0,SUMIFS(Sheet2!$E:$E,Sheet2!$C:$C,$A68,Sheet2!$A:$A,K$2),"")</f>
        <v/>
      </c>
      <c r="L68" s="42" t="str">
        <f>IF(SUMIFS(Sheet2!$E:$E,Sheet2!$C:$C,$A68,Sheet2!$A:$A,L$2)&lt;&gt;0,SUMIFS(Sheet2!$E:$E,Sheet2!$C:$C,$A68,Sheet2!$A:$A,L$2),"")</f>
        <v/>
      </c>
      <c r="M68" s="42" t="str">
        <f>IF(SUMIFS(Sheet2!$E:$E,Sheet2!$C:$C,$A68,Sheet2!$A:$A,M$2)&lt;&gt;0,SUMIFS(Sheet2!$E:$E,Sheet2!$C:$C,$A68,Sheet2!$A:$A,M$2),"")</f>
        <v/>
      </c>
      <c r="N68" s="42" t="str">
        <f>IF(SUMIFS(Sheet2!$E:$E,Sheet2!$C:$C,$A68,Sheet2!$A:$A,N$2)&lt;&gt;0,SUMIFS(Sheet2!$E:$E,Sheet2!$C:$C,$A68,Sheet2!$A:$A,N$2),"")</f>
        <v/>
      </c>
      <c r="O68" s="42" t="str">
        <f>IF(SUMIFS(Sheet2!$E:$E,Sheet2!$C:$C,$A68,Sheet2!$A:$A,O$2)&lt;&gt;0,SUMIFS(Sheet2!$E:$E,Sheet2!$C:$C,$A68,Sheet2!$A:$A,O$2),"")</f>
        <v/>
      </c>
      <c r="P68" s="42" t="str">
        <f>IF(SUMIFS(Sheet2!$E:$E,Sheet2!$C:$C,$A68,Sheet2!$A:$A,P$2)&lt;&gt;0,SUMIFS(Sheet2!$E:$E,Sheet2!$C:$C,$A68,Sheet2!$A:$A,P$2),"")</f>
        <v/>
      </c>
      <c r="Q68" s="42" t="str">
        <f>IF(SUMIFS(Sheet2!$E:$E,Sheet2!$C:$C,$A68,Sheet2!$A:$A,Q$2)&lt;&gt;0,SUMIFS(Sheet2!$E:$E,Sheet2!$C:$C,$A68,Sheet2!$A:$A,Q$2),"")</f>
        <v/>
      </c>
      <c r="R68" s="42" t="str">
        <f>IF(SUMIFS(Sheet2!$E:$E,Sheet2!$C:$C,$A68,Sheet2!$A:$A,R$2)&lt;&gt;0,SUMIFS(Sheet2!$E:$E,Sheet2!$C:$C,$A68,Sheet2!$A:$A,R$2),"")</f>
        <v/>
      </c>
      <c r="S68" s="42" t="str">
        <f>IF(SUMIFS(Sheet2!$E:$E,Sheet2!$C:$C,$A68,Sheet2!$A:$A,S$2)&lt;&gt;0,SUMIFS(Sheet2!$E:$E,Sheet2!$C:$C,$A68,Sheet2!$A:$A,S$2),"")</f>
        <v/>
      </c>
      <c r="T68" s="42" t="str">
        <f>IF(SUMIFS(Sheet2!$E:$E,Sheet2!$C:$C,$A68,Sheet2!$A:$A,T$2)&lt;&gt;0,SUMIFS(Sheet2!$E:$E,Sheet2!$C:$C,$A68,Sheet2!$A:$A,T$2),"")</f>
        <v/>
      </c>
      <c r="U68" s="42" t="str">
        <f>IF(SUMIFS(Sheet2!$E:$E,Sheet2!$C:$C,$A68,Sheet2!$A:$A,U$2)&lt;&gt;0,SUMIFS(Sheet2!$E:$E,Sheet2!$C:$C,$A68,Sheet2!$A:$A,U$2),"")</f>
        <v/>
      </c>
      <c r="V68" s="42" t="str">
        <f>IF(SUMIFS(Sheet2!$E:$E,Sheet2!$C:$C,$A68,Sheet2!$A:$A,V$2)&lt;&gt;0,SUMIFS(Sheet2!$E:$E,Sheet2!$C:$C,$A68,Sheet2!$A:$A,V$2),"")</f>
        <v/>
      </c>
      <c r="W68" s="42" t="str">
        <f>IF(SUMIFS(Sheet2!$E:$E,Sheet2!$C:$C,$A68,Sheet2!$A:$A,W$2)&lt;&gt;0,SUMIFS(Sheet2!$E:$E,Sheet2!$C:$C,$A68,Sheet2!$A:$A,W$2),"")</f>
        <v/>
      </c>
      <c r="X68" s="42" t="str">
        <f>IF(SUMIFS(Sheet2!$E:$E,Sheet2!$C:$C,$A68,Sheet2!$A:$A,X$2)&lt;&gt;0,SUMIFS(Sheet2!$E:$E,Sheet2!$C:$C,$A68,Sheet2!$A:$A,X$2),"")</f>
        <v/>
      </c>
      <c r="Y68" s="42" t="str">
        <f>IF(SUMIFS(Sheet2!$E:$E,Sheet2!$C:$C,$A68,Sheet2!$A:$A,Y$2)&lt;&gt;0,SUMIFS(Sheet2!$E:$E,Sheet2!$C:$C,$A68,Sheet2!$A:$A,Y$2),"")</f>
        <v/>
      </c>
      <c r="Z68" s="42" t="str">
        <f>IF(SUMIFS(Sheet2!$E:$E,Sheet2!$C:$C,$A68,Sheet2!$A:$A,Z$2)&lt;&gt;0,SUMIFS(Sheet2!$E:$E,Sheet2!$C:$C,$A68,Sheet2!$A:$A,Z$2),"")</f>
        <v/>
      </c>
      <c r="AA68" s="42" t="str">
        <f>IF(SUMIFS(Sheet2!$E:$E,Sheet2!$C:$C,$A68,Sheet2!$A:$A,AA$2)&lt;&gt;0,SUMIFS(Sheet2!$E:$E,Sheet2!$C:$C,$A68,Sheet2!$A:$A,AA$2),"")</f>
        <v/>
      </c>
      <c r="AB68" s="42" t="str">
        <f>IF(SUMIFS(Sheet2!$E:$E,Sheet2!$C:$C,$A68,Sheet2!$A:$A,AB$2)&lt;&gt;0,SUMIFS(Sheet2!$E:$E,Sheet2!$C:$C,$A68,Sheet2!$A:$A,AB$2),"")</f>
        <v/>
      </c>
      <c r="AC68" s="42" t="str">
        <f>IF(SUMIFS(Sheet2!$E:$E,Sheet2!$C:$C,$A68,Sheet2!$A:$A,AC$2)&lt;&gt;0,SUMIFS(Sheet2!$E:$E,Sheet2!$C:$C,$A68,Sheet2!$A:$A,AC$2),"")</f>
        <v/>
      </c>
      <c r="AD68" s="42" t="str">
        <f>IF(SUMIFS(Sheet2!$E:$E,Sheet2!$C:$C,$A68,Sheet2!$A:$A,AD$2)&lt;&gt;0,SUMIFS(Sheet2!$E:$E,Sheet2!$C:$C,$A68,Sheet2!$A:$A,AD$2),"")</f>
        <v/>
      </c>
      <c r="AE68" s="42" t="str">
        <f>IF(SUMIFS(Sheet2!$E:$E,Sheet2!$C:$C,$A68,Sheet2!$A:$A,AE$2)&lt;&gt;0,SUMIFS(Sheet2!$E:$E,Sheet2!$C:$C,$A68,Sheet2!$A:$A,AE$2),"")</f>
        <v/>
      </c>
      <c r="AF68" s="42" t="str">
        <f>IF(SUMIFS(Sheet2!$E:$E,Sheet2!$C:$C,$A68,Sheet2!$A:$A,AF$2)&lt;&gt;0,SUMIFS(Sheet2!$E:$E,Sheet2!$C:$C,$A68,Sheet2!$A:$A,AF$2),"")</f>
        <v/>
      </c>
      <c r="AG68" s="42" t="str">
        <f>IF(SUMIFS(Sheet2!$E:$E,Sheet2!$C:$C,$A68,Sheet2!$A:$A,AG$2)&lt;&gt;0,SUMIFS(Sheet2!$E:$E,Sheet2!$C:$C,$A68,Sheet2!$A:$A,AG$2),"")</f>
        <v/>
      </c>
      <c r="AH68" s="43">
        <f>SUM(Table2[[#This Row],[1]:[31]])</f>
        <v>0</v>
      </c>
    </row>
    <row r="69" spans="1:34" ht="12.75" customHeight="1">
      <c r="A69" s="76" t="str">
        <f>DSSP!A68</f>
        <v>A153</v>
      </c>
      <c r="B69" s="25" t="str">
        <f>DSSP!B68</f>
        <v>Bảo Bình</v>
      </c>
      <c r="C69" s="42" t="str">
        <f>IF(SUMIFS(Sheet2!$E:$E,Sheet2!$C:$C,$A69,Sheet2!$A:$A,C$2)&lt;&gt;0,SUMIFS(Sheet2!$E:$E,Sheet2!$C:$C,$A69,Sheet2!$A:$A,C$2),"")</f>
        <v/>
      </c>
      <c r="D69" s="42" t="str">
        <f>IF(SUMIFS(Sheet2!$E:$E,Sheet2!$C:$C,$A69,Sheet2!$A:$A,D$2)&lt;&gt;0,SUMIFS(Sheet2!$E:$E,Sheet2!$C:$C,$A69,Sheet2!$A:$A,D$2),"")</f>
        <v/>
      </c>
      <c r="E69" s="42" t="str">
        <f>IF(SUMIFS(Sheet2!$E:$E,Sheet2!$C:$C,$A69,Sheet2!$A:$A,E$2)&lt;&gt;0,SUMIFS(Sheet2!$E:$E,Sheet2!$C:$C,$A69,Sheet2!$A:$A,E$2),"")</f>
        <v/>
      </c>
      <c r="F69" s="42" t="str">
        <f>IF(SUMIFS(Sheet2!$E:$E,Sheet2!$C:$C,$A69,Sheet2!$A:$A,F$2)&lt;&gt;0,SUMIFS(Sheet2!$E:$E,Sheet2!$C:$C,$A69,Sheet2!$A:$A,F$2),"")</f>
        <v/>
      </c>
      <c r="G69" s="42" t="str">
        <f>IF(SUMIFS(Sheet2!$E:$E,Sheet2!$C:$C,$A69,Sheet2!$A:$A,G$2)&lt;&gt;0,SUMIFS(Sheet2!$E:$E,Sheet2!$C:$C,$A69,Sheet2!$A:$A,G$2),"")</f>
        <v/>
      </c>
      <c r="H69" s="42" t="str">
        <f>IF(SUMIFS(Sheet2!$E:$E,Sheet2!$C:$C,$A69,Sheet2!$A:$A,H$2)&lt;&gt;0,SUMIFS(Sheet2!$E:$E,Sheet2!$C:$C,$A69,Sheet2!$A:$A,H$2),"")</f>
        <v/>
      </c>
      <c r="I69" s="42" t="str">
        <f>IF(SUMIFS(Sheet2!$E:$E,Sheet2!$C:$C,$A69,Sheet2!$A:$A,I$2)&lt;&gt;0,SUMIFS(Sheet2!$E:$E,Sheet2!$C:$C,$A69,Sheet2!$A:$A,I$2),"")</f>
        <v/>
      </c>
      <c r="J69" s="42" t="str">
        <f>IF(SUMIFS(Sheet2!$E:$E,Sheet2!$C:$C,$A69,Sheet2!$A:$A,J$2)&lt;&gt;0,SUMIFS(Sheet2!$E:$E,Sheet2!$C:$C,$A69,Sheet2!$A:$A,J$2),"")</f>
        <v/>
      </c>
      <c r="K69" s="42" t="str">
        <f>IF(SUMIFS(Sheet2!$E:$E,Sheet2!$C:$C,$A69,Sheet2!$A:$A,K$2)&lt;&gt;0,SUMIFS(Sheet2!$E:$E,Sheet2!$C:$C,$A69,Sheet2!$A:$A,K$2),"")</f>
        <v/>
      </c>
      <c r="L69" s="42" t="str">
        <f>IF(SUMIFS(Sheet2!$E:$E,Sheet2!$C:$C,$A69,Sheet2!$A:$A,L$2)&lt;&gt;0,SUMIFS(Sheet2!$E:$E,Sheet2!$C:$C,$A69,Sheet2!$A:$A,L$2),"")</f>
        <v/>
      </c>
      <c r="M69" s="42" t="str">
        <f>IF(SUMIFS(Sheet2!$E:$E,Sheet2!$C:$C,$A69,Sheet2!$A:$A,M$2)&lt;&gt;0,SUMIFS(Sheet2!$E:$E,Sheet2!$C:$C,$A69,Sheet2!$A:$A,M$2),"")</f>
        <v/>
      </c>
      <c r="N69" s="42" t="str">
        <f>IF(SUMIFS(Sheet2!$E:$E,Sheet2!$C:$C,$A69,Sheet2!$A:$A,N$2)&lt;&gt;0,SUMIFS(Sheet2!$E:$E,Sheet2!$C:$C,$A69,Sheet2!$A:$A,N$2),"")</f>
        <v/>
      </c>
      <c r="O69" s="42" t="str">
        <f>IF(SUMIFS(Sheet2!$E:$E,Sheet2!$C:$C,$A69,Sheet2!$A:$A,O$2)&lt;&gt;0,SUMIFS(Sheet2!$E:$E,Sheet2!$C:$C,$A69,Sheet2!$A:$A,O$2),"")</f>
        <v/>
      </c>
      <c r="P69" s="42" t="str">
        <f>IF(SUMIFS(Sheet2!$E:$E,Sheet2!$C:$C,$A69,Sheet2!$A:$A,P$2)&lt;&gt;0,SUMIFS(Sheet2!$E:$E,Sheet2!$C:$C,$A69,Sheet2!$A:$A,P$2),"")</f>
        <v/>
      </c>
      <c r="Q69" s="42" t="str">
        <f>IF(SUMIFS(Sheet2!$E:$E,Sheet2!$C:$C,$A69,Sheet2!$A:$A,Q$2)&lt;&gt;0,SUMIFS(Sheet2!$E:$E,Sheet2!$C:$C,$A69,Sheet2!$A:$A,Q$2),"")</f>
        <v/>
      </c>
      <c r="R69" s="42" t="str">
        <f>IF(SUMIFS(Sheet2!$E:$E,Sheet2!$C:$C,$A69,Sheet2!$A:$A,R$2)&lt;&gt;0,SUMIFS(Sheet2!$E:$E,Sheet2!$C:$C,$A69,Sheet2!$A:$A,R$2),"")</f>
        <v/>
      </c>
      <c r="S69" s="42" t="str">
        <f>IF(SUMIFS(Sheet2!$E:$E,Sheet2!$C:$C,$A69,Sheet2!$A:$A,S$2)&lt;&gt;0,SUMIFS(Sheet2!$E:$E,Sheet2!$C:$C,$A69,Sheet2!$A:$A,S$2),"")</f>
        <v/>
      </c>
      <c r="T69" s="42" t="str">
        <f>IF(SUMIFS(Sheet2!$E:$E,Sheet2!$C:$C,$A69,Sheet2!$A:$A,T$2)&lt;&gt;0,SUMIFS(Sheet2!$E:$E,Sheet2!$C:$C,$A69,Sheet2!$A:$A,T$2),"")</f>
        <v/>
      </c>
      <c r="U69" s="42" t="str">
        <f>IF(SUMIFS(Sheet2!$E:$E,Sheet2!$C:$C,$A69,Sheet2!$A:$A,U$2)&lt;&gt;0,SUMIFS(Sheet2!$E:$E,Sheet2!$C:$C,$A69,Sheet2!$A:$A,U$2),"")</f>
        <v/>
      </c>
      <c r="V69" s="42" t="str">
        <f>IF(SUMIFS(Sheet2!$E:$E,Sheet2!$C:$C,$A69,Sheet2!$A:$A,V$2)&lt;&gt;0,SUMIFS(Sheet2!$E:$E,Sheet2!$C:$C,$A69,Sheet2!$A:$A,V$2),"")</f>
        <v/>
      </c>
      <c r="W69" s="42" t="str">
        <f>IF(SUMIFS(Sheet2!$E:$E,Sheet2!$C:$C,$A69,Sheet2!$A:$A,W$2)&lt;&gt;0,SUMIFS(Sheet2!$E:$E,Sheet2!$C:$C,$A69,Sheet2!$A:$A,W$2),"")</f>
        <v/>
      </c>
      <c r="X69" s="42" t="str">
        <f>IF(SUMIFS(Sheet2!$E:$E,Sheet2!$C:$C,$A69,Sheet2!$A:$A,X$2)&lt;&gt;0,SUMIFS(Sheet2!$E:$E,Sheet2!$C:$C,$A69,Sheet2!$A:$A,X$2),"")</f>
        <v/>
      </c>
      <c r="Y69" s="42" t="str">
        <f>IF(SUMIFS(Sheet2!$E:$E,Sheet2!$C:$C,$A69,Sheet2!$A:$A,Y$2)&lt;&gt;0,SUMIFS(Sheet2!$E:$E,Sheet2!$C:$C,$A69,Sheet2!$A:$A,Y$2),"")</f>
        <v/>
      </c>
      <c r="Z69" s="42" t="str">
        <f>IF(SUMIFS(Sheet2!$E:$E,Sheet2!$C:$C,$A69,Sheet2!$A:$A,Z$2)&lt;&gt;0,SUMIFS(Sheet2!$E:$E,Sheet2!$C:$C,$A69,Sheet2!$A:$A,Z$2),"")</f>
        <v/>
      </c>
      <c r="AA69" s="42" t="str">
        <f>IF(SUMIFS(Sheet2!$E:$E,Sheet2!$C:$C,$A69,Sheet2!$A:$A,AA$2)&lt;&gt;0,SUMIFS(Sheet2!$E:$E,Sheet2!$C:$C,$A69,Sheet2!$A:$A,AA$2),"")</f>
        <v/>
      </c>
      <c r="AB69" s="42" t="str">
        <f>IF(SUMIFS(Sheet2!$E:$E,Sheet2!$C:$C,$A69,Sheet2!$A:$A,AB$2)&lt;&gt;0,SUMIFS(Sheet2!$E:$E,Sheet2!$C:$C,$A69,Sheet2!$A:$A,AB$2),"")</f>
        <v/>
      </c>
      <c r="AC69" s="42" t="str">
        <f>IF(SUMIFS(Sheet2!$E:$E,Sheet2!$C:$C,$A69,Sheet2!$A:$A,AC$2)&lt;&gt;0,SUMIFS(Sheet2!$E:$E,Sheet2!$C:$C,$A69,Sheet2!$A:$A,AC$2),"")</f>
        <v/>
      </c>
      <c r="AD69" s="42" t="str">
        <f>IF(SUMIFS(Sheet2!$E:$E,Sheet2!$C:$C,$A69,Sheet2!$A:$A,AD$2)&lt;&gt;0,SUMIFS(Sheet2!$E:$E,Sheet2!$C:$C,$A69,Sheet2!$A:$A,AD$2),"")</f>
        <v/>
      </c>
      <c r="AE69" s="42" t="str">
        <f>IF(SUMIFS(Sheet2!$E:$E,Sheet2!$C:$C,$A69,Sheet2!$A:$A,AE$2)&lt;&gt;0,SUMIFS(Sheet2!$E:$E,Sheet2!$C:$C,$A69,Sheet2!$A:$A,AE$2),"")</f>
        <v/>
      </c>
      <c r="AF69" s="42" t="str">
        <f>IF(SUMIFS(Sheet2!$E:$E,Sheet2!$C:$C,$A69,Sheet2!$A:$A,AF$2)&lt;&gt;0,SUMIFS(Sheet2!$E:$E,Sheet2!$C:$C,$A69,Sheet2!$A:$A,AF$2),"")</f>
        <v/>
      </c>
      <c r="AG69" s="42" t="str">
        <f>IF(SUMIFS(Sheet2!$E:$E,Sheet2!$C:$C,$A69,Sheet2!$A:$A,AG$2)&lt;&gt;0,SUMIFS(Sheet2!$E:$E,Sheet2!$C:$C,$A69,Sheet2!$A:$A,AG$2),"")</f>
        <v/>
      </c>
      <c r="AH69" s="43">
        <f>SUM(Table2[[#This Row],[1]:[31]])</f>
        <v>0</v>
      </c>
    </row>
    <row r="70" spans="1:34" ht="12.75" customHeight="1">
      <c r="A70" s="76" t="str">
        <f>DSSP!A69</f>
        <v>A154</v>
      </c>
      <c r="B70" s="25" t="str">
        <f>DSSP!B69</f>
        <v>Song Ngư</v>
      </c>
      <c r="C70" s="42" t="str">
        <f>IF(SUMIFS(Sheet2!$E:$E,Sheet2!$C:$C,$A70,Sheet2!$A:$A,C$2)&lt;&gt;0,SUMIFS(Sheet2!$E:$E,Sheet2!$C:$C,$A70,Sheet2!$A:$A,C$2),"")</f>
        <v/>
      </c>
      <c r="D70" s="42" t="str">
        <f>IF(SUMIFS(Sheet2!$E:$E,Sheet2!$C:$C,$A70,Sheet2!$A:$A,D$2)&lt;&gt;0,SUMIFS(Sheet2!$E:$E,Sheet2!$C:$C,$A70,Sheet2!$A:$A,D$2),"")</f>
        <v/>
      </c>
      <c r="E70" s="42" t="str">
        <f>IF(SUMIFS(Sheet2!$E:$E,Sheet2!$C:$C,$A70,Sheet2!$A:$A,E$2)&lt;&gt;0,SUMIFS(Sheet2!$E:$E,Sheet2!$C:$C,$A70,Sheet2!$A:$A,E$2),"")</f>
        <v/>
      </c>
      <c r="F70" s="42" t="str">
        <f>IF(SUMIFS(Sheet2!$E:$E,Sheet2!$C:$C,$A70,Sheet2!$A:$A,F$2)&lt;&gt;0,SUMIFS(Sheet2!$E:$E,Sheet2!$C:$C,$A70,Sheet2!$A:$A,F$2),"")</f>
        <v/>
      </c>
      <c r="G70" s="42" t="str">
        <f>IF(SUMIFS(Sheet2!$E:$E,Sheet2!$C:$C,$A70,Sheet2!$A:$A,G$2)&lt;&gt;0,SUMIFS(Sheet2!$E:$E,Sheet2!$C:$C,$A70,Sheet2!$A:$A,G$2),"")</f>
        <v/>
      </c>
      <c r="H70" s="42" t="str">
        <f>IF(SUMIFS(Sheet2!$E:$E,Sheet2!$C:$C,$A70,Sheet2!$A:$A,H$2)&lt;&gt;0,SUMIFS(Sheet2!$E:$E,Sheet2!$C:$C,$A70,Sheet2!$A:$A,H$2),"")</f>
        <v/>
      </c>
      <c r="I70" s="42" t="str">
        <f>IF(SUMIFS(Sheet2!$E:$E,Sheet2!$C:$C,$A70,Sheet2!$A:$A,I$2)&lt;&gt;0,SUMIFS(Sheet2!$E:$E,Sheet2!$C:$C,$A70,Sheet2!$A:$A,I$2),"")</f>
        <v/>
      </c>
      <c r="J70" s="42" t="str">
        <f>IF(SUMIFS(Sheet2!$E:$E,Sheet2!$C:$C,$A70,Sheet2!$A:$A,J$2)&lt;&gt;0,SUMIFS(Sheet2!$E:$E,Sheet2!$C:$C,$A70,Sheet2!$A:$A,J$2),"")</f>
        <v/>
      </c>
      <c r="K70" s="42" t="str">
        <f>IF(SUMIFS(Sheet2!$E:$E,Sheet2!$C:$C,$A70,Sheet2!$A:$A,K$2)&lt;&gt;0,SUMIFS(Sheet2!$E:$E,Sheet2!$C:$C,$A70,Sheet2!$A:$A,K$2),"")</f>
        <v/>
      </c>
      <c r="L70" s="42" t="str">
        <f>IF(SUMIFS(Sheet2!$E:$E,Sheet2!$C:$C,$A70,Sheet2!$A:$A,L$2)&lt;&gt;0,SUMIFS(Sheet2!$E:$E,Sheet2!$C:$C,$A70,Sheet2!$A:$A,L$2),"")</f>
        <v/>
      </c>
      <c r="M70" s="42" t="str">
        <f>IF(SUMIFS(Sheet2!$E:$E,Sheet2!$C:$C,$A70,Sheet2!$A:$A,M$2)&lt;&gt;0,SUMIFS(Sheet2!$E:$E,Sheet2!$C:$C,$A70,Sheet2!$A:$A,M$2),"")</f>
        <v/>
      </c>
      <c r="N70" s="42" t="str">
        <f>IF(SUMIFS(Sheet2!$E:$E,Sheet2!$C:$C,$A70,Sheet2!$A:$A,N$2)&lt;&gt;0,SUMIFS(Sheet2!$E:$E,Sheet2!$C:$C,$A70,Sheet2!$A:$A,N$2),"")</f>
        <v/>
      </c>
      <c r="O70" s="42" t="str">
        <f>IF(SUMIFS(Sheet2!$E:$E,Sheet2!$C:$C,$A70,Sheet2!$A:$A,O$2)&lt;&gt;0,SUMIFS(Sheet2!$E:$E,Sheet2!$C:$C,$A70,Sheet2!$A:$A,O$2),"")</f>
        <v/>
      </c>
      <c r="P70" s="42" t="str">
        <f>IF(SUMIFS(Sheet2!$E:$E,Sheet2!$C:$C,$A70,Sheet2!$A:$A,P$2)&lt;&gt;0,SUMIFS(Sheet2!$E:$E,Sheet2!$C:$C,$A70,Sheet2!$A:$A,P$2),"")</f>
        <v/>
      </c>
      <c r="Q70" s="42" t="str">
        <f>IF(SUMIFS(Sheet2!$E:$E,Sheet2!$C:$C,$A70,Sheet2!$A:$A,Q$2)&lt;&gt;0,SUMIFS(Sheet2!$E:$E,Sheet2!$C:$C,$A70,Sheet2!$A:$A,Q$2),"")</f>
        <v/>
      </c>
      <c r="R70" s="42" t="str">
        <f>IF(SUMIFS(Sheet2!$E:$E,Sheet2!$C:$C,$A70,Sheet2!$A:$A,R$2)&lt;&gt;0,SUMIFS(Sheet2!$E:$E,Sheet2!$C:$C,$A70,Sheet2!$A:$A,R$2),"")</f>
        <v/>
      </c>
      <c r="S70" s="42" t="str">
        <f>IF(SUMIFS(Sheet2!$E:$E,Sheet2!$C:$C,$A70,Sheet2!$A:$A,S$2)&lt;&gt;0,SUMIFS(Sheet2!$E:$E,Sheet2!$C:$C,$A70,Sheet2!$A:$A,S$2),"")</f>
        <v/>
      </c>
      <c r="T70" s="42" t="str">
        <f>IF(SUMIFS(Sheet2!$E:$E,Sheet2!$C:$C,$A70,Sheet2!$A:$A,T$2)&lt;&gt;0,SUMIFS(Sheet2!$E:$E,Sheet2!$C:$C,$A70,Sheet2!$A:$A,T$2),"")</f>
        <v/>
      </c>
      <c r="U70" s="42" t="str">
        <f>IF(SUMIFS(Sheet2!$E:$E,Sheet2!$C:$C,$A70,Sheet2!$A:$A,U$2)&lt;&gt;0,SUMIFS(Sheet2!$E:$E,Sheet2!$C:$C,$A70,Sheet2!$A:$A,U$2),"")</f>
        <v/>
      </c>
      <c r="V70" s="42" t="str">
        <f>IF(SUMIFS(Sheet2!$E:$E,Sheet2!$C:$C,$A70,Sheet2!$A:$A,V$2)&lt;&gt;0,SUMIFS(Sheet2!$E:$E,Sheet2!$C:$C,$A70,Sheet2!$A:$A,V$2),"")</f>
        <v/>
      </c>
      <c r="W70" s="42" t="str">
        <f>IF(SUMIFS(Sheet2!$E:$E,Sheet2!$C:$C,$A70,Sheet2!$A:$A,W$2)&lt;&gt;0,SUMIFS(Sheet2!$E:$E,Sheet2!$C:$C,$A70,Sheet2!$A:$A,W$2),"")</f>
        <v/>
      </c>
      <c r="X70" s="42" t="str">
        <f>IF(SUMIFS(Sheet2!$E:$E,Sheet2!$C:$C,$A70,Sheet2!$A:$A,X$2)&lt;&gt;0,SUMIFS(Sheet2!$E:$E,Sheet2!$C:$C,$A70,Sheet2!$A:$A,X$2),"")</f>
        <v/>
      </c>
      <c r="Y70" s="42" t="str">
        <f>IF(SUMIFS(Sheet2!$E:$E,Sheet2!$C:$C,$A70,Sheet2!$A:$A,Y$2)&lt;&gt;0,SUMIFS(Sheet2!$E:$E,Sheet2!$C:$C,$A70,Sheet2!$A:$A,Y$2),"")</f>
        <v/>
      </c>
      <c r="Z70" s="42" t="str">
        <f>IF(SUMIFS(Sheet2!$E:$E,Sheet2!$C:$C,$A70,Sheet2!$A:$A,Z$2)&lt;&gt;0,SUMIFS(Sheet2!$E:$E,Sheet2!$C:$C,$A70,Sheet2!$A:$A,Z$2),"")</f>
        <v/>
      </c>
      <c r="AA70" s="42" t="str">
        <f>IF(SUMIFS(Sheet2!$E:$E,Sheet2!$C:$C,$A70,Sheet2!$A:$A,AA$2)&lt;&gt;0,SUMIFS(Sheet2!$E:$E,Sheet2!$C:$C,$A70,Sheet2!$A:$A,AA$2),"")</f>
        <v/>
      </c>
      <c r="AB70" s="42" t="str">
        <f>IF(SUMIFS(Sheet2!$E:$E,Sheet2!$C:$C,$A70,Sheet2!$A:$A,AB$2)&lt;&gt;0,SUMIFS(Sheet2!$E:$E,Sheet2!$C:$C,$A70,Sheet2!$A:$A,AB$2),"")</f>
        <v/>
      </c>
      <c r="AC70" s="42" t="str">
        <f>IF(SUMIFS(Sheet2!$E:$E,Sheet2!$C:$C,$A70,Sheet2!$A:$A,AC$2)&lt;&gt;0,SUMIFS(Sheet2!$E:$E,Sheet2!$C:$C,$A70,Sheet2!$A:$A,AC$2),"")</f>
        <v/>
      </c>
      <c r="AD70" s="42" t="str">
        <f>IF(SUMIFS(Sheet2!$E:$E,Sheet2!$C:$C,$A70,Sheet2!$A:$A,AD$2)&lt;&gt;0,SUMIFS(Sheet2!$E:$E,Sheet2!$C:$C,$A70,Sheet2!$A:$A,AD$2),"")</f>
        <v/>
      </c>
      <c r="AE70" s="42" t="str">
        <f>IF(SUMIFS(Sheet2!$E:$E,Sheet2!$C:$C,$A70,Sheet2!$A:$A,AE$2)&lt;&gt;0,SUMIFS(Sheet2!$E:$E,Sheet2!$C:$C,$A70,Sheet2!$A:$A,AE$2),"")</f>
        <v/>
      </c>
      <c r="AF70" s="42" t="str">
        <f>IF(SUMIFS(Sheet2!$E:$E,Sheet2!$C:$C,$A70,Sheet2!$A:$A,AF$2)&lt;&gt;0,SUMIFS(Sheet2!$E:$E,Sheet2!$C:$C,$A70,Sheet2!$A:$A,AF$2),"")</f>
        <v/>
      </c>
      <c r="AG70" s="42" t="str">
        <f>IF(SUMIFS(Sheet2!$E:$E,Sheet2!$C:$C,$A70,Sheet2!$A:$A,AG$2)&lt;&gt;0,SUMIFS(Sheet2!$E:$E,Sheet2!$C:$C,$A70,Sheet2!$A:$A,AG$2),"")</f>
        <v/>
      </c>
      <c r="AH70" s="43">
        <f>SUM(Table2[[#This Row],[1]:[31]])</f>
        <v>0</v>
      </c>
    </row>
    <row r="71" spans="1:34" ht="12.75" customHeight="1">
      <c r="A71" s="76" t="str">
        <f>DSSP!A70</f>
        <v>A155</v>
      </c>
      <c r="B71" s="25" t="str">
        <f>DSSP!B70</f>
        <v>Phao bơi và mỏ neo</v>
      </c>
      <c r="C71" s="42" t="str">
        <f>IF(SUMIFS(Sheet2!$E:$E,Sheet2!$C:$C,$A71,Sheet2!$A:$A,C$2)&lt;&gt;0,SUMIFS(Sheet2!$E:$E,Sheet2!$C:$C,$A71,Sheet2!$A:$A,C$2),"")</f>
        <v/>
      </c>
      <c r="D71" s="42" t="str">
        <f>IF(SUMIFS(Sheet2!$E:$E,Sheet2!$C:$C,$A71,Sheet2!$A:$A,D$2)&lt;&gt;0,SUMIFS(Sheet2!$E:$E,Sheet2!$C:$C,$A71,Sheet2!$A:$A,D$2),"")</f>
        <v/>
      </c>
      <c r="E71" s="42" t="str">
        <f>IF(SUMIFS(Sheet2!$E:$E,Sheet2!$C:$C,$A71,Sheet2!$A:$A,E$2)&lt;&gt;0,SUMIFS(Sheet2!$E:$E,Sheet2!$C:$C,$A71,Sheet2!$A:$A,E$2),"")</f>
        <v/>
      </c>
      <c r="F71" s="42" t="str">
        <f>IF(SUMIFS(Sheet2!$E:$E,Sheet2!$C:$C,$A71,Sheet2!$A:$A,F$2)&lt;&gt;0,SUMIFS(Sheet2!$E:$E,Sheet2!$C:$C,$A71,Sheet2!$A:$A,F$2),"")</f>
        <v/>
      </c>
      <c r="G71" s="42" t="str">
        <f>IF(SUMIFS(Sheet2!$E:$E,Sheet2!$C:$C,$A71,Sheet2!$A:$A,G$2)&lt;&gt;0,SUMIFS(Sheet2!$E:$E,Sheet2!$C:$C,$A71,Sheet2!$A:$A,G$2),"")</f>
        <v/>
      </c>
      <c r="H71" s="42" t="str">
        <f>IF(SUMIFS(Sheet2!$E:$E,Sheet2!$C:$C,$A71,Sheet2!$A:$A,H$2)&lt;&gt;0,SUMIFS(Sheet2!$E:$E,Sheet2!$C:$C,$A71,Sheet2!$A:$A,H$2),"")</f>
        <v/>
      </c>
      <c r="I71" s="42" t="str">
        <f>IF(SUMIFS(Sheet2!$E:$E,Sheet2!$C:$C,$A71,Sheet2!$A:$A,I$2)&lt;&gt;0,SUMIFS(Sheet2!$E:$E,Sheet2!$C:$C,$A71,Sheet2!$A:$A,I$2),"")</f>
        <v/>
      </c>
      <c r="J71" s="42" t="str">
        <f>IF(SUMIFS(Sheet2!$E:$E,Sheet2!$C:$C,$A71,Sheet2!$A:$A,J$2)&lt;&gt;0,SUMIFS(Sheet2!$E:$E,Sheet2!$C:$C,$A71,Sheet2!$A:$A,J$2),"")</f>
        <v/>
      </c>
      <c r="K71" s="42" t="str">
        <f>IF(SUMIFS(Sheet2!$E:$E,Sheet2!$C:$C,$A71,Sheet2!$A:$A,K$2)&lt;&gt;0,SUMIFS(Sheet2!$E:$E,Sheet2!$C:$C,$A71,Sheet2!$A:$A,K$2),"")</f>
        <v/>
      </c>
      <c r="L71" s="42" t="str">
        <f>IF(SUMIFS(Sheet2!$E:$E,Sheet2!$C:$C,$A71,Sheet2!$A:$A,L$2)&lt;&gt;0,SUMIFS(Sheet2!$E:$E,Sheet2!$C:$C,$A71,Sheet2!$A:$A,L$2),"")</f>
        <v/>
      </c>
      <c r="M71" s="42" t="str">
        <f>IF(SUMIFS(Sheet2!$E:$E,Sheet2!$C:$C,$A71,Sheet2!$A:$A,M$2)&lt;&gt;0,SUMIFS(Sheet2!$E:$E,Sheet2!$C:$C,$A71,Sheet2!$A:$A,M$2),"")</f>
        <v/>
      </c>
      <c r="N71" s="42" t="str">
        <f>IF(SUMIFS(Sheet2!$E:$E,Sheet2!$C:$C,$A71,Sheet2!$A:$A,N$2)&lt;&gt;0,SUMIFS(Sheet2!$E:$E,Sheet2!$C:$C,$A71,Sheet2!$A:$A,N$2),"")</f>
        <v/>
      </c>
      <c r="O71" s="42" t="str">
        <f>IF(SUMIFS(Sheet2!$E:$E,Sheet2!$C:$C,$A71,Sheet2!$A:$A,O$2)&lt;&gt;0,SUMIFS(Sheet2!$E:$E,Sheet2!$C:$C,$A71,Sheet2!$A:$A,O$2),"")</f>
        <v/>
      </c>
      <c r="P71" s="42" t="str">
        <f>IF(SUMIFS(Sheet2!$E:$E,Sheet2!$C:$C,$A71,Sheet2!$A:$A,P$2)&lt;&gt;0,SUMIFS(Sheet2!$E:$E,Sheet2!$C:$C,$A71,Sheet2!$A:$A,P$2),"")</f>
        <v/>
      </c>
      <c r="Q71" s="42" t="str">
        <f>IF(SUMIFS(Sheet2!$E:$E,Sheet2!$C:$C,$A71,Sheet2!$A:$A,Q$2)&lt;&gt;0,SUMIFS(Sheet2!$E:$E,Sheet2!$C:$C,$A71,Sheet2!$A:$A,Q$2),"")</f>
        <v/>
      </c>
      <c r="R71" s="42" t="str">
        <f>IF(SUMIFS(Sheet2!$E:$E,Sheet2!$C:$C,$A71,Sheet2!$A:$A,R$2)&lt;&gt;0,SUMIFS(Sheet2!$E:$E,Sheet2!$C:$C,$A71,Sheet2!$A:$A,R$2),"")</f>
        <v/>
      </c>
      <c r="S71" s="42" t="str">
        <f>IF(SUMIFS(Sheet2!$E:$E,Sheet2!$C:$C,$A71,Sheet2!$A:$A,S$2)&lt;&gt;0,SUMIFS(Sheet2!$E:$E,Sheet2!$C:$C,$A71,Sheet2!$A:$A,S$2),"")</f>
        <v/>
      </c>
      <c r="T71" s="42" t="str">
        <f>IF(SUMIFS(Sheet2!$E:$E,Sheet2!$C:$C,$A71,Sheet2!$A:$A,T$2)&lt;&gt;0,SUMIFS(Sheet2!$E:$E,Sheet2!$C:$C,$A71,Sheet2!$A:$A,T$2),"")</f>
        <v/>
      </c>
      <c r="U71" s="42" t="str">
        <f>IF(SUMIFS(Sheet2!$E:$E,Sheet2!$C:$C,$A71,Sheet2!$A:$A,U$2)&lt;&gt;0,SUMIFS(Sheet2!$E:$E,Sheet2!$C:$C,$A71,Sheet2!$A:$A,U$2),"")</f>
        <v/>
      </c>
      <c r="V71" s="42" t="str">
        <f>IF(SUMIFS(Sheet2!$E:$E,Sheet2!$C:$C,$A71,Sheet2!$A:$A,V$2)&lt;&gt;0,SUMIFS(Sheet2!$E:$E,Sheet2!$C:$C,$A71,Sheet2!$A:$A,V$2),"")</f>
        <v/>
      </c>
      <c r="W71" s="42" t="str">
        <f>IF(SUMIFS(Sheet2!$E:$E,Sheet2!$C:$C,$A71,Sheet2!$A:$A,W$2)&lt;&gt;0,SUMIFS(Sheet2!$E:$E,Sheet2!$C:$C,$A71,Sheet2!$A:$A,W$2),"")</f>
        <v/>
      </c>
      <c r="X71" s="42" t="str">
        <f>IF(SUMIFS(Sheet2!$E:$E,Sheet2!$C:$C,$A71,Sheet2!$A:$A,X$2)&lt;&gt;0,SUMIFS(Sheet2!$E:$E,Sheet2!$C:$C,$A71,Sheet2!$A:$A,X$2),"")</f>
        <v/>
      </c>
      <c r="Y71" s="42" t="str">
        <f>IF(SUMIFS(Sheet2!$E:$E,Sheet2!$C:$C,$A71,Sheet2!$A:$A,Y$2)&lt;&gt;0,SUMIFS(Sheet2!$E:$E,Sheet2!$C:$C,$A71,Sheet2!$A:$A,Y$2),"")</f>
        <v/>
      </c>
      <c r="Z71" s="42" t="str">
        <f>IF(SUMIFS(Sheet2!$E:$E,Sheet2!$C:$C,$A71,Sheet2!$A:$A,Z$2)&lt;&gt;0,SUMIFS(Sheet2!$E:$E,Sheet2!$C:$C,$A71,Sheet2!$A:$A,Z$2),"")</f>
        <v/>
      </c>
      <c r="AA71" s="42" t="str">
        <f>IF(SUMIFS(Sheet2!$E:$E,Sheet2!$C:$C,$A71,Sheet2!$A:$A,AA$2)&lt;&gt;0,SUMIFS(Sheet2!$E:$E,Sheet2!$C:$C,$A71,Sheet2!$A:$A,AA$2),"")</f>
        <v/>
      </c>
      <c r="AB71" s="42" t="str">
        <f>IF(SUMIFS(Sheet2!$E:$E,Sheet2!$C:$C,$A71,Sheet2!$A:$A,AB$2)&lt;&gt;0,SUMIFS(Sheet2!$E:$E,Sheet2!$C:$C,$A71,Sheet2!$A:$A,AB$2),"")</f>
        <v/>
      </c>
      <c r="AC71" s="42" t="str">
        <f>IF(SUMIFS(Sheet2!$E:$E,Sheet2!$C:$C,$A71,Sheet2!$A:$A,AC$2)&lt;&gt;0,SUMIFS(Sheet2!$E:$E,Sheet2!$C:$C,$A71,Sheet2!$A:$A,AC$2),"")</f>
        <v/>
      </c>
      <c r="AD71" s="42" t="str">
        <f>IF(SUMIFS(Sheet2!$E:$E,Sheet2!$C:$C,$A71,Sheet2!$A:$A,AD$2)&lt;&gt;0,SUMIFS(Sheet2!$E:$E,Sheet2!$C:$C,$A71,Sheet2!$A:$A,AD$2),"")</f>
        <v/>
      </c>
      <c r="AE71" s="42" t="str">
        <f>IF(SUMIFS(Sheet2!$E:$E,Sheet2!$C:$C,$A71,Sheet2!$A:$A,AE$2)&lt;&gt;0,SUMIFS(Sheet2!$E:$E,Sheet2!$C:$C,$A71,Sheet2!$A:$A,AE$2),"")</f>
        <v/>
      </c>
      <c r="AF71" s="42" t="str">
        <f>IF(SUMIFS(Sheet2!$E:$E,Sheet2!$C:$C,$A71,Sheet2!$A:$A,AF$2)&lt;&gt;0,SUMIFS(Sheet2!$E:$E,Sheet2!$C:$C,$A71,Sheet2!$A:$A,AF$2),"")</f>
        <v/>
      </c>
      <c r="AG71" s="42" t="str">
        <f>IF(SUMIFS(Sheet2!$E:$E,Sheet2!$C:$C,$A71,Sheet2!$A:$A,AG$2)&lt;&gt;0,SUMIFS(Sheet2!$E:$E,Sheet2!$C:$C,$A71,Sheet2!$A:$A,AG$2),"")</f>
        <v/>
      </c>
      <c r="AH71" s="43">
        <f>SUM(Table2[[#This Row],[1]:[31]])</f>
        <v>0</v>
      </c>
    </row>
    <row r="72" spans="1:34" ht="12.75" customHeight="1">
      <c r="A72" s="76" t="str">
        <f>DSSP!A71</f>
        <v>A156</v>
      </c>
      <c r="B72" s="25" t="str">
        <f>DSSP!B71</f>
        <v>Hải cẩu</v>
      </c>
      <c r="C72" s="42" t="str">
        <f>IF(SUMIFS(Sheet2!$E:$E,Sheet2!$C:$C,$A72,Sheet2!$A:$A,C$2)&lt;&gt;0,SUMIFS(Sheet2!$E:$E,Sheet2!$C:$C,$A72,Sheet2!$A:$A,C$2),"")</f>
        <v/>
      </c>
      <c r="D72" s="42" t="str">
        <f>IF(SUMIFS(Sheet2!$E:$E,Sheet2!$C:$C,$A72,Sheet2!$A:$A,D$2)&lt;&gt;0,SUMIFS(Sheet2!$E:$E,Sheet2!$C:$C,$A72,Sheet2!$A:$A,D$2),"")</f>
        <v/>
      </c>
      <c r="E72" s="42" t="str">
        <f>IF(SUMIFS(Sheet2!$E:$E,Sheet2!$C:$C,$A72,Sheet2!$A:$A,E$2)&lt;&gt;0,SUMIFS(Sheet2!$E:$E,Sheet2!$C:$C,$A72,Sheet2!$A:$A,E$2),"")</f>
        <v/>
      </c>
      <c r="F72" s="42" t="str">
        <f>IF(SUMIFS(Sheet2!$E:$E,Sheet2!$C:$C,$A72,Sheet2!$A:$A,F$2)&lt;&gt;0,SUMIFS(Sheet2!$E:$E,Sheet2!$C:$C,$A72,Sheet2!$A:$A,F$2),"")</f>
        <v/>
      </c>
      <c r="G72" s="42" t="str">
        <f>IF(SUMIFS(Sheet2!$E:$E,Sheet2!$C:$C,$A72,Sheet2!$A:$A,G$2)&lt;&gt;0,SUMIFS(Sheet2!$E:$E,Sheet2!$C:$C,$A72,Sheet2!$A:$A,G$2),"")</f>
        <v/>
      </c>
      <c r="H72" s="42" t="str">
        <f>IF(SUMIFS(Sheet2!$E:$E,Sheet2!$C:$C,$A72,Sheet2!$A:$A,H$2)&lt;&gt;0,SUMIFS(Sheet2!$E:$E,Sheet2!$C:$C,$A72,Sheet2!$A:$A,H$2),"")</f>
        <v/>
      </c>
      <c r="I72" s="42" t="str">
        <f>IF(SUMIFS(Sheet2!$E:$E,Sheet2!$C:$C,$A72,Sheet2!$A:$A,I$2)&lt;&gt;0,SUMIFS(Sheet2!$E:$E,Sheet2!$C:$C,$A72,Sheet2!$A:$A,I$2),"")</f>
        <v/>
      </c>
      <c r="J72" s="42" t="str">
        <f>IF(SUMIFS(Sheet2!$E:$E,Sheet2!$C:$C,$A72,Sheet2!$A:$A,J$2)&lt;&gt;0,SUMIFS(Sheet2!$E:$E,Sheet2!$C:$C,$A72,Sheet2!$A:$A,J$2),"")</f>
        <v/>
      </c>
      <c r="K72" s="42" t="str">
        <f>IF(SUMIFS(Sheet2!$E:$E,Sheet2!$C:$C,$A72,Sheet2!$A:$A,K$2)&lt;&gt;0,SUMIFS(Sheet2!$E:$E,Sheet2!$C:$C,$A72,Sheet2!$A:$A,K$2),"")</f>
        <v/>
      </c>
      <c r="L72" s="42" t="str">
        <f>IF(SUMIFS(Sheet2!$E:$E,Sheet2!$C:$C,$A72,Sheet2!$A:$A,L$2)&lt;&gt;0,SUMIFS(Sheet2!$E:$E,Sheet2!$C:$C,$A72,Sheet2!$A:$A,L$2),"")</f>
        <v/>
      </c>
      <c r="M72" s="42" t="str">
        <f>IF(SUMIFS(Sheet2!$E:$E,Sheet2!$C:$C,$A72,Sheet2!$A:$A,M$2)&lt;&gt;0,SUMIFS(Sheet2!$E:$E,Sheet2!$C:$C,$A72,Sheet2!$A:$A,M$2),"")</f>
        <v/>
      </c>
      <c r="N72" s="42" t="str">
        <f>IF(SUMIFS(Sheet2!$E:$E,Sheet2!$C:$C,$A72,Sheet2!$A:$A,N$2)&lt;&gt;0,SUMIFS(Sheet2!$E:$E,Sheet2!$C:$C,$A72,Sheet2!$A:$A,N$2),"")</f>
        <v/>
      </c>
      <c r="O72" s="42" t="str">
        <f>IF(SUMIFS(Sheet2!$E:$E,Sheet2!$C:$C,$A72,Sheet2!$A:$A,O$2)&lt;&gt;0,SUMIFS(Sheet2!$E:$E,Sheet2!$C:$C,$A72,Sheet2!$A:$A,O$2),"")</f>
        <v/>
      </c>
      <c r="P72" s="42" t="str">
        <f>IF(SUMIFS(Sheet2!$E:$E,Sheet2!$C:$C,$A72,Sheet2!$A:$A,P$2)&lt;&gt;0,SUMIFS(Sheet2!$E:$E,Sheet2!$C:$C,$A72,Sheet2!$A:$A,P$2),"")</f>
        <v/>
      </c>
      <c r="Q72" s="42" t="str">
        <f>IF(SUMIFS(Sheet2!$E:$E,Sheet2!$C:$C,$A72,Sheet2!$A:$A,Q$2)&lt;&gt;0,SUMIFS(Sheet2!$E:$E,Sheet2!$C:$C,$A72,Sheet2!$A:$A,Q$2),"")</f>
        <v/>
      </c>
      <c r="R72" s="42" t="str">
        <f>IF(SUMIFS(Sheet2!$E:$E,Sheet2!$C:$C,$A72,Sheet2!$A:$A,R$2)&lt;&gt;0,SUMIFS(Sheet2!$E:$E,Sheet2!$C:$C,$A72,Sheet2!$A:$A,R$2),"")</f>
        <v/>
      </c>
      <c r="S72" s="42" t="str">
        <f>IF(SUMIFS(Sheet2!$E:$E,Sheet2!$C:$C,$A72,Sheet2!$A:$A,S$2)&lt;&gt;0,SUMIFS(Sheet2!$E:$E,Sheet2!$C:$C,$A72,Sheet2!$A:$A,S$2),"")</f>
        <v/>
      </c>
      <c r="T72" s="42" t="str">
        <f>IF(SUMIFS(Sheet2!$E:$E,Sheet2!$C:$C,$A72,Sheet2!$A:$A,T$2)&lt;&gt;0,SUMIFS(Sheet2!$E:$E,Sheet2!$C:$C,$A72,Sheet2!$A:$A,T$2),"")</f>
        <v/>
      </c>
      <c r="U72" s="42" t="str">
        <f>IF(SUMIFS(Sheet2!$E:$E,Sheet2!$C:$C,$A72,Sheet2!$A:$A,U$2)&lt;&gt;0,SUMIFS(Sheet2!$E:$E,Sheet2!$C:$C,$A72,Sheet2!$A:$A,U$2),"")</f>
        <v/>
      </c>
      <c r="V72" s="42" t="str">
        <f>IF(SUMIFS(Sheet2!$E:$E,Sheet2!$C:$C,$A72,Sheet2!$A:$A,V$2)&lt;&gt;0,SUMIFS(Sheet2!$E:$E,Sheet2!$C:$C,$A72,Sheet2!$A:$A,V$2),"")</f>
        <v/>
      </c>
      <c r="W72" s="42" t="str">
        <f>IF(SUMIFS(Sheet2!$E:$E,Sheet2!$C:$C,$A72,Sheet2!$A:$A,W$2)&lt;&gt;0,SUMIFS(Sheet2!$E:$E,Sheet2!$C:$C,$A72,Sheet2!$A:$A,W$2),"")</f>
        <v/>
      </c>
      <c r="X72" s="42" t="str">
        <f>IF(SUMIFS(Sheet2!$E:$E,Sheet2!$C:$C,$A72,Sheet2!$A:$A,X$2)&lt;&gt;0,SUMIFS(Sheet2!$E:$E,Sheet2!$C:$C,$A72,Sheet2!$A:$A,X$2),"")</f>
        <v/>
      </c>
      <c r="Y72" s="42" t="str">
        <f>IF(SUMIFS(Sheet2!$E:$E,Sheet2!$C:$C,$A72,Sheet2!$A:$A,Y$2)&lt;&gt;0,SUMIFS(Sheet2!$E:$E,Sheet2!$C:$C,$A72,Sheet2!$A:$A,Y$2),"")</f>
        <v/>
      </c>
      <c r="Z72" s="42" t="str">
        <f>IF(SUMIFS(Sheet2!$E:$E,Sheet2!$C:$C,$A72,Sheet2!$A:$A,Z$2)&lt;&gt;0,SUMIFS(Sheet2!$E:$E,Sheet2!$C:$C,$A72,Sheet2!$A:$A,Z$2),"")</f>
        <v/>
      </c>
      <c r="AA72" s="42" t="str">
        <f>IF(SUMIFS(Sheet2!$E:$E,Sheet2!$C:$C,$A72,Sheet2!$A:$A,AA$2)&lt;&gt;0,SUMIFS(Sheet2!$E:$E,Sheet2!$C:$C,$A72,Sheet2!$A:$A,AA$2),"")</f>
        <v/>
      </c>
      <c r="AB72" s="42" t="str">
        <f>IF(SUMIFS(Sheet2!$E:$E,Sheet2!$C:$C,$A72,Sheet2!$A:$A,AB$2)&lt;&gt;0,SUMIFS(Sheet2!$E:$E,Sheet2!$C:$C,$A72,Sheet2!$A:$A,AB$2),"")</f>
        <v/>
      </c>
      <c r="AC72" s="42" t="str">
        <f>IF(SUMIFS(Sheet2!$E:$E,Sheet2!$C:$C,$A72,Sheet2!$A:$A,AC$2)&lt;&gt;0,SUMIFS(Sheet2!$E:$E,Sheet2!$C:$C,$A72,Sheet2!$A:$A,AC$2),"")</f>
        <v/>
      </c>
      <c r="AD72" s="42" t="str">
        <f>IF(SUMIFS(Sheet2!$E:$E,Sheet2!$C:$C,$A72,Sheet2!$A:$A,AD$2)&lt;&gt;0,SUMIFS(Sheet2!$E:$E,Sheet2!$C:$C,$A72,Sheet2!$A:$A,AD$2),"")</f>
        <v/>
      </c>
      <c r="AE72" s="42" t="str">
        <f>IF(SUMIFS(Sheet2!$E:$E,Sheet2!$C:$C,$A72,Sheet2!$A:$A,AE$2)&lt;&gt;0,SUMIFS(Sheet2!$E:$E,Sheet2!$C:$C,$A72,Sheet2!$A:$A,AE$2),"")</f>
        <v/>
      </c>
      <c r="AF72" s="42" t="str">
        <f>IF(SUMIFS(Sheet2!$E:$E,Sheet2!$C:$C,$A72,Sheet2!$A:$A,AF$2)&lt;&gt;0,SUMIFS(Sheet2!$E:$E,Sheet2!$C:$C,$A72,Sheet2!$A:$A,AF$2),"")</f>
        <v/>
      </c>
      <c r="AG72" s="42" t="str">
        <f>IF(SUMIFS(Sheet2!$E:$E,Sheet2!$C:$C,$A72,Sheet2!$A:$A,AG$2)&lt;&gt;0,SUMIFS(Sheet2!$E:$E,Sheet2!$C:$C,$A72,Sheet2!$A:$A,AG$2),"")</f>
        <v/>
      </c>
      <c r="AH72" s="43">
        <f>SUM(Table2[[#This Row],[1]:[31]])</f>
        <v>0</v>
      </c>
    </row>
    <row r="73" spans="1:34" ht="12.75" customHeight="1">
      <c r="A73" s="76" t="str">
        <f>DSSP!A72</f>
        <v>A157</v>
      </c>
      <c r="B73" s="25" t="str">
        <f>DSSP!B72</f>
        <v>Cá vàng</v>
      </c>
      <c r="C73" s="42" t="str">
        <f>IF(SUMIFS(Sheet2!$E:$E,Sheet2!$C:$C,$A73,Sheet2!$A:$A,C$2)&lt;&gt;0,SUMIFS(Sheet2!$E:$E,Sheet2!$C:$C,$A73,Sheet2!$A:$A,C$2),"")</f>
        <v/>
      </c>
      <c r="D73" s="42" t="str">
        <f>IF(SUMIFS(Sheet2!$E:$E,Sheet2!$C:$C,$A73,Sheet2!$A:$A,D$2)&lt;&gt;0,SUMIFS(Sheet2!$E:$E,Sheet2!$C:$C,$A73,Sheet2!$A:$A,D$2),"")</f>
        <v/>
      </c>
      <c r="E73" s="42" t="str">
        <f>IF(SUMIFS(Sheet2!$E:$E,Sheet2!$C:$C,$A73,Sheet2!$A:$A,E$2)&lt;&gt;0,SUMIFS(Sheet2!$E:$E,Sheet2!$C:$C,$A73,Sheet2!$A:$A,E$2),"")</f>
        <v/>
      </c>
      <c r="F73" s="42" t="str">
        <f>IF(SUMIFS(Sheet2!$E:$E,Sheet2!$C:$C,$A73,Sheet2!$A:$A,F$2)&lt;&gt;0,SUMIFS(Sheet2!$E:$E,Sheet2!$C:$C,$A73,Sheet2!$A:$A,F$2),"")</f>
        <v/>
      </c>
      <c r="G73" s="42" t="str">
        <f>IF(SUMIFS(Sheet2!$E:$E,Sheet2!$C:$C,$A73,Sheet2!$A:$A,G$2)&lt;&gt;0,SUMIFS(Sheet2!$E:$E,Sheet2!$C:$C,$A73,Sheet2!$A:$A,G$2),"")</f>
        <v/>
      </c>
      <c r="H73" s="42" t="str">
        <f>IF(SUMIFS(Sheet2!$E:$E,Sheet2!$C:$C,$A73,Sheet2!$A:$A,H$2)&lt;&gt;0,SUMIFS(Sheet2!$E:$E,Sheet2!$C:$C,$A73,Sheet2!$A:$A,H$2),"")</f>
        <v/>
      </c>
      <c r="I73" s="42" t="str">
        <f>IF(SUMIFS(Sheet2!$E:$E,Sheet2!$C:$C,$A73,Sheet2!$A:$A,I$2)&lt;&gt;0,SUMIFS(Sheet2!$E:$E,Sheet2!$C:$C,$A73,Sheet2!$A:$A,I$2),"")</f>
        <v/>
      </c>
      <c r="J73" s="42" t="str">
        <f>IF(SUMIFS(Sheet2!$E:$E,Sheet2!$C:$C,$A73,Sheet2!$A:$A,J$2)&lt;&gt;0,SUMIFS(Sheet2!$E:$E,Sheet2!$C:$C,$A73,Sheet2!$A:$A,J$2),"")</f>
        <v/>
      </c>
      <c r="K73" s="42" t="str">
        <f>IF(SUMIFS(Sheet2!$E:$E,Sheet2!$C:$C,$A73,Sheet2!$A:$A,K$2)&lt;&gt;0,SUMIFS(Sheet2!$E:$E,Sheet2!$C:$C,$A73,Sheet2!$A:$A,K$2),"")</f>
        <v/>
      </c>
      <c r="L73" s="42" t="str">
        <f>IF(SUMIFS(Sheet2!$E:$E,Sheet2!$C:$C,$A73,Sheet2!$A:$A,L$2)&lt;&gt;0,SUMIFS(Sheet2!$E:$E,Sheet2!$C:$C,$A73,Sheet2!$A:$A,L$2),"")</f>
        <v/>
      </c>
      <c r="M73" s="42" t="str">
        <f>IF(SUMIFS(Sheet2!$E:$E,Sheet2!$C:$C,$A73,Sheet2!$A:$A,M$2)&lt;&gt;0,SUMIFS(Sheet2!$E:$E,Sheet2!$C:$C,$A73,Sheet2!$A:$A,M$2),"")</f>
        <v/>
      </c>
      <c r="N73" s="42" t="str">
        <f>IF(SUMIFS(Sheet2!$E:$E,Sheet2!$C:$C,$A73,Sheet2!$A:$A,N$2)&lt;&gt;0,SUMIFS(Sheet2!$E:$E,Sheet2!$C:$C,$A73,Sheet2!$A:$A,N$2),"")</f>
        <v/>
      </c>
      <c r="O73" s="42" t="str">
        <f>IF(SUMIFS(Sheet2!$E:$E,Sheet2!$C:$C,$A73,Sheet2!$A:$A,O$2)&lt;&gt;0,SUMIFS(Sheet2!$E:$E,Sheet2!$C:$C,$A73,Sheet2!$A:$A,O$2),"")</f>
        <v/>
      </c>
      <c r="P73" s="42" t="str">
        <f>IF(SUMIFS(Sheet2!$E:$E,Sheet2!$C:$C,$A73,Sheet2!$A:$A,P$2)&lt;&gt;0,SUMIFS(Sheet2!$E:$E,Sheet2!$C:$C,$A73,Sheet2!$A:$A,P$2),"")</f>
        <v/>
      </c>
      <c r="Q73" s="42" t="str">
        <f>IF(SUMIFS(Sheet2!$E:$E,Sheet2!$C:$C,$A73,Sheet2!$A:$A,Q$2)&lt;&gt;0,SUMIFS(Sheet2!$E:$E,Sheet2!$C:$C,$A73,Sheet2!$A:$A,Q$2),"")</f>
        <v/>
      </c>
      <c r="R73" s="42" t="str">
        <f>IF(SUMIFS(Sheet2!$E:$E,Sheet2!$C:$C,$A73,Sheet2!$A:$A,R$2)&lt;&gt;0,SUMIFS(Sheet2!$E:$E,Sheet2!$C:$C,$A73,Sheet2!$A:$A,R$2),"")</f>
        <v/>
      </c>
      <c r="S73" s="42" t="str">
        <f>IF(SUMIFS(Sheet2!$E:$E,Sheet2!$C:$C,$A73,Sheet2!$A:$A,S$2)&lt;&gt;0,SUMIFS(Sheet2!$E:$E,Sheet2!$C:$C,$A73,Sheet2!$A:$A,S$2),"")</f>
        <v/>
      </c>
      <c r="T73" s="42" t="str">
        <f>IF(SUMIFS(Sheet2!$E:$E,Sheet2!$C:$C,$A73,Sheet2!$A:$A,T$2)&lt;&gt;0,SUMIFS(Sheet2!$E:$E,Sheet2!$C:$C,$A73,Sheet2!$A:$A,T$2),"")</f>
        <v/>
      </c>
      <c r="U73" s="42" t="str">
        <f>IF(SUMIFS(Sheet2!$E:$E,Sheet2!$C:$C,$A73,Sheet2!$A:$A,U$2)&lt;&gt;0,SUMIFS(Sheet2!$E:$E,Sheet2!$C:$C,$A73,Sheet2!$A:$A,U$2),"")</f>
        <v/>
      </c>
      <c r="V73" s="42" t="str">
        <f>IF(SUMIFS(Sheet2!$E:$E,Sheet2!$C:$C,$A73,Sheet2!$A:$A,V$2)&lt;&gt;0,SUMIFS(Sheet2!$E:$E,Sheet2!$C:$C,$A73,Sheet2!$A:$A,V$2),"")</f>
        <v/>
      </c>
      <c r="W73" s="42" t="str">
        <f>IF(SUMIFS(Sheet2!$E:$E,Sheet2!$C:$C,$A73,Sheet2!$A:$A,W$2)&lt;&gt;0,SUMIFS(Sheet2!$E:$E,Sheet2!$C:$C,$A73,Sheet2!$A:$A,W$2),"")</f>
        <v/>
      </c>
      <c r="X73" s="42" t="str">
        <f>IF(SUMIFS(Sheet2!$E:$E,Sheet2!$C:$C,$A73,Sheet2!$A:$A,X$2)&lt;&gt;0,SUMIFS(Sheet2!$E:$E,Sheet2!$C:$C,$A73,Sheet2!$A:$A,X$2),"")</f>
        <v/>
      </c>
      <c r="Y73" s="42" t="str">
        <f>IF(SUMIFS(Sheet2!$E:$E,Sheet2!$C:$C,$A73,Sheet2!$A:$A,Y$2)&lt;&gt;0,SUMIFS(Sheet2!$E:$E,Sheet2!$C:$C,$A73,Sheet2!$A:$A,Y$2),"")</f>
        <v/>
      </c>
      <c r="Z73" s="42" t="str">
        <f>IF(SUMIFS(Sheet2!$E:$E,Sheet2!$C:$C,$A73,Sheet2!$A:$A,Z$2)&lt;&gt;0,SUMIFS(Sheet2!$E:$E,Sheet2!$C:$C,$A73,Sheet2!$A:$A,Z$2),"")</f>
        <v/>
      </c>
      <c r="AA73" s="42" t="str">
        <f>IF(SUMIFS(Sheet2!$E:$E,Sheet2!$C:$C,$A73,Sheet2!$A:$A,AA$2)&lt;&gt;0,SUMIFS(Sheet2!$E:$E,Sheet2!$C:$C,$A73,Sheet2!$A:$A,AA$2),"")</f>
        <v/>
      </c>
      <c r="AB73" s="42" t="str">
        <f>IF(SUMIFS(Sheet2!$E:$E,Sheet2!$C:$C,$A73,Sheet2!$A:$A,AB$2)&lt;&gt;0,SUMIFS(Sheet2!$E:$E,Sheet2!$C:$C,$A73,Sheet2!$A:$A,AB$2),"")</f>
        <v/>
      </c>
      <c r="AC73" s="42" t="str">
        <f>IF(SUMIFS(Sheet2!$E:$E,Sheet2!$C:$C,$A73,Sheet2!$A:$A,AC$2)&lt;&gt;0,SUMIFS(Sheet2!$E:$E,Sheet2!$C:$C,$A73,Sheet2!$A:$A,AC$2),"")</f>
        <v/>
      </c>
      <c r="AD73" s="42" t="str">
        <f>IF(SUMIFS(Sheet2!$E:$E,Sheet2!$C:$C,$A73,Sheet2!$A:$A,AD$2)&lt;&gt;0,SUMIFS(Sheet2!$E:$E,Sheet2!$C:$C,$A73,Sheet2!$A:$A,AD$2),"")</f>
        <v/>
      </c>
      <c r="AE73" s="42" t="str">
        <f>IF(SUMIFS(Sheet2!$E:$E,Sheet2!$C:$C,$A73,Sheet2!$A:$A,AE$2)&lt;&gt;0,SUMIFS(Sheet2!$E:$E,Sheet2!$C:$C,$A73,Sheet2!$A:$A,AE$2),"")</f>
        <v/>
      </c>
      <c r="AF73" s="42" t="str">
        <f>IF(SUMIFS(Sheet2!$E:$E,Sheet2!$C:$C,$A73,Sheet2!$A:$A,AF$2)&lt;&gt;0,SUMIFS(Sheet2!$E:$E,Sheet2!$C:$C,$A73,Sheet2!$A:$A,AF$2),"")</f>
        <v/>
      </c>
      <c r="AG73" s="42" t="str">
        <f>IF(SUMIFS(Sheet2!$E:$E,Sheet2!$C:$C,$A73,Sheet2!$A:$A,AG$2)&lt;&gt;0,SUMIFS(Sheet2!$E:$E,Sheet2!$C:$C,$A73,Sheet2!$A:$A,AG$2),"")</f>
        <v/>
      </c>
      <c r="AH73" s="43">
        <f>SUM(Table2[[#This Row],[1]:[31]])</f>
        <v>0</v>
      </c>
    </row>
    <row r="74" spans="1:34" ht="12.75" customHeight="1">
      <c r="A74" s="76" t="str">
        <f>DSSP!A73</f>
        <v>A158</v>
      </c>
      <c r="B74" s="25" t="str">
        <f>DSSP!B73</f>
        <v>Dâu Tây</v>
      </c>
      <c r="C74" s="42" t="str">
        <f>IF(SUMIFS(Sheet2!$E:$E,Sheet2!$C:$C,$A74,Sheet2!$A:$A,C$2)&lt;&gt;0,SUMIFS(Sheet2!$E:$E,Sheet2!$C:$C,$A74,Sheet2!$A:$A,C$2),"")</f>
        <v/>
      </c>
      <c r="D74" s="42" t="str">
        <f>IF(SUMIFS(Sheet2!$E:$E,Sheet2!$C:$C,$A74,Sheet2!$A:$A,D$2)&lt;&gt;0,SUMIFS(Sheet2!$E:$E,Sheet2!$C:$C,$A74,Sheet2!$A:$A,D$2),"")</f>
        <v/>
      </c>
      <c r="E74" s="42" t="str">
        <f>IF(SUMIFS(Sheet2!$E:$E,Sheet2!$C:$C,$A74,Sheet2!$A:$A,E$2)&lt;&gt;0,SUMIFS(Sheet2!$E:$E,Sheet2!$C:$C,$A74,Sheet2!$A:$A,E$2),"")</f>
        <v/>
      </c>
      <c r="F74" s="42" t="str">
        <f>IF(SUMIFS(Sheet2!$E:$E,Sheet2!$C:$C,$A74,Sheet2!$A:$A,F$2)&lt;&gt;0,SUMIFS(Sheet2!$E:$E,Sheet2!$C:$C,$A74,Sheet2!$A:$A,F$2),"")</f>
        <v/>
      </c>
      <c r="G74" s="42" t="str">
        <f>IF(SUMIFS(Sheet2!$E:$E,Sheet2!$C:$C,$A74,Sheet2!$A:$A,G$2)&lt;&gt;0,SUMIFS(Sheet2!$E:$E,Sheet2!$C:$C,$A74,Sheet2!$A:$A,G$2),"")</f>
        <v/>
      </c>
      <c r="H74" s="42" t="str">
        <f>IF(SUMIFS(Sheet2!$E:$E,Sheet2!$C:$C,$A74,Sheet2!$A:$A,H$2)&lt;&gt;0,SUMIFS(Sheet2!$E:$E,Sheet2!$C:$C,$A74,Sheet2!$A:$A,H$2),"")</f>
        <v/>
      </c>
      <c r="I74" s="42" t="str">
        <f>IF(SUMIFS(Sheet2!$E:$E,Sheet2!$C:$C,$A74,Sheet2!$A:$A,I$2)&lt;&gt;0,SUMIFS(Sheet2!$E:$E,Sheet2!$C:$C,$A74,Sheet2!$A:$A,I$2),"")</f>
        <v/>
      </c>
      <c r="J74" s="42" t="str">
        <f>IF(SUMIFS(Sheet2!$E:$E,Sheet2!$C:$C,$A74,Sheet2!$A:$A,J$2)&lt;&gt;0,SUMIFS(Sheet2!$E:$E,Sheet2!$C:$C,$A74,Sheet2!$A:$A,J$2),"")</f>
        <v/>
      </c>
      <c r="K74" s="42" t="str">
        <f>IF(SUMIFS(Sheet2!$E:$E,Sheet2!$C:$C,$A74,Sheet2!$A:$A,K$2)&lt;&gt;0,SUMIFS(Sheet2!$E:$E,Sheet2!$C:$C,$A74,Sheet2!$A:$A,K$2),"")</f>
        <v/>
      </c>
      <c r="L74" s="42" t="str">
        <f>IF(SUMIFS(Sheet2!$E:$E,Sheet2!$C:$C,$A74,Sheet2!$A:$A,L$2)&lt;&gt;0,SUMIFS(Sheet2!$E:$E,Sheet2!$C:$C,$A74,Sheet2!$A:$A,L$2),"")</f>
        <v/>
      </c>
      <c r="M74" s="42" t="str">
        <f>IF(SUMIFS(Sheet2!$E:$E,Sheet2!$C:$C,$A74,Sheet2!$A:$A,M$2)&lt;&gt;0,SUMIFS(Sheet2!$E:$E,Sheet2!$C:$C,$A74,Sheet2!$A:$A,M$2),"")</f>
        <v/>
      </c>
      <c r="N74" s="42" t="str">
        <f>IF(SUMIFS(Sheet2!$E:$E,Sheet2!$C:$C,$A74,Sheet2!$A:$A,N$2)&lt;&gt;0,SUMIFS(Sheet2!$E:$E,Sheet2!$C:$C,$A74,Sheet2!$A:$A,N$2),"")</f>
        <v/>
      </c>
      <c r="O74" s="42" t="str">
        <f>IF(SUMIFS(Sheet2!$E:$E,Sheet2!$C:$C,$A74,Sheet2!$A:$A,O$2)&lt;&gt;0,SUMIFS(Sheet2!$E:$E,Sheet2!$C:$C,$A74,Sheet2!$A:$A,O$2),"")</f>
        <v/>
      </c>
      <c r="P74" s="42" t="str">
        <f>IF(SUMIFS(Sheet2!$E:$E,Sheet2!$C:$C,$A74,Sheet2!$A:$A,P$2)&lt;&gt;0,SUMIFS(Sheet2!$E:$E,Sheet2!$C:$C,$A74,Sheet2!$A:$A,P$2),"")</f>
        <v/>
      </c>
      <c r="Q74" s="42" t="str">
        <f>IF(SUMIFS(Sheet2!$E:$E,Sheet2!$C:$C,$A74,Sheet2!$A:$A,Q$2)&lt;&gt;0,SUMIFS(Sheet2!$E:$E,Sheet2!$C:$C,$A74,Sheet2!$A:$A,Q$2),"")</f>
        <v/>
      </c>
      <c r="R74" s="42" t="str">
        <f>IF(SUMIFS(Sheet2!$E:$E,Sheet2!$C:$C,$A74,Sheet2!$A:$A,R$2)&lt;&gt;0,SUMIFS(Sheet2!$E:$E,Sheet2!$C:$C,$A74,Sheet2!$A:$A,R$2),"")</f>
        <v/>
      </c>
      <c r="S74" s="42" t="str">
        <f>IF(SUMIFS(Sheet2!$E:$E,Sheet2!$C:$C,$A74,Sheet2!$A:$A,S$2)&lt;&gt;0,SUMIFS(Sheet2!$E:$E,Sheet2!$C:$C,$A74,Sheet2!$A:$A,S$2),"")</f>
        <v/>
      </c>
      <c r="T74" s="42" t="str">
        <f>IF(SUMIFS(Sheet2!$E:$E,Sheet2!$C:$C,$A74,Sheet2!$A:$A,T$2)&lt;&gt;0,SUMIFS(Sheet2!$E:$E,Sheet2!$C:$C,$A74,Sheet2!$A:$A,T$2),"")</f>
        <v/>
      </c>
      <c r="U74" s="42" t="str">
        <f>IF(SUMIFS(Sheet2!$E:$E,Sheet2!$C:$C,$A74,Sheet2!$A:$A,U$2)&lt;&gt;0,SUMIFS(Sheet2!$E:$E,Sheet2!$C:$C,$A74,Sheet2!$A:$A,U$2),"")</f>
        <v/>
      </c>
      <c r="V74" s="42" t="str">
        <f>IF(SUMIFS(Sheet2!$E:$E,Sheet2!$C:$C,$A74,Sheet2!$A:$A,V$2)&lt;&gt;0,SUMIFS(Sheet2!$E:$E,Sheet2!$C:$C,$A74,Sheet2!$A:$A,V$2),"")</f>
        <v/>
      </c>
      <c r="W74" s="42" t="str">
        <f>IF(SUMIFS(Sheet2!$E:$E,Sheet2!$C:$C,$A74,Sheet2!$A:$A,W$2)&lt;&gt;0,SUMIFS(Sheet2!$E:$E,Sheet2!$C:$C,$A74,Sheet2!$A:$A,W$2),"")</f>
        <v/>
      </c>
      <c r="X74" s="42" t="str">
        <f>IF(SUMIFS(Sheet2!$E:$E,Sheet2!$C:$C,$A74,Sheet2!$A:$A,X$2)&lt;&gt;0,SUMIFS(Sheet2!$E:$E,Sheet2!$C:$C,$A74,Sheet2!$A:$A,X$2),"")</f>
        <v/>
      </c>
      <c r="Y74" s="42" t="str">
        <f>IF(SUMIFS(Sheet2!$E:$E,Sheet2!$C:$C,$A74,Sheet2!$A:$A,Y$2)&lt;&gt;0,SUMIFS(Sheet2!$E:$E,Sheet2!$C:$C,$A74,Sheet2!$A:$A,Y$2),"")</f>
        <v/>
      </c>
      <c r="Z74" s="42" t="str">
        <f>IF(SUMIFS(Sheet2!$E:$E,Sheet2!$C:$C,$A74,Sheet2!$A:$A,Z$2)&lt;&gt;0,SUMIFS(Sheet2!$E:$E,Sheet2!$C:$C,$A74,Sheet2!$A:$A,Z$2),"")</f>
        <v/>
      </c>
      <c r="AA74" s="42" t="str">
        <f>IF(SUMIFS(Sheet2!$E:$E,Sheet2!$C:$C,$A74,Sheet2!$A:$A,AA$2)&lt;&gt;0,SUMIFS(Sheet2!$E:$E,Sheet2!$C:$C,$A74,Sheet2!$A:$A,AA$2),"")</f>
        <v/>
      </c>
      <c r="AB74" s="42" t="str">
        <f>IF(SUMIFS(Sheet2!$E:$E,Sheet2!$C:$C,$A74,Sheet2!$A:$A,AB$2)&lt;&gt;0,SUMIFS(Sheet2!$E:$E,Sheet2!$C:$C,$A74,Sheet2!$A:$A,AB$2),"")</f>
        <v/>
      </c>
      <c r="AC74" s="42" t="str">
        <f>IF(SUMIFS(Sheet2!$E:$E,Sheet2!$C:$C,$A74,Sheet2!$A:$A,AC$2)&lt;&gt;0,SUMIFS(Sheet2!$E:$E,Sheet2!$C:$C,$A74,Sheet2!$A:$A,AC$2),"")</f>
        <v/>
      </c>
      <c r="AD74" s="42" t="str">
        <f>IF(SUMIFS(Sheet2!$E:$E,Sheet2!$C:$C,$A74,Sheet2!$A:$A,AD$2)&lt;&gt;0,SUMIFS(Sheet2!$E:$E,Sheet2!$C:$C,$A74,Sheet2!$A:$A,AD$2),"")</f>
        <v/>
      </c>
      <c r="AE74" s="42" t="str">
        <f>IF(SUMIFS(Sheet2!$E:$E,Sheet2!$C:$C,$A74,Sheet2!$A:$A,AE$2)&lt;&gt;0,SUMIFS(Sheet2!$E:$E,Sheet2!$C:$C,$A74,Sheet2!$A:$A,AE$2),"")</f>
        <v/>
      </c>
      <c r="AF74" s="42" t="str">
        <f>IF(SUMIFS(Sheet2!$E:$E,Sheet2!$C:$C,$A74,Sheet2!$A:$A,AF$2)&lt;&gt;0,SUMIFS(Sheet2!$E:$E,Sheet2!$C:$C,$A74,Sheet2!$A:$A,AF$2),"")</f>
        <v/>
      </c>
      <c r="AG74" s="42" t="str">
        <f>IF(SUMIFS(Sheet2!$E:$E,Sheet2!$C:$C,$A74,Sheet2!$A:$A,AG$2)&lt;&gt;0,SUMIFS(Sheet2!$E:$E,Sheet2!$C:$C,$A74,Sheet2!$A:$A,AG$2),"")</f>
        <v/>
      </c>
      <c r="AH74" s="43">
        <f>SUM(Table2[[#This Row],[1]:[31]])</f>
        <v>0</v>
      </c>
    </row>
    <row r="75" spans="1:34" ht="12.75" customHeight="1">
      <c r="A75" s="76" t="str">
        <f>DSSP!A74</f>
        <v>A159</v>
      </c>
      <c r="B75" s="25" t="str">
        <f>DSSP!B74</f>
        <v>Nấm rừng</v>
      </c>
      <c r="C75" s="42" t="str">
        <f>IF(SUMIFS(Sheet2!$E:$E,Sheet2!$C:$C,$A75,Sheet2!$A:$A,C$2)&lt;&gt;0,SUMIFS(Sheet2!$E:$E,Sheet2!$C:$C,$A75,Sheet2!$A:$A,C$2),"")</f>
        <v/>
      </c>
      <c r="D75" s="42" t="str">
        <f>IF(SUMIFS(Sheet2!$E:$E,Sheet2!$C:$C,$A75,Sheet2!$A:$A,D$2)&lt;&gt;0,SUMIFS(Sheet2!$E:$E,Sheet2!$C:$C,$A75,Sheet2!$A:$A,D$2),"")</f>
        <v/>
      </c>
      <c r="E75" s="42" t="str">
        <f>IF(SUMIFS(Sheet2!$E:$E,Sheet2!$C:$C,$A75,Sheet2!$A:$A,E$2)&lt;&gt;0,SUMIFS(Sheet2!$E:$E,Sheet2!$C:$C,$A75,Sheet2!$A:$A,E$2),"")</f>
        <v/>
      </c>
      <c r="F75" s="42" t="str">
        <f>IF(SUMIFS(Sheet2!$E:$E,Sheet2!$C:$C,$A75,Sheet2!$A:$A,F$2)&lt;&gt;0,SUMIFS(Sheet2!$E:$E,Sheet2!$C:$C,$A75,Sheet2!$A:$A,F$2),"")</f>
        <v/>
      </c>
      <c r="G75" s="42" t="str">
        <f>IF(SUMIFS(Sheet2!$E:$E,Sheet2!$C:$C,$A75,Sheet2!$A:$A,G$2)&lt;&gt;0,SUMIFS(Sheet2!$E:$E,Sheet2!$C:$C,$A75,Sheet2!$A:$A,G$2),"")</f>
        <v/>
      </c>
      <c r="H75" s="42" t="str">
        <f>IF(SUMIFS(Sheet2!$E:$E,Sheet2!$C:$C,$A75,Sheet2!$A:$A,H$2)&lt;&gt;0,SUMIFS(Sheet2!$E:$E,Sheet2!$C:$C,$A75,Sheet2!$A:$A,H$2),"")</f>
        <v/>
      </c>
      <c r="I75" s="42" t="str">
        <f>IF(SUMIFS(Sheet2!$E:$E,Sheet2!$C:$C,$A75,Sheet2!$A:$A,I$2)&lt;&gt;0,SUMIFS(Sheet2!$E:$E,Sheet2!$C:$C,$A75,Sheet2!$A:$A,I$2),"")</f>
        <v/>
      </c>
      <c r="J75" s="42" t="str">
        <f>IF(SUMIFS(Sheet2!$E:$E,Sheet2!$C:$C,$A75,Sheet2!$A:$A,J$2)&lt;&gt;0,SUMIFS(Sheet2!$E:$E,Sheet2!$C:$C,$A75,Sheet2!$A:$A,J$2),"")</f>
        <v/>
      </c>
      <c r="K75" s="42" t="str">
        <f>IF(SUMIFS(Sheet2!$E:$E,Sheet2!$C:$C,$A75,Sheet2!$A:$A,K$2)&lt;&gt;0,SUMIFS(Sheet2!$E:$E,Sheet2!$C:$C,$A75,Sheet2!$A:$A,K$2),"")</f>
        <v/>
      </c>
      <c r="L75" s="42" t="str">
        <f>IF(SUMIFS(Sheet2!$E:$E,Sheet2!$C:$C,$A75,Sheet2!$A:$A,L$2)&lt;&gt;0,SUMIFS(Sheet2!$E:$E,Sheet2!$C:$C,$A75,Sheet2!$A:$A,L$2),"")</f>
        <v/>
      </c>
      <c r="M75" s="42" t="str">
        <f>IF(SUMIFS(Sheet2!$E:$E,Sheet2!$C:$C,$A75,Sheet2!$A:$A,M$2)&lt;&gt;0,SUMIFS(Sheet2!$E:$E,Sheet2!$C:$C,$A75,Sheet2!$A:$A,M$2),"")</f>
        <v/>
      </c>
      <c r="N75" s="42" t="str">
        <f>IF(SUMIFS(Sheet2!$E:$E,Sheet2!$C:$C,$A75,Sheet2!$A:$A,N$2)&lt;&gt;0,SUMIFS(Sheet2!$E:$E,Sheet2!$C:$C,$A75,Sheet2!$A:$A,N$2),"")</f>
        <v/>
      </c>
      <c r="O75" s="42" t="str">
        <f>IF(SUMIFS(Sheet2!$E:$E,Sheet2!$C:$C,$A75,Sheet2!$A:$A,O$2)&lt;&gt;0,SUMIFS(Sheet2!$E:$E,Sheet2!$C:$C,$A75,Sheet2!$A:$A,O$2),"")</f>
        <v/>
      </c>
      <c r="P75" s="42" t="str">
        <f>IF(SUMIFS(Sheet2!$E:$E,Sheet2!$C:$C,$A75,Sheet2!$A:$A,P$2)&lt;&gt;0,SUMIFS(Sheet2!$E:$E,Sheet2!$C:$C,$A75,Sheet2!$A:$A,P$2),"")</f>
        <v/>
      </c>
      <c r="Q75" s="42" t="str">
        <f>IF(SUMIFS(Sheet2!$E:$E,Sheet2!$C:$C,$A75,Sheet2!$A:$A,Q$2)&lt;&gt;0,SUMIFS(Sheet2!$E:$E,Sheet2!$C:$C,$A75,Sheet2!$A:$A,Q$2),"")</f>
        <v/>
      </c>
      <c r="R75" s="42" t="str">
        <f>IF(SUMIFS(Sheet2!$E:$E,Sheet2!$C:$C,$A75,Sheet2!$A:$A,R$2)&lt;&gt;0,SUMIFS(Sheet2!$E:$E,Sheet2!$C:$C,$A75,Sheet2!$A:$A,R$2),"")</f>
        <v/>
      </c>
      <c r="S75" s="42" t="str">
        <f>IF(SUMIFS(Sheet2!$E:$E,Sheet2!$C:$C,$A75,Sheet2!$A:$A,S$2)&lt;&gt;0,SUMIFS(Sheet2!$E:$E,Sheet2!$C:$C,$A75,Sheet2!$A:$A,S$2),"")</f>
        <v/>
      </c>
      <c r="T75" s="42" t="str">
        <f>IF(SUMIFS(Sheet2!$E:$E,Sheet2!$C:$C,$A75,Sheet2!$A:$A,T$2)&lt;&gt;0,SUMIFS(Sheet2!$E:$E,Sheet2!$C:$C,$A75,Sheet2!$A:$A,T$2),"")</f>
        <v/>
      </c>
      <c r="U75" s="42" t="str">
        <f>IF(SUMIFS(Sheet2!$E:$E,Sheet2!$C:$C,$A75,Sheet2!$A:$A,U$2)&lt;&gt;0,SUMIFS(Sheet2!$E:$E,Sheet2!$C:$C,$A75,Sheet2!$A:$A,U$2),"")</f>
        <v/>
      </c>
      <c r="V75" s="42" t="str">
        <f>IF(SUMIFS(Sheet2!$E:$E,Sheet2!$C:$C,$A75,Sheet2!$A:$A,V$2)&lt;&gt;0,SUMIFS(Sheet2!$E:$E,Sheet2!$C:$C,$A75,Sheet2!$A:$A,V$2),"")</f>
        <v/>
      </c>
      <c r="W75" s="42" t="str">
        <f>IF(SUMIFS(Sheet2!$E:$E,Sheet2!$C:$C,$A75,Sheet2!$A:$A,W$2)&lt;&gt;0,SUMIFS(Sheet2!$E:$E,Sheet2!$C:$C,$A75,Sheet2!$A:$A,W$2),"")</f>
        <v/>
      </c>
      <c r="X75" s="42" t="str">
        <f>IF(SUMIFS(Sheet2!$E:$E,Sheet2!$C:$C,$A75,Sheet2!$A:$A,X$2)&lt;&gt;0,SUMIFS(Sheet2!$E:$E,Sheet2!$C:$C,$A75,Sheet2!$A:$A,X$2),"")</f>
        <v/>
      </c>
      <c r="Y75" s="42" t="str">
        <f>IF(SUMIFS(Sheet2!$E:$E,Sheet2!$C:$C,$A75,Sheet2!$A:$A,Y$2)&lt;&gt;0,SUMIFS(Sheet2!$E:$E,Sheet2!$C:$C,$A75,Sheet2!$A:$A,Y$2),"")</f>
        <v/>
      </c>
      <c r="Z75" s="42" t="str">
        <f>IF(SUMIFS(Sheet2!$E:$E,Sheet2!$C:$C,$A75,Sheet2!$A:$A,Z$2)&lt;&gt;0,SUMIFS(Sheet2!$E:$E,Sheet2!$C:$C,$A75,Sheet2!$A:$A,Z$2),"")</f>
        <v/>
      </c>
      <c r="AA75" s="42" t="str">
        <f>IF(SUMIFS(Sheet2!$E:$E,Sheet2!$C:$C,$A75,Sheet2!$A:$A,AA$2)&lt;&gt;0,SUMIFS(Sheet2!$E:$E,Sheet2!$C:$C,$A75,Sheet2!$A:$A,AA$2),"")</f>
        <v/>
      </c>
      <c r="AB75" s="42" t="str">
        <f>IF(SUMIFS(Sheet2!$E:$E,Sheet2!$C:$C,$A75,Sheet2!$A:$A,AB$2)&lt;&gt;0,SUMIFS(Sheet2!$E:$E,Sheet2!$C:$C,$A75,Sheet2!$A:$A,AB$2),"")</f>
        <v/>
      </c>
      <c r="AC75" s="42" t="str">
        <f>IF(SUMIFS(Sheet2!$E:$E,Sheet2!$C:$C,$A75,Sheet2!$A:$A,AC$2)&lt;&gt;0,SUMIFS(Sheet2!$E:$E,Sheet2!$C:$C,$A75,Sheet2!$A:$A,AC$2),"")</f>
        <v/>
      </c>
      <c r="AD75" s="42" t="str">
        <f>IF(SUMIFS(Sheet2!$E:$E,Sheet2!$C:$C,$A75,Sheet2!$A:$A,AD$2)&lt;&gt;0,SUMIFS(Sheet2!$E:$E,Sheet2!$C:$C,$A75,Sheet2!$A:$A,AD$2),"")</f>
        <v/>
      </c>
      <c r="AE75" s="42" t="str">
        <f>IF(SUMIFS(Sheet2!$E:$E,Sheet2!$C:$C,$A75,Sheet2!$A:$A,AE$2)&lt;&gt;0,SUMIFS(Sheet2!$E:$E,Sheet2!$C:$C,$A75,Sheet2!$A:$A,AE$2),"")</f>
        <v/>
      </c>
      <c r="AF75" s="42" t="str">
        <f>IF(SUMIFS(Sheet2!$E:$E,Sheet2!$C:$C,$A75,Sheet2!$A:$A,AF$2)&lt;&gt;0,SUMIFS(Sheet2!$E:$E,Sheet2!$C:$C,$A75,Sheet2!$A:$A,AF$2),"")</f>
        <v/>
      </c>
      <c r="AG75" s="42" t="str">
        <f>IF(SUMIFS(Sheet2!$E:$E,Sheet2!$C:$C,$A75,Sheet2!$A:$A,AG$2)&lt;&gt;0,SUMIFS(Sheet2!$E:$E,Sheet2!$C:$C,$A75,Sheet2!$A:$A,AG$2),"")</f>
        <v/>
      </c>
      <c r="AH75" s="43">
        <f>SUM(Table2[[#This Row],[1]:[31]])</f>
        <v>0</v>
      </c>
    </row>
    <row r="76" spans="1:34" ht="12.75" customHeight="1">
      <c r="A76" s="76" t="str">
        <f>DSSP!A75</f>
        <v>A160</v>
      </c>
      <c r="B76" s="25" t="str">
        <f>DSSP!B75</f>
        <v>Đầu lâu</v>
      </c>
      <c r="C76" s="42" t="str">
        <f>IF(SUMIFS(Sheet2!$E:$E,Sheet2!$C:$C,$A76,Sheet2!$A:$A,C$2)&lt;&gt;0,SUMIFS(Sheet2!$E:$E,Sheet2!$C:$C,$A76,Sheet2!$A:$A,C$2),"")</f>
        <v/>
      </c>
      <c r="D76" s="42" t="str">
        <f>IF(SUMIFS(Sheet2!$E:$E,Sheet2!$C:$C,$A76,Sheet2!$A:$A,D$2)&lt;&gt;0,SUMIFS(Sheet2!$E:$E,Sheet2!$C:$C,$A76,Sheet2!$A:$A,D$2),"")</f>
        <v/>
      </c>
      <c r="E76" s="42" t="str">
        <f>IF(SUMIFS(Sheet2!$E:$E,Sheet2!$C:$C,$A76,Sheet2!$A:$A,E$2)&lt;&gt;0,SUMIFS(Sheet2!$E:$E,Sheet2!$C:$C,$A76,Sheet2!$A:$A,E$2),"")</f>
        <v/>
      </c>
      <c r="F76" s="42" t="str">
        <f>IF(SUMIFS(Sheet2!$E:$E,Sheet2!$C:$C,$A76,Sheet2!$A:$A,F$2)&lt;&gt;0,SUMIFS(Sheet2!$E:$E,Sheet2!$C:$C,$A76,Sheet2!$A:$A,F$2),"")</f>
        <v/>
      </c>
      <c r="G76" s="42" t="str">
        <f>IF(SUMIFS(Sheet2!$E:$E,Sheet2!$C:$C,$A76,Sheet2!$A:$A,G$2)&lt;&gt;0,SUMIFS(Sheet2!$E:$E,Sheet2!$C:$C,$A76,Sheet2!$A:$A,G$2),"")</f>
        <v/>
      </c>
      <c r="H76" s="42" t="str">
        <f>IF(SUMIFS(Sheet2!$E:$E,Sheet2!$C:$C,$A76,Sheet2!$A:$A,H$2)&lt;&gt;0,SUMIFS(Sheet2!$E:$E,Sheet2!$C:$C,$A76,Sheet2!$A:$A,H$2),"")</f>
        <v/>
      </c>
      <c r="I76" s="42" t="str">
        <f>IF(SUMIFS(Sheet2!$E:$E,Sheet2!$C:$C,$A76,Sheet2!$A:$A,I$2)&lt;&gt;0,SUMIFS(Sheet2!$E:$E,Sheet2!$C:$C,$A76,Sheet2!$A:$A,I$2),"")</f>
        <v/>
      </c>
      <c r="J76" s="42" t="str">
        <f>IF(SUMIFS(Sheet2!$E:$E,Sheet2!$C:$C,$A76,Sheet2!$A:$A,J$2)&lt;&gt;0,SUMIFS(Sheet2!$E:$E,Sheet2!$C:$C,$A76,Sheet2!$A:$A,J$2),"")</f>
        <v/>
      </c>
      <c r="K76" s="42" t="str">
        <f>IF(SUMIFS(Sheet2!$E:$E,Sheet2!$C:$C,$A76,Sheet2!$A:$A,K$2)&lt;&gt;0,SUMIFS(Sheet2!$E:$E,Sheet2!$C:$C,$A76,Sheet2!$A:$A,K$2),"")</f>
        <v/>
      </c>
      <c r="L76" s="42" t="str">
        <f>IF(SUMIFS(Sheet2!$E:$E,Sheet2!$C:$C,$A76,Sheet2!$A:$A,L$2)&lt;&gt;0,SUMIFS(Sheet2!$E:$E,Sheet2!$C:$C,$A76,Sheet2!$A:$A,L$2),"")</f>
        <v/>
      </c>
      <c r="M76" s="42" t="str">
        <f>IF(SUMIFS(Sheet2!$E:$E,Sheet2!$C:$C,$A76,Sheet2!$A:$A,M$2)&lt;&gt;0,SUMIFS(Sheet2!$E:$E,Sheet2!$C:$C,$A76,Sheet2!$A:$A,M$2),"")</f>
        <v/>
      </c>
      <c r="N76" s="42" t="str">
        <f>IF(SUMIFS(Sheet2!$E:$E,Sheet2!$C:$C,$A76,Sheet2!$A:$A,N$2)&lt;&gt;0,SUMIFS(Sheet2!$E:$E,Sheet2!$C:$C,$A76,Sheet2!$A:$A,N$2),"")</f>
        <v/>
      </c>
      <c r="O76" s="42" t="str">
        <f>IF(SUMIFS(Sheet2!$E:$E,Sheet2!$C:$C,$A76,Sheet2!$A:$A,O$2)&lt;&gt;0,SUMIFS(Sheet2!$E:$E,Sheet2!$C:$C,$A76,Sheet2!$A:$A,O$2),"")</f>
        <v/>
      </c>
      <c r="P76" s="42" t="str">
        <f>IF(SUMIFS(Sheet2!$E:$E,Sheet2!$C:$C,$A76,Sheet2!$A:$A,P$2)&lt;&gt;0,SUMIFS(Sheet2!$E:$E,Sheet2!$C:$C,$A76,Sheet2!$A:$A,P$2),"")</f>
        <v/>
      </c>
      <c r="Q76" s="42" t="str">
        <f>IF(SUMIFS(Sheet2!$E:$E,Sheet2!$C:$C,$A76,Sheet2!$A:$A,Q$2)&lt;&gt;0,SUMIFS(Sheet2!$E:$E,Sheet2!$C:$C,$A76,Sheet2!$A:$A,Q$2),"")</f>
        <v/>
      </c>
      <c r="R76" s="42" t="str">
        <f>IF(SUMIFS(Sheet2!$E:$E,Sheet2!$C:$C,$A76,Sheet2!$A:$A,R$2)&lt;&gt;0,SUMIFS(Sheet2!$E:$E,Sheet2!$C:$C,$A76,Sheet2!$A:$A,R$2),"")</f>
        <v/>
      </c>
      <c r="S76" s="42" t="str">
        <f>IF(SUMIFS(Sheet2!$E:$E,Sheet2!$C:$C,$A76,Sheet2!$A:$A,S$2)&lt;&gt;0,SUMIFS(Sheet2!$E:$E,Sheet2!$C:$C,$A76,Sheet2!$A:$A,S$2),"")</f>
        <v/>
      </c>
      <c r="T76" s="42" t="str">
        <f>IF(SUMIFS(Sheet2!$E:$E,Sheet2!$C:$C,$A76,Sheet2!$A:$A,T$2)&lt;&gt;0,SUMIFS(Sheet2!$E:$E,Sheet2!$C:$C,$A76,Sheet2!$A:$A,T$2),"")</f>
        <v/>
      </c>
      <c r="U76" s="42" t="str">
        <f>IF(SUMIFS(Sheet2!$E:$E,Sheet2!$C:$C,$A76,Sheet2!$A:$A,U$2)&lt;&gt;0,SUMIFS(Sheet2!$E:$E,Sheet2!$C:$C,$A76,Sheet2!$A:$A,U$2),"")</f>
        <v/>
      </c>
      <c r="V76" s="42" t="str">
        <f>IF(SUMIFS(Sheet2!$E:$E,Sheet2!$C:$C,$A76,Sheet2!$A:$A,V$2)&lt;&gt;0,SUMIFS(Sheet2!$E:$E,Sheet2!$C:$C,$A76,Sheet2!$A:$A,V$2),"")</f>
        <v/>
      </c>
      <c r="W76" s="42" t="str">
        <f>IF(SUMIFS(Sheet2!$E:$E,Sheet2!$C:$C,$A76,Sheet2!$A:$A,W$2)&lt;&gt;0,SUMIFS(Sheet2!$E:$E,Sheet2!$C:$C,$A76,Sheet2!$A:$A,W$2),"")</f>
        <v/>
      </c>
      <c r="X76" s="42" t="str">
        <f>IF(SUMIFS(Sheet2!$E:$E,Sheet2!$C:$C,$A76,Sheet2!$A:$A,X$2)&lt;&gt;0,SUMIFS(Sheet2!$E:$E,Sheet2!$C:$C,$A76,Sheet2!$A:$A,X$2),"")</f>
        <v/>
      </c>
      <c r="Y76" s="42" t="str">
        <f>IF(SUMIFS(Sheet2!$E:$E,Sheet2!$C:$C,$A76,Sheet2!$A:$A,Y$2)&lt;&gt;0,SUMIFS(Sheet2!$E:$E,Sheet2!$C:$C,$A76,Sheet2!$A:$A,Y$2),"")</f>
        <v/>
      </c>
      <c r="Z76" s="42" t="str">
        <f>IF(SUMIFS(Sheet2!$E:$E,Sheet2!$C:$C,$A76,Sheet2!$A:$A,Z$2)&lt;&gt;0,SUMIFS(Sheet2!$E:$E,Sheet2!$C:$C,$A76,Sheet2!$A:$A,Z$2),"")</f>
        <v/>
      </c>
      <c r="AA76" s="42" t="str">
        <f>IF(SUMIFS(Sheet2!$E:$E,Sheet2!$C:$C,$A76,Sheet2!$A:$A,AA$2)&lt;&gt;0,SUMIFS(Sheet2!$E:$E,Sheet2!$C:$C,$A76,Sheet2!$A:$A,AA$2),"")</f>
        <v/>
      </c>
      <c r="AB76" s="42" t="str">
        <f>IF(SUMIFS(Sheet2!$E:$E,Sheet2!$C:$C,$A76,Sheet2!$A:$A,AB$2)&lt;&gt;0,SUMIFS(Sheet2!$E:$E,Sheet2!$C:$C,$A76,Sheet2!$A:$A,AB$2),"")</f>
        <v/>
      </c>
      <c r="AC76" s="42" t="str">
        <f>IF(SUMIFS(Sheet2!$E:$E,Sheet2!$C:$C,$A76,Sheet2!$A:$A,AC$2)&lt;&gt;0,SUMIFS(Sheet2!$E:$E,Sheet2!$C:$C,$A76,Sheet2!$A:$A,AC$2),"")</f>
        <v/>
      </c>
      <c r="AD76" s="42" t="str">
        <f>IF(SUMIFS(Sheet2!$E:$E,Sheet2!$C:$C,$A76,Sheet2!$A:$A,AD$2)&lt;&gt;0,SUMIFS(Sheet2!$E:$E,Sheet2!$C:$C,$A76,Sheet2!$A:$A,AD$2),"")</f>
        <v/>
      </c>
      <c r="AE76" s="42" t="str">
        <f>IF(SUMIFS(Sheet2!$E:$E,Sheet2!$C:$C,$A76,Sheet2!$A:$A,AE$2)&lt;&gt;0,SUMIFS(Sheet2!$E:$E,Sheet2!$C:$C,$A76,Sheet2!$A:$A,AE$2),"")</f>
        <v/>
      </c>
      <c r="AF76" s="42" t="str">
        <f>IF(SUMIFS(Sheet2!$E:$E,Sheet2!$C:$C,$A76,Sheet2!$A:$A,AF$2)&lt;&gt;0,SUMIFS(Sheet2!$E:$E,Sheet2!$C:$C,$A76,Sheet2!$A:$A,AF$2),"")</f>
        <v/>
      </c>
      <c r="AG76" s="42" t="str">
        <f>IF(SUMIFS(Sheet2!$E:$E,Sheet2!$C:$C,$A76,Sheet2!$A:$A,AG$2)&lt;&gt;0,SUMIFS(Sheet2!$E:$E,Sheet2!$C:$C,$A76,Sheet2!$A:$A,AG$2),"")</f>
        <v/>
      </c>
      <c r="AH76" s="43">
        <f>SUM(Table2[[#This Row],[1]:[31]])</f>
        <v>0</v>
      </c>
    </row>
    <row r="77" spans="1:34" ht="12.75" customHeight="1">
      <c r="A77" s="76" t="str">
        <f>DSSP!A76</f>
        <v>A161</v>
      </c>
      <c r="B77" s="25" t="str">
        <f>DSSP!B76</f>
        <v>Tuần lộc kute</v>
      </c>
      <c r="C77" s="42" t="str">
        <f>IF(SUMIFS(Sheet2!$E:$E,Sheet2!$C:$C,$A77,Sheet2!$A:$A,C$2)&lt;&gt;0,SUMIFS(Sheet2!$E:$E,Sheet2!$C:$C,$A77,Sheet2!$A:$A,C$2),"")</f>
        <v/>
      </c>
      <c r="D77" s="42" t="str">
        <f>IF(SUMIFS(Sheet2!$E:$E,Sheet2!$C:$C,$A77,Sheet2!$A:$A,D$2)&lt;&gt;0,SUMIFS(Sheet2!$E:$E,Sheet2!$C:$C,$A77,Sheet2!$A:$A,D$2),"")</f>
        <v/>
      </c>
      <c r="E77" s="42" t="str">
        <f>IF(SUMIFS(Sheet2!$E:$E,Sheet2!$C:$C,$A77,Sheet2!$A:$A,E$2)&lt;&gt;0,SUMIFS(Sheet2!$E:$E,Sheet2!$C:$C,$A77,Sheet2!$A:$A,E$2),"")</f>
        <v/>
      </c>
      <c r="F77" s="42" t="str">
        <f>IF(SUMIFS(Sheet2!$E:$E,Sheet2!$C:$C,$A77,Sheet2!$A:$A,F$2)&lt;&gt;0,SUMIFS(Sheet2!$E:$E,Sheet2!$C:$C,$A77,Sheet2!$A:$A,F$2),"")</f>
        <v/>
      </c>
      <c r="G77" s="42" t="str">
        <f>IF(SUMIFS(Sheet2!$E:$E,Sheet2!$C:$C,$A77,Sheet2!$A:$A,G$2)&lt;&gt;0,SUMIFS(Sheet2!$E:$E,Sheet2!$C:$C,$A77,Sheet2!$A:$A,G$2),"")</f>
        <v/>
      </c>
      <c r="H77" s="42" t="str">
        <f>IF(SUMIFS(Sheet2!$E:$E,Sheet2!$C:$C,$A77,Sheet2!$A:$A,H$2)&lt;&gt;0,SUMIFS(Sheet2!$E:$E,Sheet2!$C:$C,$A77,Sheet2!$A:$A,H$2),"")</f>
        <v/>
      </c>
      <c r="I77" s="42" t="str">
        <f>IF(SUMIFS(Sheet2!$E:$E,Sheet2!$C:$C,$A77,Sheet2!$A:$A,I$2)&lt;&gt;0,SUMIFS(Sheet2!$E:$E,Sheet2!$C:$C,$A77,Sheet2!$A:$A,I$2),"")</f>
        <v/>
      </c>
      <c r="J77" s="42" t="str">
        <f>IF(SUMIFS(Sheet2!$E:$E,Sheet2!$C:$C,$A77,Sheet2!$A:$A,J$2)&lt;&gt;0,SUMIFS(Sheet2!$E:$E,Sheet2!$C:$C,$A77,Sheet2!$A:$A,J$2),"")</f>
        <v/>
      </c>
      <c r="K77" s="42" t="str">
        <f>IF(SUMIFS(Sheet2!$E:$E,Sheet2!$C:$C,$A77,Sheet2!$A:$A,K$2)&lt;&gt;0,SUMIFS(Sheet2!$E:$E,Sheet2!$C:$C,$A77,Sheet2!$A:$A,K$2),"")</f>
        <v/>
      </c>
      <c r="L77" s="42" t="str">
        <f>IF(SUMIFS(Sheet2!$E:$E,Sheet2!$C:$C,$A77,Sheet2!$A:$A,L$2)&lt;&gt;0,SUMIFS(Sheet2!$E:$E,Sheet2!$C:$C,$A77,Sheet2!$A:$A,L$2),"")</f>
        <v/>
      </c>
      <c r="M77" s="42" t="str">
        <f>IF(SUMIFS(Sheet2!$E:$E,Sheet2!$C:$C,$A77,Sheet2!$A:$A,M$2)&lt;&gt;0,SUMIFS(Sheet2!$E:$E,Sheet2!$C:$C,$A77,Sheet2!$A:$A,M$2),"")</f>
        <v/>
      </c>
      <c r="N77" s="42" t="str">
        <f>IF(SUMIFS(Sheet2!$E:$E,Sheet2!$C:$C,$A77,Sheet2!$A:$A,N$2)&lt;&gt;0,SUMIFS(Sheet2!$E:$E,Sheet2!$C:$C,$A77,Sheet2!$A:$A,N$2),"")</f>
        <v/>
      </c>
      <c r="O77" s="42" t="str">
        <f>IF(SUMIFS(Sheet2!$E:$E,Sheet2!$C:$C,$A77,Sheet2!$A:$A,O$2)&lt;&gt;0,SUMIFS(Sheet2!$E:$E,Sheet2!$C:$C,$A77,Sheet2!$A:$A,O$2),"")</f>
        <v/>
      </c>
      <c r="P77" s="42" t="str">
        <f>IF(SUMIFS(Sheet2!$E:$E,Sheet2!$C:$C,$A77,Sheet2!$A:$A,P$2)&lt;&gt;0,SUMIFS(Sheet2!$E:$E,Sheet2!$C:$C,$A77,Sheet2!$A:$A,P$2),"")</f>
        <v/>
      </c>
      <c r="Q77" s="42" t="str">
        <f>IF(SUMIFS(Sheet2!$E:$E,Sheet2!$C:$C,$A77,Sheet2!$A:$A,Q$2)&lt;&gt;0,SUMIFS(Sheet2!$E:$E,Sheet2!$C:$C,$A77,Sheet2!$A:$A,Q$2),"")</f>
        <v/>
      </c>
      <c r="R77" s="42" t="str">
        <f>IF(SUMIFS(Sheet2!$E:$E,Sheet2!$C:$C,$A77,Sheet2!$A:$A,R$2)&lt;&gt;0,SUMIFS(Sheet2!$E:$E,Sheet2!$C:$C,$A77,Sheet2!$A:$A,R$2),"")</f>
        <v/>
      </c>
      <c r="S77" s="42" t="str">
        <f>IF(SUMIFS(Sheet2!$E:$E,Sheet2!$C:$C,$A77,Sheet2!$A:$A,S$2)&lt;&gt;0,SUMIFS(Sheet2!$E:$E,Sheet2!$C:$C,$A77,Sheet2!$A:$A,S$2),"")</f>
        <v/>
      </c>
      <c r="T77" s="42" t="str">
        <f>IF(SUMIFS(Sheet2!$E:$E,Sheet2!$C:$C,$A77,Sheet2!$A:$A,T$2)&lt;&gt;0,SUMIFS(Sheet2!$E:$E,Sheet2!$C:$C,$A77,Sheet2!$A:$A,T$2),"")</f>
        <v/>
      </c>
      <c r="U77" s="42" t="str">
        <f>IF(SUMIFS(Sheet2!$E:$E,Sheet2!$C:$C,$A77,Sheet2!$A:$A,U$2)&lt;&gt;0,SUMIFS(Sheet2!$E:$E,Sheet2!$C:$C,$A77,Sheet2!$A:$A,U$2),"")</f>
        <v/>
      </c>
      <c r="V77" s="42" t="str">
        <f>IF(SUMIFS(Sheet2!$E:$E,Sheet2!$C:$C,$A77,Sheet2!$A:$A,V$2)&lt;&gt;0,SUMIFS(Sheet2!$E:$E,Sheet2!$C:$C,$A77,Sheet2!$A:$A,V$2),"")</f>
        <v/>
      </c>
      <c r="W77" s="42" t="str">
        <f>IF(SUMIFS(Sheet2!$E:$E,Sheet2!$C:$C,$A77,Sheet2!$A:$A,W$2)&lt;&gt;0,SUMIFS(Sheet2!$E:$E,Sheet2!$C:$C,$A77,Sheet2!$A:$A,W$2),"")</f>
        <v/>
      </c>
      <c r="X77" s="42" t="str">
        <f>IF(SUMIFS(Sheet2!$E:$E,Sheet2!$C:$C,$A77,Sheet2!$A:$A,X$2)&lt;&gt;0,SUMIFS(Sheet2!$E:$E,Sheet2!$C:$C,$A77,Sheet2!$A:$A,X$2),"")</f>
        <v/>
      </c>
      <c r="Y77" s="42" t="str">
        <f>IF(SUMIFS(Sheet2!$E:$E,Sheet2!$C:$C,$A77,Sheet2!$A:$A,Y$2)&lt;&gt;0,SUMIFS(Sheet2!$E:$E,Sheet2!$C:$C,$A77,Sheet2!$A:$A,Y$2),"")</f>
        <v/>
      </c>
      <c r="Z77" s="42" t="str">
        <f>IF(SUMIFS(Sheet2!$E:$E,Sheet2!$C:$C,$A77,Sheet2!$A:$A,Z$2)&lt;&gt;0,SUMIFS(Sheet2!$E:$E,Sheet2!$C:$C,$A77,Sheet2!$A:$A,Z$2),"")</f>
        <v/>
      </c>
      <c r="AA77" s="42" t="str">
        <f>IF(SUMIFS(Sheet2!$E:$E,Sheet2!$C:$C,$A77,Sheet2!$A:$A,AA$2)&lt;&gt;0,SUMIFS(Sheet2!$E:$E,Sheet2!$C:$C,$A77,Sheet2!$A:$A,AA$2),"")</f>
        <v/>
      </c>
      <c r="AB77" s="42" t="str">
        <f>IF(SUMIFS(Sheet2!$E:$E,Sheet2!$C:$C,$A77,Sheet2!$A:$A,AB$2)&lt;&gt;0,SUMIFS(Sheet2!$E:$E,Sheet2!$C:$C,$A77,Sheet2!$A:$A,AB$2),"")</f>
        <v/>
      </c>
      <c r="AC77" s="42" t="str">
        <f>IF(SUMIFS(Sheet2!$E:$E,Sheet2!$C:$C,$A77,Sheet2!$A:$A,AC$2)&lt;&gt;0,SUMIFS(Sheet2!$E:$E,Sheet2!$C:$C,$A77,Sheet2!$A:$A,AC$2),"")</f>
        <v/>
      </c>
      <c r="AD77" s="42" t="str">
        <f>IF(SUMIFS(Sheet2!$E:$E,Sheet2!$C:$C,$A77,Sheet2!$A:$A,AD$2)&lt;&gt;0,SUMIFS(Sheet2!$E:$E,Sheet2!$C:$C,$A77,Sheet2!$A:$A,AD$2),"")</f>
        <v/>
      </c>
      <c r="AE77" s="42" t="str">
        <f>IF(SUMIFS(Sheet2!$E:$E,Sheet2!$C:$C,$A77,Sheet2!$A:$A,AE$2)&lt;&gt;0,SUMIFS(Sheet2!$E:$E,Sheet2!$C:$C,$A77,Sheet2!$A:$A,AE$2),"")</f>
        <v/>
      </c>
      <c r="AF77" s="42" t="str">
        <f>IF(SUMIFS(Sheet2!$E:$E,Sheet2!$C:$C,$A77,Sheet2!$A:$A,AF$2)&lt;&gt;0,SUMIFS(Sheet2!$E:$E,Sheet2!$C:$C,$A77,Sheet2!$A:$A,AF$2),"")</f>
        <v/>
      </c>
      <c r="AG77" s="42" t="str">
        <f>IF(SUMIFS(Sheet2!$E:$E,Sheet2!$C:$C,$A77,Sheet2!$A:$A,AG$2)&lt;&gt;0,SUMIFS(Sheet2!$E:$E,Sheet2!$C:$C,$A77,Sheet2!$A:$A,AG$2),"")</f>
        <v/>
      </c>
      <c r="AH77" s="43">
        <f>SUM(Table2[[#This Row],[1]:[31]])</f>
        <v>0</v>
      </c>
    </row>
    <row r="78" spans="1:34" ht="12.75" customHeight="1">
      <c r="A78" s="76" t="str">
        <f>DSSP!A77</f>
        <v>A162</v>
      </c>
      <c r="B78" s="25" t="str">
        <f>DSSP!B77</f>
        <v>Bóng Noel</v>
      </c>
      <c r="C78" s="42" t="str">
        <f>IF(SUMIFS(Sheet2!$E:$E,Sheet2!$C:$C,$A78,Sheet2!$A:$A,C$2)&lt;&gt;0,SUMIFS(Sheet2!$E:$E,Sheet2!$C:$C,$A78,Sheet2!$A:$A,C$2),"")</f>
        <v/>
      </c>
      <c r="D78" s="42" t="str">
        <f>IF(SUMIFS(Sheet2!$E:$E,Sheet2!$C:$C,$A78,Sheet2!$A:$A,D$2)&lt;&gt;0,SUMIFS(Sheet2!$E:$E,Sheet2!$C:$C,$A78,Sheet2!$A:$A,D$2),"")</f>
        <v/>
      </c>
      <c r="E78" s="42" t="str">
        <f>IF(SUMIFS(Sheet2!$E:$E,Sheet2!$C:$C,$A78,Sheet2!$A:$A,E$2)&lt;&gt;0,SUMIFS(Sheet2!$E:$E,Sheet2!$C:$C,$A78,Sheet2!$A:$A,E$2),"")</f>
        <v/>
      </c>
      <c r="F78" s="42" t="str">
        <f>IF(SUMIFS(Sheet2!$E:$E,Sheet2!$C:$C,$A78,Sheet2!$A:$A,F$2)&lt;&gt;0,SUMIFS(Sheet2!$E:$E,Sheet2!$C:$C,$A78,Sheet2!$A:$A,F$2),"")</f>
        <v/>
      </c>
      <c r="G78" s="42" t="str">
        <f>IF(SUMIFS(Sheet2!$E:$E,Sheet2!$C:$C,$A78,Sheet2!$A:$A,G$2)&lt;&gt;0,SUMIFS(Sheet2!$E:$E,Sheet2!$C:$C,$A78,Sheet2!$A:$A,G$2),"")</f>
        <v/>
      </c>
      <c r="H78" s="42" t="str">
        <f>IF(SUMIFS(Sheet2!$E:$E,Sheet2!$C:$C,$A78,Sheet2!$A:$A,H$2)&lt;&gt;0,SUMIFS(Sheet2!$E:$E,Sheet2!$C:$C,$A78,Sheet2!$A:$A,H$2),"")</f>
        <v/>
      </c>
      <c r="I78" s="42" t="str">
        <f>IF(SUMIFS(Sheet2!$E:$E,Sheet2!$C:$C,$A78,Sheet2!$A:$A,I$2)&lt;&gt;0,SUMIFS(Sheet2!$E:$E,Sheet2!$C:$C,$A78,Sheet2!$A:$A,I$2),"")</f>
        <v/>
      </c>
      <c r="J78" s="42" t="str">
        <f>IF(SUMIFS(Sheet2!$E:$E,Sheet2!$C:$C,$A78,Sheet2!$A:$A,J$2)&lt;&gt;0,SUMIFS(Sheet2!$E:$E,Sheet2!$C:$C,$A78,Sheet2!$A:$A,J$2),"")</f>
        <v/>
      </c>
      <c r="K78" s="42" t="str">
        <f>IF(SUMIFS(Sheet2!$E:$E,Sheet2!$C:$C,$A78,Sheet2!$A:$A,K$2)&lt;&gt;0,SUMIFS(Sheet2!$E:$E,Sheet2!$C:$C,$A78,Sheet2!$A:$A,K$2),"")</f>
        <v/>
      </c>
      <c r="L78" s="42" t="str">
        <f>IF(SUMIFS(Sheet2!$E:$E,Sheet2!$C:$C,$A78,Sheet2!$A:$A,L$2)&lt;&gt;0,SUMIFS(Sheet2!$E:$E,Sheet2!$C:$C,$A78,Sheet2!$A:$A,L$2),"")</f>
        <v/>
      </c>
      <c r="M78" s="42" t="str">
        <f>IF(SUMIFS(Sheet2!$E:$E,Sheet2!$C:$C,$A78,Sheet2!$A:$A,M$2)&lt;&gt;0,SUMIFS(Sheet2!$E:$E,Sheet2!$C:$C,$A78,Sheet2!$A:$A,M$2),"")</f>
        <v/>
      </c>
      <c r="N78" s="42" t="str">
        <f>IF(SUMIFS(Sheet2!$E:$E,Sheet2!$C:$C,$A78,Sheet2!$A:$A,N$2)&lt;&gt;0,SUMIFS(Sheet2!$E:$E,Sheet2!$C:$C,$A78,Sheet2!$A:$A,N$2),"")</f>
        <v/>
      </c>
      <c r="O78" s="42" t="str">
        <f>IF(SUMIFS(Sheet2!$E:$E,Sheet2!$C:$C,$A78,Sheet2!$A:$A,O$2)&lt;&gt;0,SUMIFS(Sheet2!$E:$E,Sheet2!$C:$C,$A78,Sheet2!$A:$A,O$2),"")</f>
        <v/>
      </c>
      <c r="P78" s="42" t="str">
        <f>IF(SUMIFS(Sheet2!$E:$E,Sheet2!$C:$C,$A78,Sheet2!$A:$A,P$2)&lt;&gt;0,SUMIFS(Sheet2!$E:$E,Sheet2!$C:$C,$A78,Sheet2!$A:$A,P$2),"")</f>
        <v/>
      </c>
      <c r="Q78" s="42" t="str">
        <f>IF(SUMIFS(Sheet2!$E:$E,Sheet2!$C:$C,$A78,Sheet2!$A:$A,Q$2)&lt;&gt;0,SUMIFS(Sheet2!$E:$E,Sheet2!$C:$C,$A78,Sheet2!$A:$A,Q$2),"")</f>
        <v/>
      </c>
      <c r="R78" s="42" t="str">
        <f>IF(SUMIFS(Sheet2!$E:$E,Sheet2!$C:$C,$A78,Sheet2!$A:$A,R$2)&lt;&gt;0,SUMIFS(Sheet2!$E:$E,Sheet2!$C:$C,$A78,Sheet2!$A:$A,R$2),"")</f>
        <v/>
      </c>
      <c r="S78" s="42" t="str">
        <f>IF(SUMIFS(Sheet2!$E:$E,Sheet2!$C:$C,$A78,Sheet2!$A:$A,S$2)&lt;&gt;0,SUMIFS(Sheet2!$E:$E,Sheet2!$C:$C,$A78,Sheet2!$A:$A,S$2),"")</f>
        <v/>
      </c>
      <c r="T78" s="42" t="str">
        <f>IF(SUMIFS(Sheet2!$E:$E,Sheet2!$C:$C,$A78,Sheet2!$A:$A,T$2)&lt;&gt;0,SUMIFS(Sheet2!$E:$E,Sheet2!$C:$C,$A78,Sheet2!$A:$A,T$2),"")</f>
        <v/>
      </c>
      <c r="U78" s="42" t="str">
        <f>IF(SUMIFS(Sheet2!$E:$E,Sheet2!$C:$C,$A78,Sheet2!$A:$A,U$2)&lt;&gt;0,SUMIFS(Sheet2!$E:$E,Sheet2!$C:$C,$A78,Sheet2!$A:$A,U$2),"")</f>
        <v/>
      </c>
      <c r="V78" s="42" t="str">
        <f>IF(SUMIFS(Sheet2!$E:$E,Sheet2!$C:$C,$A78,Sheet2!$A:$A,V$2)&lt;&gt;0,SUMIFS(Sheet2!$E:$E,Sheet2!$C:$C,$A78,Sheet2!$A:$A,V$2),"")</f>
        <v/>
      </c>
      <c r="W78" s="42" t="str">
        <f>IF(SUMIFS(Sheet2!$E:$E,Sheet2!$C:$C,$A78,Sheet2!$A:$A,W$2)&lt;&gt;0,SUMIFS(Sheet2!$E:$E,Sheet2!$C:$C,$A78,Sheet2!$A:$A,W$2),"")</f>
        <v/>
      </c>
      <c r="X78" s="42" t="str">
        <f>IF(SUMIFS(Sheet2!$E:$E,Sheet2!$C:$C,$A78,Sheet2!$A:$A,X$2)&lt;&gt;0,SUMIFS(Sheet2!$E:$E,Sheet2!$C:$C,$A78,Sheet2!$A:$A,X$2),"")</f>
        <v/>
      </c>
      <c r="Y78" s="42" t="str">
        <f>IF(SUMIFS(Sheet2!$E:$E,Sheet2!$C:$C,$A78,Sheet2!$A:$A,Y$2)&lt;&gt;0,SUMIFS(Sheet2!$E:$E,Sheet2!$C:$C,$A78,Sheet2!$A:$A,Y$2),"")</f>
        <v/>
      </c>
      <c r="Z78" s="42" t="str">
        <f>IF(SUMIFS(Sheet2!$E:$E,Sheet2!$C:$C,$A78,Sheet2!$A:$A,Z$2)&lt;&gt;0,SUMIFS(Sheet2!$E:$E,Sheet2!$C:$C,$A78,Sheet2!$A:$A,Z$2),"")</f>
        <v/>
      </c>
      <c r="AA78" s="42" t="str">
        <f>IF(SUMIFS(Sheet2!$E:$E,Sheet2!$C:$C,$A78,Sheet2!$A:$A,AA$2)&lt;&gt;0,SUMIFS(Sheet2!$E:$E,Sheet2!$C:$C,$A78,Sheet2!$A:$A,AA$2),"")</f>
        <v/>
      </c>
      <c r="AB78" s="42" t="str">
        <f>IF(SUMIFS(Sheet2!$E:$E,Sheet2!$C:$C,$A78,Sheet2!$A:$A,AB$2)&lt;&gt;0,SUMIFS(Sheet2!$E:$E,Sheet2!$C:$C,$A78,Sheet2!$A:$A,AB$2),"")</f>
        <v/>
      </c>
      <c r="AC78" s="42" t="str">
        <f>IF(SUMIFS(Sheet2!$E:$E,Sheet2!$C:$C,$A78,Sheet2!$A:$A,AC$2)&lt;&gt;0,SUMIFS(Sheet2!$E:$E,Sheet2!$C:$C,$A78,Sheet2!$A:$A,AC$2),"")</f>
        <v/>
      </c>
      <c r="AD78" s="42" t="str">
        <f>IF(SUMIFS(Sheet2!$E:$E,Sheet2!$C:$C,$A78,Sheet2!$A:$A,AD$2)&lt;&gt;0,SUMIFS(Sheet2!$E:$E,Sheet2!$C:$C,$A78,Sheet2!$A:$A,AD$2),"")</f>
        <v/>
      </c>
      <c r="AE78" s="42" t="str">
        <f>IF(SUMIFS(Sheet2!$E:$E,Sheet2!$C:$C,$A78,Sheet2!$A:$A,AE$2)&lt;&gt;0,SUMIFS(Sheet2!$E:$E,Sheet2!$C:$C,$A78,Sheet2!$A:$A,AE$2),"")</f>
        <v/>
      </c>
      <c r="AF78" s="42" t="str">
        <f>IF(SUMIFS(Sheet2!$E:$E,Sheet2!$C:$C,$A78,Sheet2!$A:$A,AF$2)&lt;&gt;0,SUMIFS(Sheet2!$E:$E,Sheet2!$C:$C,$A78,Sheet2!$A:$A,AF$2),"")</f>
        <v/>
      </c>
      <c r="AG78" s="42" t="str">
        <f>IF(SUMIFS(Sheet2!$E:$E,Sheet2!$C:$C,$A78,Sheet2!$A:$A,AG$2)&lt;&gt;0,SUMIFS(Sheet2!$E:$E,Sheet2!$C:$C,$A78,Sheet2!$A:$A,AG$2),"")</f>
        <v/>
      </c>
      <c r="AH78" s="43">
        <f>SUM(Table2[[#This Row],[1]:[31]])</f>
        <v>0</v>
      </c>
    </row>
    <row r="79" spans="1:34" ht="12.75" customHeight="1">
      <c r="A79" s="76" t="str">
        <f>DSSP!A78</f>
        <v>A163</v>
      </c>
      <c r="B79" s="25" t="str">
        <f>DSSP!B78</f>
        <v>Tuần lộc đỏ</v>
      </c>
      <c r="C79" s="42" t="str">
        <f>IF(SUMIFS(Sheet2!$E:$E,Sheet2!$C:$C,$A79,Sheet2!$A:$A,C$2)&lt;&gt;0,SUMIFS(Sheet2!$E:$E,Sheet2!$C:$C,$A79,Sheet2!$A:$A,C$2),"")</f>
        <v/>
      </c>
      <c r="D79" s="42" t="str">
        <f>IF(SUMIFS(Sheet2!$E:$E,Sheet2!$C:$C,$A79,Sheet2!$A:$A,D$2)&lt;&gt;0,SUMIFS(Sheet2!$E:$E,Sheet2!$C:$C,$A79,Sheet2!$A:$A,D$2),"")</f>
        <v/>
      </c>
      <c r="E79" s="42" t="str">
        <f>IF(SUMIFS(Sheet2!$E:$E,Sheet2!$C:$C,$A79,Sheet2!$A:$A,E$2)&lt;&gt;0,SUMIFS(Sheet2!$E:$E,Sheet2!$C:$C,$A79,Sheet2!$A:$A,E$2),"")</f>
        <v/>
      </c>
      <c r="F79" s="42" t="str">
        <f>IF(SUMIFS(Sheet2!$E:$E,Sheet2!$C:$C,$A79,Sheet2!$A:$A,F$2)&lt;&gt;0,SUMIFS(Sheet2!$E:$E,Sheet2!$C:$C,$A79,Sheet2!$A:$A,F$2),"")</f>
        <v/>
      </c>
      <c r="G79" s="42" t="str">
        <f>IF(SUMIFS(Sheet2!$E:$E,Sheet2!$C:$C,$A79,Sheet2!$A:$A,G$2)&lt;&gt;0,SUMIFS(Sheet2!$E:$E,Sheet2!$C:$C,$A79,Sheet2!$A:$A,G$2),"")</f>
        <v/>
      </c>
      <c r="H79" s="42" t="str">
        <f>IF(SUMIFS(Sheet2!$E:$E,Sheet2!$C:$C,$A79,Sheet2!$A:$A,H$2)&lt;&gt;0,SUMIFS(Sheet2!$E:$E,Sheet2!$C:$C,$A79,Sheet2!$A:$A,H$2),"")</f>
        <v/>
      </c>
      <c r="I79" s="42" t="str">
        <f>IF(SUMIFS(Sheet2!$E:$E,Sheet2!$C:$C,$A79,Sheet2!$A:$A,I$2)&lt;&gt;0,SUMIFS(Sheet2!$E:$E,Sheet2!$C:$C,$A79,Sheet2!$A:$A,I$2),"")</f>
        <v/>
      </c>
      <c r="J79" s="42" t="str">
        <f>IF(SUMIFS(Sheet2!$E:$E,Sheet2!$C:$C,$A79,Sheet2!$A:$A,J$2)&lt;&gt;0,SUMIFS(Sheet2!$E:$E,Sheet2!$C:$C,$A79,Sheet2!$A:$A,J$2),"")</f>
        <v/>
      </c>
      <c r="K79" s="42" t="str">
        <f>IF(SUMIFS(Sheet2!$E:$E,Sheet2!$C:$C,$A79,Sheet2!$A:$A,K$2)&lt;&gt;0,SUMIFS(Sheet2!$E:$E,Sheet2!$C:$C,$A79,Sheet2!$A:$A,K$2),"")</f>
        <v/>
      </c>
      <c r="L79" s="42" t="str">
        <f>IF(SUMIFS(Sheet2!$E:$E,Sheet2!$C:$C,$A79,Sheet2!$A:$A,L$2)&lt;&gt;0,SUMIFS(Sheet2!$E:$E,Sheet2!$C:$C,$A79,Sheet2!$A:$A,L$2),"")</f>
        <v/>
      </c>
      <c r="M79" s="42" t="str">
        <f>IF(SUMIFS(Sheet2!$E:$E,Sheet2!$C:$C,$A79,Sheet2!$A:$A,M$2)&lt;&gt;0,SUMIFS(Sheet2!$E:$E,Sheet2!$C:$C,$A79,Sheet2!$A:$A,M$2),"")</f>
        <v/>
      </c>
      <c r="N79" s="42" t="str">
        <f>IF(SUMIFS(Sheet2!$E:$E,Sheet2!$C:$C,$A79,Sheet2!$A:$A,N$2)&lt;&gt;0,SUMIFS(Sheet2!$E:$E,Sheet2!$C:$C,$A79,Sheet2!$A:$A,N$2),"")</f>
        <v/>
      </c>
      <c r="O79" s="42" t="str">
        <f>IF(SUMIFS(Sheet2!$E:$E,Sheet2!$C:$C,$A79,Sheet2!$A:$A,O$2)&lt;&gt;0,SUMIFS(Sheet2!$E:$E,Sheet2!$C:$C,$A79,Sheet2!$A:$A,O$2),"")</f>
        <v/>
      </c>
      <c r="P79" s="42" t="str">
        <f>IF(SUMIFS(Sheet2!$E:$E,Sheet2!$C:$C,$A79,Sheet2!$A:$A,P$2)&lt;&gt;0,SUMIFS(Sheet2!$E:$E,Sheet2!$C:$C,$A79,Sheet2!$A:$A,P$2),"")</f>
        <v/>
      </c>
      <c r="Q79" s="42" t="str">
        <f>IF(SUMIFS(Sheet2!$E:$E,Sheet2!$C:$C,$A79,Sheet2!$A:$A,Q$2)&lt;&gt;0,SUMIFS(Sheet2!$E:$E,Sheet2!$C:$C,$A79,Sheet2!$A:$A,Q$2),"")</f>
        <v/>
      </c>
      <c r="R79" s="42" t="str">
        <f>IF(SUMIFS(Sheet2!$E:$E,Sheet2!$C:$C,$A79,Sheet2!$A:$A,R$2)&lt;&gt;0,SUMIFS(Sheet2!$E:$E,Sheet2!$C:$C,$A79,Sheet2!$A:$A,R$2),"")</f>
        <v/>
      </c>
      <c r="S79" s="42" t="str">
        <f>IF(SUMIFS(Sheet2!$E:$E,Sheet2!$C:$C,$A79,Sheet2!$A:$A,S$2)&lt;&gt;0,SUMIFS(Sheet2!$E:$E,Sheet2!$C:$C,$A79,Sheet2!$A:$A,S$2),"")</f>
        <v/>
      </c>
      <c r="T79" s="42" t="str">
        <f>IF(SUMIFS(Sheet2!$E:$E,Sheet2!$C:$C,$A79,Sheet2!$A:$A,T$2)&lt;&gt;0,SUMIFS(Sheet2!$E:$E,Sheet2!$C:$C,$A79,Sheet2!$A:$A,T$2),"")</f>
        <v/>
      </c>
      <c r="U79" s="42" t="str">
        <f>IF(SUMIFS(Sheet2!$E:$E,Sheet2!$C:$C,$A79,Sheet2!$A:$A,U$2)&lt;&gt;0,SUMIFS(Sheet2!$E:$E,Sheet2!$C:$C,$A79,Sheet2!$A:$A,U$2),"")</f>
        <v/>
      </c>
      <c r="V79" s="42" t="str">
        <f>IF(SUMIFS(Sheet2!$E:$E,Sheet2!$C:$C,$A79,Sheet2!$A:$A,V$2)&lt;&gt;0,SUMIFS(Sheet2!$E:$E,Sheet2!$C:$C,$A79,Sheet2!$A:$A,V$2),"")</f>
        <v/>
      </c>
      <c r="W79" s="42" t="str">
        <f>IF(SUMIFS(Sheet2!$E:$E,Sheet2!$C:$C,$A79,Sheet2!$A:$A,W$2)&lt;&gt;0,SUMIFS(Sheet2!$E:$E,Sheet2!$C:$C,$A79,Sheet2!$A:$A,W$2),"")</f>
        <v/>
      </c>
      <c r="X79" s="42" t="str">
        <f>IF(SUMIFS(Sheet2!$E:$E,Sheet2!$C:$C,$A79,Sheet2!$A:$A,X$2)&lt;&gt;0,SUMIFS(Sheet2!$E:$E,Sheet2!$C:$C,$A79,Sheet2!$A:$A,X$2),"")</f>
        <v/>
      </c>
      <c r="Y79" s="42" t="str">
        <f>IF(SUMIFS(Sheet2!$E:$E,Sheet2!$C:$C,$A79,Sheet2!$A:$A,Y$2)&lt;&gt;0,SUMIFS(Sheet2!$E:$E,Sheet2!$C:$C,$A79,Sheet2!$A:$A,Y$2),"")</f>
        <v/>
      </c>
      <c r="Z79" s="42" t="str">
        <f>IF(SUMIFS(Sheet2!$E:$E,Sheet2!$C:$C,$A79,Sheet2!$A:$A,Z$2)&lt;&gt;0,SUMIFS(Sheet2!$E:$E,Sheet2!$C:$C,$A79,Sheet2!$A:$A,Z$2),"")</f>
        <v/>
      </c>
      <c r="AA79" s="42" t="str">
        <f>IF(SUMIFS(Sheet2!$E:$E,Sheet2!$C:$C,$A79,Sheet2!$A:$A,AA$2)&lt;&gt;0,SUMIFS(Sheet2!$E:$E,Sheet2!$C:$C,$A79,Sheet2!$A:$A,AA$2),"")</f>
        <v/>
      </c>
      <c r="AB79" s="42" t="str">
        <f>IF(SUMIFS(Sheet2!$E:$E,Sheet2!$C:$C,$A79,Sheet2!$A:$A,AB$2)&lt;&gt;0,SUMIFS(Sheet2!$E:$E,Sheet2!$C:$C,$A79,Sheet2!$A:$A,AB$2),"")</f>
        <v/>
      </c>
      <c r="AC79" s="42" t="str">
        <f>IF(SUMIFS(Sheet2!$E:$E,Sheet2!$C:$C,$A79,Sheet2!$A:$A,AC$2)&lt;&gt;0,SUMIFS(Sheet2!$E:$E,Sheet2!$C:$C,$A79,Sheet2!$A:$A,AC$2),"")</f>
        <v/>
      </c>
      <c r="AD79" s="42" t="str">
        <f>IF(SUMIFS(Sheet2!$E:$E,Sheet2!$C:$C,$A79,Sheet2!$A:$A,AD$2)&lt;&gt;0,SUMIFS(Sheet2!$E:$E,Sheet2!$C:$C,$A79,Sheet2!$A:$A,AD$2),"")</f>
        <v/>
      </c>
      <c r="AE79" s="42" t="str">
        <f>IF(SUMIFS(Sheet2!$E:$E,Sheet2!$C:$C,$A79,Sheet2!$A:$A,AE$2)&lt;&gt;0,SUMIFS(Sheet2!$E:$E,Sheet2!$C:$C,$A79,Sheet2!$A:$A,AE$2),"")</f>
        <v/>
      </c>
      <c r="AF79" s="42" t="str">
        <f>IF(SUMIFS(Sheet2!$E:$E,Sheet2!$C:$C,$A79,Sheet2!$A:$A,AF$2)&lt;&gt;0,SUMIFS(Sheet2!$E:$E,Sheet2!$C:$C,$A79,Sheet2!$A:$A,AF$2),"")</f>
        <v/>
      </c>
      <c r="AG79" s="42" t="str">
        <f>IF(SUMIFS(Sheet2!$E:$E,Sheet2!$C:$C,$A79,Sheet2!$A:$A,AG$2)&lt;&gt;0,SUMIFS(Sheet2!$E:$E,Sheet2!$C:$C,$A79,Sheet2!$A:$A,AG$2),"")</f>
        <v/>
      </c>
      <c r="AH79" s="43">
        <f>SUM(Table2[[#This Row],[1]:[31]])</f>
        <v>0</v>
      </c>
    </row>
    <row r="80" spans="1:34" ht="12.75" customHeight="1">
      <c r="A80" s="76" t="str">
        <f>DSSP!A79</f>
        <v>A164</v>
      </c>
      <c r="B80" s="25" t="str">
        <f>DSSP!B79</f>
        <v>Quả cầu Noel</v>
      </c>
      <c r="C80" s="42" t="str">
        <f>IF(SUMIFS(Sheet2!$E:$E,Sheet2!$C:$C,$A80,Sheet2!$A:$A,C$2)&lt;&gt;0,SUMIFS(Sheet2!$E:$E,Sheet2!$C:$C,$A80,Sheet2!$A:$A,C$2),"")</f>
        <v/>
      </c>
      <c r="D80" s="42" t="str">
        <f>IF(SUMIFS(Sheet2!$E:$E,Sheet2!$C:$C,$A80,Sheet2!$A:$A,D$2)&lt;&gt;0,SUMIFS(Sheet2!$E:$E,Sheet2!$C:$C,$A80,Sheet2!$A:$A,D$2),"")</f>
        <v/>
      </c>
      <c r="E80" s="42" t="str">
        <f>IF(SUMIFS(Sheet2!$E:$E,Sheet2!$C:$C,$A80,Sheet2!$A:$A,E$2)&lt;&gt;0,SUMIFS(Sheet2!$E:$E,Sheet2!$C:$C,$A80,Sheet2!$A:$A,E$2),"")</f>
        <v/>
      </c>
      <c r="F80" s="42" t="str">
        <f>IF(SUMIFS(Sheet2!$E:$E,Sheet2!$C:$C,$A80,Sheet2!$A:$A,F$2)&lt;&gt;0,SUMIFS(Sheet2!$E:$E,Sheet2!$C:$C,$A80,Sheet2!$A:$A,F$2),"")</f>
        <v/>
      </c>
      <c r="G80" s="42" t="str">
        <f>IF(SUMIFS(Sheet2!$E:$E,Sheet2!$C:$C,$A80,Sheet2!$A:$A,G$2)&lt;&gt;0,SUMIFS(Sheet2!$E:$E,Sheet2!$C:$C,$A80,Sheet2!$A:$A,G$2),"")</f>
        <v/>
      </c>
      <c r="H80" s="42" t="str">
        <f>IF(SUMIFS(Sheet2!$E:$E,Sheet2!$C:$C,$A80,Sheet2!$A:$A,H$2)&lt;&gt;0,SUMIFS(Sheet2!$E:$E,Sheet2!$C:$C,$A80,Sheet2!$A:$A,H$2),"")</f>
        <v/>
      </c>
      <c r="I80" s="42" t="str">
        <f>IF(SUMIFS(Sheet2!$E:$E,Sheet2!$C:$C,$A80,Sheet2!$A:$A,I$2)&lt;&gt;0,SUMIFS(Sheet2!$E:$E,Sheet2!$C:$C,$A80,Sheet2!$A:$A,I$2),"")</f>
        <v/>
      </c>
      <c r="J80" s="42" t="str">
        <f>IF(SUMIFS(Sheet2!$E:$E,Sheet2!$C:$C,$A80,Sheet2!$A:$A,J$2)&lt;&gt;0,SUMIFS(Sheet2!$E:$E,Sheet2!$C:$C,$A80,Sheet2!$A:$A,J$2),"")</f>
        <v/>
      </c>
      <c r="K80" s="42" t="str">
        <f>IF(SUMIFS(Sheet2!$E:$E,Sheet2!$C:$C,$A80,Sheet2!$A:$A,K$2)&lt;&gt;0,SUMIFS(Sheet2!$E:$E,Sheet2!$C:$C,$A80,Sheet2!$A:$A,K$2),"")</f>
        <v/>
      </c>
      <c r="L80" s="42" t="str">
        <f>IF(SUMIFS(Sheet2!$E:$E,Sheet2!$C:$C,$A80,Sheet2!$A:$A,L$2)&lt;&gt;0,SUMIFS(Sheet2!$E:$E,Sheet2!$C:$C,$A80,Sheet2!$A:$A,L$2),"")</f>
        <v/>
      </c>
      <c r="M80" s="42" t="str">
        <f>IF(SUMIFS(Sheet2!$E:$E,Sheet2!$C:$C,$A80,Sheet2!$A:$A,M$2)&lt;&gt;0,SUMIFS(Sheet2!$E:$E,Sheet2!$C:$C,$A80,Sheet2!$A:$A,M$2),"")</f>
        <v/>
      </c>
      <c r="N80" s="42" t="str">
        <f>IF(SUMIFS(Sheet2!$E:$E,Sheet2!$C:$C,$A80,Sheet2!$A:$A,N$2)&lt;&gt;0,SUMIFS(Sheet2!$E:$E,Sheet2!$C:$C,$A80,Sheet2!$A:$A,N$2),"")</f>
        <v/>
      </c>
      <c r="O80" s="42" t="str">
        <f>IF(SUMIFS(Sheet2!$E:$E,Sheet2!$C:$C,$A80,Sheet2!$A:$A,O$2)&lt;&gt;0,SUMIFS(Sheet2!$E:$E,Sheet2!$C:$C,$A80,Sheet2!$A:$A,O$2),"")</f>
        <v/>
      </c>
      <c r="P80" s="42" t="str">
        <f>IF(SUMIFS(Sheet2!$E:$E,Sheet2!$C:$C,$A80,Sheet2!$A:$A,P$2)&lt;&gt;0,SUMIFS(Sheet2!$E:$E,Sheet2!$C:$C,$A80,Sheet2!$A:$A,P$2),"")</f>
        <v/>
      </c>
      <c r="Q80" s="42" t="str">
        <f>IF(SUMIFS(Sheet2!$E:$E,Sheet2!$C:$C,$A80,Sheet2!$A:$A,Q$2)&lt;&gt;0,SUMIFS(Sheet2!$E:$E,Sheet2!$C:$C,$A80,Sheet2!$A:$A,Q$2),"")</f>
        <v/>
      </c>
      <c r="R80" s="42" t="str">
        <f>IF(SUMIFS(Sheet2!$E:$E,Sheet2!$C:$C,$A80,Sheet2!$A:$A,R$2)&lt;&gt;0,SUMIFS(Sheet2!$E:$E,Sheet2!$C:$C,$A80,Sheet2!$A:$A,R$2),"")</f>
        <v/>
      </c>
      <c r="S80" s="42" t="str">
        <f>IF(SUMIFS(Sheet2!$E:$E,Sheet2!$C:$C,$A80,Sheet2!$A:$A,S$2)&lt;&gt;0,SUMIFS(Sheet2!$E:$E,Sheet2!$C:$C,$A80,Sheet2!$A:$A,S$2),"")</f>
        <v/>
      </c>
      <c r="T80" s="42" t="str">
        <f>IF(SUMIFS(Sheet2!$E:$E,Sheet2!$C:$C,$A80,Sheet2!$A:$A,T$2)&lt;&gt;0,SUMIFS(Sheet2!$E:$E,Sheet2!$C:$C,$A80,Sheet2!$A:$A,T$2),"")</f>
        <v/>
      </c>
      <c r="U80" s="42" t="str">
        <f>IF(SUMIFS(Sheet2!$E:$E,Sheet2!$C:$C,$A80,Sheet2!$A:$A,U$2)&lt;&gt;0,SUMIFS(Sheet2!$E:$E,Sheet2!$C:$C,$A80,Sheet2!$A:$A,U$2),"")</f>
        <v/>
      </c>
      <c r="V80" s="42" t="str">
        <f>IF(SUMIFS(Sheet2!$E:$E,Sheet2!$C:$C,$A80,Sheet2!$A:$A,V$2)&lt;&gt;0,SUMIFS(Sheet2!$E:$E,Sheet2!$C:$C,$A80,Sheet2!$A:$A,V$2),"")</f>
        <v/>
      </c>
      <c r="W80" s="42" t="str">
        <f>IF(SUMIFS(Sheet2!$E:$E,Sheet2!$C:$C,$A80,Sheet2!$A:$A,W$2)&lt;&gt;0,SUMIFS(Sheet2!$E:$E,Sheet2!$C:$C,$A80,Sheet2!$A:$A,W$2),"")</f>
        <v/>
      </c>
      <c r="X80" s="42" t="str">
        <f>IF(SUMIFS(Sheet2!$E:$E,Sheet2!$C:$C,$A80,Sheet2!$A:$A,X$2)&lt;&gt;0,SUMIFS(Sheet2!$E:$E,Sheet2!$C:$C,$A80,Sheet2!$A:$A,X$2),"")</f>
        <v/>
      </c>
      <c r="Y80" s="42" t="str">
        <f>IF(SUMIFS(Sheet2!$E:$E,Sheet2!$C:$C,$A80,Sheet2!$A:$A,Y$2)&lt;&gt;0,SUMIFS(Sheet2!$E:$E,Sheet2!$C:$C,$A80,Sheet2!$A:$A,Y$2),"")</f>
        <v/>
      </c>
      <c r="Z80" s="42" t="str">
        <f>IF(SUMIFS(Sheet2!$E:$E,Sheet2!$C:$C,$A80,Sheet2!$A:$A,Z$2)&lt;&gt;0,SUMIFS(Sheet2!$E:$E,Sheet2!$C:$C,$A80,Sheet2!$A:$A,Z$2),"")</f>
        <v/>
      </c>
      <c r="AA80" s="42" t="str">
        <f>IF(SUMIFS(Sheet2!$E:$E,Sheet2!$C:$C,$A80,Sheet2!$A:$A,AA$2)&lt;&gt;0,SUMIFS(Sheet2!$E:$E,Sheet2!$C:$C,$A80,Sheet2!$A:$A,AA$2),"")</f>
        <v/>
      </c>
      <c r="AB80" s="42" t="str">
        <f>IF(SUMIFS(Sheet2!$E:$E,Sheet2!$C:$C,$A80,Sheet2!$A:$A,AB$2)&lt;&gt;0,SUMIFS(Sheet2!$E:$E,Sheet2!$C:$C,$A80,Sheet2!$A:$A,AB$2),"")</f>
        <v/>
      </c>
      <c r="AC80" s="42" t="str">
        <f>IF(SUMIFS(Sheet2!$E:$E,Sheet2!$C:$C,$A80,Sheet2!$A:$A,AC$2)&lt;&gt;0,SUMIFS(Sheet2!$E:$E,Sheet2!$C:$C,$A80,Sheet2!$A:$A,AC$2),"")</f>
        <v/>
      </c>
      <c r="AD80" s="42" t="str">
        <f>IF(SUMIFS(Sheet2!$E:$E,Sheet2!$C:$C,$A80,Sheet2!$A:$A,AD$2)&lt;&gt;0,SUMIFS(Sheet2!$E:$E,Sheet2!$C:$C,$A80,Sheet2!$A:$A,AD$2),"")</f>
        <v/>
      </c>
      <c r="AE80" s="42" t="str">
        <f>IF(SUMIFS(Sheet2!$E:$E,Sheet2!$C:$C,$A80,Sheet2!$A:$A,AE$2)&lt;&gt;0,SUMIFS(Sheet2!$E:$E,Sheet2!$C:$C,$A80,Sheet2!$A:$A,AE$2),"")</f>
        <v/>
      </c>
      <c r="AF80" s="42" t="str">
        <f>IF(SUMIFS(Sheet2!$E:$E,Sheet2!$C:$C,$A80,Sheet2!$A:$A,AF$2)&lt;&gt;0,SUMIFS(Sheet2!$E:$E,Sheet2!$C:$C,$A80,Sheet2!$A:$A,AF$2),"")</f>
        <v/>
      </c>
      <c r="AG80" s="42" t="str">
        <f>IF(SUMIFS(Sheet2!$E:$E,Sheet2!$C:$C,$A80,Sheet2!$A:$A,AG$2)&lt;&gt;0,SUMIFS(Sheet2!$E:$E,Sheet2!$C:$C,$A80,Sheet2!$A:$A,AG$2),"")</f>
        <v/>
      </c>
      <c r="AH80" s="43">
        <f>SUM(Table2[[#This Row],[1]:[31]])</f>
        <v>0</v>
      </c>
    </row>
    <row r="81" spans="1:34" ht="12.75" customHeight="1">
      <c r="A81" s="76" t="str">
        <f>DSSP!A80</f>
        <v>A165</v>
      </c>
      <c r="B81" s="25" t="str">
        <f>DSSP!B80</f>
        <v>Găng tất Noel</v>
      </c>
      <c r="C81" s="42" t="str">
        <f>IF(SUMIFS(Sheet2!$E:$E,Sheet2!$C:$C,$A81,Sheet2!$A:$A,C$2)&lt;&gt;0,SUMIFS(Sheet2!$E:$E,Sheet2!$C:$C,$A81,Sheet2!$A:$A,C$2),"")</f>
        <v/>
      </c>
      <c r="D81" s="42" t="str">
        <f>IF(SUMIFS(Sheet2!$E:$E,Sheet2!$C:$C,$A81,Sheet2!$A:$A,D$2)&lt;&gt;0,SUMIFS(Sheet2!$E:$E,Sheet2!$C:$C,$A81,Sheet2!$A:$A,D$2),"")</f>
        <v/>
      </c>
      <c r="E81" s="42" t="str">
        <f>IF(SUMIFS(Sheet2!$E:$E,Sheet2!$C:$C,$A81,Sheet2!$A:$A,E$2)&lt;&gt;0,SUMIFS(Sheet2!$E:$E,Sheet2!$C:$C,$A81,Sheet2!$A:$A,E$2),"")</f>
        <v/>
      </c>
      <c r="F81" s="42" t="str">
        <f>IF(SUMIFS(Sheet2!$E:$E,Sheet2!$C:$C,$A81,Sheet2!$A:$A,F$2)&lt;&gt;0,SUMIFS(Sheet2!$E:$E,Sheet2!$C:$C,$A81,Sheet2!$A:$A,F$2),"")</f>
        <v/>
      </c>
      <c r="G81" s="42" t="str">
        <f>IF(SUMIFS(Sheet2!$E:$E,Sheet2!$C:$C,$A81,Sheet2!$A:$A,G$2)&lt;&gt;0,SUMIFS(Sheet2!$E:$E,Sheet2!$C:$C,$A81,Sheet2!$A:$A,G$2),"")</f>
        <v/>
      </c>
      <c r="H81" s="42" t="str">
        <f>IF(SUMIFS(Sheet2!$E:$E,Sheet2!$C:$C,$A81,Sheet2!$A:$A,H$2)&lt;&gt;0,SUMIFS(Sheet2!$E:$E,Sheet2!$C:$C,$A81,Sheet2!$A:$A,H$2),"")</f>
        <v/>
      </c>
      <c r="I81" s="42" t="str">
        <f>IF(SUMIFS(Sheet2!$E:$E,Sheet2!$C:$C,$A81,Sheet2!$A:$A,I$2)&lt;&gt;0,SUMIFS(Sheet2!$E:$E,Sheet2!$C:$C,$A81,Sheet2!$A:$A,I$2),"")</f>
        <v/>
      </c>
      <c r="J81" s="42" t="str">
        <f>IF(SUMIFS(Sheet2!$E:$E,Sheet2!$C:$C,$A81,Sheet2!$A:$A,J$2)&lt;&gt;0,SUMIFS(Sheet2!$E:$E,Sheet2!$C:$C,$A81,Sheet2!$A:$A,J$2),"")</f>
        <v/>
      </c>
      <c r="K81" s="42" t="str">
        <f>IF(SUMIFS(Sheet2!$E:$E,Sheet2!$C:$C,$A81,Sheet2!$A:$A,K$2)&lt;&gt;0,SUMIFS(Sheet2!$E:$E,Sheet2!$C:$C,$A81,Sheet2!$A:$A,K$2),"")</f>
        <v/>
      </c>
      <c r="L81" s="42" t="str">
        <f>IF(SUMIFS(Sheet2!$E:$E,Sheet2!$C:$C,$A81,Sheet2!$A:$A,L$2)&lt;&gt;0,SUMIFS(Sheet2!$E:$E,Sheet2!$C:$C,$A81,Sheet2!$A:$A,L$2),"")</f>
        <v/>
      </c>
      <c r="M81" s="42" t="str">
        <f>IF(SUMIFS(Sheet2!$E:$E,Sheet2!$C:$C,$A81,Sheet2!$A:$A,M$2)&lt;&gt;0,SUMIFS(Sheet2!$E:$E,Sheet2!$C:$C,$A81,Sheet2!$A:$A,M$2),"")</f>
        <v/>
      </c>
      <c r="N81" s="42" t="str">
        <f>IF(SUMIFS(Sheet2!$E:$E,Sheet2!$C:$C,$A81,Sheet2!$A:$A,N$2)&lt;&gt;0,SUMIFS(Sheet2!$E:$E,Sheet2!$C:$C,$A81,Sheet2!$A:$A,N$2),"")</f>
        <v/>
      </c>
      <c r="O81" s="42" t="str">
        <f>IF(SUMIFS(Sheet2!$E:$E,Sheet2!$C:$C,$A81,Sheet2!$A:$A,O$2)&lt;&gt;0,SUMIFS(Sheet2!$E:$E,Sheet2!$C:$C,$A81,Sheet2!$A:$A,O$2),"")</f>
        <v/>
      </c>
      <c r="P81" s="42" t="str">
        <f>IF(SUMIFS(Sheet2!$E:$E,Sheet2!$C:$C,$A81,Sheet2!$A:$A,P$2)&lt;&gt;0,SUMIFS(Sheet2!$E:$E,Sheet2!$C:$C,$A81,Sheet2!$A:$A,P$2),"")</f>
        <v/>
      </c>
      <c r="Q81" s="42" t="str">
        <f>IF(SUMIFS(Sheet2!$E:$E,Sheet2!$C:$C,$A81,Sheet2!$A:$A,Q$2)&lt;&gt;0,SUMIFS(Sheet2!$E:$E,Sheet2!$C:$C,$A81,Sheet2!$A:$A,Q$2),"")</f>
        <v/>
      </c>
      <c r="R81" s="42" t="str">
        <f>IF(SUMIFS(Sheet2!$E:$E,Sheet2!$C:$C,$A81,Sheet2!$A:$A,R$2)&lt;&gt;0,SUMIFS(Sheet2!$E:$E,Sheet2!$C:$C,$A81,Sheet2!$A:$A,R$2),"")</f>
        <v/>
      </c>
      <c r="S81" s="42" t="str">
        <f>IF(SUMIFS(Sheet2!$E:$E,Sheet2!$C:$C,$A81,Sheet2!$A:$A,S$2)&lt;&gt;0,SUMIFS(Sheet2!$E:$E,Sheet2!$C:$C,$A81,Sheet2!$A:$A,S$2),"")</f>
        <v/>
      </c>
      <c r="T81" s="42" t="str">
        <f>IF(SUMIFS(Sheet2!$E:$E,Sheet2!$C:$C,$A81,Sheet2!$A:$A,T$2)&lt;&gt;0,SUMIFS(Sheet2!$E:$E,Sheet2!$C:$C,$A81,Sheet2!$A:$A,T$2),"")</f>
        <v/>
      </c>
      <c r="U81" s="42" t="str">
        <f>IF(SUMIFS(Sheet2!$E:$E,Sheet2!$C:$C,$A81,Sheet2!$A:$A,U$2)&lt;&gt;0,SUMIFS(Sheet2!$E:$E,Sheet2!$C:$C,$A81,Sheet2!$A:$A,U$2),"")</f>
        <v/>
      </c>
      <c r="V81" s="42" t="str">
        <f>IF(SUMIFS(Sheet2!$E:$E,Sheet2!$C:$C,$A81,Sheet2!$A:$A,V$2)&lt;&gt;0,SUMIFS(Sheet2!$E:$E,Sheet2!$C:$C,$A81,Sheet2!$A:$A,V$2),"")</f>
        <v/>
      </c>
      <c r="W81" s="42" t="str">
        <f>IF(SUMIFS(Sheet2!$E:$E,Sheet2!$C:$C,$A81,Sheet2!$A:$A,W$2)&lt;&gt;0,SUMIFS(Sheet2!$E:$E,Sheet2!$C:$C,$A81,Sheet2!$A:$A,W$2),"")</f>
        <v/>
      </c>
      <c r="X81" s="42" t="str">
        <f>IF(SUMIFS(Sheet2!$E:$E,Sheet2!$C:$C,$A81,Sheet2!$A:$A,X$2)&lt;&gt;0,SUMIFS(Sheet2!$E:$E,Sheet2!$C:$C,$A81,Sheet2!$A:$A,X$2),"")</f>
        <v/>
      </c>
      <c r="Y81" s="42" t="str">
        <f>IF(SUMIFS(Sheet2!$E:$E,Sheet2!$C:$C,$A81,Sheet2!$A:$A,Y$2)&lt;&gt;0,SUMIFS(Sheet2!$E:$E,Sheet2!$C:$C,$A81,Sheet2!$A:$A,Y$2),"")</f>
        <v/>
      </c>
      <c r="Z81" s="42" t="str">
        <f>IF(SUMIFS(Sheet2!$E:$E,Sheet2!$C:$C,$A81,Sheet2!$A:$A,Z$2)&lt;&gt;0,SUMIFS(Sheet2!$E:$E,Sheet2!$C:$C,$A81,Sheet2!$A:$A,Z$2),"")</f>
        <v/>
      </c>
      <c r="AA81" s="42" t="str">
        <f>IF(SUMIFS(Sheet2!$E:$E,Sheet2!$C:$C,$A81,Sheet2!$A:$A,AA$2)&lt;&gt;0,SUMIFS(Sheet2!$E:$E,Sheet2!$C:$C,$A81,Sheet2!$A:$A,AA$2),"")</f>
        <v/>
      </c>
      <c r="AB81" s="42" t="str">
        <f>IF(SUMIFS(Sheet2!$E:$E,Sheet2!$C:$C,$A81,Sheet2!$A:$A,AB$2)&lt;&gt;0,SUMIFS(Sheet2!$E:$E,Sheet2!$C:$C,$A81,Sheet2!$A:$A,AB$2),"")</f>
        <v/>
      </c>
      <c r="AC81" s="42" t="str">
        <f>IF(SUMIFS(Sheet2!$E:$E,Sheet2!$C:$C,$A81,Sheet2!$A:$A,AC$2)&lt;&gt;0,SUMIFS(Sheet2!$E:$E,Sheet2!$C:$C,$A81,Sheet2!$A:$A,AC$2),"")</f>
        <v/>
      </c>
      <c r="AD81" s="42" t="str">
        <f>IF(SUMIFS(Sheet2!$E:$E,Sheet2!$C:$C,$A81,Sheet2!$A:$A,AD$2)&lt;&gt;0,SUMIFS(Sheet2!$E:$E,Sheet2!$C:$C,$A81,Sheet2!$A:$A,AD$2),"")</f>
        <v/>
      </c>
      <c r="AE81" s="42" t="str">
        <f>IF(SUMIFS(Sheet2!$E:$E,Sheet2!$C:$C,$A81,Sheet2!$A:$A,AE$2)&lt;&gt;0,SUMIFS(Sheet2!$E:$E,Sheet2!$C:$C,$A81,Sheet2!$A:$A,AE$2),"")</f>
        <v/>
      </c>
      <c r="AF81" s="42" t="str">
        <f>IF(SUMIFS(Sheet2!$E:$E,Sheet2!$C:$C,$A81,Sheet2!$A:$A,AF$2)&lt;&gt;0,SUMIFS(Sheet2!$E:$E,Sheet2!$C:$C,$A81,Sheet2!$A:$A,AF$2),"")</f>
        <v/>
      </c>
      <c r="AG81" s="42" t="str">
        <f>IF(SUMIFS(Sheet2!$E:$E,Sheet2!$C:$C,$A81,Sheet2!$A:$A,AG$2)&lt;&gt;0,SUMIFS(Sheet2!$E:$E,Sheet2!$C:$C,$A81,Sheet2!$A:$A,AG$2),"")</f>
        <v/>
      </c>
      <c r="AH81" s="43">
        <f>SUM(Table2[[#This Row],[1]:[31]])</f>
        <v>0</v>
      </c>
    </row>
    <row r="82" spans="1:34" ht="12.75" customHeight="1">
      <c r="A82" s="76" t="str">
        <f>DSSP!A81</f>
        <v>A093</v>
      </c>
      <c r="B82" s="25" t="str">
        <f>DSSP!B81</f>
        <v>Cây thông</v>
      </c>
      <c r="C82" s="42" t="str">
        <f>IF(SUMIFS(Sheet2!$E:$E,Sheet2!$C:$C,$A82,Sheet2!$A:$A,C$2)&lt;&gt;0,SUMIFS(Sheet2!$E:$E,Sheet2!$C:$C,$A82,Sheet2!$A:$A,C$2),"")</f>
        <v/>
      </c>
      <c r="D82" s="42" t="str">
        <f>IF(SUMIFS(Sheet2!$E:$E,Sheet2!$C:$C,$A82,Sheet2!$A:$A,D$2)&lt;&gt;0,SUMIFS(Sheet2!$E:$E,Sheet2!$C:$C,$A82,Sheet2!$A:$A,D$2),"")</f>
        <v/>
      </c>
      <c r="E82" s="42" t="str">
        <f>IF(SUMIFS(Sheet2!$E:$E,Sheet2!$C:$C,$A82,Sheet2!$A:$A,E$2)&lt;&gt;0,SUMIFS(Sheet2!$E:$E,Sheet2!$C:$C,$A82,Sheet2!$A:$A,E$2),"")</f>
        <v/>
      </c>
      <c r="F82" s="42" t="str">
        <f>IF(SUMIFS(Sheet2!$E:$E,Sheet2!$C:$C,$A82,Sheet2!$A:$A,F$2)&lt;&gt;0,SUMIFS(Sheet2!$E:$E,Sheet2!$C:$C,$A82,Sheet2!$A:$A,F$2),"")</f>
        <v/>
      </c>
      <c r="G82" s="42" t="str">
        <f>IF(SUMIFS(Sheet2!$E:$E,Sheet2!$C:$C,$A82,Sheet2!$A:$A,G$2)&lt;&gt;0,SUMIFS(Sheet2!$E:$E,Sheet2!$C:$C,$A82,Sheet2!$A:$A,G$2),"")</f>
        <v/>
      </c>
      <c r="H82" s="42" t="str">
        <f>IF(SUMIFS(Sheet2!$E:$E,Sheet2!$C:$C,$A82,Sheet2!$A:$A,H$2)&lt;&gt;0,SUMIFS(Sheet2!$E:$E,Sheet2!$C:$C,$A82,Sheet2!$A:$A,H$2),"")</f>
        <v/>
      </c>
      <c r="I82" s="42" t="str">
        <f>IF(SUMIFS(Sheet2!$E:$E,Sheet2!$C:$C,$A82,Sheet2!$A:$A,I$2)&lt;&gt;0,SUMIFS(Sheet2!$E:$E,Sheet2!$C:$C,$A82,Sheet2!$A:$A,I$2),"")</f>
        <v/>
      </c>
      <c r="J82" s="42" t="str">
        <f>IF(SUMIFS(Sheet2!$E:$E,Sheet2!$C:$C,$A82,Sheet2!$A:$A,J$2)&lt;&gt;0,SUMIFS(Sheet2!$E:$E,Sheet2!$C:$C,$A82,Sheet2!$A:$A,J$2),"")</f>
        <v/>
      </c>
      <c r="K82" s="42" t="str">
        <f>IF(SUMIFS(Sheet2!$E:$E,Sheet2!$C:$C,$A82,Sheet2!$A:$A,K$2)&lt;&gt;0,SUMIFS(Sheet2!$E:$E,Sheet2!$C:$C,$A82,Sheet2!$A:$A,K$2),"")</f>
        <v/>
      </c>
      <c r="L82" s="42" t="str">
        <f>IF(SUMIFS(Sheet2!$E:$E,Sheet2!$C:$C,$A82,Sheet2!$A:$A,L$2)&lt;&gt;0,SUMIFS(Sheet2!$E:$E,Sheet2!$C:$C,$A82,Sheet2!$A:$A,L$2),"")</f>
        <v/>
      </c>
      <c r="M82" s="42" t="str">
        <f>IF(SUMIFS(Sheet2!$E:$E,Sheet2!$C:$C,$A82,Sheet2!$A:$A,M$2)&lt;&gt;0,SUMIFS(Sheet2!$E:$E,Sheet2!$C:$C,$A82,Sheet2!$A:$A,M$2),"")</f>
        <v/>
      </c>
      <c r="N82" s="42" t="str">
        <f>IF(SUMIFS(Sheet2!$E:$E,Sheet2!$C:$C,$A82,Sheet2!$A:$A,N$2)&lt;&gt;0,SUMIFS(Sheet2!$E:$E,Sheet2!$C:$C,$A82,Sheet2!$A:$A,N$2),"")</f>
        <v/>
      </c>
      <c r="O82" s="42" t="str">
        <f>IF(SUMIFS(Sheet2!$E:$E,Sheet2!$C:$C,$A82,Sheet2!$A:$A,O$2)&lt;&gt;0,SUMIFS(Sheet2!$E:$E,Sheet2!$C:$C,$A82,Sheet2!$A:$A,O$2),"")</f>
        <v/>
      </c>
      <c r="P82" s="42" t="str">
        <f>IF(SUMIFS(Sheet2!$E:$E,Sheet2!$C:$C,$A82,Sheet2!$A:$A,P$2)&lt;&gt;0,SUMIFS(Sheet2!$E:$E,Sheet2!$C:$C,$A82,Sheet2!$A:$A,P$2),"")</f>
        <v/>
      </c>
      <c r="Q82" s="42" t="str">
        <f>IF(SUMIFS(Sheet2!$E:$E,Sheet2!$C:$C,$A82,Sheet2!$A:$A,Q$2)&lt;&gt;0,SUMIFS(Sheet2!$E:$E,Sheet2!$C:$C,$A82,Sheet2!$A:$A,Q$2),"")</f>
        <v/>
      </c>
      <c r="R82" s="42" t="str">
        <f>IF(SUMIFS(Sheet2!$E:$E,Sheet2!$C:$C,$A82,Sheet2!$A:$A,R$2)&lt;&gt;0,SUMIFS(Sheet2!$E:$E,Sheet2!$C:$C,$A82,Sheet2!$A:$A,R$2),"")</f>
        <v/>
      </c>
      <c r="S82" s="42" t="str">
        <f>IF(SUMIFS(Sheet2!$E:$E,Sheet2!$C:$C,$A82,Sheet2!$A:$A,S$2)&lt;&gt;0,SUMIFS(Sheet2!$E:$E,Sheet2!$C:$C,$A82,Sheet2!$A:$A,S$2),"")</f>
        <v/>
      </c>
      <c r="T82" s="42" t="str">
        <f>IF(SUMIFS(Sheet2!$E:$E,Sheet2!$C:$C,$A82,Sheet2!$A:$A,T$2)&lt;&gt;0,SUMIFS(Sheet2!$E:$E,Sheet2!$C:$C,$A82,Sheet2!$A:$A,T$2),"")</f>
        <v/>
      </c>
      <c r="U82" s="42" t="str">
        <f>IF(SUMIFS(Sheet2!$E:$E,Sheet2!$C:$C,$A82,Sheet2!$A:$A,U$2)&lt;&gt;0,SUMIFS(Sheet2!$E:$E,Sheet2!$C:$C,$A82,Sheet2!$A:$A,U$2),"")</f>
        <v/>
      </c>
      <c r="V82" s="42" t="str">
        <f>IF(SUMIFS(Sheet2!$E:$E,Sheet2!$C:$C,$A82,Sheet2!$A:$A,V$2)&lt;&gt;0,SUMIFS(Sheet2!$E:$E,Sheet2!$C:$C,$A82,Sheet2!$A:$A,V$2),"")</f>
        <v/>
      </c>
      <c r="W82" s="42" t="str">
        <f>IF(SUMIFS(Sheet2!$E:$E,Sheet2!$C:$C,$A82,Sheet2!$A:$A,W$2)&lt;&gt;0,SUMIFS(Sheet2!$E:$E,Sheet2!$C:$C,$A82,Sheet2!$A:$A,W$2),"")</f>
        <v/>
      </c>
      <c r="X82" s="42" t="str">
        <f>IF(SUMIFS(Sheet2!$E:$E,Sheet2!$C:$C,$A82,Sheet2!$A:$A,X$2)&lt;&gt;0,SUMIFS(Sheet2!$E:$E,Sheet2!$C:$C,$A82,Sheet2!$A:$A,X$2),"")</f>
        <v/>
      </c>
      <c r="Y82" s="42" t="str">
        <f>IF(SUMIFS(Sheet2!$E:$E,Sheet2!$C:$C,$A82,Sheet2!$A:$A,Y$2)&lt;&gt;0,SUMIFS(Sheet2!$E:$E,Sheet2!$C:$C,$A82,Sheet2!$A:$A,Y$2),"")</f>
        <v/>
      </c>
      <c r="Z82" s="42" t="str">
        <f>IF(SUMIFS(Sheet2!$E:$E,Sheet2!$C:$C,$A82,Sheet2!$A:$A,Z$2)&lt;&gt;0,SUMIFS(Sheet2!$E:$E,Sheet2!$C:$C,$A82,Sheet2!$A:$A,Z$2),"")</f>
        <v/>
      </c>
      <c r="AA82" s="42" t="str">
        <f>IF(SUMIFS(Sheet2!$E:$E,Sheet2!$C:$C,$A82,Sheet2!$A:$A,AA$2)&lt;&gt;0,SUMIFS(Sheet2!$E:$E,Sheet2!$C:$C,$A82,Sheet2!$A:$A,AA$2),"")</f>
        <v/>
      </c>
      <c r="AB82" s="42" t="str">
        <f>IF(SUMIFS(Sheet2!$E:$E,Sheet2!$C:$C,$A82,Sheet2!$A:$A,AB$2)&lt;&gt;0,SUMIFS(Sheet2!$E:$E,Sheet2!$C:$C,$A82,Sheet2!$A:$A,AB$2),"")</f>
        <v/>
      </c>
      <c r="AC82" s="42" t="str">
        <f>IF(SUMIFS(Sheet2!$E:$E,Sheet2!$C:$C,$A82,Sheet2!$A:$A,AC$2)&lt;&gt;0,SUMIFS(Sheet2!$E:$E,Sheet2!$C:$C,$A82,Sheet2!$A:$A,AC$2),"")</f>
        <v/>
      </c>
      <c r="AD82" s="42" t="str">
        <f>IF(SUMIFS(Sheet2!$E:$E,Sheet2!$C:$C,$A82,Sheet2!$A:$A,AD$2)&lt;&gt;0,SUMIFS(Sheet2!$E:$E,Sheet2!$C:$C,$A82,Sheet2!$A:$A,AD$2),"")</f>
        <v/>
      </c>
      <c r="AE82" s="42" t="str">
        <f>IF(SUMIFS(Sheet2!$E:$E,Sheet2!$C:$C,$A82,Sheet2!$A:$A,AE$2)&lt;&gt;0,SUMIFS(Sheet2!$E:$E,Sheet2!$C:$C,$A82,Sheet2!$A:$A,AE$2),"")</f>
        <v/>
      </c>
      <c r="AF82" s="42" t="str">
        <f>IF(SUMIFS(Sheet2!$E:$E,Sheet2!$C:$C,$A82,Sheet2!$A:$A,AF$2)&lt;&gt;0,SUMIFS(Sheet2!$E:$E,Sheet2!$C:$C,$A82,Sheet2!$A:$A,AF$2),"")</f>
        <v/>
      </c>
      <c r="AG82" s="42" t="str">
        <f>IF(SUMIFS(Sheet2!$E:$E,Sheet2!$C:$C,$A82,Sheet2!$A:$A,AG$2)&lt;&gt;0,SUMIFS(Sheet2!$E:$E,Sheet2!$C:$C,$A82,Sheet2!$A:$A,AG$2),"")</f>
        <v/>
      </c>
      <c r="AH82" s="43">
        <f>SUM(Table2[[#This Row],[1]:[31]])</f>
        <v>0</v>
      </c>
    </row>
    <row r="83" spans="1:34" ht="12.75" customHeight="1">
      <c r="A83" s="76" t="str">
        <f>DSSP!A82</f>
        <v>A094</v>
      </c>
      <c r="B83" s="25" t="str">
        <f>DSSP!B82</f>
        <v>Người bánh gừng</v>
      </c>
      <c r="C83" s="42" t="str">
        <f>IF(SUMIFS(Sheet2!$E:$E,Sheet2!$C:$C,$A83,Sheet2!$A:$A,C$2)&lt;&gt;0,SUMIFS(Sheet2!$E:$E,Sheet2!$C:$C,$A83,Sheet2!$A:$A,C$2),"")</f>
        <v/>
      </c>
      <c r="D83" s="42" t="str">
        <f>IF(SUMIFS(Sheet2!$E:$E,Sheet2!$C:$C,$A83,Sheet2!$A:$A,D$2)&lt;&gt;0,SUMIFS(Sheet2!$E:$E,Sheet2!$C:$C,$A83,Sheet2!$A:$A,D$2),"")</f>
        <v/>
      </c>
      <c r="E83" s="42" t="str">
        <f>IF(SUMIFS(Sheet2!$E:$E,Sheet2!$C:$C,$A83,Sheet2!$A:$A,E$2)&lt;&gt;0,SUMIFS(Sheet2!$E:$E,Sheet2!$C:$C,$A83,Sheet2!$A:$A,E$2),"")</f>
        <v/>
      </c>
      <c r="F83" s="42" t="str">
        <f>IF(SUMIFS(Sheet2!$E:$E,Sheet2!$C:$C,$A83,Sheet2!$A:$A,F$2)&lt;&gt;0,SUMIFS(Sheet2!$E:$E,Sheet2!$C:$C,$A83,Sheet2!$A:$A,F$2),"")</f>
        <v/>
      </c>
      <c r="G83" s="42" t="str">
        <f>IF(SUMIFS(Sheet2!$E:$E,Sheet2!$C:$C,$A83,Sheet2!$A:$A,G$2)&lt;&gt;0,SUMIFS(Sheet2!$E:$E,Sheet2!$C:$C,$A83,Sheet2!$A:$A,G$2),"")</f>
        <v/>
      </c>
      <c r="H83" s="42" t="str">
        <f>IF(SUMIFS(Sheet2!$E:$E,Sheet2!$C:$C,$A83,Sheet2!$A:$A,H$2)&lt;&gt;0,SUMIFS(Sheet2!$E:$E,Sheet2!$C:$C,$A83,Sheet2!$A:$A,H$2),"")</f>
        <v/>
      </c>
      <c r="I83" s="42" t="str">
        <f>IF(SUMIFS(Sheet2!$E:$E,Sheet2!$C:$C,$A83,Sheet2!$A:$A,I$2)&lt;&gt;0,SUMIFS(Sheet2!$E:$E,Sheet2!$C:$C,$A83,Sheet2!$A:$A,I$2),"")</f>
        <v/>
      </c>
      <c r="J83" s="42" t="str">
        <f>IF(SUMIFS(Sheet2!$E:$E,Sheet2!$C:$C,$A83,Sheet2!$A:$A,J$2)&lt;&gt;0,SUMIFS(Sheet2!$E:$E,Sheet2!$C:$C,$A83,Sheet2!$A:$A,J$2),"")</f>
        <v/>
      </c>
      <c r="K83" s="42" t="str">
        <f>IF(SUMIFS(Sheet2!$E:$E,Sheet2!$C:$C,$A83,Sheet2!$A:$A,K$2)&lt;&gt;0,SUMIFS(Sheet2!$E:$E,Sheet2!$C:$C,$A83,Sheet2!$A:$A,K$2),"")</f>
        <v/>
      </c>
      <c r="L83" s="42" t="str">
        <f>IF(SUMIFS(Sheet2!$E:$E,Sheet2!$C:$C,$A83,Sheet2!$A:$A,L$2)&lt;&gt;0,SUMIFS(Sheet2!$E:$E,Sheet2!$C:$C,$A83,Sheet2!$A:$A,L$2),"")</f>
        <v/>
      </c>
      <c r="M83" s="42" t="str">
        <f>IF(SUMIFS(Sheet2!$E:$E,Sheet2!$C:$C,$A83,Sheet2!$A:$A,M$2)&lt;&gt;0,SUMIFS(Sheet2!$E:$E,Sheet2!$C:$C,$A83,Sheet2!$A:$A,M$2),"")</f>
        <v/>
      </c>
      <c r="N83" s="42" t="str">
        <f>IF(SUMIFS(Sheet2!$E:$E,Sheet2!$C:$C,$A83,Sheet2!$A:$A,N$2)&lt;&gt;0,SUMIFS(Sheet2!$E:$E,Sheet2!$C:$C,$A83,Sheet2!$A:$A,N$2),"")</f>
        <v/>
      </c>
      <c r="O83" s="42" t="str">
        <f>IF(SUMIFS(Sheet2!$E:$E,Sheet2!$C:$C,$A83,Sheet2!$A:$A,O$2)&lt;&gt;0,SUMIFS(Sheet2!$E:$E,Sheet2!$C:$C,$A83,Sheet2!$A:$A,O$2),"")</f>
        <v/>
      </c>
      <c r="P83" s="42" t="str">
        <f>IF(SUMIFS(Sheet2!$E:$E,Sheet2!$C:$C,$A83,Sheet2!$A:$A,P$2)&lt;&gt;0,SUMIFS(Sheet2!$E:$E,Sheet2!$C:$C,$A83,Sheet2!$A:$A,P$2),"")</f>
        <v/>
      </c>
      <c r="Q83" s="42" t="str">
        <f>IF(SUMIFS(Sheet2!$E:$E,Sheet2!$C:$C,$A83,Sheet2!$A:$A,Q$2)&lt;&gt;0,SUMIFS(Sheet2!$E:$E,Sheet2!$C:$C,$A83,Sheet2!$A:$A,Q$2),"")</f>
        <v/>
      </c>
      <c r="R83" s="42" t="str">
        <f>IF(SUMIFS(Sheet2!$E:$E,Sheet2!$C:$C,$A83,Sheet2!$A:$A,R$2)&lt;&gt;0,SUMIFS(Sheet2!$E:$E,Sheet2!$C:$C,$A83,Sheet2!$A:$A,R$2),"")</f>
        <v/>
      </c>
      <c r="S83" s="42" t="str">
        <f>IF(SUMIFS(Sheet2!$E:$E,Sheet2!$C:$C,$A83,Sheet2!$A:$A,S$2)&lt;&gt;0,SUMIFS(Sheet2!$E:$E,Sheet2!$C:$C,$A83,Sheet2!$A:$A,S$2),"")</f>
        <v/>
      </c>
      <c r="T83" s="42" t="str">
        <f>IF(SUMIFS(Sheet2!$E:$E,Sheet2!$C:$C,$A83,Sheet2!$A:$A,T$2)&lt;&gt;0,SUMIFS(Sheet2!$E:$E,Sheet2!$C:$C,$A83,Sheet2!$A:$A,T$2),"")</f>
        <v/>
      </c>
      <c r="U83" s="42" t="str">
        <f>IF(SUMIFS(Sheet2!$E:$E,Sheet2!$C:$C,$A83,Sheet2!$A:$A,U$2)&lt;&gt;0,SUMIFS(Sheet2!$E:$E,Sheet2!$C:$C,$A83,Sheet2!$A:$A,U$2),"")</f>
        <v/>
      </c>
      <c r="V83" s="42" t="str">
        <f>IF(SUMIFS(Sheet2!$E:$E,Sheet2!$C:$C,$A83,Sheet2!$A:$A,V$2)&lt;&gt;0,SUMIFS(Sheet2!$E:$E,Sheet2!$C:$C,$A83,Sheet2!$A:$A,V$2),"")</f>
        <v/>
      </c>
      <c r="W83" s="42" t="str">
        <f>IF(SUMIFS(Sheet2!$E:$E,Sheet2!$C:$C,$A83,Sheet2!$A:$A,W$2)&lt;&gt;0,SUMIFS(Sheet2!$E:$E,Sheet2!$C:$C,$A83,Sheet2!$A:$A,W$2),"")</f>
        <v/>
      </c>
      <c r="X83" s="42" t="str">
        <f>IF(SUMIFS(Sheet2!$E:$E,Sheet2!$C:$C,$A83,Sheet2!$A:$A,X$2)&lt;&gt;0,SUMIFS(Sheet2!$E:$E,Sheet2!$C:$C,$A83,Sheet2!$A:$A,X$2),"")</f>
        <v/>
      </c>
      <c r="Y83" s="42" t="str">
        <f>IF(SUMIFS(Sheet2!$E:$E,Sheet2!$C:$C,$A83,Sheet2!$A:$A,Y$2)&lt;&gt;0,SUMIFS(Sheet2!$E:$E,Sheet2!$C:$C,$A83,Sheet2!$A:$A,Y$2),"")</f>
        <v/>
      </c>
      <c r="Z83" s="42" t="str">
        <f>IF(SUMIFS(Sheet2!$E:$E,Sheet2!$C:$C,$A83,Sheet2!$A:$A,Z$2)&lt;&gt;0,SUMIFS(Sheet2!$E:$E,Sheet2!$C:$C,$A83,Sheet2!$A:$A,Z$2),"")</f>
        <v/>
      </c>
      <c r="AA83" s="42" t="str">
        <f>IF(SUMIFS(Sheet2!$E:$E,Sheet2!$C:$C,$A83,Sheet2!$A:$A,AA$2)&lt;&gt;0,SUMIFS(Sheet2!$E:$E,Sheet2!$C:$C,$A83,Sheet2!$A:$A,AA$2),"")</f>
        <v/>
      </c>
      <c r="AB83" s="42" t="str">
        <f>IF(SUMIFS(Sheet2!$E:$E,Sheet2!$C:$C,$A83,Sheet2!$A:$A,AB$2)&lt;&gt;0,SUMIFS(Sheet2!$E:$E,Sheet2!$C:$C,$A83,Sheet2!$A:$A,AB$2),"")</f>
        <v/>
      </c>
      <c r="AC83" s="42" t="str">
        <f>IF(SUMIFS(Sheet2!$E:$E,Sheet2!$C:$C,$A83,Sheet2!$A:$A,AC$2)&lt;&gt;0,SUMIFS(Sheet2!$E:$E,Sheet2!$C:$C,$A83,Sheet2!$A:$A,AC$2),"")</f>
        <v/>
      </c>
      <c r="AD83" s="42" t="str">
        <f>IF(SUMIFS(Sheet2!$E:$E,Sheet2!$C:$C,$A83,Sheet2!$A:$A,AD$2)&lt;&gt;0,SUMIFS(Sheet2!$E:$E,Sheet2!$C:$C,$A83,Sheet2!$A:$A,AD$2),"")</f>
        <v/>
      </c>
      <c r="AE83" s="42" t="str">
        <f>IF(SUMIFS(Sheet2!$E:$E,Sheet2!$C:$C,$A83,Sheet2!$A:$A,AE$2)&lt;&gt;0,SUMIFS(Sheet2!$E:$E,Sheet2!$C:$C,$A83,Sheet2!$A:$A,AE$2),"")</f>
        <v/>
      </c>
      <c r="AF83" s="42" t="str">
        <f>IF(SUMIFS(Sheet2!$E:$E,Sheet2!$C:$C,$A83,Sheet2!$A:$A,AF$2)&lt;&gt;0,SUMIFS(Sheet2!$E:$E,Sheet2!$C:$C,$A83,Sheet2!$A:$A,AF$2),"")</f>
        <v/>
      </c>
      <c r="AG83" s="42" t="str">
        <f>IF(SUMIFS(Sheet2!$E:$E,Sheet2!$C:$C,$A83,Sheet2!$A:$A,AG$2)&lt;&gt;0,SUMIFS(Sheet2!$E:$E,Sheet2!$C:$C,$A83,Sheet2!$A:$A,AG$2),"")</f>
        <v/>
      </c>
      <c r="AH83" s="43">
        <f>SUM(Table2[[#This Row],[1]:[31]])</f>
        <v>0</v>
      </c>
    </row>
    <row r="84" spans="1:34" ht="12.75" customHeight="1">
      <c r="A84" s="76" t="str">
        <f>DSSP!A83</f>
        <v>A095</v>
      </c>
      <c r="B84" s="25" t="str">
        <f>DSSP!B83</f>
        <v>Người tuyết</v>
      </c>
      <c r="C84" s="42" t="str">
        <f>IF(SUMIFS(Sheet2!$E:$E,Sheet2!$C:$C,$A84,Sheet2!$A:$A,C$2)&lt;&gt;0,SUMIFS(Sheet2!$E:$E,Sheet2!$C:$C,$A84,Sheet2!$A:$A,C$2),"")</f>
        <v/>
      </c>
      <c r="D84" s="42" t="str">
        <f>IF(SUMIFS(Sheet2!$E:$E,Sheet2!$C:$C,$A84,Sheet2!$A:$A,D$2)&lt;&gt;0,SUMIFS(Sheet2!$E:$E,Sheet2!$C:$C,$A84,Sheet2!$A:$A,D$2),"")</f>
        <v/>
      </c>
      <c r="E84" s="42" t="str">
        <f>IF(SUMIFS(Sheet2!$E:$E,Sheet2!$C:$C,$A84,Sheet2!$A:$A,E$2)&lt;&gt;0,SUMIFS(Sheet2!$E:$E,Sheet2!$C:$C,$A84,Sheet2!$A:$A,E$2),"")</f>
        <v/>
      </c>
      <c r="F84" s="42" t="str">
        <f>IF(SUMIFS(Sheet2!$E:$E,Sheet2!$C:$C,$A84,Sheet2!$A:$A,F$2)&lt;&gt;0,SUMIFS(Sheet2!$E:$E,Sheet2!$C:$C,$A84,Sheet2!$A:$A,F$2),"")</f>
        <v/>
      </c>
      <c r="G84" s="42" t="str">
        <f>IF(SUMIFS(Sheet2!$E:$E,Sheet2!$C:$C,$A84,Sheet2!$A:$A,G$2)&lt;&gt;0,SUMIFS(Sheet2!$E:$E,Sheet2!$C:$C,$A84,Sheet2!$A:$A,G$2),"")</f>
        <v/>
      </c>
      <c r="H84" s="42" t="str">
        <f>IF(SUMIFS(Sheet2!$E:$E,Sheet2!$C:$C,$A84,Sheet2!$A:$A,H$2)&lt;&gt;0,SUMIFS(Sheet2!$E:$E,Sheet2!$C:$C,$A84,Sheet2!$A:$A,H$2),"")</f>
        <v/>
      </c>
      <c r="I84" s="42" t="str">
        <f>IF(SUMIFS(Sheet2!$E:$E,Sheet2!$C:$C,$A84,Sheet2!$A:$A,I$2)&lt;&gt;0,SUMIFS(Sheet2!$E:$E,Sheet2!$C:$C,$A84,Sheet2!$A:$A,I$2),"")</f>
        <v/>
      </c>
      <c r="J84" s="42" t="str">
        <f>IF(SUMIFS(Sheet2!$E:$E,Sheet2!$C:$C,$A84,Sheet2!$A:$A,J$2)&lt;&gt;0,SUMIFS(Sheet2!$E:$E,Sheet2!$C:$C,$A84,Sheet2!$A:$A,J$2),"")</f>
        <v/>
      </c>
      <c r="K84" s="42" t="str">
        <f>IF(SUMIFS(Sheet2!$E:$E,Sheet2!$C:$C,$A84,Sheet2!$A:$A,K$2)&lt;&gt;0,SUMIFS(Sheet2!$E:$E,Sheet2!$C:$C,$A84,Sheet2!$A:$A,K$2),"")</f>
        <v/>
      </c>
      <c r="L84" s="42" t="str">
        <f>IF(SUMIFS(Sheet2!$E:$E,Sheet2!$C:$C,$A84,Sheet2!$A:$A,L$2)&lt;&gt;0,SUMIFS(Sheet2!$E:$E,Sheet2!$C:$C,$A84,Sheet2!$A:$A,L$2),"")</f>
        <v/>
      </c>
      <c r="M84" s="42" t="str">
        <f>IF(SUMIFS(Sheet2!$E:$E,Sheet2!$C:$C,$A84,Sheet2!$A:$A,M$2)&lt;&gt;0,SUMIFS(Sheet2!$E:$E,Sheet2!$C:$C,$A84,Sheet2!$A:$A,M$2),"")</f>
        <v/>
      </c>
      <c r="N84" s="42" t="str">
        <f>IF(SUMIFS(Sheet2!$E:$E,Sheet2!$C:$C,$A84,Sheet2!$A:$A,N$2)&lt;&gt;0,SUMIFS(Sheet2!$E:$E,Sheet2!$C:$C,$A84,Sheet2!$A:$A,N$2),"")</f>
        <v/>
      </c>
      <c r="O84" s="42" t="str">
        <f>IF(SUMIFS(Sheet2!$E:$E,Sheet2!$C:$C,$A84,Sheet2!$A:$A,O$2)&lt;&gt;0,SUMIFS(Sheet2!$E:$E,Sheet2!$C:$C,$A84,Sheet2!$A:$A,O$2),"")</f>
        <v/>
      </c>
      <c r="P84" s="42" t="str">
        <f>IF(SUMIFS(Sheet2!$E:$E,Sheet2!$C:$C,$A84,Sheet2!$A:$A,P$2)&lt;&gt;0,SUMIFS(Sheet2!$E:$E,Sheet2!$C:$C,$A84,Sheet2!$A:$A,P$2),"")</f>
        <v/>
      </c>
      <c r="Q84" s="42" t="str">
        <f>IF(SUMIFS(Sheet2!$E:$E,Sheet2!$C:$C,$A84,Sheet2!$A:$A,Q$2)&lt;&gt;0,SUMIFS(Sheet2!$E:$E,Sheet2!$C:$C,$A84,Sheet2!$A:$A,Q$2),"")</f>
        <v/>
      </c>
      <c r="R84" s="42" t="str">
        <f>IF(SUMIFS(Sheet2!$E:$E,Sheet2!$C:$C,$A84,Sheet2!$A:$A,R$2)&lt;&gt;0,SUMIFS(Sheet2!$E:$E,Sheet2!$C:$C,$A84,Sheet2!$A:$A,R$2),"")</f>
        <v/>
      </c>
      <c r="S84" s="42" t="str">
        <f>IF(SUMIFS(Sheet2!$E:$E,Sheet2!$C:$C,$A84,Sheet2!$A:$A,S$2)&lt;&gt;0,SUMIFS(Sheet2!$E:$E,Sheet2!$C:$C,$A84,Sheet2!$A:$A,S$2),"")</f>
        <v/>
      </c>
      <c r="T84" s="42" t="str">
        <f>IF(SUMIFS(Sheet2!$E:$E,Sheet2!$C:$C,$A84,Sheet2!$A:$A,T$2)&lt;&gt;0,SUMIFS(Sheet2!$E:$E,Sheet2!$C:$C,$A84,Sheet2!$A:$A,T$2),"")</f>
        <v/>
      </c>
      <c r="U84" s="42" t="str">
        <f>IF(SUMIFS(Sheet2!$E:$E,Sheet2!$C:$C,$A84,Sheet2!$A:$A,U$2)&lt;&gt;0,SUMIFS(Sheet2!$E:$E,Sheet2!$C:$C,$A84,Sheet2!$A:$A,U$2),"")</f>
        <v/>
      </c>
      <c r="V84" s="42" t="str">
        <f>IF(SUMIFS(Sheet2!$E:$E,Sheet2!$C:$C,$A84,Sheet2!$A:$A,V$2)&lt;&gt;0,SUMIFS(Sheet2!$E:$E,Sheet2!$C:$C,$A84,Sheet2!$A:$A,V$2),"")</f>
        <v/>
      </c>
      <c r="W84" s="42" t="str">
        <f>IF(SUMIFS(Sheet2!$E:$E,Sheet2!$C:$C,$A84,Sheet2!$A:$A,W$2)&lt;&gt;0,SUMIFS(Sheet2!$E:$E,Sheet2!$C:$C,$A84,Sheet2!$A:$A,W$2),"")</f>
        <v/>
      </c>
      <c r="X84" s="42" t="str">
        <f>IF(SUMIFS(Sheet2!$E:$E,Sheet2!$C:$C,$A84,Sheet2!$A:$A,X$2)&lt;&gt;0,SUMIFS(Sheet2!$E:$E,Sheet2!$C:$C,$A84,Sheet2!$A:$A,X$2),"")</f>
        <v/>
      </c>
      <c r="Y84" s="42" t="str">
        <f>IF(SUMIFS(Sheet2!$E:$E,Sheet2!$C:$C,$A84,Sheet2!$A:$A,Y$2)&lt;&gt;0,SUMIFS(Sheet2!$E:$E,Sheet2!$C:$C,$A84,Sheet2!$A:$A,Y$2),"")</f>
        <v/>
      </c>
      <c r="Z84" s="42" t="str">
        <f>IF(SUMIFS(Sheet2!$E:$E,Sheet2!$C:$C,$A84,Sheet2!$A:$A,Z$2)&lt;&gt;0,SUMIFS(Sheet2!$E:$E,Sheet2!$C:$C,$A84,Sheet2!$A:$A,Z$2),"")</f>
        <v/>
      </c>
      <c r="AA84" s="42" t="str">
        <f>IF(SUMIFS(Sheet2!$E:$E,Sheet2!$C:$C,$A84,Sheet2!$A:$A,AA$2)&lt;&gt;0,SUMIFS(Sheet2!$E:$E,Sheet2!$C:$C,$A84,Sheet2!$A:$A,AA$2),"")</f>
        <v/>
      </c>
      <c r="AB84" s="42" t="str">
        <f>IF(SUMIFS(Sheet2!$E:$E,Sheet2!$C:$C,$A84,Sheet2!$A:$A,AB$2)&lt;&gt;0,SUMIFS(Sheet2!$E:$E,Sheet2!$C:$C,$A84,Sheet2!$A:$A,AB$2),"")</f>
        <v/>
      </c>
      <c r="AC84" s="42" t="str">
        <f>IF(SUMIFS(Sheet2!$E:$E,Sheet2!$C:$C,$A84,Sheet2!$A:$A,AC$2)&lt;&gt;0,SUMIFS(Sheet2!$E:$E,Sheet2!$C:$C,$A84,Sheet2!$A:$A,AC$2),"")</f>
        <v/>
      </c>
      <c r="AD84" s="42" t="str">
        <f>IF(SUMIFS(Sheet2!$E:$E,Sheet2!$C:$C,$A84,Sheet2!$A:$A,AD$2)&lt;&gt;0,SUMIFS(Sheet2!$E:$E,Sheet2!$C:$C,$A84,Sheet2!$A:$A,AD$2),"")</f>
        <v/>
      </c>
      <c r="AE84" s="42" t="str">
        <f>IF(SUMIFS(Sheet2!$E:$E,Sheet2!$C:$C,$A84,Sheet2!$A:$A,AE$2)&lt;&gt;0,SUMIFS(Sheet2!$E:$E,Sheet2!$C:$C,$A84,Sheet2!$A:$A,AE$2),"")</f>
        <v/>
      </c>
      <c r="AF84" s="42" t="str">
        <f>IF(SUMIFS(Sheet2!$E:$E,Sheet2!$C:$C,$A84,Sheet2!$A:$A,AF$2)&lt;&gt;0,SUMIFS(Sheet2!$E:$E,Sheet2!$C:$C,$A84,Sheet2!$A:$A,AF$2),"")</f>
        <v/>
      </c>
      <c r="AG84" s="42" t="str">
        <f>IF(SUMIFS(Sheet2!$E:$E,Sheet2!$C:$C,$A84,Sheet2!$A:$A,AG$2)&lt;&gt;0,SUMIFS(Sheet2!$E:$E,Sheet2!$C:$C,$A84,Sheet2!$A:$A,AG$2),"")</f>
        <v/>
      </c>
      <c r="AH84" s="43">
        <f>SUM(Table2[[#This Row],[1]:[31]])</f>
        <v>0</v>
      </c>
    </row>
    <row r="85" spans="1:34" ht="12.75" customHeight="1">
      <c r="A85" s="76" t="str">
        <f>DSSP!A84</f>
        <v>A098</v>
      </c>
      <c r="B85" s="25" t="str">
        <f>DSSP!B84</f>
        <v>Kẹo que</v>
      </c>
      <c r="C85" s="42" t="str">
        <f>IF(SUMIFS(Sheet2!$E:$E,Sheet2!$C:$C,$A85,Sheet2!$A:$A,C$2)&lt;&gt;0,SUMIFS(Sheet2!$E:$E,Sheet2!$C:$C,$A85,Sheet2!$A:$A,C$2),"")</f>
        <v/>
      </c>
      <c r="D85" s="42" t="str">
        <f>IF(SUMIFS(Sheet2!$E:$E,Sheet2!$C:$C,$A85,Sheet2!$A:$A,D$2)&lt;&gt;0,SUMIFS(Sheet2!$E:$E,Sheet2!$C:$C,$A85,Sheet2!$A:$A,D$2),"")</f>
        <v/>
      </c>
      <c r="E85" s="42" t="str">
        <f>IF(SUMIFS(Sheet2!$E:$E,Sheet2!$C:$C,$A85,Sheet2!$A:$A,E$2)&lt;&gt;0,SUMIFS(Sheet2!$E:$E,Sheet2!$C:$C,$A85,Sheet2!$A:$A,E$2),"")</f>
        <v/>
      </c>
      <c r="F85" s="42" t="str">
        <f>IF(SUMIFS(Sheet2!$E:$E,Sheet2!$C:$C,$A85,Sheet2!$A:$A,F$2)&lt;&gt;0,SUMIFS(Sheet2!$E:$E,Sheet2!$C:$C,$A85,Sheet2!$A:$A,F$2),"")</f>
        <v/>
      </c>
      <c r="G85" s="42" t="str">
        <f>IF(SUMIFS(Sheet2!$E:$E,Sheet2!$C:$C,$A85,Sheet2!$A:$A,G$2)&lt;&gt;0,SUMIFS(Sheet2!$E:$E,Sheet2!$C:$C,$A85,Sheet2!$A:$A,G$2),"")</f>
        <v/>
      </c>
      <c r="H85" s="42" t="str">
        <f>IF(SUMIFS(Sheet2!$E:$E,Sheet2!$C:$C,$A85,Sheet2!$A:$A,H$2)&lt;&gt;0,SUMIFS(Sheet2!$E:$E,Sheet2!$C:$C,$A85,Sheet2!$A:$A,H$2),"")</f>
        <v/>
      </c>
      <c r="I85" s="42" t="str">
        <f>IF(SUMIFS(Sheet2!$E:$E,Sheet2!$C:$C,$A85,Sheet2!$A:$A,I$2)&lt;&gt;0,SUMIFS(Sheet2!$E:$E,Sheet2!$C:$C,$A85,Sheet2!$A:$A,I$2),"")</f>
        <v/>
      </c>
      <c r="J85" s="42" t="str">
        <f>IF(SUMIFS(Sheet2!$E:$E,Sheet2!$C:$C,$A85,Sheet2!$A:$A,J$2)&lt;&gt;0,SUMIFS(Sheet2!$E:$E,Sheet2!$C:$C,$A85,Sheet2!$A:$A,J$2),"")</f>
        <v/>
      </c>
      <c r="K85" s="42" t="str">
        <f>IF(SUMIFS(Sheet2!$E:$E,Sheet2!$C:$C,$A85,Sheet2!$A:$A,K$2)&lt;&gt;0,SUMIFS(Sheet2!$E:$E,Sheet2!$C:$C,$A85,Sheet2!$A:$A,K$2),"")</f>
        <v/>
      </c>
      <c r="L85" s="42" t="str">
        <f>IF(SUMIFS(Sheet2!$E:$E,Sheet2!$C:$C,$A85,Sheet2!$A:$A,L$2)&lt;&gt;0,SUMIFS(Sheet2!$E:$E,Sheet2!$C:$C,$A85,Sheet2!$A:$A,L$2),"")</f>
        <v/>
      </c>
      <c r="M85" s="42" t="str">
        <f>IF(SUMIFS(Sheet2!$E:$E,Sheet2!$C:$C,$A85,Sheet2!$A:$A,M$2)&lt;&gt;0,SUMIFS(Sheet2!$E:$E,Sheet2!$C:$C,$A85,Sheet2!$A:$A,M$2),"")</f>
        <v/>
      </c>
      <c r="N85" s="42" t="str">
        <f>IF(SUMIFS(Sheet2!$E:$E,Sheet2!$C:$C,$A85,Sheet2!$A:$A,N$2)&lt;&gt;0,SUMIFS(Sheet2!$E:$E,Sheet2!$C:$C,$A85,Sheet2!$A:$A,N$2),"")</f>
        <v/>
      </c>
      <c r="O85" s="42" t="str">
        <f>IF(SUMIFS(Sheet2!$E:$E,Sheet2!$C:$C,$A85,Sheet2!$A:$A,O$2)&lt;&gt;0,SUMIFS(Sheet2!$E:$E,Sheet2!$C:$C,$A85,Sheet2!$A:$A,O$2),"")</f>
        <v/>
      </c>
      <c r="P85" s="42" t="str">
        <f>IF(SUMIFS(Sheet2!$E:$E,Sheet2!$C:$C,$A85,Sheet2!$A:$A,P$2)&lt;&gt;0,SUMIFS(Sheet2!$E:$E,Sheet2!$C:$C,$A85,Sheet2!$A:$A,P$2),"")</f>
        <v/>
      </c>
      <c r="Q85" s="42" t="str">
        <f>IF(SUMIFS(Sheet2!$E:$E,Sheet2!$C:$C,$A85,Sheet2!$A:$A,Q$2)&lt;&gt;0,SUMIFS(Sheet2!$E:$E,Sheet2!$C:$C,$A85,Sheet2!$A:$A,Q$2),"")</f>
        <v/>
      </c>
      <c r="R85" s="42" t="str">
        <f>IF(SUMIFS(Sheet2!$E:$E,Sheet2!$C:$C,$A85,Sheet2!$A:$A,R$2)&lt;&gt;0,SUMIFS(Sheet2!$E:$E,Sheet2!$C:$C,$A85,Sheet2!$A:$A,R$2),"")</f>
        <v/>
      </c>
      <c r="S85" s="42" t="str">
        <f>IF(SUMIFS(Sheet2!$E:$E,Sheet2!$C:$C,$A85,Sheet2!$A:$A,S$2)&lt;&gt;0,SUMIFS(Sheet2!$E:$E,Sheet2!$C:$C,$A85,Sheet2!$A:$A,S$2),"")</f>
        <v/>
      </c>
      <c r="T85" s="42" t="str">
        <f>IF(SUMIFS(Sheet2!$E:$E,Sheet2!$C:$C,$A85,Sheet2!$A:$A,T$2)&lt;&gt;0,SUMIFS(Sheet2!$E:$E,Sheet2!$C:$C,$A85,Sheet2!$A:$A,T$2),"")</f>
        <v/>
      </c>
      <c r="U85" s="42" t="str">
        <f>IF(SUMIFS(Sheet2!$E:$E,Sheet2!$C:$C,$A85,Sheet2!$A:$A,U$2)&lt;&gt;0,SUMIFS(Sheet2!$E:$E,Sheet2!$C:$C,$A85,Sheet2!$A:$A,U$2),"")</f>
        <v/>
      </c>
      <c r="V85" s="42" t="str">
        <f>IF(SUMIFS(Sheet2!$E:$E,Sheet2!$C:$C,$A85,Sheet2!$A:$A,V$2)&lt;&gt;0,SUMIFS(Sheet2!$E:$E,Sheet2!$C:$C,$A85,Sheet2!$A:$A,V$2),"")</f>
        <v/>
      </c>
      <c r="W85" s="42" t="str">
        <f>IF(SUMIFS(Sheet2!$E:$E,Sheet2!$C:$C,$A85,Sheet2!$A:$A,W$2)&lt;&gt;0,SUMIFS(Sheet2!$E:$E,Sheet2!$C:$C,$A85,Sheet2!$A:$A,W$2),"")</f>
        <v/>
      </c>
      <c r="X85" s="42" t="str">
        <f>IF(SUMIFS(Sheet2!$E:$E,Sheet2!$C:$C,$A85,Sheet2!$A:$A,X$2)&lt;&gt;0,SUMIFS(Sheet2!$E:$E,Sheet2!$C:$C,$A85,Sheet2!$A:$A,X$2),"")</f>
        <v/>
      </c>
      <c r="Y85" s="42" t="str">
        <f>IF(SUMIFS(Sheet2!$E:$E,Sheet2!$C:$C,$A85,Sheet2!$A:$A,Y$2)&lt;&gt;0,SUMIFS(Sheet2!$E:$E,Sheet2!$C:$C,$A85,Sheet2!$A:$A,Y$2),"")</f>
        <v/>
      </c>
      <c r="Z85" s="42" t="str">
        <f>IF(SUMIFS(Sheet2!$E:$E,Sheet2!$C:$C,$A85,Sheet2!$A:$A,Z$2)&lt;&gt;0,SUMIFS(Sheet2!$E:$E,Sheet2!$C:$C,$A85,Sheet2!$A:$A,Z$2),"")</f>
        <v/>
      </c>
      <c r="AA85" s="42" t="str">
        <f>IF(SUMIFS(Sheet2!$E:$E,Sheet2!$C:$C,$A85,Sheet2!$A:$A,AA$2)&lt;&gt;0,SUMIFS(Sheet2!$E:$E,Sheet2!$C:$C,$A85,Sheet2!$A:$A,AA$2),"")</f>
        <v/>
      </c>
      <c r="AB85" s="42" t="str">
        <f>IF(SUMIFS(Sheet2!$E:$E,Sheet2!$C:$C,$A85,Sheet2!$A:$A,AB$2)&lt;&gt;0,SUMIFS(Sheet2!$E:$E,Sheet2!$C:$C,$A85,Sheet2!$A:$A,AB$2),"")</f>
        <v/>
      </c>
      <c r="AC85" s="42" t="str">
        <f>IF(SUMIFS(Sheet2!$E:$E,Sheet2!$C:$C,$A85,Sheet2!$A:$A,AC$2)&lt;&gt;0,SUMIFS(Sheet2!$E:$E,Sheet2!$C:$C,$A85,Sheet2!$A:$A,AC$2),"")</f>
        <v/>
      </c>
      <c r="AD85" s="42" t="str">
        <f>IF(SUMIFS(Sheet2!$E:$E,Sheet2!$C:$C,$A85,Sheet2!$A:$A,AD$2)&lt;&gt;0,SUMIFS(Sheet2!$E:$E,Sheet2!$C:$C,$A85,Sheet2!$A:$A,AD$2),"")</f>
        <v/>
      </c>
      <c r="AE85" s="42" t="str">
        <f>IF(SUMIFS(Sheet2!$E:$E,Sheet2!$C:$C,$A85,Sheet2!$A:$A,AE$2)&lt;&gt;0,SUMIFS(Sheet2!$E:$E,Sheet2!$C:$C,$A85,Sheet2!$A:$A,AE$2),"")</f>
        <v/>
      </c>
      <c r="AF85" s="42" t="str">
        <f>IF(SUMIFS(Sheet2!$E:$E,Sheet2!$C:$C,$A85,Sheet2!$A:$A,AF$2)&lt;&gt;0,SUMIFS(Sheet2!$E:$E,Sheet2!$C:$C,$A85,Sheet2!$A:$A,AF$2),"")</f>
        <v/>
      </c>
      <c r="AG85" s="42" t="str">
        <f>IF(SUMIFS(Sheet2!$E:$E,Sheet2!$C:$C,$A85,Sheet2!$A:$A,AG$2)&lt;&gt;0,SUMIFS(Sheet2!$E:$E,Sheet2!$C:$C,$A85,Sheet2!$A:$A,AG$2),"")</f>
        <v/>
      </c>
      <c r="AH85" s="43">
        <f>SUM(Table2[[#This Row],[1]:[31]])</f>
        <v>0</v>
      </c>
    </row>
    <row r="86" spans="1:34" ht="12.75" customHeight="1">
      <c r="A86" s="76" t="str">
        <f>DSSP!A85</f>
        <v>A101</v>
      </c>
      <c r="B86" s="25" t="str">
        <f>DSSP!B85</f>
        <v>Ông già Noel</v>
      </c>
      <c r="C86" s="42" t="str">
        <f>IF(SUMIFS(Sheet2!$E:$E,Sheet2!$C:$C,$A86,Sheet2!$A:$A,C$2)&lt;&gt;0,SUMIFS(Sheet2!$E:$E,Sheet2!$C:$C,$A86,Sheet2!$A:$A,C$2),"")</f>
        <v/>
      </c>
      <c r="D86" s="42" t="str">
        <f>IF(SUMIFS(Sheet2!$E:$E,Sheet2!$C:$C,$A86,Sheet2!$A:$A,D$2)&lt;&gt;0,SUMIFS(Sheet2!$E:$E,Sheet2!$C:$C,$A86,Sheet2!$A:$A,D$2),"")</f>
        <v/>
      </c>
      <c r="E86" s="42" t="str">
        <f>IF(SUMIFS(Sheet2!$E:$E,Sheet2!$C:$C,$A86,Sheet2!$A:$A,E$2)&lt;&gt;0,SUMIFS(Sheet2!$E:$E,Sheet2!$C:$C,$A86,Sheet2!$A:$A,E$2),"")</f>
        <v/>
      </c>
      <c r="F86" s="42" t="str">
        <f>IF(SUMIFS(Sheet2!$E:$E,Sheet2!$C:$C,$A86,Sheet2!$A:$A,F$2)&lt;&gt;0,SUMIFS(Sheet2!$E:$E,Sheet2!$C:$C,$A86,Sheet2!$A:$A,F$2),"")</f>
        <v/>
      </c>
      <c r="G86" s="42" t="str">
        <f>IF(SUMIFS(Sheet2!$E:$E,Sheet2!$C:$C,$A86,Sheet2!$A:$A,G$2)&lt;&gt;0,SUMIFS(Sheet2!$E:$E,Sheet2!$C:$C,$A86,Sheet2!$A:$A,G$2),"")</f>
        <v/>
      </c>
      <c r="H86" s="42" t="str">
        <f>IF(SUMIFS(Sheet2!$E:$E,Sheet2!$C:$C,$A86,Sheet2!$A:$A,H$2)&lt;&gt;0,SUMIFS(Sheet2!$E:$E,Sheet2!$C:$C,$A86,Sheet2!$A:$A,H$2),"")</f>
        <v/>
      </c>
      <c r="I86" s="42" t="str">
        <f>IF(SUMIFS(Sheet2!$E:$E,Sheet2!$C:$C,$A86,Sheet2!$A:$A,I$2)&lt;&gt;0,SUMIFS(Sheet2!$E:$E,Sheet2!$C:$C,$A86,Sheet2!$A:$A,I$2),"")</f>
        <v/>
      </c>
      <c r="J86" s="42" t="str">
        <f>IF(SUMIFS(Sheet2!$E:$E,Sheet2!$C:$C,$A86,Sheet2!$A:$A,J$2)&lt;&gt;0,SUMIFS(Sheet2!$E:$E,Sheet2!$C:$C,$A86,Sheet2!$A:$A,J$2),"")</f>
        <v/>
      </c>
      <c r="K86" s="42" t="str">
        <f>IF(SUMIFS(Sheet2!$E:$E,Sheet2!$C:$C,$A86,Sheet2!$A:$A,K$2)&lt;&gt;0,SUMIFS(Sheet2!$E:$E,Sheet2!$C:$C,$A86,Sheet2!$A:$A,K$2),"")</f>
        <v/>
      </c>
      <c r="L86" s="42" t="str">
        <f>IF(SUMIFS(Sheet2!$E:$E,Sheet2!$C:$C,$A86,Sheet2!$A:$A,L$2)&lt;&gt;0,SUMIFS(Sheet2!$E:$E,Sheet2!$C:$C,$A86,Sheet2!$A:$A,L$2),"")</f>
        <v/>
      </c>
      <c r="M86" s="42" t="str">
        <f>IF(SUMIFS(Sheet2!$E:$E,Sheet2!$C:$C,$A86,Sheet2!$A:$A,M$2)&lt;&gt;0,SUMIFS(Sheet2!$E:$E,Sheet2!$C:$C,$A86,Sheet2!$A:$A,M$2),"")</f>
        <v/>
      </c>
      <c r="N86" s="42" t="str">
        <f>IF(SUMIFS(Sheet2!$E:$E,Sheet2!$C:$C,$A86,Sheet2!$A:$A,N$2)&lt;&gt;0,SUMIFS(Sheet2!$E:$E,Sheet2!$C:$C,$A86,Sheet2!$A:$A,N$2),"")</f>
        <v/>
      </c>
      <c r="O86" s="42" t="str">
        <f>IF(SUMIFS(Sheet2!$E:$E,Sheet2!$C:$C,$A86,Sheet2!$A:$A,O$2)&lt;&gt;0,SUMIFS(Sheet2!$E:$E,Sheet2!$C:$C,$A86,Sheet2!$A:$A,O$2),"")</f>
        <v/>
      </c>
      <c r="P86" s="42" t="str">
        <f>IF(SUMIFS(Sheet2!$E:$E,Sheet2!$C:$C,$A86,Sheet2!$A:$A,P$2)&lt;&gt;0,SUMIFS(Sheet2!$E:$E,Sheet2!$C:$C,$A86,Sheet2!$A:$A,P$2),"")</f>
        <v/>
      </c>
      <c r="Q86" s="42" t="str">
        <f>IF(SUMIFS(Sheet2!$E:$E,Sheet2!$C:$C,$A86,Sheet2!$A:$A,Q$2)&lt;&gt;0,SUMIFS(Sheet2!$E:$E,Sheet2!$C:$C,$A86,Sheet2!$A:$A,Q$2),"")</f>
        <v/>
      </c>
      <c r="R86" s="42" t="str">
        <f>IF(SUMIFS(Sheet2!$E:$E,Sheet2!$C:$C,$A86,Sheet2!$A:$A,R$2)&lt;&gt;0,SUMIFS(Sheet2!$E:$E,Sheet2!$C:$C,$A86,Sheet2!$A:$A,R$2),"")</f>
        <v/>
      </c>
      <c r="S86" s="42" t="str">
        <f>IF(SUMIFS(Sheet2!$E:$E,Sheet2!$C:$C,$A86,Sheet2!$A:$A,S$2)&lt;&gt;0,SUMIFS(Sheet2!$E:$E,Sheet2!$C:$C,$A86,Sheet2!$A:$A,S$2),"")</f>
        <v/>
      </c>
      <c r="T86" s="42" t="str">
        <f>IF(SUMIFS(Sheet2!$E:$E,Sheet2!$C:$C,$A86,Sheet2!$A:$A,T$2)&lt;&gt;0,SUMIFS(Sheet2!$E:$E,Sheet2!$C:$C,$A86,Sheet2!$A:$A,T$2),"")</f>
        <v/>
      </c>
      <c r="U86" s="42" t="str">
        <f>IF(SUMIFS(Sheet2!$E:$E,Sheet2!$C:$C,$A86,Sheet2!$A:$A,U$2)&lt;&gt;0,SUMIFS(Sheet2!$E:$E,Sheet2!$C:$C,$A86,Sheet2!$A:$A,U$2),"")</f>
        <v/>
      </c>
      <c r="V86" s="42" t="str">
        <f>IF(SUMIFS(Sheet2!$E:$E,Sheet2!$C:$C,$A86,Sheet2!$A:$A,V$2)&lt;&gt;0,SUMIFS(Sheet2!$E:$E,Sheet2!$C:$C,$A86,Sheet2!$A:$A,V$2),"")</f>
        <v/>
      </c>
      <c r="W86" s="42" t="str">
        <f>IF(SUMIFS(Sheet2!$E:$E,Sheet2!$C:$C,$A86,Sheet2!$A:$A,W$2)&lt;&gt;0,SUMIFS(Sheet2!$E:$E,Sheet2!$C:$C,$A86,Sheet2!$A:$A,W$2),"")</f>
        <v/>
      </c>
      <c r="X86" s="42" t="str">
        <f>IF(SUMIFS(Sheet2!$E:$E,Sheet2!$C:$C,$A86,Sheet2!$A:$A,X$2)&lt;&gt;0,SUMIFS(Sheet2!$E:$E,Sheet2!$C:$C,$A86,Sheet2!$A:$A,X$2),"")</f>
        <v/>
      </c>
      <c r="Y86" s="42" t="str">
        <f>IF(SUMIFS(Sheet2!$E:$E,Sheet2!$C:$C,$A86,Sheet2!$A:$A,Y$2)&lt;&gt;0,SUMIFS(Sheet2!$E:$E,Sheet2!$C:$C,$A86,Sheet2!$A:$A,Y$2),"")</f>
        <v/>
      </c>
      <c r="Z86" s="42" t="str">
        <f>IF(SUMIFS(Sheet2!$E:$E,Sheet2!$C:$C,$A86,Sheet2!$A:$A,Z$2)&lt;&gt;0,SUMIFS(Sheet2!$E:$E,Sheet2!$C:$C,$A86,Sheet2!$A:$A,Z$2),"")</f>
        <v/>
      </c>
      <c r="AA86" s="42" t="str">
        <f>IF(SUMIFS(Sheet2!$E:$E,Sheet2!$C:$C,$A86,Sheet2!$A:$A,AA$2)&lt;&gt;0,SUMIFS(Sheet2!$E:$E,Sheet2!$C:$C,$A86,Sheet2!$A:$A,AA$2),"")</f>
        <v/>
      </c>
      <c r="AB86" s="42" t="str">
        <f>IF(SUMIFS(Sheet2!$E:$E,Sheet2!$C:$C,$A86,Sheet2!$A:$A,AB$2)&lt;&gt;0,SUMIFS(Sheet2!$E:$E,Sheet2!$C:$C,$A86,Sheet2!$A:$A,AB$2),"")</f>
        <v/>
      </c>
      <c r="AC86" s="42" t="str">
        <f>IF(SUMIFS(Sheet2!$E:$E,Sheet2!$C:$C,$A86,Sheet2!$A:$A,AC$2)&lt;&gt;0,SUMIFS(Sheet2!$E:$E,Sheet2!$C:$C,$A86,Sheet2!$A:$A,AC$2),"")</f>
        <v/>
      </c>
      <c r="AD86" s="42" t="str">
        <f>IF(SUMIFS(Sheet2!$E:$E,Sheet2!$C:$C,$A86,Sheet2!$A:$A,AD$2)&lt;&gt;0,SUMIFS(Sheet2!$E:$E,Sheet2!$C:$C,$A86,Sheet2!$A:$A,AD$2),"")</f>
        <v/>
      </c>
      <c r="AE86" s="42" t="str">
        <f>IF(SUMIFS(Sheet2!$E:$E,Sheet2!$C:$C,$A86,Sheet2!$A:$A,AE$2)&lt;&gt;0,SUMIFS(Sheet2!$E:$E,Sheet2!$C:$C,$A86,Sheet2!$A:$A,AE$2),"")</f>
        <v/>
      </c>
      <c r="AF86" s="42" t="str">
        <f>IF(SUMIFS(Sheet2!$E:$E,Sheet2!$C:$C,$A86,Sheet2!$A:$A,AF$2)&lt;&gt;0,SUMIFS(Sheet2!$E:$E,Sheet2!$C:$C,$A86,Sheet2!$A:$A,AF$2),"")</f>
        <v/>
      </c>
      <c r="AG86" s="42" t="str">
        <f>IF(SUMIFS(Sheet2!$E:$E,Sheet2!$C:$C,$A86,Sheet2!$A:$A,AG$2)&lt;&gt;0,SUMIFS(Sheet2!$E:$E,Sheet2!$C:$C,$A86,Sheet2!$A:$A,AG$2),"")</f>
        <v/>
      </c>
      <c r="AH86" s="43">
        <f>SUM(Table2[[#This Row],[1]:[31]])</f>
        <v>0</v>
      </c>
    </row>
    <row r="87" spans="1:34" ht="12.75" customHeight="1">
      <c r="A87" s="76" t="str">
        <f>DSSP!A86</f>
        <v>B01</v>
      </c>
      <c r="B87" s="25" t="str">
        <f>DSSP!B86</f>
        <v>Ấm trà tình yêu</v>
      </c>
      <c r="C87" s="42" t="str">
        <f>IF(SUMIFS(Sheet2!$E:$E,Sheet2!$C:$C,$A87,Sheet2!$A:$A,C$2)&lt;&gt;0,SUMIFS(Sheet2!$E:$E,Sheet2!$C:$C,$A87,Sheet2!$A:$A,C$2),"")</f>
        <v/>
      </c>
      <c r="D87" s="42" t="str">
        <f>IF(SUMIFS(Sheet2!$E:$E,Sheet2!$C:$C,$A87,Sheet2!$A:$A,D$2)&lt;&gt;0,SUMIFS(Sheet2!$E:$E,Sheet2!$C:$C,$A87,Sheet2!$A:$A,D$2),"")</f>
        <v/>
      </c>
      <c r="E87" s="42" t="str">
        <f>IF(SUMIFS(Sheet2!$E:$E,Sheet2!$C:$C,$A87,Sheet2!$A:$A,E$2)&lt;&gt;0,SUMIFS(Sheet2!$E:$E,Sheet2!$C:$C,$A87,Sheet2!$A:$A,E$2),"")</f>
        <v/>
      </c>
      <c r="F87" s="42" t="str">
        <f>IF(SUMIFS(Sheet2!$E:$E,Sheet2!$C:$C,$A87,Sheet2!$A:$A,F$2)&lt;&gt;0,SUMIFS(Sheet2!$E:$E,Sheet2!$C:$C,$A87,Sheet2!$A:$A,F$2),"")</f>
        <v/>
      </c>
      <c r="G87" s="42" t="str">
        <f>IF(SUMIFS(Sheet2!$E:$E,Sheet2!$C:$C,$A87,Sheet2!$A:$A,G$2)&lt;&gt;0,SUMIFS(Sheet2!$E:$E,Sheet2!$C:$C,$A87,Sheet2!$A:$A,G$2),"")</f>
        <v/>
      </c>
      <c r="H87" s="42" t="str">
        <f>IF(SUMIFS(Sheet2!$E:$E,Sheet2!$C:$C,$A87,Sheet2!$A:$A,H$2)&lt;&gt;0,SUMIFS(Sheet2!$E:$E,Sheet2!$C:$C,$A87,Sheet2!$A:$A,H$2),"")</f>
        <v/>
      </c>
      <c r="I87" s="42" t="str">
        <f>IF(SUMIFS(Sheet2!$E:$E,Sheet2!$C:$C,$A87,Sheet2!$A:$A,I$2)&lt;&gt;0,SUMIFS(Sheet2!$E:$E,Sheet2!$C:$C,$A87,Sheet2!$A:$A,I$2),"")</f>
        <v/>
      </c>
      <c r="J87" s="42" t="str">
        <f>IF(SUMIFS(Sheet2!$E:$E,Sheet2!$C:$C,$A87,Sheet2!$A:$A,J$2)&lt;&gt;0,SUMIFS(Sheet2!$E:$E,Sheet2!$C:$C,$A87,Sheet2!$A:$A,J$2),"")</f>
        <v/>
      </c>
      <c r="K87" s="42" t="str">
        <f>IF(SUMIFS(Sheet2!$E:$E,Sheet2!$C:$C,$A87,Sheet2!$A:$A,K$2)&lt;&gt;0,SUMIFS(Sheet2!$E:$E,Sheet2!$C:$C,$A87,Sheet2!$A:$A,K$2),"")</f>
        <v/>
      </c>
      <c r="L87" s="42" t="str">
        <f>IF(SUMIFS(Sheet2!$E:$E,Sheet2!$C:$C,$A87,Sheet2!$A:$A,L$2)&lt;&gt;0,SUMIFS(Sheet2!$E:$E,Sheet2!$C:$C,$A87,Sheet2!$A:$A,L$2),"")</f>
        <v/>
      </c>
      <c r="M87" s="42" t="str">
        <f>IF(SUMIFS(Sheet2!$E:$E,Sheet2!$C:$C,$A87,Sheet2!$A:$A,M$2)&lt;&gt;0,SUMIFS(Sheet2!$E:$E,Sheet2!$C:$C,$A87,Sheet2!$A:$A,M$2),"")</f>
        <v/>
      </c>
      <c r="N87" s="42" t="str">
        <f>IF(SUMIFS(Sheet2!$E:$E,Sheet2!$C:$C,$A87,Sheet2!$A:$A,N$2)&lt;&gt;0,SUMIFS(Sheet2!$E:$E,Sheet2!$C:$C,$A87,Sheet2!$A:$A,N$2),"")</f>
        <v/>
      </c>
      <c r="O87" s="42" t="str">
        <f>IF(SUMIFS(Sheet2!$E:$E,Sheet2!$C:$C,$A87,Sheet2!$A:$A,O$2)&lt;&gt;0,SUMIFS(Sheet2!$E:$E,Sheet2!$C:$C,$A87,Sheet2!$A:$A,O$2),"")</f>
        <v/>
      </c>
      <c r="P87" s="42" t="str">
        <f>IF(SUMIFS(Sheet2!$E:$E,Sheet2!$C:$C,$A87,Sheet2!$A:$A,P$2)&lt;&gt;0,SUMIFS(Sheet2!$E:$E,Sheet2!$C:$C,$A87,Sheet2!$A:$A,P$2),"")</f>
        <v/>
      </c>
      <c r="Q87" s="42" t="str">
        <f>IF(SUMIFS(Sheet2!$E:$E,Sheet2!$C:$C,$A87,Sheet2!$A:$A,Q$2)&lt;&gt;0,SUMIFS(Sheet2!$E:$E,Sheet2!$C:$C,$A87,Sheet2!$A:$A,Q$2),"")</f>
        <v/>
      </c>
      <c r="R87" s="42" t="str">
        <f>IF(SUMIFS(Sheet2!$E:$E,Sheet2!$C:$C,$A87,Sheet2!$A:$A,R$2)&lt;&gt;0,SUMIFS(Sheet2!$E:$E,Sheet2!$C:$C,$A87,Sheet2!$A:$A,R$2),"")</f>
        <v/>
      </c>
      <c r="S87" s="42" t="str">
        <f>IF(SUMIFS(Sheet2!$E:$E,Sheet2!$C:$C,$A87,Sheet2!$A:$A,S$2)&lt;&gt;0,SUMIFS(Sheet2!$E:$E,Sheet2!$C:$C,$A87,Sheet2!$A:$A,S$2),"")</f>
        <v/>
      </c>
      <c r="T87" s="42" t="str">
        <f>IF(SUMIFS(Sheet2!$E:$E,Sheet2!$C:$C,$A87,Sheet2!$A:$A,T$2)&lt;&gt;0,SUMIFS(Sheet2!$E:$E,Sheet2!$C:$C,$A87,Sheet2!$A:$A,T$2),"")</f>
        <v/>
      </c>
      <c r="U87" s="42" t="str">
        <f>IF(SUMIFS(Sheet2!$E:$E,Sheet2!$C:$C,$A87,Sheet2!$A:$A,U$2)&lt;&gt;0,SUMIFS(Sheet2!$E:$E,Sheet2!$C:$C,$A87,Sheet2!$A:$A,U$2),"")</f>
        <v/>
      </c>
      <c r="V87" s="42" t="str">
        <f>IF(SUMIFS(Sheet2!$E:$E,Sheet2!$C:$C,$A87,Sheet2!$A:$A,V$2)&lt;&gt;0,SUMIFS(Sheet2!$E:$E,Sheet2!$C:$C,$A87,Sheet2!$A:$A,V$2),"")</f>
        <v/>
      </c>
      <c r="W87" s="42" t="str">
        <f>IF(SUMIFS(Sheet2!$E:$E,Sheet2!$C:$C,$A87,Sheet2!$A:$A,W$2)&lt;&gt;0,SUMIFS(Sheet2!$E:$E,Sheet2!$C:$C,$A87,Sheet2!$A:$A,W$2),"")</f>
        <v/>
      </c>
      <c r="X87" s="42" t="str">
        <f>IF(SUMIFS(Sheet2!$E:$E,Sheet2!$C:$C,$A87,Sheet2!$A:$A,X$2)&lt;&gt;0,SUMIFS(Sheet2!$E:$E,Sheet2!$C:$C,$A87,Sheet2!$A:$A,X$2),"")</f>
        <v/>
      </c>
      <c r="Y87" s="42" t="str">
        <f>IF(SUMIFS(Sheet2!$E:$E,Sheet2!$C:$C,$A87,Sheet2!$A:$A,Y$2)&lt;&gt;0,SUMIFS(Sheet2!$E:$E,Sheet2!$C:$C,$A87,Sheet2!$A:$A,Y$2),"")</f>
        <v/>
      </c>
      <c r="Z87" s="42" t="str">
        <f>IF(SUMIFS(Sheet2!$E:$E,Sheet2!$C:$C,$A87,Sheet2!$A:$A,Z$2)&lt;&gt;0,SUMIFS(Sheet2!$E:$E,Sheet2!$C:$C,$A87,Sheet2!$A:$A,Z$2),"")</f>
        <v/>
      </c>
      <c r="AA87" s="42" t="str">
        <f>IF(SUMIFS(Sheet2!$E:$E,Sheet2!$C:$C,$A87,Sheet2!$A:$A,AA$2)&lt;&gt;0,SUMIFS(Sheet2!$E:$E,Sheet2!$C:$C,$A87,Sheet2!$A:$A,AA$2),"")</f>
        <v/>
      </c>
      <c r="AB87" s="42" t="str">
        <f>IF(SUMIFS(Sheet2!$E:$E,Sheet2!$C:$C,$A87,Sheet2!$A:$A,AB$2)&lt;&gt;0,SUMIFS(Sheet2!$E:$E,Sheet2!$C:$C,$A87,Sheet2!$A:$A,AB$2),"")</f>
        <v/>
      </c>
      <c r="AC87" s="42" t="str">
        <f>IF(SUMIFS(Sheet2!$E:$E,Sheet2!$C:$C,$A87,Sheet2!$A:$A,AC$2)&lt;&gt;0,SUMIFS(Sheet2!$E:$E,Sheet2!$C:$C,$A87,Sheet2!$A:$A,AC$2),"")</f>
        <v/>
      </c>
      <c r="AD87" s="42" t="str">
        <f>IF(SUMIFS(Sheet2!$E:$E,Sheet2!$C:$C,$A87,Sheet2!$A:$A,AD$2)&lt;&gt;0,SUMIFS(Sheet2!$E:$E,Sheet2!$C:$C,$A87,Sheet2!$A:$A,AD$2),"")</f>
        <v/>
      </c>
      <c r="AE87" s="42" t="str">
        <f>IF(SUMIFS(Sheet2!$E:$E,Sheet2!$C:$C,$A87,Sheet2!$A:$A,AE$2)&lt;&gt;0,SUMIFS(Sheet2!$E:$E,Sheet2!$C:$C,$A87,Sheet2!$A:$A,AE$2),"")</f>
        <v/>
      </c>
      <c r="AF87" s="42" t="str">
        <f>IF(SUMIFS(Sheet2!$E:$E,Sheet2!$C:$C,$A87,Sheet2!$A:$A,AF$2)&lt;&gt;0,SUMIFS(Sheet2!$E:$E,Sheet2!$C:$C,$A87,Sheet2!$A:$A,AF$2),"")</f>
        <v/>
      </c>
      <c r="AG87" s="42" t="str">
        <f>IF(SUMIFS(Sheet2!$E:$E,Sheet2!$C:$C,$A87,Sheet2!$A:$A,AG$2)&lt;&gt;0,SUMIFS(Sheet2!$E:$E,Sheet2!$C:$C,$A87,Sheet2!$A:$A,AG$2),"")</f>
        <v/>
      </c>
      <c r="AH87" s="43">
        <f>SUM(Table2[[#This Row],[1]:[31]])</f>
        <v>0</v>
      </c>
    </row>
    <row r="88" spans="1:34" ht="12.75" customHeight="1">
      <c r="A88" s="76" t="str">
        <f>DSSP!A87</f>
        <v>B02</v>
      </c>
      <c r="B88" s="25" t="str">
        <f>DSSP!B87</f>
        <v>Lò nướng kitty</v>
      </c>
      <c r="C88" s="42" t="str">
        <f>IF(SUMIFS(Sheet2!$E:$E,Sheet2!$C:$C,$A88,Sheet2!$A:$A,C$2)&lt;&gt;0,SUMIFS(Sheet2!$E:$E,Sheet2!$C:$C,$A88,Sheet2!$A:$A,C$2),"")</f>
        <v/>
      </c>
      <c r="D88" s="42" t="str">
        <f>IF(SUMIFS(Sheet2!$E:$E,Sheet2!$C:$C,$A88,Sheet2!$A:$A,D$2)&lt;&gt;0,SUMIFS(Sheet2!$E:$E,Sheet2!$C:$C,$A88,Sheet2!$A:$A,D$2),"")</f>
        <v/>
      </c>
      <c r="E88" s="42" t="str">
        <f>IF(SUMIFS(Sheet2!$E:$E,Sheet2!$C:$C,$A88,Sheet2!$A:$A,E$2)&lt;&gt;0,SUMIFS(Sheet2!$E:$E,Sheet2!$C:$C,$A88,Sheet2!$A:$A,E$2),"")</f>
        <v/>
      </c>
      <c r="F88" s="42" t="str">
        <f>IF(SUMIFS(Sheet2!$E:$E,Sheet2!$C:$C,$A88,Sheet2!$A:$A,F$2)&lt;&gt;0,SUMIFS(Sheet2!$E:$E,Sheet2!$C:$C,$A88,Sheet2!$A:$A,F$2),"")</f>
        <v/>
      </c>
      <c r="G88" s="42" t="str">
        <f>IF(SUMIFS(Sheet2!$E:$E,Sheet2!$C:$C,$A88,Sheet2!$A:$A,G$2)&lt;&gt;0,SUMIFS(Sheet2!$E:$E,Sheet2!$C:$C,$A88,Sheet2!$A:$A,G$2),"")</f>
        <v/>
      </c>
      <c r="H88" s="42" t="str">
        <f>IF(SUMIFS(Sheet2!$E:$E,Sheet2!$C:$C,$A88,Sheet2!$A:$A,H$2)&lt;&gt;0,SUMIFS(Sheet2!$E:$E,Sheet2!$C:$C,$A88,Sheet2!$A:$A,H$2),"")</f>
        <v/>
      </c>
      <c r="I88" s="42" t="str">
        <f>IF(SUMIFS(Sheet2!$E:$E,Sheet2!$C:$C,$A88,Sheet2!$A:$A,I$2)&lt;&gt;0,SUMIFS(Sheet2!$E:$E,Sheet2!$C:$C,$A88,Sheet2!$A:$A,I$2),"")</f>
        <v/>
      </c>
      <c r="J88" s="42" t="str">
        <f>IF(SUMIFS(Sheet2!$E:$E,Sheet2!$C:$C,$A88,Sheet2!$A:$A,J$2)&lt;&gt;0,SUMIFS(Sheet2!$E:$E,Sheet2!$C:$C,$A88,Sheet2!$A:$A,J$2),"")</f>
        <v/>
      </c>
      <c r="K88" s="42" t="str">
        <f>IF(SUMIFS(Sheet2!$E:$E,Sheet2!$C:$C,$A88,Sheet2!$A:$A,K$2)&lt;&gt;0,SUMIFS(Sheet2!$E:$E,Sheet2!$C:$C,$A88,Sheet2!$A:$A,K$2),"")</f>
        <v/>
      </c>
      <c r="L88" s="42" t="str">
        <f>IF(SUMIFS(Sheet2!$E:$E,Sheet2!$C:$C,$A88,Sheet2!$A:$A,L$2)&lt;&gt;0,SUMIFS(Sheet2!$E:$E,Sheet2!$C:$C,$A88,Sheet2!$A:$A,L$2),"")</f>
        <v/>
      </c>
      <c r="M88" s="42" t="str">
        <f>IF(SUMIFS(Sheet2!$E:$E,Sheet2!$C:$C,$A88,Sheet2!$A:$A,M$2)&lt;&gt;0,SUMIFS(Sheet2!$E:$E,Sheet2!$C:$C,$A88,Sheet2!$A:$A,M$2),"")</f>
        <v/>
      </c>
      <c r="N88" s="42" t="str">
        <f>IF(SUMIFS(Sheet2!$E:$E,Sheet2!$C:$C,$A88,Sheet2!$A:$A,N$2)&lt;&gt;0,SUMIFS(Sheet2!$E:$E,Sheet2!$C:$C,$A88,Sheet2!$A:$A,N$2),"")</f>
        <v/>
      </c>
      <c r="O88" s="42" t="str">
        <f>IF(SUMIFS(Sheet2!$E:$E,Sheet2!$C:$C,$A88,Sheet2!$A:$A,O$2)&lt;&gt;0,SUMIFS(Sheet2!$E:$E,Sheet2!$C:$C,$A88,Sheet2!$A:$A,O$2),"")</f>
        <v/>
      </c>
      <c r="P88" s="42" t="str">
        <f>IF(SUMIFS(Sheet2!$E:$E,Sheet2!$C:$C,$A88,Sheet2!$A:$A,P$2)&lt;&gt;0,SUMIFS(Sheet2!$E:$E,Sheet2!$C:$C,$A88,Sheet2!$A:$A,P$2),"")</f>
        <v/>
      </c>
      <c r="Q88" s="42" t="str">
        <f>IF(SUMIFS(Sheet2!$E:$E,Sheet2!$C:$C,$A88,Sheet2!$A:$A,Q$2)&lt;&gt;0,SUMIFS(Sheet2!$E:$E,Sheet2!$C:$C,$A88,Sheet2!$A:$A,Q$2),"")</f>
        <v/>
      </c>
      <c r="R88" s="42" t="str">
        <f>IF(SUMIFS(Sheet2!$E:$E,Sheet2!$C:$C,$A88,Sheet2!$A:$A,R$2)&lt;&gt;0,SUMIFS(Sheet2!$E:$E,Sheet2!$C:$C,$A88,Sheet2!$A:$A,R$2),"")</f>
        <v/>
      </c>
      <c r="S88" s="42" t="str">
        <f>IF(SUMIFS(Sheet2!$E:$E,Sheet2!$C:$C,$A88,Sheet2!$A:$A,S$2)&lt;&gt;0,SUMIFS(Sheet2!$E:$E,Sheet2!$C:$C,$A88,Sheet2!$A:$A,S$2),"")</f>
        <v/>
      </c>
      <c r="T88" s="42" t="str">
        <f>IF(SUMIFS(Sheet2!$E:$E,Sheet2!$C:$C,$A88,Sheet2!$A:$A,T$2)&lt;&gt;0,SUMIFS(Sheet2!$E:$E,Sheet2!$C:$C,$A88,Sheet2!$A:$A,T$2),"")</f>
        <v/>
      </c>
      <c r="U88" s="42" t="str">
        <f>IF(SUMIFS(Sheet2!$E:$E,Sheet2!$C:$C,$A88,Sheet2!$A:$A,U$2)&lt;&gt;0,SUMIFS(Sheet2!$E:$E,Sheet2!$C:$C,$A88,Sheet2!$A:$A,U$2),"")</f>
        <v/>
      </c>
      <c r="V88" s="42" t="str">
        <f>IF(SUMIFS(Sheet2!$E:$E,Sheet2!$C:$C,$A88,Sheet2!$A:$A,V$2)&lt;&gt;0,SUMIFS(Sheet2!$E:$E,Sheet2!$C:$C,$A88,Sheet2!$A:$A,V$2),"")</f>
        <v/>
      </c>
      <c r="W88" s="42" t="str">
        <f>IF(SUMIFS(Sheet2!$E:$E,Sheet2!$C:$C,$A88,Sheet2!$A:$A,W$2)&lt;&gt;0,SUMIFS(Sheet2!$E:$E,Sheet2!$C:$C,$A88,Sheet2!$A:$A,W$2),"")</f>
        <v/>
      </c>
      <c r="X88" s="42" t="str">
        <f>IF(SUMIFS(Sheet2!$E:$E,Sheet2!$C:$C,$A88,Sheet2!$A:$A,X$2)&lt;&gt;0,SUMIFS(Sheet2!$E:$E,Sheet2!$C:$C,$A88,Sheet2!$A:$A,X$2),"")</f>
        <v/>
      </c>
      <c r="Y88" s="42" t="str">
        <f>IF(SUMIFS(Sheet2!$E:$E,Sheet2!$C:$C,$A88,Sheet2!$A:$A,Y$2)&lt;&gt;0,SUMIFS(Sheet2!$E:$E,Sheet2!$C:$C,$A88,Sheet2!$A:$A,Y$2),"")</f>
        <v/>
      </c>
      <c r="Z88" s="42" t="str">
        <f>IF(SUMIFS(Sheet2!$E:$E,Sheet2!$C:$C,$A88,Sheet2!$A:$A,Z$2)&lt;&gt;0,SUMIFS(Sheet2!$E:$E,Sheet2!$C:$C,$A88,Sheet2!$A:$A,Z$2),"")</f>
        <v/>
      </c>
      <c r="AA88" s="42" t="str">
        <f>IF(SUMIFS(Sheet2!$E:$E,Sheet2!$C:$C,$A88,Sheet2!$A:$A,AA$2)&lt;&gt;0,SUMIFS(Sheet2!$E:$E,Sheet2!$C:$C,$A88,Sheet2!$A:$A,AA$2),"")</f>
        <v/>
      </c>
      <c r="AB88" s="42" t="str">
        <f>IF(SUMIFS(Sheet2!$E:$E,Sheet2!$C:$C,$A88,Sheet2!$A:$A,AB$2)&lt;&gt;0,SUMIFS(Sheet2!$E:$E,Sheet2!$C:$C,$A88,Sheet2!$A:$A,AB$2),"")</f>
        <v/>
      </c>
      <c r="AC88" s="42" t="str">
        <f>IF(SUMIFS(Sheet2!$E:$E,Sheet2!$C:$C,$A88,Sheet2!$A:$A,AC$2)&lt;&gt;0,SUMIFS(Sheet2!$E:$E,Sheet2!$C:$C,$A88,Sheet2!$A:$A,AC$2),"")</f>
        <v/>
      </c>
      <c r="AD88" s="42" t="str">
        <f>IF(SUMIFS(Sheet2!$E:$E,Sheet2!$C:$C,$A88,Sheet2!$A:$A,AD$2)&lt;&gt;0,SUMIFS(Sheet2!$E:$E,Sheet2!$C:$C,$A88,Sheet2!$A:$A,AD$2),"")</f>
        <v/>
      </c>
      <c r="AE88" s="42" t="str">
        <f>IF(SUMIFS(Sheet2!$E:$E,Sheet2!$C:$C,$A88,Sheet2!$A:$A,AE$2)&lt;&gt;0,SUMIFS(Sheet2!$E:$E,Sheet2!$C:$C,$A88,Sheet2!$A:$A,AE$2),"")</f>
        <v/>
      </c>
      <c r="AF88" s="42" t="str">
        <f>IF(SUMIFS(Sheet2!$E:$E,Sheet2!$C:$C,$A88,Sheet2!$A:$A,AF$2)&lt;&gt;0,SUMIFS(Sheet2!$E:$E,Sheet2!$C:$C,$A88,Sheet2!$A:$A,AF$2),"")</f>
        <v/>
      </c>
      <c r="AG88" s="42" t="str">
        <f>IF(SUMIFS(Sheet2!$E:$E,Sheet2!$C:$C,$A88,Sheet2!$A:$A,AG$2)&lt;&gt;0,SUMIFS(Sheet2!$E:$E,Sheet2!$C:$C,$A88,Sheet2!$A:$A,AG$2),"")</f>
        <v/>
      </c>
      <c r="AH88" s="43">
        <f>SUM(Table2[[#This Row],[1]:[31]])</f>
        <v>0</v>
      </c>
    </row>
    <row r="89" spans="1:34" ht="12.75" customHeight="1">
      <c r="A89" s="76" t="str">
        <f>DSSP!A88</f>
        <v>B03</v>
      </c>
      <c r="B89" s="25" t="str">
        <f>DSSP!B88</f>
        <v>Cafe hoa quả</v>
      </c>
      <c r="C89" s="42" t="str">
        <f>IF(SUMIFS(Sheet2!$E:$E,Sheet2!$C:$C,$A89,Sheet2!$A:$A,C$2)&lt;&gt;0,SUMIFS(Sheet2!$E:$E,Sheet2!$C:$C,$A89,Sheet2!$A:$A,C$2),"")</f>
        <v/>
      </c>
      <c r="D89" s="42" t="str">
        <f>IF(SUMIFS(Sheet2!$E:$E,Sheet2!$C:$C,$A89,Sheet2!$A:$A,D$2)&lt;&gt;0,SUMIFS(Sheet2!$E:$E,Sheet2!$C:$C,$A89,Sheet2!$A:$A,D$2),"")</f>
        <v/>
      </c>
      <c r="E89" s="42" t="str">
        <f>IF(SUMIFS(Sheet2!$E:$E,Sheet2!$C:$C,$A89,Sheet2!$A:$A,E$2)&lt;&gt;0,SUMIFS(Sheet2!$E:$E,Sheet2!$C:$C,$A89,Sheet2!$A:$A,E$2),"")</f>
        <v/>
      </c>
      <c r="F89" s="42" t="str">
        <f>IF(SUMIFS(Sheet2!$E:$E,Sheet2!$C:$C,$A89,Sheet2!$A:$A,F$2)&lt;&gt;0,SUMIFS(Sheet2!$E:$E,Sheet2!$C:$C,$A89,Sheet2!$A:$A,F$2),"")</f>
        <v/>
      </c>
      <c r="G89" s="42" t="str">
        <f>IF(SUMIFS(Sheet2!$E:$E,Sheet2!$C:$C,$A89,Sheet2!$A:$A,G$2)&lt;&gt;0,SUMIFS(Sheet2!$E:$E,Sheet2!$C:$C,$A89,Sheet2!$A:$A,G$2),"")</f>
        <v/>
      </c>
      <c r="H89" s="42" t="str">
        <f>IF(SUMIFS(Sheet2!$E:$E,Sheet2!$C:$C,$A89,Sheet2!$A:$A,H$2)&lt;&gt;0,SUMIFS(Sheet2!$E:$E,Sheet2!$C:$C,$A89,Sheet2!$A:$A,H$2),"")</f>
        <v/>
      </c>
      <c r="I89" s="42" t="str">
        <f>IF(SUMIFS(Sheet2!$E:$E,Sheet2!$C:$C,$A89,Sheet2!$A:$A,I$2)&lt;&gt;0,SUMIFS(Sheet2!$E:$E,Sheet2!$C:$C,$A89,Sheet2!$A:$A,I$2),"")</f>
        <v/>
      </c>
      <c r="J89" s="42" t="str">
        <f>IF(SUMIFS(Sheet2!$E:$E,Sheet2!$C:$C,$A89,Sheet2!$A:$A,J$2)&lt;&gt;0,SUMIFS(Sheet2!$E:$E,Sheet2!$C:$C,$A89,Sheet2!$A:$A,J$2),"")</f>
        <v/>
      </c>
      <c r="K89" s="42" t="str">
        <f>IF(SUMIFS(Sheet2!$E:$E,Sheet2!$C:$C,$A89,Sheet2!$A:$A,K$2)&lt;&gt;0,SUMIFS(Sheet2!$E:$E,Sheet2!$C:$C,$A89,Sheet2!$A:$A,K$2),"")</f>
        <v/>
      </c>
      <c r="L89" s="42" t="str">
        <f>IF(SUMIFS(Sheet2!$E:$E,Sheet2!$C:$C,$A89,Sheet2!$A:$A,L$2)&lt;&gt;0,SUMIFS(Sheet2!$E:$E,Sheet2!$C:$C,$A89,Sheet2!$A:$A,L$2),"")</f>
        <v/>
      </c>
      <c r="M89" s="42" t="str">
        <f>IF(SUMIFS(Sheet2!$E:$E,Sheet2!$C:$C,$A89,Sheet2!$A:$A,M$2)&lt;&gt;0,SUMIFS(Sheet2!$E:$E,Sheet2!$C:$C,$A89,Sheet2!$A:$A,M$2),"")</f>
        <v/>
      </c>
      <c r="N89" s="42" t="str">
        <f>IF(SUMIFS(Sheet2!$E:$E,Sheet2!$C:$C,$A89,Sheet2!$A:$A,N$2)&lt;&gt;0,SUMIFS(Sheet2!$E:$E,Sheet2!$C:$C,$A89,Sheet2!$A:$A,N$2),"")</f>
        <v/>
      </c>
      <c r="O89" s="42" t="str">
        <f>IF(SUMIFS(Sheet2!$E:$E,Sheet2!$C:$C,$A89,Sheet2!$A:$A,O$2)&lt;&gt;0,SUMIFS(Sheet2!$E:$E,Sheet2!$C:$C,$A89,Sheet2!$A:$A,O$2),"")</f>
        <v/>
      </c>
      <c r="P89" s="42" t="str">
        <f>IF(SUMIFS(Sheet2!$E:$E,Sheet2!$C:$C,$A89,Sheet2!$A:$A,P$2)&lt;&gt;0,SUMIFS(Sheet2!$E:$E,Sheet2!$C:$C,$A89,Sheet2!$A:$A,P$2),"")</f>
        <v/>
      </c>
      <c r="Q89" s="42" t="str">
        <f>IF(SUMIFS(Sheet2!$E:$E,Sheet2!$C:$C,$A89,Sheet2!$A:$A,Q$2)&lt;&gt;0,SUMIFS(Sheet2!$E:$E,Sheet2!$C:$C,$A89,Sheet2!$A:$A,Q$2),"")</f>
        <v/>
      </c>
      <c r="R89" s="42" t="str">
        <f>IF(SUMIFS(Sheet2!$E:$E,Sheet2!$C:$C,$A89,Sheet2!$A:$A,R$2)&lt;&gt;0,SUMIFS(Sheet2!$E:$E,Sheet2!$C:$C,$A89,Sheet2!$A:$A,R$2),"")</f>
        <v/>
      </c>
      <c r="S89" s="42" t="str">
        <f>IF(SUMIFS(Sheet2!$E:$E,Sheet2!$C:$C,$A89,Sheet2!$A:$A,S$2)&lt;&gt;0,SUMIFS(Sheet2!$E:$E,Sheet2!$C:$C,$A89,Sheet2!$A:$A,S$2),"")</f>
        <v/>
      </c>
      <c r="T89" s="42" t="str">
        <f>IF(SUMIFS(Sheet2!$E:$E,Sheet2!$C:$C,$A89,Sheet2!$A:$A,T$2)&lt;&gt;0,SUMIFS(Sheet2!$E:$E,Sheet2!$C:$C,$A89,Sheet2!$A:$A,T$2),"")</f>
        <v/>
      </c>
      <c r="U89" s="42" t="str">
        <f>IF(SUMIFS(Sheet2!$E:$E,Sheet2!$C:$C,$A89,Sheet2!$A:$A,U$2)&lt;&gt;0,SUMIFS(Sheet2!$E:$E,Sheet2!$C:$C,$A89,Sheet2!$A:$A,U$2),"")</f>
        <v/>
      </c>
      <c r="V89" s="42" t="str">
        <f>IF(SUMIFS(Sheet2!$E:$E,Sheet2!$C:$C,$A89,Sheet2!$A:$A,V$2)&lt;&gt;0,SUMIFS(Sheet2!$E:$E,Sheet2!$C:$C,$A89,Sheet2!$A:$A,V$2),"")</f>
        <v/>
      </c>
      <c r="W89" s="42" t="str">
        <f>IF(SUMIFS(Sheet2!$E:$E,Sheet2!$C:$C,$A89,Sheet2!$A:$A,W$2)&lt;&gt;0,SUMIFS(Sheet2!$E:$E,Sheet2!$C:$C,$A89,Sheet2!$A:$A,W$2),"")</f>
        <v/>
      </c>
      <c r="X89" s="42" t="str">
        <f>IF(SUMIFS(Sheet2!$E:$E,Sheet2!$C:$C,$A89,Sheet2!$A:$A,X$2)&lt;&gt;0,SUMIFS(Sheet2!$E:$E,Sheet2!$C:$C,$A89,Sheet2!$A:$A,X$2),"")</f>
        <v/>
      </c>
      <c r="Y89" s="42" t="str">
        <f>IF(SUMIFS(Sheet2!$E:$E,Sheet2!$C:$C,$A89,Sheet2!$A:$A,Y$2)&lt;&gt;0,SUMIFS(Sheet2!$E:$E,Sheet2!$C:$C,$A89,Sheet2!$A:$A,Y$2),"")</f>
        <v/>
      </c>
      <c r="Z89" s="42" t="str">
        <f>IF(SUMIFS(Sheet2!$E:$E,Sheet2!$C:$C,$A89,Sheet2!$A:$A,Z$2)&lt;&gt;0,SUMIFS(Sheet2!$E:$E,Sheet2!$C:$C,$A89,Sheet2!$A:$A,Z$2),"")</f>
        <v/>
      </c>
      <c r="AA89" s="42" t="str">
        <f>IF(SUMIFS(Sheet2!$E:$E,Sheet2!$C:$C,$A89,Sheet2!$A:$A,AA$2)&lt;&gt;0,SUMIFS(Sheet2!$E:$E,Sheet2!$C:$C,$A89,Sheet2!$A:$A,AA$2),"")</f>
        <v/>
      </c>
      <c r="AB89" s="42" t="str">
        <f>IF(SUMIFS(Sheet2!$E:$E,Sheet2!$C:$C,$A89,Sheet2!$A:$A,AB$2)&lt;&gt;0,SUMIFS(Sheet2!$E:$E,Sheet2!$C:$C,$A89,Sheet2!$A:$A,AB$2),"")</f>
        <v/>
      </c>
      <c r="AC89" s="42" t="str">
        <f>IF(SUMIFS(Sheet2!$E:$E,Sheet2!$C:$C,$A89,Sheet2!$A:$A,AC$2)&lt;&gt;0,SUMIFS(Sheet2!$E:$E,Sheet2!$C:$C,$A89,Sheet2!$A:$A,AC$2),"")</f>
        <v/>
      </c>
      <c r="AD89" s="42" t="str">
        <f>IF(SUMIFS(Sheet2!$E:$E,Sheet2!$C:$C,$A89,Sheet2!$A:$A,AD$2)&lt;&gt;0,SUMIFS(Sheet2!$E:$E,Sheet2!$C:$C,$A89,Sheet2!$A:$A,AD$2),"")</f>
        <v/>
      </c>
      <c r="AE89" s="42" t="str">
        <f>IF(SUMIFS(Sheet2!$E:$E,Sheet2!$C:$C,$A89,Sheet2!$A:$A,AE$2)&lt;&gt;0,SUMIFS(Sheet2!$E:$E,Sheet2!$C:$C,$A89,Sheet2!$A:$A,AE$2),"")</f>
        <v/>
      </c>
      <c r="AF89" s="42" t="str">
        <f>IF(SUMIFS(Sheet2!$E:$E,Sheet2!$C:$C,$A89,Sheet2!$A:$A,AF$2)&lt;&gt;0,SUMIFS(Sheet2!$E:$E,Sheet2!$C:$C,$A89,Sheet2!$A:$A,AF$2),"")</f>
        <v/>
      </c>
      <c r="AG89" s="42" t="str">
        <f>IF(SUMIFS(Sheet2!$E:$E,Sheet2!$C:$C,$A89,Sheet2!$A:$A,AG$2)&lt;&gt;0,SUMIFS(Sheet2!$E:$E,Sheet2!$C:$C,$A89,Sheet2!$A:$A,AG$2),"")</f>
        <v/>
      </c>
      <c r="AH89" s="43">
        <f>SUM(Table2[[#This Row],[1]:[31]])</f>
        <v>0</v>
      </c>
    </row>
    <row r="90" spans="1:34" ht="12.75" customHeight="1">
      <c r="A90" s="76" t="str">
        <f>DSSP!A89</f>
        <v>B04</v>
      </c>
      <c r="B90" s="25" t="str">
        <f>DSSP!B89</f>
        <v>Fastfood</v>
      </c>
      <c r="C90" s="42" t="str">
        <f>IF(SUMIFS(Sheet2!$E:$E,Sheet2!$C:$C,$A90,Sheet2!$A:$A,C$2)&lt;&gt;0,SUMIFS(Sheet2!$E:$E,Sheet2!$C:$C,$A90,Sheet2!$A:$A,C$2),"")</f>
        <v/>
      </c>
      <c r="D90" s="42" t="str">
        <f>IF(SUMIFS(Sheet2!$E:$E,Sheet2!$C:$C,$A90,Sheet2!$A:$A,D$2)&lt;&gt;0,SUMIFS(Sheet2!$E:$E,Sheet2!$C:$C,$A90,Sheet2!$A:$A,D$2),"")</f>
        <v/>
      </c>
      <c r="E90" s="42" t="str">
        <f>IF(SUMIFS(Sheet2!$E:$E,Sheet2!$C:$C,$A90,Sheet2!$A:$A,E$2)&lt;&gt;0,SUMIFS(Sheet2!$E:$E,Sheet2!$C:$C,$A90,Sheet2!$A:$A,E$2),"")</f>
        <v/>
      </c>
      <c r="F90" s="42" t="str">
        <f>IF(SUMIFS(Sheet2!$E:$E,Sheet2!$C:$C,$A90,Sheet2!$A:$A,F$2)&lt;&gt;0,SUMIFS(Sheet2!$E:$E,Sheet2!$C:$C,$A90,Sheet2!$A:$A,F$2),"")</f>
        <v/>
      </c>
      <c r="G90" s="42" t="str">
        <f>IF(SUMIFS(Sheet2!$E:$E,Sheet2!$C:$C,$A90,Sheet2!$A:$A,G$2)&lt;&gt;0,SUMIFS(Sheet2!$E:$E,Sheet2!$C:$C,$A90,Sheet2!$A:$A,G$2),"")</f>
        <v/>
      </c>
      <c r="H90" s="42" t="str">
        <f>IF(SUMIFS(Sheet2!$E:$E,Sheet2!$C:$C,$A90,Sheet2!$A:$A,H$2)&lt;&gt;0,SUMIFS(Sheet2!$E:$E,Sheet2!$C:$C,$A90,Sheet2!$A:$A,H$2),"")</f>
        <v/>
      </c>
      <c r="I90" s="42" t="str">
        <f>IF(SUMIFS(Sheet2!$E:$E,Sheet2!$C:$C,$A90,Sheet2!$A:$A,I$2)&lt;&gt;0,SUMIFS(Sheet2!$E:$E,Sheet2!$C:$C,$A90,Sheet2!$A:$A,I$2),"")</f>
        <v/>
      </c>
      <c r="J90" s="42" t="str">
        <f>IF(SUMIFS(Sheet2!$E:$E,Sheet2!$C:$C,$A90,Sheet2!$A:$A,J$2)&lt;&gt;0,SUMIFS(Sheet2!$E:$E,Sheet2!$C:$C,$A90,Sheet2!$A:$A,J$2),"")</f>
        <v/>
      </c>
      <c r="K90" s="42" t="str">
        <f>IF(SUMIFS(Sheet2!$E:$E,Sheet2!$C:$C,$A90,Sheet2!$A:$A,K$2)&lt;&gt;0,SUMIFS(Sheet2!$E:$E,Sheet2!$C:$C,$A90,Sheet2!$A:$A,K$2),"")</f>
        <v/>
      </c>
      <c r="L90" s="42" t="str">
        <f>IF(SUMIFS(Sheet2!$E:$E,Sheet2!$C:$C,$A90,Sheet2!$A:$A,L$2)&lt;&gt;0,SUMIFS(Sheet2!$E:$E,Sheet2!$C:$C,$A90,Sheet2!$A:$A,L$2),"")</f>
        <v/>
      </c>
      <c r="M90" s="42" t="str">
        <f>IF(SUMIFS(Sheet2!$E:$E,Sheet2!$C:$C,$A90,Sheet2!$A:$A,M$2)&lt;&gt;0,SUMIFS(Sheet2!$E:$E,Sheet2!$C:$C,$A90,Sheet2!$A:$A,M$2),"")</f>
        <v/>
      </c>
      <c r="N90" s="42" t="str">
        <f>IF(SUMIFS(Sheet2!$E:$E,Sheet2!$C:$C,$A90,Sheet2!$A:$A,N$2)&lt;&gt;0,SUMIFS(Sheet2!$E:$E,Sheet2!$C:$C,$A90,Sheet2!$A:$A,N$2),"")</f>
        <v/>
      </c>
      <c r="O90" s="42" t="str">
        <f>IF(SUMIFS(Sheet2!$E:$E,Sheet2!$C:$C,$A90,Sheet2!$A:$A,O$2)&lt;&gt;0,SUMIFS(Sheet2!$E:$E,Sheet2!$C:$C,$A90,Sheet2!$A:$A,O$2),"")</f>
        <v/>
      </c>
      <c r="P90" s="42" t="str">
        <f>IF(SUMIFS(Sheet2!$E:$E,Sheet2!$C:$C,$A90,Sheet2!$A:$A,P$2)&lt;&gt;0,SUMIFS(Sheet2!$E:$E,Sheet2!$C:$C,$A90,Sheet2!$A:$A,P$2),"")</f>
        <v/>
      </c>
      <c r="Q90" s="42" t="str">
        <f>IF(SUMIFS(Sheet2!$E:$E,Sheet2!$C:$C,$A90,Sheet2!$A:$A,Q$2)&lt;&gt;0,SUMIFS(Sheet2!$E:$E,Sheet2!$C:$C,$A90,Sheet2!$A:$A,Q$2),"")</f>
        <v/>
      </c>
      <c r="R90" s="42" t="str">
        <f>IF(SUMIFS(Sheet2!$E:$E,Sheet2!$C:$C,$A90,Sheet2!$A:$A,R$2)&lt;&gt;0,SUMIFS(Sheet2!$E:$E,Sheet2!$C:$C,$A90,Sheet2!$A:$A,R$2),"")</f>
        <v/>
      </c>
      <c r="S90" s="42" t="str">
        <f>IF(SUMIFS(Sheet2!$E:$E,Sheet2!$C:$C,$A90,Sheet2!$A:$A,S$2)&lt;&gt;0,SUMIFS(Sheet2!$E:$E,Sheet2!$C:$C,$A90,Sheet2!$A:$A,S$2),"")</f>
        <v/>
      </c>
      <c r="T90" s="42" t="str">
        <f>IF(SUMIFS(Sheet2!$E:$E,Sheet2!$C:$C,$A90,Sheet2!$A:$A,T$2)&lt;&gt;0,SUMIFS(Sheet2!$E:$E,Sheet2!$C:$C,$A90,Sheet2!$A:$A,T$2),"")</f>
        <v/>
      </c>
      <c r="U90" s="42" t="str">
        <f>IF(SUMIFS(Sheet2!$E:$E,Sheet2!$C:$C,$A90,Sheet2!$A:$A,U$2)&lt;&gt;0,SUMIFS(Sheet2!$E:$E,Sheet2!$C:$C,$A90,Sheet2!$A:$A,U$2),"")</f>
        <v/>
      </c>
      <c r="V90" s="42" t="str">
        <f>IF(SUMIFS(Sheet2!$E:$E,Sheet2!$C:$C,$A90,Sheet2!$A:$A,V$2)&lt;&gt;0,SUMIFS(Sheet2!$E:$E,Sheet2!$C:$C,$A90,Sheet2!$A:$A,V$2),"")</f>
        <v/>
      </c>
      <c r="W90" s="42" t="str">
        <f>IF(SUMIFS(Sheet2!$E:$E,Sheet2!$C:$C,$A90,Sheet2!$A:$A,W$2)&lt;&gt;0,SUMIFS(Sheet2!$E:$E,Sheet2!$C:$C,$A90,Sheet2!$A:$A,W$2),"")</f>
        <v/>
      </c>
      <c r="X90" s="42" t="str">
        <f>IF(SUMIFS(Sheet2!$E:$E,Sheet2!$C:$C,$A90,Sheet2!$A:$A,X$2)&lt;&gt;0,SUMIFS(Sheet2!$E:$E,Sheet2!$C:$C,$A90,Sheet2!$A:$A,X$2),"")</f>
        <v/>
      </c>
      <c r="Y90" s="42" t="str">
        <f>IF(SUMIFS(Sheet2!$E:$E,Sheet2!$C:$C,$A90,Sheet2!$A:$A,Y$2)&lt;&gt;0,SUMIFS(Sheet2!$E:$E,Sheet2!$C:$C,$A90,Sheet2!$A:$A,Y$2),"")</f>
        <v/>
      </c>
      <c r="Z90" s="42" t="str">
        <f>IF(SUMIFS(Sheet2!$E:$E,Sheet2!$C:$C,$A90,Sheet2!$A:$A,Z$2)&lt;&gt;0,SUMIFS(Sheet2!$E:$E,Sheet2!$C:$C,$A90,Sheet2!$A:$A,Z$2),"")</f>
        <v/>
      </c>
      <c r="AA90" s="42" t="str">
        <f>IF(SUMIFS(Sheet2!$E:$E,Sheet2!$C:$C,$A90,Sheet2!$A:$A,AA$2)&lt;&gt;0,SUMIFS(Sheet2!$E:$E,Sheet2!$C:$C,$A90,Sheet2!$A:$A,AA$2),"")</f>
        <v/>
      </c>
      <c r="AB90" s="42" t="str">
        <f>IF(SUMIFS(Sheet2!$E:$E,Sheet2!$C:$C,$A90,Sheet2!$A:$A,AB$2)&lt;&gt;0,SUMIFS(Sheet2!$E:$E,Sheet2!$C:$C,$A90,Sheet2!$A:$A,AB$2),"")</f>
        <v/>
      </c>
      <c r="AC90" s="42" t="str">
        <f>IF(SUMIFS(Sheet2!$E:$E,Sheet2!$C:$C,$A90,Sheet2!$A:$A,AC$2)&lt;&gt;0,SUMIFS(Sheet2!$E:$E,Sheet2!$C:$C,$A90,Sheet2!$A:$A,AC$2),"")</f>
        <v/>
      </c>
      <c r="AD90" s="42" t="str">
        <f>IF(SUMIFS(Sheet2!$E:$E,Sheet2!$C:$C,$A90,Sheet2!$A:$A,AD$2)&lt;&gt;0,SUMIFS(Sheet2!$E:$E,Sheet2!$C:$C,$A90,Sheet2!$A:$A,AD$2),"")</f>
        <v/>
      </c>
      <c r="AE90" s="42" t="str">
        <f>IF(SUMIFS(Sheet2!$E:$E,Sheet2!$C:$C,$A90,Sheet2!$A:$A,AE$2)&lt;&gt;0,SUMIFS(Sheet2!$E:$E,Sheet2!$C:$C,$A90,Sheet2!$A:$A,AE$2),"")</f>
        <v/>
      </c>
      <c r="AF90" s="42" t="str">
        <f>IF(SUMIFS(Sheet2!$E:$E,Sheet2!$C:$C,$A90,Sheet2!$A:$A,AF$2)&lt;&gt;0,SUMIFS(Sheet2!$E:$E,Sheet2!$C:$C,$A90,Sheet2!$A:$A,AF$2),"")</f>
        <v/>
      </c>
      <c r="AG90" s="42" t="str">
        <f>IF(SUMIFS(Sheet2!$E:$E,Sheet2!$C:$C,$A90,Sheet2!$A:$A,AG$2)&lt;&gt;0,SUMIFS(Sheet2!$E:$E,Sheet2!$C:$C,$A90,Sheet2!$A:$A,AG$2),"")</f>
        <v/>
      </c>
      <c r="AH90" s="43">
        <f>SUM(Table2[[#This Row],[1]:[31]])</f>
        <v>0</v>
      </c>
    </row>
    <row r="91" spans="1:34" ht="12.75" customHeight="1">
      <c r="A91" s="76" t="str">
        <f>DSSP!A90</f>
        <v>B06</v>
      </c>
      <c r="B91" s="25" t="str">
        <f>DSSP!B90</f>
        <v>Bàn cờ caro</v>
      </c>
      <c r="C91" s="21" t="str">
        <f>IF(SUMIFS(Sheet2!$E:$E,Sheet2!$C:$C,$A91,Sheet2!$A:$A,C$2)&lt;&gt;0,SUMIFS(Sheet2!$E:$E,Sheet2!$C:$C,$A91,Sheet2!$A:$A,C$2),"")</f>
        <v/>
      </c>
      <c r="D91" s="21" t="str">
        <f>IF(SUMIFS(Sheet2!$E:$E,Sheet2!$C:$C,$A91,Sheet2!$A:$A,D$2)&lt;&gt;0,SUMIFS(Sheet2!$E:$E,Sheet2!$C:$C,$A91,Sheet2!$A:$A,D$2),"")</f>
        <v/>
      </c>
      <c r="E91" s="21" t="str">
        <f>IF(SUMIFS(Sheet2!$E:$E,Sheet2!$C:$C,$A91,Sheet2!$A:$A,E$2)&lt;&gt;0,SUMIFS(Sheet2!$E:$E,Sheet2!$C:$C,$A91,Sheet2!$A:$A,E$2),"")</f>
        <v/>
      </c>
      <c r="F91" s="21" t="str">
        <f>IF(SUMIFS(Sheet2!$E:$E,Sheet2!$C:$C,$A91,Sheet2!$A:$A,F$2)&lt;&gt;0,SUMIFS(Sheet2!$E:$E,Sheet2!$C:$C,$A91,Sheet2!$A:$A,F$2),"")</f>
        <v/>
      </c>
      <c r="G91" s="21" t="str">
        <f>IF(SUMIFS(Sheet2!$E:$E,Sheet2!$C:$C,$A91,Sheet2!$A:$A,G$2)&lt;&gt;0,SUMIFS(Sheet2!$E:$E,Sheet2!$C:$C,$A91,Sheet2!$A:$A,G$2),"")</f>
        <v/>
      </c>
      <c r="H91" s="21" t="str">
        <f>IF(SUMIFS(Sheet2!$E:$E,Sheet2!$C:$C,$A91,Sheet2!$A:$A,H$2)&lt;&gt;0,SUMIFS(Sheet2!$E:$E,Sheet2!$C:$C,$A91,Sheet2!$A:$A,H$2),"")</f>
        <v/>
      </c>
      <c r="I91" s="21" t="str">
        <f>IF(SUMIFS(Sheet2!$E:$E,Sheet2!$C:$C,$A91,Sheet2!$A:$A,I$2)&lt;&gt;0,SUMIFS(Sheet2!$E:$E,Sheet2!$C:$C,$A91,Sheet2!$A:$A,I$2),"")</f>
        <v/>
      </c>
      <c r="J91" s="21" t="str">
        <f>IF(SUMIFS(Sheet2!$E:$E,Sheet2!$C:$C,$A91,Sheet2!$A:$A,J$2)&lt;&gt;0,SUMIFS(Sheet2!$E:$E,Sheet2!$C:$C,$A91,Sheet2!$A:$A,J$2),"")</f>
        <v/>
      </c>
      <c r="K91" s="21" t="str">
        <f>IF(SUMIFS(Sheet2!$E:$E,Sheet2!$C:$C,$A91,Sheet2!$A:$A,K$2)&lt;&gt;0,SUMIFS(Sheet2!$E:$E,Sheet2!$C:$C,$A91,Sheet2!$A:$A,K$2),"")</f>
        <v/>
      </c>
      <c r="L91" s="21" t="str">
        <f>IF(SUMIFS(Sheet2!$E:$E,Sheet2!$C:$C,$A91,Sheet2!$A:$A,L$2)&lt;&gt;0,SUMIFS(Sheet2!$E:$E,Sheet2!$C:$C,$A91,Sheet2!$A:$A,L$2),"")</f>
        <v/>
      </c>
      <c r="M91" s="21" t="str">
        <f>IF(SUMIFS(Sheet2!$E:$E,Sheet2!$C:$C,$A91,Sheet2!$A:$A,M$2)&lt;&gt;0,SUMIFS(Sheet2!$E:$E,Sheet2!$C:$C,$A91,Sheet2!$A:$A,M$2),"")</f>
        <v/>
      </c>
      <c r="N91" s="21" t="str">
        <f>IF(SUMIFS(Sheet2!$E:$E,Sheet2!$C:$C,$A91,Sheet2!$A:$A,N$2)&lt;&gt;0,SUMIFS(Sheet2!$E:$E,Sheet2!$C:$C,$A91,Sheet2!$A:$A,N$2),"")</f>
        <v/>
      </c>
      <c r="O91" s="21" t="str">
        <f>IF(SUMIFS(Sheet2!$E:$E,Sheet2!$C:$C,$A91,Sheet2!$A:$A,O$2)&lt;&gt;0,SUMIFS(Sheet2!$E:$E,Sheet2!$C:$C,$A91,Sheet2!$A:$A,O$2),"")</f>
        <v/>
      </c>
      <c r="P91" s="21" t="str">
        <f>IF(SUMIFS(Sheet2!$E:$E,Sheet2!$C:$C,$A91,Sheet2!$A:$A,P$2)&lt;&gt;0,SUMIFS(Sheet2!$E:$E,Sheet2!$C:$C,$A91,Sheet2!$A:$A,P$2),"")</f>
        <v/>
      </c>
      <c r="Q91" s="21" t="str">
        <f>IF(SUMIFS(Sheet2!$E:$E,Sheet2!$C:$C,$A91,Sheet2!$A:$A,Q$2)&lt;&gt;0,SUMIFS(Sheet2!$E:$E,Sheet2!$C:$C,$A91,Sheet2!$A:$A,Q$2),"")</f>
        <v/>
      </c>
      <c r="R91" s="21" t="str">
        <f>IF(SUMIFS(Sheet2!$E:$E,Sheet2!$C:$C,$A91,Sheet2!$A:$A,R$2)&lt;&gt;0,SUMIFS(Sheet2!$E:$E,Sheet2!$C:$C,$A91,Sheet2!$A:$A,R$2),"")</f>
        <v/>
      </c>
      <c r="S91" s="21" t="str">
        <f>IF(SUMIFS(Sheet2!$E:$E,Sheet2!$C:$C,$A91,Sheet2!$A:$A,S$2)&lt;&gt;0,SUMIFS(Sheet2!$E:$E,Sheet2!$C:$C,$A91,Sheet2!$A:$A,S$2),"")</f>
        <v/>
      </c>
      <c r="T91" s="21" t="str">
        <f>IF(SUMIFS(Sheet2!$E:$E,Sheet2!$C:$C,$A91,Sheet2!$A:$A,T$2)&lt;&gt;0,SUMIFS(Sheet2!$E:$E,Sheet2!$C:$C,$A91,Sheet2!$A:$A,T$2),"")</f>
        <v/>
      </c>
      <c r="U91" s="21" t="str">
        <f>IF(SUMIFS(Sheet2!$E:$E,Sheet2!$C:$C,$A91,Sheet2!$A:$A,U$2)&lt;&gt;0,SUMIFS(Sheet2!$E:$E,Sheet2!$C:$C,$A91,Sheet2!$A:$A,U$2),"")</f>
        <v/>
      </c>
      <c r="V91" s="21" t="str">
        <f>IF(SUMIFS(Sheet2!$E:$E,Sheet2!$C:$C,$A91,Sheet2!$A:$A,V$2)&lt;&gt;0,SUMIFS(Sheet2!$E:$E,Sheet2!$C:$C,$A91,Sheet2!$A:$A,V$2),"")</f>
        <v/>
      </c>
      <c r="W91" s="21" t="str">
        <f>IF(SUMIFS(Sheet2!$E:$E,Sheet2!$C:$C,$A91,Sheet2!$A:$A,W$2)&lt;&gt;0,SUMIFS(Sheet2!$E:$E,Sheet2!$C:$C,$A91,Sheet2!$A:$A,W$2),"")</f>
        <v/>
      </c>
      <c r="X91" s="21" t="str">
        <f>IF(SUMIFS(Sheet2!$E:$E,Sheet2!$C:$C,$A91,Sheet2!$A:$A,X$2)&lt;&gt;0,SUMIFS(Sheet2!$E:$E,Sheet2!$C:$C,$A91,Sheet2!$A:$A,X$2),"")</f>
        <v/>
      </c>
      <c r="Y91" s="21" t="str">
        <f>IF(SUMIFS(Sheet2!$E:$E,Sheet2!$C:$C,$A91,Sheet2!$A:$A,Y$2)&lt;&gt;0,SUMIFS(Sheet2!$E:$E,Sheet2!$C:$C,$A91,Sheet2!$A:$A,Y$2),"")</f>
        <v/>
      </c>
      <c r="Z91" s="21" t="str">
        <f>IF(SUMIFS(Sheet2!$E:$E,Sheet2!$C:$C,$A91,Sheet2!$A:$A,Z$2)&lt;&gt;0,SUMIFS(Sheet2!$E:$E,Sheet2!$C:$C,$A91,Sheet2!$A:$A,Z$2),"")</f>
        <v/>
      </c>
      <c r="AA91" s="21" t="str">
        <f>IF(SUMIFS(Sheet2!$E:$E,Sheet2!$C:$C,$A91,Sheet2!$A:$A,AA$2)&lt;&gt;0,SUMIFS(Sheet2!$E:$E,Sheet2!$C:$C,$A91,Sheet2!$A:$A,AA$2),"")</f>
        <v/>
      </c>
      <c r="AB91" s="21" t="str">
        <f>IF(SUMIFS(Sheet2!$E:$E,Sheet2!$C:$C,$A91,Sheet2!$A:$A,AB$2)&lt;&gt;0,SUMIFS(Sheet2!$E:$E,Sheet2!$C:$C,$A91,Sheet2!$A:$A,AB$2),"")</f>
        <v/>
      </c>
      <c r="AC91" s="21" t="str">
        <f>IF(SUMIFS(Sheet2!$E:$E,Sheet2!$C:$C,$A91,Sheet2!$A:$A,AC$2)&lt;&gt;0,SUMIFS(Sheet2!$E:$E,Sheet2!$C:$C,$A91,Sheet2!$A:$A,AC$2),"")</f>
        <v/>
      </c>
      <c r="AD91" s="21" t="str">
        <f>IF(SUMIFS(Sheet2!$E:$E,Sheet2!$C:$C,$A91,Sheet2!$A:$A,AD$2)&lt;&gt;0,SUMIFS(Sheet2!$E:$E,Sheet2!$C:$C,$A91,Sheet2!$A:$A,AD$2),"")</f>
        <v/>
      </c>
      <c r="AE91" s="21" t="str">
        <f>IF(SUMIFS(Sheet2!$E:$E,Sheet2!$C:$C,$A91,Sheet2!$A:$A,AE$2)&lt;&gt;0,SUMIFS(Sheet2!$E:$E,Sheet2!$C:$C,$A91,Sheet2!$A:$A,AE$2),"")</f>
        <v/>
      </c>
      <c r="AF91" s="21" t="str">
        <f>IF(SUMIFS(Sheet2!$E:$E,Sheet2!$C:$C,$A91,Sheet2!$A:$A,AF$2)&lt;&gt;0,SUMIFS(Sheet2!$E:$E,Sheet2!$C:$C,$A91,Sheet2!$A:$A,AF$2),"")</f>
        <v/>
      </c>
      <c r="AG91" s="21" t="str">
        <f>IF(SUMIFS(Sheet2!$E:$E,Sheet2!$C:$C,$A91,Sheet2!$A:$A,AG$2)&lt;&gt;0,SUMIFS(Sheet2!$E:$E,Sheet2!$C:$C,$A91,Sheet2!$A:$A,AG$2),"")</f>
        <v/>
      </c>
      <c r="AH91" s="43">
        <f>SUM(Table2[[#This Row],[1]:[31]])</f>
        <v>0</v>
      </c>
    </row>
    <row r="92" spans="1:34" ht="12.75" customHeight="1">
      <c r="A92" s="76" t="str">
        <f>DSSP!A91</f>
        <v>B07</v>
      </c>
      <c r="B92" s="25" t="str">
        <f>DSSP!B91</f>
        <v>Bánh dâu</v>
      </c>
      <c r="C92" s="42" t="str">
        <f>IF(SUMIFS(Sheet2!$E:$E,Sheet2!$C:$C,$A92,Sheet2!$A:$A,C$2)&lt;&gt;0,SUMIFS(Sheet2!$E:$E,Sheet2!$C:$C,$A92,Sheet2!$A:$A,C$2),"")</f>
        <v/>
      </c>
      <c r="D92" s="42" t="str">
        <f>IF(SUMIFS(Sheet2!$E:$E,Sheet2!$C:$C,$A92,Sheet2!$A:$A,D$2)&lt;&gt;0,SUMIFS(Sheet2!$E:$E,Sheet2!$C:$C,$A92,Sheet2!$A:$A,D$2),"")</f>
        <v/>
      </c>
      <c r="E92" s="42" t="str">
        <f>IF(SUMIFS(Sheet2!$E:$E,Sheet2!$C:$C,$A92,Sheet2!$A:$A,E$2)&lt;&gt;0,SUMIFS(Sheet2!$E:$E,Sheet2!$C:$C,$A92,Sheet2!$A:$A,E$2),"")</f>
        <v/>
      </c>
      <c r="F92" s="42" t="str">
        <f>IF(SUMIFS(Sheet2!$E:$E,Sheet2!$C:$C,$A92,Sheet2!$A:$A,F$2)&lt;&gt;0,SUMIFS(Sheet2!$E:$E,Sheet2!$C:$C,$A92,Sheet2!$A:$A,F$2),"")</f>
        <v/>
      </c>
      <c r="G92" s="42" t="str">
        <f>IF(SUMIFS(Sheet2!$E:$E,Sheet2!$C:$C,$A92,Sheet2!$A:$A,G$2)&lt;&gt;0,SUMIFS(Sheet2!$E:$E,Sheet2!$C:$C,$A92,Sheet2!$A:$A,G$2),"")</f>
        <v/>
      </c>
      <c r="H92" s="42" t="str">
        <f>IF(SUMIFS(Sheet2!$E:$E,Sheet2!$C:$C,$A92,Sheet2!$A:$A,H$2)&lt;&gt;0,SUMIFS(Sheet2!$E:$E,Sheet2!$C:$C,$A92,Sheet2!$A:$A,H$2),"")</f>
        <v/>
      </c>
      <c r="I92" s="42" t="str">
        <f>IF(SUMIFS(Sheet2!$E:$E,Sheet2!$C:$C,$A92,Sheet2!$A:$A,I$2)&lt;&gt;0,SUMIFS(Sheet2!$E:$E,Sheet2!$C:$C,$A92,Sheet2!$A:$A,I$2),"")</f>
        <v/>
      </c>
      <c r="J92" s="42" t="str">
        <f>IF(SUMIFS(Sheet2!$E:$E,Sheet2!$C:$C,$A92,Sheet2!$A:$A,J$2)&lt;&gt;0,SUMIFS(Sheet2!$E:$E,Sheet2!$C:$C,$A92,Sheet2!$A:$A,J$2),"")</f>
        <v/>
      </c>
      <c r="K92" s="42" t="str">
        <f>IF(SUMIFS(Sheet2!$E:$E,Sheet2!$C:$C,$A92,Sheet2!$A:$A,K$2)&lt;&gt;0,SUMIFS(Sheet2!$E:$E,Sheet2!$C:$C,$A92,Sheet2!$A:$A,K$2),"")</f>
        <v/>
      </c>
      <c r="L92" s="42" t="str">
        <f>IF(SUMIFS(Sheet2!$E:$E,Sheet2!$C:$C,$A92,Sheet2!$A:$A,L$2)&lt;&gt;0,SUMIFS(Sheet2!$E:$E,Sheet2!$C:$C,$A92,Sheet2!$A:$A,L$2),"")</f>
        <v/>
      </c>
      <c r="M92" s="42" t="str">
        <f>IF(SUMIFS(Sheet2!$E:$E,Sheet2!$C:$C,$A92,Sheet2!$A:$A,M$2)&lt;&gt;0,SUMIFS(Sheet2!$E:$E,Sheet2!$C:$C,$A92,Sheet2!$A:$A,M$2),"")</f>
        <v/>
      </c>
      <c r="N92" s="42" t="str">
        <f>IF(SUMIFS(Sheet2!$E:$E,Sheet2!$C:$C,$A92,Sheet2!$A:$A,N$2)&lt;&gt;0,SUMIFS(Sheet2!$E:$E,Sheet2!$C:$C,$A92,Sheet2!$A:$A,N$2),"")</f>
        <v/>
      </c>
      <c r="O92" s="42" t="str">
        <f>IF(SUMIFS(Sheet2!$E:$E,Sheet2!$C:$C,$A92,Sheet2!$A:$A,O$2)&lt;&gt;0,SUMIFS(Sheet2!$E:$E,Sheet2!$C:$C,$A92,Sheet2!$A:$A,O$2),"")</f>
        <v/>
      </c>
      <c r="P92" s="42" t="str">
        <f>IF(SUMIFS(Sheet2!$E:$E,Sheet2!$C:$C,$A92,Sheet2!$A:$A,P$2)&lt;&gt;0,SUMIFS(Sheet2!$E:$E,Sheet2!$C:$C,$A92,Sheet2!$A:$A,P$2),"")</f>
        <v/>
      </c>
      <c r="Q92" s="42" t="str">
        <f>IF(SUMIFS(Sheet2!$E:$E,Sheet2!$C:$C,$A92,Sheet2!$A:$A,Q$2)&lt;&gt;0,SUMIFS(Sheet2!$E:$E,Sheet2!$C:$C,$A92,Sheet2!$A:$A,Q$2),"")</f>
        <v/>
      </c>
      <c r="R92" s="42" t="str">
        <f>IF(SUMIFS(Sheet2!$E:$E,Sheet2!$C:$C,$A92,Sheet2!$A:$A,R$2)&lt;&gt;0,SUMIFS(Sheet2!$E:$E,Sheet2!$C:$C,$A92,Sheet2!$A:$A,R$2),"")</f>
        <v/>
      </c>
      <c r="S92" s="42" t="str">
        <f>IF(SUMIFS(Sheet2!$E:$E,Sheet2!$C:$C,$A92,Sheet2!$A:$A,S$2)&lt;&gt;0,SUMIFS(Sheet2!$E:$E,Sheet2!$C:$C,$A92,Sheet2!$A:$A,S$2),"")</f>
        <v/>
      </c>
      <c r="T92" s="42" t="str">
        <f>IF(SUMIFS(Sheet2!$E:$E,Sheet2!$C:$C,$A92,Sheet2!$A:$A,T$2)&lt;&gt;0,SUMIFS(Sheet2!$E:$E,Sheet2!$C:$C,$A92,Sheet2!$A:$A,T$2),"")</f>
        <v/>
      </c>
      <c r="U92" s="42" t="str">
        <f>IF(SUMIFS(Sheet2!$E:$E,Sheet2!$C:$C,$A92,Sheet2!$A:$A,U$2)&lt;&gt;0,SUMIFS(Sheet2!$E:$E,Sheet2!$C:$C,$A92,Sheet2!$A:$A,U$2),"")</f>
        <v/>
      </c>
      <c r="V92" s="42" t="str">
        <f>IF(SUMIFS(Sheet2!$E:$E,Sheet2!$C:$C,$A92,Sheet2!$A:$A,V$2)&lt;&gt;0,SUMIFS(Sheet2!$E:$E,Sheet2!$C:$C,$A92,Sheet2!$A:$A,V$2),"")</f>
        <v/>
      </c>
      <c r="W92" s="42" t="str">
        <f>IF(SUMIFS(Sheet2!$E:$E,Sheet2!$C:$C,$A92,Sheet2!$A:$A,W$2)&lt;&gt;0,SUMIFS(Sheet2!$E:$E,Sheet2!$C:$C,$A92,Sheet2!$A:$A,W$2),"")</f>
        <v/>
      </c>
      <c r="X92" s="42" t="str">
        <f>IF(SUMIFS(Sheet2!$E:$E,Sheet2!$C:$C,$A92,Sheet2!$A:$A,X$2)&lt;&gt;0,SUMIFS(Sheet2!$E:$E,Sheet2!$C:$C,$A92,Sheet2!$A:$A,X$2),"")</f>
        <v/>
      </c>
      <c r="Y92" s="42" t="str">
        <f>IF(SUMIFS(Sheet2!$E:$E,Sheet2!$C:$C,$A92,Sheet2!$A:$A,Y$2)&lt;&gt;0,SUMIFS(Sheet2!$E:$E,Sheet2!$C:$C,$A92,Sheet2!$A:$A,Y$2),"")</f>
        <v/>
      </c>
      <c r="Z92" s="42" t="str">
        <f>IF(SUMIFS(Sheet2!$E:$E,Sheet2!$C:$C,$A92,Sheet2!$A:$A,Z$2)&lt;&gt;0,SUMIFS(Sheet2!$E:$E,Sheet2!$C:$C,$A92,Sheet2!$A:$A,Z$2),"")</f>
        <v/>
      </c>
      <c r="AA92" s="42" t="str">
        <f>IF(SUMIFS(Sheet2!$E:$E,Sheet2!$C:$C,$A92,Sheet2!$A:$A,AA$2)&lt;&gt;0,SUMIFS(Sheet2!$E:$E,Sheet2!$C:$C,$A92,Sheet2!$A:$A,AA$2),"")</f>
        <v/>
      </c>
      <c r="AB92" s="42" t="str">
        <f>IF(SUMIFS(Sheet2!$E:$E,Sheet2!$C:$C,$A92,Sheet2!$A:$A,AB$2)&lt;&gt;0,SUMIFS(Sheet2!$E:$E,Sheet2!$C:$C,$A92,Sheet2!$A:$A,AB$2),"")</f>
        <v/>
      </c>
      <c r="AC92" s="42" t="str">
        <f>IF(SUMIFS(Sheet2!$E:$E,Sheet2!$C:$C,$A92,Sheet2!$A:$A,AC$2)&lt;&gt;0,SUMIFS(Sheet2!$E:$E,Sheet2!$C:$C,$A92,Sheet2!$A:$A,AC$2),"")</f>
        <v/>
      </c>
      <c r="AD92" s="42" t="str">
        <f>IF(SUMIFS(Sheet2!$E:$E,Sheet2!$C:$C,$A92,Sheet2!$A:$A,AD$2)&lt;&gt;0,SUMIFS(Sheet2!$E:$E,Sheet2!$C:$C,$A92,Sheet2!$A:$A,AD$2),"")</f>
        <v/>
      </c>
      <c r="AE92" s="42" t="str">
        <f>IF(SUMIFS(Sheet2!$E:$E,Sheet2!$C:$C,$A92,Sheet2!$A:$A,AE$2)&lt;&gt;0,SUMIFS(Sheet2!$E:$E,Sheet2!$C:$C,$A92,Sheet2!$A:$A,AE$2),"")</f>
        <v/>
      </c>
      <c r="AF92" s="42" t="str">
        <f>IF(SUMIFS(Sheet2!$E:$E,Sheet2!$C:$C,$A92,Sheet2!$A:$A,AF$2)&lt;&gt;0,SUMIFS(Sheet2!$E:$E,Sheet2!$C:$C,$A92,Sheet2!$A:$A,AF$2),"")</f>
        <v/>
      </c>
      <c r="AG92" s="42" t="str">
        <f>IF(SUMIFS(Sheet2!$E:$E,Sheet2!$C:$C,$A92,Sheet2!$A:$A,AG$2)&lt;&gt;0,SUMIFS(Sheet2!$E:$E,Sheet2!$C:$C,$A92,Sheet2!$A:$A,AG$2),"")</f>
        <v/>
      </c>
      <c r="AH92" s="43">
        <f>SUM(Table2[[#This Row],[1]:[31]])</f>
        <v>0</v>
      </c>
    </row>
    <row r="93" spans="1:34" ht="12.75" customHeight="1">
      <c r="A93" s="76" t="str">
        <f>DSSP!A92</f>
        <v>B08</v>
      </c>
      <c r="B93" s="25" t="str">
        <f>DSSP!B92</f>
        <v>Cơm Nhật</v>
      </c>
      <c r="C93" s="42" t="str">
        <f>IF(SUMIFS(Sheet2!$E:$E,Sheet2!$C:$C,$A93,Sheet2!$A:$A,C$2)&lt;&gt;0,SUMIFS(Sheet2!$E:$E,Sheet2!$C:$C,$A93,Sheet2!$A:$A,C$2),"")</f>
        <v/>
      </c>
      <c r="D93" s="42" t="str">
        <f>IF(SUMIFS(Sheet2!$E:$E,Sheet2!$C:$C,$A93,Sheet2!$A:$A,D$2)&lt;&gt;0,SUMIFS(Sheet2!$E:$E,Sheet2!$C:$C,$A93,Sheet2!$A:$A,D$2),"")</f>
        <v/>
      </c>
      <c r="E93" s="42" t="str">
        <f>IF(SUMIFS(Sheet2!$E:$E,Sheet2!$C:$C,$A93,Sheet2!$A:$A,E$2)&lt;&gt;0,SUMIFS(Sheet2!$E:$E,Sheet2!$C:$C,$A93,Sheet2!$A:$A,E$2),"")</f>
        <v/>
      </c>
      <c r="F93" s="42" t="str">
        <f>IF(SUMIFS(Sheet2!$E:$E,Sheet2!$C:$C,$A93,Sheet2!$A:$A,F$2)&lt;&gt;0,SUMIFS(Sheet2!$E:$E,Sheet2!$C:$C,$A93,Sheet2!$A:$A,F$2),"")</f>
        <v/>
      </c>
      <c r="G93" s="42" t="str">
        <f>IF(SUMIFS(Sheet2!$E:$E,Sheet2!$C:$C,$A93,Sheet2!$A:$A,G$2)&lt;&gt;0,SUMIFS(Sheet2!$E:$E,Sheet2!$C:$C,$A93,Sheet2!$A:$A,G$2),"")</f>
        <v/>
      </c>
      <c r="H93" s="42" t="str">
        <f>IF(SUMIFS(Sheet2!$E:$E,Sheet2!$C:$C,$A93,Sheet2!$A:$A,H$2)&lt;&gt;0,SUMIFS(Sheet2!$E:$E,Sheet2!$C:$C,$A93,Sheet2!$A:$A,H$2),"")</f>
        <v/>
      </c>
      <c r="I93" s="42" t="str">
        <f>IF(SUMIFS(Sheet2!$E:$E,Sheet2!$C:$C,$A93,Sheet2!$A:$A,I$2)&lt;&gt;0,SUMIFS(Sheet2!$E:$E,Sheet2!$C:$C,$A93,Sheet2!$A:$A,I$2),"")</f>
        <v/>
      </c>
      <c r="J93" s="42" t="str">
        <f>IF(SUMIFS(Sheet2!$E:$E,Sheet2!$C:$C,$A93,Sheet2!$A:$A,J$2)&lt;&gt;0,SUMIFS(Sheet2!$E:$E,Sheet2!$C:$C,$A93,Sheet2!$A:$A,J$2),"")</f>
        <v/>
      </c>
      <c r="K93" s="42" t="str">
        <f>IF(SUMIFS(Sheet2!$E:$E,Sheet2!$C:$C,$A93,Sheet2!$A:$A,K$2)&lt;&gt;0,SUMIFS(Sheet2!$E:$E,Sheet2!$C:$C,$A93,Sheet2!$A:$A,K$2),"")</f>
        <v/>
      </c>
      <c r="L93" s="42" t="str">
        <f>IF(SUMIFS(Sheet2!$E:$E,Sheet2!$C:$C,$A93,Sheet2!$A:$A,L$2)&lt;&gt;0,SUMIFS(Sheet2!$E:$E,Sheet2!$C:$C,$A93,Sheet2!$A:$A,L$2),"")</f>
        <v/>
      </c>
      <c r="M93" s="42" t="str">
        <f>IF(SUMIFS(Sheet2!$E:$E,Sheet2!$C:$C,$A93,Sheet2!$A:$A,M$2)&lt;&gt;0,SUMIFS(Sheet2!$E:$E,Sheet2!$C:$C,$A93,Sheet2!$A:$A,M$2),"")</f>
        <v/>
      </c>
      <c r="N93" s="42" t="str">
        <f>IF(SUMIFS(Sheet2!$E:$E,Sheet2!$C:$C,$A93,Sheet2!$A:$A,N$2)&lt;&gt;0,SUMIFS(Sheet2!$E:$E,Sheet2!$C:$C,$A93,Sheet2!$A:$A,N$2),"")</f>
        <v/>
      </c>
      <c r="O93" s="42" t="str">
        <f>IF(SUMIFS(Sheet2!$E:$E,Sheet2!$C:$C,$A93,Sheet2!$A:$A,O$2)&lt;&gt;0,SUMIFS(Sheet2!$E:$E,Sheet2!$C:$C,$A93,Sheet2!$A:$A,O$2),"")</f>
        <v/>
      </c>
      <c r="P93" s="42" t="str">
        <f>IF(SUMIFS(Sheet2!$E:$E,Sheet2!$C:$C,$A93,Sheet2!$A:$A,P$2)&lt;&gt;0,SUMIFS(Sheet2!$E:$E,Sheet2!$C:$C,$A93,Sheet2!$A:$A,P$2),"")</f>
        <v/>
      </c>
      <c r="Q93" s="42" t="str">
        <f>IF(SUMIFS(Sheet2!$E:$E,Sheet2!$C:$C,$A93,Sheet2!$A:$A,Q$2)&lt;&gt;0,SUMIFS(Sheet2!$E:$E,Sheet2!$C:$C,$A93,Sheet2!$A:$A,Q$2),"")</f>
        <v/>
      </c>
      <c r="R93" s="42" t="str">
        <f>IF(SUMIFS(Sheet2!$E:$E,Sheet2!$C:$C,$A93,Sheet2!$A:$A,R$2)&lt;&gt;0,SUMIFS(Sheet2!$E:$E,Sheet2!$C:$C,$A93,Sheet2!$A:$A,R$2),"")</f>
        <v/>
      </c>
      <c r="S93" s="42" t="str">
        <f>IF(SUMIFS(Sheet2!$E:$E,Sheet2!$C:$C,$A93,Sheet2!$A:$A,S$2)&lt;&gt;0,SUMIFS(Sheet2!$E:$E,Sheet2!$C:$C,$A93,Sheet2!$A:$A,S$2),"")</f>
        <v/>
      </c>
      <c r="T93" s="42" t="str">
        <f>IF(SUMIFS(Sheet2!$E:$E,Sheet2!$C:$C,$A93,Sheet2!$A:$A,T$2)&lt;&gt;0,SUMIFS(Sheet2!$E:$E,Sheet2!$C:$C,$A93,Sheet2!$A:$A,T$2),"")</f>
        <v/>
      </c>
      <c r="U93" s="42" t="str">
        <f>IF(SUMIFS(Sheet2!$E:$E,Sheet2!$C:$C,$A93,Sheet2!$A:$A,U$2)&lt;&gt;0,SUMIFS(Sheet2!$E:$E,Sheet2!$C:$C,$A93,Sheet2!$A:$A,U$2),"")</f>
        <v/>
      </c>
      <c r="V93" s="42" t="str">
        <f>IF(SUMIFS(Sheet2!$E:$E,Sheet2!$C:$C,$A93,Sheet2!$A:$A,V$2)&lt;&gt;0,SUMIFS(Sheet2!$E:$E,Sheet2!$C:$C,$A93,Sheet2!$A:$A,V$2),"")</f>
        <v/>
      </c>
      <c r="W93" s="42" t="str">
        <f>IF(SUMIFS(Sheet2!$E:$E,Sheet2!$C:$C,$A93,Sheet2!$A:$A,W$2)&lt;&gt;0,SUMIFS(Sheet2!$E:$E,Sheet2!$C:$C,$A93,Sheet2!$A:$A,W$2),"")</f>
        <v/>
      </c>
      <c r="X93" s="42" t="str">
        <f>IF(SUMIFS(Sheet2!$E:$E,Sheet2!$C:$C,$A93,Sheet2!$A:$A,X$2)&lt;&gt;0,SUMIFS(Sheet2!$E:$E,Sheet2!$C:$C,$A93,Sheet2!$A:$A,X$2),"")</f>
        <v/>
      </c>
      <c r="Y93" s="42" t="str">
        <f>IF(SUMIFS(Sheet2!$E:$E,Sheet2!$C:$C,$A93,Sheet2!$A:$A,Y$2)&lt;&gt;0,SUMIFS(Sheet2!$E:$E,Sheet2!$C:$C,$A93,Sheet2!$A:$A,Y$2),"")</f>
        <v/>
      </c>
      <c r="Z93" s="42" t="str">
        <f>IF(SUMIFS(Sheet2!$E:$E,Sheet2!$C:$C,$A93,Sheet2!$A:$A,Z$2)&lt;&gt;0,SUMIFS(Sheet2!$E:$E,Sheet2!$C:$C,$A93,Sheet2!$A:$A,Z$2),"")</f>
        <v/>
      </c>
      <c r="AA93" s="42" t="str">
        <f>IF(SUMIFS(Sheet2!$E:$E,Sheet2!$C:$C,$A93,Sheet2!$A:$A,AA$2)&lt;&gt;0,SUMIFS(Sheet2!$E:$E,Sheet2!$C:$C,$A93,Sheet2!$A:$A,AA$2),"")</f>
        <v/>
      </c>
      <c r="AB93" s="42" t="str">
        <f>IF(SUMIFS(Sheet2!$E:$E,Sheet2!$C:$C,$A93,Sheet2!$A:$A,AB$2)&lt;&gt;0,SUMIFS(Sheet2!$E:$E,Sheet2!$C:$C,$A93,Sheet2!$A:$A,AB$2),"")</f>
        <v/>
      </c>
      <c r="AC93" s="42" t="str">
        <f>IF(SUMIFS(Sheet2!$E:$E,Sheet2!$C:$C,$A93,Sheet2!$A:$A,AC$2)&lt;&gt;0,SUMIFS(Sheet2!$E:$E,Sheet2!$C:$C,$A93,Sheet2!$A:$A,AC$2),"")</f>
        <v/>
      </c>
      <c r="AD93" s="42" t="str">
        <f>IF(SUMIFS(Sheet2!$E:$E,Sheet2!$C:$C,$A93,Sheet2!$A:$A,AD$2)&lt;&gt;0,SUMIFS(Sheet2!$E:$E,Sheet2!$C:$C,$A93,Sheet2!$A:$A,AD$2),"")</f>
        <v/>
      </c>
      <c r="AE93" s="42" t="str">
        <f>IF(SUMIFS(Sheet2!$E:$E,Sheet2!$C:$C,$A93,Sheet2!$A:$A,AE$2)&lt;&gt;0,SUMIFS(Sheet2!$E:$E,Sheet2!$C:$C,$A93,Sheet2!$A:$A,AE$2),"")</f>
        <v/>
      </c>
      <c r="AF93" s="42" t="str">
        <f>IF(SUMIFS(Sheet2!$E:$E,Sheet2!$C:$C,$A93,Sheet2!$A:$A,AF$2)&lt;&gt;0,SUMIFS(Sheet2!$E:$E,Sheet2!$C:$C,$A93,Sheet2!$A:$A,AF$2),"")</f>
        <v/>
      </c>
      <c r="AG93" s="42" t="str">
        <f>IF(SUMIFS(Sheet2!$E:$E,Sheet2!$C:$C,$A93,Sheet2!$A:$A,AG$2)&lt;&gt;0,SUMIFS(Sheet2!$E:$E,Sheet2!$C:$C,$A93,Sheet2!$A:$A,AG$2),"")</f>
        <v/>
      </c>
      <c r="AH93" s="43">
        <f>SUM(Table2[[#This Row],[1]:[31]])</f>
        <v>0</v>
      </c>
    </row>
    <row r="94" spans="1:34" ht="12.75" customHeight="1">
      <c r="A94" s="76" t="str">
        <f>DSSP!A93</f>
        <v>B09</v>
      </c>
      <c r="B94" s="25" t="str">
        <f>DSSP!B93</f>
        <v>Pizza hoa quả</v>
      </c>
      <c r="C94" s="42" t="str">
        <f>IF(SUMIFS(Sheet2!$E:$E,Sheet2!$C:$C,$A94,Sheet2!$A:$A,C$2)&lt;&gt;0,SUMIFS(Sheet2!$E:$E,Sheet2!$C:$C,$A94,Sheet2!$A:$A,C$2),"")</f>
        <v/>
      </c>
      <c r="D94" s="42" t="str">
        <f>IF(SUMIFS(Sheet2!$E:$E,Sheet2!$C:$C,$A94,Sheet2!$A:$A,D$2)&lt;&gt;0,SUMIFS(Sheet2!$E:$E,Sheet2!$C:$C,$A94,Sheet2!$A:$A,D$2),"")</f>
        <v/>
      </c>
      <c r="E94" s="42" t="str">
        <f>IF(SUMIFS(Sheet2!$E:$E,Sheet2!$C:$C,$A94,Sheet2!$A:$A,E$2)&lt;&gt;0,SUMIFS(Sheet2!$E:$E,Sheet2!$C:$C,$A94,Sheet2!$A:$A,E$2),"")</f>
        <v/>
      </c>
      <c r="F94" s="42" t="str">
        <f>IF(SUMIFS(Sheet2!$E:$E,Sheet2!$C:$C,$A94,Sheet2!$A:$A,F$2)&lt;&gt;0,SUMIFS(Sheet2!$E:$E,Sheet2!$C:$C,$A94,Sheet2!$A:$A,F$2),"")</f>
        <v/>
      </c>
      <c r="G94" s="42" t="str">
        <f>IF(SUMIFS(Sheet2!$E:$E,Sheet2!$C:$C,$A94,Sheet2!$A:$A,G$2)&lt;&gt;0,SUMIFS(Sheet2!$E:$E,Sheet2!$C:$C,$A94,Sheet2!$A:$A,G$2),"")</f>
        <v/>
      </c>
      <c r="H94" s="42" t="str">
        <f>IF(SUMIFS(Sheet2!$E:$E,Sheet2!$C:$C,$A94,Sheet2!$A:$A,H$2)&lt;&gt;0,SUMIFS(Sheet2!$E:$E,Sheet2!$C:$C,$A94,Sheet2!$A:$A,H$2),"")</f>
        <v/>
      </c>
      <c r="I94" s="42" t="str">
        <f>IF(SUMIFS(Sheet2!$E:$E,Sheet2!$C:$C,$A94,Sheet2!$A:$A,I$2)&lt;&gt;0,SUMIFS(Sheet2!$E:$E,Sheet2!$C:$C,$A94,Sheet2!$A:$A,I$2),"")</f>
        <v/>
      </c>
      <c r="J94" s="42" t="str">
        <f>IF(SUMIFS(Sheet2!$E:$E,Sheet2!$C:$C,$A94,Sheet2!$A:$A,J$2)&lt;&gt;0,SUMIFS(Sheet2!$E:$E,Sheet2!$C:$C,$A94,Sheet2!$A:$A,J$2),"")</f>
        <v/>
      </c>
      <c r="K94" s="42" t="str">
        <f>IF(SUMIFS(Sheet2!$E:$E,Sheet2!$C:$C,$A94,Sheet2!$A:$A,K$2)&lt;&gt;0,SUMIFS(Sheet2!$E:$E,Sheet2!$C:$C,$A94,Sheet2!$A:$A,K$2),"")</f>
        <v/>
      </c>
      <c r="L94" s="42" t="str">
        <f>IF(SUMIFS(Sheet2!$E:$E,Sheet2!$C:$C,$A94,Sheet2!$A:$A,L$2)&lt;&gt;0,SUMIFS(Sheet2!$E:$E,Sheet2!$C:$C,$A94,Sheet2!$A:$A,L$2),"")</f>
        <v/>
      </c>
      <c r="M94" s="42" t="str">
        <f>IF(SUMIFS(Sheet2!$E:$E,Sheet2!$C:$C,$A94,Sheet2!$A:$A,M$2)&lt;&gt;0,SUMIFS(Sheet2!$E:$E,Sheet2!$C:$C,$A94,Sheet2!$A:$A,M$2),"")</f>
        <v/>
      </c>
      <c r="N94" s="42" t="str">
        <f>IF(SUMIFS(Sheet2!$E:$E,Sheet2!$C:$C,$A94,Sheet2!$A:$A,N$2)&lt;&gt;0,SUMIFS(Sheet2!$E:$E,Sheet2!$C:$C,$A94,Sheet2!$A:$A,N$2),"")</f>
        <v/>
      </c>
      <c r="O94" s="42" t="str">
        <f>IF(SUMIFS(Sheet2!$E:$E,Sheet2!$C:$C,$A94,Sheet2!$A:$A,O$2)&lt;&gt;0,SUMIFS(Sheet2!$E:$E,Sheet2!$C:$C,$A94,Sheet2!$A:$A,O$2),"")</f>
        <v/>
      </c>
      <c r="P94" s="42" t="str">
        <f>IF(SUMIFS(Sheet2!$E:$E,Sheet2!$C:$C,$A94,Sheet2!$A:$A,P$2)&lt;&gt;0,SUMIFS(Sheet2!$E:$E,Sheet2!$C:$C,$A94,Sheet2!$A:$A,P$2),"")</f>
        <v/>
      </c>
      <c r="Q94" s="42" t="str">
        <f>IF(SUMIFS(Sheet2!$E:$E,Sheet2!$C:$C,$A94,Sheet2!$A:$A,Q$2)&lt;&gt;0,SUMIFS(Sheet2!$E:$E,Sheet2!$C:$C,$A94,Sheet2!$A:$A,Q$2),"")</f>
        <v/>
      </c>
      <c r="R94" s="42" t="str">
        <f>IF(SUMIFS(Sheet2!$E:$E,Sheet2!$C:$C,$A94,Sheet2!$A:$A,R$2)&lt;&gt;0,SUMIFS(Sheet2!$E:$E,Sheet2!$C:$C,$A94,Sheet2!$A:$A,R$2),"")</f>
        <v/>
      </c>
      <c r="S94" s="42" t="str">
        <f>IF(SUMIFS(Sheet2!$E:$E,Sheet2!$C:$C,$A94,Sheet2!$A:$A,S$2)&lt;&gt;0,SUMIFS(Sheet2!$E:$E,Sheet2!$C:$C,$A94,Sheet2!$A:$A,S$2),"")</f>
        <v/>
      </c>
      <c r="T94" s="42" t="str">
        <f>IF(SUMIFS(Sheet2!$E:$E,Sheet2!$C:$C,$A94,Sheet2!$A:$A,T$2)&lt;&gt;0,SUMIFS(Sheet2!$E:$E,Sheet2!$C:$C,$A94,Sheet2!$A:$A,T$2),"")</f>
        <v/>
      </c>
      <c r="U94" s="42" t="str">
        <f>IF(SUMIFS(Sheet2!$E:$E,Sheet2!$C:$C,$A94,Sheet2!$A:$A,U$2)&lt;&gt;0,SUMIFS(Sheet2!$E:$E,Sheet2!$C:$C,$A94,Sheet2!$A:$A,U$2),"")</f>
        <v/>
      </c>
      <c r="V94" s="42" t="str">
        <f>IF(SUMIFS(Sheet2!$E:$E,Sheet2!$C:$C,$A94,Sheet2!$A:$A,V$2)&lt;&gt;0,SUMIFS(Sheet2!$E:$E,Sheet2!$C:$C,$A94,Sheet2!$A:$A,V$2),"")</f>
        <v/>
      </c>
      <c r="W94" s="42" t="str">
        <f>IF(SUMIFS(Sheet2!$E:$E,Sheet2!$C:$C,$A94,Sheet2!$A:$A,W$2)&lt;&gt;0,SUMIFS(Sheet2!$E:$E,Sheet2!$C:$C,$A94,Sheet2!$A:$A,W$2),"")</f>
        <v/>
      </c>
      <c r="X94" s="42" t="str">
        <f>IF(SUMIFS(Sheet2!$E:$E,Sheet2!$C:$C,$A94,Sheet2!$A:$A,X$2)&lt;&gt;0,SUMIFS(Sheet2!$E:$E,Sheet2!$C:$C,$A94,Sheet2!$A:$A,X$2),"")</f>
        <v/>
      </c>
      <c r="Y94" s="42" t="str">
        <f>IF(SUMIFS(Sheet2!$E:$E,Sheet2!$C:$C,$A94,Sheet2!$A:$A,Y$2)&lt;&gt;0,SUMIFS(Sheet2!$E:$E,Sheet2!$C:$C,$A94,Sheet2!$A:$A,Y$2),"")</f>
        <v/>
      </c>
      <c r="Z94" s="42" t="str">
        <f>IF(SUMIFS(Sheet2!$E:$E,Sheet2!$C:$C,$A94,Sheet2!$A:$A,Z$2)&lt;&gt;0,SUMIFS(Sheet2!$E:$E,Sheet2!$C:$C,$A94,Sheet2!$A:$A,Z$2),"")</f>
        <v/>
      </c>
      <c r="AA94" s="42" t="str">
        <f>IF(SUMIFS(Sheet2!$E:$E,Sheet2!$C:$C,$A94,Sheet2!$A:$A,AA$2)&lt;&gt;0,SUMIFS(Sheet2!$E:$E,Sheet2!$C:$C,$A94,Sheet2!$A:$A,AA$2),"")</f>
        <v/>
      </c>
      <c r="AB94" s="42" t="str">
        <f>IF(SUMIFS(Sheet2!$E:$E,Sheet2!$C:$C,$A94,Sheet2!$A:$A,AB$2)&lt;&gt;0,SUMIFS(Sheet2!$E:$E,Sheet2!$C:$C,$A94,Sheet2!$A:$A,AB$2),"")</f>
        <v/>
      </c>
      <c r="AC94" s="42" t="str">
        <f>IF(SUMIFS(Sheet2!$E:$E,Sheet2!$C:$C,$A94,Sheet2!$A:$A,AC$2)&lt;&gt;0,SUMIFS(Sheet2!$E:$E,Sheet2!$C:$C,$A94,Sheet2!$A:$A,AC$2),"")</f>
        <v/>
      </c>
      <c r="AD94" s="42" t="str">
        <f>IF(SUMIFS(Sheet2!$E:$E,Sheet2!$C:$C,$A94,Sheet2!$A:$A,AD$2)&lt;&gt;0,SUMIFS(Sheet2!$E:$E,Sheet2!$C:$C,$A94,Sheet2!$A:$A,AD$2),"")</f>
        <v/>
      </c>
      <c r="AE94" s="42" t="str">
        <f>IF(SUMIFS(Sheet2!$E:$E,Sheet2!$C:$C,$A94,Sheet2!$A:$A,AE$2)&lt;&gt;0,SUMIFS(Sheet2!$E:$E,Sheet2!$C:$C,$A94,Sheet2!$A:$A,AE$2),"")</f>
        <v/>
      </c>
      <c r="AF94" s="42" t="str">
        <f>IF(SUMIFS(Sheet2!$E:$E,Sheet2!$C:$C,$A94,Sheet2!$A:$A,AF$2)&lt;&gt;0,SUMIFS(Sheet2!$E:$E,Sheet2!$C:$C,$A94,Sheet2!$A:$A,AF$2),"")</f>
        <v/>
      </c>
      <c r="AG94" s="42" t="str">
        <f>IF(SUMIFS(Sheet2!$E:$E,Sheet2!$C:$C,$A94,Sheet2!$A:$A,AG$2)&lt;&gt;0,SUMIFS(Sheet2!$E:$E,Sheet2!$C:$C,$A94,Sheet2!$A:$A,AG$2),"")</f>
        <v/>
      </c>
      <c r="AH94" s="43">
        <f>SUM(Table2[[#This Row],[1]:[31]])</f>
        <v>0</v>
      </c>
    </row>
    <row r="95" spans="1:34" ht="12.75" customHeight="1">
      <c r="A95" s="76" t="str">
        <f>DSSP!A94</f>
        <v>B10</v>
      </c>
      <c r="B95" s="25" t="str">
        <f>DSSP!B94</f>
        <v>Bánh trái cây</v>
      </c>
      <c r="C95" s="42" t="str">
        <f>IF(SUMIFS(Sheet2!$E:$E,Sheet2!$C:$C,$A95,Sheet2!$A:$A,C$2)&lt;&gt;0,SUMIFS(Sheet2!$E:$E,Sheet2!$C:$C,$A95,Sheet2!$A:$A,C$2),"")</f>
        <v/>
      </c>
      <c r="D95" s="42" t="str">
        <f>IF(SUMIFS(Sheet2!$E:$E,Sheet2!$C:$C,$A95,Sheet2!$A:$A,D$2)&lt;&gt;0,SUMIFS(Sheet2!$E:$E,Sheet2!$C:$C,$A95,Sheet2!$A:$A,D$2),"")</f>
        <v/>
      </c>
      <c r="E95" s="42" t="str">
        <f>IF(SUMIFS(Sheet2!$E:$E,Sheet2!$C:$C,$A95,Sheet2!$A:$A,E$2)&lt;&gt;0,SUMIFS(Sheet2!$E:$E,Sheet2!$C:$C,$A95,Sheet2!$A:$A,E$2),"")</f>
        <v/>
      </c>
      <c r="F95" s="42" t="str">
        <f>IF(SUMIFS(Sheet2!$E:$E,Sheet2!$C:$C,$A95,Sheet2!$A:$A,F$2)&lt;&gt;0,SUMIFS(Sheet2!$E:$E,Sheet2!$C:$C,$A95,Sheet2!$A:$A,F$2),"")</f>
        <v/>
      </c>
      <c r="G95" s="42" t="str">
        <f>IF(SUMIFS(Sheet2!$E:$E,Sheet2!$C:$C,$A95,Sheet2!$A:$A,G$2)&lt;&gt;0,SUMIFS(Sheet2!$E:$E,Sheet2!$C:$C,$A95,Sheet2!$A:$A,G$2),"")</f>
        <v/>
      </c>
      <c r="H95" s="42" t="str">
        <f>IF(SUMIFS(Sheet2!$E:$E,Sheet2!$C:$C,$A95,Sheet2!$A:$A,H$2)&lt;&gt;0,SUMIFS(Sheet2!$E:$E,Sheet2!$C:$C,$A95,Sheet2!$A:$A,H$2),"")</f>
        <v/>
      </c>
      <c r="I95" s="42" t="str">
        <f>IF(SUMIFS(Sheet2!$E:$E,Sheet2!$C:$C,$A95,Sheet2!$A:$A,I$2)&lt;&gt;0,SUMIFS(Sheet2!$E:$E,Sheet2!$C:$C,$A95,Sheet2!$A:$A,I$2),"")</f>
        <v/>
      </c>
      <c r="J95" s="42" t="str">
        <f>IF(SUMIFS(Sheet2!$E:$E,Sheet2!$C:$C,$A95,Sheet2!$A:$A,J$2)&lt;&gt;0,SUMIFS(Sheet2!$E:$E,Sheet2!$C:$C,$A95,Sheet2!$A:$A,J$2),"")</f>
        <v/>
      </c>
      <c r="K95" s="42" t="str">
        <f>IF(SUMIFS(Sheet2!$E:$E,Sheet2!$C:$C,$A95,Sheet2!$A:$A,K$2)&lt;&gt;0,SUMIFS(Sheet2!$E:$E,Sheet2!$C:$C,$A95,Sheet2!$A:$A,K$2),"")</f>
        <v/>
      </c>
      <c r="L95" s="42" t="str">
        <f>IF(SUMIFS(Sheet2!$E:$E,Sheet2!$C:$C,$A95,Sheet2!$A:$A,L$2)&lt;&gt;0,SUMIFS(Sheet2!$E:$E,Sheet2!$C:$C,$A95,Sheet2!$A:$A,L$2),"")</f>
        <v/>
      </c>
      <c r="M95" s="42" t="str">
        <f>IF(SUMIFS(Sheet2!$E:$E,Sheet2!$C:$C,$A95,Sheet2!$A:$A,M$2)&lt;&gt;0,SUMIFS(Sheet2!$E:$E,Sheet2!$C:$C,$A95,Sheet2!$A:$A,M$2),"")</f>
        <v/>
      </c>
      <c r="N95" s="42" t="str">
        <f>IF(SUMIFS(Sheet2!$E:$E,Sheet2!$C:$C,$A95,Sheet2!$A:$A,N$2)&lt;&gt;0,SUMIFS(Sheet2!$E:$E,Sheet2!$C:$C,$A95,Sheet2!$A:$A,N$2),"")</f>
        <v/>
      </c>
      <c r="O95" s="42" t="str">
        <f>IF(SUMIFS(Sheet2!$E:$E,Sheet2!$C:$C,$A95,Sheet2!$A:$A,O$2)&lt;&gt;0,SUMIFS(Sheet2!$E:$E,Sheet2!$C:$C,$A95,Sheet2!$A:$A,O$2),"")</f>
        <v/>
      </c>
      <c r="P95" s="42" t="str">
        <f>IF(SUMIFS(Sheet2!$E:$E,Sheet2!$C:$C,$A95,Sheet2!$A:$A,P$2)&lt;&gt;0,SUMIFS(Sheet2!$E:$E,Sheet2!$C:$C,$A95,Sheet2!$A:$A,P$2),"")</f>
        <v/>
      </c>
      <c r="Q95" s="42" t="str">
        <f>IF(SUMIFS(Sheet2!$E:$E,Sheet2!$C:$C,$A95,Sheet2!$A:$A,Q$2)&lt;&gt;0,SUMIFS(Sheet2!$E:$E,Sheet2!$C:$C,$A95,Sheet2!$A:$A,Q$2),"")</f>
        <v/>
      </c>
      <c r="R95" s="42" t="str">
        <f>IF(SUMIFS(Sheet2!$E:$E,Sheet2!$C:$C,$A95,Sheet2!$A:$A,R$2)&lt;&gt;0,SUMIFS(Sheet2!$E:$E,Sheet2!$C:$C,$A95,Sheet2!$A:$A,R$2),"")</f>
        <v/>
      </c>
      <c r="S95" s="42" t="str">
        <f>IF(SUMIFS(Sheet2!$E:$E,Sheet2!$C:$C,$A95,Sheet2!$A:$A,S$2)&lt;&gt;0,SUMIFS(Sheet2!$E:$E,Sheet2!$C:$C,$A95,Sheet2!$A:$A,S$2),"")</f>
        <v/>
      </c>
      <c r="T95" s="42" t="str">
        <f>IF(SUMIFS(Sheet2!$E:$E,Sheet2!$C:$C,$A95,Sheet2!$A:$A,T$2)&lt;&gt;0,SUMIFS(Sheet2!$E:$E,Sheet2!$C:$C,$A95,Sheet2!$A:$A,T$2),"")</f>
        <v/>
      </c>
      <c r="U95" s="42" t="str">
        <f>IF(SUMIFS(Sheet2!$E:$E,Sheet2!$C:$C,$A95,Sheet2!$A:$A,U$2)&lt;&gt;0,SUMIFS(Sheet2!$E:$E,Sheet2!$C:$C,$A95,Sheet2!$A:$A,U$2),"")</f>
        <v/>
      </c>
      <c r="V95" s="42" t="str">
        <f>IF(SUMIFS(Sheet2!$E:$E,Sheet2!$C:$C,$A95,Sheet2!$A:$A,V$2)&lt;&gt;0,SUMIFS(Sheet2!$E:$E,Sheet2!$C:$C,$A95,Sheet2!$A:$A,V$2),"")</f>
        <v/>
      </c>
      <c r="W95" s="42" t="str">
        <f>IF(SUMIFS(Sheet2!$E:$E,Sheet2!$C:$C,$A95,Sheet2!$A:$A,W$2)&lt;&gt;0,SUMIFS(Sheet2!$E:$E,Sheet2!$C:$C,$A95,Sheet2!$A:$A,W$2),"")</f>
        <v/>
      </c>
      <c r="X95" s="42" t="str">
        <f>IF(SUMIFS(Sheet2!$E:$E,Sheet2!$C:$C,$A95,Sheet2!$A:$A,X$2)&lt;&gt;0,SUMIFS(Sheet2!$E:$E,Sheet2!$C:$C,$A95,Sheet2!$A:$A,X$2),"")</f>
        <v/>
      </c>
      <c r="Y95" s="42" t="str">
        <f>IF(SUMIFS(Sheet2!$E:$E,Sheet2!$C:$C,$A95,Sheet2!$A:$A,Y$2)&lt;&gt;0,SUMIFS(Sheet2!$E:$E,Sheet2!$C:$C,$A95,Sheet2!$A:$A,Y$2),"")</f>
        <v/>
      </c>
      <c r="Z95" s="42" t="str">
        <f>IF(SUMIFS(Sheet2!$E:$E,Sheet2!$C:$C,$A95,Sheet2!$A:$A,Z$2)&lt;&gt;0,SUMIFS(Sheet2!$E:$E,Sheet2!$C:$C,$A95,Sheet2!$A:$A,Z$2),"")</f>
        <v/>
      </c>
      <c r="AA95" s="42" t="str">
        <f>IF(SUMIFS(Sheet2!$E:$E,Sheet2!$C:$C,$A95,Sheet2!$A:$A,AA$2)&lt;&gt;0,SUMIFS(Sheet2!$E:$E,Sheet2!$C:$C,$A95,Sheet2!$A:$A,AA$2),"")</f>
        <v/>
      </c>
      <c r="AB95" s="42" t="str">
        <f>IF(SUMIFS(Sheet2!$E:$E,Sheet2!$C:$C,$A95,Sheet2!$A:$A,AB$2)&lt;&gt;0,SUMIFS(Sheet2!$E:$E,Sheet2!$C:$C,$A95,Sheet2!$A:$A,AB$2),"")</f>
        <v/>
      </c>
      <c r="AC95" s="42" t="str">
        <f>IF(SUMIFS(Sheet2!$E:$E,Sheet2!$C:$C,$A95,Sheet2!$A:$A,AC$2)&lt;&gt;0,SUMIFS(Sheet2!$E:$E,Sheet2!$C:$C,$A95,Sheet2!$A:$A,AC$2),"")</f>
        <v/>
      </c>
      <c r="AD95" s="42" t="str">
        <f>IF(SUMIFS(Sheet2!$E:$E,Sheet2!$C:$C,$A95,Sheet2!$A:$A,AD$2)&lt;&gt;0,SUMIFS(Sheet2!$E:$E,Sheet2!$C:$C,$A95,Sheet2!$A:$A,AD$2),"")</f>
        <v/>
      </c>
      <c r="AE95" s="42" t="str">
        <f>IF(SUMIFS(Sheet2!$E:$E,Sheet2!$C:$C,$A95,Sheet2!$A:$A,AE$2)&lt;&gt;0,SUMIFS(Sheet2!$E:$E,Sheet2!$C:$C,$A95,Sheet2!$A:$A,AE$2),"")</f>
        <v/>
      </c>
      <c r="AF95" s="42" t="str">
        <f>IF(SUMIFS(Sheet2!$E:$E,Sheet2!$C:$C,$A95,Sheet2!$A:$A,AF$2)&lt;&gt;0,SUMIFS(Sheet2!$E:$E,Sheet2!$C:$C,$A95,Sheet2!$A:$A,AF$2),"")</f>
        <v/>
      </c>
      <c r="AG95" s="42" t="str">
        <f>IF(SUMIFS(Sheet2!$E:$E,Sheet2!$C:$C,$A95,Sheet2!$A:$A,AG$2)&lt;&gt;0,SUMIFS(Sheet2!$E:$E,Sheet2!$C:$C,$A95,Sheet2!$A:$A,AG$2),"")</f>
        <v/>
      </c>
      <c r="AH95" s="43">
        <f>SUM(Table2[[#This Row],[1]:[31]])</f>
        <v>0</v>
      </c>
    </row>
    <row r="96" spans="1:34" ht="12.75" customHeight="1">
      <c r="A96" s="76" t="str">
        <f>DSSP!A95</f>
        <v>B11</v>
      </c>
      <c r="B96" s="25" t="str">
        <f>DSSP!B95</f>
        <v>Bánh quy</v>
      </c>
      <c r="C96" s="42" t="str">
        <f>IF(SUMIFS(Sheet2!$E:$E,Sheet2!$C:$C,$A96,Sheet2!$A:$A,C$2)&lt;&gt;0,SUMIFS(Sheet2!$E:$E,Sheet2!$C:$C,$A96,Sheet2!$A:$A,C$2),"")</f>
        <v/>
      </c>
      <c r="D96" s="42" t="str">
        <f>IF(SUMIFS(Sheet2!$E:$E,Sheet2!$C:$C,$A96,Sheet2!$A:$A,D$2)&lt;&gt;0,SUMIFS(Sheet2!$E:$E,Sheet2!$C:$C,$A96,Sheet2!$A:$A,D$2),"")</f>
        <v/>
      </c>
      <c r="E96" s="42" t="str">
        <f>IF(SUMIFS(Sheet2!$E:$E,Sheet2!$C:$C,$A96,Sheet2!$A:$A,E$2)&lt;&gt;0,SUMIFS(Sheet2!$E:$E,Sheet2!$C:$C,$A96,Sheet2!$A:$A,E$2),"")</f>
        <v/>
      </c>
      <c r="F96" s="42" t="str">
        <f>IF(SUMIFS(Sheet2!$E:$E,Sheet2!$C:$C,$A96,Sheet2!$A:$A,F$2)&lt;&gt;0,SUMIFS(Sheet2!$E:$E,Sheet2!$C:$C,$A96,Sheet2!$A:$A,F$2),"")</f>
        <v/>
      </c>
      <c r="G96" s="42" t="str">
        <f>IF(SUMIFS(Sheet2!$E:$E,Sheet2!$C:$C,$A96,Sheet2!$A:$A,G$2)&lt;&gt;0,SUMIFS(Sheet2!$E:$E,Sheet2!$C:$C,$A96,Sheet2!$A:$A,G$2),"")</f>
        <v/>
      </c>
      <c r="H96" s="42" t="str">
        <f>IF(SUMIFS(Sheet2!$E:$E,Sheet2!$C:$C,$A96,Sheet2!$A:$A,H$2)&lt;&gt;0,SUMIFS(Sheet2!$E:$E,Sheet2!$C:$C,$A96,Sheet2!$A:$A,H$2),"")</f>
        <v/>
      </c>
      <c r="I96" s="42" t="str">
        <f>IF(SUMIFS(Sheet2!$E:$E,Sheet2!$C:$C,$A96,Sheet2!$A:$A,I$2)&lt;&gt;0,SUMIFS(Sheet2!$E:$E,Sheet2!$C:$C,$A96,Sheet2!$A:$A,I$2),"")</f>
        <v/>
      </c>
      <c r="J96" s="42" t="str">
        <f>IF(SUMIFS(Sheet2!$E:$E,Sheet2!$C:$C,$A96,Sheet2!$A:$A,J$2)&lt;&gt;0,SUMIFS(Sheet2!$E:$E,Sheet2!$C:$C,$A96,Sheet2!$A:$A,J$2),"")</f>
        <v/>
      </c>
      <c r="K96" s="42" t="str">
        <f>IF(SUMIFS(Sheet2!$E:$E,Sheet2!$C:$C,$A96,Sheet2!$A:$A,K$2)&lt;&gt;0,SUMIFS(Sheet2!$E:$E,Sheet2!$C:$C,$A96,Sheet2!$A:$A,K$2),"")</f>
        <v/>
      </c>
      <c r="L96" s="42" t="str">
        <f>IF(SUMIFS(Sheet2!$E:$E,Sheet2!$C:$C,$A96,Sheet2!$A:$A,L$2)&lt;&gt;0,SUMIFS(Sheet2!$E:$E,Sheet2!$C:$C,$A96,Sheet2!$A:$A,L$2),"")</f>
        <v/>
      </c>
      <c r="M96" s="42" t="str">
        <f>IF(SUMIFS(Sheet2!$E:$E,Sheet2!$C:$C,$A96,Sheet2!$A:$A,M$2)&lt;&gt;0,SUMIFS(Sheet2!$E:$E,Sheet2!$C:$C,$A96,Sheet2!$A:$A,M$2),"")</f>
        <v/>
      </c>
      <c r="N96" s="42" t="str">
        <f>IF(SUMIFS(Sheet2!$E:$E,Sheet2!$C:$C,$A96,Sheet2!$A:$A,N$2)&lt;&gt;0,SUMIFS(Sheet2!$E:$E,Sheet2!$C:$C,$A96,Sheet2!$A:$A,N$2),"")</f>
        <v/>
      </c>
      <c r="O96" s="42" t="str">
        <f>IF(SUMIFS(Sheet2!$E:$E,Sheet2!$C:$C,$A96,Sheet2!$A:$A,O$2)&lt;&gt;0,SUMIFS(Sheet2!$E:$E,Sheet2!$C:$C,$A96,Sheet2!$A:$A,O$2),"")</f>
        <v/>
      </c>
      <c r="P96" s="42" t="str">
        <f>IF(SUMIFS(Sheet2!$E:$E,Sheet2!$C:$C,$A96,Sheet2!$A:$A,P$2)&lt;&gt;0,SUMIFS(Sheet2!$E:$E,Sheet2!$C:$C,$A96,Sheet2!$A:$A,P$2),"")</f>
        <v/>
      </c>
      <c r="Q96" s="42" t="str">
        <f>IF(SUMIFS(Sheet2!$E:$E,Sheet2!$C:$C,$A96,Sheet2!$A:$A,Q$2)&lt;&gt;0,SUMIFS(Sheet2!$E:$E,Sheet2!$C:$C,$A96,Sheet2!$A:$A,Q$2),"")</f>
        <v/>
      </c>
      <c r="R96" s="42" t="str">
        <f>IF(SUMIFS(Sheet2!$E:$E,Sheet2!$C:$C,$A96,Sheet2!$A:$A,R$2)&lt;&gt;0,SUMIFS(Sheet2!$E:$E,Sheet2!$C:$C,$A96,Sheet2!$A:$A,R$2),"")</f>
        <v/>
      </c>
      <c r="S96" s="42" t="str">
        <f>IF(SUMIFS(Sheet2!$E:$E,Sheet2!$C:$C,$A96,Sheet2!$A:$A,S$2)&lt;&gt;0,SUMIFS(Sheet2!$E:$E,Sheet2!$C:$C,$A96,Sheet2!$A:$A,S$2),"")</f>
        <v/>
      </c>
      <c r="T96" s="42" t="str">
        <f>IF(SUMIFS(Sheet2!$E:$E,Sheet2!$C:$C,$A96,Sheet2!$A:$A,T$2)&lt;&gt;0,SUMIFS(Sheet2!$E:$E,Sheet2!$C:$C,$A96,Sheet2!$A:$A,T$2),"")</f>
        <v/>
      </c>
      <c r="U96" s="42" t="str">
        <f>IF(SUMIFS(Sheet2!$E:$E,Sheet2!$C:$C,$A96,Sheet2!$A:$A,U$2)&lt;&gt;0,SUMIFS(Sheet2!$E:$E,Sheet2!$C:$C,$A96,Sheet2!$A:$A,U$2),"")</f>
        <v/>
      </c>
      <c r="V96" s="42" t="str">
        <f>IF(SUMIFS(Sheet2!$E:$E,Sheet2!$C:$C,$A96,Sheet2!$A:$A,V$2)&lt;&gt;0,SUMIFS(Sheet2!$E:$E,Sheet2!$C:$C,$A96,Sheet2!$A:$A,V$2),"")</f>
        <v/>
      </c>
      <c r="W96" s="42" t="str">
        <f>IF(SUMIFS(Sheet2!$E:$E,Sheet2!$C:$C,$A96,Sheet2!$A:$A,W$2)&lt;&gt;0,SUMIFS(Sheet2!$E:$E,Sheet2!$C:$C,$A96,Sheet2!$A:$A,W$2),"")</f>
        <v/>
      </c>
      <c r="X96" s="42" t="str">
        <f>IF(SUMIFS(Sheet2!$E:$E,Sheet2!$C:$C,$A96,Sheet2!$A:$A,X$2)&lt;&gt;0,SUMIFS(Sheet2!$E:$E,Sheet2!$C:$C,$A96,Sheet2!$A:$A,X$2),"")</f>
        <v/>
      </c>
      <c r="Y96" s="42" t="str">
        <f>IF(SUMIFS(Sheet2!$E:$E,Sheet2!$C:$C,$A96,Sheet2!$A:$A,Y$2)&lt;&gt;0,SUMIFS(Sheet2!$E:$E,Sheet2!$C:$C,$A96,Sheet2!$A:$A,Y$2),"")</f>
        <v/>
      </c>
      <c r="Z96" s="42" t="str">
        <f>IF(SUMIFS(Sheet2!$E:$E,Sheet2!$C:$C,$A96,Sheet2!$A:$A,Z$2)&lt;&gt;0,SUMIFS(Sheet2!$E:$E,Sheet2!$C:$C,$A96,Sheet2!$A:$A,Z$2),"")</f>
        <v/>
      </c>
      <c r="AA96" s="42" t="str">
        <f>IF(SUMIFS(Sheet2!$E:$E,Sheet2!$C:$C,$A96,Sheet2!$A:$A,AA$2)&lt;&gt;0,SUMIFS(Sheet2!$E:$E,Sheet2!$C:$C,$A96,Sheet2!$A:$A,AA$2),"")</f>
        <v/>
      </c>
      <c r="AB96" s="42" t="str">
        <f>IF(SUMIFS(Sheet2!$E:$E,Sheet2!$C:$C,$A96,Sheet2!$A:$A,AB$2)&lt;&gt;0,SUMIFS(Sheet2!$E:$E,Sheet2!$C:$C,$A96,Sheet2!$A:$A,AB$2),"")</f>
        <v/>
      </c>
      <c r="AC96" s="42" t="str">
        <f>IF(SUMIFS(Sheet2!$E:$E,Sheet2!$C:$C,$A96,Sheet2!$A:$A,AC$2)&lt;&gt;0,SUMIFS(Sheet2!$E:$E,Sheet2!$C:$C,$A96,Sheet2!$A:$A,AC$2),"")</f>
        <v/>
      </c>
      <c r="AD96" s="42" t="str">
        <f>IF(SUMIFS(Sheet2!$E:$E,Sheet2!$C:$C,$A96,Sheet2!$A:$A,AD$2)&lt;&gt;0,SUMIFS(Sheet2!$E:$E,Sheet2!$C:$C,$A96,Sheet2!$A:$A,AD$2),"")</f>
        <v/>
      </c>
      <c r="AE96" s="42" t="str">
        <f>IF(SUMIFS(Sheet2!$E:$E,Sheet2!$C:$C,$A96,Sheet2!$A:$A,AE$2)&lt;&gt;0,SUMIFS(Sheet2!$E:$E,Sheet2!$C:$C,$A96,Sheet2!$A:$A,AE$2),"")</f>
        <v/>
      </c>
      <c r="AF96" s="42" t="str">
        <f>IF(SUMIFS(Sheet2!$E:$E,Sheet2!$C:$C,$A96,Sheet2!$A:$A,AF$2)&lt;&gt;0,SUMIFS(Sheet2!$E:$E,Sheet2!$C:$C,$A96,Sheet2!$A:$A,AF$2),"")</f>
        <v/>
      </c>
      <c r="AG96" s="42" t="str">
        <f>IF(SUMIFS(Sheet2!$E:$E,Sheet2!$C:$C,$A96,Sheet2!$A:$A,AG$2)&lt;&gt;0,SUMIFS(Sheet2!$E:$E,Sheet2!$C:$C,$A96,Sheet2!$A:$A,AG$2),"")</f>
        <v/>
      </c>
      <c r="AH96" s="43">
        <f>SUM(Table2[[#This Row],[1]:[31]])</f>
        <v>0</v>
      </c>
    </row>
    <row r="97" spans="1:34" ht="12.75" customHeight="1">
      <c r="A97" s="76" t="str">
        <f>DSSP!A96</f>
        <v>B12</v>
      </c>
      <c r="B97" s="25" t="str">
        <f>DSSP!B96</f>
        <v>Bánh chocolate</v>
      </c>
      <c r="C97" s="42" t="str">
        <f>IF(SUMIFS(Sheet2!$E:$E,Sheet2!$C:$C,$A97,Sheet2!$A:$A,C$2)&lt;&gt;0,SUMIFS(Sheet2!$E:$E,Sheet2!$C:$C,$A97,Sheet2!$A:$A,C$2),"")</f>
        <v/>
      </c>
      <c r="D97" s="42" t="str">
        <f>IF(SUMIFS(Sheet2!$E:$E,Sheet2!$C:$C,$A97,Sheet2!$A:$A,D$2)&lt;&gt;0,SUMIFS(Sheet2!$E:$E,Sheet2!$C:$C,$A97,Sheet2!$A:$A,D$2),"")</f>
        <v/>
      </c>
      <c r="E97" s="42" t="str">
        <f>IF(SUMIFS(Sheet2!$E:$E,Sheet2!$C:$C,$A97,Sheet2!$A:$A,E$2)&lt;&gt;0,SUMIFS(Sheet2!$E:$E,Sheet2!$C:$C,$A97,Sheet2!$A:$A,E$2),"")</f>
        <v/>
      </c>
      <c r="F97" s="42" t="str">
        <f>IF(SUMIFS(Sheet2!$E:$E,Sheet2!$C:$C,$A97,Sheet2!$A:$A,F$2)&lt;&gt;0,SUMIFS(Sheet2!$E:$E,Sheet2!$C:$C,$A97,Sheet2!$A:$A,F$2),"")</f>
        <v/>
      </c>
      <c r="G97" s="42" t="str">
        <f>IF(SUMIFS(Sheet2!$E:$E,Sheet2!$C:$C,$A97,Sheet2!$A:$A,G$2)&lt;&gt;0,SUMIFS(Sheet2!$E:$E,Sheet2!$C:$C,$A97,Sheet2!$A:$A,G$2),"")</f>
        <v/>
      </c>
      <c r="H97" s="42" t="str">
        <f>IF(SUMIFS(Sheet2!$E:$E,Sheet2!$C:$C,$A97,Sheet2!$A:$A,H$2)&lt;&gt;0,SUMIFS(Sheet2!$E:$E,Sheet2!$C:$C,$A97,Sheet2!$A:$A,H$2),"")</f>
        <v/>
      </c>
      <c r="I97" s="42" t="str">
        <f>IF(SUMIFS(Sheet2!$E:$E,Sheet2!$C:$C,$A97,Sheet2!$A:$A,I$2)&lt;&gt;0,SUMIFS(Sheet2!$E:$E,Sheet2!$C:$C,$A97,Sheet2!$A:$A,I$2),"")</f>
        <v/>
      </c>
      <c r="J97" s="42" t="str">
        <f>IF(SUMIFS(Sheet2!$E:$E,Sheet2!$C:$C,$A97,Sheet2!$A:$A,J$2)&lt;&gt;0,SUMIFS(Sheet2!$E:$E,Sheet2!$C:$C,$A97,Sheet2!$A:$A,J$2),"")</f>
        <v/>
      </c>
      <c r="K97" s="42" t="str">
        <f>IF(SUMIFS(Sheet2!$E:$E,Sheet2!$C:$C,$A97,Sheet2!$A:$A,K$2)&lt;&gt;0,SUMIFS(Sheet2!$E:$E,Sheet2!$C:$C,$A97,Sheet2!$A:$A,K$2),"")</f>
        <v/>
      </c>
      <c r="L97" s="42" t="str">
        <f>IF(SUMIFS(Sheet2!$E:$E,Sheet2!$C:$C,$A97,Sheet2!$A:$A,L$2)&lt;&gt;0,SUMIFS(Sheet2!$E:$E,Sheet2!$C:$C,$A97,Sheet2!$A:$A,L$2),"")</f>
        <v/>
      </c>
      <c r="M97" s="42" t="str">
        <f>IF(SUMIFS(Sheet2!$E:$E,Sheet2!$C:$C,$A97,Sheet2!$A:$A,M$2)&lt;&gt;0,SUMIFS(Sheet2!$E:$E,Sheet2!$C:$C,$A97,Sheet2!$A:$A,M$2),"")</f>
        <v/>
      </c>
      <c r="N97" s="42" t="str">
        <f>IF(SUMIFS(Sheet2!$E:$E,Sheet2!$C:$C,$A97,Sheet2!$A:$A,N$2)&lt;&gt;0,SUMIFS(Sheet2!$E:$E,Sheet2!$C:$C,$A97,Sheet2!$A:$A,N$2),"")</f>
        <v/>
      </c>
      <c r="O97" s="42" t="str">
        <f>IF(SUMIFS(Sheet2!$E:$E,Sheet2!$C:$C,$A97,Sheet2!$A:$A,O$2)&lt;&gt;0,SUMIFS(Sheet2!$E:$E,Sheet2!$C:$C,$A97,Sheet2!$A:$A,O$2),"")</f>
        <v/>
      </c>
      <c r="P97" s="42" t="str">
        <f>IF(SUMIFS(Sheet2!$E:$E,Sheet2!$C:$C,$A97,Sheet2!$A:$A,P$2)&lt;&gt;0,SUMIFS(Sheet2!$E:$E,Sheet2!$C:$C,$A97,Sheet2!$A:$A,P$2),"")</f>
        <v/>
      </c>
      <c r="Q97" s="42" t="str">
        <f>IF(SUMIFS(Sheet2!$E:$E,Sheet2!$C:$C,$A97,Sheet2!$A:$A,Q$2)&lt;&gt;0,SUMIFS(Sheet2!$E:$E,Sheet2!$C:$C,$A97,Sheet2!$A:$A,Q$2),"")</f>
        <v/>
      </c>
      <c r="R97" s="42" t="str">
        <f>IF(SUMIFS(Sheet2!$E:$E,Sheet2!$C:$C,$A97,Sheet2!$A:$A,R$2)&lt;&gt;0,SUMIFS(Sheet2!$E:$E,Sheet2!$C:$C,$A97,Sheet2!$A:$A,R$2),"")</f>
        <v/>
      </c>
      <c r="S97" s="42" t="str">
        <f>IF(SUMIFS(Sheet2!$E:$E,Sheet2!$C:$C,$A97,Sheet2!$A:$A,S$2)&lt;&gt;0,SUMIFS(Sheet2!$E:$E,Sheet2!$C:$C,$A97,Sheet2!$A:$A,S$2),"")</f>
        <v/>
      </c>
      <c r="T97" s="42" t="str">
        <f>IF(SUMIFS(Sheet2!$E:$E,Sheet2!$C:$C,$A97,Sheet2!$A:$A,T$2)&lt;&gt;0,SUMIFS(Sheet2!$E:$E,Sheet2!$C:$C,$A97,Sheet2!$A:$A,T$2),"")</f>
        <v/>
      </c>
      <c r="U97" s="42" t="str">
        <f>IF(SUMIFS(Sheet2!$E:$E,Sheet2!$C:$C,$A97,Sheet2!$A:$A,U$2)&lt;&gt;0,SUMIFS(Sheet2!$E:$E,Sheet2!$C:$C,$A97,Sheet2!$A:$A,U$2),"")</f>
        <v/>
      </c>
      <c r="V97" s="42" t="str">
        <f>IF(SUMIFS(Sheet2!$E:$E,Sheet2!$C:$C,$A97,Sheet2!$A:$A,V$2)&lt;&gt;0,SUMIFS(Sheet2!$E:$E,Sheet2!$C:$C,$A97,Sheet2!$A:$A,V$2),"")</f>
        <v/>
      </c>
      <c r="W97" s="42" t="str">
        <f>IF(SUMIFS(Sheet2!$E:$E,Sheet2!$C:$C,$A97,Sheet2!$A:$A,W$2)&lt;&gt;0,SUMIFS(Sheet2!$E:$E,Sheet2!$C:$C,$A97,Sheet2!$A:$A,W$2),"")</f>
        <v/>
      </c>
      <c r="X97" s="42" t="str">
        <f>IF(SUMIFS(Sheet2!$E:$E,Sheet2!$C:$C,$A97,Sheet2!$A:$A,X$2)&lt;&gt;0,SUMIFS(Sheet2!$E:$E,Sheet2!$C:$C,$A97,Sheet2!$A:$A,X$2),"")</f>
        <v/>
      </c>
      <c r="Y97" s="42" t="str">
        <f>IF(SUMIFS(Sheet2!$E:$E,Sheet2!$C:$C,$A97,Sheet2!$A:$A,Y$2)&lt;&gt;0,SUMIFS(Sheet2!$E:$E,Sheet2!$C:$C,$A97,Sheet2!$A:$A,Y$2),"")</f>
        <v/>
      </c>
      <c r="Z97" s="42" t="str">
        <f>IF(SUMIFS(Sheet2!$E:$E,Sheet2!$C:$C,$A97,Sheet2!$A:$A,Z$2)&lt;&gt;0,SUMIFS(Sheet2!$E:$E,Sheet2!$C:$C,$A97,Sheet2!$A:$A,Z$2),"")</f>
        <v/>
      </c>
      <c r="AA97" s="42" t="str">
        <f>IF(SUMIFS(Sheet2!$E:$E,Sheet2!$C:$C,$A97,Sheet2!$A:$A,AA$2)&lt;&gt;0,SUMIFS(Sheet2!$E:$E,Sheet2!$C:$C,$A97,Sheet2!$A:$A,AA$2),"")</f>
        <v/>
      </c>
      <c r="AB97" s="42" t="str">
        <f>IF(SUMIFS(Sheet2!$E:$E,Sheet2!$C:$C,$A97,Sheet2!$A:$A,AB$2)&lt;&gt;0,SUMIFS(Sheet2!$E:$E,Sheet2!$C:$C,$A97,Sheet2!$A:$A,AB$2),"")</f>
        <v/>
      </c>
      <c r="AC97" s="42" t="str">
        <f>IF(SUMIFS(Sheet2!$E:$E,Sheet2!$C:$C,$A97,Sheet2!$A:$A,AC$2)&lt;&gt;0,SUMIFS(Sheet2!$E:$E,Sheet2!$C:$C,$A97,Sheet2!$A:$A,AC$2),"")</f>
        <v/>
      </c>
      <c r="AD97" s="42" t="str">
        <f>IF(SUMIFS(Sheet2!$E:$E,Sheet2!$C:$C,$A97,Sheet2!$A:$A,AD$2)&lt;&gt;0,SUMIFS(Sheet2!$E:$E,Sheet2!$C:$C,$A97,Sheet2!$A:$A,AD$2),"")</f>
        <v/>
      </c>
      <c r="AE97" s="42" t="str">
        <f>IF(SUMIFS(Sheet2!$E:$E,Sheet2!$C:$C,$A97,Sheet2!$A:$A,AE$2)&lt;&gt;0,SUMIFS(Sheet2!$E:$E,Sheet2!$C:$C,$A97,Sheet2!$A:$A,AE$2),"")</f>
        <v/>
      </c>
      <c r="AF97" s="42" t="str">
        <f>IF(SUMIFS(Sheet2!$E:$E,Sheet2!$C:$C,$A97,Sheet2!$A:$A,AF$2)&lt;&gt;0,SUMIFS(Sheet2!$E:$E,Sheet2!$C:$C,$A97,Sheet2!$A:$A,AF$2),"")</f>
        <v/>
      </c>
      <c r="AG97" s="42" t="str">
        <f>IF(SUMIFS(Sheet2!$E:$E,Sheet2!$C:$C,$A97,Sheet2!$A:$A,AG$2)&lt;&gt;0,SUMIFS(Sheet2!$E:$E,Sheet2!$C:$C,$A97,Sheet2!$A:$A,AG$2),"")</f>
        <v/>
      </c>
      <c r="AH97" s="43">
        <f>SUM(Table2[[#This Row],[1]:[31]])</f>
        <v>0</v>
      </c>
    </row>
    <row r="98" spans="1:34" ht="12.75" customHeight="1">
      <c r="A98" s="76" t="str">
        <f>DSSP!A97</f>
        <v>B13</v>
      </c>
      <c r="B98" s="25" t="str">
        <f>DSSP!B97</f>
        <v>Cheese cake</v>
      </c>
      <c r="C98" s="42" t="str">
        <f>IF(SUMIFS(Sheet2!$E:$E,Sheet2!$C:$C,$A98,Sheet2!$A:$A,C$2)&lt;&gt;0,SUMIFS(Sheet2!$E:$E,Sheet2!$C:$C,$A98,Sheet2!$A:$A,C$2),"")</f>
        <v/>
      </c>
      <c r="D98" s="42" t="str">
        <f>IF(SUMIFS(Sheet2!$E:$E,Sheet2!$C:$C,$A98,Sheet2!$A:$A,D$2)&lt;&gt;0,SUMIFS(Sheet2!$E:$E,Sheet2!$C:$C,$A98,Sheet2!$A:$A,D$2),"")</f>
        <v/>
      </c>
      <c r="E98" s="42" t="str">
        <f>IF(SUMIFS(Sheet2!$E:$E,Sheet2!$C:$C,$A98,Sheet2!$A:$A,E$2)&lt;&gt;0,SUMIFS(Sheet2!$E:$E,Sheet2!$C:$C,$A98,Sheet2!$A:$A,E$2),"")</f>
        <v/>
      </c>
      <c r="F98" s="42" t="str">
        <f>IF(SUMIFS(Sheet2!$E:$E,Sheet2!$C:$C,$A98,Sheet2!$A:$A,F$2)&lt;&gt;0,SUMIFS(Sheet2!$E:$E,Sheet2!$C:$C,$A98,Sheet2!$A:$A,F$2),"")</f>
        <v/>
      </c>
      <c r="G98" s="42" t="str">
        <f>IF(SUMIFS(Sheet2!$E:$E,Sheet2!$C:$C,$A98,Sheet2!$A:$A,G$2)&lt;&gt;0,SUMIFS(Sheet2!$E:$E,Sheet2!$C:$C,$A98,Sheet2!$A:$A,G$2),"")</f>
        <v/>
      </c>
      <c r="H98" s="42" t="str">
        <f>IF(SUMIFS(Sheet2!$E:$E,Sheet2!$C:$C,$A98,Sheet2!$A:$A,H$2)&lt;&gt;0,SUMIFS(Sheet2!$E:$E,Sheet2!$C:$C,$A98,Sheet2!$A:$A,H$2),"")</f>
        <v/>
      </c>
      <c r="I98" s="42" t="str">
        <f>IF(SUMIFS(Sheet2!$E:$E,Sheet2!$C:$C,$A98,Sheet2!$A:$A,I$2)&lt;&gt;0,SUMIFS(Sheet2!$E:$E,Sheet2!$C:$C,$A98,Sheet2!$A:$A,I$2),"")</f>
        <v/>
      </c>
      <c r="J98" s="42" t="str">
        <f>IF(SUMIFS(Sheet2!$E:$E,Sheet2!$C:$C,$A98,Sheet2!$A:$A,J$2)&lt;&gt;0,SUMIFS(Sheet2!$E:$E,Sheet2!$C:$C,$A98,Sheet2!$A:$A,J$2),"")</f>
        <v/>
      </c>
      <c r="K98" s="42" t="str">
        <f>IF(SUMIFS(Sheet2!$E:$E,Sheet2!$C:$C,$A98,Sheet2!$A:$A,K$2)&lt;&gt;0,SUMIFS(Sheet2!$E:$E,Sheet2!$C:$C,$A98,Sheet2!$A:$A,K$2),"")</f>
        <v/>
      </c>
      <c r="L98" s="42" t="str">
        <f>IF(SUMIFS(Sheet2!$E:$E,Sheet2!$C:$C,$A98,Sheet2!$A:$A,L$2)&lt;&gt;0,SUMIFS(Sheet2!$E:$E,Sheet2!$C:$C,$A98,Sheet2!$A:$A,L$2),"")</f>
        <v/>
      </c>
      <c r="M98" s="42" t="str">
        <f>IF(SUMIFS(Sheet2!$E:$E,Sheet2!$C:$C,$A98,Sheet2!$A:$A,M$2)&lt;&gt;0,SUMIFS(Sheet2!$E:$E,Sheet2!$C:$C,$A98,Sheet2!$A:$A,M$2),"")</f>
        <v/>
      </c>
      <c r="N98" s="42" t="str">
        <f>IF(SUMIFS(Sheet2!$E:$E,Sheet2!$C:$C,$A98,Sheet2!$A:$A,N$2)&lt;&gt;0,SUMIFS(Sheet2!$E:$E,Sheet2!$C:$C,$A98,Sheet2!$A:$A,N$2),"")</f>
        <v/>
      </c>
      <c r="O98" s="42" t="str">
        <f>IF(SUMIFS(Sheet2!$E:$E,Sheet2!$C:$C,$A98,Sheet2!$A:$A,O$2)&lt;&gt;0,SUMIFS(Sheet2!$E:$E,Sheet2!$C:$C,$A98,Sheet2!$A:$A,O$2),"")</f>
        <v/>
      </c>
      <c r="P98" s="42" t="str">
        <f>IF(SUMIFS(Sheet2!$E:$E,Sheet2!$C:$C,$A98,Sheet2!$A:$A,P$2)&lt;&gt;0,SUMIFS(Sheet2!$E:$E,Sheet2!$C:$C,$A98,Sheet2!$A:$A,P$2),"")</f>
        <v/>
      </c>
      <c r="Q98" s="42" t="str">
        <f>IF(SUMIFS(Sheet2!$E:$E,Sheet2!$C:$C,$A98,Sheet2!$A:$A,Q$2)&lt;&gt;0,SUMIFS(Sheet2!$E:$E,Sheet2!$C:$C,$A98,Sheet2!$A:$A,Q$2),"")</f>
        <v/>
      </c>
      <c r="R98" s="42" t="str">
        <f>IF(SUMIFS(Sheet2!$E:$E,Sheet2!$C:$C,$A98,Sheet2!$A:$A,R$2)&lt;&gt;0,SUMIFS(Sheet2!$E:$E,Sheet2!$C:$C,$A98,Sheet2!$A:$A,R$2),"")</f>
        <v/>
      </c>
      <c r="S98" s="42" t="str">
        <f>IF(SUMIFS(Sheet2!$E:$E,Sheet2!$C:$C,$A98,Sheet2!$A:$A,S$2)&lt;&gt;0,SUMIFS(Sheet2!$E:$E,Sheet2!$C:$C,$A98,Sheet2!$A:$A,S$2),"")</f>
        <v/>
      </c>
      <c r="T98" s="42" t="str">
        <f>IF(SUMIFS(Sheet2!$E:$E,Sheet2!$C:$C,$A98,Sheet2!$A:$A,T$2)&lt;&gt;0,SUMIFS(Sheet2!$E:$E,Sheet2!$C:$C,$A98,Sheet2!$A:$A,T$2),"")</f>
        <v/>
      </c>
      <c r="U98" s="42" t="str">
        <f>IF(SUMIFS(Sheet2!$E:$E,Sheet2!$C:$C,$A98,Sheet2!$A:$A,U$2)&lt;&gt;0,SUMIFS(Sheet2!$E:$E,Sheet2!$C:$C,$A98,Sheet2!$A:$A,U$2),"")</f>
        <v/>
      </c>
      <c r="V98" s="42" t="str">
        <f>IF(SUMIFS(Sheet2!$E:$E,Sheet2!$C:$C,$A98,Sheet2!$A:$A,V$2)&lt;&gt;0,SUMIFS(Sheet2!$E:$E,Sheet2!$C:$C,$A98,Sheet2!$A:$A,V$2),"")</f>
        <v/>
      </c>
      <c r="W98" s="42" t="str">
        <f>IF(SUMIFS(Sheet2!$E:$E,Sheet2!$C:$C,$A98,Sheet2!$A:$A,W$2)&lt;&gt;0,SUMIFS(Sheet2!$E:$E,Sheet2!$C:$C,$A98,Sheet2!$A:$A,W$2),"")</f>
        <v/>
      </c>
      <c r="X98" s="42" t="str">
        <f>IF(SUMIFS(Sheet2!$E:$E,Sheet2!$C:$C,$A98,Sheet2!$A:$A,X$2)&lt;&gt;0,SUMIFS(Sheet2!$E:$E,Sheet2!$C:$C,$A98,Sheet2!$A:$A,X$2),"")</f>
        <v/>
      </c>
      <c r="Y98" s="42" t="str">
        <f>IF(SUMIFS(Sheet2!$E:$E,Sheet2!$C:$C,$A98,Sheet2!$A:$A,Y$2)&lt;&gt;0,SUMIFS(Sheet2!$E:$E,Sheet2!$C:$C,$A98,Sheet2!$A:$A,Y$2),"")</f>
        <v/>
      </c>
      <c r="Z98" s="42" t="str">
        <f>IF(SUMIFS(Sheet2!$E:$E,Sheet2!$C:$C,$A98,Sheet2!$A:$A,Z$2)&lt;&gt;0,SUMIFS(Sheet2!$E:$E,Sheet2!$C:$C,$A98,Sheet2!$A:$A,Z$2),"")</f>
        <v/>
      </c>
      <c r="AA98" s="42" t="str">
        <f>IF(SUMIFS(Sheet2!$E:$E,Sheet2!$C:$C,$A98,Sheet2!$A:$A,AA$2)&lt;&gt;0,SUMIFS(Sheet2!$E:$E,Sheet2!$C:$C,$A98,Sheet2!$A:$A,AA$2),"")</f>
        <v/>
      </c>
      <c r="AB98" s="42" t="str">
        <f>IF(SUMIFS(Sheet2!$E:$E,Sheet2!$C:$C,$A98,Sheet2!$A:$A,AB$2)&lt;&gt;0,SUMIFS(Sheet2!$E:$E,Sheet2!$C:$C,$A98,Sheet2!$A:$A,AB$2),"")</f>
        <v/>
      </c>
      <c r="AC98" s="42" t="str">
        <f>IF(SUMIFS(Sheet2!$E:$E,Sheet2!$C:$C,$A98,Sheet2!$A:$A,AC$2)&lt;&gt;0,SUMIFS(Sheet2!$E:$E,Sheet2!$C:$C,$A98,Sheet2!$A:$A,AC$2),"")</f>
        <v/>
      </c>
      <c r="AD98" s="42" t="str">
        <f>IF(SUMIFS(Sheet2!$E:$E,Sheet2!$C:$C,$A98,Sheet2!$A:$A,AD$2)&lt;&gt;0,SUMIFS(Sheet2!$E:$E,Sheet2!$C:$C,$A98,Sheet2!$A:$A,AD$2),"")</f>
        <v/>
      </c>
      <c r="AE98" s="42" t="str">
        <f>IF(SUMIFS(Sheet2!$E:$E,Sheet2!$C:$C,$A98,Sheet2!$A:$A,AE$2)&lt;&gt;0,SUMIFS(Sheet2!$E:$E,Sheet2!$C:$C,$A98,Sheet2!$A:$A,AE$2),"")</f>
        <v/>
      </c>
      <c r="AF98" s="42" t="str">
        <f>IF(SUMIFS(Sheet2!$E:$E,Sheet2!$C:$C,$A98,Sheet2!$A:$A,AF$2)&lt;&gt;0,SUMIFS(Sheet2!$E:$E,Sheet2!$C:$C,$A98,Sheet2!$A:$A,AF$2),"")</f>
        <v/>
      </c>
      <c r="AG98" s="42" t="str">
        <f>IF(SUMIFS(Sheet2!$E:$E,Sheet2!$C:$C,$A98,Sheet2!$A:$A,AG$2)&lt;&gt;0,SUMIFS(Sheet2!$E:$E,Sheet2!$C:$C,$A98,Sheet2!$A:$A,AG$2),"")</f>
        <v/>
      </c>
      <c r="AH98" s="43">
        <f>SUM(Table2[[#This Row],[1]:[31]])</f>
        <v>0</v>
      </c>
    </row>
    <row r="99" spans="1:34" ht="12.75" customHeight="1">
      <c r="A99" s="76" t="str">
        <f>DSSP!A98</f>
        <v>B14</v>
      </c>
      <c r="B99" s="25" t="str">
        <f>DSSP!B98</f>
        <v>Tiramisu</v>
      </c>
      <c r="C99" s="42" t="str">
        <f>IF(SUMIFS(Sheet2!$E:$E,Sheet2!$C:$C,$A99,Sheet2!$A:$A,C$2)&lt;&gt;0,SUMIFS(Sheet2!$E:$E,Sheet2!$C:$C,$A99,Sheet2!$A:$A,C$2),"")</f>
        <v/>
      </c>
      <c r="D99" s="42" t="str">
        <f>IF(SUMIFS(Sheet2!$E:$E,Sheet2!$C:$C,$A99,Sheet2!$A:$A,D$2)&lt;&gt;0,SUMIFS(Sheet2!$E:$E,Sheet2!$C:$C,$A99,Sheet2!$A:$A,D$2),"")</f>
        <v/>
      </c>
      <c r="E99" s="42" t="str">
        <f>IF(SUMIFS(Sheet2!$E:$E,Sheet2!$C:$C,$A99,Sheet2!$A:$A,E$2)&lt;&gt;0,SUMIFS(Sheet2!$E:$E,Sheet2!$C:$C,$A99,Sheet2!$A:$A,E$2),"")</f>
        <v/>
      </c>
      <c r="F99" s="42" t="str">
        <f>IF(SUMIFS(Sheet2!$E:$E,Sheet2!$C:$C,$A99,Sheet2!$A:$A,F$2)&lt;&gt;0,SUMIFS(Sheet2!$E:$E,Sheet2!$C:$C,$A99,Sheet2!$A:$A,F$2),"")</f>
        <v/>
      </c>
      <c r="G99" s="42" t="str">
        <f>IF(SUMIFS(Sheet2!$E:$E,Sheet2!$C:$C,$A99,Sheet2!$A:$A,G$2)&lt;&gt;0,SUMIFS(Sheet2!$E:$E,Sheet2!$C:$C,$A99,Sheet2!$A:$A,G$2),"")</f>
        <v/>
      </c>
      <c r="H99" s="42" t="str">
        <f>IF(SUMIFS(Sheet2!$E:$E,Sheet2!$C:$C,$A99,Sheet2!$A:$A,H$2)&lt;&gt;0,SUMIFS(Sheet2!$E:$E,Sheet2!$C:$C,$A99,Sheet2!$A:$A,H$2),"")</f>
        <v/>
      </c>
      <c r="I99" s="42" t="str">
        <f>IF(SUMIFS(Sheet2!$E:$E,Sheet2!$C:$C,$A99,Sheet2!$A:$A,I$2)&lt;&gt;0,SUMIFS(Sheet2!$E:$E,Sheet2!$C:$C,$A99,Sheet2!$A:$A,I$2),"")</f>
        <v/>
      </c>
      <c r="J99" s="42" t="str">
        <f>IF(SUMIFS(Sheet2!$E:$E,Sheet2!$C:$C,$A99,Sheet2!$A:$A,J$2)&lt;&gt;0,SUMIFS(Sheet2!$E:$E,Sheet2!$C:$C,$A99,Sheet2!$A:$A,J$2),"")</f>
        <v/>
      </c>
      <c r="K99" s="42" t="str">
        <f>IF(SUMIFS(Sheet2!$E:$E,Sheet2!$C:$C,$A99,Sheet2!$A:$A,K$2)&lt;&gt;0,SUMIFS(Sheet2!$E:$E,Sheet2!$C:$C,$A99,Sheet2!$A:$A,K$2),"")</f>
        <v/>
      </c>
      <c r="L99" s="42" t="str">
        <f>IF(SUMIFS(Sheet2!$E:$E,Sheet2!$C:$C,$A99,Sheet2!$A:$A,L$2)&lt;&gt;0,SUMIFS(Sheet2!$E:$E,Sheet2!$C:$C,$A99,Sheet2!$A:$A,L$2),"")</f>
        <v/>
      </c>
      <c r="M99" s="42" t="str">
        <f>IF(SUMIFS(Sheet2!$E:$E,Sheet2!$C:$C,$A99,Sheet2!$A:$A,M$2)&lt;&gt;0,SUMIFS(Sheet2!$E:$E,Sheet2!$C:$C,$A99,Sheet2!$A:$A,M$2),"")</f>
        <v/>
      </c>
      <c r="N99" s="42" t="str">
        <f>IF(SUMIFS(Sheet2!$E:$E,Sheet2!$C:$C,$A99,Sheet2!$A:$A,N$2)&lt;&gt;0,SUMIFS(Sheet2!$E:$E,Sheet2!$C:$C,$A99,Sheet2!$A:$A,N$2),"")</f>
        <v/>
      </c>
      <c r="O99" s="42" t="str">
        <f>IF(SUMIFS(Sheet2!$E:$E,Sheet2!$C:$C,$A99,Sheet2!$A:$A,O$2)&lt;&gt;0,SUMIFS(Sheet2!$E:$E,Sheet2!$C:$C,$A99,Sheet2!$A:$A,O$2),"")</f>
        <v/>
      </c>
      <c r="P99" s="42" t="str">
        <f>IF(SUMIFS(Sheet2!$E:$E,Sheet2!$C:$C,$A99,Sheet2!$A:$A,P$2)&lt;&gt;0,SUMIFS(Sheet2!$E:$E,Sheet2!$C:$C,$A99,Sheet2!$A:$A,P$2),"")</f>
        <v/>
      </c>
      <c r="Q99" s="42" t="str">
        <f>IF(SUMIFS(Sheet2!$E:$E,Sheet2!$C:$C,$A99,Sheet2!$A:$A,Q$2)&lt;&gt;0,SUMIFS(Sheet2!$E:$E,Sheet2!$C:$C,$A99,Sheet2!$A:$A,Q$2),"")</f>
        <v/>
      </c>
      <c r="R99" s="42" t="str">
        <f>IF(SUMIFS(Sheet2!$E:$E,Sheet2!$C:$C,$A99,Sheet2!$A:$A,R$2)&lt;&gt;0,SUMIFS(Sheet2!$E:$E,Sheet2!$C:$C,$A99,Sheet2!$A:$A,R$2),"")</f>
        <v/>
      </c>
      <c r="S99" s="42" t="str">
        <f>IF(SUMIFS(Sheet2!$E:$E,Sheet2!$C:$C,$A99,Sheet2!$A:$A,S$2)&lt;&gt;0,SUMIFS(Sheet2!$E:$E,Sheet2!$C:$C,$A99,Sheet2!$A:$A,S$2),"")</f>
        <v/>
      </c>
      <c r="T99" s="42" t="str">
        <f>IF(SUMIFS(Sheet2!$E:$E,Sheet2!$C:$C,$A99,Sheet2!$A:$A,T$2)&lt;&gt;0,SUMIFS(Sheet2!$E:$E,Sheet2!$C:$C,$A99,Sheet2!$A:$A,T$2),"")</f>
        <v/>
      </c>
      <c r="U99" s="42" t="str">
        <f>IF(SUMIFS(Sheet2!$E:$E,Sheet2!$C:$C,$A99,Sheet2!$A:$A,U$2)&lt;&gt;0,SUMIFS(Sheet2!$E:$E,Sheet2!$C:$C,$A99,Sheet2!$A:$A,U$2),"")</f>
        <v/>
      </c>
      <c r="V99" s="42" t="str">
        <f>IF(SUMIFS(Sheet2!$E:$E,Sheet2!$C:$C,$A99,Sheet2!$A:$A,V$2)&lt;&gt;0,SUMIFS(Sheet2!$E:$E,Sheet2!$C:$C,$A99,Sheet2!$A:$A,V$2),"")</f>
        <v/>
      </c>
      <c r="W99" s="42" t="str">
        <f>IF(SUMIFS(Sheet2!$E:$E,Sheet2!$C:$C,$A99,Sheet2!$A:$A,W$2)&lt;&gt;0,SUMIFS(Sheet2!$E:$E,Sheet2!$C:$C,$A99,Sheet2!$A:$A,W$2),"")</f>
        <v/>
      </c>
      <c r="X99" s="42" t="str">
        <f>IF(SUMIFS(Sheet2!$E:$E,Sheet2!$C:$C,$A99,Sheet2!$A:$A,X$2)&lt;&gt;0,SUMIFS(Sheet2!$E:$E,Sheet2!$C:$C,$A99,Sheet2!$A:$A,X$2),"")</f>
        <v/>
      </c>
      <c r="Y99" s="42" t="str">
        <f>IF(SUMIFS(Sheet2!$E:$E,Sheet2!$C:$C,$A99,Sheet2!$A:$A,Y$2)&lt;&gt;0,SUMIFS(Sheet2!$E:$E,Sheet2!$C:$C,$A99,Sheet2!$A:$A,Y$2),"")</f>
        <v/>
      </c>
      <c r="Z99" s="42" t="str">
        <f>IF(SUMIFS(Sheet2!$E:$E,Sheet2!$C:$C,$A99,Sheet2!$A:$A,Z$2)&lt;&gt;0,SUMIFS(Sheet2!$E:$E,Sheet2!$C:$C,$A99,Sheet2!$A:$A,Z$2),"")</f>
        <v/>
      </c>
      <c r="AA99" s="42" t="str">
        <f>IF(SUMIFS(Sheet2!$E:$E,Sheet2!$C:$C,$A99,Sheet2!$A:$A,AA$2)&lt;&gt;0,SUMIFS(Sheet2!$E:$E,Sheet2!$C:$C,$A99,Sheet2!$A:$A,AA$2),"")</f>
        <v/>
      </c>
      <c r="AB99" s="42" t="str">
        <f>IF(SUMIFS(Sheet2!$E:$E,Sheet2!$C:$C,$A99,Sheet2!$A:$A,AB$2)&lt;&gt;0,SUMIFS(Sheet2!$E:$E,Sheet2!$C:$C,$A99,Sheet2!$A:$A,AB$2),"")</f>
        <v/>
      </c>
      <c r="AC99" s="42" t="str">
        <f>IF(SUMIFS(Sheet2!$E:$E,Sheet2!$C:$C,$A99,Sheet2!$A:$A,AC$2)&lt;&gt;0,SUMIFS(Sheet2!$E:$E,Sheet2!$C:$C,$A99,Sheet2!$A:$A,AC$2),"")</f>
        <v/>
      </c>
      <c r="AD99" s="42" t="str">
        <f>IF(SUMIFS(Sheet2!$E:$E,Sheet2!$C:$C,$A99,Sheet2!$A:$A,AD$2)&lt;&gt;0,SUMIFS(Sheet2!$E:$E,Sheet2!$C:$C,$A99,Sheet2!$A:$A,AD$2),"")</f>
        <v/>
      </c>
      <c r="AE99" s="42" t="str">
        <f>IF(SUMIFS(Sheet2!$E:$E,Sheet2!$C:$C,$A99,Sheet2!$A:$A,AE$2)&lt;&gt;0,SUMIFS(Sheet2!$E:$E,Sheet2!$C:$C,$A99,Sheet2!$A:$A,AE$2),"")</f>
        <v/>
      </c>
      <c r="AF99" s="42" t="str">
        <f>IF(SUMIFS(Sheet2!$E:$E,Sheet2!$C:$C,$A99,Sheet2!$A:$A,AF$2)&lt;&gt;0,SUMIFS(Sheet2!$E:$E,Sheet2!$C:$C,$A99,Sheet2!$A:$A,AF$2),"")</f>
        <v/>
      </c>
      <c r="AG99" s="42" t="str">
        <f>IF(SUMIFS(Sheet2!$E:$E,Sheet2!$C:$C,$A99,Sheet2!$A:$A,AG$2)&lt;&gt;0,SUMIFS(Sheet2!$E:$E,Sheet2!$C:$C,$A99,Sheet2!$A:$A,AG$2),"")</f>
        <v/>
      </c>
      <c r="AH99" s="43">
        <f>SUM(Table2[[#This Row],[1]:[31]])</f>
        <v>0</v>
      </c>
    </row>
    <row r="100" spans="1:34" ht="12.75" customHeight="1">
      <c r="A100" s="76" t="str">
        <f>DSSP!A99</f>
        <v>B15</v>
      </c>
      <c r="B100" s="25" t="str">
        <f>DSSP!B99</f>
        <v>Hộp chocolate</v>
      </c>
      <c r="C100" s="42" t="str">
        <f>IF(SUMIFS(Sheet2!$E:$E,Sheet2!$C:$C,$A100,Sheet2!$A:$A,C$2)&lt;&gt;0,SUMIFS(Sheet2!$E:$E,Sheet2!$C:$C,$A100,Sheet2!$A:$A,C$2),"")</f>
        <v/>
      </c>
      <c r="D100" s="42" t="str">
        <f>IF(SUMIFS(Sheet2!$E:$E,Sheet2!$C:$C,$A100,Sheet2!$A:$A,D$2)&lt;&gt;0,SUMIFS(Sheet2!$E:$E,Sheet2!$C:$C,$A100,Sheet2!$A:$A,D$2),"")</f>
        <v/>
      </c>
      <c r="E100" s="42" t="str">
        <f>IF(SUMIFS(Sheet2!$E:$E,Sheet2!$C:$C,$A100,Sheet2!$A:$A,E$2)&lt;&gt;0,SUMIFS(Sheet2!$E:$E,Sheet2!$C:$C,$A100,Sheet2!$A:$A,E$2),"")</f>
        <v/>
      </c>
      <c r="F100" s="42" t="str">
        <f>IF(SUMIFS(Sheet2!$E:$E,Sheet2!$C:$C,$A100,Sheet2!$A:$A,F$2)&lt;&gt;0,SUMIFS(Sheet2!$E:$E,Sheet2!$C:$C,$A100,Sheet2!$A:$A,F$2),"")</f>
        <v/>
      </c>
      <c r="G100" s="42" t="str">
        <f>IF(SUMIFS(Sheet2!$E:$E,Sheet2!$C:$C,$A100,Sheet2!$A:$A,G$2)&lt;&gt;0,SUMIFS(Sheet2!$E:$E,Sheet2!$C:$C,$A100,Sheet2!$A:$A,G$2),"")</f>
        <v/>
      </c>
      <c r="H100" s="42" t="str">
        <f>IF(SUMIFS(Sheet2!$E:$E,Sheet2!$C:$C,$A100,Sheet2!$A:$A,H$2)&lt;&gt;0,SUMIFS(Sheet2!$E:$E,Sheet2!$C:$C,$A100,Sheet2!$A:$A,H$2),"")</f>
        <v/>
      </c>
      <c r="I100" s="42" t="str">
        <f>IF(SUMIFS(Sheet2!$E:$E,Sheet2!$C:$C,$A100,Sheet2!$A:$A,I$2)&lt;&gt;0,SUMIFS(Sheet2!$E:$E,Sheet2!$C:$C,$A100,Sheet2!$A:$A,I$2),"")</f>
        <v/>
      </c>
      <c r="J100" s="42" t="str">
        <f>IF(SUMIFS(Sheet2!$E:$E,Sheet2!$C:$C,$A100,Sheet2!$A:$A,J$2)&lt;&gt;0,SUMIFS(Sheet2!$E:$E,Sheet2!$C:$C,$A100,Sheet2!$A:$A,J$2),"")</f>
        <v/>
      </c>
      <c r="K100" s="42" t="str">
        <f>IF(SUMIFS(Sheet2!$E:$E,Sheet2!$C:$C,$A100,Sheet2!$A:$A,K$2)&lt;&gt;0,SUMIFS(Sheet2!$E:$E,Sheet2!$C:$C,$A100,Sheet2!$A:$A,K$2),"")</f>
        <v/>
      </c>
      <c r="L100" s="42" t="str">
        <f>IF(SUMIFS(Sheet2!$E:$E,Sheet2!$C:$C,$A100,Sheet2!$A:$A,L$2)&lt;&gt;0,SUMIFS(Sheet2!$E:$E,Sheet2!$C:$C,$A100,Sheet2!$A:$A,L$2),"")</f>
        <v/>
      </c>
      <c r="M100" s="42" t="str">
        <f>IF(SUMIFS(Sheet2!$E:$E,Sheet2!$C:$C,$A100,Sheet2!$A:$A,M$2)&lt;&gt;0,SUMIFS(Sheet2!$E:$E,Sheet2!$C:$C,$A100,Sheet2!$A:$A,M$2),"")</f>
        <v/>
      </c>
      <c r="N100" s="42" t="str">
        <f>IF(SUMIFS(Sheet2!$E:$E,Sheet2!$C:$C,$A100,Sheet2!$A:$A,N$2)&lt;&gt;0,SUMIFS(Sheet2!$E:$E,Sheet2!$C:$C,$A100,Sheet2!$A:$A,N$2),"")</f>
        <v/>
      </c>
      <c r="O100" s="42" t="str">
        <f>IF(SUMIFS(Sheet2!$E:$E,Sheet2!$C:$C,$A100,Sheet2!$A:$A,O$2)&lt;&gt;0,SUMIFS(Sheet2!$E:$E,Sheet2!$C:$C,$A100,Sheet2!$A:$A,O$2),"")</f>
        <v/>
      </c>
      <c r="P100" s="42" t="str">
        <f>IF(SUMIFS(Sheet2!$E:$E,Sheet2!$C:$C,$A100,Sheet2!$A:$A,P$2)&lt;&gt;0,SUMIFS(Sheet2!$E:$E,Sheet2!$C:$C,$A100,Sheet2!$A:$A,P$2),"")</f>
        <v/>
      </c>
      <c r="Q100" s="42" t="str">
        <f>IF(SUMIFS(Sheet2!$E:$E,Sheet2!$C:$C,$A100,Sheet2!$A:$A,Q$2)&lt;&gt;0,SUMIFS(Sheet2!$E:$E,Sheet2!$C:$C,$A100,Sheet2!$A:$A,Q$2),"")</f>
        <v/>
      </c>
      <c r="R100" s="42" t="str">
        <f>IF(SUMIFS(Sheet2!$E:$E,Sheet2!$C:$C,$A100,Sheet2!$A:$A,R$2)&lt;&gt;0,SUMIFS(Sheet2!$E:$E,Sheet2!$C:$C,$A100,Sheet2!$A:$A,R$2),"")</f>
        <v/>
      </c>
      <c r="S100" s="42" t="str">
        <f>IF(SUMIFS(Sheet2!$E:$E,Sheet2!$C:$C,$A100,Sheet2!$A:$A,S$2)&lt;&gt;0,SUMIFS(Sheet2!$E:$E,Sheet2!$C:$C,$A100,Sheet2!$A:$A,S$2),"")</f>
        <v/>
      </c>
      <c r="T100" s="42" t="str">
        <f>IF(SUMIFS(Sheet2!$E:$E,Sheet2!$C:$C,$A100,Sheet2!$A:$A,T$2)&lt;&gt;0,SUMIFS(Sheet2!$E:$E,Sheet2!$C:$C,$A100,Sheet2!$A:$A,T$2),"")</f>
        <v/>
      </c>
      <c r="U100" s="42" t="str">
        <f>IF(SUMIFS(Sheet2!$E:$E,Sheet2!$C:$C,$A100,Sheet2!$A:$A,U$2)&lt;&gt;0,SUMIFS(Sheet2!$E:$E,Sheet2!$C:$C,$A100,Sheet2!$A:$A,U$2),"")</f>
        <v/>
      </c>
      <c r="V100" s="42" t="str">
        <f>IF(SUMIFS(Sheet2!$E:$E,Sheet2!$C:$C,$A100,Sheet2!$A:$A,V$2)&lt;&gt;0,SUMIFS(Sheet2!$E:$E,Sheet2!$C:$C,$A100,Sheet2!$A:$A,V$2),"")</f>
        <v/>
      </c>
      <c r="W100" s="42" t="str">
        <f>IF(SUMIFS(Sheet2!$E:$E,Sheet2!$C:$C,$A100,Sheet2!$A:$A,W$2)&lt;&gt;0,SUMIFS(Sheet2!$E:$E,Sheet2!$C:$C,$A100,Sheet2!$A:$A,W$2),"")</f>
        <v/>
      </c>
      <c r="X100" s="42" t="str">
        <f>IF(SUMIFS(Sheet2!$E:$E,Sheet2!$C:$C,$A100,Sheet2!$A:$A,X$2)&lt;&gt;0,SUMIFS(Sheet2!$E:$E,Sheet2!$C:$C,$A100,Sheet2!$A:$A,X$2),"")</f>
        <v/>
      </c>
      <c r="Y100" s="42" t="str">
        <f>IF(SUMIFS(Sheet2!$E:$E,Sheet2!$C:$C,$A100,Sheet2!$A:$A,Y$2)&lt;&gt;0,SUMIFS(Sheet2!$E:$E,Sheet2!$C:$C,$A100,Sheet2!$A:$A,Y$2),"")</f>
        <v/>
      </c>
      <c r="Z100" s="42" t="str">
        <f>IF(SUMIFS(Sheet2!$E:$E,Sheet2!$C:$C,$A100,Sheet2!$A:$A,Z$2)&lt;&gt;0,SUMIFS(Sheet2!$E:$E,Sheet2!$C:$C,$A100,Sheet2!$A:$A,Z$2),"")</f>
        <v/>
      </c>
      <c r="AA100" s="42" t="str">
        <f>IF(SUMIFS(Sheet2!$E:$E,Sheet2!$C:$C,$A100,Sheet2!$A:$A,AA$2)&lt;&gt;0,SUMIFS(Sheet2!$E:$E,Sheet2!$C:$C,$A100,Sheet2!$A:$A,AA$2),"")</f>
        <v/>
      </c>
      <c r="AB100" s="42" t="str">
        <f>IF(SUMIFS(Sheet2!$E:$E,Sheet2!$C:$C,$A100,Sheet2!$A:$A,AB$2)&lt;&gt;0,SUMIFS(Sheet2!$E:$E,Sheet2!$C:$C,$A100,Sheet2!$A:$A,AB$2),"")</f>
        <v/>
      </c>
      <c r="AC100" s="42" t="str">
        <f>IF(SUMIFS(Sheet2!$E:$E,Sheet2!$C:$C,$A100,Sheet2!$A:$A,AC$2)&lt;&gt;0,SUMIFS(Sheet2!$E:$E,Sheet2!$C:$C,$A100,Sheet2!$A:$A,AC$2),"")</f>
        <v/>
      </c>
      <c r="AD100" s="42" t="str">
        <f>IF(SUMIFS(Sheet2!$E:$E,Sheet2!$C:$C,$A100,Sheet2!$A:$A,AD$2)&lt;&gt;0,SUMIFS(Sheet2!$E:$E,Sheet2!$C:$C,$A100,Sheet2!$A:$A,AD$2),"")</f>
        <v/>
      </c>
      <c r="AE100" s="42" t="str">
        <f>IF(SUMIFS(Sheet2!$E:$E,Sheet2!$C:$C,$A100,Sheet2!$A:$A,AE$2)&lt;&gt;0,SUMIFS(Sheet2!$E:$E,Sheet2!$C:$C,$A100,Sheet2!$A:$A,AE$2),"")</f>
        <v/>
      </c>
      <c r="AF100" s="42" t="str">
        <f>IF(SUMIFS(Sheet2!$E:$E,Sheet2!$C:$C,$A100,Sheet2!$A:$A,AF$2)&lt;&gt;0,SUMIFS(Sheet2!$E:$E,Sheet2!$C:$C,$A100,Sheet2!$A:$A,AF$2),"")</f>
        <v/>
      </c>
      <c r="AG100" s="42" t="str">
        <f>IF(SUMIFS(Sheet2!$E:$E,Sheet2!$C:$C,$A100,Sheet2!$A:$A,AG$2)&lt;&gt;0,SUMIFS(Sheet2!$E:$E,Sheet2!$C:$C,$A100,Sheet2!$A:$A,AG$2),"")</f>
        <v/>
      </c>
      <c r="AH100" s="43">
        <f>SUM(Table2[[#This Row],[1]:[31]])</f>
        <v>0</v>
      </c>
    </row>
    <row r="101" spans="1:34" ht="12.75" customHeight="1">
      <c r="A101" s="76" t="str">
        <f>DSSP!A100</f>
        <v>C01</v>
      </c>
      <c r="B101" s="25" t="str">
        <f>DSSP!B100</f>
        <v>Thiệp</v>
      </c>
      <c r="C101" s="42" t="str">
        <f>IF(SUMIFS(Sheet2!$E:$E,Sheet2!$C:$C,$A101,Sheet2!$A:$A,C$2)&lt;&gt;0,SUMIFS(Sheet2!$E:$E,Sheet2!$C:$C,$A101,Sheet2!$A:$A,C$2),"")</f>
        <v/>
      </c>
      <c r="D101" s="42" t="str">
        <f>IF(SUMIFS(Sheet2!$E:$E,Sheet2!$C:$C,$A101,Sheet2!$A:$A,D$2)&lt;&gt;0,SUMIFS(Sheet2!$E:$E,Sheet2!$C:$C,$A101,Sheet2!$A:$A,D$2),"")</f>
        <v/>
      </c>
      <c r="E101" s="42" t="str">
        <f>IF(SUMIFS(Sheet2!$E:$E,Sheet2!$C:$C,$A101,Sheet2!$A:$A,E$2)&lt;&gt;0,SUMIFS(Sheet2!$E:$E,Sheet2!$C:$C,$A101,Sheet2!$A:$A,E$2),"")</f>
        <v/>
      </c>
      <c r="F101" s="42" t="str">
        <f>IF(SUMIFS(Sheet2!$E:$E,Sheet2!$C:$C,$A101,Sheet2!$A:$A,F$2)&lt;&gt;0,SUMIFS(Sheet2!$E:$E,Sheet2!$C:$C,$A101,Sheet2!$A:$A,F$2),"")</f>
        <v/>
      </c>
      <c r="G101" s="42" t="str">
        <f>IF(SUMIFS(Sheet2!$E:$E,Sheet2!$C:$C,$A101,Sheet2!$A:$A,G$2)&lt;&gt;0,SUMIFS(Sheet2!$E:$E,Sheet2!$C:$C,$A101,Sheet2!$A:$A,G$2),"")</f>
        <v/>
      </c>
      <c r="H101" s="42" t="str">
        <f>IF(SUMIFS(Sheet2!$E:$E,Sheet2!$C:$C,$A101,Sheet2!$A:$A,H$2)&lt;&gt;0,SUMIFS(Sheet2!$E:$E,Sheet2!$C:$C,$A101,Sheet2!$A:$A,H$2),"")</f>
        <v/>
      </c>
      <c r="I101" s="42" t="str">
        <f>IF(SUMIFS(Sheet2!$E:$E,Sheet2!$C:$C,$A101,Sheet2!$A:$A,I$2)&lt;&gt;0,SUMIFS(Sheet2!$E:$E,Sheet2!$C:$C,$A101,Sheet2!$A:$A,I$2),"")</f>
        <v/>
      </c>
      <c r="J101" s="42" t="str">
        <f>IF(SUMIFS(Sheet2!$E:$E,Sheet2!$C:$C,$A101,Sheet2!$A:$A,J$2)&lt;&gt;0,SUMIFS(Sheet2!$E:$E,Sheet2!$C:$C,$A101,Sheet2!$A:$A,J$2),"")</f>
        <v/>
      </c>
      <c r="K101" s="42" t="str">
        <f>IF(SUMIFS(Sheet2!$E:$E,Sheet2!$C:$C,$A101,Sheet2!$A:$A,K$2)&lt;&gt;0,SUMIFS(Sheet2!$E:$E,Sheet2!$C:$C,$A101,Sheet2!$A:$A,K$2),"")</f>
        <v/>
      </c>
      <c r="L101" s="42" t="str">
        <f>IF(SUMIFS(Sheet2!$E:$E,Sheet2!$C:$C,$A101,Sheet2!$A:$A,L$2)&lt;&gt;0,SUMIFS(Sheet2!$E:$E,Sheet2!$C:$C,$A101,Sheet2!$A:$A,L$2),"")</f>
        <v/>
      </c>
      <c r="M101" s="42" t="str">
        <f>IF(SUMIFS(Sheet2!$E:$E,Sheet2!$C:$C,$A101,Sheet2!$A:$A,M$2)&lt;&gt;0,SUMIFS(Sheet2!$E:$E,Sheet2!$C:$C,$A101,Sheet2!$A:$A,M$2),"")</f>
        <v/>
      </c>
      <c r="N101" s="42" t="str">
        <f>IF(SUMIFS(Sheet2!$E:$E,Sheet2!$C:$C,$A101,Sheet2!$A:$A,N$2)&lt;&gt;0,SUMIFS(Sheet2!$E:$E,Sheet2!$C:$C,$A101,Sheet2!$A:$A,N$2),"")</f>
        <v/>
      </c>
      <c r="O101" s="42" t="str">
        <f>IF(SUMIFS(Sheet2!$E:$E,Sheet2!$C:$C,$A101,Sheet2!$A:$A,O$2)&lt;&gt;0,SUMIFS(Sheet2!$E:$E,Sheet2!$C:$C,$A101,Sheet2!$A:$A,O$2),"")</f>
        <v/>
      </c>
      <c r="P101" s="42" t="str">
        <f>IF(SUMIFS(Sheet2!$E:$E,Sheet2!$C:$C,$A101,Sheet2!$A:$A,P$2)&lt;&gt;0,SUMIFS(Sheet2!$E:$E,Sheet2!$C:$C,$A101,Sheet2!$A:$A,P$2),"")</f>
        <v/>
      </c>
      <c r="Q101" s="42" t="str">
        <f>IF(SUMIFS(Sheet2!$E:$E,Sheet2!$C:$C,$A101,Sheet2!$A:$A,Q$2)&lt;&gt;0,SUMIFS(Sheet2!$E:$E,Sheet2!$C:$C,$A101,Sheet2!$A:$A,Q$2),"")</f>
        <v/>
      </c>
      <c r="R101" s="42" t="str">
        <f>IF(SUMIFS(Sheet2!$E:$E,Sheet2!$C:$C,$A101,Sheet2!$A:$A,R$2)&lt;&gt;0,SUMIFS(Sheet2!$E:$E,Sheet2!$C:$C,$A101,Sheet2!$A:$A,R$2),"")</f>
        <v/>
      </c>
      <c r="S101" s="42" t="str">
        <f>IF(SUMIFS(Sheet2!$E:$E,Sheet2!$C:$C,$A101,Sheet2!$A:$A,S$2)&lt;&gt;0,SUMIFS(Sheet2!$E:$E,Sheet2!$C:$C,$A101,Sheet2!$A:$A,S$2),"")</f>
        <v/>
      </c>
      <c r="T101" s="42" t="str">
        <f>IF(SUMIFS(Sheet2!$E:$E,Sheet2!$C:$C,$A101,Sheet2!$A:$A,T$2)&lt;&gt;0,SUMIFS(Sheet2!$E:$E,Sheet2!$C:$C,$A101,Sheet2!$A:$A,T$2),"")</f>
        <v/>
      </c>
      <c r="U101" s="42" t="str">
        <f>IF(SUMIFS(Sheet2!$E:$E,Sheet2!$C:$C,$A101,Sheet2!$A:$A,U$2)&lt;&gt;0,SUMIFS(Sheet2!$E:$E,Sheet2!$C:$C,$A101,Sheet2!$A:$A,U$2),"")</f>
        <v/>
      </c>
      <c r="V101" s="42" t="str">
        <f>IF(SUMIFS(Sheet2!$E:$E,Sheet2!$C:$C,$A101,Sheet2!$A:$A,V$2)&lt;&gt;0,SUMIFS(Sheet2!$E:$E,Sheet2!$C:$C,$A101,Sheet2!$A:$A,V$2),"")</f>
        <v/>
      </c>
      <c r="W101" s="42" t="str">
        <f>IF(SUMIFS(Sheet2!$E:$E,Sheet2!$C:$C,$A101,Sheet2!$A:$A,W$2)&lt;&gt;0,SUMIFS(Sheet2!$E:$E,Sheet2!$C:$C,$A101,Sheet2!$A:$A,W$2),"")</f>
        <v/>
      </c>
      <c r="X101" s="42" t="str">
        <f>IF(SUMIFS(Sheet2!$E:$E,Sheet2!$C:$C,$A101,Sheet2!$A:$A,X$2)&lt;&gt;0,SUMIFS(Sheet2!$E:$E,Sheet2!$C:$C,$A101,Sheet2!$A:$A,X$2),"")</f>
        <v/>
      </c>
      <c r="Y101" s="42" t="str">
        <f>IF(SUMIFS(Sheet2!$E:$E,Sheet2!$C:$C,$A101,Sheet2!$A:$A,Y$2)&lt;&gt;0,SUMIFS(Sheet2!$E:$E,Sheet2!$C:$C,$A101,Sheet2!$A:$A,Y$2),"")</f>
        <v/>
      </c>
      <c r="Z101" s="42" t="str">
        <f>IF(SUMIFS(Sheet2!$E:$E,Sheet2!$C:$C,$A101,Sheet2!$A:$A,Z$2)&lt;&gt;0,SUMIFS(Sheet2!$E:$E,Sheet2!$C:$C,$A101,Sheet2!$A:$A,Z$2),"")</f>
        <v/>
      </c>
      <c r="AA101" s="42" t="str">
        <f>IF(SUMIFS(Sheet2!$E:$E,Sheet2!$C:$C,$A101,Sheet2!$A:$A,AA$2)&lt;&gt;0,SUMIFS(Sheet2!$E:$E,Sheet2!$C:$C,$A101,Sheet2!$A:$A,AA$2),"")</f>
        <v/>
      </c>
      <c r="AB101" s="42" t="str">
        <f>IF(SUMIFS(Sheet2!$E:$E,Sheet2!$C:$C,$A101,Sheet2!$A:$A,AB$2)&lt;&gt;0,SUMIFS(Sheet2!$E:$E,Sheet2!$C:$C,$A101,Sheet2!$A:$A,AB$2),"")</f>
        <v/>
      </c>
      <c r="AC101" s="42" t="str">
        <f>IF(SUMIFS(Sheet2!$E:$E,Sheet2!$C:$C,$A101,Sheet2!$A:$A,AC$2)&lt;&gt;0,SUMIFS(Sheet2!$E:$E,Sheet2!$C:$C,$A101,Sheet2!$A:$A,AC$2),"")</f>
        <v/>
      </c>
      <c r="AD101" s="42" t="str">
        <f>IF(SUMIFS(Sheet2!$E:$E,Sheet2!$C:$C,$A101,Sheet2!$A:$A,AD$2)&lt;&gt;0,SUMIFS(Sheet2!$E:$E,Sheet2!$C:$C,$A101,Sheet2!$A:$A,AD$2),"")</f>
        <v/>
      </c>
      <c r="AE101" s="42" t="str">
        <f>IF(SUMIFS(Sheet2!$E:$E,Sheet2!$C:$C,$A101,Sheet2!$A:$A,AE$2)&lt;&gt;0,SUMIFS(Sheet2!$E:$E,Sheet2!$C:$C,$A101,Sheet2!$A:$A,AE$2),"")</f>
        <v/>
      </c>
      <c r="AF101" s="42" t="str">
        <f>IF(SUMIFS(Sheet2!$E:$E,Sheet2!$C:$C,$A101,Sheet2!$A:$A,AF$2)&lt;&gt;0,SUMIFS(Sheet2!$E:$E,Sheet2!$C:$C,$A101,Sheet2!$A:$A,AF$2),"")</f>
        <v/>
      </c>
      <c r="AG101" s="42" t="str">
        <f>IF(SUMIFS(Sheet2!$E:$E,Sheet2!$C:$C,$A101,Sheet2!$A:$A,AG$2)&lt;&gt;0,SUMIFS(Sheet2!$E:$E,Sheet2!$C:$C,$A101,Sheet2!$A:$A,AG$2),"")</f>
        <v/>
      </c>
      <c r="AH101" s="43">
        <f>SUM(Table2[[#This Row],[1]:[31]])</f>
        <v>0</v>
      </c>
    </row>
    <row r="102" spans="1:34" s="5" customFormat="1" ht="12.75" customHeight="1">
      <c r="A102" s="76" t="str">
        <f>DSSP!A101</f>
        <v>D01</v>
      </c>
      <c r="B102" s="25" t="str">
        <f>DSSP!B101</f>
        <v>Bánh kem dâu tây</v>
      </c>
      <c r="C102" s="42" t="str">
        <f>IF(SUMIFS(Sheet2!$E:$E,Sheet2!$C:$C,$A102,Sheet2!$A:$A,C$2)&lt;&gt;0,SUMIFS(Sheet2!$E:$E,Sheet2!$C:$C,$A102,Sheet2!$A:$A,C$2),"")</f>
        <v/>
      </c>
      <c r="D102" s="42" t="str">
        <f>IF(SUMIFS(Sheet2!$E:$E,Sheet2!$C:$C,$A102,Sheet2!$A:$A,D$2)&lt;&gt;0,SUMIFS(Sheet2!$E:$E,Sheet2!$C:$C,$A102,Sheet2!$A:$A,D$2),"")</f>
        <v/>
      </c>
      <c r="E102" s="42" t="str">
        <f>IF(SUMIFS(Sheet2!$E:$E,Sheet2!$C:$C,$A102,Sheet2!$A:$A,E$2)&lt;&gt;0,SUMIFS(Sheet2!$E:$E,Sheet2!$C:$C,$A102,Sheet2!$A:$A,E$2),"")</f>
        <v/>
      </c>
      <c r="F102" s="42" t="str">
        <f>IF(SUMIFS(Sheet2!$E:$E,Sheet2!$C:$C,$A102,Sheet2!$A:$A,F$2)&lt;&gt;0,SUMIFS(Sheet2!$E:$E,Sheet2!$C:$C,$A102,Sheet2!$A:$A,F$2),"")</f>
        <v/>
      </c>
      <c r="G102" s="42" t="str">
        <f>IF(SUMIFS(Sheet2!$E:$E,Sheet2!$C:$C,$A102,Sheet2!$A:$A,G$2)&lt;&gt;0,SUMIFS(Sheet2!$E:$E,Sheet2!$C:$C,$A102,Sheet2!$A:$A,G$2),"")</f>
        <v/>
      </c>
      <c r="H102" s="42" t="str">
        <f>IF(SUMIFS(Sheet2!$E:$E,Sheet2!$C:$C,$A102,Sheet2!$A:$A,H$2)&lt;&gt;0,SUMIFS(Sheet2!$E:$E,Sheet2!$C:$C,$A102,Sheet2!$A:$A,H$2),"")</f>
        <v/>
      </c>
      <c r="I102" s="42" t="str">
        <f>IF(SUMIFS(Sheet2!$E:$E,Sheet2!$C:$C,$A102,Sheet2!$A:$A,I$2)&lt;&gt;0,SUMIFS(Sheet2!$E:$E,Sheet2!$C:$C,$A102,Sheet2!$A:$A,I$2),"")</f>
        <v/>
      </c>
      <c r="J102" s="42" t="str">
        <f>IF(SUMIFS(Sheet2!$E:$E,Sheet2!$C:$C,$A102,Sheet2!$A:$A,J$2)&lt;&gt;0,SUMIFS(Sheet2!$E:$E,Sheet2!$C:$C,$A102,Sheet2!$A:$A,J$2),"")</f>
        <v/>
      </c>
      <c r="K102" s="42" t="str">
        <f>IF(SUMIFS(Sheet2!$E:$E,Sheet2!$C:$C,$A102,Sheet2!$A:$A,K$2)&lt;&gt;0,SUMIFS(Sheet2!$E:$E,Sheet2!$C:$C,$A102,Sheet2!$A:$A,K$2),"")</f>
        <v/>
      </c>
      <c r="L102" s="42" t="str">
        <f>IF(SUMIFS(Sheet2!$E:$E,Sheet2!$C:$C,$A102,Sheet2!$A:$A,L$2)&lt;&gt;0,SUMIFS(Sheet2!$E:$E,Sheet2!$C:$C,$A102,Sheet2!$A:$A,L$2),"")</f>
        <v/>
      </c>
      <c r="M102" s="42" t="str">
        <f>IF(SUMIFS(Sheet2!$E:$E,Sheet2!$C:$C,$A102,Sheet2!$A:$A,M$2)&lt;&gt;0,SUMIFS(Sheet2!$E:$E,Sheet2!$C:$C,$A102,Sheet2!$A:$A,M$2),"")</f>
        <v/>
      </c>
      <c r="N102" s="42" t="str">
        <f>IF(SUMIFS(Sheet2!$E:$E,Sheet2!$C:$C,$A102,Sheet2!$A:$A,N$2)&lt;&gt;0,SUMIFS(Sheet2!$E:$E,Sheet2!$C:$C,$A102,Sheet2!$A:$A,N$2),"")</f>
        <v/>
      </c>
      <c r="O102" s="42" t="str">
        <f>IF(SUMIFS(Sheet2!$E:$E,Sheet2!$C:$C,$A102,Sheet2!$A:$A,O$2)&lt;&gt;0,SUMIFS(Sheet2!$E:$E,Sheet2!$C:$C,$A102,Sheet2!$A:$A,O$2),"")</f>
        <v/>
      </c>
      <c r="P102" s="42" t="str">
        <f>IF(SUMIFS(Sheet2!$E:$E,Sheet2!$C:$C,$A102,Sheet2!$A:$A,P$2)&lt;&gt;0,SUMIFS(Sheet2!$E:$E,Sheet2!$C:$C,$A102,Sheet2!$A:$A,P$2),"")</f>
        <v/>
      </c>
      <c r="Q102" s="42" t="str">
        <f>IF(SUMIFS(Sheet2!$E:$E,Sheet2!$C:$C,$A102,Sheet2!$A:$A,Q$2)&lt;&gt;0,SUMIFS(Sheet2!$E:$E,Sheet2!$C:$C,$A102,Sheet2!$A:$A,Q$2),"")</f>
        <v/>
      </c>
      <c r="R102" s="42" t="str">
        <f>IF(SUMIFS(Sheet2!$E:$E,Sheet2!$C:$C,$A102,Sheet2!$A:$A,R$2)&lt;&gt;0,SUMIFS(Sheet2!$E:$E,Sheet2!$C:$C,$A102,Sheet2!$A:$A,R$2),"")</f>
        <v/>
      </c>
      <c r="S102" s="42" t="str">
        <f>IF(SUMIFS(Sheet2!$E:$E,Sheet2!$C:$C,$A102,Sheet2!$A:$A,S$2)&lt;&gt;0,SUMIFS(Sheet2!$E:$E,Sheet2!$C:$C,$A102,Sheet2!$A:$A,S$2),"")</f>
        <v/>
      </c>
      <c r="T102" s="42" t="str">
        <f>IF(SUMIFS(Sheet2!$E:$E,Sheet2!$C:$C,$A102,Sheet2!$A:$A,T$2)&lt;&gt;0,SUMIFS(Sheet2!$E:$E,Sheet2!$C:$C,$A102,Sheet2!$A:$A,T$2),"")</f>
        <v/>
      </c>
      <c r="U102" s="42" t="str">
        <f>IF(SUMIFS(Sheet2!$E:$E,Sheet2!$C:$C,$A102,Sheet2!$A:$A,U$2)&lt;&gt;0,SUMIFS(Sheet2!$E:$E,Sheet2!$C:$C,$A102,Sheet2!$A:$A,U$2),"")</f>
        <v/>
      </c>
      <c r="V102" s="42" t="str">
        <f>IF(SUMIFS(Sheet2!$E:$E,Sheet2!$C:$C,$A102,Sheet2!$A:$A,V$2)&lt;&gt;0,SUMIFS(Sheet2!$E:$E,Sheet2!$C:$C,$A102,Sheet2!$A:$A,V$2),"")</f>
        <v/>
      </c>
      <c r="W102" s="42" t="str">
        <f>IF(SUMIFS(Sheet2!$E:$E,Sheet2!$C:$C,$A102,Sheet2!$A:$A,W$2)&lt;&gt;0,SUMIFS(Sheet2!$E:$E,Sheet2!$C:$C,$A102,Sheet2!$A:$A,W$2),"")</f>
        <v/>
      </c>
      <c r="X102" s="42" t="str">
        <f>IF(SUMIFS(Sheet2!$E:$E,Sheet2!$C:$C,$A102,Sheet2!$A:$A,X$2)&lt;&gt;0,SUMIFS(Sheet2!$E:$E,Sheet2!$C:$C,$A102,Sheet2!$A:$A,X$2),"")</f>
        <v/>
      </c>
      <c r="Y102" s="42" t="str">
        <f>IF(SUMIFS(Sheet2!$E:$E,Sheet2!$C:$C,$A102,Sheet2!$A:$A,Y$2)&lt;&gt;0,SUMIFS(Sheet2!$E:$E,Sheet2!$C:$C,$A102,Sheet2!$A:$A,Y$2),"")</f>
        <v/>
      </c>
      <c r="Z102" s="42" t="str">
        <f>IF(SUMIFS(Sheet2!$E:$E,Sheet2!$C:$C,$A102,Sheet2!$A:$A,Z$2)&lt;&gt;0,SUMIFS(Sheet2!$E:$E,Sheet2!$C:$C,$A102,Sheet2!$A:$A,Z$2),"")</f>
        <v/>
      </c>
      <c r="AA102" s="42" t="str">
        <f>IF(SUMIFS(Sheet2!$E:$E,Sheet2!$C:$C,$A102,Sheet2!$A:$A,AA$2)&lt;&gt;0,SUMIFS(Sheet2!$E:$E,Sheet2!$C:$C,$A102,Sheet2!$A:$A,AA$2),"")</f>
        <v/>
      </c>
      <c r="AB102" s="42" t="str">
        <f>IF(SUMIFS(Sheet2!$E:$E,Sheet2!$C:$C,$A102,Sheet2!$A:$A,AB$2)&lt;&gt;0,SUMIFS(Sheet2!$E:$E,Sheet2!$C:$C,$A102,Sheet2!$A:$A,AB$2),"")</f>
        <v/>
      </c>
      <c r="AC102" s="42" t="str">
        <f>IF(SUMIFS(Sheet2!$E:$E,Sheet2!$C:$C,$A102,Sheet2!$A:$A,AC$2)&lt;&gt;0,SUMIFS(Sheet2!$E:$E,Sheet2!$C:$C,$A102,Sheet2!$A:$A,AC$2),"")</f>
        <v/>
      </c>
      <c r="AD102" s="42" t="str">
        <f>IF(SUMIFS(Sheet2!$E:$E,Sheet2!$C:$C,$A102,Sheet2!$A:$A,AD$2)&lt;&gt;0,SUMIFS(Sheet2!$E:$E,Sheet2!$C:$C,$A102,Sheet2!$A:$A,AD$2),"")</f>
        <v/>
      </c>
      <c r="AE102" s="42" t="str">
        <f>IF(SUMIFS(Sheet2!$E:$E,Sheet2!$C:$C,$A102,Sheet2!$A:$A,AE$2)&lt;&gt;0,SUMIFS(Sheet2!$E:$E,Sheet2!$C:$C,$A102,Sheet2!$A:$A,AE$2),"")</f>
        <v/>
      </c>
      <c r="AF102" s="42" t="str">
        <f>IF(SUMIFS(Sheet2!$E:$E,Sheet2!$C:$C,$A102,Sheet2!$A:$A,AF$2)&lt;&gt;0,SUMIFS(Sheet2!$E:$E,Sheet2!$C:$C,$A102,Sheet2!$A:$A,AF$2),"")</f>
        <v/>
      </c>
      <c r="AG102" s="42" t="str">
        <f>IF(SUMIFS(Sheet2!$E:$E,Sheet2!$C:$C,$A102,Sheet2!$A:$A,AG$2)&lt;&gt;0,SUMIFS(Sheet2!$E:$E,Sheet2!$C:$C,$A102,Sheet2!$A:$A,AG$2),"")</f>
        <v/>
      </c>
      <c r="AH102" s="43">
        <f>SUM(Table2[[#This Row],[1]:[31]])</f>
        <v>0</v>
      </c>
    </row>
    <row r="103" spans="1:34" s="5" customFormat="1" ht="12.75" customHeight="1">
      <c r="A103" s="76" t="str">
        <f>DSSP!A102</f>
        <v>D03</v>
      </c>
      <c r="B103" s="25" t="str">
        <f>DSSP!B102</f>
        <v>Cupcake dâu tây</v>
      </c>
      <c r="C103" s="42" t="str">
        <f>IF(SUMIFS(Sheet2!$E:$E,Sheet2!$C:$C,$A103,Sheet2!$A:$A,C$2)&lt;&gt;0,SUMIFS(Sheet2!$E:$E,Sheet2!$C:$C,$A103,Sheet2!$A:$A,C$2),"")</f>
        <v/>
      </c>
      <c r="D103" s="42" t="str">
        <f>IF(SUMIFS(Sheet2!$E:$E,Sheet2!$C:$C,$A103,Sheet2!$A:$A,D$2)&lt;&gt;0,SUMIFS(Sheet2!$E:$E,Sheet2!$C:$C,$A103,Sheet2!$A:$A,D$2),"")</f>
        <v/>
      </c>
      <c r="E103" s="42" t="str">
        <f>IF(SUMIFS(Sheet2!$E:$E,Sheet2!$C:$C,$A103,Sheet2!$A:$A,E$2)&lt;&gt;0,SUMIFS(Sheet2!$E:$E,Sheet2!$C:$C,$A103,Sheet2!$A:$A,E$2),"")</f>
        <v/>
      </c>
      <c r="F103" s="42" t="str">
        <f>IF(SUMIFS(Sheet2!$E:$E,Sheet2!$C:$C,$A103,Sheet2!$A:$A,F$2)&lt;&gt;0,SUMIFS(Sheet2!$E:$E,Sheet2!$C:$C,$A103,Sheet2!$A:$A,F$2),"")</f>
        <v/>
      </c>
      <c r="G103" s="42" t="str">
        <f>IF(SUMIFS(Sheet2!$E:$E,Sheet2!$C:$C,$A103,Sheet2!$A:$A,G$2)&lt;&gt;0,SUMIFS(Sheet2!$E:$E,Sheet2!$C:$C,$A103,Sheet2!$A:$A,G$2),"")</f>
        <v/>
      </c>
      <c r="H103" s="42" t="str">
        <f>IF(SUMIFS(Sheet2!$E:$E,Sheet2!$C:$C,$A103,Sheet2!$A:$A,H$2)&lt;&gt;0,SUMIFS(Sheet2!$E:$E,Sheet2!$C:$C,$A103,Sheet2!$A:$A,H$2),"")</f>
        <v/>
      </c>
      <c r="I103" s="42" t="str">
        <f>IF(SUMIFS(Sheet2!$E:$E,Sheet2!$C:$C,$A103,Sheet2!$A:$A,I$2)&lt;&gt;0,SUMIFS(Sheet2!$E:$E,Sheet2!$C:$C,$A103,Sheet2!$A:$A,I$2),"")</f>
        <v/>
      </c>
      <c r="J103" s="42" t="str">
        <f>IF(SUMIFS(Sheet2!$E:$E,Sheet2!$C:$C,$A103,Sheet2!$A:$A,J$2)&lt;&gt;0,SUMIFS(Sheet2!$E:$E,Sheet2!$C:$C,$A103,Sheet2!$A:$A,J$2),"")</f>
        <v/>
      </c>
      <c r="K103" s="42" t="str">
        <f>IF(SUMIFS(Sheet2!$E:$E,Sheet2!$C:$C,$A103,Sheet2!$A:$A,K$2)&lt;&gt;0,SUMIFS(Sheet2!$E:$E,Sheet2!$C:$C,$A103,Sheet2!$A:$A,K$2),"")</f>
        <v/>
      </c>
      <c r="L103" s="42" t="str">
        <f>IF(SUMIFS(Sheet2!$E:$E,Sheet2!$C:$C,$A103,Sheet2!$A:$A,L$2)&lt;&gt;0,SUMIFS(Sheet2!$E:$E,Sheet2!$C:$C,$A103,Sheet2!$A:$A,L$2),"")</f>
        <v/>
      </c>
      <c r="M103" s="42" t="str">
        <f>IF(SUMIFS(Sheet2!$E:$E,Sheet2!$C:$C,$A103,Sheet2!$A:$A,M$2)&lt;&gt;0,SUMIFS(Sheet2!$E:$E,Sheet2!$C:$C,$A103,Sheet2!$A:$A,M$2),"")</f>
        <v/>
      </c>
      <c r="N103" s="42" t="str">
        <f>IF(SUMIFS(Sheet2!$E:$E,Sheet2!$C:$C,$A103,Sheet2!$A:$A,N$2)&lt;&gt;0,SUMIFS(Sheet2!$E:$E,Sheet2!$C:$C,$A103,Sheet2!$A:$A,N$2),"")</f>
        <v/>
      </c>
      <c r="O103" s="42" t="str">
        <f>IF(SUMIFS(Sheet2!$E:$E,Sheet2!$C:$C,$A103,Sheet2!$A:$A,O$2)&lt;&gt;0,SUMIFS(Sheet2!$E:$E,Sheet2!$C:$C,$A103,Sheet2!$A:$A,O$2),"")</f>
        <v/>
      </c>
      <c r="P103" s="42" t="str">
        <f>IF(SUMIFS(Sheet2!$E:$E,Sheet2!$C:$C,$A103,Sheet2!$A:$A,P$2)&lt;&gt;0,SUMIFS(Sheet2!$E:$E,Sheet2!$C:$C,$A103,Sheet2!$A:$A,P$2),"")</f>
        <v/>
      </c>
      <c r="Q103" s="42" t="str">
        <f>IF(SUMIFS(Sheet2!$E:$E,Sheet2!$C:$C,$A103,Sheet2!$A:$A,Q$2)&lt;&gt;0,SUMIFS(Sheet2!$E:$E,Sheet2!$C:$C,$A103,Sheet2!$A:$A,Q$2),"")</f>
        <v/>
      </c>
      <c r="R103" s="42" t="str">
        <f>IF(SUMIFS(Sheet2!$E:$E,Sheet2!$C:$C,$A103,Sheet2!$A:$A,R$2)&lt;&gt;0,SUMIFS(Sheet2!$E:$E,Sheet2!$C:$C,$A103,Sheet2!$A:$A,R$2),"")</f>
        <v/>
      </c>
      <c r="S103" s="42" t="str">
        <f>IF(SUMIFS(Sheet2!$E:$E,Sheet2!$C:$C,$A103,Sheet2!$A:$A,S$2)&lt;&gt;0,SUMIFS(Sheet2!$E:$E,Sheet2!$C:$C,$A103,Sheet2!$A:$A,S$2),"")</f>
        <v/>
      </c>
      <c r="T103" s="42" t="str">
        <f>IF(SUMIFS(Sheet2!$E:$E,Sheet2!$C:$C,$A103,Sheet2!$A:$A,T$2)&lt;&gt;0,SUMIFS(Sheet2!$E:$E,Sheet2!$C:$C,$A103,Sheet2!$A:$A,T$2),"")</f>
        <v/>
      </c>
      <c r="U103" s="42" t="str">
        <f>IF(SUMIFS(Sheet2!$E:$E,Sheet2!$C:$C,$A103,Sheet2!$A:$A,U$2)&lt;&gt;0,SUMIFS(Sheet2!$E:$E,Sheet2!$C:$C,$A103,Sheet2!$A:$A,U$2),"")</f>
        <v/>
      </c>
      <c r="V103" s="42" t="str">
        <f>IF(SUMIFS(Sheet2!$E:$E,Sheet2!$C:$C,$A103,Sheet2!$A:$A,V$2)&lt;&gt;0,SUMIFS(Sheet2!$E:$E,Sheet2!$C:$C,$A103,Sheet2!$A:$A,V$2),"")</f>
        <v/>
      </c>
      <c r="W103" s="42" t="str">
        <f>IF(SUMIFS(Sheet2!$E:$E,Sheet2!$C:$C,$A103,Sheet2!$A:$A,W$2)&lt;&gt;0,SUMIFS(Sheet2!$E:$E,Sheet2!$C:$C,$A103,Sheet2!$A:$A,W$2),"")</f>
        <v/>
      </c>
      <c r="X103" s="42" t="str">
        <f>IF(SUMIFS(Sheet2!$E:$E,Sheet2!$C:$C,$A103,Sheet2!$A:$A,X$2)&lt;&gt;0,SUMIFS(Sheet2!$E:$E,Sheet2!$C:$C,$A103,Sheet2!$A:$A,X$2),"")</f>
        <v/>
      </c>
      <c r="Y103" s="42" t="str">
        <f>IF(SUMIFS(Sheet2!$E:$E,Sheet2!$C:$C,$A103,Sheet2!$A:$A,Y$2)&lt;&gt;0,SUMIFS(Sheet2!$E:$E,Sheet2!$C:$C,$A103,Sheet2!$A:$A,Y$2),"")</f>
        <v/>
      </c>
      <c r="Z103" s="42" t="str">
        <f>IF(SUMIFS(Sheet2!$E:$E,Sheet2!$C:$C,$A103,Sheet2!$A:$A,Z$2)&lt;&gt;0,SUMIFS(Sheet2!$E:$E,Sheet2!$C:$C,$A103,Sheet2!$A:$A,Z$2),"")</f>
        <v/>
      </c>
      <c r="AA103" s="42" t="str">
        <f>IF(SUMIFS(Sheet2!$E:$E,Sheet2!$C:$C,$A103,Sheet2!$A:$A,AA$2)&lt;&gt;0,SUMIFS(Sheet2!$E:$E,Sheet2!$C:$C,$A103,Sheet2!$A:$A,AA$2),"")</f>
        <v/>
      </c>
      <c r="AB103" s="42" t="str">
        <f>IF(SUMIFS(Sheet2!$E:$E,Sheet2!$C:$C,$A103,Sheet2!$A:$A,AB$2)&lt;&gt;0,SUMIFS(Sheet2!$E:$E,Sheet2!$C:$C,$A103,Sheet2!$A:$A,AB$2),"")</f>
        <v/>
      </c>
      <c r="AC103" s="42" t="str">
        <f>IF(SUMIFS(Sheet2!$E:$E,Sheet2!$C:$C,$A103,Sheet2!$A:$A,AC$2)&lt;&gt;0,SUMIFS(Sheet2!$E:$E,Sheet2!$C:$C,$A103,Sheet2!$A:$A,AC$2),"")</f>
        <v/>
      </c>
      <c r="AD103" s="42" t="str">
        <f>IF(SUMIFS(Sheet2!$E:$E,Sheet2!$C:$C,$A103,Sheet2!$A:$A,AD$2)&lt;&gt;0,SUMIFS(Sheet2!$E:$E,Sheet2!$C:$C,$A103,Sheet2!$A:$A,AD$2),"")</f>
        <v/>
      </c>
      <c r="AE103" s="42" t="str">
        <f>IF(SUMIFS(Sheet2!$E:$E,Sheet2!$C:$C,$A103,Sheet2!$A:$A,AE$2)&lt;&gt;0,SUMIFS(Sheet2!$E:$E,Sheet2!$C:$C,$A103,Sheet2!$A:$A,AE$2),"")</f>
        <v/>
      </c>
      <c r="AF103" s="42" t="str">
        <f>IF(SUMIFS(Sheet2!$E:$E,Sheet2!$C:$C,$A103,Sheet2!$A:$A,AF$2)&lt;&gt;0,SUMIFS(Sheet2!$E:$E,Sheet2!$C:$C,$A103,Sheet2!$A:$A,AF$2),"")</f>
        <v/>
      </c>
      <c r="AG103" s="42" t="str">
        <f>IF(SUMIFS(Sheet2!$E:$E,Sheet2!$C:$C,$A103,Sheet2!$A:$A,AG$2)&lt;&gt;0,SUMIFS(Sheet2!$E:$E,Sheet2!$C:$C,$A103,Sheet2!$A:$A,AG$2),"")</f>
        <v/>
      </c>
      <c r="AH103" s="43">
        <f>SUM(Table2[[#This Row],[1]:[31]])</f>
        <v>0</v>
      </c>
    </row>
    <row r="104" spans="1:34" s="5" customFormat="1" ht="12.75" customHeight="1">
      <c r="A104" s="76" t="str">
        <f>DSSP!A103</f>
        <v>D04</v>
      </c>
      <c r="B104" s="25" t="str">
        <f>DSSP!B103</f>
        <v>Bánh kem chocolate</v>
      </c>
      <c r="C104" s="42" t="str">
        <f>IF(SUMIFS(Sheet2!$E:$E,Sheet2!$C:$C,$A104,Sheet2!$A:$A,C$2)&lt;&gt;0,SUMIFS(Sheet2!$E:$E,Sheet2!$C:$C,$A104,Sheet2!$A:$A,C$2),"")</f>
        <v/>
      </c>
      <c r="D104" s="42" t="str">
        <f>IF(SUMIFS(Sheet2!$E:$E,Sheet2!$C:$C,$A104,Sheet2!$A:$A,D$2)&lt;&gt;0,SUMIFS(Sheet2!$E:$E,Sheet2!$C:$C,$A104,Sheet2!$A:$A,D$2),"")</f>
        <v/>
      </c>
      <c r="E104" s="42" t="str">
        <f>IF(SUMIFS(Sheet2!$E:$E,Sheet2!$C:$C,$A104,Sheet2!$A:$A,E$2)&lt;&gt;0,SUMIFS(Sheet2!$E:$E,Sheet2!$C:$C,$A104,Sheet2!$A:$A,E$2),"")</f>
        <v/>
      </c>
      <c r="F104" s="42" t="str">
        <f>IF(SUMIFS(Sheet2!$E:$E,Sheet2!$C:$C,$A104,Sheet2!$A:$A,F$2)&lt;&gt;0,SUMIFS(Sheet2!$E:$E,Sheet2!$C:$C,$A104,Sheet2!$A:$A,F$2),"")</f>
        <v/>
      </c>
      <c r="G104" s="42" t="str">
        <f>IF(SUMIFS(Sheet2!$E:$E,Sheet2!$C:$C,$A104,Sheet2!$A:$A,G$2)&lt;&gt;0,SUMIFS(Sheet2!$E:$E,Sheet2!$C:$C,$A104,Sheet2!$A:$A,G$2),"")</f>
        <v/>
      </c>
      <c r="H104" s="42" t="str">
        <f>IF(SUMIFS(Sheet2!$E:$E,Sheet2!$C:$C,$A104,Sheet2!$A:$A,H$2)&lt;&gt;0,SUMIFS(Sheet2!$E:$E,Sheet2!$C:$C,$A104,Sheet2!$A:$A,H$2),"")</f>
        <v/>
      </c>
      <c r="I104" s="42" t="str">
        <f>IF(SUMIFS(Sheet2!$E:$E,Sheet2!$C:$C,$A104,Sheet2!$A:$A,I$2)&lt;&gt;0,SUMIFS(Sheet2!$E:$E,Sheet2!$C:$C,$A104,Sheet2!$A:$A,I$2),"")</f>
        <v/>
      </c>
      <c r="J104" s="42" t="str">
        <f>IF(SUMIFS(Sheet2!$E:$E,Sheet2!$C:$C,$A104,Sheet2!$A:$A,J$2)&lt;&gt;0,SUMIFS(Sheet2!$E:$E,Sheet2!$C:$C,$A104,Sheet2!$A:$A,J$2),"")</f>
        <v/>
      </c>
      <c r="K104" s="42" t="str">
        <f>IF(SUMIFS(Sheet2!$E:$E,Sheet2!$C:$C,$A104,Sheet2!$A:$A,K$2)&lt;&gt;0,SUMIFS(Sheet2!$E:$E,Sheet2!$C:$C,$A104,Sheet2!$A:$A,K$2),"")</f>
        <v/>
      </c>
      <c r="L104" s="42" t="str">
        <f>IF(SUMIFS(Sheet2!$E:$E,Sheet2!$C:$C,$A104,Sheet2!$A:$A,L$2)&lt;&gt;0,SUMIFS(Sheet2!$E:$E,Sheet2!$C:$C,$A104,Sheet2!$A:$A,L$2),"")</f>
        <v/>
      </c>
      <c r="M104" s="42" t="str">
        <f>IF(SUMIFS(Sheet2!$E:$E,Sheet2!$C:$C,$A104,Sheet2!$A:$A,M$2)&lt;&gt;0,SUMIFS(Sheet2!$E:$E,Sheet2!$C:$C,$A104,Sheet2!$A:$A,M$2),"")</f>
        <v/>
      </c>
      <c r="N104" s="42" t="str">
        <f>IF(SUMIFS(Sheet2!$E:$E,Sheet2!$C:$C,$A104,Sheet2!$A:$A,N$2)&lt;&gt;0,SUMIFS(Sheet2!$E:$E,Sheet2!$C:$C,$A104,Sheet2!$A:$A,N$2),"")</f>
        <v/>
      </c>
      <c r="O104" s="42" t="str">
        <f>IF(SUMIFS(Sheet2!$E:$E,Sheet2!$C:$C,$A104,Sheet2!$A:$A,O$2)&lt;&gt;0,SUMIFS(Sheet2!$E:$E,Sheet2!$C:$C,$A104,Sheet2!$A:$A,O$2),"")</f>
        <v/>
      </c>
      <c r="P104" s="42" t="str">
        <f>IF(SUMIFS(Sheet2!$E:$E,Sheet2!$C:$C,$A104,Sheet2!$A:$A,P$2)&lt;&gt;0,SUMIFS(Sheet2!$E:$E,Sheet2!$C:$C,$A104,Sheet2!$A:$A,P$2),"")</f>
        <v/>
      </c>
      <c r="Q104" s="42" t="str">
        <f>IF(SUMIFS(Sheet2!$E:$E,Sheet2!$C:$C,$A104,Sheet2!$A:$A,Q$2)&lt;&gt;0,SUMIFS(Sheet2!$E:$E,Sheet2!$C:$C,$A104,Sheet2!$A:$A,Q$2),"")</f>
        <v/>
      </c>
      <c r="R104" s="42" t="str">
        <f>IF(SUMIFS(Sheet2!$E:$E,Sheet2!$C:$C,$A104,Sheet2!$A:$A,R$2)&lt;&gt;0,SUMIFS(Sheet2!$E:$E,Sheet2!$C:$C,$A104,Sheet2!$A:$A,R$2),"")</f>
        <v/>
      </c>
      <c r="S104" s="42" t="str">
        <f>IF(SUMIFS(Sheet2!$E:$E,Sheet2!$C:$C,$A104,Sheet2!$A:$A,S$2)&lt;&gt;0,SUMIFS(Sheet2!$E:$E,Sheet2!$C:$C,$A104,Sheet2!$A:$A,S$2),"")</f>
        <v/>
      </c>
      <c r="T104" s="42" t="str">
        <f>IF(SUMIFS(Sheet2!$E:$E,Sheet2!$C:$C,$A104,Sheet2!$A:$A,T$2)&lt;&gt;0,SUMIFS(Sheet2!$E:$E,Sheet2!$C:$C,$A104,Sheet2!$A:$A,T$2),"")</f>
        <v/>
      </c>
      <c r="U104" s="42" t="str">
        <f>IF(SUMIFS(Sheet2!$E:$E,Sheet2!$C:$C,$A104,Sheet2!$A:$A,U$2)&lt;&gt;0,SUMIFS(Sheet2!$E:$E,Sheet2!$C:$C,$A104,Sheet2!$A:$A,U$2),"")</f>
        <v/>
      </c>
      <c r="V104" s="42" t="str">
        <f>IF(SUMIFS(Sheet2!$E:$E,Sheet2!$C:$C,$A104,Sheet2!$A:$A,V$2)&lt;&gt;0,SUMIFS(Sheet2!$E:$E,Sheet2!$C:$C,$A104,Sheet2!$A:$A,V$2),"")</f>
        <v/>
      </c>
      <c r="W104" s="42" t="str">
        <f>IF(SUMIFS(Sheet2!$E:$E,Sheet2!$C:$C,$A104,Sheet2!$A:$A,W$2)&lt;&gt;0,SUMIFS(Sheet2!$E:$E,Sheet2!$C:$C,$A104,Sheet2!$A:$A,W$2),"")</f>
        <v/>
      </c>
      <c r="X104" s="42" t="str">
        <f>IF(SUMIFS(Sheet2!$E:$E,Sheet2!$C:$C,$A104,Sheet2!$A:$A,X$2)&lt;&gt;0,SUMIFS(Sheet2!$E:$E,Sheet2!$C:$C,$A104,Sheet2!$A:$A,X$2),"")</f>
        <v/>
      </c>
      <c r="Y104" s="42" t="str">
        <f>IF(SUMIFS(Sheet2!$E:$E,Sheet2!$C:$C,$A104,Sheet2!$A:$A,Y$2)&lt;&gt;0,SUMIFS(Sheet2!$E:$E,Sheet2!$C:$C,$A104,Sheet2!$A:$A,Y$2),"")</f>
        <v/>
      </c>
      <c r="Z104" s="42" t="str">
        <f>IF(SUMIFS(Sheet2!$E:$E,Sheet2!$C:$C,$A104,Sheet2!$A:$A,Z$2)&lt;&gt;0,SUMIFS(Sheet2!$E:$E,Sheet2!$C:$C,$A104,Sheet2!$A:$A,Z$2),"")</f>
        <v/>
      </c>
      <c r="AA104" s="42" t="str">
        <f>IF(SUMIFS(Sheet2!$E:$E,Sheet2!$C:$C,$A104,Sheet2!$A:$A,AA$2)&lt;&gt;0,SUMIFS(Sheet2!$E:$E,Sheet2!$C:$C,$A104,Sheet2!$A:$A,AA$2),"")</f>
        <v/>
      </c>
      <c r="AB104" s="42" t="str">
        <f>IF(SUMIFS(Sheet2!$E:$E,Sheet2!$C:$C,$A104,Sheet2!$A:$A,AB$2)&lt;&gt;0,SUMIFS(Sheet2!$E:$E,Sheet2!$C:$C,$A104,Sheet2!$A:$A,AB$2),"")</f>
        <v/>
      </c>
      <c r="AC104" s="42" t="str">
        <f>IF(SUMIFS(Sheet2!$E:$E,Sheet2!$C:$C,$A104,Sheet2!$A:$A,AC$2)&lt;&gt;0,SUMIFS(Sheet2!$E:$E,Sheet2!$C:$C,$A104,Sheet2!$A:$A,AC$2),"")</f>
        <v/>
      </c>
      <c r="AD104" s="42" t="str">
        <f>IF(SUMIFS(Sheet2!$E:$E,Sheet2!$C:$C,$A104,Sheet2!$A:$A,AD$2)&lt;&gt;0,SUMIFS(Sheet2!$E:$E,Sheet2!$C:$C,$A104,Sheet2!$A:$A,AD$2),"")</f>
        <v/>
      </c>
      <c r="AE104" s="42" t="str">
        <f>IF(SUMIFS(Sheet2!$E:$E,Sheet2!$C:$C,$A104,Sheet2!$A:$A,AE$2)&lt;&gt;0,SUMIFS(Sheet2!$E:$E,Sheet2!$C:$C,$A104,Sheet2!$A:$A,AE$2),"")</f>
        <v/>
      </c>
      <c r="AF104" s="42" t="str">
        <f>IF(SUMIFS(Sheet2!$E:$E,Sheet2!$C:$C,$A104,Sheet2!$A:$A,AF$2)&lt;&gt;0,SUMIFS(Sheet2!$E:$E,Sheet2!$C:$C,$A104,Sheet2!$A:$A,AF$2),"")</f>
        <v/>
      </c>
      <c r="AG104" s="42" t="str">
        <f>IF(SUMIFS(Sheet2!$E:$E,Sheet2!$C:$C,$A104,Sheet2!$A:$A,AG$2)&lt;&gt;0,SUMIFS(Sheet2!$E:$E,Sheet2!$C:$C,$A104,Sheet2!$A:$A,AG$2),"")</f>
        <v/>
      </c>
      <c r="AH104" s="43">
        <f>SUM(Table2[[#This Row],[1]:[31]])</f>
        <v>0</v>
      </c>
    </row>
    <row r="105" spans="1:34" s="5" customFormat="1" ht="12.75" customHeight="1">
      <c r="A105" s="76" t="str">
        <f>DSSP!A104</f>
        <v>D05</v>
      </c>
      <c r="B105" s="25" t="str">
        <f>DSSP!B104</f>
        <v>Bánh kem trà xanh</v>
      </c>
      <c r="C105" s="42" t="str">
        <f>IF(SUMIFS(Sheet2!$E:$E,Sheet2!$C:$C,$A105,Sheet2!$A:$A,C$2)&lt;&gt;0,SUMIFS(Sheet2!$E:$E,Sheet2!$C:$C,$A105,Sheet2!$A:$A,C$2),"")</f>
        <v/>
      </c>
      <c r="D105" s="42" t="str">
        <f>IF(SUMIFS(Sheet2!$E:$E,Sheet2!$C:$C,$A105,Sheet2!$A:$A,D$2)&lt;&gt;0,SUMIFS(Sheet2!$E:$E,Sheet2!$C:$C,$A105,Sheet2!$A:$A,D$2),"")</f>
        <v/>
      </c>
      <c r="E105" s="42" t="str">
        <f>IF(SUMIFS(Sheet2!$E:$E,Sheet2!$C:$C,$A105,Sheet2!$A:$A,E$2)&lt;&gt;0,SUMIFS(Sheet2!$E:$E,Sheet2!$C:$C,$A105,Sheet2!$A:$A,E$2),"")</f>
        <v/>
      </c>
      <c r="F105" s="42" t="str">
        <f>IF(SUMIFS(Sheet2!$E:$E,Sheet2!$C:$C,$A105,Sheet2!$A:$A,F$2)&lt;&gt;0,SUMIFS(Sheet2!$E:$E,Sheet2!$C:$C,$A105,Sheet2!$A:$A,F$2),"")</f>
        <v/>
      </c>
      <c r="G105" s="42" t="str">
        <f>IF(SUMIFS(Sheet2!$E:$E,Sheet2!$C:$C,$A105,Sheet2!$A:$A,G$2)&lt;&gt;0,SUMIFS(Sheet2!$E:$E,Sheet2!$C:$C,$A105,Sheet2!$A:$A,G$2),"")</f>
        <v/>
      </c>
      <c r="H105" s="42" t="str">
        <f>IF(SUMIFS(Sheet2!$E:$E,Sheet2!$C:$C,$A105,Sheet2!$A:$A,H$2)&lt;&gt;0,SUMIFS(Sheet2!$E:$E,Sheet2!$C:$C,$A105,Sheet2!$A:$A,H$2),"")</f>
        <v/>
      </c>
      <c r="I105" s="42" t="str">
        <f>IF(SUMIFS(Sheet2!$E:$E,Sheet2!$C:$C,$A105,Sheet2!$A:$A,I$2)&lt;&gt;0,SUMIFS(Sheet2!$E:$E,Sheet2!$C:$C,$A105,Sheet2!$A:$A,I$2),"")</f>
        <v/>
      </c>
      <c r="J105" s="42" t="str">
        <f>IF(SUMIFS(Sheet2!$E:$E,Sheet2!$C:$C,$A105,Sheet2!$A:$A,J$2)&lt;&gt;0,SUMIFS(Sheet2!$E:$E,Sheet2!$C:$C,$A105,Sheet2!$A:$A,J$2),"")</f>
        <v/>
      </c>
      <c r="K105" s="42" t="str">
        <f>IF(SUMIFS(Sheet2!$E:$E,Sheet2!$C:$C,$A105,Sheet2!$A:$A,K$2)&lt;&gt;0,SUMIFS(Sheet2!$E:$E,Sheet2!$C:$C,$A105,Sheet2!$A:$A,K$2),"")</f>
        <v/>
      </c>
      <c r="L105" s="42" t="str">
        <f>IF(SUMIFS(Sheet2!$E:$E,Sheet2!$C:$C,$A105,Sheet2!$A:$A,L$2)&lt;&gt;0,SUMIFS(Sheet2!$E:$E,Sheet2!$C:$C,$A105,Sheet2!$A:$A,L$2),"")</f>
        <v/>
      </c>
      <c r="M105" s="42" t="str">
        <f>IF(SUMIFS(Sheet2!$E:$E,Sheet2!$C:$C,$A105,Sheet2!$A:$A,M$2)&lt;&gt;0,SUMIFS(Sheet2!$E:$E,Sheet2!$C:$C,$A105,Sheet2!$A:$A,M$2),"")</f>
        <v/>
      </c>
      <c r="N105" s="42" t="str">
        <f>IF(SUMIFS(Sheet2!$E:$E,Sheet2!$C:$C,$A105,Sheet2!$A:$A,N$2)&lt;&gt;0,SUMIFS(Sheet2!$E:$E,Sheet2!$C:$C,$A105,Sheet2!$A:$A,N$2),"")</f>
        <v/>
      </c>
      <c r="O105" s="42" t="str">
        <f>IF(SUMIFS(Sheet2!$E:$E,Sheet2!$C:$C,$A105,Sheet2!$A:$A,O$2)&lt;&gt;0,SUMIFS(Sheet2!$E:$E,Sheet2!$C:$C,$A105,Sheet2!$A:$A,O$2),"")</f>
        <v/>
      </c>
      <c r="P105" s="42" t="str">
        <f>IF(SUMIFS(Sheet2!$E:$E,Sheet2!$C:$C,$A105,Sheet2!$A:$A,P$2)&lt;&gt;0,SUMIFS(Sheet2!$E:$E,Sheet2!$C:$C,$A105,Sheet2!$A:$A,P$2),"")</f>
        <v/>
      </c>
      <c r="Q105" s="42" t="str">
        <f>IF(SUMIFS(Sheet2!$E:$E,Sheet2!$C:$C,$A105,Sheet2!$A:$A,Q$2)&lt;&gt;0,SUMIFS(Sheet2!$E:$E,Sheet2!$C:$C,$A105,Sheet2!$A:$A,Q$2),"")</f>
        <v/>
      </c>
      <c r="R105" s="42" t="str">
        <f>IF(SUMIFS(Sheet2!$E:$E,Sheet2!$C:$C,$A105,Sheet2!$A:$A,R$2)&lt;&gt;0,SUMIFS(Sheet2!$E:$E,Sheet2!$C:$C,$A105,Sheet2!$A:$A,R$2),"")</f>
        <v/>
      </c>
      <c r="S105" s="42" t="str">
        <f>IF(SUMIFS(Sheet2!$E:$E,Sheet2!$C:$C,$A105,Sheet2!$A:$A,S$2)&lt;&gt;0,SUMIFS(Sheet2!$E:$E,Sheet2!$C:$C,$A105,Sheet2!$A:$A,S$2),"")</f>
        <v/>
      </c>
      <c r="T105" s="42" t="str">
        <f>IF(SUMIFS(Sheet2!$E:$E,Sheet2!$C:$C,$A105,Sheet2!$A:$A,T$2)&lt;&gt;0,SUMIFS(Sheet2!$E:$E,Sheet2!$C:$C,$A105,Sheet2!$A:$A,T$2),"")</f>
        <v/>
      </c>
      <c r="U105" s="42" t="str">
        <f>IF(SUMIFS(Sheet2!$E:$E,Sheet2!$C:$C,$A105,Sheet2!$A:$A,U$2)&lt;&gt;0,SUMIFS(Sheet2!$E:$E,Sheet2!$C:$C,$A105,Sheet2!$A:$A,U$2),"")</f>
        <v/>
      </c>
      <c r="V105" s="42" t="str">
        <f>IF(SUMIFS(Sheet2!$E:$E,Sheet2!$C:$C,$A105,Sheet2!$A:$A,V$2)&lt;&gt;0,SUMIFS(Sheet2!$E:$E,Sheet2!$C:$C,$A105,Sheet2!$A:$A,V$2),"")</f>
        <v/>
      </c>
      <c r="W105" s="42" t="str">
        <f>IF(SUMIFS(Sheet2!$E:$E,Sheet2!$C:$C,$A105,Sheet2!$A:$A,W$2)&lt;&gt;0,SUMIFS(Sheet2!$E:$E,Sheet2!$C:$C,$A105,Sheet2!$A:$A,W$2),"")</f>
        <v/>
      </c>
      <c r="X105" s="42" t="str">
        <f>IF(SUMIFS(Sheet2!$E:$E,Sheet2!$C:$C,$A105,Sheet2!$A:$A,X$2)&lt;&gt;0,SUMIFS(Sheet2!$E:$E,Sheet2!$C:$C,$A105,Sheet2!$A:$A,X$2),"")</f>
        <v/>
      </c>
      <c r="Y105" s="42" t="str">
        <f>IF(SUMIFS(Sheet2!$E:$E,Sheet2!$C:$C,$A105,Sheet2!$A:$A,Y$2)&lt;&gt;0,SUMIFS(Sheet2!$E:$E,Sheet2!$C:$C,$A105,Sheet2!$A:$A,Y$2),"")</f>
        <v/>
      </c>
      <c r="Z105" s="42" t="str">
        <f>IF(SUMIFS(Sheet2!$E:$E,Sheet2!$C:$C,$A105,Sheet2!$A:$A,Z$2)&lt;&gt;0,SUMIFS(Sheet2!$E:$E,Sheet2!$C:$C,$A105,Sheet2!$A:$A,Z$2),"")</f>
        <v/>
      </c>
      <c r="AA105" s="42" t="str">
        <f>IF(SUMIFS(Sheet2!$E:$E,Sheet2!$C:$C,$A105,Sheet2!$A:$A,AA$2)&lt;&gt;0,SUMIFS(Sheet2!$E:$E,Sheet2!$C:$C,$A105,Sheet2!$A:$A,AA$2),"")</f>
        <v/>
      </c>
      <c r="AB105" s="42" t="str">
        <f>IF(SUMIFS(Sheet2!$E:$E,Sheet2!$C:$C,$A105,Sheet2!$A:$A,AB$2)&lt;&gt;0,SUMIFS(Sheet2!$E:$E,Sheet2!$C:$C,$A105,Sheet2!$A:$A,AB$2),"")</f>
        <v/>
      </c>
      <c r="AC105" s="42" t="str">
        <f>IF(SUMIFS(Sheet2!$E:$E,Sheet2!$C:$C,$A105,Sheet2!$A:$A,AC$2)&lt;&gt;0,SUMIFS(Sheet2!$E:$E,Sheet2!$C:$C,$A105,Sheet2!$A:$A,AC$2),"")</f>
        <v/>
      </c>
      <c r="AD105" s="42" t="str">
        <f>IF(SUMIFS(Sheet2!$E:$E,Sheet2!$C:$C,$A105,Sheet2!$A:$A,AD$2)&lt;&gt;0,SUMIFS(Sheet2!$E:$E,Sheet2!$C:$C,$A105,Sheet2!$A:$A,AD$2),"")</f>
        <v/>
      </c>
      <c r="AE105" s="42" t="str">
        <f>IF(SUMIFS(Sheet2!$E:$E,Sheet2!$C:$C,$A105,Sheet2!$A:$A,AE$2)&lt;&gt;0,SUMIFS(Sheet2!$E:$E,Sheet2!$C:$C,$A105,Sheet2!$A:$A,AE$2),"")</f>
        <v/>
      </c>
      <c r="AF105" s="42" t="str">
        <f>IF(SUMIFS(Sheet2!$E:$E,Sheet2!$C:$C,$A105,Sheet2!$A:$A,AF$2)&lt;&gt;0,SUMIFS(Sheet2!$E:$E,Sheet2!$C:$C,$A105,Sheet2!$A:$A,AF$2),"")</f>
        <v/>
      </c>
      <c r="AG105" s="42" t="str">
        <f>IF(SUMIFS(Sheet2!$E:$E,Sheet2!$C:$C,$A105,Sheet2!$A:$A,AG$2)&lt;&gt;0,SUMIFS(Sheet2!$E:$E,Sheet2!$C:$C,$A105,Sheet2!$A:$A,AG$2),"")</f>
        <v/>
      </c>
      <c r="AH105" s="43">
        <f>SUM(Table2[[#This Row],[1]:[31]])</f>
        <v>0</v>
      </c>
    </row>
    <row r="106" spans="1:34" s="5" customFormat="1" ht="12.75" customHeight="1">
      <c r="A106" s="76" t="str">
        <f>DSSP!A105</f>
        <v>D06</v>
      </c>
      <c r="B106" s="25" t="str">
        <f>DSSP!B105</f>
        <v>Bánh hoa quả</v>
      </c>
      <c r="C106" s="42" t="str">
        <f>IF(SUMIFS(Sheet2!$E:$E,Sheet2!$C:$C,$A106,Sheet2!$A:$A,C$2)&lt;&gt;0,SUMIFS(Sheet2!$E:$E,Sheet2!$C:$C,$A106,Sheet2!$A:$A,C$2),"")</f>
        <v/>
      </c>
      <c r="D106" s="42" t="str">
        <f>IF(SUMIFS(Sheet2!$E:$E,Sheet2!$C:$C,$A106,Sheet2!$A:$A,D$2)&lt;&gt;0,SUMIFS(Sheet2!$E:$E,Sheet2!$C:$C,$A106,Sheet2!$A:$A,D$2),"")</f>
        <v/>
      </c>
      <c r="E106" s="42" t="str">
        <f>IF(SUMIFS(Sheet2!$E:$E,Sheet2!$C:$C,$A106,Sheet2!$A:$A,E$2)&lt;&gt;0,SUMIFS(Sheet2!$E:$E,Sheet2!$C:$C,$A106,Sheet2!$A:$A,E$2),"")</f>
        <v/>
      </c>
      <c r="F106" s="42" t="str">
        <f>IF(SUMIFS(Sheet2!$E:$E,Sheet2!$C:$C,$A106,Sheet2!$A:$A,F$2)&lt;&gt;0,SUMIFS(Sheet2!$E:$E,Sheet2!$C:$C,$A106,Sheet2!$A:$A,F$2),"")</f>
        <v/>
      </c>
      <c r="G106" s="42" t="str">
        <f>IF(SUMIFS(Sheet2!$E:$E,Sheet2!$C:$C,$A106,Sheet2!$A:$A,G$2)&lt;&gt;0,SUMIFS(Sheet2!$E:$E,Sheet2!$C:$C,$A106,Sheet2!$A:$A,G$2),"")</f>
        <v/>
      </c>
      <c r="H106" s="42" t="str">
        <f>IF(SUMIFS(Sheet2!$E:$E,Sheet2!$C:$C,$A106,Sheet2!$A:$A,H$2)&lt;&gt;0,SUMIFS(Sheet2!$E:$E,Sheet2!$C:$C,$A106,Sheet2!$A:$A,H$2),"")</f>
        <v/>
      </c>
      <c r="I106" s="42" t="str">
        <f>IF(SUMIFS(Sheet2!$E:$E,Sheet2!$C:$C,$A106,Sheet2!$A:$A,I$2)&lt;&gt;0,SUMIFS(Sheet2!$E:$E,Sheet2!$C:$C,$A106,Sheet2!$A:$A,I$2),"")</f>
        <v/>
      </c>
      <c r="J106" s="42" t="str">
        <f>IF(SUMIFS(Sheet2!$E:$E,Sheet2!$C:$C,$A106,Sheet2!$A:$A,J$2)&lt;&gt;0,SUMIFS(Sheet2!$E:$E,Sheet2!$C:$C,$A106,Sheet2!$A:$A,J$2),"")</f>
        <v/>
      </c>
      <c r="K106" s="42" t="str">
        <f>IF(SUMIFS(Sheet2!$E:$E,Sheet2!$C:$C,$A106,Sheet2!$A:$A,K$2)&lt;&gt;0,SUMIFS(Sheet2!$E:$E,Sheet2!$C:$C,$A106,Sheet2!$A:$A,K$2),"")</f>
        <v/>
      </c>
      <c r="L106" s="42" t="str">
        <f>IF(SUMIFS(Sheet2!$E:$E,Sheet2!$C:$C,$A106,Sheet2!$A:$A,L$2)&lt;&gt;0,SUMIFS(Sheet2!$E:$E,Sheet2!$C:$C,$A106,Sheet2!$A:$A,L$2),"")</f>
        <v/>
      </c>
      <c r="M106" s="42" t="str">
        <f>IF(SUMIFS(Sheet2!$E:$E,Sheet2!$C:$C,$A106,Sheet2!$A:$A,M$2)&lt;&gt;0,SUMIFS(Sheet2!$E:$E,Sheet2!$C:$C,$A106,Sheet2!$A:$A,M$2),"")</f>
        <v/>
      </c>
      <c r="N106" s="42" t="str">
        <f>IF(SUMIFS(Sheet2!$E:$E,Sheet2!$C:$C,$A106,Sheet2!$A:$A,N$2)&lt;&gt;0,SUMIFS(Sheet2!$E:$E,Sheet2!$C:$C,$A106,Sheet2!$A:$A,N$2),"")</f>
        <v/>
      </c>
      <c r="O106" s="42" t="str">
        <f>IF(SUMIFS(Sheet2!$E:$E,Sheet2!$C:$C,$A106,Sheet2!$A:$A,O$2)&lt;&gt;0,SUMIFS(Sheet2!$E:$E,Sheet2!$C:$C,$A106,Sheet2!$A:$A,O$2),"")</f>
        <v/>
      </c>
      <c r="P106" s="42" t="str">
        <f>IF(SUMIFS(Sheet2!$E:$E,Sheet2!$C:$C,$A106,Sheet2!$A:$A,P$2)&lt;&gt;0,SUMIFS(Sheet2!$E:$E,Sheet2!$C:$C,$A106,Sheet2!$A:$A,P$2),"")</f>
        <v/>
      </c>
      <c r="Q106" s="42" t="str">
        <f>IF(SUMIFS(Sheet2!$E:$E,Sheet2!$C:$C,$A106,Sheet2!$A:$A,Q$2)&lt;&gt;0,SUMIFS(Sheet2!$E:$E,Sheet2!$C:$C,$A106,Sheet2!$A:$A,Q$2),"")</f>
        <v/>
      </c>
      <c r="R106" s="42" t="str">
        <f>IF(SUMIFS(Sheet2!$E:$E,Sheet2!$C:$C,$A106,Sheet2!$A:$A,R$2)&lt;&gt;0,SUMIFS(Sheet2!$E:$E,Sheet2!$C:$C,$A106,Sheet2!$A:$A,R$2),"")</f>
        <v/>
      </c>
      <c r="S106" s="42" t="str">
        <f>IF(SUMIFS(Sheet2!$E:$E,Sheet2!$C:$C,$A106,Sheet2!$A:$A,S$2)&lt;&gt;0,SUMIFS(Sheet2!$E:$E,Sheet2!$C:$C,$A106,Sheet2!$A:$A,S$2),"")</f>
        <v/>
      </c>
      <c r="T106" s="42" t="str">
        <f>IF(SUMIFS(Sheet2!$E:$E,Sheet2!$C:$C,$A106,Sheet2!$A:$A,T$2)&lt;&gt;0,SUMIFS(Sheet2!$E:$E,Sheet2!$C:$C,$A106,Sheet2!$A:$A,T$2),"")</f>
        <v/>
      </c>
      <c r="U106" s="42" t="str">
        <f>IF(SUMIFS(Sheet2!$E:$E,Sheet2!$C:$C,$A106,Sheet2!$A:$A,U$2)&lt;&gt;0,SUMIFS(Sheet2!$E:$E,Sheet2!$C:$C,$A106,Sheet2!$A:$A,U$2),"")</f>
        <v/>
      </c>
      <c r="V106" s="42" t="str">
        <f>IF(SUMIFS(Sheet2!$E:$E,Sheet2!$C:$C,$A106,Sheet2!$A:$A,V$2)&lt;&gt;0,SUMIFS(Sheet2!$E:$E,Sheet2!$C:$C,$A106,Sheet2!$A:$A,V$2),"")</f>
        <v/>
      </c>
      <c r="W106" s="42" t="str">
        <f>IF(SUMIFS(Sheet2!$E:$E,Sheet2!$C:$C,$A106,Sheet2!$A:$A,W$2)&lt;&gt;0,SUMIFS(Sheet2!$E:$E,Sheet2!$C:$C,$A106,Sheet2!$A:$A,W$2),"")</f>
        <v/>
      </c>
      <c r="X106" s="42" t="str">
        <f>IF(SUMIFS(Sheet2!$E:$E,Sheet2!$C:$C,$A106,Sheet2!$A:$A,X$2)&lt;&gt;0,SUMIFS(Sheet2!$E:$E,Sheet2!$C:$C,$A106,Sheet2!$A:$A,X$2),"")</f>
        <v/>
      </c>
      <c r="Y106" s="42" t="str">
        <f>IF(SUMIFS(Sheet2!$E:$E,Sheet2!$C:$C,$A106,Sheet2!$A:$A,Y$2)&lt;&gt;0,SUMIFS(Sheet2!$E:$E,Sheet2!$C:$C,$A106,Sheet2!$A:$A,Y$2),"")</f>
        <v/>
      </c>
      <c r="Z106" s="42" t="str">
        <f>IF(SUMIFS(Sheet2!$E:$E,Sheet2!$C:$C,$A106,Sheet2!$A:$A,Z$2)&lt;&gt;0,SUMIFS(Sheet2!$E:$E,Sheet2!$C:$C,$A106,Sheet2!$A:$A,Z$2),"")</f>
        <v/>
      </c>
      <c r="AA106" s="42" t="str">
        <f>IF(SUMIFS(Sheet2!$E:$E,Sheet2!$C:$C,$A106,Sheet2!$A:$A,AA$2)&lt;&gt;0,SUMIFS(Sheet2!$E:$E,Sheet2!$C:$C,$A106,Sheet2!$A:$A,AA$2),"")</f>
        <v/>
      </c>
      <c r="AB106" s="42" t="str">
        <f>IF(SUMIFS(Sheet2!$E:$E,Sheet2!$C:$C,$A106,Sheet2!$A:$A,AB$2)&lt;&gt;0,SUMIFS(Sheet2!$E:$E,Sheet2!$C:$C,$A106,Sheet2!$A:$A,AB$2),"")</f>
        <v/>
      </c>
      <c r="AC106" s="42" t="str">
        <f>IF(SUMIFS(Sheet2!$E:$E,Sheet2!$C:$C,$A106,Sheet2!$A:$A,AC$2)&lt;&gt;0,SUMIFS(Sheet2!$E:$E,Sheet2!$C:$C,$A106,Sheet2!$A:$A,AC$2),"")</f>
        <v/>
      </c>
      <c r="AD106" s="42" t="str">
        <f>IF(SUMIFS(Sheet2!$E:$E,Sheet2!$C:$C,$A106,Sheet2!$A:$A,AD$2)&lt;&gt;0,SUMIFS(Sheet2!$E:$E,Sheet2!$C:$C,$A106,Sheet2!$A:$A,AD$2),"")</f>
        <v/>
      </c>
      <c r="AE106" s="42" t="str">
        <f>IF(SUMIFS(Sheet2!$E:$E,Sheet2!$C:$C,$A106,Sheet2!$A:$A,AE$2)&lt;&gt;0,SUMIFS(Sheet2!$E:$E,Sheet2!$C:$C,$A106,Sheet2!$A:$A,AE$2),"")</f>
        <v/>
      </c>
      <c r="AF106" s="42" t="str">
        <f>IF(SUMIFS(Sheet2!$E:$E,Sheet2!$C:$C,$A106,Sheet2!$A:$A,AF$2)&lt;&gt;0,SUMIFS(Sheet2!$E:$E,Sheet2!$C:$C,$A106,Sheet2!$A:$A,AF$2),"")</f>
        <v/>
      </c>
      <c r="AG106" s="42" t="str">
        <f>IF(SUMIFS(Sheet2!$E:$E,Sheet2!$C:$C,$A106,Sheet2!$A:$A,AG$2)&lt;&gt;0,SUMIFS(Sheet2!$E:$E,Sheet2!$C:$C,$A106,Sheet2!$A:$A,AG$2),"")</f>
        <v/>
      </c>
      <c r="AH106" s="43">
        <f>SUM(Table2[[#This Row],[1]:[31]])</f>
        <v>0</v>
      </c>
    </row>
    <row r="107" spans="1:34" ht="12.75" customHeight="1">
      <c r="A107" s="76" t="str">
        <f>DSSP!A106</f>
        <v>R000</v>
      </c>
      <c r="B107" s="25" t="str">
        <f>DSSP!B106</f>
        <v>Rollygami làm sẵn</v>
      </c>
      <c r="C107" s="42" t="str">
        <f>IF(SUMIFS(Sheet2!$E:$E,Sheet2!$C:$C,$A107,Sheet2!$A:$A,C$2)&lt;&gt;0,SUMIFS(Sheet2!$E:$E,Sheet2!$C:$C,$A107,Sheet2!$A:$A,C$2),"")</f>
        <v/>
      </c>
      <c r="D107" s="42" t="str">
        <f>IF(SUMIFS(Sheet2!$E:$E,Sheet2!$C:$C,$A107,Sheet2!$A:$A,D$2)&lt;&gt;0,SUMIFS(Sheet2!$E:$E,Sheet2!$C:$C,$A107,Sheet2!$A:$A,D$2),"")</f>
        <v/>
      </c>
      <c r="E107" s="42" t="str">
        <f>IF(SUMIFS(Sheet2!$E:$E,Sheet2!$C:$C,$A107,Sheet2!$A:$A,E$2)&lt;&gt;0,SUMIFS(Sheet2!$E:$E,Sheet2!$C:$C,$A107,Sheet2!$A:$A,E$2),"")</f>
        <v/>
      </c>
      <c r="F107" s="42" t="str">
        <f>IF(SUMIFS(Sheet2!$E:$E,Sheet2!$C:$C,$A107,Sheet2!$A:$A,F$2)&lt;&gt;0,SUMIFS(Sheet2!$E:$E,Sheet2!$C:$C,$A107,Sheet2!$A:$A,F$2),"")</f>
        <v/>
      </c>
      <c r="G107" s="42" t="str">
        <f>IF(SUMIFS(Sheet2!$E:$E,Sheet2!$C:$C,$A107,Sheet2!$A:$A,G$2)&lt;&gt;0,SUMIFS(Sheet2!$E:$E,Sheet2!$C:$C,$A107,Sheet2!$A:$A,G$2),"")</f>
        <v/>
      </c>
      <c r="H107" s="42" t="str">
        <f>IF(SUMIFS(Sheet2!$E:$E,Sheet2!$C:$C,$A107,Sheet2!$A:$A,H$2)&lt;&gt;0,SUMIFS(Sheet2!$E:$E,Sheet2!$C:$C,$A107,Sheet2!$A:$A,H$2),"")</f>
        <v/>
      </c>
      <c r="I107" s="42" t="str">
        <f>IF(SUMIFS(Sheet2!$E:$E,Sheet2!$C:$C,$A107,Sheet2!$A:$A,I$2)&lt;&gt;0,SUMIFS(Sheet2!$E:$E,Sheet2!$C:$C,$A107,Sheet2!$A:$A,I$2),"")</f>
        <v/>
      </c>
      <c r="J107" s="42" t="str">
        <f>IF(SUMIFS(Sheet2!$E:$E,Sheet2!$C:$C,$A107,Sheet2!$A:$A,J$2)&lt;&gt;0,SUMIFS(Sheet2!$E:$E,Sheet2!$C:$C,$A107,Sheet2!$A:$A,J$2),"")</f>
        <v/>
      </c>
      <c r="K107" s="42" t="str">
        <f>IF(SUMIFS(Sheet2!$E:$E,Sheet2!$C:$C,$A107,Sheet2!$A:$A,K$2)&lt;&gt;0,SUMIFS(Sheet2!$E:$E,Sheet2!$C:$C,$A107,Sheet2!$A:$A,K$2),"")</f>
        <v/>
      </c>
      <c r="L107" s="42" t="str">
        <f>IF(SUMIFS(Sheet2!$E:$E,Sheet2!$C:$C,$A107,Sheet2!$A:$A,L$2)&lt;&gt;0,SUMIFS(Sheet2!$E:$E,Sheet2!$C:$C,$A107,Sheet2!$A:$A,L$2),"")</f>
        <v/>
      </c>
      <c r="M107" s="42" t="str">
        <f>IF(SUMIFS(Sheet2!$E:$E,Sheet2!$C:$C,$A107,Sheet2!$A:$A,M$2)&lt;&gt;0,SUMIFS(Sheet2!$E:$E,Sheet2!$C:$C,$A107,Sheet2!$A:$A,M$2),"")</f>
        <v/>
      </c>
      <c r="N107" s="42" t="str">
        <f>IF(SUMIFS(Sheet2!$E:$E,Sheet2!$C:$C,$A107,Sheet2!$A:$A,N$2)&lt;&gt;0,SUMIFS(Sheet2!$E:$E,Sheet2!$C:$C,$A107,Sheet2!$A:$A,N$2),"")</f>
        <v/>
      </c>
      <c r="O107" s="42" t="str">
        <f>IF(SUMIFS(Sheet2!$E:$E,Sheet2!$C:$C,$A107,Sheet2!$A:$A,O$2)&lt;&gt;0,SUMIFS(Sheet2!$E:$E,Sheet2!$C:$C,$A107,Sheet2!$A:$A,O$2),"")</f>
        <v/>
      </c>
      <c r="P107" s="42" t="str">
        <f>IF(SUMIFS(Sheet2!$E:$E,Sheet2!$C:$C,$A107,Sheet2!$A:$A,P$2)&lt;&gt;0,SUMIFS(Sheet2!$E:$E,Sheet2!$C:$C,$A107,Sheet2!$A:$A,P$2),"")</f>
        <v/>
      </c>
      <c r="Q107" s="42" t="str">
        <f>IF(SUMIFS(Sheet2!$E:$E,Sheet2!$C:$C,$A107,Sheet2!$A:$A,Q$2)&lt;&gt;0,SUMIFS(Sheet2!$E:$E,Sheet2!$C:$C,$A107,Sheet2!$A:$A,Q$2),"")</f>
        <v/>
      </c>
      <c r="R107" s="42" t="str">
        <f>IF(SUMIFS(Sheet2!$E:$E,Sheet2!$C:$C,$A107,Sheet2!$A:$A,R$2)&lt;&gt;0,SUMIFS(Sheet2!$E:$E,Sheet2!$C:$C,$A107,Sheet2!$A:$A,R$2),"")</f>
        <v/>
      </c>
      <c r="S107" s="42" t="str">
        <f>IF(SUMIFS(Sheet2!$E:$E,Sheet2!$C:$C,$A107,Sheet2!$A:$A,S$2)&lt;&gt;0,SUMIFS(Sheet2!$E:$E,Sheet2!$C:$C,$A107,Sheet2!$A:$A,S$2),"")</f>
        <v/>
      </c>
      <c r="T107" s="42" t="str">
        <f>IF(SUMIFS(Sheet2!$E:$E,Sheet2!$C:$C,$A107,Sheet2!$A:$A,T$2)&lt;&gt;0,SUMIFS(Sheet2!$E:$E,Sheet2!$C:$C,$A107,Sheet2!$A:$A,T$2),"")</f>
        <v/>
      </c>
      <c r="U107" s="42" t="str">
        <f>IF(SUMIFS(Sheet2!$E:$E,Sheet2!$C:$C,$A107,Sheet2!$A:$A,U$2)&lt;&gt;0,SUMIFS(Sheet2!$E:$E,Sheet2!$C:$C,$A107,Sheet2!$A:$A,U$2),"")</f>
        <v/>
      </c>
      <c r="V107" s="42" t="str">
        <f>IF(SUMIFS(Sheet2!$E:$E,Sheet2!$C:$C,$A107,Sheet2!$A:$A,V$2)&lt;&gt;0,SUMIFS(Sheet2!$E:$E,Sheet2!$C:$C,$A107,Sheet2!$A:$A,V$2),"")</f>
        <v/>
      </c>
      <c r="W107" s="42" t="str">
        <f>IF(SUMIFS(Sheet2!$E:$E,Sheet2!$C:$C,$A107,Sheet2!$A:$A,W$2)&lt;&gt;0,SUMIFS(Sheet2!$E:$E,Sheet2!$C:$C,$A107,Sheet2!$A:$A,W$2),"")</f>
        <v/>
      </c>
      <c r="X107" s="42" t="str">
        <f>IF(SUMIFS(Sheet2!$E:$E,Sheet2!$C:$C,$A107,Sheet2!$A:$A,X$2)&lt;&gt;0,SUMIFS(Sheet2!$E:$E,Sheet2!$C:$C,$A107,Sheet2!$A:$A,X$2),"")</f>
        <v/>
      </c>
      <c r="Y107" s="42" t="str">
        <f>IF(SUMIFS(Sheet2!$E:$E,Sheet2!$C:$C,$A107,Sheet2!$A:$A,Y$2)&lt;&gt;0,SUMIFS(Sheet2!$E:$E,Sheet2!$C:$C,$A107,Sheet2!$A:$A,Y$2),"")</f>
        <v/>
      </c>
      <c r="Z107" s="42" t="str">
        <f>IF(SUMIFS(Sheet2!$E:$E,Sheet2!$C:$C,$A107,Sheet2!$A:$A,Z$2)&lt;&gt;0,SUMIFS(Sheet2!$E:$E,Sheet2!$C:$C,$A107,Sheet2!$A:$A,Z$2),"")</f>
        <v/>
      </c>
      <c r="AA107" s="42" t="str">
        <f>IF(SUMIFS(Sheet2!$E:$E,Sheet2!$C:$C,$A107,Sheet2!$A:$A,AA$2)&lt;&gt;0,SUMIFS(Sheet2!$E:$E,Sheet2!$C:$C,$A107,Sheet2!$A:$A,AA$2),"")</f>
        <v/>
      </c>
      <c r="AB107" s="42" t="str">
        <f>IF(SUMIFS(Sheet2!$E:$E,Sheet2!$C:$C,$A107,Sheet2!$A:$A,AB$2)&lt;&gt;0,SUMIFS(Sheet2!$E:$E,Sheet2!$C:$C,$A107,Sheet2!$A:$A,AB$2),"")</f>
        <v/>
      </c>
      <c r="AC107" s="42" t="str">
        <f>IF(SUMIFS(Sheet2!$E:$E,Sheet2!$C:$C,$A107,Sheet2!$A:$A,AC$2)&lt;&gt;0,SUMIFS(Sheet2!$E:$E,Sheet2!$C:$C,$A107,Sheet2!$A:$A,AC$2),"")</f>
        <v/>
      </c>
      <c r="AD107" s="42" t="str">
        <f>IF(SUMIFS(Sheet2!$E:$E,Sheet2!$C:$C,$A107,Sheet2!$A:$A,AD$2)&lt;&gt;0,SUMIFS(Sheet2!$E:$E,Sheet2!$C:$C,$A107,Sheet2!$A:$A,AD$2),"")</f>
        <v/>
      </c>
      <c r="AE107" s="42" t="str">
        <f>IF(SUMIFS(Sheet2!$E:$E,Sheet2!$C:$C,$A107,Sheet2!$A:$A,AE$2)&lt;&gt;0,SUMIFS(Sheet2!$E:$E,Sheet2!$C:$C,$A107,Sheet2!$A:$A,AE$2),"")</f>
        <v/>
      </c>
      <c r="AF107" s="42" t="str">
        <f>IF(SUMIFS(Sheet2!$E:$E,Sheet2!$C:$C,$A107,Sheet2!$A:$A,AF$2)&lt;&gt;0,SUMIFS(Sheet2!$E:$E,Sheet2!$C:$C,$A107,Sheet2!$A:$A,AF$2),"")</f>
        <v/>
      </c>
      <c r="AG107" s="42" t="str">
        <f>IF(SUMIFS(Sheet2!$E:$E,Sheet2!$C:$C,$A107,Sheet2!$A:$A,AG$2)&lt;&gt;0,SUMIFS(Sheet2!$E:$E,Sheet2!$C:$C,$A107,Sheet2!$A:$A,AG$2),"")</f>
        <v/>
      </c>
      <c r="AH107" s="43">
        <f>SUM(Table2[[#This Row],[1]:[31]])</f>
        <v>0</v>
      </c>
    </row>
    <row r="108" spans="1:34" ht="12.75" customHeight="1">
      <c r="A108" s="76" t="str">
        <f>DSSP!A107</f>
        <v>R001</v>
      </c>
      <c r="B108" s="25" t="str">
        <f>DSSP!B107</f>
        <v>Gà bông</v>
      </c>
      <c r="C108" s="42" t="str">
        <f>IF(SUMIFS(Sheet2!$E:$E,Sheet2!$C:$C,$A108,Sheet2!$A:$A,C$2)&lt;&gt;0,SUMIFS(Sheet2!$E:$E,Sheet2!$C:$C,$A108,Sheet2!$A:$A,C$2),"")</f>
        <v/>
      </c>
      <c r="D108" s="42" t="str">
        <f>IF(SUMIFS(Sheet2!$E:$E,Sheet2!$C:$C,$A108,Sheet2!$A:$A,D$2)&lt;&gt;0,SUMIFS(Sheet2!$E:$E,Sheet2!$C:$C,$A108,Sheet2!$A:$A,D$2),"")</f>
        <v/>
      </c>
      <c r="E108" s="42" t="str">
        <f>IF(SUMIFS(Sheet2!$E:$E,Sheet2!$C:$C,$A108,Sheet2!$A:$A,E$2)&lt;&gt;0,SUMIFS(Sheet2!$E:$E,Sheet2!$C:$C,$A108,Sheet2!$A:$A,E$2),"")</f>
        <v/>
      </c>
      <c r="F108" s="42" t="str">
        <f>IF(SUMIFS(Sheet2!$E:$E,Sheet2!$C:$C,$A108,Sheet2!$A:$A,F$2)&lt;&gt;0,SUMIFS(Sheet2!$E:$E,Sheet2!$C:$C,$A108,Sheet2!$A:$A,F$2),"")</f>
        <v/>
      </c>
      <c r="G108" s="42" t="str">
        <f>IF(SUMIFS(Sheet2!$E:$E,Sheet2!$C:$C,$A108,Sheet2!$A:$A,G$2)&lt;&gt;0,SUMIFS(Sheet2!$E:$E,Sheet2!$C:$C,$A108,Sheet2!$A:$A,G$2),"")</f>
        <v/>
      </c>
      <c r="H108" s="42" t="str">
        <f>IF(SUMIFS(Sheet2!$E:$E,Sheet2!$C:$C,$A108,Sheet2!$A:$A,H$2)&lt;&gt;0,SUMIFS(Sheet2!$E:$E,Sheet2!$C:$C,$A108,Sheet2!$A:$A,H$2),"")</f>
        <v/>
      </c>
      <c r="I108" s="42" t="str">
        <f>IF(SUMIFS(Sheet2!$E:$E,Sheet2!$C:$C,$A108,Sheet2!$A:$A,I$2)&lt;&gt;0,SUMIFS(Sheet2!$E:$E,Sheet2!$C:$C,$A108,Sheet2!$A:$A,I$2),"")</f>
        <v/>
      </c>
      <c r="J108" s="42" t="str">
        <f>IF(SUMIFS(Sheet2!$E:$E,Sheet2!$C:$C,$A108,Sheet2!$A:$A,J$2)&lt;&gt;0,SUMIFS(Sheet2!$E:$E,Sheet2!$C:$C,$A108,Sheet2!$A:$A,J$2),"")</f>
        <v/>
      </c>
      <c r="K108" s="42" t="str">
        <f>IF(SUMIFS(Sheet2!$E:$E,Sheet2!$C:$C,$A108,Sheet2!$A:$A,K$2)&lt;&gt;0,SUMIFS(Sheet2!$E:$E,Sheet2!$C:$C,$A108,Sheet2!$A:$A,K$2),"")</f>
        <v/>
      </c>
      <c r="L108" s="42" t="str">
        <f>IF(SUMIFS(Sheet2!$E:$E,Sheet2!$C:$C,$A108,Sheet2!$A:$A,L$2)&lt;&gt;0,SUMIFS(Sheet2!$E:$E,Sheet2!$C:$C,$A108,Sheet2!$A:$A,L$2),"")</f>
        <v/>
      </c>
      <c r="M108" s="42" t="str">
        <f>IF(SUMIFS(Sheet2!$E:$E,Sheet2!$C:$C,$A108,Sheet2!$A:$A,M$2)&lt;&gt;0,SUMIFS(Sheet2!$E:$E,Sheet2!$C:$C,$A108,Sheet2!$A:$A,M$2),"")</f>
        <v/>
      </c>
      <c r="N108" s="42" t="str">
        <f>IF(SUMIFS(Sheet2!$E:$E,Sheet2!$C:$C,$A108,Sheet2!$A:$A,N$2)&lt;&gt;0,SUMIFS(Sheet2!$E:$E,Sheet2!$C:$C,$A108,Sheet2!$A:$A,N$2),"")</f>
        <v/>
      </c>
      <c r="O108" s="42" t="str">
        <f>IF(SUMIFS(Sheet2!$E:$E,Sheet2!$C:$C,$A108,Sheet2!$A:$A,O$2)&lt;&gt;0,SUMIFS(Sheet2!$E:$E,Sheet2!$C:$C,$A108,Sheet2!$A:$A,O$2),"")</f>
        <v/>
      </c>
      <c r="P108" s="42" t="str">
        <f>IF(SUMIFS(Sheet2!$E:$E,Sheet2!$C:$C,$A108,Sheet2!$A:$A,P$2)&lt;&gt;0,SUMIFS(Sheet2!$E:$E,Sheet2!$C:$C,$A108,Sheet2!$A:$A,P$2),"")</f>
        <v/>
      </c>
      <c r="Q108" s="42" t="str">
        <f>IF(SUMIFS(Sheet2!$E:$E,Sheet2!$C:$C,$A108,Sheet2!$A:$A,Q$2)&lt;&gt;0,SUMIFS(Sheet2!$E:$E,Sheet2!$C:$C,$A108,Sheet2!$A:$A,Q$2),"")</f>
        <v/>
      </c>
      <c r="R108" s="42" t="str">
        <f>IF(SUMIFS(Sheet2!$E:$E,Sheet2!$C:$C,$A108,Sheet2!$A:$A,R$2)&lt;&gt;0,SUMIFS(Sheet2!$E:$E,Sheet2!$C:$C,$A108,Sheet2!$A:$A,R$2),"")</f>
        <v/>
      </c>
      <c r="S108" s="42" t="str">
        <f>IF(SUMIFS(Sheet2!$E:$E,Sheet2!$C:$C,$A108,Sheet2!$A:$A,S$2)&lt;&gt;0,SUMIFS(Sheet2!$E:$E,Sheet2!$C:$C,$A108,Sheet2!$A:$A,S$2),"")</f>
        <v/>
      </c>
      <c r="T108" s="42" t="str">
        <f>IF(SUMIFS(Sheet2!$E:$E,Sheet2!$C:$C,$A108,Sheet2!$A:$A,T$2)&lt;&gt;0,SUMIFS(Sheet2!$E:$E,Sheet2!$C:$C,$A108,Sheet2!$A:$A,T$2),"")</f>
        <v/>
      </c>
      <c r="U108" s="42" t="str">
        <f>IF(SUMIFS(Sheet2!$E:$E,Sheet2!$C:$C,$A108,Sheet2!$A:$A,U$2)&lt;&gt;0,SUMIFS(Sheet2!$E:$E,Sheet2!$C:$C,$A108,Sheet2!$A:$A,U$2),"")</f>
        <v/>
      </c>
      <c r="V108" s="42" t="str">
        <f>IF(SUMIFS(Sheet2!$E:$E,Sheet2!$C:$C,$A108,Sheet2!$A:$A,V$2)&lt;&gt;0,SUMIFS(Sheet2!$E:$E,Sheet2!$C:$C,$A108,Sheet2!$A:$A,V$2),"")</f>
        <v/>
      </c>
      <c r="W108" s="42" t="str">
        <f>IF(SUMIFS(Sheet2!$E:$E,Sheet2!$C:$C,$A108,Sheet2!$A:$A,W$2)&lt;&gt;0,SUMIFS(Sheet2!$E:$E,Sheet2!$C:$C,$A108,Sheet2!$A:$A,W$2),"")</f>
        <v/>
      </c>
      <c r="X108" s="42" t="str">
        <f>IF(SUMIFS(Sheet2!$E:$E,Sheet2!$C:$C,$A108,Sheet2!$A:$A,X$2)&lt;&gt;0,SUMIFS(Sheet2!$E:$E,Sheet2!$C:$C,$A108,Sheet2!$A:$A,X$2),"")</f>
        <v/>
      </c>
      <c r="Y108" s="42" t="str">
        <f>IF(SUMIFS(Sheet2!$E:$E,Sheet2!$C:$C,$A108,Sheet2!$A:$A,Y$2)&lt;&gt;0,SUMIFS(Sheet2!$E:$E,Sheet2!$C:$C,$A108,Sheet2!$A:$A,Y$2),"")</f>
        <v/>
      </c>
      <c r="Z108" s="42" t="str">
        <f>IF(SUMIFS(Sheet2!$E:$E,Sheet2!$C:$C,$A108,Sheet2!$A:$A,Z$2)&lt;&gt;0,SUMIFS(Sheet2!$E:$E,Sheet2!$C:$C,$A108,Sheet2!$A:$A,Z$2),"")</f>
        <v/>
      </c>
      <c r="AA108" s="42" t="str">
        <f>IF(SUMIFS(Sheet2!$E:$E,Sheet2!$C:$C,$A108,Sheet2!$A:$A,AA$2)&lt;&gt;0,SUMIFS(Sheet2!$E:$E,Sheet2!$C:$C,$A108,Sheet2!$A:$A,AA$2),"")</f>
        <v/>
      </c>
      <c r="AB108" s="42" t="str">
        <f>IF(SUMIFS(Sheet2!$E:$E,Sheet2!$C:$C,$A108,Sheet2!$A:$A,AB$2)&lt;&gt;0,SUMIFS(Sheet2!$E:$E,Sheet2!$C:$C,$A108,Sheet2!$A:$A,AB$2),"")</f>
        <v/>
      </c>
      <c r="AC108" s="42" t="str">
        <f>IF(SUMIFS(Sheet2!$E:$E,Sheet2!$C:$C,$A108,Sheet2!$A:$A,AC$2)&lt;&gt;0,SUMIFS(Sheet2!$E:$E,Sheet2!$C:$C,$A108,Sheet2!$A:$A,AC$2),"")</f>
        <v/>
      </c>
      <c r="AD108" s="42" t="str">
        <f>IF(SUMIFS(Sheet2!$E:$E,Sheet2!$C:$C,$A108,Sheet2!$A:$A,AD$2)&lt;&gt;0,SUMIFS(Sheet2!$E:$E,Sheet2!$C:$C,$A108,Sheet2!$A:$A,AD$2),"")</f>
        <v/>
      </c>
      <c r="AE108" s="42" t="str">
        <f>IF(SUMIFS(Sheet2!$E:$E,Sheet2!$C:$C,$A108,Sheet2!$A:$A,AE$2)&lt;&gt;0,SUMIFS(Sheet2!$E:$E,Sheet2!$C:$C,$A108,Sheet2!$A:$A,AE$2),"")</f>
        <v/>
      </c>
      <c r="AF108" s="42" t="str">
        <f>IF(SUMIFS(Sheet2!$E:$E,Sheet2!$C:$C,$A108,Sheet2!$A:$A,AF$2)&lt;&gt;0,SUMIFS(Sheet2!$E:$E,Sheet2!$C:$C,$A108,Sheet2!$A:$A,AF$2),"")</f>
        <v/>
      </c>
      <c r="AG108" s="42" t="str">
        <f>IF(SUMIFS(Sheet2!$E:$E,Sheet2!$C:$C,$A108,Sheet2!$A:$A,AG$2)&lt;&gt;0,SUMIFS(Sheet2!$E:$E,Sheet2!$C:$C,$A108,Sheet2!$A:$A,AG$2),"")</f>
        <v/>
      </c>
      <c r="AH108" s="43">
        <f>SUM(Table2[[#This Row],[1]:[31]])</f>
        <v>0</v>
      </c>
    </row>
    <row r="109" spans="1:34" ht="12.75" customHeight="1">
      <c r="A109" s="76" t="str">
        <f>DSSP!A108</f>
        <v>R002</v>
      </c>
      <c r="B109" s="25" t="str">
        <f>DSSP!B108</f>
        <v>Ỉn hồng</v>
      </c>
      <c r="C109" s="42" t="str">
        <f>IF(SUMIFS(Sheet2!$E:$E,Sheet2!$C:$C,$A109,Sheet2!$A:$A,C$2)&lt;&gt;0,SUMIFS(Sheet2!$E:$E,Sheet2!$C:$C,$A109,Sheet2!$A:$A,C$2),"")</f>
        <v/>
      </c>
      <c r="D109" s="42" t="str">
        <f>IF(SUMIFS(Sheet2!$E:$E,Sheet2!$C:$C,$A109,Sheet2!$A:$A,D$2)&lt;&gt;0,SUMIFS(Sheet2!$E:$E,Sheet2!$C:$C,$A109,Sheet2!$A:$A,D$2),"")</f>
        <v/>
      </c>
      <c r="E109" s="42" t="str">
        <f>IF(SUMIFS(Sheet2!$E:$E,Sheet2!$C:$C,$A109,Sheet2!$A:$A,E$2)&lt;&gt;0,SUMIFS(Sheet2!$E:$E,Sheet2!$C:$C,$A109,Sheet2!$A:$A,E$2),"")</f>
        <v/>
      </c>
      <c r="F109" s="42" t="str">
        <f>IF(SUMIFS(Sheet2!$E:$E,Sheet2!$C:$C,$A109,Sheet2!$A:$A,F$2)&lt;&gt;0,SUMIFS(Sheet2!$E:$E,Sheet2!$C:$C,$A109,Sheet2!$A:$A,F$2),"")</f>
        <v/>
      </c>
      <c r="G109" s="42" t="str">
        <f>IF(SUMIFS(Sheet2!$E:$E,Sheet2!$C:$C,$A109,Sheet2!$A:$A,G$2)&lt;&gt;0,SUMIFS(Sheet2!$E:$E,Sheet2!$C:$C,$A109,Sheet2!$A:$A,G$2),"")</f>
        <v/>
      </c>
      <c r="H109" s="42" t="str">
        <f>IF(SUMIFS(Sheet2!$E:$E,Sheet2!$C:$C,$A109,Sheet2!$A:$A,H$2)&lt;&gt;0,SUMIFS(Sheet2!$E:$E,Sheet2!$C:$C,$A109,Sheet2!$A:$A,H$2),"")</f>
        <v/>
      </c>
      <c r="I109" s="42" t="str">
        <f>IF(SUMIFS(Sheet2!$E:$E,Sheet2!$C:$C,$A109,Sheet2!$A:$A,I$2)&lt;&gt;0,SUMIFS(Sheet2!$E:$E,Sheet2!$C:$C,$A109,Sheet2!$A:$A,I$2),"")</f>
        <v/>
      </c>
      <c r="J109" s="42" t="str">
        <f>IF(SUMIFS(Sheet2!$E:$E,Sheet2!$C:$C,$A109,Sheet2!$A:$A,J$2)&lt;&gt;0,SUMIFS(Sheet2!$E:$E,Sheet2!$C:$C,$A109,Sheet2!$A:$A,J$2),"")</f>
        <v/>
      </c>
      <c r="K109" s="42" t="str">
        <f>IF(SUMIFS(Sheet2!$E:$E,Sheet2!$C:$C,$A109,Sheet2!$A:$A,K$2)&lt;&gt;0,SUMIFS(Sheet2!$E:$E,Sheet2!$C:$C,$A109,Sheet2!$A:$A,K$2),"")</f>
        <v/>
      </c>
      <c r="L109" s="42" t="str">
        <f>IF(SUMIFS(Sheet2!$E:$E,Sheet2!$C:$C,$A109,Sheet2!$A:$A,L$2)&lt;&gt;0,SUMIFS(Sheet2!$E:$E,Sheet2!$C:$C,$A109,Sheet2!$A:$A,L$2),"")</f>
        <v/>
      </c>
      <c r="M109" s="42" t="str">
        <f>IF(SUMIFS(Sheet2!$E:$E,Sheet2!$C:$C,$A109,Sheet2!$A:$A,M$2)&lt;&gt;0,SUMIFS(Sheet2!$E:$E,Sheet2!$C:$C,$A109,Sheet2!$A:$A,M$2),"")</f>
        <v/>
      </c>
      <c r="N109" s="42" t="str">
        <f>IF(SUMIFS(Sheet2!$E:$E,Sheet2!$C:$C,$A109,Sheet2!$A:$A,N$2)&lt;&gt;0,SUMIFS(Sheet2!$E:$E,Sheet2!$C:$C,$A109,Sheet2!$A:$A,N$2),"")</f>
        <v/>
      </c>
      <c r="O109" s="42" t="str">
        <f>IF(SUMIFS(Sheet2!$E:$E,Sheet2!$C:$C,$A109,Sheet2!$A:$A,O$2)&lt;&gt;0,SUMIFS(Sheet2!$E:$E,Sheet2!$C:$C,$A109,Sheet2!$A:$A,O$2),"")</f>
        <v/>
      </c>
      <c r="P109" s="42" t="str">
        <f>IF(SUMIFS(Sheet2!$E:$E,Sheet2!$C:$C,$A109,Sheet2!$A:$A,P$2)&lt;&gt;0,SUMIFS(Sheet2!$E:$E,Sheet2!$C:$C,$A109,Sheet2!$A:$A,P$2),"")</f>
        <v/>
      </c>
      <c r="Q109" s="42" t="str">
        <f>IF(SUMIFS(Sheet2!$E:$E,Sheet2!$C:$C,$A109,Sheet2!$A:$A,Q$2)&lt;&gt;0,SUMIFS(Sheet2!$E:$E,Sheet2!$C:$C,$A109,Sheet2!$A:$A,Q$2),"")</f>
        <v/>
      </c>
      <c r="R109" s="42" t="str">
        <f>IF(SUMIFS(Sheet2!$E:$E,Sheet2!$C:$C,$A109,Sheet2!$A:$A,R$2)&lt;&gt;0,SUMIFS(Sheet2!$E:$E,Sheet2!$C:$C,$A109,Sheet2!$A:$A,R$2),"")</f>
        <v/>
      </c>
      <c r="S109" s="42" t="str">
        <f>IF(SUMIFS(Sheet2!$E:$E,Sheet2!$C:$C,$A109,Sheet2!$A:$A,S$2)&lt;&gt;0,SUMIFS(Sheet2!$E:$E,Sheet2!$C:$C,$A109,Sheet2!$A:$A,S$2),"")</f>
        <v/>
      </c>
      <c r="T109" s="42" t="str">
        <f>IF(SUMIFS(Sheet2!$E:$E,Sheet2!$C:$C,$A109,Sheet2!$A:$A,T$2)&lt;&gt;0,SUMIFS(Sheet2!$E:$E,Sheet2!$C:$C,$A109,Sheet2!$A:$A,T$2),"")</f>
        <v/>
      </c>
      <c r="U109" s="42" t="str">
        <f>IF(SUMIFS(Sheet2!$E:$E,Sheet2!$C:$C,$A109,Sheet2!$A:$A,U$2)&lt;&gt;0,SUMIFS(Sheet2!$E:$E,Sheet2!$C:$C,$A109,Sheet2!$A:$A,U$2),"")</f>
        <v/>
      </c>
      <c r="V109" s="42" t="str">
        <f>IF(SUMIFS(Sheet2!$E:$E,Sheet2!$C:$C,$A109,Sheet2!$A:$A,V$2)&lt;&gt;0,SUMIFS(Sheet2!$E:$E,Sheet2!$C:$C,$A109,Sheet2!$A:$A,V$2),"")</f>
        <v/>
      </c>
      <c r="W109" s="42" t="str">
        <f>IF(SUMIFS(Sheet2!$E:$E,Sheet2!$C:$C,$A109,Sheet2!$A:$A,W$2)&lt;&gt;0,SUMIFS(Sheet2!$E:$E,Sheet2!$C:$C,$A109,Sheet2!$A:$A,W$2),"")</f>
        <v/>
      </c>
      <c r="X109" s="42" t="str">
        <f>IF(SUMIFS(Sheet2!$E:$E,Sheet2!$C:$C,$A109,Sheet2!$A:$A,X$2)&lt;&gt;0,SUMIFS(Sheet2!$E:$E,Sheet2!$C:$C,$A109,Sheet2!$A:$A,X$2),"")</f>
        <v/>
      </c>
      <c r="Y109" s="42" t="str">
        <f>IF(SUMIFS(Sheet2!$E:$E,Sheet2!$C:$C,$A109,Sheet2!$A:$A,Y$2)&lt;&gt;0,SUMIFS(Sheet2!$E:$E,Sheet2!$C:$C,$A109,Sheet2!$A:$A,Y$2),"")</f>
        <v/>
      </c>
      <c r="Z109" s="42" t="str">
        <f>IF(SUMIFS(Sheet2!$E:$E,Sheet2!$C:$C,$A109,Sheet2!$A:$A,Z$2)&lt;&gt;0,SUMIFS(Sheet2!$E:$E,Sheet2!$C:$C,$A109,Sheet2!$A:$A,Z$2),"")</f>
        <v/>
      </c>
      <c r="AA109" s="42" t="str">
        <f>IF(SUMIFS(Sheet2!$E:$E,Sheet2!$C:$C,$A109,Sheet2!$A:$A,AA$2)&lt;&gt;0,SUMIFS(Sheet2!$E:$E,Sheet2!$C:$C,$A109,Sheet2!$A:$A,AA$2),"")</f>
        <v/>
      </c>
      <c r="AB109" s="42" t="str">
        <f>IF(SUMIFS(Sheet2!$E:$E,Sheet2!$C:$C,$A109,Sheet2!$A:$A,AB$2)&lt;&gt;0,SUMIFS(Sheet2!$E:$E,Sheet2!$C:$C,$A109,Sheet2!$A:$A,AB$2),"")</f>
        <v/>
      </c>
      <c r="AC109" s="42" t="str">
        <f>IF(SUMIFS(Sheet2!$E:$E,Sheet2!$C:$C,$A109,Sheet2!$A:$A,AC$2)&lt;&gt;0,SUMIFS(Sheet2!$E:$E,Sheet2!$C:$C,$A109,Sheet2!$A:$A,AC$2),"")</f>
        <v/>
      </c>
      <c r="AD109" s="42" t="str">
        <f>IF(SUMIFS(Sheet2!$E:$E,Sheet2!$C:$C,$A109,Sheet2!$A:$A,AD$2)&lt;&gt;0,SUMIFS(Sheet2!$E:$E,Sheet2!$C:$C,$A109,Sheet2!$A:$A,AD$2),"")</f>
        <v/>
      </c>
      <c r="AE109" s="42" t="str">
        <f>IF(SUMIFS(Sheet2!$E:$E,Sheet2!$C:$C,$A109,Sheet2!$A:$A,AE$2)&lt;&gt;0,SUMIFS(Sheet2!$E:$E,Sheet2!$C:$C,$A109,Sheet2!$A:$A,AE$2),"")</f>
        <v/>
      </c>
      <c r="AF109" s="42" t="str">
        <f>IF(SUMIFS(Sheet2!$E:$E,Sheet2!$C:$C,$A109,Sheet2!$A:$A,AF$2)&lt;&gt;0,SUMIFS(Sheet2!$E:$E,Sheet2!$C:$C,$A109,Sheet2!$A:$A,AF$2),"")</f>
        <v/>
      </c>
      <c r="AG109" s="42" t="str">
        <f>IF(SUMIFS(Sheet2!$E:$E,Sheet2!$C:$C,$A109,Sheet2!$A:$A,AG$2)&lt;&gt;0,SUMIFS(Sheet2!$E:$E,Sheet2!$C:$C,$A109,Sheet2!$A:$A,AG$2),"")</f>
        <v/>
      </c>
      <c r="AH109" s="43">
        <f>SUM(Table2[[#This Row],[1]:[31]])</f>
        <v>0</v>
      </c>
    </row>
    <row r="110" spans="1:34" ht="12.75" customHeight="1">
      <c r="A110" s="76" t="str">
        <f>DSSP!A109</f>
        <v>R003</v>
      </c>
      <c r="B110" s="25" t="str">
        <f>DSSP!B109</f>
        <v>Gấu Panda</v>
      </c>
      <c r="C110" s="42" t="str">
        <f>IF(SUMIFS(Sheet2!$E:$E,Sheet2!$C:$C,$A110,Sheet2!$A:$A,C$2)&lt;&gt;0,SUMIFS(Sheet2!$E:$E,Sheet2!$C:$C,$A110,Sheet2!$A:$A,C$2),"")</f>
        <v/>
      </c>
      <c r="D110" s="42" t="str">
        <f>IF(SUMIFS(Sheet2!$E:$E,Sheet2!$C:$C,$A110,Sheet2!$A:$A,D$2)&lt;&gt;0,SUMIFS(Sheet2!$E:$E,Sheet2!$C:$C,$A110,Sheet2!$A:$A,D$2),"")</f>
        <v/>
      </c>
      <c r="E110" s="42" t="str">
        <f>IF(SUMIFS(Sheet2!$E:$E,Sheet2!$C:$C,$A110,Sheet2!$A:$A,E$2)&lt;&gt;0,SUMIFS(Sheet2!$E:$E,Sheet2!$C:$C,$A110,Sheet2!$A:$A,E$2),"")</f>
        <v/>
      </c>
      <c r="F110" s="42" t="str">
        <f>IF(SUMIFS(Sheet2!$E:$E,Sheet2!$C:$C,$A110,Sheet2!$A:$A,F$2)&lt;&gt;0,SUMIFS(Sheet2!$E:$E,Sheet2!$C:$C,$A110,Sheet2!$A:$A,F$2),"")</f>
        <v/>
      </c>
      <c r="G110" s="42" t="str">
        <f>IF(SUMIFS(Sheet2!$E:$E,Sheet2!$C:$C,$A110,Sheet2!$A:$A,G$2)&lt;&gt;0,SUMIFS(Sheet2!$E:$E,Sheet2!$C:$C,$A110,Sheet2!$A:$A,G$2),"")</f>
        <v/>
      </c>
      <c r="H110" s="42" t="str">
        <f>IF(SUMIFS(Sheet2!$E:$E,Sheet2!$C:$C,$A110,Sheet2!$A:$A,H$2)&lt;&gt;0,SUMIFS(Sheet2!$E:$E,Sheet2!$C:$C,$A110,Sheet2!$A:$A,H$2),"")</f>
        <v/>
      </c>
      <c r="I110" s="42" t="str">
        <f>IF(SUMIFS(Sheet2!$E:$E,Sheet2!$C:$C,$A110,Sheet2!$A:$A,I$2)&lt;&gt;0,SUMIFS(Sheet2!$E:$E,Sheet2!$C:$C,$A110,Sheet2!$A:$A,I$2),"")</f>
        <v/>
      </c>
      <c r="J110" s="42" t="str">
        <f>IF(SUMIFS(Sheet2!$E:$E,Sheet2!$C:$C,$A110,Sheet2!$A:$A,J$2)&lt;&gt;0,SUMIFS(Sheet2!$E:$E,Sheet2!$C:$C,$A110,Sheet2!$A:$A,J$2),"")</f>
        <v/>
      </c>
      <c r="K110" s="42" t="str">
        <f>IF(SUMIFS(Sheet2!$E:$E,Sheet2!$C:$C,$A110,Sheet2!$A:$A,K$2)&lt;&gt;0,SUMIFS(Sheet2!$E:$E,Sheet2!$C:$C,$A110,Sheet2!$A:$A,K$2),"")</f>
        <v/>
      </c>
      <c r="L110" s="42" t="str">
        <f>IF(SUMIFS(Sheet2!$E:$E,Sheet2!$C:$C,$A110,Sheet2!$A:$A,L$2)&lt;&gt;0,SUMIFS(Sheet2!$E:$E,Sheet2!$C:$C,$A110,Sheet2!$A:$A,L$2),"")</f>
        <v/>
      </c>
      <c r="M110" s="42" t="str">
        <f>IF(SUMIFS(Sheet2!$E:$E,Sheet2!$C:$C,$A110,Sheet2!$A:$A,M$2)&lt;&gt;0,SUMIFS(Sheet2!$E:$E,Sheet2!$C:$C,$A110,Sheet2!$A:$A,M$2),"")</f>
        <v/>
      </c>
      <c r="N110" s="42" t="str">
        <f>IF(SUMIFS(Sheet2!$E:$E,Sheet2!$C:$C,$A110,Sheet2!$A:$A,N$2)&lt;&gt;0,SUMIFS(Sheet2!$E:$E,Sheet2!$C:$C,$A110,Sheet2!$A:$A,N$2),"")</f>
        <v/>
      </c>
      <c r="O110" s="42" t="str">
        <f>IF(SUMIFS(Sheet2!$E:$E,Sheet2!$C:$C,$A110,Sheet2!$A:$A,O$2)&lt;&gt;0,SUMIFS(Sheet2!$E:$E,Sheet2!$C:$C,$A110,Sheet2!$A:$A,O$2),"")</f>
        <v/>
      </c>
      <c r="P110" s="42" t="str">
        <f>IF(SUMIFS(Sheet2!$E:$E,Sheet2!$C:$C,$A110,Sheet2!$A:$A,P$2)&lt;&gt;0,SUMIFS(Sheet2!$E:$E,Sheet2!$C:$C,$A110,Sheet2!$A:$A,P$2),"")</f>
        <v/>
      </c>
      <c r="Q110" s="42" t="str">
        <f>IF(SUMIFS(Sheet2!$E:$E,Sheet2!$C:$C,$A110,Sheet2!$A:$A,Q$2)&lt;&gt;0,SUMIFS(Sheet2!$E:$E,Sheet2!$C:$C,$A110,Sheet2!$A:$A,Q$2),"")</f>
        <v/>
      </c>
      <c r="R110" s="42" t="str">
        <f>IF(SUMIFS(Sheet2!$E:$E,Sheet2!$C:$C,$A110,Sheet2!$A:$A,R$2)&lt;&gt;0,SUMIFS(Sheet2!$E:$E,Sheet2!$C:$C,$A110,Sheet2!$A:$A,R$2),"")</f>
        <v/>
      </c>
      <c r="S110" s="42" t="str">
        <f>IF(SUMIFS(Sheet2!$E:$E,Sheet2!$C:$C,$A110,Sheet2!$A:$A,S$2)&lt;&gt;0,SUMIFS(Sheet2!$E:$E,Sheet2!$C:$C,$A110,Sheet2!$A:$A,S$2),"")</f>
        <v/>
      </c>
      <c r="T110" s="42" t="str">
        <f>IF(SUMIFS(Sheet2!$E:$E,Sheet2!$C:$C,$A110,Sheet2!$A:$A,T$2)&lt;&gt;0,SUMIFS(Sheet2!$E:$E,Sheet2!$C:$C,$A110,Sheet2!$A:$A,T$2),"")</f>
        <v/>
      </c>
      <c r="U110" s="42" t="str">
        <f>IF(SUMIFS(Sheet2!$E:$E,Sheet2!$C:$C,$A110,Sheet2!$A:$A,U$2)&lt;&gt;0,SUMIFS(Sheet2!$E:$E,Sheet2!$C:$C,$A110,Sheet2!$A:$A,U$2),"")</f>
        <v/>
      </c>
      <c r="V110" s="42" t="str">
        <f>IF(SUMIFS(Sheet2!$E:$E,Sheet2!$C:$C,$A110,Sheet2!$A:$A,V$2)&lt;&gt;0,SUMIFS(Sheet2!$E:$E,Sheet2!$C:$C,$A110,Sheet2!$A:$A,V$2),"")</f>
        <v/>
      </c>
      <c r="W110" s="42" t="str">
        <f>IF(SUMIFS(Sheet2!$E:$E,Sheet2!$C:$C,$A110,Sheet2!$A:$A,W$2)&lt;&gt;0,SUMIFS(Sheet2!$E:$E,Sheet2!$C:$C,$A110,Sheet2!$A:$A,W$2),"")</f>
        <v/>
      </c>
      <c r="X110" s="42" t="str">
        <f>IF(SUMIFS(Sheet2!$E:$E,Sheet2!$C:$C,$A110,Sheet2!$A:$A,X$2)&lt;&gt;0,SUMIFS(Sheet2!$E:$E,Sheet2!$C:$C,$A110,Sheet2!$A:$A,X$2),"")</f>
        <v/>
      </c>
      <c r="Y110" s="42" t="str">
        <f>IF(SUMIFS(Sheet2!$E:$E,Sheet2!$C:$C,$A110,Sheet2!$A:$A,Y$2)&lt;&gt;0,SUMIFS(Sheet2!$E:$E,Sheet2!$C:$C,$A110,Sheet2!$A:$A,Y$2),"")</f>
        <v/>
      </c>
      <c r="Z110" s="42" t="str">
        <f>IF(SUMIFS(Sheet2!$E:$E,Sheet2!$C:$C,$A110,Sheet2!$A:$A,Z$2)&lt;&gt;0,SUMIFS(Sheet2!$E:$E,Sheet2!$C:$C,$A110,Sheet2!$A:$A,Z$2),"")</f>
        <v/>
      </c>
      <c r="AA110" s="42" t="str">
        <f>IF(SUMIFS(Sheet2!$E:$E,Sheet2!$C:$C,$A110,Sheet2!$A:$A,AA$2)&lt;&gt;0,SUMIFS(Sheet2!$E:$E,Sheet2!$C:$C,$A110,Sheet2!$A:$A,AA$2),"")</f>
        <v/>
      </c>
      <c r="AB110" s="42" t="str">
        <f>IF(SUMIFS(Sheet2!$E:$E,Sheet2!$C:$C,$A110,Sheet2!$A:$A,AB$2)&lt;&gt;0,SUMIFS(Sheet2!$E:$E,Sheet2!$C:$C,$A110,Sheet2!$A:$A,AB$2),"")</f>
        <v/>
      </c>
      <c r="AC110" s="42" t="str">
        <f>IF(SUMIFS(Sheet2!$E:$E,Sheet2!$C:$C,$A110,Sheet2!$A:$A,AC$2)&lt;&gt;0,SUMIFS(Sheet2!$E:$E,Sheet2!$C:$C,$A110,Sheet2!$A:$A,AC$2),"")</f>
        <v/>
      </c>
      <c r="AD110" s="42" t="str">
        <f>IF(SUMIFS(Sheet2!$E:$E,Sheet2!$C:$C,$A110,Sheet2!$A:$A,AD$2)&lt;&gt;0,SUMIFS(Sheet2!$E:$E,Sheet2!$C:$C,$A110,Sheet2!$A:$A,AD$2),"")</f>
        <v/>
      </c>
      <c r="AE110" s="42" t="str">
        <f>IF(SUMIFS(Sheet2!$E:$E,Sheet2!$C:$C,$A110,Sheet2!$A:$A,AE$2)&lt;&gt;0,SUMIFS(Sheet2!$E:$E,Sheet2!$C:$C,$A110,Sheet2!$A:$A,AE$2),"")</f>
        <v/>
      </c>
      <c r="AF110" s="42" t="str">
        <f>IF(SUMIFS(Sheet2!$E:$E,Sheet2!$C:$C,$A110,Sheet2!$A:$A,AF$2)&lt;&gt;0,SUMIFS(Sheet2!$E:$E,Sheet2!$C:$C,$A110,Sheet2!$A:$A,AF$2),"")</f>
        <v/>
      </c>
      <c r="AG110" s="42" t="str">
        <f>IF(SUMIFS(Sheet2!$E:$E,Sheet2!$C:$C,$A110,Sheet2!$A:$A,AG$2)&lt;&gt;0,SUMIFS(Sheet2!$E:$E,Sheet2!$C:$C,$A110,Sheet2!$A:$A,AG$2),"")</f>
        <v/>
      </c>
      <c r="AH110" s="43">
        <f>SUM(Table2[[#This Row],[1]:[31]])</f>
        <v>0</v>
      </c>
    </row>
    <row r="111" spans="1:34" ht="12.75" customHeight="1">
      <c r="A111" s="76" t="str">
        <f>DSSP!A110</f>
        <v>R004</v>
      </c>
      <c r="B111" s="25" t="str">
        <f>DSSP!B110</f>
        <v>Angry bird đen</v>
      </c>
      <c r="C111" s="42" t="str">
        <f>IF(SUMIFS(Sheet2!$E:$E,Sheet2!$C:$C,$A111,Sheet2!$A:$A,C$2)&lt;&gt;0,SUMIFS(Sheet2!$E:$E,Sheet2!$C:$C,$A111,Sheet2!$A:$A,C$2),"")</f>
        <v/>
      </c>
      <c r="D111" s="42" t="str">
        <f>IF(SUMIFS(Sheet2!$E:$E,Sheet2!$C:$C,$A111,Sheet2!$A:$A,D$2)&lt;&gt;0,SUMIFS(Sheet2!$E:$E,Sheet2!$C:$C,$A111,Sheet2!$A:$A,D$2),"")</f>
        <v/>
      </c>
      <c r="E111" s="42" t="str">
        <f>IF(SUMIFS(Sheet2!$E:$E,Sheet2!$C:$C,$A111,Sheet2!$A:$A,E$2)&lt;&gt;0,SUMIFS(Sheet2!$E:$E,Sheet2!$C:$C,$A111,Sheet2!$A:$A,E$2),"")</f>
        <v/>
      </c>
      <c r="F111" s="42" t="str">
        <f>IF(SUMIFS(Sheet2!$E:$E,Sheet2!$C:$C,$A111,Sheet2!$A:$A,F$2)&lt;&gt;0,SUMIFS(Sheet2!$E:$E,Sheet2!$C:$C,$A111,Sheet2!$A:$A,F$2),"")</f>
        <v/>
      </c>
      <c r="G111" s="42" t="str">
        <f>IF(SUMIFS(Sheet2!$E:$E,Sheet2!$C:$C,$A111,Sheet2!$A:$A,G$2)&lt;&gt;0,SUMIFS(Sheet2!$E:$E,Sheet2!$C:$C,$A111,Sheet2!$A:$A,G$2),"")</f>
        <v/>
      </c>
      <c r="H111" s="42" t="str">
        <f>IF(SUMIFS(Sheet2!$E:$E,Sheet2!$C:$C,$A111,Sheet2!$A:$A,H$2)&lt;&gt;0,SUMIFS(Sheet2!$E:$E,Sheet2!$C:$C,$A111,Sheet2!$A:$A,H$2),"")</f>
        <v/>
      </c>
      <c r="I111" s="42" t="str">
        <f>IF(SUMIFS(Sheet2!$E:$E,Sheet2!$C:$C,$A111,Sheet2!$A:$A,I$2)&lt;&gt;0,SUMIFS(Sheet2!$E:$E,Sheet2!$C:$C,$A111,Sheet2!$A:$A,I$2),"")</f>
        <v/>
      </c>
      <c r="J111" s="42" t="str">
        <f>IF(SUMIFS(Sheet2!$E:$E,Sheet2!$C:$C,$A111,Sheet2!$A:$A,J$2)&lt;&gt;0,SUMIFS(Sheet2!$E:$E,Sheet2!$C:$C,$A111,Sheet2!$A:$A,J$2),"")</f>
        <v/>
      </c>
      <c r="K111" s="42" t="str">
        <f>IF(SUMIFS(Sheet2!$E:$E,Sheet2!$C:$C,$A111,Sheet2!$A:$A,K$2)&lt;&gt;0,SUMIFS(Sheet2!$E:$E,Sheet2!$C:$C,$A111,Sheet2!$A:$A,K$2),"")</f>
        <v/>
      </c>
      <c r="L111" s="42" t="str">
        <f>IF(SUMIFS(Sheet2!$E:$E,Sheet2!$C:$C,$A111,Sheet2!$A:$A,L$2)&lt;&gt;0,SUMIFS(Sheet2!$E:$E,Sheet2!$C:$C,$A111,Sheet2!$A:$A,L$2),"")</f>
        <v/>
      </c>
      <c r="M111" s="42" t="str">
        <f>IF(SUMIFS(Sheet2!$E:$E,Sheet2!$C:$C,$A111,Sheet2!$A:$A,M$2)&lt;&gt;0,SUMIFS(Sheet2!$E:$E,Sheet2!$C:$C,$A111,Sheet2!$A:$A,M$2),"")</f>
        <v/>
      </c>
      <c r="N111" s="42" t="str">
        <f>IF(SUMIFS(Sheet2!$E:$E,Sheet2!$C:$C,$A111,Sheet2!$A:$A,N$2)&lt;&gt;0,SUMIFS(Sheet2!$E:$E,Sheet2!$C:$C,$A111,Sheet2!$A:$A,N$2),"")</f>
        <v/>
      </c>
      <c r="O111" s="42" t="str">
        <f>IF(SUMIFS(Sheet2!$E:$E,Sheet2!$C:$C,$A111,Sheet2!$A:$A,O$2)&lt;&gt;0,SUMIFS(Sheet2!$E:$E,Sheet2!$C:$C,$A111,Sheet2!$A:$A,O$2),"")</f>
        <v/>
      </c>
      <c r="P111" s="42" t="str">
        <f>IF(SUMIFS(Sheet2!$E:$E,Sheet2!$C:$C,$A111,Sheet2!$A:$A,P$2)&lt;&gt;0,SUMIFS(Sheet2!$E:$E,Sheet2!$C:$C,$A111,Sheet2!$A:$A,P$2),"")</f>
        <v/>
      </c>
      <c r="Q111" s="42" t="str">
        <f>IF(SUMIFS(Sheet2!$E:$E,Sheet2!$C:$C,$A111,Sheet2!$A:$A,Q$2)&lt;&gt;0,SUMIFS(Sheet2!$E:$E,Sheet2!$C:$C,$A111,Sheet2!$A:$A,Q$2),"")</f>
        <v/>
      </c>
      <c r="R111" s="42" t="str">
        <f>IF(SUMIFS(Sheet2!$E:$E,Sheet2!$C:$C,$A111,Sheet2!$A:$A,R$2)&lt;&gt;0,SUMIFS(Sheet2!$E:$E,Sheet2!$C:$C,$A111,Sheet2!$A:$A,R$2),"")</f>
        <v/>
      </c>
      <c r="S111" s="42" t="str">
        <f>IF(SUMIFS(Sheet2!$E:$E,Sheet2!$C:$C,$A111,Sheet2!$A:$A,S$2)&lt;&gt;0,SUMIFS(Sheet2!$E:$E,Sheet2!$C:$C,$A111,Sheet2!$A:$A,S$2),"")</f>
        <v/>
      </c>
      <c r="T111" s="42" t="str">
        <f>IF(SUMIFS(Sheet2!$E:$E,Sheet2!$C:$C,$A111,Sheet2!$A:$A,T$2)&lt;&gt;0,SUMIFS(Sheet2!$E:$E,Sheet2!$C:$C,$A111,Sheet2!$A:$A,T$2),"")</f>
        <v/>
      </c>
      <c r="U111" s="42" t="str">
        <f>IF(SUMIFS(Sheet2!$E:$E,Sheet2!$C:$C,$A111,Sheet2!$A:$A,U$2)&lt;&gt;0,SUMIFS(Sheet2!$E:$E,Sheet2!$C:$C,$A111,Sheet2!$A:$A,U$2),"")</f>
        <v/>
      </c>
      <c r="V111" s="42" t="str">
        <f>IF(SUMIFS(Sheet2!$E:$E,Sheet2!$C:$C,$A111,Sheet2!$A:$A,V$2)&lt;&gt;0,SUMIFS(Sheet2!$E:$E,Sheet2!$C:$C,$A111,Sheet2!$A:$A,V$2),"")</f>
        <v/>
      </c>
      <c r="W111" s="42" t="str">
        <f>IF(SUMIFS(Sheet2!$E:$E,Sheet2!$C:$C,$A111,Sheet2!$A:$A,W$2)&lt;&gt;0,SUMIFS(Sheet2!$E:$E,Sheet2!$C:$C,$A111,Sheet2!$A:$A,W$2),"")</f>
        <v/>
      </c>
      <c r="X111" s="42" t="str">
        <f>IF(SUMIFS(Sheet2!$E:$E,Sheet2!$C:$C,$A111,Sheet2!$A:$A,X$2)&lt;&gt;0,SUMIFS(Sheet2!$E:$E,Sheet2!$C:$C,$A111,Sheet2!$A:$A,X$2),"")</f>
        <v/>
      </c>
      <c r="Y111" s="42" t="str">
        <f>IF(SUMIFS(Sheet2!$E:$E,Sheet2!$C:$C,$A111,Sheet2!$A:$A,Y$2)&lt;&gt;0,SUMIFS(Sheet2!$E:$E,Sheet2!$C:$C,$A111,Sheet2!$A:$A,Y$2),"")</f>
        <v/>
      </c>
      <c r="Z111" s="42" t="str">
        <f>IF(SUMIFS(Sheet2!$E:$E,Sheet2!$C:$C,$A111,Sheet2!$A:$A,Z$2)&lt;&gt;0,SUMIFS(Sheet2!$E:$E,Sheet2!$C:$C,$A111,Sheet2!$A:$A,Z$2),"")</f>
        <v/>
      </c>
      <c r="AA111" s="42" t="str">
        <f>IF(SUMIFS(Sheet2!$E:$E,Sheet2!$C:$C,$A111,Sheet2!$A:$A,AA$2)&lt;&gt;0,SUMIFS(Sheet2!$E:$E,Sheet2!$C:$C,$A111,Sheet2!$A:$A,AA$2),"")</f>
        <v/>
      </c>
      <c r="AB111" s="42" t="str">
        <f>IF(SUMIFS(Sheet2!$E:$E,Sheet2!$C:$C,$A111,Sheet2!$A:$A,AB$2)&lt;&gt;0,SUMIFS(Sheet2!$E:$E,Sheet2!$C:$C,$A111,Sheet2!$A:$A,AB$2),"")</f>
        <v/>
      </c>
      <c r="AC111" s="42" t="str">
        <f>IF(SUMIFS(Sheet2!$E:$E,Sheet2!$C:$C,$A111,Sheet2!$A:$A,AC$2)&lt;&gt;0,SUMIFS(Sheet2!$E:$E,Sheet2!$C:$C,$A111,Sheet2!$A:$A,AC$2),"")</f>
        <v/>
      </c>
      <c r="AD111" s="42" t="str">
        <f>IF(SUMIFS(Sheet2!$E:$E,Sheet2!$C:$C,$A111,Sheet2!$A:$A,AD$2)&lt;&gt;0,SUMIFS(Sheet2!$E:$E,Sheet2!$C:$C,$A111,Sheet2!$A:$A,AD$2),"")</f>
        <v/>
      </c>
      <c r="AE111" s="42" t="str">
        <f>IF(SUMIFS(Sheet2!$E:$E,Sheet2!$C:$C,$A111,Sheet2!$A:$A,AE$2)&lt;&gt;0,SUMIFS(Sheet2!$E:$E,Sheet2!$C:$C,$A111,Sheet2!$A:$A,AE$2),"")</f>
        <v/>
      </c>
      <c r="AF111" s="42" t="str">
        <f>IF(SUMIFS(Sheet2!$E:$E,Sheet2!$C:$C,$A111,Sheet2!$A:$A,AF$2)&lt;&gt;0,SUMIFS(Sheet2!$E:$E,Sheet2!$C:$C,$A111,Sheet2!$A:$A,AF$2),"")</f>
        <v/>
      </c>
      <c r="AG111" s="42" t="str">
        <f>IF(SUMIFS(Sheet2!$E:$E,Sheet2!$C:$C,$A111,Sheet2!$A:$A,AG$2)&lt;&gt;0,SUMIFS(Sheet2!$E:$E,Sheet2!$C:$C,$A111,Sheet2!$A:$A,AG$2),"")</f>
        <v/>
      </c>
      <c r="AH111" s="43">
        <f>SUM(Table2[[#This Row],[1]:[31]])</f>
        <v>0</v>
      </c>
    </row>
    <row r="112" spans="1:34" ht="12.75" customHeight="1">
      <c r="A112" s="76" t="str">
        <f>DSSP!A111</f>
        <v>R005</v>
      </c>
      <c r="B112" s="25" t="str">
        <f>DSSP!B111</f>
        <v>Angry bird đỏ</v>
      </c>
      <c r="C112" s="42" t="str">
        <f>IF(SUMIFS(Sheet2!$E:$E,Sheet2!$C:$C,$A112,Sheet2!$A:$A,C$2)&lt;&gt;0,SUMIFS(Sheet2!$E:$E,Sheet2!$C:$C,$A112,Sheet2!$A:$A,C$2),"")</f>
        <v/>
      </c>
      <c r="D112" s="42" t="str">
        <f>IF(SUMIFS(Sheet2!$E:$E,Sheet2!$C:$C,$A112,Sheet2!$A:$A,D$2)&lt;&gt;0,SUMIFS(Sheet2!$E:$E,Sheet2!$C:$C,$A112,Sheet2!$A:$A,D$2),"")</f>
        <v/>
      </c>
      <c r="E112" s="42" t="str">
        <f>IF(SUMIFS(Sheet2!$E:$E,Sheet2!$C:$C,$A112,Sheet2!$A:$A,E$2)&lt;&gt;0,SUMIFS(Sheet2!$E:$E,Sheet2!$C:$C,$A112,Sheet2!$A:$A,E$2),"")</f>
        <v/>
      </c>
      <c r="F112" s="42" t="str">
        <f>IF(SUMIFS(Sheet2!$E:$E,Sheet2!$C:$C,$A112,Sheet2!$A:$A,F$2)&lt;&gt;0,SUMIFS(Sheet2!$E:$E,Sheet2!$C:$C,$A112,Sheet2!$A:$A,F$2),"")</f>
        <v/>
      </c>
      <c r="G112" s="42" t="str">
        <f>IF(SUMIFS(Sheet2!$E:$E,Sheet2!$C:$C,$A112,Sheet2!$A:$A,G$2)&lt;&gt;0,SUMIFS(Sheet2!$E:$E,Sheet2!$C:$C,$A112,Sheet2!$A:$A,G$2),"")</f>
        <v/>
      </c>
      <c r="H112" s="42" t="str">
        <f>IF(SUMIFS(Sheet2!$E:$E,Sheet2!$C:$C,$A112,Sheet2!$A:$A,H$2)&lt;&gt;0,SUMIFS(Sheet2!$E:$E,Sheet2!$C:$C,$A112,Sheet2!$A:$A,H$2),"")</f>
        <v/>
      </c>
      <c r="I112" s="42" t="str">
        <f>IF(SUMIFS(Sheet2!$E:$E,Sheet2!$C:$C,$A112,Sheet2!$A:$A,I$2)&lt;&gt;0,SUMIFS(Sheet2!$E:$E,Sheet2!$C:$C,$A112,Sheet2!$A:$A,I$2),"")</f>
        <v/>
      </c>
      <c r="J112" s="42" t="str">
        <f>IF(SUMIFS(Sheet2!$E:$E,Sheet2!$C:$C,$A112,Sheet2!$A:$A,J$2)&lt;&gt;0,SUMIFS(Sheet2!$E:$E,Sheet2!$C:$C,$A112,Sheet2!$A:$A,J$2),"")</f>
        <v/>
      </c>
      <c r="K112" s="42" t="str">
        <f>IF(SUMIFS(Sheet2!$E:$E,Sheet2!$C:$C,$A112,Sheet2!$A:$A,K$2)&lt;&gt;0,SUMIFS(Sheet2!$E:$E,Sheet2!$C:$C,$A112,Sheet2!$A:$A,K$2),"")</f>
        <v/>
      </c>
      <c r="L112" s="42" t="str">
        <f>IF(SUMIFS(Sheet2!$E:$E,Sheet2!$C:$C,$A112,Sheet2!$A:$A,L$2)&lt;&gt;0,SUMIFS(Sheet2!$E:$E,Sheet2!$C:$C,$A112,Sheet2!$A:$A,L$2),"")</f>
        <v/>
      </c>
      <c r="M112" s="42" t="str">
        <f>IF(SUMIFS(Sheet2!$E:$E,Sheet2!$C:$C,$A112,Sheet2!$A:$A,M$2)&lt;&gt;0,SUMIFS(Sheet2!$E:$E,Sheet2!$C:$C,$A112,Sheet2!$A:$A,M$2),"")</f>
        <v/>
      </c>
      <c r="N112" s="42" t="str">
        <f>IF(SUMIFS(Sheet2!$E:$E,Sheet2!$C:$C,$A112,Sheet2!$A:$A,N$2)&lt;&gt;0,SUMIFS(Sheet2!$E:$E,Sheet2!$C:$C,$A112,Sheet2!$A:$A,N$2),"")</f>
        <v/>
      </c>
      <c r="O112" s="42" t="str">
        <f>IF(SUMIFS(Sheet2!$E:$E,Sheet2!$C:$C,$A112,Sheet2!$A:$A,O$2)&lt;&gt;0,SUMIFS(Sheet2!$E:$E,Sheet2!$C:$C,$A112,Sheet2!$A:$A,O$2),"")</f>
        <v/>
      </c>
      <c r="P112" s="42" t="str">
        <f>IF(SUMIFS(Sheet2!$E:$E,Sheet2!$C:$C,$A112,Sheet2!$A:$A,P$2)&lt;&gt;0,SUMIFS(Sheet2!$E:$E,Sheet2!$C:$C,$A112,Sheet2!$A:$A,P$2),"")</f>
        <v/>
      </c>
      <c r="Q112" s="42" t="str">
        <f>IF(SUMIFS(Sheet2!$E:$E,Sheet2!$C:$C,$A112,Sheet2!$A:$A,Q$2)&lt;&gt;0,SUMIFS(Sheet2!$E:$E,Sheet2!$C:$C,$A112,Sheet2!$A:$A,Q$2),"")</f>
        <v/>
      </c>
      <c r="R112" s="42" t="str">
        <f>IF(SUMIFS(Sheet2!$E:$E,Sheet2!$C:$C,$A112,Sheet2!$A:$A,R$2)&lt;&gt;0,SUMIFS(Sheet2!$E:$E,Sheet2!$C:$C,$A112,Sheet2!$A:$A,R$2),"")</f>
        <v/>
      </c>
      <c r="S112" s="42" t="str">
        <f>IF(SUMIFS(Sheet2!$E:$E,Sheet2!$C:$C,$A112,Sheet2!$A:$A,S$2)&lt;&gt;0,SUMIFS(Sheet2!$E:$E,Sheet2!$C:$C,$A112,Sheet2!$A:$A,S$2),"")</f>
        <v/>
      </c>
      <c r="T112" s="42" t="str">
        <f>IF(SUMIFS(Sheet2!$E:$E,Sheet2!$C:$C,$A112,Sheet2!$A:$A,T$2)&lt;&gt;0,SUMIFS(Sheet2!$E:$E,Sheet2!$C:$C,$A112,Sheet2!$A:$A,T$2),"")</f>
        <v/>
      </c>
      <c r="U112" s="42" t="str">
        <f>IF(SUMIFS(Sheet2!$E:$E,Sheet2!$C:$C,$A112,Sheet2!$A:$A,U$2)&lt;&gt;0,SUMIFS(Sheet2!$E:$E,Sheet2!$C:$C,$A112,Sheet2!$A:$A,U$2),"")</f>
        <v/>
      </c>
      <c r="V112" s="42" t="str">
        <f>IF(SUMIFS(Sheet2!$E:$E,Sheet2!$C:$C,$A112,Sheet2!$A:$A,V$2)&lt;&gt;0,SUMIFS(Sheet2!$E:$E,Sheet2!$C:$C,$A112,Sheet2!$A:$A,V$2),"")</f>
        <v/>
      </c>
      <c r="W112" s="42" t="str">
        <f>IF(SUMIFS(Sheet2!$E:$E,Sheet2!$C:$C,$A112,Sheet2!$A:$A,W$2)&lt;&gt;0,SUMIFS(Sheet2!$E:$E,Sheet2!$C:$C,$A112,Sheet2!$A:$A,W$2),"")</f>
        <v/>
      </c>
      <c r="X112" s="42" t="str">
        <f>IF(SUMIFS(Sheet2!$E:$E,Sheet2!$C:$C,$A112,Sheet2!$A:$A,X$2)&lt;&gt;0,SUMIFS(Sheet2!$E:$E,Sheet2!$C:$C,$A112,Sheet2!$A:$A,X$2),"")</f>
        <v/>
      </c>
      <c r="Y112" s="42" t="str">
        <f>IF(SUMIFS(Sheet2!$E:$E,Sheet2!$C:$C,$A112,Sheet2!$A:$A,Y$2)&lt;&gt;0,SUMIFS(Sheet2!$E:$E,Sheet2!$C:$C,$A112,Sheet2!$A:$A,Y$2),"")</f>
        <v/>
      </c>
      <c r="Z112" s="42" t="str">
        <f>IF(SUMIFS(Sheet2!$E:$E,Sheet2!$C:$C,$A112,Sheet2!$A:$A,Z$2)&lt;&gt;0,SUMIFS(Sheet2!$E:$E,Sheet2!$C:$C,$A112,Sheet2!$A:$A,Z$2),"")</f>
        <v/>
      </c>
      <c r="AA112" s="42" t="str">
        <f>IF(SUMIFS(Sheet2!$E:$E,Sheet2!$C:$C,$A112,Sheet2!$A:$A,AA$2)&lt;&gt;0,SUMIFS(Sheet2!$E:$E,Sheet2!$C:$C,$A112,Sheet2!$A:$A,AA$2),"")</f>
        <v/>
      </c>
      <c r="AB112" s="42" t="str">
        <f>IF(SUMIFS(Sheet2!$E:$E,Sheet2!$C:$C,$A112,Sheet2!$A:$A,AB$2)&lt;&gt;0,SUMIFS(Sheet2!$E:$E,Sheet2!$C:$C,$A112,Sheet2!$A:$A,AB$2),"")</f>
        <v/>
      </c>
      <c r="AC112" s="42" t="str">
        <f>IF(SUMIFS(Sheet2!$E:$E,Sheet2!$C:$C,$A112,Sheet2!$A:$A,AC$2)&lt;&gt;0,SUMIFS(Sheet2!$E:$E,Sheet2!$C:$C,$A112,Sheet2!$A:$A,AC$2),"")</f>
        <v/>
      </c>
      <c r="AD112" s="42" t="str">
        <f>IF(SUMIFS(Sheet2!$E:$E,Sheet2!$C:$C,$A112,Sheet2!$A:$A,AD$2)&lt;&gt;0,SUMIFS(Sheet2!$E:$E,Sheet2!$C:$C,$A112,Sheet2!$A:$A,AD$2),"")</f>
        <v/>
      </c>
      <c r="AE112" s="42" t="str">
        <f>IF(SUMIFS(Sheet2!$E:$E,Sheet2!$C:$C,$A112,Sheet2!$A:$A,AE$2)&lt;&gt;0,SUMIFS(Sheet2!$E:$E,Sheet2!$C:$C,$A112,Sheet2!$A:$A,AE$2),"")</f>
        <v/>
      </c>
      <c r="AF112" s="42" t="str">
        <f>IF(SUMIFS(Sheet2!$E:$E,Sheet2!$C:$C,$A112,Sheet2!$A:$A,AF$2)&lt;&gt;0,SUMIFS(Sheet2!$E:$E,Sheet2!$C:$C,$A112,Sheet2!$A:$A,AF$2),"")</f>
        <v/>
      </c>
      <c r="AG112" s="42" t="str">
        <f>IF(SUMIFS(Sheet2!$E:$E,Sheet2!$C:$C,$A112,Sheet2!$A:$A,AG$2)&lt;&gt;0,SUMIFS(Sheet2!$E:$E,Sheet2!$C:$C,$A112,Sheet2!$A:$A,AG$2),"")</f>
        <v/>
      </c>
      <c r="AH112" s="43">
        <f>SUM(Table2[[#This Row],[1]:[31]])</f>
        <v>0</v>
      </c>
    </row>
    <row r="113" spans="1:34" ht="12.75" customHeight="1">
      <c r="A113" s="76" t="str">
        <f>DSSP!A112</f>
        <v>R006</v>
      </c>
      <c r="B113" s="25" t="str">
        <f>DSSP!B112</f>
        <v>Angry bird trắng</v>
      </c>
      <c r="C113" s="42" t="str">
        <f>IF(SUMIFS(Sheet2!$E:$E,Sheet2!$C:$C,$A113,Sheet2!$A:$A,C$2)&lt;&gt;0,SUMIFS(Sheet2!$E:$E,Sheet2!$C:$C,$A113,Sheet2!$A:$A,C$2),"")</f>
        <v/>
      </c>
      <c r="D113" s="42" t="str">
        <f>IF(SUMIFS(Sheet2!$E:$E,Sheet2!$C:$C,$A113,Sheet2!$A:$A,D$2)&lt;&gt;0,SUMIFS(Sheet2!$E:$E,Sheet2!$C:$C,$A113,Sheet2!$A:$A,D$2),"")</f>
        <v/>
      </c>
      <c r="E113" s="42" t="str">
        <f>IF(SUMIFS(Sheet2!$E:$E,Sheet2!$C:$C,$A113,Sheet2!$A:$A,E$2)&lt;&gt;0,SUMIFS(Sheet2!$E:$E,Sheet2!$C:$C,$A113,Sheet2!$A:$A,E$2),"")</f>
        <v/>
      </c>
      <c r="F113" s="42" t="str">
        <f>IF(SUMIFS(Sheet2!$E:$E,Sheet2!$C:$C,$A113,Sheet2!$A:$A,F$2)&lt;&gt;0,SUMIFS(Sheet2!$E:$E,Sheet2!$C:$C,$A113,Sheet2!$A:$A,F$2),"")</f>
        <v/>
      </c>
      <c r="G113" s="42" t="str">
        <f>IF(SUMIFS(Sheet2!$E:$E,Sheet2!$C:$C,$A113,Sheet2!$A:$A,G$2)&lt;&gt;0,SUMIFS(Sheet2!$E:$E,Sheet2!$C:$C,$A113,Sheet2!$A:$A,G$2),"")</f>
        <v/>
      </c>
      <c r="H113" s="42" t="str">
        <f>IF(SUMIFS(Sheet2!$E:$E,Sheet2!$C:$C,$A113,Sheet2!$A:$A,H$2)&lt;&gt;0,SUMIFS(Sheet2!$E:$E,Sheet2!$C:$C,$A113,Sheet2!$A:$A,H$2),"")</f>
        <v/>
      </c>
      <c r="I113" s="42" t="str">
        <f>IF(SUMIFS(Sheet2!$E:$E,Sheet2!$C:$C,$A113,Sheet2!$A:$A,I$2)&lt;&gt;0,SUMIFS(Sheet2!$E:$E,Sheet2!$C:$C,$A113,Sheet2!$A:$A,I$2),"")</f>
        <v/>
      </c>
      <c r="J113" s="42" t="str">
        <f>IF(SUMIFS(Sheet2!$E:$E,Sheet2!$C:$C,$A113,Sheet2!$A:$A,J$2)&lt;&gt;0,SUMIFS(Sheet2!$E:$E,Sheet2!$C:$C,$A113,Sheet2!$A:$A,J$2),"")</f>
        <v/>
      </c>
      <c r="K113" s="42" t="str">
        <f>IF(SUMIFS(Sheet2!$E:$E,Sheet2!$C:$C,$A113,Sheet2!$A:$A,K$2)&lt;&gt;0,SUMIFS(Sheet2!$E:$E,Sheet2!$C:$C,$A113,Sheet2!$A:$A,K$2),"")</f>
        <v/>
      </c>
      <c r="L113" s="42" t="str">
        <f>IF(SUMIFS(Sheet2!$E:$E,Sheet2!$C:$C,$A113,Sheet2!$A:$A,L$2)&lt;&gt;0,SUMIFS(Sheet2!$E:$E,Sheet2!$C:$C,$A113,Sheet2!$A:$A,L$2),"")</f>
        <v/>
      </c>
      <c r="M113" s="42" t="str">
        <f>IF(SUMIFS(Sheet2!$E:$E,Sheet2!$C:$C,$A113,Sheet2!$A:$A,M$2)&lt;&gt;0,SUMIFS(Sheet2!$E:$E,Sheet2!$C:$C,$A113,Sheet2!$A:$A,M$2),"")</f>
        <v/>
      </c>
      <c r="N113" s="42" t="str">
        <f>IF(SUMIFS(Sheet2!$E:$E,Sheet2!$C:$C,$A113,Sheet2!$A:$A,N$2)&lt;&gt;0,SUMIFS(Sheet2!$E:$E,Sheet2!$C:$C,$A113,Sheet2!$A:$A,N$2),"")</f>
        <v/>
      </c>
      <c r="O113" s="42" t="str">
        <f>IF(SUMIFS(Sheet2!$E:$E,Sheet2!$C:$C,$A113,Sheet2!$A:$A,O$2)&lt;&gt;0,SUMIFS(Sheet2!$E:$E,Sheet2!$C:$C,$A113,Sheet2!$A:$A,O$2),"")</f>
        <v/>
      </c>
      <c r="P113" s="42" t="str">
        <f>IF(SUMIFS(Sheet2!$E:$E,Sheet2!$C:$C,$A113,Sheet2!$A:$A,P$2)&lt;&gt;0,SUMIFS(Sheet2!$E:$E,Sheet2!$C:$C,$A113,Sheet2!$A:$A,P$2),"")</f>
        <v/>
      </c>
      <c r="Q113" s="42" t="str">
        <f>IF(SUMIFS(Sheet2!$E:$E,Sheet2!$C:$C,$A113,Sheet2!$A:$A,Q$2)&lt;&gt;0,SUMIFS(Sheet2!$E:$E,Sheet2!$C:$C,$A113,Sheet2!$A:$A,Q$2),"")</f>
        <v/>
      </c>
      <c r="R113" s="42" t="str">
        <f>IF(SUMIFS(Sheet2!$E:$E,Sheet2!$C:$C,$A113,Sheet2!$A:$A,R$2)&lt;&gt;0,SUMIFS(Sheet2!$E:$E,Sheet2!$C:$C,$A113,Sheet2!$A:$A,R$2),"")</f>
        <v/>
      </c>
      <c r="S113" s="42" t="str">
        <f>IF(SUMIFS(Sheet2!$E:$E,Sheet2!$C:$C,$A113,Sheet2!$A:$A,S$2)&lt;&gt;0,SUMIFS(Sheet2!$E:$E,Sheet2!$C:$C,$A113,Sheet2!$A:$A,S$2),"")</f>
        <v/>
      </c>
      <c r="T113" s="42" t="str">
        <f>IF(SUMIFS(Sheet2!$E:$E,Sheet2!$C:$C,$A113,Sheet2!$A:$A,T$2)&lt;&gt;0,SUMIFS(Sheet2!$E:$E,Sheet2!$C:$C,$A113,Sheet2!$A:$A,T$2),"")</f>
        <v/>
      </c>
      <c r="U113" s="42" t="str">
        <f>IF(SUMIFS(Sheet2!$E:$E,Sheet2!$C:$C,$A113,Sheet2!$A:$A,U$2)&lt;&gt;0,SUMIFS(Sheet2!$E:$E,Sheet2!$C:$C,$A113,Sheet2!$A:$A,U$2),"")</f>
        <v/>
      </c>
      <c r="V113" s="42" t="str">
        <f>IF(SUMIFS(Sheet2!$E:$E,Sheet2!$C:$C,$A113,Sheet2!$A:$A,V$2)&lt;&gt;0,SUMIFS(Sheet2!$E:$E,Sheet2!$C:$C,$A113,Sheet2!$A:$A,V$2),"")</f>
        <v/>
      </c>
      <c r="W113" s="42" t="str">
        <f>IF(SUMIFS(Sheet2!$E:$E,Sheet2!$C:$C,$A113,Sheet2!$A:$A,W$2)&lt;&gt;0,SUMIFS(Sheet2!$E:$E,Sheet2!$C:$C,$A113,Sheet2!$A:$A,W$2),"")</f>
        <v/>
      </c>
      <c r="X113" s="42" t="str">
        <f>IF(SUMIFS(Sheet2!$E:$E,Sheet2!$C:$C,$A113,Sheet2!$A:$A,X$2)&lt;&gt;0,SUMIFS(Sheet2!$E:$E,Sheet2!$C:$C,$A113,Sheet2!$A:$A,X$2),"")</f>
        <v/>
      </c>
      <c r="Y113" s="42" t="str">
        <f>IF(SUMIFS(Sheet2!$E:$E,Sheet2!$C:$C,$A113,Sheet2!$A:$A,Y$2)&lt;&gt;0,SUMIFS(Sheet2!$E:$E,Sheet2!$C:$C,$A113,Sheet2!$A:$A,Y$2),"")</f>
        <v/>
      </c>
      <c r="Z113" s="42" t="str">
        <f>IF(SUMIFS(Sheet2!$E:$E,Sheet2!$C:$C,$A113,Sheet2!$A:$A,Z$2)&lt;&gt;0,SUMIFS(Sheet2!$E:$E,Sheet2!$C:$C,$A113,Sheet2!$A:$A,Z$2),"")</f>
        <v/>
      </c>
      <c r="AA113" s="42" t="str">
        <f>IF(SUMIFS(Sheet2!$E:$E,Sheet2!$C:$C,$A113,Sheet2!$A:$A,AA$2)&lt;&gt;0,SUMIFS(Sheet2!$E:$E,Sheet2!$C:$C,$A113,Sheet2!$A:$A,AA$2),"")</f>
        <v/>
      </c>
      <c r="AB113" s="42" t="str">
        <f>IF(SUMIFS(Sheet2!$E:$E,Sheet2!$C:$C,$A113,Sheet2!$A:$A,AB$2)&lt;&gt;0,SUMIFS(Sheet2!$E:$E,Sheet2!$C:$C,$A113,Sheet2!$A:$A,AB$2),"")</f>
        <v/>
      </c>
      <c r="AC113" s="42" t="str">
        <f>IF(SUMIFS(Sheet2!$E:$E,Sheet2!$C:$C,$A113,Sheet2!$A:$A,AC$2)&lt;&gt;0,SUMIFS(Sheet2!$E:$E,Sheet2!$C:$C,$A113,Sheet2!$A:$A,AC$2),"")</f>
        <v/>
      </c>
      <c r="AD113" s="42" t="str">
        <f>IF(SUMIFS(Sheet2!$E:$E,Sheet2!$C:$C,$A113,Sheet2!$A:$A,AD$2)&lt;&gt;0,SUMIFS(Sheet2!$E:$E,Sheet2!$C:$C,$A113,Sheet2!$A:$A,AD$2),"")</f>
        <v/>
      </c>
      <c r="AE113" s="42" t="str">
        <f>IF(SUMIFS(Sheet2!$E:$E,Sheet2!$C:$C,$A113,Sheet2!$A:$A,AE$2)&lt;&gt;0,SUMIFS(Sheet2!$E:$E,Sheet2!$C:$C,$A113,Sheet2!$A:$A,AE$2),"")</f>
        <v/>
      </c>
      <c r="AF113" s="42" t="str">
        <f>IF(SUMIFS(Sheet2!$E:$E,Sheet2!$C:$C,$A113,Sheet2!$A:$A,AF$2)&lt;&gt;0,SUMIFS(Sheet2!$E:$E,Sheet2!$C:$C,$A113,Sheet2!$A:$A,AF$2),"")</f>
        <v/>
      </c>
      <c r="AG113" s="42" t="str">
        <f>IF(SUMIFS(Sheet2!$E:$E,Sheet2!$C:$C,$A113,Sheet2!$A:$A,AG$2)&lt;&gt;0,SUMIFS(Sheet2!$E:$E,Sheet2!$C:$C,$A113,Sheet2!$A:$A,AG$2),"")</f>
        <v/>
      </c>
      <c r="AH113" s="43">
        <f>SUM(Table2[[#This Row],[1]:[31]])</f>
        <v>0</v>
      </c>
    </row>
    <row r="114" spans="1:34" ht="12.75" customHeight="1">
      <c r="A114" s="76" t="str">
        <f>DSSP!A113</f>
        <v>R007</v>
      </c>
      <c r="B114" s="25" t="str">
        <f>DSSP!B113</f>
        <v>Angry bird vàng</v>
      </c>
      <c r="C114" s="42" t="str">
        <f>IF(SUMIFS(Sheet2!$E:$E,Sheet2!$C:$C,$A114,Sheet2!$A:$A,C$2)&lt;&gt;0,SUMIFS(Sheet2!$E:$E,Sheet2!$C:$C,$A114,Sheet2!$A:$A,C$2),"")</f>
        <v/>
      </c>
      <c r="D114" s="42" t="str">
        <f>IF(SUMIFS(Sheet2!$E:$E,Sheet2!$C:$C,$A114,Sheet2!$A:$A,D$2)&lt;&gt;0,SUMIFS(Sheet2!$E:$E,Sheet2!$C:$C,$A114,Sheet2!$A:$A,D$2),"")</f>
        <v/>
      </c>
      <c r="E114" s="42" t="str">
        <f>IF(SUMIFS(Sheet2!$E:$E,Sheet2!$C:$C,$A114,Sheet2!$A:$A,E$2)&lt;&gt;0,SUMIFS(Sheet2!$E:$E,Sheet2!$C:$C,$A114,Sheet2!$A:$A,E$2),"")</f>
        <v/>
      </c>
      <c r="F114" s="42" t="str">
        <f>IF(SUMIFS(Sheet2!$E:$E,Sheet2!$C:$C,$A114,Sheet2!$A:$A,F$2)&lt;&gt;0,SUMIFS(Sheet2!$E:$E,Sheet2!$C:$C,$A114,Sheet2!$A:$A,F$2),"")</f>
        <v/>
      </c>
      <c r="G114" s="42" t="str">
        <f>IF(SUMIFS(Sheet2!$E:$E,Sheet2!$C:$C,$A114,Sheet2!$A:$A,G$2)&lt;&gt;0,SUMIFS(Sheet2!$E:$E,Sheet2!$C:$C,$A114,Sheet2!$A:$A,G$2),"")</f>
        <v/>
      </c>
      <c r="H114" s="42" t="str">
        <f>IF(SUMIFS(Sheet2!$E:$E,Sheet2!$C:$C,$A114,Sheet2!$A:$A,H$2)&lt;&gt;0,SUMIFS(Sheet2!$E:$E,Sheet2!$C:$C,$A114,Sheet2!$A:$A,H$2),"")</f>
        <v/>
      </c>
      <c r="I114" s="42" t="str">
        <f>IF(SUMIFS(Sheet2!$E:$E,Sheet2!$C:$C,$A114,Sheet2!$A:$A,I$2)&lt;&gt;0,SUMIFS(Sheet2!$E:$E,Sheet2!$C:$C,$A114,Sheet2!$A:$A,I$2),"")</f>
        <v/>
      </c>
      <c r="J114" s="42" t="str">
        <f>IF(SUMIFS(Sheet2!$E:$E,Sheet2!$C:$C,$A114,Sheet2!$A:$A,J$2)&lt;&gt;0,SUMIFS(Sheet2!$E:$E,Sheet2!$C:$C,$A114,Sheet2!$A:$A,J$2),"")</f>
        <v/>
      </c>
      <c r="K114" s="42" t="str">
        <f>IF(SUMIFS(Sheet2!$E:$E,Sheet2!$C:$C,$A114,Sheet2!$A:$A,K$2)&lt;&gt;0,SUMIFS(Sheet2!$E:$E,Sheet2!$C:$C,$A114,Sheet2!$A:$A,K$2),"")</f>
        <v/>
      </c>
      <c r="L114" s="42" t="str">
        <f>IF(SUMIFS(Sheet2!$E:$E,Sheet2!$C:$C,$A114,Sheet2!$A:$A,L$2)&lt;&gt;0,SUMIFS(Sheet2!$E:$E,Sheet2!$C:$C,$A114,Sheet2!$A:$A,L$2),"")</f>
        <v/>
      </c>
      <c r="M114" s="42" t="str">
        <f>IF(SUMIFS(Sheet2!$E:$E,Sheet2!$C:$C,$A114,Sheet2!$A:$A,M$2)&lt;&gt;0,SUMIFS(Sheet2!$E:$E,Sheet2!$C:$C,$A114,Sheet2!$A:$A,M$2),"")</f>
        <v/>
      </c>
      <c r="N114" s="42" t="str">
        <f>IF(SUMIFS(Sheet2!$E:$E,Sheet2!$C:$C,$A114,Sheet2!$A:$A,N$2)&lt;&gt;0,SUMIFS(Sheet2!$E:$E,Sheet2!$C:$C,$A114,Sheet2!$A:$A,N$2),"")</f>
        <v/>
      </c>
      <c r="O114" s="42" t="str">
        <f>IF(SUMIFS(Sheet2!$E:$E,Sheet2!$C:$C,$A114,Sheet2!$A:$A,O$2)&lt;&gt;0,SUMIFS(Sheet2!$E:$E,Sheet2!$C:$C,$A114,Sheet2!$A:$A,O$2),"")</f>
        <v/>
      </c>
      <c r="P114" s="42" t="str">
        <f>IF(SUMIFS(Sheet2!$E:$E,Sheet2!$C:$C,$A114,Sheet2!$A:$A,P$2)&lt;&gt;0,SUMIFS(Sheet2!$E:$E,Sheet2!$C:$C,$A114,Sheet2!$A:$A,P$2),"")</f>
        <v/>
      </c>
      <c r="Q114" s="42" t="str">
        <f>IF(SUMIFS(Sheet2!$E:$E,Sheet2!$C:$C,$A114,Sheet2!$A:$A,Q$2)&lt;&gt;0,SUMIFS(Sheet2!$E:$E,Sheet2!$C:$C,$A114,Sheet2!$A:$A,Q$2),"")</f>
        <v/>
      </c>
      <c r="R114" s="42" t="str">
        <f>IF(SUMIFS(Sheet2!$E:$E,Sheet2!$C:$C,$A114,Sheet2!$A:$A,R$2)&lt;&gt;0,SUMIFS(Sheet2!$E:$E,Sheet2!$C:$C,$A114,Sheet2!$A:$A,R$2),"")</f>
        <v/>
      </c>
      <c r="S114" s="42" t="str">
        <f>IF(SUMIFS(Sheet2!$E:$E,Sheet2!$C:$C,$A114,Sheet2!$A:$A,S$2)&lt;&gt;0,SUMIFS(Sheet2!$E:$E,Sheet2!$C:$C,$A114,Sheet2!$A:$A,S$2),"")</f>
        <v/>
      </c>
      <c r="T114" s="42" t="str">
        <f>IF(SUMIFS(Sheet2!$E:$E,Sheet2!$C:$C,$A114,Sheet2!$A:$A,T$2)&lt;&gt;0,SUMIFS(Sheet2!$E:$E,Sheet2!$C:$C,$A114,Sheet2!$A:$A,T$2),"")</f>
        <v/>
      </c>
      <c r="U114" s="42" t="str">
        <f>IF(SUMIFS(Sheet2!$E:$E,Sheet2!$C:$C,$A114,Sheet2!$A:$A,U$2)&lt;&gt;0,SUMIFS(Sheet2!$E:$E,Sheet2!$C:$C,$A114,Sheet2!$A:$A,U$2),"")</f>
        <v/>
      </c>
      <c r="V114" s="42" t="str">
        <f>IF(SUMIFS(Sheet2!$E:$E,Sheet2!$C:$C,$A114,Sheet2!$A:$A,V$2)&lt;&gt;0,SUMIFS(Sheet2!$E:$E,Sheet2!$C:$C,$A114,Sheet2!$A:$A,V$2),"")</f>
        <v/>
      </c>
      <c r="W114" s="42" t="str">
        <f>IF(SUMIFS(Sheet2!$E:$E,Sheet2!$C:$C,$A114,Sheet2!$A:$A,W$2)&lt;&gt;0,SUMIFS(Sheet2!$E:$E,Sheet2!$C:$C,$A114,Sheet2!$A:$A,W$2),"")</f>
        <v/>
      </c>
      <c r="X114" s="42" t="str">
        <f>IF(SUMIFS(Sheet2!$E:$E,Sheet2!$C:$C,$A114,Sheet2!$A:$A,X$2)&lt;&gt;0,SUMIFS(Sheet2!$E:$E,Sheet2!$C:$C,$A114,Sheet2!$A:$A,X$2),"")</f>
        <v/>
      </c>
      <c r="Y114" s="42" t="str">
        <f>IF(SUMIFS(Sheet2!$E:$E,Sheet2!$C:$C,$A114,Sheet2!$A:$A,Y$2)&lt;&gt;0,SUMIFS(Sheet2!$E:$E,Sheet2!$C:$C,$A114,Sheet2!$A:$A,Y$2),"")</f>
        <v/>
      </c>
      <c r="Z114" s="42" t="str">
        <f>IF(SUMIFS(Sheet2!$E:$E,Sheet2!$C:$C,$A114,Sheet2!$A:$A,Z$2)&lt;&gt;0,SUMIFS(Sheet2!$E:$E,Sheet2!$C:$C,$A114,Sheet2!$A:$A,Z$2),"")</f>
        <v/>
      </c>
      <c r="AA114" s="42" t="str">
        <f>IF(SUMIFS(Sheet2!$E:$E,Sheet2!$C:$C,$A114,Sheet2!$A:$A,AA$2)&lt;&gt;0,SUMIFS(Sheet2!$E:$E,Sheet2!$C:$C,$A114,Sheet2!$A:$A,AA$2),"")</f>
        <v/>
      </c>
      <c r="AB114" s="42" t="str">
        <f>IF(SUMIFS(Sheet2!$E:$E,Sheet2!$C:$C,$A114,Sheet2!$A:$A,AB$2)&lt;&gt;0,SUMIFS(Sheet2!$E:$E,Sheet2!$C:$C,$A114,Sheet2!$A:$A,AB$2),"")</f>
        <v/>
      </c>
      <c r="AC114" s="42" t="str">
        <f>IF(SUMIFS(Sheet2!$E:$E,Sheet2!$C:$C,$A114,Sheet2!$A:$A,AC$2)&lt;&gt;0,SUMIFS(Sheet2!$E:$E,Sheet2!$C:$C,$A114,Sheet2!$A:$A,AC$2),"")</f>
        <v/>
      </c>
      <c r="AD114" s="42" t="str">
        <f>IF(SUMIFS(Sheet2!$E:$E,Sheet2!$C:$C,$A114,Sheet2!$A:$A,AD$2)&lt;&gt;0,SUMIFS(Sheet2!$E:$E,Sheet2!$C:$C,$A114,Sheet2!$A:$A,AD$2),"")</f>
        <v/>
      </c>
      <c r="AE114" s="42" t="str">
        <f>IF(SUMIFS(Sheet2!$E:$E,Sheet2!$C:$C,$A114,Sheet2!$A:$A,AE$2)&lt;&gt;0,SUMIFS(Sheet2!$E:$E,Sheet2!$C:$C,$A114,Sheet2!$A:$A,AE$2),"")</f>
        <v/>
      </c>
      <c r="AF114" s="42" t="str">
        <f>IF(SUMIFS(Sheet2!$E:$E,Sheet2!$C:$C,$A114,Sheet2!$A:$A,AF$2)&lt;&gt;0,SUMIFS(Sheet2!$E:$E,Sheet2!$C:$C,$A114,Sheet2!$A:$A,AF$2),"")</f>
        <v/>
      </c>
      <c r="AG114" s="42" t="str">
        <f>IF(SUMIFS(Sheet2!$E:$E,Sheet2!$C:$C,$A114,Sheet2!$A:$A,AG$2)&lt;&gt;0,SUMIFS(Sheet2!$E:$E,Sheet2!$C:$C,$A114,Sheet2!$A:$A,AG$2),"")</f>
        <v/>
      </c>
      <c r="AH114" s="43">
        <f>SUM(Table2[[#This Row],[1]:[31]])</f>
        <v>0</v>
      </c>
    </row>
    <row r="115" spans="1:34" ht="12.75" customHeight="1">
      <c r="A115" s="76" t="str">
        <f>DSSP!A114</f>
        <v>R008</v>
      </c>
      <c r="B115" s="25" t="str">
        <f>DSSP!B114</f>
        <v>Rùa</v>
      </c>
      <c r="C115" s="42" t="str">
        <f>IF(SUMIFS(Sheet2!$E:$E,Sheet2!$C:$C,$A115,Sheet2!$A:$A,C$2)&lt;&gt;0,SUMIFS(Sheet2!$E:$E,Sheet2!$C:$C,$A115,Sheet2!$A:$A,C$2),"")</f>
        <v/>
      </c>
      <c r="D115" s="42" t="str">
        <f>IF(SUMIFS(Sheet2!$E:$E,Sheet2!$C:$C,$A115,Sheet2!$A:$A,D$2)&lt;&gt;0,SUMIFS(Sheet2!$E:$E,Sheet2!$C:$C,$A115,Sheet2!$A:$A,D$2),"")</f>
        <v/>
      </c>
      <c r="E115" s="42" t="str">
        <f>IF(SUMIFS(Sheet2!$E:$E,Sheet2!$C:$C,$A115,Sheet2!$A:$A,E$2)&lt;&gt;0,SUMIFS(Sheet2!$E:$E,Sheet2!$C:$C,$A115,Sheet2!$A:$A,E$2),"")</f>
        <v/>
      </c>
      <c r="F115" s="42" t="str">
        <f>IF(SUMIFS(Sheet2!$E:$E,Sheet2!$C:$C,$A115,Sheet2!$A:$A,F$2)&lt;&gt;0,SUMIFS(Sheet2!$E:$E,Sheet2!$C:$C,$A115,Sheet2!$A:$A,F$2),"")</f>
        <v/>
      </c>
      <c r="G115" s="42" t="str">
        <f>IF(SUMIFS(Sheet2!$E:$E,Sheet2!$C:$C,$A115,Sheet2!$A:$A,G$2)&lt;&gt;0,SUMIFS(Sheet2!$E:$E,Sheet2!$C:$C,$A115,Sheet2!$A:$A,G$2),"")</f>
        <v/>
      </c>
      <c r="H115" s="42" t="str">
        <f>IF(SUMIFS(Sheet2!$E:$E,Sheet2!$C:$C,$A115,Sheet2!$A:$A,H$2)&lt;&gt;0,SUMIFS(Sheet2!$E:$E,Sheet2!$C:$C,$A115,Sheet2!$A:$A,H$2),"")</f>
        <v/>
      </c>
      <c r="I115" s="42" t="str">
        <f>IF(SUMIFS(Sheet2!$E:$E,Sheet2!$C:$C,$A115,Sheet2!$A:$A,I$2)&lt;&gt;0,SUMIFS(Sheet2!$E:$E,Sheet2!$C:$C,$A115,Sheet2!$A:$A,I$2),"")</f>
        <v/>
      </c>
      <c r="J115" s="42" t="str">
        <f>IF(SUMIFS(Sheet2!$E:$E,Sheet2!$C:$C,$A115,Sheet2!$A:$A,J$2)&lt;&gt;0,SUMIFS(Sheet2!$E:$E,Sheet2!$C:$C,$A115,Sheet2!$A:$A,J$2),"")</f>
        <v/>
      </c>
      <c r="K115" s="42" t="str">
        <f>IF(SUMIFS(Sheet2!$E:$E,Sheet2!$C:$C,$A115,Sheet2!$A:$A,K$2)&lt;&gt;0,SUMIFS(Sheet2!$E:$E,Sheet2!$C:$C,$A115,Sheet2!$A:$A,K$2),"")</f>
        <v/>
      </c>
      <c r="L115" s="42" t="str">
        <f>IF(SUMIFS(Sheet2!$E:$E,Sheet2!$C:$C,$A115,Sheet2!$A:$A,L$2)&lt;&gt;0,SUMIFS(Sheet2!$E:$E,Sheet2!$C:$C,$A115,Sheet2!$A:$A,L$2),"")</f>
        <v/>
      </c>
      <c r="M115" s="42" t="str">
        <f>IF(SUMIFS(Sheet2!$E:$E,Sheet2!$C:$C,$A115,Sheet2!$A:$A,M$2)&lt;&gt;0,SUMIFS(Sheet2!$E:$E,Sheet2!$C:$C,$A115,Sheet2!$A:$A,M$2),"")</f>
        <v/>
      </c>
      <c r="N115" s="42" t="str">
        <f>IF(SUMIFS(Sheet2!$E:$E,Sheet2!$C:$C,$A115,Sheet2!$A:$A,N$2)&lt;&gt;0,SUMIFS(Sheet2!$E:$E,Sheet2!$C:$C,$A115,Sheet2!$A:$A,N$2),"")</f>
        <v/>
      </c>
      <c r="O115" s="42" t="str">
        <f>IF(SUMIFS(Sheet2!$E:$E,Sheet2!$C:$C,$A115,Sheet2!$A:$A,O$2)&lt;&gt;0,SUMIFS(Sheet2!$E:$E,Sheet2!$C:$C,$A115,Sheet2!$A:$A,O$2),"")</f>
        <v/>
      </c>
      <c r="P115" s="42" t="str">
        <f>IF(SUMIFS(Sheet2!$E:$E,Sheet2!$C:$C,$A115,Sheet2!$A:$A,P$2)&lt;&gt;0,SUMIFS(Sheet2!$E:$E,Sheet2!$C:$C,$A115,Sheet2!$A:$A,P$2),"")</f>
        <v/>
      </c>
      <c r="Q115" s="42" t="str">
        <f>IF(SUMIFS(Sheet2!$E:$E,Sheet2!$C:$C,$A115,Sheet2!$A:$A,Q$2)&lt;&gt;0,SUMIFS(Sheet2!$E:$E,Sheet2!$C:$C,$A115,Sheet2!$A:$A,Q$2),"")</f>
        <v/>
      </c>
      <c r="R115" s="42" t="str">
        <f>IF(SUMIFS(Sheet2!$E:$E,Sheet2!$C:$C,$A115,Sheet2!$A:$A,R$2)&lt;&gt;0,SUMIFS(Sheet2!$E:$E,Sheet2!$C:$C,$A115,Sheet2!$A:$A,R$2),"")</f>
        <v/>
      </c>
      <c r="S115" s="42" t="str">
        <f>IF(SUMIFS(Sheet2!$E:$E,Sheet2!$C:$C,$A115,Sheet2!$A:$A,S$2)&lt;&gt;0,SUMIFS(Sheet2!$E:$E,Sheet2!$C:$C,$A115,Sheet2!$A:$A,S$2),"")</f>
        <v/>
      </c>
      <c r="T115" s="42" t="str">
        <f>IF(SUMIFS(Sheet2!$E:$E,Sheet2!$C:$C,$A115,Sheet2!$A:$A,T$2)&lt;&gt;0,SUMIFS(Sheet2!$E:$E,Sheet2!$C:$C,$A115,Sheet2!$A:$A,T$2),"")</f>
        <v/>
      </c>
      <c r="U115" s="42" t="str">
        <f>IF(SUMIFS(Sheet2!$E:$E,Sheet2!$C:$C,$A115,Sheet2!$A:$A,U$2)&lt;&gt;0,SUMIFS(Sheet2!$E:$E,Sheet2!$C:$C,$A115,Sheet2!$A:$A,U$2),"")</f>
        <v/>
      </c>
      <c r="V115" s="42" t="str">
        <f>IF(SUMIFS(Sheet2!$E:$E,Sheet2!$C:$C,$A115,Sheet2!$A:$A,V$2)&lt;&gt;0,SUMIFS(Sheet2!$E:$E,Sheet2!$C:$C,$A115,Sheet2!$A:$A,V$2),"")</f>
        <v/>
      </c>
      <c r="W115" s="42" t="str">
        <f>IF(SUMIFS(Sheet2!$E:$E,Sheet2!$C:$C,$A115,Sheet2!$A:$A,W$2)&lt;&gt;0,SUMIFS(Sheet2!$E:$E,Sheet2!$C:$C,$A115,Sheet2!$A:$A,W$2),"")</f>
        <v/>
      </c>
      <c r="X115" s="42" t="str">
        <f>IF(SUMIFS(Sheet2!$E:$E,Sheet2!$C:$C,$A115,Sheet2!$A:$A,X$2)&lt;&gt;0,SUMIFS(Sheet2!$E:$E,Sheet2!$C:$C,$A115,Sheet2!$A:$A,X$2),"")</f>
        <v/>
      </c>
      <c r="Y115" s="42" t="str">
        <f>IF(SUMIFS(Sheet2!$E:$E,Sheet2!$C:$C,$A115,Sheet2!$A:$A,Y$2)&lt;&gt;0,SUMIFS(Sheet2!$E:$E,Sheet2!$C:$C,$A115,Sheet2!$A:$A,Y$2),"")</f>
        <v/>
      </c>
      <c r="Z115" s="42" t="str">
        <f>IF(SUMIFS(Sheet2!$E:$E,Sheet2!$C:$C,$A115,Sheet2!$A:$A,Z$2)&lt;&gt;0,SUMIFS(Sheet2!$E:$E,Sheet2!$C:$C,$A115,Sheet2!$A:$A,Z$2),"")</f>
        <v/>
      </c>
      <c r="AA115" s="42" t="str">
        <f>IF(SUMIFS(Sheet2!$E:$E,Sheet2!$C:$C,$A115,Sheet2!$A:$A,AA$2)&lt;&gt;0,SUMIFS(Sheet2!$E:$E,Sheet2!$C:$C,$A115,Sheet2!$A:$A,AA$2),"")</f>
        <v/>
      </c>
      <c r="AB115" s="42" t="str">
        <f>IF(SUMIFS(Sheet2!$E:$E,Sheet2!$C:$C,$A115,Sheet2!$A:$A,AB$2)&lt;&gt;0,SUMIFS(Sheet2!$E:$E,Sheet2!$C:$C,$A115,Sheet2!$A:$A,AB$2),"")</f>
        <v/>
      </c>
      <c r="AC115" s="42" t="str">
        <f>IF(SUMIFS(Sheet2!$E:$E,Sheet2!$C:$C,$A115,Sheet2!$A:$A,AC$2)&lt;&gt;0,SUMIFS(Sheet2!$E:$E,Sheet2!$C:$C,$A115,Sheet2!$A:$A,AC$2),"")</f>
        <v/>
      </c>
      <c r="AD115" s="42" t="str">
        <f>IF(SUMIFS(Sheet2!$E:$E,Sheet2!$C:$C,$A115,Sheet2!$A:$A,AD$2)&lt;&gt;0,SUMIFS(Sheet2!$E:$E,Sheet2!$C:$C,$A115,Sheet2!$A:$A,AD$2),"")</f>
        <v/>
      </c>
      <c r="AE115" s="42" t="str">
        <f>IF(SUMIFS(Sheet2!$E:$E,Sheet2!$C:$C,$A115,Sheet2!$A:$A,AE$2)&lt;&gt;0,SUMIFS(Sheet2!$E:$E,Sheet2!$C:$C,$A115,Sheet2!$A:$A,AE$2),"")</f>
        <v/>
      </c>
      <c r="AF115" s="42" t="str">
        <f>IF(SUMIFS(Sheet2!$E:$E,Sheet2!$C:$C,$A115,Sheet2!$A:$A,AF$2)&lt;&gt;0,SUMIFS(Sheet2!$E:$E,Sheet2!$C:$C,$A115,Sheet2!$A:$A,AF$2),"")</f>
        <v/>
      </c>
      <c r="AG115" s="42" t="str">
        <f>IF(SUMIFS(Sheet2!$E:$E,Sheet2!$C:$C,$A115,Sheet2!$A:$A,AG$2)&lt;&gt;0,SUMIFS(Sheet2!$E:$E,Sheet2!$C:$C,$A115,Sheet2!$A:$A,AG$2),"")</f>
        <v/>
      </c>
      <c r="AH115" s="43">
        <f>SUM(Table2[[#This Row],[1]:[31]])</f>
        <v>0</v>
      </c>
    </row>
    <row r="116" spans="1:34" ht="12.75" customHeight="1">
      <c r="A116" s="76" t="str">
        <f>DSSP!A115</f>
        <v>VD1</v>
      </c>
      <c r="B116" s="25" t="str">
        <f>DSSP!B115</f>
        <v>Vải dạ 10x10</v>
      </c>
      <c r="C116" s="42" t="str">
        <f>IF(SUMIFS(Sheet2!$E:$E,Sheet2!$C:$C,$A116,Sheet2!$A:$A,C$2)&lt;&gt;0,SUMIFS(Sheet2!$E:$E,Sheet2!$C:$C,$A116,Sheet2!$A:$A,C$2),"")</f>
        <v/>
      </c>
      <c r="D116" s="42" t="str">
        <f>IF(SUMIFS(Sheet2!$E:$E,Sheet2!$C:$C,$A116,Sheet2!$A:$A,D$2)&lt;&gt;0,SUMIFS(Sheet2!$E:$E,Sheet2!$C:$C,$A116,Sheet2!$A:$A,D$2),"")</f>
        <v/>
      </c>
      <c r="E116" s="42" t="str">
        <f>IF(SUMIFS(Sheet2!$E:$E,Sheet2!$C:$C,$A116,Sheet2!$A:$A,E$2)&lt;&gt;0,SUMIFS(Sheet2!$E:$E,Sheet2!$C:$C,$A116,Sheet2!$A:$A,E$2),"")</f>
        <v/>
      </c>
      <c r="F116" s="42" t="str">
        <f>IF(SUMIFS(Sheet2!$E:$E,Sheet2!$C:$C,$A116,Sheet2!$A:$A,F$2)&lt;&gt;0,SUMIFS(Sheet2!$E:$E,Sheet2!$C:$C,$A116,Sheet2!$A:$A,F$2),"")</f>
        <v/>
      </c>
      <c r="G116" s="42" t="str">
        <f>IF(SUMIFS(Sheet2!$E:$E,Sheet2!$C:$C,$A116,Sheet2!$A:$A,G$2)&lt;&gt;0,SUMIFS(Sheet2!$E:$E,Sheet2!$C:$C,$A116,Sheet2!$A:$A,G$2),"")</f>
        <v/>
      </c>
      <c r="H116" s="42" t="str">
        <f>IF(SUMIFS(Sheet2!$E:$E,Sheet2!$C:$C,$A116,Sheet2!$A:$A,H$2)&lt;&gt;0,SUMIFS(Sheet2!$E:$E,Sheet2!$C:$C,$A116,Sheet2!$A:$A,H$2),"")</f>
        <v/>
      </c>
      <c r="I116" s="42" t="str">
        <f>IF(SUMIFS(Sheet2!$E:$E,Sheet2!$C:$C,$A116,Sheet2!$A:$A,I$2)&lt;&gt;0,SUMIFS(Sheet2!$E:$E,Sheet2!$C:$C,$A116,Sheet2!$A:$A,I$2),"")</f>
        <v/>
      </c>
      <c r="J116" s="42" t="str">
        <f>IF(SUMIFS(Sheet2!$E:$E,Sheet2!$C:$C,$A116,Sheet2!$A:$A,J$2)&lt;&gt;0,SUMIFS(Sheet2!$E:$E,Sheet2!$C:$C,$A116,Sheet2!$A:$A,J$2),"")</f>
        <v/>
      </c>
      <c r="K116" s="42" t="str">
        <f>IF(SUMIFS(Sheet2!$E:$E,Sheet2!$C:$C,$A116,Sheet2!$A:$A,K$2)&lt;&gt;0,SUMIFS(Sheet2!$E:$E,Sheet2!$C:$C,$A116,Sheet2!$A:$A,K$2),"")</f>
        <v/>
      </c>
      <c r="L116" s="42" t="str">
        <f>IF(SUMIFS(Sheet2!$E:$E,Sheet2!$C:$C,$A116,Sheet2!$A:$A,L$2)&lt;&gt;0,SUMIFS(Sheet2!$E:$E,Sheet2!$C:$C,$A116,Sheet2!$A:$A,L$2),"")</f>
        <v/>
      </c>
      <c r="M116" s="42" t="str">
        <f>IF(SUMIFS(Sheet2!$E:$E,Sheet2!$C:$C,$A116,Sheet2!$A:$A,M$2)&lt;&gt;0,SUMIFS(Sheet2!$E:$E,Sheet2!$C:$C,$A116,Sheet2!$A:$A,M$2),"")</f>
        <v/>
      </c>
      <c r="N116" s="42" t="str">
        <f>IF(SUMIFS(Sheet2!$E:$E,Sheet2!$C:$C,$A116,Sheet2!$A:$A,N$2)&lt;&gt;0,SUMIFS(Sheet2!$E:$E,Sheet2!$C:$C,$A116,Sheet2!$A:$A,N$2),"")</f>
        <v/>
      </c>
      <c r="O116" s="42" t="str">
        <f>IF(SUMIFS(Sheet2!$E:$E,Sheet2!$C:$C,$A116,Sheet2!$A:$A,O$2)&lt;&gt;0,SUMIFS(Sheet2!$E:$E,Sheet2!$C:$C,$A116,Sheet2!$A:$A,O$2),"")</f>
        <v/>
      </c>
      <c r="P116" s="42" t="str">
        <f>IF(SUMIFS(Sheet2!$E:$E,Sheet2!$C:$C,$A116,Sheet2!$A:$A,P$2)&lt;&gt;0,SUMIFS(Sheet2!$E:$E,Sheet2!$C:$C,$A116,Sheet2!$A:$A,P$2),"")</f>
        <v/>
      </c>
      <c r="Q116" s="42" t="str">
        <f>IF(SUMIFS(Sheet2!$E:$E,Sheet2!$C:$C,$A116,Sheet2!$A:$A,Q$2)&lt;&gt;0,SUMIFS(Sheet2!$E:$E,Sheet2!$C:$C,$A116,Sheet2!$A:$A,Q$2),"")</f>
        <v/>
      </c>
      <c r="R116" s="42" t="str">
        <f>IF(SUMIFS(Sheet2!$E:$E,Sheet2!$C:$C,$A116,Sheet2!$A:$A,R$2)&lt;&gt;0,SUMIFS(Sheet2!$E:$E,Sheet2!$C:$C,$A116,Sheet2!$A:$A,R$2),"")</f>
        <v/>
      </c>
      <c r="S116" s="42" t="str">
        <f>IF(SUMIFS(Sheet2!$E:$E,Sheet2!$C:$C,$A116,Sheet2!$A:$A,S$2)&lt;&gt;0,SUMIFS(Sheet2!$E:$E,Sheet2!$C:$C,$A116,Sheet2!$A:$A,S$2),"")</f>
        <v/>
      </c>
      <c r="T116" s="42" t="str">
        <f>IF(SUMIFS(Sheet2!$E:$E,Sheet2!$C:$C,$A116,Sheet2!$A:$A,T$2)&lt;&gt;0,SUMIFS(Sheet2!$E:$E,Sheet2!$C:$C,$A116,Sheet2!$A:$A,T$2),"")</f>
        <v/>
      </c>
      <c r="U116" s="42" t="str">
        <f>IF(SUMIFS(Sheet2!$E:$E,Sheet2!$C:$C,$A116,Sheet2!$A:$A,U$2)&lt;&gt;0,SUMIFS(Sheet2!$E:$E,Sheet2!$C:$C,$A116,Sheet2!$A:$A,U$2),"")</f>
        <v/>
      </c>
      <c r="V116" s="42" t="str">
        <f>IF(SUMIFS(Sheet2!$E:$E,Sheet2!$C:$C,$A116,Sheet2!$A:$A,V$2)&lt;&gt;0,SUMIFS(Sheet2!$E:$E,Sheet2!$C:$C,$A116,Sheet2!$A:$A,V$2),"")</f>
        <v/>
      </c>
      <c r="W116" s="42" t="str">
        <f>IF(SUMIFS(Sheet2!$E:$E,Sheet2!$C:$C,$A116,Sheet2!$A:$A,W$2)&lt;&gt;0,SUMIFS(Sheet2!$E:$E,Sheet2!$C:$C,$A116,Sheet2!$A:$A,W$2),"")</f>
        <v/>
      </c>
      <c r="X116" s="42" t="str">
        <f>IF(SUMIFS(Sheet2!$E:$E,Sheet2!$C:$C,$A116,Sheet2!$A:$A,X$2)&lt;&gt;0,SUMIFS(Sheet2!$E:$E,Sheet2!$C:$C,$A116,Sheet2!$A:$A,X$2),"")</f>
        <v/>
      </c>
      <c r="Y116" s="42" t="str">
        <f>IF(SUMIFS(Sheet2!$E:$E,Sheet2!$C:$C,$A116,Sheet2!$A:$A,Y$2)&lt;&gt;0,SUMIFS(Sheet2!$E:$E,Sheet2!$C:$C,$A116,Sheet2!$A:$A,Y$2),"")</f>
        <v/>
      </c>
      <c r="Z116" s="42" t="str">
        <f>IF(SUMIFS(Sheet2!$E:$E,Sheet2!$C:$C,$A116,Sheet2!$A:$A,Z$2)&lt;&gt;0,SUMIFS(Sheet2!$E:$E,Sheet2!$C:$C,$A116,Sheet2!$A:$A,Z$2),"")</f>
        <v/>
      </c>
      <c r="AA116" s="42" t="str">
        <f>IF(SUMIFS(Sheet2!$E:$E,Sheet2!$C:$C,$A116,Sheet2!$A:$A,AA$2)&lt;&gt;0,SUMIFS(Sheet2!$E:$E,Sheet2!$C:$C,$A116,Sheet2!$A:$A,AA$2),"")</f>
        <v/>
      </c>
      <c r="AB116" s="42" t="str">
        <f>IF(SUMIFS(Sheet2!$E:$E,Sheet2!$C:$C,$A116,Sheet2!$A:$A,AB$2)&lt;&gt;0,SUMIFS(Sheet2!$E:$E,Sheet2!$C:$C,$A116,Sheet2!$A:$A,AB$2),"")</f>
        <v/>
      </c>
      <c r="AC116" s="42" t="str">
        <f>IF(SUMIFS(Sheet2!$E:$E,Sheet2!$C:$C,$A116,Sheet2!$A:$A,AC$2)&lt;&gt;0,SUMIFS(Sheet2!$E:$E,Sheet2!$C:$C,$A116,Sheet2!$A:$A,AC$2),"")</f>
        <v/>
      </c>
      <c r="AD116" s="42" t="str">
        <f>IF(SUMIFS(Sheet2!$E:$E,Sheet2!$C:$C,$A116,Sheet2!$A:$A,AD$2)&lt;&gt;0,SUMIFS(Sheet2!$E:$E,Sheet2!$C:$C,$A116,Sheet2!$A:$A,AD$2),"")</f>
        <v/>
      </c>
      <c r="AE116" s="42" t="str">
        <f>IF(SUMIFS(Sheet2!$E:$E,Sheet2!$C:$C,$A116,Sheet2!$A:$A,AE$2)&lt;&gt;0,SUMIFS(Sheet2!$E:$E,Sheet2!$C:$C,$A116,Sheet2!$A:$A,AE$2),"")</f>
        <v/>
      </c>
      <c r="AF116" s="42" t="str">
        <f>IF(SUMIFS(Sheet2!$E:$E,Sheet2!$C:$C,$A116,Sheet2!$A:$A,AF$2)&lt;&gt;0,SUMIFS(Sheet2!$E:$E,Sheet2!$C:$C,$A116,Sheet2!$A:$A,AF$2),"")</f>
        <v/>
      </c>
      <c r="AG116" s="42" t="str">
        <f>IF(SUMIFS(Sheet2!$E:$E,Sheet2!$C:$C,$A116,Sheet2!$A:$A,AG$2)&lt;&gt;0,SUMIFS(Sheet2!$E:$E,Sheet2!$C:$C,$A116,Sheet2!$A:$A,AG$2),"")</f>
        <v/>
      </c>
      <c r="AH116" s="43">
        <f>SUM(Table2[[#This Row],[1]:[31]])</f>
        <v>0</v>
      </c>
    </row>
    <row r="117" spans="1:34" ht="12.75" customHeight="1">
      <c r="A117" s="76" t="str">
        <f>DSSP!A116</f>
        <v>VD2</v>
      </c>
      <c r="B117" s="25" t="str">
        <f>DSSP!B116</f>
        <v>Vải dạ 18x18</v>
      </c>
      <c r="C117" s="42" t="str">
        <f>IF(SUMIFS(Sheet2!$E:$E,Sheet2!$C:$C,$A117,Sheet2!$A:$A,C$2)&lt;&gt;0,SUMIFS(Sheet2!$E:$E,Sheet2!$C:$C,$A117,Sheet2!$A:$A,C$2),"")</f>
        <v/>
      </c>
      <c r="D117" s="42" t="str">
        <f>IF(SUMIFS(Sheet2!$E:$E,Sheet2!$C:$C,$A117,Sheet2!$A:$A,D$2)&lt;&gt;0,SUMIFS(Sheet2!$E:$E,Sheet2!$C:$C,$A117,Sheet2!$A:$A,D$2),"")</f>
        <v/>
      </c>
      <c r="E117" s="42" t="str">
        <f>IF(SUMIFS(Sheet2!$E:$E,Sheet2!$C:$C,$A117,Sheet2!$A:$A,E$2)&lt;&gt;0,SUMIFS(Sheet2!$E:$E,Sheet2!$C:$C,$A117,Sheet2!$A:$A,E$2),"")</f>
        <v/>
      </c>
      <c r="F117" s="42" t="str">
        <f>IF(SUMIFS(Sheet2!$E:$E,Sheet2!$C:$C,$A117,Sheet2!$A:$A,F$2)&lt;&gt;0,SUMIFS(Sheet2!$E:$E,Sheet2!$C:$C,$A117,Sheet2!$A:$A,F$2),"")</f>
        <v/>
      </c>
      <c r="G117" s="42" t="str">
        <f>IF(SUMIFS(Sheet2!$E:$E,Sheet2!$C:$C,$A117,Sheet2!$A:$A,G$2)&lt;&gt;0,SUMIFS(Sheet2!$E:$E,Sheet2!$C:$C,$A117,Sheet2!$A:$A,G$2),"")</f>
        <v/>
      </c>
      <c r="H117" s="42" t="str">
        <f>IF(SUMIFS(Sheet2!$E:$E,Sheet2!$C:$C,$A117,Sheet2!$A:$A,H$2)&lt;&gt;0,SUMIFS(Sheet2!$E:$E,Sheet2!$C:$C,$A117,Sheet2!$A:$A,H$2),"")</f>
        <v/>
      </c>
      <c r="I117" s="42" t="str">
        <f>IF(SUMIFS(Sheet2!$E:$E,Sheet2!$C:$C,$A117,Sheet2!$A:$A,I$2)&lt;&gt;0,SUMIFS(Sheet2!$E:$E,Sheet2!$C:$C,$A117,Sheet2!$A:$A,I$2),"")</f>
        <v/>
      </c>
      <c r="J117" s="42" t="str">
        <f>IF(SUMIFS(Sheet2!$E:$E,Sheet2!$C:$C,$A117,Sheet2!$A:$A,J$2)&lt;&gt;0,SUMIFS(Sheet2!$E:$E,Sheet2!$C:$C,$A117,Sheet2!$A:$A,J$2),"")</f>
        <v/>
      </c>
      <c r="K117" s="42" t="str">
        <f>IF(SUMIFS(Sheet2!$E:$E,Sheet2!$C:$C,$A117,Sheet2!$A:$A,K$2)&lt;&gt;0,SUMIFS(Sheet2!$E:$E,Sheet2!$C:$C,$A117,Sheet2!$A:$A,K$2),"")</f>
        <v/>
      </c>
      <c r="L117" s="42" t="str">
        <f>IF(SUMIFS(Sheet2!$E:$E,Sheet2!$C:$C,$A117,Sheet2!$A:$A,L$2)&lt;&gt;0,SUMIFS(Sheet2!$E:$E,Sheet2!$C:$C,$A117,Sheet2!$A:$A,L$2),"")</f>
        <v/>
      </c>
      <c r="M117" s="42" t="str">
        <f>IF(SUMIFS(Sheet2!$E:$E,Sheet2!$C:$C,$A117,Sheet2!$A:$A,M$2)&lt;&gt;0,SUMIFS(Sheet2!$E:$E,Sheet2!$C:$C,$A117,Sheet2!$A:$A,M$2),"")</f>
        <v/>
      </c>
      <c r="N117" s="42" t="str">
        <f>IF(SUMIFS(Sheet2!$E:$E,Sheet2!$C:$C,$A117,Sheet2!$A:$A,N$2)&lt;&gt;0,SUMIFS(Sheet2!$E:$E,Sheet2!$C:$C,$A117,Sheet2!$A:$A,N$2),"")</f>
        <v/>
      </c>
      <c r="O117" s="42" t="str">
        <f>IF(SUMIFS(Sheet2!$E:$E,Sheet2!$C:$C,$A117,Sheet2!$A:$A,O$2)&lt;&gt;0,SUMIFS(Sheet2!$E:$E,Sheet2!$C:$C,$A117,Sheet2!$A:$A,O$2),"")</f>
        <v/>
      </c>
      <c r="P117" s="42" t="str">
        <f>IF(SUMIFS(Sheet2!$E:$E,Sheet2!$C:$C,$A117,Sheet2!$A:$A,P$2)&lt;&gt;0,SUMIFS(Sheet2!$E:$E,Sheet2!$C:$C,$A117,Sheet2!$A:$A,P$2),"")</f>
        <v/>
      </c>
      <c r="Q117" s="42" t="str">
        <f>IF(SUMIFS(Sheet2!$E:$E,Sheet2!$C:$C,$A117,Sheet2!$A:$A,Q$2)&lt;&gt;0,SUMIFS(Sheet2!$E:$E,Sheet2!$C:$C,$A117,Sheet2!$A:$A,Q$2),"")</f>
        <v/>
      </c>
      <c r="R117" s="42" t="str">
        <f>IF(SUMIFS(Sheet2!$E:$E,Sheet2!$C:$C,$A117,Sheet2!$A:$A,R$2)&lt;&gt;0,SUMIFS(Sheet2!$E:$E,Sheet2!$C:$C,$A117,Sheet2!$A:$A,R$2),"")</f>
        <v/>
      </c>
      <c r="S117" s="42" t="str">
        <f>IF(SUMIFS(Sheet2!$E:$E,Sheet2!$C:$C,$A117,Sheet2!$A:$A,S$2)&lt;&gt;0,SUMIFS(Sheet2!$E:$E,Sheet2!$C:$C,$A117,Sheet2!$A:$A,S$2),"")</f>
        <v/>
      </c>
      <c r="T117" s="42" t="str">
        <f>IF(SUMIFS(Sheet2!$E:$E,Sheet2!$C:$C,$A117,Sheet2!$A:$A,T$2)&lt;&gt;0,SUMIFS(Sheet2!$E:$E,Sheet2!$C:$C,$A117,Sheet2!$A:$A,T$2),"")</f>
        <v/>
      </c>
      <c r="U117" s="42" t="str">
        <f>IF(SUMIFS(Sheet2!$E:$E,Sheet2!$C:$C,$A117,Sheet2!$A:$A,U$2)&lt;&gt;0,SUMIFS(Sheet2!$E:$E,Sheet2!$C:$C,$A117,Sheet2!$A:$A,U$2),"")</f>
        <v/>
      </c>
      <c r="V117" s="42" t="str">
        <f>IF(SUMIFS(Sheet2!$E:$E,Sheet2!$C:$C,$A117,Sheet2!$A:$A,V$2)&lt;&gt;0,SUMIFS(Sheet2!$E:$E,Sheet2!$C:$C,$A117,Sheet2!$A:$A,V$2),"")</f>
        <v/>
      </c>
      <c r="W117" s="42" t="str">
        <f>IF(SUMIFS(Sheet2!$E:$E,Sheet2!$C:$C,$A117,Sheet2!$A:$A,W$2)&lt;&gt;0,SUMIFS(Sheet2!$E:$E,Sheet2!$C:$C,$A117,Sheet2!$A:$A,W$2),"")</f>
        <v/>
      </c>
      <c r="X117" s="42" t="str">
        <f>IF(SUMIFS(Sheet2!$E:$E,Sheet2!$C:$C,$A117,Sheet2!$A:$A,X$2)&lt;&gt;0,SUMIFS(Sheet2!$E:$E,Sheet2!$C:$C,$A117,Sheet2!$A:$A,X$2),"")</f>
        <v/>
      </c>
      <c r="Y117" s="42" t="str">
        <f>IF(SUMIFS(Sheet2!$E:$E,Sheet2!$C:$C,$A117,Sheet2!$A:$A,Y$2)&lt;&gt;0,SUMIFS(Sheet2!$E:$E,Sheet2!$C:$C,$A117,Sheet2!$A:$A,Y$2),"")</f>
        <v/>
      </c>
      <c r="Z117" s="42" t="str">
        <f>IF(SUMIFS(Sheet2!$E:$E,Sheet2!$C:$C,$A117,Sheet2!$A:$A,Z$2)&lt;&gt;0,SUMIFS(Sheet2!$E:$E,Sheet2!$C:$C,$A117,Sheet2!$A:$A,Z$2),"")</f>
        <v/>
      </c>
      <c r="AA117" s="42" t="str">
        <f>IF(SUMIFS(Sheet2!$E:$E,Sheet2!$C:$C,$A117,Sheet2!$A:$A,AA$2)&lt;&gt;0,SUMIFS(Sheet2!$E:$E,Sheet2!$C:$C,$A117,Sheet2!$A:$A,AA$2),"")</f>
        <v/>
      </c>
      <c r="AB117" s="42" t="str">
        <f>IF(SUMIFS(Sheet2!$E:$E,Sheet2!$C:$C,$A117,Sheet2!$A:$A,AB$2)&lt;&gt;0,SUMIFS(Sheet2!$E:$E,Sheet2!$C:$C,$A117,Sheet2!$A:$A,AB$2),"")</f>
        <v/>
      </c>
      <c r="AC117" s="42" t="str">
        <f>IF(SUMIFS(Sheet2!$E:$E,Sheet2!$C:$C,$A117,Sheet2!$A:$A,AC$2)&lt;&gt;0,SUMIFS(Sheet2!$E:$E,Sheet2!$C:$C,$A117,Sheet2!$A:$A,AC$2),"")</f>
        <v/>
      </c>
      <c r="AD117" s="42" t="str">
        <f>IF(SUMIFS(Sheet2!$E:$E,Sheet2!$C:$C,$A117,Sheet2!$A:$A,AD$2)&lt;&gt;0,SUMIFS(Sheet2!$E:$E,Sheet2!$C:$C,$A117,Sheet2!$A:$A,AD$2),"")</f>
        <v/>
      </c>
      <c r="AE117" s="42" t="str">
        <f>IF(SUMIFS(Sheet2!$E:$E,Sheet2!$C:$C,$A117,Sheet2!$A:$A,AE$2)&lt;&gt;0,SUMIFS(Sheet2!$E:$E,Sheet2!$C:$C,$A117,Sheet2!$A:$A,AE$2),"")</f>
        <v/>
      </c>
      <c r="AF117" s="42" t="str">
        <f>IF(SUMIFS(Sheet2!$E:$E,Sheet2!$C:$C,$A117,Sheet2!$A:$A,AF$2)&lt;&gt;0,SUMIFS(Sheet2!$E:$E,Sheet2!$C:$C,$A117,Sheet2!$A:$A,AF$2),"")</f>
        <v/>
      </c>
      <c r="AG117" s="42" t="str">
        <f>IF(SUMIFS(Sheet2!$E:$E,Sheet2!$C:$C,$A117,Sheet2!$A:$A,AG$2)&lt;&gt;0,SUMIFS(Sheet2!$E:$E,Sheet2!$C:$C,$A117,Sheet2!$A:$A,AG$2),"")</f>
        <v/>
      </c>
      <c r="AH117" s="43">
        <f>SUM(Table2[[#This Row],[1]:[31]])</f>
        <v>0</v>
      </c>
    </row>
    <row r="118" spans="1:34" ht="12.75" customHeight="1">
      <c r="A118" s="76" t="str">
        <f>DSSP!A117</f>
        <v>VD3</v>
      </c>
      <c r="B118" s="25" t="str">
        <f>DSSP!B117</f>
        <v>Vải dạ 30x30</v>
      </c>
      <c r="C118" s="42" t="str">
        <f>IF(SUMIFS(Sheet2!$E:$E,Sheet2!$C:$C,$A118,Sheet2!$A:$A,C$2)&lt;&gt;0,SUMIFS(Sheet2!$E:$E,Sheet2!$C:$C,$A118,Sheet2!$A:$A,C$2),"")</f>
        <v/>
      </c>
      <c r="D118" s="42" t="str">
        <f>IF(SUMIFS(Sheet2!$E:$E,Sheet2!$C:$C,$A118,Sheet2!$A:$A,D$2)&lt;&gt;0,SUMIFS(Sheet2!$E:$E,Sheet2!$C:$C,$A118,Sheet2!$A:$A,D$2),"")</f>
        <v/>
      </c>
      <c r="E118" s="42" t="str">
        <f>IF(SUMIFS(Sheet2!$E:$E,Sheet2!$C:$C,$A118,Sheet2!$A:$A,E$2)&lt;&gt;0,SUMIFS(Sheet2!$E:$E,Sheet2!$C:$C,$A118,Sheet2!$A:$A,E$2),"")</f>
        <v/>
      </c>
      <c r="F118" s="42" t="str">
        <f>IF(SUMIFS(Sheet2!$E:$E,Sheet2!$C:$C,$A118,Sheet2!$A:$A,F$2)&lt;&gt;0,SUMIFS(Sheet2!$E:$E,Sheet2!$C:$C,$A118,Sheet2!$A:$A,F$2),"")</f>
        <v/>
      </c>
      <c r="G118" s="42" t="str">
        <f>IF(SUMIFS(Sheet2!$E:$E,Sheet2!$C:$C,$A118,Sheet2!$A:$A,G$2)&lt;&gt;0,SUMIFS(Sheet2!$E:$E,Sheet2!$C:$C,$A118,Sheet2!$A:$A,G$2),"")</f>
        <v/>
      </c>
      <c r="H118" s="42" t="str">
        <f>IF(SUMIFS(Sheet2!$E:$E,Sheet2!$C:$C,$A118,Sheet2!$A:$A,H$2)&lt;&gt;0,SUMIFS(Sheet2!$E:$E,Sheet2!$C:$C,$A118,Sheet2!$A:$A,H$2),"")</f>
        <v/>
      </c>
      <c r="I118" s="42" t="str">
        <f>IF(SUMIFS(Sheet2!$E:$E,Sheet2!$C:$C,$A118,Sheet2!$A:$A,I$2)&lt;&gt;0,SUMIFS(Sheet2!$E:$E,Sheet2!$C:$C,$A118,Sheet2!$A:$A,I$2),"")</f>
        <v/>
      </c>
      <c r="J118" s="42" t="str">
        <f>IF(SUMIFS(Sheet2!$E:$E,Sheet2!$C:$C,$A118,Sheet2!$A:$A,J$2)&lt;&gt;0,SUMIFS(Sheet2!$E:$E,Sheet2!$C:$C,$A118,Sheet2!$A:$A,J$2),"")</f>
        <v/>
      </c>
      <c r="K118" s="42" t="str">
        <f>IF(SUMIFS(Sheet2!$E:$E,Sheet2!$C:$C,$A118,Sheet2!$A:$A,K$2)&lt;&gt;0,SUMIFS(Sheet2!$E:$E,Sheet2!$C:$C,$A118,Sheet2!$A:$A,K$2),"")</f>
        <v/>
      </c>
      <c r="L118" s="42" t="str">
        <f>IF(SUMIFS(Sheet2!$E:$E,Sheet2!$C:$C,$A118,Sheet2!$A:$A,L$2)&lt;&gt;0,SUMIFS(Sheet2!$E:$E,Sheet2!$C:$C,$A118,Sheet2!$A:$A,L$2),"")</f>
        <v/>
      </c>
      <c r="M118" s="42" t="str">
        <f>IF(SUMIFS(Sheet2!$E:$E,Sheet2!$C:$C,$A118,Sheet2!$A:$A,M$2)&lt;&gt;0,SUMIFS(Sheet2!$E:$E,Sheet2!$C:$C,$A118,Sheet2!$A:$A,M$2),"")</f>
        <v/>
      </c>
      <c r="N118" s="42" t="str">
        <f>IF(SUMIFS(Sheet2!$E:$E,Sheet2!$C:$C,$A118,Sheet2!$A:$A,N$2)&lt;&gt;0,SUMIFS(Sheet2!$E:$E,Sheet2!$C:$C,$A118,Sheet2!$A:$A,N$2),"")</f>
        <v/>
      </c>
      <c r="O118" s="42" t="str">
        <f>IF(SUMIFS(Sheet2!$E:$E,Sheet2!$C:$C,$A118,Sheet2!$A:$A,O$2)&lt;&gt;0,SUMIFS(Sheet2!$E:$E,Sheet2!$C:$C,$A118,Sheet2!$A:$A,O$2),"")</f>
        <v/>
      </c>
      <c r="P118" s="42" t="str">
        <f>IF(SUMIFS(Sheet2!$E:$E,Sheet2!$C:$C,$A118,Sheet2!$A:$A,P$2)&lt;&gt;0,SUMIFS(Sheet2!$E:$E,Sheet2!$C:$C,$A118,Sheet2!$A:$A,P$2),"")</f>
        <v/>
      </c>
      <c r="Q118" s="42" t="str">
        <f>IF(SUMIFS(Sheet2!$E:$E,Sheet2!$C:$C,$A118,Sheet2!$A:$A,Q$2)&lt;&gt;0,SUMIFS(Sheet2!$E:$E,Sheet2!$C:$C,$A118,Sheet2!$A:$A,Q$2),"")</f>
        <v/>
      </c>
      <c r="R118" s="42" t="str">
        <f>IF(SUMIFS(Sheet2!$E:$E,Sheet2!$C:$C,$A118,Sheet2!$A:$A,R$2)&lt;&gt;0,SUMIFS(Sheet2!$E:$E,Sheet2!$C:$C,$A118,Sheet2!$A:$A,R$2),"")</f>
        <v/>
      </c>
      <c r="S118" s="42" t="str">
        <f>IF(SUMIFS(Sheet2!$E:$E,Sheet2!$C:$C,$A118,Sheet2!$A:$A,S$2)&lt;&gt;0,SUMIFS(Sheet2!$E:$E,Sheet2!$C:$C,$A118,Sheet2!$A:$A,S$2),"")</f>
        <v/>
      </c>
      <c r="T118" s="42" t="str">
        <f>IF(SUMIFS(Sheet2!$E:$E,Sheet2!$C:$C,$A118,Sheet2!$A:$A,T$2)&lt;&gt;0,SUMIFS(Sheet2!$E:$E,Sheet2!$C:$C,$A118,Sheet2!$A:$A,T$2),"")</f>
        <v/>
      </c>
      <c r="U118" s="42" t="str">
        <f>IF(SUMIFS(Sheet2!$E:$E,Sheet2!$C:$C,$A118,Sheet2!$A:$A,U$2)&lt;&gt;0,SUMIFS(Sheet2!$E:$E,Sheet2!$C:$C,$A118,Sheet2!$A:$A,U$2),"")</f>
        <v/>
      </c>
      <c r="V118" s="42" t="str">
        <f>IF(SUMIFS(Sheet2!$E:$E,Sheet2!$C:$C,$A118,Sheet2!$A:$A,V$2)&lt;&gt;0,SUMIFS(Sheet2!$E:$E,Sheet2!$C:$C,$A118,Sheet2!$A:$A,V$2),"")</f>
        <v/>
      </c>
      <c r="W118" s="42" t="str">
        <f>IF(SUMIFS(Sheet2!$E:$E,Sheet2!$C:$C,$A118,Sheet2!$A:$A,W$2)&lt;&gt;0,SUMIFS(Sheet2!$E:$E,Sheet2!$C:$C,$A118,Sheet2!$A:$A,W$2),"")</f>
        <v/>
      </c>
      <c r="X118" s="42" t="str">
        <f>IF(SUMIFS(Sheet2!$E:$E,Sheet2!$C:$C,$A118,Sheet2!$A:$A,X$2)&lt;&gt;0,SUMIFS(Sheet2!$E:$E,Sheet2!$C:$C,$A118,Sheet2!$A:$A,X$2),"")</f>
        <v/>
      </c>
      <c r="Y118" s="42" t="str">
        <f>IF(SUMIFS(Sheet2!$E:$E,Sheet2!$C:$C,$A118,Sheet2!$A:$A,Y$2)&lt;&gt;0,SUMIFS(Sheet2!$E:$E,Sheet2!$C:$C,$A118,Sheet2!$A:$A,Y$2),"")</f>
        <v/>
      </c>
      <c r="Z118" s="42" t="str">
        <f>IF(SUMIFS(Sheet2!$E:$E,Sheet2!$C:$C,$A118,Sheet2!$A:$A,Z$2)&lt;&gt;0,SUMIFS(Sheet2!$E:$E,Sheet2!$C:$C,$A118,Sheet2!$A:$A,Z$2),"")</f>
        <v/>
      </c>
      <c r="AA118" s="42" t="str">
        <f>IF(SUMIFS(Sheet2!$E:$E,Sheet2!$C:$C,$A118,Sheet2!$A:$A,AA$2)&lt;&gt;0,SUMIFS(Sheet2!$E:$E,Sheet2!$C:$C,$A118,Sheet2!$A:$A,AA$2),"")</f>
        <v/>
      </c>
      <c r="AB118" s="42" t="str">
        <f>IF(SUMIFS(Sheet2!$E:$E,Sheet2!$C:$C,$A118,Sheet2!$A:$A,AB$2)&lt;&gt;0,SUMIFS(Sheet2!$E:$E,Sheet2!$C:$C,$A118,Sheet2!$A:$A,AB$2),"")</f>
        <v/>
      </c>
      <c r="AC118" s="42" t="str">
        <f>IF(SUMIFS(Sheet2!$E:$E,Sheet2!$C:$C,$A118,Sheet2!$A:$A,AC$2)&lt;&gt;0,SUMIFS(Sheet2!$E:$E,Sheet2!$C:$C,$A118,Sheet2!$A:$A,AC$2),"")</f>
        <v/>
      </c>
      <c r="AD118" s="42" t="str">
        <f>IF(SUMIFS(Sheet2!$E:$E,Sheet2!$C:$C,$A118,Sheet2!$A:$A,AD$2)&lt;&gt;0,SUMIFS(Sheet2!$E:$E,Sheet2!$C:$C,$A118,Sheet2!$A:$A,AD$2),"")</f>
        <v/>
      </c>
      <c r="AE118" s="42" t="str">
        <f>IF(SUMIFS(Sheet2!$E:$E,Sheet2!$C:$C,$A118,Sheet2!$A:$A,AE$2)&lt;&gt;0,SUMIFS(Sheet2!$E:$E,Sheet2!$C:$C,$A118,Sheet2!$A:$A,AE$2),"")</f>
        <v/>
      </c>
      <c r="AF118" s="42" t="str">
        <f>IF(SUMIFS(Sheet2!$E:$E,Sheet2!$C:$C,$A118,Sheet2!$A:$A,AF$2)&lt;&gt;0,SUMIFS(Sheet2!$E:$E,Sheet2!$C:$C,$A118,Sheet2!$A:$A,AF$2),"")</f>
        <v/>
      </c>
      <c r="AG118" s="42" t="str">
        <f>IF(SUMIFS(Sheet2!$E:$E,Sheet2!$C:$C,$A118,Sheet2!$A:$A,AG$2)&lt;&gt;0,SUMIFS(Sheet2!$E:$E,Sheet2!$C:$C,$A118,Sheet2!$A:$A,AG$2),"")</f>
        <v/>
      </c>
      <c r="AH118" s="43">
        <f>SUM(Table2[[#This Row],[1]:[31]])</f>
        <v>0</v>
      </c>
    </row>
    <row r="119" spans="1:34" ht="12.75" customHeight="1">
      <c r="A119" s="76" t="str">
        <f>DSSP!A118</f>
        <v>VD4</v>
      </c>
      <c r="B119" s="25" t="str">
        <f>DSSP!B118</f>
        <v>Vải dạ 45x45</v>
      </c>
      <c r="C119" s="42" t="str">
        <f>IF(SUMIFS(Sheet2!$E:$E,Sheet2!$C:$C,$A119,Sheet2!$A:$A,C$2)&lt;&gt;0,SUMIFS(Sheet2!$E:$E,Sheet2!$C:$C,$A119,Sheet2!$A:$A,C$2),"")</f>
        <v/>
      </c>
      <c r="D119" s="42" t="str">
        <f>IF(SUMIFS(Sheet2!$E:$E,Sheet2!$C:$C,$A119,Sheet2!$A:$A,D$2)&lt;&gt;0,SUMIFS(Sheet2!$E:$E,Sheet2!$C:$C,$A119,Sheet2!$A:$A,D$2),"")</f>
        <v/>
      </c>
      <c r="E119" s="42" t="str">
        <f>IF(SUMIFS(Sheet2!$E:$E,Sheet2!$C:$C,$A119,Sheet2!$A:$A,E$2)&lt;&gt;0,SUMIFS(Sheet2!$E:$E,Sheet2!$C:$C,$A119,Sheet2!$A:$A,E$2),"")</f>
        <v/>
      </c>
      <c r="F119" s="42" t="str">
        <f>IF(SUMIFS(Sheet2!$E:$E,Sheet2!$C:$C,$A119,Sheet2!$A:$A,F$2)&lt;&gt;0,SUMIFS(Sheet2!$E:$E,Sheet2!$C:$C,$A119,Sheet2!$A:$A,F$2),"")</f>
        <v/>
      </c>
      <c r="G119" s="42" t="str">
        <f>IF(SUMIFS(Sheet2!$E:$E,Sheet2!$C:$C,$A119,Sheet2!$A:$A,G$2)&lt;&gt;0,SUMIFS(Sheet2!$E:$E,Sheet2!$C:$C,$A119,Sheet2!$A:$A,G$2),"")</f>
        <v/>
      </c>
      <c r="H119" s="42" t="str">
        <f>IF(SUMIFS(Sheet2!$E:$E,Sheet2!$C:$C,$A119,Sheet2!$A:$A,H$2)&lt;&gt;0,SUMIFS(Sheet2!$E:$E,Sheet2!$C:$C,$A119,Sheet2!$A:$A,H$2),"")</f>
        <v/>
      </c>
      <c r="I119" s="42" t="str">
        <f>IF(SUMIFS(Sheet2!$E:$E,Sheet2!$C:$C,$A119,Sheet2!$A:$A,I$2)&lt;&gt;0,SUMIFS(Sheet2!$E:$E,Sheet2!$C:$C,$A119,Sheet2!$A:$A,I$2),"")</f>
        <v/>
      </c>
      <c r="J119" s="42" t="str">
        <f>IF(SUMIFS(Sheet2!$E:$E,Sheet2!$C:$C,$A119,Sheet2!$A:$A,J$2)&lt;&gt;0,SUMIFS(Sheet2!$E:$E,Sheet2!$C:$C,$A119,Sheet2!$A:$A,J$2),"")</f>
        <v/>
      </c>
      <c r="K119" s="42" t="str">
        <f>IF(SUMIFS(Sheet2!$E:$E,Sheet2!$C:$C,$A119,Sheet2!$A:$A,K$2)&lt;&gt;0,SUMIFS(Sheet2!$E:$E,Sheet2!$C:$C,$A119,Sheet2!$A:$A,K$2),"")</f>
        <v/>
      </c>
      <c r="L119" s="42" t="str">
        <f>IF(SUMIFS(Sheet2!$E:$E,Sheet2!$C:$C,$A119,Sheet2!$A:$A,L$2)&lt;&gt;0,SUMIFS(Sheet2!$E:$E,Sheet2!$C:$C,$A119,Sheet2!$A:$A,L$2),"")</f>
        <v/>
      </c>
      <c r="M119" s="42" t="str">
        <f>IF(SUMIFS(Sheet2!$E:$E,Sheet2!$C:$C,$A119,Sheet2!$A:$A,M$2)&lt;&gt;0,SUMIFS(Sheet2!$E:$E,Sheet2!$C:$C,$A119,Sheet2!$A:$A,M$2),"")</f>
        <v/>
      </c>
      <c r="N119" s="42" t="str">
        <f>IF(SUMIFS(Sheet2!$E:$E,Sheet2!$C:$C,$A119,Sheet2!$A:$A,N$2)&lt;&gt;0,SUMIFS(Sheet2!$E:$E,Sheet2!$C:$C,$A119,Sheet2!$A:$A,N$2),"")</f>
        <v/>
      </c>
      <c r="O119" s="42" t="str">
        <f>IF(SUMIFS(Sheet2!$E:$E,Sheet2!$C:$C,$A119,Sheet2!$A:$A,O$2)&lt;&gt;0,SUMIFS(Sheet2!$E:$E,Sheet2!$C:$C,$A119,Sheet2!$A:$A,O$2),"")</f>
        <v/>
      </c>
      <c r="P119" s="42" t="str">
        <f>IF(SUMIFS(Sheet2!$E:$E,Sheet2!$C:$C,$A119,Sheet2!$A:$A,P$2)&lt;&gt;0,SUMIFS(Sheet2!$E:$E,Sheet2!$C:$C,$A119,Sheet2!$A:$A,P$2),"")</f>
        <v/>
      </c>
      <c r="Q119" s="42" t="str">
        <f>IF(SUMIFS(Sheet2!$E:$E,Sheet2!$C:$C,$A119,Sheet2!$A:$A,Q$2)&lt;&gt;0,SUMIFS(Sheet2!$E:$E,Sheet2!$C:$C,$A119,Sheet2!$A:$A,Q$2),"")</f>
        <v/>
      </c>
      <c r="R119" s="42" t="str">
        <f>IF(SUMIFS(Sheet2!$E:$E,Sheet2!$C:$C,$A119,Sheet2!$A:$A,R$2)&lt;&gt;0,SUMIFS(Sheet2!$E:$E,Sheet2!$C:$C,$A119,Sheet2!$A:$A,R$2),"")</f>
        <v/>
      </c>
      <c r="S119" s="42" t="str">
        <f>IF(SUMIFS(Sheet2!$E:$E,Sheet2!$C:$C,$A119,Sheet2!$A:$A,S$2)&lt;&gt;0,SUMIFS(Sheet2!$E:$E,Sheet2!$C:$C,$A119,Sheet2!$A:$A,S$2),"")</f>
        <v/>
      </c>
      <c r="T119" s="42" t="str">
        <f>IF(SUMIFS(Sheet2!$E:$E,Sheet2!$C:$C,$A119,Sheet2!$A:$A,T$2)&lt;&gt;0,SUMIFS(Sheet2!$E:$E,Sheet2!$C:$C,$A119,Sheet2!$A:$A,T$2),"")</f>
        <v/>
      </c>
      <c r="U119" s="42" t="str">
        <f>IF(SUMIFS(Sheet2!$E:$E,Sheet2!$C:$C,$A119,Sheet2!$A:$A,U$2)&lt;&gt;0,SUMIFS(Sheet2!$E:$E,Sheet2!$C:$C,$A119,Sheet2!$A:$A,U$2),"")</f>
        <v/>
      </c>
      <c r="V119" s="42" t="str">
        <f>IF(SUMIFS(Sheet2!$E:$E,Sheet2!$C:$C,$A119,Sheet2!$A:$A,V$2)&lt;&gt;0,SUMIFS(Sheet2!$E:$E,Sheet2!$C:$C,$A119,Sheet2!$A:$A,V$2),"")</f>
        <v/>
      </c>
      <c r="W119" s="42" t="str">
        <f>IF(SUMIFS(Sheet2!$E:$E,Sheet2!$C:$C,$A119,Sheet2!$A:$A,W$2)&lt;&gt;0,SUMIFS(Sheet2!$E:$E,Sheet2!$C:$C,$A119,Sheet2!$A:$A,W$2),"")</f>
        <v/>
      </c>
      <c r="X119" s="42" t="str">
        <f>IF(SUMIFS(Sheet2!$E:$E,Sheet2!$C:$C,$A119,Sheet2!$A:$A,X$2)&lt;&gt;0,SUMIFS(Sheet2!$E:$E,Sheet2!$C:$C,$A119,Sheet2!$A:$A,X$2),"")</f>
        <v/>
      </c>
      <c r="Y119" s="42" t="str">
        <f>IF(SUMIFS(Sheet2!$E:$E,Sheet2!$C:$C,$A119,Sheet2!$A:$A,Y$2)&lt;&gt;0,SUMIFS(Sheet2!$E:$E,Sheet2!$C:$C,$A119,Sheet2!$A:$A,Y$2),"")</f>
        <v/>
      </c>
      <c r="Z119" s="42" t="str">
        <f>IF(SUMIFS(Sheet2!$E:$E,Sheet2!$C:$C,$A119,Sheet2!$A:$A,Z$2)&lt;&gt;0,SUMIFS(Sheet2!$E:$E,Sheet2!$C:$C,$A119,Sheet2!$A:$A,Z$2),"")</f>
        <v/>
      </c>
      <c r="AA119" s="42" t="str">
        <f>IF(SUMIFS(Sheet2!$E:$E,Sheet2!$C:$C,$A119,Sheet2!$A:$A,AA$2)&lt;&gt;0,SUMIFS(Sheet2!$E:$E,Sheet2!$C:$C,$A119,Sheet2!$A:$A,AA$2),"")</f>
        <v/>
      </c>
      <c r="AB119" s="42" t="str">
        <f>IF(SUMIFS(Sheet2!$E:$E,Sheet2!$C:$C,$A119,Sheet2!$A:$A,AB$2)&lt;&gt;0,SUMIFS(Sheet2!$E:$E,Sheet2!$C:$C,$A119,Sheet2!$A:$A,AB$2),"")</f>
        <v/>
      </c>
      <c r="AC119" s="42" t="str">
        <f>IF(SUMIFS(Sheet2!$E:$E,Sheet2!$C:$C,$A119,Sheet2!$A:$A,AC$2)&lt;&gt;0,SUMIFS(Sheet2!$E:$E,Sheet2!$C:$C,$A119,Sheet2!$A:$A,AC$2),"")</f>
        <v/>
      </c>
      <c r="AD119" s="42" t="str">
        <f>IF(SUMIFS(Sheet2!$E:$E,Sheet2!$C:$C,$A119,Sheet2!$A:$A,AD$2)&lt;&gt;0,SUMIFS(Sheet2!$E:$E,Sheet2!$C:$C,$A119,Sheet2!$A:$A,AD$2),"")</f>
        <v/>
      </c>
      <c r="AE119" s="42" t="str">
        <f>IF(SUMIFS(Sheet2!$E:$E,Sheet2!$C:$C,$A119,Sheet2!$A:$A,AE$2)&lt;&gt;0,SUMIFS(Sheet2!$E:$E,Sheet2!$C:$C,$A119,Sheet2!$A:$A,AE$2),"")</f>
        <v/>
      </c>
      <c r="AF119" s="42" t="str">
        <f>IF(SUMIFS(Sheet2!$E:$E,Sheet2!$C:$C,$A119,Sheet2!$A:$A,AF$2)&lt;&gt;0,SUMIFS(Sheet2!$E:$E,Sheet2!$C:$C,$A119,Sheet2!$A:$A,AF$2),"")</f>
        <v/>
      </c>
      <c r="AG119" s="42" t="str">
        <f>IF(SUMIFS(Sheet2!$E:$E,Sheet2!$C:$C,$A119,Sheet2!$A:$A,AG$2)&lt;&gt;0,SUMIFS(Sheet2!$E:$E,Sheet2!$C:$C,$A119,Sheet2!$A:$A,AG$2),"")</f>
        <v/>
      </c>
      <c r="AH119" s="43">
        <f>SUM(Table2[[#This Row],[1]:[31]])</f>
        <v>0</v>
      </c>
    </row>
    <row r="120" spans="1:34" ht="12.75" customHeight="1">
      <c r="A120" s="76" t="str">
        <f>DSSP!A119</f>
        <v>VD5</v>
      </c>
      <c r="B120" s="25" t="str">
        <f>DSSP!B119</f>
        <v>Vải dạ 90x90</v>
      </c>
      <c r="C120" s="42" t="str">
        <f>IF(SUMIFS(Sheet2!$E:$E,Sheet2!$C:$C,$A120,Sheet2!$A:$A,C$2)&lt;&gt;0,SUMIFS(Sheet2!$E:$E,Sheet2!$C:$C,$A120,Sheet2!$A:$A,C$2),"")</f>
        <v/>
      </c>
      <c r="D120" s="42" t="str">
        <f>IF(SUMIFS(Sheet2!$E:$E,Sheet2!$C:$C,$A120,Sheet2!$A:$A,D$2)&lt;&gt;0,SUMIFS(Sheet2!$E:$E,Sheet2!$C:$C,$A120,Sheet2!$A:$A,D$2),"")</f>
        <v/>
      </c>
      <c r="E120" s="42" t="str">
        <f>IF(SUMIFS(Sheet2!$E:$E,Sheet2!$C:$C,$A120,Sheet2!$A:$A,E$2)&lt;&gt;0,SUMIFS(Sheet2!$E:$E,Sheet2!$C:$C,$A120,Sheet2!$A:$A,E$2),"")</f>
        <v/>
      </c>
      <c r="F120" s="42" t="str">
        <f>IF(SUMIFS(Sheet2!$E:$E,Sheet2!$C:$C,$A120,Sheet2!$A:$A,F$2)&lt;&gt;0,SUMIFS(Sheet2!$E:$E,Sheet2!$C:$C,$A120,Sheet2!$A:$A,F$2),"")</f>
        <v/>
      </c>
      <c r="G120" s="42" t="str">
        <f>IF(SUMIFS(Sheet2!$E:$E,Sheet2!$C:$C,$A120,Sheet2!$A:$A,G$2)&lt;&gt;0,SUMIFS(Sheet2!$E:$E,Sheet2!$C:$C,$A120,Sheet2!$A:$A,G$2),"")</f>
        <v/>
      </c>
      <c r="H120" s="42" t="str">
        <f>IF(SUMIFS(Sheet2!$E:$E,Sheet2!$C:$C,$A120,Sheet2!$A:$A,H$2)&lt;&gt;0,SUMIFS(Sheet2!$E:$E,Sheet2!$C:$C,$A120,Sheet2!$A:$A,H$2),"")</f>
        <v/>
      </c>
      <c r="I120" s="42" t="str">
        <f>IF(SUMIFS(Sheet2!$E:$E,Sheet2!$C:$C,$A120,Sheet2!$A:$A,I$2)&lt;&gt;0,SUMIFS(Sheet2!$E:$E,Sheet2!$C:$C,$A120,Sheet2!$A:$A,I$2),"")</f>
        <v/>
      </c>
      <c r="J120" s="42" t="str">
        <f>IF(SUMIFS(Sheet2!$E:$E,Sheet2!$C:$C,$A120,Sheet2!$A:$A,J$2)&lt;&gt;0,SUMIFS(Sheet2!$E:$E,Sheet2!$C:$C,$A120,Sheet2!$A:$A,J$2),"")</f>
        <v/>
      </c>
      <c r="K120" s="42" t="str">
        <f>IF(SUMIFS(Sheet2!$E:$E,Sheet2!$C:$C,$A120,Sheet2!$A:$A,K$2)&lt;&gt;0,SUMIFS(Sheet2!$E:$E,Sheet2!$C:$C,$A120,Sheet2!$A:$A,K$2),"")</f>
        <v/>
      </c>
      <c r="L120" s="42" t="str">
        <f>IF(SUMIFS(Sheet2!$E:$E,Sheet2!$C:$C,$A120,Sheet2!$A:$A,L$2)&lt;&gt;0,SUMIFS(Sheet2!$E:$E,Sheet2!$C:$C,$A120,Sheet2!$A:$A,L$2),"")</f>
        <v/>
      </c>
      <c r="M120" s="42" t="str">
        <f>IF(SUMIFS(Sheet2!$E:$E,Sheet2!$C:$C,$A120,Sheet2!$A:$A,M$2)&lt;&gt;0,SUMIFS(Sheet2!$E:$E,Sheet2!$C:$C,$A120,Sheet2!$A:$A,M$2),"")</f>
        <v/>
      </c>
      <c r="N120" s="42" t="str">
        <f>IF(SUMIFS(Sheet2!$E:$E,Sheet2!$C:$C,$A120,Sheet2!$A:$A,N$2)&lt;&gt;0,SUMIFS(Sheet2!$E:$E,Sheet2!$C:$C,$A120,Sheet2!$A:$A,N$2),"")</f>
        <v/>
      </c>
      <c r="O120" s="42" t="str">
        <f>IF(SUMIFS(Sheet2!$E:$E,Sheet2!$C:$C,$A120,Sheet2!$A:$A,O$2)&lt;&gt;0,SUMIFS(Sheet2!$E:$E,Sheet2!$C:$C,$A120,Sheet2!$A:$A,O$2),"")</f>
        <v/>
      </c>
      <c r="P120" s="42" t="str">
        <f>IF(SUMIFS(Sheet2!$E:$E,Sheet2!$C:$C,$A120,Sheet2!$A:$A,P$2)&lt;&gt;0,SUMIFS(Sheet2!$E:$E,Sheet2!$C:$C,$A120,Sheet2!$A:$A,P$2),"")</f>
        <v/>
      </c>
      <c r="Q120" s="42" t="str">
        <f>IF(SUMIFS(Sheet2!$E:$E,Sheet2!$C:$C,$A120,Sheet2!$A:$A,Q$2)&lt;&gt;0,SUMIFS(Sheet2!$E:$E,Sheet2!$C:$C,$A120,Sheet2!$A:$A,Q$2),"")</f>
        <v/>
      </c>
      <c r="R120" s="42" t="str">
        <f>IF(SUMIFS(Sheet2!$E:$E,Sheet2!$C:$C,$A120,Sheet2!$A:$A,R$2)&lt;&gt;0,SUMIFS(Sheet2!$E:$E,Sheet2!$C:$C,$A120,Sheet2!$A:$A,R$2),"")</f>
        <v/>
      </c>
      <c r="S120" s="42" t="str">
        <f>IF(SUMIFS(Sheet2!$E:$E,Sheet2!$C:$C,$A120,Sheet2!$A:$A,S$2)&lt;&gt;0,SUMIFS(Sheet2!$E:$E,Sheet2!$C:$C,$A120,Sheet2!$A:$A,S$2),"")</f>
        <v/>
      </c>
      <c r="T120" s="42" t="str">
        <f>IF(SUMIFS(Sheet2!$E:$E,Sheet2!$C:$C,$A120,Sheet2!$A:$A,T$2)&lt;&gt;0,SUMIFS(Sheet2!$E:$E,Sheet2!$C:$C,$A120,Sheet2!$A:$A,T$2),"")</f>
        <v/>
      </c>
      <c r="U120" s="42" t="str">
        <f>IF(SUMIFS(Sheet2!$E:$E,Sheet2!$C:$C,$A120,Sheet2!$A:$A,U$2)&lt;&gt;0,SUMIFS(Sheet2!$E:$E,Sheet2!$C:$C,$A120,Sheet2!$A:$A,U$2),"")</f>
        <v/>
      </c>
      <c r="V120" s="42" t="str">
        <f>IF(SUMIFS(Sheet2!$E:$E,Sheet2!$C:$C,$A120,Sheet2!$A:$A,V$2)&lt;&gt;0,SUMIFS(Sheet2!$E:$E,Sheet2!$C:$C,$A120,Sheet2!$A:$A,V$2),"")</f>
        <v/>
      </c>
      <c r="W120" s="42" t="str">
        <f>IF(SUMIFS(Sheet2!$E:$E,Sheet2!$C:$C,$A120,Sheet2!$A:$A,W$2)&lt;&gt;0,SUMIFS(Sheet2!$E:$E,Sheet2!$C:$C,$A120,Sheet2!$A:$A,W$2),"")</f>
        <v/>
      </c>
      <c r="X120" s="42" t="str">
        <f>IF(SUMIFS(Sheet2!$E:$E,Sheet2!$C:$C,$A120,Sheet2!$A:$A,X$2)&lt;&gt;0,SUMIFS(Sheet2!$E:$E,Sheet2!$C:$C,$A120,Sheet2!$A:$A,X$2),"")</f>
        <v/>
      </c>
      <c r="Y120" s="42" t="str">
        <f>IF(SUMIFS(Sheet2!$E:$E,Sheet2!$C:$C,$A120,Sheet2!$A:$A,Y$2)&lt;&gt;0,SUMIFS(Sheet2!$E:$E,Sheet2!$C:$C,$A120,Sheet2!$A:$A,Y$2),"")</f>
        <v/>
      </c>
      <c r="Z120" s="42" t="str">
        <f>IF(SUMIFS(Sheet2!$E:$E,Sheet2!$C:$C,$A120,Sheet2!$A:$A,Z$2)&lt;&gt;0,SUMIFS(Sheet2!$E:$E,Sheet2!$C:$C,$A120,Sheet2!$A:$A,Z$2),"")</f>
        <v/>
      </c>
      <c r="AA120" s="42" t="str">
        <f>IF(SUMIFS(Sheet2!$E:$E,Sheet2!$C:$C,$A120,Sheet2!$A:$A,AA$2)&lt;&gt;0,SUMIFS(Sheet2!$E:$E,Sheet2!$C:$C,$A120,Sheet2!$A:$A,AA$2),"")</f>
        <v/>
      </c>
      <c r="AB120" s="42" t="str">
        <f>IF(SUMIFS(Sheet2!$E:$E,Sheet2!$C:$C,$A120,Sheet2!$A:$A,AB$2)&lt;&gt;0,SUMIFS(Sheet2!$E:$E,Sheet2!$C:$C,$A120,Sheet2!$A:$A,AB$2),"")</f>
        <v/>
      </c>
      <c r="AC120" s="42" t="str">
        <f>IF(SUMIFS(Sheet2!$E:$E,Sheet2!$C:$C,$A120,Sheet2!$A:$A,AC$2)&lt;&gt;0,SUMIFS(Sheet2!$E:$E,Sheet2!$C:$C,$A120,Sheet2!$A:$A,AC$2),"")</f>
        <v/>
      </c>
      <c r="AD120" s="42" t="str">
        <f>IF(SUMIFS(Sheet2!$E:$E,Sheet2!$C:$C,$A120,Sheet2!$A:$A,AD$2)&lt;&gt;0,SUMIFS(Sheet2!$E:$E,Sheet2!$C:$C,$A120,Sheet2!$A:$A,AD$2),"")</f>
        <v/>
      </c>
      <c r="AE120" s="42" t="str">
        <f>IF(SUMIFS(Sheet2!$E:$E,Sheet2!$C:$C,$A120,Sheet2!$A:$A,AE$2)&lt;&gt;0,SUMIFS(Sheet2!$E:$E,Sheet2!$C:$C,$A120,Sheet2!$A:$A,AE$2),"")</f>
        <v/>
      </c>
      <c r="AF120" s="42" t="str">
        <f>IF(SUMIFS(Sheet2!$E:$E,Sheet2!$C:$C,$A120,Sheet2!$A:$A,AF$2)&lt;&gt;0,SUMIFS(Sheet2!$E:$E,Sheet2!$C:$C,$A120,Sheet2!$A:$A,AF$2),"")</f>
        <v/>
      </c>
      <c r="AG120" s="42" t="str">
        <f>IF(SUMIFS(Sheet2!$E:$E,Sheet2!$C:$C,$A120,Sheet2!$A:$A,AG$2)&lt;&gt;0,SUMIFS(Sheet2!$E:$E,Sheet2!$C:$C,$A120,Sheet2!$A:$A,AG$2),"")</f>
        <v/>
      </c>
      <c r="AH120" s="43">
        <f>SUM(Table2[[#This Row],[1]:[31]])</f>
        <v>0</v>
      </c>
    </row>
    <row r="121" spans="1:34" ht="12.75" customHeight="1">
      <c r="A121" s="76" t="str">
        <f>DSSP!A120</f>
        <v>VD6</v>
      </c>
      <c r="B121" s="25" t="str">
        <f>DSSP!B120</f>
        <v>Móc điện thoại</v>
      </c>
      <c r="C121" s="42" t="str">
        <f>IF(SUMIFS(Sheet2!$E:$E,Sheet2!$C:$C,$A121,Sheet2!$A:$A,C$2)&lt;&gt;0,SUMIFS(Sheet2!$E:$E,Sheet2!$C:$C,$A121,Sheet2!$A:$A,C$2),"")</f>
        <v/>
      </c>
      <c r="D121" s="42" t="str">
        <f>IF(SUMIFS(Sheet2!$E:$E,Sheet2!$C:$C,$A121,Sheet2!$A:$A,D$2)&lt;&gt;0,SUMIFS(Sheet2!$E:$E,Sheet2!$C:$C,$A121,Sheet2!$A:$A,D$2),"")</f>
        <v/>
      </c>
      <c r="E121" s="42" t="str">
        <f>IF(SUMIFS(Sheet2!$E:$E,Sheet2!$C:$C,$A121,Sheet2!$A:$A,E$2)&lt;&gt;0,SUMIFS(Sheet2!$E:$E,Sheet2!$C:$C,$A121,Sheet2!$A:$A,E$2),"")</f>
        <v/>
      </c>
      <c r="F121" s="42" t="str">
        <f>IF(SUMIFS(Sheet2!$E:$E,Sheet2!$C:$C,$A121,Sheet2!$A:$A,F$2)&lt;&gt;0,SUMIFS(Sheet2!$E:$E,Sheet2!$C:$C,$A121,Sheet2!$A:$A,F$2),"")</f>
        <v/>
      </c>
      <c r="G121" s="42" t="str">
        <f>IF(SUMIFS(Sheet2!$E:$E,Sheet2!$C:$C,$A121,Sheet2!$A:$A,G$2)&lt;&gt;0,SUMIFS(Sheet2!$E:$E,Sheet2!$C:$C,$A121,Sheet2!$A:$A,G$2),"")</f>
        <v/>
      </c>
      <c r="H121" s="42" t="str">
        <f>IF(SUMIFS(Sheet2!$E:$E,Sheet2!$C:$C,$A121,Sheet2!$A:$A,H$2)&lt;&gt;0,SUMIFS(Sheet2!$E:$E,Sheet2!$C:$C,$A121,Sheet2!$A:$A,H$2),"")</f>
        <v/>
      </c>
      <c r="I121" s="42" t="str">
        <f>IF(SUMIFS(Sheet2!$E:$E,Sheet2!$C:$C,$A121,Sheet2!$A:$A,I$2)&lt;&gt;0,SUMIFS(Sheet2!$E:$E,Sheet2!$C:$C,$A121,Sheet2!$A:$A,I$2),"")</f>
        <v/>
      </c>
      <c r="J121" s="42" t="str">
        <f>IF(SUMIFS(Sheet2!$E:$E,Sheet2!$C:$C,$A121,Sheet2!$A:$A,J$2)&lt;&gt;0,SUMIFS(Sheet2!$E:$E,Sheet2!$C:$C,$A121,Sheet2!$A:$A,J$2),"")</f>
        <v/>
      </c>
      <c r="K121" s="42" t="str">
        <f>IF(SUMIFS(Sheet2!$E:$E,Sheet2!$C:$C,$A121,Sheet2!$A:$A,K$2)&lt;&gt;0,SUMIFS(Sheet2!$E:$E,Sheet2!$C:$C,$A121,Sheet2!$A:$A,K$2),"")</f>
        <v/>
      </c>
      <c r="L121" s="42" t="str">
        <f>IF(SUMIFS(Sheet2!$E:$E,Sheet2!$C:$C,$A121,Sheet2!$A:$A,L$2)&lt;&gt;0,SUMIFS(Sheet2!$E:$E,Sheet2!$C:$C,$A121,Sheet2!$A:$A,L$2),"")</f>
        <v/>
      </c>
      <c r="M121" s="42" t="str">
        <f>IF(SUMIFS(Sheet2!$E:$E,Sheet2!$C:$C,$A121,Sheet2!$A:$A,M$2)&lt;&gt;0,SUMIFS(Sheet2!$E:$E,Sheet2!$C:$C,$A121,Sheet2!$A:$A,M$2),"")</f>
        <v/>
      </c>
      <c r="N121" s="42" t="str">
        <f>IF(SUMIFS(Sheet2!$E:$E,Sheet2!$C:$C,$A121,Sheet2!$A:$A,N$2)&lt;&gt;0,SUMIFS(Sheet2!$E:$E,Sheet2!$C:$C,$A121,Sheet2!$A:$A,N$2),"")</f>
        <v/>
      </c>
      <c r="O121" s="42" t="str">
        <f>IF(SUMIFS(Sheet2!$E:$E,Sheet2!$C:$C,$A121,Sheet2!$A:$A,O$2)&lt;&gt;0,SUMIFS(Sheet2!$E:$E,Sheet2!$C:$C,$A121,Sheet2!$A:$A,O$2),"")</f>
        <v/>
      </c>
      <c r="P121" s="42" t="str">
        <f>IF(SUMIFS(Sheet2!$E:$E,Sheet2!$C:$C,$A121,Sheet2!$A:$A,P$2)&lt;&gt;0,SUMIFS(Sheet2!$E:$E,Sheet2!$C:$C,$A121,Sheet2!$A:$A,P$2),"")</f>
        <v/>
      </c>
      <c r="Q121" s="42" t="str">
        <f>IF(SUMIFS(Sheet2!$E:$E,Sheet2!$C:$C,$A121,Sheet2!$A:$A,Q$2)&lt;&gt;0,SUMIFS(Sheet2!$E:$E,Sheet2!$C:$C,$A121,Sheet2!$A:$A,Q$2),"")</f>
        <v/>
      </c>
      <c r="R121" s="42" t="str">
        <f>IF(SUMIFS(Sheet2!$E:$E,Sheet2!$C:$C,$A121,Sheet2!$A:$A,R$2)&lt;&gt;0,SUMIFS(Sheet2!$E:$E,Sheet2!$C:$C,$A121,Sheet2!$A:$A,R$2),"")</f>
        <v/>
      </c>
      <c r="S121" s="42" t="str">
        <f>IF(SUMIFS(Sheet2!$E:$E,Sheet2!$C:$C,$A121,Sheet2!$A:$A,S$2)&lt;&gt;0,SUMIFS(Sheet2!$E:$E,Sheet2!$C:$C,$A121,Sheet2!$A:$A,S$2),"")</f>
        <v/>
      </c>
      <c r="T121" s="42" t="str">
        <f>IF(SUMIFS(Sheet2!$E:$E,Sheet2!$C:$C,$A121,Sheet2!$A:$A,T$2)&lt;&gt;0,SUMIFS(Sheet2!$E:$E,Sheet2!$C:$C,$A121,Sheet2!$A:$A,T$2),"")</f>
        <v/>
      </c>
      <c r="U121" s="42" t="str">
        <f>IF(SUMIFS(Sheet2!$E:$E,Sheet2!$C:$C,$A121,Sheet2!$A:$A,U$2)&lt;&gt;0,SUMIFS(Sheet2!$E:$E,Sheet2!$C:$C,$A121,Sheet2!$A:$A,U$2),"")</f>
        <v/>
      </c>
      <c r="V121" s="42" t="str">
        <f>IF(SUMIFS(Sheet2!$E:$E,Sheet2!$C:$C,$A121,Sheet2!$A:$A,V$2)&lt;&gt;0,SUMIFS(Sheet2!$E:$E,Sheet2!$C:$C,$A121,Sheet2!$A:$A,V$2),"")</f>
        <v/>
      </c>
      <c r="W121" s="42" t="str">
        <f>IF(SUMIFS(Sheet2!$E:$E,Sheet2!$C:$C,$A121,Sheet2!$A:$A,W$2)&lt;&gt;0,SUMIFS(Sheet2!$E:$E,Sheet2!$C:$C,$A121,Sheet2!$A:$A,W$2),"")</f>
        <v/>
      </c>
      <c r="X121" s="42" t="str">
        <f>IF(SUMIFS(Sheet2!$E:$E,Sheet2!$C:$C,$A121,Sheet2!$A:$A,X$2)&lt;&gt;0,SUMIFS(Sheet2!$E:$E,Sheet2!$C:$C,$A121,Sheet2!$A:$A,X$2),"")</f>
        <v/>
      </c>
      <c r="Y121" s="42" t="str">
        <f>IF(SUMIFS(Sheet2!$E:$E,Sheet2!$C:$C,$A121,Sheet2!$A:$A,Y$2)&lt;&gt;0,SUMIFS(Sheet2!$E:$E,Sheet2!$C:$C,$A121,Sheet2!$A:$A,Y$2),"")</f>
        <v/>
      </c>
      <c r="Z121" s="42" t="str">
        <f>IF(SUMIFS(Sheet2!$E:$E,Sheet2!$C:$C,$A121,Sheet2!$A:$A,Z$2)&lt;&gt;0,SUMIFS(Sheet2!$E:$E,Sheet2!$C:$C,$A121,Sheet2!$A:$A,Z$2),"")</f>
        <v/>
      </c>
      <c r="AA121" s="42" t="str">
        <f>IF(SUMIFS(Sheet2!$E:$E,Sheet2!$C:$C,$A121,Sheet2!$A:$A,AA$2)&lt;&gt;0,SUMIFS(Sheet2!$E:$E,Sheet2!$C:$C,$A121,Sheet2!$A:$A,AA$2),"")</f>
        <v/>
      </c>
      <c r="AB121" s="42" t="str">
        <f>IF(SUMIFS(Sheet2!$E:$E,Sheet2!$C:$C,$A121,Sheet2!$A:$A,AB$2)&lt;&gt;0,SUMIFS(Sheet2!$E:$E,Sheet2!$C:$C,$A121,Sheet2!$A:$A,AB$2),"")</f>
        <v/>
      </c>
      <c r="AC121" s="42" t="str">
        <f>IF(SUMIFS(Sheet2!$E:$E,Sheet2!$C:$C,$A121,Sheet2!$A:$A,AC$2)&lt;&gt;0,SUMIFS(Sheet2!$E:$E,Sheet2!$C:$C,$A121,Sheet2!$A:$A,AC$2),"")</f>
        <v/>
      </c>
      <c r="AD121" s="42" t="str">
        <f>IF(SUMIFS(Sheet2!$E:$E,Sheet2!$C:$C,$A121,Sheet2!$A:$A,AD$2)&lt;&gt;0,SUMIFS(Sheet2!$E:$E,Sheet2!$C:$C,$A121,Sheet2!$A:$A,AD$2),"")</f>
        <v/>
      </c>
      <c r="AE121" s="42" t="str">
        <f>IF(SUMIFS(Sheet2!$E:$E,Sheet2!$C:$C,$A121,Sheet2!$A:$A,AE$2)&lt;&gt;0,SUMIFS(Sheet2!$E:$E,Sheet2!$C:$C,$A121,Sheet2!$A:$A,AE$2),"")</f>
        <v/>
      </c>
      <c r="AF121" s="42" t="str">
        <f>IF(SUMIFS(Sheet2!$E:$E,Sheet2!$C:$C,$A121,Sheet2!$A:$A,AF$2)&lt;&gt;0,SUMIFS(Sheet2!$E:$E,Sheet2!$C:$C,$A121,Sheet2!$A:$A,AF$2),"")</f>
        <v/>
      </c>
      <c r="AG121" s="42" t="str">
        <f>IF(SUMIFS(Sheet2!$E:$E,Sheet2!$C:$C,$A121,Sheet2!$A:$A,AG$2)&lt;&gt;0,SUMIFS(Sheet2!$E:$E,Sheet2!$C:$C,$A121,Sheet2!$A:$A,AG$2),"")</f>
        <v/>
      </c>
      <c r="AH121" s="43">
        <f>SUM(Table2[[#This Row],[1]:[31]])</f>
        <v>0</v>
      </c>
    </row>
    <row r="122" spans="1:34" ht="12.75" customHeight="1">
      <c r="A122" s="76" t="str">
        <f>DSSP!A121</f>
        <v>VD7</v>
      </c>
      <c r="B122" s="25" t="str">
        <f>DSSP!B121</f>
        <v>Móc khóa</v>
      </c>
      <c r="C122" s="42" t="str">
        <f>IF(SUMIFS(Sheet2!$E:$E,Sheet2!$C:$C,$A122,Sheet2!$A:$A,C$2)&lt;&gt;0,SUMIFS(Sheet2!$E:$E,Sheet2!$C:$C,$A122,Sheet2!$A:$A,C$2),"")</f>
        <v/>
      </c>
      <c r="D122" s="42" t="str">
        <f>IF(SUMIFS(Sheet2!$E:$E,Sheet2!$C:$C,$A122,Sheet2!$A:$A,D$2)&lt;&gt;0,SUMIFS(Sheet2!$E:$E,Sheet2!$C:$C,$A122,Sheet2!$A:$A,D$2),"")</f>
        <v/>
      </c>
      <c r="E122" s="42" t="str">
        <f>IF(SUMIFS(Sheet2!$E:$E,Sheet2!$C:$C,$A122,Sheet2!$A:$A,E$2)&lt;&gt;0,SUMIFS(Sheet2!$E:$E,Sheet2!$C:$C,$A122,Sheet2!$A:$A,E$2),"")</f>
        <v/>
      </c>
      <c r="F122" s="42" t="str">
        <f>IF(SUMIFS(Sheet2!$E:$E,Sheet2!$C:$C,$A122,Sheet2!$A:$A,F$2)&lt;&gt;0,SUMIFS(Sheet2!$E:$E,Sheet2!$C:$C,$A122,Sheet2!$A:$A,F$2),"")</f>
        <v/>
      </c>
      <c r="G122" s="42" t="str">
        <f>IF(SUMIFS(Sheet2!$E:$E,Sheet2!$C:$C,$A122,Sheet2!$A:$A,G$2)&lt;&gt;0,SUMIFS(Sheet2!$E:$E,Sheet2!$C:$C,$A122,Sheet2!$A:$A,G$2),"")</f>
        <v/>
      </c>
      <c r="H122" s="42" t="str">
        <f>IF(SUMIFS(Sheet2!$E:$E,Sheet2!$C:$C,$A122,Sheet2!$A:$A,H$2)&lt;&gt;0,SUMIFS(Sheet2!$E:$E,Sheet2!$C:$C,$A122,Sheet2!$A:$A,H$2),"")</f>
        <v/>
      </c>
      <c r="I122" s="42" t="str">
        <f>IF(SUMIFS(Sheet2!$E:$E,Sheet2!$C:$C,$A122,Sheet2!$A:$A,I$2)&lt;&gt;0,SUMIFS(Sheet2!$E:$E,Sheet2!$C:$C,$A122,Sheet2!$A:$A,I$2),"")</f>
        <v/>
      </c>
      <c r="J122" s="42" t="str">
        <f>IF(SUMIFS(Sheet2!$E:$E,Sheet2!$C:$C,$A122,Sheet2!$A:$A,J$2)&lt;&gt;0,SUMIFS(Sheet2!$E:$E,Sheet2!$C:$C,$A122,Sheet2!$A:$A,J$2),"")</f>
        <v/>
      </c>
      <c r="K122" s="42" t="str">
        <f>IF(SUMIFS(Sheet2!$E:$E,Sheet2!$C:$C,$A122,Sheet2!$A:$A,K$2)&lt;&gt;0,SUMIFS(Sheet2!$E:$E,Sheet2!$C:$C,$A122,Sheet2!$A:$A,K$2),"")</f>
        <v/>
      </c>
      <c r="L122" s="42" t="str">
        <f>IF(SUMIFS(Sheet2!$E:$E,Sheet2!$C:$C,$A122,Sheet2!$A:$A,L$2)&lt;&gt;0,SUMIFS(Sheet2!$E:$E,Sheet2!$C:$C,$A122,Sheet2!$A:$A,L$2),"")</f>
        <v/>
      </c>
      <c r="M122" s="42" t="str">
        <f>IF(SUMIFS(Sheet2!$E:$E,Sheet2!$C:$C,$A122,Sheet2!$A:$A,M$2)&lt;&gt;0,SUMIFS(Sheet2!$E:$E,Sheet2!$C:$C,$A122,Sheet2!$A:$A,M$2),"")</f>
        <v/>
      </c>
      <c r="N122" s="42" t="str">
        <f>IF(SUMIFS(Sheet2!$E:$E,Sheet2!$C:$C,$A122,Sheet2!$A:$A,N$2)&lt;&gt;0,SUMIFS(Sheet2!$E:$E,Sheet2!$C:$C,$A122,Sheet2!$A:$A,N$2),"")</f>
        <v/>
      </c>
      <c r="O122" s="42" t="str">
        <f>IF(SUMIFS(Sheet2!$E:$E,Sheet2!$C:$C,$A122,Sheet2!$A:$A,O$2)&lt;&gt;0,SUMIFS(Sheet2!$E:$E,Sheet2!$C:$C,$A122,Sheet2!$A:$A,O$2),"")</f>
        <v/>
      </c>
      <c r="P122" s="42" t="str">
        <f>IF(SUMIFS(Sheet2!$E:$E,Sheet2!$C:$C,$A122,Sheet2!$A:$A,P$2)&lt;&gt;0,SUMIFS(Sheet2!$E:$E,Sheet2!$C:$C,$A122,Sheet2!$A:$A,P$2),"")</f>
        <v/>
      </c>
      <c r="Q122" s="42" t="str">
        <f>IF(SUMIFS(Sheet2!$E:$E,Sheet2!$C:$C,$A122,Sheet2!$A:$A,Q$2)&lt;&gt;0,SUMIFS(Sheet2!$E:$E,Sheet2!$C:$C,$A122,Sheet2!$A:$A,Q$2),"")</f>
        <v/>
      </c>
      <c r="R122" s="42" t="str">
        <f>IF(SUMIFS(Sheet2!$E:$E,Sheet2!$C:$C,$A122,Sheet2!$A:$A,R$2)&lt;&gt;0,SUMIFS(Sheet2!$E:$E,Sheet2!$C:$C,$A122,Sheet2!$A:$A,R$2),"")</f>
        <v/>
      </c>
      <c r="S122" s="42" t="str">
        <f>IF(SUMIFS(Sheet2!$E:$E,Sheet2!$C:$C,$A122,Sheet2!$A:$A,S$2)&lt;&gt;0,SUMIFS(Sheet2!$E:$E,Sheet2!$C:$C,$A122,Sheet2!$A:$A,S$2),"")</f>
        <v/>
      </c>
      <c r="T122" s="42" t="str">
        <f>IF(SUMIFS(Sheet2!$E:$E,Sheet2!$C:$C,$A122,Sheet2!$A:$A,T$2)&lt;&gt;0,SUMIFS(Sheet2!$E:$E,Sheet2!$C:$C,$A122,Sheet2!$A:$A,T$2),"")</f>
        <v/>
      </c>
      <c r="U122" s="42" t="str">
        <f>IF(SUMIFS(Sheet2!$E:$E,Sheet2!$C:$C,$A122,Sheet2!$A:$A,U$2)&lt;&gt;0,SUMIFS(Sheet2!$E:$E,Sheet2!$C:$C,$A122,Sheet2!$A:$A,U$2),"")</f>
        <v/>
      </c>
      <c r="V122" s="42" t="str">
        <f>IF(SUMIFS(Sheet2!$E:$E,Sheet2!$C:$C,$A122,Sheet2!$A:$A,V$2)&lt;&gt;0,SUMIFS(Sheet2!$E:$E,Sheet2!$C:$C,$A122,Sheet2!$A:$A,V$2),"")</f>
        <v/>
      </c>
      <c r="W122" s="42" t="str">
        <f>IF(SUMIFS(Sheet2!$E:$E,Sheet2!$C:$C,$A122,Sheet2!$A:$A,W$2)&lt;&gt;0,SUMIFS(Sheet2!$E:$E,Sheet2!$C:$C,$A122,Sheet2!$A:$A,W$2),"")</f>
        <v/>
      </c>
      <c r="X122" s="42" t="str">
        <f>IF(SUMIFS(Sheet2!$E:$E,Sheet2!$C:$C,$A122,Sheet2!$A:$A,X$2)&lt;&gt;0,SUMIFS(Sheet2!$E:$E,Sheet2!$C:$C,$A122,Sheet2!$A:$A,X$2),"")</f>
        <v/>
      </c>
      <c r="Y122" s="42" t="str">
        <f>IF(SUMIFS(Sheet2!$E:$E,Sheet2!$C:$C,$A122,Sheet2!$A:$A,Y$2)&lt;&gt;0,SUMIFS(Sheet2!$E:$E,Sheet2!$C:$C,$A122,Sheet2!$A:$A,Y$2),"")</f>
        <v/>
      </c>
      <c r="Z122" s="42" t="str">
        <f>IF(SUMIFS(Sheet2!$E:$E,Sheet2!$C:$C,$A122,Sheet2!$A:$A,Z$2)&lt;&gt;0,SUMIFS(Sheet2!$E:$E,Sheet2!$C:$C,$A122,Sheet2!$A:$A,Z$2),"")</f>
        <v/>
      </c>
      <c r="AA122" s="42" t="str">
        <f>IF(SUMIFS(Sheet2!$E:$E,Sheet2!$C:$C,$A122,Sheet2!$A:$A,AA$2)&lt;&gt;0,SUMIFS(Sheet2!$E:$E,Sheet2!$C:$C,$A122,Sheet2!$A:$A,AA$2),"")</f>
        <v/>
      </c>
      <c r="AB122" s="42" t="str">
        <f>IF(SUMIFS(Sheet2!$E:$E,Sheet2!$C:$C,$A122,Sheet2!$A:$A,AB$2)&lt;&gt;0,SUMIFS(Sheet2!$E:$E,Sheet2!$C:$C,$A122,Sheet2!$A:$A,AB$2),"")</f>
        <v/>
      </c>
      <c r="AC122" s="42" t="str">
        <f>IF(SUMIFS(Sheet2!$E:$E,Sheet2!$C:$C,$A122,Sheet2!$A:$A,AC$2)&lt;&gt;0,SUMIFS(Sheet2!$E:$E,Sheet2!$C:$C,$A122,Sheet2!$A:$A,AC$2),"")</f>
        <v/>
      </c>
      <c r="AD122" s="42" t="str">
        <f>IF(SUMIFS(Sheet2!$E:$E,Sheet2!$C:$C,$A122,Sheet2!$A:$A,AD$2)&lt;&gt;0,SUMIFS(Sheet2!$E:$E,Sheet2!$C:$C,$A122,Sheet2!$A:$A,AD$2),"")</f>
        <v/>
      </c>
      <c r="AE122" s="42" t="str">
        <f>IF(SUMIFS(Sheet2!$E:$E,Sheet2!$C:$C,$A122,Sheet2!$A:$A,AE$2)&lt;&gt;0,SUMIFS(Sheet2!$E:$E,Sheet2!$C:$C,$A122,Sheet2!$A:$A,AE$2),"")</f>
        <v/>
      </c>
      <c r="AF122" s="42" t="str">
        <f>IF(SUMIFS(Sheet2!$E:$E,Sheet2!$C:$C,$A122,Sheet2!$A:$A,AF$2)&lt;&gt;0,SUMIFS(Sheet2!$E:$E,Sheet2!$C:$C,$A122,Sheet2!$A:$A,AF$2),"")</f>
        <v/>
      </c>
      <c r="AG122" s="42" t="str">
        <f>IF(SUMIFS(Sheet2!$E:$E,Sheet2!$C:$C,$A122,Sheet2!$A:$A,AG$2)&lt;&gt;0,SUMIFS(Sheet2!$E:$E,Sheet2!$C:$C,$A122,Sheet2!$A:$A,AG$2),"")</f>
        <v/>
      </c>
      <c r="AH122" s="43">
        <f>SUM(Table2[[#This Row],[1]:[31]])</f>
        <v>0</v>
      </c>
    </row>
    <row r="123" spans="1:34" ht="12.75" customHeight="1">
      <c r="A123" s="76" t="str">
        <f>DSSP!A122</f>
        <v>VD8</v>
      </c>
      <c r="B123" s="25" t="str">
        <f>DSSP!B122</f>
        <v>Keo nến</v>
      </c>
      <c r="C123" s="42" t="str">
        <f>IF(SUMIFS(Sheet2!$E:$E,Sheet2!$C:$C,$A123,Sheet2!$A:$A,C$2)&lt;&gt;0,SUMIFS(Sheet2!$E:$E,Sheet2!$C:$C,$A123,Sheet2!$A:$A,C$2),"")</f>
        <v/>
      </c>
      <c r="D123" s="42" t="str">
        <f>IF(SUMIFS(Sheet2!$E:$E,Sheet2!$C:$C,$A123,Sheet2!$A:$A,D$2)&lt;&gt;0,SUMIFS(Sheet2!$E:$E,Sheet2!$C:$C,$A123,Sheet2!$A:$A,D$2),"")</f>
        <v/>
      </c>
      <c r="E123" s="42" t="str">
        <f>IF(SUMIFS(Sheet2!$E:$E,Sheet2!$C:$C,$A123,Sheet2!$A:$A,E$2)&lt;&gt;0,SUMIFS(Sheet2!$E:$E,Sheet2!$C:$C,$A123,Sheet2!$A:$A,E$2),"")</f>
        <v/>
      </c>
      <c r="F123" s="42" t="str">
        <f>IF(SUMIFS(Sheet2!$E:$E,Sheet2!$C:$C,$A123,Sheet2!$A:$A,F$2)&lt;&gt;0,SUMIFS(Sheet2!$E:$E,Sheet2!$C:$C,$A123,Sheet2!$A:$A,F$2),"")</f>
        <v/>
      </c>
      <c r="G123" s="42" t="str">
        <f>IF(SUMIFS(Sheet2!$E:$E,Sheet2!$C:$C,$A123,Sheet2!$A:$A,G$2)&lt;&gt;0,SUMIFS(Sheet2!$E:$E,Sheet2!$C:$C,$A123,Sheet2!$A:$A,G$2),"")</f>
        <v/>
      </c>
      <c r="H123" s="42" t="str">
        <f>IF(SUMIFS(Sheet2!$E:$E,Sheet2!$C:$C,$A123,Sheet2!$A:$A,H$2)&lt;&gt;0,SUMIFS(Sheet2!$E:$E,Sheet2!$C:$C,$A123,Sheet2!$A:$A,H$2),"")</f>
        <v/>
      </c>
      <c r="I123" s="42" t="str">
        <f>IF(SUMIFS(Sheet2!$E:$E,Sheet2!$C:$C,$A123,Sheet2!$A:$A,I$2)&lt;&gt;0,SUMIFS(Sheet2!$E:$E,Sheet2!$C:$C,$A123,Sheet2!$A:$A,I$2),"")</f>
        <v/>
      </c>
      <c r="J123" s="42" t="str">
        <f>IF(SUMIFS(Sheet2!$E:$E,Sheet2!$C:$C,$A123,Sheet2!$A:$A,J$2)&lt;&gt;0,SUMIFS(Sheet2!$E:$E,Sheet2!$C:$C,$A123,Sheet2!$A:$A,J$2),"")</f>
        <v/>
      </c>
      <c r="K123" s="42" t="str">
        <f>IF(SUMIFS(Sheet2!$E:$E,Sheet2!$C:$C,$A123,Sheet2!$A:$A,K$2)&lt;&gt;0,SUMIFS(Sheet2!$E:$E,Sheet2!$C:$C,$A123,Sheet2!$A:$A,K$2),"")</f>
        <v/>
      </c>
      <c r="L123" s="42" t="str">
        <f>IF(SUMIFS(Sheet2!$E:$E,Sheet2!$C:$C,$A123,Sheet2!$A:$A,L$2)&lt;&gt;0,SUMIFS(Sheet2!$E:$E,Sheet2!$C:$C,$A123,Sheet2!$A:$A,L$2),"")</f>
        <v/>
      </c>
      <c r="M123" s="42" t="str">
        <f>IF(SUMIFS(Sheet2!$E:$E,Sheet2!$C:$C,$A123,Sheet2!$A:$A,M$2)&lt;&gt;0,SUMIFS(Sheet2!$E:$E,Sheet2!$C:$C,$A123,Sheet2!$A:$A,M$2),"")</f>
        <v/>
      </c>
      <c r="N123" s="42" t="str">
        <f>IF(SUMIFS(Sheet2!$E:$E,Sheet2!$C:$C,$A123,Sheet2!$A:$A,N$2)&lt;&gt;0,SUMIFS(Sheet2!$E:$E,Sheet2!$C:$C,$A123,Sheet2!$A:$A,N$2),"")</f>
        <v/>
      </c>
      <c r="O123" s="42" t="str">
        <f>IF(SUMIFS(Sheet2!$E:$E,Sheet2!$C:$C,$A123,Sheet2!$A:$A,O$2)&lt;&gt;0,SUMIFS(Sheet2!$E:$E,Sheet2!$C:$C,$A123,Sheet2!$A:$A,O$2),"")</f>
        <v/>
      </c>
      <c r="P123" s="42" t="str">
        <f>IF(SUMIFS(Sheet2!$E:$E,Sheet2!$C:$C,$A123,Sheet2!$A:$A,P$2)&lt;&gt;0,SUMIFS(Sheet2!$E:$E,Sheet2!$C:$C,$A123,Sheet2!$A:$A,P$2),"")</f>
        <v/>
      </c>
      <c r="Q123" s="42" t="str">
        <f>IF(SUMIFS(Sheet2!$E:$E,Sheet2!$C:$C,$A123,Sheet2!$A:$A,Q$2)&lt;&gt;0,SUMIFS(Sheet2!$E:$E,Sheet2!$C:$C,$A123,Sheet2!$A:$A,Q$2),"")</f>
        <v/>
      </c>
      <c r="R123" s="42" t="str">
        <f>IF(SUMIFS(Sheet2!$E:$E,Sheet2!$C:$C,$A123,Sheet2!$A:$A,R$2)&lt;&gt;0,SUMIFS(Sheet2!$E:$E,Sheet2!$C:$C,$A123,Sheet2!$A:$A,R$2),"")</f>
        <v/>
      </c>
      <c r="S123" s="42" t="str">
        <f>IF(SUMIFS(Sheet2!$E:$E,Sheet2!$C:$C,$A123,Sheet2!$A:$A,S$2)&lt;&gt;0,SUMIFS(Sheet2!$E:$E,Sheet2!$C:$C,$A123,Sheet2!$A:$A,S$2),"")</f>
        <v/>
      </c>
      <c r="T123" s="42" t="str">
        <f>IF(SUMIFS(Sheet2!$E:$E,Sheet2!$C:$C,$A123,Sheet2!$A:$A,T$2)&lt;&gt;0,SUMIFS(Sheet2!$E:$E,Sheet2!$C:$C,$A123,Sheet2!$A:$A,T$2),"")</f>
        <v/>
      </c>
      <c r="U123" s="42" t="str">
        <f>IF(SUMIFS(Sheet2!$E:$E,Sheet2!$C:$C,$A123,Sheet2!$A:$A,U$2)&lt;&gt;0,SUMIFS(Sheet2!$E:$E,Sheet2!$C:$C,$A123,Sheet2!$A:$A,U$2),"")</f>
        <v/>
      </c>
      <c r="V123" s="42" t="str">
        <f>IF(SUMIFS(Sheet2!$E:$E,Sheet2!$C:$C,$A123,Sheet2!$A:$A,V$2)&lt;&gt;0,SUMIFS(Sheet2!$E:$E,Sheet2!$C:$C,$A123,Sheet2!$A:$A,V$2),"")</f>
        <v/>
      </c>
      <c r="W123" s="42" t="str">
        <f>IF(SUMIFS(Sheet2!$E:$E,Sheet2!$C:$C,$A123,Sheet2!$A:$A,W$2)&lt;&gt;0,SUMIFS(Sheet2!$E:$E,Sheet2!$C:$C,$A123,Sheet2!$A:$A,W$2),"")</f>
        <v/>
      </c>
      <c r="X123" s="42" t="str">
        <f>IF(SUMIFS(Sheet2!$E:$E,Sheet2!$C:$C,$A123,Sheet2!$A:$A,X$2)&lt;&gt;0,SUMIFS(Sheet2!$E:$E,Sheet2!$C:$C,$A123,Sheet2!$A:$A,X$2),"")</f>
        <v/>
      </c>
      <c r="Y123" s="42" t="str">
        <f>IF(SUMIFS(Sheet2!$E:$E,Sheet2!$C:$C,$A123,Sheet2!$A:$A,Y$2)&lt;&gt;0,SUMIFS(Sheet2!$E:$E,Sheet2!$C:$C,$A123,Sheet2!$A:$A,Y$2),"")</f>
        <v/>
      </c>
      <c r="Z123" s="42" t="str">
        <f>IF(SUMIFS(Sheet2!$E:$E,Sheet2!$C:$C,$A123,Sheet2!$A:$A,Z$2)&lt;&gt;0,SUMIFS(Sheet2!$E:$E,Sheet2!$C:$C,$A123,Sheet2!$A:$A,Z$2),"")</f>
        <v/>
      </c>
      <c r="AA123" s="42" t="str">
        <f>IF(SUMIFS(Sheet2!$E:$E,Sheet2!$C:$C,$A123,Sheet2!$A:$A,AA$2)&lt;&gt;0,SUMIFS(Sheet2!$E:$E,Sheet2!$C:$C,$A123,Sheet2!$A:$A,AA$2),"")</f>
        <v/>
      </c>
      <c r="AB123" s="42" t="str">
        <f>IF(SUMIFS(Sheet2!$E:$E,Sheet2!$C:$C,$A123,Sheet2!$A:$A,AB$2)&lt;&gt;0,SUMIFS(Sheet2!$E:$E,Sheet2!$C:$C,$A123,Sheet2!$A:$A,AB$2),"")</f>
        <v/>
      </c>
      <c r="AC123" s="42" t="str">
        <f>IF(SUMIFS(Sheet2!$E:$E,Sheet2!$C:$C,$A123,Sheet2!$A:$A,AC$2)&lt;&gt;0,SUMIFS(Sheet2!$E:$E,Sheet2!$C:$C,$A123,Sheet2!$A:$A,AC$2),"")</f>
        <v/>
      </c>
      <c r="AD123" s="42" t="str">
        <f>IF(SUMIFS(Sheet2!$E:$E,Sheet2!$C:$C,$A123,Sheet2!$A:$A,AD$2)&lt;&gt;0,SUMIFS(Sheet2!$E:$E,Sheet2!$C:$C,$A123,Sheet2!$A:$A,AD$2),"")</f>
        <v/>
      </c>
      <c r="AE123" s="42" t="str">
        <f>IF(SUMIFS(Sheet2!$E:$E,Sheet2!$C:$C,$A123,Sheet2!$A:$A,AE$2)&lt;&gt;0,SUMIFS(Sheet2!$E:$E,Sheet2!$C:$C,$A123,Sheet2!$A:$A,AE$2),"")</f>
        <v/>
      </c>
      <c r="AF123" s="42" t="str">
        <f>IF(SUMIFS(Sheet2!$E:$E,Sheet2!$C:$C,$A123,Sheet2!$A:$A,AF$2)&lt;&gt;0,SUMIFS(Sheet2!$E:$E,Sheet2!$C:$C,$A123,Sheet2!$A:$A,AF$2),"")</f>
        <v/>
      </c>
      <c r="AG123" s="42" t="str">
        <f>IF(SUMIFS(Sheet2!$E:$E,Sheet2!$C:$C,$A123,Sheet2!$A:$A,AG$2)&lt;&gt;0,SUMIFS(Sheet2!$E:$E,Sheet2!$C:$C,$A123,Sheet2!$A:$A,AG$2),"")</f>
        <v/>
      </c>
      <c r="AH123" s="43">
        <f>SUM(Table2[[#This Row],[1]:[31]])</f>
        <v>0</v>
      </c>
    </row>
    <row r="124" spans="1:34" ht="12.75" customHeight="1">
      <c r="A124" s="76" t="str">
        <f>DSSP!A123</f>
        <v>VD9</v>
      </c>
      <c r="B124" s="25" t="str">
        <f>DSSP!B123</f>
        <v>Set chỉ</v>
      </c>
      <c r="C124" s="42" t="str">
        <f>IF(SUMIFS(Sheet2!$E:$E,Sheet2!$C:$C,$A124,Sheet2!$A:$A,C$2)&lt;&gt;0,SUMIFS(Sheet2!$E:$E,Sheet2!$C:$C,$A124,Sheet2!$A:$A,C$2),"")</f>
        <v/>
      </c>
      <c r="D124" s="42" t="str">
        <f>IF(SUMIFS(Sheet2!$E:$E,Sheet2!$C:$C,$A124,Sheet2!$A:$A,D$2)&lt;&gt;0,SUMIFS(Sheet2!$E:$E,Sheet2!$C:$C,$A124,Sheet2!$A:$A,D$2),"")</f>
        <v/>
      </c>
      <c r="E124" s="42" t="str">
        <f>IF(SUMIFS(Sheet2!$E:$E,Sheet2!$C:$C,$A124,Sheet2!$A:$A,E$2)&lt;&gt;0,SUMIFS(Sheet2!$E:$E,Sheet2!$C:$C,$A124,Sheet2!$A:$A,E$2),"")</f>
        <v/>
      </c>
      <c r="F124" s="42" t="str">
        <f>IF(SUMIFS(Sheet2!$E:$E,Sheet2!$C:$C,$A124,Sheet2!$A:$A,F$2)&lt;&gt;0,SUMIFS(Sheet2!$E:$E,Sheet2!$C:$C,$A124,Sheet2!$A:$A,F$2),"")</f>
        <v/>
      </c>
      <c r="G124" s="42" t="str">
        <f>IF(SUMIFS(Sheet2!$E:$E,Sheet2!$C:$C,$A124,Sheet2!$A:$A,G$2)&lt;&gt;0,SUMIFS(Sheet2!$E:$E,Sheet2!$C:$C,$A124,Sheet2!$A:$A,G$2),"")</f>
        <v/>
      </c>
      <c r="H124" s="42" t="str">
        <f>IF(SUMIFS(Sheet2!$E:$E,Sheet2!$C:$C,$A124,Sheet2!$A:$A,H$2)&lt;&gt;0,SUMIFS(Sheet2!$E:$E,Sheet2!$C:$C,$A124,Sheet2!$A:$A,H$2),"")</f>
        <v/>
      </c>
      <c r="I124" s="42" t="str">
        <f>IF(SUMIFS(Sheet2!$E:$E,Sheet2!$C:$C,$A124,Sheet2!$A:$A,I$2)&lt;&gt;0,SUMIFS(Sheet2!$E:$E,Sheet2!$C:$C,$A124,Sheet2!$A:$A,I$2),"")</f>
        <v/>
      </c>
      <c r="J124" s="42" t="str">
        <f>IF(SUMIFS(Sheet2!$E:$E,Sheet2!$C:$C,$A124,Sheet2!$A:$A,J$2)&lt;&gt;0,SUMIFS(Sheet2!$E:$E,Sheet2!$C:$C,$A124,Sheet2!$A:$A,J$2),"")</f>
        <v/>
      </c>
      <c r="K124" s="42" t="str">
        <f>IF(SUMIFS(Sheet2!$E:$E,Sheet2!$C:$C,$A124,Sheet2!$A:$A,K$2)&lt;&gt;0,SUMIFS(Sheet2!$E:$E,Sheet2!$C:$C,$A124,Sheet2!$A:$A,K$2),"")</f>
        <v/>
      </c>
      <c r="L124" s="42" t="str">
        <f>IF(SUMIFS(Sheet2!$E:$E,Sheet2!$C:$C,$A124,Sheet2!$A:$A,L$2)&lt;&gt;0,SUMIFS(Sheet2!$E:$E,Sheet2!$C:$C,$A124,Sheet2!$A:$A,L$2),"")</f>
        <v/>
      </c>
      <c r="M124" s="42" t="str">
        <f>IF(SUMIFS(Sheet2!$E:$E,Sheet2!$C:$C,$A124,Sheet2!$A:$A,M$2)&lt;&gt;0,SUMIFS(Sheet2!$E:$E,Sheet2!$C:$C,$A124,Sheet2!$A:$A,M$2),"")</f>
        <v/>
      </c>
      <c r="N124" s="42" t="str">
        <f>IF(SUMIFS(Sheet2!$E:$E,Sheet2!$C:$C,$A124,Sheet2!$A:$A,N$2)&lt;&gt;0,SUMIFS(Sheet2!$E:$E,Sheet2!$C:$C,$A124,Sheet2!$A:$A,N$2),"")</f>
        <v/>
      </c>
      <c r="O124" s="42" t="str">
        <f>IF(SUMIFS(Sheet2!$E:$E,Sheet2!$C:$C,$A124,Sheet2!$A:$A,O$2)&lt;&gt;0,SUMIFS(Sheet2!$E:$E,Sheet2!$C:$C,$A124,Sheet2!$A:$A,O$2),"")</f>
        <v/>
      </c>
      <c r="P124" s="42" t="str">
        <f>IF(SUMIFS(Sheet2!$E:$E,Sheet2!$C:$C,$A124,Sheet2!$A:$A,P$2)&lt;&gt;0,SUMIFS(Sheet2!$E:$E,Sheet2!$C:$C,$A124,Sheet2!$A:$A,P$2),"")</f>
        <v/>
      </c>
      <c r="Q124" s="42" t="str">
        <f>IF(SUMIFS(Sheet2!$E:$E,Sheet2!$C:$C,$A124,Sheet2!$A:$A,Q$2)&lt;&gt;0,SUMIFS(Sheet2!$E:$E,Sheet2!$C:$C,$A124,Sheet2!$A:$A,Q$2),"")</f>
        <v/>
      </c>
      <c r="R124" s="42" t="str">
        <f>IF(SUMIFS(Sheet2!$E:$E,Sheet2!$C:$C,$A124,Sheet2!$A:$A,R$2)&lt;&gt;0,SUMIFS(Sheet2!$E:$E,Sheet2!$C:$C,$A124,Sheet2!$A:$A,R$2),"")</f>
        <v/>
      </c>
      <c r="S124" s="42" t="str">
        <f>IF(SUMIFS(Sheet2!$E:$E,Sheet2!$C:$C,$A124,Sheet2!$A:$A,S$2)&lt;&gt;0,SUMIFS(Sheet2!$E:$E,Sheet2!$C:$C,$A124,Sheet2!$A:$A,S$2),"")</f>
        <v/>
      </c>
      <c r="T124" s="42" t="str">
        <f>IF(SUMIFS(Sheet2!$E:$E,Sheet2!$C:$C,$A124,Sheet2!$A:$A,T$2)&lt;&gt;0,SUMIFS(Sheet2!$E:$E,Sheet2!$C:$C,$A124,Sheet2!$A:$A,T$2),"")</f>
        <v/>
      </c>
      <c r="U124" s="42" t="str">
        <f>IF(SUMIFS(Sheet2!$E:$E,Sheet2!$C:$C,$A124,Sheet2!$A:$A,U$2)&lt;&gt;0,SUMIFS(Sheet2!$E:$E,Sheet2!$C:$C,$A124,Sheet2!$A:$A,U$2),"")</f>
        <v/>
      </c>
      <c r="V124" s="42" t="str">
        <f>IF(SUMIFS(Sheet2!$E:$E,Sheet2!$C:$C,$A124,Sheet2!$A:$A,V$2)&lt;&gt;0,SUMIFS(Sheet2!$E:$E,Sheet2!$C:$C,$A124,Sheet2!$A:$A,V$2),"")</f>
        <v/>
      </c>
      <c r="W124" s="42" t="str">
        <f>IF(SUMIFS(Sheet2!$E:$E,Sheet2!$C:$C,$A124,Sheet2!$A:$A,W$2)&lt;&gt;0,SUMIFS(Sheet2!$E:$E,Sheet2!$C:$C,$A124,Sheet2!$A:$A,W$2),"")</f>
        <v/>
      </c>
      <c r="X124" s="42" t="str">
        <f>IF(SUMIFS(Sheet2!$E:$E,Sheet2!$C:$C,$A124,Sheet2!$A:$A,X$2)&lt;&gt;0,SUMIFS(Sheet2!$E:$E,Sheet2!$C:$C,$A124,Sheet2!$A:$A,X$2),"")</f>
        <v/>
      </c>
      <c r="Y124" s="42" t="str">
        <f>IF(SUMIFS(Sheet2!$E:$E,Sheet2!$C:$C,$A124,Sheet2!$A:$A,Y$2)&lt;&gt;0,SUMIFS(Sheet2!$E:$E,Sheet2!$C:$C,$A124,Sheet2!$A:$A,Y$2),"")</f>
        <v/>
      </c>
      <c r="Z124" s="42" t="str">
        <f>IF(SUMIFS(Sheet2!$E:$E,Sheet2!$C:$C,$A124,Sheet2!$A:$A,Z$2)&lt;&gt;0,SUMIFS(Sheet2!$E:$E,Sheet2!$C:$C,$A124,Sheet2!$A:$A,Z$2),"")</f>
        <v/>
      </c>
      <c r="AA124" s="42" t="str">
        <f>IF(SUMIFS(Sheet2!$E:$E,Sheet2!$C:$C,$A124,Sheet2!$A:$A,AA$2)&lt;&gt;0,SUMIFS(Sheet2!$E:$E,Sheet2!$C:$C,$A124,Sheet2!$A:$A,AA$2),"")</f>
        <v/>
      </c>
      <c r="AB124" s="42" t="str">
        <f>IF(SUMIFS(Sheet2!$E:$E,Sheet2!$C:$C,$A124,Sheet2!$A:$A,AB$2)&lt;&gt;0,SUMIFS(Sheet2!$E:$E,Sheet2!$C:$C,$A124,Sheet2!$A:$A,AB$2),"")</f>
        <v/>
      </c>
      <c r="AC124" s="42" t="str">
        <f>IF(SUMIFS(Sheet2!$E:$E,Sheet2!$C:$C,$A124,Sheet2!$A:$A,AC$2)&lt;&gt;0,SUMIFS(Sheet2!$E:$E,Sheet2!$C:$C,$A124,Sheet2!$A:$A,AC$2),"")</f>
        <v/>
      </c>
      <c r="AD124" s="42" t="str">
        <f>IF(SUMIFS(Sheet2!$E:$E,Sheet2!$C:$C,$A124,Sheet2!$A:$A,AD$2)&lt;&gt;0,SUMIFS(Sheet2!$E:$E,Sheet2!$C:$C,$A124,Sheet2!$A:$A,AD$2),"")</f>
        <v/>
      </c>
      <c r="AE124" s="42" t="str">
        <f>IF(SUMIFS(Sheet2!$E:$E,Sheet2!$C:$C,$A124,Sheet2!$A:$A,AE$2)&lt;&gt;0,SUMIFS(Sheet2!$E:$E,Sheet2!$C:$C,$A124,Sheet2!$A:$A,AE$2),"")</f>
        <v/>
      </c>
      <c r="AF124" s="42" t="str">
        <f>IF(SUMIFS(Sheet2!$E:$E,Sheet2!$C:$C,$A124,Sheet2!$A:$A,AF$2)&lt;&gt;0,SUMIFS(Sheet2!$E:$E,Sheet2!$C:$C,$A124,Sheet2!$A:$A,AF$2),"")</f>
        <v/>
      </c>
      <c r="AG124" s="42" t="str">
        <f>IF(SUMIFS(Sheet2!$E:$E,Sheet2!$C:$C,$A124,Sheet2!$A:$A,AG$2)&lt;&gt;0,SUMIFS(Sheet2!$E:$E,Sheet2!$C:$C,$A124,Sheet2!$A:$A,AG$2),"")</f>
        <v/>
      </c>
      <c r="AH124" s="43">
        <f>SUM(Table2[[#This Row],[1]:[31]])</f>
        <v>0</v>
      </c>
    </row>
    <row r="125" spans="1:34" ht="12.75" customHeight="1">
      <c r="A125" s="76" t="str">
        <f>DSSP!A124</f>
        <v>VD10</v>
      </c>
      <c r="B125" s="25" t="str">
        <f>DSSP!B124</f>
        <v>Chỉ đơn</v>
      </c>
      <c r="C125" s="42" t="str">
        <f>IF(SUMIFS(Sheet2!$E:$E,Sheet2!$C:$C,$A125,Sheet2!$A:$A,C$2)&lt;&gt;0,SUMIFS(Sheet2!$E:$E,Sheet2!$C:$C,$A125,Sheet2!$A:$A,C$2),"")</f>
        <v/>
      </c>
      <c r="D125" s="42" t="str">
        <f>IF(SUMIFS(Sheet2!$E:$E,Sheet2!$C:$C,$A125,Sheet2!$A:$A,D$2)&lt;&gt;0,SUMIFS(Sheet2!$E:$E,Sheet2!$C:$C,$A125,Sheet2!$A:$A,D$2),"")</f>
        <v/>
      </c>
      <c r="E125" s="42" t="str">
        <f>IF(SUMIFS(Sheet2!$E:$E,Sheet2!$C:$C,$A125,Sheet2!$A:$A,E$2)&lt;&gt;0,SUMIFS(Sheet2!$E:$E,Sheet2!$C:$C,$A125,Sheet2!$A:$A,E$2),"")</f>
        <v/>
      </c>
      <c r="F125" s="42" t="str">
        <f>IF(SUMIFS(Sheet2!$E:$E,Sheet2!$C:$C,$A125,Sheet2!$A:$A,F$2)&lt;&gt;0,SUMIFS(Sheet2!$E:$E,Sheet2!$C:$C,$A125,Sheet2!$A:$A,F$2),"")</f>
        <v/>
      </c>
      <c r="G125" s="42" t="str">
        <f>IF(SUMIFS(Sheet2!$E:$E,Sheet2!$C:$C,$A125,Sheet2!$A:$A,G$2)&lt;&gt;0,SUMIFS(Sheet2!$E:$E,Sheet2!$C:$C,$A125,Sheet2!$A:$A,G$2),"")</f>
        <v/>
      </c>
      <c r="H125" s="42" t="str">
        <f>IF(SUMIFS(Sheet2!$E:$E,Sheet2!$C:$C,$A125,Sheet2!$A:$A,H$2)&lt;&gt;0,SUMIFS(Sheet2!$E:$E,Sheet2!$C:$C,$A125,Sheet2!$A:$A,H$2),"")</f>
        <v/>
      </c>
      <c r="I125" s="42" t="str">
        <f>IF(SUMIFS(Sheet2!$E:$E,Sheet2!$C:$C,$A125,Sheet2!$A:$A,I$2)&lt;&gt;0,SUMIFS(Sheet2!$E:$E,Sheet2!$C:$C,$A125,Sheet2!$A:$A,I$2),"")</f>
        <v/>
      </c>
      <c r="J125" s="42" t="str">
        <f>IF(SUMIFS(Sheet2!$E:$E,Sheet2!$C:$C,$A125,Sheet2!$A:$A,J$2)&lt;&gt;0,SUMIFS(Sheet2!$E:$E,Sheet2!$C:$C,$A125,Sheet2!$A:$A,J$2),"")</f>
        <v/>
      </c>
      <c r="K125" s="42" t="str">
        <f>IF(SUMIFS(Sheet2!$E:$E,Sheet2!$C:$C,$A125,Sheet2!$A:$A,K$2)&lt;&gt;0,SUMIFS(Sheet2!$E:$E,Sheet2!$C:$C,$A125,Sheet2!$A:$A,K$2),"")</f>
        <v/>
      </c>
      <c r="L125" s="42" t="str">
        <f>IF(SUMIFS(Sheet2!$E:$E,Sheet2!$C:$C,$A125,Sheet2!$A:$A,L$2)&lt;&gt;0,SUMIFS(Sheet2!$E:$E,Sheet2!$C:$C,$A125,Sheet2!$A:$A,L$2),"")</f>
        <v/>
      </c>
      <c r="M125" s="42" t="str">
        <f>IF(SUMIFS(Sheet2!$E:$E,Sheet2!$C:$C,$A125,Sheet2!$A:$A,M$2)&lt;&gt;0,SUMIFS(Sheet2!$E:$E,Sheet2!$C:$C,$A125,Sheet2!$A:$A,M$2),"")</f>
        <v/>
      </c>
      <c r="N125" s="42" t="str">
        <f>IF(SUMIFS(Sheet2!$E:$E,Sheet2!$C:$C,$A125,Sheet2!$A:$A,N$2)&lt;&gt;0,SUMIFS(Sheet2!$E:$E,Sheet2!$C:$C,$A125,Sheet2!$A:$A,N$2),"")</f>
        <v/>
      </c>
      <c r="O125" s="42" t="str">
        <f>IF(SUMIFS(Sheet2!$E:$E,Sheet2!$C:$C,$A125,Sheet2!$A:$A,O$2)&lt;&gt;0,SUMIFS(Sheet2!$E:$E,Sheet2!$C:$C,$A125,Sheet2!$A:$A,O$2),"")</f>
        <v/>
      </c>
      <c r="P125" s="42" t="str">
        <f>IF(SUMIFS(Sheet2!$E:$E,Sheet2!$C:$C,$A125,Sheet2!$A:$A,P$2)&lt;&gt;0,SUMIFS(Sheet2!$E:$E,Sheet2!$C:$C,$A125,Sheet2!$A:$A,P$2),"")</f>
        <v/>
      </c>
      <c r="Q125" s="42" t="str">
        <f>IF(SUMIFS(Sheet2!$E:$E,Sheet2!$C:$C,$A125,Sheet2!$A:$A,Q$2)&lt;&gt;0,SUMIFS(Sheet2!$E:$E,Sheet2!$C:$C,$A125,Sheet2!$A:$A,Q$2),"")</f>
        <v/>
      </c>
      <c r="R125" s="42" t="str">
        <f>IF(SUMIFS(Sheet2!$E:$E,Sheet2!$C:$C,$A125,Sheet2!$A:$A,R$2)&lt;&gt;0,SUMIFS(Sheet2!$E:$E,Sheet2!$C:$C,$A125,Sheet2!$A:$A,R$2),"")</f>
        <v/>
      </c>
      <c r="S125" s="42" t="str">
        <f>IF(SUMIFS(Sheet2!$E:$E,Sheet2!$C:$C,$A125,Sheet2!$A:$A,S$2)&lt;&gt;0,SUMIFS(Sheet2!$E:$E,Sheet2!$C:$C,$A125,Sheet2!$A:$A,S$2),"")</f>
        <v/>
      </c>
      <c r="T125" s="42" t="str">
        <f>IF(SUMIFS(Sheet2!$E:$E,Sheet2!$C:$C,$A125,Sheet2!$A:$A,T$2)&lt;&gt;0,SUMIFS(Sheet2!$E:$E,Sheet2!$C:$C,$A125,Sheet2!$A:$A,T$2),"")</f>
        <v/>
      </c>
      <c r="U125" s="42" t="str">
        <f>IF(SUMIFS(Sheet2!$E:$E,Sheet2!$C:$C,$A125,Sheet2!$A:$A,U$2)&lt;&gt;0,SUMIFS(Sheet2!$E:$E,Sheet2!$C:$C,$A125,Sheet2!$A:$A,U$2),"")</f>
        <v/>
      </c>
      <c r="V125" s="42" t="str">
        <f>IF(SUMIFS(Sheet2!$E:$E,Sheet2!$C:$C,$A125,Sheet2!$A:$A,V$2)&lt;&gt;0,SUMIFS(Sheet2!$E:$E,Sheet2!$C:$C,$A125,Sheet2!$A:$A,V$2),"")</f>
        <v/>
      </c>
      <c r="W125" s="42" t="str">
        <f>IF(SUMIFS(Sheet2!$E:$E,Sheet2!$C:$C,$A125,Sheet2!$A:$A,W$2)&lt;&gt;0,SUMIFS(Sheet2!$E:$E,Sheet2!$C:$C,$A125,Sheet2!$A:$A,W$2),"")</f>
        <v/>
      </c>
      <c r="X125" s="42" t="str">
        <f>IF(SUMIFS(Sheet2!$E:$E,Sheet2!$C:$C,$A125,Sheet2!$A:$A,X$2)&lt;&gt;0,SUMIFS(Sheet2!$E:$E,Sheet2!$C:$C,$A125,Sheet2!$A:$A,X$2),"")</f>
        <v/>
      </c>
      <c r="Y125" s="42" t="str">
        <f>IF(SUMIFS(Sheet2!$E:$E,Sheet2!$C:$C,$A125,Sheet2!$A:$A,Y$2)&lt;&gt;0,SUMIFS(Sheet2!$E:$E,Sheet2!$C:$C,$A125,Sheet2!$A:$A,Y$2),"")</f>
        <v/>
      </c>
      <c r="Z125" s="42" t="str">
        <f>IF(SUMIFS(Sheet2!$E:$E,Sheet2!$C:$C,$A125,Sheet2!$A:$A,Z$2)&lt;&gt;0,SUMIFS(Sheet2!$E:$E,Sheet2!$C:$C,$A125,Sheet2!$A:$A,Z$2),"")</f>
        <v/>
      </c>
      <c r="AA125" s="42" t="str">
        <f>IF(SUMIFS(Sheet2!$E:$E,Sheet2!$C:$C,$A125,Sheet2!$A:$A,AA$2)&lt;&gt;0,SUMIFS(Sheet2!$E:$E,Sheet2!$C:$C,$A125,Sheet2!$A:$A,AA$2),"")</f>
        <v/>
      </c>
      <c r="AB125" s="42" t="str">
        <f>IF(SUMIFS(Sheet2!$E:$E,Sheet2!$C:$C,$A125,Sheet2!$A:$A,AB$2)&lt;&gt;0,SUMIFS(Sheet2!$E:$E,Sheet2!$C:$C,$A125,Sheet2!$A:$A,AB$2),"")</f>
        <v/>
      </c>
      <c r="AC125" s="42" t="str">
        <f>IF(SUMIFS(Sheet2!$E:$E,Sheet2!$C:$C,$A125,Sheet2!$A:$A,AC$2)&lt;&gt;0,SUMIFS(Sheet2!$E:$E,Sheet2!$C:$C,$A125,Sheet2!$A:$A,AC$2),"")</f>
        <v/>
      </c>
      <c r="AD125" s="42" t="str">
        <f>IF(SUMIFS(Sheet2!$E:$E,Sheet2!$C:$C,$A125,Sheet2!$A:$A,AD$2)&lt;&gt;0,SUMIFS(Sheet2!$E:$E,Sheet2!$C:$C,$A125,Sheet2!$A:$A,AD$2),"")</f>
        <v/>
      </c>
      <c r="AE125" s="42" t="str">
        <f>IF(SUMIFS(Sheet2!$E:$E,Sheet2!$C:$C,$A125,Sheet2!$A:$A,AE$2)&lt;&gt;0,SUMIFS(Sheet2!$E:$E,Sheet2!$C:$C,$A125,Sheet2!$A:$A,AE$2),"")</f>
        <v/>
      </c>
      <c r="AF125" s="42" t="str">
        <f>IF(SUMIFS(Sheet2!$E:$E,Sheet2!$C:$C,$A125,Sheet2!$A:$A,AF$2)&lt;&gt;0,SUMIFS(Sheet2!$E:$E,Sheet2!$C:$C,$A125,Sheet2!$A:$A,AF$2),"")</f>
        <v/>
      </c>
      <c r="AG125" s="42" t="str">
        <f>IF(SUMIFS(Sheet2!$E:$E,Sheet2!$C:$C,$A125,Sheet2!$A:$A,AG$2)&lt;&gt;0,SUMIFS(Sheet2!$E:$E,Sheet2!$C:$C,$A125,Sheet2!$A:$A,AG$2),"")</f>
        <v/>
      </c>
      <c r="AH125" s="43">
        <f>SUM(Table2[[#This Row],[1]:[31]])</f>
        <v>0</v>
      </c>
    </row>
    <row r="126" spans="1:34" ht="12.75" customHeight="1">
      <c r="A126" s="76" t="str">
        <f>DSSP!A125</f>
        <v>VD11</v>
      </c>
      <c r="B126" s="25" t="str">
        <f>DSSP!B125</f>
        <v>Bông túi</v>
      </c>
      <c r="C126" s="42" t="str">
        <f>IF(SUMIFS(Sheet2!$E:$E,Sheet2!$C:$C,$A126,Sheet2!$A:$A,C$2)&lt;&gt;0,SUMIFS(Sheet2!$E:$E,Sheet2!$C:$C,$A126,Sheet2!$A:$A,C$2),"")</f>
        <v/>
      </c>
      <c r="D126" s="42" t="str">
        <f>IF(SUMIFS(Sheet2!$E:$E,Sheet2!$C:$C,$A126,Sheet2!$A:$A,D$2)&lt;&gt;0,SUMIFS(Sheet2!$E:$E,Sheet2!$C:$C,$A126,Sheet2!$A:$A,D$2),"")</f>
        <v/>
      </c>
      <c r="E126" s="42" t="str">
        <f>IF(SUMIFS(Sheet2!$E:$E,Sheet2!$C:$C,$A126,Sheet2!$A:$A,E$2)&lt;&gt;0,SUMIFS(Sheet2!$E:$E,Sheet2!$C:$C,$A126,Sheet2!$A:$A,E$2),"")</f>
        <v/>
      </c>
      <c r="F126" s="42" t="str">
        <f>IF(SUMIFS(Sheet2!$E:$E,Sheet2!$C:$C,$A126,Sheet2!$A:$A,F$2)&lt;&gt;0,SUMIFS(Sheet2!$E:$E,Sheet2!$C:$C,$A126,Sheet2!$A:$A,F$2),"")</f>
        <v/>
      </c>
      <c r="G126" s="42" t="str">
        <f>IF(SUMIFS(Sheet2!$E:$E,Sheet2!$C:$C,$A126,Sheet2!$A:$A,G$2)&lt;&gt;0,SUMIFS(Sheet2!$E:$E,Sheet2!$C:$C,$A126,Sheet2!$A:$A,G$2),"")</f>
        <v/>
      </c>
      <c r="H126" s="42" t="str">
        <f>IF(SUMIFS(Sheet2!$E:$E,Sheet2!$C:$C,$A126,Sheet2!$A:$A,H$2)&lt;&gt;0,SUMIFS(Sheet2!$E:$E,Sheet2!$C:$C,$A126,Sheet2!$A:$A,H$2),"")</f>
        <v/>
      </c>
      <c r="I126" s="42" t="str">
        <f>IF(SUMIFS(Sheet2!$E:$E,Sheet2!$C:$C,$A126,Sheet2!$A:$A,I$2)&lt;&gt;0,SUMIFS(Sheet2!$E:$E,Sheet2!$C:$C,$A126,Sheet2!$A:$A,I$2),"")</f>
        <v/>
      </c>
      <c r="J126" s="42" t="str">
        <f>IF(SUMIFS(Sheet2!$E:$E,Sheet2!$C:$C,$A126,Sheet2!$A:$A,J$2)&lt;&gt;0,SUMIFS(Sheet2!$E:$E,Sheet2!$C:$C,$A126,Sheet2!$A:$A,J$2),"")</f>
        <v/>
      </c>
      <c r="K126" s="42" t="str">
        <f>IF(SUMIFS(Sheet2!$E:$E,Sheet2!$C:$C,$A126,Sheet2!$A:$A,K$2)&lt;&gt;0,SUMIFS(Sheet2!$E:$E,Sheet2!$C:$C,$A126,Sheet2!$A:$A,K$2),"")</f>
        <v/>
      </c>
      <c r="L126" s="42" t="str">
        <f>IF(SUMIFS(Sheet2!$E:$E,Sheet2!$C:$C,$A126,Sheet2!$A:$A,L$2)&lt;&gt;0,SUMIFS(Sheet2!$E:$E,Sheet2!$C:$C,$A126,Sheet2!$A:$A,L$2),"")</f>
        <v/>
      </c>
      <c r="M126" s="42" t="str">
        <f>IF(SUMIFS(Sheet2!$E:$E,Sheet2!$C:$C,$A126,Sheet2!$A:$A,M$2)&lt;&gt;0,SUMIFS(Sheet2!$E:$E,Sheet2!$C:$C,$A126,Sheet2!$A:$A,M$2),"")</f>
        <v/>
      </c>
      <c r="N126" s="42" t="str">
        <f>IF(SUMIFS(Sheet2!$E:$E,Sheet2!$C:$C,$A126,Sheet2!$A:$A,N$2)&lt;&gt;0,SUMIFS(Sheet2!$E:$E,Sheet2!$C:$C,$A126,Sheet2!$A:$A,N$2),"")</f>
        <v/>
      </c>
      <c r="O126" s="42" t="str">
        <f>IF(SUMIFS(Sheet2!$E:$E,Sheet2!$C:$C,$A126,Sheet2!$A:$A,O$2)&lt;&gt;0,SUMIFS(Sheet2!$E:$E,Sheet2!$C:$C,$A126,Sheet2!$A:$A,O$2),"")</f>
        <v/>
      </c>
      <c r="P126" s="42" t="str">
        <f>IF(SUMIFS(Sheet2!$E:$E,Sheet2!$C:$C,$A126,Sheet2!$A:$A,P$2)&lt;&gt;0,SUMIFS(Sheet2!$E:$E,Sheet2!$C:$C,$A126,Sheet2!$A:$A,P$2),"")</f>
        <v/>
      </c>
      <c r="Q126" s="42" t="str">
        <f>IF(SUMIFS(Sheet2!$E:$E,Sheet2!$C:$C,$A126,Sheet2!$A:$A,Q$2)&lt;&gt;0,SUMIFS(Sheet2!$E:$E,Sheet2!$C:$C,$A126,Sheet2!$A:$A,Q$2),"")</f>
        <v/>
      </c>
      <c r="R126" s="42" t="str">
        <f>IF(SUMIFS(Sheet2!$E:$E,Sheet2!$C:$C,$A126,Sheet2!$A:$A,R$2)&lt;&gt;0,SUMIFS(Sheet2!$E:$E,Sheet2!$C:$C,$A126,Sheet2!$A:$A,R$2),"")</f>
        <v/>
      </c>
      <c r="S126" s="42" t="str">
        <f>IF(SUMIFS(Sheet2!$E:$E,Sheet2!$C:$C,$A126,Sheet2!$A:$A,S$2)&lt;&gt;0,SUMIFS(Sheet2!$E:$E,Sheet2!$C:$C,$A126,Sheet2!$A:$A,S$2),"")</f>
        <v/>
      </c>
      <c r="T126" s="42" t="str">
        <f>IF(SUMIFS(Sheet2!$E:$E,Sheet2!$C:$C,$A126,Sheet2!$A:$A,T$2)&lt;&gt;0,SUMIFS(Sheet2!$E:$E,Sheet2!$C:$C,$A126,Sheet2!$A:$A,T$2),"")</f>
        <v/>
      </c>
      <c r="U126" s="42" t="str">
        <f>IF(SUMIFS(Sheet2!$E:$E,Sheet2!$C:$C,$A126,Sheet2!$A:$A,U$2)&lt;&gt;0,SUMIFS(Sheet2!$E:$E,Sheet2!$C:$C,$A126,Sheet2!$A:$A,U$2),"")</f>
        <v/>
      </c>
      <c r="V126" s="42" t="str">
        <f>IF(SUMIFS(Sheet2!$E:$E,Sheet2!$C:$C,$A126,Sheet2!$A:$A,V$2)&lt;&gt;0,SUMIFS(Sheet2!$E:$E,Sheet2!$C:$C,$A126,Sheet2!$A:$A,V$2),"")</f>
        <v/>
      </c>
      <c r="W126" s="42" t="str">
        <f>IF(SUMIFS(Sheet2!$E:$E,Sheet2!$C:$C,$A126,Sheet2!$A:$A,W$2)&lt;&gt;0,SUMIFS(Sheet2!$E:$E,Sheet2!$C:$C,$A126,Sheet2!$A:$A,W$2),"")</f>
        <v/>
      </c>
      <c r="X126" s="42" t="str">
        <f>IF(SUMIFS(Sheet2!$E:$E,Sheet2!$C:$C,$A126,Sheet2!$A:$A,X$2)&lt;&gt;0,SUMIFS(Sheet2!$E:$E,Sheet2!$C:$C,$A126,Sheet2!$A:$A,X$2),"")</f>
        <v/>
      </c>
      <c r="Y126" s="42" t="str">
        <f>IF(SUMIFS(Sheet2!$E:$E,Sheet2!$C:$C,$A126,Sheet2!$A:$A,Y$2)&lt;&gt;0,SUMIFS(Sheet2!$E:$E,Sheet2!$C:$C,$A126,Sheet2!$A:$A,Y$2),"")</f>
        <v/>
      </c>
      <c r="Z126" s="42" t="str">
        <f>IF(SUMIFS(Sheet2!$E:$E,Sheet2!$C:$C,$A126,Sheet2!$A:$A,Z$2)&lt;&gt;0,SUMIFS(Sheet2!$E:$E,Sheet2!$C:$C,$A126,Sheet2!$A:$A,Z$2),"")</f>
        <v/>
      </c>
      <c r="AA126" s="42" t="str">
        <f>IF(SUMIFS(Sheet2!$E:$E,Sheet2!$C:$C,$A126,Sheet2!$A:$A,AA$2)&lt;&gt;0,SUMIFS(Sheet2!$E:$E,Sheet2!$C:$C,$A126,Sheet2!$A:$A,AA$2),"")</f>
        <v/>
      </c>
      <c r="AB126" s="42" t="str">
        <f>IF(SUMIFS(Sheet2!$E:$E,Sheet2!$C:$C,$A126,Sheet2!$A:$A,AB$2)&lt;&gt;0,SUMIFS(Sheet2!$E:$E,Sheet2!$C:$C,$A126,Sheet2!$A:$A,AB$2),"")</f>
        <v/>
      </c>
      <c r="AC126" s="42" t="str">
        <f>IF(SUMIFS(Sheet2!$E:$E,Sheet2!$C:$C,$A126,Sheet2!$A:$A,AC$2)&lt;&gt;0,SUMIFS(Sheet2!$E:$E,Sheet2!$C:$C,$A126,Sheet2!$A:$A,AC$2),"")</f>
        <v/>
      </c>
      <c r="AD126" s="42" t="str">
        <f>IF(SUMIFS(Sheet2!$E:$E,Sheet2!$C:$C,$A126,Sheet2!$A:$A,AD$2)&lt;&gt;0,SUMIFS(Sheet2!$E:$E,Sheet2!$C:$C,$A126,Sheet2!$A:$A,AD$2),"")</f>
        <v/>
      </c>
      <c r="AE126" s="42" t="str">
        <f>IF(SUMIFS(Sheet2!$E:$E,Sheet2!$C:$C,$A126,Sheet2!$A:$A,AE$2)&lt;&gt;0,SUMIFS(Sheet2!$E:$E,Sheet2!$C:$C,$A126,Sheet2!$A:$A,AE$2),"")</f>
        <v/>
      </c>
      <c r="AF126" s="42" t="str">
        <f>IF(SUMIFS(Sheet2!$E:$E,Sheet2!$C:$C,$A126,Sheet2!$A:$A,AF$2)&lt;&gt;0,SUMIFS(Sheet2!$E:$E,Sheet2!$C:$C,$A126,Sheet2!$A:$A,AF$2),"")</f>
        <v/>
      </c>
      <c r="AG126" s="42" t="str">
        <f>IF(SUMIFS(Sheet2!$E:$E,Sheet2!$C:$C,$A126,Sheet2!$A:$A,AG$2)&lt;&gt;0,SUMIFS(Sheet2!$E:$E,Sheet2!$C:$C,$A126,Sheet2!$A:$A,AG$2),"")</f>
        <v/>
      </c>
      <c r="AH126" s="43">
        <f>SUM(Table2[[#This Row],[1]:[31]])</f>
        <v>0</v>
      </c>
    </row>
    <row r="127" spans="1:34" ht="12.75" customHeight="1">
      <c r="A127" s="76" t="str">
        <f>DSSP!A126</f>
        <v>VD12</v>
      </c>
      <c r="B127" s="25" t="str">
        <f>DSSP!B126</f>
        <v>Bông nửa cân</v>
      </c>
      <c r="C127" s="42" t="str">
        <f>IF(SUMIFS(Sheet2!$E:$E,Sheet2!$C:$C,$A127,Sheet2!$A:$A,C$2)&lt;&gt;0,SUMIFS(Sheet2!$E:$E,Sheet2!$C:$C,$A127,Sheet2!$A:$A,C$2),"")</f>
        <v/>
      </c>
      <c r="D127" s="42" t="str">
        <f>IF(SUMIFS(Sheet2!$E:$E,Sheet2!$C:$C,$A127,Sheet2!$A:$A,D$2)&lt;&gt;0,SUMIFS(Sheet2!$E:$E,Sheet2!$C:$C,$A127,Sheet2!$A:$A,D$2),"")</f>
        <v/>
      </c>
      <c r="E127" s="42" t="str">
        <f>IF(SUMIFS(Sheet2!$E:$E,Sheet2!$C:$C,$A127,Sheet2!$A:$A,E$2)&lt;&gt;0,SUMIFS(Sheet2!$E:$E,Sheet2!$C:$C,$A127,Sheet2!$A:$A,E$2),"")</f>
        <v/>
      </c>
      <c r="F127" s="42" t="str">
        <f>IF(SUMIFS(Sheet2!$E:$E,Sheet2!$C:$C,$A127,Sheet2!$A:$A,F$2)&lt;&gt;0,SUMIFS(Sheet2!$E:$E,Sheet2!$C:$C,$A127,Sheet2!$A:$A,F$2),"")</f>
        <v/>
      </c>
      <c r="G127" s="42" t="str">
        <f>IF(SUMIFS(Sheet2!$E:$E,Sheet2!$C:$C,$A127,Sheet2!$A:$A,G$2)&lt;&gt;0,SUMIFS(Sheet2!$E:$E,Sheet2!$C:$C,$A127,Sheet2!$A:$A,G$2),"")</f>
        <v/>
      </c>
      <c r="H127" s="42" t="str">
        <f>IF(SUMIFS(Sheet2!$E:$E,Sheet2!$C:$C,$A127,Sheet2!$A:$A,H$2)&lt;&gt;0,SUMIFS(Sheet2!$E:$E,Sheet2!$C:$C,$A127,Sheet2!$A:$A,H$2),"")</f>
        <v/>
      </c>
      <c r="I127" s="42" t="str">
        <f>IF(SUMIFS(Sheet2!$E:$E,Sheet2!$C:$C,$A127,Sheet2!$A:$A,I$2)&lt;&gt;0,SUMIFS(Sheet2!$E:$E,Sheet2!$C:$C,$A127,Sheet2!$A:$A,I$2),"")</f>
        <v/>
      </c>
      <c r="J127" s="42" t="str">
        <f>IF(SUMIFS(Sheet2!$E:$E,Sheet2!$C:$C,$A127,Sheet2!$A:$A,J$2)&lt;&gt;0,SUMIFS(Sheet2!$E:$E,Sheet2!$C:$C,$A127,Sheet2!$A:$A,J$2),"")</f>
        <v/>
      </c>
      <c r="K127" s="42" t="str">
        <f>IF(SUMIFS(Sheet2!$E:$E,Sheet2!$C:$C,$A127,Sheet2!$A:$A,K$2)&lt;&gt;0,SUMIFS(Sheet2!$E:$E,Sheet2!$C:$C,$A127,Sheet2!$A:$A,K$2),"")</f>
        <v/>
      </c>
      <c r="L127" s="42" t="str">
        <f>IF(SUMIFS(Sheet2!$E:$E,Sheet2!$C:$C,$A127,Sheet2!$A:$A,L$2)&lt;&gt;0,SUMIFS(Sheet2!$E:$E,Sheet2!$C:$C,$A127,Sheet2!$A:$A,L$2),"")</f>
        <v/>
      </c>
      <c r="M127" s="42" t="str">
        <f>IF(SUMIFS(Sheet2!$E:$E,Sheet2!$C:$C,$A127,Sheet2!$A:$A,M$2)&lt;&gt;0,SUMIFS(Sheet2!$E:$E,Sheet2!$C:$C,$A127,Sheet2!$A:$A,M$2),"")</f>
        <v/>
      </c>
      <c r="N127" s="42" t="str">
        <f>IF(SUMIFS(Sheet2!$E:$E,Sheet2!$C:$C,$A127,Sheet2!$A:$A,N$2)&lt;&gt;0,SUMIFS(Sheet2!$E:$E,Sheet2!$C:$C,$A127,Sheet2!$A:$A,N$2),"")</f>
        <v/>
      </c>
      <c r="O127" s="42" t="str">
        <f>IF(SUMIFS(Sheet2!$E:$E,Sheet2!$C:$C,$A127,Sheet2!$A:$A,O$2)&lt;&gt;0,SUMIFS(Sheet2!$E:$E,Sheet2!$C:$C,$A127,Sheet2!$A:$A,O$2),"")</f>
        <v/>
      </c>
      <c r="P127" s="42" t="str">
        <f>IF(SUMIFS(Sheet2!$E:$E,Sheet2!$C:$C,$A127,Sheet2!$A:$A,P$2)&lt;&gt;0,SUMIFS(Sheet2!$E:$E,Sheet2!$C:$C,$A127,Sheet2!$A:$A,P$2),"")</f>
        <v/>
      </c>
      <c r="Q127" s="42" t="str">
        <f>IF(SUMIFS(Sheet2!$E:$E,Sheet2!$C:$C,$A127,Sheet2!$A:$A,Q$2)&lt;&gt;0,SUMIFS(Sheet2!$E:$E,Sheet2!$C:$C,$A127,Sheet2!$A:$A,Q$2),"")</f>
        <v/>
      </c>
      <c r="R127" s="42" t="str">
        <f>IF(SUMIFS(Sheet2!$E:$E,Sheet2!$C:$C,$A127,Sheet2!$A:$A,R$2)&lt;&gt;0,SUMIFS(Sheet2!$E:$E,Sheet2!$C:$C,$A127,Sheet2!$A:$A,R$2),"")</f>
        <v/>
      </c>
      <c r="S127" s="42" t="str">
        <f>IF(SUMIFS(Sheet2!$E:$E,Sheet2!$C:$C,$A127,Sheet2!$A:$A,S$2)&lt;&gt;0,SUMIFS(Sheet2!$E:$E,Sheet2!$C:$C,$A127,Sheet2!$A:$A,S$2),"")</f>
        <v/>
      </c>
      <c r="T127" s="42" t="str">
        <f>IF(SUMIFS(Sheet2!$E:$E,Sheet2!$C:$C,$A127,Sheet2!$A:$A,T$2)&lt;&gt;0,SUMIFS(Sheet2!$E:$E,Sheet2!$C:$C,$A127,Sheet2!$A:$A,T$2),"")</f>
        <v/>
      </c>
      <c r="U127" s="42" t="str">
        <f>IF(SUMIFS(Sheet2!$E:$E,Sheet2!$C:$C,$A127,Sheet2!$A:$A,U$2)&lt;&gt;0,SUMIFS(Sheet2!$E:$E,Sheet2!$C:$C,$A127,Sheet2!$A:$A,U$2),"")</f>
        <v/>
      </c>
      <c r="V127" s="42" t="str">
        <f>IF(SUMIFS(Sheet2!$E:$E,Sheet2!$C:$C,$A127,Sheet2!$A:$A,V$2)&lt;&gt;0,SUMIFS(Sheet2!$E:$E,Sheet2!$C:$C,$A127,Sheet2!$A:$A,V$2),"")</f>
        <v/>
      </c>
      <c r="W127" s="42" t="str">
        <f>IF(SUMIFS(Sheet2!$E:$E,Sheet2!$C:$C,$A127,Sheet2!$A:$A,W$2)&lt;&gt;0,SUMIFS(Sheet2!$E:$E,Sheet2!$C:$C,$A127,Sheet2!$A:$A,W$2),"")</f>
        <v/>
      </c>
      <c r="X127" s="42" t="str">
        <f>IF(SUMIFS(Sheet2!$E:$E,Sheet2!$C:$C,$A127,Sheet2!$A:$A,X$2)&lt;&gt;0,SUMIFS(Sheet2!$E:$E,Sheet2!$C:$C,$A127,Sheet2!$A:$A,X$2),"")</f>
        <v/>
      </c>
      <c r="Y127" s="42" t="str">
        <f>IF(SUMIFS(Sheet2!$E:$E,Sheet2!$C:$C,$A127,Sheet2!$A:$A,Y$2)&lt;&gt;0,SUMIFS(Sheet2!$E:$E,Sheet2!$C:$C,$A127,Sheet2!$A:$A,Y$2),"")</f>
        <v/>
      </c>
      <c r="Z127" s="42" t="str">
        <f>IF(SUMIFS(Sheet2!$E:$E,Sheet2!$C:$C,$A127,Sheet2!$A:$A,Z$2)&lt;&gt;0,SUMIFS(Sheet2!$E:$E,Sheet2!$C:$C,$A127,Sheet2!$A:$A,Z$2),"")</f>
        <v/>
      </c>
      <c r="AA127" s="42" t="str">
        <f>IF(SUMIFS(Sheet2!$E:$E,Sheet2!$C:$C,$A127,Sheet2!$A:$A,AA$2)&lt;&gt;0,SUMIFS(Sheet2!$E:$E,Sheet2!$C:$C,$A127,Sheet2!$A:$A,AA$2),"")</f>
        <v/>
      </c>
      <c r="AB127" s="42" t="str">
        <f>IF(SUMIFS(Sheet2!$E:$E,Sheet2!$C:$C,$A127,Sheet2!$A:$A,AB$2)&lt;&gt;0,SUMIFS(Sheet2!$E:$E,Sheet2!$C:$C,$A127,Sheet2!$A:$A,AB$2),"")</f>
        <v/>
      </c>
      <c r="AC127" s="42" t="str">
        <f>IF(SUMIFS(Sheet2!$E:$E,Sheet2!$C:$C,$A127,Sheet2!$A:$A,AC$2)&lt;&gt;0,SUMIFS(Sheet2!$E:$E,Sheet2!$C:$C,$A127,Sheet2!$A:$A,AC$2),"")</f>
        <v/>
      </c>
      <c r="AD127" s="42" t="str">
        <f>IF(SUMIFS(Sheet2!$E:$E,Sheet2!$C:$C,$A127,Sheet2!$A:$A,AD$2)&lt;&gt;0,SUMIFS(Sheet2!$E:$E,Sheet2!$C:$C,$A127,Sheet2!$A:$A,AD$2),"")</f>
        <v/>
      </c>
      <c r="AE127" s="42" t="str">
        <f>IF(SUMIFS(Sheet2!$E:$E,Sheet2!$C:$C,$A127,Sheet2!$A:$A,AE$2)&lt;&gt;0,SUMIFS(Sheet2!$E:$E,Sheet2!$C:$C,$A127,Sheet2!$A:$A,AE$2),"")</f>
        <v/>
      </c>
      <c r="AF127" s="42" t="str">
        <f>IF(SUMIFS(Sheet2!$E:$E,Sheet2!$C:$C,$A127,Sheet2!$A:$A,AF$2)&lt;&gt;0,SUMIFS(Sheet2!$E:$E,Sheet2!$C:$C,$A127,Sheet2!$A:$A,AF$2),"")</f>
        <v/>
      </c>
      <c r="AG127" s="42" t="str">
        <f>IF(SUMIFS(Sheet2!$E:$E,Sheet2!$C:$C,$A127,Sheet2!$A:$A,AG$2)&lt;&gt;0,SUMIFS(Sheet2!$E:$E,Sheet2!$C:$C,$A127,Sheet2!$A:$A,AG$2),"")</f>
        <v/>
      </c>
      <c r="AH127" s="43">
        <f>SUM(Table2[[#This Row],[1]:[31]])</f>
        <v>0</v>
      </c>
    </row>
    <row r="128" spans="1:34" ht="12.75" customHeight="1">
      <c r="A128" s="76" t="str">
        <f>DSSP!A127</f>
        <v>VD13</v>
      </c>
      <c r="B128" s="25" t="str">
        <f>DSSP!B127</f>
        <v>Bông cân</v>
      </c>
      <c r="C128" s="42" t="str">
        <f>IF(SUMIFS(Sheet2!$E:$E,Sheet2!$C:$C,$A128,Sheet2!$A:$A,C$2)&lt;&gt;0,SUMIFS(Sheet2!$E:$E,Sheet2!$C:$C,$A128,Sheet2!$A:$A,C$2),"")</f>
        <v/>
      </c>
      <c r="D128" s="42" t="str">
        <f>IF(SUMIFS(Sheet2!$E:$E,Sheet2!$C:$C,$A128,Sheet2!$A:$A,D$2)&lt;&gt;0,SUMIFS(Sheet2!$E:$E,Sheet2!$C:$C,$A128,Sheet2!$A:$A,D$2),"")</f>
        <v/>
      </c>
      <c r="E128" s="42" t="str">
        <f>IF(SUMIFS(Sheet2!$E:$E,Sheet2!$C:$C,$A128,Sheet2!$A:$A,E$2)&lt;&gt;0,SUMIFS(Sheet2!$E:$E,Sheet2!$C:$C,$A128,Sheet2!$A:$A,E$2),"")</f>
        <v/>
      </c>
      <c r="F128" s="42" t="str">
        <f>IF(SUMIFS(Sheet2!$E:$E,Sheet2!$C:$C,$A128,Sheet2!$A:$A,F$2)&lt;&gt;0,SUMIFS(Sheet2!$E:$E,Sheet2!$C:$C,$A128,Sheet2!$A:$A,F$2),"")</f>
        <v/>
      </c>
      <c r="G128" s="42" t="str">
        <f>IF(SUMIFS(Sheet2!$E:$E,Sheet2!$C:$C,$A128,Sheet2!$A:$A,G$2)&lt;&gt;0,SUMIFS(Sheet2!$E:$E,Sheet2!$C:$C,$A128,Sheet2!$A:$A,G$2),"")</f>
        <v/>
      </c>
      <c r="H128" s="42" t="str">
        <f>IF(SUMIFS(Sheet2!$E:$E,Sheet2!$C:$C,$A128,Sheet2!$A:$A,H$2)&lt;&gt;0,SUMIFS(Sheet2!$E:$E,Sheet2!$C:$C,$A128,Sheet2!$A:$A,H$2),"")</f>
        <v/>
      </c>
      <c r="I128" s="42" t="str">
        <f>IF(SUMIFS(Sheet2!$E:$E,Sheet2!$C:$C,$A128,Sheet2!$A:$A,I$2)&lt;&gt;0,SUMIFS(Sheet2!$E:$E,Sheet2!$C:$C,$A128,Sheet2!$A:$A,I$2),"")</f>
        <v/>
      </c>
      <c r="J128" s="42" t="str">
        <f>IF(SUMIFS(Sheet2!$E:$E,Sheet2!$C:$C,$A128,Sheet2!$A:$A,J$2)&lt;&gt;0,SUMIFS(Sheet2!$E:$E,Sheet2!$C:$C,$A128,Sheet2!$A:$A,J$2),"")</f>
        <v/>
      </c>
      <c r="K128" s="42" t="str">
        <f>IF(SUMIFS(Sheet2!$E:$E,Sheet2!$C:$C,$A128,Sheet2!$A:$A,K$2)&lt;&gt;0,SUMIFS(Sheet2!$E:$E,Sheet2!$C:$C,$A128,Sheet2!$A:$A,K$2),"")</f>
        <v/>
      </c>
      <c r="L128" s="42" t="str">
        <f>IF(SUMIFS(Sheet2!$E:$E,Sheet2!$C:$C,$A128,Sheet2!$A:$A,L$2)&lt;&gt;0,SUMIFS(Sheet2!$E:$E,Sheet2!$C:$C,$A128,Sheet2!$A:$A,L$2),"")</f>
        <v/>
      </c>
      <c r="M128" s="42" t="str">
        <f>IF(SUMIFS(Sheet2!$E:$E,Sheet2!$C:$C,$A128,Sheet2!$A:$A,M$2)&lt;&gt;0,SUMIFS(Sheet2!$E:$E,Sheet2!$C:$C,$A128,Sheet2!$A:$A,M$2),"")</f>
        <v/>
      </c>
      <c r="N128" s="42" t="str">
        <f>IF(SUMIFS(Sheet2!$E:$E,Sheet2!$C:$C,$A128,Sheet2!$A:$A,N$2)&lt;&gt;0,SUMIFS(Sheet2!$E:$E,Sheet2!$C:$C,$A128,Sheet2!$A:$A,N$2),"")</f>
        <v/>
      </c>
      <c r="O128" s="42" t="str">
        <f>IF(SUMIFS(Sheet2!$E:$E,Sheet2!$C:$C,$A128,Sheet2!$A:$A,O$2)&lt;&gt;0,SUMIFS(Sheet2!$E:$E,Sheet2!$C:$C,$A128,Sheet2!$A:$A,O$2),"")</f>
        <v/>
      </c>
      <c r="P128" s="42" t="str">
        <f>IF(SUMIFS(Sheet2!$E:$E,Sheet2!$C:$C,$A128,Sheet2!$A:$A,P$2)&lt;&gt;0,SUMIFS(Sheet2!$E:$E,Sheet2!$C:$C,$A128,Sheet2!$A:$A,P$2),"")</f>
        <v/>
      </c>
      <c r="Q128" s="42" t="str">
        <f>IF(SUMIFS(Sheet2!$E:$E,Sheet2!$C:$C,$A128,Sheet2!$A:$A,Q$2)&lt;&gt;0,SUMIFS(Sheet2!$E:$E,Sheet2!$C:$C,$A128,Sheet2!$A:$A,Q$2),"")</f>
        <v/>
      </c>
      <c r="R128" s="42" t="str">
        <f>IF(SUMIFS(Sheet2!$E:$E,Sheet2!$C:$C,$A128,Sheet2!$A:$A,R$2)&lt;&gt;0,SUMIFS(Sheet2!$E:$E,Sheet2!$C:$C,$A128,Sheet2!$A:$A,R$2),"")</f>
        <v/>
      </c>
      <c r="S128" s="42" t="str">
        <f>IF(SUMIFS(Sheet2!$E:$E,Sheet2!$C:$C,$A128,Sheet2!$A:$A,S$2)&lt;&gt;0,SUMIFS(Sheet2!$E:$E,Sheet2!$C:$C,$A128,Sheet2!$A:$A,S$2),"")</f>
        <v/>
      </c>
      <c r="T128" s="42" t="str">
        <f>IF(SUMIFS(Sheet2!$E:$E,Sheet2!$C:$C,$A128,Sheet2!$A:$A,T$2)&lt;&gt;0,SUMIFS(Sheet2!$E:$E,Sheet2!$C:$C,$A128,Sheet2!$A:$A,T$2),"")</f>
        <v/>
      </c>
      <c r="U128" s="42" t="str">
        <f>IF(SUMIFS(Sheet2!$E:$E,Sheet2!$C:$C,$A128,Sheet2!$A:$A,U$2)&lt;&gt;0,SUMIFS(Sheet2!$E:$E,Sheet2!$C:$C,$A128,Sheet2!$A:$A,U$2),"")</f>
        <v/>
      </c>
      <c r="V128" s="42" t="str">
        <f>IF(SUMIFS(Sheet2!$E:$E,Sheet2!$C:$C,$A128,Sheet2!$A:$A,V$2)&lt;&gt;0,SUMIFS(Sheet2!$E:$E,Sheet2!$C:$C,$A128,Sheet2!$A:$A,V$2),"")</f>
        <v/>
      </c>
      <c r="W128" s="42" t="str">
        <f>IF(SUMIFS(Sheet2!$E:$E,Sheet2!$C:$C,$A128,Sheet2!$A:$A,W$2)&lt;&gt;0,SUMIFS(Sheet2!$E:$E,Sheet2!$C:$C,$A128,Sheet2!$A:$A,W$2),"")</f>
        <v/>
      </c>
      <c r="X128" s="42" t="str">
        <f>IF(SUMIFS(Sheet2!$E:$E,Sheet2!$C:$C,$A128,Sheet2!$A:$A,X$2)&lt;&gt;0,SUMIFS(Sheet2!$E:$E,Sheet2!$C:$C,$A128,Sheet2!$A:$A,X$2),"")</f>
        <v/>
      </c>
      <c r="Y128" s="42" t="str">
        <f>IF(SUMIFS(Sheet2!$E:$E,Sheet2!$C:$C,$A128,Sheet2!$A:$A,Y$2)&lt;&gt;0,SUMIFS(Sheet2!$E:$E,Sheet2!$C:$C,$A128,Sheet2!$A:$A,Y$2),"")</f>
        <v/>
      </c>
      <c r="Z128" s="42" t="str">
        <f>IF(SUMIFS(Sheet2!$E:$E,Sheet2!$C:$C,$A128,Sheet2!$A:$A,Z$2)&lt;&gt;0,SUMIFS(Sheet2!$E:$E,Sheet2!$C:$C,$A128,Sheet2!$A:$A,Z$2),"")</f>
        <v/>
      </c>
      <c r="AA128" s="42" t="str">
        <f>IF(SUMIFS(Sheet2!$E:$E,Sheet2!$C:$C,$A128,Sheet2!$A:$A,AA$2)&lt;&gt;0,SUMIFS(Sheet2!$E:$E,Sheet2!$C:$C,$A128,Sheet2!$A:$A,AA$2),"")</f>
        <v/>
      </c>
      <c r="AB128" s="42" t="str">
        <f>IF(SUMIFS(Sheet2!$E:$E,Sheet2!$C:$C,$A128,Sheet2!$A:$A,AB$2)&lt;&gt;0,SUMIFS(Sheet2!$E:$E,Sheet2!$C:$C,$A128,Sheet2!$A:$A,AB$2),"")</f>
        <v/>
      </c>
      <c r="AC128" s="42" t="str">
        <f>IF(SUMIFS(Sheet2!$E:$E,Sheet2!$C:$C,$A128,Sheet2!$A:$A,AC$2)&lt;&gt;0,SUMIFS(Sheet2!$E:$E,Sheet2!$C:$C,$A128,Sheet2!$A:$A,AC$2),"")</f>
        <v/>
      </c>
      <c r="AD128" s="42" t="str">
        <f>IF(SUMIFS(Sheet2!$E:$E,Sheet2!$C:$C,$A128,Sheet2!$A:$A,AD$2)&lt;&gt;0,SUMIFS(Sheet2!$E:$E,Sheet2!$C:$C,$A128,Sheet2!$A:$A,AD$2),"")</f>
        <v/>
      </c>
      <c r="AE128" s="42" t="str">
        <f>IF(SUMIFS(Sheet2!$E:$E,Sheet2!$C:$C,$A128,Sheet2!$A:$A,AE$2)&lt;&gt;0,SUMIFS(Sheet2!$E:$E,Sheet2!$C:$C,$A128,Sheet2!$A:$A,AE$2),"")</f>
        <v/>
      </c>
      <c r="AF128" s="42" t="str">
        <f>IF(SUMIFS(Sheet2!$E:$E,Sheet2!$C:$C,$A128,Sheet2!$A:$A,AF$2)&lt;&gt;0,SUMIFS(Sheet2!$E:$E,Sheet2!$C:$C,$A128,Sheet2!$A:$A,AF$2),"")</f>
        <v/>
      </c>
      <c r="AG128" s="42" t="str">
        <f>IF(SUMIFS(Sheet2!$E:$E,Sheet2!$C:$C,$A128,Sheet2!$A:$A,AG$2)&lt;&gt;0,SUMIFS(Sheet2!$E:$E,Sheet2!$C:$C,$A128,Sheet2!$A:$A,AG$2),"")</f>
        <v/>
      </c>
      <c r="AH128" s="43">
        <f>SUM(Table2[[#This Row],[1]:[31]])</f>
        <v>0</v>
      </c>
    </row>
    <row r="129" spans="1:34" ht="12.75" customHeight="1">
      <c r="A129" s="76" t="str">
        <f>DSSP!A128</f>
        <v>VD14</v>
      </c>
      <c r="B129" s="25" t="str">
        <f>DSSP!B128</f>
        <v>Mắt nhựa</v>
      </c>
      <c r="C129" s="42" t="str">
        <f>IF(SUMIFS(Sheet2!$E:$E,Sheet2!$C:$C,$A129,Sheet2!$A:$A,C$2)&lt;&gt;0,SUMIFS(Sheet2!$E:$E,Sheet2!$C:$C,$A129,Sheet2!$A:$A,C$2),"")</f>
        <v/>
      </c>
      <c r="D129" s="42" t="str">
        <f>IF(SUMIFS(Sheet2!$E:$E,Sheet2!$C:$C,$A129,Sheet2!$A:$A,D$2)&lt;&gt;0,SUMIFS(Sheet2!$E:$E,Sheet2!$C:$C,$A129,Sheet2!$A:$A,D$2),"")</f>
        <v/>
      </c>
      <c r="E129" s="42" t="str">
        <f>IF(SUMIFS(Sheet2!$E:$E,Sheet2!$C:$C,$A129,Sheet2!$A:$A,E$2)&lt;&gt;0,SUMIFS(Sheet2!$E:$E,Sheet2!$C:$C,$A129,Sheet2!$A:$A,E$2),"")</f>
        <v/>
      </c>
      <c r="F129" s="42" t="str">
        <f>IF(SUMIFS(Sheet2!$E:$E,Sheet2!$C:$C,$A129,Sheet2!$A:$A,F$2)&lt;&gt;0,SUMIFS(Sheet2!$E:$E,Sheet2!$C:$C,$A129,Sheet2!$A:$A,F$2),"")</f>
        <v/>
      </c>
      <c r="G129" s="42" t="str">
        <f>IF(SUMIFS(Sheet2!$E:$E,Sheet2!$C:$C,$A129,Sheet2!$A:$A,G$2)&lt;&gt;0,SUMIFS(Sheet2!$E:$E,Sheet2!$C:$C,$A129,Sheet2!$A:$A,G$2),"")</f>
        <v/>
      </c>
      <c r="H129" s="42" t="str">
        <f>IF(SUMIFS(Sheet2!$E:$E,Sheet2!$C:$C,$A129,Sheet2!$A:$A,H$2)&lt;&gt;0,SUMIFS(Sheet2!$E:$E,Sheet2!$C:$C,$A129,Sheet2!$A:$A,H$2),"")</f>
        <v/>
      </c>
      <c r="I129" s="42" t="str">
        <f>IF(SUMIFS(Sheet2!$E:$E,Sheet2!$C:$C,$A129,Sheet2!$A:$A,I$2)&lt;&gt;0,SUMIFS(Sheet2!$E:$E,Sheet2!$C:$C,$A129,Sheet2!$A:$A,I$2),"")</f>
        <v/>
      </c>
      <c r="J129" s="42" t="str">
        <f>IF(SUMIFS(Sheet2!$E:$E,Sheet2!$C:$C,$A129,Sheet2!$A:$A,J$2)&lt;&gt;0,SUMIFS(Sheet2!$E:$E,Sheet2!$C:$C,$A129,Sheet2!$A:$A,J$2),"")</f>
        <v/>
      </c>
      <c r="K129" s="42" t="str">
        <f>IF(SUMIFS(Sheet2!$E:$E,Sheet2!$C:$C,$A129,Sheet2!$A:$A,K$2)&lt;&gt;0,SUMIFS(Sheet2!$E:$E,Sheet2!$C:$C,$A129,Sheet2!$A:$A,K$2),"")</f>
        <v/>
      </c>
      <c r="L129" s="42" t="str">
        <f>IF(SUMIFS(Sheet2!$E:$E,Sheet2!$C:$C,$A129,Sheet2!$A:$A,L$2)&lt;&gt;0,SUMIFS(Sheet2!$E:$E,Sheet2!$C:$C,$A129,Sheet2!$A:$A,L$2),"")</f>
        <v/>
      </c>
      <c r="M129" s="42" t="str">
        <f>IF(SUMIFS(Sheet2!$E:$E,Sheet2!$C:$C,$A129,Sheet2!$A:$A,M$2)&lt;&gt;0,SUMIFS(Sheet2!$E:$E,Sheet2!$C:$C,$A129,Sheet2!$A:$A,M$2),"")</f>
        <v/>
      </c>
      <c r="N129" s="42" t="str">
        <f>IF(SUMIFS(Sheet2!$E:$E,Sheet2!$C:$C,$A129,Sheet2!$A:$A,N$2)&lt;&gt;0,SUMIFS(Sheet2!$E:$E,Sheet2!$C:$C,$A129,Sheet2!$A:$A,N$2),"")</f>
        <v/>
      </c>
      <c r="O129" s="42" t="str">
        <f>IF(SUMIFS(Sheet2!$E:$E,Sheet2!$C:$C,$A129,Sheet2!$A:$A,O$2)&lt;&gt;0,SUMIFS(Sheet2!$E:$E,Sheet2!$C:$C,$A129,Sheet2!$A:$A,O$2),"")</f>
        <v/>
      </c>
      <c r="P129" s="42" t="str">
        <f>IF(SUMIFS(Sheet2!$E:$E,Sheet2!$C:$C,$A129,Sheet2!$A:$A,P$2)&lt;&gt;0,SUMIFS(Sheet2!$E:$E,Sheet2!$C:$C,$A129,Sheet2!$A:$A,P$2),"")</f>
        <v/>
      </c>
      <c r="Q129" s="42" t="str">
        <f>IF(SUMIFS(Sheet2!$E:$E,Sheet2!$C:$C,$A129,Sheet2!$A:$A,Q$2)&lt;&gt;0,SUMIFS(Sheet2!$E:$E,Sheet2!$C:$C,$A129,Sheet2!$A:$A,Q$2),"")</f>
        <v/>
      </c>
      <c r="R129" s="42" t="str">
        <f>IF(SUMIFS(Sheet2!$E:$E,Sheet2!$C:$C,$A129,Sheet2!$A:$A,R$2)&lt;&gt;0,SUMIFS(Sheet2!$E:$E,Sheet2!$C:$C,$A129,Sheet2!$A:$A,R$2),"")</f>
        <v/>
      </c>
      <c r="S129" s="42" t="str">
        <f>IF(SUMIFS(Sheet2!$E:$E,Sheet2!$C:$C,$A129,Sheet2!$A:$A,S$2)&lt;&gt;0,SUMIFS(Sheet2!$E:$E,Sheet2!$C:$C,$A129,Sheet2!$A:$A,S$2),"")</f>
        <v/>
      </c>
      <c r="T129" s="42" t="str">
        <f>IF(SUMIFS(Sheet2!$E:$E,Sheet2!$C:$C,$A129,Sheet2!$A:$A,T$2)&lt;&gt;0,SUMIFS(Sheet2!$E:$E,Sheet2!$C:$C,$A129,Sheet2!$A:$A,T$2),"")</f>
        <v/>
      </c>
      <c r="U129" s="42" t="str">
        <f>IF(SUMIFS(Sheet2!$E:$E,Sheet2!$C:$C,$A129,Sheet2!$A:$A,U$2)&lt;&gt;0,SUMIFS(Sheet2!$E:$E,Sheet2!$C:$C,$A129,Sheet2!$A:$A,U$2),"")</f>
        <v/>
      </c>
      <c r="V129" s="42" t="str">
        <f>IF(SUMIFS(Sheet2!$E:$E,Sheet2!$C:$C,$A129,Sheet2!$A:$A,V$2)&lt;&gt;0,SUMIFS(Sheet2!$E:$E,Sheet2!$C:$C,$A129,Sheet2!$A:$A,V$2),"")</f>
        <v/>
      </c>
      <c r="W129" s="42" t="str">
        <f>IF(SUMIFS(Sheet2!$E:$E,Sheet2!$C:$C,$A129,Sheet2!$A:$A,W$2)&lt;&gt;0,SUMIFS(Sheet2!$E:$E,Sheet2!$C:$C,$A129,Sheet2!$A:$A,W$2),"")</f>
        <v/>
      </c>
      <c r="X129" s="42" t="str">
        <f>IF(SUMIFS(Sheet2!$E:$E,Sheet2!$C:$C,$A129,Sheet2!$A:$A,X$2)&lt;&gt;0,SUMIFS(Sheet2!$E:$E,Sheet2!$C:$C,$A129,Sheet2!$A:$A,X$2),"")</f>
        <v/>
      </c>
      <c r="Y129" s="42" t="str">
        <f>IF(SUMIFS(Sheet2!$E:$E,Sheet2!$C:$C,$A129,Sheet2!$A:$A,Y$2)&lt;&gt;0,SUMIFS(Sheet2!$E:$E,Sheet2!$C:$C,$A129,Sheet2!$A:$A,Y$2),"")</f>
        <v/>
      </c>
      <c r="Z129" s="42" t="str">
        <f>IF(SUMIFS(Sheet2!$E:$E,Sheet2!$C:$C,$A129,Sheet2!$A:$A,Z$2)&lt;&gt;0,SUMIFS(Sheet2!$E:$E,Sheet2!$C:$C,$A129,Sheet2!$A:$A,Z$2),"")</f>
        <v/>
      </c>
      <c r="AA129" s="42" t="str">
        <f>IF(SUMIFS(Sheet2!$E:$E,Sheet2!$C:$C,$A129,Sheet2!$A:$A,AA$2)&lt;&gt;0,SUMIFS(Sheet2!$E:$E,Sheet2!$C:$C,$A129,Sheet2!$A:$A,AA$2),"")</f>
        <v/>
      </c>
      <c r="AB129" s="42" t="str">
        <f>IF(SUMIFS(Sheet2!$E:$E,Sheet2!$C:$C,$A129,Sheet2!$A:$A,AB$2)&lt;&gt;0,SUMIFS(Sheet2!$E:$E,Sheet2!$C:$C,$A129,Sheet2!$A:$A,AB$2),"")</f>
        <v/>
      </c>
      <c r="AC129" s="42" t="str">
        <f>IF(SUMIFS(Sheet2!$E:$E,Sheet2!$C:$C,$A129,Sheet2!$A:$A,AC$2)&lt;&gt;0,SUMIFS(Sheet2!$E:$E,Sheet2!$C:$C,$A129,Sheet2!$A:$A,AC$2),"")</f>
        <v/>
      </c>
      <c r="AD129" s="42" t="str">
        <f>IF(SUMIFS(Sheet2!$E:$E,Sheet2!$C:$C,$A129,Sheet2!$A:$A,AD$2)&lt;&gt;0,SUMIFS(Sheet2!$E:$E,Sheet2!$C:$C,$A129,Sheet2!$A:$A,AD$2),"")</f>
        <v/>
      </c>
      <c r="AE129" s="42" t="str">
        <f>IF(SUMIFS(Sheet2!$E:$E,Sheet2!$C:$C,$A129,Sheet2!$A:$A,AE$2)&lt;&gt;0,SUMIFS(Sheet2!$E:$E,Sheet2!$C:$C,$A129,Sheet2!$A:$A,AE$2),"")</f>
        <v/>
      </c>
      <c r="AF129" s="42" t="str">
        <f>IF(SUMIFS(Sheet2!$E:$E,Sheet2!$C:$C,$A129,Sheet2!$A:$A,AF$2)&lt;&gt;0,SUMIFS(Sheet2!$E:$E,Sheet2!$C:$C,$A129,Sheet2!$A:$A,AF$2),"")</f>
        <v/>
      </c>
      <c r="AG129" s="42" t="str">
        <f>IF(SUMIFS(Sheet2!$E:$E,Sheet2!$C:$C,$A129,Sheet2!$A:$A,AG$2)&lt;&gt;0,SUMIFS(Sheet2!$E:$E,Sheet2!$C:$C,$A129,Sheet2!$A:$A,AG$2),"")</f>
        <v/>
      </c>
      <c r="AH129" s="43">
        <f>SUM(Table2[[#This Row],[1]:[31]])</f>
        <v>0</v>
      </c>
    </row>
    <row r="130" spans="1:34" ht="12.75" customHeight="1">
      <c r="A130" s="76" t="str">
        <f>DSSP!A129</f>
        <v>VD15</v>
      </c>
      <c r="B130" s="25" t="str">
        <f>DSSP!B129</f>
        <v>Hoa tai móc ĐÔI</v>
      </c>
      <c r="C130" s="42" t="str">
        <f>IF(SUMIFS(Sheet2!$E:$E,Sheet2!$C:$C,$A130,Sheet2!$A:$A,C$2)&lt;&gt;0,SUMIFS(Sheet2!$E:$E,Sheet2!$C:$C,$A130,Sheet2!$A:$A,C$2),"")</f>
        <v/>
      </c>
      <c r="D130" s="42" t="str">
        <f>IF(SUMIFS(Sheet2!$E:$E,Sheet2!$C:$C,$A130,Sheet2!$A:$A,D$2)&lt;&gt;0,SUMIFS(Sheet2!$E:$E,Sheet2!$C:$C,$A130,Sheet2!$A:$A,D$2),"")</f>
        <v/>
      </c>
      <c r="E130" s="42" t="str">
        <f>IF(SUMIFS(Sheet2!$E:$E,Sheet2!$C:$C,$A130,Sheet2!$A:$A,E$2)&lt;&gt;0,SUMIFS(Sheet2!$E:$E,Sheet2!$C:$C,$A130,Sheet2!$A:$A,E$2),"")</f>
        <v/>
      </c>
      <c r="F130" s="42" t="str">
        <f>IF(SUMIFS(Sheet2!$E:$E,Sheet2!$C:$C,$A130,Sheet2!$A:$A,F$2)&lt;&gt;0,SUMIFS(Sheet2!$E:$E,Sheet2!$C:$C,$A130,Sheet2!$A:$A,F$2),"")</f>
        <v/>
      </c>
      <c r="G130" s="42" t="str">
        <f>IF(SUMIFS(Sheet2!$E:$E,Sheet2!$C:$C,$A130,Sheet2!$A:$A,G$2)&lt;&gt;0,SUMIFS(Sheet2!$E:$E,Sheet2!$C:$C,$A130,Sheet2!$A:$A,G$2),"")</f>
        <v/>
      </c>
      <c r="H130" s="42" t="str">
        <f>IF(SUMIFS(Sheet2!$E:$E,Sheet2!$C:$C,$A130,Sheet2!$A:$A,H$2)&lt;&gt;0,SUMIFS(Sheet2!$E:$E,Sheet2!$C:$C,$A130,Sheet2!$A:$A,H$2),"")</f>
        <v/>
      </c>
      <c r="I130" s="42" t="str">
        <f>IF(SUMIFS(Sheet2!$E:$E,Sheet2!$C:$C,$A130,Sheet2!$A:$A,I$2)&lt;&gt;0,SUMIFS(Sheet2!$E:$E,Sheet2!$C:$C,$A130,Sheet2!$A:$A,I$2),"")</f>
        <v/>
      </c>
      <c r="J130" s="42" t="str">
        <f>IF(SUMIFS(Sheet2!$E:$E,Sheet2!$C:$C,$A130,Sheet2!$A:$A,J$2)&lt;&gt;0,SUMIFS(Sheet2!$E:$E,Sheet2!$C:$C,$A130,Sheet2!$A:$A,J$2),"")</f>
        <v/>
      </c>
      <c r="K130" s="42" t="str">
        <f>IF(SUMIFS(Sheet2!$E:$E,Sheet2!$C:$C,$A130,Sheet2!$A:$A,K$2)&lt;&gt;0,SUMIFS(Sheet2!$E:$E,Sheet2!$C:$C,$A130,Sheet2!$A:$A,K$2),"")</f>
        <v/>
      </c>
      <c r="L130" s="42" t="str">
        <f>IF(SUMIFS(Sheet2!$E:$E,Sheet2!$C:$C,$A130,Sheet2!$A:$A,L$2)&lt;&gt;0,SUMIFS(Sheet2!$E:$E,Sheet2!$C:$C,$A130,Sheet2!$A:$A,L$2),"")</f>
        <v/>
      </c>
      <c r="M130" s="42" t="str">
        <f>IF(SUMIFS(Sheet2!$E:$E,Sheet2!$C:$C,$A130,Sheet2!$A:$A,M$2)&lt;&gt;0,SUMIFS(Sheet2!$E:$E,Sheet2!$C:$C,$A130,Sheet2!$A:$A,M$2),"")</f>
        <v/>
      </c>
      <c r="N130" s="42" t="str">
        <f>IF(SUMIFS(Sheet2!$E:$E,Sheet2!$C:$C,$A130,Sheet2!$A:$A,N$2)&lt;&gt;0,SUMIFS(Sheet2!$E:$E,Sheet2!$C:$C,$A130,Sheet2!$A:$A,N$2),"")</f>
        <v/>
      </c>
      <c r="O130" s="42" t="str">
        <f>IF(SUMIFS(Sheet2!$E:$E,Sheet2!$C:$C,$A130,Sheet2!$A:$A,O$2)&lt;&gt;0,SUMIFS(Sheet2!$E:$E,Sheet2!$C:$C,$A130,Sheet2!$A:$A,O$2),"")</f>
        <v/>
      </c>
      <c r="P130" s="42" t="str">
        <f>IF(SUMIFS(Sheet2!$E:$E,Sheet2!$C:$C,$A130,Sheet2!$A:$A,P$2)&lt;&gt;0,SUMIFS(Sheet2!$E:$E,Sheet2!$C:$C,$A130,Sheet2!$A:$A,P$2),"")</f>
        <v/>
      </c>
      <c r="Q130" s="42" t="str">
        <f>IF(SUMIFS(Sheet2!$E:$E,Sheet2!$C:$C,$A130,Sheet2!$A:$A,Q$2)&lt;&gt;0,SUMIFS(Sheet2!$E:$E,Sheet2!$C:$C,$A130,Sheet2!$A:$A,Q$2),"")</f>
        <v/>
      </c>
      <c r="R130" s="42" t="str">
        <f>IF(SUMIFS(Sheet2!$E:$E,Sheet2!$C:$C,$A130,Sheet2!$A:$A,R$2)&lt;&gt;0,SUMIFS(Sheet2!$E:$E,Sheet2!$C:$C,$A130,Sheet2!$A:$A,R$2),"")</f>
        <v/>
      </c>
      <c r="S130" s="42" t="str">
        <f>IF(SUMIFS(Sheet2!$E:$E,Sheet2!$C:$C,$A130,Sheet2!$A:$A,S$2)&lt;&gt;0,SUMIFS(Sheet2!$E:$E,Sheet2!$C:$C,$A130,Sheet2!$A:$A,S$2),"")</f>
        <v/>
      </c>
      <c r="T130" s="42" t="str">
        <f>IF(SUMIFS(Sheet2!$E:$E,Sheet2!$C:$C,$A130,Sheet2!$A:$A,T$2)&lt;&gt;0,SUMIFS(Sheet2!$E:$E,Sheet2!$C:$C,$A130,Sheet2!$A:$A,T$2),"")</f>
        <v/>
      </c>
      <c r="U130" s="42" t="str">
        <f>IF(SUMIFS(Sheet2!$E:$E,Sheet2!$C:$C,$A130,Sheet2!$A:$A,U$2)&lt;&gt;0,SUMIFS(Sheet2!$E:$E,Sheet2!$C:$C,$A130,Sheet2!$A:$A,U$2),"")</f>
        <v/>
      </c>
      <c r="V130" s="42" t="str">
        <f>IF(SUMIFS(Sheet2!$E:$E,Sheet2!$C:$C,$A130,Sheet2!$A:$A,V$2)&lt;&gt;0,SUMIFS(Sheet2!$E:$E,Sheet2!$C:$C,$A130,Sheet2!$A:$A,V$2),"")</f>
        <v/>
      </c>
      <c r="W130" s="42" t="str">
        <f>IF(SUMIFS(Sheet2!$E:$E,Sheet2!$C:$C,$A130,Sheet2!$A:$A,W$2)&lt;&gt;0,SUMIFS(Sheet2!$E:$E,Sheet2!$C:$C,$A130,Sheet2!$A:$A,W$2),"")</f>
        <v/>
      </c>
      <c r="X130" s="42" t="str">
        <f>IF(SUMIFS(Sheet2!$E:$E,Sheet2!$C:$C,$A130,Sheet2!$A:$A,X$2)&lt;&gt;0,SUMIFS(Sheet2!$E:$E,Sheet2!$C:$C,$A130,Sheet2!$A:$A,X$2),"")</f>
        <v/>
      </c>
      <c r="Y130" s="42" t="str">
        <f>IF(SUMIFS(Sheet2!$E:$E,Sheet2!$C:$C,$A130,Sheet2!$A:$A,Y$2)&lt;&gt;0,SUMIFS(Sheet2!$E:$E,Sheet2!$C:$C,$A130,Sheet2!$A:$A,Y$2),"")</f>
        <v/>
      </c>
      <c r="Z130" s="42" t="str">
        <f>IF(SUMIFS(Sheet2!$E:$E,Sheet2!$C:$C,$A130,Sheet2!$A:$A,Z$2)&lt;&gt;0,SUMIFS(Sheet2!$E:$E,Sheet2!$C:$C,$A130,Sheet2!$A:$A,Z$2),"")</f>
        <v/>
      </c>
      <c r="AA130" s="42" t="str">
        <f>IF(SUMIFS(Sheet2!$E:$E,Sheet2!$C:$C,$A130,Sheet2!$A:$A,AA$2)&lt;&gt;0,SUMIFS(Sheet2!$E:$E,Sheet2!$C:$C,$A130,Sheet2!$A:$A,AA$2),"")</f>
        <v/>
      </c>
      <c r="AB130" s="42" t="str">
        <f>IF(SUMIFS(Sheet2!$E:$E,Sheet2!$C:$C,$A130,Sheet2!$A:$A,AB$2)&lt;&gt;0,SUMIFS(Sheet2!$E:$E,Sheet2!$C:$C,$A130,Sheet2!$A:$A,AB$2),"")</f>
        <v/>
      </c>
      <c r="AC130" s="42" t="str">
        <f>IF(SUMIFS(Sheet2!$E:$E,Sheet2!$C:$C,$A130,Sheet2!$A:$A,AC$2)&lt;&gt;0,SUMIFS(Sheet2!$E:$E,Sheet2!$C:$C,$A130,Sheet2!$A:$A,AC$2),"")</f>
        <v/>
      </c>
      <c r="AD130" s="42" t="str">
        <f>IF(SUMIFS(Sheet2!$E:$E,Sheet2!$C:$C,$A130,Sheet2!$A:$A,AD$2)&lt;&gt;0,SUMIFS(Sheet2!$E:$E,Sheet2!$C:$C,$A130,Sheet2!$A:$A,AD$2),"")</f>
        <v/>
      </c>
      <c r="AE130" s="42" t="str">
        <f>IF(SUMIFS(Sheet2!$E:$E,Sheet2!$C:$C,$A130,Sheet2!$A:$A,AE$2)&lt;&gt;0,SUMIFS(Sheet2!$E:$E,Sheet2!$C:$C,$A130,Sheet2!$A:$A,AE$2),"")</f>
        <v/>
      </c>
      <c r="AF130" s="42" t="str">
        <f>IF(SUMIFS(Sheet2!$E:$E,Sheet2!$C:$C,$A130,Sheet2!$A:$A,AF$2)&lt;&gt;0,SUMIFS(Sheet2!$E:$E,Sheet2!$C:$C,$A130,Sheet2!$A:$A,AF$2),"")</f>
        <v/>
      </c>
      <c r="AG130" s="42" t="str">
        <f>IF(SUMIFS(Sheet2!$E:$E,Sheet2!$C:$C,$A130,Sheet2!$A:$A,AG$2)&lt;&gt;0,SUMIFS(Sheet2!$E:$E,Sheet2!$C:$C,$A130,Sheet2!$A:$A,AG$2),"")</f>
        <v/>
      </c>
      <c r="AH130" s="43">
        <f>SUM(Table2[[#This Row],[1]:[31]])</f>
        <v>0</v>
      </c>
    </row>
    <row r="131" spans="1:34" ht="12.75" customHeight="1">
      <c r="A131" s="76" t="str">
        <f>DSSP!A130</f>
        <v>VD16</v>
      </c>
      <c r="B131" s="25" t="str">
        <f>DSSP!B130</f>
        <v>Đế huy hiệu</v>
      </c>
      <c r="C131" s="42" t="str">
        <f>IF(SUMIFS(Sheet2!$E:$E,Sheet2!$C:$C,$A131,Sheet2!$A:$A,C$2)&lt;&gt;0,SUMIFS(Sheet2!$E:$E,Sheet2!$C:$C,$A131,Sheet2!$A:$A,C$2),"")</f>
        <v/>
      </c>
      <c r="D131" s="42" t="str">
        <f>IF(SUMIFS(Sheet2!$E:$E,Sheet2!$C:$C,$A131,Sheet2!$A:$A,D$2)&lt;&gt;0,SUMIFS(Sheet2!$E:$E,Sheet2!$C:$C,$A131,Sheet2!$A:$A,D$2),"")</f>
        <v/>
      </c>
      <c r="E131" s="42" t="str">
        <f>IF(SUMIFS(Sheet2!$E:$E,Sheet2!$C:$C,$A131,Sheet2!$A:$A,E$2)&lt;&gt;0,SUMIFS(Sheet2!$E:$E,Sheet2!$C:$C,$A131,Sheet2!$A:$A,E$2),"")</f>
        <v/>
      </c>
      <c r="F131" s="42" t="str">
        <f>IF(SUMIFS(Sheet2!$E:$E,Sheet2!$C:$C,$A131,Sheet2!$A:$A,F$2)&lt;&gt;0,SUMIFS(Sheet2!$E:$E,Sheet2!$C:$C,$A131,Sheet2!$A:$A,F$2),"")</f>
        <v/>
      </c>
      <c r="G131" s="42" t="str">
        <f>IF(SUMIFS(Sheet2!$E:$E,Sheet2!$C:$C,$A131,Sheet2!$A:$A,G$2)&lt;&gt;0,SUMIFS(Sheet2!$E:$E,Sheet2!$C:$C,$A131,Sheet2!$A:$A,G$2),"")</f>
        <v/>
      </c>
      <c r="H131" s="42" t="str">
        <f>IF(SUMIFS(Sheet2!$E:$E,Sheet2!$C:$C,$A131,Sheet2!$A:$A,H$2)&lt;&gt;0,SUMIFS(Sheet2!$E:$E,Sheet2!$C:$C,$A131,Sheet2!$A:$A,H$2),"")</f>
        <v/>
      </c>
      <c r="I131" s="42" t="str">
        <f>IF(SUMIFS(Sheet2!$E:$E,Sheet2!$C:$C,$A131,Sheet2!$A:$A,I$2)&lt;&gt;0,SUMIFS(Sheet2!$E:$E,Sheet2!$C:$C,$A131,Sheet2!$A:$A,I$2),"")</f>
        <v/>
      </c>
      <c r="J131" s="42" t="str">
        <f>IF(SUMIFS(Sheet2!$E:$E,Sheet2!$C:$C,$A131,Sheet2!$A:$A,J$2)&lt;&gt;0,SUMIFS(Sheet2!$E:$E,Sheet2!$C:$C,$A131,Sheet2!$A:$A,J$2),"")</f>
        <v/>
      </c>
      <c r="K131" s="42" t="str">
        <f>IF(SUMIFS(Sheet2!$E:$E,Sheet2!$C:$C,$A131,Sheet2!$A:$A,K$2)&lt;&gt;0,SUMIFS(Sheet2!$E:$E,Sheet2!$C:$C,$A131,Sheet2!$A:$A,K$2),"")</f>
        <v/>
      </c>
      <c r="L131" s="42" t="str">
        <f>IF(SUMIFS(Sheet2!$E:$E,Sheet2!$C:$C,$A131,Sheet2!$A:$A,L$2)&lt;&gt;0,SUMIFS(Sheet2!$E:$E,Sheet2!$C:$C,$A131,Sheet2!$A:$A,L$2),"")</f>
        <v/>
      </c>
      <c r="M131" s="42" t="str">
        <f>IF(SUMIFS(Sheet2!$E:$E,Sheet2!$C:$C,$A131,Sheet2!$A:$A,M$2)&lt;&gt;0,SUMIFS(Sheet2!$E:$E,Sheet2!$C:$C,$A131,Sheet2!$A:$A,M$2),"")</f>
        <v/>
      </c>
      <c r="N131" s="42" t="str">
        <f>IF(SUMIFS(Sheet2!$E:$E,Sheet2!$C:$C,$A131,Sheet2!$A:$A,N$2)&lt;&gt;0,SUMIFS(Sheet2!$E:$E,Sheet2!$C:$C,$A131,Sheet2!$A:$A,N$2),"")</f>
        <v/>
      </c>
      <c r="O131" s="42" t="str">
        <f>IF(SUMIFS(Sheet2!$E:$E,Sheet2!$C:$C,$A131,Sheet2!$A:$A,O$2)&lt;&gt;0,SUMIFS(Sheet2!$E:$E,Sheet2!$C:$C,$A131,Sheet2!$A:$A,O$2),"")</f>
        <v/>
      </c>
      <c r="P131" s="42" t="str">
        <f>IF(SUMIFS(Sheet2!$E:$E,Sheet2!$C:$C,$A131,Sheet2!$A:$A,P$2)&lt;&gt;0,SUMIFS(Sheet2!$E:$E,Sheet2!$C:$C,$A131,Sheet2!$A:$A,P$2),"")</f>
        <v/>
      </c>
      <c r="Q131" s="42" t="str">
        <f>IF(SUMIFS(Sheet2!$E:$E,Sheet2!$C:$C,$A131,Sheet2!$A:$A,Q$2)&lt;&gt;0,SUMIFS(Sheet2!$E:$E,Sheet2!$C:$C,$A131,Sheet2!$A:$A,Q$2),"")</f>
        <v/>
      </c>
      <c r="R131" s="42" t="str">
        <f>IF(SUMIFS(Sheet2!$E:$E,Sheet2!$C:$C,$A131,Sheet2!$A:$A,R$2)&lt;&gt;0,SUMIFS(Sheet2!$E:$E,Sheet2!$C:$C,$A131,Sheet2!$A:$A,R$2),"")</f>
        <v/>
      </c>
      <c r="S131" s="42" t="str">
        <f>IF(SUMIFS(Sheet2!$E:$E,Sheet2!$C:$C,$A131,Sheet2!$A:$A,S$2)&lt;&gt;0,SUMIFS(Sheet2!$E:$E,Sheet2!$C:$C,$A131,Sheet2!$A:$A,S$2),"")</f>
        <v/>
      </c>
      <c r="T131" s="42" t="str">
        <f>IF(SUMIFS(Sheet2!$E:$E,Sheet2!$C:$C,$A131,Sheet2!$A:$A,T$2)&lt;&gt;0,SUMIFS(Sheet2!$E:$E,Sheet2!$C:$C,$A131,Sheet2!$A:$A,T$2),"")</f>
        <v/>
      </c>
      <c r="U131" s="42" t="str">
        <f>IF(SUMIFS(Sheet2!$E:$E,Sheet2!$C:$C,$A131,Sheet2!$A:$A,U$2)&lt;&gt;0,SUMIFS(Sheet2!$E:$E,Sheet2!$C:$C,$A131,Sheet2!$A:$A,U$2),"")</f>
        <v/>
      </c>
      <c r="V131" s="42" t="str">
        <f>IF(SUMIFS(Sheet2!$E:$E,Sheet2!$C:$C,$A131,Sheet2!$A:$A,V$2)&lt;&gt;0,SUMIFS(Sheet2!$E:$E,Sheet2!$C:$C,$A131,Sheet2!$A:$A,V$2),"")</f>
        <v/>
      </c>
      <c r="W131" s="42" t="str">
        <f>IF(SUMIFS(Sheet2!$E:$E,Sheet2!$C:$C,$A131,Sheet2!$A:$A,W$2)&lt;&gt;0,SUMIFS(Sheet2!$E:$E,Sheet2!$C:$C,$A131,Sheet2!$A:$A,W$2),"")</f>
        <v/>
      </c>
      <c r="X131" s="42" t="str">
        <f>IF(SUMIFS(Sheet2!$E:$E,Sheet2!$C:$C,$A131,Sheet2!$A:$A,X$2)&lt;&gt;0,SUMIFS(Sheet2!$E:$E,Sheet2!$C:$C,$A131,Sheet2!$A:$A,X$2),"")</f>
        <v/>
      </c>
      <c r="Y131" s="42" t="str">
        <f>IF(SUMIFS(Sheet2!$E:$E,Sheet2!$C:$C,$A131,Sheet2!$A:$A,Y$2)&lt;&gt;0,SUMIFS(Sheet2!$E:$E,Sheet2!$C:$C,$A131,Sheet2!$A:$A,Y$2),"")</f>
        <v/>
      </c>
      <c r="Z131" s="42" t="str">
        <f>IF(SUMIFS(Sheet2!$E:$E,Sheet2!$C:$C,$A131,Sheet2!$A:$A,Z$2)&lt;&gt;0,SUMIFS(Sheet2!$E:$E,Sheet2!$C:$C,$A131,Sheet2!$A:$A,Z$2),"")</f>
        <v/>
      </c>
      <c r="AA131" s="42" t="str">
        <f>IF(SUMIFS(Sheet2!$E:$E,Sheet2!$C:$C,$A131,Sheet2!$A:$A,AA$2)&lt;&gt;0,SUMIFS(Sheet2!$E:$E,Sheet2!$C:$C,$A131,Sheet2!$A:$A,AA$2),"")</f>
        <v/>
      </c>
      <c r="AB131" s="42" t="str">
        <f>IF(SUMIFS(Sheet2!$E:$E,Sheet2!$C:$C,$A131,Sheet2!$A:$A,AB$2)&lt;&gt;0,SUMIFS(Sheet2!$E:$E,Sheet2!$C:$C,$A131,Sheet2!$A:$A,AB$2),"")</f>
        <v/>
      </c>
      <c r="AC131" s="42" t="str">
        <f>IF(SUMIFS(Sheet2!$E:$E,Sheet2!$C:$C,$A131,Sheet2!$A:$A,AC$2)&lt;&gt;0,SUMIFS(Sheet2!$E:$E,Sheet2!$C:$C,$A131,Sheet2!$A:$A,AC$2),"")</f>
        <v/>
      </c>
      <c r="AD131" s="42" t="str">
        <f>IF(SUMIFS(Sheet2!$E:$E,Sheet2!$C:$C,$A131,Sheet2!$A:$A,AD$2)&lt;&gt;0,SUMIFS(Sheet2!$E:$E,Sheet2!$C:$C,$A131,Sheet2!$A:$A,AD$2),"")</f>
        <v/>
      </c>
      <c r="AE131" s="42" t="str">
        <f>IF(SUMIFS(Sheet2!$E:$E,Sheet2!$C:$C,$A131,Sheet2!$A:$A,AE$2)&lt;&gt;0,SUMIFS(Sheet2!$E:$E,Sheet2!$C:$C,$A131,Sheet2!$A:$A,AE$2),"")</f>
        <v/>
      </c>
      <c r="AF131" s="42" t="str">
        <f>IF(SUMIFS(Sheet2!$E:$E,Sheet2!$C:$C,$A131,Sheet2!$A:$A,AF$2)&lt;&gt;0,SUMIFS(Sheet2!$E:$E,Sheet2!$C:$C,$A131,Sheet2!$A:$A,AF$2),"")</f>
        <v/>
      </c>
      <c r="AG131" s="42" t="str">
        <f>IF(SUMIFS(Sheet2!$E:$E,Sheet2!$C:$C,$A131,Sheet2!$A:$A,AG$2)&lt;&gt;0,SUMIFS(Sheet2!$E:$E,Sheet2!$C:$C,$A131,Sheet2!$A:$A,AG$2),"")</f>
        <v/>
      </c>
      <c r="AH131" s="43">
        <f>SUM(Table2[[#This Row],[1]:[31]])</f>
        <v>0</v>
      </c>
    </row>
    <row r="132" spans="1:34" ht="12.75" customHeight="1">
      <c r="A132" s="76" t="str">
        <f>DSSP!A131</f>
        <v>DS01</v>
      </c>
      <c r="B132" s="25" t="str">
        <f>DSSP!B131</f>
        <v>Đất sét Malay</v>
      </c>
      <c r="C132" s="42" t="str">
        <f>IF(SUMIFS(Sheet2!$E:$E,Sheet2!$C:$C,$A132,Sheet2!$A:$A,C$2)&lt;&gt;0,SUMIFS(Sheet2!$E:$E,Sheet2!$C:$C,$A132,Sheet2!$A:$A,C$2),"")</f>
        <v/>
      </c>
      <c r="D132" s="42" t="str">
        <f>IF(SUMIFS(Sheet2!$E:$E,Sheet2!$C:$C,$A132,Sheet2!$A:$A,D$2)&lt;&gt;0,SUMIFS(Sheet2!$E:$E,Sheet2!$C:$C,$A132,Sheet2!$A:$A,D$2),"")</f>
        <v/>
      </c>
      <c r="E132" s="42" t="str">
        <f>IF(SUMIFS(Sheet2!$E:$E,Sheet2!$C:$C,$A132,Sheet2!$A:$A,E$2)&lt;&gt;0,SUMIFS(Sheet2!$E:$E,Sheet2!$C:$C,$A132,Sheet2!$A:$A,E$2),"")</f>
        <v/>
      </c>
      <c r="F132" s="42" t="str">
        <f>IF(SUMIFS(Sheet2!$E:$E,Sheet2!$C:$C,$A132,Sheet2!$A:$A,F$2)&lt;&gt;0,SUMIFS(Sheet2!$E:$E,Sheet2!$C:$C,$A132,Sheet2!$A:$A,F$2),"")</f>
        <v/>
      </c>
      <c r="G132" s="42" t="str">
        <f>IF(SUMIFS(Sheet2!$E:$E,Sheet2!$C:$C,$A132,Sheet2!$A:$A,G$2)&lt;&gt;0,SUMIFS(Sheet2!$E:$E,Sheet2!$C:$C,$A132,Sheet2!$A:$A,G$2),"")</f>
        <v/>
      </c>
      <c r="H132" s="42" t="str">
        <f>IF(SUMIFS(Sheet2!$E:$E,Sheet2!$C:$C,$A132,Sheet2!$A:$A,H$2)&lt;&gt;0,SUMIFS(Sheet2!$E:$E,Sheet2!$C:$C,$A132,Sheet2!$A:$A,H$2),"")</f>
        <v/>
      </c>
      <c r="I132" s="42" t="str">
        <f>IF(SUMIFS(Sheet2!$E:$E,Sheet2!$C:$C,$A132,Sheet2!$A:$A,I$2)&lt;&gt;0,SUMIFS(Sheet2!$E:$E,Sheet2!$C:$C,$A132,Sheet2!$A:$A,I$2),"")</f>
        <v/>
      </c>
      <c r="J132" s="42" t="str">
        <f>IF(SUMIFS(Sheet2!$E:$E,Sheet2!$C:$C,$A132,Sheet2!$A:$A,J$2)&lt;&gt;0,SUMIFS(Sheet2!$E:$E,Sheet2!$C:$C,$A132,Sheet2!$A:$A,J$2),"")</f>
        <v/>
      </c>
      <c r="K132" s="42" t="str">
        <f>IF(SUMIFS(Sheet2!$E:$E,Sheet2!$C:$C,$A132,Sheet2!$A:$A,K$2)&lt;&gt;0,SUMIFS(Sheet2!$E:$E,Sheet2!$C:$C,$A132,Sheet2!$A:$A,K$2),"")</f>
        <v/>
      </c>
      <c r="L132" s="42" t="str">
        <f>IF(SUMIFS(Sheet2!$E:$E,Sheet2!$C:$C,$A132,Sheet2!$A:$A,L$2)&lt;&gt;0,SUMIFS(Sheet2!$E:$E,Sheet2!$C:$C,$A132,Sheet2!$A:$A,L$2),"")</f>
        <v/>
      </c>
      <c r="M132" s="42" t="str">
        <f>IF(SUMIFS(Sheet2!$E:$E,Sheet2!$C:$C,$A132,Sheet2!$A:$A,M$2)&lt;&gt;0,SUMIFS(Sheet2!$E:$E,Sheet2!$C:$C,$A132,Sheet2!$A:$A,M$2),"")</f>
        <v/>
      </c>
      <c r="N132" s="42" t="str">
        <f>IF(SUMIFS(Sheet2!$E:$E,Sheet2!$C:$C,$A132,Sheet2!$A:$A,N$2)&lt;&gt;0,SUMIFS(Sheet2!$E:$E,Sheet2!$C:$C,$A132,Sheet2!$A:$A,N$2),"")</f>
        <v/>
      </c>
      <c r="O132" s="42" t="str">
        <f>IF(SUMIFS(Sheet2!$E:$E,Sheet2!$C:$C,$A132,Sheet2!$A:$A,O$2)&lt;&gt;0,SUMIFS(Sheet2!$E:$E,Sheet2!$C:$C,$A132,Sheet2!$A:$A,O$2),"")</f>
        <v/>
      </c>
      <c r="P132" s="42" t="str">
        <f>IF(SUMIFS(Sheet2!$E:$E,Sheet2!$C:$C,$A132,Sheet2!$A:$A,P$2)&lt;&gt;0,SUMIFS(Sheet2!$E:$E,Sheet2!$C:$C,$A132,Sheet2!$A:$A,P$2),"")</f>
        <v/>
      </c>
      <c r="Q132" s="42" t="str">
        <f>IF(SUMIFS(Sheet2!$E:$E,Sheet2!$C:$C,$A132,Sheet2!$A:$A,Q$2)&lt;&gt;0,SUMIFS(Sheet2!$E:$E,Sheet2!$C:$C,$A132,Sheet2!$A:$A,Q$2),"")</f>
        <v/>
      </c>
      <c r="R132" s="42" t="str">
        <f>IF(SUMIFS(Sheet2!$E:$E,Sheet2!$C:$C,$A132,Sheet2!$A:$A,R$2)&lt;&gt;0,SUMIFS(Sheet2!$E:$E,Sheet2!$C:$C,$A132,Sheet2!$A:$A,R$2),"")</f>
        <v/>
      </c>
      <c r="S132" s="42" t="str">
        <f>IF(SUMIFS(Sheet2!$E:$E,Sheet2!$C:$C,$A132,Sheet2!$A:$A,S$2)&lt;&gt;0,SUMIFS(Sheet2!$E:$E,Sheet2!$C:$C,$A132,Sheet2!$A:$A,S$2),"")</f>
        <v/>
      </c>
      <c r="T132" s="42" t="str">
        <f>IF(SUMIFS(Sheet2!$E:$E,Sheet2!$C:$C,$A132,Sheet2!$A:$A,T$2)&lt;&gt;0,SUMIFS(Sheet2!$E:$E,Sheet2!$C:$C,$A132,Sheet2!$A:$A,T$2),"")</f>
        <v/>
      </c>
      <c r="U132" s="42" t="str">
        <f>IF(SUMIFS(Sheet2!$E:$E,Sheet2!$C:$C,$A132,Sheet2!$A:$A,U$2)&lt;&gt;0,SUMIFS(Sheet2!$E:$E,Sheet2!$C:$C,$A132,Sheet2!$A:$A,U$2),"")</f>
        <v/>
      </c>
      <c r="V132" s="42" t="str">
        <f>IF(SUMIFS(Sheet2!$E:$E,Sheet2!$C:$C,$A132,Sheet2!$A:$A,V$2)&lt;&gt;0,SUMIFS(Sheet2!$E:$E,Sheet2!$C:$C,$A132,Sheet2!$A:$A,V$2),"")</f>
        <v/>
      </c>
      <c r="W132" s="42" t="str">
        <f>IF(SUMIFS(Sheet2!$E:$E,Sheet2!$C:$C,$A132,Sheet2!$A:$A,W$2)&lt;&gt;0,SUMIFS(Sheet2!$E:$E,Sheet2!$C:$C,$A132,Sheet2!$A:$A,W$2),"")</f>
        <v/>
      </c>
      <c r="X132" s="42" t="str">
        <f>IF(SUMIFS(Sheet2!$E:$E,Sheet2!$C:$C,$A132,Sheet2!$A:$A,X$2)&lt;&gt;0,SUMIFS(Sheet2!$E:$E,Sheet2!$C:$C,$A132,Sheet2!$A:$A,X$2),"")</f>
        <v/>
      </c>
      <c r="Y132" s="42" t="str">
        <f>IF(SUMIFS(Sheet2!$E:$E,Sheet2!$C:$C,$A132,Sheet2!$A:$A,Y$2)&lt;&gt;0,SUMIFS(Sheet2!$E:$E,Sheet2!$C:$C,$A132,Sheet2!$A:$A,Y$2),"")</f>
        <v/>
      </c>
      <c r="Z132" s="42" t="str">
        <f>IF(SUMIFS(Sheet2!$E:$E,Sheet2!$C:$C,$A132,Sheet2!$A:$A,Z$2)&lt;&gt;0,SUMIFS(Sheet2!$E:$E,Sheet2!$C:$C,$A132,Sheet2!$A:$A,Z$2),"")</f>
        <v/>
      </c>
      <c r="AA132" s="42" t="str">
        <f>IF(SUMIFS(Sheet2!$E:$E,Sheet2!$C:$C,$A132,Sheet2!$A:$A,AA$2)&lt;&gt;0,SUMIFS(Sheet2!$E:$E,Sheet2!$C:$C,$A132,Sheet2!$A:$A,AA$2),"")</f>
        <v/>
      </c>
      <c r="AB132" s="42" t="str">
        <f>IF(SUMIFS(Sheet2!$E:$E,Sheet2!$C:$C,$A132,Sheet2!$A:$A,AB$2)&lt;&gt;0,SUMIFS(Sheet2!$E:$E,Sheet2!$C:$C,$A132,Sheet2!$A:$A,AB$2),"")</f>
        <v/>
      </c>
      <c r="AC132" s="42" t="str">
        <f>IF(SUMIFS(Sheet2!$E:$E,Sheet2!$C:$C,$A132,Sheet2!$A:$A,AC$2)&lt;&gt;0,SUMIFS(Sheet2!$E:$E,Sheet2!$C:$C,$A132,Sheet2!$A:$A,AC$2),"")</f>
        <v/>
      </c>
      <c r="AD132" s="42" t="str">
        <f>IF(SUMIFS(Sheet2!$E:$E,Sheet2!$C:$C,$A132,Sheet2!$A:$A,AD$2)&lt;&gt;0,SUMIFS(Sheet2!$E:$E,Sheet2!$C:$C,$A132,Sheet2!$A:$A,AD$2),"")</f>
        <v/>
      </c>
      <c r="AE132" s="42" t="str">
        <f>IF(SUMIFS(Sheet2!$E:$E,Sheet2!$C:$C,$A132,Sheet2!$A:$A,AE$2)&lt;&gt;0,SUMIFS(Sheet2!$E:$E,Sheet2!$C:$C,$A132,Sheet2!$A:$A,AE$2),"")</f>
        <v/>
      </c>
      <c r="AF132" s="42" t="str">
        <f>IF(SUMIFS(Sheet2!$E:$E,Sheet2!$C:$C,$A132,Sheet2!$A:$A,AF$2)&lt;&gt;0,SUMIFS(Sheet2!$E:$E,Sheet2!$C:$C,$A132,Sheet2!$A:$A,AF$2),"")</f>
        <v/>
      </c>
      <c r="AG132" s="42" t="str">
        <f>IF(SUMIFS(Sheet2!$E:$E,Sheet2!$C:$C,$A132,Sheet2!$A:$A,AG$2)&lt;&gt;0,SUMIFS(Sheet2!$E:$E,Sheet2!$C:$C,$A132,Sheet2!$A:$A,AG$2),"")</f>
        <v/>
      </c>
      <c r="AH132" s="43">
        <f>SUM(Table2[[#This Row],[1]:[31]])</f>
        <v>0</v>
      </c>
    </row>
    <row r="133" spans="1:34" ht="12.75" customHeight="1">
      <c r="A133" s="76" t="str">
        <f>DSSP!A132</f>
        <v>DS02</v>
      </c>
      <c r="B133" s="25" t="str">
        <f>DSSP!B132</f>
        <v>Đất sét Thái</v>
      </c>
      <c r="C133" s="42" t="str">
        <f>IF(SUMIFS(Sheet2!$E:$E,Sheet2!$C:$C,$A133,Sheet2!$A:$A,C$2)&lt;&gt;0,SUMIFS(Sheet2!$E:$E,Sheet2!$C:$C,$A133,Sheet2!$A:$A,C$2),"")</f>
        <v/>
      </c>
      <c r="D133" s="42" t="str">
        <f>IF(SUMIFS(Sheet2!$E:$E,Sheet2!$C:$C,$A133,Sheet2!$A:$A,D$2)&lt;&gt;0,SUMIFS(Sheet2!$E:$E,Sheet2!$C:$C,$A133,Sheet2!$A:$A,D$2),"")</f>
        <v/>
      </c>
      <c r="E133" s="42" t="str">
        <f>IF(SUMIFS(Sheet2!$E:$E,Sheet2!$C:$C,$A133,Sheet2!$A:$A,E$2)&lt;&gt;0,SUMIFS(Sheet2!$E:$E,Sheet2!$C:$C,$A133,Sheet2!$A:$A,E$2),"")</f>
        <v/>
      </c>
      <c r="F133" s="42" t="str">
        <f>IF(SUMIFS(Sheet2!$E:$E,Sheet2!$C:$C,$A133,Sheet2!$A:$A,F$2)&lt;&gt;0,SUMIFS(Sheet2!$E:$E,Sheet2!$C:$C,$A133,Sheet2!$A:$A,F$2),"")</f>
        <v/>
      </c>
      <c r="G133" s="42" t="str">
        <f>IF(SUMIFS(Sheet2!$E:$E,Sheet2!$C:$C,$A133,Sheet2!$A:$A,G$2)&lt;&gt;0,SUMIFS(Sheet2!$E:$E,Sheet2!$C:$C,$A133,Sheet2!$A:$A,G$2),"")</f>
        <v/>
      </c>
      <c r="H133" s="42" t="str">
        <f>IF(SUMIFS(Sheet2!$E:$E,Sheet2!$C:$C,$A133,Sheet2!$A:$A,H$2)&lt;&gt;0,SUMIFS(Sheet2!$E:$E,Sheet2!$C:$C,$A133,Sheet2!$A:$A,H$2),"")</f>
        <v/>
      </c>
      <c r="I133" s="42" t="str">
        <f>IF(SUMIFS(Sheet2!$E:$E,Sheet2!$C:$C,$A133,Sheet2!$A:$A,I$2)&lt;&gt;0,SUMIFS(Sheet2!$E:$E,Sheet2!$C:$C,$A133,Sheet2!$A:$A,I$2),"")</f>
        <v/>
      </c>
      <c r="J133" s="42" t="str">
        <f>IF(SUMIFS(Sheet2!$E:$E,Sheet2!$C:$C,$A133,Sheet2!$A:$A,J$2)&lt;&gt;0,SUMIFS(Sheet2!$E:$E,Sheet2!$C:$C,$A133,Sheet2!$A:$A,J$2),"")</f>
        <v/>
      </c>
      <c r="K133" s="42" t="str">
        <f>IF(SUMIFS(Sheet2!$E:$E,Sheet2!$C:$C,$A133,Sheet2!$A:$A,K$2)&lt;&gt;0,SUMIFS(Sheet2!$E:$E,Sheet2!$C:$C,$A133,Sheet2!$A:$A,K$2),"")</f>
        <v/>
      </c>
      <c r="L133" s="42" t="str">
        <f>IF(SUMIFS(Sheet2!$E:$E,Sheet2!$C:$C,$A133,Sheet2!$A:$A,L$2)&lt;&gt;0,SUMIFS(Sheet2!$E:$E,Sheet2!$C:$C,$A133,Sheet2!$A:$A,L$2),"")</f>
        <v/>
      </c>
      <c r="M133" s="42" t="str">
        <f>IF(SUMIFS(Sheet2!$E:$E,Sheet2!$C:$C,$A133,Sheet2!$A:$A,M$2)&lt;&gt;0,SUMIFS(Sheet2!$E:$E,Sheet2!$C:$C,$A133,Sheet2!$A:$A,M$2),"")</f>
        <v/>
      </c>
      <c r="N133" s="42" t="str">
        <f>IF(SUMIFS(Sheet2!$E:$E,Sheet2!$C:$C,$A133,Sheet2!$A:$A,N$2)&lt;&gt;0,SUMIFS(Sheet2!$E:$E,Sheet2!$C:$C,$A133,Sheet2!$A:$A,N$2),"")</f>
        <v/>
      </c>
      <c r="O133" s="42" t="str">
        <f>IF(SUMIFS(Sheet2!$E:$E,Sheet2!$C:$C,$A133,Sheet2!$A:$A,O$2)&lt;&gt;0,SUMIFS(Sheet2!$E:$E,Sheet2!$C:$C,$A133,Sheet2!$A:$A,O$2),"")</f>
        <v/>
      </c>
      <c r="P133" s="42" t="str">
        <f>IF(SUMIFS(Sheet2!$E:$E,Sheet2!$C:$C,$A133,Sheet2!$A:$A,P$2)&lt;&gt;0,SUMIFS(Sheet2!$E:$E,Sheet2!$C:$C,$A133,Sheet2!$A:$A,P$2),"")</f>
        <v/>
      </c>
      <c r="Q133" s="42" t="str">
        <f>IF(SUMIFS(Sheet2!$E:$E,Sheet2!$C:$C,$A133,Sheet2!$A:$A,Q$2)&lt;&gt;0,SUMIFS(Sheet2!$E:$E,Sheet2!$C:$C,$A133,Sheet2!$A:$A,Q$2),"")</f>
        <v/>
      </c>
      <c r="R133" s="42" t="str">
        <f>IF(SUMIFS(Sheet2!$E:$E,Sheet2!$C:$C,$A133,Sheet2!$A:$A,R$2)&lt;&gt;0,SUMIFS(Sheet2!$E:$E,Sheet2!$C:$C,$A133,Sheet2!$A:$A,R$2),"")</f>
        <v/>
      </c>
      <c r="S133" s="42" t="str">
        <f>IF(SUMIFS(Sheet2!$E:$E,Sheet2!$C:$C,$A133,Sheet2!$A:$A,S$2)&lt;&gt;0,SUMIFS(Sheet2!$E:$E,Sheet2!$C:$C,$A133,Sheet2!$A:$A,S$2),"")</f>
        <v/>
      </c>
      <c r="T133" s="42" t="str">
        <f>IF(SUMIFS(Sheet2!$E:$E,Sheet2!$C:$C,$A133,Sheet2!$A:$A,T$2)&lt;&gt;0,SUMIFS(Sheet2!$E:$E,Sheet2!$C:$C,$A133,Sheet2!$A:$A,T$2),"")</f>
        <v/>
      </c>
      <c r="U133" s="42" t="str">
        <f>IF(SUMIFS(Sheet2!$E:$E,Sheet2!$C:$C,$A133,Sheet2!$A:$A,U$2)&lt;&gt;0,SUMIFS(Sheet2!$E:$E,Sheet2!$C:$C,$A133,Sheet2!$A:$A,U$2),"")</f>
        <v/>
      </c>
      <c r="V133" s="42" t="str">
        <f>IF(SUMIFS(Sheet2!$E:$E,Sheet2!$C:$C,$A133,Sheet2!$A:$A,V$2)&lt;&gt;0,SUMIFS(Sheet2!$E:$E,Sheet2!$C:$C,$A133,Sheet2!$A:$A,V$2),"")</f>
        <v/>
      </c>
      <c r="W133" s="42" t="str">
        <f>IF(SUMIFS(Sheet2!$E:$E,Sheet2!$C:$C,$A133,Sheet2!$A:$A,W$2)&lt;&gt;0,SUMIFS(Sheet2!$E:$E,Sheet2!$C:$C,$A133,Sheet2!$A:$A,W$2),"")</f>
        <v/>
      </c>
      <c r="X133" s="42" t="str">
        <f>IF(SUMIFS(Sheet2!$E:$E,Sheet2!$C:$C,$A133,Sheet2!$A:$A,X$2)&lt;&gt;0,SUMIFS(Sheet2!$E:$E,Sheet2!$C:$C,$A133,Sheet2!$A:$A,X$2),"")</f>
        <v/>
      </c>
      <c r="Y133" s="42" t="str">
        <f>IF(SUMIFS(Sheet2!$E:$E,Sheet2!$C:$C,$A133,Sheet2!$A:$A,Y$2)&lt;&gt;0,SUMIFS(Sheet2!$E:$E,Sheet2!$C:$C,$A133,Sheet2!$A:$A,Y$2),"")</f>
        <v/>
      </c>
      <c r="Z133" s="42" t="str">
        <f>IF(SUMIFS(Sheet2!$E:$E,Sheet2!$C:$C,$A133,Sheet2!$A:$A,Z$2)&lt;&gt;0,SUMIFS(Sheet2!$E:$E,Sheet2!$C:$C,$A133,Sheet2!$A:$A,Z$2),"")</f>
        <v/>
      </c>
      <c r="AA133" s="42" t="str">
        <f>IF(SUMIFS(Sheet2!$E:$E,Sheet2!$C:$C,$A133,Sheet2!$A:$A,AA$2)&lt;&gt;0,SUMIFS(Sheet2!$E:$E,Sheet2!$C:$C,$A133,Sheet2!$A:$A,AA$2),"")</f>
        <v/>
      </c>
      <c r="AB133" s="42" t="str">
        <f>IF(SUMIFS(Sheet2!$E:$E,Sheet2!$C:$C,$A133,Sheet2!$A:$A,AB$2)&lt;&gt;0,SUMIFS(Sheet2!$E:$E,Sheet2!$C:$C,$A133,Sheet2!$A:$A,AB$2),"")</f>
        <v/>
      </c>
      <c r="AC133" s="42" t="str">
        <f>IF(SUMIFS(Sheet2!$E:$E,Sheet2!$C:$C,$A133,Sheet2!$A:$A,AC$2)&lt;&gt;0,SUMIFS(Sheet2!$E:$E,Sheet2!$C:$C,$A133,Sheet2!$A:$A,AC$2),"")</f>
        <v/>
      </c>
      <c r="AD133" s="42" t="str">
        <f>IF(SUMIFS(Sheet2!$E:$E,Sheet2!$C:$C,$A133,Sheet2!$A:$A,AD$2)&lt;&gt;0,SUMIFS(Sheet2!$E:$E,Sheet2!$C:$C,$A133,Sheet2!$A:$A,AD$2),"")</f>
        <v/>
      </c>
      <c r="AE133" s="42" t="str">
        <f>IF(SUMIFS(Sheet2!$E:$E,Sheet2!$C:$C,$A133,Sheet2!$A:$A,AE$2)&lt;&gt;0,SUMIFS(Sheet2!$E:$E,Sheet2!$C:$C,$A133,Sheet2!$A:$A,AE$2),"")</f>
        <v/>
      </c>
      <c r="AF133" s="42" t="str">
        <f>IF(SUMIFS(Sheet2!$E:$E,Sheet2!$C:$C,$A133,Sheet2!$A:$A,AF$2)&lt;&gt;0,SUMIFS(Sheet2!$E:$E,Sheet2!$C:$C,$A133,Sheet2!$A:$A,AF$2),"")</f>
        <v/>
      </c>
      <c r="AG133" s="42" t="str">
        <f>IF(SUMIFS(Sheet2!$E:$E,Sheet2!$C:$C,$A133,Sheet2!$A:$A,AG$2)&lt;&gt;0,SUMIFS(Sheet2!$E:$E,Sheet2!$C:$C,$A133,Sheet2!$A:$A,AG$2),"")</f>
        <v/>
      </c>
      <c r="AH133" s="43">
        <f>SUM(Table2[[#This Row],[1]:[31]])</f>
        <v>0</v>
      </c>
    </row>
    <row r="134" spans="1:34" ht="12.75" customHeight="1">
      <c r="A134" s="76" t="str">
        <f>DSSP!A133</f>
        <v>DS03</v>
      </c>
      <c r="B134" s="25" t="str">
        <f>DSSP!B133</f>
        <v>Đất sét Hàn Quốc</v>
      </c>
      <c r="C134" s="42" t="str">
        <f>IF(SUMIFS(Sheet2!$E:$E,Sheet2!$C:$C,$A134,Sheet2!$A:$A,C$2)&lt;&gt;0,SUMIFS(Sheet2!$E:$E,Sheet2!$C:$C,$A134,Sheet2!$A:$A,C$2),"")</f>
        <v/>
      </c>
      <c r="D134" s="42" t="str">
        <f>IF(SUMIFS(Sheet2!$E:$E,Sheet2!$C:$C,$A134,Sheet2!$A:$A,D$2)&lt;&gt;0,SUMIFS(Sheet2!$E:$E,Sheet2!$C:$C,$A134,Sheet2!$A:$A,D$2),"")</f>
        <v/>
      </c>
      <c r="E134" s="42" t="str">
        <f>IF(SUMIFS(Sheet2!$E:$E,Sheet2!$C:$C,$A134,Sheet2!$A:$A,E$2)&lt;&gt;0,SUMIFS(Sheet2!$E:$E,Sheet2!$C:$C,$A134,Sheet2!$A:$A,E$2),"")</f>
        <v/>
      </c>
      <c r="F134" s="42" t="str">
        <f>IF(SUMIFS(Sheet2!$E:$E,Sheet2!$C:$C,$A134,Sheet2!$A:$A,F$2)&lt;&gt;0,SUMIFS(Sheet2!$E:$E,Sheet2!$C:$C,$A134,Sheet2!$A:$A,F$2),"")</f>
        <v/>
      </c>
      <c r="G134" s="42" t="str">
        <f>IF(SUMIFS(Sheet2!$E:$E,Sheet2!$C:$C,$A134,Sheet2!$A:$A,G$2)&lt;&gt;0,SUMIFS(Sheet2!$E:$E,Sheet2!$C:$C,$A134,Sheet2!$A:$A,G$2),"")</f>
        <v/>
      </c>
      <c r="H134" s="42" t="str">
        <f>IF(SUMIFS(Sheet2!$E:$E,Sheet2!$C:$C,$A134,Sheet2!$A:$A,H$2)&lt;&gt;0,SUMIFS(Sheet2!$E:$E,Sheet2!$C:$C,$A134,Sheet2!$A:$A,H$2),"")</f>
        <v/>
      </c>
      <c r="I134" s="42" t="str">
        <f>IF(SUMIFS(Sheet2!$E:$E,Sheet2!$C:$C,$A134,Sheet2!$A:$A,I$2)&lt;&gt;0,SUMIFS(Sheet2!$E:$E,Sheet2!$C:$C,$A134,Sheet2!$A:$A,I$2),"")</f>
        <v/>
      </c>
      <c r="J134" s="42" t="str">
        <f>IF(SUMIFS(Sheet2!$E:$E,Sheet2!$C:$C,$A134,Sheet2!$A:$A,J$2)&lt;&gt;0,SUMIFS(Sheet2!$E:$E,Sheet2!$C:$C,$A134,Sheet2!$A:$A,J$2),"")</f>
        <v/>
      </c>
      <c r="K134" s="42" t="str">
        <f>IF(SUMIFS(Sheet2!$E:$E,Sheet2!$C:$C,$A134,Sheet2!$A:$A,K$2)&lt;&gt;0,SUMIFS(Sheet2!$E:$E,Sheet2!$C:$C,$A134,Sheet2!$A:$A,K$2),"")</f>
        <v/>
      </c>
      <c r="L134" s="42" t="str">
        <f>IF(SUMIFS(Sheet2!$E:$E,Sheet2!$C:$C,$A134,Sheet2!$A:$A,L$2)&lt;&gt;0,SUMIFS(Sheet2!$E:$E,Sheet2!$C:$C,$A134,Sheet2!$A:$A,L$2),"")</f>
        <v/>
      </c>
      <c r="M134" s="42" t="str">
        <f>IF(SUMIFS(Sheet2!$E:$E,Sheet2!$C:$C,$A134,Sheet2!$A:$A,M$2)&lt;&gt;0,SUMIFS(Sheet2!$E:$E,Sheet2!$C:$C,$A134,Sheet2!$A:$A,M$2),"")</f>
        <v/>
      </c>
      <c r="N134" s="42" t="str">
        <f>IF(SUMIFS(Sheet2!$E:$E,Sheet2!$C:$C,$A134,Sheet2!$A:$A,N$2)&lt;&gt;0,SUMIFS(Sheet2!$E:$E,Sheet2!$C:$C,$A134,Sheet2!$A:$A,N$2),"")</f>
        <v/>
      </c>
      <c r="O134" s="42" t="str">
        <f>IF(SUMIFS(Sheet2!$E:$E,Sheet2!$C:$C,$A134,Sheet2!$A:$A,O$2)&lt;&gt;0,SUMIFS(Sheet2!$E:$E,Sheet2!$C:$C,$A134,Sheet2!$A:$A,O$2),"")</f>
        <v/>
      </c>
      <c r="P134" s="42" t="str">
        <f>IF(SUMIFS(Sheet2!$E:$E,Sheet2!$C:$C,$A134,Sheet2!$A:$A,P$2)&lt;&gt;0,SUMIFS(Sheet2!$E:$E,Sheet2!$C:$C,$A134,Sheet2!$A:$A,P$2),"")</f>
        <v/>
      </c>
      <c r="Q134" s="42" t="str">
        <f>IF(SUMIFS(Sheet2!$E:$E,Sheet2!$C:$C,$A134,Sheet2!$A:$A,Q$2)&lt;&gt;0,SUMIFS(Sheet2!$E:$E,Sheet2!$C:$C,$A134,Sheet2!$A:$A,Q$2),"")</f>
        <v/>
      </c>
      <c r="R134" s="42" t="str">
        <f>IF(SUMIFS(Sheet2!$E:$E,Sheet2!$C:$C,$A134,Sheet2!$A:$A,R$2)&lt;&gt;0,SUMIFS(Sheet2!$E:$E,Sheet2!$C:$C,$A134,Sheet2!$A:$A,R$2),"")</f>
        <v/>
      </c>
      <c r="S134" s="42" t="str">
        <f>IF(SUMIFS(Sheet2!$E:$E,Sheet2!$C:$C,$A134,Sheet2!$A:$A,S$2)&lt;&gt;0,SUMIFS(Sheet2!$E:$E,Sheet2!$C:$C,$A134,Sheet2!$A:$A,S$2),"")</f>
        <v/>
      </c>
      <c r="T134" s="42" t="str">
        <f>IF(SUMIFS(Sheet2!$E:$E,Sheet2!$C:$C,$A134,Sheet2!$A:$A,T$2)&lt;&gt;0,SUMIFS(Sheet2!$E:$E,Sheet2!$C:$C,$A134,Sheet2!$A:$A,T$2),"")</f>
        <v/>
      </c>
      <c r="U134" s="42" t="str">
        <f>IF(SUMIFS(Sheet2!$E:$E,Sheet2!$C:$C,$A134,Sheet2!$A:$A,U$2)&lt;&gt;0,SUMIFS(Sheet2!$E:$E,Sheet2!$C:$C,$A134,Sheet2!$A:$A,U$2),"")</f>
        <v/>
      </c>
      <c r="V134" s="42" t="str">
        <f>IF(SUMIFS(Sheet2!$E:$E,Sheet2!$C:$C,$A134,Sheet2!$A:$A,V$2)&lt;&gt;0,SUMIFS(Sheet2!$E:$E,Sheet2!$C:$C,$A134,Sheet2!$A:$A,V$2),"")</f>
        <v/>
      </c>
      <c r="W134" s="42" t="str">
        <f>IF(SUMIFS(Sheet2!$E:$E,Sheet2!$C:$C,$A134,Sheet2!$A:$A,W$2)&lt;&gt;0,SUMIFS(Sheet2!$E:$E,Sheet2!$C:$C,$A134,Sheet2!$A:$A,W$2),"")</f>
        <v/>
      </c>
      <c r="X134" s="42" t="str">
        <f>IF(SUMIFS(Sheet2!$E:$E,Sheet2!$C:$C,$A134,Sheet2!$A:$A,X$2)&lt;&gt;0,SUMIFS(Sheet2!$E:$E,Sheet2!$C:$C,$A134,Sheet2!$A:$A,X$2),"")</f>
        <v/>
      </c>
      <c r="Y134" s="42" t="str">
        <f>IF(SUMIFS(Sheet2!$E:$E,Sheet2!$C:$C,$A134,Sheet2!$A:$A,Y$2)&lt;&gt;0,SUMIFS(Sheet2!$E:$E,Sheet2!$C:$C,$A134,Sheet2!$A:$A,Y$2),"")</f>
        <v/>
      </c>
      <c r="Z134" s="42" t="str">
        <f>IF(SUMIFS(Sheet2!$E:$E,Sheet2!$C:$C,$A134,Sheet2!$A:$A,Z$2)&lt;&gt;0,SUMIFS(Sheet2!$E:$E,Sheet2!$C:$C,$A134,Sheet2!$A:$A,Z$2),"")</f>
        <v/>
      </c>
      <c r="AA134" s="42" t="str">
        <f>IF(SUMIFS(Sheet2!$E:$E,Sheet2!$C:$C,$A134,Sheet2!$A:$A,AA$2)&lt;&gt;0,SUMIFS(Sheet2!$E:$E,Sheet2!$C:$C,$A134,Sheet2!$A:$A,AA$2),"")</f>
        <v/>
      </c>
      <c r="AB134" s="42" t="str">
        <f>IF(SUMIFS(Sheet2!$E:$E,Sheet2!$C:$C,$A134,Sheet2!$A:$A,AB$2)&lt;&gt;0,SUMIFS(Sheet2!$E:$E,Sheet2!$C:$C,$A134,Sheet2!$A:$A,AB$2),"")</f>
        <v/>
      </c>
      <c r="AC134" s="42" t="str">
        <f>IF(SUMIFS(Sheet2!$E:$E,Sheet2!$C:$C,$A134,Sheet2!$A:$A,AC$2)&lt;&gt;0,SUMIFS(Sheet2!$E:$E,Sheet2!$C:$C,$A134,Sheet2!$A:$A,AC$2),"")</f>
        <v/>
      </c>
      <c r="AD134" s="42" t="str">
        <f>IF(SUMIFS(Sheet2!$E:$E,Sheet2!$C:$C,$A134,Sheet2!$A:$A,AD$2)&lt;&gt;0,SUMIFS(Sheet2!$E:$E,Sheet2!$C:$C,$A134,Sheet2!$A:$A,AD$2),"")</f>
        <v/>
      </c>
      <c r="AE134" s="42" t="str">
        <f>IF(SUMIFS(Sheet2!$E:$E,Sheet2!$C:$C,$A134,Sheet2!$A:$A,AE$2)&lt;&gt;0,SUMIFS(Sheet2!$E:$E,Sheet2!$C:$C,$A134,Sheet2!$A:$A,AE$2),"")</f>
        <v/>
      </c>
      <c r="AF134" s="42" t="str">
        <f>IF(SUMIFS(Sheet2!$E:$E,Sheet2!$C:$C,$A134,Sheet2!$A:$A,AF$2)&lt;&gt;0,SUMIFS(Sheet2!$E:$E,Sheet2!$C:$C,$A134,Sheet2!$A:$A,AF$2),"")</f>
        <v/>
      </c>
      <c r="AG134" s="42" t="str">
        <f>IF(SUMIFS(Sheet2!$E:$E,Sheet2!$C:$C,$A134,Sheet2!$A:$A,AG$2)&lt;&gt;0,SUMIFS(Sheet2!$E:$E,Sheet2!$C:$C,$A134,Sheet2!$A:$A,AG$2),"")</f>
        <v/>
      </c>
      <c r="AH134" s="43">
        <f>SUM(Table2[[#This Row],[1]:[31]])</f>
        <v>0</v>
      </c>
    </row>
    <row r="135" spans="1:34" ht="12.75" customHeight="1">
      <c r="A135" s="76" t="str">
        <f>DSSP!A134</f>
        <v>DS04</v>
      </c>
      <c r="B135" s="25" t="str">
        <f>DSSP!B134</f>
        <v>Túi khoen 10</v>
      </c>
      <c r="C135" s="42" t="str">
        <f>IF(SUMIFS(Sheet2!$E:$E,Sheet2!$C:$C,$A135,Sheet2!$A:$A,C$2)&lt;&gt;0,SUMIFS(Sheet2!$E:$E,Sheet2!$C:$C,$A135,Sheet2!$A:$A,C$2),"")</f>
        <v/>
      </c>
      <c r="D135" s="42" t="str">
        <f>IF(SUMIFS(Sheet2!$E:$E,Sheet2!$C:$C,$A135,Sheet2!$A:$A,D$2)&lt;&gt;0,SUMIFS(Sheet2!$E:$E,Sheet2!$C:$C,$A135,Sheet2!$A:$A,D$2),"")</f>
        <v/>
      </c>
      <c r="E135" s="42" t="str">
        <f>IF(SUMIFS(Sheet2!$E:$E,Sheet2!$C:$C,$A135,Sheet2!$A:$A,E$2)&lt;&gt;0,SUMIFS(Sheet2!$E:$E,Sheet2!$C:$C,$A135,Sheet2!$A:$A,E$2),"")</f>
        <v/>
      </c>
      <c r="F135" s="42" t="str">
        <f>IF(SUMIFS(Sheet2!$E:$E,Sheet2!$C:$C,$A135,Sheet2!$A:$A,F$2)&lt;&gt;0,SUMIFS(Sheet2!$E:$E,Sheet2!$C:$C,$A135,Sheet2!$A:$A,F$2),"")</f>
        <v/>
      </c>
      <c r="G135" s="42" t="str">
        <f>IF(SUMIFS(Sheet2!$E:$E,Sheet2!$C:$C,$A135,Sheet2!$A:$A,G$2)&lt;&gt;0,SUMIFS(Sheet2!$E:$E,Sheet2!$C:$C,$A135,Sheet2!$A:$A,G$2),"")</f>
        <v/>
      </c>
      <c r="H135" s="42" t="str">
        <f>IF(SUMIFS(Sheet2!$E:$E,Sheet2!$C:$C,$A135,Sheet2!$A:$A,H$2)&lt;&gt;0,SUMIFS(Sheet2!$E:$E,Sheet2!$C:$C,$A135,Sheet2!$A:$A,H$2),"")</f>
        <v/>
      </c>
      <c r="I135" s="42" t="str">
        <f>IF(SUMIFS(Sheet2!$E:$E,Sheet2!$C:$C,$A135,Sheet2!$A:$A,I$2)&lt;&gt;0,SUMIFS(Sheet2!$E:$E,Sheet2!$C:$C,$A135,Sheet2!$A:$A,I$2),"")</f>
        <v/>
      </c>
      <c r="J135" s="42" t="str">
        <f>IF(SUMIFS(Sheet2!$E:$E,Sheet2!$C:$C,$A135,Sheet2!$A:$A,J$2)&lt;&gt;0,SUMIFS(Sheet2!$E:$E,Sheet2!$C:$C,$A135,Sheet2!$A:$A,J$2),"")</f>
        <v/>
      </c>
      <c r="K135" s="42" t="str">
        <f>IF(SUMIFS(Sheet2!$E:$E,Sheet2!$C:$C,$A135,Sheet2!$A:$A,K$2)&lt;&gt;0,SUMIFS(Sheet2!$E:$E,Sheet2!$C:$C,$A135,Sheet2!$A:$A,K$2),"")</f>
        <v/>
      </c>
      <c r="L135" s="42" t="str">
        <f>IF(SUMIFS(Sheet2!$E:$E,Sheet2!$C:$C,$A135,Sheet2!$A:$A,L$2)&lt;&gt;0,SUMIFS(Sheet2!$E:$E,Sheet2!$C:$C,$A135,Sheet2!$A:$A,L$2),"")</f>
        <v/>
      </c>
      <c r="M135" s="42" t="str">
        <f>IF(SUMIFS(Sheet2!$E:$E,Sheet2!$C:$C,$A135,Sheet2!$A:$A,M$2)&lt;&gt;0,SUMIFS(Sheet2!$E:$E,Sheet2!$C:$C,$A135,Sheet2!$A:$A,M$2),"")</f>
        <v/>
      </c>
      <c r="N135" s="42" t="str">
        <f>IF(SUMIFS(Sheet2!$E:$E,Sheet2!$C:$C,$A135,Sheet2!$A:$A,N$2)&lt;&gt;0,SUMIFS(Sheet2!$E:$E,Sheet2!$C:$C,$A135,Sheet2!$A:$A,N$2),"")</f>
        <v/>
      </c>
      <c r="O135" s="42" t="str">
        <f>IF(SUMIFS(Sheet2!$E:$E,Sheet2!$C:$C,$A135,Sheet2!$A:$A,O$2)&lt;&gt;0,SUMIFS(Sheet2!$E:$E,Sheet2!$C:$C,$A135,Sheet2!$A:$A,O$2),"")</f>
        <v/>
      </c>
      <c r="P135" s="42" t="str">
        <f>IF(SUMIFS(Sheet2!$E:$E,Sheet2!$C:$C,$A135,Sheet2!$A:$A,P$2)&lt;&gt;0,SUMIFS(Sheet2!$E:$E,Sheet2!$C:$C,$A135,Sheet2!$A:$A,P$2),"")</f>
        <v/>
      </c>
      <c r="Q135" s="42" t="str">
        <f>IF(SUMIFS(Sheet2!$E:$E,Sheet2!$C:$C,$A135,Sheet2!$A:$A,Q$2)&lt;&gt;0,SUMIFS(Sheet2!$E:$E,Sheet2!$C:$C,$A135,Sheet2!$A:$A,Q$2),"")</f>
        <v/>
      </c>
      <c r="R135" s="42" t="str">
        <f>IF(SUMIFS(Sheet2!$E:$E,Sheet2!$C:$C,$A135,Sheet2!$A:$A,R$2)&lt;&gt;0,SUMIFS(Sheet2!$E:$E,Sheet2!$C:$C,$A135,Sheet2!$A:$A,R$2),"")</f>
        <v/>
      </c>
      <c r="S135" s="42" t="str">
        <f>IF(SUMIFS(Sheet2!$E:$E,Sheet2!$C:$C,$A135,Sheet2!$A:$A,S$2)&lt;&gt;0,SUMIFS(Sheet2!$E:$E,Sheet2!$C:$C,$A135,Sheet2!$A:$A,S$2),"")</f>
        <v/>
      </c>
      <c r="T135" s="42" t="str">
        <f>IF(SUMIFS(Sheet2!$E:$E,Sheet2!$C:$C,$A135,Sheet2!$A:$A,T$2)&lt;&gt;0,SUMIFS(Sheet2!$E:$E,Sheet2!$C:$C,$A135,Sheet2!$A:$A,T$2),"")</f>
        <v/>
      </c>
      <c r="U135" s="42" t="str">
        <f>IF(SUMIFS(Sheet2!$E:$E,Sheet2!$C:$C,$A135,Sheet2!$A:$A,U$2)&lt;&gt;0,SUMIFS(Sheet2!$E:$E,Sheet2!$C:$C,$A135,Sheet2!$A:$A,U$2),"")</f>
        <v/>
      </c>
      <c r="V135" s="42" t="str">
        <f>IF(SUMIFS(Sheet2!$E:$E,Sheet2!$C:$C,$A135,Sheet2!$A:$A,V$2)&lt;&gt;0,SUMIFS(Sheet2!$E:$E,Sheet2!$C:$C,$A135,Sheet2!$A:$A,V$2),"")</f>
        <v/>
      </c>
      <c r="W135" s="42" t="str">
        <f>IF(SUMIFS(Sheet2!$E:$E,Sheet2!$C:$C,$A135,Sheet2!$A:$A,W$2)&lt;&gt;0,SUMIFS(Sheet2!$E:$E,Sheet2!$C:$C,$A135,Sheet2!$A:$A,W$2),"")</f>
        <v/>
      </c>
      <c r="X135" s="42" t="str">
        <f>IF(SUMIFS(Sheet2!$E:$E,Sheet2!$C:$C,$A135,Sheet2!$A:$A,X$2)&lt;&gt;0,SUMIFS(Sheet2!$E:$E,Sheet2!$C:$C,$A135,Sheet2!$A:$A,X$2),"")</f>
        <v/>
      </c>
      <c r="Y135" s="42" t="str">
        <f>IF(SUMIFS(Sheet2!$E:$E,Sheet2!$C:$C,$A135,Sheet2!$A:$A,Y$2)&lt;&gt;0,SUMIFS(Sheet2!$E:$E,Sheet2!$C:$C,$A135,Sheet2!$A:$A,Y$2),"")</f>
        <v/>
      </c>
      <c r="Z135" s="42" t="str">
        <f>IF(SUMIFS(Sheet2!$E:$E,Sheet2!$C:$C,$A135,Sheet2!$A:$A,Z$2)&lt;&gt;0,SUMIFS(Sheet2!$E:$E,Sheet2!$C:$C,$A135,Sheet2!$A:$A,Z$2),"")</f>
        <v/>
      </c>
      <c r="AA135" s="42" t="str">
        <f>IF(SUMIFS(Sheet2!$E:$E,Sheet2!$C:$C,$A135,Sheet2!$A:$A,AA$2)&lt;&gt;0,SUMIFS(Sheet2!$E:$E,Sheet2!$C:$C,$A135,Sheet2!$A:$A,AA$2),"")</f>
        <v/>
      </c>
      <c r="AB135" s="42" t="str">
        <f>IF(SUMIFS(Sheet2!$E:$E,Sheet2!$C:$C,$A135,Sheet2!$A:$A,AB$2)&lt;&gt;0,SUMIFS(Sheet2!$E:$E,Sheet2!$C:$C,$A135,Sheet2!$A:$A,AB$2),"")</f>
        <v/>
      </c>
      <c r="AC135" s="42" t="str">
        <f>IF(SUMIFS(Sheet2!$E:$E,Sheet2!$C:$C,$A135,Sheet2!$A:$A,AC$2)&lt;&gt;0,SUMIFS(Sheet2!$E:$E,Sheet2!$C:$C,$A135,Sheet2!$A:$A,AC$2),"")</f>
        <v/>
      </c>
      <c r="AD135" s="42" t="str">
        <f>IF(SUMIFS(Sheet2!$E:$E,Sheet2!$C:$C,$A135,Sheet2!$A:$A,AD$2)&lt;&gt;0,SUMIFS(Sheet2!$E:$E,Sheet2!$C:$C,$A135,Sheet2!$A:$A,AD$2),"")</f>
        <v/>
      </c>
      <c r="AE135" s="42" t="str">
        <f>IF(SUMIFS(Sheet2!$E:$E,Sheet2!$C:$C,$A135,Sheet2!$A:$A,AE$2)&lt;&gt;0,SUMIFS(Sheet2!$E:$E,Sheet2!$C:$C,$A135,Sheet2!$A:$A,AE$2),"")</f>
        <v/>
      </c>
      <c r="AF135" s="42" t="str">
        <f>IF(SUMIFS(Sheet2!$E:$E,Sheet2!$C:$C,$A135,Sheet2!$A:$A,AF$2)&lt;&gt;0,SUMIFS(Sheet2!$E:$E,Sheet2!$C:$C,$A135,Sheet2!$A:$A,AF$2),"")</f>
        <v/>
      </c>
      <c r="AG135" s="42" t="str">
        <f>IF(SUMIFS(Sheet2!$E:$E,Sheet2!$C:$C,$A135,Sheet2!$A:$A,AG$2)&lt;&gt;0,SUMIFS(Sheet2!$E:$E,Sheet2!$C:$C,$A135,Sheet2!$A:$A,AG$2),"")</f>
        <v/>
      </c>
      <c r="AH135" s="43">
        <f>SUM(Table2[[#This Row],[1]:[31]])</f>
        <v>0</v>
      </c>
    </row>
    <row r="136" spans="1:34" ht="12.75" customHeight="1">
      <c r="A136" s="76" t="str">
        <f>DSSP!A135</f>
        <v>DS05</v>
      </c>
      <c r="B136" s="25" t="str">
        <f>DSSP!B135</f>
        <v>Kem ủ</v>
      </c>
      <c r="C136" s="42" t="str">
        <f>IF(SUMIFS(Sheet2!$E:$E,Sheet2!$C:$C,$A136,Sheet2!$A:$A,C$2)&lt;&gt;0,SUMIFS(Sheet2!$E:$E,Sheet2!$C:$C,$A136,Sheet2!$A:$A,C$2),"")</f>
        <v/>
      </c>
      <c r="D136" s="42" t="str">
        <f>IF(SUMIFS(Sheet2!$E:$E,Sheet2!$C:$C,$A136,Sheet2!$A:$A,D$2)&lt;&gt;0,SUMIFS(Sheet2!$E:$E,Sheet2!$C:$C,$A136,Sheet2!$A:$A,D$2),"")</f>
        <v/>
      </c>
      <c r="E136" s="42" t="str">
        <f>IF(SUMIFS(Sheet2!$E:$E,Sheet2!$C:$C,$A136,Sheet2!$A:$A,E$2)&lt;&gt;0,SUMIFS(Sheet2!$E:$E,Sheet2!$C:$C,$A136,Sheet2!$A:$A,E$2),"")</f>
        <v/>
      </c>
      <c r="F136" s="42" t="str">
        <f>IF(SUMIFS(Sheet2!$E:$E,Sheet2!$C:$C,$A136,Sheet2!$A:$A,F$2)&lt;&gt;0,SUMIFS(Sheet2!$E:$E,Sheet2!$C:$C,$A136,Sheet2!$A:$A,F$2),"")</f>
        <v/>
      </c>
      <c r="G136" s="42" t="str">
        <f>IF(SUMIFS(Sheet2!$E:$E,Sheet2!$C:$C,$A136,Sheet2!$A:$A,G$2)&lt;&gt;0,SUMIFS(Sheet2!$E:$E,Sheet2!$C:$C,$A136,Sheet2!$A:$A,G$2),"")</f>
        <v/>
      </c>
      <c r="H136" s="42" t="str">
        <f>IF(SUMIFS(Sheet2!$E:$E,Sheet2!$C:$C,$A136,Sheet2!$A:$A,H$2)&lt;&gt;0,SUMIFS(Sheet2!$E:$E,Sheet2!$C:$C,$A136,Sheet2!$A:$A,H$2),"")</f>
        <v/>
      </c>
      <c r="I136" s="42" t="str">
        <f>IF(SUMIFS(Sheet2!$E:$E,Sheet2!$C:$C,$A136,Sheet2!$A:$A,I$2)&lt;&gt;0,SUMIFS(Sheet2!$E:$E,Sheet2!$C:$C,$A136,Sheet2!$A:$A,I$2),"")</f>
        <v/>
      </c>
      <c r="J136" s="42" t="str">
        <f>IF(SUMIFS(Sheet2!$E:$E,Sheet2!$C:$C,$A136,Sheet2!$A:$A,J$2)&lt;&gt;0,SUMIFS(Sheet2!$E:$E,Sheet2!$C:$C,$A136,Sheet2!$A:$A,J$2),"")</f>
        <v/>
      </c>
      <c r="K136" s="42" t="str">
        <f>IF(SUMIFS(Sheet2!$E:$E,Sheet2!$C:$C,$A136,Sheet2!$A:$A,K$2)&lt;&gt;0,SUMIFS(Sheet2!$E:$E,Sheet2!$C:$C,$A136,Sheet2!$A:$A,K$2),"")</f>
        <v/>
      </c>
      <c r="L136" s="42" t="str">
        <f>IF(SUMIFS(Sheet2!$E:$E,Sheet2!$C:$C,$A136,Sheet2!$A:$A,L$2)&lt;&gt;0,SUMIFS(Sheet2!$E:$E,Sheet2!$C:$C,$A136,Sheet2!$A:$A,L$2),"")</f>
        <v/>
      </c>
      <c r="M136" s="42" t="str">
        <f>IF(SUMIFS(Sheet2!$E:$E,Sheet2!$C:$C,$A136,Sheet2!$A:$A,M$2)&lt;&gt;0,SUMIFS(Sheet2!$E:$E,Sheet2!$C:$C,$A136,Sheet2!$A:$A,M$2),"")</f>
        <v/>
      </c>
      <c r="N136" s="42" t="str">
        <f>IF(SUMIFS(Sheet2!$E:$E,Sheet2!$C:$C,$A136,Sheet2!$A:$A,N$2)&lt;&gt;0,SUMIFS(Sheet2!$E:$E,Sheet2!$C:$C,$A136,Sheet2!$A:$A,N$2),"")</f>
        <v/>
      </c>
      <c r="O136" s="42" t="str">
        <f>IF(SUMIFS(Sheet2!$E:$E,Sheet2!$C:$C,$A136,Sheet2!$A:$A,O$2)&lt;&gt;0,SUMIFS(Sheet2!$E:$E,Sheet2!$C:$C,$A136,Sheet2!$A:$A,O$2),"")</f>
        <v/>
      </c>
      <c r="P136" s="42" t="str">
        <f>IF(SUMIFS(Sheet2!$E:$E,Sheet2!$C:$C,$A136,Sheet2!$A:$A,P$2)&lt;&gt;0,SUMIFS(Sheet2!$E:$E,Sheet2!$C:$C,$A136,Sheet2!$A:$A,P$2),"")</f>
        <v/>
      </c>
      <c r="Q136" s="42" t="str">
        <f>IF(SUMIFS(Sheet2!$E:$E,Sheet2!$C:$C,$A136,Sheet2!$A:$A,Q$2)&lt;&gt;0,SUMIFS(Sheet2!$E:$E,Sheet2!$C:$C,$A136,Sheet2!$A:$A,Q$2),"")</f>
        <v/>
      </c>
      <c r="R136" s="42" t="str">
        <f>IF(SUMIFS(Sheet2!$E:$E,Sheet2!$C:$C,$A136,Sheet2!$A:$A,R$2)&lt;&gt;0,SUMIFS(Sheet2!$E:$E,Sheet2!$C:$C,$A136,Sheet2!$A:$A,R$2),"")</f>
        <v/>
      </c>
      <c r="S136" s="42" t="str">
        <f>IF(SUMIFS(Sheet2!$E:$E,Sheet2!$C:$C,$A136,Sheet2!$A:$A,S$2)&lt;&gt;0,SUMIFS(Sheet2!$E:$E,Sheet2!$C:$C,$A136,Sheet2!$A:$A,S$2),"")</f>
        <v/>
      </c>
      <c r="T136" s="42" t="str">
        <f>IF(SUMIFS(Sheet2!$E:$E,Sheet2!$C:$C,$A136,Sheet2!$A:$A,T$2)&lt;&gt;0,SUMIFS(Sheet2!$E:$E,Sheet2!$C:$C,$A136,Sheet2!$A:$A,T$2),"")</f>
        <v/>
      </c>
      <c r="U136" s="42" t="str">
        <f>IF(SUMIFS(Sheet2!$E:$E,Sheet2!$C:$C,$A136,Sheet2!$A:$A,U$2)&lt;&gt;0,SUMIFS(Sheet2!$E:$E,Sheet2!$C:$C,$A136,Sheet2!$A:$A,U$2),"")</f>
        <v/>
      </c>
      <c r="V136" s="42" t="str">
        <f>IF(SUMIFS(Sheet2!$E:$E,Sheet2!$C:$C,$A136,Sheet2!$A:$A,V$2)&lt;&gt;0,SUMIFS(Sheet2!$E:$E,Sheet2!$C:$C,$A136,Sheet2!$A:$A,V$2),"")</f>
        <v/>
      </c>
      <c r="W136" s="42" t="str">
        <f>IF(SUMIFS(Sheet2!$E:$E,Sheet2!$C:$C,$A136,Sheet2!$A:$A,W$2)&lt;&gt;0,SUMIFS(Sheet2!$E:$E,Sheet2!$C:$C,$A136,Sheet2!$A:$A,W$2),"")</f>
        <v/>
      </c>
      <c r="X136" s="42" t="str">
        <f>IF(SUMIFS(Sheet2!$E:$E,Sheet2!$C:$C,$A136,Sheet2!$A:$A,X$2)&lt;&gt;0,SUMIFS(Sheet2!$E:$E,Sheet2!$C:$C,$A136,Sheet2!$A:$A,X$2),"")</f>
        <v/>
      </c>
      <c r="Y136" s="42" t="str">
        <f>IF(SUMIFS(Sheet2!$E:$E,Sheet2!$C:$C,$A136,Sheet2!$A:$A,Y$2)&lt;&gt;0,SUMIFS(Sheet2!$E:$E,Sheet2!$C:$C,$A136,Sheet2!$A:$A,Y$2),"")</f>
        <v/>
      </c>
      <c r="Z136" s="42" t="str">
        <f>IF(SUMIFS(Sheet2!$E:$E,Sheet2!$C:$C,$A136,Sheet2!$A:$A,Z$2)&lt;&gt;0,SUMIFS(Sheet2!$E:$E,Sheet2!$C:$C,$A136,Sheet2!$A:$A,Z$2),"")</f>
        <v/>
      </c>
      <c r="AA136" s="42" t="str">
        <f>IF(SUMIFS(Sheet2!$E:$E,Sheet2!$C:$C,$A136,Sheet2!$A:$A,AA$2)&lt;&gt;0,SUMIFS(Sheet2!$E:$E,Sheet2!$C:$C,$A136,Sheet2!$A:$A,AA$2),"")</f>
        <v/>
      </c>
      <c r="AB136" s="42" t="str">
        <f>IF(SUMIFS(Sheet2!$E:$E,Sheet2!$C:$C,$A136,Sheet2!$A:$A,AB$2)&lt;&gt;0,SUMIFS(Sheet2!$E:$E,Sheet2!$C:$C,$A136,Sheet2!$A:$A,AB$2),"")</f>
        <v/>
      </c>
      <c r="AC136" s="42" t="str">
        <f>IF(SUMIFS(Sheet2!$E:$E,Sheet2!$C:$C,$A136,Sheet2!$A:$A,AC$2)&lt;&gt;0,SUMIFS(Sheet2!$E:$E,Sheet2!$C:$C,$A136,Sheet2!$A:$A,AC$2),"")</f>
        <v/>
      </c>
      <c r="AD136" s="42" t="str">
        <f>IF(SUMIFS(Sheet2!$E:$E,Sheet2!$C:$C,$A136,Sheet2!$A:$A,AD$2)&lt;&gt;0,SUMIFS(Sheet2!$E:$E,Sheet2!$C:$C,$A136,Sheet2!$A:$A,AD$2),"")</f>
        <v/>
      </c>
      <c r="AE136" s="42" t="str">
        <f>IF(SUMIFS(Sheet2!$E:$E,Sheet2!$C:$C,$A136,Sheet2!$A:$A,AE$2)&lt;&gt;0,SUMIFS(Sheet2!$E:$E,Sheet2!$C:$C,$A136,Sheet2!$A:$A,AE$2),"")</f>
        <v/>
      </c>
      <c r="AF136" s="42" t="str">
        <f>IF(SUMIFS(Sheet2!$E:$E,Sheet2!$C:$C,$A136,Sheet2!$A:$A,AF$2)&lt;&gt;0,SUMIFS(Sheet2!$E:$E,Sheet2!$C:$C,$A136,Sheet2!$A:$A,AF$2),"")</f>
        <v/>
      </c>
      <c r="AG136" s="42" t="str">
        <f>IF(SUMIFS(Sheet2!$E:$E,Sheet2!$C:$C,$A136,Sheet2!$A:$A,AG$2)&lt;&gt;0,SUMIFS(Sheet2!$E:$E,Sheet2!$C:$C,$A136,Sheet2!$A:$A,AG$2),"")</f>
        <v/>
      </c>
      <c r="AH136" s="43">
        <f>SUM(Table2[[#This Row],[1]:[31]])</f>
        <v>0</v>
      </c>
    </row>
    <row r="137" spans="1:34" ht="12.75" customHeight="1">
      <c r="A137" s="76" t="str">
        <f>DSSP!A136</f>
        <v>DS06</v>
      </c>
      <c r="B137" s="25" t="str">
        <f>DSSP!B136</f>
        <v>Kem mềm</v>
      </c>
      <c r="C137" s="42" t="str">
        <f>IF(SUMIFS(Sheet2!$E:$E,Sheet2!$C:$C,$A137,Sheet2!$A:$A,C$2)&lt;&gt;0,SUMIFS(Sheet2!$E:$E,Sheet2!$C:$C,$A137,Sheet2!$A:$A,C$2),"")</f>
        <v/>
      </c>
      <c r="D137" s="42" t="str">
        <f>IF(SUMIFS(Sheet2!$E:$E,Sheet2!$C:$C,$A137,Sheet2!$A:$A,D$2)&lt;&gt;0,SUMIFS(Sheet2!$E:$E,Sheet2!$C:$C,$A137,Sheet2!$A:$A,D$2),"")</f>
        <v/>
      </c>
      <c r="E137" s="42" t="str">
        <f>IF(SUMIFS(Sheet2!$E:$E,Sheet2!$C:$C,$A137,Sheet2!$A:$A,E$2)&lt;&gt;0,SUMIFS(Sheet2!$E:$E,Sheet2!$C:$C,$A137,Sheet2!$A:$A,E$2),"")</f>
        <v/>
      </c>
      <c r="F137" s="42" t="str">
        <f>IF(SUMIFS(Sheet2!$E:$E,Sheet2!$C:$C,$A137,Sheet2!$A:$A,F$2)&lt;&gt;0,SUMIFS(Sheet2!$E:$E,Sheet2!$C:$C,$A137,Sheet2!$A:$A,F$2),"")</f>
        <v/>
      </c>
      <c r="G137" s="42" t="str">
        <f>IF(SUMIFS(Sheet2!$E:$E,Sheet2!$C:$C,$A137,Sheet2!$A:$A,G$2)&lt;&gt;0,SUMIFS(Sheet2!$E:$E,Sheet2!$C:$C,$A137,Sheet2!$A:$A,G$2),"")</f>
        <v/>
      </c>
      <c r="H137" s="42" t="str">
        <f>IF(SUMIFS(Sheet2!$E:$E,Sheet2!$C:$C,$A137,Sheet2!$A:$A,H$2)&lt;&gt;0,SUMIFS(Sheet2!$E:$E,Sheet2!$C:$C,$A137,Sheet2!$A:$A,H$2),"")</f>
        <v/>
      </c>
      <c r="I137" s="42" t="str">
        <f>IF(SUMIFS(Sheet2!$E:$E,Sheet2!$C:$C,$A137,Sheet2!$A:$A,I$2)&lt;&gt;0,SUMIFS(Sheet2!$E:$E,Sheet2!$C:$C,$A137,Sheet2!$A:$A,I$2),"")</f>
        <v/>
      </c>
      <c r="J137" s="42" t="str">
        <f>IF(SUMIFS(Sheet2!$E:$E,Sheet2!$C:$C,$A137,Sheet2!$A:$A,J$2)&lt;&gt;0,SUMIFS(Sheet2!$E:$E,Sheet2!$C:$C,$A137,Sheet2!$A:$A,J$2),"")</f>
        <v/>
      </c>
      <c r="K137" s="42" t="str">
        <f>IF(SUMIFS(Sheet2!$E:$E,Sheet2!$C:$C,$A137,Sheet2!$A:$A,K$2)&lt;&gt;0,SUMIFS(Sheet2!$E:$E,Sheet2!$C:$C,$A137,Sheet2!$A:$A,K$2),"")</f>
        <v/>
      </c>
      <c r="L137" s="42" t="str">
        <f>IF(SUMIFS(Sheet2!$E:$E,Sheet2!$C:$C,$A137,Sheet2!$A:$A,L$2)&lt;&gt;0,SUMIFS(Sheet2!$E:$E,Sheet2!$C:$C,$A137,Sheet2!$A:$A,L$2),"")</f>
        <v/>
      </c>
      <c r="M137" s="42" t="str">
        <f>IF(SUMIFS(Sheet2!$E:$E,Sheet2!$C:$C,$A137,Sheet2!$A:$A,M$2)&lt;&gt;0,SUMIFS(Sheet2!$E:$E,Sheet2!$C:$C,$A137,Sheet2!$A:$A,M$2),"")</f>
        <v/>
      </c>
      <c r="N137" s="42" t="str">
        <f>IF(SUMIFS(Sheet2!$E:$E,Sheet2!$C:$C,$A137,Sheet2!$A:$A,N$2)&lt;&gt;0,SUMIFS(Sheet2!$E:$E,Sheet2!$C:$C,$A137,Sheet2!$A:$A,N$2),"")</f>
        <v/>
      </c>
      <c r="O137" s="42" t="str">
        <f>IF(SUMIFS(Sheet2!$E:$E,Sheet2!$C:$C,$A137,Sheet2!$A:$A,O$2)&lt;&gt;0,SUMIFS(Sheet2!$E:$E,Sheet2!$C:$C,$A137,Sheet2!$A:$A,O$2),"")</f>
        <v/>
      </c>
      <c r="P137" s="42" t="str">
        <f>IF(SUMIFS(Sheet2!$E:$E,Sheet2!$C:$C,$A137,Sheet2!$A:$A,P$2)&lt;&gt;0,SUMIFS(Sheet2!$E:$E,Sheet2!$C:$C,$A137,Sheet2!$A:$A,P$2),"")</f>
        <v/>
      </c>
      <c r="Q137" s="42" t="str">
        <f>IF(SUMIFS(Sheet2!$E:$E,Sheet2!$C:$C,$A137,Sheet2!$A:$A,Q$2)&lt;&gt;0,SUMIFS(Sheet2!$E:$E,Sheet2!$C:$C,$A137,Sheet2!$A:$A,Q$2),"")</f>
        <v/>
      </c>
      <c r="R137" s="42" t="str">
        <f>IF(SUMIFS(Sheet2!$E:$E,Sheet2!$C:$C,$A137,Sheet2!$A:$A,R$2)&lt;&gt;0,SUMIFS(Sheet2!$E:$E,Sheet2!$C:$C,$A137,Sheet2!$A:$A,R$2),"")</f>
        <v/>
      </c>
      <c r="S137" s="42" t="str">
        <f>IF(SUMIFS(Sheet2!$E:$E,Sheet2!$C:$C,$A137,Sheet2!$A:$A,S$2)&lt;&gt;0,SUMIFS(Sheet2!$E:$E,Sheet2!$C:$C,$A137,Sheet2!$A:$A,S$2),"")</f>
        <v/>
      </c>
      <c r="T137" s="42" t="str">
        <f>IF(SUMIFS(Sheet2!$E:$E,Sheet2!$C:$C,$A137,Sheet2!$A:$A,T$2)&lt;&gt;0,SUMIFS(Sheet2!$E:$E,Sheet2!$C:$C,$A137,Sheet2!$A:$A,T$2),"")</f>
        <v/>
      </c>
      <c r="U137" s="42" t="str">
        <f>IF(SUMIFS(Sheet2!$E:$E,Sheet2!$C:$C,$A137,Sheet2!$A:$A,U$2)&lt;&gt;0,SUMIFS(Sheet2!$E:$E,Sheet2!$C:$C,$A137,Sheet2!$A:$A,U$2),"")</f>
        <v/>
      </c>
      <c r="V137" s="42" t="str">
        <f>IF(SUMIFS(Sheet2!$E:$E,Sheet2!$C:$C,$A137,Sheet2!$A:$A,V$2)&lt;&gt;0,SUMIFS(Sheet2!$E:$E,Sheet2!$C:$C,$A137,Sheet2!$A:$A,V$2),"")</f>
        <v/>
      </c>
      <c r="W137" s="42" t="str">
        <f>IF(SUMIFS(Sheet2!$E:$E,Sheet2!$C:$C,$A137,Sheet2!$A:$A,W$2)&lt;&gt;0,SUMIFS(Sheet2!$E:$E,Sheet2!$C:$C,$A137,Sheet2!$A:$A,W$2),"")</f>
        <v/>
      </c>
      <c r="X137" s="42" t="str">
        <f>IF(SUMIFS(Sheet2!$E:$E,Sheet2!$C:$C,$A137,Sheet2!$A:$A,X$2)&lt;&gt;0,SUMIFS(Sheet2!$E:$E,Sheet2!$C:$C,$A137,Sheet2!$A:$A,X$2),"")</f>
        <v/>
      </c>
      <c r="Y137" s="42" t="str">
        <f>IF(SUMIFS(Sheet2!$E:$E,Sheet2!$C:$C,$A137,Sheet2!$A:$A,Y$2)&lt;&gt;0,SUMIFS(Sheet2!$E:$E,Sheet2!$C:$C,$A137,Sheet2!$A:$A,Y$2),"")</f>
        <v/>
      </c>
      <c r="Z137" s="42" t="str">
        <f>IF(SUMIFS(Sheet2!$E:$E,Sheet2!$C:$C,$A137,Sheet2!$A:$A,Z$2)&lt;&gt;0,SUMIFS(Sheet2!$E:$E,Sheet2!$C:$C,$A137,Sheet2!$A:$A,Z$2),"")</f>
        <v/>
      </c>
      <c r="AA137" s="42" t="str">
        <f>IF(SUMIFS(Sheet2!$E:$E,Sheet2!$C:$C,$A137,Sheet2!$A:$A,AA$2)&lt;&gt;0,SUMIFS(Sheet2!$E:$E,Sheet2!$C:$C,$A137,Sheet2!$A:$A,AA$2),"")</f>
        <v/>
      </c>
      <c r="AB137" s="42" t="str">
        <f>IF(SUMIFS(Sheet2!$E:$E,Sheet2!$C:$C,$A137,Sheet2!$A:$A,AB$2)&lt;&gt;0,SUMIFS(Sheet2!$E:$E,Sheet2!$C:$C,$A137,Sheet2!$A:$A,AB$2),"")</f>
        <v/>
      </c>
      <c r="AC137" s="42" t="str">
        <f>IF(SUMIFS(Sheet2!$E:$E,Sheet2!$C:$C,$A137,Sheet2!$A:$A,AC$2)&lt;&gt;0,SUMIFS(Sheet2!$E:$E,Sheet2!$C:$C,$A137,Sheet2!$A:$A,AC$2),"")</f>
        <v/>
      </c>
      <c r="AD137" s="42" t="str">
        <f>IF(SUMIFS(Sheet2!$E:$E,Sheet2!$C:$C,$A137,Sheet2!$A:$A,AD$2)&lt;&gt;0,SUMIFS(Sheet2!$E:$E,Sheet2!$C:$C,$A137,Sheet2!$A:$A,AD$2),"")</f>
        <v/>
      </c>
      <c r="AE137" s="42" t="str">
        <f>IF(SUMIFS(Sheet2!$E:$E,Sheet2!$C:$C,$A137,Sheet2!$A:$A,AE$2)&lt;&gt;0,SUMIFS(Sheet2!$E:$E,Sheet2!$C:$C,$A137,Sheet2!$A:$A,AE$2),"")</f>
        <v/>
      </c>
      <c r="AF137" s="42" t="str">
        <f>IF(SUMIFS(Sheet2!$E:$E,Sheet2!$C:$C,$A137,Sheet2!$A:$A,AF$2)&lt;&gt;0,SUMIFS(Sheet2!$E:$E,Sheet2!$C:$C,$A137,Sheet2!$A:$A,AF$2),"")</f>
        <v/>
      </c>
      <c r="AG137" s="42" t="str">
        <f>IF(SUMIFS(Sheet2!$E:$E,Sheet2!$C:$C,$A137,Sheet2!$A:$A,AG$2)&lt;&gt;0,SUMIFS(Sheet2!$E:$E,Sheet2!$C:$C,$A137,Sheet2!$A:$A,AG$2),"")</f>
        <v/>
      </c>
      <c r="AH137" s="43">
        <f>SUM(Table2[[#This Row],[1]:[31]])</f>
        <v>0</v>
      </c>
    </row>
    <row r="138" spans="1:34" ht="12.75" customHeight="1">
      <c r="A138" s="76" t="str">
        <f>DSSP!A137</f>
        <v>DS07</v>
      </c>
      <c r="B138" s="25" t="str">
        <f>DSSP!B137</f>
        <v>Keo sữa</v>
      </c>
      <c r="C138" s="42" t="str">
        <f>IF(SUMIFS(Sheet2!$E:$E,Sheet2!$C:$C,$A138,Sheet2!$A:$A,C$2)&lt;&gt;0,SUMIFS(Sheet2!$E:$E,Sheet2!$C:$C,$A138,Sheet2!$A:$A,C$2),"")</f>
        <v/>
      </c>
      <c r="D138" s="42" t="str">
        <f>IF(SUMIFS(Sheet2!$E:$E,Sheet2!$C:$C,$A138,Sheet2!$A:$A,D$2)&lt;&gt;0,SUMIFS(Sheet2!$E:$E,Sheet2!$C:$C,$A138,Sheet2!$A:$A,D$2),"")</f>
        <v/>
      </c>
      <c r="E138" s="42" t="str">
        <f>IF(SUMIFS(Sheet2!$E:$E,Sheet2!$C:$C,$A138,Sheet2!$A:$A,E$2)&lt;&gt;0,SUMIFS(Sheet2!$E:$E,Sheet2!$C:$C,$A138,Sheet2!$A:$A,E$2),"")</f>
        <v/>
      </c>
      <c r="F138" s="42" t="str">
        <f>IF(SUMIFS(Sheet2!$E:$E,Sheet2!$C:$C,$A138,Sheet2!$A:$A,F$2)&lt;&gt;0,SUMIFS(Sheet2!$E:$E,Sheet2!$C:$C,$A138,Sheet2!$A:$A,F$2),"")</f>
        <v/>
      </c>
      <c r="G138" s="42" t="str">
        <f>IF(SUMIFS(Sheet2!$E:$E,Sheet2!$C:$C,$A138,Sheet2!$A:$A,G$2)&lt;&gt;0,SUMIFS(Sheet2!$E:$E,Sheet2!$C:$C,$A138,Sheet2!$A:$A,G$2),"")</f>
        <v/>
      </c>
      <c r="H138" s="42" t="str">
        <f>IF(SUMIFS(Sheet2!$E:$E,Sheet2!$C:$C,$A138,Sheet2!$A:$A,H$2)&lt;&gt;0,SUMIFS(Sheet2!$E:$E,Sheet2!$C:$C,$A138,Sheet2!$A:$A,H$2),"")</f>
        <v/>
      </c>
      <c r="I138" s="42" t="str">
        <f>IF(SUMIFS(Sheet2!$E:$E,Sheet2!$C:$C,$A138,Sheet2!$A:$A,I$2)&lt;&gt;0,SUMIFS(Sheet2!$E:$E,Sheet2!$C:$C,$A138,Sheet2!$A:$A,I$2),"")</f>
        <v/>
      </c>
      <c r="J138" s="42" t="str">
        <f>IF(SUMIFS(Sheet2!$E:$E,Sheet2!$C:$C,$A138,Sheet2!$A:$A,J$2)&lt;&gt;0,SUMIFS(Sheet2!$E:$E,Sheet2!$C:$C,$A138,Sheet2!$A:$A,J$2),"")</f>
        <v/>
      </c>
      <c r="K138" s="42" t="str">
        <f>IF(SUMIFS(Sheet2!$E:$E,Sheet2!$C:$C,$A138,Sheet2!$A:$A,K$2)&lt;&gt;0,SUMIFS(Sheet2!$E:$E,Sheet2!$C:$C,$A138,Sheet2!$A:$A,K$2),"")</f>
        <v/>
      </c>
      <c r="L138" s="42" t="str">
        <f>IF(SUMIFS(Sheet2!$E:$E,Sheet2!$C:$C,$A138,Sheet2!$A:$A,L$2)&lt;&gt;0,SUMIFS(Sheet2!$E:$E,Sheet2!$C:$C,$A138,Sheet2!$A:$A,L$2),"")</f>
        <v/>
      </c>
      <c r="M138" s="42" t="str">
        <f>IF(SUMIFS(Sheet2!$E:$E,Sheet2!$C:$C,$A138,Sheet2!$A:$A,M$2)&lt;&gt;0,SUMIFS(Sheet2!$E:$E,Sheet2!$C:$C,$A138,Sheet2!$A:$A,M$2),"")</f>
        <v/>
      </c>
      <c r="N138" s="42" t="str">
        <f>IF(SUMIFS(Sheet2!$E:$E,Sheet2!$C:$C,$A138,Sheet2!$A:$A,N$2)&lt;&gt;0,SUMIFS(Sheet2!$E:$E,Sheet2!$C:$C,$A138,Sheet2!$A:$A,N$2),"")</f>
        <v/>
      </c>
      <c r="O138" s="42" t="str">
        <f>IF(SUMIFS(Sheet2!$E:$E,Sheet2!$C:$C,$A138,Sheet2!$A:$A,O$2)&lt;&gt;0,SUMIFS(Sheet2!$E:$E,Sheet2!$C:$C,$A138,Sheet2!$A:$A,O$2),"")</f>
        <v/>
      </c>
      <c r="P138" s="42" t="str">
        <f>IF(SUMIFS(Sheet2!$E:$E,Sheet2!$C:$C,$A138,Sheet2!$A:$A,P$2)&lt;&gt;0,SUMIFS(Sheet2!$E:$E,Sheet2!$C:$C,$A138,Sheet2!$A:$A,P$2),"")</f>
        <v/>
      </c>
      <c r="Q138" s="42" t="str">
        <f>IF(SUMIFS(Sheet2!$E:$E,Sheet2!$C:$C,$A138,Sheet2!$A:$A,Q$2)&lt;&gt;0,SUMIFS(Sheet2!$E:$E,Sheet2!$C:$C,$A138,Sheet2!$A:$A,Q$2),"")</f>
        <v/>
      </c>
      <c r="R138" s="42" t="str">
        <f>IF(SUMIFS(Sheet2!$E:$E,Sheet2!$C:$C,$A138,Sheet2!$A:$A,R$2)&lt;&gt;0,SUMIFS(Sheet2!$E:$E,Sheet2!$C:$C,$A138,Sheet2!$A:$A,R$2),"")</f>
        <v/>
      </c>
      <c r="S138" s="42" t="str">
        <f>IF(SUMIFS(Sheet2!$E:$E,Sheet2!$C:$C,$A138,Sheet2!$A:$A,S$2)&lt;&gt;0,SUMIFS(Sheet2!$E:$E,Sheet2!$C:$C,$A138,Sheet2!$A:$A,S$2),"")</f>
        <v/>
      </c>
      <c r="T138" s="42" t="str">
        <f>IF(SUMIFS(Sheet2!$E:$E,Sheet2!$C:$C,$A138,Sheet2!$A:$A,T$2)&lt;&gt;0,SUMIFS(Sheet2!$E:$E,Sheet2!$C:$C,$A138,Sheet2!$A:$A,T$2),"")</f>
        <v/>
      </c>
      <c r="U138" s="42" t="str">
        <f>IF(SUMIFS(Sheet2!$E:$E,Sheet2!$C:$C,$A138,Sheet2!$A:$A,U$2)&lt;&gt;0,SUMIFS(Sheet2!$E:$E,Sheet2!$C:$C,$A138,Sheet2!$A:$A,U$2),"")</f>
        <v/>
      </c>
      <c r="V138" s="42" t="str">
        <f>IF(SUMIFS(Sheet2!$E:$E,Sheet2!$C:$C,$A138,Sheet2!$A:$A,V$2)&lt;&gt;0,SUMIFS(Sheet2!$E:$E,Sheet2!$C:$C,$A138,Sheet2!$A:$A,V$2),"")</f>
        <v/>
      </c>
      <c r="W138" s="42" t="str">
        <f>IF(SUMIFS(Sheet2!$E:$E,Sheet2!$C:$C,$A138,Sheet2!$A:$A,W$2)&lt;&gt;0,SUMIFS(Sheet2!$E:$E,Sheet2!$C:$C,$A138,Sheet2!$A:$A,W$2),"")</f>
        <v/>
      </c>
      <c r="X138" s="42" t="str">
        <f>IF(SUMIFS(Sheet2!$E:$E,Sheet2!$C:$C,$A138,Sheet2!$A:$A,X$2)&lt;&gt;0,SUMIFS(Sheet2!$E:$E,Sheet2!$C:$C,$A138,Sheet2!$A:$A,X$2),"")</f>
        <v/>
      </c>
      <c r="Y138" s="42" t="str">
        <f>IF(SUMIFS(Sheet2!$E:$E,Sheet2!$C:$C,$A138,Sheet2!$A:$A,Y$2)&lt;&gt;0,SUMIFS(Sheet2!$E:$E,Sheet2!$C:$C,$A138,Sheet2!$A:$A,Y$2),"")</f>
        <v/>
      </c>
      <c r="Z138" s="42" t="str">
        <f>IF(SUMIFS(Sheet2!$E:$E,Sheet2!$C:$C,$A138,Sheet2!$A:$A,Z$2)&lt;&gt;0,SUMIFS(Sheet2!$E:$E,Sheet2!$C:$C,$A138,Sheet2!$A:$A,Z$2),"")</f>
        <v/>
      </c>
      <c r="AA138" s="42" t="str">
        <f>IF(SUMIFS(Sheet2!$E:$E,Sheet2!$C:$C,$A138,Sheet2!$A:$A,AA$2)&lt;&gt;0,SUMIFS(Sheet2!$E:$E,Sheet2!$C:$C,$A138,Sheet2!$A:$A,AA$2),"")</f>
        <v/>
      </c>
      <c r="AB138" s="42" t="str">
        <f>IF(SUMIFS(Sheet2!$E:$E,Sheet2!$C:$C,$A138,Sheet2!$A:$A,AB$2)&lt;&gt;0,SUMIFS(Sheet2!$E:$E,Sheet2!$C:$C,$A138,Sheet2!$A:$A,AB$2),"")</f>
        <v/>
      </c>
      <c r="AC138" s="42" t="str">
        <f>IF(SUMIFS(Sheet2!$E:$E,Sheet2!$C:$C,$A138,Sheet2!$A:$A,AC$2)&lt;&gt;0,SUMIFS(Sheet2!$E:$E,Sheet2!$C:$C,$A138,Sheet2!$A:$A,AC$2),"")</f>
        <v/>
      </c>
      <c r="AD138" s="42" t="str">
        <f>IF(SUMIFS(Sheet2!$E:$E,Sheet2!$C:$C,$A138,Sheet2!$A:$A,AD$2)&lt;&gt;0,SUMIFS(Sheet2!$E:$E,Sheet2!$C:$C,$A138,Sheet2!$A:$A,AD$2),"")</f>
        <v/>
      </c>
      <c r="AE138" s="42" t="str">
        <f>IF(SUMIFS(Sheet2!$E:$E,Sheet2!$C:$C,$A138,Sheet2!$A:$A,AE$2)&lt;&gt;0,SUMIFS(Sheet2!$E:$E,Sheet2!$C:$C,$A138,Sheet2!$A:$A,AE$2),"")</f>
        <v/>
      </c>
      <c r="AF138" s="42" t="str">
        <f>IF(SUMIFS(Sheet2!$E:$E,Sheet2!$C:$C,$A138,Sheet2!$A:$A,AF$2)&lt;&gt;0,SUMIFS(Sheet2!$E:$E,Sheet2!$C:$C,$A138,Sheet2!$A:$A,AF$2),"")</f>
        <v/>
      </c>
      <c r="AG138" s="42" t="str">
        <f>IF(SUMIFS(Sheet2!$E:$E,Sheet2!$C:$C,$A138,Sheet2!$A:$A,AG$2)&lt;&gt;0,SUMIFS(Sheet2!$E:$E,Sheet2!$C:$C,$A138,Sheet2!$A:$A,AG$2),"")</f>
        <v/>
      </c>
      <c r="AH138" s="43">
        <f>SUM(Table2[[#This Row],[1]:[31]])</f>
        <v>0</v>
      </c>
    </row>
    <row r="139" spans="1:34" ht="12.75" customHeight="1">
      <c r="A139" s="76" t="str">
        <f>DSSP!A138</f>
        <v>DS08</v>
      </c>
      <c r="B139" s="25" t="str">
        <f>DSSP!B138</f>
        <v>Dung dịch đất sét</v>
      </c>
      <c r="C139" s="42" t="str">
        <f>IF(SUMIFS(Sheet2!$E:$E,Sheet2!$C:$C,$A139,Sheet2!$A:$A,C$2)&lt;&gt;0,SUMIFS(Sheet2!$E:$E,Sheet2!$C:$C,$A139,Sheet2!$A:$A,C$2),"")</f>
        <v/>
      </c>
      <c r="D139" s="42" t="str">
        <f>IF(SUMIFS(Sheet2!$E:$E,Sheet2!$C:$C,$A139,Sheet2!$A:$A,D$2)&lt;&gt;0,SUMIFS(Sheet2!$E:$E,Sheet2!$C:$C,$A139,Sheet2!$A:$A,D$2),"")</f>
        <v/>
      </c>
      <c r="E139" s="42" t="str">
        <f>IF(SUMIFS(Sheet2!$E:$E,Sheet2!$C:$C,$A139,Sheet2!$A:$A,E$2)&lt;&gt;0,SUMIFS(Sheet2!$E:$E,Sheet2!$C:$C,$A139,Sheet2!$A:$A,E$2),"")</f>
        <v/>
      </c>
      <c r="F139" s="42" t="str">
        <f>IF(SUMIFS(Sheet2!$E:$E,Sheet2!$C:$C,$A139,Sheet2!$A:$A,F$2)&lt;&gt;0,SUMIFS(Sheet2!$E:$E,Sheet2!$C:$C,$A139,Sheet2!$A:$A,F$2),"")</f>
        <v/>
      </c>
      <c r="G139" s="42" t="str">
        <f>IF(SUMIFS(Sheet2!$E:$E,Sheet2!$C:$C,$A139,Sheet2!$A:$A,G$2)&lt;&gt;0,SUMIFS(Sheet2!$E:$E,Sheet2!$C:$C,$A139,Sheet2!$A:$A,G$2),"")</f>
        <v/>
      </c>
      <c r="H139" s="42" t="str">
        <f>IF(SUMIFS(Sheet2!$E:$E,Sheet2!$C:$C,$A139,Sheet2!$A:$A,H$2)&lt;&gt;0,SUMIFS(Sheet2!$E:$E,Sheet2!$C:$C,$A139,Sheet2!$A:$A,H$2),"")</f>
        <v/>
      </c>
      <c r="I139" s="42" t="str">
        <f>IF(SUMIFS(Sheet2!$E:$E,Sheet2!$C:$C,$A139,Sheet2!$A:$A,I$2)&lt;&gt;0,SUMIFS(Sheet2!$E:$E,Sheet2!$C:$C,$A139,Sheet2!$A:$A,I$2),"")</f>
        <v/>
      </c>
      <c r="J139" s="42" t="str">
        <f>IF(SUMIFS(Sheet2!$E:$E,Sheet2!$C:$C,$A139,Sheet2!$A:$A,J$2)&lt;&gt;0,SUMIFS(Sheet2!$E:$E,Sheet2!$C:$C,$A139,Sheet2!$A:$A,J$2),"")</f>
        <v/>
      </c>
      <c r="K139" s="42" t="str">
        <f>IF(SUMIFS(Sheet2!$E:$E,Sheet2!$C:$C,$A139,Sheet2!$A:$A,K$2)&lt;&gt;0,SUMIFS(Sheet2!$E:$E,Sheet2!$C:$C,$A139,Sheet2!$A:$A,K$2),"")</f>
        <v/>
      </c>
      <c r="L139" s="42" t="str">
        <f>IF(SUMIFS(Sheet2!$E:$E,Sheet2!$C:$C,$A139,Sheet2!$A:$A,L$2)&lt;&gt;0,SUMIFS(Sheet2!$E:$E,Sheet2!$C:$C,$A139,Sheet2!$A:$A,L$2),"")</f>
        <v/>
      </c>
      <c r="M139" s="42" t="str">
        <f>IF(SUMIFS(Sheet2!$E:$E,Sheet2!$C:$C,$A139,Sheet2!$A:$A,M$2)&lt;&gt;0,SUMIFS(Sheet2!$E:$E,Sheet2!$C:$C,$A139,Sheet2!$A:$A,M$2),"")</f>
        <v/>
      </c>
      <c r="N139" s="42" t="str">
        <f>IF(SUMIFS(Sheet2!$E:$E,Sheet2!$C:$C,$A139,Sheet2!$A:$A,N$2)&lt;&gt;0,SUMIFS(Sheet2!$E:$E,Sheet2!$C:$C,$A139,Sheet2!$A:$A,N$2),"")</f>
        <v/>
      </c>
      <c r="O139" s="42" t="str">
        <f>IF(SUMIFS(Sheet2!$E:$E,Sheet2!$C:$C,$A139,Sheet2!$A:$A,O$2)&lt;&gt;0,SUMIFS(Sheet2!$E:$E,Sheet2!$C:$C,$A139,Sheet2!$A:$A,O$2),"")</f>
        <v/>
      </c>
      <c r="P139" s="42" t="str">
        <f>IF(SUMIFS(Sheet2!$E:$E,Sheet2!$C:$C,$A139,Sheet2!$A:$A,P$2)&lt;&gt;0,SUMIFS(Sheet2!$E:$E,Sheet2!$C:$C,$A139,Sheet2!$A:$A,P$2),"")</f>
        <v/>
      </c>
      <c r="Q139" s="42" t="str">
        <f>IF(SUMIFS(Sheet2!$E:$E,Sheet2!$C:$C,$A139,Sheet2!$A:$A,Q$2)&lt;&gt;0,SUMIFS(Sheet2!$E:$E,Sheet2!$C:$C,$A139,Sheet2!$A:$A,Q$2),"")</f>
        <v/>
      </c>
      <c r="R139" s="42" t="str">
        <f>IF(SUMIFS(Sheet2!$E:$E,Sheet2!$C:$C,$A139,Sheet2!$A:$A,R$2)&lt;&gt;0,SUMIFS(Sheet2!$E:$E,Sheet2!$C:$C,$A139,Sheet2!$A:$A,R$2),"")</f>
        <v/>
      </c>
      <c r="S139" s="42" t="str">
        <f>IF(SUMIFS(Sheet2!$E:$E,Sheet2!$C:$C,$A139,Sheet2!$A:$A,S$2)&lt;&gt;0,SUMIFS(Sheet2!$E:$E,Sheet2!$C:$C,$A139,Sheet2!$A:$A,S$2),"")</f>
        <v/>
      </c>
      <c r="T139" s="42" t="str">
        <f>IF(SUMIFS(Sheet2!$E:$E,Sheet2!$C:$C,$A139,Sheet2!$A:$A,T$2)&lt;&gt;0,SUMIFS(Sheet2!$E:$E,Sheet2!$C:$C,$A139,Sheet2!$A:$A,T$2),"")</f>
        <v/>
      </c>
      <c r="U139" s="42" t="str">
        <f>IF(SUMIFS(Sheet2!$E:$E,Sheet2!$C:$C,$A139,Sheet2!$A:$A,U$2)&lt;&gt;0,SUMIFS(Sheet2!$E:$E,Sheet2!$C:$C,$A139,Sheet2!$A:$A,U$2),"")</f>
        <v/>
      </c>
      <c r="V139" s="42" t="str">
        <f>IF(SUMIFS(Sheet2!$E:$E,Sheet2!$C:$C,$A139,Sheet2!$A:$A,V$2)&lt;&gt;0,SUMIFS(Sheet2!$E:$E,Sheet2!$C:$C,$A139,Sheet2!$A:$A,V$2),"")</f>
        <v/>
      </c>
      <c r="W139" s="42" t="str">
        <f>IF(SUMIFS(Sheet2!$E:$E,Sheet2!$C:$C,$A139,Sheet2!$A:$A,W$2)&lt;&gt;0,SUMIFS(Sheet2!$E:$E,Sheet2!$C:$C,$A139,Sheet2!$A:$A,W$2),"")</f>
        <v/>
      </c>
      <c r="X139" s="42" t="str">
        <f>IF(SUMIFS(Sheet2!$E:$E,Sheet2!$C:$C,$A139,Sheet2!$A:$A,X$2)&lt;&gt;0,SUMIFS(Sheet2!$E:$E,Sheet2!$C:$C,$A139,Sheet2!$A:$A,X$2),"")</f>
        <v/>
      </c>
      <c r="Y139" s="42" t="str">
        <f>IF(SUMIFS(Sheet2!$E:$E,Sheet2!$C:$C,$A139,Sheet2!$A:$A,Y$2)&lt;&gt;0,SUMIFS(Sheet2!$E:$E,Sheet2!$C:$C,$A139,Sheet2!$A:$A,Y$2),"")</f>
        <v/>
      </c>
      <c r="Z139" s="42" t="str">
        <f>IF(SUMIFS(Sheet2!$E:$E,Sheet2!$C:$C,$A139,Sheet2!$A:$A,Z$2)&lt;&gt;0,SUMIFS(Sheet2!$E:$E,Sheet2!$C:$C,$A139,Sheet2!$A:$A,Z$2),"")</f>
        <v/>
      </c>
      <c r="AA139" s="42" t="str">
        <f>IF(SUMIFS(Sheet2!$E:$E,Sheet2!$C:$C,$A139,Sheet2!$A:$A,AA$2)&lt;&gt;0,SUMIFS(Sheet2!$E:$E,Sheet2!$C:$C,$A139,Sheet2!$A:$A,AA$2),"")</f>
        <v/>
      </c>
      <c r="AB139" s="42" t="str">
        <f>IF(SUMIFS(Sheet2!$E:$E,Sheet2!$C:$C,$A139,Sheet2!$A:$A,AB$2)&lt;&gt;0,SUMIFS(Sheet2!$E:$E,Sheet2!$C:$C,$A139,Sheet2!$A:$A,AB$2),"")</f>
        <v/>
      </c>
      <c r="AC139" s="42" t="str">
        <f>IF(SUMIFS(Sheet2!$E:$E,Sheet2!$C:$C,$A139,Sheet2!$A:$A,AC$2)&lt;&gt;0,SUMIFS(Sheet2!$E:$E,Sheet2!$C:$C,$A139,Sheet2!$A:$A,AC$2),"")</f>
        <v/>
      </c>
      <c r="AD139" s="42" t="str">
        <f>IF(SUMIFS(Sheet2!$E:$E,Sheet2!$C:$C,$A139,Sheet2!$A:$A,AD$2)&lt;&gt;0,SUMIFS(Sheet2!$E:$E,Sheet2!$C:$C,$A139,Sheet2!$A:$A,AD$2),"")</f>
        <v/>
      </c>
      <c r="AE139" s="42" t="str">
        <f>IF(SUMIFS(Sheet2!$E:$E,Sheet2!$C:$C,$A139,Sheet2!$A:$A,AE$2)&lt;&gt;0,SUMIFS(Sheet2!$E:$E,Sheet2!$C:$C,$A139,Sheet2!$A:$A,AE$2),"")</f>
        <v/>
      </c>
      <c r="AF139" s="42" t="str">
        <f>IF(SUMIFS(Sheet2!$E:$E,Sheet2!$C:$C,$A139,Sheet2!$A:$A,AF$2)&lt;&gt;0,SUMIFS(Sheet2!$E:$E,Sheet2!$C:$C,$A139,Sheet2!$A:$A,AF$2),"")</f>
        <v/>
      </c>
      <c r="AG139" s="42" t="str">
        <f>IF(SUMIFS(Sheet2!$E:$E,Sheet2!$C:$C,$A139,Sheet2!$A:$A,AG$2)&lt;&gt;0,SUMIFS(Sheet2!$E:$E,Sheet2!$C:$C,$A139,Sheet2!$A:$A,AG$2),"")</f>
        <v/>
      </c>
      <c r="AH139" s="43">
        <f>SUM(Table2[[#This Row],[1]:[31]])</f>
        <v>0</v>
      </c>
    </row>
    <row r="140" spans="1:34" ht="12.75" customHeight="1">
      <c r="A140" s="76" t="str">
        <f>DSSP!A139</f>
        <v>DS09</v>
      </c>
      <c r="B140" s="25" t="str">
        <f>DSSP!B139</f>
        <v>Đầu tạo hình</v>
      </c>
      <c r="C140" s="42" t="str">
        <f>IF(SUMIFS(Sheet2!$E:$E,Sheet2!$C:$C,$A140,Sheet2!$A:$A,C$2)&lt;&gt;0,SUMIFS(Sheet2!$E:$E,Sheet2!$C:$C,$A140,Sheet2!$A:$A,C$2),"")</f>
        <v/>
      </c>
      <c r="D140" s="42" t="str">
        <f>IF(SUMIFS(Sheet2!$E:$E,Sheet2!$C:$C,$A140,Sheet2!$A:$A,D$2)&lt;&gt;0,SUMIFS(Sheet2!$E:$E,Sheet2!$C:$C,$A140,Sheet2!$A:$A,D$2),"")</f>
        <v/>
      </c>
      <c r="E140" s="42" t="str">
        <f>IF(SUMIFS(Sheet2!$E:$E,Sheet2!$C:$C,$A140,Sheet2!$A:$A,E$2)&lt;&gt;0,SUMIFS(Sheet2!$E:$E,Sheet2!$C:$C,$A140,Sheet2!$A:$A,E$2),"")</f>
        <v/>
      </c>
      <c r="F140" s="42" t="str">
        <f>IF(SUMIFS(Sheet2!$E:$E,Sheet2!$C:$C,$A140,Sheet2!$A:$A,F$2)&lt;&gt;0,SUMIFS(Sheet2!$E:$E,Sheet2!$C:$C,$A140,Sheet2!$A:$A,F$2),"")</f>
        <v/>
      </c>
      <c r="G140" s="42" t="str">
        <f>IF(SUMIFS(Sheet2!$E:$E,Sheet2!$C:$C,$A140,Sheet2!$A:$A,G$2)&lt;&gt;0,SUMIFS(Sheet2!$E:$E,Sheet2!$C:$C,$A140,Sheet2!$A:$A,G$2),"")</f>
        <v/>
      </c>
      <c r="H140" s="42" t="str">
        <f>IF(SUMIFS(Sheet2!$E:$E,Sheet2!$C:$C,$A140,Sheet2!$A:$A,H$2)&lt;&gt;0,SUMIFS(Sheet2!$E:$E,Sheet2!$C:$C,$A140,Sheet2!$A:$A,H$2),"")</f>
        <v/>
      </c>
      <c r="I140" s="42" t="str">
        <f>IF(SUMIFS(Sheet2!$E:$E,Sheet2!$C:$C,$A140,Sheet2!$A:$A,I$2)&lt;&gt;0,SUMIFS(Sheet2!$E:$E,Sheet2!$C:$C,$A140,Sheet2!$A:$A,I$2),"")</f>
        <v/>
      </c>
      <c r="J140" s="42" t="str">
        <f>IF(SUMIFS(Sheet2!$E:$E,Sheet2!$C:$C,$A140,Sheet2!$A:$A,J$2)&lt;&gt;0,SUMIFS(Sheet2!$E:$E,Sheet2!$C:$C,$A140,Sheet2!$A:$A,J$2),"")</f>
        <v/>
      </c>
      <c r="K140" s="42" t="str">
        <f>IF(SUMIFS(Sheet2!$E:$E,Sheet2!$C:$C,$A140,Sheet2!$A:$A,K$2)&lt;&gt;0,SUMIFS(Sheet2!$E:$E,Sheet2!$C:$C,$A140,Sheet2!$A:$A,K$2),"")</f>
        <v/>
      </c>
      <c r="L140" s="42" t="str">
        <f>IF(SUMIFS(Sheet2!$E:$E,Sheet2!$C:$C,$A140,Sheet2!$A:$A,L$2)&lt;&gt;0,SUMIFS(Sheet2!$E:$E,Sheet2!$C:$C,$A140,Sheet2!$A:$A,L$2),"")</f>
        <v/>
      </c>
      <c r="M140" s="42" t="str">
        <f>IF(SUMIFS(Sheet2!$E:$E,Sheet2!$C:$C,$A140,Sheet2!$A:$A,M$2)&lt;&gt;0,SUMIFS(Sheet2!$E:$E,Sheet2!$C:$C,$A140,Sheet2!$A:$A,M$2),"")</f>
        <v/>
      </c>
      <c r="N140" s="42" t="str">
        <f>IF(SUMIFS(Sheet2!$E:$E,Sheet2!$C:$C,$A140,Sheet2!$A:$A,N$2)&lt;&gt;0,SUMIFS(Sheet2!$E:$E,Sheet2!$C:$C,$A140,Sheet2!$A:$A,N$2),"")</f>
        <v/>
      </c>
      <c r="O140" s="42" t="str">
        <f>IF(SUMIFS(Sheet2!$E:$E,Sheet2!$C:$C,$A140,Sheet2!$A:$A,O$2)&lt;&gt;0,SUMIFS(Sheet2!$E:$E,Sheet2!$C:$C,$A140,Sheet2!$A:$A,O$2),"")</f>
        <v/>
      </c>
      <c r="P140" s="42" t="str">
        <f>IF(SUMIFS(Sheet2!$E:$E,Sheet2!$C:$C,$A140,Sheet2!$A:$A,P$2)&lt;&gt;0,SUMIFS(Sheet2!$E:$E,Sheet2!$C:$C,$A140,Sheet2!$A:$A,P$2),"")</f>
        <v/>
      </c>
      <c r="Q140" s="42" t="str">
        <f>IF(SUMIFS(Sheet2!$E:$E,Sheet2!$C:$C,$A140,Sheet2!$A:$A,Q$2)&lt;&gt;0,SUMIFS(Sheet2!$E:$E,Sheet2!$C:$C,$A140,Sheet2!$A:$A,Q$2),"")</f>
        <v/>
      </c>
      <c r="R140" s="42" t="str">
        <f>IF(SUMIFS(Sheet2!$E:$E,Sheet2!$C:$C,$A140,Sheet2!$A:$A,R$2)&lt;&gt;0,SUMIFS(Sheet2!$E:$E,Sheet2!$C:$C,$A140,Sheet2!$A:$A,R$2),"")</f>
        <v/>
      </c>
      <c r="S140" s="42" t="str">
        <f>IF(SUMIFS(Sheet2!$E:$E,Sheet2!$C:$C,$A140,Sheet2!$A:$A,S$2)&lt;&gt;0,SUMIFS(Sheet2!$E:$E,Sheet2!$C:$C,$A140,Sheet2!$A:$A,S$2),"")</f>
        <v/>
      </c>
      <c r="T140" s="42" t="str">
        <f>IF(SUMIFS(Sheet2!$E:$E,Sheet2!$C:$C,$A140,Sheet2!$A:$A,T$2)&lt;&gt;0,SUMIFS(Sheet2!$E:$E,Sheet2!$C:$C,$A140,Sheet2!$A:$A,T$2),"")</f>
        <v/>
      </c>
      <c r="U140" s="42" t="str">
        <f>IF(SUMIFS(Sheet2!$E:$E,Sheet2!$C:$C,$A140,Sheet2!$A:$A,U$2)&lt;&gt;0,SUMIFS(Sheet2!$E:$E,Sheet2!$C:$C,$A140,Sheet2!$A:$A,U$2),"")</f>
        <v/>
      </c>
      <c r="V140" s="42" t="str">
        <f>IF(SUMIFS(Sheet2!$E:$E,Sheet2!$C:$C,$A140,Sheet2!$A:$A,V$2)&lt;&gt;0,SUMIFS(Sheet2!$E:$E,Sheet2!$C:$C,$A140,Sheet2!$A:$A,V$2),"")</f>
        <v/>
      </c>
      <c r="W140" s="42" t="str">
        <f>IF(SUMIFS(Sheet2!$E:$E,Sheet2!$C:$C,$A140,Sheet2!$A:$A,W$2)&lt;&gt;0,SUMIFS(Sheet2!$E:$E,Sheet2!$C:$C,$A140,Sheet2!$A:$A,W$2),"")</f>
        <v/>
      </c>
      <c r="X140" s="42" t="str">
        <f>IF(SUMIFS(Sheet2!$E:$E,Sheet2!$C:$C,$A140,Sheet2!$A:$A,X$2)&lt;&gt;0,SUMIFS(Sheet2!$E:$E,Sheet2!$C:$C,$A140,Sheet2!$A:$A,X$2),"")</f>
        <v/>
      </c>
      <c r="Y140" s="42" t="str">
        <f>IF(SUMIFS(Sheet2!$E:$E,Sheet2!$C:$C,$A140,Sheet2!$A:$A,Y$2)&lt;&gt;0,SUMIFS(Sheet2!$E:$E,Sheet2!$C:$C,$A140,Sheet2!$A:$A,Y$2),"")</f>
        <v/>
      </c>
      <c r="Z140" s="42" t="str">
        <f>IF(SUMIFS(Sheet2!$E:$E,Sheet2!$C:$C,$A140,Sheet2!$A:$A,Z$2)&lt;&gt;0,SUMIFS(Sheet2!$E:$E,Sheet2!$C:$C,$A140,Sheet2!$A:$A,Z$2),"")</f>
        <v/>
      </c>
      <c r="AA140" s="42" t="str">
        <f>IF(SUMIFS(Sheet2!$E:$E,Sheet2!$C:$C,$A140,Sheet2!$A:$A,AA$2)&lt;&gt;0,SUMIFS(Sheet2!$E:$E,Sheet2!$C:$C,$A140,Sheet2!$A:$A,AA$2),"")</f>
        <v/>
      </c>
      <c r="AB140" s="42" t="str">
        <f>IF(SUMIFS(Sheet2!$E:$E,Sheet2!$C:$C,$A140,Sheet2!$A:$A,AB$2)&lt;&gt;0,SUMIFS(Sheet2!$E:$E,Sheet2!$C:$C,$A140,Sheet2!$A:$A,AB$2),"")</f>
        <v/>
      </c>
      <c r="AC140" s="42" t="str">
        <f>IF(SUMIFS(Sheet2!$E:$E,Sheet2!$C:$C,$A140,Sheet2!$A:$A,AC$2)&lt;&gt;0,SUMIFS(Sheet2!$E:$E,Sheet2!$C:$C,$A140,Sheet2!$A:$A,AC$2),"")</f>
        <v/>
      </c>
      <c r="AD140" s="42" t="str">
        <f>IF(SUMIFS(Sheet2!$E:$E,Sheet2!$C:$C,$A140,Sheet2!$A:$A,AD$2)&lt;&gt;0,SUMIFS(Sheet2!$E:$E,Sheet2!$C:$C,$A140,Sheet2!$A:$A,AD$2),"")</f>
        <v/>
      </c>
      <c r="AE140" s="42" t="str">
        <f>IF(SUMIFS(Sheet2!$E:$E,Sheet2!$C:$C,$A140,Sheet2!$A:$A,AE$2)&lt;&gt;0,SUMIFS(Sheet2!$E:$E,Sheet2!$C:$C,$A140,Sheet2!$A:$A,AE$2),"")</f>
        <v/>
      </c>
      <c r="AF140" s="42" t="str">
        <f>IF(SUMIFS(Sheet2!$E:$E,Sheet2!$C:$C,$A140,Sheet2!$A:$A,AF$2)&lt;&gt;0,SUMIFS(Sheet2!$E:$E,Sheet2!$C:$C,$A140,Sheet2!$A:$A,AF$2),"")</f>
        <v/>
      </c>
      <c r="AG140" s="42" t="str">
        <f>IF(SUMIFS(Sheet2!$E:$E,Sheet2!$C:$C,$A140,Sheet2!$A:$A,AG$2)&lt;&gt;0,SUMIFS(Sheet2!$E:$E,Sheet2!$C:$C,$A140,Sheet2!$A:$A,AG$2),"")</f>
        <v/>
      </c>
      <c r="AH140" s="43">
        <f>SUM(Table2[[#This Row],[1]:[31]])</f>
        <v>0</v>
      </c>
    </row>
    <row r="141" spans="1:34" ht="12.75" customHeight="1">
      <c r="A141" s="76" t="str">
        <f>DSSP!A140</f>
        <v>DS10</v>
      </c>
      <c r="B141" s="25" t="str">
        <f>DSSP!B140</f>
        <v>Sơn bóng</v>
      </c>
      <c r="C141" s="42" t="str">
        <f>IF(SUMIFS(Sheet2!$E:$E,Sheet2!$C:$C,$A141,Sheet2!$A:$A,C$2)&lt;&gt;0,SUMIFS(Sheet2!$E:$E,Sheet2!$C:$C,$A141,Sheet2!$A:$A,C$2),"")</f>
        <v/>
      </c>
      <c r="D141" s="42" t="str">
        <f>IF(SUMIFS(Sheet2!$E:$E,Sheet2!$C:$C,$A141,Sheet2!$A:$A,D$2)&lt;&gt;0,SUMIFS(Sheet2!$E:$E,Sheet2!$C:$C,$A141,Sheet2!$A:$A,D$2),"")</f>
        <v/>
      </c>
      <c r="E141" s="42" t="str">
        <f>IF(SUMIFS(Sheet2!$E:$E,Sheet2!$C:$C,$A141,Sheet2!$A:$A,E$2)&lt;&gt;0,SUMIFS(Sheet2!$E:$E,Sheet2!$C:$C,$A141,Sheet2!$A:$A,E$2),"")</f>
        <v/>
      </c>
      <c r="F141" s="42" t="str">
        <f>IF(SUMIFS(Sheet2!$E:$E,Sheet2!$C:$C,$A141,Sheet2!$A:$A,F$2)&lt;&gt;0,SUMIFS(Sheet2!$E:$E,Sheet2!$C:$C,$A141,Sheet2!$A:$A,F$2),"")</f>
        <v/>
      </c>
      <c r="G141" s="42" t="str">
        <f>IF(SUMIFS(Sheet2!$E:$E,Sheet2!$C:$C,$A141,Sheet2!$A:$A,G$2)&lt;&gt;0,SUMIFS(Sheet2!$E:$E,Sheet2!$C:$C,$A141,Sheet2!$A:$A,G$2),"")</f>
        <v/>
      </c>
      <c r="H141" s="42" t="str">
        <f>IF(SUMIFS(Sheet2!$E:$E,Sheet2!$C:$C,$A141,Sheet2!$A:$A,H$2)&lt;&gt;0,SUMIFS(Sheet2!$E:$E,Sheet2!$C:$C,$A141,Sheet2!$A:$A,H$2),"")</f>
        <v/>
      </c>
      <c r="I141" s="42" t="str">
        <f>IF(SUMIFS(Sheet2!$E:$E,Sheet2!$C:$C,$A141,Sheet2!$A:$A,I$2)&lt;&gt;0,SUMIFS(Sheet2!$E:$E,Sheet2!$C:$C,$A141,Sheet2!$A:$A,I$2),"")</f>
        <v/>
      </c>
      <c r="J141" s="42" t="str">
        <f>IF(SUMIFS(Sheet2!$E:$E,Sheet2!$C:$C,$A141,Sheet2!$A:$A,J$2)&lt;&gt;0,SUMIFS(Sheet2!$E:$E,Sheet2!$C:$C,$A141,Sheet2!$A:$A,J$2),"")</f>
        <v/>
      </c>
      <c r="K141" s="42" t="str">
        <f>IF(SUMIFS(Sheet2!$E:$E,Sheet2!$C:$C,$A141,Sheet2!$A:$A,K$2)&lt;&gt;0,SUMIFS(Sheet2!$E:$E,Sheet2!$C:$C,$A141,Sheet2!$A:$A,K$2),"")</f>
        <v/>
      </c>
      <c r="L141" s="42" t="str">
        <f>IF(SUMIFS(Sheet2!$E:$E,Sheet2!$C:$C,$A141,Sheet2!$A:$A,L$2)&lt;&gt;0,SUMIFS(Sheet2!$E:$E,Sheet2!$C:$C,$A141,Sheet2!$A:$A,L$2),"")</f>
        <v/>
      </c>
      <c r="M141" s="42" t="str">
        <f>IF(SUMIFS(Sheet2!$E:$E,Sheet2!$C:$C,$A141,Sheet2!$A:$A,M$2)&lt;&gt;0,SUMIFS(Sheet2!$E:$E,Sheet2!$C:$C,$A141,Sheet2!$A:$A,M$2),"")</f>
        <v/>
      </c>
      <c r="N141" s="42" t="str">
        <f>IF(SUMIFS(Sheet2!$E:$E,Sheet2!$C:$C,$A141,Sheet2!$A:$A,N$2)&lt;&gt;0,SUMIFS(Sheet2!$E:$E,Sheet2!$C:$C,$A141,Sheet2!$A:$A,N$2),"")</f>
        <v/>
      </c>
      <c r="O141" s="42" t="str">
        <f>IF(SUMIFS(Sheet2!$E:$E,Sheet2!$C:$C,$A141,Sheet2!$A:$A,O$2)&lt;&gt;0,SUMIFS(Sheet2!$E:$E,Sheet2!$C:$C,$A141,Sheet2!$A:$A,O$2),"")</f>
        <v/>
      </c>
      <c r="P141" s="42" t="str">
        <f>IF(SUMIFS(Sheet2!$E:$E,Sheet2!$C:$C,$A141,Sheet2!$A:$A,P$2)&lt;&gt;0,SUMIFS(Sheet2!$E:$E,Sheet2!$C:$C,$A141,Sheet2!$A:$A,P$2),"")</f>
        <v/>
      </c>
      <c r="Q141" s="42" t="str">
        <f>IF(SUMIFS(Sheet2!$E:$E,Sheet2!$C:$C,$A141,Sheet2!$A:$A,Q$2)&lt;&gt;0,SUMIFS(Sheet2!$E:$E,Sheet2!$C:$C,$A141,Sheet2!$A:$A,Q$2),"")</f>
        <v/>
      </c>
      <c r="R141" s="42" t="str">
        <f>IF(SUMIFS(Sheet2!$E:$E,Sheet2!$C:$C,$A141,Sheet2!$A:$A,R$2)&lt;&gt;0,SUMIFS(Sheet2!$E:$E,Sheet2!$C:$C,$A141,Sheet2!$A:$A,R$2),"")</f>
        <v/>
      </c>
      <c r="S141" s="42" t="str">
        <f>IF(SUMIFS(Sheet2!$E:$E,Sheet2!$C:$C,$A141,Sheet2!$A:$A,S$2)&lt;&gt;0,SUMIFS(Sheet2!$E:$E,Sheet2!$C:$C,$A141,Sheet2!$A:$A,S$2),"")</f>
        <v/>
      </c>
      <c r="T141" s="42" t="str">
        <f>IF(SUMIFS(Sheet2!$E:$E,Sheet2!$C:$C,$A141,Sheet2!$A:$A,T$2)&lt;&gt;0,SUMIFS(Sheet2!$E:$E,Sheet2!$C:$C,$A141,Sheet2!$A:$A,T$2),"")</f>
        <v/>
      </c>
      <c r="U141" s="42" t="str">
        <f>IF(SUMIFS(Sheet2!$E:$E,Sheet2!$C:$C,$A141,Sheet2!$A:$A,U$2)&lt;&gt;0,SUMIFS(Sheet2!$E:$E,Sheet2!$C:$C,$A141,Sheet2!$A:$A,U$2),"")</f>
        <v/>
      </c>
      <c r="V141" s="42" t="str">
        <f>IF(SUMIFS(Sheet2!$E:$E,Sheet2!$C:$C,$A141,Sheet2!$A:$A,V$2)&lt;&gt;0,SUMIFS(Sheet2!$E:$E,Sheet2!$C:$C,$A141,Sheet2!$A:$A,V$2),"")</f>
        <v/>
      </c>
      <c r="W141" s="42" t="str">
        <f>IF(SUMIFS(Sheet2!$E:$E,Sheet2!$C:$C,$A141,Sheet2!$A:$A,W$2)&lt;&gt;0,SUMIFS(Sheet2!$E:$E,Sheet2!$C:$C,$A141,Sheet2!$A:$A,W$2),"")</f>
        <v/>
      </c>
      <c r="X141" s="42" t="str">
        <f>IF(SUMIFS(Sheet2!$E:$E,Sheet2!$C:$C,$A141,Sheet2!$A:$A,X$2)&lt;&gt;0,SUMIFS(Sheet2!$E:$E,Sheet2!$C:$C,$A141,Sheet2!$A:$A,X$2),"")</f>
        <v/>
      </c>
      <c r="Y141" s="42" t="str">
        <f>IF(SUMIFS(Sheet2!$E:$E,Sheet2!$C:$C,$A141,Sheet2!$A:$A,Y$2)&lt;&gt;0,SUMIFS(Sheet2!$E:$E,Sheet2!$C:$C,$A141,Sheet2!$A:$A,Y$2),"")</f>
        <v/>
      </c>
      <c r="Z141" s="42" t="str">
        <f>IF(SUMIFS(Sheet2!$E:$E,Sheet2!$C:$C,$A141,Sheet2!$A:$A,Z$2)&lt;&gt;0,SUMIFS(Sheet2!$E:$E,Sheet2!$C:$C,$A141,Sheet2!$A:$A,Z$2),"")</f>
        <v/>
      </c>
      <c r="AA141" s="42" t="str">
        <f>IF(SUMIFS(Sheet2!$E:$E,Sheet2!$C:$C,$A141,Sheet2!$A:$A,AA$2)&lt;&gt;0,SUMIFS(Sheet2!$E:$E,Sheet2!$C:$C,$A141,Sheet2!$A:$A,AA$2),"")</f>
        <v/>
      </c>
      <c r="AB141" s="42" t="str">
        <f>IF(SUMIFS(Sheet2!$E:$E,Sheet2!$C:$C,$A141,Sheet2!$A:$A,AB$2)&lt;&gt;0,SUMIFS(Sheet2!$E:$E,Sheet2!$C:$C,$A141,Sheet2!$A:$A,AB$2),"")</f>
        <v/>
      </c>
      <c r="AC141" s="42" t="str">
        <f>IF(SUMIFS(Sheet2!$E:$E,Sheet2!$C:$C,$A141,Sheet2!$A:$A,AC$2)&lt;&gt;0,SUMIFS(Sheet2!$E:$E,Sheet2!$C:$C,$A141,Sheet2!$A:$A,AC$2),"")</f>
        <v/>
      </c>
      <c r="AD141" s="42" t="str">
        <f>IF(SUMIFS(Sheet2!$E:$E,Sheet2!$C:$C,$A141,Sheet2!$A:$A,AD$2)&lt;&gt;0,SUMIFS(Sheet2!$E:$E,Sheet2!$C:$C,$A141,Sheet2!$A:$A,AD$2),"")</f>
        <v/>
      </c>
      <c r="AE141" s="42" t="str">
        <f>IF(SUMIFS(Sheet2!$E:$E,Sheet2!$C:$C,$A141,Sheet2!$A:$A,AE$2)&lt;&gt;0,SUMIFS(Sheet2!$E:$E,Sheet2!$C:$C,$A141,Sheet2!$A:$A,AE$2),"")</f>
        <v/>
      </c>
      <c r="AF141" s="42" t="str">
        <f>IF(SUMIFS(Sheet2!$E:$E,Sheet2!$C:$C,$A141,Sheet2!$A:$A,AF$2)&lt;&gt;0,SUMIFS(Sheet2!$E:$E,Sheet2!$C:$C,$A141,Sheet2!$A:$A,AF$2),"")</f>
        <v/>
      </c>
      <c r="AG141" s="42" t="str">
        <f>IF(SUMIFS(Sheet2!$E:$E,Sheet2!$C:$C,$A141,Sheet2!$A:$A,AG$2)&lt;&gt;0,SUMIFS(Sheet2!$E:$E,Sheet2!$C:$C,$A141,Sheet2!$A:$A,AG$2),"")</f>
        <v/>
      </c>
      <c r="AH141" s="43">
        <f>SUM(Table2[[#This Row],[1]:[31]])</f>
        <v>0</v>
      </c>
    </row>
    <row r="142" spans="1:34" ht="12.75" customHeight="1">
      <c r="A142" s="76" t="str">
        <f>DSSP!A141</f>
        <v>DS11</v>
      </c>
      <c r="B142" s="25" t="str">
        <f>DSSP!B141</f>
        <v>Set màu</v>
      </c>
      <c r="C142" s="42" t="str">
        <f>IF(SUMIFS(Sheet2!$E:$E,Sheet2!$C:$C,$A142,Sheet2!$A:$A,C$2)&lt;&gt;0,SUMIFS(Sheet2!$E:$E,Sheet2!$C:$C,$A142,Sheet2!$A:$A,C$2),"")</f>
        <v/>
      </c>
      <c r="D142" s="42" t="str">
        <f>IF(SUMIFS(Sheet2!$E:$E,Sheet2!$C:$C,$A142,Sheet2!$A:$A,D$2)&lt;&gt;0,SUMIFS(Sheet2!$E:$E,Sheet2!$C:$C,$A142,Sheet2!$A:$A,D$2),"")</f>
        <v/>
      </c>
      <c r="E142" s="42" t="str">
        <f>IF(SUMIFS(Sheet2!$E:$E,Sheet2!$C:$C,$A142,Sheet2!$A:$A,E$2)&lt;&gt;0,SUMIFS(Sheet2!$E:$E,Sheet2!$C:$C,$A142,Sheet2!$A:$A,E$2),"")</f>
        <v/>
      </c>
      <c r="F142" s="42" t="str">
        <f>IF(SUMIFS(Sheet2!$E:$E,Sheet2!$C:$C,$A142,Sheet2!$A:$A,F$2)&lt;&gt;0,SUMIFS(Sheet2!$E:$E,Sheet2!$C:$C,$A142,Sheet2!$A:$A,F$2),"")</f>
        <v/>
      </c>
      <c r="G142" s="42" t="str">
        <f>IF(SUMIFS(Sheet2!$E:$E,Sheet2!$C:$C,$A142,Sheet2!$A:$A,G$2)&lt;&gt;0,SUMIFS(Sheet2!$E:$E,Sheet2!$C:$C,$A142,Sheet2!$A:$A,G$2),"")</f>
        <v/>
      </c>
      <c r="H142" s="42" t="str">
        <f>IF(SUMIFS(Sheet2!$E:$E,Sheet2!$C:$C,$A142,Sheet2!$A:$A,H$2)&lt;&gt;0,SUMIFS(Sheet2!$E:$E,Sheet2!$C:$C,$A142,Sheet2!$A:$A,H$2),"")</f>
        <v/>
      </c>
      <c r="I142" s="42" t="str">
        <f>IF(SUMIFS(Sheet2!$E:$E,Sheet2!$C:$C,$A142,Sheet2!$A:$A,I$2)&lt;&gt;0,SUMIFS(Sheet2!$E:$E,Sheet2!$C:$C,$A142,Sheet2!$A:$A,I$2),"")</f>
        <v/>
      </c>
      <c r="J142" s="42" t="str">
        <f>IF(SUMIFS(Sheet2!$E:$E,Sheet2!$C:$C,$A142,Sheet2!$A:$A,J$2)&lt;&gt;0,SUMIFS(Sheet2!$E:$E,Sheet2!$C:$C,$A142,Sheet2!$A:$A,J$2),"")</f>
        <v/>
      </c>
      <c r="K142" s="42" t="str">
        <f>IF(SUMIFS(Sheet2!$E:$E,Sheet2!$C:$C,$A142,Sheet2!$A:$A,K$2)&lt;&gt;0,SUMIFS(Sheet2!$E:$E,Sheet2!$C:$C,$A142,Sheet2!$A:$A,K$2),"")</f>
        <v/>
      </c>
      <c r="L142" s="42" t="str">
        <f>IF(SUMIFS(Sheet2!$E:$E,Sheet2!$C:$C,$A142,Sheet2!$A:$A,L$2)&lt;&gt;0,SUMIFS(Sheet2!$E:$E,Sheet2!$C:$C,$A142,Sheet2!$A:$A,L$2),"")</f>
        <v/>
      </c>
      <c r="M142" s="42" t="str">
        <f>IF(SUMIFS(Sheet2!$E:$E,Sheet2!$C:$C,$A142,Sheet2!$A:$A,M$2)&lt;&gt;0,SUMIFS(Sheet2!$E:$E,Sheet2!$C:$C,$A142,Sheet2!$A:$A,M$2),"")</f>
        <v/>
      </c>
      <c r="N142" s="42" t="str">
        <f>IF(SUMIFS(Sheet2!$E:$E,Sheet2!$C:$C,$A142,Sheet2!$A:$A,N$2)&lt;&gt;0,SUMIFS(Sheet2!$E:$E,Sheet2!$C:$C,$A142,Sheet2!$A:$A,N$2),"")</f>
        <v/>
      </c>
      <c r="O142" s="42" t="str">
        <f>IF(SUMIFS(Sheet2!$E:$E,Sheet2!$C:$C,$A142,Sheet2!$A:$A,O$2)&lt;&gt;0,SUMIFS(Sheet2!$E:$E,Sheet2!$C:$C,$A142,Sheet2!$A:$A,O$2),"")</f>
        <v/>
      </c>
      <c r="P142" s="42" t="str">
        <f>IF(SUMIFS(Sheet2!$E:$E,Sheet2!$C:$C,$A142,Sheet2!$A:$A,P$2)&lt;&gt;0,SUMIFS(Sheet2!$E:$E,Sheet2!$C:$C,$A142,Sheet2!$A:$A,P$2),"")</f>
        <v/>
      </c>
      <c r="Q142" s="42" t="str">
        <f>IF(SUMIFS(Sheet2!$E:$E,Sheet2!$C:$C,$A142,Sheet2!$A:$A,Q$2)&lt;&gt;0,SUMIFS(Sheet2!$E:$E,Sheet2!$C:$C,$A142,Sheet2!$A:$A,Q$2),"")</f>
        <v/>
      </c>
      <c r="R142" s="42" t="str">
        <f>IF(SUMIFS(Sheet2!$E:$E,Sheet2!$C:$C,$A142,Sheet2!$A:$A,R$2)&lt;&gt;0,SUMIFS(Sheet2!$E:$E,Sheet2!$C:$C,$A142,Sheet2!$A:$A,R$2),"")</f>
        <v/>
      </c>
      <c r="S142" s="42" t="str">
        <f>IF(SUMIFS(Sheet2!$E:$E,Sheet2!$C:$C,$A142,Sheet2!$A:$A,S$2)&lt;&gt;0,SUMIFS(Sheet2!$E:$E,Sheet2!$C:$C,$A142,Sheet2!$A:$A,S$2),"")</f>
        <v/>
      </c>
      <c r="T142" s="42" t="str">
        <f>IF(SUMIFS(Sheet2!$E:$E,Sheet2!$C:$C,$A142,Sheet2!$A:$A,T$2)&lt;&gt;0,SUMIFS(Sheet2!$E:$E,Sheet2!$C:$C,$A142,Sheet2!$A:$A,T$2),"")</f>
        <v/>
      </c>
      <c r="U142" s="42" t="str">
        <f>IF(SUMIFS(Sheet2!$E:$E,Sheet2!$C:$C,$A142,Sheet2!$A:$A,U$2)&lt;&gt;0,SUMIFS(Sheet2!$E:$E,Sheet2!$C:$C,$A142,Sheet2!$A:$A,U$2),"")</f>
        <v/>
      </c>
      <c r="V142" s="42" t="str">
        <f>IF(SUMIFS(Sheet2!$E:$E,Sheet2!$C:$C,$A142,Sheet2!$A:$A,V$2)&lt;&gt;0,SUMIFS(Sheet2!$E:$E,Sheet2!$C:$C,$A142,Sheet2!$A:$A,V$2),"")</f>
        <v/>
      </c>
      <c r="W142" s="42" t="str">
        <f>IF(SUMIFS(Sheet2!$E:$E,Sheet2!$C:$C,$A142,Sheet2!$A:$A,W$2)&lt;&gt;0,SUMIFS(Sheet2!$E:$E,Sheet2!$C:$C,$A142,Sheet2!$A:$A,W$2),"")</f>
        <v/>
      </c>
      <c r="X142" s="42" t="str">
        <f>IF(SUMIFS(Sheet2!$E:$E,Sheet2!$C:$C,$A142,Sheet2!$A:$A,X$2)&lt;&gt;0,SUMIFS(Sheet2!$E:$E,Sheet2!$C:$C,$A142,Sheet2!$A:$A,X$2),"")</f>
        <v/>
      </c>
      <c r="Y142" s="42" t="str">
        <f>IF(SUMIFS(Sheet2!$E:$E,Sheet2!$C:$C,$A142,Sheet2!$A:$A,Y$2)&lt;&gt;0,SUMIFS(Sheet2!$E:$E,Sheet2!$C:$C,$A142,Sheet2!$A:$A,Y$2),"")</f>
        <v/>
      </c>
      <c r="Z142" s="42" t="str">
        <f>IF(SUMIFS(Sheet2!$E:$E,Sheet2!$C:$C,$A142,Sheet2!$A:$A,Z$2)&lt;&gt;0,SUMIFS(Sheet2!$E:$E,Sheet2!$C:$C,$A142,Sheet2!$A:$A,Z$2),"")</f>
        <v/>
      </c>
      <c r="AA142" s="42" t="str">
        <f>IF(SUMIFS(Sheet2!$E:$E,Sheet2!$C:$C,$A142,Sheet2!$A:$A,AA$2)&lt;&gt;0,SUMIFS(Sheet2!$E:$E,Sheet2!$C:$C,$A142,Sheet2!$A:$A,AA$2),"")</f>
        <v/>
      </c>
      <c r="AB142" s="42" t="str">
        <f>IF(SUMIFS(Sheet2!$E:$E,Sheet2!$C:$C,$A142,Sheet2!$A:$A,AB$2)&lt;&gt;0,SUMIFS(Sheet2!$E:$E,Sheet2!$C:$C,$A142,Sheet2!$A:$A,AB$2),"")</f>
        <v/>
      </c>
      <c r="AC142" s="42" t="str">
        <f>IF(SUMIFS(Sheet2!$E:$E,Sheet2!$C:$C,$A142,Sheet2!$A:$A,AC$2)&lt;&gt;0,SUMIFS(Sheet2!$E:$E,Sheet2!$C:$C,$A142,Sheet2!$A:$A,AC$2),"")</f>
        <v/>
      </c>
      <c r="AD142" s="42" t="str">
        <f>IF(SUMIFS(Sheet2!$E:$E,Sheet2!$C:$C,$A142,Sheet2!$A:$A,AD$2)&lt;&gt;0,SUMIFS(Sheet2!$E:$E,Sheet2!$C:$C,$A142,Sheet2!$A:$A,AD$2),"")</f>
        <v/>
      </c>
      <c r="AE142" s="42" t="str">
        <f>IF(SUMIFS(Sheet2!$E:$E,Sheet2!$C:$C,$A142,Sheet2!$A:$A,AE$2)&lt;&gt;0,SUMIFS(Sheet2!$E:$E,Sheet2!$C:$C,$A142,Sheet2!$A:$A,AE$2),"")</f>
        <v/>
      </c>
      <c r="AF142" s="42" t="str">
        <f>IF(SUMIFS(Sheet2!$E:$E,Sheet2!$C:$C,$A142,Sheet2!$A:$A,AF$2)&lt;&gt;0,SUMIFS(Sheet2!$E:$E,Sheet2!$C:$C,$A142,Sheet2!$A:$A,AF$2),"")</f>
        <v/>
      </c>
      <c r="AG142" s="42" t="str">
        <f>IF(SUMIFS(Sheet2!$E:$E,Sheet2!$C:$C,$A142,Sheet2!$A:$A,AG$2)&lt;&gt;0,SUMIFS(Sheet2!$E:$E,Sheet2!$C:$C,$A142,Sheet2!$A:$A,AG$2),"")</f>
        <v/>
      </c>
      <c r="AH142" s="43">
        <f>SUM(Table2[[#This Row],[1]:[31]])</f>
        <v>0</v>
      </c>
    </row>
    <row r="143" spans="1:34" ht="12.75" customHeight="1">
      <c r="A143" s="76" t="str">
        <f>DSSP!A142</f>
        <v>DS12</v>
      </c>
      <c r="B143" s="25" t="str">
        <f>DSSP!B142</f>
        <v>Bút vẽ</v>
      </c>
      <c r="C143" s="42" t="str">
        <f>IF(SUMIFS(Sheet2!$E:$E,Sheet2!$C:$C,$A143,Sheet2!$A:$A,C$2)&lt;&gt;0,SUMIFS(Sheet2!$E:$E,Sheet2!$C:$C,$A143,Sheet2!$A:$A,C$2),"")</f>
        <v/>
      </c>
      <c r="D143" s="42" t="str">
        <f>IF(SUMIFS(Sheet2!$E:$E,Sheet2!$C:$C,$A143,Sheet2!$A:$A,D$2)&lt;&gt;0,SUMIFS(Sheet2!$E:$E,Sheet2!$C:$C,$A143,Sheet2!$A:$A,D$2),"")</f>
        <v/>
      </c>
      <c r="E143" s="42" t="str">
        <f>IF(SUMIFS(Sheet2!$E:$E,Sheet2!$C:$C,$A143,Sheet2!$A:$A,E$2)&lt;&gt;0,SUMIFS(Sheet2!$E:$E,Sheet2!$C:$C,$A143,Sheet2!$A:$A,E$2),"")</f>
        <v/>
      </c>
      <c r="F143" s="42" t="str">
        <f>IF(SUMIFS(Sheet2!$E:$E,Sheet2!$C:$C,$A143,Sheet2!$A:$A,F$2)&lt;&gt;0,SUMIFS(Sheet2!$E:$E,Sheet2!$C:$C,$A143,Sheet2!$A:$A,F$2),"")</f>
        <v/>
      </c>
      <c r="G143" s="42" t="str">
        <f>IF(SUMIFS(Sheet2!$E:$E,Sheet2!$C:$C,$A143,Sheet2!$A:$A,G$2)&lt;&gt;0,SUMIFS(Sheet2!$E:$E,Sheet2!$C:$C,$A143,Sheet2!$A:$A,G$2),"")</f>
        <v/>
      </c>
      <c r="H143" s="42" t="str">
        <f>IF(SUMIFS(Sheet2!$E:$E,Sheet2!$C:$C,$A143,Sheet2!$A:$A,H$2)&lt;&gt;0,SUMIFS(Sheet2!$E:$E,Sheet2!$C:$C,$A143,Sheet2!$A:$A,H$2),"")</f>
        <v/>
      </c>
      <c r="I143" s="42" t="str">
        <f>IF(SUMIFS(Sheet2!$E:$E,Sheet2!$C:$C,$A143,Sheet2!$A:$A,I$2)&lt;&gt;0,SUMIFS(Sheet2!$E:$E,Sheet2!$C:$C,$A143,Sheet2!$A:$A,I$2),"")</f>
        <v/>
      </c>
      <c r="J143" s="42" t="str">
        <f>IF(SUMIFS(Sheet2!$E:$E,Sheet2!$C:$C,$A143,Sheet2!$A:$A,J$2)&lt;&gt;0,SUMIFS(Sheet2!$E:$E,Sheet2!$C:$C,$A143,Sheet2!$A:$A,J$2),"")</f>
        <v/>
      </c>
      <c r="K143" s="42" t="str">
        <f>IF(SUMIFS(Sheet2!$E:$E,Sheet2!$C:$C,$A143,Sheet2!$A:$A,K$2)&lt;&gt;0,SUMIFS(Sheet2!$E:$E,Sheet2!$C:$C,$A143,Sheet2!$A:$A,K$2),"")</f>
        <v/>
      </c>
      <c r="L143" s="42" t="str">
        <f>IF(SUMIFS(Sheet2!$E:$E,Sheet2!$C:$C,$A143,Sheet2!$A:$A,L$2)&lt;&gt;0,SUMIFS(Sheet2!$E:$E,Sheet2!$C:$C,$A143,Sheet2!$A:$A,L$2),"")</f>
        <v/>
      </c>
      <c r="M143" s="42" t="str">
        <f>IF(SUMIFS(Sheet2!$E:$E,Sheet2!$C:$C,$A143,Sheet2!$A:$A,M$2)&lt;&gt;0,SUMIFS(Sheet2!$E:$E,Sheet2!$C:$C,$A143,Sheet2!$A:$A,M$2),"")</f>
        <v/>
      </c>
      <c r="N143" s="42" t="str">
        <f>IF(SUMIFS(Sheet2!$E:$E,Sheet2!$C:$C,$A143,Sheet2!$A:$A,N$2)&lt;&gt;0,SUMIFS(Sheet2!$E:$E,Sheet2!$C:$C,$A143,Sheet2!$A:$A,N$2),"")</f>
        <v/>
      </c>
      <c r="O143" s="42" t="str">
        <f>IF(SUMIFS(Sheet2!$E:$E,Sheet2!$C:$C,$A143,Sheet2!$A:$A,O$2)&lt;&gt;0,SUMIFS(Sheet2!$E:$E,Sheet2!$C:$C,$A143,Sheet2!$A:$A,O$2),"")</f>
        <v/>
      </c>
      <c r="P143" s="42" t="str">
        <f>IF(SUMIFS(Sheet2!$E:$E,Sheet2!$C:$C,$A143,Sheet2!$A:$A,P$2)&lt;&gt;0,SUMIFS(Sheet2!$E:$E,Sheet2!$C:$C,$A143,Sheet2!$A:$A,P$2),"")</f>
        <v/>
      </c>
      <c r="Q143" s="42" t="str">
        <f>IF(SUMIFS(Sheet2!$E:$E,Sheet2!$C:$C,$A143,Sheet2!$A:$A,Q$2)&lt;&gt;0,SUMIFS(Sheet2!$E:$E,Sheet2!$C:$C,$A143,Sheet2!$A:$A,Q$2),"")</f>
        <v/>
      </c>
      <c r="R143" s="42" t="str">
        <f>IF(SUMIFS(Sheet2!$E:$E,Sheet2!$C:$C,$A143,Sheet2!$A:$A,R$2)&lt;&gt;0,SUMIFS(Sheet2!$E:$E,Sheet2!$C:$C,$A143,Sheet2!$A:$A,R$2),"")</f>
        <v/>
      </c>
      <c r="S143" s="42" t="str">
        <f>IF(SUMIFS(Sheet2!$E:$E,Sheet2!$C:$C,$A143,Sheet2!$A:$A,S$2)&lt;&gt;0,SUMIFS(Sheet2!$E:$E,Sheet2!$C:$C,$A143,Sheet2!$A:$A,S$2),"")</f>
        <v/>
      </c>
      <c r="T143" s="42" t="str">
        <f>IF(SUMIFS(Sheet2!$E:$E,Sheet2!$C:$C,$A143,Sheet2!$A:$A,T$2)&lt;&gt;0,SUMIFS(Sheet2!$E:$E,Sheet2!$C:$C,$A143,Sheet2!$A:$A,T$2),"")</f>
        <v/>
      </c>
      <c r="U143" s="42" t="str">
        <f>IF(SUMIFS(Sheet2!$E:$E,Sheet2!$C:$C,$A143,Sheet2!$A:$A,U$2)&lt;&gt;0,SUMIFS(Sheet2!$E:$E,Sheet2!$C:$C,$A143,Sheet2!$A:$A,U$2),"")</f>
        <v/>
      </c>
      <c r="V143" s="42" t="str">
        <f>IF(SUMIFS(Sheet2!$E:$E,Sheet2!$C:$C,$A143,Sheet2!$A:$A,V$2)&lt;&gt;0,SUMIFS(Sheet2!$E:$E,Sheet2!$C:$C,$A143,Sheet2!$A:$A,V$2),"")</f>
        <v/>
      </c>
      <c r="W143" s="42" t="str">
        <f>IF(SUMIFS(Sheet2!$E:$E,Sheet2!$C:$C,$A143,Sheet2!$A:$A,W$2)&lt;&gt;0,SUMIFS(Sheet2!$E:$E,Sheet2!$C:$C,$A143,Sheet2!$A:$A,W$2),"")</f>
        <v/>
      </c>
      <c r="X143" s="42" t="str">
        <f>IF(SUMIFS(Sheet2!$E:$E,Sheet2!$C:$C,$A143,Sheet2!$A:$A,X$2)&lt;&gt;0,SUMIFS(Sheet2!$E:$E,Sheet2!$C:$C,$A143,Sheet2!$A:$A,X$2),"")</f>
        <v/>
      </c>
      <c r="Y143" s="42" t="str">
        <f>IF(SUMIFS(Sheet2!$E:$E,Sheet2!$C:$C,$A143,Sheet2!$A:$A,Y$2)&lt;&gt;0,SUMIFS(Sheet2!$E:$E,Sheet2!$C:$C,$A143,Sheet2!$A:$A,Y$2),"")</f>
        <v/>
      </c>
      <c r="Z143" s="42" t="str">
        <f>IF(SUMIFS(Sheet2!$E:$E,Sheet2!$C:$C,$A143,Sheet2!$A:$A,Z$2)&lt;&gt;0,SUMIFS(Sheet2!$E:$E,Sheet2!$C:$C,$A143,Sheet2!$A:$A,Z$2),"")</f>
        <v/>
      </c>
      <c r="AA143" s="42" t="str">
        <f>IF(SUMIFS(Sheet2!$E:$E,Sheet2!$C:$C,$A143,Sheet2!$A:$A,AA$2)&lt;&gt;0,SUMIFS(Sheet2!$E:$E,Sheet2!$C:$C,$A143,Sheet2!$A:$A,AA$2),"")</f>
        <v/>
      </c>
      <c r="AB143" s="42" t="str">
        <f>IF(SUMIFS(Sheet2!$E:$E,Sheet2!$C:$C,$A143,Sheet2!$A:$A,AB$2)&lt;&gt;0,SUMIFS(Sheet2!$E:$E,Sheet2!$C:$C,$A143,Sheet2!$A:$A,AB$2),"")</f>
        <v/>
      </c>
      <c r="AC143" s="42" t="str">
        <f>IF(SUMIFS(Sheet2!$E:$E,Sheet2!$C:$C,$A143,Sheet2!$A:$A,AC$2)&lt;&gt;0,SUMIFS(Sheet2!$E:$E,Sheet2!$C:$C,$A143,Sheet2!$A:$A,AC$2),"")</f>
        <v/>
      </c>
      <c r="AD143" s="42" t="str">
        <f>IF(SUMIFS(Sheet2!$E:$E,Sheet2!$C:$C,$A143,Sheet2!$A:$A,AD$2)&lt;&gt;0,SUMIFS(Sheet2!$E:$E,Sheet2!$C:$C,$A143,Sheet2!$A:$A,AD$2),"")</f>
        <v/>
      </c>
      <c r="AE143" s="42" t="str">
        <f>IF(SUMIFS(Sheet2!$E:$E,Sheet2!$C:$C,$A143,Sheet2!$A:$A,AE$2)&lt;&gt;0,SUMIFS(Sheet2!$E:$E,Sheet2!$C:$C,$A143,Sheet2!$A:$A,AE$2),"")</f>
        <v/>
      </c>
      <c r="AF143" s="42" t="str">
        <f>IF(SUMIFS(Sheet2!$E:$E,Sheet2!$C:$C,$A143,Sheet2!$A:$A,AF$2)&lt;&gt;0,SUMIFS(Sheet2!$E:$E,Sheet2!$C:$C,$A143,Sheet2!$A:$A,AF$2),"")</f>
        <v/>
      </c>
      <c r="AG143" s="42" t="str">
        <f>IF(SUMIFS(Sheet2!$E:$E,Sheet2!$C:$C,$A143,Sheet2!$A:$A,AG$2)&lt;&gt;0,SUMIFS(Sheet2!$E:$E,Sheet2!$C:$C,$A143,Sheet2!$A:$A,AG$2),"")</f>
        <v/>
      </c>
      <c r="AH143" s="43">
        <f>SUM(Table2[[#This Row],[1]:[31]])</f>
        <v>0</v>
      </c>
    </row>
    <row r="144" spans="1:34" ht="12.75" customHeight="1">
      <c r="A144" s="76" t="str">
        <f>DSSP!A143</f>
        <v>DS13</v>
      </c>
      <c r="B144" s="25" t="str">
        <f>DSSP!B143</f>
        <v>Đất sét hoa quả</v>
      </c>
      <c r="C144" s="42" t="str">
        <f>IF(SUMIFS(Sheet2!$E:$E,Sheet2!$C:$C,$A144,Sheet2!$A:$A,C$2)&lt;&gt;0,SUMIFS(Sheet2!$E:$E,Sheet2!$C:$C,$A144,Sheet2!$A:$A,C$2),"")</f>
        <v/>
      </c>
      <c r="D144" s="42" t="str">
        <f>IF(SUMIFS(Sheet2!$E:$E,Sheet2!$C:$C,$A144,Sheet2!$A:$A,D$2)&lt;&gt;0,SUMIFS(Sheet2!$E:$E,Sheet2!$C:$C,$A144,Sheet2!$A:$A,D$2),"")</f>
        <v/>
      </c>
      <c r="E144" s="42" t="str">
        <f>IF(SUMIFS(Sheet2!$E:$E,Sheet2!$C:$C,$A144,Sheet2!$A:$A,E$2)&lt;&gt;0,SUMIFS(Sheet2!$E:$E,Sheet2!$C:$C,$A144,Sheet2!$A:$A,E$2),"")</f>
        <v/>
      </c>
      <c r="F144" s="42" t="str">
        <f>IF(SUMIFS(Sheet2!$E:$E,Sheet2!$C:$C,$A144,Sheet2!$A:$A,F$2)&lt;&gt;0,SUMIFS(Sheet2!$E:$E,Sheet2!$C:$C,$A144,Sheet2!$A:$A,F$2),"")</f>
        <v/>
      </c>
      <c r="G144" s="42" t="str">
        <f>IF(SUMIFS(Sheet2!$E:$E,Sheet2!$C:$C,$A144,Sheet2!$A:$A,G$2)&lt;&gt;0,SUMIFS(Sheet2!$E:$E,Sheet2!$C:$C,$A144,Sheet2!$A:$A,G$2),"")</f>
        <v/>
      </c>
      <c r="H144" s="42" t="str">
        <f>IF(SUMIFS(Sheet2!$E:$E,Sheet2!$C:$C,$A144,Sheet2!$A:$A,H$2)&lt;&gt;0,SUMIFS(Sheet2!$E:$E,Sheet2!$C:$C,$A144,Sheet2!$A:$A,H$2),"")</f>
        <v/>
      </c>
      <c r="I144" s="42" t="str">
        <f>IF(SUMIFS(Sheet2!$E:$E,Sheet2!$C:$C,$A144,Sheet2!$A:$A,I$2)&lt;&gt;0,SUMIFS(Sheet2!$E:$E,Sheet2!$C:$C,$A144,Sheet2!$A:$A,I$2),"")</f>
        <v/>
      </c>
      <c r="J144" s="42" t="str">
        <f>IF(SUMIFS(Sheet2!$E:$E,Sheet2!$C:$C,$A144,Sheet2!$A:$A,J$2)&lt;&gt;0,SUMIFS(Sheet2!$E:$E,Sheet2!$C:$C,$A144,Sheet2!$A:$A,J$2),"")</f>
        <v/>
      </c>
      <c r="K144" s="42" t="str">
        <f>IF(SUMIFS(Sheet2!$E:$E,Sheet2!$C:$C,$A144,Sheet2!$A:$A,K$2)&lt;&gt;0,SUMIFS(Sheet2!$E:$E,Sheet2!$C:$C,$A144,Sheet2!$A:$A,K$2),"")</f>
        <v/>
      </c>
      <c r="L144" s="42" t="str">
        <f>IF(SUMIFS(Sheet2!$E:$E,Sheet2!$C:$C,$A144,Sheet2!$A:$A,L$2)&lt;&gt;0,SUMIFS(Sheet2!$E:$E,Sheet2!$C:$C,$A144,Sheet2!$A:$A,L$2),"")</f>
        <v/>
      </c>
      <c r="M144" s="42" t="str">
        <f>IF(SUMIFS(Sheet2!$E:$E,Sheet2!$C:$C,$A144,Sheet2!$A:$A,M$2)&lt;&gt;0,SUMIFS(Sheet2!$E:$E,Sheet2!$C:$C,$A144,Sheet2!$A:$A,M$2),"")</f>
        <v/>
      </c>
      <c r="N144" s="42" t="str">
        <f>IF(SUMIFS(Sheet2!$E:$E,Sheet2!$C:$C,$A144,Sheet2!$A:$A,N$2)&lt;&gt;0,SUMIFS(Sheet2!$E:$E,Sheet2!$C:$C,$A144,Sheet2!$A:$A,N$2),"")</f>
        <v/>
      </c>
      <c r="O144" s="42" t="str">
        <f>IF(SUMIFS(Sheet2!$E:$E,Sheet2!$C:$C,$A144,Sheet2!$A:$A,O$2)&lt;&gt;0,SUMIFS(Sheet2!$E:$E,Sheet2!$C:$C,$A144,Sheet2!$A:$A,O$2),"")</f>
        <v/>
      </c>
      <c r="P144" s="42" t="str">
        <f>IF(SUMIFS(Sheet2!$E:$E,Sheet2!$C:$C,$A144,Sheet2!$A:$A,P$2)&lt;&gt;0,SUMIFS(Sheet2!$E:$E,Sheet2!$C:$C,$A144,Sheet2!$A:$A,P$2),"")</f>
        <v/>
      </c>
      <c r="Q144" s="42" t="str">
        <f>IF(SUMIFS(Sheet2!$E:$E,Sheet2!$C:$C,$A144,Sheet2!$A:$A,Q$2)&lt;&gt;0,SUMIFS(Sheet2!$E:$E,Sheet2!$C:$C,$A144,Sheet2!$A:$A,Q$2),"")</f>
        <v/>
      </c>
      <c r="R144" s="42" t="str">
        <f>IF(SUMIFS(Sheet2!$E:$E,Sheet2!$C:$C,$A144,Sheet2!$A:$A,R$2)&lt;&gt;0,SUMIFS(Sheet2!$E:$E,Sheet2!$C:$C,$A144,Sheet2!$A:$A,R$2),"")</f>
        <v/>
      </c>
      <c r="S144" s="42" t="str">
        <f>IF(SUMIFS(Sheet2!$E:$E,Sheet2!$C:$C,$A144,Sheet2!$A:$A,S$2)&lt;&gt;0,SUMIFS(Sheet2!$E:$E,Sheet2!$C:$C,$A144,Sheet2!$A:$A,S$2),"")</f>
        <v/>
      </c>
      <c r="T144" s="42" t="str">
        <f>IF(SUMIFS(Sheet2!$E:$E,Sheet2!$C:$C,$A144,Sheet2!$A:$A,T$2)&lt;&gt;0,SUMIFS(Sheet2!$E:$E,Sheet2!$C:$C,$A144,Sheet2!$A:$A,T$2),"")</f>
        <v/>
      </c>
      <c r="U144" s="42" t="str">
        <f>IF(SUMIFS(Sheet2!$E:$E,Sheet2!$C:$C,$A144,Sheet2!$A:$A,U$2)&lt;&gt;0,SUMIFS(Sheet2!$E:$E,Sheet2!$C:$C,$A144,Sheet2!$A:$A,U$2),"")</f>
        <v/>
      </c>
      <c r="V144" s="42" t="str">
        <f>IF(SUMIFS(Sheet2!$E:$E,Sheet2!$C:$C,$A144,Sheet2!$A:$A,V$2)&lt;&gt;0,SUMIFS(Sheet2!$E:$E,Sheet2!$C:$C,$A144,Sheet2!$A:$A,V$2),"")</f>
        <v/>
      </c>
      <c r="W144" s="42" t="str">
        <f>IF(SUMIFS(Sheet2!$E:$E,Sheet2!$C:$C,$A144,Sheet2!$A:$A,W$2)&lt;&gt;0,SUMIFS(Sheet2!$E:$E,Sheet2!$C:$C,$A144,Sheet2!$A:$A,W$2),"")</f>
        <v/>
      </c>
      <c r="X144" s="42" t="str">
        <f>IF(SUMIFS(Sheet2!$E:$E,Sheet2!$C:$C,$A144,Sheet2!$A:$A,X$2)&lt;&gt;0,SUMIFS(Sheet2!$E:$E,Sheet2!$C:$C,$A144,Sheet2!$A:$A,X$2),"")</f>
        <v/>
      </c>
      <c r="Y144" s="42" t="str">
        <f>IF(SUMIFS(Sheet2!$E:$E,Sheet2!$C:$C,$A144,Sheet2!$A:$A,Y$2)&lt;&gt;0,SUMIFS(Sheet2!$E:$E,Sheet2!$C:$C,$A144,Sheet2!$A:$A,Y$2),"")</f>
        <v/>
      </c>
      <c r="Z144" s="42" t="str">
        <f>IF(SUMIFS(Sheet2!$E:$E,Sheet2!$C:$C,$A144,Sheet2!$A:$A,Z$2)&lt;&gt;0,SUMIFS(Sheet2!$E:$E,Sheet2!$C:$C,$A144,Sheet2!$A:$A,Z$2),"")</f>
        <v/>
      </c>
      <c r="AA144" s="42" t="str">
        <f>IF(SUMIFS(Sheet2!$E:$E,Sheet2!$C:$C,$A144,Sheet2!$A:$A,AA$2)&lt;&gt;0,SUMIFS(Sheet2!$E:$E,Sheet2!$C:$C,$A144,Sheet2!$A:$A,AA$2),"")</f>
        <v/>
      </c>
      <c r="AB144" s="42" t="str">
        <f>IF(SUMIFS(Sheet2!$E:$E,Sheet2!$C:$C,$A144,Sheet2!$A:$A,AB$2)&lt;&gt;0,SUMIFS(Sheet2!$E:$E,Sheet2!$C:$C,$A144,Sheet2!$A:$A,AB$2),"")</f>
        <v/>
      </c>
      <c r="AC144" s="42" t="str">
        <f>IF(SUMIFS(Sheet2!$E:$E,Sheet2!$C:$C,$A144,Sheet2!$A:$A,AC$2)&lt;&gt;0,SUMIFS(Sheet2!$E:$E,Sheet2!$C:$C,$A144,Sheet2!$A:$A,AC$2),"")</f>
        <v/>
      </c>
      <c r="AD144" s="42" t="str">
        <f>IF(SUMIFS(Sheet2!$E:$E,Sheet2!$C:$C,$A144,Sheet2!$A:$A,AD$2)&lt;&gt;0,SUMIFS(Sheet2!$E:$E,Sheet2!$C:$C,$A144,Sheet2!$A:$A,AD$2),"")</f>
        <v/>
      </c>
      <c r="AE144" s="42" t="str">
        <f>IF(SUMIFS(Sheet2!$E:$E,Sheet2!$C:$C,$A144,Sheet2!$A:$A,AE$2)&lt;&gt;0,SUMIFS(Sheet2!$E:$E,Sheet2!$C:$C,$A144,Sheet2!$A:$A,AE$2),"")</f>
        <v/>
      </c>
      <c r="AF144" s="42" t="str">
        <f>IF(SUMIFS(Sheet2!$E:$E,Sheet2!$C:$C,$A144,Sheet2!$A:$A,AF$2)&lt;&gt;0,SUMIFS(Sheet2!$E:$E,Sheet2!$C:$C,$A144,Sheet2!$A:$A,AF$2),"")</f>
        <v/>
      </c>
      <c r="AG144" s="42" t="str">
        <f>IF(SUMIFS(Sheet2!$E:$E,Sheet2!$C:$C,$A144,Sheet2!$A:$A,AG$2)&lt;&gt;0,SUMIFS(Sheet2!$E:$E,Sheet2!$C:$C,$A144,Sheet2!$A:$A,AG$2),"")</f>
        <v/>
      </c>
      <c r="AH144" s="43">
        <f>SUM(Table2[[#This Row],[1]:[31]])</f>
        <v>0</v>
      </c>
    </row>
    <row r="145" spans="1:34" ht="12.75" customHeight="1">
      <c r="A145" s="76" t="str">
        <f>DSSP!A144</f>
        <v>DS14</v>
      </c>
      <c r="B145" s="25" t="str">
        <f>DSSP!B144</f>
        <v>Đất sét hoa quả thanh</v>
      </c>
      <c r="C145" s="42" t="str">
        <f>IF(SUMIFS(Sheet2!$E:$E,Sheet2!$C:$C,$A145,Sheet2!$A:$A,C$2)&lt;&gt;0,SUMIFS(Sheet2!$E:$E,Sheet2!$C:$C,$A145,Sheet2!$A:$A,C$2),"")</f>
        <v/>
      </c>
      <c r="D145" s="42" t="str">
        <f>IF(SUMIFS(Sheet2!$E:$E,Sheet2!$C:$C,$A145,Sheet2!$A:$A,D$2)&lt;&gt;0,SUMIFS(Sheet2!$E:$E,Sheet2!$C:$C,$A145,Sheet2!$A:$A,D$2),"")</f>
        <v/>
      </c>
      <c r="E145" s="42" t="str">
        <f>IF(SUMIFS(Sheet2!$E:$E,Sheet2!$C:$C,$A145,Sheet2!$A:$A,E$2)&lt;&gt;0,SUMIFS(Sheet2!$E:$E,Sheet2!$C:$C,$A145,Sheet2!$A:$A,E$2),"")</f>
        <v/>
      </c>
      <c r="F145" s="42" t="str">
        <f>IF(SUMIFS(Sheet2!$E:$E,Sheet2!$C:$C,$A145,Sheet2!$A:$A,F$2)&lt;&gt;0,SUMIFS(Sheet2!$E:$E,Sheet2!$C:$C,$A145,Sheet2!$A:$A,F$2),"")</f>
        <v/>
      </c>
      <c r="G145" s="42" t="str">
        <f>IF(SUMIFS(Sheet2!$E:$E,Sheet2!$C:$C,$A145,Sheet2!$A:$A,G$2)&lt;&gt;0,SUMIFS(Sheet2!$E:$E,Sheet2!$C:$C,$A145,Sheet2!$A:$A,G$2),"")</f>
        <v/>
      </c>
      <c r="H145" s="42" t="str">
        <f>IF(SUMIFS(Sheet2!$E:$E,Sheet2!$C:$C,$A145,Sheet2!$A:$A,H$2)&lt;&gt;0,SUMIFS(Sheet2!$E:$E,Sheet2!$C:$C,$A145,Sheet2!$A:$A,H$2),"")</f>
        <v/>
      </c>
      <c r="I145" s="42" t="str">
        <f>IF(SUMIFS(Sheet2!$E:$E,Sheet2!$C:$C,$A145,Sheet2!$A:$A,I$2)&lt;&gt;0,SUMIFS(Sheet2!$E:$E,Sheet2!$C:$C,$A145,Sheet2!$A:$A,I$2),"")</f>
        <v/>
      </c>
      <c r="J145" s="42" t="str">
        <f>IF(SUMIFS(Sheet2!$E:$E,Sheet2!$C:$C,$A145,Sheet2!$A:$A,J$2)&lt;&gt;0,SUMIFS(Sheet2!$E:$E,Sheet2!$C:$C,$A145,Sheet2!$A:$A,J$2),"")</f>
        <v/>
      </c>
      <c r="K145" s="42" t="str">
        <f>IF(SUMIFS(Sheet2!$E:$E,Sheet2!$C:$C,$A145,Sheet2!$A:$A,K$2)&lt;&gt;0,SUMIFS(Sheet2!$E:$E,Sheet2!$C:$C,$A145,Sheet2!$A:$A,K$2),"")</f>
        <v/>
      </c>
      <c r="L145" s="42" t="str">
        <f>IF(SUMIFS(Sheet2!$E:$E,Sheet2!$C:$C,$A145,Sheet2!$A:$A,L$2)&lt;&gt;0,SUMIFS(Sheet2!$E:$E,Sheet2!$C:$C,$A145,Sheet2!$A:$A,L$2),"")</f>
        <v/>
      </c>
      <c r="M145" s="42" t="str">
        <f>IF(SUMIFS(Sheet2!$E:$E,Sheet2!$C:$C,$A145,Sheet2!$A:$A,M$2)&lt;&gt;0,SUMIFS(Sheet2!$E:$E,Sheet2!$C:$C,$A145,Sheet2!$A:$A,M$2),"")</f>
        <v/>
      </c>
      <c r="N145" s="42" t="str">
        <f>IF(SUMIFS(Sheet2!$E:$E,Sheet2!$C:$C,$A145,Sheet2!$A:$A,N$2)&lt;&gt;0,SUMIFS(Sheet2!$E:$E,Sheet2!$C:$C,$A145,Sheet2!$A:$A,N$2),"")</f>
        <v/>
      </c>
      <c r="O145" s="42" t="str">
        <f>IF(SUMIFS(Sheet2!$E:$E,Sheet2!$C:$C,$A145,Sheet2!$A:$A,O$2)&lt;&gt;0,SUMIFS(Sheet2!$E:$E,Sheet2!$C:$C,$A145,Sheet2!$A:$A,O$2),"")</f>
        <v/>
      </c>
      <c r="P145" s="42" t="str">
        <f>IF(SUMIFS(Sheet2!$E:$E,Sheet2!$C:$C,$A145,Sheet2!$A:$A,P$2)&lt;&gt;0,SUMIFS(Sheet2!$E:$E,Sheet2!$C:$C,$A145,Sheet2!$A:$A,P$2),"")</f>
        <v/>
      </c>
      <c r="Q145" s="42" t="str">
        <f>IF(SUMIFS(Sheet2!$E:$E,Sheet2!$C:$C,$A145,Sheet2!$A:$A,Q$2)&lt;&gt;0,SUMIFS(Sheet2!$E:$E,Sheet2!$C:$C,$A145,Sheet2!$A:$A,Q$2),"")</f>
        <v/>
      </c>
      <c r="R145" s="42" t="str">
        <f>IF(SUMIFS(Sheet2!$E:$E,Sheet2!$C:$C,$A145,Sheet2!$A:$A,R$2)&lt;&gt;0,SUMIFS(Sheet2!$E:$E,Sheet2!$C:$C,$A145,Sheet2!$A:$A,R$2),"")</f>
        <v/>
      </c>
      <c r="S145" s="42" t="str">
        <f>IF(SUMIFS(Sheet2!$E:$E,Sheet2!$C:$C,$A145,Sheet2!$A:$A,S$2)&lt;&gt;0,SUMIFS(Sheet2!$E:$E,Sheet2!$C:$C,$A145,Sheet2!$A:$A,S$2),"")</f>
        <v/>
      </c>
      <c r="T145" s="42" t="str">
        <f>IF(SUMIFS(Sheet2!$E:$E,Sheet2!$C:$C,$A145,Sheet2!$A:$A,T$2)&lt;&gt;0,SUMIFS(Sheet2!$E:$E,Sheet2!$C:$C,$A145,Sheet2!$A:$A,T$2),"")</f>
        <v/>
      </c>
      <c r="U145" s="42" t="str">
        <f>IF(SUMIFS(Sheet2!$E:$E,Sheet2!$C:$C,$A145,Sheet2!$A:$A,U$2)&lt;&gt;0,SUMIFS(Sheet2!$E:$E,Sheet2!$C:$C,$A145,Sheet2!$A:$A,U$2),"")</f>
        <v/>
      </c>
      <c r="V145" s="42" t="str">
        <f>IF(SUMIFS(Sheet2!$E:$E,Sheet2!$C:$C,$A145,Sheet2!$A:$A,V$2)&lt;&gt;0,SUMIFS(Sheet2!$E:$E,Sheet2!$C:$C,$A145,Sheet2!$A:$A,V$2),"")</f>
        <v/>
      </c>
      <c r="W145" s="42" t="str">
        <f>IF(SUMIFS(Sheet2!$E:$E,Sheet2!$C:$C,$A145,Sheet2!$A:$A,W$2)&lt;&gt;0,SUMIFS(Sheet2!$E:$E,Sheet2!$C:$C,$A145,Sheet2!$A:$A,W$2),"")</f>
        <v/>
      </c>
      <c r="X145" s="42" t="str">
        <f>IF(SUMIFS(Sheet2!$E:$E,Sheet2!$C:$C,$A145,Sheet2!$A:$A,X$2)&lt;&gt;0,SUMIFS(Sheet2!$E:$E,Sheet2!$C:$C,$A145,Sheet2!$A:$A,X$2),"")</f>
        <v/>
      </c>
      <c r="Y145" s="42" t="str">
        <f>IF(SUMIFS(Sheet2!$E:$E,Sheet2!$C:$C,$A145,Sheet2!$A:$A,Y$2)&lt;&gt;0,SUMIFS(Sheet2!$E:$E,Sheet2!$C:$C,$A145,Sheet2!$A:$A,Y$2),"")</f>
        <v/>
      </c>
      <c r="Z145" s="42" t="str">
        <f>IF(SUMIFS(Sheet2!$E:$E,Sheet2!$C:$C,$A145,Sheet2!$A:$A,Z$2)&lt;&gt;0,SUMIFS(Sheet2!$E:$E,Sheet2!$C:$C,$A145,Sheet2!$A:$A,Z$2),"")</f>
        <v/>
      </c>
      <c r="AA145" s="42" t="str">
        <f>IF(SUMIFS(Sheet2!$E:$E,Sheet2!$C:$C,$A145,Sheet2!$A:$A,AA$2)&lt;&gt;0,SUMIFS(Sheet2!$E:$E,Sheet2!$C:$C,$A145,Sheet2!$A:$A,AA$2),"")</f>
        <v/>
      </c>
      <c r="AB145" s="42" t="str">
        <f>IF(SUMIFS(Sheet2!$E:$E,Sheet2!$C:$C,$A145,Sheet2!$A:$A,AB$2)&lt;&gt;0,SUMIFS(Sheet2!$E:$E,Sheet2!$C:$C,$A145,Sheet2!$A:$A,AB$2),"")</f>
        <v/>
      </c>
      <c r="AC145" s="42" t="str">
        <f>IF(SUMIFS(Sheet2!$E:$E,Sheet2!$C:$C,$A145,Sheet2!$A:$A,AC$2)&lt;&gt;0,SUMIFS(Sheet2!$E:$E,Sheet2!$C:$C,$A145,Sheet2!$A:$A,AC$2),"")</f>
        <v/>
      </c>
      <c r="AD145" s="42" t="str">
        <f>IF(SUMIFS(Sheet2!$E:$E,Sheet2!$C:$C,$A145,Sheet2!$A:$A,AD$2)&lt;&gt;0,SUMIFS(Sheet2!$E:$E,Sheet2!$C:$C,$A145,Sheet2!$A:$A,AD$2),"")</f>
        <v/>
      </c>
      <c r="AE145" s="42" t="str">
        <f>IF(SUMIFS(Sheet2!$E:$E,Sheet2!$C:$C,$A145,Sheet2!$A:$A,AE$2)&lt;&gt;0,SUMIFS(Sheet2!$E:$E,Sheet2!$C:$C,$A145,Sheet2!$A:$A,AE$2),"")</f>
        <v/>
      </c>
      <c r="AF145" s="42" t="str">
        <f>IF(SUMIFS(Sheet2!$E:$E,Sheet2!$C:$C,$A145,Sheet2!$A:$A,AF$2)&lt;&gt;0,SUMIFS(Sheet2!$E:$E,Sheet2!$C:$C,$A145,Sheet2!$A:$A,AF$2),"")</f>
        <v/>
      </c>
      <c r="AG145" s="42" t="str">
        <f>IF(SUMIFS(Sheet2!$E:$E,Sheet2!$C:$C,$A145,Sheet2!$A:$A,AG$2)&lt;&gt;0,SUMIFS(Sheet2!$E:$E,Sheet2!$C:$C,$A145,Sheet2!$A:$A,AG$2),"")</f>
        <v/>
      </c>
      <c r="AH145" s="43">
        <f>SUM(Table2[[#This Row],[1]:[31]])</f>
        <v>0</v>
      </c>
    </row>
    <row r="146" spans="1:34" ht="12.75" customHeight="1">
      <c r="A146" s="76" t="str">
        <f>DSSP!A145</f>
        <v>DS15</v>
      </c>
      <c r="B146" s="25" t="str">
        <f>DSSP!B145</f>
        <v>Lọ thủy tinh</v>
      </c>
      <c r="C146" s="42" t="str">
        <f>IF(SUMIFS(Sheet2!$E:$E,Sheet2!$C:$C,$A146,Sheet2!$A:$A,C$2)&lt;&gt;0,SUMIFS(Sheet2!$E:$E,Sheet2!$C:$C,$A146,Sheet2!$A:$A,C$2),"")</f>
        <v/>
      </c>
      <c r="D146" s="42" t="str">
        <f>IF(SUMIFS(Sheet2!$E:$E,Sheet2!$C:$C,$A146,Sheet2!$A:$A,D$2)&lt;&gt;0,SUMIFS(Sheet2!$E:$E,Sheet2!$C:$C,$A146,Sheet2!$A:$A,D$2),"")</f>
        <v/>
      </c>
      <c r="E146" s="42" t="str">
        <f>IF(SUMIFS(Sheet2!$E:$E,Sheet2!$C:$C,$A146,Sheet2!$A:$A,E$2)&lt;&gt;0,SUMIFS(Sheet2!$E:$E,Sheet2!$C:$C,$A146,Sheet2!$A:$A,E$2),"")</f>
        <v/>
      </c>
      <c r="F146" s="42" t="str">
        <f>IF(SUMIFS(Sheet2!$E:$E,Sheet2!$C:$C,$A146,Sheet2!$A:$A,F$2)&lt;&gt;0,SUMIFS(Sheet2!$E:$E,Sheet2!$C:$C,$A146,Sheet2!$A:$A,F$2),"")</f>
        <v/>
      </c>
      <c r="G146" s="42" t="str">
        <f>IF(SUMIFS(Sheet2!$E:$E,Sheet2!$C:$C,$A146,Sheet2!$A:$A,G$2)&lt;&gt;0,SUMIFS(Sheet2!$E:$E,Sheet2!$C:$C,$A146,Sheet2!$A:$A,G$2),"")</f>
        <v/>
      </c>
      <c r="H146" s="42" t="str">
        <f>IF(SUMIFS(Sheet2!$E:$E,Sheet2!$C:$C,$A146,Sheet2!$A:$A,H$2)&lt;&gt;0,SUMIFS(Sheet2!$E:$E,Sheet2!$C:$C,$A146,Sheet2!$A:$A,H$2),"")</f>
        <v/>
      </c>
      <c r="I146" s="42" t="str">
        <f>IF(SUMIFS(Sheet2!$E:$E,Sheet2!$C:$C,$A146,Sheet2!$A:$A,I$2)&lt;&gt;0,SUMIFS(Sheet2!$E:$E,Sheet2!$C:$C,$A146,Sheet2!$A:$A,I$2),"")</f>
        <v/>
      </c>
      <c r="J146" s="42" t="str">
        <f>IF(SUMIFS(Sheet2!$E:$E,Sheet2!$C:$C,$A146,Sheet2!$A:$A,J$2)&lt;&gt;0,SUMIFS(Sheet2!$E:$E,Sheet2!$C:$C,$A146,Sheet2!$A:$A,J$2),"")</f>
        <v/>
      </c>
      <c r="K146" s="42" t="str">
        <f>IF(SUMIFS(Sheet2!$E:$E,Sheet2!$C:$C,$A146,Sheet2!$A:$A,K$2)&lt;&gt;0,SUMIFS(Sheet2!$E:$E,Sheet2!$C:$C,$A146,Sheet2!$A:$A,K$2),"")</f>
        <v/>
      </c>
      <c r="L146" s="42" t="str">
        <f>IF(SUMIFS(Sheet2!$E:$E,Sheet2!$C:$C,$A146,Sheet2!$A:$A,L$2)&lt;&gt;0,SUMIFS(Sheet2!$E:$E,Sheet2!$C:$C,$A146,Sheet2!$A:$A,L$2),"")</f>
        <v/>
      </c>
      <c r="M146" s="42" t="str">
        <f>IF(SUMIFS(Sheet2!$E:$E,Sheet2!$C:$C,$A146,Sheet2!$A:$A,M$2)&lt;&gt;0,SUMIFS(Sheet2!$E:$E,Sheet2!$C:$C,$A146,Sheet2!$A:$A,M$2),"")</f>
        <v/>
      </c>
      <c r="N146" s="42" t="str">
        <f>IF(SUMIFS(Sheet2!$E:$E,Sheet2!$C:$C,$A146,Sheet2!$A:$A,N$2)&lt;&gt;0,SUMIFS(Sheet2!$E:$E,Sheet2!$C:$C,$A146,Sheet2!$A:$A,N$2),"")</f>
        <v/>
      </c>
      <c r="O146" s="42" t="str">
        <f>IF(SUMIFS(Sheet2!$E:$E,Sheet2!$C:$C,$A146,Sheet2!$A:$A,O$2)&lt;&gt;0,SUMIFS(Sheet2!$E:$E,Sheet2!$C:$C,$A146,Sheet2!$A:$A,O$2),"")</f>
        <v/>
      </c>
      <c r="P146" s="42" t="str">
        <f>IF(SUMIFS(Sheet2!$E:$E,Sheet2!$C:$C,$A146,Sheet2!$A:$A,P$2)&lt;&gt;0,SUMIFS(Sheet2!$E:$E,Sheet2!$C:$C,$A146,Sheet2!$A:$A,P$2),"")</f>
        <v/>
      </c>
      <c r="Q146" s="42" t="str">
        <f>IF(SUMIFS(Sheet2!$E:$E,Sheet2!$C:$C,$A146,Sheet2!$A:$A,Q$2)&lt;&gt;0,SUMIFS(Sheet2!$E:$E,Sheet2!$C:$C,$A146,Sheet2!$A:$A,Q$2),"")</f>
        <v/>
      </c>
      <c r="R146" s="42" t="str">
        <f>IF(SUMIFS(Sheet2!$E:$E,Sheet2!$C:$C,$A146,Sheet2!$A:$A,R$2)&lt;&gt;0,SUMIFS(Sheet2!$E:$E,Sheet2!$C:$C,$A146,Sheet2!$A:$A,R$2),"")</f>
        <v/>
      </c>
      <c r="S146" s="42" t="str">
        <f>IF(SUMIFS(Sheet2!$E:$E,Sheet2!$C:$C,$A146,Sheet2!$A:$A,S$2)&lt;&gt;0,SUMIFS(Sheet2!$E:$E,Sheet2!$C:$C,$A146,Sheet2!$A:$A,S$2),"")</f>
        <v/>
      </c>
      <c r="T146" s="42" t="str">
        <f>IF(SUMIFS(Sheet2!$E:$E,Sheet2!$C:$C,$A146,Sheet2!$A:$A,T$2)&lt;&gt;0,SUMIFS(Sheet2!$E:$E,Sheet2!$C:$C,$A146,Sheet2!$A:$A,T$2),"")</f>
        <v/>
      </c>
      <c r="U146" s="42" t="str">
        <f>IF(SUMIFS(Sheet2!$E:$E,Sheet2!$C:$C,$A146,Sheet2!$A:$A,U$2)&lt;&gt;0,SUMIFS(Sheet2!$E:$E,Sheet2!$C:$C,$A146,Sheet2!$A:$A,U$2),"")</f>
        <v/>
      </c>
      <c r="V146" s="42" t="str">
        <f>IF(SUMIFS(Sheet2!$E:$E,Sheet2!$C:$C,$A146,Sheet2!$A:$A,V$2)&lt;&gt;0,SUMIFS(Sheet2!$E:$E,Sheet2!$C:$C,$A146,Sheet2!$A:$A,V$2),"")</f>
        <v/>
      </c>
      <c r="W146" s="42" t="str">
        <f>IF(SUMIFS(Sheet2!$E:$E,Sheet2!$C:$C,$A146,Sheet2!$A:$A,W$2)&lt;&gt;0,SUMIFS(Sheet2!$E:$E,Sheet2!$C:$C,$A146,Sheet2!$A:$A,W$2),"")</f>
        <v/>
      </c>
      <c r="X146" s="42" t="str">
        <f>IF(SUMIFS(Sheet2!$E:$E,Sheet2!$C:$C,$A146,Sheet2!$A:$A,X$2)&lt;&gt;0,SUMIFS(Sheet2!$E:$E,Sheet2!$C:$C,$A146,Sheet2!$A:$A,X$2),"")</f>
        <v/>
      </c>
      <c r="Y146" s="42" t="str">
        <f>IF(SUMIFS(Sheet2!$E:$E,Sheet2!$C:$C,$A146,Sheet2!$A:$A,Y$2)&lt;&gt;0,SUMIFS(Sheet2!$E:$E,Sheet2!$C:$C,$A146,Sheet2!$A:$A,Y$2),"")</f>
        <v/>
      </c>
      <c r="Z146" s="42" t="str">
        <f>IF(SUMIFS(Sheet2!$E:$E,Sheet2!$C:$C,$A146,Sheet2!$A:$A,Z$2)&lt;&gt;0,SUMIFS(Sheet2!$E:$E,Sheet2!$C:$C,$A146,Sheet2!$A:$A,Z$2),"")</f>
        <v/>
      </c>
      <c r="AA146" s="42" t="str">
        <f>IF(SUMIFS(Sheet2!$E:$E,Sheet2!$C:$C,$A146,Sheet2!$A:$A,AA$2)&lt;&gt;0,SUMIFS(Sheet2!$E:$E,Sheet2!$C:$C,$A146,Sheet2!$A:$A,AA$2),"")</f>
        <v/>
      </c>
      <c r="AB146" s="42" t="str">
        <f>IF(SUMIFS(Sheet2!$E:$E,Sheet2!$C:$C,$A146,Sheet2!$A:$A,AB$2)&lt;&gt;0,SUMIFS(Sheet2!$E:$E,Sheet2!$C:$C,$A146,Sheet2!$A:$A,AB$2),"")</f>
        <v/>
      </c>
      <c r="AC146" s="42" t="str">
        <f>IF(SUMIFS(Sheet2!$E:$E,Sheet2!$C:$C,$A146,Sheet2!$A:$A,AC$2)&lt;&gt;0,SUMIFS(Sheet2!$E:$E,Sheet2!$C:$C,$A146,Sheet2!$A:$A,AC$2),"")</f>
        <v/>
      </c>
      <c r="AD146" s="42" t="str">
        <f>IF(SUMIFS(Sheet2!$E:$E,Sheet2!$C:$C,$A146,Sheet2!$A:$A,AD$2)&lt;&gt;0,SUMIFS(Sheet2!$E:$E,Sheet2!$C:$C,$A146,Sheet2!$A:$A,AD$2),"")</f>
        <v/>
      </c>
      <c r="AE146" s="42" t="str">
        <f>IF(SUMIFS(Sheet2!$E:$E,Sheet2!$C:$C,$A146,Sheet2!$A:$A,AE$2)&lt;&gt;0,SUMIFS(Sheet2!$E:$E,Sheet2!$C:$C,$A146,Sheet2!$A:$A,AE$2),"")</f>
        <v/>
      </c>
      <c r="AF146" s="42" t="str">
        <f>IF(SUMIFS(Sheet2!$E:$E,Sheet2!$C:$C,$A146,Sheet2!$A:$A,AF$2)&lt;&gt;0,SUMIFS(Sheet2!$E:$E,Sheet2!$C:$C,$A146,Sheet2!$A:$A,AF$2),"")</f>
        <v/>
      </c>
      <c r="AG146" s="42" t="str">
        <f>IF(SUMIFS(Sheet2!$E:$E,Sheet2!$C:$C,$A146,Sheet2!$A:$A,AG$2)&lt;&gt;0,SUMIFS(Sheet2!$E:$E,Sheet2!$C:$C,$A146,Sheet2!$A:$A,AG$2),"")</f>
        <v/>
      </c>
      <c r="AH146" s="43">
        <f>SUM(Table2[[#This Row],[1]:[31]])</f>
        <v>0</v>
      </c>
    </row>
    <row r="147" spans="1:34" ht="12.75" customHeight="1">
      <c r="A147" s="76" t="str">
        <f>DSSP!A146</f>
        <v>DS16</v>
      </c>
      <c r="B147" s="25" t="str">
        <f>DSSP!B146</f>
        <v>Combo classic</v>
      </c>
      <c r="C147" s="42" t="str">
        <f>IF(SUMIFS(Sheet2!$E:$E,Sheet2!$C:$C,$A147,Sheet2!$A:$A,C$2)&lt;&gt;0,SUMIFS(Sheet2!$E:$E,Sheet2!$C:$C,$A147,Sheet2!$A:$A,C$2),"")</f>
        <v/>
      </c>
      <c r="D147" s="42" t="str">
        <f>IF(SUMIFS(Sheet2!$E:$E,Sheet2!$C:$C,$A147,Sheet2!$A:$A,D$2)&lt;&gt;0,SUMIFS(Sheet2!$E:$E,Sheet2!$C:$C,$A147,Sheet2!$A:$A,D$2),"")</f>
        <v/>
      </c>
      <c r="E147" s="42" t="str">
        <f>IF(SUMIFS(Sheet2!$E:$E,Sheet2!$C:$C,$A147,Sheet2!$A:$A,E$2)&lt;&gt;0,SUMIFS(Sheet2!$E:$E,Sheet2!$C:$C,$A147,Sheet2!$A:$A,E$2),"")</f>
        <v/>
      </c>
      <c r="F147" s="42" t="str">
        <f>IF(SUMIFS(Sheet2!$E:$E,Sheet2!$C:$C,$A147,Sheet2!$A:$A,F$2)&lt;&gt;0,SUMIFS(Sheet2!$E:$E,Sheet2!$C:$C,$A147,Sheet2!$A:$A,F$2),"")</f>
        <v/>
      </c>
      <c r="G147" s="42" t="str">
        <f>IF(SUMIFS(Sheet2!$E:$E,Sheet2!$C:$C,$A147,Sheet2!$A:$A,G$2)&lt;&gt;0,SUMIFS(Sheet2!$E:$E,Sheet2!$C:$C,$A147,Sheet2!$A:$A,G$2),"")</f>
        <v/>
      </c>
      <c r="H147" s="42" t="str">
        <f>IF(SUMIFS(Sheet2!$E:$E,Sheet2!$C:$C,$A147,Sheet2!$A:$A,H$2)&lt;&gt;0,SUMIFS(Sheet2!$E:$E,Sheet2!$C:$C,$A147,Sheet2!$A:$A,H$2),"")</f>
        <v/>
      </c>
      <c r="I147" s="42" t="str">
        <f>IF(SUMIFS(Sheet2!$E:$E,Sheet2!$C:$C,$A147,Sheet2!$A:$A,I$2)&lt;&gt;0,SUMIFS(Sheet2!$E:$E,Sheet2!$C:$C,$A147,Sheet2!$A:$A,I$2),"")</f>
        <v/>
      </c>
      <c r="J147" s="42" t="str">
        <f>IF(SUMIFS(Sheet2!$E:$E,Sheet2!$C:$C,$A147,Sheet2!$A:$A,J$2)&lt;&gt;0,SUMIFS(Sheet2!$E:$E,Sheet2!$C:$C,$A147,Sheet2!$A:$A,J$2),"")</f>
        <v/>
      </c>
      <c r="K147" s="42" t="str">
        <f>IF(SUMIFS(Sheet2!$E:$E,Sheet2!$C:$C,$A147,Sheet2!$A:$A,K$2)&lt;&gt;0,SUMIFS(Sheet2!$E:$E,Sheet2!$C:$C,$A147,Sheet2!$A:$A,K$2),"")</f>
        <v/>
      </c>
      <c r="L147" s="42" t="str">
        <f>IF(SUMIFS(Sheet2!$E:$E,Sheet2!$C:$C,$A147,Sheet2!$A:$A,L$2)&lt;&gt;0,SUMIFS(Sheet2!$E:$E,Sheet2!$C:$C,$A147,Sheet2!$A:$A,L$2),"")</f>
        <v/>
      </c>
      <c r="M147" s="42" t="str">
        <f>IF(SUMIFS(Sheet2!$E:$E,Sheet2!$C:$C,$A147,Sheet2!$A:$A,M$2)&lt;&gt;0,SUMIFS(Sheet2!$E:$E,Sheet2!$C:$C,$A147,Sheet2!$A:$A,M$2),"")</f>
        <v/>
      </c>
      <c r="N147" s="42" t="str">
        <f>IF(SUMIFS(Sheet2!$E:$E,Sheet2!$C:$C,$A147,Sheet2!$A:$A,N$2)&lt;&gt;0,SUMIFS(Sheet2!$E:$E,Sheet2!$C:$C,$A147,Sheet2!$A:$A,N$2),"")</f>
        <v/>
      </c>
      <c r="O147" s="42" t="str">
        <f>IF(SUMIFS(Sheet2!$E:$E,Sheet2!$C:$C,$A147,Sheet2!$A:$A,O$2)&lt;&gt;0,SUMIFS(Sheet2!$E:$E,Sheet2!$C:$C,$A147,Sheet2!$A:$A,O$2),"")</f>
        <v/>
      </c>
      <c r="P147" s="42" t="str">
        <f>IF(SUMIFS(Sheet2!$E:$E,Sheet2!$C:$C,$A147,Sheet2!$A:$A,P$2)&lt;&gt;0,SUMIFS(Sheet2!$E:$E,Sheet2!$C:$C,$A147,Sheet2!$A:$A,P$2),"")</f>
        <v/>
      </c>
      <c r="Q147" s="42" t="str">
        <f>IF(SUMIFS(Sheet2!$E:$E,Sheet2!$C:$C,$A147,Sheet2!$A:$A,Q$2)&lt;&gt;0,SUMIFS(Sheet2!$E:$E,Sheet2!$C:$C,$A147,Sheet2!$A:$A,Q$2),"")</f>
        <v/>
      </c>
      <c r="R147" s="42" t="str">
        <f>IF(SUMIFS(Sheet2!$E:$E,Sheet2!$C:$C,$A147,Sheet2!$A:$A,R$2)&lt;&gt;0,SUMIFS(Sheet2!$E:$E,Sheet2!$C:$C,$A147,Sheet2!$A:$A,R$2),"")</f>
        <v/>
      </c>
      <c r="S147" s="42" t="str">
        <f>IF(SUMIFS(Sheet2!$E:$E,Sheet2!$C:$C,$A147,Sheet2!$A:$A,S$2)&lt;&gt;0,SUMIFS(Sheet2!$E:$E,Sheet2!$C:$C,$A147,Sheet2!$A:$A,S$2),"")</f>
        <v/>
      </c>
      <c r="T147" s="42" t="str">
        <f>IF(SUMIFS(Sheet2!$E:$E,Sheet2!$C:$C,$A147,Sheet2!$A:$A,T$2)&lt;&gt;0,SUMIFS(Sheet2!$E:$E,Sheet2!$C:$C,$A147,Sheet2!$A:$A,T$2),"")</f>
        <v/>
      </c>
      <c r="U147" s="42" t="str">
        <f>IF(SUMIFS(Sheet2!$E:$E,Sheet2!$C:$C,$A147,Sheet2!$A:$A,U$2)&lt;&gt;0,SUMIFS(Sheet2!$E:$E,Sheet2!$C:$C,$A147,Sheet2!$A:$A,U$2),"")</f>
        <v/>
      </c>
      <c r="V147" s="42" t="str">
        <f>IF(SUMIFS(Sheet2!$E:$E,Sheet2!$C:$C,$A147,Sheet2!$A:$A,V$2)&lt;&gt;0,SUMIFS(Sheet2!$E:$E,Sheet2!$C:$C,$A147,Sheet2!$A:$A,V$2),"")</f>
        <v/>
      </c>
      <c r="W147" s="42" t="str">
        <f>IF(SUMIFS(Sheet2!$E:$E,Sheet2!$C:$C,$A147,Sheet2!$A:$A,W$2)&lt;&gt;0,SUMIFS(Sheet2!$E:$E,Sheet2!$C:$C,$A147,Sheet2!$A:$A,W$2),"")</f>
        <v/>
      </c>
      <c r="X147" s="42" t="str">
        <f>IF(SUMIFS(Sheet2!$E:$E,Sheet2!$C:$C,$A147,Sheet2!$A:$A,X$2)&lt;&gt;0,SUMIFS(Sheet2!$E:$E,Sheet2!$C:$C,$A147,Sheet2!$A:$A,X$2),"")</f>
        <v/>
      </c>
      <c r="Y147" s="42" t="str">
        <f>IF(SUMIFS(Sheet2!$E:$E,Sheet2!$C:$C,$A147,Sheet2!$A:$A,Y$2)&lt;&gt;0,SUMIFS(Sheet2!$E:$E,Sheet2!$C:$C,$A147,Sheet2!$A:$A,Y$2),"")</f>
        <v/>
      </c>
      <c r="Z147" s="42" t="str">
        <f>IF(SUMIFS(Sheet2!$E:$E,Sheet2!$C:$C,$A147,Sheet2!$A:$A,Z$2)&lt;&gt;0,SUMIFS(Sheet2!$E:$E,Sheet2!$C:$C,$A147,Sheet2!$A:$A,Z$2),"")</f>
        <v/>
      </c>
      <c r="AA147" s="42" t="str">
        <f>IF(SUMIFS(Sheet2!$E:$E,Sheet2!$C:$C,$A147,Sheet2!$A:$A,AA$2)&lt;&gt;0,SUMIFS(Sheet2!$E:$E,Sheet2!$C:$C,$A147,Sheet2!$A:$A,AA$2),"")</f>
        <v/>
      </c>
      <c r="AB147" s="42" t="str">
        <f>IF(SUMIFS(Sheet2!$E:$E,Sheet2!$C:$C,$A147,Sheet2!$A:$A,AB$2)&lt;&gt;0,SUMIFS(Sheet2!$E:$E,Sheet2!$C:$C,$A147,Sheet2!$A:$A,AB$2),"")</f>
        <v/>
      </c>
      <c r="AC147" s="42" t="str">
        <f>IF(SUMIFS(Sheet2!$E:$E,Sheet2!$C:$C,$A147,Sheet2!$A:$A,AC$2)&lt;&gt;0,SUMIFS(Sheet2!$E:$E,Sheet2!$C:$C,$A147,Sheet2!$A:$A,AC$2),"")</f>
        <v/>
      </c>
      <c r="AD147" s="42" t="str">
        <f>IF(SUMIFS(Sheet2!$E:$E,Sheet2!$C:$C,$A147,Sheet2!$A:$A,AD$2)&lt;&gt;0,SUMIFS(Sheet2!$E:$E,Sheet2!$C:$C,$A147,Sheet2!$A:$A,AD$2),"")</f>
        <v/>
      </c>
      <c r="AE147" s="42" t="str">
        <f>IF(SUMIFS(Sheet2!$E:$E,Sheet2!$C:$C,$A147,Sheet2!$A:$A,AE$2)&lt;&gt;0,SUMIFS(Sheet2!$E:$E,Sheet2!$C:$C,$A147,Sheet2!$A:$A,AE$2),"")</f>
        <v/>
      </c>
      <c r="AF147" s="42" t="str">
        <f>IF(SUMIFS(Sheet2!$E:$E,Sheet2!$C:$C,$A147,Sheet2!$A:$A,AF$2)&lt;&gt;0,SUMIFS(Sheet2!$E:$E,Sheet2!$C:$C,$A147,Sheet2!$A:$A,AF$2),"")</f>
        <v/>
      </c>
      <c r="AG147" s="42" t="str">
        <f>IF(SUMIFS(Sheet2!$E:$E,Sheet2!$C:$C,$A147,Sheet2!$A:$A,AG$2)&lt;&gt;0,SUMIFS(Sheet2!$E:$E,Sheet2!$C:$C,$A147,Sheet2!$A:$A,AG$2),"")</f>
        <v/>
      </c>
      <c r="AH147" s="43">
        <f>SUM(Table2[[#This Row],[1]:[31]])</f>
        <v>0</v>
      </c>
    </row>
    <row r="148" spans="1:34" ht="12.75" customHeight="1">
      <c r="A148" s="76" t="str">
        <f>DSSP!A147</f>
        <v>DS17</v>
      </c>
      <c r="B148" s="25" t="str">
        <f>DSSP!B147</f>
        <v>Combo bánh</v>
      </c>
      <c r="C148" s="42" t="str">
        <f>IF(SUMIFS(Sheet2!$E:$E,Sheet2!$C:$C,$A148,Sheet2!$A:$A,C$2)&lt;&gt;0,SUMIFS(Sheet2!$E:$E,Sheet2!$C:$C,$A148,Sheet2!$A:$A,C$2),"")</f>
        <v/>
      </c>
      <c r="D148" s="42" t="str">
        <f>IF(SUMIFS(Sheet2!$E:$E,Sheet2!$C:$C,$A148,Sheet2!$A:$A,D$2)&lt;&gt;0,SUMIFS(Sheet2!$E:$E,Sheet2!$C:$C,$A148,Sheet2!$A:$A,D$2),"")</f>
        <v/>
      </c>
      <c r="E148" s="42" t="str">
        <f>IF(SUMIFS(Sheet2!$E:$E,Sheet2!$C:$C,$A148,Sheet2!$A:$A,E$2)&lt;&gt;0,SUMIFS(Sheet2!$E:$E,Sheet2!$C:$C,$A148,Sheet2!$A:$A,E$2),"")</f>
        <v/>
      </c>
      <c r="F148" s="42" t="str">
        <f>IF(SUMIFS(Sheet2!$E:$E,Sheet2!$C:$C,$A148,Sheet2!$A:$A,F$2)&lt;&gt;0,SUMIFS(Sheet2!$E:$E,Sheet2!$C:$C,$A148,Sheet2!$A:$A,F$2),"")</f>
        <v/>
      </c>
      <c r="G148" s="42" t="str">
        <f>IF(SUMIFS(Sheet2!$E:$E,Sheet2!$C:$C,$A148,Sheet2!$A:$A,G$2)&lt;&gt;0,SUMIFS(Sheet2!$E:$E,Sheet2!$C:$C,$A148,Sheet2!$A:$A,G$2),"")</f>
        <v/>
      </c>
      <c r="H148" s="42" t="str">
        <f>IF(SUMIFS(Sheet2!$E:$E,Sheet2!$C:$C,$A148,Sheet2!$A:$A,H$2)&lt;&gt;0,SUMIFS(Sheet2!$E:$E,Sheet2!$C:$C,$A148,Sheet2!$A:$A,H$2),"")</f>
        <v/>
      </c>
      <c r="I148" s="42" t="str">
        <f>IF(SUMIFS(Sheet2!$E:$E,Sheet2!$C:$C,$A148,Sheet2!$A:$A,I$2)&lt;&gt;0,SUMIFS(Sheet2!$E:$E,Sheet2!$C:$C,$A148,Sheet2!$A:$A,I$2),"")</f>
        <v/>
      </c>
      <c r="J148" s="42" t="str">
        <f>IF(SUMIFS(Sheet2!$E:$E,Sheet2!$C:$C,$A148,Sheet2!$A:$A,J$2)&lt;&gt;0,SUMIFS(Sheet2!$E:$E,Sheet2!$C:$C,$A148,Sheet2!$A:$A,J$2),"")</f>
        <v/>
      </c>
      <c r="K148" s="42" t="str">
        <f>IF(SUMIFS(Sheet2!$E:$E,Sheet2!$C:$C,$A148,Sheet2!$A:$A,K$2)&lt;&gt;0,SUMIFS(Sheet2!$E:$E,Sheet2!$C:$C,$A148,Sheet2!$A:$A,K$2),"")</f>
        <v/>
      </c>
      <c r="L148" s="42" t="str">
        <f>IF(SUMIFS(Sheet2!$E:$E,Sheet2!$C:$C,$A148,Sheet2!$A:$A,L$2)&lt;&gt;0,SUMIFS(Sheet2!$E:$E,Sheet2!$C:$C,$A148,Sheet2!$A:$A,L$2),"")</f>
        <v/>
      </c>
      <c r="M148" s="42" t="str">
        <f>IF(SUMIFS(Sheet2!$E:$E,Sheet2!$C:$C,$A148,Sheet2!$A:$A,M$2)&lt;&gt;0,SUMIFS(Sheet2!$E:$E,Sheet2!$C:$C,$A148,Sheet2!$A:$A,M$2),"")</f>
        <v/>
      </c>
      <c r="N148" s="42" t="str">
        <f>IF(SUMIFS(Sheet2!$E:$E,Sheet2!$C:$C,$A148,Sheet2!$A:$A,N$2)&lt;&gt;0,SUMIFS(Sheet2!$E:$E,Sheet2!$C:$C,$A148,Sheet2!$A:$A,N$2),"")</f>
        <v/>
      </c>
      <c r="O148" s="42" t="str">
        <f>IF(SUMIFS(Sheet2!$E:$E,Sheet2!$C:$C,$A148,Sheet2!$A:$A,O$2)&lt;&gt;0,SUMIFS(Sheet2!$E:$E,Sheet2!$C:$C,$A148,Sheet2!$A:$A,O$2),"")</f>
        <v/>
      </c>
      <c r="P148" s="42" t="str">
        <f>IF(SUMIFS(Sheet2!$E:$E,Sheet2!$C:$C,$A148,Sheet2!$A:$A,P$2)&lt;&gt;0,SUMIFS(Sheet2!$E:$E,Sheet2!$C:$C,$A148,Sheet2!$A:$A,P$2),"")</f>
        <v/>
      </c>
      <c r="Q148" s="42" t="str">
        <f>IF(SUMIFS(Sheet2!$E:$E,Sheet2!$C:$C,$A148,Sheet2!$A:$A,Q$2)&lt;&gt;0,SUMIFS(Sheet2!$E:$E,Sheet2!$C:$C,$A148,Sheet2!$A:$A,Q$2),"")</f>
        <v/>
      </c>
      <c r="R148" s="42" t="str">
        <f>IF(SUMIFS(Sheet2!$E:$E,Sheet2!$C:$C,$A148,Sheet2!$A:$A,R$2)&lt;&gt;0,SUMIFS(Sheet2!$E:$E,Sheet2!$C:$C,$A148,Sheet2!$A:$A,R$2),"")</f>
        <v/>
      </c>
      <c r="S148" s="42" t="str">
        <f>IF(SUMIFS(Sheet2!$E:$E,Sheet2!$C:$C,$A148,Sheet2!$A:$A,S$2)&lt;&gt;0,SUMIFS(Sheet2!$E:$E,Sheet2!$C:$C,$A148,Sheet2!$A:$A,S$2),"")</f>
        <v/>
      </c>
      <c r="T148" s="42" t="str">
        <f>IF(SUMIFS(Sheet2!$E:$E,Sheet2!$C:$C,$A148,Sheet2!$A:$A,T$2)&lt;&gt;0,SUMIFS(Sheet2!$E:$E,Sheet2!$C:$C,$A148,Sheet2!$A:$A,T$2),"")</f>
        <v/>
      </c>
      <c r="U148" s="42" t="str">
        <f>IF(SUMIFS(Sheet2!$E:$E,Sheet2!$C:$C,$A148,Sheet2!$A:$A,U$2)&lt;&gt;0,SUMIFS(Sheet2!$E:$E,Sheet2!$C:$C,$A148,Sheet2!$A:$A,U$2),"")</f>
        <v/>
      </c>
      <c r="V148" s="42" t="str">
        <f>IF(SUMIFS(Sheet2!$E:$E,Sheet2!$C:$C,$A148,Sheet2!$A:$A,V$2)&lt;&gt;0,SUMIFS(Sheet2!$E:$E,Sheet2!$C:$C,$A148,Sheet2!$A:$A,V$2),"")</f>
        <v/>
      </c>
      <c r="W148" s="42" t="str">
        <f>IF(SUMIFS(Sheet2!$E:$E,Sheet2!$C:$C,$A148,Sheet2!$A:$A,W$2)&lt;&gt;0,SUMIFS(Sheet2!$E:$E,Sheet2!$C:$C,$A148,Sheet2!$A:$A,W$2),"")</f>
        <v/>
      </c>
      <c r="X148" s="42" t="str">
        <f>IF(SUMIFS(Sheet2!$E:$E,Sheet2!$C:$C,$A148,Sheet2!$A:$A,X$2)&lt;&gt;0,SUMIFS(Sheet2!$E:$E,Sheet2!$C:$C,$A148,Sheet2!$A:$A,X$2),"")</f>
        <v/>
      </c>
      <c r="Y148" s="42" t="str">
        <f>IF(SUMIFS(Sheet2!$E:$E,Sheet2!$C:$C,$A148,Sheet2!$A:$A,Y$2)&lt;&gt;0,SUMIFS(Sheet2!$E:$E,Sheet2!$C:$C,$A148,Sheet2!$A:$A,Y$2),"")</f>
        <v/>
      </c>
      <c r="Z148" s="42" t="str">
        <f>IF(SUMIFS(Sheet2!$E:$E,Sheet2!$C:$C,$A148,Sheet2!$A:$A,Z$2)&lt;&gt;0,SUMIFS(Sheet2!$E:$E,Sheet2!$C:$C,$A148,Sheet2!$A:$A,Z$2),"")</f>
        <v/>
      </c>
      <c r="AA148" s="42" t="str">
        <f>IF(SUMIFS(Sheet2!$E:$E,Sheet2!$C:$C,$A148,Sheet2!$A:$A,AA$2)&lt;&gt;0,SUMIFS(Sheet2!$E:$E,Sheet2!$C:$C,$A148,Sheet2!$A:$A,AA$2),"")</f>
        <v/>
      </c>
      <c r="AB148" s="42" t="str">
        <f>IF(SUMIFS(Sheet2!$E:$E,Sheet2!$C:$C,$A148,Sheet2!$A:$A,AB$2)&lt;&gt;0,SUMIFS(Sheet2!$E:$E,Sheet2!$C:$C,$A148,Sheet2!$A:$A,AB$2),"")</f>
        <v/>
      </c>
      <c r="AC148" s="42" t="str">
        <f>IF(SUMIFS(Sheet2!$E:$E,Sheet2!$C:$C,$A148,Sheet2!$A:$A,AC$2)&lt;&gt;0,SUMIFS(Sheet2!$E:$E,Sheet2!$C:$C,$A148,Sheet2!$A:$A,AC$2),"")</f>
        <v/>
      </c>
      <c r="AD148" s="42" t="str">
        <f>IF(SUMIFS(Sheet2!$E:$E,Sheet2!$C:$C,$A148,Sheet2!$A:$A,AD$2)&lt;&gt;0,SUMIFS(Sheet2!$E:$E,Sheet2!$C:$C,$A148,Sheet2!$A:$A,AD$2),"")</f>
        <v/>
      </c>
      <c r="AE148" s="42" t="str">
        <f>IF(SUMIFS(Sheet2!$E:$E,Sheet2!$C:$C,$A148,Sheet2!$A:$A,AE$2)&lt;&gt;0,SUMIFS(Sheet2!$E:$E,Sheet2!$C:$C,$A148,Sheet2!$A:$A,AE$2),"")</f>
        <v/>
      </c>
      <c r="AF148" s="42" t="str">
        <f>IF(SUMIFS(Sheet2!$E:$E,Sheet2!$C:$C,$A148,Sheet2!$A:$A,AF$2)&lt;&gt;0,SUMIFS(Sheet2!$E:$E,Sheet2!$C:$C,$A148,Sheet2!$A:$A,AF$2),"")</f>
        <v/>
      </c>
      <c r="AG148" s="42" t="str">
        <f>IF(SUMIFS(Sheet2!$E:$E,Sheet2!$C:$C,$A148,Sheet2!$A:$A,AG$2)&lt;&gt;0,SUMIFS(Sheet2!$E:$E,Sheet2!$C:$C,$A148,Sheet2!$A:$A,AG$2),"")</f>
        <v/>
      </c>
      <c r="AH148" s="43">
        <f>SUM(Table2[[#This Row],[1]:[31]])</f>
        <v>0</v>
      </c>
    </row>
    <row r="149" spans="1:34" ht="12.75" customHeight="1">
      <c r="A149" s="76" t="str">
        <f>DSSP!A148</f>
        <v>DS18</v>
      </c>
      <c r="B149" s="25" t="str">
        <f>DSSP!B148</f>
        <v>Tấm phơi</v>
      </c>
      <c r="C149" s="42" t="str">
        <f>IF(SUMIFS(Sheet2!$E:$E,Sheet2!$C:$C,$A149,Sheet2!$A:$A,C$2)&lt;&gt;0,SUMIFS(Sheet2!$E:$E,Sheet2!$C:$C,$A149,Sheet2!$A:$A,C$2),"")</f>
        <v/>
      </c>
      <c r="D149" s="42" t="str">
        <f>IF(SUMIFS(Sheet2!$E:$E,Sheet2!$C:$C,$A149,Sheet2!$A:$A,D$2)&lt;&gt;0,SUMIFS(Sheet2!$E:$E,Sheet2!$C:$C,$A149,Sheet2!$A:$A,D$2),"")</f>
        <v/>
      </c>
      <c r="E149" s="42" t="str">
        <f>IF(SUMIFS(Sheet2!$E:$E,Sheet2!$C:$C,$A149,Sheet2!$A:$A,E$2)&lt;&gt;0,SUMIFS(Sheet2!$E:$E,Sheet2!$C:$C,$A149,Sheet2!$A:$A,E$2),"")</f>
        <v/>
      </c>
      <c r="F149" s="42" t="str">
        <f>IF(SUMIFS(Sheet2!$E:$E,Sheet2!$C:$C,$A149,Sheet2!$A:$A,F$2)&lt;&gt;0,SUMIFS(Sheet2!$E:$E,Sheet2!$C:$C,$A149,Sheet2!$A:$A,F$2),"")</f>
        <v/>
      </c>
      <c r="G149" s="42" t="str">
        <f>IF(SUMIFS(Sheet2!$E:$E,Sheet2!$C:$C,$A149,Sheet2!$A:$A,G$2)&lt;&gt;0,SUMIFS(Sheet2!$E:$E,Sheet2!$C:$C,$A149,Sheet2!$A:$A,G$2),"")</f>
        <v/>
      </c>
      <c r="H149" s="42" t="str">
        <f>IF(SUMIFS(Sheet2!$E:$E,Sheet2!$C:$C,$A149,Sheet2!$A:$A,H$2)&lt;&gt;0,SUMIFS(Sheet2!$E:$E,Sheet2!$C:$C,$A149,Sheet2!$A:$A,H$2),"")</f>
        <v/>
      </c>
      <c r="I149" s="42" t="str">
        <f>IF(SUMIFS(Sheet2!$E:$E,Sheet2!$C:$C,$A149,Sheet2!$A:$A,I$2)&lt;&gt;0,SUMIFS(Sheet2!$E:$E,Sheet2!$C:$C,$A149,Sheet2!$A:$A,I$2),"")</f>
        <v/>
      </c>
      <c r="J149" s="42" t="str">
        <f>IF(SUMIFS(Sheet2!$E:$E,Sheet2!$C:$C,$A149,Sheet2!$A:$A,J$2)&lt;&gt;0,SUMIFS(Sheet2!$E:$E,Sheet2!$C:$C,$A149,Sheet2!$A:$A,J$2),"")</f>
        <v/>
      </c>
      <c r="K149" s="42" t="str">
        <f>IF(SUMIFS(Sheet2!$E:$E,Sheet2!$C:$C,$A149,Sheet2!$A:$A,K$2)&lt;&gt;0,SUMIFS(Sheet2!$E:$E,Sheet2!$C:$C,$A149,Sheet2!$A:$A,K$2),"")</f>
        <v/>
      </c>
      <c r="L149" s="42" t="str">
        <f>IF(SUMIFS(Sheet2!$E:$E,Sheet2!$C:$C,$A149,Sheet2!$A:$A,L$2)&lt;&gt;0,SUMIFS(Sheet2!$E:$E,Sheet2!$C:$C,$A149,Sheet2!$A:$A,L$2),"")</f>
        <v/>
      </c>
      <c r="M149" s="42" t="str">
        <f>IF(SUMIFS(Sheet2!$E:$E,Sheet2!$C:$C,$A149,Sheet2!$A:$A,M$2)&lt;&gt;0,SUMIFS(Sheet2!$E:$E,Sheet2!$C:$C,$A149,Sheet2!$A:$A,M$2),"")</f>
        <v/>
      </c>
      <c r="N149" s="42" t="str">
        <f>IF(SUMIFS(Sheet2!$E:$E,Sheet2!$C:$C,$A149,Sheet2!$A:$A,N$2)&lt;&gt;0,SUMIFS(Sheet2!$E:$E,Sheet2!$C:$C,$A149,Sheet2!$A:$A,N$2),"")</f>
        <v/>
      </c>
      <c r="O149" s="42" t="str">
        <f>IF(SUMIFS(Sheet2!$E:$E,Sheet2!$C:$C,$A149,Sheet2!$A:$A,O$2)&lt;&gt;0,SUMIFS(Sheet2!$E:$E,Sheet2!$C:$C,$A149,Sheet2!$A:$A,O$2),"")</f>
        <v/>
      </c>
      <c r="P149" s="42" t="str">
        <f>IF(SUMIFS(Sheet2!$E:$E,Sheet2!$C:$C,$A149,Sheet2!$A:$A,P$2)&lt;&gt;0,SUMIFS(Sheet2!$E:$E,Sheet2!$C:$C,$A149,Sheet2!$A:$A,P$2),"")</f>
        <v/>
      </c>
      <c r="Q149" s="42" t="str">
        <f>IF(SUMIFS(Sheet2!$E:$E,Sheet2!$C:$C,$A149,Sheet2!$A:$A,Q$2)&lt;&gt;0,SUMIFS(Sheet2!$E:$E,Sheet2!$C:$C,$A149,Sheet2!$A:$A,Q$2),"")</f>
        <v/>
      </c>
      <c r="R149" s="42" t="str">
        <f>IF(SUMIFS(Sheet2!$E:$E,Sheet2!$C:$C,$A149,Sheet2!$A:$A,R$2)&lt;&gt;0,SUMIFS(Sheet2!$E:$E,Sheet2!$C:$C,$A149,Sheet2!$A:$A,R$2),"")</f>
        <v/>
      </c>
      <c r="S149" s="42" t="str">
        <f>IF(SUMIFS(Sheet2!$E:$E,Sheet2!$C:$C,$A149,Sheet2!$A:$A,S$2)&lt;&gt;0,SUMIFS(Sheet2!$E:$E,Sheet2!$C:$C,$A149,Sheet2!$A:$A,S$2),"")</f>
        <v/>
      </c>
      <c r="T149" s="42" t="str">
        <f>IF(SUMIFS(Sheet2!$E:$E,Sheet2!$C:$C,$A149,Sheet2!$A:$A,T$2)&lt;&gt;0,SUMIFS(Sheet2!$E:$E,Sheet2!$C:$C,$A149,Sheet2!$A:$A,T$2),"")</f>
        <v/>
      </c>
      <c r="U149" s="42" t="str">
        <f>IF(SUMIFS(Sheet2!$E:$E,Sheet2!$C:$C,$A149,Sheet2!$A:$A,U$2)&lt;&gt;0,SUMIFS(Sheet2!$E:$E,Sheet2!$C:$C,$A149,Sheet2!$A:$A,U$2),"")</f>
        <v/>
      </c>
      <c r="V149" s="42" t="str">
        <f>IF(SUMIFS(Sheet2!$E:$E,Sheet2!$C:$C,$A149,Sheet2!$A:$A,V$2)&lt;&gt;0,SUMIFS(Sheet2!$E:$E,Sheet2!$C:$C,$A149,Sheet2!$A:$A,V$2),"")</f>
        <v/>
      </c>
      <c r="W149" s="42" t="str">
        <f>IF(SUMIFS(Sheet2!$E:$E,Sheet2!$C:$C,$A149,Sheet2!$A:$A,W$2)&lt;&gt;0,SUMIFS(Sheet2!$E:$E,Sheet2!$C:$C,$A149,Sheet2!$A:$A,W$2),"")</f>
        <v/>
      </c>
      <c r="X149" s="42" t="str">
        <f>IF(SUMIFS(Sheet2!$E:$E,Sheet2!$C:$C,$A149,Sheet2!$A:$A,X$2)&lt;&gt;0,SUMIFS(Sheet2!$E:$E,Sheet2!$C:$C,$A149,Sheet2!$A:$A,X$2),"")</f>
        <v/>
      </c>
      <c r="Y149" s="42" t="str">
        <f>IF(SUMIFS(Sheet2!$E:$E,Sheet2!$C:$C,$A149,Sheet2!$A:$A,Y$2)&lt;&gt;0,SUMIFS(Sheet2!$E:$E,Sheet2!$C:$C,$A149,Sheet2!$A:$A,Y$2),"")</f>
        <v/>
      </c>
      <c r="Z149" s="42" t="str">
        <f>IF(SUMIFS(Sheet2!$E:$E,Sheet2!$C:$C,$A149,Sheet2!$A:$A,Z$2)&lt;&gt;0,SUMIFS(Sheet2!$E:$E,Sheet2!$C:$C,$A149,Sheet2!$A:$A,Z$2),"")</f>
        <v/>
      </c>
      <c r="AA149" s="42" t="str">
        <f>IF(SUMIFS(Sheet2!$E:$E,Sheet2!$C:$C,$A149,Sheet2!$A:$A,AA$2)&lt;&gt;0,SUMIFS(Sheet2!$E:$E,Sheet2!$C:$C,$A149,Sheet2!$A:$A,AA$2),"")</f>
        <v/>
      </c>
      <c r="AB149" s="42" t="str">
        <f>IF(SUMIFS(Sheet2!$E:$E,Sheet2!$C:$C,$A149,Sheet2!$A:$A,AB$2)&lt;&gt;0,SUMIFS(Sheet2!$E:$E,Sheet2!$C:$C,$A149,Sheet2!$A:$A,AB$2),"")</f>
        <v/>
      </c>
      <c r="AC149" s="42" t="str">
        <f>IF(SUMIFS(Sheet2!$E:$E,Sheet2!$C:$C,$A149,Sheet2!$A:$A,AC$2)&lt;&gt;0,SUMIFS(Sheet2!$E:$E,Sheet2!$C:$C,$A149,Sheet2!$A:$A,AC$2),"")</f>
        <v/>
      </c>
      <c r="AD149" s="42" t="str">
        <f>IF(SUMIFS(Sheet2!$E:$E,Sheet2!$C:$C,$A149,Sheet2!$A:$A,AD$2)&lt;&gt;0,SUMIFS(Sheet2!$E:$E,Sheet2!$C:$C,$A149,Sheet2!$A:$A,AD$2),"")</f>
        <v/>
      </c>
      <c r="AE149" s="42" t="str">
        <f>IF(SUMIFS(Sheet2!$E:$E,Sheet2!$C:$C,$A149,Sheet2!$A:$A,AE$2)&lt;&gt;0,SUMIFS(Sheet2!$E:$E,Sheet2!$C:$C,$A149,Sheet2!$A:$A,AE$2),"")</f>
        <v/>
      </c>
      <c r="AF149" s="42" t="str">
        <f>IF(SUMIFS(Sheet2!$E:$E,Sheet2!$C:$C,$A149,Sheet2!$A:$A,AF$2)&lt;&gt;0,SUMIFS(Sheet2!$E:$E,Sheet2!$C:$C,$A149,Sheet2!$A:$A,AF$2),"")</f>
        <v/>
      </c>
      <c r="AG149" s="42" t="str">
        <f>IF(SUMIFS(Sheet2!$E:$E,Sheet2!$C:$C,$A149,Sheet2!$A:$A,AG$2)&lt;&gt;0,SUMIFS(Sheet2!$E:$E,Sheet2!$C:$C,$A149,Sheet2!$A:$A,AG$2),"")</f>
        <v/>
      </c>
      <c r="AH149" s="43">
        <f>SUM(Table2[[#This Row],[1]:[31]])</f>
        <v>0</v>
      </c>
    </row>
    <row r="150" spans="1:34" ht="12.75" customHeight="1">
      <c r="A150" s="76" t="str">
        <f>DSSP!A149</f>
        <v>DS19</v>
      </c>
      <c r="B150" s="25" t="str">
        <f>DSSP!B149</f>
        <v>Khuôn dập chữ số</v>
      </c>
      <c r="C150" s="42" t="str">
        <f>IF(SUMIFS(Sheet2!$E:$E,Sheet2!$C:$C,$A150,Sheet2!$A:$A,C$2)&lt;&gt;0,SUMIFS(Sheet2!$E:$E,Sheet2!$C:$C,$A150,Sheet2!$A:$A,C$2),"")</f>
        <v/>
      </c>
      <c r="D150" s="42" t="str">
        <f>IF(SUMIFS(Sheet2!$E:$E,Sheet2!$C:$C,$A150,Sheet2!$A:$A,D$2)&lt;&gt;0,SUMIFS(Sheet2!$E:$E,Sheet2!$C:$C,$A150,Sheet2!$A:$A,D$2),"")</f>
        <v/>
      </c>
      <c r="E150" s="42" t="str">
        <f>IF(SUMIFS(Sheet2!$E:$E,Sheet2!$C:$C,$A150,Sheet2!$A:$A,E$2)&lt;&gt;0,SUMIFS(Sheet2!$E:$E,Sheet2!$C:$C,$A150,Sheet2!$A:$A,E$2),"")</f>
        <v/>
      </c>
      <c r="F150" s="42" t="str">
        <f>IF(SUMIFS(Sheet2!$E:$E,Sheet2!$C:$C,$A150,Sheet2!$A:$A,F$2)&lt;&gt;0,SUMIFS(Sheet2!$E:$E,Sheet2!$C:$C,$A150,Sheet2!$A:$A,F$2),"")</f>
        <v/>
      </c>
      <c r="G150" s="42" t="str">
        <f>IF(SUMIFS(Sheet2!$E:$E,Sheet2!$C:$C,$A150,Sheet2!$A:$A,G$2)&lt;&gt;0,SUMIFS(Sheet2!$E:$E,Sheet2!$C:$C,$A150,Sheet2!$A:$A,G$2),"")</f>
        <v/>
      </c>
      <c r="H150" s="42" t="str">
        <f>IF(SUMIFS(Sheet2!$E:$E,Sheet2!$C:$C,$A150,Sheet2!$A:$A,H$2)&lt;&gt;0,SUMIFS(Sheet2!$E:$E,Sheet2!$C:$C,$A150,Sheet2!$A:$A,H$2),"")</f>
        <v/>
      </c>
      <c r="I150" s="42" t="str">
        <f>IF(SUMIFS(Sheet2!$E:$E,Sheet2!$C:$C,$A150,Sheet2!$A:$A,I$2)&lt;&gt;0,SUMIFS(Sheet2!$E:$E,Sheet2!$C:$C,$A150,Sheet2!$A:$A,I$2),"")</f>
        <v/>
      </c>
      <c r="J150" s="42" t="str">
        <f>IF(SUMIFS(Sheet2!$E:$E,Sheet2!$C:$C,$A150,Sheet2!$A:$A,J$2)&lt;&gt;0,SUMIFS(Sheet2!$E:$E,Sheet2!$C:$C,$A150,Sheet2!$A:$A,J$2),"")</f>
        <v/>
      </c>
      <c r="K150" s="42" t="str">
        <f>IF(SUMIFS(Sheet2!$E:$E,Sheet2!$C:$C,$A150,Sheet2!$A:$A,K$2)&lt;&gt;0,SUMIFS(Sheet2!$E:$E,Sheet2!$C:$C,$A150,Sheet2!$A:$A,K$2),"")</f>
        <v/>
      </c>
      <c r="L150" s="42" t="str">
        <f>IF(SUMIFS(Sheet2!$E:$E,Sheet2!$C:$C,$A150,Sheet2!$A:$A,L$2)&lt;&gt;0,SUMIFS(Sheet2!$E:$E,Sheet2!$C:$C,$A150,Sheet2!$A:$A,L$2),"")</f>
        <v/>
      </c>
      <c r="M150" s="42" t="str">
        <f>IF(SUMIFS(Sheet2!$E:$E,Sheet2!$C:$C,$A150,Sheet2!$A:$A,M$2)&lt;&gt;0,SUMIFS(Sheet2!$E:$E,Sheet2!$C:$C,$A150,Sheet2!$A:$A,M$2),"")</f>
        <v/>
      </c>
      <c r="N150" s="42" t="str">
        <f>IF(SUMIFS(Sheet2!$E:$E,Sheet2!$C:$C,$A150,Sheet2!$A:$A,N$2)&lt;&gt;0,SUMIFS(Sheet2!$E:$E,Sheet2!$C:$C,$A150,Sheet2!$A:$A,N$2),"")</f>
        <v/>
      </c>
      <c r="O150" s="42" t="str">
        <f>IF(SUMIFS(Sheet2!$E:$E,Sheet2!$C:$C,$A150,Sheet2!$A:$A,O$2)&lt;&gt;0,SUMIFS(Sheet2!$E:$E,Sheet2!$C:$C,$A150,Sheet2!$A:$A,O$2),"")</f>
        <v/>
      </c>
      <c r="P150" s="42" t="str">
        <f>IF(SUMIFS(Sheet2!$E:$E,Sheet2!$C:$C,$A150,Sheet2!$A:$A,P$2)&lt;&gt;0,SUMIFS(Sheet2!$E:$E,Sheet2!$C:$C,$A150,Sheet2!$A:$A,P$2),"")</f>
        <v/>
      </c>
      <c r="Q150" s="42" t="str">
        <f>IF(SUMIFS(Sheet2!$E:$E,Sheet2!$C:$C,$A150,Sheet2!$A:$A,Q$2)&lt;&gt;0,SUMIFS(Sheet2!$E:$E,Sheet2!$C:$C,$A150,Sheet2!$A:$A,Q$2),"")</f>
        <v/>
      </c>
      <c r="R150" s="42" t="str">
        <f>IF(SUMIFS(Sheet2!$E:$E,Sheet2!$C:$C,$A150,Sheet2!$A:$A,R$2)&lt;&gt;0,SUMIFS(Sheet2!$E:$E,Sheet2!$C:$C,$A150,Sheet2!$A:$A,R$2),"")</f>
        <v/>
      </c>
      <c r="S150" s="42" t="str">
        <f>IF(SUMIFS(Sheet2!$E:$E,Sheet2!$C:$C,$A150,Sheet2!$A:$A,S$2)&lt;&gt;0,SUMIFS(Sheet2!$E:$E,Sheet2!$C:$C,$A150,Sheet2!$A:$A,S$2),"")</f>
        <v/>
      </c>
      <c r="T150" s="42" t="str">
        <f>IF(SUMIFS(Sheet2!$E:$E,Sheet2!$C:$C,$A150,Sheet2!$A:$A,T$2)&lt;&gt;0,SUMIFS(Sheet2!$E:$E,Sheet2!$C:$C,$A150,Sheet2!$A:$A,T$2),"")</f>
        <v/>
      </c>
      <c r="U150" s="42" t="str">
        <f>IF(SUMIFS(Sheet2!$E:$E,Sheet2!$C:$C,$A150,Sheet2!$A:$A,U$2)&lt;&gt;0,SUMIFS(Sheet2!$E:$E,Sheet2!$C:$C,$A150,Sheet2!$A:$A,U$2),"")</f>
        <v/>
      </c>
      <c r="V150" s="42" t="str">
        <f>IF(SUMIFS(Sheet2!$E:$E,Sheet2!$C:$C,$A150,Sheet2!$A:$A,V$2)&lt;&gt;0,SUMIFS(Sheet2!$E:$E,Sheet2!$C:$C,$A150,Sheet2!$A:$A,V$2),"")</f>
        <v/>
      </c>
      <c r="W150" s="42" t="str">
        <f>IF(SUMIFS(Sheet2!$E:$E,Sheet2!$C:$C,$A150,Sheet2!$A:$A,W$2)&lt;&gt;0,SUMIFS(Sheet2!$E:$E,Sheet2!$C:$C,$A150,Sheet2!$A:$A,W$2),"")</f>
        <v/>
      </c>
      <c r="X150" s="42" t="str">
        <f>IF(SUMIFS(Sheet2!$E:$E,Sheet2!$C:$C,$A150,Sheet2!$A:$A,X$2)&lt;&gt;0,SUMIFS(Sheet2!$E:$E,Sheet2!$C:$C,$A150,Sheet2!$A:$A,X$2),"")</f>
        <v/>
      </c>
      <c r="Y150" s="42" t="str">
        <f>IF(SUMIFS(Sheet2!$E:$E,Sheet2!$C:$C,$A150,Sheet2!$A:$A,Y$2)&lt;&gt;0,SUMIFS(Sheet2!$E:$E,Sheet2!$C:$C,$A150,Sheet2!$A:$A,Y$2),"")</f>
        <v/>
      </c>
      <c r="Z150" s="42" t="str">
        <f>IF(SUMIFS(Sheet2!$E:$E,Sheet2!$C:$C,$A150,Sheet2!$A:$A,Z$2)&lt;&gt;0,SUMIFS(Sheet2!$E:$E,Sheet2!$C:$C,$A150,Sheet2!$A:$A,Z$2),"")</f>
        <v/>
      </c>
      <c r="AA150" s="42" t="str">
        <f>IF(SUMIFS(Sheet2!$E:$E,Sheet2!$C:$C,$A150,Sheet2!$A:$A,AA$2)&lt;&gt;0,SUMIFS(Sheet2!$E:$E,Sheet2!$C:$C,$A150,Sheet2!$A:$A,AA$2),"")</f>
        <v/>
      </c>
      <c r="AB150" s="42" t="str">
        <f>IF(SUMIFS(Sheet2!$E:$E,Sheet2!$C:$C,$A150,Sheet2!$A:$A,AB$2)&lt;&gt;0,SUMIFS(Sheet2!$E:$E,Sheet2!$C:$C,$A150,Sheet2!$A:$A,AB$2),"")</f>
        <v/>
      </c>
      <c r="AC150" s="42" t="str">
        <f>IF(SUMIFS(Sheet2!$E:$E,Sheet2!$C:$C,$A150,Sheet2!$A:$A,AC$2)&lt;&gt;0,SUMIFS(Sheet2!$E:$E,Sheet2!$C:$C,$A150,Sheet2!$A:$A,AC$2),"")</f>
        <v/>
      </c>
      <c r="AD150" s="42" t="str">
        <f>IF(SUMIFS(Sheet2!$E:$E,Sheet2!$C:$C,$A150,Sheet2!$A:$A,AD$2)&lt;&gt;0,SUMIFS(Sheet2!$E:$E,Sheet2!$C:$C,$A150,Sheet2!$A:$A,AD$2),"")</f>
        <v/>
      </c>
      <c r="AE150" s="42" t="str">
        <f>IF(SUMIFS(Sheet2!$E:$E,Sheet2!$C:$C,$A150,Sheet2!$A:$A,AE$2)&lt;&gt;0,SUMIFS(Sheet2!$E:$E,Sheet2!$C:$C,$A150,Sheet2!$A:$A,AE$2),"")</f>
        <v/>
      </c>
      <c r="AF150" s="42" t="str">
        <f>IF(SUMIFS(Sheet2!$E:$E,Sheet2!$C:$C,$A150,Sheet2!$A:$A,AF$2)&lt;&gt;0,SUMIFS(Sheet2!$E:$E,Sheet2!$C:$C,$A150,Sheet2!$A:$A,AF$2),"")</f>
        <v/>
      </c>
      <c r="AG150" s="42" t="str">
        <f>IF(SUMIFS(Sheet2!$E:$E,Sheet2!$C:$C,$A150,Sheet2!$A:$A,AG$2)&lt;&gt;0,SUMIFS(Sheet2!$E:$E,Sheet2!$C:$C,$A150,Sheet2!$A:$A,AG$2),"")</f>
        <v/>
      </c>
      <c r="AH150" s="43">
        <f>SUM(Table2[[#This Row],[1]:[31]])</f>
        <v>0</v>
      </c>
    </row>
    <row r="151" spans="1:34" ht="12.75" customHeight="1">
      <c r="A151" s="76" t="str">
        <f>DSSP!A150</f>
        <v>DS20</v>
      </c>
      <c r="B151" s="25" t="str">
        <f>DSSP!B150</f>
        <v>Cây lăn</v>
      </c>
      <c r="C151" s="42" t="str">
        <f>IF(SUMIFS(Sheet2!$E:$E,Sheet2!$C:$C,$A151,Sheet2!$A:$A,C$2)&lt;&gt;0,SUMIFS(Sheet2!$E:$E,Sheet2!$C:$C,$A151,Sheet2!$A:$A,C$2),"")</f>
        <v/>
      </c>
      <c r="D151" s="42" t="str">
        <f>IF(SUMIFS(Sheet2!$E:$E,Sheet2!$C:$C,$A151,Sheet2!$A:$A,D$2)&lt;&gt;0,SUMIFS(Sheet2!$E:$E,Sheet2!$C:$C,$A151,Sheet2!$A:$A,D$2),"")</f>
        <v/>
      </c>
      <c r="E151" s="42" t="str">
        <f>IF(SUMIFS(Sheet2!$E:$E,Sheet2!$C:$C,$A151,Sheet2!$A:$A,E$2)&lt;&gt;0,SUMIFS(Sheet2!$E:$E,Sheet2!$C:$C,$A151,Sheet2!$A:$A,E$2),"")</f>
        <v/>
      </c>
      <c r="F151" s="42" t="str">
        <f>IF(SUMIFS(Sheet2!$E:$E,Sheet2!$C:$C,$A151,Sheet2!$A:$A,F$2)&lt;&gt;0,SUMIFS(Sheet2!$E:$E,Sheet2!$C:$C,$A151,Sheet2!$A:$A,F$2),"")</f>
        <v/>
      </c>
      <c r="G151" s="42" t="str">
        <f>IF(SUMIFS(Sheet2!$E:$E,Sheet2!$C:$C,$A151,Sheet2!$A:$A,G$2)&lt;&gt;0,SUMIFS(Sheet2!$E:$E,Sheet2!$C:$C,$A151,Sheet2!$A:$A,G$2),"")</f>
        <v/>
      </c>
      <c r="H151" s="42" t="str">
        <f>IF(SUMIFS(Sheet2!$E:$E,Sheet2!$C:$C,$A151,Sheet2!$A:$A,H$2)&lt;&gt;0,SUMIFS(Sheet2!$E:$E,Sheet2!$C:$C,$A151,Sheet2!$A:$A,H$2),"")</f>
        <v/>
      </c>
      <c r="I151" s="42" t="str">
        <f>IF(SUMIFS(Sheet2!$E:$E,Sheet2!$C:$C,$A151,Sheet2!$A:$A,I$2)&lt;&gt;0,SUMIFS(Sheet2!$E:$E,Sheet2!$C:$C,$A151,Sheet2!$A:$A,I$2),"")</f>
        <v/>
      </c>
      <c r="J151" s="42" t="str">
        <f>IF(SUMIFS(Sheet2!$E:$E,Sheet2!$C:$C,$A151,Sheet2!$A:$A,J$2)&lt;&gt;0,SUMIFS(Sheet2!$E:$E,Sheet2!$C:$C,$A151,Sheet2!$A:$A,J$2),"")</f>
        <v/>
      </c>
      <c r="K151" s="42" t="str">
        <f>IF(SUMIFS(Sheet2!$E:$E,Sheet2!$C:$C,$A151,Sheet2!$A:$A,K$2)&lt;&gt;0,SUMIFS(Sheet2!$E:$E,Sheet2!$C:$C,$A151,Sheet2!$A:$A,K$2),"")</f>
        <v/>
      </c>
      <c r="L151" s="42" t="str">
        <f>IF(SUMIFS(Sheet2!$E:$E,Sheet2!$C:$C,$A151,Sheet2!$A:$A,L$2)&lt;&gt;0,SUMIFS(Sheet2!$E:$E,Sheet2!$C:$C,$A151,Sheet2!$A:$A,L$2),"")</f>
        <v/>
      </c>
      <c r="M151" s="42" t="str">
        <f>IF(SUMIFS(Sheet2!$E:$E,Sheet2!$C:$C,$A151,Sheet2!$A:$A,M$2)&lt;&gt;0,SUMIFS(Sheet2!$E:$E,Sheet2!$C:$C,$A151,Sheet2!$A:$A,M$2),"")</f>
        <v/>
      </c>
      <c r="N151" s="42" t="str">
        <f>IF(SUMIFS(Sheet2!$E:$E,Sheet2!$C:$C,$A151,Sheet2!$A:$A,N$2)&lt;&gt;0,SUMIFS(Sheet2!$E:$E,Sheet2!$C:$C,$A151,Sheet2!$A:$A,N$2),"")</f>
        <v/>
      </c>
      <c r="O151" s="42" t="str">
        <f>IF(SUMIFS(Sheet2!$E:$E,Sheet2!$C:$C,$A151,Sheet2!$A:$A,O$2)&lt;&gt;0,SUMIFS(Sheet2!$E:$E,Sheet2!$C:$C,$A151,Sheet2!$A:$A,O$2),"")</f>
        <v/>
      </c>
      <c r="P151" s="42" t="str">
        <f>IF(SUMIFS(Sheet2!$E:$E,Sheet2!$C:$C,$A151,Sheet2!$A:$A,P$2)&lt;&gt;0,SUMIFS(Sheet2!$E:$E,Sheet2!$C:$C,$A151,Sheet2!$A:$A,P$2),"")</f>
        <v/>
      </c>
      <c r="Q151" s="42" t="str">
        <f>IF(SUMIFS(Sheet2!$E:$E,Sheet2!$C:$C,$A151,Sheet2!$A:$A,Q$2)&lt;&gt;0,SUMIFS(Sheet2!$E:$E,Sheet2!$C:$C,$A151,Sheet2!$A:$A,Q$2),"")</f>
        <v/>
      </c>
      <c r="R151" s="42" t="str">
        <f>IF(SUMIFS(Sheet2!$E:$E,Sheet2!$C:$C,$A151,Sheet2!$A:$A,R$2)&lt;&gt;0,SUMIFS(Sheet2!$E:$E,Sheet2!$C:$C,$A151,Sheet2!$A:$A,R$2),"")</f>
        <v/>
      </c>
      <c r="S151" s="42" t="str">
        <f>IF(SUMIFS(Sheet2!$E:$E,Sheet2!$C:$C,$A151,Sheet2!$A:$A,S$2)&lt;&gt;0,SUMIFS(Sheet2!$E:$E,Sheet2!$C:$C,$A151,Sheet2!$A:$A,S$2),"")</f>
        <v/>
      </c>
      <c r="T151" s="42" t="str">
        <f>IF(SUMIFS(Sheet2!$E:$E,Sheet2!$C:$C,$A151,Sheet2!$A:$A,T$2)&lt;&gt;0,SUMIFS(Sheet2!$E:$E,Sheet2!$C:$C,$A151,Sheet2!$A:$A,T$2),"")</f>
        <v/>
      </c>
      <c r="U151" s="42" t="str">
        <f>IF(SUMIFS(Sheet2!$E:$E,Sheet2!$C:$C,$A151,Sheet2!$A:$A,U$2)&lt;&gt;0,SUMIFS(Sheet2!$E:$E,Sheet2!$C:$C,$A151,Sheet2!$A:$A,U$2),"")</f>
        <v/>
      </c>
      <c r="V151" s="42" t="str">
        <f>IF(SUMIFS(Sheet2!$E:$E,Sheet2!$C:$C,$A151,Sheet2!$A:$A,V$2)&lt;&gt;0,SUMIFS(Sheet2!$E:$E,Sheet2!$C:$C,$A151,Sheet2!$A:$A,V$2),"")</f>
        <v/>
      </c>
      <c r="W151" s="42" t="str">
        <f>IF(SUMIFS(Sheet2!$E:$E,Sheet2!$C:$C,$A151,Sheet2!$A:$A,W$2)&lt;&gt;0,SUMIFS(Sheet2!$E:$E,Sheet2!$C:$C,$A151,Sheet2!$A:$A,W$2),"")</f>
        <v/>
      </c>
      <c r="X151" s="42" t="str">
        <f>IF(SUMIFS(Sheet2!$E:$E,Sheet2!$C:$C,$A151,Sheet2!$A:$A,X$2)&lt;&gt;0,SUMIFS(Sheet2!$E:$E,Sheet2!$C:$C,$A151,Sheet2!$A:$A,X$2),"")</f>
        <v/>
      </c>
      <c r="Y151" s="42" t="str">
        <f>IF(SUMIFS(Sheet2!$E:$E,Sheet2!$C:$C,$A151,Sheet2!$A:$A,Y$2)&lt;&gt;0,SUMIFS(Sheet2!$E:$E,Sheet2!$C:$C,$A151,Sheet2!$A:$A,Y$2),"")</f>
        <v/>
      </c>
      <c r="Z151" s="42" t="str">
        <f>IF(SUMIFS(Sheet2!$E:$E,Sheet2!$C:$C,$A151,Sheet2!$A:$A,Z$2)&lt;&gt;0,SUMIFS(Sheet2!$E:$E,Sheet2!$C:$C,$A151,Sheet2!$A:$A,Z$2),"")</f>
        <v/>
      </c>
      <c r="AA151" s="42" t="str">
        <f>IF(SUMIFS(Sheet2!$E:$E,Sheet2!$C:$C,$A151,Sheet2!$A:$A,AA$2)&lt;&gt;0,SUMIFS(Sheet2!$E:$E,Sheet2!$C:$C,$A151,Sheet2!$A:$A,AA$2),"")</f>
        <v/>
      </c>
      <c r="AB151" s="42" t="str">
        <f>IF(SUMIFS(Sheet2!$E:$E,Sheet2!$C:$C,$A151,Sheet2!$A:$A,AB$2)&lt;&gt;0,SUMIFS(Sheet2!$E:$E,Sheet2!$C:$C,$A151,Sheet2!$A:$A,AB$2),"")</f>
        <v/>
      </c>
      <c r="AC151" s="42" t="str">
        <f>IF(SUMIFS(Sheet2!$E:$E,Sheet2!$C:$C,$A151,Sheet2!$A:$A,AC$2)&lt;&gt;0,SUMIFS(Sheet2!$E:$E,Sheet2!$C:$C,$A151,Sheet2!$A:$A,AC$2),"")</f>
        <v/>
      </c>
      <c r="AD151" s="42" t="str">
        <f>IF(SUMIFS(Sheet2!$E:$E,Sheet2!$C:$C,$A151,Sheet2!$A:$A,AD$2)&lt;&gt;0,SUMIFS(Sheet2!$E:$E,Sheet2!$C:$C,$A151,Sheet2!$A:$A,AD$2),"")</f>
        <v/>
      </c>
      <c r="AE151" s="42" t="str">
        <f>IF(SUMIFS(Sheet2!$E:$E,Sheet2!$C:$C,$A151,Sheet2!$A:$A,AE$2)&lt;&gt;0,SUMIFS(Sheet2!$E:$E,Sheet2!$C:$C,$A151,Sheet2!$A:$A,AE$2),"")</f>
        <v/>
      </c>
      <c r="AF151" s="42" t="str">
        <f>IF(SUMIFS(Sheet2!$E:$E,Sheet2!$C:$C,$A151,Sheet2!$A:$A,AF$2)&lt;&gt;0,SUMIFS(Sheet2!$E:$E,Sheet2!$C:$C,$A151,Sheet2!$A:$A,AF$2),"")</f>
        <v/>
      </c>
      <c r="AG151" s="42" t="str">
        <f>IF(SUMIFS(Sheet2!$E:$E,Sheet2!$C:$C,$A151,Sheet2!$A:$A,AG$2)&lt;&gt;0,SUMIFS(Sheet2!$E:$E,Sheet2!$C:$C,$A151,Sheet2!$A:$A,AG$2),"")</f>
        <v/>
      </c>
      <c r="AH151" s="43">
        <f>SUM(Table2[[#This Row],[1]:[31]])</f>
        <v>0</v>
      </c>
    </row>
    <row r="152" spans="1:34" ht="12.75" customHeight="1">
      <c r="A152" s="76" t="str">
        <f>DSSP!A151</f>
        <v>GC01</v>
      </c>
      <c r="B152" s="25" t="str">
        <f>DSSP!B151</f>
        <v>Dây cói</v>
      </c>
      <c r="C152" s="42" t="str">
        <f>IF(SUMIFS(Sheet2!$E:$E,Sheet2!$C:$C,$A152,Sheet2!$A:$A,C$2)&lt;&gt;0,SUMIFS(Sheet2!$E:$E,Sheet2!$C:$C,$A152,Sheet2!$A:$A,C$2),"")</f>
        <v/>
      </c>
      <c r="D152" s="42" t="str">
        <f>IF(SUMIFS(Sheet2!$E:$E,Sheet2!$C:$C,$A152,Sheet2!$A:$A,D$2)&lt;&gt;0,SUMIFS(Sheet2!$E:$E,Sheet2!$C:$C,$A152,Sheet2!$A:$A,D$2),"")</f>
        <v/>
      </c>
      <c r="E152" s="42" t="str">
        <f>IF(SUMIFS(Sheet2!$E:$E,Sheet2!$C:$C,$A152,Sheet2!$A:$A,E$2)&lt;&gt;0,SUMIFS(Sheet2!$E:$E,Sheet2!$C:$C,$A152,Sheet2!$A:$A,E$2),"")</f>
        <v/>
      </c>
      <c r="F152" s="42" t="str">
        <f>IF(SUMIFS(Sheet2!$E:$E,Sheet2!$C:$C,$A152,Sheet2!$A:$A,F$2)&lt;&gt;0,SUMIFS(Sheet2!$E:$E,Sheet2!$C:$C,$A152,Sheet2!$A:$A,F$2),"")</f>
        <v/>
      </c>
      <c r="G152" s="42" t="str">
        <f>IF(SUMIFS(Sheet2!$E:$E,Sheet2!$C:$C,$A152,Sheet2!$A:$A,G$2)&lt;&gt;0,SUMIFS(Sheet2!$E:$E,Sheet2!$C:$C,$A152,Sheet2!$A:$A,G$2),"")</f>
        <v/>
      </c>
      <c r="H152" s="42" t="str">
        <f>IF(SUMIFS(Sheet2!$E:$E,Sheet2!$C:$C,$A152,Sheet2!$A:$A,H$2)&lt;&gt;0,SUMIFS(Sheet2!$E:$E,Sheet2!$C:$C,$A152,Sheet2!$A:$A,H$2),"")</f>
        <v/>
      </c>
      <c r="I152" s="42" t="str">
        <f>IF(SUMIFS(Sheet2!$E:$E,Sheet2!$C:$C,$A152,Sheet2!$A:$A,I$2)&lt;&gt;0,SUMIFS(Sheet2!$E:$E,Sheet2!$C:$C,$A152,Sheet2!$A:$A,I$2),"")</f>
        <v/>
      </c>
      <c r="J152" s="42" t="str">
        <f>IF(SUMIFS(Sheet2!$E:$E,Sheet2!$C:$C,$A152,Sheet2!$A:$A,J$2)&lt;&gt;0,SUMIFS(Sheet2!$E:$E,Sheet2!$C:$C,$A152,Sheet2!$A:$A,J$2),"")</f>
        <v/>
      </c>
      <c r="K152" s="42" t="str">
        <f>IF(SUMIFS(Sheet2!$E:$E,Sheet2!$C:$C,$A152,Sheet2!$A:$A,K$2)&lt;&gt;0,SUMIFS(Sheet2!$E:$E,Sheet2!$C:$C,$A152,Sheet2!$A:$A,K$2),"")</f>
        <v/>
      </c>
      <c r="L152" s="42" t="str">
        <f>IF(SUMIFS(Sheet2!$E:$E,Sheet2!$C:$C,$A152,Sheet2!$A:$A,L$2)&lt;&gt;0,SUMIFS(Sheet2!$E:$E,Sheet2!$C:$C,$A152,Sheet2!$A:$A,L$2),"")</f>
        <v/>
      </c>
      <c r="M152" s="42" t="str">
        <f>IF(SUMIFS(Sheet2!$E:$E,Sheet2!$C:$C,$A152,Sheet2!$A:$A,M$2)&lt;&gt;0,SUMIFS(Sheet2!$E:$E,Sheet2!$C:$C,$A152,Sheet2!$A:$A,M$2),"")</f>
        <v/>
      </c>
      <c r="N152" s="42" t="str">
        <f>IF(SUMIFS(Sheet2!$E:$E,Sheet2!$C:$C,$A152,Sheet2!$A:$A,N$2)&lt;&gt;0,SUMIFS(Sheet2!$E:$E,Sheet2!$C:$C,$A152,Sheet2!$A:$A,N$2),"")</f>
        <v/>
      </c>
      <c r="O152" s="42" t="str">
        <f>IF(SUMIFS(Sheet2!$E:$E,Sheet2!$C:$C,$A152,Sheet2!$A:$A,O$2)&lt;&gt;0,SUMIFS(Sheet2!$E:$E,Sheet2!$C:$C,$A152,Sheet2!$A:$A,O$2),"")</f>
        <v/>
      </c>
      <c r="P152" s="42" t="str">
        <f>IF(SUMIFS(Sheet2!$E:$E,Sheet2!$C:$C,$A152,Sheet2!$A:$A,P$2)&lt;&gt;0,SUMIFS(Sheet2!$E:$E,Sheet2!$C:$C,$A152,Sheet2!$A:$A,P$2),"")</f>
        <v/>
      </c>
      <c r="Q152" s="42" t="str">
        <f>IF(SUMIFS(Sheet2!$E:$E,Sheet2!$C:$C,$A152,Sheet2!$A:$A,Q$2)&lt;&gt;0,SUMIFS(Sheet2!$E:$E,Sheet2!$C:$C,$A152,Sheet2!$A:$A,Q$2),"")</f>
        <v/>
      </c>
      <c r="R152" s="42" t="str">
        <f>IF(SUMIFS(Sheet2!$E:$E,Sheet2!$C:$C,$A152,Sheet2!$A:$A,R$2)&lt;&gt;0,SUMIFS(Sheet2!$E:$E,Sheet2!$C:$C,$A152,Sheet2!$A:$A,R$2),"")</f>
        <v/>
      </c>
      <c r="S152" s="42" t="str">
        <f>IF(SUMIFS(Sheet2!$E:$E,Sheet2!$C:$C,$A152,Sheet2!$A:$A,S$2)&lt;&gt;0,SUMIFS(Sheet2!$E:$E,Sheet2!$C:$C,$A152,Sheet2!$A:$A,S$2),"")</f>
        <v/>
      </c>
      <c r="T152" s="42" t="str">
        <f>IF(SUMIFS(Sheet2!$E:$E,Sheet2!$C:$C,$A152,Sheet2!$A:$A,T$2)&lt;&gt;0,SUMIFS(Sheet2!$E:$E,Sheet2!$C:$C,$A152,Sheet2!$A:$A,T$2),"")</f>
        <v/>
      </c>
      <c r="U152" s="42" t="str">
        <f>IF(SUMIFS(Sheet2!$E:$E,Sheet2!$C:$C,$A152,Sheet2!$A:$A,U$2)&lt;&gt;0,SUMIFS(Sheet2!$E:$E,Sheet2!$C:$C,$A152,Sheet2!$A:$A,U$2),"")</f>
        <v/>
      </c>
      <c r="V152" s="42" t="str">
        <f>IF(SUMIFS(Sheet2!$E:$E,Sheet2!$C:$C,$A152,Sheet2!$A:$A,V$2)&lt;&gt;0,SUMIFS(Sheet2!$E:$E,Sheet2!$C:$C,$A152,Sheet2!$A:$A,V$2),"")</f>
        <v/>
      </c>
      <c r="W152" s="42" t="str">
        <f>IF(SUMIFS(Sheet2!$E:$E,Sheet2!$C:$C,$A152,Sheet2!$A:$A,W$2)&lt;&gt;0,SUMIFS(Sheet2!$E:$E,Sheet2!$C:$C,$A152,Sheet2!$A:$A,W$2),"")</f>
        <v/>
      </c>
      <c r="X152" s="42" t="str">
        <f>IF(SUMIFS(Sheet2!$E:$E,Sheet2!$C:$C,$A152,Sheet2!$A:$A,X$2)&lt;&gt;0,SUMIFS(Sheet2!$E:$E,Sheet2!$C:$C,$A152,Sheet2!$A:$A,X$2),"")</f>
        <v/>
      </c>
      <c r="Y152" s="42" t="str">
        <f>IF(SUMIFS(Sheet2!$E:$E,Sheet2!$C:$C,$A152,Sheet2!$A:$A,Y$2)&lt;&gt;0,SUMIFS(Sheet2!$E:$E,Sheet2!$C:$C,$A152,Sheet2!$A:$A,Y$2),"")</f>
        <v/>
      </c>
      <c r="Z152" s="42" t="str">
        <f>IF(SUMIFS(Sheet2!$E:$E,Sheet2!$C:$C,$A152,Sheet2!$A:$A,Z$2)&lt;&gt;0,SUMIFS(Sheet2!$E:$E,Sheet2!$C:$C,$A152,Sheet2!$A:$A,Z$2),"")</f>
        <v/>
      </c>
      <c r="AA152" s="42" t="str">
        <f>IF(SUMIFS(Sheet2!$E:$E,Sheet2!$C:$C,$A152,Sheet2!$A:$A,AA$2)&lt;&gt;0,SUMIFS(Sheet2!$E:$E,Sheet2!$C:$C,$A152,Sheet2!$A:$A,AA$2),"")</f>
        <v/>
      </c>
      <c r="AB152" s="42" t="str">
        <f>IF(SUMIFS(Sheet2!$E:$E,Sheet2!$C:$C,$A152,Sheet2!$A:$A,AB$2)&lt;&gt;0,SUMIFS(Sheet2!$E:$E,Sheet2!$C:$C,$A152,Sheet2!$A:$A,AB$2),"")</f>
        <v/>
      </c>
      <c r="AC152" s="42" t="str">
        <f>IF(SUMIFS(Sheet2!$E:$E,Sheet2!$C:$C,$A152,Sheet2!$A:$A,AC$2)&lt;&gt;0,SUMIFS(Sheet2!$E:$E,Sheet2!$C:$C,$A152,Sheet2!$A:$A,AC$2),"")</f>
        <v/>
      </c>
      <c r="AD152" s="42" t="str">
        <f>IF(SUMIFS(Sheet2!$E:$E,Sheet2!$C:$C,$A152,Sheet2!$A:$A,AD$2)&lt;&gt;0,SUMIFS(Sheet2!$E:$E,Sheet2!$C:$C,$A152,Sheet2!$A:$A,AD$2),"")</f>
        <v/>
      </c>
      <c r="AE152" s="42" t="str">
        <f>IF(SUMIFS(Sheet2!$E:$E,Sheet2!$C:$C,$A152,Sheet2!$A:$A,AE$2)&lt;&gt;0,SUMIFS(Sheet2!$E:$E,Sheet2!$C:$C,$A152,Sheet2!$A:$A,AE$2),"")</f>
        <v/>
      </c>
      <c r="AF152" s="42" t="str">
        <f>IF(SUMIFS(Sheet2!$E:$E,Sheet2!$C:$C,$A152,Sheet2!$A:$A,AF$2)&lt;&gt;0,SUMIFS(Sheet2!$E:$E,Sheet2!$C:$C,$A152,Sheet2!$A:$A,AF$2),"")</f>
        <v/>
      </c>
      <c r="AG152" s="42" t="str">
        <f>IF(SUMIFS(Sheet2!$E:$E,Sheet2!$C:$C,$A152,Sheet2!$A:$A,AG$2)&lt;&gt;0,SUMIFS(Sheet2!$E:$E,Sheet2!$C:$C,$A152,Sheet2!$A:$A,AG$2),"")</f>
        <v/>
      </c>
      <c r="AH152" s="43">
        <f>SUM(Table2[[#This Row],[1]:[31]])</f>
        <v>0</v>
      </c>
    </row>
    <row r="153" spans="1:34" ht="12.75" customHeight="1">
      <c r="A153" s="76" t="str">
        <f>DSSP!A152</f>
        <v>GC02</v>
      </c>
      <c r="B153" s="25" t="str">
        <f>DSSP!B152</f>
        <v>Dây da lộn</v>
      </c>
      <c r="C153" s="42" t="str">
        <f>IF(SUMIFS(Sheet2!$E:$E,Sheet2!$C:$C,$A153,Sheet2!$A:$A,C$2)&lt;&gt;0,SUMIFS(Sheet2!$E:$E,Sheet2!$C:$C,$A153,Sheet2!$A:$A,C$2),"")</f>
        <v/>
      </c>
      <c r="D153" s="42" t="str">
        <f>IF(SUMIFS(Sheet2!$E:$E,Sheet2!$C:$C,$A153,Sheet2!$A:$A,D$2)&lt;&gt;0,SUMIFS(Sheet2!$E:$E,Sheet2!$C:$C,$A153,Sheet2!$A:$A,D$2),"")</f>
        <v/>
      </c>
      <c r="E153" s="42" t="str">
        <f>IF(SUMIFS(Sheet2!$E:$E,Sheet2!$C:$C,$A153,Sheet2!$A:$A,E$2)&lt;&gt;0,SUMIFS(Sheet2!$E:$E,Sheet2!$C:$C,$A153,Sheet2!$A:$A,E$2),"")</f>
        <v/>
      </c>
      <c r="F153" s="42" t="str">
        <f>IF(SUMIFS(Sheet2!$E:$E,Sheet2!$C:$C,$A153,Sheet2!$A:$A,F$2)&lt;&gt;0,SUMIFS(Sheet2!$E:$E,Sheet2!$C:$C,$A153,Sheet2!$A:$A,F$2),"")</f>
        <v/>
      </c>
      <c r="G153" s="42" t="str">
        <f>IF(SUMIFS(Sheet2!$E:$E,Sheet2!$C:$C,$A153,Sheet2!$A:$A,G$2)&lt;&gt;0,SUMIFS(Sheet2!$E:$E,Sheet2!$C:$C,$A153,Sheet2!$A:$A,G$2),"")</f>
        <v/>
      </c>
      <c r="H153" s="42" t="str">
        <f>IF(SUMIFS(Sheet2!$E:$E,Sheet2!$C:$C,$A153,Sheet2!$A:$A,H$2)&lt;&gt;0,SUMIFS(Sheet2!$E:$E,Sheet2!$C:$C,$A153,Sheet2!$A:$A,H$2),"")</f>
        <v/>
      </c>
      <c r="I153" s="42" t="str">
        <f>IF(SUMIFS(Sheet2!$E:$E,Sheet2!$C:$C,$A153,Sheet2!$A:$A,I$2)&lt;&gt;0,SUMIFS(Sheet2!$E:$E,Sheet2!$C:$C,$A153,Sheet2!$A:$A,I$2),"")</f>
        <v/>
      </c>
      <c r="J153" s="42" t="str">
        <f>IF(SUMIFS(Sheet2!$E:$E,Sheet2!$C:$C,$A153,Sheet2!$A:$A,J$2)&lt;&gt;0,SUMIFS(Sheet2!$E:$E,Sheet2!$C:$C,$A153,Sheet2!$A:$A,J$2),"")</f>
        <v/>
      </c>
      <c r="K153" s="42" t="str">
        <f>IF(SUMIFS(Sheet2!$E:$E,Sheet2!$C:$C,$A153,Sheet2!$A:$A,K$2)&lt;&gt;0,SUMIFS(Sheet2!$E:$E,Sheet2!$C:$C,$A153,Sheet2!$A:$A,K$2),"")</f>
        <v/>
      </c>
      <c r="L153" s="42" t="str">
        <f>IF(SUMIFS(Sheet2!$E:$E,Sheet2!$C:$C,$A153,Sheet2!$A:$A,L$2)&lt;&gt;0,SUMIFS(Sheet2!$E:$E,Sheet2!$C:$C,$A153,Sheet2!$A:$A,L$2),"")</f>
        <v/>
      </c>
      <c r="M153" s="42" t="str">
        <f>IF(SUMIFS(Sheet2!$E:$E,Sheet2!$C:$C,$A153,Sheet2!$A:$A,M$2)&lt;&gt;0,SUMIFS(Sheet2!$E:$E,Sheet2!$C:$C,$A153,Sheet2!$A:$A,M$2),"")</f>
        <v/>
      </c>
      <c r="N153" s="42" t="str">
        <f>IF(SUMIFS(Sheet2!$E:$E,Sheet2!$C:$C,$A153,Sheet2!$A:$A,N$2)&lt;&gt;0,SUMIFS(Sheet2!$E:$E,Sheet2!$C:$C,$A153,Sheet2!$A:$A,N$2),"")</f>
        <v/>
      </c>
      <c r="O153" s="42" t="str">
        <f>IF(SUMIFS(Sheet2!$E:$E,Sheet2!$C:$C,$A153,Sheet2!$A:$A,O$2)&lt;&gt;0,SUMIFS(Sheet2!$E:$E,Sheet2!$C:$C,$A153,Sheet2!$A:$A,O$2),"")</f>
        <v/>
      </c>
      <c r="P153" s="42" t="str">
        <f>IF(SUMIFS(Sheet2!$E:$E,Sheet2!$C:$C,$A153,Sheet2!$A:$A,P$2)&lt;&gt;0,SUMIFS(Sheet2!$E:$E,Sheet2!$C:$C,$A153,Sheet2!$A:$A,P$2),"")</f>
        <v/>
      </c>
      <c r="Q153" s="42" t="str">
        <f>IF(SUMIFS(Sheet2!$E:$E,Sheet2!$C:$C,$A153,Sheet2!$A:$A,Q$2)&lt;&gt;0,SUMIFS(Sheet2!$E:$E,Sheet2!$C:$C,$A153,Sheet2!$A:$A,Q$2),"")</f>
        <v/>
      </c>
      <c r="R153" s="42" t="str">
        <f>IF(SUMIFS(Sheet2!$E:$E,Sheet2!$C:$C,$A153,Sheet2!$A:$A,R$2)&lt;&gt;0,SUMIFS(Sheet2!$E:$E,Sheet2!$C:$C,$A153,Sheet2!$A:$A,R$2),"")</f>
        <v/>
      </c>
      <c r="S153" s="42" t="str">
        <f>IF(SUMIFS(Sheet2!$E:$E,Sheet2!$C:$C,$A153,Sheet2!$A:$A,S$2)&lt;&gt;0,SUMIFS(Sheet2!$E:$E,Sheet2!$C:$C,$A153,Sheet2!$A:$A,S$2),"")</f>
        <v/>
      </c>
      <c r="T153" s="42" t="str">
        <f>IF(SUMIFS(Sheet2!$E:$E,Sheet2!$C:$C,$A153,Sheet2!$A:$A,T$2)&lt;&gt;0,SUMIFS(Sheet2!$E:$E,Sheet2!$C:$C,$A153,Sheet2!$A:$A,T$2),"")</f>
        <v/>
      </c>
      <c r="U153" s="42" t="str">
        <f>IF(SUMIFS(Sheet2!$E:$E,Sheet2!$C:$C,$A153,Sheet2!$A:$A,U$2)&lt;&gt;0,SUMIFS(Sheet2!$E:$E,Sheet2!$C:$C,$A153,Sheet2!$A:$A,U$2),"")</f>
        <v/>
      </c>
      <c r="V153" s="42" t="str">
        <f>IF(SUMIFS(Sheet2!$E:$E,Sheet2!$C:$C,$A153,Sheet2!$A:$A,V$2)&lt;&gt;0,SUMIFS(Sheet2!$E:$E,Sheet2!$C:$C,$A153,Sheet2!$A:$A,V$2),"")</f>
        <v/>
      </c>
      <c r="W153" s="42" t="str">
        <f>IF(SUMIFS(Sheet2!$E:$E,Sheet2!$C:$C,$A153,Sheet2!$A:$A,W$2)&lt;&gt;0,SUMIFS(Sheet2!$E:$E,Sheet2!$C:$C,$A153,Sheet2!$A:$A,W$2),"")</f>
        <v/>
      </c>
      <c r="X153" s="42" t="str">
        <f>IF(SUMIFS(Sheet2!$E:$E,Sheet2!$C:$C,$A153,Sheet2!$A:$A,X$2)&lt;&gt;0,SUMIFS(Sheet2!$E:$E,Sheet2!$C:$C,$A153,Sheet2!$A:$A,X$2),"")</f>
        <v/>
      </c>
      <c r="Y153" s="42" t="str">
        <f>IF(SUMIFS(Sheet2!$E:$E,Sheet2!$C:$C,$A153,Sheet2!$A:$A,Y$2)&lt;&gt;0,SUMIFS(Sheet2!$E:$E,Sheet2!$C:$C,$A153,Sheet2!$A:$A,Y$2),"")</f>
        <v/>
      </c>
      <c r="Z153" s="42" t="str">
        <f>IF(SUMIFS(Sheet2!$E:$E,Sheet2!$C:$C,$A153,Sheet2!$A:$A,Z$2)&lt;&gt;0,SUMIFS(Sheet2!$E:$E,Sheet2!$C:$C,$A153,Sheet2!$A:$A,Z$2),"")</f>
        <v/>
      </c>
      <c r="AA153" s="42" t="str">
        <f>IF(SUMIFS(Sheet2!$E:$E,Sheet2!$C:$C,$A153,Sheet2!$A:$A,AA$2)&lt;&gt;0,SUMIFS(Sheet2!$E:$E,Sheet2!$C:$C,$A153,Sheet2!$A:$A,AA$2),"")</f>
        <v/>
      </c>
      <c r="AB153" s="42" t="str">
        <f>IF(SUMIFS(Sheet2!$E:$E,Sheet2!$C:$C,$A153,Sheet2!$A:$A,AB$2)&lt;&gt;0,SUMIFS(Sheet2!$E:$E,Sheet2!$C:$C,$A153,Sheet2!$A:$A,AB$2),"")</f>
        <v/>
      </c>
      <c r="AC153" s="42" t="str">
        <f>IF(SUMIFS(Sheet2!$E:$E,Sheet2!$C:$C,$A153,Sheet2!$A:$A,AC$2)&lt;&gt;0,SUMIFS(Sheet2!$E:$E,Sheet2!$C:$C,$A153,Sheet2!$A:$A,AC$2),"")</f>
        <v/>
      </c>
      <c r="AD153" s="42" t="str">
        <f>IF(SUMIFS(Sheet2!$E:$E,Sheet2!$C:$C,$A153,Sheet2!$A:$A,AD$2)&lt;&gt;0,SUMIFS(Sheet2!$E:$E,Sheet2!$C:$C,$A153,Sheet2!$A:$A,AD$2),"")</f>
        <v/>
      </c>
      <c r="AE153" s="42" t="str">
        <f>IF(SUMIFS(Sheet2!$E:$E,Sheet2!$C:$C,$A153,Sheet2!$A:$A,AE$2)&lt;&gt;0,SUMIFS(Sheet2!$E:$E,Sheet2!$C:$C,$A153,Sheet2!$A:$A,AE$2),"")</f>
        <v/>
      </c>
      <c r="AF153" s="42" t="str">
        <f>IF(SUMIFS(Sheet2!$E:$E,Sheet2!$C:$C,$A153,Sheet2!$A:$A,AF$2)&lt;&gt;0,SUMIFS(Sheet2!$E:$E,Sheet2!$C:$C,$A153,Sheet2!$A:$A,AF$2),"")</f>
        <v/>
      </c>
      <c r="AG153" s="42" t="str">
        <f>IF(SUMIFS(Sheet2!$E:$E,Sheet2!$C:$C,$A153,Sheet2!$A:$A,AG$2)&lt;&gt;0,SUMIFS(Sheet2!$E:$E,Sheet2!$C:$C,$A153,Sheet2!$A:$A,AG$2),"")</f>
        <v/>
      </c>
      <c r="AH153" s="43">
        <f>SUM(Table2[[#This Row],[1]:[31]])</f>
        <v>0</v>
      </c>
    </row>
    <row r="154" spans="1:34" ht="12.75" customHeight="1">
      <c r="A154" s="76" t="str">
        <f>DSSP!A153</f>
        <v>GC03</v>
      </c>
      <c r="B154" s="25" t="str">
        <f>DSSP!B153</f>
        <v>Dây xích</v>
      </c>
      <c r="C154" s="42" t="str">
        <f>IF(SUMIFS(Sheet2!$E:$E,Sheet2!$C:$C,$A154,Sheet2!$A:$A,C$2)&lt;&gt;0,SUMIFS(Sheet2!$E:$E,Sheet2!$C:$C,$A154,Sheet2!$A:$A,C$2),"")</f>
        <v/>
      </c>
      <c r="D154" s="42" t="str">
        <f>IF(SUMIFS(Sheet2!$E:$E,Sheet2!$C:$C,$A154,Sheet2!$A:$A,D$2)&lt;&gt;0,SUMIFS(Sheet2!$E:$E,Sheet2!$C:$C,$A154,Sheet2!$A:$A,D$2),"")</f>
        <v/>
      </c>
      <c r="E154" s="42" t="str">
        <f>IF(SUMIFS(Sheet2!$E:$E,Sheet2!$C:$C,$A154,Sheet2!$A:$A,E$2)&lt;&gt;0,SUMIFS(Sheet2!$E:$E,Sheet2!$C:$C,$A154,Sheet2!$A:$A,E$2),"")</f>
        <v/>
      </c>
      <c r="F154" s="42" t="str">
        <f>IF(SUMIFS(Sheet2!$E:$E,Sheet2!$C:$C,$A154,Sheet2!$A:$A,F$2)&lt;&gt;0,SUMIFS(Sheet2!$E:$E,Sheet2!$C:$C,$A154,Sheet2!$A:$A,F$2),"")</f>
        <v/>
      </c>
      <c r="G154" s="42" t="str">
        <f>IF(SUMIFS(Sheet2!$E:$E,Sheet2!$C:$C,$A154,Sheet2!$A:$A,G$2)&lt;&gt;0,SUMIFS(Sheet2!$E:$E,Sheet2!$C:$C,$A154,Sheet2!$A:$A,G$2),"")</f>
        <v/>
      </c>
      <c r="H154" s="42" t="str">
        <f>IF(SUMIFS(Sheet2!$E:$E,Sheet2!$C:$C,$A154,Sheet2!$A:$A,H$2)&lt;&gt;0,SUMIFS(Sheet2!$E:$E,Sheet2!$C:$C,$A154,Sheet2!$A:$A,H$2),"")</f>
        <v/>
      </c>
      <c r="I154" s="42" t="str">
        <f>IF(SUMIFS(Sheet2!$E:$E,Sheet2!$C:$C,$A154,Sheet2!$A:$A,I$2)&lt;&gt;0,SUMIFS(Sheet2!$E:$E,Sheet2!$C:$C,$A154,Sheet2!$A:$A,I$2),"")</f>
        <v/>
      </c>
      <c r="J154" s="42" t="str">
        <f>IF(SUMIFS(Sheet2!$E:$E,Sheet2!$C:$C,$A154,Sheet2!$A:$A,J$2)&lt;&gt;0,SUMIFS(Sheet2!$E:$E,Sheet2!$C:$C,$A154,Sheet2!$A:$A,J$2),"")</f>
        <v/>
      </c>
      <c r="K154" s="42" t="str">
        <f>IF(SUMIFS(Sheet2!$E:$E,Sheet2!$C:$C,$A154,Sheet2!$A:$A,K$2)&lt;&gt;0,SUMIFS(Sheet2!$E:$E,Sheet2!$C:$C,$A154,Sheet2!$A:$A,K$2),"")</f>
        <v/>
      </c>
      <c r="L154" s="42" t="str">
        <f>IF(SUMIFS(Sheet2!$E:$E,Sheet2!$C:$C,$A154,Sheet2!$A:$A,L$2)&lt;&gt;0,SUMIFS(Sheet2!$E:$E,Sheet2!$C:$C,$A154,Sheet2!$A:$A,L$2),"")</f>
        <v/>
      </c>
      <c r="M154" s="42" t="str">
        <f>IF(SUMIFS(Sheet2!$E:$E,Sheet2!$C:$C,$A154,Sheet2!$A:$A,M$2)&lt;&gt;0,SUMIFS(Sheet2!$E:$E,Sheet2!$C:$C,$A154,Sheet2!$A:$A,M$2),"")</f>
        <v/>
      </c>
      <c r="N154" s="42" t="str">
        <f>IF(SUMIFS(Sheet2!$E:$E,Sheet2!$C:$C,$A154,Sheet2!$A:$A,N$2)&lt;&gt;0,SUMIFS(Sheet2!$E:$E,Sheet2!$C:$C,$A154,Sheet2!$A:$A,N$2),"")</f>
        <v/>
      </c>
      <c r="O154" s="42" t="str">
        <f>IF(SUMIFS(Sheet2!$E:$E,Sheet2!$C:$C,$A154,Sheet2!$A:$A,O$2)&lt;&gt;0,SUMIFS(Sheet2!$E:$E,Sheet2!$C:$C,$A154,Sheet2!$A:$A,O$2),"")</f>
        <v/>
      </c>
      <c r="P154" s="42" t="str">
        <f>IF(SUMIFS(Sheet2!$E:$E,Sheet2!$C:$C,$A154,Sheet2!$A:$A,P$2)&lt;&gt;0,SUMIFS(Sheet2!$E:$E,Sheet2!$C:$C,$A154,Sheet2!$A:$A,P$2),"")</f>
        <v/>
      </c>
      <c r="Q154" s="42" t="str">
        <f>IF(SUMIFS(Sheet2!$E:$E,Sheet2!$C:$C,$A154,Sheet2!$A:$A,Q$2)&lt;&gt;0,SUMIFS(Sheet2!$E:$E,Sheet2!$C:$C,$A154,Sheet2!$A:$A,Q$2),"")</f>
        <v/>
      </c>
      <c r="R154" s="42" t="str">
        <f>IF(SUMIFS(Sheet2!$E:$E,Sheet2!$C:$C,$A154,Sheet2!$A:$A,R$2)&lt;&gt;0,SUMIFS(Sheet2!$E:$E,Sheet2!$C:$C,$A154,Sheet2!$A:$A,R$2),"")</f>
        <v/>
      </c>
      <c r="S154" s="42" t="str">
        <f>IF(SUMIFS(Sheet2!$E:$E,Sheet2!$C:$C,$A154,Sheet2!$A:$A,S$2)&lt;&gt;0,SUMIFS(Sheet2!$E:$E,Sheet2!$C:$C,$A154,Sheet2!$A:$A,S$2),"")</f>
        <v/>
      </c>
      <c r="T154" s="42" t="str">
        <f>IF(SUMIFS(Sheet2!$E:$E,Sheet2!$C:$C,$A154,Sheet2!$A:$A,T$2)&lt;&gt;0,SUMIFS(Sheet2!$E:$E,Sheet2!$C:$C,$A154,Sheet2!$A:$A,T$2),"")</f>
        <v/>
      </c>
      <c r="U154" s="42" t="str">
        <f>IF(SUMIFS(Sheet2!$E:$E,Sheet2!$C:$C,$A154,Sheet2!$A:$A,U$2)&lt;&gt;0,SUMIFS(Sheet2!$E:$E,Sheet2!$C:$C,$A154,Sheet2!$A:$A,U$2),"")</f>
        <v/>
      </c>
      <c r="V154" s="42" t="str">
        <f>IF(SUMIFS(Sheet2!$E:$E,Sheet2!$C:$C,$A154,Sheet2!$A:$A,V$2)&lt;&gt;0,SUMIFS(Sheet2!$E:$E,Sheet2!$C:$C,$A154,Sheet2!$A:$A,V$2),"")</f>
        <v/>
      </c>
      <c r="W154" s="42" t="str">
        <f>IF(SUMIFS(Sheet2!$E:$E,Sheet2!$C:$C,$A154,Sheet2!$A:$A,W$2)&lt;&gt;0,SUMIFS(Sheet2!$E:$E,Sheet2!$C:$C,$A154,Sheet2!$A:$A,W$2),"")</f>
        <v/>
      </c>
      <c r="X154" s="42" t="str">
        <f>IF(SUMIFS(Sheet2!$E:$E,Sheet2!$C:$C,$A154,Sheet2!$A:$A,X$2)&lt;&gt;0,SUMIFS(Sheet2!$E:$E,Sheet2!$C:$C,$A154,Sheet2!$A:$A,X$2),"")</f>
        <v/>
      </c>
      <c r="Y154" s="42" t="str">
        <f>IF(SUMIFS(Sheet2!$E:$E,Sheet2!$C:$C,$A154,Sheet2!$A:$A,Y$2)&lt;&gt;0,SUMIFS(Sheet2!$E:$E,Sheet2!$C:$C,$A154,Sheet2!$A:$A,Y$2),"")</f>
        <v/>
      </c>
      <c r="Z154" s="42" t="str">
        <f>IF(SUMIFS(Sheet2!$E:$E,Sheet2!$C:$C,$A154,Sheet2!$A:$A,Z$2)&lt;&gt;0,SUMIFS(Sheet2!$E:$E,Sheet2!$C:$C,$A154,Sheet2!$A:$A,Z$2),"")</f>
        <v/>
      </c>
      <c r="AA154" s="42" t="str">
        <f>IF(SUMIFS(Sheet2!$E:$E,Sheet2!$C:$C,$A154,Sheet2!$A:$A,AA$2)&lt;&gt;0,SUMIFS(Sheet2!$E:$E,Sheet2!$C:$C,$A154,Sheet2!$A:$A,AA$2),"")</f>
        <v/>
      </c>
      <c r="AB154" s="42" t="str">
        <f>IF(SUMIFS(Sheet2!$E:$E,Sheet2!$C:$C,$A154,Sheet2!$A:$A,AB$2)&lt;&gt;0,SUMIFS(Sheet2!$E:$E,Sheet2!$C:$C,$A154,Sheet2!$A:$A,AB$2),"")</f>
        <v/>
      </c>
      <c r="AC154" s="42" t="str">
        <f>IF(SUMIFS(Sheet2!$E:$E,Sheet2!$C:$C,$A154,Sheet2!$A:$A,AC$2)&lt;&gt;0,SUMIFS(Sheet2!$E:$E,Sheet2!$C:$C,$A154,Sheet2!$A:$A,AC$2),"")</f>
        <v/>
      </c>
      <c r="AD154" s="42" t="str">
        <f>IF(SUMIFS(Sheet2!$E:$E,Sheet2!$C:$C,$A154,Sheet2!$A:$A,AD$2)&lt;&gt;0,SUMIFS(Sheet2!$E:$E,Sheet2!$C:$C,$A154,Sheet2!$A:$A,AD$2),"")</f>
        <v/>
      </c>
      <c r="AE154" s="42" t="str">
        <f>IF(SUMIFS(Sheet2!$E:$E,Sheet2!$C:$C,$A154,Sheet2!$A:$A,AE$2)&lt;&gt;0,SUMIFS(Sheet2!$E:$E,Sheet2!$C:$C,$A154,Sheet2!$A:$A,AE$2),"")</f>
        <v/>
      </c>
      <c r="AF154" s="42" t="str">
        <f>IF(SUMIFS(Sheet2!$E:$E,Sheet2!$C:$C,$A154,Sheet2!$A:$A,AF$2)&lt;&gt;0,SUMIFS(Sheet2!$E:$E,Sheet2!$C:$C,$A154,Sheet2!$A:$A,AF$2),"")</f>
        <v/>
      </c>
      <c r="AG154" s="42" t="str">
        <f>IF(SUMIFS(Sheet2!$E:$E,Sheet2!$C:$C,$A154,Sheet2!$A:$A,AG$2)&lt;&gt;0,SUMIFS(Sheet2!$E:$E,Sheet2!$C:$C,$A154,Sheet2!$A:$A,AG$2),"")</f>
        <v/>
      </c>
      <c r="AH154" s="43">
        <f>SUM(Table2[[#This Row],[1]:[31]])</f>
        <v>0</v>
      </c>
    </row>
    <row r="155" spans="1:34" ht="12.75" customHeight="1">
      <c r="A155" s="76" t="str">
        <f>DSSP!A154</f>
        <v>GC04</v>
      </c>
      <c r="B155" s="25" t="str">
        <f>DSSP!B154</f>
        <v>Dây xích vàng</v>
      </c>
      <c r="C155" s="42" t="str">
        <f>IF(SUMIFS(Sheet2!$E:$E,Sheet2!$C:$C,$A155,Sheet2!$A:$A,C$2)&lt;&gt;0,SUMIFS(Sheet2!$E:$E,Sheet2!$C:$C,$A155,Sheet2!$A:$A,C$2),"")</f>
        <v/>
      </c>
      <c r="D155" s="42" t="str">
        <f>IF(SUMIFS(Sheet2!$E:$E,Sheet2!$C:$C,$A155,Sheet2!$A:$A,D$2)&lt;&gt;0,SUMIFS(Sheet2!$E:$E,Sheet2!$C:$C,$A155,Sheet2!$A:$A,D$2),"")</f>
        <v/>
      </c>
      <c r="E155" s="42" t="str">
        <f>IF(SUMIFS(Sheet2!$E:$E,Sheet2!$C:$C,$A155,Sheet2!$A:$A,E$2)&lt;&gt;0,SUMIFS(Sheet2!$E:$E,Sheet2!$C:$C,$A155,Sheet2!$A:$A,E$2),"")</f>
        <v/>
      </c>
      <c r="F155" s="42" t="str">
        <f>IF(SUMIFS(Sheet2!$E:$E,Sheet2!$C:$C,$A155,Sheet2!$A:$A,F$2)&lt;&gt;0,SUMIFS(Sheet2!$E:$E,Sheet2!$C:$C,$A155,Sheet2!$A:$A,F$2),"")</f>
        <v/>
      </c>
      <c r="G155" s="42" t="str">
        <f>IF(SUMIFS(Sheet2!$E:$E,Sheet2!$C:$C,$A155,Sheet2!$A:$A,G$2)&lt;&gt;0,SUMIFS(Sheet2!$E:$E,Sheet2!$C:$C,$A155,Sheet2!$A:$A,G$2),"")</f>
        <v/>
      </c>
      <c r="H155" s="42" t="str">
        <f>IF(SUMIFS(Sheet2!$E:$E,Sheet2!$C:$C,$A155,Sheet2!$A:$A,H$2)&lt;&gt;0,SUMIFS(Sheet2!$E:$E,Sheet2!$C:$C,$A155,Sheet2!$A:$A,H$2),"")</f>
        <v/>
      </c>
      <c r="I155" s="42" t="str">
        <f>IF(SUMIFS(Sheet2!$E:$E,Sheet2!$C:$C,$A155,Sheet2!$A:$A,I$2)&lt;&gt;0,SUMIFS(Sheet2!$E:$E,Sheet2!$C:$C,$A155,Sheet2!$A:$A,I$2),"")</f>
        <v/>
      </c>
      <c r="J155" s="42" t="str">
        <f>IF(SUMIFS(Sheet2!$E:$E,Sheet2!$C:$C,$A155,Sheet2!$A:$A,J$2)&lt;&gt;0,SUMIFS(Sheet2!$E:$E,Sheet2!$C:$C,$A155,Sheet2!$A:$A,J$2),"")</f>
        <v/>
      </c>
      <c r="K155" s="42" t="str">
        <f>IF(SUMIFS(Sheet2!$E:$E,Sheet2!$C:$C,$A155,Sheet2!$A:$A,K$2)&lt;&gt;0,SUMIFS(Sheet2!$E:$E,Sheet2!$C:$C,$A155,Sheet2!$A:$A,K$2),"")</f>
        <v/>
      </c>
      <c r="L155" s="42" t="str">
        <f>IF(SUMIFS(Sheet2!$E:$E,Sheet2!$C:$C,$A155,Sheet2!$A:$A,L$2)&lt;&gt;0,SUMIFS(Sheet2!$E:$E,Sheet2!$C:$C,$A155,Sheet2!$A:$A,L$2),"")</f>
        <v/>
      </c>
      <c r="M155" s="42" t="str">
        <f>IF(SUMIFS(Sheet2!$E:$E,Sheet2!$C:$C,$A155,Sheet2!$A:$A,M$2)&lt;&gt;0,SUMIFS(Sheet2!$E:$E,Sheet2!$C:$C,$A155,Sheet2!$A:$A,M$2),"")</f>
        <v/>
      </c>
      <c r="N155" s="42" t="str">
        <f>IF(SUMIFS(Sheet2!$E:$E,Sheet2!$C:$C,$A155,Sheet2!$A:$A,N$2)&lt;&gt;0,SUMIFS(Sheet2!$E:$E,Sheet2!$C:$C,$A155,Sheet2!$A:$A,N$2),"")</f>
        <v/>
      </c>
      <c r="O155" s="42" t="str">
        <f>IF(SUMIFS(Sheet2!$E:$E,Sheet2!$C:$C,$A155,Sheet2!$A:$A,O$2)&lt;&gt;0,SUMIFS(Sheet2!$E:$E,Sheet2!$C:$C,$A155,Sheet2!$A:$A,O$2),"")</f>
        <v/>
      </c>
      <c r="P155" s="42" t="str">
        <f>IF(SUMIFS(Sheet2!$E:$E,Sheet2!$C:$C,$A155,Sheet2!$A:$A,P$2)&lt;&gt;0,SUMIFS(Sheet2!$E:$E,Sheet2!$C:$C,$A155,Sheet2!$A:$A,P$2),"")</f>
        <v/>
      </c>
      <c r="Q155" s="42" t="str">
        <f>IF(SUMIFS(Sheet2!$E:$E,Sheet2!$C:$C,$A155,Sheet2!$A:$A,Q$2)&lt;&gt;0,SUMIFS(Sheet2!$E:$E,Sheet2!$C:$C,$A155,Sheet2!$A:$A,Q$2),"")</f>
        <v/>
      </c>
      <c r="R155" s="42" t="str">
        <f>IF(SUMIFS(Sheet2!$E:$E,Sheet2!$C:$C,$A155,Sheet2!$A:$A,R$2)&lt;&gt;0,SUMIFS(Sheet2!$E:$E,Sheet2!$C:$C,$A155,Sheet2!$A:$A,R$2),"")</f>
        <v/>
      </c>
      <c r="S155" s="42" t="str">
        <f>IF(SUMIFS(Sheet2!$E:$E,Sheet2!$C:$C,$A155,Sheet2!$A:$A,S$2)&lt;&gt;0,SUMIFS(Sheet2!$E:$E,Sheet2!$C:$C,$A155,Sheet2!$A:$A,S$2),"")</f>
        <v/>
      </c>
      <c r="T155" s="42" t="str">
        <f>IF(SUMIFS(Sheet2!$E:$E,Sheet2!$C:$C,$A155,Sheet2!$A:$A,T$2)&lt;&gt;0,SUMIFS(Sheet2!$E:$E,Sheet2!$C:$C,$A155,Sheet2!$A:$A,T$2),"")</f>
        <v/>
      </c>
      <c r="U155" s="42" t="str">
        <f>IF(SUMIFS(Sheet2!$E:$E,Sheet2!$C:$C,$A155,Sheet2!$A:$A,U$2)&lt;&gt;0,SUMIFS(Sheet2!$E:$E,Sheet2!$C:$C,$A155,Sheet2!$A:$A,U$2),"")</f>
        <v/>
      </c>
      <c r="V155" s="42" t="str">
        <f>IF(SUMIFS(Sheet2!$E:$E,Sheet2!$C:$C,$A155,Sheet2!$A:$A,V$2)&lt;&gt;0,SUMIFS(Sheet2!$E:$E,Sheet2!$C:$C,$A155,Sheet2!$A:$A,V$2),"")</f>
        <v/>
      </c>
      <c r="W155" s="42" t="str">
        <f>IF(SUMIFS(Sheet2!$E:$E,Sheet2!$C:$C,$A155,Sheet2!$A:$A,W$2)&lt;&gt;0,SUMIFS(Sheet2!$E:$E,Sheet2!$C:$C,$A155,Sheet2!$A:$A,W$2),"")</f>
        <v/>
      </c>
      <c r="X155" s="42" t="str">
        <f>IF(SUMIFS(Sheet2!$E:$E,Sheet2!$C:$C,$A155,Sheet2!$A:$A,X$2)&lt;&gt;0,SUMIFS(Sheet2!$E:$E,Sheet2!$C:$C,$A155,Sheet2!$A:$A,X$2),"")</f>
        <v/>
      </c>
      <c r="Y155" s="42" t="str">
        <f>IF(SUMIFS(Sheet2!$E:$E,Sheet2!$C:$C,$A155,Sheet2!$A:$A,Y$2)&lt;&gt;0,SUMIFS(Sheet2!$E:$E,Sheet2!$C:$C,$A155,Sheet2!$A:$A,Y$2),"")</f>
        <v/>
      </c>
      <c r="Z155" s="42" t="str">
        <f>IF(SUMIFS(Sheet2!$E:$E,Sheet2!$C:$C,$A155,Sheet2!$A:$A,Z$2)&lt;&gt;0,SUMIFS(Sheet2!$E:$E,Sheet2!$C:$C,$A155,Sheet2!$A:$A,Z$2),"")</f>
        <v/>
      </c>
      <c r="AA155" s="42" t="str">
        <f>IF(SUMIFS(Sheet2!$E:$E,Sheet2!$C:$C,$A155,Sheet2!$A:$A,AA$2)&lt;&gt;0,SUMIFS(Sheet2!$E:$E,Sheet2!$C:$C,$A155,Sheet2!$A:$A,AA$2),"")</f>
        <v/>
      </c>
      <c r="AB155" s="42" t="str">
        <f>IF(SUMIFS(Sheet2!$E:$E,Sheet2!$C:$C,$A155,Sheet2!$A:$A,AB$2)&lt;&gt;0,SUMIFS(Sheet2!$E:$E,Sheet2!$C:$C,$A155,Sheet2!$A:$A,AB$2),"")</f>
        <v/>
      </c>
      <c r="AC155" s="42" t="str">
        <f>IF(SUMIFS(Sheet2!$E:$E,Sheet2!$C:$C,$A155,Sheet2!$A:$A,AC$2)&lt;&gt;0,SUMIFS(Sheet2!$E:$E,Sheet2!$C:$C,$A155,Sheet2!$A:$A,AC$2),"")</f>
        <v/>
      </c>
      <c r="AD155" s="42" t="str">
        <f>IF(SUMIFS(Sheet2!$E:$E,Sheet2!$C:$C,$A155,Sheet2!$A:$A,AD$2)&lt;&gt;0,SUMIFS(Sheet2!$E:$E,Sheet2!$C:$C,$A155,Sheet2!$A:$A,AD$2),"")</f>
        <v/>
      </c>
      <c r="AE155" s="42" t="str">
        <f>IF(SUMIFS(Sheet2!$E:$E,Sheet2!$C:$C,$A155,Sheet2!$A:$A,AE$2)&lt;&gt;0,SUMIFS(Sheet2!$E:$E,Sheet2!$C:$C,$A155,Sheet2!$A:$A,AE$2),"")</f>
        <v/>
      </c>
      <c r="AF155" s="42" t="str">
        <f>IF(SUMIFS(Sheet2!$E:$E,Sheet2!$C:$C,$A155,Sheet2!$A:$A,AF$2)&lt;&gt;0,SUMIFS(Sheet2!$E:$E,Sheet2!$C:$C,$A155,Sheet2!$A:$A,AF$2),"")</f>
        <v/>
      </c>
      <c r="AG155" s="42" t="str">
        <f>IF(SUMIFS(Sheet2!$E:$E,Sheet2!$C:$C,$A155,Sheet2!$A:$A,AG$2)&lt;&gt;0,SUMIFS(Sheet2!$E:$E,Sheet2!$C:$C,$A155,Sheet2!$A:$A,AG$2),"")</f>
        <v/>
      </c>
      <c r="AH155" s="43">
        <f>SUM(Table2[[#This Row],[1]:[31]])</f>
        <v>0</v>
      </c>
    </row>
    <row r="156" spans="1:34" ht="12.75" customHeight="1">
      <c r="A156" s="76" t="str">
        <f>DSSP!A155</f>
        <v>GC05</v>
      </c>
      <c r="B156" s="25" t="str">
        <f>DSSP!B155</f>
        <v>Khoen tròn (lạng)</v>
      </c>
      <c r="C156" s="42" t="str">
        <f>IF(SUMIFS(Sheet2!$E:$E,Sheet2!$C:$C,$A156,Sheet2!$A:$A,C$2)&lt;&gt;0,SUMIFS(Sheet2!$E:$E,Sheet2!$C:$C,$A156,Sheet2!$A:$A,C$2),"")</f>
        <v/>
      </c>
      <c r="D156" s="42" t="str">
        <f>IF(SUMIFS(Sheet2!$E:$E,Sheet2!$C:$C,$A156,Sheet2!$A:$A,D$2)&lt;&gt;0,SUMIFS(Sheet2!$E:$E,Sheet2!$C:$C,$A156,Sheet2!$A:$A,D$2),"")</f>
        <v/>
      </c>
      <c r="E156" s="42" t="str">
        <f>IF(SUMIFS(Sheet2!$E:$E,Sheet2!$C:$C,$A156,Sheet2!$A:$A,E$2)&lt;&gt;0,SUMIFS(Sheet2!$E:$E,Sheet2!$C:$C,$A156,Sheet2!$A:$A,E$2),"")</f>
        <v/>
      </c>
      <c r="F156" s="42" t="str">
        <f>IF(SUMIFS(Sheet2!$E:$E,Sheet2!$C:$C,$A156,Sheet2!$A:$A,F$2)&lt;&gt;0,SUMIFS(Sheet2!$E:$E,Sheet2!$C:$C,$A156,Sheet2!$A:$A,F$2),"")</f>
        <v/>
      </c>
      <c r="G156" s="42" t="str">
        <f>IF(SUMIFS(Sheet2!$E:$E,Sheet2!$C:$C,$A156,Sheet2!$A:$A,G$2)&lt;&gt;0,SUMIFS(Sheet2!$E:$E,Sheet2!$C:$C,$A156,Sheet2!$A:$A,G$2),"")</f>
        <v/>
      </c>
      <c r="H156" s="42" t="str">
        <f>IF(SUMIFS(Sheet2!$E:$E,Sheet2!$C:$C,$A156,Sheet2!$A:$A,H$2)&lt;&gt;0,SUMIFS(Sheet2!$E:$E,Sheet2!$C:$C,$A156,Sheet2!$A:$A,H$2),"")</f>
        <v/>
      </c>
      <c r="I156" s="42" t="str">
        <f>IF(SUMIFS(Sheet2!$E:$E,Sheet2!$C:$C,$A156,Sheet2!$A:$A,I$2)&lt;&gt;0,SUMIFS(Sheet2!$E:$E,Sheet2!$C:$C,$A156,Sheet2!$A:$A,I$2),"")</f>
        <v/>
      </c>
      <c r="J156" s="42" t="str">
        <f>IF(SUMIFS(Sheet2!$E:$E,Sheet2!$C:$C,$A156,Sheet2!$A:$A,J$2)&lt;&gt;0,SUMIFS(Sheet2!$E:$E,Sheet2!$C:$C,$A156,Sheet2!$A:$A,J$2),"")</f>
        <v/>
      </c>
      <c r="K156" s="42" t="str">
        <f>IF(SUMIFS(Sheet2!$E:$E,Sheet2!$C:$C,$A156,Sheet2!$A:$A,K$2)&lt;&gt;0,SUMIFS(Sheet2!$E:$E,Sheet2!$C:$C,$A156,Sheet2!$A:$A,K$2),"")</f>
        <v/>
      </c>
      <c r="L156" s="42" t="str">
        <f>IF(SUMIFS(Sheet2!$E:$E,Sheet2!$C:$C,$A156,Sheet2!$A:$A,L$2)&lt;&gt;0,SUMIFS(Sheet2!$E:$E,Sheet2!$C:$C,$A156,Sheet2!$A:$A,L$2),"")</f>
        <v/>
      </c>
      <c r="M156" s="42" t="str">
        <f>IF(SUMIFS(Sheet2!$E:$E,Sheet2!$C:$C,$A156,Sheet2!$A:$A,M$2)&lt;&gt;0,SUMIFS(Sheet2!$E:$E,Sheet2!$C:$C,$A156,Sheet2!$A:$A,M$2),"")</f>
        <v/>
      </c>
      <c r="N156" s="42" t="str">
        <f>IF(SUMIFS(Sheet2!$E:$E,Sheet2!$C:$C,$A156,Sheet2!$A:$A,N$2)&lt;&gt;0,SUMIFS(Sheet2!$E:$E,Sheet2!$C:$C,$A156,Sheet2!$A:$A,N$2),"")</f>
        <v/>
      </c>
      <c r="O156" s="42" t="str">
        <f>IF(SUMIFS(Sheet2!$E:$E,Sheet2!$C:$C,$A156,Sheet2!$A:$A,O$2)&lt;&gt;0,SUMIFS(Sheet2!$E:$E,Sheet2!$C:$C,$A156,Sheet2!$A:$A,O$2),"")</f>
        <v/>
      </c>
      <c r="P156" s="42" t="str">
        <f>IF(SUMIFS(Sheet2!$E:$E,Sheet2!$C:$C,$A156,Sheet2!$A:$A,P$2)&lt;&gt;0,SUMIFS(Sheet2!$E:$E,Sheet2!$C:$C,$A156,Sheet2!$A:$A,P$2),"")</f>
        <v/>
      </c>
      <c r="Q156" s="42" t="str">
        <f>IF(SUMIFS(Sheet2!$E:$E,Sheet2!$C:$C,$A156,Sheet2!$A:$A,Q$2)&lt;&gt;0,SUMIFS(Sheet2!$E:$E,Sheet2!$C:$C,$A156,Sheet2!$A:$A,Q$2),"")</f>
        <v/>
      </c>
      <c r="R156" s="42" t="str">
        <f>IF(SUMIFS(Sheet2!$E:$E,Sheet2!$C:$C,$A156,Sheet2!$A:$A,R$2)&lt;&gt;0,SUMIFS(Sheet2!$E:$E,Sheet2!$C:$C,$A156,Sheet2!$A:$A,R$2),"")</f>
        <v/>
      </c>
      <c r="S156" s="42" t="str">
        <f>IF(SUMIFS(Sheet2!$E:$E,Sheet2!$C:$C,$A156,Sheet2!$A:$A,S$2)&lt;&gt;0,SUMIFS(Sheet2!$E:$E,Sheet2!$C:$C,$A156,Sheet2!$A:$A,S$2),"")</f>
        <v/>
      </c>
      <c r="T156" s="42" t="str">
        <f>IF(SUMIFS(Sheet2!$E:$E,Sheet2!$C:$C,$A156,Sheet2!$A:$A,T$2)&lt;&gt;0,SUMIFS(Sheet2!$E:$E,Sheet2!$C:$C,$A156,Sheet2!$A:$A,T$2),"")</f>
        <v/>
      </c>
      <c r="U156" s="42" t="str">
        <f>IF(SUMIFS(Sheet2!$E:$E,Sheet2!$C:$C,$A156,Sheet2!$A:$A,U$2)&lt;&gt;0,SUMIFS(Sheet2!$E:$E,Sheet2!$C:$C,$A156,Sheet2!$A:$A,U$2),"")</f>
        <v/>
      </c>
      <c r="V156" s="42" t="str">
        <f>IF(SUMIFS(Sheet2!$E:$E,Sheet2!$C:$C,$A156,Sheet2!$A:$A,V$2)&lt;&gt;0,SUMIFS(Sheet2!$E:$E,Sheet2!$C:$C,$A156,Sheet2!$A:$A,V$2),"")</f>
        <v/>
      </c>
      <c r="W156" s="42" t="str">
        <f>IF(SUMIFS(Sheet2!$E:$E,Sheet2!$C:$C,$A156,Sheet2!$A:$A,W$2)&lt;&gt;0,SUMIFS(Sheet2!$E:$E,Sheet2!$C:$C,$A156,Sheet2!$A:$A,W$2),"")</f>
        <v/>
      </c>
      <c r="X156" s="42" t="str">
        <f>IF(SUMIFS(Sheet2!$E:$E,Sheet2!$C:$C,$A156,Sheet2!$A:$A,X$2)&lt;&gt;0,SUMIFS(Sheet2!$E:$E,Sheet2!$C:$C,$A156,Sheet2!$A:$A,X$2),"")</f>
        <v/>
      </c>
      <c r="Y156" s="42" t="str">
        <f>IF(SUMIFS(Sheet2!$E:$E,Sheet2!$C:$C,$A156,Sheet2!$A:$A,Y$2)&lt;&gt;0,SUMIFS(Sheet2!$E:$E,Sheet2!$C:$C,$A156,Sheet2!$A:$A,Y$2),"")</f>
        <v/>
      </c>
      <c r="Z156" s="42" t="str">
        <f>IF(SUMIFS(Sheet2!$E:$E,Sheet2!$C:$C,$A156,Sheet2!$A:$A,Z$2)&lt;&gt;0,SUMIFS(Sheet2!$E:$E,Sheet2!$C:$C,$A156,Sheet2!$A:$A,Z$2),"")</f>
        <v/>
      </c>
      <c r="AA156" s="42" t="str">
        <f>IF(SUMIFS(Sheet2!$E:$E,Sheet2!$C:$C,$A156,Sheet2!$A:$A,AA$2)&lt;&gt;0,SUMIFS(Sheet2!$E:$E,Sheet2!$C:$C,$A156,Sheet2!$A:$A,AA$2),"")</f>
        <v/>
      </c>
      <c r="AB156" s="42" t="str">
        <f>IF(SUMIFS(Sheet2!$E:$E,Sheet2!$C:$C,$A156,Sheet2!$A:$A,AB$2)&lt;&gt;0,SUMIFS(Sheet2!$E:$E,Sheet2!$C:$C,$A156,Sheet2!$A:$A,AB$2),"")</f>
        <v/>
      </c>
      <c r="AC156" s="42" t="str">
        <f>IF(SUMIFS(Sheet2!$E:$E,Sheet2!$C:$C,$A156,Sheet2!$A:$A,AC$2)&lt;&gt;0,SUMIFS(Sheet2!$E:$E,Sheet2!$C:$C,$A156,Sheet2!$A:$A,AC$2),"")</f>
        <v/>
      </c>
      <c r="AD156" s="42" t="str">
        <f>IF(SUMIFS(Sheet2!$E:$E,Sheet2!$C:$C,$A156,Sheet2!$A:$A,AD$2)&lt;&gt;0,SUMIFS(Sheet2!$E:$E,Sheet2!$C:$C,$A156,Sheet2!$A:$A,AD$2),"")</f>
        <v/>
      </c>
      <c r="AE156" s="42" t="str">
        <f>IF(SUMIFS(Sheet2!$E:$E,Sheet2!$C:$C,$A156,Sheet2!$A:$A,AE$2)&lt;&gt;0,SUMIFS(Sheet2!$E:$E,Sheet2!$C:$C,$A156,Sheet2!$A:$A,AE$2),"")</f>
        <v/>
      </c>
      <c r="AF156" s="42" t="str">
        <f>IF(SUMIFS(Sheet2!$E:$E,Sheet2!$C:$C,$A156,Sheet2!$A:$A,AF$2)&lt;&gt;0,SUMIFS(Sheet2!$E:$E,Sheet2!$C:$C,$A156,Sheet2!$A:$A,AF$2),"")</f>
        <v/>
      </c>
      <c r="AG156" s="42" t="str">
        <f>IF(SUMIFS(Sheet2!$E:$E,Sheet2!$C:$C,$A156,Sheet2!$A:$A,AG$2)&lt;&gt;0,SUMIFS(Sheet2!$E:$E,Sheet2!$C:$C,$A156,Sheet2!$A:$A,AG$2),"")</f>
        <v/>
      </c>
      <c r="AH156" s="43">
        <f>SUM(Table2[[#This Row],[1]:[31]])</f>
        <v>0</v>
      </c>
    </row>
    <row r="157" spans="1:34" ht="12.75" customHeight="1">
      <c r="A157" s="76" t="str">
        <f>DSSP!A156</f>
        <v>GC06</v>
      </c>
      <c r="B157" s="25" t="str">
        <f>DSSP!B156</f>
        <v>Mặt lớn</v>
      </c>
      <c r="C157" s="42" t="str">
        <f>IF(SUMIFS(Sheet2!$E:$E,Sheet2!$C:$C,$A157,Sheet2!$A:$A,C$2)&lt;&gt;0,SUMIFS(Sheet2!$E:$E,Sheet2!$C:$C,$A157,Sheet2!$A:$A,C$2),"")</f>
        <v/>
      </c>
      <c r="D157" s="42" t="str">
        <f>IF(SUMIFS(Sheet2!$E:$E,Sheet2!$C:$C,$A157,Sheet2!$A:$A,D$2)&lt;&gt;0,SUMIFS(Sheet2!$E:$E,Sheet2!$C:$C,$A157,Sheet2!$A:$A,D$2),"")</f>
        <v/>
      </c>
      <c r="E157" s="42" t="str">
        <f>IF(SUMIFS(Sheet2!$E:$E,Sheet2!$C:$C,$A157,Sheet2!$A:$A,E$2)&lt;&gt;0,SUMIFS(Sheet2!$E:$E,Sheet2!$C:$C,$A157,Sheet2!$A:$A,E$2),"")</f>
        <v/>
      </c>
      <c r="F157" s="42" t="str">
        <f>IF(SUMIFS(Sheet2!$E:$E,Sheet2!$C:$C,$A157,Sheet2!$A:$A,F$2)&lt;&gt;0,SUMIFS(Sheet2!$E:$E,Sheet2!$C:$C,$A157,Sheet2!$A:$A,F$2),"")</f>
        <v/>
      </c>
      <c r="G157" s="42" t="str">
        <f>IF(SUMIFS(Sheet2!$E:$E,Sheet2!$C:$C,$A157,Sheet2!$A:$A,G$2)&lt;&gt;0,SUMIFS(Sheet2!$E:$E,Sheet2!$C:$C,$A157,Sheet2!$A:$A,G$2),"")</f>
        <v/>
      </c>
      <c r="H157" s="42" t="str">
        <f>IF(SUMIFS(Sheet2!$E:$E,Sheet2!$C:$C,$A157,Sheet2!$A:$A,H$2)&lt;&gt;0,SUMIFS(Sheet2!$E:$E,Sheet2!$C:$C,$A157,Sheet2!$A:$A,H$2),"")</f>
        <v/>
      </c>
      <c r="I157" s="42" t="str">
        <f>IF(SUMIFS(Sheet2!$E:$E,Sheet2!$C:$C,$A157,Sheet2!$A:$A,I$2)&lt;&gt;0,SUMIFS(Sheet2!$E:$E,Sheet2!$C:$C,$A157,Sheet2!$A:$A,I$2),"")</f>
        <v/>
      </c>
      <c r="J157" s="42" t="str">
        <f>IF(SUMIFS(Sheet2!$E:$E,Sheet2!$C:$C,$A157,Sheet2!$A:$A,J$2)&lt;&gt;0,SUMIFS(Sheet2!$E:$E,Sheet2!$C:$C,$A157,Sheet2!$A:$A,J$2),"")</f>
        <v/>
      </c>
      <c r="K157" s="42" t="str">
        <f>IF(SUMIFS(Sheet2!$E:$E,Sheet2!$C:$C,$A157,Sheet2!$A:$A,K$2)&lt;&gt;0,SUMIFS(Sheet2!$E:$E,Sheet2!$C:$C,$A157,Sheet2!$A:$A,K$2),"")</f>
        <v/>
      </c>
      <c r="L157" s="42" t="str">
        <f>IF(SUMIFS(Sheet2!$E:$E,Sheet2!$C:$C,$A157,Sheet2!$A:$A,L$2)&lt;&gt;0,SUMIFS(Sheet2!$E:$E,Sheet2!$C:$C,$A157,Sheet2!$A:$A,L$2),"")</f>
        <v/>
      </c>
      <c r="M157" s="42" t="str">
        <f>IF(SUMIFS(Sheet2!$E:$E,Sheet2!$C:$C,$A157,Sheet2!$A:$A,M$2)&lt;&gt;0,SUMIFS(Sheet2!$E:$E,Sheet2!$C:$C,$A157,Sheet2!$A:$A,M$2),"")</f>
        <v/>
      </c>
      <c r="N157" s="42" t="str">
        <f>IF(SUMIFS(Sheet2!$E:$E,Sheet2!$C:$C,$A157,Sheet2!$A:$A,N$2)&lt;&gt;0,SUMIFS(Sheet2!$E:$E,Sheet2!$C:$C,$A157,Sheet2!$A:$A,N$2),"")</f>
        <v/>
      </c>
      <c r="O157" s="42" t="str">
        <f>IF(SUMIFS(Sheet2!$E:$E,Sheet2!$C:$C,$A157,Sheet2!$A:$A,O$2)&lt;&gt;0,SUMIFS(Sheet2!$E:$E,Sheet2!$C:$C,$A157,Sheet2!$A:$A,O$2),"")</f>
        <v/>
      </c>
      <c r="P157" s="42" t="str">
        <f>IF(SUMIFS(Sheet2!$E:$E,Sheet2!$C:$C,$A157,Sheet2!$A:$A,P$2)&lt;&gt;0,SUMIFS(Sheet2!$E:$E,Sheet2!$C:$C,$A157,Sheet2!$A:$A,P$2),"")</f>
        <v/>
      </c>
      <c r="Q157" s="42" t="str">
        <f>IF(SUMIFS(Sheet2!$E:$E,Sheet2!$C:$C,$A157,Sheet2!$A:$A,Q$2)&lt;&gt;0,SUMIFS(Sheet2!$E:$E,Sheet2!$C:$C,$A157,Sheet2!$A:$A,Q$2),"")</f>
        <v/>
      </c>
      <c r="R157" s="42" t="str">
        <f>IF(SUMIFS(Sheet2!$E:$E,Sheet2!$C:$C,$A157,Sheet2!$A:$A,R$2)&lt;&gt;0,SUMIFS(Sheet2!$E:$E,Sheet2!$C:$C,$A157,Sheet2!$A:$A,R$2),"")</f>
        <v/>
      </c>
      <c r="S157" s="42" t="str">
        <f>IF(SUMIFS(Sheet2!$E:$E,Sheet2!$C:$C,$A157,Sheet2!$A:$A,S$2)&lt;&gt;0,SUMIFS(Sheet2!$E:$E,Sheet2!$C:$C,$A157,Sheet2!$A:$A,S$2),"")</f>
        <v/>
      </c>
      <c r="T157" s="42" t="str">
        <f>IF(SUMIFS(Sheet2!$E:$E,Sheet2!$C:$C,$A157,Sheet2!$A:$A,T$2)&lt;&gt;0,SUMIFS(Sheet2!$E:$E,Sheet2!$C:$C,$A157,Sheet2!$A:$A,T$2),"")</f>
        <v/>
      </c>
      <c r="U157" s="42" t="str">
        <f>IF(SUMIFS(Sheet2!$E:$E,Sheet2!$C:$C,$A157,Sheet2!$A:$A,U$2)&lt;&gt;0,SUMIFS(Sheet2!$E:$E,Sheet2!$C:$C,$A157,Sheet2!$A:$A,U$2),"")</f>
        <v/>
      </c>
      <c r="V157" s="42" t="str">
        <f>IF(SUMIFS(Sheet2!$E:$E,Sheet2!$C:$C,$A157,Sheet2!$A:$A,V$2)&lt;&gt;0,SUMIFS(Sheet2!$E:$E,Sheet2!$C:$C,$A157,Sheet2!$A:$A,V$2),"")</f>
        <v/>
      </c>
      <c r="W157" s="42" t="str">
        <f>IF(SUMIFS(Sheet2!$E:$E,Sheet2!$C:$C,$A157,Sheet2!$A:$A,W$2)&lt;&gt;0,SUMIFS(Sheet2!$E:$E,Sheet2!$C:$C,$A157,Sheet2!$A:$A,W$2),"")</f>
        <v/>
      </c>
      <c r="X157" s="42" t="str">
        <f>IF(SUMIFS(Sheet2!$E:$E,Sheet2!$C:$C,$A157,Sheet2!$A:$A,X$2)&lt;&gt;0,SUMIFS(Sheet2!$E:$E,Sheet2!$C:$C,$A157,Sheet2!$A:$A,X$2),"")</f>
        <v/>
      </c>
      <c r="Y157" s="42" t="str">
        <f>IF(SUMIFS(Sheet2!$E:$E,Sheet2!$C:$C,$A157,Sheet2!$A:$A,Y$2)&lt;&gt;0,SUMIFS(Sheet2!$E:$E,Sheet2!$C:$C,$A157,Sheet2!$A:$A,Y$2),"")</f>
        <v/>
      </c>
      <c r="Z157" s="42" t="str">
        <f>IF(SUMIFS(Sheet2!$E:$E,Sheet2!$C:$C,$A157,Sheet2!$A:$A,Z$2)&lt;&gt;0,SUMIFS(Sheet2!$E:$E,Sheet2!$C:$C,$A157,Sheet2!$A:$A,Z$2),"")</f>
        <v/>
      </c>
      <c r="AA157" s="42" t="str">
        <f>IF(SUMIFS(Sheet2!$E:$E,Sheet2!$C:$C,$A157,Sheet2!$A:$A,AA$2)&lt;&gt;0,SUMIFS(Sheet2!$E:$E,Sheet2!$C:$C,$A157,Sheet2!$A:$A,AA$2),"")</f>
        <v/>
      </c>
      <c r="AB157" s="42" t="str">
        <f>IF(SUMIFS(Sheet2!$E:$E,Sheet2!$C:$C,$A157,Sheet2!$A:$A,AB$2)&lt;&gt;0,SUMIFS(Sheet2!$E:$E,Sheet2!$C:$C,$A157,Sheet2!$A:$A,AB$2),"")</f>
        <v/>
      </c>
      <c r="AC157" s="42" t="str">
        <f>IF(SUMIFS(Sheet2!$E:$E,Sheet2!$C:$C,$A157,Sheet2!$A:$A,AC$2)&lt;&gt;0,SUMIFS(Sheet2!$E:$E,Sheet2!$C:$C,$A157,Sheet2!$A:$A,AC$2),"")</f>
        <v/>
      </c>
      <c r="AD157" s="42" t="str">
        <f>IF(SUMIFS(Sheet2!$E:$E,Sheet2!$C:$C,$A157,Sheet2!$A:$A,AD$2)&lt;&gt;0,SUMIFS(Sheet2!$E:$E,Sheet2!$C:$C,$A157,Sheet2!$A:$A,AD$2),"")</f>
        <v/>
      </c>
      <c r="AE157" s="42" t="str">
        <f>IF(SUMIFS(Sheet2!$E:$E,Sheet2!$C:$C,$A157,Sheet2!$A:$A,AE$2)&lt;&gt;0,SUMIFS(Sheet2!$E:$E,Sheet2!$C:$C,$A157,Sheet2!$A:$A,AE$2),"")</f>
        <v/>
      </c>
      <c r="AF157" s="42" t="str">
        <f>IF(SUMIFS(Sheet2!$E:$E,Sheet2!$C:$C,$A157,Sheet2!$A:$A,AF$2)&lt;&gt;0,SUMIFS(Sheet2!$E:$E,Sheet2!$C:$C,$A157,Sheet2!$A:$A,AF$2),"")</f>
        <v/>
      </c>
      <c r="AG157" s="42" t="str">
        <f>IF(SUMIFS(Sheet2!$E:$E,Sheet2!$C:$C,$A157,Sheet2!$A:$A,AG$2)&lt;&gt;0,SUMIFS(Sheet2!$E:$E,Sheet2!$C:$C,$A157,Sheet2!$A:$A,AG$2),"")</f>
        <v/>
      </c>
      <c r="AH157" s="43">
        <f>SUM(Table2[[#This Row],[1]:[31]])</f>
        <v>0</v>
      </c>
    </row>
    <row r="158" spans="1:34" ht="12.75" customHeight="1">
      <c r="A158" s="76" t="str">
        <f>DSSP!A157</f>
        <v>GC07</v>
      </c>
      <c r="B158" s="25" t="str">
        <f>DSSP!B157</f>
        <v>Mặt vừa</v>
      </c>
      <c r="C158" s="42" t="str">
        <f>IF(SUMIFS(Sheet2!$E:$E,Sheet2!$C:$C,$A158,Sheet2!$A:$A,C$2)&lt;&gt;0,SUMIFS(Sheet2!$E:$E,Sheet2!$C:$C,$A158,Sheet2!$A:$A,C$2),"")</f>
        <v/>
      </c>
      <c r="D158" s="42" t="str">
        <f>IF(SUMIFS(Sheet2!$E:$E,Sheet2!$C:$C,$A158,Sheet2!$A:$A,D$2)&lt;&gt;0,SUMIFS(Sheet2!$E:$E,Sheet2!$C:$C,$A158,Sheet2!$A:$A,D$2),"")</f>
        <v/>
      </c>
      <c r="E158" s="42" t="str">
        <f>IF(SUMIFS(Sheet2!$E:$E,Sheet2!$C:$C,$A158,Sheet2!$A:$A,E$2)&lt;&gt;0,SUMIFS(Sheet2!$E:$E,Sheet2!$C:$C,$A158,Sheet2!$A:$A,E$2),"")</f>
        <v/>
      </c>
      <c r="F158" s="42" t="str">
        <f>IF(SUMIFS(Sheet2!$E:$E,Sheet2!$C:$C,$A158,Sheet2!$A:$A,F$2)&lt;&gt;0,SUMIFS(Sheet2!$E:$E,Sheet2!$C:$C,$A158,Sheet2!$A:$A,F$2),"")</f>
        <v/>
      </c>
      <c r="G158" s="42" t="str">
        <f>IF(SUMIFS(Sheet2!$E:$E,Sheet2!$C:$C,$A158,Sheet2!$A:$A,G$2)&lt;&gt;0,SUMIFS(Sheet2!$E:$E,Sheet2!$C:$C,$A158,Sheet2!$A:$A,G$2),"")</f>
        <v/>
      </c>
      <c r="H158" s="42" t="str">
        <f>IF(SUMIFS(Sheet2!$E:$E,Sheet2!$C:$C,$A158,Sheet2!$A:$A,H$2)&lt;&gt;0,SUMIFS(Sheet2!$E:$E,Sheet2!$C:$C,$A158,Sheet2!$A:$A,H$2),"")</f>
        <v/>
      </c>
      <c r="I158" s="42" t="str">
        <f>IF(SUMIFS(Sheet2!$E:$E,Sheet2!$C:$C,$A158,Sheet2!$A:$A,I$2)&lt;&gt;0,SUMIFS(Sheet2!$E:$E,Sheet2!$C:$C,$A158,Sheet2!$A:$A,I$2),"")</f>
        <v/>
      </c>
      <c r="J158" s="42" t="str">
        <f>IF(SUMIFS(Sheet2!$E:$E,Sheet2!$C:$C,$A158,Sheet2!$A:$A,J$2)&lt;&gt;0,SUMIFS(Sheet2!$E:$E,Sheet2!$C:$C,$A158,Sheet2!$A:$A,J$2),"")</f>
        <v/>
      </c>
      <c r="K158" s="42" t="str">
        <f>IF(SUMIFS(Sheet2!$E:$E,Sheet2!$C:$C,$A158,Sheet2!$A:$A,K$2)&lt;&gt;0,SUMIFS(Sheet2!$E:$E,Sheet2!$C:$C,$A158,Sheet2!$A:$A,K$2),"")</f>
        <v/>
      </c>
      <c r="L158" s="42" t="str">
        <f>IF(SUMIFS(Sheet2!$E:$E,Sheet2!$C:$C,$A158,Sheet2!$A:$A,L$2)&lt;&gt;0,SUMIFS(Sheet2!$E:$E,Sheet2!$C:$C,$A158,Sheet2!$A:$A,L$2),"")</f>
        <v/>
      </c>
      <c r="M158" s="42" t="str">
        <f>IF(SUMIFS(Sheet2!$E:$E,Sheet2!$C:$C,$A158,Sheet2!$A:$A,M$2)&lt;&gt;0,SUMIFS(Sheet2!$E:$E,Sheet2!$C:$C,$A158,Sheet2!$A:$A,M$2),"")</f>
        <v/>
      </c>
      <c r="N158" s="42" t="str">
        <f>IF(SUMIFS(Sheet2!$E:$E,Sheet2!$C:$C,$A158,Sheet2!$A:$A,N$2)&lt;&gt;0,SUMIFS(Sheet2!$E:$E,Sheet2!$C:$C,$A158,Sheet2!$A:$A,N$2),"")</f>
        <v/>
      </c>
      <c r="O158" s="42" t="str">
        <f>IF(SUMIFS(Sheet2!$E:$E,Sheet2!$C:$C,$A158,Sheet2!$A:$A,O$2)&lt;&gt;0,SUMIFS(Sheet2!$E:$E,Sheet2!$C:$C,$A158,Sheet2!$A:$A,O$2),"")</f>
        <v/>
      </c>
      <c r="P158" s="42" t="str">
        <f>IF(SUMIFS(Sheet2!$E:$E,Sheet2!$C:$C,$A158,Sheet2!$A:$A,P$2)&lt;&gt;0,SUMIFS(Sheet2!$E:$E,Sheet2!$C:$C,$A158,Sheet2!$A:$A,P$2),"")</f>
        <v/>
      </c>
      <c r="Q158" s="42" t="str">
        <f>IF(SUMIFS(Sheet2!$E:$E,Sheet2!$C:$C,$A158,Sheet2!$A:$A,Q$2)&lt;&gt;0,SUMIFS(Sheet2!$E:$E,Sheet2!$C:$C,$A158,Sheet2!$A:$A,Q$2),"")</f>
        <v/>
      </c>
      <c r="R158" s="42" t="str">
        <f>IF(SUMIFS(Sheet2!$E:$E,Sheet2!$C:$C,$A158,Sheet2!$A:$A,R$2)&lt;&gt;0,SUMIFS(Sheet2!$E:$E,Sheet2!$C:$C,$A158,Sheet2!$A:$A,R$2),"")</f>
        <v/>
      </c>
      <c r="S158" s="42" t="str">
        <f>IF(SUMIFS(Sheet2!$E:$E,Sheet2!$C:$C,$A158,Sheet2!$A:$A,S$2)&lt;&gt;0,SUMIFS(Sheet2!$E:$E,Sheet2!$C:$C,$A158,Sheet2!$A:$A,S$2),"")</f>
        <v/>
      </c>
      <c r="T158" s="42" t="str">
        <f>IF(SUMIFS(Sheet2!$E:$E,Sheet2!$C:$C,$A158,Sheet2!$A:$A,T$2)&lt;&gt;0,SUMIFS(Sheet2!$E:$E,Sheet2!$C:$C,$A158,Sheet2!$A:$A,T$2),"")</f>
        <v/>
      </c>
      <c r="U158" s="42" t="str">
        <f>IF(SUMIFS(Sheet2!$E:$E,Sheet2!$C:$C,$A158,Sheet2!$A:$A,U$2)&lt;&gt;0,SUMIFS(Sheet2!$E:$E,Sheet2!$C:$C,$A158,Sheet2!$A:$A,U$2),"")</f>
        <v/>
      </c>
      <c r="V158" s="42" t="str">
        <f>IF(SUMIFS(Sheet2!$E:$E,Sheet2!$C:$C,$A158,Sheet2!$A:$A,V$2)&lt;&gt;0,SUMIFS(Sheet2!$E:$E,Sheet2!$C:$C,$A158,Sheet2!$A:$A,V$2),"")</f>
        <v/>
      </c>
      <c r="W158" s="42" t="str">
        <f>IF(SUMIFS(Sheet2!$E:$E,Sheet2!$C:$C,$A158,Sheet2!$A:$A,W$2)&lt;&gt;0,SUMIFS(Sheet2!$E:$E,Sheet2!$C:$C,$A158,Sheet2!$A:$A,W$2),"")</f>
        <v/>
      </c>
      <c r="X158" s="42" t="str">
        <f>IF(SUMIFS(Sheet2!$E:$E,Sheet2!$C:$C,$A158,Sheet2!$A:$A,X$2)&lt;&gt;0,SUMIFS(Sheet2!$E:$E,Sheet2!$C:$C,$A158,Sheet2!$A:$A,X$2),"")</f>
        <v/>
      </c>
      <c r="Y158" s="42" t="str">
        <f>IF(SUMIFS(Sheet2!$E:$E,Sheet2!$C:$C,$A158,Sheet2!$A:$A,Y$2)&lt;&gt;0,SUMIFS(Sheet2!$E:$E,Sheet2!$C:$C,$A158,Sheet2!$A:$A,Y$2),"")</f>
        <v/>
      </c>
      <c r="Z158" s="42" t="str">
        <f>IF(SUMIFS(Sheet2!$E:$E,Sheet2!$C:$C,$A158,Sheet2!$A:$A,Z$2)&lt;&gt;0,SUMIFS(Sheet2!$E:$E,Sheet2!$C:$C,$A158,Sheet2!$A:$A,Z$2),"")</f>
        <v/>
      </c>
      <c r="AA158" s="42" t="str">
        <f>IF(SUMIFS(Sheet2!$E:$E,Sheet2!$C:$C,$A158,Sheet2!$A:$A,AA$2)&lt;&gt;0,SUMIFS(Sheet2!$E:$E,Sheet2!$C:$C,$A158,Sheet2!$A:$A,AA$2),"")</f>
        <v/>
      </c>
      <c r="AB158" s="42" t="str">
        <f>IF(SUMIFS(Sheet2!$E:$E,Sheet2!$C:$C,$A158,Sheet2!$A:$A,AB$2)&lt;&gt;0,SUMIFS(Sheet2!$E:$E,Sheet2!$C:$C,$A158,Sheet2!$A:$A,AB$2),"")</f>
        <v/>
      </c>
      <c r="AC158" s="42" t="str">
        <f>IF(SUMIFS(Sheet2!$E:$E,Sheet2!$C:$C,$A158,Sheet2!$A:$A,AC$2)&lt;&gt;0,SUMIFS(Sheet2!$E:$E,Sheet2!$C:$C,$A158,Sheet2!$A:$A,AC$2),"")</f>
        <v/>
      </c>
      <c r="AD158" s="42" t="str">
        <f>IF(SUMIFS(Sheet2!$E:$E,Sheet2!$C:$C,$A158,Sheet2!$A:$A,AD$2)&lt;&gt;0,SUMIFS(Sheet2!$E:$E,Sheet2!$C:$C,$A158,Sheet2!$A:$A,AD$2),"")</f>
        <v/>
      </c>
      <c r="AE158" s="42" t="str">
        <f>IF(SUMIFS(Sheet2!$E:$E,Sheet2!$C:$C,$A158,Sheet2!$A:$A,AE$2)&lt;&gt;0,SUMIFS(Sheet2!$E:$E,Sheet2!$C:$C,$A158,Sheet2!$A:$A,AE$2),"")</f>
        <v/>
      </c>
      <c r="AF158" s="42" t="str">
        <f>IF(SUMIFS(Sheet2!$E:$E,Sheet2!$C:$C,$A158,Sheet2!$A:$A,AF$2)&lt;&gt;0,SUMIFS(Sheet2!$E:$E,Sheet2!$C:$C,$A158,Sheet2!$A:$A,AF$2),"")</f>
        <v/>
      </c>
      <c r="AG158" s="42" t="str">
        <f>IF(SUMIFS(Sheet2!$E:$E,Sheet2!$C:$C,$A158,Sheet2!$A:$A,AG$2)&lt;&gt;0,SUMIFS(Sheet2!$E:$E,Sheet2!$C:$C,$A158,Sheet2!$A:$A,AG$2),"")</f>
        <v/>
      </c>
      <c r="AH158" s="43">
        <f>SUM(Table2[[#This Row],[1]:[31]])</f>
        <v>0</v>
      </c>
    </row>
    <row r="159" spans="1:34" ht="12.75" customHeight="1">
      <c r="A159" s="76" t="str">
        <f>DSSP!A158</f>
        <v>GC08</v>
      </c>
      <c r="B159" s="25" t="str">
        <f>DSSP!B158</f>
        <v>Mặt nhỏ</v>
      </c>
      <c r="C159" s="42" t="str">
        <f>IF(SUMIFS(Sheet2!$E:$E,Sheet2!$C:$C,$A159,Sheet2!$A:$A,C$2)&lt;&gt;0,SUMIFS(Sheet2!$E:$E,Sheet2!$C:$C,$A159,Sheet2!$A:$A,C$2),"")</f>
        <v/>
      </c>
      <c r="D159" s="42" t="str">
        <f>IF(SUMIFS(Sheet2!$E:$E,Sheet2!$C:$C,$A159,Sheet2!$A:$A,D$2)&lt;&gt;0,SUMIFS(Sheet2!$E:$E,Sheet2!$C:$C,$A159,Sheet2!$A:$A,D$2),"")</f>
        <v/>
      </c>
      <c r="E159" s="42" t="str">
        <f>IF(SUMIFS(Sheet2!$E:$E,Sheet2!$C:$C,$A159,Sheet2!$A:$A,E$2)&lt;&gt;0,SUMIFS(Sheet2!$E:$E,Sheet2!$C:$C,$A159,Sheet2!$A:$A,E$2),"")</f>
        <v/>
      </c>
      <c r="F159" s="42" t="str">
        <f>IF(SUMIFS(Sheet2!$E:$E,Sheet2!$C:$C,$A159,Sheet2!$A:$A,F$2)&lt;&gt;0,SUMIFS(Sheet2!$E:$E,Sheet2!$C:$C,$A159,Sheet2!$A:$A,F$2),"")</f>
        <v/>
      </c>
      <c r="G159" s="42" t="str">
        <f>IF(SUMIFS(Sheet2!$E:$E,Sheet2!$C:$C,$A159,Sheet2!$A:$A,G$2)&lt;&gt;0,SUMIFS(Sheet2!$E:$E,Sheet2!$C:$C,$A159,Sheet2!$A:$A,G$2),"")</f>
        <v/>
      </c>
      <c r="H159" s="42" t="str">
        <f>IF(SUMIFS(Sheet2!$E:$E,Sheet2!$C:$C,$A159,Sheet2!$A:$A,H$2)&lt;&gt;0,SUMIFS(Sheet2!$E:$E,Sheet2!$C:$C,$A159,Sheet2!$A:$A,H$2),"")</f>
        <v/>
      </c>
      <c r="I159" s="42" t="str">
        <f>IF(SUMIFS(Sheet2!$E:$E,Sheet2!$C:$C,$A159,Sheet2!$A:$A,I$2)&lt;&gt;0,SUMIFS(Sheet2!$E:$E,Sheet2!$C:$C,$A159,Sheet2!$A:$A,I$2),"")</f>
        <v/>
      </c>
      <c r="J159" s="42" t="str">
        <f>IF(SUMIFS(Sheet2!$E:$E,Sheet2!$C:$C,$A159,Sheet2!$A:$A,J$2)&lt;&gt;0,SUMIFS(Sheet2!$E:$E,Sheet2!$C:$C,$A159,Sheet2!$A:$A,J$2),"")</f>
        <v/>
      </c>
      <c r="K159" s="42" t="str">
        <f>IF(SUMIFS(Sheet2!$E:$E,Sheet2!$C:$C,$A159,Sheet2!$A:$A,K$2)&lt;&gt;0,SUMIFS(Sheet2!$E:$E,Sheet2!$C:$C,$A159,Sheet2!$A:$A,K$2),"")</f>
        <v/>
      </c>
      <c r="L159" s="42" t="str">
        <f>IF(SUMIFS(Sheet2!$E:$E,Sheet2!$C:$C,$A159,Sheet2!$A:$A,L$2)&lt;&gt;0,SUMIFS(Sheet2!$E:$E,Sheet2!$C:$C,$A159,Sheet2!$A:$A,L$2),"")</f>
        <v/>
      </c>
      <c r="M159" s="42" t="str">
        <f>IF(SUMIFS(Sheet2!$E:$E,Sheet2!$C:$C,$A159,Sheet2!$A:$A,M$2)&lt;&gt;0,SUMIFS(Sheet2!$E:$E,Sheet2!$C:$C,$A159,Sheet2!$A:$A,M$2),"")</f>
        <v/>
      </c>
      <c r="N159" s="42" t="str">
        <f>IF(SUMIFS(Sheet2!$E:$E,Sheet2!$C:$C,$A159,Sheet2!$A:$A,N$2)&lt;&gt;0,SUMIFS(Sheet2!$E:$E,Sheet2!$C:$C,$A159,Sheet2!$A:$A,N$2),"")</f>
        <v/>
      </c>
      <c r="O159" s="42" t="str">
        <f>IF(SUMIFS(Sheet2!$E:$E,Sheet2!$C:$C,$A159,Sheet2!$A:$A,O$2)&lt;&gt;0,SUMIFS(Sheet2!$E:$E,Sheet2!$C:$C,$A159,Sheet2!$A:$A,O$2),"")</f>
        <v/>
      </c>
      <c r="P159" s="42" t="str">
        <f>IF(SUMIFS(Sheet2!$E:$E,Sheet2!$C:$C,$A159,Sheet2!$A:$A,P$2)&lt;&gt;0,SUMIFS(Sheet2!$E:$E,Sheet2!$C:$C,$A159,Sheet2!$A:$A,P$2),"")</f>
        <v/>
      </c>
      <c r="Q159" s="42" t="str">
        <f>IF(SUMIFS(Sheet2!$E:$E,Sheet2!$C:$C,$A159,Sheet2!$A:$A,Q$2)&lt;&gt;0,SUMIFS(Sheet2!$E:$E,Sheet2!$C:$C,$A159,Sheet2!$A:$A,Q$2),"")</f>
        <v/>
      </c>
      <c r="R159" s="42" t="str">
        <f>IF(SUMIFS(Sheet2!$E:$E,Sheet2!$C:$C,$A159,Sheet2!$A:$A,R$2)&lt;&gt;0,SUMIFS(Sheet2!$E:$E,Sheet2!$C:$C,$A159,Sheet2!$A:$A,R$2),"")</f>
        <v/>
      </c>
      <c r="S159" s="42" t="str">
        <f>IF(SUMIFS(Sheet2!$E:$E,Sheet2!$C:$C,$A159,Sheet2!$A:$A,S$2)&lt;&gt;0,SUMIFS(Sheet2!$E:$E,Sheet2!$C:$C,$A159,Sheet2!$A:$A,S$2),"")</f>
        <v/>
      </c>
      <c r="T159" s="42" t="str">
        <f>IF(SUMIFS(Sheet2!$E:$E,Sheet2!$C:$C,$A159,Sheet2!$A:$A,T$2)&lt;&gt;0,SUMIFS(Sheet2!$E:$E,Sheet2!$C:$C,$A159,Sheet2!$A:$A,T$2),"")</f>
        <v/>
      </c>
      <c r="U159" s="42" t="str">
        <f>IF(SUMIFS(Sheet2!$E:$E,Sheet2!$C:$C,$A159,Sheet2!$A:$A,U$2)&lt;&gt;0,SUMIFS(Sheet2!$E:$E,Sheet2!$C:$C,$A159,Sheet2!$A:$A,U$2),"")</f>
        <v/>
      </c>
      <c r="V159" s="42" t="str">
        <f>IF(SUMIFS(Sheet2!$E:$E,Sheet2!$C:$C,$A159,Sheet2!$A:$A,V$2)&lt;&gt;0,SUMIFS(Sheet2!$E:$E,Sheet2!$C:$C,$A159,Sheet2!$A:$A,V$2),"")</f>
        <v/>
      </c>
      <c r="W159" s="42" t="str">
        <f>IF(SUMIFS(Sheet2!$E:$E,Sheet2!$C:$C,$A159,Sheet2!$A:$A,W$2)&lt;&gt;0,SUMIFS(Sheet2!$E:$E,Sheet2!$C:$C,$A159,Sheet2!$A:$A,W$2),"")</f>
        <v/>
      </c>
      <c r="X159" s="42" t="str">
        <f>IF(SUMIFS(Sheet2!$E:$E,Sheet2!$C:$C,$A159,Sheet2!$A:$A,X$2)&lt;&gt;0,SUMIFS(Sheet2!$E:$E,Sheet2!$C:$C,$A159,Sheet2!$A:$A,X$2),"")</f>
        <v/>
      </c>
      <c r="Y159" s="42" t="str">
        <f>IF(SUMIFS(Sheet2!$E:$E,Sheet2!$C:$C,$A159,Sheet2!$A:$A,Y$2)&lt;&gt;0,SUMIFS(Sheet2!$E:$E,Sheet2!$C:$C,$A159,Sheet2!$A:$A,Y$2),"")</f>
        <v/>
      </c>
      <c r="Z159" s="42" t="str">
        <f>IF(SUMIFS(Sheet2!$E:$E,Sheet2!$C:$C,$A159,Sheet2!$A:$A,Z$2)&lt;&gt;0,SUMIFS(Sheet2!$E:$E,Sheet2!$C:$C,$A159,Sheet2!$A:$A,Z$2),"")</f>
        <v/>
      </c>
      <c r="AA159" s="42" t="str">
        <f>IF(SUMIFS(Sheet2!$E:$E,Sheet2!$C:$C,$A159,Sheet2!$A:$A,AA$2)&lt;&gt;0,SUMIFS(Sheet2!$E:$E,Sheet2!$C:$C,$A159,Sheet2!$A:$A,AA$2),"")</f>
        <v/>
      </c>
      <c r="AB159" s="42" t="str">
        <f>IF(SUMIFS(Sheet2!$E:$E,Sheet2!$C:$C,$A159,Sheet2!$A:$A,AB$2)&lt;&gt;0,SUMIFS(Sheet2!$E:$E,Sheet2!$C:$C,$A159,Sheet2!$A:$A,AB$2),"")</f>
        <v/>
      </c>
      <c r="AC159" s="42" t="str">
        <f>IF(SUMIFS(Sheet2!$E:$E,Sheet2!$C:$C,$A159,Sheet2!$A:$A,AC$2)&lt;&gt;0,SUMIFS(Sheet2!$E:$E,Sheet2!$C:$C,$A159,Sheet2!$A:$A,AC$2),"")</f>
        <v/>
      </c>
      <c r="AD159" s="42" t="str">
        <f>IF(SUMIFS(Sheet2!$E:$E,Sheet2!$C:$C,$A159,Sheet2!$A:$A,AD$2)&lt;&gt;0,SUMIFS(Sheet2!$E:$E,Sheet2!$C:$C,$A159,Sheet2!$A:$A,AD$2),"")</f>
        <v/>
      </c>
      <c r="AE159" s="42" t="str">
        <f>IF(SUMIFS(Sheet2!$E:$E,Sheet2!$C:$C,$A159,Sheet2!$A:$A,AE$2)&lt;&gt;0,SUMIFS(Sheet2!$E:$E,Sheet2!$C:$C,$A159,Sheet2!$A:$A,AE$2),"")</f>
        <v/>
      </c>
      <c r="AF159" s="42" t="str">
        <f>IF(SUMIFS(Sheet2!$E:$E,Sheet2!$C:$C,$A159,Sheet2!$A:$A,AF$2)&lt;&gt;0,SUMIFS(Sheet2!$E:$E,Sheet2!$C:$C,$A159,Sheet2!$A:$A,AF$2),"")</f>
        <v/>
      </c>
      <c r="AG159" s="42" t="str">
        <f>IF(SUMIFS(Sheet2!$E:$E,Sheet2!$C:$C,$A159,Sheet2!$A:$A,AG$2)&lt;&gt;0,SUMIFS(Sheet2!$E:$E,Sheet2!$C:$C,$A159,Sheet2!$A:$A,AG$2),"")</f>
        <v/>
      </c>
      <c r="AH159" s="43">
        <f>SUM(Table2[[#This Row],[1]:[31]])</f>
        <v>0</v>
      </c>
    </row>
    <row r="160" spans="1:34" ht="12.75" customHeight="1">
      <c r="A160" s="76" t="str">
        <f>DSSP!A159</f>
        <v>GC09</v>
      </c>
      <c r="B160" s="25" t="str">
        <f>DSSP!B159</f>
        <v>Mặt cung</v>
      </c>
      <c r="C160" s="42" t="str">
        <f>IF(SUMIFS(Sheet2!$E:$E,Sheet2!$C:$C,$A160,Sheet2!$A:$A,C$2)&lt;&gt;0,SUMIFS(Sheet2!$E:$E,Sheet2!$C:$C,$A160,Sheet2!$A:$A,C$2),"")</f>
        <v/>
      </c>
      <c r="D160" s="42" t="str">
        <f>IF(SUMIFS(Sheet2!$E:$E,Sheet2!$C:$C,$A160,Sheet2!$A:$A,D$2)&lt;&gt;0,SUMIFS(Sheet2!$E:$E,Sheet2!$C:$C,$A160,Sheet2!$A:$A,D$2),"")</f>
        <v/>
      </c>
      <c r="E160" s="42" t="str">
        <f>IF(SUMIFS(Sheet2!$E:$E,Sheet2!$C:$C,$A160,Sheet2!$A:$A,E$2)&lt;&gt;0,SUMIFS(Sheet2!$E:$E,Sheet2!$C:$C,$A160,Sheet2!$A:$A,E$2),"")</f>
        <v/>
      </c>
      <c r="F160" s="42" t="str">
        <f>IF(SUMIFS(Sheet2!$E:$E,Sheet2!$C:$C,$A160,Sheet2!$A:$A,F$2)&lt;&gt;0,SUMIFS(Sheet2!$E:$E,Sheet2!$C:$C,$A160,Sheet2!$A:$A,F$2),"")</f>
        <v/>
      </c>
      <c r="G160" s="42" t="str">
        <f>IF(SUMIFS(Sheet2!$E:$E,Sheet2!$C:$C,$A160,Sheet2!$A:$A,G$2)&lt;&gt;0,SUMIFS(Sheet2!$E:$E,Sheet2!$C:$C,$A160,Sheet2!$A:$A,G$2),"")</f>
        <v/>
      </c>
      <c r="H160" s="42" t="str">
        <f>IF(SUMIFS(Sheet2!$E:$E,Sheet2!$C:$C,$A160,Sheet2!$A:$A,H$2)&lt;&gt;0,SUMIFS(Sheet2!$E:$E,Sheet2!$C:$C,$A160,Sheet2!$A:$A,H$2),"")</f>
        <v/>
      </c>
      <c r="I160" s="42" t="str">
        <f>IF(SUMIFS(Sheet2!$E:$E,Sheet2!$C:$C,$A160,Sheet2!$A:$A,I$2)&lt;&gt;0,SUMIFS(Sheet2!$E:$E,Sheet2!$C:$C,$A160,Sheet2!$A:$A,I$2),"")</f>
        <v/>
      </c>
      <c r="J160" s="42" t="str">
        <f>IF(SUMIFS(Sheet2!$E:$E,Sheet2!$C:$C,$A160,Sheet2!$A:$A,J$2)&lt;&gt;0,SUMIFS(Sheet2!$E:$E,Sheet2!$C:$C,$A160,Sheet2!$A:$A,J$2),"")</f>
        <v/>
      </c>
      <c r="K160" s="42" t="str">
        <f>IF(SUMIFS(Sheet2!$E:$E,Sheet2!$C:$C,$A160,Sheet2!$A:$A,K$2)&lt;&gt;0,SUMIFS(Sheet2!$E:$E,Sheet2!$C:$C,$A160,Sheet2!$A:$A,K$2),"")</f>
        <v/>
      </c>
      <c r="L160" s="42" t="str">
        <f>IF(SUMIFS(Sheet2!$E:$E,Sheet2!$C:$C,$A160,Sheet2!$A:$A,L$2)&lt;&gt;0,SUMIFS(Sheet2!$E:$E,Sheet2!$C:$C,$A160,Sheet2!$A:$A,L$2),"")</f>
        <v/>
      </c>
      <c r="M160" s="42" t="str">
        <f>IF(SUMIFS(Sheet2!$E:$E,Sheet2!$C:$C,$A160,Sheet2!$A:$A,M$2)&lt;&gt;0,SUMIFS(Sheet2!$E:$E,Sheet2!$C:$C,$A160,Sheet2!$A:$A,M$2),"")</f>
        <v/>
      </c>
      <c r="N160" s="42" t="str">
        <f>IF(SUMIFS(Sheet2!$E:$E,Sheet2!$C:$C,$A160,Sheet2!$A:$A,N$2)&lt;&gt;0,SUMIFS(Sheet2!$E:$E,Sheet2!$C:$C,$A160,Sheet2!$A:$A,N$2),"")</f>
        <v/>
      </c>
      <c r="O160" s="42" t="str">
        <f>IF(SUMIFS(Sheet2!$E:$E,Sheet2!$C:$C,$A160,Sheet2!$A:$A,O$2)&lt;&gt;0,SUMIFS(Sheet2!$E:$E,Sheet2!$C:$C,$A160,Sheet2!$A:$A,O$2),"")</f>
        <v/>
      </c>
      <c r="P160" s="42" t="str">
        <f>IF(SUMIFS(Sheet2!$E:$E,Sheet2!$C:$C,$A160,Sheet2!$A:$A,P$2)&lt;&gt;0,SUMIFS(Sheet2!$E:$E,Sheet2!$C:$C,$A160,Sheet2!$A:$A,P$2),"")</f>
        <v/>
      </c>
      <c r="Q160" s="42" t="str">
        <f>IF(SUMIFS(Sheet2!$E:$E,Sheet2!$C:$C,$A160,Sheet2!$A:$A,Q$2)&lt;&gt;0,SUMIFS(Sheet2!$E:$E,Sheet2!$C:$C,$A160,Sheet2!$A:$A,Q$2),"")</f>
        <v/>
      </c>
      <c r="R160" s="42" t="str">
        <f>IF(SUMIFS(Sheet2!$E:$E,Sheet2!$C:$C,$A160,Sheet2!$A:$A,R$2)&lt;&gt;0,SUMIFS(Sheet2!$E:$E,Sheet2!$C:$C,$A160,Sheet2!$A:$A,R$2),"")</f>
        <v/>
      </c>
      <c r="S160" s="42" t="str">
        <f>IF(SUMIFS(Sheet2!$E:$E,Sheet2!$C:$C,$A160,Sheet2!$A:$A,S$2)&lt;&gt;0,SUMIFS(Sheet2!$E:$E,Sheet2!$C:$C,$A160,Sheet2!$A:$A,S$2),"")</f>
        <v/>
      </c>
      <c r="T160" s="42" t="str">
        <f>IF(SUMIFS(Sheet2!$E:$E,Sheet2!$C:$C,$A160,Sheet2!$A:$A,T$2)&lt;&gt;0,SUMIFS(Sheet2!$E:$E,Sheet2!$C:$C,$A160,Sheet2!$A:$A,T$2),"")</f>
        <v/>
      </c>
      <c r="U160" s="42" t="str">
        <f>IF(SUMIFS(Sheet2!$E:$E,Sheet2!$C:$C,$A160,Sheet2!$A:$A,U$2)&lt;&gt;0,SUMIFS(Sheet2!$E:$E,Sheet2!$C:$C,$A160,Sheet2!$A:$A,U$2),"")</f>
        <v/>
      </c>
      <c r="V160" s="42" t="str">
        <f>IF(SUMIFS(Sheet2!$E:$E,Sheet2!$C:$C,$A160,Sheet2!$A:$A,V$2)&lt;&gt;0,SUMIFS(Sheet2!$E:$E,Sheet2!$C:$C,$A160,Sheet2!$A:$A,V$2),"")</f>
        <v/>
      </c>
      <c r="W160" s="42" t="str">
        <f>IF(SUMIFS(Sheet2!$E:$E,Sheet2!$C:$C,$A160,Sheet2!$A:$A,W$2)&lt;&gt;0,SUMIFS(Sheet2!$E:$E,Sheet2!$C:$C,$A160,Sheet2!$A:$A,W$2),"")</f>
        <v/>
      </c>
      <c r="X160" s="42" t="str">
        <f>IF(SUMIFS(Sheet2!$E:$E,Sheet2!$C:$C,$A160,Sheet2!$A:$A,X$2)&lt;&gt;0,SUMIFS(Sheet2!$E:$E,Sheet2!$C:$C,$A160,Sheet2!$A:$A,X$2),"")</f>
        <v/>
      </c>
      <c r="Y160" s="42" t="str">
        <f>IF(SUMIFS(Sheet2!$E:$E,Sheet2!$C:$C,$A160,Sheet2!$A:$A,Y$2)&lt;&gt;0,SUMIFS(Sheet2!$E:$E,Sheet2!$C:$C,$A160,Sheet2!$A:$A,Y$2),"")</f>
        <v/>
      </c>
      <c r="Z160" s="42" t="str">
        <f>IF(SUMIFS(Sheet2!$E:$E,Sheet2!$C:$C,$A160,Sheet2!$A:$A,Z$2)&lt;&gt;0,SUMIFS(Sheet2!$E:$E,Sheet2!$C:$C,$A160,Sheet2!$A:$A,Z$2),"")</f>
        <v/>
      </c>
      <c r="AA160" s="42" t="str">
        <f>IF(SUMIFS(Sheet2!$E:$E,Sheet2!$C:$C,$A160,Sheet2!$A:$A,AA$2)&lt;&gt;0,SUMIFS(Sheet2!$E:$E,Sheet2!$C:$C,$A160,Sheet2!$A:$A,AA$2),"")</f>
        <v/>
      </c>
      <c r="AB160" s="42" t="str">
        <f>IF(SUMIFS(Sheet2!$E:$E,Sheet2!$C:$C,$A160,Sheet2!$A:$A,AB$2)&lt;&gt;0,SUMIFS(Sheet2!$E:$E,Sheet2!$C:$C,$A160,Sheet2!$A:$A,AB$2),"")</f>
        <v/>
      </c>
      <c r="AC160" s="42" t="str">
        <f>IF(SUMIFS(Sheet2!$E:$E,Sheet2!$C:$C,$A160,Sheet2!$A:$A,AC$2)&lt;&gt;0,SUMIFS(Sheet2!$E:$E,Sheet2!$C:$C,$A160,Sheet2!$A:$A,AC$2),"")</f>
        <v/>
      </c>
      <c r="AD160" s="42" t="str">
        <f>IF(SUMIFS(Sheet2!$E:$E,Sheet2!$C:$C,$A160,Sheet2!$A:$A,AD$2)&lt;&gt;0,SUMIFS(Sheet2!$E:$E,Sheet2!$C:$C,$A160,Sheet2!$A:$A,AD$2),"")</f>
        <v/>
      </c>
      <c r="AE160" s="42" t="str">
        <f>IF(SUMIFS(Sheet2!$E:$E,Sheet2!$C:$C,$A160,Sheet2!$A:$A,AE$2)&lt;&gt;0,SUMIFS(Sheet2!$E:$E,Sheet2!$C:$C,$A160,Sheet2!$A:$A,AE$2),"")</f>
        <v/>
      </c>
      <c r="AF160" s="42" t="str">
        <f>IF(SUMIFS(Sheet2!$E:$E,Sheet2!$C:$C,$A160,Sheet2!$A:$A,AF$2)&lt;&gt;0,SUMIFS(Sheet2!$E:$E,Sheet2!$C:$C,$A160,Sheet2!$A:$A,AF$2),"")</f>
        <v/>
      </c>
      <c r="AG160" s="42" t="str">
        <f>IF(SUMIFS(Sheet2!$E:$E,Sheet2!$C:$C,$A160,Sheet2!$A:$A,AG$2)&lt;&gt;0,SUMIFS(Sheet2!$E:$E,Sheet2!$C:$C,$A160,Sheet2!$A:$A,AG$2),"")</f>
        <v/>
      </c>
      <c r="AH160" s="43">
        <f>SUM(Table2[[#This Row],[1]:[31]])</f>
        <v>0</v>
      </c>
    </row>
    <row r="161" spans="1:34" ht="12.75" customHeight="1">
      <c r="A161" s="76" t="str">
        <f>DSSP!A160</f>
        <v>GC10</v>
      </c>
      <c r="B161" s="25" t="str">
        <f>DSSP!B160</f>
        <v>Bộ 12 cung</v>
      </c>
      <c r="C161" s="42" t="str">
        <f>IF(SUMIFS(Sheet2!$E:$E,Sheet2!$C:$C,$A161,Sheet2!$A:$A,C$2)&lt;&gt;0,SUMIFS(Sheet2!$E:$E,Sheet2!$C:$C,$A161,Sheet2!$A:$A,C$2),"")</f>
        <v/>
      </c>
      <c r="D161" s="42" t="str">
        <f>IF(SUMIFS(Sheet2!$E:$E,Sheet2!$C:$C,$A161,Sheet2!$A:$A,D$2)&lt;&gt;0,SUMIFS(Sheet2!$E:$E,Sheet2!$C:$C,$A161,Sheet2!$A:$A,D$2),"")</f>
        <v/>
      </c>
      <c r="E161" s="42" t="str">
        <f>IF(SUMIFS(Sheet2!$E:$E,Sheet2!$C:$C,$A161,Sheet2!$A:$A,E$2)&lt;&gt;0,SUMIFS(Sheet2!$E:$E,Sheet2!$C:$C,$A161,Sheet2!$A:$A,E$2),"")</f>
        <v/>
      </c>
      <c r="F161" s="42" t="str">
        <f>IF(SUMIFS(Sheet2!$E:$E,Sheet2!$C:$C,$A161,Sheet2!$A:$A,F$2)&lt;&gt;0,SUMIFS(Sheet2!$E:$E,Sheet2!$C:$C,$A161,Sheet2!$A:$A,F$2),"")</f>
        <v/>
      </c>
      <c r="G161" s="42" t="str">
        <f>IF(SUMIFS(Sheet2!$E:$E,Sheet2!$C:$C,$A161,Sheet2!$A:$A,G$2)&lt;&gt;0,SUMIFS(Sheet2!$E:$E,Sheet2!$C:$C,$A161,Sheet2!$A:$A,G$2),"")</f>
        <v/>
      </c>
      <c r="H161" s="42" t="str">
        <f>IF(SUMIFS(Sheet2!$E:$E,Sheet2!$C:$C,$A161,Sheet2!$A:$A,H$2)&lt;&gt;0,SUMIFS(Sheet2!$E:$E,Sheet2!$C:$C,$A161,Sheet2!$A:$A,H$2),"")</f>
        <v/>
      </c>
      <c r="I161" s="42" t="str">
        <f>IF(SUMIFS(Sheet2!$E:$E,Sheet2!$C:$C,$A161,Sheet2!$A:$A,I$2)&lt;&gt;0,SUMIFS(Sheet2!$E:$E,Sheet2!$C:$C,$A161,Sheet2!$A:$A,I$2),"")</f>
        <v/>
      </c>
      <c r="J161" s="42" t="str">
        <f>IF(SUMIFS(Sheet2!$E:$E,Sheet2!$C:$C,$A161,Sheet2!$A:$A,J$2)&lt;&gt;0,SUMIFS(Sheet2!$E:$E,Sheet2!$C:$C,$A161,Sheet2!$A:$A,J$2),"")</f>
        <v/>
      </c>
      <c r="K161" s="42" t="str">
        <f>IF(SUMIFS(Sheet2!$E:$E,Sheet2!$C:$C,$A161,Sheet2!$A:$A,K$2)&lt;&gt;0,SUMIFS(Sheet2!$E:$E,Sheet2!$C:$C,$A161,Sheet2!$A:$A,K$2),"")</f>
        <v/>
      </c>
      <c r="L161" s="42" t="str">
        <f>IF(SUMIFS(Sheet2!$E:$E,Sheet2!$C:$C,$A161,Sheet2!$A:$A,L$2)&lt;&gt;0,SUMIFS(Sheet2!$E:$E,Sheet2!$C:$C,$A161,Sheet2!$A:$A,L$2),"")</f>
        <v/>
      </c>
      <c r="M161" s="42" t="str">
        <f>IF(SUMIFS(Sheet2!$E:$E,Sheet2!$C:$C,$A161,Sheet2!$A:$A,M$2)&lt;&gt;0,SUMIFS(Sheet2!$E:$E,Sheet2!$C:$C,$A161,Sheet2!$A:$A,M$2),"")</f>
        <v/>
      </c>
      <c r="N161" s="42" t="str">
        <f>IF(SUMIFS(Sheet2!$E:$E,Sheet2!$C:$C,$A161,Sheet2!$A:$A,N$2)&lt;&gt;0,SUMIFS(Sheet2!$E:$E,Sheet2!$C:$C,$A161,Sheet2!$A:$A,N$2),"")</f>
        <v/>
      </c>
      <c r="O161" s="42" t="str">
        <f>IF(SUMIFS(Sheet2!$E:$E,Sheet2!$C:$C,$A161,Sheet2!$A:$A,O$2)&lt;&gt;0,SUMIFS(Sheet2!$E:$E,Sheet2!$C:$C,$A161,Sheet2!$A:$A,O$2),"")</f>
        <v/>
      </c>
      <c r="P161" s="42" t="str">
        <f>IF(SUMIFS(Sheet2!$E:$E,Sheet2!$C:$C,$A161,Sheet2!$A:$A,P$2)&lt;&gt;0,SUMIFS(Sheet2!$E:$E,Sheet2!$C:$C,$A161,Sheet2!$A:$A,P$2),"")</f>
        <v/>
      </c>
      <c r="Q161" s="42" t="str">
        <f>IF(SUMIFS(Sheet2!$E:$E,Sheet2!$C:$C,$A161,Sheet2!$A:$A,Q$2)&lt;&gt;0,SUMIFS(Sheet2!$E:$E,Sheet2!$C:$C,$A161,Sheet2!$A:$A,Q$2),"")</f>
        <v/>
      </c>
      <c r="R161" s="42" t="str">
        <f>IF(SUMIFS(Sheet2!$E:$E,Sheet2!$C:$C,$A161,Sheet2!$A:$A,R$2)&lt;&gt;0,SUMIFS(Sheet2!$E:$E,Sheet2!$C:$C,$A161,Sheet2!$A:$A,R$2),"")</f>
        <v/>
      </c>
      <c r="S161" s="42" t="str">
        <f>IF(SUMIFS(Sheet2!$E:$E,Sheet2!$C:$C,$A161,Sheet2!$A:$A,S$2)&lt;&gt;0,SUMIFS(Sheet2!$E:$E,Sheet2!$C:$C,$A161,Sheet2!$A:$A,S$2),"")</f>
        <v/>
      </c>
      <c r="T161" s="42" t="str">
        <f>IF(SUMIFS(Sheet2!$E:$E,Sheet2!$C:$C,$A161,Sheet2!$A:$A,T$2)&lt;&gt;0,SUMIFS(Sheet2!$E:$E,Sheet2!$C:$C,$A161,Sheet2!$A:$A,T$2),"")</f>
        <v/>
      </c>
      <c r="U161" s="42" t="str">
        <f>IF(SUMIFS(Sheet2!$E:$E,Sheet2!$C:$C,$A161,Sheet2!$A:$A,U$2)&lt;&gt;0,SUMIFS(Sheet2!$E:$E,Sheet2!$C:$C,$A161,Sheet2!$A:$A,U$2),"")</f>
        <v/>
      </c>
      <c r="V161" s="42" t="str">
        <f>IF(SUMIFS(Sheet2!$E:$E,Sheet2!$C:$C,$A161,Sheet2!$A:$A,V$2)&lt;&gt;0,SUMIFS(Sheet2!$E:$E,Sheet2!$C:$C,$A161,Sheet2!$A:$A,V$2),"")</f>
        <v/>
      </c>
      <c r="W161" s="42" t="str">
        <f>IF(SUMIFS(Sheet2!$E:$E,Sheet2!$C:$C,$A161,Sheet2!$A:$A,W$2)&lt;&gt;0,SUMIFS(Sheet2!$E:$E,Sheet2!$C:$C,$A161,Sheet2!$A:$A,W$2),"")</f>
        <v/>
      </c>
      <c r="X161" s="42" t="str">
        <f>IF(SUMIFS(Sheet2!$E:$E,Sheet2!$C:$C,$A161,Sheet2!$A:$A,X$2)&lt;&gt;0,SUMIFS(Sheet2!$E:$E,Sheet2!$C:$C,$A161,Sheet2!$A:$A,X$2),"")</f>
        <v/>
      </c>
      <c r="Y161" s="42" t="str">
        <f>IF(SUMIFS(Sheet2!$E:$E,Sheet2!$C:$C,$A161,Sheet2!$A:$A,Y$2)&lt;&gt;0,SUMIFS(Sheet2!$E:$E,Sheet2!$C:$C,$A161,Sheet2!$A:$A,Y$2),"")</f>
        <v/>
      </c>
      <c r="Z161" s="42" t="str">
        <f>IF(SUMIFS(Sheet2!$E:$E,Sheet2!$C:$C,$A161,Sheet2!$A:$A,Z$2)&lt;&gt;0,SUMIFS(Sheet2!$E:$E,Sheet2!$C:$C,$A161,Sheet2!$A:$A,Z$2),"")</f>
        <v/>
      </c>
      <c r="AA161" s="42" t="str">
        <f>IF(SUMIFS(Sheet2!$E:$E,Sheet2!$C:$C,$A161,Sheet2!$A:$A,AA$2)&lt;&gt;0,SUMIFS(Sheet2!$E:$E,Sheet2!$C:$C,$A161,Sheet2!$A:$A,AA$2),"")</f>
        <v/>
      </c>
      <c r="AB161" s="42" t="str">
        <f>IF(SUMIFS(Sheet2!$E:$E,Sheet2!$C:$C,$A161,Sheet2!$A:$A,AB$2)&lt;&gt;0,SUMIFS(Sheet2!$E:$E,Sheet2!$C:$C,$A161,Sheet2!$A:$A,AB$2),"")</f>
        <v/>
      </c>
      <c r="AC161" s="42" t="str">
        <f>IF(SUMIFS(Sheet2!$E:$E,Sheet2!$C:$C,$A161,Sheet2!$A:$A,AC$2)&lt;&gt;0,SUMIFS(Sheet2!$E:$E,Sheet2!$C:$C,$A161,Sheet2!$A:$A,AC$2),"")</f>
        <v/>
      </c>
      <c r="AD161" s="42" t="str">
        <f>IF(SUMIFS(Sheet2!$E:$E,Sheet2!$C:$C,$A161,Sheet2!$A:$A,AD$2)&lt;&gt;0,SUMIFS(Sheet2!$E:$E,Sheet2!$C:$C,$A161,Sheet2!$A:$A,AD$2),"")</f>
        <v/>
      </c>
      <c r="AE161" s="42" t="str">
        <f>IF(SUMIFS(Sheet2!$E:$E,Sheet2!$C:$C,$A161,Sheet2!$A:$A,AE$2)&lt;&gt;0,SUMIFS(Sheet2!$E:$E,Sheet2!$C:$C,$A161,Sheet2!$A:$A,AE$2),"")</f>
        <v/>
      </c>
      <c r="AF161" s="42" t="str">
        <f>IF(SUMIFS(Sheet2!$E:$E,Sheet2!$C:$C,$A161,Sheet2!$A:$A,AF$2)&lt;&gt;0,SUMIFS(Sheet2!$E:$E,Sheet2!$C:$C,$A161,Sheet2!$A:$A,AF$2),"")</f>
        <v/>
      </c>
      <c r="AG161" s="42" t="str">
        <f>IF(SUMIFS(Sheet2!$E:$E,Sheet2!$C:$C,$A161,Sheet2!$A:$A,AG$2)&lt;&gt;0,SUMIFS(Sheet2!$E:$E,Sheet2!$C:$C,$A161,Sheet2!$A:$A,AG$2),"")</f>
        <v/>
      </c>
      <c r="AH161" s="43">
        <f>SUM(Table2[[#This Row],[1]:[31]])</f>
        <v>0</v>
      </c>
    </row>
    <row r="162" spans="1:34" ht="12.75" customHeight="1">
      <c r="A162" s="76" t="str">
        <f>DSSP!A161</f>
        <v>GC11</v>
      </c>
      <c r="B162" s="25" t="str">
        <f>DSSP!B161</f>
        <v>Kẹp ngang to (số 4)</v>
      </c>
      <c r="C162" s="42" t="str">
        <f>IF(SUMIFS(Sheet2!$E:$E,Sheet2!$C:$C,$A162,Sheet2!$A:$A,C$2)&lt;&gt;0,SUMIFS(Sheet2!$E:$E,Sheet2!$C:$C,$A162,Sheet2!$A:$A,C$2),"")</f>
        <v/>
      </c>
      <c r="D162" s="42" t="str">
        <f>IF(SUMIFS(Sheet2!$E:$E,Sheet2!$C:$C,$A162,Sheet2!$A:$A,D$2)&lt;&gt;0,SUMIFS(Sheet2!$E:$E,Sheet2!$C:$C,$A162,Sheet2!$A:$A,D$2),"")</f>
        <v/>
      </c>
      <c r="E162" s="42" t="str">
        <f>IF(SUMIFS(Sheet2!$E:$E,Sheet2!$C:$C,$A162,Sheet2!$A:$A,E$2)&lt;&gt;0,SUMIFS(Sheet2!$E:$E,Sheet2!$C:$C,$A162,Sheet2!$A:$A,E$2),"")</f>
        <v/>
      </c>
      <c r="F162" s="42" t="str">
        <f>IF(SUMIFS(Sheet2!$E:$E,Sheet2!$C:$C,$A162,Sheet2!$A:$A,F$2)&lt;&gt;0,SUMIFS(Sheet2!$E:$E,Sheet2!$C:$C,$A162,Sheet2!$A:$A,F$2),"")</f>
        <v/>
      </c>
      <c r="G162" s="42" t="str">
        <f>IF(SUMIFS(Sheet2!$E:$E,Sheet2!$C:$C,$A162,Sheet2!$A:$A,G$2)&lt;&gt;0,SUMIFS(Sheet2!$E:$E,Sheet2!$C:$C,$A162,Sheet2!$A:$A,G$2),"")</f>
        <v/>
      </c>
      <c r="H162" s="42" t="str">
        <f>IF(SUMIFS(Sheet2!$E:$E,Sheet2!$C:$C,$A162,Sheet2!$A:$A,H$2)&lt;&gt;0,SUMIFS(Sheet2!$E:$E,Sheet2!$C:$C,$A162,Sheet2!$A:$A,H$2),"")</f>
        <v/>
      </c>
      <c r="I162" s="42" t="str">
        <f>IF(SUMIFS(Sheet2!$E:$E,Sheet2!$C:$C,$A162,Sheet2!$A:$A,I$2)&lt;&gt;0,SUMIFS(Sheet2!$E:$E,Sheet2!$C:$C,$A162,Sheet2!$A:$A,I$2),"")</f>
        <v/>
      </c>
      <c r="J162" s="42" t="str">
        <f>IF(SUMIFS(Sheet2!$E:$E,Sheet2!$C:$C,$A162,Sheet2!$A:$A,J$2)&lt;&gt;0,SUMIFS(Sheet2!$E:$E,Sheet2!$C:$C,$A162,Sheet2!$A:$A,J$2),"")</f>
        <v/>
      </c>
      <c r="K162" s="42" t="str">
        <f>IF(SUMIFS(Sheet2!$E:$E,Sheet2!$C:$C,$A162,Sheet2!$A:$A,K$2)&lt;&gt;0,SUMIFS(Sheet2!$E:$E,Sheet2!$C:$C,$A162,Sheet2!$A:$A,K$2),"")</f>
        <v/>
      </c>
      <c r="L162" s="42" t="str">
        <f>IF(SUMIFS(Sheet2!$E:$E,Sheet2!$C:$C,$A162,Sheet2!$A:$A,L$2)&lt;&gt;0,SUMIFS(Sheet2!$E:$E,Sheet2!$C:$C,$A162,Sheet2!$A:$A,L$2),"")</f>
        <v/>
      </c>
      <c r="M162" s="42" t="str">
        <f>IF(SUMIFS(Sheet2!$E:$E,Sheet2!$C:$C,$A162,Sheet2!$A:$A,M$2)&lt;&gt;0,SUMIFS(Sheet2!$E:$E,Sheet2!$C:$C,$A162,Sheet2!$A:$A,M$2),"")</f>
        <v/>
      </c>
      <c r="N162" s="42" t="str">
        <f>IF(SUMIFS(Sheet2!$E:$E,Sheet2!$C:$C,$A162,Sheet2!$A:$A,N$2)&lt;&gt;0,SUMIFS(Sheet2!$E:$E,Sheet2!$C:$C,$A162,Sheet2!$A:$A,N$2),"")</f>
        <v/>
      </c>
      <c r="O162" s="42" t="str">
        <f>IF(SUMIFS(Sheet2!$E:$E,Sheet2!$C:$C,$A162,Sheet2!$A:$A,O$2)&lt;&gt;0,SUMIFS(Sheet2!$E:$E,Sheet2!$C:$C,$A162,Sheet2!$A:$A,O$2),"")</f>
        <v/>
      </c>
      <c r="P162" s="42" t="str">
        <f>IF(SUMIFS(Sheet2!$E:$E,Sheet2!$C:$C,$A162,Sheet2!$A:$A,P$2)&lt;&gt;0,SUMIFS(Sheet2!$E:$E,Sheet2!$C:$C,$A162,Sheet2!$A:$A,P$2),"")</f>
        <v/>
      </c>
      <c r="Q162" s="42" t="str">
        <f>IF(SUMIFS(Sheet2!$E:$E,Sheet2!$C:$C,$A162,Sheet2!$A:$A,Q$2)&lt;&gt;0,SUMIFS(Sheet2!$E:$E,Sheet2!$C:$C,$A162,Sheet2!$A:$A,Q$2),"")</f>
        <v/>
      </c>
      <c r="R162" s="42" t="str">
        <f>IF(SUMIFS(Sheet2!$E:$E,Sheet2!$C:$C,$A162,Sheet2!$A:$A,R$2)&lt;&gt;0,SUMIFS(Sheet2!$E:$E,Sheet2!$C:$C,$A162,Sheet2!$A:$A,R$2),"")</f>
        <v/>
      </c>
      <c r="S162" s="42" t="str">
        <f>IF(SUMIFS(Sheet2!$E:$E,Sheet2!$C:$C,$A162,Sheet2!$A:$A,S$2)&lt;&gt;0,SUMIFS(Sheet2!$E:$E,Sheet2!$C:$C,$A162,Sheet2!$A:$A,S$2),"")</f>
        <v/>
      </c>
      <c r="T162" s="42" t="str">
        <f>IF(SUMIFS(Sheet2!$E:$E,Sheet2!$C:$C,$A162,Sheet2!$A:$A,T$2)&lt;&gt;0,SUMIFS(Sheet2!$E:$E,Sheet2!$C:$C,$A162,Sheet2!$A:$A,T$2),"")</f>
        <v/>
      </c>
      <c r="U162" s="42" t="str">
        <f>IF(SUMIFS(Sheet2!$E:$E,Sheet2!$C:$C,$A162,Sheet2!$A:$A,U$2)&lt;&gt;0,SUMIFS(Sheet2!$E:$E,Sheet2!$C:$C,$A162,Sheet2!$A:$A,U$2),"")</f>
        <v/>
      </c>
      <c r="V162" s="42" t="str">
        <f>IF(SUMIFS(Sheet2!$E:$E,Sheet2!$C:$C,$A162,Sheet2!$A:$A,V$2)&lt;&gt;0,SUMIFS(Sheet2!$E:$E,Sheet2!$C:$C,$A162,Sheet2!$A:$A,V$2),"")</f>
        <v/>
      </c>
      <c r="W162" s="42" t="str">
        <f>IF(SUMIFS(Sheet2!$E:$E,Sheet2!$C:$C,$A162,Sheet2!$A:$A,W$2)&lt;&gt;0,SUMIFS(Sheet2!$E:$E,Sheet2!$C:$C,$A162,Sheet2!$A:$A,W$2),"")</f>
        <v/>
      </c>
      <c r="X162" s="42" t="str">
        <f>IF(SUMIFS(Sheet2!$E:$E,Sheet2!$C:$C,$A162,Sheet2!$A:$A,X$2)&lt;&gt;0,SUMIFS(Sheet2!$E:$E,Sheet2!$C:$C,$A162,Sheet2!$A:$A,X$2),"")</f>
        <v/>
      </c>
      <c r="Y162" s="42" t="str">
        <f>IF(SUMIFS(Sheet2!$E:$E,Sheet2!$C:$C,$A162,Sheet2!$A:$A,Y$2)&lt;&gt;0,SUMIFS(Sheet2!$E:$E,Sheet2!$C:$C,$A162,Sheet2!$A:$A,Y$2),"")</f>
        <v/>
      </c>
      <c r="Z162" s="42" t="str">
        <f>IF(SUMIFS(Sheet2!$E:$E,Sheet2!$C:$C,$A162,Sheet2!$A:$A,Z$2)&lt;&gt;0,SUMIFS(Sheet2!$E:$E,Sheet2!$C:$C,$A162,Sheet2!$A:$A,Z$2),"")</f>
        <v/>
      </c>
      <c r="AA162" s="42" t="str">
        <f>IF(SUMIFS(Sheet2!$E:$E,Sheet2!$C:$C,$A162,Sheet2!$A:$A,AA$2)&lt;&gt;0,SUMIFS(Sheet2!$E:$E,Sheet2!$C:$C,$A162,Sheet2!$A:$A,AA$2),"")</f>
        <v/>
      </c>
      <c r="AB162" s="42" t="str">
        <f>IF(SUMIFS(Sheet2!$E:$E,Sheet2!$C:$C,$A162,Sheet2!$A:$A,AB$2)&lt;&gt;0,SUMIFS(Sheet2!$E:$E,Sheet2!$C:$C,$A162,Sheet2!$A:$A,AB$2),"")</f>
        <v/>
      </c>
      <c r="AC162" s="42" t="str">
        <f>IF(SUMIFS(Sheet2!$E:$E,Sheet2!$C:$C,$A162,Sheet2!$A:$A,AC$2)&lt;&gt;0,SUMIFS(Sheet2!$E:$E,Sheet2!$C:$C,$A162,Sheet2!$A:$A,AC$2),"")</f>
        <v/>
      </c>
      <c r="AD162" s="42" t="str">
        <f>IF(SUMIFS(Sheet2!$E:$E,Sheet2!$C:$C,$A162,Sheet2!$A:$A,AD$2)&lt;&gt;0,SUMIFS(Sheet2!$E:$E,Sheet2!$C:$C,$A162,Sheet2!$A:$A,AD$2),"")</f>
        <v/>
      </c>
      <c r="AE162" s="42" t="str">
        <f>IF(SUMIFS(Sheet2!$E:$E,Sheet2!$C:$C,$A162,Sheet2!$A:$A,AE$2)&lt;&gt;0,SUMIFS(Sheet2!$E:$E,Sheet2!$C:$C,$A162,Sheet2!$A:$A,AE$2),"")</f>
        <v/>
      </c>
      <c r="AF162" s="42" t="str">
        <f>IF(SUMIFS(Sheet2!$E:$E,Sheet2!$C:$C,$A162,Sheet2!$A:$A,AF$2)&lt;&gt;0,SUMIFS(Sheet2!$E:$E,Sheet2!$C:$C,$A162,Sheet2!$A:$A,AF$2),"")</f>
        <v/>
      </c>
      <c r="AG162" s="42" t="str">
        <f>IF(SUMIFS(Sheet2!$E:$E,Sheet2!$C:$C,$A162,Sheet2!$A:$A,AG$2)&lt;&gt;0,SUMIFS(Sheet2!$E:$E,Sheet2!$C:$C,$A162,Sheet2!$A:$A,AG$2),"")</f>
        <v/>
      </c>
      <c r="AH162" s="43">
        <f>SUM(Table2[[#This Row],[1]:[31]])</f>
        <v>0</v>
      </c>
    </row>
    <row r="163" spans="1:34" ht="12.75" customHeight="1">
      <c r="A163" s="76" t="str">
        <f>DSSP!A162</f>
        <v>GC12</v>
      </c>
      <c r="B163" s="25" t="str">
        <f>DSSP!B162</f>
        <v>Kẹp ngang nhỏ(số 3)</v>
      </c>
      <c r="C163" s="42" t="str">
        <f>IF(SUMIFS(Sheet2!$E:$E,Sheet2!$C:$C,$A163,Sheet2!$A:$A,C$2)&lt;&gt;0,SUMIFS(Sheet2!$E:$E,Sheet2!$C:$C,$A163,Sheet2!$A:$A,C$2),"")</f>
        <v/>
      </c>
      <c r="D163" s="42" t="str">
        <f>IF(SUMIFS(Sheet2!$E:$E,Sheet2!$C:$C,$A163,Sheet2!$A:$A,D$2)&lt;&gt;0,SUMIFS(Sheet2!$E:$E,Sheet2!$C:$C,$A163,Sheet2!$A:$A,D$2),"")</f>
        <v/>
      </c>
      <c r="E163" s="42" t="str">
        <f>IF(SUMIFS(Sheet2!$E:$E,Sheet2!$C:$C,$A163,Sheet2!$A:$A,E$2)&lt;&gt;0,SUMIFS(Sheet2!$E:$E,Sheet2!$C:$C,$A163,Sheet2!$A:$A,E$2),"")</f>
        <v/>
      </c>
      <c r="F163" s="42" t="str">
        <f>IF(SUMIFS(Sheet2!$E:$E,Sheet2!$C:$C,$A163,Sheet2!$A:$A,F$2)&lt;&gt;0,SUMIFS(Sheet2!$E:$E,Sheet2!$C:$C,$A163,Sheet2!$A:$A,F$2),"")</f>
        <v/>
      </c>
      <c r="G163" s="42" t="str">
        <f>IF(SUMIFS(Sheet2!$E:$E,Sheet2!$C:$C,$A163,Sheet2!$A:$A,G$2)&lt;&gt;0,SUMIFS(Sheet2!$E:$E,Sheet2!$C:$C,$A163,Sheet2!$A:$A,G$2),"")</f>
        <v/>
      </c>
      <c r="H163" s="42" t="str">
        <f>IF(SUMIFS(Sheet2!$E:$E,Sheet2!$C:$C,$A163,Sheet2!$A:$A,H$2)&lt;&gt;0,SUMIFS(Sheet2!$E:$E,Sheet2!$C:$C,$A163,Sheet2!$A:$A,H$2),"")</f>
        <v/>
      </c>
      <c r="I163" s="42" t="str">
        <f>IF(SUMIFS(Sheet2!$E:$E,Sheet2!$C:$C,$A163,Sheet2!$A:$A,I$2)&lt;&gt;0,SUMIFS(Sheet2!$E:$E,Sheet2!$C:$C,$A163,Sheet2!$A:$A,I$2),"")</f>
        <v/>
      </c>
      <c r="J163" s="42" t="str">
        <f>IF(SUMIFS(Sheet2!$E:$E,Sheet2!$C:$C,$A163,Sheet2!$A:$A,J$2)&lt;&gt;0,SUMIFS(Sheet2!$E:$E,Sheet2!$C:$C,$A163,Sheet2!$A:$A,J$2),"")</f>
        <v/>
      </c>
      <c r="K163" s="42" t="str">
        <f>IF(SUMIFS(Sheet2!$E:$E,Sheet2!$C:$C,$A163,Sheet2!$A:$A,K$2)&lt;&gt;0,SUMIFS(Sheet2!$E:$E,Sheet2!$C:$C,$A163,Sheet2!$A:$A,K$2),"")</f>
        <v/>
      </c>
      <c r="L163" s="42" t="str">
        <f>IF(SUMIFS(Sheet2!$E:$E,Sheet2!$C:$C,$A163,Sheet2!$A:$A,L$2)&lt;&gt;0,SUMIFS(Sheet2!$E:$E,Sheet2!$C:$C,$A163,Sheet2!$A:$A,L$2),"")</f>
        <v/>
      </c>
      <c r="M163" s="42" t="str">
        <f>IF(SUMIFS(Sheet2!$E:$E,Sheet2!$C:$C,$A163,Sheet2!$A:$A,M$2)&lt;&gt;0,SUMIFS(Sheet2!$E:$E,Sheet2!$C:$C,$A163,Sheet2!$A:$A,M$2),"")</f>
        <v/>
      </c>
      <c r="N163" s="42" t="str">
        <f>IF(SUMIFS(Sheet2!$E:$E,Sheet2!$C:$C,$A163,Sheet2!$A:$A,N$2)&lt;&gt;0,SUMIFS(Sheet2!$E:$E,Sheet2!$C:$C,$A163,Sheet2!$A:$A,N$2),"")</f>
        <v/>
      </c>
      <c r="O163" s="42" t="str">
        <f>IF(SUMIFS(Sheet2!$E:$E,Sheet2!$C:$C,$A163,Sheet2!$A:$A,O$2)&lt;&gt;0,SUMIFS(Sheet2!$E:$E,Sheet2!$C:$C,$A163,Sheet2!$A:$A,O$2),"")</f>
        <v/>
      </c>
      <c r="P163" s="42" t="str">
        <f>IF(SUMIFS(Sheet2!$E:$E,Sheet2!$C:$C,$A163,Sheet2!$A:$A,P$2)&lt;&gt;0,SUMIFS(Sheet2!$E:$E,Sheet2!$C:$C,$A163,Sheet2!$A:$A,P$2),"")</f>
        <v/>
      </c>
      <c r="Q163" s="42" t="str">
        <f>IF(SUMIFS(Sheet2!$E:$E,Sheet2!$C:$C,$A163,Sheet2!$A:$A,Q$2)&lt;&gt;0,SUMIFS(Sheet2!$E:$E,Sheet2!$C:$C,$A163,Sheet2!$A:$A,Q$2),"")</f>
        <v/>
      </c>
      <c r="R163" s="42" t="str">
        <f>IF(SUMIFS(Sheet2!$E:$E,Sheet2!$C:$C,$A163,Sheet2!$A:$A,R$2)&lt;&gt;0,SUMIFS(Sheet2!$E:$E,Sheet2!$C:$C,$A163,Sheet2!$A:$A,R$2),"")</f>
        <v/>
      </c>
      <c r="S163" s="42" t="str">
        <f>IF(SUMIFS(Sheet2!$E:$E,Sheet2!$C:$C,$A163,Sheet2!$A:$A,S$2)&lt;&gt;0,SUMIFS(Sheet2!$E:$E,Sheet2!$C:$C,$A163,Sheet2!$A:$A,S$2),"")</f>
        <v/>
      </c>
      <c r="T163" s="42" t="str">
        <f>IF(SUMIFS(Sheet2!$E:$E,Sheet2!$C:$C,$A163,Sheet2!$A:$A,T$2)&lt;&gt;0,SUMIFS(Sheet2!$E:$E,Sheet2!$C:$C,$A163,Sheet2!$A:$A,T$2),"")</f>
        <v/>
      </c>
      <c r="U163" s="42" t="str">
        <f>IF(SUMIFS(Sheet2!$E:$E,Sheet2!$C:$C,$A163,Sheet2!$A:$A,U$2)&lt;&gt;0,SUMIFS(Sheet2!$E:$E,Sheet2!$C:$C,$A163,Sheet2!$A:$A,U$2),"")</f>
        <v/>
      </c>
      <c r="V163" s="42" t="str">
        <f>IF(SUMIFS(Sheet2!$E:$E,Sheet2!$C:$C,$A163,Sheet2!$A:$A,V$2)&lt;&gt;0,SUMIFS(Sheet2!$E:$E,Sheet2!$C:$C,$A163,Sheet2!$A:$A,V$2),"")</f>
        <v/>
      </c>
      <c r="W163" s="42" t="str">
        <f>IF(SUMIFS(Sheet2!$E:$E,Sheet2!$C:$C,$A163,Sheet2!$A:$A,W$2)&lt;&gt;0,SUMIFS(Sheet2!$E:$E,Sheet2!$C:$C,$A163,Sheet2!$A:$A,W$2),"")</f>
        <v/>
      </c>
      <c r="X163" s="42" t="str">
        <f>IF(SUMIFS(Sheet2!$E:$E,Sheet2!$C:$C,$A163,Sheet2!$A:$A,X$2)&lt;&gt;0,SUMIFS(Sheet2!$E:$E,Sheet2!$C:$C,$A163,Sheet2!$A:$A,X$2),"")</f>
        <v/>
      </c>
      <c r="Y163" s="42" t="str">
        <f>IF(SUMIFS(Sheet2!$E:$E,Sheet2!$C:$C,$A163,Sheet2!$A:$A,Y$2)&lt;&gt;0,SUMIFS(Sheet2!$E:$E,Sheet2!$C:$C,$A163,Sheet2!$A:$A,Y$2),"")</f>
        <v/>
      </c>
      <c r="Z163" s="42" t="str">
        <f>IF(SUMIFS(Sheet2!$E:$E,Sheet2!$C:$C,$A163,Sheet2!$A:$A,Z$2)&lt;&gt;0,SUMIFS(Sheet2!$E:$E,Sheet2!$C:$C,$A163,Sheet2!$A:$A,Z$2),"")</f>
        <v/>
      </c>
      <c r="AA163" s="42" t="str">
        <f>IF(SUMIFS(Sheet2!$E:$E,Sheet2!$C:$C,$A163,Sheet2!$A:$A,AA$2)&lt;&gt;0,SUMIFS(Sheet2!$E:$E,Sheet2!$C:$C,$A163,Sheet2!$A:$A,AA$2),"")</f>
        <v/>
      </c>
      <c r="AB163" s="42" t="str">
        <f>IF(SUMIFS(Sheet2!$E:$E,Sheet2!$C:$C,$A163,Sheet2!$A:$A,AB$2)&lt;&gt;0,SUMIFS(Sheet2!$E:$E,Sheet2!$C:$C,$A163,Sheet2!$A:$A,AB$2),"")</f>
        <v/>
      </c>
      <c r="AC163" s="42" t="str">
        <f>IF(SUMIFS(Sheet2!$E:$E,Sheet2!$C:$C,$A163,Sheet2!$A:$A,AC$2)&lt;&gt;0,SUMIFS(Sheet2!$E:$E,Sheet2!$C:$C,$A163,Sheet2!$A:$A,AC$2),"")</f>
        <v/>
      </c>
      <c r="AD163" s="42" t="str">
        <f>IF(SUMIFS(Sheet2!$E:$E,Sheet2!$C:$C,$A163,Sheet2!$A:$A,AD$2)&lt;&gt;0,SUMIFS(Sheet2!$E:$E,Sheet2!$C:$C,$A163,Sheet2!$A:$A,AD$2),"")</f>
        <v/>
      </c>
      <c r="AE163" s="42" t="str">
        <f>IF(SUMIFS(Sheet2!$E:$E,Sheet2!$C:$C,$A163,Sheet2!$A:$A,AE$2)&lt;&gt;0,SUMIFS(Sheet2!$E:$E,Sheet2!$C:$C,$A163,Sheet2!$A:$A,AE$2),"")</f>
        <v/>
      </c>
      <c r="AF163" s="42" t="str">
        <f>IF(SUMIFS(Sheet2!$E:$E,Sheet2!$C:$C,$A163,Sheet2!$A:$A,AF$2)&lt;&gt;0,SUMIFS(Sheet2!$E:$E,Sheet2!$C:$C,$A163,Sheet2!$A:$A,AF$2),"")</f>
        <v/>
      </c>
      <c r="AG163" s="42" t="str">
        <f>IF(SUMIFS(Sheet2!$E:$E,Sheet2!$C:$C,$A163,Sheet2!$A:$A,AG$2)&lt;&gt;0,SUMIFS(Sheet2!$E:$E,Sheet2!$C:$C,$A163,Sheet2!$A:$A,AG$2),"")</f>
        <v/>
      </c>
      <c r="AH163" s="43">
        <f>SUM(Table2[[#This Row],[1]:[31]])</f>
        <v>0</v>
      </c>
    </row>
    <row r="164" spans="1:34" ht="12.75" customHeight="1">
      <c r="A164" s="76" t="str">
        <f>DSSP!A163</f>
        <v>GC21</v>
      </c>
      <c r="B164" s="25" t="str">
        <f>DSSP!B163</f>
        <v>Kem ngang vừa (số 2)</v>
      </c>
      <c r="C164" s="42" t="str">
        <f>IF(SUMIFS(Sheet2!$E:$E,Sheet2!$C:$C,$A164,Sheet2!$A:$A,C$2)&lt;&gt;0,SUMIFS(Sheet2!$E:$E,Sheet2!$C:$C,$A164,Sheet2!$A:$A,C$2),"")</f>
        <v/>
      </c>
      <c r="D164" s="42" t="str">
        <f>IF(SUMIFS(Sheet2!$E:$E,Sheet2!$C:$C,$A164,Sheet2!$A:$A,D$2)&lt;&gt;0,SUMIFS(Sheet2!$E:$E,Sheet2!$C:$C,$A164,Sheet2!$A:$A,D$2),"")</f>
        <v/>
      </c>
      <c r="E164" s="42" t="str">
        <f>IF(SUMIFS(Sheet2!$E:$E,Sheet2!$C:$C,$A164,Sheet2!$A:$A,E$2)&lt;&gt;0,SUMIFS(Sheet2!$E:$E,Sheet2!$C:$C,$A164,Sheet2!$A:$A,E$2),"")</f>
        <v/>
      </c>
      <c r="F164" s="42" t="str">
        <f>IF(SUMIFS(Sheet2!$E:$E,Sheet2!$C:$C,$A164,Sheet2!$A:$A,F$2)&lt;&gt;0,SUMIFS(Sheet2!$E:$E,Sheet2!$C:$C,$A164,Sheet2!$A:$A,F$2),"")</f>
        <v/>
      </c>
      <c r="G164" s="42" t="str">
        <f>IF(SUMIFS(Sheet2!$E:$E,Sheet2!$C:$C,$A164,Sheet2!$A:$A,G$2)&lt;&gt;0,SUMIFS(Sheet2!$E:$E,Sheet2!$C:$C,$A164,Sheet2!$A:$A,G$2),"")</f>
        <v/>
      </c>
      <c r="H164" s="42" t="str">
        <f>IF(SUMIFS(Sheet2!$E:$E,Sheet2!$C:$C,$A164,Sheet2!$A:$A,H$2)&lt;&gt;0,SUMIFS(Sheet2!$E:$E,Sheet2!$C:$C,$A164,Sheet2!$A:$A,H$2),"")</f>
        <v/>
      </c>
      <c r="I164" s="42" t="str">
        <f>IF(SUMIFS(Sheet2!$E:$E,Sheet2!$C:$C,$A164,Sheet2!$A:$A,I$2)&lt;&gt;0,SUMIFS(Sheet2!$E:$E,Sheet2!$C:$C,$A164,Sheet2!$A:$A,I$2),"")</f>
        <v/>
      </c>
      <c r="J164" s="42" t="str">
        <f>IF(SUMIFS(Sheet2!$E:$E,Sheet2!$C:$C,$A164,Sheet2!$A:$A,J$2)&lt;&gt;0,SUMIFS(Sheet2!$E:$E,Sheet2!$C:$C,$A164,Sheet2!$A:$A,J$2),"")</f>
        <v/>
      </c>
      <c r="K164" s="42" t="str">
        <f>IF(SUMIFS(Sheet2!$E:$E,Sheet2!$C:$C,$A164,Sheet2!$A:$A,K$2)&lt;&gt;0,SUMIFS(Sheet2!$E:$E,Sheet2!$C:$C,$A164,Sheet2!$A:$A,K$2),"")</f>
        <v/>
      </c>
      <c r="L164" s="42" t="str">
        <f>IF(SUMIFS(Sheet2!$E:$E,Sheet2!$C:$C,$A164,Sheet2!$A:$A,L$2)&lt;&gt;0,SUMIFS(Sheet2!$E:$E,Sheet2!$C:$C,$A164,Sheet2!$A:$A,L$2),"")</f>
        <v/>
      </c>
      <c r="M164" s="42" t="str">
        <f>IF(SUMIFS(Sheet2!$E:$E,Sheet2!$C:$C,$A164,Sheet2!$A:$A,M$2)&lt;&gt;0,SUMIFS(Sheet2!$E:$E,Sheet2!$C:$C,$A164,Sheet2!$A:$A,M$2),"")</f>
        <v/>
      </c>
      <c r="N164" s="42" t="str">
        <f>IF(SUMIFS(Sheet2!$E:$E,Sheet2!$C:$C,$A164,Sheet2!$A:$A,N$2)&lt;&gt;0,SUMIFS(Sheet2!$E:$E,Sheet2!$C:$C,$A164,Sheet2!$A:$A,N$2),"")</f>
        <v/>
      </c>
      <c r="O164" s="42" t="str">
        <f>IF(SUMIFS(Sheet2!$E:$E,Sheet2!$C:$C,$A164,Sheet2!$A:$A,O$2)&lt;&gt;0,SUMIFS(Sheet2!$E:$E,Sheet2!$C:$C,$A164,Sheet2!$A:$A,O$2),"")</f>
        <v/>
      </c>
      <c r="P164" s="42" t="str">
        <f>IF(SUMIFS(Sheet2!$E:$E,Sheet2!$C:$C,$A164,Sheet2!$A:$A,P$2)&lt;&gt;0,SUMIFS(Sheet2!$E:$E,Sheet2!$C:$C,$A164,Sheet2!$A:$A,P$2),"")</f>
        <v/>
      </c>
      <c r="Q164" s="42" t="str">
        <f>IF(SUMIFS(Sheet2!$E:$E,Sheet2!$C:$C,$A164,Sheet2!$A:$A,Q$2)&lt;&gt;0,SUMIFS(Sheet2!$E:$E,Sheet2!$C:$C,$A164,Sheet2!$A:$A,Q$2),"")</f>
        <v/>
      </c>
      <c r="R164" s="42" t="str">
        <f>IF(SUMIFS(Sheet2!$E:$E,Sheet2!$C:$C,$A164,Sheet2!$A:$A,R$2)&lt;&gt;0,SUMIFS(Sheet2!$E:$E,Sheet2!$C:$C,$A164,Sheet2!$A:$A,R$2),"")</f>
        <v/>
      </c>
      <c r="S164" s="42" t="str">
        <f>IF(SUMIFS(Sheet2!$E:$E,Sheet2!$C:$C,$A164,Sheet2!$A:$A,S$2)&lt;&gt;0,SUMIFS(Sheet2!$E:$E,Sheet2!$C:$C,$A164,Sheet2!$A:$A,S$2),"")</f>
        <v/>
      </c>
      <c r="T164" s="42" t="str">
        <f>IF(SUMIFS(Sheet2!$E:$E,Sheet2!$C:$C,$A164,Sheet2!$A:$A,T$2)&lt;&gt;0,SUMIFS(Sheet2!$E:$E,Sheet2!$C:$C,$A164,Sheet2!$A:$A,T$2),"")</f>
        <v/>
      </c>
      <c r="U164" s="42" t="str">
        <f>IF(SUMIFS(Sheet2!$E:$E,Sheet2!$C:$C,$A164,Sheet2!$A:$A,U$2)&lt;&gt;0,SUMIFS(Sheet2!$E:$E,Sheet2!$C:$C,$A164,Sheet2!$A:$A,U$2),"")</f>
        <v/>
      </c>
      <c r="V164" s="42" t="str">
        <f>IF(SUMIFS(Sheet2!$E:$E,Sheet2!$C:$C,$A164,Sheet2!$A:$A,V$2)&lt;&gt;0,SUMIFS(Sheet2!$E:$E,Sheet2!$C:$C,$A164,Sheet2!$A:$A,V$2),"")</f>
        <v/>
      </c>
      <c r="W164" s="42" t="str">
        <f>IF(SUMIFS(Sheet2!$E:$E,Sheet2!$C:$C,$A164,Sheet2!$A:$A,W$2)&lt;&gt;0,SUMIFS(Sheet2!$E:$E,Sheet2!$C:$C,$A164,Sheet2!$A:$A,W$2),"")</f>
        <v/>
      </c>
      <c r="X164" s="42" t="str">
        <f>IF(SUMIFS(Sheet2!$E:$E,Sheet2!$C:$C,$A164,Sheet2!$A:$A,X$2)&lt;&gt;0,SUMIFS(Sheet2!$E:$E,Sheet2!$C:$C,$A164,Sheet2!$A:$A,X$2),"")</f>
        <v/>
      </c>
      <c r="Y164" s="42" t="str">
        <f>IF(SUMIFS(Sheet2!$E:$E,Sheet2!$C:$C,$A164,Sheet2!$A:$A,Y$2)&lt;&gt;0,SUMIFS(Sheet2!$E:$E,Sheet2!$C:$C,$A164,Sheet2!$A:$A,Y$2),"")</f>
        <v/>
      </c>
      <c r="Z164" s="42" t="str">
        <f>IF(SUMIFS(Sheet2!$E:$E,Sheet2!$C:$C,$A164,Sheet2!$A:$A,Z$2)&lt;&gt;0,SUMIFS(Sheet2!$E:$E,Sheet2!$C:$C,$A164,Sheet2!$A:$A,Z$2),"")</f>
        <v/>
      </c>
      <c r="AA164" s="42" t="str">
        <f>IF(SUMIFS(Sheet2!$E:$E,Sheet2!$C:$C,$A164,Sheet2!$A:$A,AA$2)&lt;&gt;0,SUMIFS(Sheet2!$E:$E,Sheet2!$C:$C,$A164,Sheet2!$A:$A,AA$2),"")</f>
        <v/>
      </c>
      <c r="AB164" s="42" t="str">
        <f>IF(SUMIFS(Sheet2!$E:$E,Sheet2!$C:$C,$A164,Sheet2!$A:$A,AB$2)&lt;&gt;0,SUMIFS(Sheet2!$E:$E,Sheet2!$C:$C,$A164,Sheet2!$A:$A,AB$2),"")</f>
        <v/>
      </c>
      <c r="AC164" s="42" t="str">
        <f>IF(SUMIFS(Sheet2!$E:$E,Sheet2!$C:$C,$A164,Sheet2!$A:$A,AC$2)&lt;&gt;0,SUMIFS(Sheet2!$E:$E,Sheet2!$C:$C,$A164,Sheet2!$A:$A,AC$2),"")</f>
        <v/>
      </c>
      <c r="AD164" s="42" t="str">
        <f>IF(SUMIFS(Sheet2!$E:$E,Sheet2!$C:$C,$A164,Sheet2!$A:$A,AD$2)&lt;&gt;0,SUMIFS(Sheet2!$E:$E,Sheet2!$C:$C,$A164,Sheet2!$A:$A,AD$2),"")</f>
        <v/>
      </c>
      <c r="AE164" s="42" t="str">
        <f>IF(SUMIFS(Sheet2!$E:$E,Sheet2!$C:$C,$A164,Sheet2!$A:$A,AE$2)&lt;&gt;0,SUMIFS(Sheet2!$E:$E,Sheet2!$C:$C,$A164,Sheet2!$A:$A,AE$2),"")</f>
        <v/>
      </c>
      <c r="AF164" s="42" t="str">
        <f>IF(SUMIFS(Sheet2!$E:$E,Sheet2!$C:$C,$A164,Sheet2!$A:$A,AF$2)&lt;&gt;0,SUMIFS(Sheet2!$E:$E,Sheet2!$C:$C,$A164,Sheet2!$A:$A,AF$2),"")</f>
        <v/>
      </c>
      <c r="AG164" s="42" t="str">
        <f>IF(SUMIFS(Sheet2!$E:$E,Sheet2!$C:$C,$A164,Sheet2!$A:$A,AG$2)&lt;&gt;0,SUMIFS(Sheet2!$E:$E,Sheet2!$C:$C,$A164,Sheet2!$A:$A,AG$2),"")</f>
        <v/>
      </c>
      <c r="AH164" s="43">
        <f>SUM(Table2[[#This Row],[1]:[31]])</f>
        <v>0</v>
      </c>
    </row>
    <row r="165" spans="1:34" ht="12.75" customHeight="1">
      <c r="A165" s="76" t="str">
        <f>DSSP!A164</f>
        <v>GC13</v>
      </c>
      <c r="B165" s="25" t="str">
        <f>DSSP!B164</f>
        <v>Kẹp dọc (số 1)</v>
      </c>
      <c r="C165" s="42" t="str">
        <f>IF(SUMIFS(Sheet2!$E:$E,Sheet2!$C:$C,$A165,Sheet2!$A:$A,C$2)&lt;&gt;0,SUMIFS(Sheet2!$E:$E,Sheet2!$C:$C,$A165,Sheet2!$A:$A,C$2),"")</f>
        <v/>
      </c>
      <c r="D165" s="42" t="str">
        <f>IF(SUMIFS(Sheet2!$E:$E,Sheet2!$C:$C,$A165,Sheet2!$A:$A,D$2)&lt;&gt;0,SUMIFS(Sheet2!$E:$E,Sheet2!$C:$C,$A165,Sheet2!$A:$A,D$2),"")</f>
        <v/>
      </c>
      <c r="E165" s="42" t="str">
        <f>IF(SUMIFS(Sheet2!$E:$E,Sheet2!$C:$C,$A165,Sheet2!$A:$A,E$2)&lt;&gt;0,SUMIFS(Sheet2!$E:$E,Sheet2!$C:$C,$A165,Sheet2!$A:$A,E$2),"")</f>
        <v/>
      </c>
      <c r="F165" s="42" t="str">
        <f>IF(SUMIFS(Sheet2!$E:$E,Sheet2!$C:$C,$A165,Sheet2!$A:$A,F$2)&lt;&gt;0,SUMIFS(Sheet2!$E:$E,Sheet2!$C:$C,$A165,Sheet2!$A:$A,F$2),"")</f>
        <v/>
      </c>
      <c r="G165" s="42" t="str">
        <f>IF(SUMIFS(Sheet2!$E:$E,Sheet2!$C:$C,$A165,Sheet2!$A:$A,G$2)&lt;&gt;0,SUMIFS(Sheet2!$E:$E,Sheet2!$C:$C,$A165,Sheet2!$A:$A,G$2),"")</f>
        <v/>
      </c>
      <c r="H165" s="42" t="str">
        <f>IF(SUMIFS(Sheet2!$E:$E,Sheet2!$C:$C,$A165,Sheet2!$A:$A,H$2)&lt;&gt;0,SUMIFS(Sheet2!$E:$E,Sheet2!$C:$C,$A165,Sheet2!$A:$A,H$2),"")</f>
        <v/>
      </c>
      <c r="I165" s="42" t="str">
        <f>IF(SUMIFS(Sheet2!$E:$E,Sheet2!$C:$C,$A165,Sheet2!$A:$A,I$2)&lt;&gt;0,SUMIFS(Sheet2!$E:$E,Sheet2!$C:$C,$A165,Sheet2!$A:$A,I$2),"")</f>
        <v/>
      </c>
      <c r="J165" s="42" t="str">
        <f>IF(SUMIFS(Sheet2!$E:$E,Sheet2!$C:$C,$A165,Sheet2!$A:$A,J$2)&lt;&gt;0,SUMIFS(Sheet2!$E:$E,Sheet2!$C:$C,$A165,Sheet2!$A:$A,J$2),"")</f>
        <v/>
      </c>
      <c r="K165" s="42" t="str">
        <f>IF(SUMIFS(Sheet2!$E:$E,Sheet2!$C:$C,$A165,Sheet2!$A:$A,K$2)&lt;&gt;0,SUMIFS(Sheet2!$E:$E,Sheet2!$C:$C,$A165,Sheet2!$A:$A,K$2),"")</f>
        <v/>
      </c>
      <c r="L165" s="42" t="str">
        <f>IF(SUMIFS(Sheet2!$E:$E,Sheet2!$C:$C,$A165,Sheet2!$A:$A,L$2)&lt;&gt;0,SUMIFS(Sheet2!$E:$E,Sheet2!$C:$C,$A165,Sheet2!$A:$A,L$2),"")</f>
        <v/>
      </c>
      <c r="M165" s="42" t="str">
        <f>IF(SUMIFS(Sheet2!$E:$E,Sheet2!$C:$C,$A165,Sheet2!$A:$A,M$2)&lt;&gt;0,SUMIFS(Sheet2!$E:$E,Sheet2!$C:$C,$A165,Sheet2!$A:$A,M$2),"")</f>
        <v/>
      </c>
      <c r="N165" s="42" t="str">
        <f>IF(SUMIFS(Sheet2!$E:$E,Sheet2!$C:$C,$A165,Sheet2!$A:$A,N$2)&lt;&gt;0,SUMIFS(Sheet2!$E:$E,Sheet2!$C:$C,$A165,Sheet2!$A:$A,N$2),"")</f>
        <v/>
      </c>
      <c r="O165" s="42" t="str">
        <f>IF(SUMIFS(Sheet2!$E:$E,Sheet2!$C:$C,$A165,Sheet2!$A:$A,O$2)&lt;&gt;0,SUMIFS(Sheet2!$E:$E,Sheet2!$C:$C,$A165,Sheet2!$A:$A,O$2),"")</f>
        <v/>
      </c>
      <c r="P165" s="42" t="str">
        <f>IF(SUMIFS(Sheet2!$E:$E,Sheet2!$C:$C,$A165,Sheet2!$A:$A,P$2)&lt;&gt;0,SUMIFS(Sheet2!$E:$E,Sheet2!$C:$C,$A165,Sheet2!$A:$A,P$2),"")</f>
        <v/>
      </c>
      <c r="Q165" s="42" t="str">
        <f>IF(SUMIFS(Sheet2!$E:$E,Sheet2!$C:$C,$A165,Sheet2!$A:$A,Q$2)&lt;&gt;0,SUMIFS(Sheet2!$E:$E,Sheet2!$C:$C,$A165,Sheet2!$A:$A,Q$2),"")</f>
        <v/>
      </c>
      <c r="R165" s="42" t="str">
        <f>IF(SUMIFS(Sheet2!$E:$E,Sheet2!$C:$C,$A165,Sheet2!$A:$A,R$2)&lt;&gt;0,SUMIFS(Sheet2!$E:$E,Sheet2!$C:$C,$A165,Sheet2!$A:$A,R$2),"")</f>
        <v/>
      </c>
      <c r="S165" s="42" t="str">
        <f>IF(SUMIFS(Sheet2!$E:$E,Sheet2!$C:$C,$A165,Sheet2!$A:$A,S$2)&lt;&gt;0,SUMIFS(Sheet2!$E:$E,Sheet2!$C:$C,$A165,Sheet2!$A:$A,S$2),"")</f>
        <v/>
      </c>
      <c r="T165" s="42" t="str">
        <f>IF(SUMIFS(Sheet2!$E:$E,Sheet2!$C:$C,$A165,Sheet2!$A:$A,T$2)&lt;&gt;0,SUMIFS(Sheet2!$E:$E,Sheet2!$C:$C,$A165,Sheet2!$A:$A,T$2),"")</f>
        <v/>
      </c>
      <c r="U165" s="42" t="str">
        <f>IF(SUMIFS(Sheet2!$E:$E,Sheet2!$C:$C,$A165,Sheet2!$A:$A,U$2)&lt;&gt;0,SUMIFS(Sheet2!$E:$E,Sheet2!$C:$C,$A165,Sheet2!$A:$A,U$2),"")</f>
        <v/>
      </c>
      <c r="V165" s="42" t="str">
        <f>IF(SUMIFS(Sheet2!$E:$E,Sheet2!$C:$C,$A165,Sheet2!$A:$A,V$2)&lt;&gt;0,SUMIFS(Sheet2!$E:$E,Sheet2!$C:$C,$A165,Sheet2!$A:$A,V$2),"")</f>
        <v/>
      </c>
      <c r="W165" s="42" t="str">
        <f>IF(SUMIFS(Sheet2!$E:$E,Sheet2!$C:$C,$A165,Sheet2!$A:$A,W$2)&lt;&gt;0,SUMIFS(Sheet2!$E:$E,Sheet2!$C:$C,$A165,Sheet2!$A:$A,W$2),"")</f>
        <v/>
      </c>
      <c r="X165" s="42" t="str">
        <f>IF(SUMIFS(Sheet2!$E:$E,Sheet2!$C:$C,$A165,Sheet2!$A:$A,X$2)&lt;&gt;0,SUMIFS(Sheet2!$E:$E,Sheet2!$C:$C,$A165,Sheet2!$A:$A,X$2),"")</f>
        <v/>
      </c>
      <c r="Y165" s="42" t="str">
        <f>IF(SUMIFS(Sheet2!$E:$E,Sheet2!$C:$C,$A165,Sheet2!$A:$A,Y$2)&lt;&gt;0,SUMIFS(Sheet2!$E:$E,Sheet2!$C:$C,$A165,Sheet2!$A:$A,Y$2),"")</f>
        <v/>
      </c>
      <c r="Z165" s="42" t="str">
        <f>IF(SUMIFS(Sheet2!$E:$E,Sheet2!$C:$C,$A165,Sheet2!$A:$A,Z$2)&lt;&gt;0,SUMIFS(Sheet2!$E:$E,Sheet2!$C:$C,$A165,Sheet2!$A:$A,Z$2),"")</f>
        <v/>
      </c>
      <c r="AA165" s="42" t="str">
        <f>IF(SUMIFS(Sheet2!$E:$E,Sheet2!$C:$C,$A165,Sheet2!$A:$A,AA$2)&lt;&gt;0,SUMIFS(Sheet2!$E:$E,Sheet2!$C:$C,$A165,Sheet2!$A:$A,AA$2),"")</f>
        <v/>
      </c>
      <c r="AB165" s="42" t="str">
        <f>IF(SUMIFS(Sheet2!$E:$E,Sheet2!$C:$C,$A165,Sheet2!$A:$A,AB$2)&lt;&gt;0,SUMIFS(Sheet2!$E:$E,Sheet2!$C:$C,$A165,Sheet2!$A:$A,AB$2),"")</f>
        <v/>
      </c>
      <c r="AC165" s="42" t="str">
        <f>IF(SUMIFS(Sheet2!$E:$E,Sheet2!$C:$C,$A165,Sheet2!$A:$A,AC$2)&lt;&gt;0,SUMIFS(Sheet2!$E:$E,Sheet2!$C:$C,$A165,Sheet2!$A:$A,AC$2),"")</f>
        <v/>
      </c>
      <c r="AD165" s="42" t="str">
        <f>IF(SUMIFS(Sheet2!$E:$E,Sheet2!$C:$C,$A165,Sheet2!$A:$A,AD$2)&lt;&gt;0,SUMIFS(Sheet2!$E:$E,Sheet2!$C:$C,$A165,Sheet2!$A:$A,AD$2),"")</f>
        <v/>
      </c>
      <c r="AE165" s="42" t="str">
        <f>IF(SUMIFS(Sheet2!$E:$E,Sheet2!$C:$C,$A165,Sheet2!$A:$A,AE$2)&lt;&gt;0,SUMIFS(Sheet2!$E:$E,Sheet2!$C:$C,$A165,Sheet2!$A:$A,AE$2),"")</f>
        <v/>
      </c>
      <c r="AF165" s="42" t="str">
        <f>IF(SUMIFS(Sheet2!$E:$E,Sheet2!$C:$C,$A165,Sheet2!$A:$A,AF$2)&lt;&gt;0,SUMIFS(Sheet2!$E:$E,Sheet2!$C:$C,$A165,Sheet2!$A:$A,AF$2),"")</f>
        <v/>
      </c>
      <c r="AG165" s="42" t="str">
        <f>IF(SUMIFS(Sheet2!$E:$E,Sheet2!$C:$C,$A165,Sheet2!$A:$A,AG$2)&lt;&gt;0,SUMIFS(Sheet2!$E:$E,Sheet2!$C:$C,$A165,Sheet2!$A:$A,AG$2),"")</f>
        <v/>
      </c>
      <c r="AH165" s="43">
        <f>SUM(Table2[[#This Row],[1]:[31]])</f>
        <v>0</v>
      </c>
    </row>
    <row r="166" spans="1:34" ht="12.75" customHeight="1">
      <c r="A166" s="76" t="str">
        <f>DSSP!A165</f>
        <v>GC22</v>
      </c>
      <c r="B166" s="25" t="str">
        <f>DSSP!B165</f>
        <v>Kẹp số 5</v>
      </c>
      <c r="C166" s="42" t="str">
        <f>IF(SUMIFS(Sheet2!$E:$E,Sheet2!$C:$C,$A166,Sheet2!$A:$A,C$2)&lt;&gt;0,SUMIFS(Sheet2!$E:$E,Sheet2!$C:$C,$A166,Sheet2!$A:$A,C$2),"")</f>
        <v/>
      </c>
      <c r="D166" s="42" t="str">
        <f>IF(SUMIFS(Sheet2!$E:$E,Sheet2!$C:$C,$A166,Sheet2!$A:$A,D$2)&lt;&gt;0,SUMIFS(Sheet2!$E:$E,Sheet2!$C:$C,$A166,Sheet2!$A:$A,D$2),"")</f>
        <v/>
      </c>
      <c r="E166" s="42" t="str">
        <f>IF(SUMIFS(Sheet2!$E:$E,Sheet2!$C:$C,$A166,Sheet2!$A:$A,E$2)&lt;&gt;0,SUMIFS(Sheet2!$E:$E,Sheet2!$C:$C,$A166,Sheet2!$A:$A,E$2),"")</f>
        <v/>
      </c>
      <c r="F166" s="42" t="str">
        <f>IF(SUMIFS(Sheet2!$E:$E,Sheet2!$C:$C,$A166,Sheet2!$A:$A,F$2)&lt;&gt;0,SUMIFS(Sheet2!$E:$E,Sheet2!$C:$C,$A166,Sheet2!$A:$A,F$2),"")</f>
        <v/>
      </c>
      <c r="G166" s="42" t="str">
        <f>IF(SUMIFS(Sheet2!$E:$E,Sheet2!$C:$C,$A166,Sheet2!$A:$A,G$2)&lt;&gt;0,SUMIFS(Sheet2!$E:$E,Sheet2!$C:$C,$A166,Sheet2!$A:$A,G$2),"")</f>
        <v/>
      </c>
      <c r="H166" s="42" t="str">
        <f>IF(SUMIFS(Sheet2!$E:$E,Sheet2!$C:$C,$A166,Sheet2!$A:$A,H$2)&lt;&gt;0,SUMIFS(Sheet2!$E:$E,Sheet2!$C:$C,$A166,Sheet2!$A:$A,H$2),"")</f>
        <v/>
      </c>
      <c r="I166" s="42" t="str">
        <f>IF(SUMIFS(Sheet2!$E:$E,Sheet2!$C:$C,$A166,Sheet2!$A:$A,I$2)&lt;&gt;0,SUMIFS(Sheet2!$E:$E,Sheet2!$C:$C,$A166,Sheet2!$A:$A,I$2),"")</f>
        <v/>
      </c>
      <c r="J166" s="42" t="str">
        <f>IF(SUMIFS(Sheet2!$E:$E,Sheet2!$C:$C,$A166,Sheet2!$A:$A,J$2)&lt;&gt;0,SUMIFS(Sheet2!$E:$E,Sheet2!$C:$C,$A166,Sheet2!$A:$A,J$2),"")</f>
        <v/>
      </c>
      <c r="K166" s="42" t="str">
        <f>IF(SUMIFS(Sheet2!$E:$E,Sheet2!$C:$C,$A166,Sheet2!$A:$A,K$2)&lt;&gt;0,SUMIFS(Sheet2!$E:$E,Sheet2!$C:$C,$A166,Sheet2!$A:$A,K$2),"")</f>
        <v/>
      </c>
      <c r="L166" s="42" t="str">
        <f>IF(SUMIFS(Sheet2!$E:$E,Sheet2!$C:$C,$A166,Sheet2!$A:$A,L$2)&lt;&gt;0,SUMIFS(Sheet2!$E:$E,Sheet2!$C:$C,$A166,Sheet2!$A:$A,L$2),"")</f>
        <v/>
      </c>
      <c r="M166" s="42" t="str">
        <f>IF(SUMIFS(Sheet2!$E:$E,Sheet2!$C:$C,$A166,Sheet2!$A:$A,M$2)&lt;&gt;0,SUMIFS(Sheet2!$E:$E,Sheet2!$C:$C,$A166,Sheet2!$A:$A,M$2),"")</f>
        <v/>
      </c>
      <c r="N166" s="42" t="str">
        <f>IF(SUMIFS(Sheet2!$E:$E,Sheet2!$C:$C,$A166,Sheet2!$A:$A,N$2)&lt;&gt;0,SUMIFS(Sheet2!$E:$E,Sheet2!$C:$C,$A166,Sheet2!$A:$A,N$2),"")</f>
        <v/>
      </c>
      <c r="O166" s="42" t="str">
        <f>IF(SUMIFS(Sheet2!$E:$E,Sheet2!$C:$C,$A166,Sheet2!$A:$A,O$2)&lt;&gt;0,SUMIFS(Sheet2!$E:$E,Sheet2!$C:$C,$A166,Sheet2!$A:$A,O$2),"")</f>
        <v/>
      </c>
      <c r="P166" s="42" t="str">
        <f>IF(SUMIFS(Sheet2!$E:$E,Sheet2!$C:$C,$A166,Sheet2!$A:$A,P$2)&lt;&gt;0,SUMIFS(Sheet2!$E:$E,Sheet2!$C:$C,$A166,Sheet2!$A:$A,P$2),"")</f>
        <v/>
      </c>
      <c r="Q166" s="42" t="str">
        <f>IF(SUMIFS(Sheet2!$E:$E,Sheet2!$C:$C,$A166,Sheet2!$A:$A,Q$2)&lt;&gt;0,SUMIFS(Sheet2!$E:$E,Sheet2!$C:$C,$A166,Sheet2!$A:$A,Q$2),"")</f>
        <v/>
      </c>
      <c r="R166" s="42" t="str">
        <f>IF(SUMIFS(Sheet2!$E:$E,Sheet2!$C:$C,$A166,Sheet2!$A:$A,R$2)&lt;&gt;0,SUMIFS(Sheet2!$E:$E,Sheet2!$C:$C,$A166,Sheet2!$A:$A,R$2),"")</f>
        <v/>
      </c>
      <c r="S166" s="42" t="str">
        <f>IF(SUMIFS(Sheet2!$E:$E,Sheet2!$C:$C,$A166,Sheet2!$A:$A,S$2)&lt;&gt;0,SUMIFS(Sheet2!$E:$E,Sheet2!$C:$C,$A166,Sheet2!$A:$A,S$2),"")</f>
        <v/>
      </c>
      <c r="T166" s="42" t="str">
        <f>IF(SUMIFS(Sheet2!$E:$E,Sheet2!$C:$C,$A166,Sheet2!$A:$A,T$2)&lt;&gt;0,SUMIFS(Sheet2!$E:$E,Sheet2!$C:$C,$A166,Sheet2!$A:$A,T$2),"")</f>
        <v/>
      </c>
      <c r="U166" s="42" t="str">
        <f>IF(SUMIFS(Sheet2!$E:$E,Sheet2!$C:$C,$A166,Sheet2!$A:$A,U$2)&lt;&gt;0,SUMIFS(Sheet2!$E:$E,Sheet2!$C:$C,$A166,Sheet2!$A:$A,U$2),"")</f>
        <v/>
      </c>
      <c r="V166" s="42" t="str">
        <f>IF(SUMIFS(Sheet2!$E:$E,Sheet2!$C:$C,$A166,Sheet2!$A:$A,V$2)&lt;&gt;0,SUMIFS(Sheet2!$E:$E,Sheet2!$C:$C,$A166,Sheet2!$A:$A,V$2),"")</f>
        <v/>
      </c>
      <c r="W166" s="42" t="str">
        <f>IF(SUMIFS(Sheet2!$E:$E,Sheet2!$C:$C,$A166,Sheet2!$A:$A,W$2)&lt;&gt;0,SUMIFS(Sheet2!$E:$E,Sheet2!$C:$C,$A166,Sheet2!$A:$A,W$2),"")</f>
        <v/>
      </c>
      <c r="X166" s="42" t="str">
        <f>IF(SUMIFS(Sheet2!$E:$E,Sheet2!$C:$C,$A166,Sheet2!$A:$A,X$2)&lt;&gt;0,SUMIFS(Sheet2!$E:$E,Sheet2!$C:$C,$A166,Sheet2!$A:$A,X$2),"")</f>
        <v/>
      </c>
      <c r="Y166" s="42" t="str">
        <f>IF(SUMIFS(Sheet2!$E:$E,Sheet2!$C:$C,$A166,Sheet2!$A:$A,Y$2)&lt;&gt;0,SUMIFS(Sheet2!$E:$E,Sheet2!$C:$C,$A166,Sheet2!$A:$A,Y$2),"")</f>
        <v/>
      </c>
      <c r="Z166" s="42" t="str">
        <f>IF(SUMIFS(Sheet2!$E:$E,Sheet2!$C:$C,$A166,Sheet2!$A:$A,Z$2)&lt;&gt;0,SUMIFS(Sheet2!$E:$E,Sheet2!$C:$C,$A166,Sheet2!$A:$A,Z$2),"")</f>
        <v/>
      </c>
      <c r="AA166" s="42" t="str">
        <f>IF(SUMIFS(Sheet2!$E:$E,Sheet2!$C:$C,$A166,Sheet2!$A:$A,AA$2)&lt;&gt;0,SUMIFS(Sheet2!$E:$E,Sheet2!$C:$C,$A166,Sheet2!$A:$A,AA$2),"")</f>
        <v/>
      </c>
      <c r="AB166" s="42" t="str">
        <f>IF(SUMIFS(Sheet2!$E:$E,Sheet2!$C:$C,$A166,Sheet2!$A:$A,AB$2)&lt;&gt;0,SUMIFS(Sheet2!$E:$E,Sheet2!$C:$C,$A166,Sheet2!$A:$A,AB$2),"")</f>
        <v/>
      </c>
      <c r="AC166" s="42" t="str">
        <f>IF(SUMIFS(Sheet2!$E:$E,Sheet2!$C:$C,$A166,Sheet2!$A:$A,AC$2)&lt;&gt;0,SUMIFS(Sheet2!$E:$E,Sheet2!$C:$C,$A166,Sheet2!$A:$A,AC$2),"")</f>
        <v/>
      </c>
      <c r="AD166" s="42" t="str">
        <f>IF(SUMIFS(Sheet2!$E:$E,Sheet2!$C:$C,$A166,Sheet2!$A:$A,AD$2)&lt;&gt;0,SUMIFS(Sheet2!$E:$E,Sheet2!$C:$C,$A166,Sheet2!$A:$A,AD$2),"")</f>
        <v/>
      </c>
      <c r="AE166" s="42" t="str">
        <f>IF(SUMIFS(Sheet2!$E:$E,Sheet2!$C:$C,$A166,Sheet2!$A:$A,AE$2)&lt;&gt;0,SUMIFS(Sheet2!$E:$E,Sheet2!$C:$C,$A166,Sheet2!$A:$A,AE$2),"")</f>
        <v/>
      </c>
      <c r="AF166" s="42" t="str">
        <f>IF(SUMIFS(Sheet2!$E:$E,Sheet2!$C:$C,$A166,Sheet2!$A:$A,AF$2)&lt;&gt;0,SUMIFS(Sheet2!$E:$E,Sheet2!$C:$C,$A166,Sheet2!$A:$A,AF$2),"")</f>
        <v/>
      </c>
      <c r="AG166" s="42" t="str">
        <f>IF(SUMIFS(Sheet2!$E:$E,Sheet2!$C:$C,$A166,Sheet2!$A:$A,AG$2)&lt;&gt;0,SUMIFS(Sheet2!$E:$E,Sheet2!$C:$C,$A166,Sheet2!$A:$A,AG$2),"")</f>
        <v/>
      </c>
      <c r="AH166" s="43">
        <f>SUM(Table2[[#This Row],[1]:[31]])</f>
        <v>0</v>
      </c>
    </row>
    <row r="167" spans="1:34" ht="12.75" customHeight="1">
      <c r="A167" s="76" t="str">
        <f>DSSP!A166</f>
        <v>GC14</v>
      </c>
      <c r="B167" s="25" t="str">
        <f>DSSP!B166</f>
        <v>Càng cua</v>
      </c>
      <c r="C167" s="42" t="str">
        <f>IF(SUMIFS(Sheet2!$E:$E,Sheet2!$C:$C,$A167,Sheet2!$A:$A,C$2)&lt;&gt;0,SUMIFS(Sheet2!$E:$E,Sheet2!$C:$C,$A167,Sheet2!$A:$A,C$2),"")</f>
        <v/>
      </c>
      <c r="D167" s="42" t="str">
        <f>IF(SUMIFS(Sheet2!$E:$E,Sheet2!$C:$C,$A167,Sheet2!$A:$A,D$2)&lt;&gt;0,SUMIFS(Sheet2!$E:$E,Sheet2!$C:$C,$A167,Sheet2!$A:$A,D$2),"")</f>
        <v/>
      </c>
      <c r="E167" s="42" t="str">
        <f>IF(SUMIFS(Sheet2!$E:$E,Sheet2!$C:$C,$A167,Sheet2!$A:$A,E$2)&lt;&gt;0,SUMIFS(Sheet2!$E:$E,Sheet2!$C:$C,$A167,Sheet2!$A:$A,E$2),"")</f>
        <v/>
      </c>
      <c r="F167" s="42" t="str">
        <f>IF(SUMIFS(Sheet2!$E:$E,Sheet2!$C:$C,$A167,Sheet2!$A:$A,F$2)&lt;&gt;0,SUMIFS(Sheet2!$E:$E,Sheet2!$C:$C,$A167,Sheet2!$A:$A,F$2),"")</f>
        <v/>
      </c>
      <c r="G167" s="42" t="str">
        <f>IF(SUMIFS(Sheet2!$E:$E,Sheet2!$C:$C,$A167,Sheet2!$A:$A,G$2)&lt;&gt;0,SUMIFS(Sheet2!$E:$E,Sheet2!$C:$C,$A167,Sheet2!$A:$A,G$2),"")</f>
        <v/>
      </c>
      <c r="H167" s="42" t="str">
        <f>IF(SUMIFS(Sheet2!$E:$E,Sheet2!$C:$C,$A167,Sheet2!$A:$A,H$2)&lt;&gt;0,SUMIFS(Sheet2!$E:$E,Sheet2!$C:$C,$A167,Sheet2!$A:$A,H$2),"")</f>
        <v/>
      </c>
      <c r="I167" s="42" t="str">
        <f>IF(SUMIFS(Sheet2!$E:$E,Sheet2!$C:$C,$A167,Sheet2!$A:$A,I$2)&lt;&gt;0,SUMIFS(Sheet2!$E:$E,Sheet2!$C:$C,$A167,Sheet2!$A:$A,I$2),"")</f>
        <v/>
      </c>
      <c r="J167" s="42" t="str">
        <f>IF(SUMIFS(Sheet2!$E:$E,Sheet2!$C:$C,$A167,Sheet2!$A:$A,J$2)&lt;&gt;0,SUMIFS(Sheet2!$E:$E,Sheet2!$C:$C,$A167,Sheet2!$A:$A,J$2),"")</f>
        <v/>
      </c>
      <c r="K167" s="42" t="str">
        <f>IF(SUMIFS(Sheet2!$E:$E,Sheet2!$C:$C,$A167,Sheet2!$A:$A,K$2)&lt;&gt;0,SUMIFS(Sheet2!$E:$E,Sheet2!$C:$C,$A167,Sheet2!$A:$A,K$2),"")</f>
        <v/>
      </c>
      <c r="L167" s="42" t="str">
        <f>IF(SUMIFS(Sheet2!$E:$E,Sheet2!$C:$C,$A167,Sheet2!$A:$A,L$2)&lt;&gt;0,SUMIFS(Sheet2!$E:$E,Sheet2!$C:$C,$A167,Sheet2!$A:$A,L$2),"")</f>
        <v/>
      </c>
      <c r="M167" s="42" t="str">
        <f>IF(SUMIFS(Sheet2!$E:$E,Sheet2!$C:$C,$A167,Sheet2!$A:$A,M$2)&lt;&gt;0,SUMIFS(Sheet2!$E:$E,Sheet2!$C:$C,$A167,Sheet2!$A:$A,M$2),"")</f>
        <v/>
      </c>
      <c r="N167" s="42" t="str">
        <f>IF(SUMIFS(Sheet2!$E:$E,Sheet2!$C:$C,$A167,Sheet2!$A:$A,N$2)&lt;&gt;0,SUMIFS(Sheet2!$E:$E,Sheet2!$C:$C,$A167,Sheet2!$A:$A,N$2),"")</f>
        <v/>
      </c>
      <c r="O167" s="42" t="str">
        <f>IF(SUMIFS(Sheet2!$E:$E,Sheet2!$C:$C,$A167,Sheet2!$A:$A,O$2)&lt;&gt;0,SUMIFS(Sheet2!$E:$E,Sheet2!$C:$C,$A167,Sheet2!$A:$A,O$2),"")</f>
        <v/>
      </c>
      <c r="P167" s="42" t="str">
        <f>IF(SUMIFS(Sheet2!$E:$E,Sheet2!$C:$C,$A167,Sheet2!$A:$A,P$2)&lt;&gt;0,SUMIFS(Sheet2!$E:$E,Sheet2!$C:$C,$A167,Sheet2!$A:$A,P$2),"")</f>
        <v/>
      </c>
      <c r="Q167" s="42" t="str">
        <f>IF(SUMIFS(Sheet2!$E:$E,Sheet2!$C:$C,$A167,Sheet2!$A:$A,Q$2)&lt;&gt;0,SUMIFS(Sheet2!$E:$E,Sheet2!$C:$C,$A167,Sheet2!$A:$A,Q$2),"")</f>
        <v/>
      </c>
      <c r="R167" s="42" t="str">
        <f>IF(SUMIFS(Sheet2!$E:$E,Sheet2!$C:$C,$A167,Sheet2!$A:$A,R$2)&lt;&gt;0,SUMIFS(Sheet2!$E:$E,Sheet2!$C:$C,$A167,Sheet2!$A:$A,R$2),"")</f>
        <v/>
      </c>
      <c r="S167" s="42" t="str">
        <f>IF(SUMIFS(Sheet2!$E:$E,Sheet2!$C:$C,$A167,Sheet2!$A:$A,S$2)&lt;&gt;0,SUMIFS(Sheet2!$E:$E,Sheet2!$C:$C,$A167,Sheet2!$A:$A,S$2),"")</f>
        <v/>
      </c>
      <c r="T167" s="42" t="str">
        <f>IF(SUMIFS(Sheet2!$E:$E,Sheet2!$C:$C,$A167,Sheet2!$A:$A,T$2)&lt;&gt;0,SUMIFS(Sheet2!$E:$E,Sheet2!$C:$C,$A167,Sheet2!$A:$A,T$2),"")</f>
        <v/>
      </c>
      <c r="U167" s="42" t="str">
        <f>IF(SUMIFS(Sheet2!$E:$E,Sheet2!$C:$C,$A167,Sheet2!$A:$A,U$2)&lt;&gt;0,SUMIFS(Sheet2!$E:$E,Sheet2!$C:$C,$A167,Sheet2!$A:$A,U$2),"")</f>
        <v/>
      </c>
      <c r="V167" s="42" t="str">
        <f>IF(SUMIFS(Sheet2!$E:$E,Sheet2!$C:$C,$A167,Sheet2!$A:$A,V$2)&lt;&gt;0,SUMIFS(Sheet2!$E:$E,Sheet2!$C:$C,$A167,Sheet2!$A:$A,V$2),"")</f>
        <v/>
      </c>
      <c r="W167" s="42" t="str">
        <f>IF(SUMIFS(Sheet2!$E:$E,Sheet2!$C:$C,$A167,Sheet2!$A:$A,W$2)&lt;&gt;0,SUMIFS(Sheet2!$E:$E,Sheet2!$C:$C,$A167,Sheet2!$A:$A,W$2),"")</f>
        <v/>
      </c>
      <c r="X167" s="42" t="str">
        <f>IF(SUMIFS(Sheet2!$E:$E,Sheet2!$C:$C,$A167,Sheet2!$A:$A,X$2)&lt;&gt;0,SUMIFS(Sheet2!$E:$E,Sheet2!$C:$C,$A167,Sheet2!$A:$A,X$2),"")</f>
        <v/>
      </c>
      <c r="Y167" s="42" t="str">
        <f>IF(SUMIFS(Sheet2!$E:$E,Sheet2!$C:$C,$A167,Sheet2!$A:$A,Y$2)&lt;&gt;0,SUMIFS(Sheet2!$E:$E,Sheet2!$C:$C,$A167,Sheet2!$A:$A,Y$2),"")</f>
        <v/>
      </c>
      <c r="Z167" s="42" t="str">
        <f>IF(SUMIFS(Sheet2!$E:$E,Sheet2!$C:$C,$A167,Sheet2!$A:$A,Z$2)&lt;&gt;0,SUMIFS(Sheet2!$E:$E,Sheet2!$C:$C,$A167,Sheet2!$A:$A,Z$2),"")</f>
        <v/>
      </c>
      <c r="AA167" s="42" t="str">
        <f>IF(SUMIFS(Sheet2!$E:$E,Sheet2!$C:$C,$A167,Sheet2!$A:$A,AA$2)&lt;&gt;0,SUMIFS(Sheet2!$E:$E,Sheet2!$C:$C,$A167,Sheet2!$A:$A,AA$2),"")</f>
        <v/>
      </c>
      <c r="AB167" s="42" t="str">
        <f>IF(SUMIFS(Sheet2!$E:$E,Sheet2!$C:$C,$A167,Sheet2!$A:$A,AB$2)&lt;&gt;0,SUMIFS(Sheet2!$E:$E,Sheet2!$C:$C,$A167,Sheet2!$A:$A,AB$2),"")</f>
        <v/>
      </c>
      <c r="AC167" s="42" t="str">
        <f>IF(SUMIFS(Sheet2!$E:$E,Sheet2!$C:$C,$A167,Sheet2!$A:$A,AC$2)&lt;&gt;0,SUMIFS(Sheet2!$E:$E,Sheet2!$C:$C,$A167,Sheet2!$A:$A,AC$2),"")</f>
        <v/>
      </c>
      <c r="AD167" s="42" t="str">
        <f>IF(SUMIFS(Sheet2!$E:$E,Sheet2!$C:$C,$A167,Sheet2!$A:$A,AD$2)&lt;&gt;0,SUMIFS(Sheet2!$E:$E,Sheet2!$C:$C,$A167,Sheet2!$A:$A,AD$2),"")</f>
        <v/>
      </c>
      <c r="AE167" s="42" t="str">
        <f>IF(SUMIFS(Sheet2!$E:$E,Sheet2!$C:$C,$A167,Sheet2!$A:$A,AE$2)&lt;&gt;0,SUMIFS(Sheet2!$E:$E,Sheet2!$C:$C,$A167,Sheet2!$A:$A,AE$2),"")</f>
        <v/>
      </c>
      <c r="AF167" s="42" t="str">
        <f>IF(SUMIFS(Sheet2!$E:$E,Sheet2!$C:$C,$A167,Sheet2!$A:$A,AF$2)&lt;&gt;0,SUMIFS(Sheet2!$E:$E,Sheet2!$C:$C,$A167,Sheet2!$A:$A,AF$2),"")</f>
        <v/>
      </c>
      <c r="AG167" s="42" t="str">
        <f>IF(SUMIFS(Sheet2!$E:$E,Sheet2!$C:$C,$A167,Sheet2!$A:$A,AG$2)&lt;&gt;0,SUMIFS(Sheet2!$E:$E,Sheet2!$C:$C,$A167,Sheet2!$A:$A,AG$2),"")</f>
        <v/>
      </c>
      <c r="AH167" s="43">
        <f>SUM(Table2[[#This Row],[1]:[31]])</f>
        <v>0</v>
      </c>
    </row>
    <row r="168" spans="1:34" ht="12.75" customHeight="1">
      <c r="A168" s="76" t="str">
        <f>DSSP!A167</f>
        <v>GC15</v>
      </c>
      <c r="B168" s="25" t="str">
        <f>DSSP!B167</f>
        <v xml:space="preserve">Chuông bạc </v>
      </c>
      <c r="C168" s="42" t="str">
        <f>IF(SUMIFS(Sheet2!$E:$E,Sheet2!$C:$C,$A168,Sheet2!$A:$A,C$2)&lt;&gt;0,SUMIFS(Sheet2!$E:$E,Sheet2!$C:$C,$A168,Sheet2!$A:$A,C$2),"")</f>
        <v/>
      </c>
      <c r="D168" s="42" t="str">
        <f>IF(SUMIFS(Sheet2!$E:$E,Sheet2!$C:$C,$A168,Sheet2!$A:$A,D$2)&lt;&gt;0,SUMIFS(Sheet2!$E:$E,Sheet2!$C:$C,$A168,Sheet2!$A:$A,D$2),"")</f>
        <v/>
      </c>
      <c r="E168" s="42" t="str">
        <f>IF(SUMIFS(Sheet2!$E:$E,Sheet2!$C:$C,$A168,Sheet2!$A:$A,E$2)&lt;&gt;0,SUMIFS(Sheet2!$E:$E,Sheet2!$C:$C,$A168,Sheet2!$A:$A,E$2),"")</f>
        <v/>
      </c>
      <c r="F168" s="42" t="str">
        <f>IF(SUMIFS(Sheet2!$E:$E,Sheet2!$C:$C,$A168,Sheet2!$A:$A,F$2)&lt;&gt;0,SUMIFS(Sheet2!$E:$E,Sheet2!$C:$C,$A168,Sheet2!$A:$A,F$2),"")</f>
        <v/>
      </c>
      <c r="G168" s="42" t="str">
        <f>IF(SUMIFS(Sheet2!$E:$E,Sheet2!$C:$C,$A168,Sheet2!$A:$A,G$2)&lt;&gt;0,SUMIFS(Sheet2!$E:$E,Sheet2!$C:$C,$A168,Sheet2!$A:$A,G$2),"")</f>
        <v/>
      </c>
      <c r="H168" s="42" t="str">
        <f>IF(SUMIFS(Sheet2!$E:$E,Sheet2!$C:$C,$A168,Sheet2!$A:$A,H$2)&lt;&gt;0,SUMIFS(Sheet2!$E:$E,Sheet2!$C:$C,$A168,Sheet2!$A:$A,H$2),"")</f>
        <v/>
      </c>
      <c r="I168" s="42" t="str">
        <f>IF(SUMIFS(Sheet2!$E:$E,Sheet2!$C:$C,$A168,Sheet2!$A:$A,I$2)&lt;&gt;0,SUMIFS(Sheet2!$E:$E,Sheet2!$C:$C,$A168,Sheet2!$A:$A,I$2),"")</f>
        <v/>
      </c>
      <c r="J168" s="42" t="str">
        <f>IF(SUMIFS(Sheet2!$E:$E,Sheet2!$C:$C,$A168,Sheet2!$A:$A,J$2)&lt;&gt;0,SUMIFS(Sheet2!$E:$E,Sheet2!$C:$C,$A168,Sheet2!$A:$A,J$2),"")</f>
        <v/>
      </c>
      <c r="K168" s="42" t="str">
        <f>IF(SUMIFS(Sheet2!$E:$E,Sheet2!$C:$C,$A168,Sheet2!$A:$A,K$2)&lt;&gt;0,SUMIFS(Sheet2!$E:$E,Sheet2!$C:$C,$A168,Sheet2!$A:$A,K$2),"")</f>
        <v/>
      </c>
      <c r="L168" s="42" t="str">
        <f>IF(SUMIFS(Sheet2!$E:$E,Sheet2!$C:$C,$A168,Sheet2!$A:$A,L$2)&lt;&gt;0,SUMIFS(Sheet2!$E:$E,Sheet2!$C:$C,$A168,Sheet2!$A:$A,L$2),"")</f>
        <v/>
      </c>
      <c r="M168" s="42" t="str">
        <f>IF(SUMIFS(Sheet2!$E:$E,Sheet2!$C:$C,$A168,Sheet2!$A:$A,M$2)&lt;&gt;0,SUMIFS(Sheet2!$E:$E,Sheet2!$C:$C,$A168,Sheet2!$A:$A,M$2),"")</f>
        <v/>
      </c>
      <c r="N168" s="42" t="str">
        <f>IF(SUMIFS(Sheet2!$E:$E,Sheet2!$C:$C,$A168,Sheet2!$A:$A,N$2)&lt;&gt;0,SUMIFS(Sheet2!$E:$E,Sheet2!$C:$C,$A168,Sheet2!$A:$A,N$2),"")</f>
        <v/>
      </c>
      <c r="O168" s="42" t="str">
        <f>IF(SUMIFS(Sheet2!$E:$E,Sheet2!$C:$C,$A168,Sheet2!$A:$A,O$2)&lt;&gt;0,SUMIFS(Sheet2!$E:$E,Sheet2!$C:$C,$A168,Sheet2!$A:$A,O$2),"")</f>
        <v/>
      </c>
      <c r="P168" s="42" t="str">
        <f>IF(SUMIFS(Sheet2!$E:$E,Sheet2!$C:$C,$A168,Sheet2!$A:$A,P$2)&lt;&gt;0,SUMIFS(Sheet2!$E:$E,Sheet2!$C:$C,$A168,Sheet2!$A:$A,P$2),"")</f>
        <v/>
      </c>
      <c r="Q168" s="42" t="str">
        <f>IF(SUMIFS(Sheet2!$E:$E,Sheet2!$C:$C,$A168,Sheet2!$A:$A,Q$2)&lt;&gt;0,SUMIFS(Sheet2!$E:$E,Sheet2!$C:$C,$A168,Sheet2!$A:$A,Q$2),"")</f>
        <v/>
      </c>
      <c r="R168" s="42" t="str">
        <f>IF(SUMIFS(Sheet2!$E:$E,Sheet2!$C:$C,$A168,Sheet2!$A:$A,R$2)&lt;&gt;0,SUMIFS(Sheet2!$E:$E,Sheet2!$C:$C,$A168,Sheet2!$A:$A,R$2),"")</f>
        <v/>
      </c>
      <c r="S168" s="42" t="str">
        <f>IF(SUMIFS(Sheet2!$E:$E,Sheet2!$C:$C,$A168,Sheet2!$A:$A,S$2)&lt;&gt;0,SUMIFS(Sheet2!$E:$E,Sheet2!$C:$C,$A168,Sheet2!$A:$A,S$2),"")</f>
        <v/>
      </c>
      <c r="T168" s="42" t="str">
        <f>IF(SUMIFS(Sheet2!$E:$E,Sheet2!$C:$C,$A168,Sheet2!$A:$A,T$2)&lt;&gt;0,SUMIFS(Sheet2!$E:$E,Sheet2!$C:$C,$A168,Sheet2!$A:$A,T$2),"")</f>
        <v/>
      </c>
      <c r="U168" s="42" t="str">
        <f>IF(SUMIFS(Sheet2!$E:$E,Sheet2!$C:$C,$A168,Sheet2!$A:$A,U$2)&lt;&gt;0,SUMIFS(Sheet2!$E:$E,Sheet2!$C:$C,$A168,Sheet2!$A:$A,U$2),"")</f>
        <v/>
      </c>
      <c r="V168" s="42" t="str">
        <f>IF(SUMIFS(Sheet2!$E:$E,Sheet2!$C:$C,$A168,Sheet2!$A:$A,V$2)&lt;&gt;0,SUMIFS(Sheet2!$E:$E,Sheet2!$C:$C,$A168,Sheet2!$A:$A,V$2),"")</f>
        <v/>
      </c>
      <c r="W168" s="42" t="str">
        <f>IF(SUMIFS(Sheet2!$E:$E,Sheet2!$C:$C,$A168,Sheet2!$A:$A,W$2)&lt;&gt;0,SUMIFS(Sheet2!$E:$E,Sheet2!$C:$C,$A168,Sheet2!$A:$A,W$2),"")</f>
        <v/>
      </c>
      <c r="X168" s="42" t="str">
        <f>IF(SUMIFS(Sheet2!$E:$E,Sheet2!$C:$C,$A168,Sheet2!$A:$A,X$2)&lt;&gt;0,SUMIFS(Sheet2!$E:$E,Sheet2!$C:$C,$A168,Sheet2!$A:$A,X$2),"")</f>
        <v/>
      </c>
      <c r="Y168" s="42" t="str">
        <f>IF(SUMIFS(Sheet2!$E:$E,Sheet2!$C:$C,$A168,Sheet2!$A:$A,Y$2)&lt;&gt;0,SUMIFS(Sheet2!$E:$E,Sheet2!$C:$C,$A168,Sheet2!$A:$A,Y$2),"")</f>
        <v/>
      </c>
      <c r="Z168" s="42" t="str">
        <f>IF(SUMIFS(Sheet2!$E:$E,Sheet2!$C:$C,$A168,Sheet2!$A:$A,Z$2)&lt;&gt;0,SUMIFS(Sheet2!$E:$E,Sheet2!$C:$C,$A168,Sheet2!$A:$A,Z$2),"")</f>
        <v/>
      </c>
      <c r="AA168" s="42" t="str">
        <f>IF(SUMIFS(Sheet2!$E:$E,Sheet2!$C:$C,$A168,Sheet2!$A:$A,AA$2)&lt;&gt;0,SUMIFS(Sheet2!$E:$E,Sheet2!$C:$C,$A168,Sheet2!$A:$A,AA$2),"")</f>
        <v/>
      </c>
      <c r="AB168" s="42" t="str">
        <f>IF(SUMIFS(Sheet2!$E:$E,Sheet2!$C:$C,$A168,Sheet2!$A:$A,AB$2)&lt;&gt;0,SUMIFS(Sheet2!$E:$E,Sheet2!$C:$C,$A168,Sheet2!$A:$A,AB$2),"")</f>
        <v/>
      </c>
      <c r="AC168" s="42" t="str">
        <f>IF(SUMIFS(Sheet2!$E:$E,Sheet2!$C:$C,$A168,Sheet2!$A:$A,AC$2)&lt;&gt;0,SUMIFS(Sheet2!$E:$E,Sheet2!$C:$C,$A168,Sheet2!$A:$A,AC$2),"")</f>
        <v/>
      </c>
      <c r="AD168" s="42" t="str">
        <f>IF(SUMIFS(Sheet2!$E:$E,Sheet2!$C:$C,$A168,Sheet2!$A:$A,AD$2)&lt;&gt;0,SUMIFS(Sheet2!$E:$E,Sheet2!$C:$C,$A168,Sheet2!$A:$A,AD$2),"")</f>
        <v/>
      </c>
      <c r="AE168" s="42" t="str">
        <f>IF(SUMIFS(Sheet2!$E:$E,Sheet2!$C:$C,$A168,Sheet2!$A:$A,AE$2)&lt;&gt;0,SUMIFS(Sheet2!$E:$E,Sheet2!$C:$C,$A168,Sheet2!$A:$A,AE$2),"")</f>
        <v/>
      </c>
      <c r="AF168" s="42" t="str">
        <f>IF(SUMIFS(Sheet2!$E:$E,Sheet2!$C:$C,$A168,Sheet2!$A:$A,AF$2)&lt;&gt;0,SUMIFS(Sheet2!$E:$E,Sheet2!$C:$C,$A168,Sheet2!$A:$A,AF$2),"")</f>
        <v/>
      </c>
      <c r="AG168" s="42" t="str">
        <f>IF(SUMIFS(Sheet2!$E:$E,Sheet2!$C:$C,$A168,Sheet2!$A:$A,AG$2)&lt;&gt;0,SUMIFS(Sheet2!$E:$E,Sheet2!$C:$C,$A168,Sheet2!$A:$A,AG$2),"")</f>
        <v/>
      </c>
      <c r="AH168" s="43">
        <f>SUM(Table2[[#This Row],[1]:[31]])</f>
        <v>0</v>
      </c>
    </row>
    <row r="169" spans="1:34" ht="12.75" customHeight="1">
      <c r="A169" s="76" t="str">
        <f>DSSP!A168</f>
        <v>GC16</v>
      </c>
      <c r="B169" s="25" t="str">
        <f>DSSP!B168</f>
        <v>Chuông giả cổ</v>
      </c>
      <c r="C169" s="42" t="str">
        <f>IF(SUMIFS(Sheet2!$E:$E,Sheet2!$C:$C,$A169,Sheet2!$A:$A,C$2)&lt;&gt;0,SUMIFS(Sheet2!$E:$E,Sheet2!$C:$C,$A169,Sheet2!$A:$A,C$2),"")</f>
        <v/>
      </c>
      <c r="D169" s="42" t="str">
        <f>IF(SUMIFS(Sheet2!$E:$E,Sheet2!$C:$C,$A169,Sheet2!$A:$A,D$2)&lt;&gt;0,SUMIFS(Sheet2!$E:$E,Sheet2!$C:$C,$A169,Sheet2!$A:$A,D$2),"")</f>
        <v/>
      </c>
      <c r="E169" s="42" t="str">
        <f>IF(SUMIFS(Sheet2!$E:$E,Sheet2!$C:$C,$A169,Sheet2!$A:$A,E$2)&lt;&gt;0,SUMIFS(Sheet2!$E:$E,Sheet2!$C:$C,$A169,Sheet2!$A:$A,E$2),"")</f>
        <v/>
      </c>
      <c r="F169" s="42" t="str">
        <f>IF(SUMIFS(Sheet2!$E:$E,Sheet2!$C:$C,$A169,Sheet2!$A:$A,F$2)&lt;&gt;0,SUMIFS(Sheet2!$E:$E,Sheet2!$C:$C,$A169,Sheet2!$A:$A,F$2),"")</f>
        <v/>
      </c>
      <c r="G169" s="42" t="str">
        <f>IF(SUMIFS(Sheet2!$E:$E,Sheet2!$C:$C,$A169,Sheet2!$A:$A,G$2)&lt;&gt;0,SUMIFS(Sheet2!$E:$E,Sheet2!$C:$C,$A169,Sheet2!$A:$A,G$2),"")</f>
        <v/>
      </c>
      <c r="H169" s="42" t="str">
        <f>IF(SUMIFS(Sheet2!$E:$E,Sheet2!$C:$C,$A169,Sheet2!$A:$A,H$2)&lt;&gt;0,SUMIFS(Sheet2!$E:$E,Sheet2!$C:$C,$A169,Sheet2!$A:$A,H$2),"")</f>
        <v/>
      </c>
      <c r="I169" s="42" t="str">
        <f>IF(SUMIFS(Sheet2!$E:$E,Sheet2!$C:$C,$A169,Sheet2!$A:$A,I$2)&lt;&gt;0,SUMIFS(Sheet2!$E:$E,Sheet2!$C:$C,$A169,Sheet2!$A:$A,I$2),"")</f>
        <v/>
      </c>
      <c r="J169" s="42" t="str">
        <f>IF(SUMIFS(Sheet2!$E:$E,Sheet2!$C:$C,$A169,Sheet2!$A:$A,J$2)&lt;&gt;0,SUMIFS(Sheet2!$E:$E,Sheet2!$C:$C,$A169,Sheet2!$A:$A,J$2),"")</f>
        <v/>
      </c>
      <c r="K169" s="42" t="str">
        <f>IF(SUMIFS(Sheet2!$E:$E,Sheet2!$C:$C,$A169,Sheet2!$A:$A,K$2)&lt;&gt;0,SUMIFS(Sheet2!$E:$E,Sheet2!$C:$C,$A169,Sheet2!$A:$A,K$2),"")</f>
        <v/>
      </c>
      <c r="L169" s="42" t="str">
        <f>IF(SUMIFS(Sheet2!$E:$E,Sheet2!$C:$C,$A169,Sheet2!$A:$A,L$2)&lt;&gt;0,SUMIFS(Sheet2!$E:$E,Sheet2!$C:$C,$A169,Sheet2!$A:$A,L$2),"")</f>
        <v/>
      </c>
      <c r="M169" s="42" t="str">
        <f>IF(SUMIFS(Sheet2!$E:$E,Sheet2!$C:$C,$A169,Sheet2!$A:$A,M$2)&lt;&gt;0,SUMIFS(Sheet2!$E:$E,Sheet2!$C:$C,$A169,Sheet2!$A:$A,M$2),"")</f>
        <v/>
      </c>
      <c r="N169" s="42" t="str">
        <f>IF(SUMIFS(Sheet2!$E:$E,Sheet2!$C:$C,$A169,Sheet2!$A:$A,N$2)&lt;&gt;0,SUMIFS(Sheet2!$E:$E,Sheet2!$C:$C,$A169,Sheet2!$A:$A,N$2),"")</f>
        <v/>
      </c>
      <c r="O169" s="42" t="str">
        <f>IF(SUMIFS(Sheet2!$E:$E,Sheet2!$C:$C,$A169,Sheet2!$A:$A,O$2)&lt;&gt;0,SUMIFS(Sheet2!$E:$E,Sheet2!$C:$C,$A169,Sheet2!$A:$A,O$2),"")</f>
        <v/>
      </c>
      <c r="P169" s="42" t="str">
        <f>IF(SUMIFS(Sheet2!$E:$E,Sheet2!$C:$C,$A169,Sheet2!$A:$A,P$2)&lt;&gt;0,SUMIFS(Sheet2!$E:$E,Sheet2!$C:$C,$A169,Sheet2!$A:$A,P$2),"")</f>
        <v/>
      </c>
      <c r="Q169" s="42" t="str">
        <f>IF(SUMIFS(Sheet2!$E:$E,Sheet2!$C:$C,$A169,Sheet2!$A:$A,Q$2)&lt;&gt;0,SUMIFS(Sheet2!$E:$E,Sheet2!$C:$C,$A169,Sheet2!$A:$A,Q$2),"")</f>
        <v/>
      </c>
      <c r="R169" s="42" t="str">
        <f>IF(SUMIFS(Sheet2!$E:$E,Sheet2!$C:$C,$A169,Sheet2!$A:$A,R$2)&lt;&gt;0,SUMIFS(Sheet2!$E:$E,Sheet2!$C:$C,$A169,Sheet2!$A:$A,R$2),"")</f>
        <v/>
      </c>
      <c r="S169" s="42" t="str">
        <f>IF(SUMIFS(Sheet2!$E:$E,Sheet2!$C:$C,$A169,Sheet2!$A:$A,S$2)&lt;&gt;0,SUMIFS(Sheet2!$E:$E,Sheet2!$C:$C,$A169,Sheet2!$A:$A,S$2),"")</f>
        <v/>
      </c>
      <c r="T169" s="42" t="str">
        <f>IF(SUMIFS(Sheet2!$E:$E,Sheet2!$C:$C,$A169,Sheet2!$A:$A,T$2)&lt;&gt;0,SUMIFS(Sheet2!$E:$E,Sheet2!$C:$C,$A169,Sheet2!$A:$A,T$2),"")</f>
        <v/>
      </c>
      <c r="U169" s="42" t="str">
        <f>IF(SUMIFS(Sheet2!$E:$E,Sheet2!$C:$C,$A169,Sheet2!$A:$A,U$2)&lt;&gt;0,SUMIFS(Sheet2!$E:$E,Sheet2!$C:$C,$A169,Sheet2!$A:$A,U$2),"")</f>
        <v/>
      </c>
      <c r="V169" s="42" t="str">
        <f>IF(SUMIFS(Sheet2!$E:$E,Sheet2!$C:$C,$A169,Sheet2!$A:$A,V$2)&lt;&gt;0,SUMIFS(Sheet2!$E:$E,Sheet2!$C:$C,$A169,Sheet2!$A:$A,V$2),"")</f>
        <v/>
      </c>
      <c r="W169" s="42" t="str">
        <f>IF(SUMIFS(Sheet2!$E:$E,Sheet2!$C:$C,$A169,Sheet2!$A:$A,W$2)&lt;&gt;0,SUMIFS(Sheet2!$E:$E,Sheet2!$C:$C,$A169,Sheet2!$A:$A,W$2),"")</f>
        <v/>
      </c>
      <c r="X169" s="42" t="str">
        <f>IF(SUMIFS(Sheet2!$E:$E,Sheet2!$C:$C,$A169,Sheet2!$A:$A,X$2)&lt;&gt;0,SUMIFS(Sheet2!$E:$E,Sheet2!$C:$C,$A169,Sheet2!$A:$A,X$2),"")</f>
        <v/>
      </c>
      <c r="Y169" s="42" t="str">
        <f>IF(SUMIFS(Sheet2!$E:$E,Sheet2!$C:$C,$A169,Sheet2!$A:$A,Y$2)&lt;&gt;0,SUMIFS(Sheet2!$E:$E,Sheet2!$C:$C,$A169,Sheet2!$A:$A,Y$2),"")</f>
        <v/>
      </c>
      <c r="Z169" s="42" t="str">
        <f>IF(SUMIFS(Sheet2!$E:$E,Sheet2!$C:$C,$A169,Sheet2!$A:$A,Z$2)&lt;&gt;0,SUMIFS(Sheet2!$E:$E,Sheet2!$C:$C,$A169,Sheet2!$A:$A,Z$2),"")</f>
        <v/>
      </c>
      <c r="AA169" s="42" t="str">
        <f>IF(SUMIFS(Sheet2!$E:$E,Sheet2!$C:$C,$A169,Sheet2!$A:$A,AA$2)&lt;&gt;0,SUMIFS(Sheet2!$E:$E,Sheet2!$C:$C,$A169,Sheet2!$A:$A,AA$2),"")</f>
        <v/>
      </c>
      <c r="AB169" s="42" t="str">
        <f>IF(SUMIFS(Sheet2!$E:$E,Sheet2!$C:$C,$A169,Sheet2!$A:$A,AB$2)&lt;&gt;0,SUMIFS(Sheet2!$E:$E,Sheet2!$C:$C,$A169,Sheet2!$A:$A,AB$2),"")</f>
        <v/>
      </c>
      <c r="AC169" s="42" t="str">
        <f>IF(SUMIFS(Sheet2!$E:$E,Sheet2!$C:$C,$A169,Sheet2!$A:$A,AC$2)&lt;&gt;0,SUMIFS(Sheet2!$E:$E,Sheet2!$C:$C,$A169,Sheet2!$A:$A,AC$2),"")</f>
        <v/>
      </c>
      <c r="AD169" s="42" t="str">
        <f>IF(SUMIFS(Sheet2!$E:$E,Sheet2!$C:$C,$A169,Sheet2!$A:$A,AD$2)&lt;&gt;0,SUMIFS(Sheet2!$E:$E,Sheet2!$C:$C,$A169,Sheet2!$A:$A,AD$2),"")</f>
        <v/>
      </c>
      <c r="AE169" s="42" t="str">
        <f>IF(SUMIFS(Sheet2!$E:$E,Sheet2!$C:$C,$A169,Sheet2!$A:$A,AE$2)&lt;&gt;0,SUMIFS(Sheet2!$E:$E,Sheet2!$C:$C,$A169,Sheet2!$A:$A,AE$2),"")</f>
        <v/>
      </c>
      <c r="AF169" s="42" t="str">
        <f>IF(SUMIFS(Sheet2!$E:$E,Sheet2!$C:$C,$A169,Sheet2!$A:$A,AF$2)&lt;&gt;0,SUMIFS(Sheet2!$E:$E,Sheet2!$C:$C,$A169,Sheet2!$A:$A,AF$2),"")</f>
        <v/>
      </c>
      <c r="AG169" s="42" t="str">
        <f>IF(SUMIFS(Sheet2!$E:$E,Sheet2!$C:$C,$A169,Sheet2!$A:$A,AG$2)&lt;&gt;0,SUMIFS(Sheet2!$E:$E,Sheet2!$C:$C,$A169,Sheet2!$A:$A,AG$2),"")</f>
        <v/>
      </c>
      <c r="AH169" s="43">
        <f>SUM(Table2[[#This Row],[1]:[31]])</f>
        <v>0</v>
      </c>
    </row>
    <row r="170" spans="1:34" ht="12.75" customHeight="1">
      <c r="A170" s="76" t="str">
        <f>DSSP!A169</f>
        <v>GC17</v>
      </c>
      <c r="B170" s="25" t="str">
        <f>DSSP!B169</f>
        <v>Móc điện thoại giả cổ</v>
      </c>
      <c r="C170" s="42" t="str">
        <f>IF(SUMIFS(Sheet2!$E:$E,Sheet2!$C:$C,$A170,Sheet2!$A:$A,C$2)&lt;&gt;0,SUMIFS(Sheet2!$E:$E,Sheet2!$C:$C,$A170,Sheet2!$A:$A,C$2),"")</f>
        <v/>
      </c>
      <c r="D170" s="42" t="str">
        <f>IF(SUMIFS(Sheet2!$E:$E,Sheet2!$C:$C,$A170,Sheet2!$A:$A,D$2)&lt;&gt;0,SUMIFS(Sheet2!$E:$E,Sheet2!$C:$C,$A170,Sheet2!$A:$A,D$2),"")</f>
        <v/>
      </c>
      <c r="E170" s="42" t="str">
        <f>IF(SUMIFS(Sheet2!$E:$E,Sheet2!$C:$C,$A170,Sheet2!$A:$A,E$2)&lt;&gt;0,SUMIFS(Sheet2!$E:$E,Sheet2!$C:$C,$A170,Sheet2!$A:$A,E$2),"")</f>
        <v/>
      </c>
      <c r="F170" s="42" t="str">
        <f>IF(SUMIFS(Sheet2!$E:$E,Sheet2!$C:$C,$A170,Sheet2!$A:$A,F$2)&lt;&gt;0,SUMIFS(Sheet2!$E:$E,Sheet2!$C:$C,$A170,Sheet2!$A:$A,F$2),"")</f>
        <v/>
      </c>
      <c r="G170" s="42" t="str">
        <f>IF(SUMIFS(Sheet2!$E:$E,Sheet2!$C:$C,$A170,Sheet2!$A:$A,G$2)&lt;&gt;0,SUMIFS(Sheet2!$E:$E,Sheet2!$C:$C,$A170,Sheet2!$A:$A,G$2),"")</f>
        <v/>
      </c>
      <c r="H170" s="42" t="str">
        <f>IF(SUMIFS(Sheet2!$E:$E,Sheet2!$C:$C,$A170,Sheet2!$A:$A,H$2)&lt;&gt;0,SUMIFS(Sheet2!$E:$E,Sheet2!$C:$C,$A170,Sheet2!$A:$A,H$2),"")</f>
        <v/>
      </c>
      <c r="I170" s="42" t="str">
        <f>IF(SUMIFS(Sheet2!$E:$E,Sheet2!$C:$C,$A170,Sheet2!$A:$A,I$2)&lt;&gt;0,SUMIFS(Sheet2!$E:$E,Sheet2!$C:$C,$A170,Sheet2!$A:$A,I$2),"")</f>
        <v/>
      </c>
      <c r="J170" s="42" t="str">
        <f>IF(SUMIFS(Sheet2!$E:$E,Sheet2!$C:$C,$A170,Sheet2!$A:$A,J$2)&lt;&gt;0,SUMIFS(Sheet2!$E:$E,Sheet2!$C:$C,$A170,Sheet2!$A:$A,J$2),"")</f>
        <v/>
      </c>
      <c r="K170" s="42" t="str">
        <f>IF(SUMIFS(Sheet2!$E:$E,Sheet2!$C:$C,$A170,Sheet2!$A:$A,K$2)&lt;&gt;0,SUMIFS(Sheet2!$E:$E,Sheet2!$C:$C,$A170,Sheet2!$A:$A,K$2),"")</f>
        <v/>
      </c>
      <c r="L170" s="42" t="str">
        <f>IF(SUMIFS(Sheet2!$E:$E,Sheet2!$C:$C,$A170,Sheet2!$A:$A,L$2)&lt;&gt;0,SUMIFS(Sheet2!$E:$E,Sheet2!$C:$C,$A170,Sheet2!$A:$A,L$2),"")</f>
        <v/>
      </c>
      <c r="M170" s="42" t="str">
        <f>IF(SUMIFS(Sheet2!$E:$E,Sheet2!$C:$C,$A170,Sheet2!$A:$A,M$2)&lt;&gt;0,SUMIFS(Sheet2!$E:$E,Sheet2!$C:$C,$A170,Sheet2!$A:$A,M$2),"")</f>
        <v/>
      </c>
      <c r="N170" s="42" t="str">
        <f>IF(SUMIFS(Sheet2!$E:$E,Sheet2!$C:$C,$A170,Sheet2!$A:$A,N$2)&lt;&gt;0,SUMIFS(Sheet2!$E:$E,Sheet2!$C:$C,$A170,Sheet2!$A:$A,N$2),"")</f>
        <v/>
      </c>
      <c r="O170" s="42" t="str">
        <f>IF(SUMIFS(Sheet2!$E:$E,Sheet2!$C:$C,$A170,Sheet2!$A:$A,O$2)&lt;&gt;0,SUMIFS(Sheet2!$E:$E,Sheet2!$C:$C,$A170,Sheet2!$A:$A,O$2),"")</f>
        <v/>
      </c>
      <c r="P170" s="42" t="str">
        <f>IF(SUMIFS(Sheet2!$E:$E,Sheet2!$C:$C,$A170,Sheet2!$A:$A,P$2)&lt;&gt;0,SUMIFS(Sheet2!$E:$E,Sheet2!$C:$C,$A170,Sheet2!$A:$A,P$2),"")</f>
        <v/>
      </c>
      <c r="Q170" s="42" t="str">
        <f>IF(SUMIFS(Sheet2!$E:$E,Sheet2!$C:$C,$A170,Sheet2!$A:$A,Q$2)&lt;&gt;0,SUMIFS(Sheet2!$E:$E,Sheet2!$C:$C,$A170,Sheet2!$A:$A,Q$2),"")</f>
        <v/>
      </c>
      <c r="R170" s="42" t="str">
        <f>IF(SUMIFS(Sheet2!$E:$E,Sheet2!$C:$C,$A170,Sheet2!$A:$A,R$2)&lt;&gt;0,SUMIFS(Sheet2!$E:$E,Sheet2!$C:$C,$A170,Sheet2!$A:$A,R$2),"")</f>
        <v/>
      </c>
      <c r="S170" s="42" t="str">
        <f>IF(SUMIFS(Sheet2!$E:$E,Sheet2!$C:$C,$A170,Sheet2!$A:$A,S$2)&lt;&gt;0,SUMIFS(Sheet2!$E:$E,Sheet2!$C:$C,$A170,Sheet2!$A:$A,S$2),"")</f>
        <v/>
      </c>
      <c r="T170" s="42" t="str">
        <f>IF(SUMIFS(Sheet2!$E:$E,Sheet2!$C:$C,$A170,Sheet2!$A:$A,T$2)&lt;&gt;0,SUMIFS(Sheet2!$E:$E,Sheet2!$C:$C,$A170,Sheet2!$A:$A,T$2),"")</f>
        <v/>
      </c>
      <c r="U170" s="42" t="str">
        <f>IF(SUMIFS(Sheet2!$E:$E,Sheet2!$C:$C,$A170,Sheet2!$A:$A,U$2)&lt;&gt;0,SUMIFS(Sheet2!$E:$E,Sheet2!$C:$C,$A170,Sheet2!$A:$A,U$2),"")</f>
        <v/>
      </c>
      <c r="V170" s="42" t="str">
        <f>IF(SUMIFS(Sheet2!$E:$E,Sheet2!$C:$C,$A170,Sheet2!$A:$A,V$2)&lt;&gt;0,SUMIFS(Sheet2!$E:$E,Sheet2!$C:$C,$A170,Sheet2!$A:$A,V$2),"")</f>
        <v/>
      </c>
      <c r="W170" s="42" t="str">
        <f>IF(SUMIFS(Sheet2!$E:$E,Sheet2!$C:$C,$A170,Sheet2!$A:$A,W$2)&lt;&gt;0,SUMIFS(Sheet2!$E:$E,Sheet2!$C:$C,$A170,Sheet2!$A:$A,W$2),"")</f>
        <v/>
      </c>
      <c r="X170" s="42" t="str">
        <f>IF(SUMIFS(Sheet2!$E:$E,Sheet2!$C:$C,$A170,Sheet2!$A:$A,X$2)&lt;&gt;0,SUMIFS(Sheet2!$E:$E,Sheet2!$C:$C,$A170,Sheet2!$A:$A,X$2),"")</f>
        <v/>
      </c>
      <c r="Y170" s="42" t="str">
        <f>IF(SUMIFS(Sheet2!$E:$E,Sheet2!$C:$C,$A170,Sheet2!$A:$A,Y$2)&lt;&gt;0,SUMIFS(Sheet2!$E:$E,Sheet2!$C:$C,$A170,Sheet2!$A:$A,Y$2),"")</f>
        <v/>
      </c>
      <c r="Z170" s="42" t="str">
        <f>IF(SUMIFS(Sheet2!$E:$E,Sheet2!$C:$C,$A170,Sheet2!$A:$A,Z$2)&lt;&gt;0,SUMIFS(Sheet2!$E:$E,Sheet2!$C:$C,$A170,Sheet2!$A:$A,Z$2),"")</f>
        <v/>
      </c>
      <c r="AA170" s="42" t="str">
        <f>IF(SUMIFS(Sheet2!$E:$E,Sheet2!$C:$C,$A170,Sheet2!$A:$A,AA$2)&lt;&gt;0,SUMIFS(Sheet2!$E:$E,Sheet2!$C:$C,$A170,Sheet2!$A:$A,AA$2),"")</f>
        <v/>
      </c>
      <c r="AB170" s="42" t="str">
        <f>IF(SUMIFS(Sheet2!$E:$E,Sheet2!$C:$C,$A170,Sheet2!$A:$A,AB$2)&lt;&gt;0,SUMIFS(Sheet2!$E:$E,Sheet2!$C:$C,$A170,Sheet2!$A:$A,AB$2),"")</f>
        <v/>
      </c>
      <c r="AC170" s="42" t="str">
        <f>IF(SUMIFS(Sheet2!$E:$E,Sheet2!$C:$C,$A170,Sheet2!$A:$A,AC$2)&lt;&gt;0,SUMIFS(Sheet2!$E:$E,Sheet2!$C:$C,$A170,Sheet2!$A:$A,AC$2),"")</f>
        <v/>
      </c>
      <c r="AD170" s="42" t="str">
        <f>IF(SUMIFS(Sheet2!$E:$E,Sheet2!$C:$C,$A170,Sheet2!$A:$A,AD$2)&lt;&gt;0,SUMIFS(Sheet2!$E:$E,Sheet2!$C:$C,$A170,Sheet2!$A:$A,AD$2),"")</f>
        <v/>
      </c>
      <c r="AE170" s="42" t="str">
        <f>IF(SUMIFS(Sheet2!$E:$E,Sheet2!$C:$C,$A170,Sheet2!$A:$A,AE$2)&lt;&gt;0,SUMIFS(Sheet2!$E:$E,Sheet2!$C:$C,$A170,Sheet2!$A:$A,AE$2),"")</f>
        <v/>
      </c>
      <c r="AF170" s="42" t="str">
        <f>IF(SUMIFS(Sheet2!$E:$E,Sheet2!$C:$C,$A170,Sheet2!$A:$A,AF$2)&lt;&gt;0,SUMIFS(Sheet2!$E:$E,Sheet2!$C:$C,$A170,Sheet2!$A:$A,AF$2),"")</f>
        <v/>
      </c>
      <c r="AG170" s="42" t="str">
        <f>IF(SUMIFS(Sheet2!$E:$E,Sheet2!$C:$C,$A170,Sheet2!$A:$A,AG$2)&lt;&gt;0,SUMIFS(Sheet2!$E:$E,Sheet2!$C:$C,$A170,Sheet2!$A:$A,AG$2),"")</f>
        <v/>
      </c>
      <c r="AH170" s="43">
        <f>SUM(Table2[[#This Row],[1]:[31]])</f>
        <v>0</v>
      </c>
    </row>
    <row r="171" spans="1:34" ht="12.75" customHeight="1">
      <c r="A171" s="76" t="str">
        <f>DSSP!A170</f>
        <v>GC18</v>
      </c>
      <c r="B171" s="25" t="str">
        <f>DSSP!B170</f>
        <v>Đinh tán</v>
      </c>
      <c r="C171" s="42" t="str">
        <f>IF(SUMIFS(Sheet2!$E:$E,Sheet2!$C:$C,$A171,Sheet2!$A:$A,C$2)&lt;&gt;0,SUMIFS(Sheet2!$E:$E,Sheet2!$C:$C,$A171,Sheet2!$A:$A,C$2),"")</f>
        <v/>
      </c>
      <c r="D171" s="42" t="str">
        <f>IF(SUMIFS(Sheet2!$E:$E,Sheet2!$C:$C,$A171,Sheet2!$A:$A,D$2)&lt;&gt;0,SUMIFS(Sheet2!$E:$E,Sheet2!$C:$C,$A171,Sheet2!$A:$A,D$2),"")</f>
        <v/>
      </c>
      <c r="E171" s="42" t="str">
        <f>IF(SUMIFS(Sheet2!$E:$E,Sheet2!$C:$C,$A171,Sheet2!$A:$A,E$2)&lt;&gt;0,SUMIFS(Sheet2!$E:$E,Sheet2!$C:$C,$A171,Sheet2!$A:$A,E$2),"")</f>
        <v/>
      </c>
      <c r="F171" s="42" t="str">
        <f>IF(SUMIFS(Sheet2!$E:$E,Sheet2!$C:$C,$A171,Sheet2!$A:$A,F$2)&lt;&gt;0,SUMIFS(Sheet2!$E:$E,Sheet2!$C:$C,$A171,Sheet2!$A:$A,F$2),"")</f>
        <v/>
      </c>
      <c r="G171" s="42" t="str">
        <f>IF(SUMIFS(Sheet2!$E:$E,Sheet2!$C:$C,$A171,Sheet2!$A:$A,G$2)&lt;&gt;0,SUMIFS(Sheet2!$E:$E,Sheet2!$C:$C,$A171,Sheet2!$A:$A,G$2),"")</f>
        <v/>
      </c>
      <c r="H171" s="42" t="str">
        <f>IF(SUMIFS(Sheet2!$E:$E,Sheet2!$C:$C,$A171,Sheet2!$A:$A,H$2)&lt;&gt;0,SUMIFS(Sheet2!$E:$E,Sheet2!$C:$C,$A171,Sheet2!$A:$A,H$2),"")</f>
        <v/>
      </c>
      <c r="I171" s="42" t="str">
        <f>IF(SUMIFS(Sheet2!$E:$E,Sheet2!$C:$C,$A171,Sheet2!$A:$A,I$2)&lt;&gt;0,SUMIFS(Sheet2!$E:$E,Sheet2!$C:$C,$A171,Sheet2!$A:$A,I$2),"")</f>
        <v/>
      </c>
      <c r="J171" s="42" t="str">
        <f>IF(SUMIFS(Sheet2!$E:$E,Sheet2!$C:$C,$A171,Sheet2!$A:$A,J$2)&lt;&gt;0,SUMIFS(Sheet2!$E:$E,Sheet2!$C:$C,$A171,Sheet2!$A:$A,J$2),"")</f>
        <v/>
      </c>
      <c r="K171" s="42" t="str">
        <f>IF(SUMIFS(Sheet2!$E:$E,Sheet2!$C:$C,$A171,Sheet2!$A:$A,K$2)&lt;&gt;0,SUMIFS(Sheet2!$E:$E,Sheet2!$C:$C,$A171,Sheet2!$A:$A,K$2),"")</f>
        <v/>
      </c>
      <c r="L171" s="42" t="str">
        <f>IF(SUMIFS(Sheet2!$E:$E,Sheet2!$C:$C,$A171,Sheet2!$A:$A,L$2)&lt;&gt;0,SUMIFS(Sheet2!$E:$E,Sheet2!$C:$C,$A171,Sheet2!$A:$A,L$2),"")</f>
        <v/>
      </c>
      <c r="M171" s="42" t="str">
        <f>IF(SUMIFS(Sheet2!$E:$E,Sheet2!$C:$C,$A171,Sheet2!$A:$A,M$2)&lt;&gt;0,SUMIFS(Sheet2!$E:$E,Sheet2!$C:$C,$A171,Sheet2!$A:$A,M$2),"")</f>
        <v/>
      </c>
      <c r="N171" s="42" t="str">
        <f>IF(SUMIFS(Sheet2!$E:$E,Sheet2!$C:$C,$A171,Sheet2!$A:$A,N$2)&lt;&gt;0,SUMIFS(Sheet2!$E:$E,Sheet2!$C:$C,$A171,Sheet2!$A:$A,N$2),"")</f>
        <v/>
      </c>
      <c r="O171" s="42" t="str">
        <f>IF(SUMIFS(Sheet2!$E:$E,Sheet2!$C:$C,$A171,Sheet2!$A:$A,O$2)&lt;&gt;0,SUMIFS(Sheet2!$E:$E,Sheet2!$C:$C,$A171,Sheet2!$A:$A,O$2),"")</f>
        <v/>
      </c>
      <c r="P171" s="42" t="str">
        <f>IF(SUMIFS(Sheet2!$E:$E,Sheet2!$C:$C,$A171,Sheet2!$A:$A,P$2)&lt;&gt;0,SUMIFS(Sheet2!$E:$E,Sheet2!$C:$C,$A171,Sheet2!$A:$A,P$2),"")</f>
        <v/>
      </c>
      <c r="Q171" s="42" t="str">
        <f>IF(SUMIFS(Sheet2!$E:$E,Sheet2!$C:$C,$A171,Sheet2!$A:$A,Q$2)&lt;&gt;0,SUMIFS(Sheet2!$E:$E,Sheet2!$C:$C,$A171,Sheet2!$A:$A,Q$2),"")</f>
        <v/>
      </c>
      <c r="R171" s="42" t="str">
        <f>IF(SUMIFS(Sheet2!$E:$E,Sheet2!$C:$C,$A171,Sheet2!$A:$A,R$2)&lt;&gt;0,SUMIFS(Sheet2!$E:$E,Sheet2!$C:$C,$A171,Sheet2!$A:$A,R$2),"")</f>
        <v/>
      </c>
      <c r="S171" s="42" t="str">
        <f>IF(SUMIFS(Sheet2!$E:$E,Sheet2!$C:$C,$A171,Sheet2!$A:$A,S$2)&lt;&gt;0,SUMIFS(Sheet2!$E:$E,Sheet2!$C:$C,$A171,Sheet2!$A:$A,S$2),"")</f>
        <v/>
      </c>
      <c r="T171" s="42" t="str">
        <f>IF(SUMIFS(Sheet2!$E:$E,Sheet2!$C:$C,$A171,Sheet2!$A:$A,T$2)&lt;&gt;0,SUMIFS(Sheet2!$E:$E,Sheet2!$C:$C,$A171,Sheet2!$A:$A,T$2),"")</f>
        <v/>
      </c>
      <c r="U171" s="42" t="str">
        <f>IF(SUMIFS(Sheet2!$E:$E,Sheet2!$C:$C,$A171,Sheet2!$A:$A,U$2)&lt;&gt;0,SUMIFS(Sheet2!$E:$E,Sheet2!$C:$C,$A171,Sheet2!$A:$A,U$2),"")</f>
        <v/>
      </c>
      <c r="V171" s="42" t="str">
        <f>IF(SUMIFS(Sheet2!$E:$E,Sheet2!$C:$C,$A171,Sheet2!$A:$A,V$2)&lt;&gt;0,SUMIFS(Sheet2!$E:$E,Sheet2!$C:$C,$A171,Sheet2!$A:$A,V$2),"")</f>
        <v/>
      </c>
      <c r="W171" s="42" t="str">
        <f>IF(SUMIFS(Sheet2!$E:$E,Sheet2!$C:$C,$A171,Sheet2!$A:$A,W$2)&lt;&gt;0,SUMIFS(Sheet2!$E:$E,Sheet2!$C:$C,$A171,Sheet2!$A:$A,W$2),"")</f>
        <v/>
      </c>
      <c r="X171" s="42" t="str">
        <f>IF(SUMIFS(Sheet2!$E:$E,Sheet2!$C:$C,$A171,Sheet2!$A:$A,X$2)&lt;&gt;0,SUMIFS(Sheet2!$E:$E,Sheet2!$C:$C,$A171,Sheet2!$A:$A,X$2),"")</f>
        <v/>
      </c>
      <c r="Y171" s="42" t="str">
        <f>IF(SUMIFS(Sheet2!$E:$E,Sheet2!$C:$C,$A171,Sheet2!$A:$A,Y$2)&lt;&gt;0,SUMIFS(Sheet2!$E:$E,Sheet2!$C:$C,$A171,Sheet2!$A:$A,Y$2),"")</f>
        <v/>
      </c>
      <c r="Z171" s="42" t="str">
        <f>IF(SUMIFS(Sheet2!$E:$E,Sheet2!$C:$C,$A171,Sheet2!$A:$A,Z$2)&lt;&gt;0,SUMIFS(Sheet2!$E:$E,Sheet2!$C:$C,$A171,Sheet2!$A:$A,Z$2),"")</f>
        <v/>
      </c>
      <c r="AA171" s="42" t="str">
        <f>IF(SUMIFS(Sheet2!$E:$E,Sheet2!$C:$C,$A171,Sheet2!$A:$A,AA$2)&lt;&gt;0,SUMIFS(Sheet2!$E:$E,Sheet2!$C:$C,$A171,Sheet2!$A:$A,AA$2),"")</f>
        <v/>
      </c>
      <c r="AB171" s="42" t="str">
        <f>IF(SUMIFS(Sheet2!$E:$E,Sheet2!$C:$C,$A171,Sheet2!$A:$A,AB$2)&lt;&gt;0,SUMIFS(Sheet2!$E:$E,Sheet2!$C:$C,$A171,Sheet2!$A:$A,AB$2),"")</f>
        <v/>
      </c>
      <c r="AC171" s="42" t="str">
        <f>IF(SUMIFS(Sheet2!$E:$E,Sheet2!$C:$C,$A171,Sheet2!$A:$A,AC$2)&lt;&gt;0,SUMIFS(Sheet2!$E:$E,Sheet2!$C:$C,$A171,Sheet2!$A:$A,AC$2),"")</f>
        <v/>
      </c>
      <c r="AD171" s="42" t="str">
        <f>IF(SUMIFS(Sheet2!$E:$E,Sheet2!$C:$C,$A171,Sheet2!$A:$A,AD$2)&lt;&gt;0,SUMIFS(Sheet2!$E:$E,Sheet2!$C:$C,$A171,Sheet2!$A:$A,AD$2),"")</f>
        <v/>
      </c>
      <c r="AE171" s="42" t="str">
        <f>IF(SUMIFS(Sheet2!$E:$E,Sheet2!$C:$C,$A171,Sheet2!$A:$A,AE$2)&lt;&gt;0,SUMIFS(Sheet2!$E:$E,Sheet2!$C:$C,$A171,Sheet2!$A:$A,AE$2),"")</f>
        <v/>
      </c>
      <c r="AF171" s="42" t="str">
        <f>IF(SUMIFS(Sheet2!$E:$E,Sheet2!$C:$C,$A171,Sheet2!$A:$A,AF$2)&lt;&gt;0,SUMIFS(Sheet2!$E:$E,Sheet2!$C:$C,$A171,Sheet2!$A:$A,AF$2),"")</f>
        <v/>
      </c>
      <c r="AG171" s="42" t="str">
        <f>IF(SUMIFS(Sheet2!$E:$E,Sheet2!$C:$C,$A171,Sheet2!$A:$A,AG$2)&lt;&gt;0,SUMIFS(Sheet2!$E:$E,Sheet2!$C:$C,$A171,Sheet2!$A:$A,AG$2),"")</f>
        <v/>
      </c>
      <c r="AH171" s="43">
        <f>SUM(Table2[[#This Row],[1]:[31]])</f>
        <v>0</v>
      </c>
    </row>
    <row r="172" spans="1:34" ht="12.75" customHeight="1">
      <c r="A172" s="76" t="str">
        <f>DSSP!A171</f>
        <v>GC19</v>
      </c>
      <c r="B172" s="25" t="str">
        <f>DSSP!B171</f>
        <v>Mặt chữ</v>
      </c>
      <c r="C172" s="42" t="str">
        <f>IF(SUMIFS(Sheet2!$E:$E,Sheet2!$C:$C,$A172,Sheet2!$A:$A,C$2)&lt;&gt;0,SUMIFS(Sheet2!$E:$E,Sheet2!$C:$C,$A172,Sheet2!$A:$A,C$2),"")</f>
        <v/>
      </c>
      <c r="D172" s="42" t="str">
        <f>IF(SUMIFS(Sheet2!$E:$E,Sheet2!$C:$C,$A172,Sheet2!$A:$A,D$2)&lt;&gt;0,SUMIFS(Sheet2!$E:$E,Sheet2!$C:$C,$A172,Sheet2!$A:$A,D$2),"")</f>
        <v/>
      </c>
      <c r="E172" s="42" t="str">
        <f>IF(SUMIFS(Sheet2!$E:$E,Sheet2!$C:$C,$A172,Sheet2!$A:$A,E$2)&lt;&gt;0,SUMIFS(Sheet2!$E:$E,Sheet2!$C:$C,$A172,Sheet2!$A:$A,E$2),"")</f>
        <v/>
      </c>
      <c r="F172" s="42" t="str">
        <f>IF(SUMIFS(Sheet2!$E:$E,Sheet2!$C:$C,$A172,Sheet2!$A:$A,F$2)&lt;&gt;0,SUMIFS(Sheet2!$E:$E,Sheet2!$C:$C,$A172,Sheet2!$A:$A,F$2),"")</f>
        <v/>
      </c>
      <c r="G172" s="42" t="str">
        <f>IF(SUMIFS(Sheet2!$E:$E,Sheet2!$C:$C,$A172,Sheet2!$A:$A,G$2)&lt;&gt;0,SUMIFS(Sheet2!$E:$E,Sheet2!$C:$C,$A172,Sheet2!$A:$A,G$2),"")</f>
        <v/>
      </c>
      <c r="H172" s="42" t="str">
        <f>IF(SUMIFS(Sheet2!$E:$E,Sheet2!$C:$C,$A172,Sheet2!$A:$A,H$2)&lt;&gt;0,SUMIFS(Sheet2!$E:$E,Sheet2!$C:$C,$A172,Sheet2!$A:$A,H$2),"")</f>
        <v/>
      </c>
      <c r="I172" s="42" t="str">
        <f>IF(SUMIFS(Sheet2!$E:$E,Sheet2!$C:$C,$A172,Sheet2!$A:$A,I$2)&lt;&gt;0,SUMIFS(Sheet2!$E:$E,Sheet2!$C:$C,$A172,Sheet2!$A:$A,I$2),"")</f>
        <v/>
      </c>
      <c r="J172" s="42" t="str">
        <f>IF(SUMIFS(Sheet2!$E:$E,Sheet2!$C:$C,$A172,Sheet2!$A:$A,J$2)&lt;&gt;0,SUMIFS(Sheet2!$E:$E,Sheet2!$C:$C,$A172,Sheet2!$A:$A,J$2),"")</f>
        <v/>
      </c>
      <c r="K172" s="42" t="str">
        <f>IF(SUMIFS(Sheet2!$E:$E,Sheet2!$C:$C,$A172,Sheet2!$A:$A,K$2)&lt;&gt;0,SUMIFS(Sheet2!$E:$E,Sheet2!$C:$C,$A172,Sheet2!$A:$A,K$2),"")</f>
        <v/>
      </c>
      <c r="L172" s="42" t="str">
        <f>IF(SUMIFS(Sheet2!$E:$E,Sheet2!$C:$C,$A172,Sheet2!$A:$A,L$2)&lt;&gt;0,SUMIFS(Sheet2!$E:$E,Sheet2!$C:$C,$A172,Sheet2!$A:$A,L$2),"")</f>
        <v/>
      </c>
      <c r="M172" s="42" t="str">
        <f>IF(SUMIFS(Sheet2!$E:$E,Sheet2!$C:$C,$A172,Sheet2!$A:$A,M$2)&lt;&gt;0,SUMIFS(Sheet2!$E:$E,Sheet2!$C:$C,$A172,Sheet2!$A:$A,M$2),"")</f>
        <v/>
      </c>
      <c r="N172" s="42" t="str">
        <f>IF(SUMIFS(Sheet2!$E:$E,Sheet2!$C:$C,$A172,Sheet2!$A:$A,N$2)&lt;&gt;0,SUMIFS(Sheet2!$E:$E,Sheet2!$C:$C,$A172,Sheet2!$A:$A,N$2),"")</f>
        <v/>
      </c>
      <c r="O172" s="42" t="str">
        <f>IF(SUMIFS(Sheet2!$E:$E,Sheet2!$C:$C,$A172,Sheet2!$A:$A,O$2)&lt;&gt;0,SUMIFS(Sheet2!$E:$E,Sheet2!$C:$C,$A172,Sheet2!$A:$A,O$2),"")</f>
        <v/>
      </c>
      <c r="P172" s="42" t="str">
        <f>IF(SUMIFS(Sheet2!$E:$E,Sheet2!$C:$C,$A172,Sheet2!$A:$A,P$2)&lt;&gt;0,SUMIFS(Sheet2!$E:$E,Sheet2!$C:$C,$A172,Sheet2!$A:$A,P$2),"")</f>
        <v/>
      </c>
      <c r="Q172" s="42" t="str">
        <f>IF(SUMIFS(Sheet2!$E:$E,Sheet2!$C:$C,$A172,Sheet2!$A:$A,Q$2)&lt;&gt;0,SUMIFS(Sheet2!$E:$E,Sheet2!$C:$C,$A172,Sheet2!$A:$A,Q$2),"")</f>
        <v/>
      </c>
      <c r="R172" s="42" t="str">
        <f>IF(SUMIFS(Sheet2!$E:$E,Sheet2!$C:$C,$A172,Sheet2!$A:$A,R$2)&lt;&gt;0,SUMIFS(Sheet2!$E:$E,Sheet2!$C:$C,$A172,Sheet2!$A:$A,R$2),"")</f>
        <v/>
      </c>
      <c r="S172" s="42" t="str">
        <f>IF(SUMIFS(Sheet2!$E:$E,Sheet2!$C:$C,$A172,Sheet2!$A:$A,S$2)&lt;&gt;0,SUMIFS(Sheet2!$E:$E,Sheet2!$C:$C,$A172,Sheet2!$A:$A,S$2),"")</f>
        <v/>
      </c>
      <c r="T172" s="42" t="str">
        <f>IF(SUMIFS(Sheet2!$E:$E,Sheet2!$C:$C,$A172,Sheet2!$A:$A,T$2)&lt;&gt;0,SUMIFS(Sheet2!$E:$E,Sheet2!$C:$C,$A172,Sheet2!$A:$A,T$2),"")</f>
        <v/>
      </c>
      <c r="U172" s="42" t="str">
        <f>IF(SUMIFS(Sheet2!$E:$E,Sheet2!$C:$C,$A172,Sheet2!$A:$A,U$2)&lt;&gt;0,SUMIFS(Sheet2!$E:$E,Sheet2!$C:$C,$A172,Sheet2!$A:$A,U$2),"")</f>
        <v/>
      </c>
      <c r="V172" s="42" t="str">
        <f>IF(SUMIFS(Sheet2!$E:$E,Sheet2!$C:$C,$A172,Sheet2!$A:$A,V$2)&lt;&gt;0,SUMIFS(Sheet2!$E:$E,Sheet2!$C:$C,$A172,Sheet2!$A:$A,V$2),"")</f>
        <v/>
      </c>
      <c r="W172" s="42" t="str">
        <f>IF(SUMIFS(Sheet2!$E:$E,Sheet2!$C:$C,$A172,Sheet2!$A:$A,W$2)&lt;&gt;0,SUMIFS(Sheet2!$E:$E,Sheet2!$C:$C,$A172,Sheet2!$A:$A,W$2),"")</f>
        <v/>
      </c>
      <c r="X172" s="42" t="str">
        <f>IF(SUMIFS(Sheet2!$E:$E,Sheet2!$C:$C,$A172,Sheet2!$A:$A,X$2)&lt;&gt;0,SUMIFS(Sheet2!$E:$E,Sheet2!$C:$C,$A172,Sheet2!$A:$A,X$2),"")</f>
        <v/>
      </c>
      <c r="Y172" s="42" t="str">
        <f>IF(SUMIFS(Sheet2!$E:$E,Sheet2!$C:$C,$A172,Sheet2!$A:$A,Y$2)&lt;&gt;0,SUMIFS(Sheet2!$E:$E,Sheet2!$C:$C,$A172,Sheet2!$A:$A,Y$2),"")</f>
        <v/>
      </c>
      <c r="Z172" s="42" t="str">
        <f>IF(SUMIFS(Sheet2!$E:$E,Sheet2!$C:$C,$A172,Sheet2!$A:$A,Z$2)&lt;&gt;0,SUMIFS(Sheet2!$E:$E,Sheet2!$C:$C,$A172,Sheet2!$A:$A,Z$2),"")</f>
        <v/>
      </c>
      <c r="AA172" s="42" t="str">
        <f>IF(SUMIFS(Sheet2!$E:$E,Sheet2!$C:$C,$A172,Sheet2!$A:$A,AA$2)&lt;&gt;0,SUMIFS(Sheet2!$E:$E,Sheet2!$C:$C,$A172,Sheet2!$A:$A,AA$2),"")</f>
        <v/>
      </c>
      <c r="AB172" s="42" t="str">
        <f>IF(SUMIFS(Sheet2!$E:$E,Sheet2!$C:$C,$A172,Sheet2!$A:$A,AB$2)&lt;&gt;0,SUMIFS(Sheet2!$E:$E,Sheet2!$C:$C,$A172,Sheet2!$A:$A,AB$2),"")</f>
        <v/>
      </c>
      <c r="AC172" s="42" t="str">
        <f>IF(SUMIFS(Sheet2!$E:$E,Sheet2!$C:$C,$A172,Sheet2!$A:$A,AC$2)&lt;&gt;0,SUMIFS(Sheet2!$E:$E,Sheet2!$C:$C,$A172,Sheet2!$A:$A,AC$2),"")</f>
        <v/>
      </c>
      <c r="AD172" s="42" t="str">
        <f>IF(SUMIFS(Sheet2!$E:$E,Sheet2!$C:$C,$A172,Sheet2!$A:$A,AD$2)&lt;&gt;0,SUMIFS(Sheet2!$E:$E,Sheet2!$C:$C,$A172,Sheet2!$A:$A,AD$2),"")</f>
        <v/>
      </c>
      <c r="AE172" s="42" t="str">
        <f>IF(SUMIFS(Sheet2!$E:$E,Sheet2!$C:$C,$A172,Sheet2!$A:$A,AE$2)&lt;&gt;0,SUMIFS(Sheet2!$E:$E,Sheet2!$C:$C,$A172,Sheet2!$A:$A,AE$2),"")</f>
        <v/>
      </c>
      <c r="AF172" s="42" t="str">
        <f>IF(SUMIFS(Sheet2!$E:$E,Sheet2!$C:$C,$A172,Sheet2!$A:$A,AF$2)&lt;&gt;0,SUMIFS(Sheet2!$E:$E,Sheet2!$C:$C,$A172,Sheet2!$A:$A,AF$2),"")</f>
        <v/>
      </c>
      <c r="AG172" s="42" t="str">
        <f>IF(SUMIFS(Sheet2!$E:$E,Sheet2!$C:$C,$A172,Sheet2!$A:$A,AG$2)&lt;&gt;0,SUMIFS(Sheet2!$E:$E,Sheet2!$C:$C,$A172,Sheet2!$A:$A,AG$2),"")</f>
        <v/>
      </c>
      <c r="AH172" s="43">
        <f>SUM(Table2[[#This Row],[1]:[31]])</f>
        <v>0</v>
      </c>
    </row>
    <row r="173" spans="1:34" ht="12.75" customHeight="1">
      <c r="A173" s="76" t="str">
        <f>DSSP!A172</f>
        <v>GC20</v>
      </c>
      <c r="B173" s="25" t="str">
        <f>DSSP!B172</f>
        <v>Mặt số</v>
      </c>
      <c r="C173" s="42" t="str">
        <f>IF(SUMIFS(Sheet2!$E:$E,Sheet2!$C:$C,$A173,Sheet2!$A:$A,C$2)&lt;&gt;0,SUMIFS(Sheet2!$E:$E,Sheet2!$C:$C,$A173,Sheet2!$A:$A,C$2),"")</f>
        <v/>
      </c>
      <c r="D173" s="42" t="str">
        <f>IF(SUMIFS(Sheet2!$E:$E,Sheet2!$C:$C,$A173,Sheet2!$A:$A,D$2)&lt;&gt;0,SUMIFS(Sheet2!$E:$E,Sheet2!$C:$C,$A173,Sheet2!$A:$A,D$2),"")</f>
        <v/>
      </c>
      <c r="E173" s="42" t="str">
        <f>IF(SUMIFS(Sheet2!$E:$E,Sheet2!$C:$C,$A173,Sheet2!$A:$A,E$2)&lt;&gt;0,SUMIFS(Sheet2!$E:$E,Sheet2!$C:$C,$A173,Sheet2!$A:$A,E$2),"")</f>
        <v/>
      </c>
      <c r="F173" s="42" t="str">
        <f>IF(SUMIFS(Sheet2!$E:$E,Sheet2!$C:$C,$A173,Sheet2!$A:$A,F$2)&lt;&gt;0,SUMIFS(Sheet2!$E:$E,Sheet2!$C:$C,$A173,Sheet2!$A:$A,F$2),"")</f>
        <v/>
      </c>
      <c r="G173" s="42" t="str">
        <f>IF(SUMIFS(Sheet2!$E:$E,Sheet2!$C:$C,$A173,Sheet2!$A:$A,G$2)&lt;&gt;0,SUMIFS(Sheet2!$E:$E,Sheet2!$C:$C,$A173,Sheet2!$A:$A,G$2),"")</f>
        <v/>
      </c>
      <c r="H173" s="42" t="str">
        <f>IF(SUMIFS(Sheet2!$E:$E,Sheet2!$C:$C,$A173,Sheet2!$A:$A,H$2)&lt;&gt;0,SUMIFS(Sheet2!$E:$E,Sheet2!$C:$C,$A173,Sheet2!$A:$A,H$2),"")</f>
        <v/>
      </c>
      <c r="I173" s="42" t="str">
        <f>IF(SUMIFS(Sheet2!$E:$E,Sheet2!$C:$C,$A173,Sheet2!$A:$A,I$2)&lt;&gt;0,SUMIFS(Sheet2!$E:$E,Sheet2!$C:$C,$A173,Sheet2!$A:$A,I$2),"")</f>
        <v/>
      </c>
      <c r="J173" s="42" t="str">
        <f>IF(SUMIFS(Sheet2!$E:$E,Sheet2!$C:$C,$A173,Sheet2!$A:$A,J$2)&lt;&gt;0,SUMIFS(Sheet2!$E:$E,Sheet2!$C:$C,$A173,Sheet2!$A:$A,J$2),"")</f>
        <v/>
      </c>
      <c r="K173" s="42" t="str">
        <f>IF(SUMIFS(Sheet2!$E:$E,Sheet2!$C:$C,$A173,Sheet2!$A:$A,K$2)&lt;&gt;0,SUMIFS(Sheet2!$E:$E,Sheet2!$C:$C,$A173,Sheet2!$A:$A,K$2),"")</f>
        <v/>
      </c>
      <c r="L173" s="42" t="str">
        <f>IF(SUMIFS(Sheet2!$E:$E,Sheet2!$C:$C,$A173,Sheet2!$A:$A,L$2)&lt;&gt;0,SUMIFS(Sheet2!$E:$E,Sheet2!$C:$C,$A173,Sheet2!$A:$A,L$2),"")</f>
        <v/>
      </c>
      <c r="M173" s="42" t="str">
        <f>IF(SUMIFS(Sheet2!$E:$E,Sheet2!$C:$C,$A173,Sheet2!$A:$A,M$2)&lt;&gt;0,SUMIFS(Sheet2!$E:$E,Sheet2!$C:$C,$A173,Sheet2!$A:$A,M$2),"")</f>
        <v/>
      </c>
      <c r="N173" s="42" t="str">
        <f>IF(SUMIFS(Sheet2!$E:$E,Sheet2!$C:$C,$A173,Sheet2!$A:$A,N$2)&lt;&gt;0,SUMIFS(Sheet2!$E:$E,Sheet2!$C:$C,$A173,Sheet2!$A:$A,N$2),"")</f>
        <v/>
      </c>
      <c r="O173" s="42" t="str">
        <f>IF(SUMIFS(Sheet2!$E:$E,Sheet2!$C:$C,$A173,Sheet2!$A:$A,O$2)&lt;&gt;0,SUMIFS(Sheet2!$E:$E,Sheet2!$C:$C,$A173,Sheet2!$A:$A,O$2),"")</f>
        <v/>
      </c>
      <c r="P173" s="42" t="str">
        <f>IF(SUMIFS(Sheet2!$E:$E,Sheet2!$C:$C,$A173,Sheet2!$A:$A,P$2)&lt;&gt;0,SUMIFS(Sheet2!$E:$E,Sheet2!$C:$C,$A173,Sheet2!$A:$A,P$2),"")</f>
        <v/>
      </c>
      <c r="Q173" s="42" t="str">
        <f>IF(SUMIFS(Sheet2!$E:$E,Sheet2!$C:$C,$A173,Sheet2!$A:$A,Q$2)&lt;&gt;0,SUMIFS(Sheet2!$E:$E,Sheet2!$C:$C,$A173,Sheet2!$A:$A,Q$2),"")</f>
        <v/>
      </c>
      <c r="R173" s="42" t="str">
        <f>IF(SUMIFS(Sheet2!$E:$E,Sheet2!$C:$C,$A173,Sheet2!$A:$A,R$2)&lt;&gt;0,SUMIFS(Sheet2!$E:$E,Sheet2!$C:$C,$A173,Sheet2!$A:$A,R$2),"")</f>
        <v/>
      </c>
      <c r="S173" s="42" t="str">
        <f>IF(SUMIFS(Sheet2!$E:$E,Sheet2!$C:$C,$A173,Sheet2!$A:$A,S$2)&lt;&gt;0,SUMIFS(Sheet2!$E:$E,Sheet2!$C:$C,$A173,Sheet2!$A:$A,S$2),"")</f>
        <v/>
      </c>
      <c r="T173" s="42" t="str">
        <f>IF(SUMIFS(Sheet2!$E:$E,Sheet2!$C:$C,$A173,Sheet2!$A:$A,T$2)&lt;&gt;0,SUMIFS(Sheet2!$E:$E,Sheet2!$C:$C,$A173,Sheet2!$A:$A,T$2),"")</f>
        <v/>
      </c>
      <c r="U173" s="42" t="str">
        <f>IF(SUMIFS(Sheet2!$E:$E,Sheet2!$C:$C,$A173,Sheet2!$A:$A,U$2)&lt;&gt;0,SUMIFS(Sheet2!$E:$E,Sheet2!$C:$C,$A173,Sheet2!$A:$A,U$2),"")</f>
        <v/>
      </c>
      <c r="V173" s="42" t="str">
        <f>IF(SUMIFS(Sheet2!$E:$E,Sheet2!$C:$C,$A173,Sheet2!$A:$A,V$2)&lt;&gt;0,SUMIFS(Sheet2!$E:$E,Sheet2!$C:$C,$A173,Sheet2!$A:$A,V$2),"")</f>
        <v/>
      </c>
      <c r="W173" s="42" t="str">
        <f>IF(SUMIFS(Sheet2!$E:$E,Sheet2!$C:$C,$A173,Sheet2!$A:$A,W$2)&lt;&gt;0,SUMIFS(Sheet2!$E:$E,Sheet2!$C:$C,$A173,Sheet2!$A:$A,W$2),"")</f>
        <v/>
      </c>
      <c r="X173" s="42" t="str">
        <f>IF(SUMIFS(Sheet2!$E:$E,Sheet2!$C:$C,$A173,Sheet2!$A:$A,X$2)&lt;&gt;0,SUMIFS(Sheet2!$E:$E,Sheet2!$C:$C,$A173,Sheet2!$A:$A,X$2),"")</f>
        <v/>
      </c>
      <c r="Y173" s="42" t="str">
        <f>IF(SUMIFS(Sheet2!$E:$E,Sheet2!$C:$C,$A173,Sheet2!$A:$A,Y$2)&lt;&gt;0,SUMIFS(Sheet2!$E:$E,Sheet2!$C:$C,$A173,Sheet2!$A:$A,Y$2),"")</f>
        <v/>
      </c>
      <c r="Z173" s="42" t="str">
        <f>IF(SUMIFS(Sheet2!$E:$E,Sheet2!$C:$C,$A173,Sheet2!$A:$A,Z$2)&lt;&gt;0,SUMIFS(Sheet2!$E:$E,Sheet2!$C:$C,$A173,Sheet2!$A:$A,Z$2),"")</f>
        <v/>
      </c>
      <c r="AA173" s="42" t="str">
        <f>IF(SUMIFS(Sheet2!$E:$E,Sheet2!$C:$C,$A173,Sheet2!$A:$A,AA$2)&lt;&gt;0,SUMIFS(Sheet2!$E:$E,Sheet2!$C:$C,$A173,Sheet2!$A:$A,AA$2),"")</f>
        <v/>
      </c>
      <c r="AB173" s="42" t="str">
        <f>IF(SUMIFS(Sheet2!$E:$E,Sheet2!$C:$C,$A173,Sheet2!$A:$A,AB$2)&lt;&gt;0,SUMIFS(Sheet2!$E:$E,Sheet2!$C:$C,$A173,Sheet2!$A:$A,AB$2),"")</f>
        <v/>
      </c>
      <c r="AC173" s="42" t="str">
        <f>IF(SUMIFS(Sheet2!$E:$E,Sheet2!$C:$C,$A173,Sheet2!$A:$A,AC$2)&lt;&gt;0,SUMIFS(Sheet2!$E:$E,Sheet2!$C:$C,$A173,Sheet2!$A:$A,AC$2),"")</f>
        <v/>
      </c>
      <c r="AD173" s="42" t="str">
        <f>IF(SUMIFS(Sheet2!$E:$E,Sheet2!$C:$C,$A173,Sheet2!$A:$A,AD$2)&lt;&gt;0,SUMIFS(Sheet2!$E:$E,Sheet2!$C:$C,$A173,Sheet2!$A:$A,AD$2),"")</f>
        <v/>
      </c>
      <c r="AE173" s="42" t="str">
        <f>IF(SUMIFS(Sheet2!$E:$E,Sheet2!$C:$C,$A173,Sheet2!$A:$A,AE$2)&lt;&gt;0,SUMIFS(Sheet2!$E:$E,Sheet2!$C:$C,$A173,Sheet2!$A:$A,AE$2),"")</f>
        <v/>
      </c>
      <c r="AF173" s="42" t="str">
        <f>IF(SUMIFS(Sheet2!$E:$E,Sheet2!$C:$C,$A173,Sheet2!$A:$A,AF$2)&lt;&gt;0,SUMIFS(Sheet2!$E:$E,Sheet2!$C:$C,$A173,Sheet2!$A:$A,AF$2),"")</f>
        <v/>
      </c>
      <c r="AG173" s="42" t="str">
        <f>IF(SUMIFS(Sheet2!$E:$E,Sheet2!$C:$C,$A173,Sheet2!$A:$A,AG$2)&lt;&gt;0,SUMIFS(Sheet2!$E:$E,Sheet2!$C:$C,$A173,Sheet2!$A:$A,AG$2),"")</f>
        <v/>
      </c>
      <c r="AH173" s="43">
        <f>SUM(Table2[[#This Row],[1]:[31]])</f>
        <v>0</v>
      </c>
    </row>
    <row r="174" spans="1:34" ht="12.75" customHeight="1">
      <c r="A174" s="76" t="str">
        <f>DSSP!A173</f>
        <v>GC23</v>
      </c>
      <c r="B174" s="25" t="str">
        <f>DSSP!B173</f>
        <v>Bộ 26 chữ</v>
      </c>
      <c r="C174" s="42" t="str">
        <f>IF(SUMIFS(Sheet2!$E:$E,Sheet2!$C:$C,$A174,Sheet2!$A:$A,C$2)&lt;&gt;0,SUMIFS(Sheet2!$E:$E,Sheet2!$C:$C,$A174,Sheet2!$A:$A,C$2),"")</f>
        <v/>
      </c>
      <c r="D174" s="42" t="str">
        <f>IF(SUMIFS(Sheet2!$E:$E,Sheet2!$C:$C,$A174,Sheet2!$A:$A,D$2)&lt;&gt;0,SUMIFS(Sheet2!$E:$E,Sheet2!$C:$C,$A174,Sheet2!$A:$A,D$2),"")</f>
        <v/>
      </c>
      <c r="E174" s="42" t="str">
        <f>IF(SUMIFS(Sheet2!$E:$E,Sheet2!$C:$C,$A174,Sheet2!$A:$A,E$2)&lt;&gt;0,SUMIFS(Sheet2!$E:$E,Sheet2!$C:$C,$A174,Sheet2!$A:$A,E$2),"")</f>
        <v/>
      </c>
      <c r="F174" s="42" t="str">
        <f>IF(SUMIFS(Sheet2!$E:$E,Sheet2!$C:$C,$A174,Sheet2!$A:$A,F$2)&lt;&gt;0,SUMIFS(Sheet2!$E:$E,Sheet2!$C:$C,$A174,Sheet2!$A:$A,F$2),"")</f>
        <v/>
      </c>
      <c r="G174" s="42" t="str">
        <f>IF(SUMIFS(Sheet2!$E:$E,Sheet2!$C:$C,$A174,Sheet2!$A:$A,G$2)&lt;&gt;0,SUMIFS(Sheet2!$E:$E,Sheet2!$C:$C,$A174,Sheet2!$A:$A,G$2),"")</f>
        <v/>
      </c>
      <c r="H174" s="42" t="str">
        <f>IF(SUMIFS(Sheet2!$E:$E,Sheet2!$C:$C,$A174,Sheet2!$A:$A,H$2)&lt;&gt;0,SUMIFS(Sheet2!$E:$E,Sheet2!$C:$C,$A174,Sheet2!$A:$A,H$2),"")</f>
        <v/>
      </c>
      <c r="I174" s="42" t="str">
        <f>IF(SUMIFS(Sheet2!$E:$E,Sheet2!$C:$C,$A174,Sheet2!$A:$A,I$2)&lt;&gt;0,SUMIFS(Sheet2!$E:$E,Sheet2!$C:$C,$A174,Sheet2!$A:$A,I$2),"")</f>
        <v/>
      </c>
      <c r="J174" s="42" t="str">
        <f>IF(SUMIFS(Sheet2!$E:$E,Sheet2!$C:$C,$A174,Sheet2!$A:$A,J$2)&lt;&gt;0,SUMIFS(Sheet2!$E:$E,Sheet2!$C:$C,$A174,Sheet2!$A:$A,J$2),"")</f>
        <v/>
      </c>
      <c r="K174" s="42" t="str">
        <f>IF(SUMIFS(Sheet2!$E:$E,Sheet2!$C:$C,$A174,Sheet2!$A:$A,K$2)&lt;&gt;0,SUMIFS(Sheet2!$E:$E,Sheet2!$C:$C,$A174,Sheet2!$A:$A,K$2),"")</f>
        <v/>
      </c>
      <c r="L174" s="42" t="str">
        <f>IF(SUMIFS(Sheet2!$E:$E,Sheet2!$C:$C,$A174,Sheet2!$A:$A,L$2)&lt;&gt;0,SUMIFS(Sheet2!$E:$E,Sheet2!$C:$C,$A174,Sheet2!$A:$A,L$2),"")</f>
        <v/>
      </c>
      <c r="M174" s="42" t="str">
        <f>IF(SUMIFS(Sheet2!$E:$E,Sheet2!$C:$C,$A174,Sheet2!$A:$A,M$2)&lt;&gt;0,SUMIFS(Sheet2!$E:$E,Sheet2!$C:$C,$A174,Sheet2!$A:$A,M$2),"")</f>
        <v/>
      </c>
      <c r="N174" s="42" t="str">
        <f>IF(SUMIFS(Sheet2!$E:$E,Sheet2!$C:$C,$A174,Sheet2!$A:$A,N$2)&lt;&gt;0,SUMIFS(Sheet2!$E:$E,Sheet2!$C:$C,$A174,Sheet2!$A:$A,N$2),"")</f>
        <v/>
      </c>
      <c r="O174" s="42" t="str">
        <f>IF(SUMIFS(Sheet2!$E:$E,Sheet2!$C:$C,$A174,Sheet2!$A:$A,O$2)&lt;&gt;0,SUMIFS(Sheet2!$E:$E,Sheet2!$C:$C,$A174,Sheet2!$A:$A,O$2),"")</f>
        <v/>
      </c>
      <c r="P174" s="42" t="str">
        <f>IF(SUMIFS(Sheet2!$E:$E,Sheet2!$C:$C,$A174,Sheet2!$A:$A,P$2)&lt;&gt;0,SUMIFS(Sheet2!$E:$E,Sheet2!$C:$C,$A174,Sheet2!$A:$A,P$2),"")</f>
        <v/>
      </c>
      <c r="Q174" s="42" t="str">
        <f>IF(SUMIFS(Sheet2!$E:$E,Sheet2!$C:$C,$A174,Sheet2!$A:$A,Q$2)&lt;&gt;0,SUMIFS(Sheet2!$E:$E,Sheet2!$C:$C,$A174,Sheet2!$A:$A,Q$2),"")</f>
        <v/>
      </c>
      <c r="R174" s="42" t="str">
        <f>IF(SUMIFS(Sheet2!$E:$E,Sheet2!$C:$C,$A174,Sheet2!$A:$A,R$2)&lt;&gt;0,SUMIFS(Sheet2!$E:$E,Sheet2!$C:$C,$A174,Sheet2!$A:$A,R$2),"")</f>
        <v/>
      </c>
      <c r="S174" s="42" t="str">
        <f>IF(SUMIFS(Sheet2!$E:$E,Sheet2!$C:$C,$A174,Sheet2!$A:$A,S$2)&lt;&gt;0,SUMIFS(Sheet2!$E:$E,Sheet2!$C:$C,$A174,Sheet2!$A:$A,S$2),"")</f>
        <v/>
      </c>
      <c r="T174" s="42" t="str">
        <f>IF(SUMIFS(Sheet2!$E:$E,Sheet2!$C:$C,$A174,Sheet2!$A:$A,T$2)&lt;&gt;0,SUMIFS(Sheet2!$E:$E,Sheet2!$C:$C,$A174,Sheet2!$A:$A,T$2),"")</f>
        <v/>
      </c>
      <c r="U174" s="42" t="str">
        <f>IF(SUMIFS(Sheet2!$E:$E,Sheet2!$C:$C,$A174,Sheet2!$A:$A,U$2)&lt;&gt;0,SUMIFS(Sheet2!$E:$E,Sheet2!$C:$C,$A174,Sheet2!$A:$A,U$2),"")</f>
        <v/>
      </c>
      <c r="V174" s="42" t="str">
        <f>IF(SUMIFS(Sheet2!$E:$E,Sheet2!$C:$C,$A174,Sheet2!$A:$A,V$2)&lt;&gt;0,SUMIFS(Sheet2!$E:$E,Sheet2!$C:$C,$A174,Sheet2!$A:$A,V$2),"")</f>
        <v/>
      </c>
      <c r="W174" s="42" t="str">
        <f>IF(SUMIFS(Sheet2!$E:$E,Sheet2!$C:$C,$A174,Sheet2!$A:$A,W$2)&lt;&gt;0,SUMIFS(Sheet2!$E:$E,Sheet2!$C:$C,$A174,Sheet2!$A:$A,W$2),"")</f>
        <v/>
      </c>
      <c r="X174" s="42" t="str">
        <f>IF(SUMIFS(Sheet2!$E:$E,Sheet2!$C:$C,$A174,Sheet2!$A:$A,X$2)&lt;&gt;0,SUMIFS(Sheet2!$E:$E,Sheet2!$C:$C,$A174,Sheet2!$A:$A,X$2),"")</f>
        <v/>
      </c>
      <c r="Y174" s="42" t="str">
        <f>IF(SUMIFS(Sheet2!$E:$E,Sheet2!$C:$C,$A174,Sheet2!$A:$A,Y$2)&lt;&gt;0,SUMIFS(Sheet2!$E:$E,Sheet2!$C:$C,$A174,Sheet2!$A:$A,Y$2),"")</f>
        <v/>
      </c>
      <c r="Z174" s="42" t="str">
        <f>IF(SUMIFS(Sheet2!$E:$E,Sheet2!$C:$C,$A174,Sheet2!$A:$A,Z$2)&lt;&gt;0,SUMIFS(Sheet2!$E:$E,Sheet2!$C:$C,$A174,Sheet2!$A:$A,Z$2),"")</f>
        <v/>
      </c>
      <c r="AA174" s="42" t="str">
        <f>IF(SUMIFS(Sheet2!$E:$E,Sheet2!$C:$C,$A174,Sheet2!$A:$A,AA$2)&lt;&gt;0,SUMIFS(Sheet2!$E:$E,Sheet2!$C:$C,$A174,Sheet2!$A:$A,AA$2),"")</f>
        <v/>
      </c>
      <c r="AB174" s="42" t="str">
        <f>IF(SUMIFS(Sheet2!$E:$E,Sheet2!$C:$C,$A174,Sheet2!$A:$A,AB$2)&lt;&gt;0,SUMIFS(Sheet2!$E:$E,Sheet2!$C:$C,$A174,Sheet2!$A:$A,AB$2),"")</f>
        <v/>
      </c>
      <c r="AC174" s="42" t="str">
        <f>IF(SUMIFS(Sheet2!$E:$E,Sheet2!$C:$C,$A174,Sheet2!$A:$A,AC$2)&lt;&gt;0,SUMIFS(Sheet2!$E:$E,Sheet2!$C:$C,$A174,Sheet2!$A:$A,AC$2),"")</f>
        <v/>
      </c>
      <c r="AD174" s="42" t="str">
        <f>IF(SUMIFS(Sheet2!$E:$E,Sheet2!$C:$C,$A174,Sheet2!$A:$A,AD$2)&lt;&gt;0,SUMIFS(Sheet2!$E:$E,Sheet2!$C:$C,$A174,Sheet2!$A:$A,AD$2),"")</f>
        <v/>
      </c>
      <c r="AE174" s="42" t="str">
        <f>IF(SUMIFS(Sheet2!$E:$E,Sheet2!$C:$C,$A174,Sheet2!$A:$A,AE$2)&lt;&gt;0,SUMIFS(Sheet2!$E:$E,Sheet2!$C:$C,$A174,Sheet2!$A:$A,AE$2),"")</f>
        <v/>
      </c>
      <c r="AF174" s="42" t="str">
        <f>IF(SUMIFS(Sheet2!$E:$E,Sheet2!$C:$C,$A174,Sheet2!$A:$A,AF$2)&lt;&gt;0,SUMIFS(Sheet2!$E:$E,Sheet2!$C:$C,$A174,Sheet2!$A:$A,AF$2),"")</f>
        <v/>
      </c>
      <c r="AG174" s="42" t="str">
        <f>IF(SUMIFS(Sheet2!$E:$E,Sheet2!$C:$C,$A174,Sheet2!$A:$A,AG$2)&lt;&gt;0,SUMIFS(Sheet2!$E:$E,Sheet2!$C:$C,$A174,Sheet2!$A:$A,AG$2),"")</f>
        <v/>
      </c>
      <c r="AH174" s="43">
        <f>SUM(Table2[[#This Row],[1]:[31]])</f>
        <v>0</v>
      </c>
    </row>
    <row r="175" spans="1:34" ht="12.75" customHeight="1">
      <c r="A175" s="76" t="str">
        <f>DSSP!A174</f>
        <v>GC24</v>
      </c>
      <c r="B175" s="25" t="str">
        <f>DSSP!B174</f>
        <v>Bộ 10 số</v>
      </c>
      <c r="C175" s="42" t="str">
        <f>IF(SUMIFS(Sheet2!$E:$E,Sheet2!$C:$C,$A175,Sheet2!$A:$A,C$2)&lt;&gt;0,SUMIFS(Sheet2!$E:$E,Sheet2!$C:$C,$A175,Sheet2!$A:$A,C$2),"")</f>
        <v/>
      </c>
      <c r="D175" s="42" t="str">
        <f>IF(SUMIFS(Sheet2!$E:$E,Sheet2!$C:$C,$A175,Sheet2!$A:$A,D$2)&lt;&gt;0,SUMIFS(Sheet2!$E:$E,Sheet2!$C:$C,$A175,Sheet2!$A:$A,D$2),"")</f>
        <v/>
      </c>
      <c r="E175" s="42" t="str">
        <f>IF(SUMIFS(Sheet2!$E:$E,Sheet2!$C:$C,$A175,Sheet2!$A:$A,E$2)&lt;&gt;0,SUMIFS(Sheet2!$E:$E,Sheet2!$C:$C,$A175,Sheet2!$A:$A,E$2),"")</f>
        <v/>
      </c>
      <c r="F175" s="42" t="str">
        <f>IF(SUMIFS(Sheet2!$E:$E,Sheet2!$C:$C,$A175,Sheet2!$A:$A,F$2)&lt;&gt;0,SUMIFS(Sheet2!$E:$E,Sheet2!$C:$C,$A175,Sheet2!$A:$A,F$2),"")</f>
        <v/>
      </c>
      <c r="G175" s="42" t="str">
        <f>IF(SUMIFS(Sheet2!$E:$E,Sheet2!$C:$C,$A175,Sheet2!$A:$A,G$2)&lt;&gt;0,SUMIFS(Sheet2!$E:$E,Sheet2!$C:$C,$A175,Sheet2!$A:$A,G$2),"")</f>
        <v/>
      </c>
      <c r="H175" s="42" t="str">
        <f>IF(SUMIFS(Sheet2!$E:$E,Sheet2!$C:$C,$A175,Sheet2!$A:$A,H$2)&lt;&gt;0,SUMIFS(Sheet2!$E:$E,Sheet2!$C:$C,$A175,Sheet2!$A:$A,H$2),"")</f>
        <v/>
      </c>
      <c r="I175" s="42" t="str">
        <f>IF(SUMIFS(Sheet2!$E:$E,Sheet2!$C:$C,$A175,Sheet2!$A:$A,I$2)&lt;&gt;0,SUMIFS(Sheet2!$E:$E,Sheet2!$C:$C,$A175,Sheet2!$A:$A,I$2),"")</f>
        <v/>
      </c>
      <c r="J175" s="42" t="str">
        <f>IF(SUMIFS(Sheet2!$E:$E,Sheet2!$C:$C,$A175,Sheet2!$A:$A,J$2)&lt;&gt;0,SUMIFS(Sheet2!$E:$E,Sheet2!$C:$C,$A175,Sheet2!$A:$A,J$2),"")</f>
        <v/>
      </c>
      <c r="K175" s="42" t="str">
        <f>IF(SUMIFS(Sheet2!$E:$E,Sheet2!$C:$C,$A175,Sheet2!$A:$A,K$2)&lt;&gt;0,SUMIFS(Sheet2!$E:$E,Sheet2!$C:$C,$A175,Sheet2!$A:$A,K$2),"")</f>
        <v/>
      </c>
      <c r="L175" s="42" t="str">
        <f>IF(SUMIFS(Sheet2!$E:$E,Sheet2!$C:$C,$A175,Sheet2!$A:$A,L$2)&lt;&gt;0,SUMIFS(Sheet2!$E:$E,Sheet2!$C:$C,$A175,Sheet2!$A:$A,L$2),"")</f>
        <v/>
      </c>
      <c r="M175" s="42" t="str">
        <f>IF(SUMIFS(Sheet2!$E:$E,Sheet2!$C:$C,$A175,Sheet2!$A:$A,M$2)&lt;&gt;0,SUMIFS(Sheet2!$E:$E,Sheet2!$C:$C,$A175,Sheet2!$A:$A,M$2),"")</f>
        <v/>
      </c>
      <c r="N175" s="42" t="str">
        <f>IF(SUMIFS(Sheet2!$E:$E,Sheet2!$C:$C,$A175,Sheet2!$A:$A,N$2)&lt;&gt;0,SUMIFS(Sheet2!$E:$E,Sheet2!$C:$C,$A175,Sheet2!$A:$A,N$2),"")</f>
        <v/>
      </c>
      <c r="O175" s="42" t="str">
        <f>IF(SUMIFS(Sheet2!$E:$E,Sheet2!$C:$C,$A175,Sheet2!$A:$A,O$2)&lt;&gt;0,SUMIFS(Sheet2!$E:$E,Sheet2!$C:$C,$A175,Sheet2!$A:$A,O$2),"")</f>
        <v/>
      </c>
      <c r="P175" s="42" t="str">
        <f>IF(SUMIFS(Sheet2!$E:$E,Sheet2!$C:$C,$A175,Sheet2!$A:$A,P$2)&lt;&gt;0,SUMIFS(Sheet2!$E:$E,Sheet2!$C:$C,$A175,Sheet2!$A:$A,P$2),"")</f>
        <v/>
      </c>
      <c r="Q175" s="42" t="str">
        <f>IF(SUMIFS(Sheet2!$E:$E,Sheet2!$C:$C,$A175,Sheet2!$A:$A,Q$2)&lt;&gt;0,SUMIFS(Sheet2!$E:$E,Sheet2!$C:$C,$A175,Sheet2!$A:$A,Q$2),"")</f>
        <v/>
      </c>
      <c r="R175" s="42" t="str">
        <f>IF(SUMIFS(Sheet2!$E:$E,Sheet2!$C:$C,$A175,Sheet2!$A:$A,R$2)&lt;&gt;0,SUMIFS(Sheet2!$E:$E,Sheet2!$C:$C,$A175,Sheet2!$A:$A,R$2),"")</f>
        <v/>
      </c>
      <c r="S175" s="42" t="str">
        <f>IF(SUMIFS(Sheet2!$E:$E,Sheet2!$C:$C,$A175,Sheet2!$A:$A,S$2)&lt;&gt;0,SUMIFS(Sheet2!$E:$E,Sheet2!$C:$C,$A175,Sheet2!$A:$A,S$2),"")</f>
        <v/>
      </c>
      <c r="T175" s="42" t="str">
        <f>IF(SUMIFS(Sheet2!$E:$E,Sheet2!$C:$C,$A175,Sheet2!$A:$A,T$2)&lt;&gt;0,SUMIFS(Sheet2!$E:$E,Sheet2!$C:$C,$A175,Sheet2!$A:$A,T$2),"")</f>
        <v/>
      </c>
      <c r="U175" s="42" t="str">
        <f>IF(SUMIFS(Sheet2!$E:$E,Sheet2!$C:$C,$A175,Sheet2!$A:$A,U$2)&lt;&gt;0,SUMIFS(Sheet2!$E:$E,Sheet2!$C:$C,$A175,Sheet2!$A:$A,U$2),"")</f>
        <v/>
      </c>
      <c r="V175" s="42" t="str">
        <f>IF(SUMIFS(Sheet2!$E:$E,Sheet2!$C:$C,$A175,Sheet2!$A:$A,V$2)&lt;&gt;0,SUMIFS(Sheet2!$E:$E,Sheet2!$C:$C,$A175,Sheet2!$A:$A,V$2),"")</f>
        <v/>
      </c>
      <c r="W175" s="42" t="str">
        <f>IF(SUMIFS(Sheet2!$E:$E,Sheet2!$C:$C,$A175,Sheet2!$A:$A,W$2)&lt;&gt;0,SUMIFS(Sheet2!$E:$E,Sheet2!$C:$C,$A175,Sheet2!$A:$A,W$2),"")</f>
        <v/>
      </c>
      <c r="X175" s="42" t="str">
        <f>IF(SUMIFS(Sheet2!$E:$E,Sheet2!$C:$C,$A175,Sheet2!$A:$A,X$2)&lt;&gt;0,SUMIFS(Sheet2!$E:$E,Sheet2!$C:$C,$A175,Sheet2!$A:$A,X$2),"")</f>
        <v/>
      </c>
      <c r="Y175" s="42" t="str">
        <f>IF(SUMIFS(Sheet2!$E:$E,Sheet2!$C:$C,$A175,Sheet2!$A:$A,Y$2)&lt;&gt;0,SUMIFS(Sheet2!$E:$E,Sheet2!$C:$C,$A175,Sheet2!$A:$A,Y$2),"")</f>
        <v/>
      </c>
      <c r="Z175" s="42" t="str">
        <f>IF(SUMIFS(Sheet2!$E:$E,Sheet2!$C:$C,$A175,Sheet2!$A:$A,Z$2)&lt;&gt;0,SUMIFS(Sheet2!$E:$E,Sheet2!$C:$C,$A175,Sheet2!$A:$A,Z$2),"")</f>
        <v/>
      </c>
      <c r="AA175" s="42" t="str">
        <f>IF(SUMIFS(Sheet2!$E:$E,Sheet2!$C:$C,$A175,Sheet2!$A:$A,AA$2)&lt;&gt;0,SUMIFS(Sheet2!$E:$E,Sheet2!$C:$C,$A175,Sheet2!$A:$A,AA$2),"")</f>
        <v/>
      </c>
      <c r="AB175" s="42" t="str">
        <f>IF(SUMIFS(Sheet2!$E:$E,Sheet2!$C:$C,$A175,Sheet2!$A:$A,AB$2)&lt;&gt;0,SUMIFS(Sheet2!$E:$E,Sheet2!$C:$C,$A175,Sheet2!$A:$A,AB$2),"")</f>
        <v/>
      </c>
      <c r="AC175" s="42" t="str">
        <f>IF(SUMIFS(Sheet2!$E:$E,Sheet2!$C:$C,$A175,Sheet2!$A:$A,AC$2)&lt;&gt;0,SUMIFS(Sheet2!$E:$E,Sheet2!$C:$C,$A175,Sheet2!$A:$A,AC$2),"")</f>
        <v/>
      </c>
      <c r="AD175" s="42" t="str">
        <f>IF(SUMIFS(Sheet2!$E:$E,Sheet2!$C:$C,$A175,Sheet2!$A:$A,AD$2)&lt;&gt;0,SUMIFS(Sheet2!$E:$E,Sheet2!$C:$C,$A175,Sheet2!$A:$A,AD$2),"")</f>
        <v/>
      </c>
      <c r="AE175" s="42" t="str">
        <f>IF(SUMIFS(Sheet2!$E:$E,Sheet2!$C:$C,$A175,Sheet2!$A:$A,AE$2)&lt;&gt;0,SUMIFS(Sheet2!$E:$E,Sheet2!$C:$C,$A175,Sheet2!$A:$A,AE$2),"")</f>
        <v/>
      </c>
      <c r="AF175" s="42" t="str">
        <f>IF(SUMIFS(Sheet2!$E:$E,Sheet2!$C:$C,$A175,Sheet2!$A:$A,AF$2)&lt;&gt;0,SUMIFS(Sheet2!$E:$E,Sheet2!$C:$C,$A175,Sheet2!$A:$A,AF$2),"")</f>
        <v/>
      </c>
      <c r="AG175" s="42" t="str">
        <f>IF(SUMIFS(Sheet2!$E:$E,Sheet2!$C:$C,$A175,Sheet2!$A:$A,AG$2)&lt;&gt;0,SUMIFS(Sheet2!$E:$E,Sheet2!$C:$C,$A175,Sheet2!$A:$A,AG$2),"")</f>
        <v/>
      </c>
      <c r="AH175" s="43">
        <f>SUM(Table2[[#This Row],[1]:[31]])</f>
        <v>0</v>
      </c>
    </row>
    <row r="176" spans="1:34" ht="12.75" customHeight="1">
      <c r="A176" s="76" t="str">
        <f>DSSP!A175</f>
        <v>GC25</v>
      </c>
      <c r="B176" s="25" t="str">
        <f>DSSP!B175</f>
        <v>Mặt BCS</v>
      </c>
      <c r="C176" s="42" t="str">
        <f>IF(SUMIFS(Sheet2!$E:$E,Sheet2!$C:$C,$A176,Sheet2!$A:$A,C$2)&lt;&gt;0,SUMIFS(Sheet2!$E:$E,Sheet2!$C:$C,$A176,Sheet2!$A:$A,C$2),"")</f>
        <v/>
      </c>
      <c r="D176" s="42" t="str">
        <f>IF(SUMIFS(Sheet2!$E:$E,Sheet2!$C:$C,$A176,Sheet2!$A:$A,D$2)&lt;&gt;0,SUMIFS(Sheet2!$E:$E,Sheet2!$C:$C,$A176,Sheet2!$A:$A,D$2),"")</f>
        <v/>
      </c>
      <c r="E176" s="42" t="str">
        <f>IF(SUMIFS(Sheet2!$E:$E,Sheet2!$C:$C,$A176,Sheet2!$A:$A,E$2)&lt;&gt;0,SUMIFS(Sheet2!$E:$E,Sheet2!$C:$C,$A176,Sheet2!$A:$A,E$2),"")</f>
        <v/>
      </c>
      <c r="F176" s="42" t="str">
        <f>IF(SUMIFS(Sheet2!$E:$E,Sheet2!$C:$C,$A176,Sheet2!$A:$A,F$2)&lt;&gt;0,SUMIFS(Sheet2!$E:$E,Sheet2!$C:$C,$A176,Sheet2!$A:$A,F$2),"")</f>
        <v/>
      </c>
      <c r="G176" s="42" t="str">
        <f>IF(SUMIFS(Sheet2!$E:$E,Sheet2!$C:$C,$A176,Sheet2!$A:$A,G$2)&lt;&gt;0,SUMIFS(Sheet2!$E:$E,Sheet2!$C:$C,$A176,Sheet2!$A:$A,G$2),"")</f>
        <v/>
      </c>
      <c r="H176" s="42" t="str">
        <f>IF(SUMIFS(Sheet2!$E:$E,Sheet2!$C:$C,$A176,Sheet2!$A:$A,H$2)&lt;&gt;0,SUMIFS(Sheet2!$E:$E,Sheet2!$C:$C,$A176,Sheet2!$A:$A,H$2),"")</f>
        <v/>
      </c>
      <c r="I176" s="42" t="str">
        <f>IF(SUMIFS(Sheet2!$E:$E,Sheet2!$C:$C,$A176,Sheet2!$A:$A,I$2)&lt;&gt;0,SUMIFS(Sheet2!$E:$E,Sheet2!$C:$C,$A176,Sheet2!$A:$A,I$2),"")</f>
        <v/>
      </c>
      <c r="J176" s="42" t="str">
        <f>IF(SUMIFS(Sheet2!$E:$E,Sheet2!$C:$C,$A176,Sheet2!$A:$A,J$2)&lt;&gt;0,SUMIFS(Sheet2!$E:$E,Sheet2!$C:$C,$A176,Sheet2!$A:$A,J$2),"")</f>
        <v/>
      </c>
      <c r="K176" s="42" t="str">
        <f>IF(SUMIFS(Sheet2!$E:$E,Sheet2!$C:$C,$A176,Sheet2!$A:$A,K$2)&lt;&gt;0,SUMIFS(Sheet2!$E:$E,Sheet2!$C:$C,$A176,Sheet2!$A:$A,K$2),"")</f>
        <v/>
      </c>
      <c r="L176" s="42" t="str">
        <f>IF(SUMIFS(Sheet2!$E:$E,Sheet2!$C:$C,$A176,Sheet2!$A:$A,L$2)&lt;&gt;0,SUMIFS(Sheet2!$E:$E,Sheet2!$C:$C,$A176,Sheet2!$A:$A,L$2),"")</f>
        <v/>
      </c>
      <c r="M176" s="42" t="str">
        <f>IF(SUMIFS(Sheet2!$E:$E,Sheet2!$C:$C,$A176,Sheet2!$A:$A,M$2)&lt;&gt;0,SUMIFS(Sheet2!$E:$E,Sheet2!$C:$C,$A176,Sheet2!$A:$A,M$2),"")</f>
        <v/>
      </c>
      <c r="N176" s="42" t="str">
        <f>IF(SUMIFS(Sheet2!$E:$E,Sheet2!$C:$C,$A176,Sheet2!$A:$A,N$2)&lt;&gt;0,SUMIFS(Sheet2!$E:$E,Sheet2!$C:$C,$A176,Sheet2!$A:$A,N$2),"")</f>
        <v/>
      </c>
      <c r="O176" s="42" t="str">
        <f>IF(SUMIFS(Sheet2!$E:$E,Sheet2!$C:$C,$A176,Sheet2!$A:$A,O$2)&lt;&gt;0,SUMIFS(Sheet2!$E:$E,Sheet2!$C:$C,$A176,Sheet2!$A:$A,O$2),"")</f>
        <v/>
      </c>
      <c r="P176" s="42" t="str">
        <f>IF(SUMIFS(Sheet2!$E:$E,Sheet2!$C:$C,$A176,Sheet2!$A:$A,P$2)&lt;&gt;0,SUMIFS(Sheet2!$E:$E,Sheet2!$C:$C,$A176,Sheet2!$A:$A,P$2),"")</f>
        <v/>
      </c>
      <c r="Q176" s="42" t="str">
        <f>IF(SUMIFS(Sheet2!$E:$E,Sheet2!$C:$C,$A176,Sheet2!$A:$A,Q$2)&lt;&gt;0,SUMIFS(Sheet2!$E:$E,Sheet2!$C:$C,$A176,Sheet2!$A:$A,Q$2),"")</f>
        <v/>
      </c>
      <c r="R176" s="42" t="str">
        <f>IF(SUMIFS(Sheet2!$E:$E,Sheet2!$C:$C,$A176,Sheet2!$A:$A,R$2)&lt;&gt;0,SUMIFS(Sheet2!$E:$E,Sheet2!$C:$C,$A176,Sheet2!$A:$A,R$2),"")</f>
        <v/>
      </c>
      <c r="S176" s="42" t="str">
        <f>IF(SUMIFS(Sheet2!$E:$E,Sheet2!$C:$C,$A176,Sheet2!$A:$A,S$2)&lt;&gt;0,SUMIFS(Sheet2!$E:$E,Sheet2!$C:$C,$A176,Sheet2!$A:$A,S$2),"")</f>
        <v/>
      </c>
      <c r="T176" s="42" t="str">
        <f>IF(SUMIFS(Sheet2!$E:$E,Sheet2!$C:$C,$A176,Sheet2!$A:$A,T$2)&lt;&gt;0,SUMIFS(Sheet2!$E:$E,Sheet2!$C:$C,$A176,Sheet2!$A:$A,T$2),"")</f>
        <v/>
      </c>
      <c r="U176" s="42" t="str">
        <f>IF(SUMIFS(Sheet2!$E:$E,Sheet2!$C:$C,$A176,Sheet2!$A:$A,U$2)&lt;&gt;0,SUMIFS(Sheet2!$E:$E,Sheet2!$C:$C,$A176,Sheet2!$A:$A,U$2),"")</f>
        <v/>
      </c>
      <c r="V176" s="42" t="str">
        <f>IF(SUMIFS(Sheet2!$E:$E,Sheet2!$C:$C,$A176,Sheet2!$A:$A,V$2)&lt;&gt;0,SUMIFS(Sheet2!$E:$E,Sheet2!$C:$C,$A176,Sheet2!$A:$A,V$2),"")</f>
        <v/>
      </c>
      <c r="W176" s="42" t="str">
        <f>IF(SUMIFS(Sheet2!$E:$E,Sheet2!$C:$C,$A176,Sheet2!$A:$A,W$2)&lt;&gt;0,SUMIFS(Sheet2!$E:$E,Sheet2!$C:$C,$A176,Sheet2!$A:$A,W$2),"")</f>
        <v/>
      </c>
      <c r="X176" s="42" t="str">
        <f>IF(SUMIFS(Sheet2!$E:$E,Sheet2!$C:$C,$A176,Sheet2!$A:$A,X$2)&lt;&gt;0,SUMIFS(Sheet2!$E:$E,Sheet2!$C:$C,$A176,Sheet2!$A:$A,X$2),"")</f>
        <v/>
      </c>
      <c r="Y176" s="42" t="str">
        <f>IF(SUMIFS(Sheet2!$E:$E,Sheet2!$C:$C,$A176,Sheet2!$A:$A,Y$2)&lt;&gt;0,SUMIFS(Sheet2!$E:$E,Sheet2!$C:$C,$A176,Sheet2!$A:$A,Y$2),"")</f>
        <v/>
      </c>
      <c r="Z176" s="42" t="str">
        <f>IF(SUMIFS(Sheet2!$E:$E,Sheet2!$C:$C,$A176,Sheet2!$A:$A,Z$2)&lt;&gt;0,SUMIFS(Sheet2!$E:$E,Sheet2!$C:$C,$A176,Sheet2!$A:$A,Z$2),"")</f>
        <v/>
      </c>
      <c r="AA176" s="42" t="str">
        <f>IF(SUMIFS(Sheet2!$E:$E,Sheet2!$C:$C,$A176,Sheet2!$A:$A,AA$2)&lt;&gt;0,SUMIFS(Sheet2!$E:$E,Sheet2!$C:$C,$A176,Sheet2!$A:$A,AA$2),"")</f>
        <v/>
      </c>
      <c r="AB176" s="42" t="str">
        <f>IF(SUMIFS(Sheet2!$E:$E,Sheet2!$C:$C,$A176,Sheet2!$A:$A,AB$2)&lt;&gt;0,SUMIFS(Sheet2!$E:$E,Sheet2!$C:$C,$A176,Sheet2!$A:$A,AB$2),"")</f>
        <v/>
      </c>
      <c r="AC176" s="42" t="str">
        <f>IF(SUMIFS(Sheet2!$E:$E,Sheet2!$C:$C,$A176,Sheet2!$A:$A,AC$2)&lt;&gt;0,SUMIFS(Sheet2!$E:$E,Sheet2!$C:$C,$A176,Sheet2!$A:$A,AC$2),"")</f>
        <v/>
      </c>
      <c r="AD176" s="42" t="str">
        <f>IF(SUMIFS(Sheet2!$E:$E,Sheet2!$C:$C,$A176,Sheet2!$A:$A,AD$2)&lt;&gt;0,SUMIFS(Sheet2!$E:$E,Sheet2!$C:$C,$A176,Sheet2!$A:$A,AD$2),"")</f>
        <v/>
      </c>
      <c r="AE176" s="42" t="str">
        <f>IF(SUMIFS(Sheet2!$E:$E,Sheet2!$C:$C,$A176,Sheet2!$A:$A,AE$2)&lt;&gt;0,SUMIFS(Sheet2!$E:$E,Sheet2!$C:$C,$A176,Sheet2!$A:$A,AE$2),"")</f>
        <v/>
      </c>
      <c r="AF176" s="42" t="str">
        <f>IF(SUMIFS(Sheet2!$E:$E,Sheet2!$C:$C,$A176,Sheet2!$A:$A,AF$2)&lt;&gt;0,SUMIFS(Sheet2!$E:$E,Sheet2!$C:$C,$A176,Sheet2!$A:$A,AF$2),"")</f>
        <v/>
      </c>
      <c r="AG176" s="42" t="str">
        <f>IF(SUMIFS(Sheet2!$E:$E,Sheet2!$C:$C,$A176,Sheet2!$A:$A,AG$2)&lt;&gt;0,SUMIFS(Sheet2!$E:$E,Sheet2!$C:$C,$A176,Sheet2!$A:$A,AG$2),"")</f>
        <v/>
      </c>
      <c r="AH176" s="43">
        <f>SUM(Table2[[#This Row],[1]:[31]])</f>
        <v>0</v>
      </c>
    </row>
    <row r="177" spans="1:34" ht="12.75" customHeight="1">
      <c r="A177" s="76" t="str">
        <f>DSSP!A176</f>
        <v>GC101</v>
      </c>
      <c r="B177" s="25" t="str">
        <f>DSSP!B176</f>
        <v>Bông tuyết</v>
      </c>
      <c r="C177" s="42" t="str">
        <f>IF(SUMIFS(Sheet2!$E:$E,Sheet2!$C:$C,$A177,Sheet2!$A:$A,C$2)&lt;&gt;0,SUMIFS(Sheet2!$E:$E,Sheet2!$C:$C,$A177,Sheet2!$A:$A,C$2),"")</f>
        <v/>
      </c>
      <c r="D177" s="42" t="str">
        <f>IF(SUMIFS(Sheet2!$E:$E,Sheet2!$C:$C,$A177,Sheet2!$A:$A,D$2)&lt;&gt;0,SUMIFS(Sheet2!$E:$E,Sheet2!$C:$C,$A177,Sheet2!$A:$A,D$2),"")</f>
        <v/>
      </c>
      <c r="E177" s="42" t="str">
        <f>IF(SUMIFS(Sheet2!$E:$E,Sheet2!$C:$C,$A177,Sheet2!$A:$A,E$2)&lt;&gt;0,SUMIFS(Sheet2!$E:$E,Sheet2!$C:$C,$A177,Sheet2!$A:$A,E$2),"")</f>
        <v/>
      </c>
      <c r="F177" s="42" t="str">
        <f>IF(SUMIFS(Sheet2!$E:$E,Sheet2!$C:$C,$A177,Sheet2!$A:$A,F$2)&lt;&gt;0,SUMIFS(Sheet2!$E:$E,Sheet2!$C:$C,$A177,Sheet2!$A:$A,F$2),"")</f>
        <v/>
      </c>
      <c r="G177" s="42" t="str">
        <f>IF(SUMIFS(Sheet2!$E:$E,Sheet2!$C:$C,$A177,Sheet2!$A:$A,G$2)&lt;&gt;0,SUMIFS(Sheet2!$E:$E,Sheet2!$C:$C,$A177,Sheet2!$A:$A,G$2),"")</f>
        <v/>
      </c>
      <c r="H177" s="42" t="str">
        <f>IF(SUMIFS(Sheet2!$E:$E,Sheet2!$C:$C,$A177,Sheet2!$A:$A,H$2)&lt;&gt;0,SUMIFS(Sheet2!$E:$E,Sheet2!$C:$C,$A177,Sheet2!$A:$A,H$2),"")</f>
        <v/>
      </c>
      <c r="I177" s="42" t="str">
        <f>IF(SUMIFS(Sheet2!$E:$E,Sheet2!$C:$C,$A177,Sheet2!$A:$A,I$2)&lt;&gt;0,SUMIFS(Sheet2!$E:$E,Sheet2!$C:$C,$A177,Sheet2!$A:$A,I$2),"")</f>
        <v/>
      </c>
      <c r="J177" s="42" t="str">
        <f>IF(SUMIFS(Sheet2!$E:$E,Sheet2!$C:$C,$A177,Sheet2!$A:$A,J$2)&lt;&gt;0,SUMIFS(Sheet2!$E:$E,Sheet2!$C:$C,$A177,Sheet2!$A:$A,J$2),"")</f>
        <v/>
      </c>
      <c r="K177" s="42" t="str">
        <f>IF(SUMIFS(Sheet2!$E:$E,Sheet2!$C:$C,$A177,Sheet2!$A:$A,K$2)&lt;&gt;0,SUMIFS(Sheet2!$E:$E,Sheet2!$C:$C,$A177,Sheet2!$A:$A,K$2),"")</f>
        <v/>
      </c>
      <c r="L177" s="42" t="str">
        <f>IF(SUMIFS(Sheet2!$E:$E,Sheet2!$C:$C,$A177,Sheet2!$A:$A,L$2)&lt;&gt;0,SUMIFS(Sheet2!$E:$E,Sheet2!$C:$C,$A177,Sheet2!$A:$A,L$2),"")</f>
        <v/>
      </c>
      <c r="M177" s="42" t="str">
        <f>IF(SUMIFS(Sheet2!$E:$E,Sheet2!$C:$C,$A177,Sheet2!$A:$A,M$2)&lt;&gt;0,SUMIFS(Sheet2!$E:$E,Sheet2!$C:$C,$A177,Sheet2!$A:$A,M$2),"")</f>
        <v/>
      </c>
      <c r="N177" s="42" t="str">
        <f>IF(SUMIFS(Sheet2!$E:$E,Sheet2!$C:$C,$A177,Sheet2!$A:$A,N$2)&lt;&gt;0,SUMIFS(Sheet2!$E:$E,Sheet2!$C:$C,$A177,Sheet2!$A:$A,N$2),"")</f>
        <v/>
      </c>
      <c r="O177" s="42" t="str">
        <f>IF(SUMIFS(Sheet2!$E:$E,Sheet2!$C:$C,$A177,Sheet2!$A:$A,O$2)&lt;&gt;0,SUMIFS(Sheet2!$E:$E,Sheet2!$C:$C,$A177,Sheet2!$A:$A,O$2),"")</f>
        <v/>
      </c>
      <c r="P177" s="42" t="str">
        <f>IF(SUMIFS(Sheet2!$E:$E,Sheet2!$C:$C,$A177,Sheet2!$A:$A,P$2)&lt;&gt;0,SUMIFS(Sheet2!$E:$E,Sheet2!$C:$C,$A177,Sheet2!$A:$A,P$2),"")</f>
        <v/>
      </c>
      <c r="Q177" s="42" t="str">
        <f>IF(SUMIFS(Sheet2!$E:$E,Sheet2!$C:$C,$A177,Sheet2!$A:$A,Q$2)&lt;&gt;0,SUMIFS(Sheet2!$E:$E,Sheet2!$C:$C,$A177,Sheet2!$A:$A,Q$2),"")</f>
        <v/>
      </c>
      <c r="R177" s="42" t="str">
        <f>IF(SUMIFS(Sheet2!$E:$E,Sheet2!$C:$C,$A177,Sheet2!$A:$A,R$2)&lt;&gt;0,SUMIFS(Sheet2!$E:$E,Sheet2!$C:$C,$A177,Sheet2!$A:$A,R$2),"")</f>
        <v/>
      </c>
      <c r="S177" s="42" t="str">
        <f>IF(SUMIFS(Sheet2!$E:$E,Sheet2!$C:$C,$A177,Sheet2!$A:$A,S$2)&lt;&gt;0,SUMIFS(Sheet2!$E:$E,Sheet2!$C:$C,$A177,Sheet2!$A:$A,S$2),"")</f>
        <v/>
      </c>
      <c r="T177" s="42" t="str">
        <f>IF(SUMIFS(Sheet2!$E:$E,Sheet2!$C:$C,$A177,Sheet2!$A:$A,T$2)&lt;&gt;0,SUMIFS(Sheet2!$E:$E,Sheet2!$C:$C,$A177,Sheet2!$A:$A,T$2),"")</f>
        <v/>
      </c>
      <c r="U177" s="42" t="str">
        <f>IF(SUMIFS(Sheet2!$E:$E,Sheet2!$C:$C,$A177,Sheet2!$A:$A,U$2)&lt;&gt;0,SUMIFS(Sheet2!$E:$E,Sheet2!$C:$C,$A177,Sheet2!$A:$A,U$2),"")</f>
        <v/>
      </c>
      <c r="V177" s="42" t="str">
        <f>IF(SUMIFS(Sheet2!$E:$E,Sheet2!$C:$C,$A177,Sheet2!$A:$A,V$2)&lt;&gt;0,SUMIFS(Sheet2!$E:$E,Sheet2!$C:$C,$A177,Sheet2!$A:$A,V$2),"")</f>
        <v/>
      </c>
      <c r="W177" s="42" t="str">
        <f>IF(SUMIFS(Sheet2!$E:$E,Sheet2!$C:$C,$A177,Sheet2!$A:$A,W$2)&lt;&gt;0,SUMIFS(Sheet2!$E:$E,Sheet2!$C:$C,$A177,Sheet2!$A:$A,W$2),"")</f>
        <v/>
      </c>
      <c r="X177" s="42" t="str">
        <f>IF(SUMIFS(Sheet2!$E:$E,Sheet2!$C:$C,$A177,Sheet2!$A:$A,X$2)&lt;&gt;0,SUMIFS(Sheet2!$E:$E,Sheet2!$C:$C,$A177,Sheet2!$A:$A,X$2),"")</f>
        <v/>
      </c>
      <c r="Y177" s="42" t="str">
        <f>IF(SUMIFS(Sheet2!$E:$E,Sheet2!$C:$C,$A177,Sheet2!$A:$A,Y$2)&lt;&gt;0,SUMIFS(Sheet2!$E:$E,Sheet2!$C:$C,$A177,Sheet2!$A:$A,Y$2),"")</f>
        <v/>
      </c>
      <c r="Z177" s="42" t="str">
        <f>IF(SUMIFS(Sheet2!$E:$E,Sheet2!$C:$C,$A177,Sheet2!$A:$A,Z$2)&lt;&gt;0,SUMIFS(Sheet2!$E:$E,Sheet2!$C:$C,$A177,Sheet2!$A:$A,Z$2),"")</f>
        <v/>
      </c>
      <c r="AA177" s="42" t="str">
        <f>IF(SUMIFS(Sheet2!$E:$E,Sheet2!$C:$C,$A177,Sheet2!$A:$A,AA$2)&lt;&gt;0,SUMIFS(Sheet2!$E:$E,Sheet2!$C:$C,$A177,Sheet2!$A:$A,AA$2),"")</f>
        <v/>
      </c>
      <c r="AB177" s="42" t="str">
        <f>IF(SUMIFS(Sheet2!$E:$E,Sheet2!$C:$C,$A177,Sheet2!$A:$A,AB$2)&lt;&gt;0,SUMIFS(Sheet2!$E:$E,Sheet2!$C:$C,$A177,Sheet2!$A:$A,AB$2),"")</f>
        <v/>
      </c>
      <c r="AC177" s="42" t="str">
        <f>IF(SUMIFS(Sheet2!$E:$E,Sheet2!$C:$C,$A177,Sheet2!$A:$A,AC$2)&lt;&gt;0,SUMIFS(Sheet2!$E:$E,Sheet2!$C:$C,$A177,Sheet2!$A:$A,AC$2),"")</f>
        <v/>
      </c>
      <c r="AD177" s="42" t="str">
        <f>IF(SUMIFS(Sheet2!$E:$E,Sheet2!$C:$C,$A177,Sheet2!$A:$A,AD$2)&lt;&gt;0,SUMIFS(Sheet2!$E:$E,Sheet2!$C:$C,$A177,Sheet2!$A:$A,AD$2),"")</f>
        <v/>
      </c>
      <c r="AE177" s="42" t="str">
        <f>IF(SUMIFS(Sheet2!$E:$E,Sheet2!$C:$C,$A177,Sheet2!$A:$A,AE$2)&lt;&gt;0,SUMIFS(Sheet2!$E:$E,Sheet2!$C:$C,$A177,Sheet2!$A:$A,AE$2),"")</f>
        <v/>
      </c>
      <c r="AF177" s="42" t="str">
        <f>IF(SUMIFS(Sheet2!$E:$E,Sheet2!$C:$C,$A177,Sheet2!$A:$A,AF$2)&lt;&gt;0,SUMIFS(Sheet2!$E:$E,Sheet2!$C:$C,$A177,Sheet2!$A:$A,AF$2),"")</f>
        <v/>
      </c>
      <c r="AG177" s="42" t="str">
        <f>IF(SUMIFS(Sheet2!$E:$E,Sheet2!$C:$C,$A177,Sheet2!$A:$A,AG$2)&lt;&gt;0,SUMIFS(Sheet2!$E:$E,Sheet2!$C:$C,$A177,Sheet2!$A:$A,AG$2),"")</f>
        <v/>
      </c>
      <c r="AH177" s="43">
        <f>SUM(Table2[[#This Row],[1]:[31]])</f>
        <v>0</v>
      </c>
    </row>
    <row r="178" spans="1:34" ht="12.75" customHeight="1">
      <c r="A178" s="76" t="str">
        <f>DSSP!A177</f>
        <v>GC102</v>
      </c>
      <c r="B178" s="25" t="str">
        <f>DSSP!B177</f>
        <v>Chùm chìa khoá</v>
      </c>
      <c r="C178" s="42" t="str">
        <f>IF(SUMIFS(Sheet2!$E:$E,Sheet2!$C:$C,$A178,Sheet2!$A:$A,C$2)&lt;&gt;0,SUMIFS(Sheet2!$E:$E,Sheet2!$C:$C,$A178,Sheet2!$A:$A,C$2),"")</f>
        <v/>
      </c>
      <c r="D178" s="42" t="str">
        <f>IF(SUMIFS(Sheet2!$E:$E,Sheet2!$C:$C,$A178,Sheet2!$A:$A,D$2)&lt;&gt;0,SUMIFS(Sheet2!$E:$E,Sheet2!$C:$C,$A178,Sheet2!$A:$A,D$2),"")</f>
        <v/>
      </c>
      <c r="E178" s="42" t="str">
        <f>IF(SUMIFS(Sheet2!$E:$E,Sheet2!$C:$C,$A178,Sheet2!$A:$A,E$2)&lt;&gt;0,SUMIFS(Sheet2!$E:$E,Sheet2!$C:$C,$A178,Sheet2!$A:$A,E$2),"")</f>
        <v/>
      </c>
      <c r="F178" s="42" t="str">
        <f>IF(SUMIFS(Sheet2!$E:$E,Sheet2!$C:$C,$A178,Sheet2!$A:$A,F$2)&lt;&gt;0,SUMIFS(Sheet2!$E:$E,Sheet2!$C:$C,$A178,Sheet2!$A:$A,F$2),"")</f>
        <v/>
      </c>
      <c r="G178" s="42" t="str">
        <f>IF(SUMIFS(Sheet2!$E:$E,Sheet2!$C:$C,$A178,Sheet2!$A:$A,G$2)&lt;&gt;0,SUMIFS(Sheet2!$E:$E,Sheet2!$C:$C,$A178,Sheet2!$A:$A,G$2),"")</f>
        <v/>
      </c>
      <c r="H178" s="42" t="str">
        <f>IF(SUMIFS(Sheet2!$E:$E,Sheet2!$C:$C,$A178,Sheet2!$A:$A,H$2)&lt;&gt;0,SUMIFS(Sheet2!$E:$E,Sheet2!$C:$C,$A178,Sheet2!$A:$A,H$2),"")</f>
        <v/>
      </c>
      <c r="I178" s="42" t="str">
        <f>IF(SUMIFS(Sheet2!$E:$E,Sheet2!$C:$C,$A178,Sheet2!$A:$A,I$2)&lt;&gt;0,SUMIFS(Sheet2!$E:$E,Sheet2!$C:$C,$A178,Sheet2!$A:$A,I$2),"")</f>
        <v/>
      </c>
      <c r="J178" s="42" t="str">
        <f>IF(SUMIFS(Sheet2!$E:$E,Sheet2!$C:$C,$A178,Sheet2!$A:$A,J$2)&lt;&gt;0,SUMIFS(Sheet2!$E:$E,Sheet2!$C:$C,$A178,Sheet2!$A:$A,J$2),"")</f>
        <v/>
      </c>
      <c r="K178" s="42" t="str">
        <f>IF(SUMIFS(Sheet2!$E:$E,Sheet2!$C:$C,$A178,Sheet2!$A:$A,K$2)&lt;&gt;0,SUMIFS(Sheet2!$E:$E,Sheet2!$C:$C,$A178,Sheet2!$A:$A,K$2),"")</f>
        <v/>
      </c>
      <c r="L178" s="42" t="str">
        <f>IF(SUMIFS(Sheet2!$E:$E,Sheet2!$C:$C,$A178,Sheet2!$A:$A,L$2)&lt;&gt;0,SUMIFS(Sheet2!$E:$E,Sheet2!$C:$C,$A178,Sheet2!$A:$A,L$2),"")</f>
        <v/>
      </c>
      <c r="M178" s="42" t="str">
        <f>IF(SUMIFS(Sheet2!$E:$E,Sheet2!$C:$C,$A178,Sheet2!$A:$A,M$2)&lt;&gt;0,SUMIFS(Sheet2!$E:$E,Sheet2!$C:$C,$A178,Sheet2!$A:$A,M$2),"")</f>
        <v/>
      </c>
      <c r="N178" s="42" t="str">
        <f>IF(SUMIFS(Sheet2!$E:$E,Sheet2!$C:$C,$A178,Sheet2!$A:$A,N$2)&lt;&gt;0,SUMIFS(Sheet2!$E:$E,Sheet2!$C:$C,$A178,Sheet2!$A:$A,N$2),"")</f>
        <v/>
      </c>
      <c r="O178" s="42" t="str">
        <f>IF(SUMIFS(Sheet2!$E:$E,Sheet2!$C:$C,$A178,Sheet2!$A:$A,O$2)&lt;&gt;0,SUMIFS(Sheet2!$E:$E,Sheet2!$C:$C,$A178,Sheet2!$A:$A,O$2),"")</f>
        <v/>
      </c>
      <c r="P178" s="42" t="str">
        <f>IF(SUMIFS(Sheet2!$E:$E,Sheet2!$C:$C,$A178,Sheet2!$A:$A,P$2)&lt;&gt;0,SUMIFS(Sheet2!$E:$E,Sheet2!$C:$C,$A178,Sheet2!$A:$A,P$2),"")</f>
        <v/>
      </c>
      <c r="Q178" s="42" t="str">
        <f>IF(SUMIFS(Sheet2!$E:$E,Sheet2!$C:$C,$A178,Sheet2!$A:$A,Q$2)&lt;&gt;0,SUMIFS(Sheet2!$E:$E,Sheet2!$C:$C,$A178,Sheet2!$A:$A,Q$2),"")</f>
        <v/>
      </c>
      <c r="R178" s="42" t="str">
        <f>IF(SUMIFS(Sheet2!$E:$E,Sheet2!$C:$C,$A178,Sheet2!$A:$A,R$2)&lt;&gt;0,SUMIFS(Sheet2!$E:$E,Sheet2!$C:$C,$A178,Sheet2!$A:$A,R$2),"")</f>
        <v/>
      </c>
      <c r="S178" s="42" t="str">
        <f>IF(SUMIFS(Sheet2!$E:$E,Sheet2!$C:$C,$A178,Sheet2!$A:$A,S$2)&lt;&gt;0,SUMIFS(Sheet2!$E:$E,Sheet2!$C:$C,$A178,Sheet2!$A:$A,S$2),"")</f>
        <v/>
      </c>
      <c r="T178" s="42" t="str">
        <f>IF(SUMIFS(Sheet2!$E:$E,Sheet2!$C:$C,$A178,Sheet2!$A:$A,T$2)&lt;&gt;0,SUMIFS(Sheet2!$E:$E,Sheet2!$C:$C,$A178,Sheet2!$A:$A,T$2),"")</f>
        <v/>
      </c>
      <c r="U178" s="42" t="str">
        <f>IF(SUMIFS(Sheet2!$E:$E,Sheet2!$C:$C,$A178,Sheet2!$A:$A,U$2)&lt;&gt;0,SUMIFS(Sheet2!$E:$E,Sheet2!$C:$C,$A178,Sheet2!$A:$A,U$2),"")</f>
        <v/>
      </c>
      <c r="V178" s="42" t="str">
        <f>IF(SUMIFS(Sheet2!$E:$E,Sheet2!$C:$C,$A178,Sheet2!$A:$A,V$2)&lt;&gt;0,SUMIFS(Sheet2!$E:$E,Sheet2!$C:$C,$A178,Sheet2!$A:$A,V$2),"")</f>
        <v/>
      </c>
      <c r="W178" s="42" t="str">
        <f>IF(SUMIFS(Sheet2!$E:$E,Sheet2!$C:$C,$A178,Sheet2!$A:$A,W$2)&lt;&gt;0,SUMIFS(Sheet2!$E:$E,Sheet2!$C:$C,$A178,Sheet2!$A:$A,W$2),"")</f>
        <v/>
      </c>
      <c r="X178" s="42" t="str">
        <f>IF(SUMIFS(Sheet2!$E:$E,Sheet2!$C:$C,$A178,Sheet2!$A:$A,X$2)&lt;&gt;0,SUMIFS(Sheet2!$E:$E,Sheet2!$C:$C,$A178,Sheet2!$A:$A,X$2),"")</f>
        <v/>
      </c>
      <c r="Y178" s="42" t="str">
        <f>IF(SUMIFS(Sheet2!$E:$E,Sheet2!$C:$C,$A178,Sheet2!$A:$A,Y$2)&lt;&gt;0,SUMIFS(Sheet2!$E:$E,Sheet2!$C:$C,$A178,Sheet2!$A:$A,Y$2),"")</f>
        <v/>
      </c>
      <c r="Z178" s="42" t="str">
        <f>IF(SUMIFS(Sheet2!$E:$E,Sheet2!$C:$C,$A178,Sheet2!$A:$A,Z$2)&lt;&gt;0,SUMIFS(Sheet2!$E:$E,Sheet2!$C:$C,$A178,Sheet2!$A:$A,Z$2),"")</f>
        <v/>
      </c>
      <c r="AA178" s="42" t="str">
        <f>IF(SUMIFS(Sheet2!$E:$E,Sheet2!$C:$C,$A178,Sheet2!$A:$A,AA$2)&lt;&gt;0,SUMIFS(Sheet2!$E:$E,Sheet2!$C:$C,$A178,Sheet2!$A:$A,AA$2),"")</f>
        <v/>
      </c>
      <c r="AB178" s="42" t="str">
        <f>IF(SUMIFS(Sheet2!$E:$E,Sheet2!$C:$C,$A178,Sheet2!$A:$A,AB$2)&lt;&gt;0,SUMIFS(Sheet2!$E:$E,Sheet2!$C:$C,$A178,Sheet2!$A:$A,AB$2),"")</f>
        <v/>
      </c>
      <c r="AC178" s="42" t="str">
        <f>IF(SUMIFS(Sheet2!$E:$E,Sheet2!$C:$C,$A178,Sheet2!$A:$A,AC$2)&lt;&gt;0,SUMIFS(Sheet2!$E:$E,Sheet2!$C:$C,$A178,Sheet2!$A:$A,AC$2),"")</f>
        <v/>
      </c>
      <c r="AD178" s="42" t="str">
        <f>IF(SUMIFS(Sheet2!$E:$E,Sheet2!$C:$C,$A178,Sheet2!$A:$A,AD$2)&lt;&gt;0,SUMIFS(Sheet2!$E:$E,Sheet2!$C:$C,$A178,Sheet2!$A:$A,AD$2),"")</f>
        <v/>
      </c>
      <c r="AE178" s="42" t="str">
        <f>IF(SUMIFS(Sheet2!$E:$E,Sheet2!$C:$C,$A178,Sheet2!$A:$A,AE$2)&lt;&gt;0,SUMIFS(Sheet2!$E:$E,Sheet2!$C:$C,$A178,Sheet2!$A:$A,AE$2),"")</f>
        <v/>
      </c>
      <c r="AF178" s="42" t="str">
        <f>IF(SUMIFS(Sheet2!$E:$E,Sheet2!$C:$C,$A178,Sheet2!$A:$A,AF$2)&lt;&gt;0,SUMIFS(Sheet2!$E:$E,Sheet2!$C:$C,$A178,Sheet2!$A:$A,AF$2),"")</f>
        <v/>
      </c>
      <c r="AG178" s="42" t="str">
        <f>IF(SUMIFS(Sheet2!$E:$E,Sheet2!$C:$C,$A178,Sheet2!$A:$A,AG$2)&lt;&gt;0,SUMIFS(Sheet2!$E:$E,Sheet2!$C:$C,$A178,Sheet2!$A:$A,AG$2),"")</f>
        <v/>
      </c>
      <c r="AH178" s="43">
        <f>SUM(Table2[[#This Row],[1]:[31]])</f>
        <v>0</v>
      </c>
    </row>
    <row r="179" spans="1:34" ht="12.75" customHeight="1">
      <c r="A179" s="76" t="str">
        <f>DSSP!A178</f>
        <v>GC103</v>
      </c>
      <c r="B179" s="25" t="str">
        <f>DSSP!B178</f>
        <v>Chìa khoá</v>
      </c>
      <c r="C179" s="42" t="str">
        <f>IF(SUMIFS(Sheet2!$E:$E,Sheet2!$C:$C,$A179,Sheet2!$A:$A,C$2)&lt;&gt;0,SUMIFS(Sheet2!$E:$E,Sheet2!$C:$C,$A179,Sheet2!$A:$A,C$2),"")</f>
        <v/>
      </c>
      <c r="D179" s="42" t="str">
        <f>IF(SUMIFS(Sheet2!$E:$E,Sheet2!$C:$C,$A179,Sheet2!$A:$A,D$2)&lt;&gt;0,SUMIFS(Sheet2!$E:$E,Sheet2!$C:$C,$A179,Sheet2!$A:$A,D$2),"")</f>
        <v/>
      </c>
      <c r="E179" s="42" t="str">
        <f>IF(SUMIFS(Sheet2!$E:$E,Sheet2!$C:$C,$A179,Sheet2!$A:$A,E$2)&lt;&gt;0,SUMIFS(Sheet2!$E:$E,Sheet2!$C:$C,$A179,Sheet2!$A:$A,E$2),"")</f>
        <v/>
      </c>
      <c r="F179" s="42" t="str">
        <f>IF(SUMIFS(Sheet2!$E:$E,Sheet2!$C:$C,$A179,Sheet2!$A:$A,F$2)&lt;&gt;0,SUMIFS(Sheet2!$E:$E,Sheet2!$C:$C,$A179,Sheet2!$A:$A,F$2),"")</f>
        <v/>
      </c>
      <c r="G179" s="42" t="str">
        <f>IF(SUMIFS(Sheet2!$E:$E,Sheet2!$C:$C,$A179,Sheet2!$A:$A,G$2)&lt;&gt;0,SUMIFS(Sheet2!$E:$E,Sheet2!$C:$C,$A179,Sheet2!$A:$A,G$2),"")</f>
        <v/>
      </c>
      <c r="H179" s="42" t="str">
        <f>IF(SUMIFS(Sheet2!$E:$E,Sheet2!$C:$C,$A179,Sheet2!$A:$A,H$2)&lt;&gt;0,SUMIFS(Sheet2!$E:$E,Sheet2!$C:$C,$A179,Sheet2!$A:$A,H$2),"")</f>
        <v/>
      </c>
      <c r="I179" s="42" t="str">
        <f>IF(SUMIFS(Sheet2!$E:$E,Sheet2!$C:$C,$A179,Sheet2!$A:$A,I$2)&lt;&gt;0,SUMIFS(Sheet2!$E:$E,Sheet2!$C:$C,$A179,Sheet2!$A:$A,I$2),"")</f>
        <v/>
      </c>
      <c r="J179" s="42" t="str">
        <f>IF(SUMIFS(Sheet2!$E:$E,Sheet2!$C:$C,$A179,Sheet2!$A:$A,J$2)&lt;&gt;0,SUMIFS(Sheet2!$E:$E,Sheet2!$C:$C,$A179,Sheet2!$A:$A,J$2),"")</f>
        <v/>
      </c>
      <c r="K179" s="42" t="str">
        <f>IF(SUMIFS(Sheet2!$E:$E,Sheet2!$C:$C,$A179,Sheet2!$A:$A,K$2)&lt;&gt;0,SUMIFS(Sheet2!$E:$E,Sheet2!$C:$C,$A179,Sheet2!$A:$A,K$2),"")</f>
        <v/>
      </c>
      <c r="L179" s="42" t="str">
        <f>IF(SUMIFS(Sheet2!$E:$E,Sheet2!$C:$C,$A179,Sheet2!$A:$A,L$2)&lt;&gt;0,SUMIFS(Sheet2!$E:$E,Sheet2!$C:$C,$A179,Sheet2!$A:$A,L$2),"")</f>
        <v/>
      </c>
      <c r="M179" s="42" t="str">
        <f>IF(SUMIFS(Sheet2!$E:$E,Sheet2!$C:$C,$A179,Sheet2!$A:$A,M$2)&lt;&gt;0,SUMIFS(Sheet2!$E:$E,Sheet2!$C:$C,$A179,Sheet2!$A:$A,M$2),"")</f>
        <v/>
      </c>
      <c r="N179" s="42" t="str">
        <f>IF(SUMIFS(Sheet2!$E:$E,Sheet2!$C:$C,$A179,Sheet2!$A:$A,N$2)&lt;&gt;0,SUMIFS(Sheet2!$E:$E,Sheet2!$C:$C,$A179,Sheet2!$A:$A,N$2),"")</f>
        <v/>
      </c>
      <c r="O179" s="42" t="str">
        <f>IF(SUMIFS(Sheet2!$E:$E,Sheet2!$C:$C,$A179,Sheet2!$A:$A,O$2)&lt;&gt;0,SUMIFS(Sheet2!$E:$E,Sheet2!$C:$C,$A179,Sheet2!$A:$A,O$2),"")</f>
        <v/>
      </c>
      <c r="P179" s="42" t="str">
        <f>IF(SUMIFS(Sheet2!$E:$E,Sheet2!$C:$C,$A179,Sheet2!$A:$A,P$2)&lt;&gt;0,SUMIFS(Sheet2!$E:$E,Sheet2!$C:$C,$A179,Sheet2!$A:$A,P$2),"")</f>
        <v/>
      </c>
      <c r="Q179" s="42" t="str">
        <f>IF(SUMIFS(Sheet2!$E:$E,Sheet2!$C:$C,$A179,Sheet2!$A:$A,Q$2)&lt;&gt;0,SUMIFS(Sheet2!$E:$E,Sheet2!$C:$C,$A179,Sheet2!$A:$A,Q$2),"")</f>
        <v/>
      </c>
      <c r="R179" s="42" t="str">
        <f>IF(SUMIFS(Sheet2!$E:$E,Sheet2!$C:$C,$A179,Sheet2!$A:$A,R$2)&lt;&gt;0,SUMIFS(Sheet2!$E:$E,Sheet2!$C:$C,$A179,Sheet2!$A:$A,R$2),"")</f>
        <v/>
      </c>
      <c r="S179" s="42" t="str">
        <f>IF(SUMIFS(Sheet2!$E:$E,Sheet2!$C:$C,$A179,Sheet2!$A:$A,S$2)&lt;&gt;0,SUMIFS(Sheet2!$E:$E,Sheet2!$C:$C,$A179,Sheet2!$A:$A,S$2),"")</f>
        <v/>
      </c>
      <c r="T179" s="42" t="str">
        <f>IF(SUMIFS(Sheet2!$E:$E,Sheet2!$C:$C,$A179,Sheet2!$A:$A,T$2)&lt;&gt;0,SUMIFS(Sheet2!$E:$E,Sheet2!$C:$C,$A179,Sheet2!$A:$A,T$2),"")</f>
        <v/>
      </c>
      <c r="U179" s="42" t="str">
        <f>IF(SUMIFS(Sheet2!$E:$E,Sheet2!$C:$C,$A179,Sheet2!$A:$A,U$2)&lt;&gt;0,SUMIFS(Sheet2!$E:$E,Sheet2!$C:$C,$A179,Sheet2!$A:$A,U$2),"")</f>
        <v/>
      </c>
      <c r="V179" s="42" t="str">
        <f>IF(SUMIFS(Sheet2!$E:$E,Sheet2!$C:$C,$A179,Sheet2!$A:$A,V$2)&lt;&gt;0,SUMIFS(Sheet2!$E:$E,Sheet2!$C:$C,$A179,Sheet2!$A:$A,V$2),"")</f>
        <v/>
      </c>
      <c r="W179" s="42" t="str">
        <f>IF(SUMIFS(Sheet2!$E:$E,Sheet2!$C:$C,$A179,Sheet2!$A:$A,W$2)&lt;&gt;0,SUMIFS(Sheet2!$E:$E,Sheet2!$C:$C,$A179,Sheet2!$A:$A,W$2),"")</f>
        <v/>
      </c>
      <c r="X179" s="42" t="str">
        <f>IF(SUMIFS(Sheet2!$E:$E,Sheet2!$C:$C,$A179,Sheet2!$A:$A,X$2)&lt;&gt;0,SUMIFS(Sheet2!$E:$E,Sheet2!$C:$C,$A179,Sheet2!$A:$A,X$2),"")</f>
        <v/>
      </c>
      <c r="Y179" s="42" t="str">
        <f>IF(SUMIFS(Sheet2!$E:$E,Sheet2!$C:$C,$A179,Sheet2!$A:$A,Y$2)&lt;&gt;0,SUMIFS(Sheet2!$E:$E,Sheet2!$C:$C,$A179,Sheet2!$A:$A,Y$2),"")</f>
        <v/>
      </c>
      <c r="Z179" s="42" t="str">
        <f>IF(SUMIFS(Sheet2!$E:$E,Sheet2!$C:$C,$A179,Sheet2!$A:$A,Z$2)&lt;&gt;0,SUMIFS(Sheet2!$E:$E,Sheet2!$C:$C,$A179,Sheet2!$A:$A,Z$2),"")</f>
        <v/>
      </c>
      <c r="AA179" s="42" t="str">
        <f>IF(SUMIFS(Sheet2!$E:$E,Sheet2!$C:$C,$A179,Sheet2!$A:$A,AA$2)&lt;&gt;0,SUMIFS(Sheet2!$E:$E,Sheet2!$C:$C,$A179,Sheet2!$A:$A,AA$2),"")</f>
        <v/>
      </c>
      <c r="AB179" s="42" t="str">
        <f>IF(SUMIFS(Sheet2!$E:$E,Sheet2!$C:$C,$A179,Sheet2!$A:$A,AB$2)&lt;&gt;0,SUMIFS(Sheet2!$E:$E,Sheet2!$C:$C,$A179,Sheet2!$A:$A,AB$2),"")</f>
        <v/>
      </c>
      <c r="AC179" s="42" t="str">
        <f>IF(SUMIFS(Sheet2!$E:$E,Sheet2!$C:$C,$A179,Sheet2!$A:$A,AC$2)&lt;&gt;0,SUMIFS(Sheet2!$E:$E,Sheet2!$C:$C,$A179,Sheet2!$A:$A,AC$2),"")</f>
        <v/>
      </c>
      <c r="AD179" s="42" t="str">
        <f>IF(SUMIFS(Sheet2!$E:$E,Sheet2!$C:$C,$A179,Sheet2!$A:$A,AD$2)&lt;&gt;0,SUMIFS(Sheet2!$E:$E,Sheet2!$C:$C,$A179,Sheet2!$A:$A,AD$2),"")</f>
        <v/>
      </c>
      <c r="AE179" s="42" t="str">
        <f>IF(SUMIFS(Sheet2!$E:$E,Sheet2!$C:$C,$A179,Sheet2!$A:$A,AE$2)&lt;&gt;0,SUMIFS(Sheet2!$E:$E,Sheet2!$C:$C,$A179,Sheet2!$A:$A,AE$2),"")</f>
        <v/>
      </c>
      <c r="AF179" s="42" t="str">
        <f>IF(SUMIFS(Sheet2!$E:$E,Sheet2!$C:$C,$A179,Sheet2!$A:$A,AF$2)&lt;&gt;0,SUMIFS(Sheet2!$E:$E,Sheet2!$C:$C,$A179,Sheet2!$A:$A,AF$2),"")</f>
        <v/>
      </c>
      <c r="AG179" s="42" t="str">
        <f>IF(SUMIFS(Sheet2!$E:$E,Sheet2!$C:$C,$A179,Sheet2!$A:$A,AG$2)&lt;&gt;0,SUMIFS(Sheet2!$E:$E,Sheet2!$C:$C,$A179,Sheet2!$A:$A,AG$2),"")</f>
        <v/>
      </c>
      <c r="AH179" s="43">
        <f>SUM(Table2[[#This Row],[1]:[31]])</f>
        <v>0</v>
      </c>
    </row>
    <row r="180" spans="1:34" ht="12.75" customHeight="1">
      <c r="A180" s="76" t="str">
        <f>DSSP!A179</f>
        <v>GC104</v>
      </c>
      <c r="B180" s="25" t="str">
        <f>DSSP!B179</f>
        <v>Ổ khoá</v>
      </c>
      <c r="C180" s="42" t="str">
        <f>IF(SUMIFS(Sheet2!$E:$E,Sheet2!$C:$C,$A180,Sheet2!$A:$A,C$2)&lt;&gt;0,SUMIFS(Sheet2!$E:$E,Sheet2!$C:$C,$A180,Sheet2!$A:$A,C$2),"")</f>
        <v/>
      </c>
      <c r="D180" s="42" t="str">
        <f>IF(SUMIFS(Sheet2!$E:$E,Sheet2!$C:$C,$A180,Sheet2!$A:$A,D$2)&lt;&gt;0,SUMIFS(Sheet2!$E:$E,Sheet2!$C:$C,$A180,Sheet2!$A:$A,D$2),"")</f>
        <v/>
      </c>
      <c r="E180" s="42" t="str">
        <f>IF(SUMIFS(Sheet2!$E:$E,Sheet2!$C:$C,$A180,Sheet2!$A:$A,E$2)&lt;&gt;0,SUMIFS(Sheet2!$E:$E,Sheet2!$C:$C,$A180,Sheet2!$A:$A,E$2),"")</f>
        <v/>
      </c>
      <c r="F180" s="42" t="str">
        <f>IF(SUMIFS(Sheet2!$E:$E,Sheet2!$C:$C,$A180,Sheet2!$A:$A,F$2)&lt;&gt;0,SUMIFS(Sheet2!$E:$E,Sheet2!$C:$C,$A180,Sheet2!$A:$A,F$2),"")</f>
        <v/>
      </c>
      <c r="G180" s="42" t="str">
        <f>IF(SUMIFS(Sheet2!$E:$E,Sheet2!$C:$C,$A180,Sheet2!$A:$A,G$2)&lt;&gt;0,SUMIFS(Sheet2!$E:$E,Sheet2!$C:$C,$A180,Sheet2!$A:$A,G$2),"")</f>
        <v/>
      </c>
      <c r="H180" s="42" t="str">
        <f>IF(SUMIFS(Sheet2!$E:$E,Sheet2!$C:$C,$A180,Sheet2!$A:$A,H$2)&lt;&gt;0,SUMIFS(Sheet2!$E:$E,Sheet2!$C:$C,$A180,Sheet2!$A:$A,H$2),"")</f>
        <v/>
      </c>
      <c r="I180" s="42" t="str">
        <f>IF(SUMIFS(Sheet2!$E:$E,Sheet2!$C:$C,$A180,Sheet2!$A:$A,I$2)&lt;&gt;0,SUMIFS(Sheet2!$E:$E,Sheet2!$C:$C,$A180,Sheet2!$A:$A,I$2),"")</f>
        <v/>
      </c>
      <c r="J180" s="42" t="str">
        <f>IF(SUMIFS(Sheet2!$E:$E,Sheet2!$C:$C,$A180,Sheet2!$A:$A,J$2)&lt;&gt;0,SUMIFS(Sheet2!$E:$E,Sheet2!$C:$C,$A180,Sheet2!$A:$A,J$2),"")</f>
        <v/>
      </c>
      <c r="K180" s="42" t="str">
        <f>IF(SUMIFS(Sheet2!$E:$E,Sheet2!$C:$C,$A180,Sheet2!$A:$A,K$2)&lt;&gt;0,SUMIFS(Sheet2!$E:$E,Sheet2!$C:$C,$A180,Sheet2!$A:$A,K$2),"")</f>
        <v/>
      </c>
      <c r="L180" s="42" t="str">
        <f>IF(SUMIFS(Sheet2!$E:$E,Sheet2!$C:$C,$A180,Sheet2!$A:$A,L$2)&lt;&gt;0,SUMIFS(Sheet2!$E:$E,Sheet2!$C:$C,$A180,Sheet2!$A:$A,L$2),"")</f>
        <v/>
      </c>
      <c r="M180" s="42" t="str">
        <f>IF(SUMIFS(Sheet2!$E:$E,Sheet2!$C:$C,$A180,Sheet2!$A:$A,M$2)&lt;&gt;0,SUMIFS(Sheet2!$E:$E,Sheet2!$C:$C,$A180,Sheet2!$A:$A,M$2),"")</f>
        <v/>
      </c>
      <c r="N180" s="42" t="str">
        <f>IF(SUMIFS(Sheet2!$E:$E,Sheet2!$C:$C,$A180,Sheet2!$A:$A,N$2)&lt;&gt;0,SUMIFS(Sheet2!$E:$E,Sheet2!$C:$C,$A180,Sheet2!$A:$A,N$2),"")</f>
        <v/>
      </c>
      <c r="O180" s="42" t="str">
        <f>IF(SUMIFS(Sheet2!$E:$E,Sheet2!$C:$C,$A180,Sheet2!$A:$A,O$2)&lt;&gt;0,SUMIFS(Sheet2!$E:$E,Sheet2!$C:$C,$A180,Sheet2!$A:$A,O$2),"")</f>
        <v/>
      </c>
      <c r="P180" s="42" t="str">
        <f>IF(SUMIFS(Sheet2!$E:$E,Sheet2!$C:$C,$A180,Sheet2!$A:$A,P$2)&lt;&gt;0,SUMIFS(Sheet2!$E:$E,Sheet2!$C:$C,$A180,Sheet2!$A:$A,P$2),"")</f>
        <v/>
      </c>
      <c r="Q180" s="42" t="str">
        <f>IF(SUMIFS(Sheet2!$E:$E,Sheet2!$C:$C,$A180,Sheet2!$A:$A,Q$2)&lt;&gt;0,SUMIFS(Sheet2!$E:$E,Sheet2!$C:$C,$A180,Sheet2!$A:$A,Q$2),"")</f>
        <v/>
      </c>
      <c r="R180" s="42" t="str">
        <f>IF(SUMIFS(Sheet2!$E:$E,Sheet2!$C:$C,$A180,Sheet2!$A:$A,R$2)&lt;&gt;0,SUMIFS(Sheet2!$E:$E,Sheet2!$C:$C,$A180,Sheet2!$A:$A,R$2),"")</f>
        <v/>
      </c>
      <c r="S180" s="42" t="str">
        <f>IF(SUMIFS(Sheet2!$E:$E,Sheet2!$C:$C,$A180,Sheet2!$A:$A,S$2)&lt;&gt;0,SUMIFS(Sheet2!$E:$E,Sheet2!$C:$C,$A180,Sheet2!$A:$A,S$2),"")</f>
        <v/>
      </c>
      <c r="T180" s="42" t="str">
        <f>IF(SUMIFS(Sheet2!$E:$E,Sheet2!$C:$C,$A180,Sheet2!$A:$A,T$2)&lt;&gt;0,SUMIFS(Sheet2!$E:$E,Sheet2!$C:$C,$A180,Sheet2!$A:$A,T$2),"")</f>
        <v/>
      </c>
      <c r="U180" s="42" t="str">
        <f>IF(SUMIFS(Sheet2!$E:$E,Sheet2!$C:$C,$A180,Sheet2!$A:$A,U$2)&lt;&gt;0,SUMIFS(Sheet2!$E:$E,Sheet2!$C:$C,$A180,Sheet2!$A:$A,U$2),"")</f>
        <v/>
      </c>
      <c r="V180" s="42" t="str">
        <f>IF(SUMIFS(Sheet2!$E:$E,Sheet2!$C:$C,$A180,Sheet2!$A:$A,V$2)&lt;&gt;0,SUMIFS(Sheet2!$E:$E,Sheet2!$C:$C,$A180,Sheet2!$A:$A,V$2),"")</f>
        <v/>
      </c>
      <c r="W180" s="42" t="str">
        <f>IF(SUMIFS(Sheet2!$E:$E,Sheet2!$C:$C,$A180,Sheet2!$A:$A,W$2)&lt;&gt;0,SUMIFS(Sheet2!$E:$E,Sheet2!$C:$C,$A180,Sheet2!$A:$A,W$2),"")</f>
        <v/>
      </c>
      <c r="X180" s="42" t="str">
        <f>IF(SUMIFS(Sheet2!$E:$E,Sheet2!$C:$C,$A180,Sheet2!$A:$A,X$2)&lt;&gt;0,SUMIFS(Sheet2!$E:$E,Sheet2!$C:$C,$A180,Sheet2!$A:$A,X$2),"")</f>
        <v/>
      </c>
      <c r="Y180" s="42" t="str">
        <f>IF(SUMIFS(Sheet2!$E:$E,Sheet2!$C:$C,$A180,Sheet2!$A:$A,Y$2)&lt;&gt;0,SUMIFS(Sheet2!$E:$E,Sheet2!$C:$C,$A180,Sheet2!$A:$A,Y$2),"")</f>
        <v/>
      </c>
      <c r="Z180" s="42" t="str">
        <f>IF(SUMIFS(Sheet2!$E:$E,Sheet2!$C:$C,$A180,Sheet2!$A:$A,Z$2)&lt;&gt;0,SUMIFS(Sheet2!$E:$E,Sheet2!$C:$C,$A180,Sheet2!$A:$A,Z$2),"")</f>
        <v/>
      </c>
      <c r="AA180" s="42" t="str">
        <f>IF(SUMIFS(Sheet2!$E:$E,Sheet2!$C:$C,$A180,Sheet2!$A:$A,AA$2)&lt;&gt;0,SUMIFS(Sheet2!$E:$E,Sheet2!$C:$C,$A180,Sheet2!$A:$A,AA$2),"")</f>
        <v/>
      </c>
      <c r="AB180" s="42" t="str">
        <f>IF(SUMIFS(Sheet2!$E:$E,Sheet2!$C:$C,$A180,Sheet2!$A:$A,AB$2)&lt;&gt;0,SUMIFS(Sheet2!$E:$E,Sheet2!$C:$C,$A180,Sheet2!$A:$A,AB$2),"")</f>
        <v/>
      </c>
      <c r="AC180" s="42" t="str">
        <f>IF(SUMIFS(Sheet2!$E:$E,Sheet2!$C:$C,$A180,Sheet2!$A:$A,AC$2)&lt;&gt;0,SUMIFS(Sheet2!$E:$E,Sheet2!$C:$C,$A180,Sheet2!$A:$A,AC$2),"")</f>
        <v/>
      </c>
      <c r="AD180" s="42" t="str">
        <f>IF(SUMIFS(Sheet2!$E:$E,Sheet2!$C:$C,$A180,Sheet2!$A:$A,AD$2)&lt;&gt;0,SUMIFS(Sheet2!$E:$E,Sheet2!$C:$C,$A180,Sheet2!$A:$A,AD$2),"")</f>
        <v/>
      </c>
      <c r="AE180" s="42" t="str">
        <f>IF(SUMIFS(Sheet2!$E:$E,Sheet2!$C:$C,$A180,Sheet2!$A:$A,AE$2)&lt;&gt;0,SUMIFS(Sheet2!$E:$E,Sheet2!$C:$C,$A180,Sheet2!$A:$A,AE$2),"")</f>
        <v/>
      </c>
      <c r="AF180" s="42" t="str">
        <f>IF(SUMIFS(Sheet2!$E:$E,Sheet2!$C:$C,$A180,Sheet2!$A:$A,AF$2)&lt;&gt;0,SUMIFS(Sheet2!$E:$E,Sheet2!$C:$C,$A180,Sheet2!$A:$A,AF$2),"")</f>
        <v/>
      </c>
      <c r="AG180" s="42" t="str">
        <f>IF(SUMIFS(Sheet2!$E:$E,Sheet2!$C:$C,$A180,Sheet2!$A:$A,AG$2)&lt;&gt;0,SUMIFS(Sheet2!$E:$E,Sheet2!$C:$C,$A180,Sheet2!$A:$A,AG$2),"")</f>
        <v/>
      </c>
      <c r="AH180" s="43">
        <f>SUM(Table2[[#This Row],[1]:[31]])</f>
        <v>0</v>
      </c>
    </row>
    <row r="181" spans="1:34" ht="12.75" customHeight="1">
      <c r="A181" s="76" t="str">
        <f>DSSP!A180</f>
        <v>GC105</v>
      </c>
      <c r="B181" s="25" t="str">
        <f>DSSP!B180</f>
        <v>Nhẫn cú</v>
      </c>
      <c r="C181" s="42" t="str">
        <f>IF(SUMIFS(Sheet2!$E:$E,Sheet2!$C:$C,$A181,Sheet2!$A:$A,C$2)&lt;&gt;0,SUMIFS(Sheet2!$E:$E,Sheet2!$C:$C,$A181,Sheet2!$A:$A,C$2),"")</f>
        <v/>
      </c>
      <c r="D181" s="42" t="str">
        <f>IF(SUMIFS(Sheet2!$E:$E,Sheet2!$C:$C,$A181,Sheet2!$A:$A,D$2)&lt;&gt;0,SUMIFS(Sheet2!$E:$E,Sheet2!$C:$C,$A181,Sheet2!$A:$A,D$2),"")</f>
        <v/>
      </c>
      <c r="E181" s="42" t="str">
        <f>IF(SUMIFS(Sheet2!$E:$E,Sheet2!$C:$C,$A181,Sheet2!$A:$A,E$2)&lt;&gt;0,SUMIFS(Sheet2!$E:$E,Sheet2!$C:$C,$A181,Sheet2!$A:$A,E$2),"")</f>
        <v/>
      </c>
      <c r="F181" s="42" t="str">
        <f>IF(SUMIFS(Sheet2!$E:$E,Sheet2!$C:$C,$A181,Sheet2!$A:$A,F$2)&lt;&gt;0,SUMIFS(Sheet2!$E:$E,Sheet2!$C:$C,$A181,Sheet2!$A:$A,F$2),"")</f>
        <v/>
      </c>
      <c r="G181" s="42" t="str">
        <f>IF(SUMIFS(Sheet2!$E:$E,Sheet2!$C:$C,$A181,Sheet2!$A:$A,G$2)&lt;&gt;0,SUMIFS(Sheet2!$E:$E,Sheet2!$C:$C,$A181,Sheet2!$A:$A,G$2),"")</f>
        <v/>
      </c>
      <c r="H181" s="42" t="str">
        <f>IF(SUMIFS(Sheet2!$E:$E,Sheet2!$C:$C,$A181,Sheet2!$A:$A,H$2)&lt;&gt;0,SUMIFS(Sheet2!$E:$E,Sheet2!$C:$C,$A181,Sheet2!$A:$A,H$2),"")</f>
        <v/>
      </c>
      <c r="I181" s="42" t="str">
        <f>IF(SUMIFS(Sheet2!$E:$E,Sheet2!$C:$C,$A181,Sheet2!$A:$A,I$2)&lt;&gt;0,SUMIFS(Sheet2!$E:$E,Sheet2!$C:$C,$A181,Sheet2!$A:$A,I$2),"")</f>
        <v/>
      </c>
      <c r="J181" s="42" t="str">
        <f>IF(SUMIFS(Sheet2!$E:$E,Sheet2!$C:$C,$A181,Sheet2!$A:$A,J$2)&lt;&gt;0,SUMIFS(Sheet2!$E:$E,Sheet2!$C:$C,$A181,Sheet2!$A:$A,J$2),"")</f>
        <v/>
      </c>
      <c r="K181" s="42" t="str">
        <f>IF(SUMIFS(Sheet2!$E:$E,Sheet2!$C:$C,$A181,Sheet2!$A:$A,K$2)&lt;&gt;0,SUMIFS(Sheet2!$E:$E,Sheet2!$C:$C,$A181,Sheet2!$A:$A,K$2),"")</f>
        <v/>
      </c>
      <c r="L181" s="42" t="str">
        <f>IF(SUMIFS(Sheet2!$E:$E,Sheet2!$C:$C,$A181,Sheet2!$A:$A,L$2)&lt;&gt;0,SUMIFS(Sheet2!$E:$E,Sheet2!$C:$C,$A181,Sheet2!$A:$A,L$2),"")</f>
        <v/>
      </c>
      <c r="M181" s="42" t="str">
        <f>IF(SUMIFS(Sheet2!$E:$E,Sheet2!$C:$C,$A181,Sheet2!$A:$A,M$2)&lt;&gt;0,SUMIFS(Sheet2!$E:$E,Sheet2!$C:$C,$A181,Sheet2!$A:$A,M$2),"")</f>
        <v/>
      </c>
      <c r="N181" s="42" t="str">
        <f>IF(SUMIFS(Sheet2!$E:$E,Sheet2!$C:$C,$A181,Sheet2!$A:$A,N$2)&lt;&gt;0,SUMIFS(Sheet2!$E:$E,Sheet2!$C:$C,$A181,Sheet2!$A:$A,N$2),"")</f>
        <v/>
      </c>
      <c r="O181" s="42" t="str">
        <f>IF(SUMIFS(Sheet2!$E:$E,Sheet2!$C:$C,$A181,Sheet2!$A:$A,O$2)&lt;&gt;0,SUMIFS(Sheet2!$E:$E,Sheet2!$C:$C,$A181,Sheet2!$A:$A,O$2),"")</f>
        <v/>
      </c>
      <c r="P181" s="42" t="str">
        <f>IF(SUMIFS(Sheet2!$E:$E,Sheet2!$C:$C,$A181,Sheet2!$A:$A,P$2)&lt;&gt;0,SUMIFS(Sheet2!$E:$E,Sheet2!$C:$C,$A181,Sheet2!$A:$A,P$2),"")</f>
        <v/>
      </c>
      <c r="Q181" s="42" t="str">
        <f>IF(SUMIFS(Sheet2!$E:$E,Sheet2!$C:$C,$A181,Sheet2!$A:$A,Q$2)&lt;&gt;0,SUMIFS(Sheet2!$E:$E,Sheet2!$C:$C,$A181,Sheet2!$A:$A,Q$2),"")</f>
        <v/>
      </c>
      <c r="R181" s="42" t="str">
        <f>IF(SUMIFS(Sheet2!$E:$E,Sheet2!$C:$C,$A181,Sheet2!$A:$A,R$2)&lt;&gt;0,SUMIFS(Sheet2!$E:$E,Sheet2!$C:$C,$A181,Sheet2!$A:$A,R$2),"")</f>
        <v/>
      </c>
      <c r="S181" s="42" t="str">
        <f>IF(SUMIFS(Sheet2!$E:$E,Sheet2!$C:$C,$A181,Sheet2!$A:$A,S$2)&lt;&gt;0,SUMIFS(Sheet2!$E:$E,Sheet2!$C:$C,$A181,Sheet2!$A:$A,S$2),"")</f>
        <v/>
      </c>
      <c r="T181" s="42" t="str">
        <f>IF(SUMIFS(Sheet2!$E:$E,Sheet2!$C:$C,$A181,Sheet2!$A:$A,T$2)&lt;&gt;0,SUMIFS(Sheet2!$E:$E,Sheet2!$C:$C,$A181,Sheet2!$A:$A,T$2),"")</f>
        <v/>
      </c>
      <c r="U181" s="42" t="str">
        <f>IF(SUMIFS(Sheet2!$E:$E,Sheet2!$C:$C,$A181,Sheet2!$A:$A,U$2)&lt;&gt;0,SUMIFS(Sheet2!$E:$E,Sheet2!$C:$C,$A181,Sheet2!$A:$A,U$2),"")</f>
        <v/>
      </c>
      <c r="V181" s="42" t="str">
        <f>IF(SUMIFS(Sheet2!$E:$E,Sheet2!$C:$C,$A181,Sheet2!$A:$A,V$2)&lt;&gt;0,SUMIFS(Sheet2!$E:$E,Sheet2!$C:$C,$A181,Sheet2!$A:$A,V$2),"")</f>
        <v/>
      </c>
      <c r="W181" s="42" t="str">
        <f>IF(SUMIFS(Sheet2!$E:$E,Sheet2!$C:$C,$A181,Sheet2!$A:$A,W$2)&lt;&gt;0,SUMIFS(Sheet2!$E:$E,Sheet2!$C:$C,$A181,Sheet2!$A:$A,W$2),"")</f>
        <v/>
      </c>
      <c r="X181" s="42" t="str">
        <f>IF(SUMIFS(Sheet2!$E:$E,Sheet2!$C:$C,$A181,Sheet2!$A:$A,X$2)&lt;&gt;0,SUMIFS(Sheet2!$E:$E,Sheet2!$C:$C,$A181,Sheet2!$A:$A,X$2),"")</f>
        <v/>
      </c>
      <c r="Y181" s="42" t="str">
        <f>IF(SUMIFS(Sheet2!$E:$E,Sheet2!$C:$C,$A181,Sheet2!$A:$A,Y$2)&lt;&gt;0,SUMIFS(Sheet2!$E:$E,Sheet2!$C:$C,$A181,Sheet2!$A:$A,Y$2),"")</f>
        <v/>
      </c>
      <c r="Z181" s="42" t="str">
        <f>IF(SUMIFS(Sheet2!$E:$E,Sheet2!$C:$C,$A181,Sheet2!$A:$A,Z$2)&lt;&gt;0,SUMIFS(Sheet2!$E:$E,Sheet2!$C:$C,$A181,Sheet2!$A:$A,Z$2),"")</f>
        <v/>
      </c>
      <c r="AA181" s="42" t="str">
        <f>IF(SUMIFS(Sheet2!$E:$E,Sheet2!$C:$C,$A181,Sheet2!$A:$A,AA$2)&lt;&gt;0,SUMIFS(Sheet2!$E:$E,Sheet2!$C:$C,$A181,Sheet2!$A:$A,AA$2),"")</f>
        <v/>
      </c>
      <c r="AB181" s="42" t="str">
        <f>IF(SUMIFS(Sheet2!$E:$E,Sheet2!$C:$C,$A181,Sheet2!$A:$A,AB$2)&lt;&gt;0,SUMIFS(Sheet2!$E:$E,Sheet2!$C:$C,$A181,Sheet2!$A:$A,AB$2),"")</f>
        <v/>
      </c>
      <c r="AC181" s="42" t="str">
        <f>IF(SUMIFS(Sheet2!$E:$E,Sheet2!$C:$C,$A181,Sheet2!$A:$A,AC$2)&lt;&gt;0,SUMIFS(Sheet2!$E:$E,Sheet2!$C:$C,$A181,Sheet2!$A:$A,AC$2),"")</f>
        <v/>
      </c>
      <c r="AD181" s="42" t="str">
        <f>IF(SUMIFS(Sheet2!$E:$E,Sheet2!$C:$C,$A181,Sheet2!$A:$A,AD$2)&lt;&gt;0,SUMIFS(Sheet2!$E:$E,Sheet2!$C:$C,$A181,Sheet2!$A:$A,AD$2),"")</f>
        <v/>
      </c>
      <c r="AE181" s="42" t="str">
        <f>IF(SUMIFS(Sheet2!$E:$E,Sheet2!$C:$C,$A181,Sheet2!$A:$A,AE$2)&lt;&gt;0,SUMIFS(Sheet2!$E:$E,Sheet2!$C:$C,$A181,Sheet2!$A:$A,AE$2),"")</f>
        <v/>
      </c>
      <c r="AF181" s="42" t="str">
        <f>IF(SUMIFS(Sheet2!$E:$E,Sheet2!$C:$C,$A181,Sheet2!$A:$A,AF$2)&lt;&gt;0,SUMIFS(Sheet2!$E:$E,Sheet2!$C:$C,$A181,Sheet2!$A:$A,AF$2),"")</f>
        <v/>
      </c>
      <c r="AG181" s="42" t="str">
        <f>IF(SUMIFS(Sheet2!$E:$E,Sheet2!$C:$C,$A181,Sheet2!$A:$A,AG$2)&lt;&gt;0,SUMIFS(Sheet2!$E:$E,Sheet2!$C:$C,$A181,Sheet2!$A:$A,AG$2),"")</f>
        <v/>
      </c>
      <c r="AH181" s="43">
        <f>SUM(Table2[[#This Row],[1]:[31]])</f>
        <v>0</v>
      </c>
    </row>
    <row r="182" spans="1:34" ht="12.75" customHeight="1">
      <c r="A182" s="76" t="str">
        <f>DSSP!A181</f>
        <v>GC106</v>
      </c>
      <c r="B182" s="25" t="str">
        <f>DSSP!B181</f>
        <v>Đôi cú trái tim</v>
      </c>
      <c r="C182" s="42" t="str">
        <f>IF(SUMIFS(Sheet2!$E:$E,Sheet2!$C:$C,$A182,Sheet2!$A:$A,C$2)&lt;&gt;0,SUMIFS(Sheet2!$E:$E,Sheet2!$C:$C,$A182,Sheet2!$A:$A,C$2),"")</f>
        <v/>
      </c>
      <c r="D182" s="42" t="str">
        <f>IF(SUMIFS(Sheet2!$E:$E,Sheet2!$C:$C,$A182,Sheet2!$A:$A,D$2)&lt;&gt;0,SUMIFS(Sheet2!$E:$E,Sheet2!$C:$C,$A182,Sheet2!$A:$A,D$2),"")</f>
        <v/>
      </c>
      <c r="E182" s="42" t="str">
        <f>IF(SUMIFS(Sheet2!$E:$E,Sheet2!$C:$C,$A182,Sheet2!$A:$A,E$2)&lt;&gt;0,SUMIFS(Sheet2!$E:$E,Sheet2!$C:$C,$A182,Sheet2!$A:$A,E$2),"")</f>
        <v/>
      </c>
      <c r="F182" s="42" t="str">
        <f>IF(SUMIFS(Sheet2!$E:$E,Sheet2!$C:$C,$A182,Sheet2!$A:$A,F$2)&lt;&gt;0,SUMIFS(Sheet2!$E:$E,Sheet2!$C:$C,$A182,Sheet2!$A:$A,F$2),"")</f>
        <v/>
      </c>
      <c r="G182" s="42" t="str">
        <f>IF(SUMIFS(Sheet2!$E:$E,Sheet2!$C:$C,$A182,Sheet2!$A:$A,G$2)&lt;&gt;0,SUMIFS(Sheet2!$E:$E,Sheet2!$C:$C,$A182,Sheet2!$A:$A,G$2),"")</f>
        <v/>
      </c>
      <c r="H182" s="42" t="str">
        <f>IF(SUMIFS(Sheet2!$E:$E,Sheet2!$C:$C,$A182,Sheet2!$A:$A,H$2)&lt;&gt;0,SUMIFS(Sheet2!$E:$E,Sheet2!$C:$C,$A182,Sheet2!$A:$A,H$2),"")</f>
        <v/>
      </c>
      <c r="I182" s="42" t="str">
        <f>IF(SUMIFS(Sheet2!$E:$E,Sheet2!$C:$C,$A182,Sheet2!$A:$A,I$2)&lt;&gt;0,SUMIFS(Sheet2!$E:$E,Sheet2!$C:$C,$A182,Sheet2!$A:$A,I$2),"")</f>
        <v/>
      </c>
      <c r="J182" s="42" t="str">
        <f>IF(SUMIFS(Sheet2!$E:$E,Sheet2!$C:$C,$A182,Sheet2!$A:$A,J$2)&lt;&gt;0,SUMIFS(Sheet2!$E:$E,Sheet2!$C:$C,$A182,Sheet2!$A:$A,J$2),"")</f>
        <v/>
      </c>
      <c r="K182" s="42" t="str">
        <f>IF(SUMIFS(Sheet2!$E:$E,Sheet2!$C:$C,$A182,Sheet2!$A:$A,K$2)&lt;&gt;0,SUMIFS(Sheet2!$E:$E,Sheet2!$C:$C,$A182,Sheet2!$A:$A,K$2),"")</f>
        <v/>
      </c>
      <c r="L182" s="42" t="str">
        <f>IF(SUMIFS(Sheet2!$E:$E,Sheet2!$C:$C,$A182,Sheet2!$A:$A,L$2)&lt;&gt;0,SUMIFS(Sheet2!$E:$E,Sheet2!$C:$C,$A182,Sheet2!$A:$A,L$2),"")</f>
        <v/>
      </c>
      <c r="M182" s="42" t="str">
        <f>IF(SUMIFS(Sheet2!$E:$E,Sheet2!$C:$C,$A182,Sheet2!$A:$A,M$2)&lt;&gt;0,SUMIFS(Sheet2!$E:$E,Sheet2!$C:$C,$A182,Sheet2!$A:$A,M$2),"")</f>
        <v/>
      </c>
      <c r="N182" s="42" t="str">
        <f>IF(SUMIFS(Sheet2!$E:$E,Sheet2!$C:$C,$A182,Sheet2!$A:$A,N$2)&lt;&gt;0,SUMIFS(Sheet2!$E:$E,Sheet2!$C:$C,$A182,Sheet2!$A:$A,N$2),"")</f>
        <v/>
      </c>
      <c r="O182" s="42" t="str">
        <f>IF(SUMIFS(Sheet2!$E:$E,Sheet2!$C:$C,$A182,Sheet2!$A:$A,O$2)&lt;&gt;0,SUMIFS(Sheet2!$E:$E,Sheet2!$C:$C,$A182,Sheet2!$A:$A,O$2),"")</f>
        <v/>
      </c>
      <c r="P182" s="42" t="str">
        <f>IF(SUMIFS(Sheet2!$E:$E,Sheet2!$C:$C,$A182,Sheet2!$A:$A,P$2)&lt;&gt;0,SUMIFS(Sheet2!$E:$E,Sheet2!$C:$C,$A182,Sheet2!$A:$A,P$2),"")</f>
        <v/>
      </c>
      <c r="Q182" s="42" t="str">
        <f>IF(SUMIFS(Sheet2!$E:$E,Sheet2!$C:$C,$A182,Sheet2!$A:$A,Q$2)&lt;&gt;0,SUMIFS(Sheet2!$E:$E,Sheet2!$C:$C,$A182,Sheet2!$A:$A,Q$2),"")</f>
        <v/>
      </c>
      <c r="R182" s="42" t="str">
        <f>IF(SUMIFS(Sheet2!$E:$E,Sheet2!$C:$C,$A182,Sheet2!$A:$A,R$2)&lt;&gt;0,SUMIFS(Sheet2!$E:$E,Sheet2!$C:$C,$A182,Sheet2!$A:$A,R$2),"")</f>
        <v/>
      </c>
      <c r="S182" s="42" t="str">
        <f>IF(SUMIFS(Sheet2!$E:$E,Sheet2!$C:$C,$A182,Sheet2!$A:$A,S$2)&lt;&gt;0,SUMIFS(Sheet2!$E:$E,Sheet2!$C:$C,$A182,Sheet2!$A:$A,S$2),"")</f>
        <v/>
      </c>
      <c r="T182" s="42" t="str">
        <f>IF(SUMIFS(Sheet2!$E:$E,Sheet2!$C:$C,$A182,Sheet2!$A:$A,T$2)&lt;&gt;0,SUMIFS(Sheet2!$E:$E,Sheet2!$C:$C,$A182,Sheet2!$A:$A,T$2),"")</f>
        <v/>
      </c>
      <c r="U182" s="42" t="str">
        <f>IF(SUMIFS(Sheet2!$E:$E,Sheet2!$C:$C,$A182,Sheet2!$A:$A,U$2)&lt;&gt;0,SUMIFS(Sheet2!$E:$E,Sheet2!$C:$C,$A182,Sheet2!$A:$A,U$2),"")</f>
        <v/>
      </c>
      <c r="V182" s="42" t="str">
        <f>IF(SUMIFS(Sheet2!$E:$E,Sheet2!$C:$C,$A182,Sheet2!$A:$A,V$2)&lt;&gt;0,SUMIFS(Sheet2!$E:$E,Sheet2!$C:$C,$A182,Sheet2!$A:$A,V$2),"")</f>
        <v/>
      </c>
      <c r="W182" s="42" t="str">
        <f>IF(SUMIFS(Sheet2!$E:$E,Sheet2!$C:$C,$A182,Sheet2!$A:$A,W$2)&lt;&gt;0,SUMIFS(Sheet2!$E:$E,Sheet2!$C:$C,$A182,Sheet2!$A:$A,W$2),"")</f>
        <v/>
      </c>
      <c r="X182" s="42" t="str">
        <f>IF(SUMIFS(Sheet2!$E:$E,Sheet2!$C:$C,$A182,Sheet2!$A:$A,X$2)&lt;&gt;0,SUMIFS(Sheet2!$E:$E,Sheet2!$C:$C,$A182,Sheet2!$A:$A,X$2),"")</f>
        <v/>
      </c>
      <c r="Y182" s="42" t="str">
        <f>IF(SUMIFS(Sheet2!$E:$E,Sheet2!$C:$C,$A182,Sheet2!$A:$A,Y$2)&lt;&gt;0,SUMIFS(Sheet2!$E:$E,Sheet2!$C:$C,$A182,Sheet2!$A:$A,Y$2),"")</f>
        <v/>
      </c>
      <c r="Z182" s="42" t="str">
        <f>IF(SUMIFS(Sheet2!$E:$E,Sheet2!$C:$C,$A182,Sheet2!$A:$A,Z$2)&lt;&gt;0,SUMIFS(Sheet2!$E:$E,Sheet2!$C:$C,$A182,Sheet2!$A:$A,Z$2),"")</f>
        <v/>
      </c>
      <c r="AA182" s="42" t="str">
        <f>IF(SUMIFS(Sheet2!$E:$E,Sheet2!$C:$C,$A182,Sheet2!$A:$A,AA$2)&lt;&gt;0,SUMIFS(Sheet2!$E:$E,Sheet2!$C:$C,$A182,Sheet2!$A:$A,AA$2),"")</f>
        <v/>
      </c>
      <c r="AB182" s="42" t="str">
        <f>IF(SUMIFS(Sheet2!$E:$E,Sheet2!$C:$C,$A182,Sheet2!$A:$A,AB$2)&lt;&gt;0,SUMIFS(Sheet2!$E:$E,Sheet2!$C:$C,$A182,Sheet2!$A:$A,AB$2),"")</f>
        <v/>
      </c>
      <c r="AC182" s="42" t="str">
        <f>IF(SUMIFS(Sheet2!$E:$E,Sheet2!$C:$C,$A182,Sheet2!$A:$A,AC$2)&lt;&gt;0,SUMIFS(Sheet2!$E:$E,Sheet2!$C:$C,$A182,Sheet2!$A:$A,AC$2),"")</f>
        <v/>
      </c>
      <c r="AD182" s="42" t="str">
        <f>IF(SUMIFS(Sheet2!$E:$E,Sheet2!$C:$C,$A182,Sheet2!$A:$A,AD$2)&lt;&gt;0,SUMIFS(Sheet2!$E:$E,Sheet2!$C:$C,$A182,Sheet2!$A:$A,AD$2),"")</f>
        <v/>
      </c>
      <c r="AE182" s="42" t="str">
        <f>IF(SUMIFS(Sheet2!$E:$E,Sheet2!$C:$C,$A182,Sheet2!$A:$A,AE$2)&lt;&gt;0,SUMIFS(Sheet2!$E:$E,Sheet2!$C:$C,$A182,Sheet2!$A:$A,AE$2),"")</f>
        <v/>
      </c>
      <c r="AF182" s="42" t="str">
        <f>IF(SUMIFS(Sheet2!$E:$E,Sheet2!$C:$C,$A182,Sheet2!$A:$A,AF$2)&lt;&gt;0,SUMIFS(Sheet2!$E:$E,Sheet2!$C:$C,$A182,Sheet2!$A:$A,AF$2),"")</f>
        <v/>
      </c>
      <c r="AG182" s="42" t="str">
        <f>IF(SUMIFS(Sheet2!$E:$E,Sheet2!$C:$C,$A182,Sheet2!$A:$A,AG$2)&lt;&gt;0,SUMIFS(Sheet2!$E:$E,Sheet2!$C:$C,$A182,Sheet2!$A:$A,AG$2),"")</f>
        <v/>
      </c>
      <c r="AH182" s="43">
        <f>SUM(Table2[[#This Row],[1]:[31]])</f>
        <v>0</v>
      </c>
    </row>
    <row r="183" spans="1:34" ht="12.75" customHeight="1">
      <c r="A183" s="76" t="str">
        <f>DSSP!A182</f>
        <v>GC107</v>
      </c>
      <c r="B183" s="25" t="str">
        <f>DSSP!B182</f>
        <v>Mặt giả cổ mỏ neo</v>
      </c>
      <c r="C183" s="42" t="str">
        <f>IF(SUMIFS(Sheet2!$E:$E,Sheet2!$C:$C,$A183,Sheet2!$A:$A,C$2)&lt;&gt;0,SUMIFS(Sheet2!$E:$E,Sheet2!$C:$C,$A183,Sheet2!$A:$A,C$2),"")</f>
        <v/>
      </c>
      <c r="D183" s="42" t="str">
        <f>IF(SUMIFS(Sheet2!$E:$E,Sheet2!$C:$C,$A183,Sheet2!$A:$A,D$2)&lt;&gt;0,SUMIFS(Sheet2!$E:$E,Sheet2!$C:$C,$A183,Sheet2!$A:$A,D$2),"")</f>
        <v/>
      </c>
      <c r="E183" s="42" t="str">
        <f>IF(SUMIFS(Sheet2!$E:$E,Sheet2!$C:$C,$A183,Sheet2!$A:$A,E$2)&lt;&gt;0,SUMIFS(Sheet2!$E:$E,Sheet2!$C:$C,$A183,Sheet2!$A:$A,E$2),"")</f>
        <v/>
      </c>
      <c r="F183" s="42" t="str">
        <f>IF(SUMIFS(Sheet2!$E:$E,Sheet2!$C:$C,$A183,Sheet2!$A:$A,F$2)&lt;&gt;0,SUMIFS(Sheet2!$E:$E,Sheet2!$C:$C,$A183,Sheet2!$A:$A,F$2),"")</f>
        <v/>
      </c>
      <c r="G183" s="42" t="str">
        <f>IF(SUMIFS(Sheet2!$E:$E,Sheet2!$C:$C,$A183,Sheet2!$A:$A,G$2)&lt;&gt;0,SUMIFS(Sheet2!$E:$E,Sheet2!$C:$C,$A183,Sheet2!$A:$A,G$2),"")</f>
        <v/>
      </c>
      <c r="H183" s="42" t="str">
        <f>IF(SUMIFS(Sheet2!$E:$E,Sheet2!$C:$C,$A183,Sheet2!$A:$A,H$2)&lt;&gt;0,SUMIFS(Sheet2!$E:$E,Sheet2!$C:$C,$A183,Sheet2!$A:$A,H$2),"")</f>
        <v/>
      </c>
      <c r="I183" s="42" t="str">
        <f>IF(SUMIFS(Sheet2!$E:$E,Sheet2!$C:$C,$A183,Sheet2!$A:$A,I$2)&lt;&gt;0,SUMIFS(Sheet2!$E:$E,Sheet2!$C:$C,$A183,Sheet2!$A:$A,I$2),"")</f>
        <v/>
      </c>
      <c r="J183" s="42" t="str">
        <f>IF(SUMIFS(Sheet2!$E:$E,Sheet2!$C:$C,$A183,Sheet2!$A:$A,J$2)&lt;&gt;0,SUMIFS(Sheet2!$E:$E,Sheet2!$C:$C,$A183,Sheet2!$A:$A,J$2),"")</f>
        <v/>
      </c>
      <c r="K183" s="42" t="str">
        <f>IF(SUMIFS(Sheet2!$E:$E,Sheet2!$C:$C,$A183,Sheet2!$A:$A,K$2)&lt;&gt;0,SUMIFS(Sheet2!$E:$E,Sheet2!$C:$C,$A183,Sheet2!$A:$A,K$2),"")</f>
        <v/>
      </c>
      <c r="L183" s="42" t="str">
        <f>IF(SUMIFS(Sheet2!$E:$E,Sheet2!$C:$C,$A183,Sheet2!$A:$A,L$2)&lt;&gt;0,SUMIFS(Sheet2!$E:$E,Sheet2!$C:$C,$A183,Sheet2!$A:$A,L$2),"")</f>
        <v/>
      </c>
      <c r="M183" s="42" t="str">
        <f>IF(SUMIFS(Sheet2!$E:$E,Sheet2!$C:$C,$A183,Sheet2!$A:$A,M$2)&lt;&gt;0,SUMIFS(Sheet2!$E:$E,Sheet2!$C:$C,$A183,Sheet2!$A:$A,M$2),"")</f>
        <v/>
      </c>
      <c r="N183" s="42" t="str">
        <f>IF(SUMIFS(Sheet2!$E:$E,Sheet2!$C:$C,$A183,Sheet2!$A:$A,N$2)&lt;&gt;0,SUMIFS(Sheet2!$E:$E,Sheet2!$C:$C,$A183,Sheet2!$A:$A,N$2),"")</f>
        <v/>
      </c>
      <c r="O183" s="42" t="str">
        <f>IF(SUMIFS(Sheet2!$E:$E,Sheet2!$C:$C,$A183,Sheet2!$A:$A,O$2)&lt;&gt;0,SUMIFS(Sheet2!$E:$E,Sheet2!$C:$C,$A183,Sheet2!$A:$A,O$2),"")</f>
        <v/>
      </c>
      <c r="P183" s="42" t="str">
        <f>IF(SUMIFS(Sheet2!$E:$E,Sheet2!$C:$C,$A183,Sheet2!$A:$A,P$2)&lt;&gt;0,SUMIFS(Sheet2!$E:$E,Sheet2!$C:$C,$A183,Sheet2!$A:$A,P$2),"")</f>
        <v/>
      </c>
      <c r="Q183" s="42" t="str">
        <f>IF(SUMIFS(Sheet2!$E:$E,Sheet2!$C:$C,$A183,Sheet2!$A:$A,Q$2)&lt;&gt;0,SUMIFS(Sheet2!$E:$E,Sheet2!$C:$C,$A183,Sheet2!$A:$A,Q$2),"")</f>
        <v/>
      </c>
      <c r="R183" s="42" t="str">
        <f>IF(SUMIFS(Sheet2!$E:$E,Sheet2!$C:$C,$A183,Sheet2!$A:$A,R$2)&lt;&gt;0,SUMIFS(Sheet2!$E:$E,Sheet2!$C:$C,$A183,Sheet2!$A:$A,R$2),"")</f>
        <v/>
      </c>
      <c r="S183" s="42" t="str">
        <f>IF(SUMIFS(Sheet2!$E:$E,Sheet2!$C:$C,$A183,Sheet2!$A:$A,S$2)&lt;&gt;0,SUMIFS(Sheet2!$E:$E,Sheet2!$C:$C,$A183,Sheet2!$A:$A,S$2),"")</f>
        <v/>
      </c>
      <c r="T183" s="42" t="str">
        <f>IF(SUMIFS(Sheet2!$E:$E,Sheet2!$C:$C,$A183,Sheet2!$A:$A,T$2)&lt;&gt;0,SUMIFS(Sheet2!$E:$E,Sheet2!$C:$C,$A183,Sheet2!$A:$A,T$2),"")</f>
        <v/>
      </c>
      <c r="U183" s="42" t="str">
        <f>IF(SUMIFS(Sheet2!$E:$E,Sheet2!$C:$C,$A183,Sheet2!$A:$A,U$2)&lt;&gt;0,SUMIFS(Sheet2!$E:$E,Sheet2!$C:$C,$A183,Sheet2!$A:$A,U$2),"")</f>
        <v/>
      </c>
      <c r="V183" s="42" t="str">
        <f>IF(SUMIFS(Sheet2!$E:$E,Sheet2!$C:$C,$A183,Sheet2!$A:$A,V$2)&lt;&gt;0,SUMIFS(Sheet2!$E:$E,Sheet2!$C:$C,$A183,Sheet2!$A:$A,V$2),"")</f>
        <v/>
      </c>
      <c r="W183" s="42" t="str">
        <f>IF(SUMIFS(Sheet2!$E:$E,Sheet2!$C:$C,$A183,Sheet2!$A:$A,W$2)&lt;&gt;0,SUMIFS(Sheet2!$E:$E,Sheet2!$C:$C,$A183,Sheet2!$A:$A,W$2),"")</f>
        <v/>
      </c>
      <c r="X183" s="42" t="str">
        <f>IF(SUMIFS(Sheet2!$E:$E,Sheet2!$C:$C,$A183,Sheet2!$A:$A,X$2)&lt;&gt;0,SUMIFS(Sheet2!$E:$E,Sheet2!$C:$C,$A183,Sheet2!$A:$A,X$2),"")</f>
        <v/>
      </c>
      <c r="Y183" s="42" t="str">
        <f>IF(SUMIFS(Sheet2!$E:$E,Sheet2!$C:$C,$A183,Sheet2!$A:$A,Y$2)&lt;&gt;0,SUMIFS(Sheet2!$E:$E,Sheet2!$C:$C,$A183,Sheet2!$A:$A,Y$2),"")</f>
        <v/>
      </c>
      <c r="Z183" s="42" t="str">
        <f>IF(SUMIFS(Sheet2!$E:$E,Sheet2!$C:$C,$A183,Sheet2!$A:$A,Z$2)&lt;&gt;0,SUMIFS(Sheet2!$E:$E,Sheet2!$C:$C,$A183,Sheet2!$A:$A,Z$2),"")</f>
        <v/>
      </c>
      <c r="AA183" s="42" t="str">
        <f>IF(SUMIFS(Sheet2!$E:$E,Sheet2!$C:$C,$A183,Sheet2!$A:$A,AA$2)&lt;&gt;0,SUMIFS(Sheet2!$E:$E,Sheet2!$C:$C,$A183,Sheet2!$A:$A,AA$2),"")</f>
        <v/>
      </c>
      <c r="AB183" s="42" t="str">
        <f>IF(SUMIFS(Sheet2!$E:$E,Sheet2!$C:$C,$A183,Sheet2!$A:$A,AB$2)&lt;&gt;0,SUMIFS(Sheet2!$E:$E,Sheet2!$C:$C,$A183,Sheet2!$A:$A,AB$2),"")</f>
        <v/>
      </c>
      <c r="AC183" s="42" t="str">
        <f>IF(SUMIFS(Sheet2!$E:$E,Sheet2!$C:$C,$A183,Sheet2!$A:$A,AC$2)&lt;&gt;0,SUMIFS(Sheet2!$E:$E,Sheet2!$C:$C,$A183,Sheet2!$A:$A,AC$2),"")</f>
        <v/>
      </c>
      <c r="AD183" s="42" t="str">
        <f>IF(SUMIFS(Sheet2!$E:$E,Sheet2!$C:$C,$A183,Sheet2!$A:$A,AD$2)&lt;&gt;0,SUMIFS(Sheet2!$E:$E,Sheet2!$C:$C,$A183,Sheet2!$A:$A,AD$2),"")</f>
        <v/>
      </c>
      <c r="AE183" s="42" t="str">
        <f>IF(SUMIFS(Sheet2!$E:$E,Sheet2!$C:$C,$A183,Sheet2!$A:$A,AE$2)&lt;&gt;0,SUMIFS(Sheet2!$E:$E,Sheet2!$C:$C,$A183,Sheet2!$A:$A,AE$2),"")</f>
        <v/>
      </c>
      <c r="AF183" s="42" t="str">
        <f>IF(SUMIFS(Sheet2!$E:$E,Sheet2!$C:$C,$A183,Sheet2!$A:$A,AF$2)&lt;&gt;0,SUMIFS(Sheet2!$E:$E,Sheet2!$C:$C,$A183,Sheet2!$A:$A,AF$2),"")</f>
        <v/>
      </c>
      <c r="AG183" s="42" t="str">
        <f>IF(SUMIFS(Sheet2!$E:$E,Sheet2!$C:$C,$A183,Sheet2!$A:$A,AG$2)&lt;&gt;0,SUMIFS(Sheet2!$E:$E,Sheet2!$C:$C,$A183,Sheet2!$A:$A,AG$2),"")</f>
        <v/>
      </c>
      <c r="AH183" s="43">
        <f>SUM(Table2[[#This Row],[1]:[31]])</f>
        <v>0</v>
      </c>
    </row>
    <row r="184" spans="1:34" ht="12.75" customHeight="1">
      <c r="A184" s="76" t="str">
        <f>DSSP!A183</f>
        <v>GC108</v>
      </c>
      <c r="B184" s="25" t="str">
        <f>DSSP!B183</f>
        <v>Mặt giả cổ mèo</v>
      </c>
      <c r="C184" s="42" t="str">
        <f>IF(SUMIFS(Sheet2!$E:$E,Sheet2!$C:$C,$A184,Sheet2!$A:$A,C$2)&lt;&gt;0,SUMIFS(Sheet2!$E:$E,Sheet2!$C:$C,$A184,Sheet2!$A:$A,C$2),"")</f>
        <v/>
      </c>
      <c r="D184" s="42" t="str">
        <f>IF(SUMIFS(Sheet2!$E:$E,Sheet2!$C:$C,$A184,Sheet2!$A:$A,D$2)&lt;&gt;0,SUMIFS(Sheet2!$E:$E,Sheet2!$C:$C,$A184,Sheet2!$A:$A,D$2),"")</f>
        <v/>
      </c>
      <c r="E184" s="42" t="str">
        <f>IF(SUMIFS(Sheet2!$E:$E,Sheet2!$C:$C,$A184,Sheet2!$A:$A,E$2)&lt;&gt;0,SUMIFS(Sheet2!$E:$E,Sheet2!$C:$C,$A184,Sheet2!$A:$A,E$2),"")</f>
        <v/>
      </c>
      <c r="F184" s="42" t="str">
        <f>IF(SUMIFS(Sheet2!$E:$E,Sheet2!$C:$C,$A184,Sheet2!$A:$A,F$2)&lt;&gt;0,SUMIFS(Sheet2!$E:$E,Sheet2!$C:$C,$A184,Sheet2!$A:$A,F$2),"")</f>
        <v/>
      </c>
      <c r="G184" s="42" t="str">
        <f>IF(SUMIFS(Sheet2!$E:$E,Sheet2!$C:$C,$A184,Sheet2!$A:$A,G$2)&lt;&gt;0,SUMIFS(Sheet2!$E:$E,Sheet2!$C:$C,$A184,Sheet2!$A:$A,G$2),"")</f>
        <v/>
      </c>
      <c r="H184" s="42" t="str">
        <f>IF(SUMIFS(Sheet2!$E:$E,Sheet2!$C:$C,$A184,Sheet2!$A:$A,H$2)&lt;&gt;0,SUMIFS(Sheet2!$E:$E,Sheet2!$C:$C,$A184,Sheet2!$A:$A,H$2),"")</f>
        <v/>
      </c>
      <c r="I184" s="42" t="str">
        <f>IF(SUMIFS(Sheet2!$E:$E,Sheet2!$C:$C,$A184,Sheet2!$A:$A,I$2)&lt;&gt;0,SUMIFS(Sheet2!$E:$E,Sheet2!$C:$C,$A184,Sheet2!$A:$A,I$2),"")</f>
        <v/>
      </c>
      <c r="J184" s="42" t="str">
        <f>IF(SUMIFS(Sheet2!$E:$E,Sheet2!$C:$C,$A184,Sheet2!$A:$A,J$2)&lt;&gt;0,SUMIFS(Sheet2!$E:$E,Sheet2!$C:$C,$A184,Sheet2!$A:$A,J$2),"")</f>
        <v/>
      </c>
      <c r="K184" s="42" t="str">
        <f>IF(SUMIFS(Sheet2!$E:$E,Sheet2!$C:$C,$A184,Sheet2!$A:$A,K$2)&lt;&gt;0,SUMIFS(Sheet2!$E:$E,Sheet2!$C:$C,$A184,Sheet2!$A:$A,K$2),"")</f>
        <v/>
      </c>
      <c r="L184" s="42" t="str">
        <f>IF(SUMIFS(Sheet2!$E:$E,Sheet2!$C:$C,$A184,Sheet2!$A:$A,L$2)&lt;&gt;0,SUMIFS(Sheet2!$E:$E,Sheet2!$C:$C,$A184,Sheet2!$A:$A,L$2),"")</f>
        <v/>
      </c>
      <c r="M184" s="42" t="str">
        <f>IF(SUMIFS(Sheet2!$E:$E,Sheet2!$C:$C,$A184,Sheet2!$A:$A,M$2)&lt;&gt;0,SUMIFS(Sheet2!$E:$E,Sheet2!$C:$C,$A184,Sheet2!$A:$A,M$2),"")</f>
        <v/>
      </c>
      <c r="N184" s="42" t="str">
        <f>IF(SUMIFS(Sheet2!$E:$E,Sheet2!$C:$C,$A184,Sheet2!$A:$A,N$2)&lt;&gt;0,SUMIFS(Sheet2!$E:$E,Sheet2!$C:$C,$A184,Sheet2!$A:$A,N$2),"")</f>
        <v/>
      </c>
      <c r="O184" s="42" t="str">
        <f>IF(SUMIFS(Sheet2!$E:$E,Sheet2!$C:$C,$A184,Sheet2!$A:$A,O$2)&lt;&gt;0,SUMIFS(Sheet2!$E:$E,Sheet2!$C:$C,$A184,Sheet2!$A:$A,O$2),"")</f>
        <v/>
      </c>
      <c r="P184" s="42" t="str">
        <f>IF(SUMIFS(Sheet2!$E:$E,Sheet2!$C:$C,$A184,Sheet2!$A:$A,P$2)&lt;&gt;0,SUMIFS(Sheet2!$E:$E,Sheet2!$C:$C,$A184,Sheet2!$A:$A,P$2),"")</f>
        <v/>
      </c>
      <c r="Q184" s="42" t="str">
        <f>IF(SUMIFS(Sheet2!$E:$E,Sheet2!$C:$C,$A184,Sheet2!$A:$A,Q$2)&lt;&gt;0,SUMIFS(Sheet2!$E:$E,Sheet2!$C:$C,$A184,Sheet2!$A:$A,Q$2),"")</f>
        <v/>
      </c>
      <c r="R184" s="42" t="str">
        <f>IF(SUMIFS(Sheet2!$E:$E,Sheet2!$C:$C,$A184,Sheet2!$A:$A,R$2)&lt;&gt;0,SUMIFS(Sheet2!$E:$E,Sheet2!$C:$C,$A184,Sheet2!$A:$A,R$2),"")</f>
        <v/>
      </c>
      <c r="S184" s="42" t="str">
        <f>IF(SUMIFS(Sheet2!$E:$E,Sheet2!$C:$C,$A184,Sheet2!$A:$A,S$2)&lt;&gt;0,SUMIFS(Sheet2!$E:$E,Sheet2!$C:$C,$A184,Sheet2!$A:$A,S$2),"")</f>
        <v/>
      </c>
      <c r="T184" s="42" t="str">
        <f>IF(SUMIFS(Sheet2!$E:$E,Sheet2!$C:$C,$A184,Sheet2!$A:$A,T$2)&lt;&gt;0,SUMIFS(Sheet2!$E:$E,Sheet2!$C:$C,$A184,Sheet2!$A:$A,T$2),"")</f>
        <v/>
      </c>
      <c r="U184" s="42" t="str">
        <f>IF(SUMIFS(Sheet2!$E:$E,Sheet2!$C:$C,$A184,Sheet2!$A:$A,U$2)&lt;&gt;0,SUMIFS(Sheet2!$E:$E,Sheet2!$C:$C,$A184,Sheet2!$A:$A,U$2),"")</f>
        <v/>
      </c>
      <c r="V184" s="42" t="str">
        <f>IF(SUMIFS(Sheet2!$E:$E,Sheet2!$C:$C,$A184,Sheet2!$A:$A,V$2)&lt;&gt;0,SUMIFS(Sheet2!$E:$E,Sheet2!$C:$C,$A184,Sheet2!$A:$A,V$2),"")</f>
        <v/>
      </c>
      <c r="W184" s="42" t="str">
        <f>IF(SUMIFS(Sheet2!$E:$E,Sheet2!$C:$C,$A184,Sheet2!$A:$A,W$2)&lt;&gt;0,SUMIFS(Sheet2!$E:$E,Sheet2!$C:$C,$A184,Sheet2!$A:$A,W$2),"")</f>
        <v/>
      </c>
      <c r="X184" s="42" t="str">
        <f>IF(SUMIFS(Sheet2!$E:$E,Sheet2!$C:$C,$A184,Sheet2!$A:$A,X$2)&lt;&gt;0,SUMIFS(Sheet2!$E:$E,Sheet2!$C:$C,$A184,Sheet2!$A:$A,X$2),"")</f>
        <v/>
      </c>
      <c r="Y184" s="42" t="str">
        <f>IF(SUMIFS(Sheet2!$E:$E,Sheet2!$C:$C,$A184,Sheet2!$A:$A,Y$2)&lt;&gt;0,SUMIFS(Sheet2!$E:$E,Sheet2!$C:$C,$A184,Sheet2!$A:$A,Y$2),"")</f>
        <v/>
      </c>
      <c r="Z184" s="42" t="str">
        <f>IF(SUMIFS(Sheet2!$E:$E,Sheet2!$C:$C,$A184,Sheet2!$A:$A,Z$2)&lt;&gt;0,SUMIFS(Sheet2!$E:$E,Sheet2!$C:$C,$A184,Sheet2!$A:$A,Z$2),"")</f>
        <v/>
      </c>
      <c r="AA184" s="42" t="str">
        <f>IF(SUMIFS(Sheet2!$E:$E,Sheet2!$C:$C,$A184,Sheet2!$A:$A,AA$2)&lt;&gt;0,SUMIFS(Sheet2!$E:$E,Sheet2!$C:$C,$A184,Sheet2!$A:$A,AA$2),"")</f>
        <v/>
      </c>
      <c r="AB184" s="42" t="str">
        <f>IF(SUMIFS(Sheet2!$E:$E,Sheet2!$C:$C,$A184,Sheet2!$A:$A,AB$2)&lt;&gt;0,SUMIFS(Sheet2!$E:$E,Sheet2!$C:$C,$A184,Sheet2!$A:$A,AB$2),"")</f>
        <v/>
      </c>
      <c r="AC184" s="42" t="str">
        <f>IF(SUMIFS(Sheet2!$E:$E,Sheet2!$C:$C,$A184,Sheet2!$A:$A,AC$2)&lt;&gt;0,SUMIFS(Sheet2!$E:$E,Sheet2!$C:$C,$A184,Sheet2!$A:$A,AC$2),"")</f>
        <v/>
      </c>
      <c r="AD184" s="42" t="str">
        <f>IF(SUMIFS(Sheet2!$E:$E,Sheet2!$C:$C,$A184,Sheet2!$A:$A,AD$2)&lt;&gt;0,SUMIFS(Sheet2!$E:$E,Sheet2!$C:$C,$A184,Sheet2!$A:$A,AD$2),"")</f>
        <v/>
      </c>
      <c r="AE184" s="42" t="str">
        <f>IF(SUMIFS(Sheet2!$E:$E,Sheet2!$C:$C,$A184,Sheet2!$A:$A,AE$2)&lt;&gt;0,SUMIFS(Sheet2!$E:$E,Sheet2!$C:$C,$A184,Sheet2!$A:$A,AE$2),"")</f>
        <v/>
      </c>
      <c r="AF184" s="42" t="str">
        <f>IF(SUMIFS(Sheet2!$E:$E,Sheet2!$C:$C,$A184,Sheet2!$A:$A,AF$2)&lt;&gt;0,SUMIFS(Sheet2!$E:$E,Sheet2!$C:$C,$A184,Sheet2!$A:$A,AF$2),"")</f>
        <v/>
      </c>
      <c r="AG184" s="42" t="str">
        <f>IF(SUMIFS(Sheet2!$E:$E,Sheet2!$C:$C,$A184,Sheet2!$A:$A,AG$2)&lt;&gt;0,SUMIFS(Sheet2!$E:$E,Sheet2!$C:$C,$A184,Sheet2!$A:$A,AG$2),"")</f>
        <v/>
      </c>
      <c r="AH184" s="43">
        <f>SUM(Table2[[#This Row],[1]:[31]])</f>
        <v>0</v>
      </c>
    </row>
    <row r="185" spans="1:34" ht="12.75" customHeight="1">
      <c r="A185" s="76" t="str">
        <f>DSSP!A184</f>
        <v>GC109</v>
      </c>
      <c r="B185" s="25" t="str">
        <f>DSSP!B184</f>
        <v>Đèn dầu thần</v>
      </c>
      <c r="C185" s="42" t="str">
        <f>IF(SUMIFS(Sheet2!$E:$E,Sheet2!$C:$C,$A185,Sheet2!$A:$A,C$2)&lt;&gt;0,SUMIFS(Sheet2!$E:$E,Sheet2!$C:$C,$A185,Sheet2!$A:$A,C$2),"")</f>
        <v/>
      </c>
      <c r="D185" s="42" t="str">
        <f>IF(SUMIFS(Sheet2!$E:$E,Sheet2!$C:$C,$A185,Sheet2!$A:$A,D$2)&lt;&gt;0,SUMIFS(Sheet2!$E:$E,Sheet2!$C:$C,$A185,Sheet2!$A:$A,D$2),"")</f>
        <v/>
      </c>
      <c r="E185" s="42" t="str">
        <f>IF(SUMIFS(Sheet2!$E:$E,Sheet2!$C:$C,$A185,Sheet2!$A:$A,E$2)&lt;&gt;0,SUMIFS(Sheet2!$E:$E,Sheet2!$C:$C,$A185,Sheet2!$A:$A,E$2),"")</f>
        <v/>
      </c>
      <c r="F185" s="42" t="str">
        <f>IF(SUMIFS(Sheet2!$E:$E,Sheet2!$C:$C,$A185,Sheet2!$A:$A,F$2)&lt;&gt;0,SUMIFS(Sheet2!$E:$E,Sheet2!$C:$C,$A185,Sheet2!$A:$A,F$2),"")</f>
        <v/>
      </c>
      <c r="G185" s="42" t="str">
        <f>IF(SUMIFS(Sheet2!$E:$E,Sheet2!$C:$C,$A185,Sheet2!$A:$A,G$2)&lt;&gt;0,SUMIFS(Sheet2!$E:$E,Sheet2!$C:$C,$A185,Sheet2!$A:$A,G$2),"")</f>
        <v/>
      </c>
      <c r="H185" s="42" t="str">
        <f>IF(SUMIFS(Sheet2!$E:$E,Sheet2!$C:$C,$A185,Sheet2!$A:$A,H$2)&lt;&gt;0,SUMIFS(Sheet2!$E:$E,Sheet2!$C:$C,$A185,Sheet2!$A:$A,H$2),"")</f>
        <v/>
      </c>
      <c r="I185" s="42" t="str">
        <f>IF(SUMIFS(Sheet2!$E:$E,Sheet2!$C:$C,$A185,Sheet2!$A:$A,I$2)&lt;&gt;0,SUMIFS(Sheet2!$E:$E,Sheet2!$C:$C,$A185,Sheet2!$A:$A,I$2),"")</f>
        <v/>
      </c>
      <c r="J185" s="42" t="str">
        <f>IF(SUMIFS(Sheet2!$E:$E,Sheet2!$C:$C,$A185,Sheet2!$A:$A,J$2)&lt;&gt;0,SUMIFS(Sheet2!$E:$E,Sheet2!$C:$C,$A185,Sheet2!$A:$A,J$2),"")</f>
        <v/>
      </c>
      <c r="K185" s="42" t="str">
        <f>IF(SUMIFS(Sheet2!$E:$E,Sheet2!$C:$C,$A185,Sheet2!$A:$A,K$2)&lt;&gt;0,SUMIFS(Sheet2!$E:$E,Sheet2!$C:$C,$A185,Sheet2!$A:$A,K$2),"")</f>
        <v/>
      </c>
      <c r="L185" s="42" t="str">
        <f>IF(SUMIFS(Sheet2!$E:$E,Sheet2!$C:$C,$A185,Sheet2!$A:$A,L$2)&lt;&gt;0,SUMIFS(Sheet2!$E:$E,Sheet2!$C:$C,$A185,Sheet2!$A:$A,L$2),"")</f>
        <v/>
      </c>
      <c r="M185" s="42" t="str">
        <f>IF(SUMIFS(Sheet2!$E:$E,Sheet2!$C:$C,$A185,Sheet2!$A:$A,M$2)&lt;&gt;0,SUMIFS(Sheet2!$E:$E,Sheet2!$C:$C,$A185,Sheet2!$A:$A,M$2),"")</f>
        <v/>
      </c>
      <c r="N185" s="42" t="str">
        <f>IF(SUMIFS(Sheet2!$E:$E,Sheet2!$C:$C,$A185,Sheet2!$A:$A,N$2)&lt;&gt;0,SUMIFS(Sheet2!$E:$E,Sheet2!$C:$C,$A185,Sheet2!$A:$A,N$2),"")</f>
        <v/>
      </c>
      <c r="O185" s="42" t="str">
        <f>IF(SUMIFS(Sheet2!$E:$E,Sheet2!$C:$C,$A185,Sheet2!$A:$A,O$2)&lt;&gt;0,SUMIFS(Sheet2!$E:$E,Sheet2!$C:$C,$A185,Sheet2!$A:$A,O$2),"")</f>
        <v/>
      </c>
      <c r="P185" s="42" t="str">
        <f>IF(SUMIFS(Sheet2!$E:$E,Sheet2!$C:$C,$A185,Sheet2!$A:$A,P$2)&lt;&gt;0,SUMIFS(Sheet2!$E:$E,Sheet2!$C:$C,$A185,Sheet2!$A:$A,P$2),"")</f>
        <v/>
      </c>
      <c r="Q185" s="42" t="str">
        <f>IF(SUMIFS(Sheet2!$E:$E,Sheet2!$C:$C,$A185,Sheet2!$A:$A,Q$2)&lt;&gt;0,SUMIFS(Sheet2!$E:$E,Sheet2!$C:$C,$A185,Sheet2!$A:$A,Q$2),"")</f>
        <v/>
      </c>
      <c r="R185" s="42" t="str">
        <f>IF(SUMIFS(Sheet2!$E:$E,Sheet2!$C:$C,$A185,Sheet2!$A:$A,R$2)&lt;&gt;0,SUMIFS(Sheet2!$E:$E,Sheet2!$C:$C,$A185,Sheet2!$A:$A,R$2),"")</f>
        <v/>
      </c>
      <c r="S185" s="42" t="str">
        <f>IF(SUMIFS(Sheet2!$E:$E,Sheet2!$C:$C,$A185,Sheet2!$A:$A,S$2)&lt;&gt;0,SUMIFS(Sheet2!$E:$E,Sheet2!$C:$C,$A185,Sheet2!$A:$A,S$2),"")</f>
        <v/>
      </c>
      <c r="T185" s="42" t="str">
        <f>IF(SUMIFS(Sheet2!$E:$E,Sheet2!$C:$C,$A185,Sheet2!$A:$A,T$2)&lt;&gt;0,SUMIFS(Sheet2!$E:$E,Sheet2!$C:$C,$A185,Sheet2!$A:$A,T$2),"")</f>
        <v/>
      </c>
      <c r="U185" s="42" t="str">
        <f>IF(SUMIFS(Sheet2!$E:$E,Sheet2!$C:$C,$A185,Sheet2!$A:$A,U$2)&lt;&gt;0,SUMIFS(Sheet2!$E:$E,Sheet2!$C:$C,$A185,Sheet2!$A:$A,U$2),"")</f>
        <v/>
      </c>
      <c r="V185" s="42" t="str">
        <f>IF(SUMIFS(Sheet2!$E:$E,Sheet2!$C:$C,$A185,Sheet2!$A:$A,V$2)&lt;&gt;0,SUMIFS(Sheet2!$E:$E,Sheet2!$C:$C,$A185,Sheet2!$A:$A,V$2),"")</f>
        <v/>
      </c>
      <c r="W185" s="42" t="str">
        <f>IF(SUMIFS(Sheet2!$E:$E,Sheet2!$C:$C,$A185,Sheet2!$A:$A,W$2)&lt;&gt;0,SUMIFS(Sheet2!$E:$E,Sheet2!$C:$C,$A185,Sheet2!$A:$A,W$2),"")</f>
        <v/>
      </c>
      <c r="X185" s="42" t="str">
        <f>IF(SUMIFS(Sheet2!$E:$E,Sheet2!$C:$C,$A185,Sheet2!$A:$A,X$2)&lt;&gt;0,SUMIFS(Sheet2!$E:$E,Sheet2!$C:$C,$A185,Sheet2!$A:$A,X$2),"")</f>
        <v/>
      </c>
      <c r="Y185" s="42" t="str">
        <f>IF(SUMIFS(Sheet2!$E:$E,Sheet2!$C:$C,$A185,Sheet2!$A:$A,Y$2)&lt;&gt;0,SUMIFS(Sheet2!$E:$E,Sheet2!$C:$C,$A185,Sheet2!$A:$A,Y$2),"")</f>
        <v/>
      </c>
      <c r="Z185" s="42" t="str">
        <f>IF(SUMIFS(Sheet2!$E:$E,Sheet2!$C:$C,$A185,Sheet2!$A:$A,Z$2)&lt;&gt;0,SUMIFS(Sheet2!$E:$E,Sheet2!$C:$C,$A185,Sheet2!$A:$A,Z$2),"")</f>
        <v/>
      </c>
      <c r="AA185" s="42" t="str">
        <f>IF(SUMIFS(Sheet2!$E:$E,Sheet2!$C:$C,$A185,Sheet2!$A:$A,AA$2)&lt;&gt;0,SUMIFS(Sheet2!$E:$E,Sheet2!$C:$C,$A185,Sheet2!$A:$A,AA$2),"")</f>
        <v/>
      </c>
      <c r="AB185" s="42" t="str">
        <f>IF(SUMIFS(Sheet2!$E:$E,Sheet2!$C:$C,$A185,Sheet2!$A:$A,AB$2)&lt;&gt;0,SUMIFS(Sheet2!$E:$E,Sheet2!$C:$C,$A185,Sheet2!$A:$A,AB$2),"")</f>
        <v/>
      </c>
      <c r="AC185" s="42" t="str">
        <f>IF(SUMIFS(Sheet2!$E:$E,Sheet2!$C:$C,$A185,Sheet2!$A:$A,AC$2)&lt;&gt;0,SUMIFS(Sheet2!$E:$E,Sheet2!$C:$C,$A185,Sheet2!$A:$A,AC$2),"")</f>
        <v/>
      </c>
      <c r="AD185" s="42" t="str">
        <f>IF(SUMIFS(Sheet2!$E:$E,Sheet2!$C:$C,$A185,Sheet2!$A:$A,AD$2)&lt;&gt;0,SUMIFS(Sheet2!$E:$E,Sheet2!$C:$C,$A185,Sheet2!$A:$A,AD$2),"")</f>
        <v/>
      </c>
      <c r="AE185" s="42" t="str">
        <f>IF(SUMIFS(Sheet2!$E:$E,Sheet2!$C:$C,$A185,Sheet2!$A:$A,AE$2)&lt;&gt;0,SUMIFS(Sheet2!$E:$E,Sheet2!$C:$C,$A185,Sheet2!$A:$A,AE$2),"")</f>
        <v/>
      </c>
      <c r="AF185" s="42" t="str">
        <f>IF(SUMIFS(Sheet2!$E:$E,Sheet2!$C:$C,$A185,Sheet2!$A:$A,AF$2)&lt;&gt;0,SUMIFS(Sheet2!$E:$E,Sheet2!$C:$C,$A185,Sheet2!$A:$A,AF$2),"")</f>
        <v/>
      </c>
      <c r="AG185" s="42" t="str">
        <f>IF(SUMIFS(Sheet2!$E:$E,Sheet2!$C:$C,$A185,Sheet2!$A:$A,AG$2)&lt;&gt;0,SUMIFS(Sheet2!$E:$E,Sheet2!$C:$C,$A185,Sheet2!$A:$A,AG$2),"")</f>
        <v/>
      </c>
      <c r="AH185" s="43">
        <f>SUM(Table2[[#This Row],[1]:[31]])</f>
        <v>0</v>
      </c>
    </row>
    <row r="186" spans="1:34" ht="12.75" customHeight="1">
      <c r="A186" s="76" t="str">
        <f>DSSP!A185</f>
        <v>GC110</v>
      </c>
      <c r="B186" s="25" t="str">
        <f>DSSP!B185</f>
        <v>Máy ảnh cổ</v>
      </c>
      <c r="C186" s="42" t="str">
        <f>IF(SUMIFS(Sheet2!$E:$E,Sheet2!$C:$C,$A186,Sheet2!$A:$A,C$2)&lt;&gt;0,SUMIFS(Sheet2!$E:$E,Sheet2!$C:$C,$A186,Sheet2!$A:$A,C$2),"")</f>
        <v/>
      </c>
      <c r="D186" s="42" t="str">
        <f>IF(SUMIFS(Sheet2!$E:$E,Sheet2!$C:$C,$A186,Sheet2!$A:$A,D$2)&lt;&gt;0,SUMIFS(Sheet2!$E:$E,Sheet2!$C:$C,$A186,Sheet2!$A:$A,D$2),"")</f>
        <v/>
      </c>
      <c r="E186" s="42" t="str">
        <f>IF(SUMIFS(Sheet2!$E:$E,Sheet2!$C:$C,$A186,Sheet2!$A:$A,E$2)&lt;&gt;0,SUMIFS(Sheet2!$E:$E,Sheet2!$C:$C,$A186,Sheet2!$A:$A,E$2),"")</f>
        <v/>
      </c>
      <c r="F186" s="42" t="str">
        <f>IF(SUMIFS(Sheet2!$E:$E,Sheet2!$C:$C,$A186,Sheet2!$A:$A,F$2)&lt;&gt;0,SUMIFS(Sheet2!$E:$E,Sheet2!$C:$C,$A186,Sheet2!$A:$A,F$2),"")</f>
        <v/>
      </c>
      <c r="G186" s="42" t="str">
        <f>IF(SUMIFS(Sheet2!$E:$E,Sheet2!$C:$C,$A186,Sheet2!$A:$A,G$2)&lt;&gt;0,SUMIFS(Sheet2!$E:$E,Sheet2!$C:$C,$A186,Sheet2!$A:$A,G$2),"")</f>
        <v/>
      </c>
      <c r="H186" s="42" t="str">
        <f>IF(SUMIFS(Sheet2!$E:$E,Sheet2!$C:$C,$A186,Sheet2!$A:$A,H$2)&lt;&gt;0,SUMIFS(Sheet2!$E:$E,Sheet2!$C:$C,$A186,Sheet2!$A:$A,H$2),"")</f>
        <v/>
      </c>
      <c r="I186" s="42" t="str">
        <f>IF(SUMIFS(Sheet2!$E:$E,Sheet2!$C:$C,$A186,Sheet2!$A:$A,I$2)&lt;&gt;0,SUMIFS(Sheet2!$E:$E,Sheet2!$C:$C,$A186,Sheet2!$A:$A,I$2),"")</f>
        <v/>
      </c>
      <c r="J186" s="42" t="str">
        <f>IF(SUMIFS(Sheet2!$E:$E,Sheet2!$C:$C,$A186,Sheet2!$A:$A,J$2)&lt;&gt;0,SUMIFS(Sheet2!$E:$E,Sheet2!$C:$C,$A186,Sheet2!$A:$A,J$2),"")</f>
        <v/>
      </c>
      <c r="K186" s="42" t="str">
        <f>IF(SUMIFS(Sheet2!$E:$E,Sheet2!$C:$C,$A186,Sheet2!$A:$A,K$2)&lt;&gt;0,SUMIFS(Sheet2!$E:$E,Sheet2!$C:$C,$A186,Sheet2!$A:$A,K$2),"")</f>
        <v/>
      </c>
      <c r="L186" s="42" t="str">
        <f>IF(SUMIFS(Sheet2!$E:$E,Sheet2!$C:$C,$A186,Sheet2!$A:$A,L$2)&lt;&gt;0,SUMIFS(Sheet2!$E:$E,Sheet2!$C:$C,$A186,Sheet2!$A:$A,L$2),"")</f>
        <v/>
      </c>
      <c r="M186" s="42" t="str">
        <f>IF(SUMIFS(Sheet2!$E:$E,Sheet2!$C:$C,$A186,Sheet2!$A:$A,M$2)&lt;&gt;0,SUMIFS(Sheet2!$E:$E,Sheet2!$C:$C,$A186,Sheet2!$A:$A,M$2),"")</f>
        <v/>
      </c>
      <c r="N186" s="42" t="str">
        <f>IF(SUMIFS(Sheet2!$E:$E,Sheet2!$C:$C,$A186,Sheet2!$A:$A,N$2)&lt;&gt;0,SUMIFS(Sheet2!$E:$E,Sheet2!$C:$C,$A186,Sheet2!$A:$A,N$2),"")</f>
        <v/>
      </c>
      <c r="O186" s="42" t="str">
        <f>IF(SUMIFS(Sheet2!$E:$E,Sheet2!$C:$C,$A186,Sheet2!$A:$A,O$2)&lt;&gt;0,SUMIFS(Sheet2!$E:$E,Sheet2!$C:$C,$A186,Sheet2!$A:$A,O$2),"")</f>
        <v/>
      </c>
      <c r="P186" s="42" t="str">
        <f>IF(SUMIFS(Sheet2!$E:$E,Sheet2!$C:$C,$A186,Sheet2!$A:$A,P$2)&lt;&gt;0,SUMIFS(Sheet2!$E:$E,Sheet2!$C:$C,$A186,Sheet2!$A:$A,P$2),"")</f>
        <v/>
      </c>
      <c r="Q186" s="42" t="str">
        <f>IF(SUMIFS(Sheet2!$E:$E,Sheet2!$C:$C,$A186,Sheet2!$A:$A,Q$2)&lt;&gt;0,SUMIFS(Sheet2!$E:$E,Sheet2!$C:$C,$A186,Sheet2!$A:$A,Q$2),"")</f>
        <v/>
      </c>
      <c r="R186" s="42" t="str">
        <f>IF(SUMIFS(Sheet2!$E:$E,Sheet2!$C:$C,$A186,Sheet2!$A:$A,R$2)&lt;&gt;0,SUMIFS(Sheet2!$E:$E,Sheet2!$C:$C,$A186,Sheet2!$A:$A,R$2),"")</f>
        <v/>
      </c>
      <c r="S186" s="42" t="str">
        <f>IF(SUMIFS(Sheet2!$E:$E,Sheet2!$C:$C,$A186,Sheet2!$A:$A,S$2)&lt;&gt;0,SUMIFS(Sheet2!$E:$E,Sheet2!$C:$C,$A186,Sheet2!$A:$A,S$2),"")</f>
        <v/>
      </c>
      <c r="T186" s="42" t="str">
        <f>IF(SUMIFS(Sheet2!$E:$E,Sheet2!$C:$C,$A186,Sheet2!$A:$A,T$2)&lt;&gt;0,SUMIFS(Sheet2!$E:$E,Sheet2!$C:$C,$A186,Sheet2!$A:$A,T$2),"")</f>
        <v/>
      </c>
      <c r="U186" s="42" t="str">
        <f>IF(SUMIFS(Sheet2!$E:$E,Sheet2!$C:$C,$A186,Sheet2!$A:$A,U$2)&lt;&gt;0,SUMIFS(Sheet2!$E:$E,Sheet2!$C:$C,$A186,Sheet2!$A:$A,U$2),"")</f>
        <v/>
      </c>
      <c r="V186" s="42" t="str">
        <f>IF(SUMIFS(Sheet2!$E:$E,Sheet2!$C:$C,$A186,Sheet2!$A:$A,V$2)&lt;&gt;0,SUMIFS(Sheet2!$E:$E,Sheet2!$C:$C,$A186,Sheet2!$A:$A,V$2),"")</f>
        <v/>
      </c>
      <c r="W186" s="42" t="str">
        <f>IF(SUMIFS(Sheet2!$E:$E,Sheet2!$C:$C,$A186,Sheet2!$A:$A,W$2)&lt;&gt;0,SUMIFS(Sheet2!$E:$E,Sheet2!$C:$C,$A186,Sheet2!$A:$A,W$2),"")</f>
        <v/>
      </c>
      <c r="X186" s="42" t="str">
        <f>IF(SUMIFS(Sheet2!$E:$E,Sheet2!$C:$C,$A186,Sheet2!$A:$A,X$2)&lt;&gt;0,SUMIFS(Sheet2!$E:$E,Sheet2!$C:$C,$A186,Sheet2!$A:$A,X$2),"")</f>
        <v/>
      </c>
      <c r="Y186" s="42" t="str">
        <f>IF(SUMIFS(Sheet2!$E:$E,Sheet2!$C:$C,$A186,Sheet2!$A:$A,Y$2)&lt;&gt;0,SUMIFS(Sheet2!$E:$E,Sheet2!$C:$C,$A186,Sheet2!$A:$A,Y$2),"")</f>
        <v/>
      </c>
      <c r="Z186" s="42" t="str">
        <f>IF(SUMIFS(Sheet2!$E:$E,Sheet2!$C:$C,$A186,Sheet2!$A:$A,Z$2)&lt;&gt;0,SUMIFS(Sheet2!$E:$E,Sheet2!$C:$C,$A186,Sheet2!$A:$A,Z$2),"")</f>
        <v/>
      </c>
      <c r="AA186" s="42" t="str">
        <f>IF(SUMIFS(Sheet2!$E:$E,Sheet2!$C:$C,$A186,Sheet2!$A:$A,AA$2)&lt;&gt;0,SUMIFS(Sheet2!$E:$E,Sheet2!$C:$C,$A186,Sheet2!$A:$A,AA$2),"")</f>
        <v/>
      </c>
      <c r="AB186" s="42" t="str">
        <f>IF(SUMIFS(Sheet2!$E:$E,Sheet2!$C:$C,$A186,Sheet2!$A:$A,AB$2)&lt;&gt;0,SUMIFS(Sheet2!$E:$E,Sheet2!$C:$C,$A186,Sheet2!$A:$A,AB$2),"")</f>
        <v/>
      </c>
      <c r="AC186" s="42" t="str">
        <f>IF(SUMIFS(Sheet2!$E:$E,Sheet2!$C:$C,$A186,Sheet2!$A:$A,AC$2)&lt;&gt;0,SUMIFS(Sheet2!$E:$E,Sheet2!$C:$C,$A186,Sheet2!$A:$A,AC$2),"")</f>
        <v/>
      </c>
      <c r="AD186" s="42" t="str">
        <f>IF(SUMIFS(Sheet2!$E:$E,Sheet2!$C:$C,$A186,Sheet2!$A:$A,AD$2)&lt;&gt;0,SUMIFS(Sheet2!$E:$E,Sheet2!$C:$C,$A186,Sheet2!$A:$A,AD$2),"")</f>
        <v/>
      </c>
      <c r="AE186" s="42" t="str">
        <f>IF(SUMIFS(Sheet2!$E:$E,Sheet2!$C:$C,$A186,Sheet2!$A:$A,AE$2)&lt;&gt;0,SUMIFS(Sheet2!$E:$E,Sheet2!$C:$C,$A186,Sheet2!$A:$A,AE$2),"")</f>
        <v/>
      </c>
      <c r="AF186" s="42" t="str">
        <f>IF(SUMIFS(Sheet2!$E:$E,Sheet2!$C:$C,$A186,Sheet2!$A:$A,AF$2)&lt;&gt;0,SUMIFS(Sheet2!$E:$E,Sheet2!$C:$C,$A186,Sheet2!$A:$A,AF$2),"")</f>
        <v/>
      </c>
      <c r="AG186" s="42" t="str">
        <f>IF(SUMIFS(Sheet2!$E:$E,Sheet2!$C:$C,$A186,Sheet2!$A:$A,AG$2)&lt;&gt;0,SUMIFS(Sheet2!$E:$E,Sheet2!$C:$C,$A186,Sheet2!$A:$A,AG$2),"")</f>
        <v/>
      </c>
      <c r="AH186" s="43">
        <f>SUM(Table2[[#This Row],[1]:[31]])</f>
        <v>0</v>
      </c>
    </row>
    <row r="187" spans="1:34" ht="12.75" customHeight="1">
      <c r="A187" s="76" t="str">
        <f>DSSP!A186</f>
        <v>GC111</v>
      </c>
      <c r="B187" s="25" t="str">
        <f>DSSP!B186</f>
        <v>Máy ảnh hiện đại</v>
      </c>
      <c r="C187" s="42" t="str">
        <f>IF(SUMIFS(Sheet2!$E:$E,Sheet2!$C:$C,$A187,Sheet2!$A:$A,C$2)&lt;&gt;0,SUMIFS(Sheet2!$E:$E,Sheet2!$C:$C,$A187,Sheet2!$A:$A,C$2),"")</f>
        <v/>
      </c>
      <c r="D187" s="42" t="str">
        <f>IF(SUMIFS(Sheet2!$E:$E,Sheet2!$C:$C,$A187,Sheet2!$A:$A,D$2)&lt;&gt;0,SUMIFS(Sheet2!$E:$E,Sheet2!$C:$C,$A187,Sheet2!$A:$A,D$2),"")</f>
        <v/>
      </c>
      <c r="E187" s="42" t="str">
        <f>IF(SUMIFS(Sheet2!$E:$E,Sheet2!$C:$C,$A187,Sheet2!$A:$A,E$2)&lt;&gt;0,SUMIFS(Sheet2!$E:$E,Sheet2!$C:$C,$A187,Sheet2!$A:$A,E$2),"")</f>
        <v/>
      </c>
      <c r="F187" s="42" t="str">
        <f>IF(SUMIFS(Sheet2!$E:$E,Sheet2!$C:$C,$A187,Sheet2!$A:$A,F$2)&lt;&gt;0,SUMIFS(Sheet2!$E:$E,Sheet2!$C:$C,$A187,Sheet2!$A:$A,F$2),"")</f>
        <v/>
      </c>
      <c r="G187" s="42" t="str">
        <f>IF(SUMIFS(Sheet2!$E:$E,Sheet2!$C:$C,$A187,Sheet2!$A:$A,G$2)&lt;&gt;0,SUMIFS(Sheet2!$E:$E,Sheet2!$C:$C,$A187,Sheet2!$A:$A,G$2),"")</f>
        <v/>
      </c>
      <c r="H187" s="42" t="str">
        <f>IF(SUMIFS(Sheet2!$E:$E,Sheet2!$C:$C,$A187,Sheet2!$A:$A,H$2)&lt;&gt;0,SUMIFS(Sheet2!$E:$E,Sheet2!$C:$C,$A187,Sheet2!$A:$A,H$2),"")</f>
        <v/>
      </c>
      <c r="I187" s="42" t="str">
        <f>IF(SUMIFS(Sheet2!$E:$E,Sheet2!$C:$C,$A187,Sheet2!$A:$A,I$2)&lt;&gt;0,SUMIFS(Sheet2!$E:$E,Sheet2!$C:$C,$A187,Sheet2!$A:$A,I$2),"")</f>
        <v/>
      </c>
      <c r="J187" s="42" t="str">
        <f>IF(SUMIFS(Sheet2!$E:$E,Sheet2!$C:$C,$A187,Sheet2!$A:$A,J$2)&lt;&gt;0,SUMIFS(Sheet2!$E:$E,Sheet2!$C:$C,$A187,Sheet2!$A:$A,J$2),"")</f>
        <v/>
      </c>
      <c r="K187" s="42" t="str">
        <f>IF(SUMIFS(Sheet2!$E:$E,Sheet2!$C:$C,$A187,Sheet2!$A:$A,K$2)&lt;&gt;0,SUMIFS(Sheet2!$E:$E,Sheet2!$C:$C,$A187,Sheet2!$A:$A,K$2),"")</f>
        <v/>
      </c>
      <c r="L187" s="42" t="str">
        <f>IF(SUMIFS(Sheet2!$E:$E,Sheet2!$C:$C,$A187,Sheet2!$A:$A,L$2)&lt;&gt;0,SUMIFS(Sheet2!$E:$E,Sheet2!$C:$C,$A187,Sheet2!$A:$A,L$2),"")</f>
        <v/>
      </c>
      <c r="M187" s="42" t="str">
        <f>IF(SUMIFS(Sheet2!$E:$E,Sheet2!$C:$C,$A187,Sheet2!$A:$A,M$2)&lt;&gt;0,SUMIFS(Sheet2!$E:$E,Sheet2!$C:$C,$A187,Sheet2!$A:$A,M$2),"")</f>
        <v/>
      </c>
      <c r="N187" s="42" t="str">
        <f>IF(SUMIFS(Sheet2!$E:$E,Sheet2!$C:$C,$A187,Sheet2!$A:$A,N$2)&lt;&gt;0,SUMIFS(Sheet2!$E:$E,Sheet2!$C:$C,$A187,Sheet2!$A:$A,N$2),"")</f>
        <v/>
      </c>
      <c r="O187" s="42" t="str">
        <f>IF(SUMIFS(Sheet2!$E:$E,Sheet2!$C:$C,$A187,Sheet2!$A:$A,O$2)&lt;&gt;0,SUMIFS(Sheet2!$E:$E,Sheet2!$C:$C,$A187,Sheet2!$A:$A,O$2),"")</f>
        <v/>
      </c>
      <c r="P187" s="42" t="str">
        <f>IF(SUMIFS(Sheet2!$E:$E,Sheet2!$C:$C,$A187,Sheet2!$A:$A,P$2)&lt;&gt;0,SUMIFS(Sheet2!$E:$E,Sheet2!$C:$C,$A187,Sheet2!$A:$A,P$2),"")</f>
        <v/>
      </c>
      <c r="Q187" s="42" t="str">
        <f>IF(SUMIFS(Sheet2!$E:$E,Sheet2!$C:$C,$A187,Sheet2!$A:$A,Q$2)&lt;&gt;0,SUMIFS(Sheet2!$E:$E,Sheet2!$C:$C,$A187,Sheet2!$A:$A,Q$2),"")</f>
        <v/>
      </c>
      <c r="R187" s="42" t="str">
        <f>IF(SUMIFS(Sheet2!$E:$E,Sheet2!$C:$C,$A187,Sheet2!$A:$A,R$2)&lt;&gt;0,SUMIFS(Sheet2!$E:$E,Sheet2!$C:$C,$A187,Sheet2!$A:$A,R$2),"")</f>
        <v/>
      </c>
      <c r="S187" s="42" t="str">
        <f>IF(SUMIFS(Sheet2!$E:$E,Sheet2!$C:$C,$A187,Sheet2!$A:$A,S$2)&lt;&gt;0,SUMIFS(Sheet2!$E:$E,Sheet2!$C:$C,$A187,Sheet2!$A:$A,S$2),"")</f>
        <v/>
      </c>
      <c r="T187" s="42" t="str">
        <f>IF(SUMIFS(Sheet2!$E:$E,Sheet2!$C:$C,$A187,Sheet2!$A:$A,T$2)&lt;&gt;0,SUMIFS(Sheet2!$E:$E,Sheet2!$C:$C,$A187,Sheet2!$A:$A,T$2),"")</f>
        <v/>
      </c>
      <c r="U187" s="42" t="str">
        <f>IF(SUMIFS(Sheet2!$E:$E,Sheet2!$C:$C,$A187,Sheet2!$A:$A,U$2)&lt;&gt;0,SUMIFS(Sheet2!$E:$E,Sheet2!$C:$C,$A187,Sheet2!$A:$A,U$2),"")</f>
        <v/>
      </c>
      <c r="V187" s="42" t="str">
        <f>IF(SUMIFS(Sheet2!$E:$E,Sheet2!$C:$C,$A187,Sheet2!$A:$A,V$2)&lt;&gt;0,SUMIFS(Sheet2!$E:$E,Sheet2!$C:$C,$A187,Sheet2!$A:$A,V$2),"")</f>
        <v/>
      </c>
      <c r="W187" s="42" t="str">
        <f>IF(SUMIFS(Sheet2!$E:$E,Sheet2!$C:$C,$A187,Sheet2!$A:$A,W$2)&lt;&gt;0,SUMIFS(Sheet2!$E:$E,Sheet2!$C:$C,$A187,Sheet2!$A:$A,W$2),"")</f>
        <v/>
      </c>
      <c r="X187" s="42" t="str">
        <f>IF(SUMIFS(Sheet2!$E:$E,Sheet2!$C:$C,$A187,Sheet2!$A:$A,X$2)&lt;&gt;0,SUMIFS(Sheet2!$E:$E,Sheet2!$C:$C,$A187,Sheet2!$A:$A,X$2),"")</f>
        <v/>
      </c>
      <c r="Y187" s="42" t="str">
        <f>IF(SUMIFS(Sheet2!$E:$E,Sheet2!$C:$C,$A187,Sheet2!$A:$A,Y$2)&lt;&gt;0,SUMIFS(Sheet2!$E:$E,Sheet2!$C:$C,$A187,Sheet2!$A:$A,Y$2),"")</f>
        <v/>
      </c>
      <c r="Z187" s="42" t="str">
        <f>IF(SUMIFS(Sheet2!$E:$E,Sheet2!$C:$C,$A187,Sheet2!$A:$A,Z$2)&lt;&gt;0,SUMIFS(Sheet2!$E:$E,Sheet2!$C:$C,$A187,Sheet2!$A:$A,Z$2),"")</f>
        <v/>
      </c>
      <c r="AA187" s="42" t="str">
        <f>IF(SUMIFS(Sheet2!$E:$E,Sheet2!$C:$C,$A187,Sheet2!$A:$A,AA$2)&lt;&gt;0,SUMIFS(Sheet2!$E:$E,Sheet2!$C:$C,$A187,Sheet2!$A:$A,AA$2),"")</f>
        <v/>
      </c>
      <c r="AB187" s="42" t="str">
        <f>IF(SUMIFS(Sheet2!$E:$E,Sheet2!$C:$C,$A187,Sheet2!$A:$A,AB$2)&lt;&gt;0,SUMIFS(Sheet2!$E:$E,Sheet2!$C:$C,$A187,Sheet2!$A:$A,AB$2),"")</f>
        <v/>
      </c>
      <c r="AC187" s="42" t="str">
        <f>IF(SUMIFS(Sheet2!$E:$E,Sheet2!$C:$C,$A187,Sheet2!$A:$A,AC$2)&lt;&gt;0,SUMIFS(Sheet2!$E:$E,Sheet2!$C:$C,$A187,Sheet2!$A:$A,AC$2),"")</f>
        <v/>
      </c>
      <c r="AD187" s="42" t="str">
        <f>IF(SUMIFS(Sheet2!$E:$E,Sheet2!$C:$C,$A187,Sheet2!$A:$A,AD$2)&lt;&gt;0,SUMIFS(Sheet2!$E:$E,Sheet2!$C:$C,$A187,Sheet2!$A:$A,AD$2),"")</f>
        <v/>
      </c>
      <c r="AE187" s="42" t="str">
        <f>IF(SUMIFS(Sheet2!$E:$E,Sheet2!$C:$C,$A187,Sheet2!$A:$A,AE$2)&lt;&gt;0,SUMIFS(Sheet2!$E:$E,Sheet2!$C:$C,$A187,Sheet2!$A:$A,AE$2),"")</f>
        <v/>
      </c>
      <c r="AF187" s="42" t="str">
        <f>IF(SUMIFS(Sheet2!$E:$E,Sheet2!$C:$C,$A187,Sheet2!$A:$A,AF$2)&lt;&gt;0,SUMIFS(Sheet2!$E:$E,Sheet2!$C:$C,$A187,Sheet2!$A:$A,AF$2),"")</f>
        <v/>
      </c>
      <c r="AG187" s="42" t="str">
        <f>IF(SUMIFS(Sheet2!$E:$E,Sheet2!$C:$C,$A187,Sheet2!$A:$A,AG$2)&lt;&gt;0,SUMIFS(Sheet2!$E:$E,Sheet2!$C:$C,$A187,Sheet2!$A:$A,AG$2),"")</f>
        <v/>
      </c>
      <c r="AH187" s="43">
        <f>SUM(Table2[[#This Row],[1]:[31]])</f>
        <v>0</v>
      </c>
    </row>
    <row r="188" spans="1:34" ht="12.75" customHeight="1">
      <c r="A188" s="76" t="str">
        <f>DSSP!A187</f>
        <v>GC112</v>
      </c>
      <c r="B188" s="25" t="str">
        <f>DSSP!B187</f>
        <v>Giày Converse</v>
      </c>
      <c r="C188" s="42" t="str">
        <f>IF(SUMIFS(Sheet2!$E:$E,Sheet2!$C:$C,$A188,Sheet2!$A:$A,C$2)&lt;&gt;0,SUMIFS(Sheet2!$E:$E,Sheet2!$C:$C,$A188,Sheet2!$A:$A,C$2),"")</f>
        <v/>
      </c>
      <c r="D188" s="42" t="str">
        <f>IF(SUMIFS(Sheet2!$E:$E,Sheet2!$C:$C,$A188,Sheet2!$A:$A,D$2)&lt;&gt;0,SUMIFS(Sheet2!$E:$E,Sheet2!$C:$C,$A188,Sheet2!$A:$A,D$2),"")</f>
        <v/>
      </c>
      <c r="E188" s="42" t="str">
        <f>IF(SUMIFS(Sheet2!$E:$E,Sheet2!$C:$C,$A188,Sheet2!$A:$A,E$2)&lt;&gt;0,SUMIFS(Sheet2!$E:$E,Sheet2!$C:$C,$A188,Sheet2!$A:$A,E$2),"")</f>
        <v/>
      </c>
      <c r="F188" s="42" t="str">
        <f>IF(SUMIFS(Sheet2!$E:$E,Sheet2!$C:$C,$A188,Sheet2!$A:$A,F$2)&lt;&gt;0,SUMIFS(Sheet2!$E:$E,Sheet2!$C:$C,$A188,Sheet2!$A:$A,F$2),"")</f>
        <v/>
      </c>
      <c r="G188" s="42" t="str">
        <f>IF(SUMIFS(Sheet2!$E:$E,Sheet2!$C:$C,$A188,Sheet2!$A:$A,G$2)&lt;&gt;0,SUMIFS(Sheet2!$E:$E,Sheet2!$C:$C,$A188,Sheet2!$A:$A,G$2),"")</f>
        <v/>
      </c>
      <c r="H188" s="42" t="str">
        <f>IF(SUMIFS(Sheet2!$E:$E,Sheet2!$C:$C,$A188,Sheet2!$A:$A,H$2)&lt;&gt;0,SUMIFS(Sheet2!$E:$E,Sheet2!$C:$C,$A188,Sheet2!$A:$A,H$2),"")</f>
        <v/>
      </c>
      <c r="I188" s="42" t="str">
        <f>IF(SUMIFS(Sheet2!$E:$E,Sheet2!$C:$C,$A188,Sheet2!$A:$A,I$2)&lt;&gt;0,SUMIFS(Sheet2!$E:$E,Sheet2!$C:$C,$A188,Sheet2!$A:$A,I$2),"")</f>
        <v/>
      </c>
      <c r="J188" s="42" t="str">
        <f>IF(SUMIFS(Sheet2!$E:$E,Sheet2!$C:$C,$A188,Sheet2!$A:$A,J$2)&lt;&gt;0,SUMIFS(Sheet2!$E:$E,Sheet2!$C:$C,$A188,Sheet2!$A:$A,J$2),"")</f>
        <v/>
      </c>
      <c r="K188" s="42" t="str">
        <f>IF(SUMIFS(Sheet2!$E:$E,Sheet2!$C:$C,$A188,Sheet2!$A:$A,K$2)&lt;&gt;0,SUMIFS(Sheet2!$E:$E,Sheet2!$C:$C,$A188,Sheet2!$A:$A,K$2),"")</f>
        <v/>
      </c>
      <c r="L188" s="42" t="str">
        <f>IF(SUMIFS(Sheet2!$E:$E,Sheet2!$C:$C,$A188,Sheet2!$A:$A,L$2)&lt;&gt;0,SUMIFS(Sheet2!$E:$E,Sheet2!$C:$C,$A188,Sheet2!$A:$A,L$2),"")</f>
        <v/>
      </c>
      <c r="M188" s="42" t="str">
        <f>IF(SUMIFS(Sheet2!$E:$E,Sheet2!$C:$C,$A188,Sheet2!$A:$A,M$2)&lt;&gt;0,SUMIFS(Sheet2!$E:$E,Sheet2!$C:$C,$A188,Sheet2!$A:$A,M$2),"")</f>
        <v/>
      </c>
      <c r="N188" s="42" t="str">
        <f>IF(SUMIFS(Sheet2!$E:$E,Sheet2!$C:$C,$A188,Sheet2!$A:$A,N$2)&lt;&gt;0,SUMIFS(Sheet2!$E:$E,Sheet2!$C:$C,$A188,Sheet2!$A:$A,N$2),"")</f>
        <v/>
      </c>
      <c r="O188" s="42" t="str">
        <f>IF(SUMIFS(Sheet2!$E:$E,Sheet2!$C:$C,$A188,Sheet2!$A:$A,O$2)&lt;&gt;0,SUMIFS(Sheet2!$E:$E,Sheet2!$C:$C,$A188,Sheet2!$A:$A,O$2),"")</f>
        <v/>
      </c>
      <c r="P188" s="42" t="str">
        <f>IF(SUMIFS(Sheet2!$E:$E,Sheet2!$C:$C,$A188,Sheet2!$A:$A,P$2)&lt;&gt;0,SUMIFS(Sheet2!$E:$E,Sheet2!$C:$C,$A188,Sheet2!$A:$A,P$2),"")</f>
        <v/>
      </c>
      <c r="Q188" s="42" t="str">
        <f>IF(SUMIFS(Sheet2!$E:$E,Sheet2!$C:$C,$A188,Sheet2!$A:$A,Q$2)&lt;&gt;0,SUMIFS(Sheet2!$E:$E,Sheet2!$C:$C,$A188,Sheet2!$A:$A,Q$2),"")</f>
        <v/>
      </c>
      <c r="R188" s="42" t="str">
        <f>IF(SUMIFS(Sheet2!$E:$E,Sheet2!$C:$C,$A188,Sheet2!$A:$A,R$2)&lt;&gt;0,SUMIFS(Sheet2!$E:$E,Sheet2!$C:$C,$A188,Sheet2!$A:$A,R$2),"")</f>
        <v/>
      </c>
      <c r="S188" s="42" t="str">
        <f>IF(SUMIFS(Sheet2!$E:$E,Sheet2!$C:$C,$A188,Sheet2!$A:$A,S$2)&lt;&gt;0,SUMIFS(Sheet2!$E:$E,Sheet2!$C:$C,$A188,Sheet2!$A:$A,S$2),"")</f>
        <v/>
      </c>
      <c r="T188" s="42" t="str">
        <f>IF(SUMIFS(Sheet2!$E:$E,Sheet2!$C:$C,$A188,Sheet2!$A:$A,T$2)&lt;&gt;0,SUMIFS(Sheet2!$E:$E,Sheet2!$C:$C,$A188,Sheet2!$A:$A,T$2),"")</f>
        <v/>
      </c>
      <c r="U188" s="42" t="str">
        <f>IF(SUMIFS(Sheet2!$E:$E,Sheet2!$C:$C,$A188,Sheet2!$A:$A,U$2)&lt;&gt;0,SUMIFS(Sheet2!$E:$E,Sheet2!$C:$C,$A188,Sheet2!$A:$A,U$2),"")</f>
        <v/>
      </c>
      <c r="V188" s="42" t="str">
        <f>IF(SUMIFS(Sheet2!$E:$E,Sheet2!$C:$C,$A188,Sheet2!$A:$A,V$2)&lt;&gt;0,SUMIFS(Sheet2!$E:$E,Sheet2!$C:$C,$A188,Sheet2!$A:$A,V$2),"")</f>
        <v/>
      </c>
      <c r="W188" s="42" t="str">
        <f>IF(SUMIFS(Sheet2!$E:$E,Sheet2!$C:$C,$A188,Sheet2!$A:$A,W$2)&lt;&gt;0,SUMIFS(Sheet2!$E:$E,Sheet2!$C:$C,$A188,Sheet2!$A:$A,W$2),"")</f>
        <v/>
      </c>
      <c r="X188" s="42" t="str">
        <f>IF(SUMIFS(Sheet2!$E:$E,Sheet2!$C:$C,$A188,Sheet2!$A:$A,X$2)&lt;&gt;0,SUMIFS(Sheet2!$E:$E,Sheet2!$C:$C,$A188,Sheet2!$A:$A,X$2),"")</f>
        <v/>
      </c>
      <c r="Y188" s="42" t="str">
        <f>IF(SUMIFS(Sheet2!$E:$E,Sheet2!$C:$C,$A188,Sheet2!$A:$A,Y$2)&lt;&gt;0,SUMIFS(Sheet2!$E:$E,Sheet2!$C:$C,$A188,Sheet2!$A:$A,Y$2),"")</f>
        <v/>
      </c>
      <c r="Z188" s="42" t="str">
        <f>IF(SUMIFS(Sheet2!$E:$E,Sheet2!$C:$C,$A188,Sheet2!$A:$A,Z$2)&lt;&gt;0,SUMIFS(Sheet2!$E:$E,Sheet2!$C:$C,$A188,Sheet2!$A:$A,Z$2),"")</f>
        <v/>
      </c>
      <c r="AA188" s="42" t="str">
        <f>IF(SUMIFS(Sheet2!$E:$E,Sheet2!$C:$C,$A188,Sheet2!$A:$A,AA$2)&lt;&gt;0,SUMIFS(Sheet2!$E:$E,Sheet2!$C:$C,$A188,Sheet2!$A:$A,AA$2),"")</f>
        <v/>
      </c>
      <c r="AB188" s="42" t="str">
        <f>IF(SUMIFS(Sheet2!$E:$E,Sheet2!$C:$C,$A188,Sheet2!$A:$A,AB$2)&lt;&gt;0,SUMIFS(Sheet2!$E:$E,Sheet2!$C:$C,$A188,Sheet2!$A:$A,AB$2),"")</f>
        <v/>
      </c>
      <c r="AC188" s="42" t="str">
        <f>IF(SUMIFS(Sheet2!$E:$E,Sheet2!$C:$C,$A188,Sheet2!$A:$A,AC$2)&lt;&gt;0,SUMIFS(Sheet2!$E:$E,Sheet2!$C:$C,$A188,Sheet2!$A:$A,AC$2),"")</f>
        <v/>
      </c>
      <c r="AD188" s="42" t="str">
        <f>IF(SUMIFS(Sheet2!$E:$E,Sheet2!$C:$C,$A188,Sheet2!$A:$A,AD$2)&lt;&gt;0,SUMIFS(Sheet2!$E:$E,Sheet2!$C:$C,$A188,Sheet2!$A:$A,AD$2),"")</f>
        <v/>
      </c>
      <c r="AE188" s="42" t="str">
        <f>IF(SUMIFS(Sheet2!$E:$E,Sheet2!$C:$C,$A188,Sheet2!$A:$A,AE$2)&lt;&gt;0,SUMIFS(Sheet2!$E:$E,Sheet2!$C:$C,$A188,Sheet2!$A:$A,AE$2),"")</f>
        <v/>
      </c>
      <c r="AF188" s="42" t="str">
        <f>IF(SUMIFS(Sheet2!$E:$E,Sheet2!$C:$C,$A188,Sheet2!$A:$A,AF$2)&lt;&gt;0,SUMIFS(Sheet2!$E:$E,Sheet2!$C:$C,$A188,Sheet2!$A:$A,AF$2),"")</f>
        <v/>
      </c>
      <c r="AG188" s="42" t="str">
        <f>IF(SUMIFS(Sheet2!$E:$E,Sheet2!$C:$C,$A188,Sheet2!$A:$A,AG$2)&lt;&gt;0,SUMIFS(Sheet2!$E:$E,Sheet2!$C:$C,$A188,Sheet2!$A:$A,AG$2),"")</f>
        <v/>
      </c>
      <c r="AH188" s="43">
        <f>SUM(Table2[[#This Row],[1]:[31]])</f>
        <v>0</v>
      </c>
    </row>
    <row r="189" spans="1:34" ht="12.75" customHeight="1">
      <c r="A189" s="76" t="str">
        <f>DSSP!A188</f>
        <v>GC113</v>
      </c>
      <c r="B189" s="25" t="str">
        <f>DSSP!B188</f>
        <v>Bánh Happy Birthday</v>
      </c>
      <c r="C189" s="42" t="str">
        <f>IF(SUMIFS(Sheet2!$E:$E,Sheet2!$C:$C,$A189,Sheet2!$A:$A,C$2)&lt;&gt;0,SUMIFS(Sheet2!$E:$E,Sheet2!$C:$C,$A189,Sheet2!$A:$A,C$2),"")</f>
        <v/>
      </c>
      <c r="D189" s="42" t="str">
        <f>IF(SUMIFS(Sheet2!$E:$E,Sheet2!$C:$C,$A189,Sheet2!$A:$A,D$2)&lt;&gt;0,SUMIFS(Sheet2!$E:$E,Sheet2!$C:$C,$A189,Sheet2!$A:$A,D$2),"")</f>
        <v/>
      </c>
      <c r="E189" s="42" t="str">
        <f>IF(SUMIFS(Sheet2!$E:$E,Sheet2!$C:$C,$A189,Sheet2!$A:$A,E$2)&lt;&gt;0,SUMIFS(Sheet2!$E:$E,Sheet2!$C:$C,$A189,Sheet2!$A:$A,E$2),"")</f>
        <v/>
      </c>
      <c r="F189" s="42" t="str">
        <f>IF(SUMIFS(Sheet2!$E:$E,Sheet2!$C:$C,$A189,Sheet2!$A:$A,F$2)&lt;&gt;0,SUMIFS(Sheet2!$E:$E,Sheet2!$C:$C,$A189,Sheet2!$A:$A,F$2),"")</f>
        <v/>
      </c>
      <c r="G189" s="42" t="str">
        <f>IF(SUMIFS(Sheet2!$E:$E,Sheet2!$C:$C,$A189,Sheet2!$A:$A,G$2)&lt;&gt;0,SUMIFS(Sheet2!$E:$E,Sheet2!$C:$C,$A189,Sheet2!$A:$A,G$2),"")</f>
        <v/>
      </c>
      <c r="H189" s="42" t="str">
        <f>IF(SUMIFS(Sheet2!$E:$E,Sheet2!$C:$C,$A189,Sheet2!$A:$A,H$2)&lt;&gt;0,SUMIFS(Sheet2!$E:$E,Sheet2!$C:$C,$A189,Sheet2!$A:$A,H$2),"")</f>
        <v/>
      </c>
      <c r="I189" s="42" t="str">
        <f>IF(SUMIFS(Sheet2!$E:$E,Sheet2!$C:$C,$A189,Sheet2!$A:$A,I$2)&lt;&gt;0,SUMIFS(Sheet2!$E:$E,Sheet2!$C:$C,$A189,Sheet2!$A:$A,I$2),"")</f>
        <v/>
      </c>
      <c r="J189" s="42" t="str">
        <f>IF(SUMIFS(Sheet2!$E:$E,Sheet2!$C:$C,$A189,Sheet2!$A:$A,J$2)&lt;&gt;0,SUMIFS(Sheet2!$E:$E,Sheet2!$C:$C,$A189,Sheet2!$A:$A,J$2),"")</f>
        <v/>
      </c>
      <c r="K189" s="42" t="str">
        <f>IF(SUMIFS(Sheet2!$E:$E,Sheet2!$C:$C,$A189,Sheet2!$A:$A,K$2)&lt;&gt;0,SUMIFS(Sheet2!$E:$E,Sheet2!$C:$C,$A189,Sheet2!$A:$A,K$2),"")</f>
        <v/>
      </c>
      <c r="L189" s="42" t="str">
        <f>IF(SUMIFS(Sheet2!$E:$E,Sheet2!$C:$C,$A189,Sheet2!$A:$A,L$2)&lt;&gt;0,SUMIFS(Sheet2!$E:$E,Sheet2!$C:$C,$A189,Sheet2!$A:$A,L$2),"")</f>
        <v/>
      </c>
      <c r="M189" s="42" t="str">
        <f>IF(SUMIFS(Sheet2!$E:$E,Sheet2!$C:$C,$A189,Sheet2!$A:$A,M$2)&lt;&gt;0,SUMIFS(Sheet2!$E:$E,Sheet2!$C:$C,$A189,Sheet2!$A:$A,M$2),"")</f>
        <v/>
      </c>
      <c r="N189" s="42" t="str">
        <f>IF(SUMIFS(Sheet2!$E:$E,Sheet2!$C:$C,$A189,Sheet2!$A:$A,N$2)&lt;&gt;0,SUMIFS(Sheet2!$E:$E,Sheet2!$C:$C,$A189,Sheet2!$A:$A,N$2),"")</f>
        <v/>
      </c>
      <c r="O189" s="42" t="str">
        <f>IF(SUMIFS(Sheet2!$E:$E,Sheet2!$C:$C,$A189,Sheet2!$A:$A,O$2)&lt;&gt;0,SUMIFS(Sheet2!$E:$E,Sheet2!$C:$C,$A189,Sheet2!$A:$A,O$2),"")</f>
        <v/>
      </c>
      <c r="P189" s="42" t="str">
        <f>IF(SUMIFS(Sheet2!$E:$E,Sheet2!$C:$C,$A189,Sheet2!$A:$A,P$2)&lt;&gt;0,SUMIFS(Sheet2!$E:$E,Sheet2!$C:$C,$A189,Sheet2!$A:$A,P$2),"")</f>
        <v/>
      </c>
      <c r="Q189" s="42" t="str">
        <f>IF(SUMIFS(Sheet2!$E:$E,Sheet2!$C:$C,$A189,Sheet2!$A:$A,Q$2)&lt;&gt;0,SUMIFS(Sheet2!$E:$E,Sheet2!$C:$C,$A189,Sheet2!$A:$A,Q$2),"")</f>
        <v/>
      </c>
      <c r="R189" s="42" t="str">
        <f>IF(SUMIFS(Sheet2!$E:$E,Sheet2!$C:$C,$A189,Sheet2!$A:$A,R$2)&lt;&gt;0,SUMIFS(Sheet2!$E:$E,Sheet2!$C:$C,$A189,Sheet2!$A:$A,R$2),"")</f>
        <v/>
      </c>
      <c r="S189" s="42" t="str">
        <f>IF(SUMIFS(Sheet2!$E:$E,Sheet2!$C:$C,$A189,Sheet2!$A:$A,S$2)&lt;&gt;0,SUMIFS(Sheet2!$E:$E,Sheet2!$C:$C,$A189,Sheet2!$A:$A,S$2),"")</f>
        <v/>
      </c>
      <c r="T189" s="42" t="str">
        <f>IF(SUMIFS(Sheet2!$E:$E,Sheet2!$C:$C,$A189,Sheet2!$A:$A,T$2)&lt;&gt;0,SUMIFS(Sheet2!$E:$E,Sheet2!$C:$C,$A189,Sheet2!$A:$A,T$2),"")</f>
        <v/>
      </c>
      <c r="U189" s="42" t="str">
        <f>IF(SUMIFS(Sheet2!$E:$E,Sheet2!$C:$C,$A189,Sheet2!$A:$A,U$2)&lt;&gt;0,SUMIFS(Sheet2!$E:$E,Sheet2!$C:$C,$A189,Sheet2!$A:$A,U$2),"")</f>
        <v/>
      </c>
      <c r="V189" s="42" t="str">
        <f>IF(SUMIFS(Sheet2!$E:$E,Sheet2!$C:$C,$A189,Sheet2!$A:$A,V$2)&lt;&gt;0,SUMIFS(Sheet2!$E:$E,Sheet2!$C:$C,$A189,Sheet2!$A:$A,V$2),"")</f>
        <v/>
      </c>
      <c r="W189" s="42" t="str">
        <f>IF(SUMIFS(Sheet2!$E:$E,Sheet2!$C:$C,$A189,Sheet2!$A:$A,W$2)&lt;&gt;0,SUMIFS(Sheet2!$E:$E,Sheet2!$C:$C,$A189,Sheet2!$A:$A,W$2),"")</f>
        <v/>
      </c>
      <c r="X189" s="42" t="str">
        <f>IF(SUMIFS(Sheet2!$E:$E,Sheet2!$C:$C,$A189,Sheet2!$A:$A,X$2)&lt;&gt;0,SUMIFS(Sheet2!$E:$E,Sheet2!$C:$C,$A189,Sheet2!$A:$A,X$2),"")</f>
        <v/>
      </c>
      <c r="Y189" s="42" t="str">
        <f>IF(SUMIFS(Sheet2!$E:$E,Sheet2!$C:$C,$A189,Sheet2!$A:$A,Y$2)&lt;&gt;0,SUMIFS(Sheet2!$E:$E,Sheet2!$C:$C,$A189,Sheet2!$A:$A,Y$2),"")</f>
        <v/>
      </c>
      <c r="Z189" s="42" t="str">
        <f>IF(SUMIFS(Sheet2!$E:$E,Sheet2!$C:$C,$A189,Sheet2!$A:$A,Z$2)&lt;&gt;0,SUMIFS(Sheet2!$E:$E,Sheet2!$C:$C,$A189,Sheet2!$A:$A,Z$2),"")</f>
        <v/>
      </c>
      <c r="AA189" s="42" t="str">
        <f>IF(SUMIFS(Sheet2!$E:$E,Sheet2!$C:$C,$A189,Sheet2!$A:$A,AA$2)&lt;&gt;0,SUMIFS(Sheet2!$E:$E,Sheet2!$C:$C,$A189,Sheet2!$A:$A,AA$2),"")</f>
        <v/>
      </c>
      <c r="AB189" s="42" t="str">
        <f>IF(SUMIFS(Sheet2!$E:$E,Sheet2!$C:$C,$A189,Sheet2!$A:$A,AB$2)&lt;&gt;0,SUMIFS(Sheet2!$E:$E,Sheet2!$C:$C,$A189,Sheet2!$A:$A,AB$2),"")</f>
        <v/>
      </c>
      <c r="AC189" s="42" t="str">
        <f>IF(SUMIFS(Sheet2!$E:$E,Sheet2!$C:$C,$A189,Sheet2!$A:$A,AC$2)&lt;&gt;0,SUMIFS(Sheet2!$E:$E,Sheet2!$C:$C,$A189,Sheet2!$A:$A,AC$2),"")</f>
        <v/>
      </c>
      <c r="AD189" s="42" t="str">
        <f>IF(SUMIFS(Sheet2!$E:$E,Sheet2!$C:$C,$A189,Sheet2!$A:$A,AD$2)&lt;&gt;0,SUMIFS(Sheet2!$E:$E,Sheet2!$C:$C,$A189,Sheet2!$A:$A,AD$2),"")</f>
        <v/>
      </c>
      <c r="AE189" s="42" t="str">
        <f>IF(SUMIFS(Sheet2!$E:$E,Sheet2!$C:$C,$A189,Sheet2!$A:$A,AE$2)&lt;&gt;0,SUMIFS(Sheet2!$E:$E,Sheet2!$C:$C,$A189,Sheet2!$A:$A,AE$2),"")</f>
        <v/>
      </c>
      <c r="AF189" s="42" t="str">
        <f>IF(SUMIFS(Sheet2!$E:$E,Sheet2!$C:$C,$A189,Sheet2!$A:$A,AF$2)&lt;&gt;0,SUMIFS(Sheet2!$E:$E,Sheet2!$C:$C,$A189,Sheet2!$A:$A,AF$2),"")</f>
        <v/>
      </c>
      <c r="AG189" s="42" t="str">
        <f>IF(SUMIFS(Sheet2!$E:$E,Sheet2!$C:$C,$A189,Sheet2!$A:$A,AG$2)&lt;&gt;0,SUMIFS(Sheet2!$E:$E,Sheet2!$C:$C,$A189,Sheet2!$A:$A,AG$2),"")</f>
        <v/>
      </c>
      <c r="AH189" s="43">
        <f>SUM(Table2[[#This Row],[1]:[31]])</f>
        <v>0</v>
      </c>
    </row>
    <row r="190" spans="1:34" ht="12.75" customHeight="1">
      <c r="A190" s="76" t="str">
        <f>DSSP!A189</f>
        <v>GC114</v>
      </c>
      <c r="B190" s="25" t="str">
        <f>DSSP!B189</f>
        <v>Chữ Love</v>
      </c>
      <c r="C190" s="42" t="str">
        <f>IF(SUMIFS(Sheet2!$E:$E,Sheet2!$C:$C,$A190,Sheet2!$A:$A,C$2)&lt;&gt;0,SUMIFS(Sheet2!$E:$E,Sheet2!$C:$C,$A190,Sheet2!$A:$A,C$2),"")</f>
        <v/>
      </c>
      <c r="D190" s="42" t="str">
        <f>IF(SUMIFS(Sheet2!$E:$E,Sheet2!$C:$C,$A190,Sheet2!$A:$A,D$2)&lt;&gt;0,SUMIFS(Sheet2!$E:$E,Sheet2!$C:$C,$A190,Sheet2!$A:$A,D$2),"")</f>
        <v/>
      </c>
      <c r="E190" s="42" t="str">
        <f>IF(SUMIFS(Sheet2!$E:$E,Sheet2!$C:$C,$A190,Sheet2!$A:$A,E$2)&lt;&gt;0,SUMIFS(Sheet2!$E:$E,Sheet2!$C:$C,$A190,Sheet2!$A:$A,E$2),"")</f>
        <v/>
      </c>
      <c r="F190" s="42" t="str">
        <f>IF(SUMIFS(Sheet2!$E:$E,Sheet2!$C:$C,$A190,Sheet2!$A:$A,F$2)&lt;&gt;0,SUMIFS(Sheet2!$E:$E,Sheet2!$C:$C,$A190,Sheet2!$A:$A,F$2),"")</f>
        <v/>
      </c>
      <c r="G190" s="42" t="str">
        <f>IF(SUMIFS(Sheet2!$E:$E,Sheet2!$C:$C,$A190,Sheet2!$A:$A,G$2)&lt;&gt;0,SUMIFS(Sheet2!$E:$E,Sheet2!$C:$C,$A190,Sheet2!$A:$A,G$2),"")</f>
        <v/>
      </c>
      <c r="H190" s="42" t="str">
        <f>IF(SUMIFS(Sheet2!$E:$E,Sheet2!$C:$C,$A190,Sheet2!$A:$A,H$2)&lt;&gt;0,SUMIFS(Sheet2!$E:$E,Sheet2!$C:$C,$A190,Sheet2!$A:$A,H$2),"")</f>
        <v/>
      </c>
      <c r="I190" s="42" t="str">
        <f>IF(SUMIFS(Sheet2!$E:$E,Sheet2!$C:$C,$A190,Sheet2!$A:$A,I$2)&lt;&gt;0,SUMIFS(Sheet2!$E:$E,Sheet2!$C:$C,$A190,Sheet2!$A:$A,I$2),"")</f>
        <v/>
      </c>
      <c r="J190" s="42" t="str">
        <f>IF(SUMIFS(Sheet2!$E:$E,Sheet2!$C:$C,$A190,Sheet2!$A:$A,J$2)&lt;&gt;0,SUMIFS(Sheet2!$E:$E,Sheet2!$C:$C,$A190,Sheet2!$A:$A,J$2),"")</f>
        <v/>
      </c>
      <c r="K190" s="42" t="str">
        <f>IF(SUMIFS(Sheet2!$E:$E,Sheet2!$C:$C,$A190,Sheet2!$A:$A,K$2)&lt;&gt;0,SUMIFS(Sheet2!$E:$E,Sheet2!$C:$C,$A190,Sheet2!$A:$A,K$2),"")</f>
        <v/>
      </c>
      <c r="L190" s="42" t="str">
        <f>IF(SUMIFS(Sheet2!$E:$E,Sheet2!$C:$C,$A190,Sheet2!$A:$A,L$2)&lt;&gt;0,SUMIFS(Sheet2!$E:$E,Sheet2!$C:$C,$A190,Sheet2!$A:$A,L$2),"")</f>
        <v/>
      </c>
      <c r="M190" s="42" t="str">
        <f>IF(SUMIFS(Sheet2!$E:$E,Sheet2!$C:$C,$A190,Sheet2!$A:$A,M$2)&lt;&gt;0,SUMIFS(Sheet2!$E:$E,Sheet2!$C:$C,$A190,Sheet2!$A:$A,M$2),"")</f>
        <v/>
      </c>
      <c r="N190" s="42" t="str">
        <f>IF(SUMIFS(Sheet2!$E:$E,Sheet2!$C:$C,$A190,Sheet2!$A:$A,N$2)&lt;&gt;0,SUMIFS(Sheet2!$E:$E,Sheet2!$C:$C,$A190,Sheet2!$A:$A,N$2),"")</f>
        <v/>
      </c>
      <c r="O190" s="42" t="str">
        <f>IF(SUMIFS(Sheet2!$E:$E,Sheet2!$C:$C,$A190,Sheet2!$A:$A,O$2)&lt;&gt;0,SUMIFS(Sheet2!$E:$E,Sheet2!$C:$C,$A190,Sheet2!$A:$A,O$2),"")</f>
        <v/>
      </c>
      <c r="P190" s="42" t="str">
        <f>IF(SUMIFS(Sheet2!$E:$E,Sheet2!$C:$C,$A190,Sheet2!$A:$A,P$2)&lt;&gt;0,SUMIFS(Sheet2!$E:$E,Sheet2!$C:$C,$A190,Sheet2!$A:$A,P$2),"")</f>
        <v/>
      </c>
      <c r="Q190" s="42" t="str">
        <f>IF(SUMIFS(Sheet2!$E:$E,Sheet2!$C:$C,$A190,Sheet2!$A:$A,Q$2)&lt;&gt;0,SUMIFS(Sheet2!$E:$E,Sheet2!$C:$C,$A190,Sheet2!$A:$A,Q$2),"")</f>
        <v/>
      </c>
      <c r="R190" s="42" t="str">
        <f>IF(SUMIFS(Sheet2!$E:$E,Sheet2!$C:$C,$A190,Sheet2!$A:$A,R$2)&lt;&gt;0,SUMIFS(Sheet2!$E:$E,Sheet2!$C:$C,$A190,Sheet2!$A:$A,R$2),"")</f>
        <v/>
      </c>
      <c r="S190" s="42" t="str">
        <f>IF(SUMIFS(Sheet2!$E:$E,Sheet2!$C:$C,$A190,Sheet2!$A:$A,S$2)&lt;&gt;0,SUMIFS(Sheet2!$E:$E,Sheet2!$C:$C,$A190,Sheet2!$A:$A,S$2),"")</f>
        <v/>
      </c>
      <c r="T190" s="42" t="str">
        <f>IF(SUMIFS(Sheet2!$E:$E,Sheet2!$C:$C,$A190,Sheet2!$A:$A,T$2)&lt;&gt;0,SUMIFS(Sheet2!$E:$E,Sheet2!$C:$C,$A190,Sheet2!$A:$A,T$2),"")</f>
        <v/>
      </c>
      <c r="U190" s="42" t="str">
        <f>IF(SUMIFS(Sheet2!$E:$E,Sheet2!$C:$C,$A190,Sheet2!$A:$A,U$2)&lt;&gt;0,SUMIFS(Sheet2!$E:$E,Sheet2!$C:$C,$A190,Sheet2!$A:$A,U$2),"")</f>
        <v/>
      </c>
      <c r="V190" s="42" t="str">
        <f>IF(SUMIFS(Sheet2!$E:$E,Sheet2!$C:$C,$A190,Sheet2!$A:$A,V$2)&lt;&gt;0,SUMIFS(Sheet2!$E:$E,Sheet2!$C:$C,$A190,Sheet2!$A:$A,V$2),"")</f>
        <v/>
      </c>
      <c r="W190" s="42" t="str">
        <f>IF(SUMIFS(Sheet2!$E:$E,Sheet2!$C:$C,$A190,Sheet2!$A:$A,W$2)&lt;&gt;0,SUMIFS(Sheet2!$E:$E,Sheet2!$C:$C,$A190,Sheet2!$A:$A,W$2),"")</f>
        <v/>
      </c>
      <c r="X190" s="42" t="str">
        <f>IF(SUMIFS(Sheet2!$E:$E,Sheet2!$C:$C,$A190,Sheet2!$A:$A,X$2)&lt;&gt;0,SUMIFS(Sheet2!$E:$E,Sheet2!$C:$C,$A190,Sheet2!$A:$A,X$2),"")</f>
        <v/>
      </c>
      <c r="Y190" s="42" t="str">
        <f>IF(SUMIFS(Sheet2!$E:$E,Sheet2!$C:$C,$A190,Sheet2!$A:$A,Y$2)&lt;&gt;0,SUMIFS(Sheet2!$E:$E,Sheet2!$C:$C,$A190,Sheet2!$A:$A,Y$2),"")</f>
        <v/>
      </c>
      <c r="Z190" s="42" t="str">
        <f>IF(SUMIFS(Sheet2!$E:$E,Sheet2!$C:$C,$A190,Sheet2!$A:$A,Z$2)&lt;&gt;0,SUMIFS(Sheet2!$E:$E,Sheet2!$C:$C,$A190,Sheet2!$A:$A,Z$2),"")</f>
        <v/>
      </c>
      <c r="AA190" s="42" t="str">
        <f>IF(SUMIFS(Sheet2!$E:$E,Sheet2!$C:$C,$A190,Sheet2!$A:$A,AA$2)&lt;&gt;0,SUMIFS(Sheet2!$E:$E,Sheet2!$C:$C,$A190,Sheet2!$A:$A,AA$2),"")</f>
        <v/>
      </c>
      <c r="AB190" s="42" t="str">
        <f>IF(SUMIFS(Sheet2!$E:$E,Sheet2!$C:$C,$A190,Sheet2!$A:$A,AB$2)&lt;&gt;0,SUMIFS(Sheet2!$E:$E,Sheet2!$C:$C,$A190,Sheet2!$A:$A,AB$2),"")</f>
        <v/>
      </c>
      <c r="AC190" s="42" t="str">
        <f>IF(SUMIFS(Sheet2!$E:$E,Sheet2!$C:$C,$A190,Sheet2!$A:$A,AC$2)&lt;&gt;0,SUMIFS(Sheet2!$E:$E,Sheet2!$C:$C,$A190,Sheet2!$A:$A,AC$2),"")</f>
        <v/>
      </c>
      <c r="AD190" s="42" t="str">
        <f>IF(SUMIFS(Sheet2!$E:$E,Sheet2!$C:$C,$A190,Sheet2!$A:$A,AD$2)&lt;&gt;0,SUMIFS(Sheet2!$E:$E,Sheet2!$C:$C,$A190,Sheet2!$A:$A,AD$2),"")</f>
        <v/>
      </c>
      <c r="AE190" s="42" t="str">
        <f>IF(SUMIFS(Sheet2!$E:$E,Sheet2!$C:$C,$A190,Sheet2!$A:$A,AE$2)&lt;&gt;0,SUMIFS(Sheet2!$E:$E,Sheet2!$C:$C,$A190,Sheet2!$A:$A,AE$2),"")</f>
        <v/>
      </c>
      <c r="AF190" s="42" t="str">
        <f>IF(SUMIFS(Sheet2!$E:$E,Sheet2!$C:$C,$A190,Sheet2!$A:$A,AF$2)&lt;&gt;0,SUMIFS(Sheet2!$E:$E,Sheet2!$C:$C,$A190,Sheet2!$A:$A,AF$2),"")</f>
        <v/>
      </c>
      <c r="AG190" s="42" t="str">
        <f>IF(SUMIFS(Sheet2!$E:$E,Sheet2!$C:$C,$A190,Sheet2!$A:$A,AG$2)&lt;&gt;0,SUMIFS(Sheet2!$E:$E,Sheet2!$C:$C,$A190,Sheet2!$A:$A,AG$2),"")</f>
        <v/>
      </c>
      <c r="AH190" s="43">
        <f>SUM(Table2[[#This Row],[1]:[31]])</f>
        <v>0</v>
      </c>
    </row>
    <row r="191" spans="1:34" ht="12.75" customHeight="1">
      <c r="A191" s="76" t="str">
        <f>DSSP!A190</f>
        <v>GC115</v>
      </c>
      <c r="B191" s="25" t="str">
        <f>DSSP!B190</f>
        <v>Chó con</v>
      </c>
      <c r="C191" s="42" t="str">
        <f>IF(SUMIFS(Sheet2!$E:$E,Sheet2!$C:$C,$A191,Sheet2!$A:$A,C$2)&lt;&gt;0,SUMIFS(Sheet2!$E:$E,Sheet2!$C:$C,$A191,Sheet2!$A:$A,C$2),"")</f>
        <v/>
      </c>
      <c r="D191" s="42" t="str">
        <f>IF(SUMIFS(Sheet2!$E:$E,Sheet2!$C:$C,$A191,Sheet2!$A:$A,D$2)&lt;&gt;0,SUMIFS(Sheet2!$E:$E,Sheet2!$C:$C,$A191,Sheet2!$A:$A,D$2),"")</f>
        <v/>
      </c>
      <c r="E191" s="42" t="str">
        <f>IF(SUMIFS(Sheet2!$E:$E,Sheet2!$C:$C,$A191,Sheet2!$A:$A,E$2)&lt;&gt;0,SUMIFS(Sheet2!$E:$E,Sheet2!$C:$C,$A191,Sheet2!$A:$A,E$2),"")</f>
        <v/>
      </c>
      <c r="F191" s="42" t="str">
        <f>IF(SUMIFS(Sheet2!$E:$E,Sheet2!$C:$C,$A191,Sheet2!$A:$A,F$2)&lt;&gt;0,SUMIFS(Sheet2!$E:$E,Sheet2!$C:$C,$A191,Sheet2!$A:$A,F$2),"")</f>
        <v/>
      </c>
      <c r="G191" s="42" t="str">
        <f>IF(SUMIFS(Sheet2!$E:$E,Sheet2!$C:$C,$A191,Sheet2!$A:$A,G$2)&lt;&gt;0,SUMIFS(Sheet2!$E:$E,Sheet2!$C:$C,$A191,Sheet2!$A:$A,G$2),"")</f>
        <v/>
      </c>
      <c r="H191" s="42" t="str">
        <f>IF(SUMIFS(Sheet2!$E:$E,Sheet2!$C:$C,$A191,Sheet2!$A:$A,H$2)&lt;&gt;0,SUMIFS(Sheet2!$E:$E,Sheet2!$C:$C,$A191,Sheet2!$A:$A,H$2),"")</f>
        <v/>
      </c>
      <c r="I191" s="42" t="str">
        <f>IF(SUMIFS(Sheet2!$E:$E,Sheet2!$C:$C,$A191,Sheet2!$A:$A,I$2)&lt;&gt;0,SUMIFS(Sheet2!$E:$E,Sheet2!$C:$C,$A191,Sheet2!$A:$A,I$2),"")</f>
        <v/>
      </c>
      <c r="J191" s="42" t="str">
        <f>IF(SUMIFS(Sheet2!$E:$E,Sheet2!$C:$C,$A191,Sheet2!$A:$A,J$2)&lt;&gt;0,SUMIFS(Sheet2!$E:$E,Sheet2!$C:$C,$A191,Sheet2!$A:$A,J$2),"")</f>
        <v/>
      </c>
      <c r="K191" s="42" t="str">
        <f>IF(SUMIFS(Sheet2!$E:$E,Sheet2!$C:$C,$A191,Sheet2!$A:$A,K$2)&lt;&gt;0,SUMIFS(Sheet2!$E:$E,Sheet2!$C:$C,$A191,Sheet2!$A:$A,K$2),"")</f>
        <v/>
      </c>
      <c r="L191" s="42" t="str">
        <f>IF(SUMIFS(Sheet2!$E:$E,Sheet2!$C:$C,$A191,Sheet2!$A:$A,L$2)&lt;&gt;0,SUMIFS(Sheet2!$E:$E,Sheet2!$C:$C,$A191,Sheet2!$A:$A,L$2),"")</f>
        <v/>
      </c>
      <c r="M191" s="42" t="str">
        <f>IF(SUMIFS(Sheet2!$E:$E,Sheet2!$C:$C,$A191,Sheet2!$A:$A,M$2)&lt;&gt;0,SUMIFS(Sheet2!$E:$E,Sheet2!$C:$C,$A191,Sheet2!$A:$A,M$2),"")</f>
        <v/>
      </c>
      <c r="N191" s="42" t="str">
        <f>IF(SUMIFS(Sheet2!$E:$E,Sheet2!$C:$C,$A191,Sheet2!$A:$A,N$2)&lt;&gt;0,SUMIFS(Sheet2!$E:$E,Sheet2!$C:$C,$A191,Sheet2!$A:$A,N$2),"")</f>
        <v/>
      </c>
      <c r="O191" s="42" t="str">
        <f>IF(SUMIFS(Sheet2!$E:$E,Sheet2!$C:$C,$A191,Sheet2!$A:$A,O$2)&lt;&gt;0,SUMIFS(Sheet2!$E:$E,Sheet2!$C:$C,$A191,Sheet2!$A:$A,O$2),"")</f>
        <v/>
      </c>
      <c r="P191" s="42" t="str">
        <f>IF(SUMIFS(Sheet2!$E:$E,Sheet2!$C:$C,$A191,Sheet2!$A:$A,P$2)&lt;&gt;0,SUMIFS(Sheet2!$E:$E,Sheet2!$C:$C,$A191,Sheet2!$A:$A,P$2),"")</f>
        <v/>
      </c>
      <c r="Q191" s="42" t="str">
        <f>IF(SUMIFS(Sheet2!$E:$E,Sheet2!$C:$C,$A191,Sheet2!$A:$A,Q$2)&lt;&gt;0,SUMIFS(Sheet2!$E:$E,Sheet2!$C:$C,$A191,Sheet2!$A:$A,Q$2),"")</f>
        <v/>
      </c>
      <c r="R191" s="42" t="str">
        <f>IF(SUMIFS(Sheet2!$E:$E,Sheet2!$C:$C,$A191,Sheet2!$A:$A,R$2)&lt;&gt;0,SUMIFS(Sheet2!$E:$E,Sheet2!$C:$C,$A191,Sheet2!$A:$A,R$2),"")</f>
        <v/>
      </c>
      <c r="S191" s="42" t="str">
        <f>IF(SUMIFS(Sheet2!$E:$E,Sheet2!$C:$C,$A191,Sheet2!$A:$A,S$2)&lt;&gt;0,SUMIFS(Sheet2!$E:$E,Sheet2!$C:$C,$A191,Sheet2!$A:$A,S$2),"")</f>
        <v/>
      </c>
      <c r="T191" s="42" t="str">
        <f>IF(SUMIFS(Sheet2!$E:$E,Sheet2!$C:$C,$A191,Sheet2!$A:$A,T$2)&lt;&gt;0,SUMIFS(Sheet2!$E:$E,Sheet2!$C:$C,$A191,Sheet2!$A:$A,T$2),"")</f>
        <v/>
      </c>
      <c r="U191" s="42" t="str">
        <f>IF(SUMIFS(Sheet2!$E:$E,Sheet2!$C:$C,$A191,Sheet2!$A:$A,U$2)&lt;&gt;0,SUMIFS(Sheet2!$E:$E,Sheet2!$C:$C,$A191,Sheet2!$A:$A,U$2),"")</f>
        <v/>
      </c>
      <c r="V191" s="42" t="str">
        <f>IF(SUMIFS(Sheet2!$E:$E,Sheet2!$C:$C,$A191,Sheet2!$A:$A,V$2)&lt;&gt;0,SUMIFS(Sheet2!$E:$E,Sheet2!$C:$C,$A191,Sheet2!$A:$A,V$2),"")</f>
        <v/>
      </c>
      <c r="W191" s="42" t="str">
        <f>IF(SUMIFS(Sheet2!$E:$E,Sheet2!$C:$C,$A191,Sheet2!$A:$A,W$2)&lt;&gt;0,SUMIFS(Sheet2!$E:$E,Sheet2!$C:$C,$A191,Sheet2!$A:$A,W$2),"")</f>
        <v/>
      </c>
      <c r="X191" s="42" t="str">
        <f>IF(SUMIFS(Sheet2!$E:$E,Sheet2!$C:$C,$A191,Sheet2!$A:$A,X$2)&lt;&gt;0,SUMIFS(Sheet2!$E:$E,Sheet2!$C:$C,$A191,Sheet2!$A:$A,X$2),"")</f>
        <v/>
      </c>
      <c r="Y191" s="42" t="str">
        <f>IF(SUMIFS(Sheet2!$E:$E,Sheet2!$C:$C,$A191,Sheet2!$A:$A,Y$2)&lt;&gt;0,SUMIFS(Sheet2!$E:$E,Sheet2!$C:$C,$A191,Sheet2!$A:$A,Y$2),"")</f>
        <v/>
      </c>
      <c r="Z191" s="42" t="str">
        <f>IF(SUMIFS(Sheet2!$E:$E,Sheet2!$C:$C,$A191,Sheet2!$A:$A,Z$2)&lt;&gt;0,SUMIFS(Sheet2!$E:$E,Sheet2!$C:$C,$A191,Sheet2!$A:$A,Z$2),"")</f>
        <v/>
      </c>
      <c r="AA191" s="42" t="str">
        <f>IF(SUMIFS(Sheet2!$E:$E,Sheet2!$C:$C,$A191,Sheet2!$A:$A,AA$2)&lt;&gt;0,SUMIFS(Sheet2!$E:$E,Sheet2!$C:$C,$A191,Sheet2!$A:$A,AA$2),"")</f>
        <v/>
      </c>
      <c r="AB191" s="42" t="str">
        <f>IF(SUMIFS(Sheet2!$E:$E,Sheet2!$C:$C,$A191,Sheet2!$A:$A,AB$2)&lt;&gt;0,SUMIFS(Sheet2!$E:$E,Sheet2!$C:$C,$A191,Sheet2!$A:$A,AB$2),"")</f>
        <v/>
      </c>
      <c r="AC191" s="42" t="str">
        <f>IF(SUMIFS(Sheet2!$E:$E,Sheet2!$C:$C,$A191,Sheet2!$A:$A,AC$2)&lt;&gt;0,SUMIFS(Sheet2!$E:$E,Sheet2!$C:$C,$A191,Sheet2!$A:$A,AC$2),"")</f>
        <v/>
      </c>
      <c r="AD191" s="42" t="str">
        <f>IF(SUMIFS(Sheet2!$E:$E,Sheet2!$C:$C,$A191,Sheet2!$A:$A,AD$2)&lt;&gt;0,SUMIFS(Sheet2!$E:$E,Sheet2!$C:$C,$A191,Sheet2!$A:$A,AD$2),"")</f>
        <v/>
      </c>
      <c r="AE191" s="42" t="str">
        <f>IF(SUMIFS(Sheet2!$E:$E,Sheet2!$C:$C,$A191,Sheet2!$A:$A,AE$2)&lt;&gt;0,SUMIFS(Sheet2!$E:$E,Sheet2!$C:$C,$A191,Sheet2!$A:$A,AE$2),"")</f>
        <v/>
      </c>
      <c r="AF191" s="42" t="str">
        <f>IF(SUMIFS(Sheet2!$E:$E,Sheet2!$C:$C,$A191,Sheet2!$A:$A,AF$2)&lt;&gt;0,SUMIFS(Sheet2!$E:$E,Sheet2!$C:$C,$A191,Sheet2!$A:$A,AF$2),"")</f>
        <v/>
      </c>
      <c r="AG191" s="42" t="str">
        <f>IF(SUMIFS(Sheet2!$E:$E,Sheet2!$C:$C,$A191,Sheet2!$A:$A,AG$2)&lt;&gt;0,SUMIFS(Sheet2!$E:$E,Sheet2!$C:$C,$A191,Sheet2!$A:$A,AG$2),"")</f>
        <v/>
      </c>
      <c r="AH191" s="43">
        <f>SUM(Table2[[#This Row],[1]:[31]])</f>
        <v>0</v>
      </c>
    </row>
    <row r="192" spans="1:34" ht="12.75" customHeight="1">
      <c r="A192" s="76" t="str">
        <f>DSSP!A191</f>
        <v>GC116</v>
      </c>
      <c r="B192" s="25" t="str">
        <f>DSSP!B191</f>
        <v>Cỏ bốn lá nhỏ</v>
      </c>
      <c r="C192" s="42" t="str">
        <f>IF(SUMIFS(Sheet2!$E:$E,Sheet2!$C:$C,$A192,Sheet2!$A:$A,C$2)&lt;&gt;0,SUMIFS(Sheet2!$E:$E,Sheet2!$C:$C,$A192,Sheet2!$A:$A,C$2),"")</f>
        <v/>
      </c>
      <c r="D192" s="42" t="str">
        <f>IF(SUMIFS(Sheet2!$E:$E,Sheet2!$C:$C,$A192,Sheet2!$A:$A,D$2)&lt;&gt;0,SUMIFS(Sheet2!$E:$E,Sheet2!$C:$C,$A192,Sheet2!$A:$A,D$2),"")</f>
        <v/>
      </c>
      <c r="E192" s="42" t="str">
        <f>IF(SUMIFS(Sheet2!$E:$E,Sheet2!$C:$C,$A192,Sheet2!$A:$A,E$2)&lt;&gt;0,SUMIFS(Sheet2!$E:$E,Sheet2!$C:$C,$A192,Sheet2!$A:$A,E$2),"")</f>
        <v/>
      </c>
      <c r="F192" s="42" t="str">
        <f>IF(SUMIFS(Sheet2!$E:$E,Sheet2!$C:$C,$A192,Sheet2!$A:$A,F$2)&lt;&gt;0,SUMIFS(Sheet2!$E:$E,Sheet2!$C:$C,$A192,Sheet2!$A:$A,F$2),"")</f>
        <v/>
      </c>
      <c r="G192" s="42" t="str">
        <f>IF(SUMIFS(Sheet2!$E:$E,Sheet2!$C:$C,$A192,Sheet2!$A:$A,G$2)&lt;&gt;0,SUMIFS(Sheet2!$E:$E,Sheet2!$C:$C,$A192,Sheet2!$A:$A,G$2),"")</f>
        <v/>
      </c>
      <c r="H192" s="42" t="str">
        <f>IF(SUMIFS(Sheet2!$E:$E,Sheet2!$C:$C,$A192,Sheet2!$A:$A,H$2)&lt;&gt;0,SUMIFS(Sheet2!$E:$E,Sheet2!$C:$C,$A192,Sheet2!$A:$A,H$2),"")</f>
        <v/>
      </c>
      <c r="I192" s="42" t="str">
        <f>IF(SUMIFS(Sheet2!$E:$E,Sheet2!$C:$C,$A192,Sheet2!$A:$A,I$2)&lt;&gt;0,SUMIFS(Sheet2!$E:$E,Sheet2!$C:$C,$A192,Sheet2!$A:$A,I$2),"")</f>
        <v/>
      </c>
      <c r="J192" s="42" t="str">
        <f>IF(SUMIFS(Sheet2!$E:$E,Sheet2!$C:$C,$A192,Sheet2!$A:$A,J$2)&lt;&gt;0,SUMIFS(Sheet2!$E:$E,Sheet2!$C:$C,$A192,Sheet2!$A:$A,J$2),"")</f>
        <v/>
      </c>
      <c r="K192" s="42" t="str">
        <f>IF(SUMIFS(Sheet2!$E:$E,Sheet2!$C:$C,$A192,Sheet2!$A:$A,K$2)&lt;&gt;0,SUMIFS(Sheet2!$E:$E,Sheet2!$C:$C,$A192,Sheet2!$A:$A,K$2),"")</f>
        <v/>
      </c>
      <c r="L192" s="42" t="str">
        <f>IF(SUMIFS(Sheet2!$E:$E,Sheet2!$C:$C,$A192,Sheet2!$A:$A,L$2)&lt;&gt;0,SUMIFS(Sheet2!$E:$E,Sheet2!$C:$C,$A192,Sheet2!$A:$A,L$2),"")</f>
        <v/>
      </c>
      <c r="M192" s="42" t="str">
        <f>IF(SUMIFS(Sheet2!$E:$E,Sheet2!$C:$C,$A192,Sheet2!$A:$A,M$2)&lt;&gt;0,SUMIFS(Sheet2!$E:$E,Sheet2!$C:$C,$A192,Sheet2!$A:$A,M$2),"")</f>
        <v/>
      </c>
      <c r="N192" s="42" t="str">
        <f>IF(SUMIFS(Sheet2!$E:$E,Sheet2!$C:$C,$A192,Sheet2!$A:$A,N$2)&lt;&gt;0,SUMIFS(Sheet2!$E:$E,Sheet2!$C:$C,$A192,Sheet2!$A:$A,N$2),"")</f>
        <v/>
      </c>
      <c r="O192" s="42" t="str">
        <f>IF(SUMIFS(Sheet2!$E:$E,Sheet2!$C:$C,$A192,Sheet2!$A:$A,O$2)&lt;&gt;0,SUMIFS(Sheet2!$E:$E,Sheet2!$C:$C,$A192,Sheet2!$A:$A,O$2),"")</f>
        <v/>
      </c>
      <c r="P192" s="42" t="str">
        <f>IF(SUMIFS(Sheet2!$E:$E,Sheet2!$C:$C,$A192,Sheet2!$A:$A,P$2)&lt;&gt;0,SUMIFS(Sheet2!$E:$E,Sheet2!$C:$C,$A192,Sheet2!$A:$A,P$2),"")</f>
        <v/>
      </c>
      <c r="Q192" s="42" t="str">
        <f>IF(SUMIFS(Sheet2!$E:$E,Sheet2!$C:$C,$A192,Sheet2!$A:$A,Q$2)&lt;&gt;0,SUMIFS(Sheet2!$E:$E,Sheet2!$C:$C,$A192,Sheet2!$A:$A,Q$2),"")</f>
        <v/>
      </c>
      <c r="R192" s="42" t="str">
        <f>IF(SUMIFS(Sheet2!$E:$E,Sheet2!$C:$C,$A192,Sheet2!$A:$A,R$2)&lt;&gt;0,SUMIFS(Sheet2!$E:$E,Sheet2!$C:$C,$A192,Sheet2!$A:$A,R$2),"")</f>
        <v/>
      </c>
      <c r="S192" s="42" t="str">
        <f>IF(SUMIFS(Sheet2!$E:$E,Sheet2!$C:$C,$A192,Sheet2!$A:$A,S$2)&lt;&gt;0,SUMIFS(Sheet2!$E:$E,Sheet2!$C:$C,$A192,Sheet2!$A:$A,S$2),"")</f>
        <v/>
      </c>
      <c r="T192" s="42" t="str">
        <f>IF(SUMIFS(Sheet2!$E:$E,Sheet2!$C:$C,$A192,Sheet2!$A:$A,T$2)&lt;&gt;0,SUMIFS(Sheet2!$E:$E,Sheet2!$C:$C,$A192,Sheet2!$A:$A,T$2),"")</f>
        <v/>
      </c>
      <c r="U192" s="42" t="str">
        <f>IF(SUMIFS(Sheet2!$E:$E,Sheet2!$C:$C,$A192,Sheet2!$A:$A,U$2)&lt;&gt;0,SUMIFS(Sheet2!$E:$E,Sheet2!$C:$C,$A192,Sheet2!$A:$A,U$2),"")</f>
        <v/>
      </c>
      <c r="V192" s="42" t="str">
        <f>IF(SUMIFS(Sheet2!$E:$E,Sheet2!$C:$C,$A192,Sheet2!$A:$A,V$2)&lt;&gt;0,SUMIFS(Sheet2!$E:$E,Sheet2!$C:$C,$A192,Sheet2!$A:$A,V$2),"")</f>
        <v/>
      </c>
      <c r="W192" s="42" t="str">
        <f>IF(SUMIFS(Sheet2!$E:$E,Sheet2!$C:$C,$A192,Sheet2!$A:$A,W$2)&lt;&gt;0,SUMIFS(Sheet2!$E:$E,Sheet2!$C:$C,$A192,Sheet2!$A:$A,W$2),"")</f>
        <v/>
      </c>
      <c r="X192" s="42" t="str">
        <f>IF(SUMIFS(Sheet2!$E:$E,Sheet2!$C:$C,$A192,Sheet2!$A:$A,X$2)&lt;&gt;0,SUMIFS(Sheet2!$E:$E,Sheet2!$C:$C,$A192,Sheet2!$A:$A,X$2),"")</f>
        <v/>
      </c>
      <c r="Y192" s="42" t="str">
        <f>IF(SUMIFS(Sheet2!$E:$E,Sheet2!$C:$C,$A192,Sheet2!$A:$A,Y$2)&lt;&gt;0,SUMIFS(Sheet2!$E:$E,Sheet2!$C:$C,$A192,Sheet2!$A:$A,Y$2),"")</f>
        <v/>
      </c>
      <c r="Z192" s="42" t="str">
        <f>IF(SUMIFS(Sheet2!$E:$E,Sheet2!$C:$C,$A192,Sheet2!$A:$A,Z$2)&lt;&gt;0,SUMIFS(Sheet2!$E:$E,Sheet2!$C:$C,$A192,Sheet2!$A:$A,Z$2),"")</f>
        <v/>
      </c>
      <c r="AA192" s="42" t="str">
        <f>IF(SUMIFS(Sheet2!$E:$E,Sheet2!$C:$C,$A192,Sheet2!$A:$A,AA$2)&lt;&gt;0,SUMIFS(Sheet2!$E:$E,Sheet2!$C:$C,$A192,Sheet2!$A:$A,AA$2),"")</f>
        <v/>
      </c>
      <c r="AB192" s="42" t="str">
        <f>IF(SUMIFS(Sheet2!$E:$E,Sheet2!$C:$C,$A192,Sheet2!$A:$A,AB$2)&lt;&gt;0,SUMIFS(Sheet2!$E:$E,Sheet2!$C:$C,$A192,Sheet2!$A:$A,AB$2),"")</f>
        <v/>
      </c>
      <c r="AC192" s="42" t="str">
        <f>IF(SUMIFS(Sheet2!$E:$E,Sheet2!$C:$C,$A192,Sheet2!$A:$A,AC$2)&lt;&gt;0,SUMIFS(Sheet2!$E:$E,Sheet2!$C:$C,$A192,Sheet2!$A:$A,AC$2),"")</f>
        <v/>
      </c>
      <c r="AD192" s="42" t="str">
        <f>IF(SUMIFS(Sheet2!$E:$E,Sheet2!$C:$C,$A192,Sheet2!$A:$A,AD$2)&lt;&gt;0,SUMIFS(Sheet2!$E:$E,Sheet2!$C:$C,$A192,Sheet2!$A:$A,AD$2),"")</f>
        <v/>
      </c>
      <c r="AE192" s="42" t="str">
        <f>IF(SUMIFS(Sheet2!$E:$E,Sheet2!$C:$C,$A192,Sheet2!$A:$A,AE$2)&lt;&gt;0,SUMIFS(Sheet2!$E:$E,Sheet2!$C:$C,$A192,Sheet2!$A:$A,AE$2),"")</f>
        <v/>
      </c>
      <c r="AF192" s="42" t="str">
        <f>IF(SUMIFS(Sheet2!$E:$E,Sheet2!$C:$C,$A192,Sheet2!$A:$A,AF$2)&lt;&gt;0,SUMIFS(Sheet2!$E:$E,Sheet2!$C:$C,$A192,Sheet2!$A:$A,AF$2),"")</f>
        <v/>
      </c>
      <c r="AG192" s="42" t="str">
        <f>IF(SUMIFS(Sheet2!$E:$E,Sheet2!$C:$C,$A192,Sheet2!$A:$A,AG$2)&lt;&gt;0,SUMIFS(Sheet2!$E:$E,Sheet2!$C:$C,$A192,Sheet2!$A:$A,AG$2),"")</f>
        <v/>
      </c>
      <c r="AH192" s="43">
        <f>SUM(Table2[[#This Row],[1]:[31]])</f>
        <v>0</v>
      </c>
    </row>
    <row r="193" spans="1:34" ht="12.75" customHeight="1">
      <c r="A193" s="76" t="str">
        <f>DSSP!A192</f>
        <v>GC117</v>
      </c>
      <c r="B193" s="25" t="str">
        <f>DSSP!B192</f>
        <v>Cây nhiều lá</v>
      </c>
      <c r="C193" s="42" t="str">
        <f>IF(SUMIFS(Sheet2!$E:$E,Sheet2!$C:$C,$A193,Sheet2!$A:$A,C$2)&lt;&gt;0,SUMIFS(Sheet2!$E:$E,Sheet2!$C:$C,$A193,Sheet2!$A:$A,C$2),"")</f>
        <v/>
      </c>
      <c r="D193" s="42" t="str">
        <f>IF(SUMIFS(Sheet2!$E:$E,Sheet2!$C:$C,$A193,Sheet2!$A:$A,D$2)&lt;&gt;0,SUMIFS(Sheet2!$E:$E,Sheet2!$C:$C,$A193,Sheet2!$A:$A,D$2),"")</f>
        <v/>
      </c>
      <c r="E193" s="42" t="str">
        <f>IF(SUMIFS(Sheet2!$E:$E,Sheet2!$C:$C,$A193,Sheet2!$A:$A,E$2)&lt;&gt;0,SUMIFS(Sheet2!$E:$E,Sheet2!$C:$C,$A193,Sheet2!$A:$A,E$2),"")</f>
        <v/>
      </c>
      <c r="F193" s="42" t="str">
        <f>IF(SUMIFS(Sheet2!$E:$E,Sheet2!$C:$C,$A193,Sheet2!$A:$A,F$2)&lt;&gt;0,SUMIFS(Sheet2!$E:$E,Sheet2!$C:$C,$A193,Sheet2!$A:$A,F$2),"")</f>
        <v/>
      </c>
      <c r="G193" s="42" t="str">
        <f>IF(SUMIFS(Sheet2!$E:$E,Sheet2!$C:$C,$A193,Sheet2!$A:$A,G$2)&lt;&gt;0,SUMIFS(Sheet2!$E:$E,Sheet2!$C:$C,$A193,Sheet2!$A:$A,G$2),"")</f>
        <v/>
      </c>
      <c r="H193" s="42" t="str">
        <f>IF(SUMIFS(Sheet2!$E:$E,Sheet2!$C:$C,$A193,Sheet2!$A:$A,H$2)&lt;&gt;0,SUMIFS(Sheet2!$E:$E,Sheet2!$C:$C,$A193,Sheet2!$A:$A,H$2),"")</f>
        <v/>
      </c>
      <c r="I193" s="42" t="str">
        <f>IF(SUMIFS(Sheet2!$E:$E,Sheet2!$C:$C,$A193,Sheet2!$A:$A,I$2)&lt;&gt;0,SUMIFS(Sheet2!$E:$E,Sheet2!$C:$C,$A193,Sheet2!$A:$A,I$2),"")</f>
        <v/>
      </c>
      <c r="J193" s="42" t="str">
        <f>IF(SUMIFS(Sheet2!$E:$E,Sheet2!$C:$C,$A193,Sheet2!$A:$A,J$2)&lt;&gt;0,SUMIFS(Sheet2!$E:$E,Sheet2!$C:$C,$A193,Sheet2!$A:$A,J$2),"")</f>
        <v/>
      </c>
      <c r="K193" s="42" t="str">
        <f>IF(SUMIFS(Sheet2!$E:$E,Sheet2!$C:$C,$A193,Sheet2!$A:$A,K$2)&lt;&gt;0,SUMIFS(Sheet2!$E:$E,Sheet2!$C:$C,$A193,Sheet2!$A:$A,K$2),"")</f>
        <v/>
      </c>
      <c r="L193" s="42" t="str">
        <f>IF(SUMIFS(Sheet2!$E:$E,Sheet2!$C:$C,$A193,Sheet2!$A:$A,L$2)&lt;&gt;0,SUMIFS(Sheet2!$E:$E,Sheet2!$C:$C,$A193,Sheet2!$A:$A,L$2),"")</f>
        <v/>
      </c>
      <c r="M193" s="42" t="str">
        <f>IF(SUMIFS(Sheet2!$E:$E,Sheet2!$C:$C,$A193,Sheet2!$A:$A,M$2)&lt;&gt;0,SUMIFS(Sheet2!$E:$E,Sheet2!$C:$C,$A193,Sheet2!$A:$A,M$2),"")</f>
        <v/>
      </c>
      <c r="N193" s="42" t="str">
        <f>IF(SUMIFS(Sheet2!$E:$E,Sheet2!$C:$C,$A193,Sheet2!$A:$A,N$2)&lt;&gt;0,SUMIFS(Sheet2!$E:$E,Sheet2!$C:$C,$A193,Sheet2!$A:$A,N$2),"")</f>
        <v/>
      </c>
      <c r="O193" s="42" t="str">
        <f>IF(SUMIFS(Sheet2!$E:$E,Sheet2!$C:$C,$A193,Sheet2!$A:$A,O$2)&lt;&gt;0,SUMIFS(Sheet2!$E:$E,Sheet2!$C:$C,$A193,Sheet2!$A:$A,O$2),"")</f>
        <v/>
      </c>
      <c r="P193" s="42" t="str">
        <f>IF(SUMIFS(Sheet2!$E:$E,Sheet2!$C:$C,$A193,Sheet2!$A:$A,P$2)&lt;&gt;0,SUMIFS(Sheet2!$E:$E,Sheet2!$C:$C,$A193,Sheet2!$A:$A,P$2),"")</f>
        <v/>
      </c>
      <c r="Q193" s="42" t="str">
        <f>IF(SUMIFS(Sheet2!$E:$E,Sheet2!$C:$C,$A193,Sheet2!$A:$A,Q$2)&lt;&gt;0,SUMIFS(Sheet2!$E:$E,Sheet2!$C:$C,$A193,Sheet2!$A:$A,Q$2),"")</f>
        <v/>
      </c>
      <c r="R193" s="42" t="str">
        <f>IF(SUMIFS(Sheet2!$E:$E,Sheet2!$C:$C,$A193,Sheet2!$A:$A,R$2)&lt;&gt;0,SUMIFS(Sheet2!$E:$E,Sheet2!$C:$C,$A193,Sheet2!$A:$A,R$2),"")</f>
        <v/>
      </c>
      <c r="S193" s="42" t="str">
        <f>IF(SUMIFS(Sheet2!$E:$E,Sheet2!$C:$C,$A193,Sheet2!$A:$A,S$2)&lt;&gt;0,SUMIFS(Sheet2!$E:$E,Sheet2!$C:$C,$A193,Sheet2!$A:$A,S$2),"")</f>
        <v/>
      </c>
      <c r="T193" s="42" t="str">
        <f>IF(SUMIFS(Sheet2!$E:$E,Sheet2!$C:$C,$A193,Sheet2!$A:$A,T$2)&lt;&gt;0,SUMIFS(Sheet2!$E:$E,Sheet2!$C:$C,$A193,Sheet2!$A:$A,T$2),"")</f>
        <v/>
      </c>
      <c r="U193" s="42" t="str">
        <f>IF(SUMIFS(Sheet2!$E:$E,Sheet2!$C:$C,$A193,Sheet2!$A:$A,U$2)&lt;&gt;0,SUMIFS(Sheet2!$E:$E,Sheet2!$C:$C,$A193,Sheet2!$A:$A,U$2),"")</f>
        <v/>
      </c>
      <c r="V193" s="42" t="str">
        <f>IF(SUMIFS(Sheet2!$E:$E,Sheet2!$C:$C,$A193,Sheet2!$A:$A,V$2)&lt;&gt;0,SUMIFS(Sheet2!$E:$E,Sheet2!$C:$C,$A193,Sheet2!$A:$A,V$2),"")</f>
        <v/>
      </c>
      <c r="W193" s="42" t="str">
        <f>IF(SUMIFS(Sheet2!$E:$E,Sheet2!$C:$C,$A193,Sheet2!$A:$A,W$2)&lt;&gt;0,SUMIFS(Sheet2!$E:$E,Sheet2!$C:$C,$A193,Sheet2!$A:$A,W$2),"")</f>
        <v/>
      </c>
      <c r="X193" s="42" t="str">
        <f>IF(SUMIFS(Sheet2!$E:$E,Sheet2!$C:$C,$A193,Sheet2!$A:$A,X$2)&lt;&gt;0,SUMIFS(Sheet2!$E:$E,Sheet2!$C:$C,$A193,Sheet2!$A:$A,X$2),"")</f>
        <v/>
      </c>
      <c r="Y193" s="42" t="str">
        <f>IF(SUMIFS(Sheet2!$E:$E,Sheet2!$C:$C,$A193,Sheet2!$A:$A,Y$2)&lt;&gt;0,SUMIFS(Sheet2!$E:$E,Sheet2!$C:$C,$A193,Sheet2!$A:$A,Y$2),"")</f>
        <v/>
      </c>
      <c r="Z193" s="42" t="str">
        <f>IF(SUMIFS(Sheet2!$E:$E,Sheet2!$C:$C,$A193,Sheet2!$A:$A,Z$2)&lt;&gt;0,SUMIFS(Sheet2!$E:$E,Sheet2!$C:$C,$A193,Sheet2!$A:$A,Z$2),"")</f>
        <v/>
      </c>
      <c r="AA193" s="42" t="str">
        <f>IF(SUMIFS(Sheet2!$E:$E,Sheet2!$C:$C,$A193,Sheet2!$A:$A,AA$2)&lt;&gt;0,SUMIFS(Sheet2!$E:$E,Sheet2!$C:$C,$A193,Sheet2!$A:$A,AA$2),"")</f>
        <v/>
      </c>
      <c r="AB193" s="42" t="str">
        <f>IF(SUMIFS(Sheet2!$E:$E,Sheet2!$C:$C,$A193,Sheet2!$A:$A,AB$2)&lt;&gt;0,SUMIFS(Sheet2!$E:$E,Sheet2!$C:$C,$A193,Sheet2!$A:$A,AB$2),"")</f>
        <v/>
      </c>
      <c r="AC193" s="42" t="str">
        <f>IF(SUMIFS(Sheet2!$E:$E,Sheet2!$C:$C,$A193,Sheet2!$A:$A,AC$2)&lt;&gt;0,SUMIFS(Sheet2!$E:$E,Sheet2!$C:$C,$A193,Sheet2!$A:$A,AC$2),"")</f>
        <v/>
      </c>
      <c r="AD193" s="42" t="str">
        <f>IF(SUMIFS(Sheet2!$E:$E,Sheet2!$C:$C,$A193,Sheet2!$A:$A,AD$2)&lt;&gt;0,SUMIFS(Sheet2!$E:$E,Sheet2!$C:$C,$A193,Sheet2!$A:$A,AD$2),"")</f>
        <v/>
      </c>
      <c r="AE193" s="42" t="str">
        <f>IF(SUMIFS(Sheet2!$E:$E,Sheet2!$C:$C,$A193,Sheet2!$A:$A,AE$2)&lt;&gt;0,SUMIFS(Sheet2!$E:$E,Sheet2!$C:$C,$A193,Sheet2!$A:$A,AE$2),"")</f>
        <v/>
      </c>
      <c r="AF193" s="42" t="str">
        <f>IF(SUMIFS(Sheet2!$E:$E,Sheet2!$C:$C,$A193,Sheet2!$A:$A,AF$2)&lt;&gt;0,SUMIFS(Sheet2!$E:$E,Sheet2!$C:$C,$A193,Sheet2!$A:$A,AF$2),"")</f>
        <v/>
      </c>
      <c r="AG193" s="42" t="str">
        <f>IF(SUMIFS(Sheet2!$E:$E,Sheet2!$C:$C,$A193,Sheet2!$A:$A,AG$2)&lt;&gt;0,SUMIFS(Sheet2!$E:$E,Sheet2!$C:$C,$A193,Sheet2!$A:$A,AG$2),"")</f>
        <v/>
      </c>
      <c r="AH193" s="43">
        <f>SUM(Table2[[#This Row],[1]:[31]])</f>
        <v>0</v>
      </c>
    </row>
    <row r="194" spans="1:34" ht="12.75" customHeight="1">
      <c r="A194" s="76" t="str">
        <f>DSSP!A193</f>
        <v>GC118</v>
      </c>
      <c r="B194" s="25" t="str">
        <f>DSSP!B193</f>
        <v>Cánh bướm</v>
      </c>
      <c r="C194" s="42" t="str">
        <f>IF(SUMIFS(Sheet2!$E:$E,Sheet2!$C:$C,$A194,Sheet2!$A:$A,C$2)&lt;&gt;0,SUMIFS(Sheet2!$E:$E,Sheet2!$C:$C,$A194,Sheet2!$A:$A,C$2),"")</f>
        <v/>
      </c>
      <c r="D194" s="42" t="str">
        <f>IF(SUMIFS(Sheet2!$E:$E,Sheet2!$C:$C,$A194,Sheet2!$A:$A,D$2)&lt;&gt;0,SUMIFS(Sheet2!$E:$E,Sheet2!$C:$C,$A194,Sheet2!$A:$A,D$2),"")</f>
        <v/>
      </c>
      <c r="E194" s="42" t="str">
        <f>IF(SUMIFS(Sheet2!$E:$E,Sheet2!$C:$C,$A194,Sheet2!$A:$A,E$2)&lt;&gt;0,SUMIFS(Sheet2!$E:$E,Sheet2!$C:$C,$A194,Sheet2!$A:$A,E$2),"")</f>
        <v/>
      </c>
      <c r="F194" s="42" t="str">
        <f>IF(SUMIFS(Sheet2!$E:$E,Sheet2!$C:$C,$A194,Sheet2!$A:$A,F$2)&lt;&gt;0,SUMIFS(Sheet2!$E:$E,Sheet2!$C:$C,$A194,Sheet2!$A:$A,F$2),"")</f>
        <v/>
      </c>
      <c r="G194" s="42" t="str">
        <f>IF(SUMIFS(Sheet2!$E:$E,Sheet2!$C:$C,$A194,Sheet2!$A:$A,G$2)&lt;&gt;0,SUMIFS(Sheet2!$E:$E,Sheet2!$C:$C,$A194,Sheet2!$A:$A,G$2),"")</f>
        <v/>
      </c>
      <c r="H194" s="42" t="str">
        <f>IF(SUMIFS(Sheet2!$E:$E,Sheet2!$C:$C,$A194,Sheet2!$A:$A,H$2)&lt;&gt;0,SUMIFS(Sheet2!$E:$E,Sheet2!$C:$C,$A194,Sheet2!$A:$A,H$2),"")</f>
        <v/>
      </c>
      <c r="I194" s="42" t="str">
        <f>IF(SUMIFS(Sheet2!$E:$E,Sheet2!$C:$C,$A194,Sheet2!$A:$A,I$2)&lt;&gt;0,SUMIFS(Sheet2!$E:$E,Sheet2!$C:$C,$A194,Sheet2!$A:$A,I$2),"")</f>
        <v/>
      </c>
      <c r="J194" s="42" t="str">
        <f>IF(SUMIFS(Sheet2!$E:$E,Sheet2!$C:$C,$A194,Sheet2!$A:$A,J$2)&lt;&gt;0,SUMIFS(Sheet2!$E:$E,Sheet2!$C:$C,$A194,Sheet2!$A:$A,J$2),"")</f>
        <v/>
      </c>
      <c r="K194" s="42" t="str">
        <f>IF(SUMIFS(Sheet2!$E:$E,Sheet2!$C:$C,$A194,Sheet2!$A:$A,K$2)&lt;&gt;0,SUMIFS(Sheet2!$E:$E,Sheet2!$C:$C,$A194,Sheet2!$A:$A,K$2),"")</f>
        <v/>
      </c>
      <c r="L194" s="42" t="str">
        <f>IF(SUMIFS(Sheet2!$E:$E,Sheet2!$C:$C,$A194,Sheet2!$A:$A,L$2)&lt;&gt;0,SUMIFS(Sheet2!$E:$E,Sheet2!$C:$C,$A194,Sheet2!$A:$A,L$2),"")</f>
        <v/>
      </c>
      <c r="M194" s="42" t="str">
        <f>IF(SUMIFS(Sheet2!$E:$E,Sheet2!$C:$C,$A194,Sheet2!$A:$A,M$2)&lt;&gt;0,SUMIFS(Sheet2!$E:$E,Sheet2!$C:$C,$A194,Sheet2!$A:$A,M$2),"")</f>
        <v/>
      </c>
      <c r="N194" s="42" t="str">
        <f>IF(SUMIFS(Sheet2!$E:$E,Sheet2!$C:$C,$A194,Sheet2!$A:$A,N$2)&lt;&gt;0,SUMIFS(Sheet2!$E:$E,Sheet2!$C:$C,$A194,Sheet2!$A:$A,N$2),"")</f>
        <v/>
      </c>
      <c r="O194" s="42" t="str">
        <f>IF(SUMIFS(Sheet2!$E:$E,Sheet2!$C:$C,$A194,Sheet2!$A:$A,O$2)&lt;&gt;0,SUMIFS(Sheet2!$E:$E,Sheet2!$C:$C,$A194,Sheet2!$A:$A,O$2),"")</f>
        <v/>
      </c>
      <c r="P194" s="42" t="str">
        <f>IF(SUMIFS(Sheet2!$E:$E,Sheet2!$C:$C,$A194,Sheet2!$A:$A,P$2)&lt;&gt;0,SUMIFS(Sheet2!$E:$E,Sheet2!$C:$C,$A194,Sheet2!$A:$A,P$2),"")</f>
        <v/>
      </c>
      <c r="Q194" s="42" t="str">
        <f>IF(SUMIFS(Sheet2!$E:$E,Sheet2!$C:$C,$A194,Sheet2!$A:$A,Q$2)&lt;&gt;0,SUMIFS(Sheet2!$E:$E,Sheet2!$C:$C,$A194,Sheet2!$A:$A,Q$2),"")</f>
        <v/>
      </c>
      <c r="R194" s="42" t="str">
        <f>IF(SUMIFS(Sheet2!$E:$E,Sheet2!$C:$C,$A194,Sheet2!$A:$A,R$2)&lt;&gt;0,SUMIFS(Sheet2!$E:$E,Sheet2!$C:$C,$A194,Sheet2!$A:$A,R$2),"")</f>
        <v/>
      </c>
      <c r="S194" s="42" t="str">
        <f>IF(SUMIFS(Sheet2!$E:$E,Sheet2!$C:$C,$A194,Sheet2!$A:$A,S$2)&lt;&gt;0,SUMIFS(Sheet2!$E:$E,Sheet2!$C:$C,$A194,Sheet2!$A:$A,S$2),"")</f>
        <v/>
      </c>
      <c r="T194" s="42" t="str">
        <f>IF(SUMIFS(Sheet2!$E:$E,Sheet2!$C:$C,$A194,Sheet2!$A:$A,T$2)&lt;&gt;0,SUMIFS(Sheet2!$E:$E,Sheet2!$C:$C,$A194,Sheet2!$A:$A,T$2),"")</f>
        <v/>
      </c>
      <c r="U194" s="42" t="str">
        <f>IF(SUMIFS(Sheet2!$E:$E,Sheet2!$C:$C,$A194,Sheet2!$A:$A,U$2)&lt;&gt;0,SUMIFS(Sheet2!$E:$E,Sheet2!$C:$C,$A194,Sheet2!$A:$A,U$2),"")</f>
        <v/>
      </c>
      <c r="V194" s="42" t="str">
        <f>IF(SUMIFS(Sheet2!$E:$E,Sheet2!$C:$C,$A194,Sheet2!$A:$A,V$2)&lt;&gt;0,SUMIFS(Sheet2!$E:$E,Sheet2!$C:$C,$A194,Sheet2!$A:$A,V$2),"")</f>
        <v/>
      </c>
      <c r="W194" s="42" t="str">
        <f>IF(SUMIFS(Sheet2!$E:$E,Sheet2!$C:$C,$A194,Sheet2!$A:$A,W$2)&lt;&gt;0,SUMIFS(Sheet2!$E:$E,Sheet2!$C:$C,$A194,Sheet2!$A:$A,W$2),"")</f>
        <v/>
      </c>
      <c r="X194" s="42" t="str">
        <f>IF(SUMIFS(Sheet2!$E:$E,Sheet2!$C:$C,$A194,Sheet2!$A:$A,X$2)&lt;&gt;0,SUMIFS(Sheet2!$E:$E,Sheet2!$C:$C,$A194,Sheet2!$A:$A,X$2),"")</f>
        <v/>
      </c>
      <c r="Y194" s="42" t="str">
        <f>IF(SUMIFS(Sheet2!$E:$E,Sheet2!$C:$C,$A194,Sheet2!$A:$A,Y$2)&lt;&gt;0,SUMIFS(Sheet2!$E:$E,Sheet2!$C:$C,$A194,Sheet2!$A:$A,Y$2),"")</f>
        <v/>
      </c>
      <c r="Z194" s="42" t="str">
        <f>IF(SUMIFS(Sheet2!$E:$E,Sheet2!$C:$C,$A194,Sheet2!$A:$A,Z$2)&lt;&gt;0,SUMIFS(Sheet2!$E:$E,Sheet2!$C:$C,$A194,Sheet2!$A:$A,Z$2),"")</f>
        <v/>
      </c>
      <c r="AA194" s="42" t="str">
        <f>IF(SUMIFS(Sheet2!$E:$E,Sheet2!$C:$C,$A194,Sheet2!$A:$A,AA$2)&lt;&gt;0,SUMIFS(Sheet2!$E:$E,Sheet2!$C:$C,$A194,Sheet2!$A:$A,AA$2),"")</f>
        <v/>
      </c>
      <c r="AB194" s="42" t="str">
        <f>IF(SUMIFS(Sheet2!$E:$E,Sheet2!$C:$C,$A194,Sheet2!$A:$A,AB$2)&lt;&gt;0,SUMIFS(Sheet2!$E:$E,Sheet2!$C:$C,$A194,Sheet2!$A:$A,AB$2),"")</f>
        <v/>
      </c>
      <c r="AC194" s="42" t="str">
        <f>IF(SUMIFS(Sheet2!$E:$E,Sheet2!$C:$C,$A194,Sheet2!$A:$A,AC$2)&lt;&gt;0,SUMIFS(Sheet2!$E:$E,Sheet2!$C:$C,$A194,Sheet2!$A:$A,AC$2),"")</f>
        <v/>
      </c>
      <c r="AD194" s="42" t="str">
        <f>IF(SUMIFS(Sheet2!$E:$E,Sheet2!$C:$C,$A194,Sheet2!$A:$A,AD$2)&lt;&gt;0,SUMIFS(Sheet2!$E:$E,Sheet2!$C:$C,$A194,Sheet2!$A:$A,AD$2),"")</f>
        <v/>
      </c>
      <c r="AE194" s="42" t="str">
        <f>IF(SUMIFS(Sheet2!$E:$E,Sheet2!$C:$C,$A194,Sheet2!$A:$A,AE$2)&lt;&gt;0,SUMIFS(Sheet2!$E:$E,Sheet2!$C:$C,$A194,Sheet2!$A:$A,AE$2),"")</f>
        <v/>
      </c>
      <c r="AF194" s="42" t="str">
        <f>IF(SUMIFS(Sheet2!$E:$E,Sheet2!$C:$C,$A194,Sheet2!$A:$A,AF$2)&lt;&gt;0,SUMIFS(Sheet2!$E:$E,Sheet2!$C:$C,$A194,Sheet2!$A:$A,AF$2),"")</f>
        <v/>
      </c>
      <c r="AG194" s="42" t="str">
        <f>IF(SUMIFS(Sheet2!$E:$E,Sheet2!$C:$C,$A194,Sheet2!$A:$A,AG$2)&lt;&gt;0,SUMIFS(Sheet2!$E:$E,Sheet2!$C:$C,$A194,Sheet2!$A:$A,AG$2),"")</f>
        <v/>
      </c>
      <c r="AH194" s="43">
        <f>SUM(Table2[[#This Row],[1]:[31]])</f>
        <v>0</v>
      </c>
    </row>
    <row r="195" spans="1:34" ht="12.75" customHeight="1">
      <c r="A195" s="76" t="str">
        <f>DSSP!A194</f>
        <v>GC119</v>
      </c>
      <c r="B195" s="25" t="str">
        <f>DSSP!B194</f>
        <v>Ngôi sao nhỏ</v>
      </c>
      <c r="C195" s="42" t="str">
        <f>IF(SUMIFS(Sheet2!$E:$E,Sheet2!$C:$C,$A195,Sheet2!$A:$A,C$2)&lt;&gt;0,SUMIFS(Sheet2!$E:$E,Sheet2!$C:$C,$A195,Sheet2!$A:$A,C$2),"")</f>
        <v/>
      </c>
      <c r="D195" s="42" t="str">
        <f>IF(SUMIFS(Sheet2!$E:$E,Sheet2!$C:$C,$A195,Sheet2!$A:$A,D$2)&lt;&gt;0,SUMIFS(Sheet2!$E:$E,Sheet2!$C:$C,$A195,Sheet2!$A:$A,D$2),"")</f>
        <v/>
      </c>
      <c r="E195" s="42" t="str">
        <f>IF(SUMIFS(Sheet2!$E:$E,Sheet2!$C:$C,$A195,Sheet2!$A:$A,E$2)&lt;&gt;0,SUMIFS(Sheet2!$E:$E,Sheet2!$C:$C,$A195,Sheet2!$A:$A,E$2),"")</f>
        <v/>
      </c>
      <c r="F195" s="42" t="str">
        <f>IF(SUMIFS(Sheet2!$E:$E,Sheet2!$C:$C,$A195,Sheet2!$A:$A,F$2)&lt;&gt;0,SUMIFS(Sheet2!$E:$E,Sheet2!$C:$C,$A195,Sheet2!$A:$A,F$2),"")</f>
        <v/>
      </c>
      <c r="G195" s="42" t="str">
        <f>IF(SUMIFS(Sheet2!$E:$E,Sheet2!$C:$C,$A195,Sheet2!$A:$A,G$2)&lt;&gt;0,SUMIFS(Sheet2!$E:$E,Sheet2!$C:$C,$A195,Sheet2!$A:$A,G$2),"")</f>
        <v/>
      </c>
      <c r="H195" s="42" t="str">
        <f>IF(SUMIFS(Sheet2!$E:$E,Sheet2!$C:$C,$A195,Sheet2!$A:$A,H$2)&lt;&gt;0,SUMIFS(Sheet2!$E:$E,Sheet2!$C:$C,$A195,Sheet2!$A:$A,H$2),"")</f>
        <v/>
      </c>
      <c r="I195" s="42" t="str">
        <f>IF(SUMIFS(Sheet2!$E:$E,Sheet2!$C:$C,$A195,Sheet2!$A:$A,I$2)&lt;&gt;0,SUMIFS(Sheet2!$E:$E,Sheet2!$C:$C,$A195,Sheet2!$A:$A,I$2),"")</f>
        <v/>
      </c>
      <c r="J195" s="42" t="str">
        <f>IF(SUMIFS(Sheet2!$E:$E,Sheet2!$C:$C,$A195,Sheet2!$A:$A,J$2)&lt;&gt;0,SUMIFS(Sheet2!$E:$E,Sheet2!$C:$C,$A195,Sheet2!$A:$A,J$2),"")</f>
        <v/>
      </c>
      <c r="K195" s="42" t="str">
        <f>IF(SUMIFS(Sheet2!$E:$E,Sheet2!$C:$C,$A195,Sheet2!$A:$A,K$2)&lt;&gt;0,SUMIFS(Sheet2!$E:$E,Sheet2!$C:$C,$A195,Sheet2!$A:$A,K$2),"")</f>
        <v/>
      </c>
      <c r="L195" s="42" t="str">
        <f>IF(SUMIFS(Sheet2!$E:$E,Sheet2!$C:$C,$A195,Sheet2!$A:$A,L$2)&lt;&gt;0,SUMIFS(Sheet2!$E:$E,Sheet2!$C:$C,$A195,Sheet2!$A:$A,L$2),"")</f>
        <v/>
      </c>
      <c r="M195" s="42" t="str">
        <f>IF(SUMIFS(Sheet2!$E:$E,Sheet2!$C:$C,$A195,Sheet2!$A:$A,M$2)&lt;&gt;0,SUMIFS(Sheet2!$E:$E,Sheet2!$C:$C,$A195,Sheet2!$A:$A,M$2),"")</f>
        <v/>
      </c>
      <c r="N195" s="42" t="str">
        <f>IF(SUMIFS(Sheet2!$E:$E,Sheet2!$C:$C,$A195,Sheet2!$A:$A,N$2)&lt;&gt;0,SUMIFS(Sheet2!$E:$E,Sheet2!$C:$C,$A195,Sheet2!$A:$A,N$2),"")</f>
        <v/>
      </c>
      <c r="O195" s="42" t="str">
        <f>IF(SUMIFS(Sheet2!$E:$E,Sheet2!$C:$C,$A195,Sheet2!$A:$A,O$2)&lt;&gt;0,SUMIFS(Sheet2!$E:$E,Sheet2!$C:$C,$A195,Sheet2!$A:$A,O$2),"")</f>
        <v/>
      </c>
      <c r="P195" s="42" t="str">
        <f>IF(SUMIFS(Sheet2!$E:$E,Sheet2!$C:$C,$A195,Sheet2!$A:$A,P$2)&lt;&gt;0,SUMIFS(Sheet2!$E:$E,Sheet2!$C:$C,$A195,Sheet2!$A:$A,P$2),"")</f>
        <v/>
      </c>
      <c r="Q195" s="42" t="str">
        <f>IF(SUMIFS(Sheet2!$E:$E,Sheet2!$C:$C,$A195,Sheet2!$A:$A,Q$2)&lt;&gt;0,SUMIFS(Sheet2!$E:$E,Sheet2!$C:$C,$A195,Sheet2!$A:$A,Q$2),"")</f>
        <v/>
      </c>
      <c r="R195" s="42" t="str">
        <f>IF(SUMIFS(Sheet2!$E:$E,Sheet2!$C:$C,$A195,Sheet2!$A:$A,R$2)&lt;&gt;0,SUMIFS(Sheet2!$E:$E,Sheet2!$C:$C,$A195,Sheet2!$A:$A,R$2),"")</f>
        <v/>
      </c>
      <c r="S195" s="42" t="str">
        <f>IF(SUMIFS(Sheet2!$E:$E,Sheet2!$C:$C,$A195,Sheet2!$A:$A,S$2)&lt;&gt;0,SUMIFS(Sheet2!$E:$E,Sheet2!$C:$C,$A195,Sheet2!$A:$A,S$2),"")</f>
        <v/>
      </c>
      <c r="T195" s="42" t="str">
        <f>IF(SUMIFS(Sheet2!$E:$E,Sheet2!$C:$C,$A195,Sheet2!$A:$A,T$2)&lt;&gt;0,SUMIFS(Sheet2!$E:$E,Sheet2!$C:$C,$A195,Sheet2!$A:$A,T$2),"")</f>
        <v/>
      </c>
      <c r="U195" s="42" t="str">
        <f>IF(SUMIFS(Sheet2!$E:$E,Sheet2!$C:$C,$A195,Sheet2!$A:$A,U$2)&lt;&gt;0,SUMIFS(Sheet2!$E:$E,Sheet2!$C:$C,$A195,Sheet2!$A:$A,U$2),"")</f>
        <v/>
      </c>
      <c r="V195" s="42" t="str">
        <f>IF(SUMIFS(Sheet2!$E:$E,Sheet2!$C:$C,$A195,Sheet2!$A:$A,V$2)&lt;&gt;0,SUMIFS(Sheet2!$E:$E,Sheet2!$C:$C,$A195,Sheet2!$A:$A,V$2),"")</f>
        <v/>
      </c>
      <c r="W195" s="42" t="str">
        <f>IF(SUMIFS(Sheet2!$E:$E,Sheet2!$C:$C,$A195,Sheet2!$A:$A,W$2)&lt;&gt;0,SUMIFS(Sheet2!$E:$E,Sheet2!$C:$C,$A195,Sheet2!$A:$A,W$2),"")</f>
        <v/>
      </c>
      <c r="X195" s="42" t="str">
        <f>IF(SUMIFS(Sheet2!$E:$E,Sheet2!$C:$C,$A195,Sheet2!$A:$A,X$2)&lt;&gt;0,SUMIFS(Sheet2!$E:$E,Sheet2!$C:$C,$A195,Sheet2!$A:$A,X$2),"")</f>
        <v/>
      </c>
      <c r="Y195" s="42" t="str">
        <f>IF(SUMIFS(Sheet2!$E:$E,Sheet2!$C:$C,$A195,Sheet2!$A:$A,Y$2)&lt;&gt;0,SUMIFS(Sheet2!$E:$E,Sheet2!$C:$C,$A195,Sheet2!$A:$A,Y$2),"")</f>
        <v/>
      </c>
      <c r="Z195" s="42" t="str">
        <f>IF(SUMIFS(Sheet2!$E:$E,Sheet2!$C:$C,$A195,Sheet2!$A:$A,Z$2)&lt;&gt;0,SUMIFS(Sheet2!$E:$E,Sheet2!$C:$C,$A195,Sheet2!$A:$A,Z$2),"")</f>
        <v/>
      </c>
      <c r="AA195" s="42" t="str">
        <f>IF(SUMIFS(Sheet2!$E:$E,Sheet2!$C:$C,$A195,Sheet2!$A:$A,AA$2)&lt;&gt;0,SUMIFS(Sheet2!$E:$E,Sheet2!$C:$C,$A195,Sheet2!$A:$A,AA$2),"")</f>
        <v/>
      </c>
      <c r="AB195" s="42" t="str">
        <f>IF(SUMIFS(Sheet2!$E:$E,Sheet2!$C:$C,$A195,Sheet2!$A:$A,AB$2)&lt;&gt;0,SUMIFS(Sheet2!$E:$E,Sheet2!$C:$C,$A195,Sheet2!$A:$A,AB$2),"")</f>
        <v/>
      </c>
      <c r="AC195" s="42" t="str">
        <f>IF(SUMIFS(Sheet2!$E:$E,Sheet2!$C:$C,$A195,Sheet2!$A:$A,AC$2)&lt;&gt;0,SUMIFS(Sheet2!$E:$E,Sheet2!$C:$C,$A195,Sheet2!$A:$A,AC$2),"")</f>
        <v/>
      </c>
      <c r="AD195" s="42" t="str">
        <f>IF(SUMIFS(Sheet2!$E:$E,Sheet2!$C:$C,$A195,Sheet2!$A:$A,AD$2)&lt;&gt;0,SUMIFS(Sheet2!$E:$E,Sheet2!$C:$C,$A195,Sheet2!$A:$A,AD$2),"")</f>
        <v/>
      </c>
      <c r="AE195" s="42" t="str">
        <f>IF(SUMIFS(Sheet2!$E:$E,Sheet2!$C:$C,$A195,Sheet2!$A:$A,AE$2)&lt;&gt;0,SUMIFS(Sheet2!$E:$E,Sheet2!$C:$C,$A195,Sheet2!$A:$A,AE$2),"")</f>
        <v/>
      </c>
      <c r="AF195" s="42" t="str">
        <f>IF(SUMIFS(Sheet2!$E:$E,Sheet2!$C:$C,$A195,Sheet2!$A:$A,AF$2)&lt;&gt;0,SUMIFS(Sheet2!$E:$E,Sheet2!$C:$C,$A195,Sheet2!$A:$A,AF$2),"")</f>
        <v/>
      </c>
      <c r="AG195" s="42" t="str">
        <f>IF(SUMIFS(Sheet2!$E:$E,Sheet2!$C:$C,$A195,Sheet2!$A:$A,AG$2)&lt;&gt;0,SUMIFS(Sheet2!$E:$E,Sheet2!$C:$C,$A195,Sheet2!$A:$A,AG$2),"")</f>
        <v/>
      </c>
      <c r="AH195" s="43">
        <f>SUM(Table2[[#This Row],[1]:[31]])</f>
        <v>0</v>
      </c>
    </row>
    <row r="196" spans="1:34" ht="12.75" customHeight="1">
      <c r="A196" s="76" t="str">
        <f>DSSP!A195</f>
        <v>GC120</v>
      </c>
      <c r="B196" s="25" t="str">
        <f>DSSP!B195</f>
        <v>Ngôi sao nổi</v>
      </c>
      <c r="C196" s="42" t="str">
        <f>IF(SUMIFS(Sheet2!$E:$E,Sheet2!$C:$C,$A196,Sheet2!$A:$A,C$2)&lt;&gt;0,SUMIFS(Sheet2!$E:$E,Sheet2!$C:$C,$A196,Sheet2!$A:$A,C$2),"")</f>
        <v/>
      </c>
      <c r="D196" s="42" t="str">
        <f>IF(SUMIFS(Sheet2!$E:$E,Sheet2!$C:$C,$A196,Sheet2!$A:$A,D$2)&lt;&gt;0,SUMIFS(Sheet2!$E:$E,Sheet2!$C:$C,$A196,Sheet2!$A:$A,D$2),"")</f>
        <v/>
      </c>
      <c r="E196" s="42" t="str">
        <f>IF(SUMIFS(Sheet2!$E:$E,Sheet2!$C:$C,$A196,Sheet2!$A:$A,E$2)&lt;&gt;0,SUMIFS(Sheet2!$E:$E,Sheet2!$C:$C,$A196,Sheet2!$A:$A,E$2),"")</f>
        <v/>
      </c>
      <c r="F196" s="42" t="str">
        <f>IF(SUMIFS(Sheet2!$E:$E,Sheet2!$C:$C,$A196,Sheet2!$A:$A,F$2)&lt;&gt;0,SUMIFS(Sheet2!$E:$E,Sheet2!$C:$C,$A196,Sheet2!$A:$A,F$2),"")</f>
        <v/>
      </c>
      <c r="G196" s="42" t="str">
        <f>IF(SUMIFS(Sheet2!$E:$E,Sheet2!$C:$C,$A196,Sheet2!$A:$A,G$2)&lt;&gt;0,SUMIFS(Sheet2!$E:$E,Sheet2!$C:$C,$A196,Sheet2!$A:$A,G$2),"")</f>
        <v/>
      </c>
      <c r="H196" s="42" t="str">
        <f>IF(SUMIFS(Sheet2!$E:$E,Sheet2!$C:$C,$A196,Sheet2!$A:$A,H$2)&lt;&gt;0,SUMIFS(Sheet2!$E:$E,Sheet2!$C:$C,$A196,Sheet2!$A:$A,H$2),"")</f>
        <v/>
      </c>
      <c r="I196" s="42" t="str">
        <f>IF(SUMIFS(Sheet2!$E:$E,Sheet2!$C:$C,$A196,Sheet2!$A:$A,I$2)&lt;&gt;0,SUMIFS(Sheet2!$E:$E,Sheet2!$C:$C,$A196,Sheet2!$A:$A,I$2),"")</f>
        <v/>
      </c>
      <c r="J196" s="42" t="str">
        <f>IF(SUMIFS(Sheet2!$E:$E,Sheet2!$C:$C,$A196,Sheet2!$A:$A,J$2)&lt;&gt;0,SUMIFS(Sheet2!$E:$E,Sheet2!$C:$C,$A196,Sheet2!$A:$A,J$2),"")</f>
        <v/>
      </c>
      <c r="K196" s="42" t="str">
        <f>IF(SUMIFS(Sheet2!$E:$E,Sheet2!$C:$C,$A196,Sheet2!$A:$A,K$2)&lt;&gt;0,SUMIFS(Sheet2!$E:$E,Sheet2!$C:$C,$A196,Sheet2!$A:$A,K$2),"")</f>
        <v/>
      </c>
      <c r="L196" s="42" t="str">
        <f>IF(SUMIFS(Sheet2!$E:$E,Sheet2!$C:$C,$A196,Sheet2!$A:$A,L$2)&lt;&gt;0,SUMIFS(Sheet2!$E:$E,Sheet2!$C:$C,$A196,Sheet2!$A:$A,L$2),"")</f>
        <v/>
      </c>
      <c r="M196" s="42" t="str">
        <f>IF(SUMIFS(Sheet2!$E:$E,Sheet2!$C:$C,$A196,Sheet2!$A:$A,M$2)&lt;&gt;0,SUMIFS(Sheet2!$E:$E,Sheet2!$C:$C,$A196,Sheet2!$A:$A,M$2),"")</f>
        <v/>
      </c>
      <c r="N196" s="42" t="str">
        <f>IF(SUMIFS(Sheet2!$E:$E,Sheet2!$C:$C,$A196,Sheet2!$A:$A,N$2)&lt;&gt;0,SUMIFS(Sheet2!$E:$E,Sheet2!$C:$C,$A196,Sheet2!$A:$A,N$2),"")</f>
        <v/>
      </c>
      <c r="O196" s="42" t="str">
        <f>IF(SUMIFS(Sheet2!$E:$E,Sheet2!$C:$C,$A196,Sheet2!$A:$A,O$2)&lt;&gt;0,SUMIFS(Sheet2!$E:$E,Sheet2!$C:$C,$A196,Sheet2!$A:$A,O$2),"")</f>
        <v/>
      </c>
      <c r="P196" s="42" t="str">
        <f>IF(SUMIFS(Sheet2!$E:$E,Sheet2!$C:$C,$A196,Sheet2!$A:$A,P$2)&lt;&gt;0,SUMIFS(Sheet2!$E:$E,Sheet2!$C:$C,$A196,Sheet2!$A:$A,P$2),"")</f>
        <v/>
      </c>
      <c r="Q196" s="42" t="str">
        <f>IF(SUMIFS(Sheet2!$E:$E,Sheet2!$C:$C,$A196,Sheet2!$A:$A,Q$2)&lt;&gt;0,SUMIFS(Sheet2!$E:$E,Sheet2!$C:$C,$A196,Sheet2!$A:$A,Q$2),"")</f>
        <v/>
      </c>
      <c r="R196" s="42" t="str">
        <f>IF(SUMIFS(Sheet2!$E:$E,Sheet2!$C:$C,$A196,Sheet2!$A:$A,R$2)&lt;&gt;0,SUMIFS(Sheet2!$E:$E,Sheet2!$C:$C,$A196,Sheet2!$A:$A,R$2),"")</f>
        <v/>
      </c>
      <c r="S196" s="42" t="str">
        <f>IF(SUMIFS(Sheet2!$E:$E,Sheet2!$C:$C,$A196,Sheet2!$A:$A,S$2)&lt;&gt;0,SUMIFS(Sheet2!$E:$E,Sheet2!$C:$C,$A196,Sheet2!$A:$A,S$2),"")</f>
        <v/>
      </c>
      <c r="T196" s="42" t="str">
        <f>IF(SUMIFS(Sheet2!$E:$E,Sheet2!$C:$C,$A196,Sheet2!$A:$A,T$2)&lt;&gt;0,SUMIFS(Sheet2!$E:$E,Sheet2!$C:$C,$A196,Sheet2!$A:$A,T$2),"")</f>
        <v/>
      </c>
      <c r="U196" s="42" t="str">
        <f>IF(SUMIFS(Sheet2!$E:$E,Sheet2!$C:$C,$A196,Sheet2!$A:$A,U$2)&lt;&gt;0,SUMIFS(Sheet2!$E:$E,Sheet2!$C:$C,$A196,Sheet2!$A:$A,U$2),"")</f>
        <v/>
      </c>
      <c r="V196" s="42" t="str">
        <f>IF(SUMIFS(Sheet2!$E:$E,Sheet2!$C:$C,$A196,Sheet2!$A:$A,V$2)&lt;&gt;0,SUMIFS(Sheet2!$E:$E,Sheet2!$C:$C,$A196,Sheet2!$A:$A,V$2),"")</f>
        <v/>
      </c>
      <c r="W196" s="42" t="str">
        <f>IF(SUMIFS(Sheet2!$E:$E,Sheet2!$C:$C,$A196,Sheet2!$A:$A,W$2)&lt;&gt;0,SUMIFS(Sheet2!$E:$E,Sheet2!$C:$C,$A196,Sheet2!$A:$A,W$2),"")</f>
        <v/>
      </c>
      <c r="X196" s="42" t="str">
        <f>IF(SUMIFS(Sheet2!$E:$E,Sheet2!$C:$C,$A196,Sheet2!$A:$A,X$2)&lt;&gt;0,SUMIFS(Sheet2!$E:$E,Sheet2!$C:$C,$A196,Sheet2!$A:$A,X$2),"")</f>
        <v/>
      </c>
      <c r="Y196" s="42" t="str">
        <f>IF(SUMIFS(Sheet2!$E:$E,Sheet2!$C:$C,$A196,Sheet2!$A:$A,Y$2)&lt;&gt;0,SUMIFS(Sheet2!$E:$E,Sheet2!$C:$C,$A196,Sheet2!$A:$A,Y$2),"")</f>
        <v/>
      </c>
      <c r="Z196" s="42" t="str">
        <f>IF(SUMIFS(Sheet2!$E:$E,Sheet2!$C:$C,$A196,Sheet2!$A:$A,Z$2)&lt;&gt;0,SUMIFS(Sheet2!$E:$E,Sheet2!$C:$C,$A196,Sheet2!$A:$A,Z$2),"")</f>
        <v/>
      </c>
      <c r="AA196" s="42" t="str">
        <f>IF(SUMIFS(Sheet2!$E:$E,Sheet2!$C:$C,$A196,Sheet2!$A:$A,AA$2)&lt;&gt;0,SUMIFS(Sheet2!$E:$E,Sheet2!$C:$C,$A196,Sheet2!$A:$A,AA$2),"")</f>
        <v/>
      </c>
      <c r="AB196" s="42" t="str">
        <f>IF(SUMIFS(Sheet2!$E:$E,Sheet2!$C:$C,$A196,Sheet2!$A:$A,AB$2)&lt;&gt;0,SUMIFS(Sheet2!$E:$E,Sheet2!$C:$C,$A196,Sheet2!$A:$A,AB$2),"")</f>
        <v/>
      </c>
      <c r="AC196" s="42" t="str">
        <f>IF(SUMIFS(Sheet2!$E:$E,Sheet2!$C:$C,$A196,Sheet2!$A:$A,AC$2)&lt;&gt;0,SUMIFS(Sheet2!$E:$E,Sheet2!$C:$C,$A196,Sheet2!$A:$A,AC$2),"")</f>
        <v/>
      </c>
      <c r="AD196" s="42" t="str">
        <f>IF(SUMIFS(Sheet2!$E:$E,Sheet2!$C:$C,$A196,Sheet2!$A:$A,AD$2)&lt;&gt;0,SUMIFS(Sheet2!$E:$E,Sheet2!$C:$C,$A196,Sheet2!$A:$A,AD$2),"")</f>
        <v/>
      </c>
      <c r="AE196" s="42" t="str">
        <f>IF(SUMIFS(Sheet2!$E:$E,Sheet2!$C:$C,$A196,Sheet2!$A:$A,AE$2)&lt;&gt;0,SUMIFS(Sheet2!$E:$E,Sheet2!$C:$C,$A196,Sheet2!$A:$A,AE$2),"")</f>
        <v/>
      </c>
      <c r="AF196" s="42" t="str">
        <f>IF(SUMIFS(Sheet2!$E:$E,Sheet2!$C:$C,$A196,Sheet2!$A:$A,AF$2)&lt;&gt;0,SUMIFS(Sheet2!$E:$E,Sheet2!$C:$C,$A196,Sheet2!$A:$A,AF$2),"")</f>
        <v/>
      </c>
      <c r="AG196" s="42" t="str">
        <f>IF(SUMIFS(Sheet2!$E:$E,Sheet2!$C:$C,$A196,Sheet2!$A:$A,AG$2)&lt;&gt;0,SUMIFS(Sheet2!$E:$E,Sheet2!$C:$C,$A196,Sheet2!$A:$A,AG$2),"")</f>
        <v/>
      </c>
      <c r="AH196" s="43">
        <f>SUM(Table2[[#This Row],[1]:[31]])</f>
        <v>0</v>
      </c>
    </row>
    <row r="197" spans="1:34" ht="12.75" customHeight="1">
      <c r="A197" s="76" t="str">
        <f>DSSP!A196</f>
        <v>GC121</v>
      </c>
      <c r="B197" s="25" t="str">
        <f>DSSP!B196</f>
        <v>Cánh thiên thần</v>
      </c>
      <c r="C197" s="42" t="str">
        <f>IF(SUMIFS(Sheet2!$E:$E,Sheet2!$C:$C,$A197,Sheet2!$A:$A,C$2)&lt;&gt;0,SUMIFS(Sheet2!$E:$E,Sheet2!$C:$C,$A197,Sheet2!$A:$A,C$2),"")</f>
        <v/>
      </c>
      <c r="D197" s="42" t="str">
        <f>IF(SUMIFS(Sheet2!$E:$E,Sheet2!$C:$C,$A197,Sheet2!$A:$A,D$2)&lt;&gt;0,SUMIFS(Sheet2!$E:$E,Sheet2!$C:$C,$A197,Sheet2!$A:$A,D$2),"")</f>
        <v/>
      </c>
      <c r="E197" s="42" t="str">
        <f>IF(SUMIFS(Sheet2!$E:$E,Sheet2!$C:$C,$A197,Sheet2!$A:$A,E$2)&lt;&gt;0,SUMIFS(Sheet2!$E:$E,Sheet2!$C:$C,$A197,Sheet2!$A:$A,E$2),"")</f>
        <v/>
      </c>
      <c r="F197" s="42" t="str">
        <f>IF(SUMIFS(Sheet2!$E:$E,Sheet2!$C:$C,$A197,Sheet2!$A:$A,F$2)&lt;&gt;0,SUMIFS(Sheet2!$E:$E,Sheet2!$C:$C,$A197,Sheet2!$A:$A,F$2),"")</f>
        <v/>
      </c>
      <c r="G197" s="42" t="str">
        <f>IF(SUMIFS(Sheet2!$E:$E,Sheet2!$C:$C,$A197,Sheet2!$A:$A,G$2)&lt;&gt;0,SUMIFS(Sheet2!$E:$E,Sheet2!$C:$C,$A197,Sheet2!$A:$A,G$2),"")</f>
        <v/>
      </c>
      <c r="H197" s="42" t="str">
        <f>IF(SUMIFS(Sheet2!$E:$E,Sheet2!$C:$C,$A197,Sheet2!$A:$A,H$2)&lt;&gt;0,SUMIFS(Sheet2!$E:$E,Sheet2!$C:$C,$A197,Sheet2!$A:$A,H$2),"")</f>
        <v/>
      </c>
      <c r="I197" s="42" t="str">
        <f>IF(SUMIFS(Sheet2!$E:$E,Sheet2!$C:$C,$A197,Sheet2!$A:$A,I$2)&lt;&gt;0,SUMIFS(Sheet2!$E:$E,Sheet2!$C:$C,$A197,Sheet2!$A:$A,I$2),"")</f>
        <v/>
      </c>
      <c r="J197" s="42" t="str">
        <f>IF(SUMIFS(Sheet2!$E:$E,Sheet2!$C:$C,$A197,Sheet2!$A:$A,J$2)&lt;&gt;0,SUMIFS(Sheet2!$E:$E,Sheet2!$C:$C,$A197,Sheet2!$A:$A,J$2),"")</f>
        <v/>
      </c>
      <c r="K197" s="42" t="str">
        <f>IF(SUMIFS(Sheet2!$E:$E,Sheet2!$C:$C,$A197,Sheet2!$A:$A,K$2)&lt;&gt;0,SUMIFS(Sheet2!$E:$E,Sheet2!$C:$C,$A197,Sheet2!$A:$A,K$2),"")</f>
        <v/>
      </c>
      <c r="L197" s="42" t="str">
        <f>IF(SUMIFS(Sheet2!$E:$E,Sheet2!$C:$C,$A197,Sheet2!$A:$A,L$2)&lt;&gt;0,SUMIFS(Sheet2!$E:$E,Sheet2!$C:$C,$A197,Sheet2!$A:$A,L$2),"")</f>
        <v/>
      </c>
      <c r="M197" s="42" t="str">
        <f>IF(SUMIFS(Sheet2!$E:$E,Sheet2!$C:$C,$A197,Sheet2!$A:$A,M$2)&lt;&gt;0,SUMIFS(Sheet2!$E:$E,Sheet2!$C:$C,$A197,Sheet2!$A:$A,M$2),"")</f>
        <v/>
      </c>
      <c r="N197" s="42" t="str">
        <f>IF(SUMIFS(Sheet2!$E:$E,Sheet2!$C:$C,$A197,Sheet2!$A:$A,N$2)&lt;&gt;0,SUMIFS(Sheet2!$E:$E,Sheet2!$C:$C,$A197,Sheet2!$A:$A,N$2),"")</f>
        <v/>
      </c>
      <c r="O197" s="42" t="str">
        <f>IF(SUMIFS(Sheet2!$E:$E,Sheet2!$C:$C,$A197,Sheet2!$A:$A,O$2)&lt;&gt;0,SUMIFS(Sheet2!$E:$E,Sheet2!$C:$C,$A197,Sheet2!$A:$A,O$2),"")</f>
        <v/>
      </c>
      <c r="P197" s="42" t="str">
        <f>IF(SUMIFS(Sheet2!$E:$E,Sheet2!$C:$C,$A197,Sheet2!$A:$A,P$2)&lt;&gt;0,SUMIFS(Sheet2!$E:$E,Sheet2!$C:$C,$A197,Sheet2!$A:$A,P$2),"")</f>
        <v/>
      </c>
      <c r="Q197" s="42" t="str">
        <f>IF(SUMIFS(Sheet2!$E:$E,Sheet2!$C:$C,$A197,Sheet2!$A:$A,Q$2)&lt;&gt;0,SUMIFS(Sheet2!$E:$E,Sheet2!$C:$C,$A197,Sheet2!$A:$A,Q$2),"")</f>
        <v/>
      </c>
      <c r="R197" s="42" t="str">
        <f>IF(SUMIFS(Sheet2!$E:$E,Sheet2!$C:$C,$A197,Sheet2!$A:$A,R$2)&lt;&gt;0,SUMIFS(Sheet2!$E:$E,Sheet2!$C:$C,$A197,Sheet2!$A:$A,R$2),"")</f>
        <v/>
      </c>
      <c r="S197" s="42" t="str">
        <f>IF(SUMIFS(Sheet2!$E:$E,Sheet2!$C:$C,$A197,Sheet2!$A:$A,S$2)&lt;&gt;0,SUMIFS(Sheet2!$E:$E,Sheet2!$C:$C,$A197,Sheet2!$A:$A,S$2),"")</f>
        <v/>
      </c>
      <c r="T197" s="42" t="str">
        <f>IF(SUMIFS(Sheet2!$E:$E,Sheet2!$C:$C,$A197,Sheet2!$A:$A,T$2)&lt;&gt;0,SUMIFS(Sheet2!$E:$E,Sheet2!$C:$C,$A197,Sheet2!$A:$A,T$2),"")</f>
        <v/>
      </c>
      <c r="U197" s="42" t="str">
        <f>IF(SUMIFS(Sheet2!$E:$E,Sheet2!$C:$C,$A197,Sheet2!$A:$A,U$2)&lt;&gt;0,SUMIFS(Sheet2!$E:$E,Sheet2!$C:$C,$A197,Sheet2!$A:$A,U$2),"")</f>
        <v/>
      </c>
      <c r="V197" s="42" t="str">
        <f>IF(SUMIFS(Sheet2!$E:$E,Sheet2!$C:$C,$A197,Sheet2!$A:$A,V$2)&lt;&gt;0,SUMIFS(Sheet2!$E:$E,Sheet2!$C:$C,$A197,Sheet2!$A:$A,V$2),"")</f>
        <v/>
      </c>
      <c r="W197" s="42" t="str">
        <f>IF(SUMIFS(Sheet2!$E:$E,Sheet2!$C:$C,$A197,Sheet2!$A:$A,W$2)&lt;&gt;0,SUMIFS(Sheet2!$E:$E,Sheet2!$C:$C,$A197,Sheet2!$A:$A,W$2),"")</f>
        <v/>
      </c>
      <c r="X197" s="42" t="str">
        <f>IF(SUMIFS(Sheet2!$E:$E,Sheet2!$C:$C,$A197,Sheet2!$A:$A,X$2)&lt;&gt;0,SUMIFS(Sheet2!$E:$E,Sheet2!$C:$C,$A197,Sheet2!$A:$A,X$2),"")</f>
        <v/>
      </c>
      <c r="Y197" s="42" t="str">
        <f>IF(SUMIFS(Sheet2!$E:$E,Sheet2!$C:$C,$A197,Sheet2!$A:$A,Y$2)&lt;&gt;0,SUMIFS(Sheet2!$E:$E,Sheet2!$C:$C,$A197,Sheet2!$A:$A,Y$2),"")</f>
        <v/>
      </c>
      <c r="Z197" s="42" t="str">
        <f>IF(SUMIFS(Sheet2!$E:$E,Sheet2!$C:$C,$A197,Sheet2!$A:$A,Z$2)&lt;&gt;0,SUMIFS(Sheet2!$E:$E,Sheet2!$C:$C,$A197,Sheet2!$A:$A,Z$2),"")</f>
        <v/>
      </c>
      <c r="AA197" s="42" t="str">
        <f>IF(SUMIFS(Sheet2!$E:$E,Sheet2!$C:$C,$A197,Sheet2!$A:$A,AA$2)&lt;&gt;0,SUMIFS(Sheet2!$E:$E,Sheet2!$C:$C,$A197,Sheet2!$A:$A,AA$2),"")</f>
        <v/>
      </c>
      <c r="AB197" s="42" t="str">
        <f>IF(SUMIFS(Sheet2!$E:$E,Sheet2!$C:$C,$A197,Sheet2!$A:$A,AB$2)&lt;&gt;0,SUMIFS(Sheet2!$E:$E,Sheet2!$C:$C,$A197,Sheet2!$A:$A,AB$2),"")</f>
        <v/>
      </c>
      <c r="AC197" s="42" t="str">
        <f>IF(SUMIFS(Sheet2!$E:$E,Sheet2!$C:$C,$A197,Sheet2!$A:$A,AC$2)&lt;&gt;0,SUMIFS(Sheet2!$E:$E,Sheet2!$C:$C,$A197,Sheet2!$A:$A,AC$2),"")</f>
        <v/>
      </c>
      <c r="AD197" s="42" t="str">
        <f>IF(SUMIFS(Sheet2!$E:$E,Sheet2!$C:$C,$A197,Sheet2!$A:$A,AD$2)&lt;&gt;0,SUMIFS(Sheet2!$E:$E,Sheet2!$C:$C,$A197,Sheet2!$A:$A,AD$2),"")</f>
        <v/>
      </c>
      <c r="AE197" s="42" t="str">
        <f>IF(SUMIFS(Sheet2!$E:$E,Sheet2!$C:$C,$A197,Sheet2!$A:$A,AE$2)&lt;&gt;0,SUMIFS(Sheet2!$E:$E,Sheet2!$C:$C,$A197,Sheet2!$A:$A,AE$2),"")</f>
        <v/>
      </c>
      <c r="AF197" s="42" t="str">
        <f>IF(SUMIFS(Sheet2!$E:$E,Sheet2!$C:$C,$A197,Sheet2!$A:$A,AF$2)&lt;&gt;0,SUMIFS(Sheet2!$E:$E,Sheet2!$C:$C,$A197,Sheet2!$A:$A,AF$2),"")</f>
        <v/>
      </c>
      <c r="AG197" s="42" t="str">
        <f>IF(SUMIFS(Sheet2!$E:$E,Sheet2!$C:$C,$A197,Sheet2!$A:$A,AG$2)&lt;&gt;0,SUMIFS(Sheet2!$E:$E,Sheet2!$C:$C,$A197,Sheet2!$A:$A,AG$2),"")</f>
        <v/>
      </c>
      <c r="AH197" s="43">
        <f>SUM(Table2[[#This Row],[1]:[31]])</f>
        <v>0</v>
      </c>
    </row>
    <row r="198" spans="1:34" ht="12.75" customHeight="1">
      <c r="A198" s="76" t="str">
        <f>DSSP!A197</f>
        <v>GC122</v>
      </c>
      <c r="B198" s="25" t="str">
        <f>DSSP!B197</f>
        <v>Thư trái tim</v>
      </c>
      <c r="C198" s="42" t="str">
        <f>IF(SUMIFS(Sheet2!$E:$E,Sheet2!$C:$C,$A198,Sheet2!$A:$A,C$2)&lt;&gt;0,SUMIFS(Sheet2!$E:$E,Sheet2!$C:$C,$A198,Sheet2!$A:$A,C$2),"")</f>
        <v/>
      </c>
      <c r="D198" s="42" t="str">
        <f>IF(SUMIFS(Sheet2!$E:$E,Sheet2!$C:$C,$A198,Sheet2!$A:$A,D$2)&lt;&gt;0,SUMIFS(Sheet2!$E:$E,Sheet2!$C:$C,$A198,Sheet2!$A:$A,D$2),"")</f>
        <v/>
      </c>
      <c r="E198" s="42" t="str">
        <f>IF(SUMIFS(Sheet2!$E:$E,Sheet2!$C:$C,$A198,Sheet2!$A:$A,E$2)&lt;&gt;0,SUMIFS(Sheet2!$E:$E,Sheet2!$C:$C,$A198,Sheet2!$A:$A,E$2),"")</f>
        <v/>
      </c>
      <c r="F198" s="42" t="str">
        <f>IF(SUMIFS(Sheet2!$E:$E,Sheet2!$C:$C,$A198,Sheet2!$A:$A,F$2)&lt;&gt;0,SUMIFS(Sheet2!$E:$E,Sheet2!$C:$C,$A198,Sheet2!$A:$A,F$2),"")</f>
        <v/>
      </c>
      <c r="G198" s="42" t="str">
        <f>IF(SUMIFS(Sheet2!$E:$E,Sheet2!$C:$C,$A198,Sheet2!$A:$A,G$2)&lt;&gt;0,SUMIFS(Sheet2!$E:$E,Sheet2!$C:$C,$A198,Sheet2!$A:$A,G$2),"")</f>
        <v/>
      </c>
      <c r="H198" s="42" t="str">
        <f>IF(SUMIFS(Sheet2!$E:$E,Sheet2!$C:$C,$A198,Sheet2!$A:$A,H$2)&lt;&gt;0,SUMIFS(Sheet2!$E:$E,Sheet2!$C:$C,$A198,Sheet2!$A:$A,H$2),"")</f>
        <v/>
      </c>
      <c r="I198" s="42" t="str">
        <f>IF(SUMIFS(Sheet2!$E:$E,Sheet2!$C:$C,$A198,Sheet2!$A:$A,I$2)&lt;&gt;0,SUMIFS(Sheet2!$E:$E,Sheet2!$C:$C,$A198,Sheet2!$A:$A,I$2),"")</f>
        <v/>
      </c>
      <c r="J198" s="42" t="str">
        <f>IF(SUMIFS(Sheet2!$E:$E,Sheet2!$C:$C,$A198,Sheet2!$A:$A,J$2)&lt;&gt;0,SUMIFS(Sheet2!$E:$E,Sheet2!$C:$C,$A198,Sheet2!$A:$A,J$2),"")</f>
        <v/>
      </c>
      <c r="K198" s="42" t="str">
        <f>IF(SUMIFS(Sheet2!$E:$E,Sheet2!$C:$C,$A198,Sheet2!$A:$A,K$2)&lt;&gt;0,SUMIFS(Sheet2!$E:$E,Sheet2!$C:$C,$A198,Sheet2!$A:$A,K$2),"")</f>
        <v/>
      </c>
      <c r="L198" s="42" t="str">
        <f>IF(SUMIFS(Sheet2!$E:$E,Sheet2!$C:$C,$A198,Sheet2!$A:$A,L$2)&lt;&gt;0,SUMIFS(Sheet2!$E:$E,Sheet2!$C:$C,$A198,Sheet2!$A:$A,L$2),"")</f>
        <v/>
      </c>
      <c r="M198" s="42" t="str">
        <f>IF(SUMIFS(Sheet2!$E:$E,Sheet2!$C:$C,$A198,Sheet2!$A:$A,M$2)&lt;&gt;0,SUMIFS(Sheet2!$E:$E,Sheet2!$C:$C,$A198,Sheet2!$A:$A,M$2),"")</f>
        <v/>
      </c>
      <c r="N198" s="42" t="str">
        <f>IF(SUMIFS(Sheet2!$E:$E,Sheet2!$C:$C,$A198,Sheet2!$A:$A,N$2)&lt;&gt;0,SUMIFS(Sheet2!$E:$E,Sheet2!$C:$C,$A198,Sheet2!$A:$A,N$2),"")</f>
        <v/>
      </c>
      <c r="O198" s="42" t="str">
        <f>IF(SUMIFS(Sheet2!$E:$E,Sheet2!$C:$C,$A198,Sheet2!$A:$A,O$2)&lt;&gt;0,SUMIFS(Sheet2!$E:$E,Sheet2!$C:$C,$A198,Sheet2!$A:$A,O$2),"")</f>
        <v/>
      </c>
      <c r="P198" s="42" t="str">
        <f>IF(SUMIFS(Sheet2!$E:$E,Sheet2!$C:$C,$A198,Sheet2!$A:$A,P$2)&lt;&gt;0,SUMIFS(Sheet2!$E:$E,Sheet2!$C:$C,$A198,Sheet2!$A:$A,P$2),"")</f>
        <v/>
      </c>
      <c r="Q198" s="42" t="str">
        <f>IF(SUMIFS(Sheet2!$E:$E,Sheet2!$C:$C,$A198,Sheet2!$A:$A,Q$2)&lt;&gt;0,SUMIFS(Sheet2!$E:$E,Sheet2!$C:$C,$A198,Sheet2!$A:$A,Q$2),"")</f>
        <v/>
      </c>
      <c r="R198" s="42" t="str">
        <f>IF(SUMIFS(Sheet2!$E:$E,Sheet2!$C:$C,$A198,Sheet2!$A:$A,R$2)&lt;&gt;0,SUMIFS(Sheet2!$E:$E,Sheet2!$C:$C,$A198,Sheet2!$A:$A,R$2),"")</f>
        <v/>
      </c>
      <c r="S198" s="42" t="str">
        <f>IF(SUMIFS(Sheet2!$E:$E,Sheet2!$C:$C,$A198,Sheet2!$A:$A,S$2)&lt;&gt;0,SUMIFS(Sheet2!$E:$E,Sheet2!$C:$C,$A198,Sheet2!$A:$A,S$2),"")</f>
        <v/>
      </c>
      <c r="T198" s="42" t="str">
        <f>IF(SUMIFS(Sheet2!$E:$E,Sheet2!$C:$C,$A198,Sheet2!$A:$A,T$2)&lt;&gt;0,SUMIFS(Sheet2!$E:$E,Sheet2!$C:$C,$A198,Sheet2!$A:$A,T$2),"")</f>
        <v/>
      </c>
      <c r="U198" s="42" t="str">
        <f>IF(SUMIFS(Sheet2!$E:$E,Sheet2!$C:$C,$A198,Sheet2!$A:$A,U$2)&lt;&gt;0,SUMIFS(Sheet2!$E:$E,Sheet2!$C:$C,$A198,Sheet2!$A:$A,U$2),"")</f>
        <v/>
      </c>
      <c r="V198" s="42" t="str">
        <f>IF(SUMIFS(Sheet2!$E:$E,Sheet2!$C:$C,$A198,Sheet2!$A:$A,V$2)&lt;&gt;0,SUMIFS(Sheet2!$E:$E,Sheet2!$C:$C,$A198,Sheet2!$A:$A,V$2),"")</f>
        <v/>
      </c>
      <c r="W198" s="42" t="str">
        <f>IF(SUMIFS(Sheet2!$E:$E,Sheet2!$C:$C,$A198,Sheet2!$A:$A,W$2)&lt;&gt;0,SUMIFS(Sheet2!$E:$E,Sheet2!$C:$C,$A198,Sheet2!$A:$A,W$2),"")</f>
        <v/>
      </c>
      <c r="X198" s="42" t="str">
        <f>IF(SUMIFS(Sheet2!$E:$E,Sheet2!$C:$C,$A198,Sheet2!$A:$A,X$2)&lt;&gt;0,SUMIFS(Sheet2!$E:$E,Sheet2!$C:$C,$A198,Sheet2!$A:$A,X$2),"")</f>
        <v/>
      </c>
      <c r="Y198" s="42" t="str">
        <f>IF(SUMIFS(Sheet2!$E:$E,Sheet2!$C:$C,$A198,Sheet2!$A:$A,Y$2)&lt;&gt;0,SUMIFS(Sheet2!$E:$E,Sheet2!$C:$C,$A198,Sheet2!$A:$A,Y$2),"")</f>
        <v/>
      </c>
      <c r="Z198" s="42" t="str">
        <f>IF(SUMIFS(Sheet2!$E:$E,Sheet2!$C:$C,$A198,Sheet2!$A:$A,Z$2)&lt;&gt;0,SUMIFS(Sheet2!$E:$E,Sheet2!$C:$C,$A198,Sheet2!$A:$A,Z$2),"")</f>
        <v/>
      </c>
      <c r="AA198" s="42" t="str">
        <f>IF(SUMIFS(Sheet2!$E:$E,Sheet2!$C:$C,$A198,Sheet2!$A:$A,AA$2)&lt;&gt;0,SUMIFS(Sheet2!$E:$E,Sheet2!$C:$C,$A198,Sheet2!$A:$A,AA$2),"")</f>
        <v/>
      </c>
      <c r="AB198" s="42" t="str">
        <f>IF(SUMIFS(Sheet2!$E:$E,Sheet2!$C:$C,$A198,Sheet2!$A:$A,AB$2)&lt;&gt;0,SUMIFS(Sheet2!$E:$E,Sheet2!$C:$C,$A198,Sheet2!$A:$A,AB$2),"")</f>
        <v/>
      </c>
      <c r="AC198" s="42" t="str">
        <f>IF(SUMIFS(Sheet2!$E:$E,Sheet2!$C:$C,$A198,Sheet2!$A:$A,AC$2)&lt;&gt;0,SUMIFS(Sheet2!$E:$E,Sheet2!$C:$C,$A198,Sheet2!$A:$A,AC$2),"")</f>
        <v/>
      </c>
      <c r="AD198" s="42" t="str">
        <f>IF(SUMIFS(Sheet2!$E:$E,Sheet2!$C:$C,$A198,Sheet2!$A:$A,AD$2)&lt;&gt;0,SUMIFS(Sheet2!$E:$E,Sheet2!$C:$C,$A198,Sheet2!$A:$A,AD$2),"")</f>
        <v/>
      </c>
      <c r="AE198" s="42" t="str">
        <f>IF(SUMIFS(Sheet2!$E:$E,Sheet2!$C:$C,$A198,Sheet2!$A:$A,AE$2)&lt;&gt;0,SUMIFS(Sheet2!$E:$E,Sheet2!$C:$C,$A198,Sheet2!$A:$A,AE$2),"")</f>
        <v/>
      </c>
      <c r="AF198" s="42" t="str">
        <f>IF(SUMIFS(Sheet2!$E:$E,Sheet2!$C:$C,$A198,Sheet2!$A:$A,AF$2)&lt;&gt;0,SUMIFS(Sheet2!$E:$E,Sheet2!$C:$C,$A198,Sheet2!$A:$A,AF$2),"")</f>
        <v/>
      </c>
      <c r="AG198" s="42" t="str">
        <f>IF(SUMIFS(Sheet2!$E:$E,Sheet2!$C:$C,$A198,Sheet2!$A:$A,AG$2)&lt;&gt;0,SUMIFS(Sheet2!$E:$E,Sheet2!$C:$C,$A198,Sheet2!$A:$A,AG$2),"")</f>
        <v/>
      </c>
      <c r="AH198" s="43">
        <f>SUM(Table2[[#This Row],[1]:[31]])</f>
        <v>0</v>
      </c>
    </row>
    <row r="199" spans="1:34" ht="12.75" customHeight="1">
      <c r="A199" s="76" t="str">
        <f>DSSP!A198</f>
        <v>GC123</v>
      </c>
      <c r="B199" s="25" t="str">
        <f>DSSP!B198</f>
        <v>Hai chú chim</v>
      </c>
      <c r="C199" s="42" t="str">
        <f>IF(SUMIFS(Sheet2!$E:$E,Sheet2!$C:$C,$A199,Sheet2!$A:$A,C$2)&lt;&gt;0,SUMIFS(Sheet2!$E:$E,Sheet2!$C:$C,$A199,Sheet2!$A:$A,C$2),"")</f>
        <v/>
      </c>
      <c r="D199" s="42" t="str">
        <f>IF(SUMIFS(Sheet2!$E:$E,Sheet2!$C:$C,$A199,Sheet2!$A:$A,D$2)&lt;&gt;0,SUMIFS(Sheet2!$E:$E,Sheet2!$C:$C,$A199,Sheet2!$A:$A,D$2),"")</f>
        <v/>
      </c>
      <c r="E199" s="42" t="str">
        <f>IF(SUMIFS(Sheet2!$E:$E,Sheet2!$C:$C,$A199,Sheet2!$A:$A,E$2)&lt;&gt;0,SUMIFS(Sheet2!$E:$E,Sheet2!$C:$C,$A199,Sheet2!$A:$A,E$2),"")</f>
        <v/>
      </c>
      <c r="F199" s="42" t="str">
        <f>IF(SUMIFS(Sheet2!$E:$E,Sheet2!$C:$C,$A199,Sheet2!$A:$A,F$2)&lt;&gt;0,SUMIFS(Sheet2!$E:$E,Sheet2!$C:$C,$A199,Sheet2!$A:$A,F$2),"")</f>
        <v/>
      </c>
      <c r="G199" s="42" t="str">
        <f>IF(SUMIFS(Sheet2!$E:$E,Sheet2!$C:$C,$A199,Sheet2!$A:$A,G$2)&lt;&gt;0,SUMIFS(Sheet2!$E:$E,Sheet2!$C:$C,$A199,Sheet2!$A:$A,G$2),"")</f>
        <v/>
      </c>
      <c r="H199" s="42" t="str">
        <f>IF(SUMIFS(Sheet2!$E:$E,Sheet2!$C:$C,$A199,Sheet2!$A:$A,H$2)&lt;&gt;0,SUMIFS(Sheet2!$E:$E,Sheet2!$C:$C,$A199,Sheet2!$A:$A,H$2),"")</f>
        <v/>
      </c>
      <c r="I199" s="42" t="str">
        <f>IF(SUMIFS(Sheet2!$E:$E,Sheet2!$C:$C,$A199,Sheet2!$A:$A,I$2)&lt;&gt;0,SUMIFS(Sheet2!$E:$E,Sheet2!$C:$C,$A199,Sheet2!$A:$A,I$2),"")</f>
        <v/>
      </c>
      <c r="J199" s="42" t="str">
        <f>IF(SUMIFS(Sheet2!$E:$E,Sheet2!$C:$C,$A199,Sheet2!$A:$A,J$2)&lt;&gt;0,SUMIFS(Sheet2!$E:$E,Sheet2!$C:$C,$A199,Sheet2!$A:$A,J$2),"")</f>
        <v/>
      </c>
      <c r="K199" s="42" t="str">
        <f>IF(SUMIFS(Sheet2!$E:$E,Sheet2!$C:$C,$A199,Sheet2!$A:$A,K$2)&lt;&gt;0,SUMIFS(Sheet2!$E:$E,Sheet2!$C:$C,$A199,Sheet2!$A:$A,K$2),"")</f>
        <v/>
      </c>
      <c r="L199" s="42" t="str">
        <f>IF(SUMIFS(Sheet2!$E:$E,Sheet2!$C:$C,$A199,Sheet2!$A:$A,L$2)&lt;&gt;0,SUMIFS(Sheet2!$E:$E,Sheet2!$C:$C,$A199,Sheet2!$A:$A,L$2),"")</f>
        <v/>
      </c>
      <c r="M199" s="42" t="str">
        <f>IF(SUMIFS(Sheet2!$E:$E,Sheet2!$C:$C,$A199,Sheet2!$A:$A,M$2)&lt;&gt;0,SUMIFS(Sheet2!$E:$E,Sheet2!$C:$C,$A199,Sheet2!$A:$A,M$2),"")</f>
        <v/>
      </c>
      <c r="N199" s="42" t="str">
        <f>IF(SUMIFS(Sheet2!$E:$E,Sheet2!$C:$C,$A199,Sheet2!$A:$A,N$2)&lt;&gt;0,SUMIFS(Sheet2!$E:$E,Sheet2!$C:$C,$A199,Sheet2!$A:$A,N$2),"")</f>
        <v/>
      </c>
      <c r="O199" s="42" t="str">
        <f>IF(SUMIFS(Sheet2!$E:$E,Sheet2!$C:$C,$A199,Sheet2!$A:$A,O$2)&lt;&gt;0,SUMIFS(Sheet2!$E:$E,Sheet2!$C:$C,$A199,Sheet2!$A:$A,O$2),"")</f>
        <v/>
      </c>
      <c r="P199" s="42" t="str">
        <f>IF(SUMIFS(Sheet2!$E:$E,Sheet2!$C:$C,$A199,Sheet2!$A:$A,P$2)&lt;&gt;0,SUMIFS(Sheet2!$E:$E,Sheet2!$C:$C,$A199,Sheet2!$A:$A,P$2),"")</f>
        <v/>
      </c>
      <c r="Q199" s="42" t="str">
        <f>IF(SUMIFS(Sheet2!$E:$E,Sheet2!$C:$C,$A199,Sheet2!$A:$A,Q$2)&lt;&gt;0,SUMIFS(Sheet2!$E:$E,Sheet2!$C:$C,$A199,Sheet2!$A:$A,Q$2),"")</f>
        <v/>
      </c>
      <c r="R199" s="42" t="str">
        <f>IF(SUMIFS(Sheet2!$E:$E,Sheet2!$C:$C,$A199,Sheet2!$A:$A,R$2)&lt;&gt;0,SUMIFS(Sheet2!$E:$E,Sheet2!$C:$C,$A199,Sheet2!$A:$A,R$2),"")</f>
        <v/>
      </c>
      <c r="S199" s="42" t="str">
        <f>IF(SUMIFS(Sheet2!$E:$E,Sheet2!$C:$C,$A199,Sheet2!$A:$A,S$2)&lt;&gt;0,SUMIFS(Sheet2!$E:$E,Sheet2!$C:$C,$A199,Sheet2!$A:$A,S$2),"")</f>
        <v/>
      </c>
      <c r="T199" s="42" t="str">
        <f>IF(SUMIFS(Sheet2!$E:$E,Sheet2!$C:$C,$A199,Sheet2!$A:$A,T$2)&lt;&gt;0,SUMIFS(Sheet2!$E:$E,Sheet2!$C:$C,$A199,Sheet2!$A:$A,T$2),"")</f>
        <v/>
      </c>
      <c r="U199" s="42" t="str">
        <f>IF(SUMIFS(Sheet2!$E:$E,Sheet2!$C:$C,$A199,Sheet2!$A:$A,U$2)&lt;&gt;0,SUMIFS(Sheet2!$E:$E,Sheet2!$C:$C,$A199,Sheet2!$A:$A,U$2),"")</f>
        <v/>
      </c>
      <c r="V199" s="42" t="str">
        <f>IF(SUMIFS(Sheet2!$E:$E,Sheet2!$C:$C,$A199,Sheet2!$A:$A,V$2)&lt;&gt;0,SUMIFS(Sheet2!$E:$E,Sheet2!$C:$C,$A199,Sheet2!$A:$A,V$2),"")</f>
        <v/>
      </c>
      <c r="W199" s="42" t="str">
        <f>IF(SUMIFS(Sheet2!$E:$E,Sheet2!$C:$C,$A199,Sheet2!$A:$A,W$2)&lt;&gt;0,SUMIFS(Sheet2!$E:$E,Sheet2!$C:$C,$A199,Sheet2!$A:$A,W$2),"")</f>
        <v/>
      </c>
      <c r="X199" s="42" t="str">
        <f>IF(SUMIFS(Sheet2!$E:$E,Sheet2!$C:$C,$A199,Sheet2!$A:$A,X$2)&lt;&gt;0,SUMIFS(Sheet2!$E:$E,Sheet2!$C:$C,$A199,Sheet2!$A:$A,X$2),"")</f>
        <v/>
      </c>
      <c r="Y199" s="42" t="str">
        <f>IF(SUMIFS(Sheet2!$E:$E,Sheet2!$C:$C,$A199,Sheet2!$A:$A,Y$2)&lt;&gt;0,SUMIFS(Sheet2!$E:$E,Sheet2!$C:$C,$A199,Sheet2!$A:$A,Y$2),"")</f>
        <v/>
      </c>
      <c r="Z199" s="42" t="str">
        <f>IF(SUMIFS(Sheet2!$E:$E,Sheet2!$C:$C,$A199,Sheet2!$A:$A,Z$2)&lt;&gt;0,SUMIFS(Sheet2!$E:$E,Sheet2!$C:$C,$A199,Sheet2!$A:$A,Z$2),"")</f>
        <v/>
      </c>
      <c r="AA199" s="42" t="str">
        <f>IF(SUMIFS(Sheet2!$E:$E,Sheet2!$C:$C,$A199,Sheet2!$A:$A,AA$2)&lt;&gt;0,SUMIFS(Sheet2!$E:$E,Sheet2!$C:$C,$A199,Sheet2!$A:$A,AA$2),"")</f>
        <v/>
      </c>
      <c r="AB199" s="42" t="str">
        <f>IF(SUMIFS(Sheet2!$E:$E,Sheet2!$C:$C,$A199,Sheet2!$A:$A,AB$2)&lt;&gt;0,SUMIFS(Sheet2!$E:$E,Sheet2!$C:$C,$A199,Sheet2!$A:$A,AB$2),"")</f>
        <v/>
      </c>
      <c r="AC199" s="42" t="str">
        <f>IF(SUMIFS(Sheet2!$E:$E,Sheet2!$C:$C,$A199,Sheet2!$A:$A,AC$2)&lt;&gt;0,SUMIFS(Sheet2!$E:$E,Sheet2!$C:$C,$A199,Sheet2!$A:$A,AC$2),"")</f>
        <v/>
      </c>
      <c r="AD199" s="42" t="str">
        <f>IF(SUMIFS(Sheet2!$E:$E,Sheet2!$C:$C,$A199,Sheet2!$A:$A,AD$2)&lt;&gt;0,SUMIFS(Sheet2!$E:$E,Sheet2!$C:$C,$A199,Sheet2!$A:$A,AD$2),"")</f>
        <v/>
      </c>
      <c r="AE199" s="42" t="str">
        <f>IF(SUMIFS(Sheet2!$E:$E,Sheet2!$C:$C,$A199,Sheet2!$A:$A,AE$2)&lt;&gt;0,SUMIFS(Sheet2!$E:$E,Sheet2!$C:$C,$A199,Sheet2!$A:$A,AE$2),"")</f>
        <v/>
      </c>
      <c r="AF199" s="42" t="str">
        <f>IF(SUMIFS(Sheet2!$E:$E,Sheet2!$C:$C,$A199,Sheet2!$A:$A,AF$2)&lt;&gt;0,SUMIFS(Sheet2!$E:$E,Sheet2!$C:$C,$A199,Sheet2!$A:$A,AF$2),"")</f>
        <v/>
      </c>
      <c r="AG199" s="42" t="str">
        <f>IF(SUMIFS(Sheet2!$E:$E,Sheet2!$C:$C,$A199,Sheet2!$A:$A,AG$2)&lt;&gt;0,SUMIFS(Sheet2!$E:$E,Sheet2!$C:$C,$A199,Sheet2!$A:$A,AG$2),"")</f>
        <v/>
      </c>
      <c r="AH199" s="43">
        <f>SUM(Table2[[#This Row],[1]:[31]])</f>
        <v>0</v>
      </c>
    </row>
    <row r="200" spans="1:34" ht="12.75" customHeight="1">
      <c r="A200" s="76" t="str">
        <f>DSSP!A199</f>
        <v>GC124</v>
      </c>
      <c r="B200" s="25" t="str">
        <f>DSSP!B199</f>
        <v>Tháp Eiffel mini</v>
      </c>
      <c r="C200" s="42" t="str">
        <f>IF(SUMIFS(Sheet2!$E:$E,Sheet2!$C:$C,$A200,Sheet2!$A:$A,C$2)&lt;&gt;0,SUMIFS(Sheet2!$E:$E,Sheet2!$C:$C,$A200,Sheet2!$A:$A,C$2),"")</f>
        <v/>
      </c>
      <c r="D200" s="42" t="str">
        <f>IF(SUMIFS(Sheet2!$E:$E,Sheet2!$C:$C,$A200,Sheet2!$A:$A,D$2)&lt;&gt;0,SUMIFS(Sheet2!$E:$E,Sheet2!$C:$C,$A200,Sheet2!$A:$A,D$2),"")</f>
        <v/>
      </c>
      <c r="E200" s="42" t="str">
        <f>IF(SUMIFS(Sheet2!$E:$E,Sheet2!$C:$C,$A200,Sheet2!$A:$A,E$2)&lt;&gt;0,SUMIFS(Sheet2!$E:$E,Sheet2!$C:$C,$A200,Sheet2!$A:$A,E$2),"")</f>
        <v/>
      </c>
      <c r="F200" s="42" t="str">
        <f>IF(SUMIFS(Sheet2!$E:$E,Sheet2!$C:$C,$A200,Sheet2!$A:$A,F$2)&lt;&gt;0,SUMIFS(Sheet2!$E:$E,Sheet2!$C:$C,$A200,Sheet2!$A:$A,F$2),"")</f>
        <v/>
      </c>
      <c r="G200" s="42" t="str">
        <f>IF(SUMIFS(Sheet2!$E:$E,Sheet2!$C:$C,$A200,Sheet2!$A:$A,G$2)&lt;&gt;0,SUMIFS(Sheet2!$E:$E,Sheet2!$C:$C,$A200,Sheet2!$A:$A,G$2),"")</f>
        <v/>
      </c>
      <c r="H200" s="42" t="str">
        <f>IF(SUMIFS(Sheet2!$E:$E,Sheet2!$C:$C,$A200,Sheet2!$A:$A,H$2)&lt;&gt;0,SUMIFS(Sheet2!$E:$E,Sheet2!$C:$C,$A200,Sheet2!$A:$A,H$2),"")</f>
        <v/>
      </c>
      <c r="I200" s="42" t="str">
        <f>IF(SUMIFS(Sheet2!$E:$E,Sheet2!$C:$C,$A200,Sheet2!$A:$A,I$2)&lt;&gt;0,SUMIFS(Sheet2!$E:$E,Sheet2!$C:$C,$A200,Sheet2!$A:$A,I$2),"")</f>
        <v/>
      </c>
      <c r="J200" s="42" t="str">
        <f>IF(SUMIFS(Sheet2!$E:$E,Sheet2!$C:$C,$A200,Sheet2!$A:$A,J$2)&lt;&gt;0,SUMIFS(Sheet2!$E:$E,Sheet2!$C:$C,$A200,Sheet2!$A:$A,J$2),"")</f>
        <v/>
      </c>
      <c r="K200" s="42" t="str">
        <f>IF(SUMIFS(Sheet2!$E:$E,Sheet2!$C:$C,$A200,Sheet2!$A:$A,K$2)&lt;&gt;0,SUMIFS(Sheet2!$E:$E,Sheet2!$C:$C,$A200,Sheet2!$A:$A,K$2),"")</f>
        <v/>
      </c>
      <c r="L200" s="42" t="str">
        <f>IF(SUMIFS(Sheet2!$E:$E,Sheet2!$C:$C,$A200,Sheet2!$A:$A,L$2)&lt;&gt;0,SUMIFS(Sheet2!$E:$E,Sheet2!$C:$C,$A200,Sheet2!$A:$A,L$2),"")</f>
        <v/>
      </c>
      <c r="M200" s="42" t="str">
        <f>IF(SUMIFS(Sheet2!$E:$E,Sheet2!$C:$C,$A200,Sheet2!$A:$A,M$2)&lt;&gt;0,SUMIFS(Sheet2!$E:$E,Sheet2!$C:$C,$A200,Sheet2!$A:$A,M$2),"")</f>
        <v/>
      </c>
      <c r="N200" s="42" t="str">
        <f>IF(SUMIFS(Sheet2!$E:$E,Sheet2!$C:$C,$A200,Sheet2!$A:$A,N$2)&lt;&gt;0,SUMIFS(Sheet2!$E:$E,Sheet2!$C:$C,$A200,Sheet2!$A:$A,N$2),"")</f>
        <v/>
      </c>
      <c r="O200" s="42" t="str">
        <f>IF(SUMIFS(Sheet2!$E:$E,Sheet2!$C:$C,$A200,Sheet2!$A:$A,O$2)&lt;&gt;0,SUMIFS(Sheet2!$E:$E,Sheet2!$C:$C,$A200,Sheet2!$A:$A,O$2),"")</f>
        <v/>
      </c>
      <c r="P200" s="42" t="str">
        <f>IF(SUMIFS(Sheet2!$E:$E,Sheet2!$C:$C,$A200,Sheet2!$A:$A,P$2)&lt;&gt;0,SUMIFS(Sheet2!$E:$E,Sheet2!$C:$C,$A200,Sheet2!$A:$A,P$2),"")</f>
        <v/>
      </c>
      <c r="Q200" s="42" t="str">
        <f>IF(SUMIFS(Sheet2!$E:$E,Sheet2!$C:$C,$A200,Sheet2!$A:$A,Q$2)&lt;&gt;0,SUMIFS(Sheet2!$E:$E,Sheet2!$C:$C,$A200,Sheet2!$A:$A,Q$2),"")</f>
        <v/>
      </c>
      <c r="R200" s="42" t="str">
        <f>IF(SUMIFS(Sheet2!$E:$E,Sheet2!$C:$C,$A200,Sheet2!$A:$A,R$2)&lt;&gt;0,SUMIFS(Sheet2!$E:$E,Sheet2!$C:$C,$A200,Sheet2!$A:$A,R$2),"")</f>
        <v/>
      </c>
      <c r="S200" s="42" t="str">
        <f>IF(SUMIFS(Sheet2!$E:$E,Sheet2!$C:$C,$A200,Sheet2!$A:$A,S$2)&lt;&gt;0,SUMIFS(Sheet2!$E:$E,Sheet2!$C:$C,$A200,Sheet2!$A:$A,S$2),"")</f>
        <v/>
      </c>
      <c r="T200" s="42" t="str">
        <f>IF(SUMIFS(Sheet2!$E:$E,Sheet2!$C:$C,$A200,Sheet2!$A:$A,T$2)&lt;&gt;0,SUMIFS(Sheet2!$E:$E,Sheet2!$C:$C,$A200,Sheet2!$A:$A,T$2),"")</f>
        <v/>
      </c>
      <c r="U200" s="42" t="str">
        <f>IF(SUMIFS(Sheet2!$E:$E,Sheet2!$C:$C,$A200,Sheet2!$A:$A,U$2)&lt;&gt;0,SUMIFS(Sheet2!$E:$E,Sheet2!$C:$C,$A200,Sheet2!$A:$A,U$2),"")</f>
        <v/>
      </c>
      <c r="V200" s="42" t="str">
        <f>IF(SUMIFS(Sheet2!$E:$E,Sheet2!$C:$C,$A200,Sheet2!$A:$A,V$2)&lt;&gt;0,SUMIFS(Sheet2!$E:$E,Sheet2!$C:$C,$A200,Sheet2!$A:$A,V$2),"")</f>
        <v/>
      </c>
      <c r="W200" s="42" t="str">
        <f>IF(SUMIFS(Sheet2!$E:$E,Sheet2!$C:$C,$A200,Sheet2!$A:$A,W$2)&lt;&gt;0,SUMIFS(Sheet2!$E:$E,Sheet2!$C:$C,$A200,Sheet2!$A:$A,W$2),"")</f>
        <v/>
      </c>
      <c r="X200" s="42" t="str">
        <f>IF(SUMIFS(Sheet2!$E:$E,Sheet2!$C:$C,$A200,Sheet2!$A:$A,X$2)&lt;&gt;0,SUMIFS(Sheet2!$E:$E,Sheet2!$C:$C,$A200,Sheet2!$A:$A,X$2),"")</f>
        <v/>
      </c>
      <c r="Y200" s="42" t="str">
        <f>IF(SUMIFS(Sheet2!$E:$E,Sheet2!$C:$C,$A200,Sheet2!$A:$A,Y$2)&lt;&gt;0,SUMIFS(Sheet2!$E:$E,Sheet2!$C:$C,$A200,Sheet2!$A:$A,Y$2),"")</f>
        <v/>
      </c>
      <c r="Z200" s="42" t="str">
        <f>IF(SUMIFS(Sheet2!$E:$E,Sheet2!$C:$C,$A200,Sheet2!$A:$A,Z$2)&lt;&gt;0,SUMIFS(Sheet2!$E:$E,Sheet2!$C:$C,$A200,Sheet2!$A:$A,Z$2),"")</f>
        <v/>
      </c>
      <c r="AA200" s="42" t="str">
        <f>IF(SUMIFS(Sheet2!$E:$E,Sheet2!$C:$C,$A200,Sheet2!$A:$A,AA$2)&lt;&gt;0,SUMIFS(Sheet2!$E:$E,Sheet2!$C:$C,$A200,Sheet2!$A:$A,AA$2),"")</f>
        <v/>
      </c>
      <c r="AB200" s="42" t="str">
        <f>IF(SUMIFS(Sheet2!$E:$E,Sheet2!$C:$C,$A200,Sheet2!$A:$A,AB$2)&lt;&gt;0,SUMIFS(Sheet2!$E:$E,Sheet2!$C:$C,$A200,Sheet2!$A:$A,AB$2),"")</f>
        <v/>
      </c>
      <c r="AC200" s="42" t="str">
        <f>IF(SUMIFS(Sheet2!$E:$E,Sheet2!$C:$C,$A200,Sheet2!$A:$A,AC$2)&lt;&gt;0,SUMIFS(Sheet2!$E:$E,Sheet2!$C:$C,$A200,Sheet2!$A:$A,AC$2),"")</f>
        <v/>
      </c>
      <c r="AD200" s="42" t="str">
        <f>IF(SUMIFS(Sheet2!$E:$E,Sheet2!$C:$C,$A200,Sheet2!$A:$A,AD$2)&lt;&gt;0,SUMIFS(Sheet2!$E:$E,Sheet2!$C:$C,$A200,Sheet2!$A:$A,AD$2),"")</f>
        <v/>
      </c>
      <c r="AE200" s="42" t="str">
        <f>IF(SUMIFS(Sheet2!$E:$E,Sheet2!$C:$C,$A200,Sheet2!$A:$A,AE$2)&lt;&gt;0,SUMIFS(Sheet2!$E:$E,Sheet2!$C:$C,$A200,Sheet2!$A:$A,AE$2),"")</f>
        <v/>
      </c>
      <c r="AF200" s="42" t="str">
        <f>IF(SUMIFS(Sheet2!$E:$E,Sheet2!$C:$C,$A200,Sheet2!$A:$A,AF$2)&lt;&gt;0,SUMIFS(Sheet2!$E:$E,Sheet2!$C:$C,$A200,Sheet2!$A:$A,AF$2),"")</f>
        <v/>
      </c>
      <c r="AG200" s="42" t="str">
        <f>IF(SUMIFS(Sheet2!$E:$E,Sheet2!$C:$C,$A200,Sheet2!$A:$A,AG$2)&lt;&gt;0,SUMIFS(Sheet2!$E:$E,Sheet2!$C:$C,$A200,Sheet2!$A:$A,AG$2),"")</f>
        <v/>
      </c>
      <c r="AH200" s="43">
        <f>SUM(Table2[[#This Row],[1]:[31]])</f>
        <v>0</v>
      </c>
    </row>
    <row r="201" spans="1:34" ht="12.75" customHeight="1">
      <c r="A201" s="76" t="str">
        <f>DSSP!A200</f>
        <v>GC125</v>
      </c>
      <c r="B201" s="25" t="str">
        <f>DSSP!B200</f>
        <v>Thỏ con tai dài</v>
      </c>
      <c r="C201" s="42" t="str">
        <f>IF(SUMIFS(Sheet2!$E:$E,Sheet2!$C:$C,$A201,Sheet2!$A:$A,C$2)&lt;&gt;0,SUMIFS(Sheet2!$E:$E,Sheet2!$C:$C,$A201,Sheet2!$A:$A,C$2),"")</f>
        <v/>
      </c>
      <c r="D201" s="42" t="str">
        <f>IF(SUMIFS(Sheet2!$E:$E,Sheet2!$C:$C,$A201,Sheet2!$A:$A,D$2)&lt;&gt;0,SUMIFS(Sheet2!$E:$E,Sheet2!$C:$C,$A201,Sheet2!$A:$A,D$2),"")</f>
        <v/>
      </c>
      <c r="E201" s="42" t="str">
        <f>IF(SUMIFS(Sheet2!$E:$E,Sheet2!$C:$C,$A201,Sheet2!$A:$A,E$2)&lt;&gt;0,SUMIFS(Sheet2!$E:$E,Sheet2!$C:$C,$A201,Sheet2!$A:$A,E$2),"")</f>
        <v/>
      </c>
      <c r="F201" s="42" t="str">
        <f>IF(SUMIFS(Sheet2!$E:$E,Sheet2!$C:$C,$A201,Sheet2!$A:$A,F$2)&lt;&gt;0,SUMIFS(Sheet2!$E:$E,Sheet2!$C:$C,$A201,Sheet2!$A:$A,F$2),"")</f>
        <v/>
      </c>
      <c r="G201" s="42" t="str">
        <f>IF(SUMIFS(Sheet2!$E:$E,Sheet2!$C:$C,$A201,Sheet2!$A:$A,G$2)&lt;&gt;0,SUMIFS(Sheet2!$E:$E,Sheet2!$C:$C,$A201,Sheet2!$A:$A,G$2),"")</f>
        <v/>
      </c>
      <c r="H201" s="42" t="str">
        <f>IF(SUMIFS(Sheet2!$E:$E,Sheet2!$C:$C,$A201,Sheet2!$A:$A,H$2)&lt;&gt;0,SUMIFS(Sheet2!$E:$E,Sheet2!$C:$C,$A201,Sheet2!$A:$A,H$2),"")</f>
        <v/>
      </c>
      <c r="I201" s="42" t="str">
        <f>IF(SUMIFS(Sheet2!$E:$E,Sheet2!$C:$C,$A201,Sheet2!$A:$A,I$2)&lt;&gt;0,SUMIFS(Sheet2!$E:$E,Sheet2!$C:$C,$A201,Sheet2!$A:$A,I$2),"")</f>
        <v/>
      </c>
      <c r="J201" s="42" t="str">
        <f>IF(SUMIFS(Sheet2!$E:$E,Sheet2!$C:$C,$A201,Sheet2!$A:$A,J$2)&lt;&gt;0,SUMIFS(Sheet2!$E:$E,Sheet2!$C:$C,$A201,Sheet2!$A:$A,J$2),"")</f>
        <v/>
      </c>
      <c r="K201" s="42" t="str">
        <f>IF(SUMIFS(Sheet2!$E:$E,Sheet2!$C:$C,$A201,Sheet2!$A:$A,K$2)&lt;&gt;0,SUMIFS(Sheet2!$E:$E,Sheet2!$C:$C,$A201,Sheet2!$A:$A,K$2),"")</f>
        <v/>
      </c>
      <c r="L201" s="42" t="str">
        <f>IF(SUMIFS(Sheet2!$E:$E,Sheet2!$C:$C,$A201,Sheet2!$A:$A,L$2)&lt;&gt;0,SUMIFS(Sheet2!$E:$E,Sheet2!$C:$C,$A201,Sheet2!$A:$A,L$2),"")</f>
        <v/>
      </c>
      <c r="M201" s="42" t="str">
        <f>IF(SUMIFS(Sheet2!$E:$E,Sheet2!$C:$C,$A201,Sheet2!$A:$A,M$2)&lt;&gt;0,SUMIFS(Sheet2!$E:$E,Sheet2!$C:$C,$A201,Sheet2!$A:$A,M$2),"")</f>
        <v/>
      </c>
      <c r="N201" s="42" t="str">
        <f>IF(SUMIFS(Sheet2!$E:$E,Sheet2!$C:$C,$A201,Sheet2!$A:$A,N$2)&lt;&gt;0,SUMIFS(Sheet2!$E:$E,Sheet2!$C:$C,$A201,Sheet2!$A:$A,N$2),"")</f>
        <v/>
      </c>
      <c r="O201" s="42" t="str">
        <f>IF(SUMIFS(Sheet2!$E:$E,Sheet2!$C:$C,$A201,Sheet2!$A:$A,O$2)&lt;&gt;0,SUMIFS(Sheet2!$E:$E,Sheet2!$C:$C,$A201,Sheet2!$A:$A,O$2),"")</f>
        <v/>
      </c>
      <c r="P201" s="42" t="str">
        <f>IF(SUMIFS(Sheet2!$E:$E,Sheet2!$C:$C,$A201,Sheet2!$A:$A,P$2)&lt;&gt;0,SUMIFS(Sheet2!$E:$E,Sheet2!$C:$C,$A201,Sheet2!$A:$A,P$2),"")</f>
        <v/>
      </c>
      <c r="Q201" s="42" t="str">
        <f>IF(SUMIFS(Sheet2!$E:$E,Sheet2!$C:$C,$A201,Sheet2!$A:$A,Q$2)&lt;&gt;0,SUMIFS(Sheet2!$E:$E,Sheet2!$C:$C,$A201,Sheet2!$A:$A,Q$2),"")</f>
        <v/>
      </c>
      <c r="R201" s="42" t="str">
        <f>IF(SUMIFS(Sheet2!$E:$E,Sheet2!$C:$C,$A201,Sheet2!$A:$A,R$2)&lt;&gt;0,SUMIFS(Sheet2!$E:$E,Sheet2!$C:$C,$A201,Sheet2!$A:$A,R$2),"")</f>
        <v/>
      </c>
      <c r="S201" s="42" t="str">
        <f>IF(SUMIFS(Sheet2!$E:$E,Sheet2!$C:$C,$A201,Sheet2!$A:$A,S$2)&lt;&gt;0,SUMIFS(Sheet2!$E:$E,Sheet2!$C:$C,$A201,Sheet2!$A:$A,S$2),"")</f>
        <v/>
      </c>
      <c r="T201" s="42" t="str">
        <f>IF(SUMIFS(Sheet2!$E:$E,Sheet2!$C:$C,$A201,Sheet2!$A:$A,T$2)&lt;&gt;0,SUMIFS(Sheet2!$E:$E,Sheet2!$C:$C,$A201,Sheet2!$A:$A,T$2),"")</f>
        <v/>
      </c>
      <c r="U201" s="42" t="str">
        <f>IF(SUMIFS(Sheet2!$E:$E,Sheet2!$C:$C,$A201,Sheet2!$A:$A,U$2)&lt;&gt;0,SUMIFS(Sheet2!$E:$E,Sheet2!$C:$C,$A201,Sheet2!$A:$A,U$2),"")</f>
        <v/>
      </c>
      <c r="V201" s="42" t="str">
        <f>IF(SUMIFS(Sheet2!$E:$E,Sheet2!$C:$C,$A201,Sheet2!$A:$A,V$2)&lt;&gt;0,SUMIFS(Sheet2!$E:$E,Sheet2!$C:$C,$A201,Sheet2!$A:$A,V$2),"")</f>
        <v/>
      </c>
      <c r="W201" s="42" t="str">
        <f>IF(SUMIFS(Sheet2!$E:$E,Sheet2!$C:$C,$A201,Sheet2!$A:$A,W$2)&lt;&gt;0,SUMIFS(Sheet2!$E:$E,Sheet2!$C:$C,$A201,Sheet2!$A:$A,W$2),"")</f>
        <v/>
      </c>
      <c r="X201" s="42" t="str">
        <f>IF(SUMIFS(Sheet2!$E:$E,Sheet2!$C:$C,$A201,Sheet2!$A:$A,X$2)&lt;&gt;0,SUMIFS(Sheet2!$E:$E,Sheet2!$C:$C,$A201,Sheet2!$A:$A,X$2),"")</f>
        <v/>
      </c>
      <c r="Y201" s="42" t="str">
        <f>IF(SUMIFS(Sheet2!$E:$E,Sheet2!$C:$C,$A201,Sheet2!$A:$A,Y$2)&lt;&gt;0,SUMIFS(Sheet2!$E:$E,Sheet2!$C:$C,$A201,Sheet2!$A:$A,Y$2),"")</f>
        <v/>
      </c>
      <c r="Z201" s="42" t="str">
        <f>IF(SUMIFS(Sheet2!$E:$E,Sheet2!$C:$C,$A201,Sheet2!$A:$A,Z$2)&lt;&gt;0,SUMIFS(Sheet2!$E:$E,Sheet2!$C:$C,$A201,Sheet2!$A:$A,Z$2),"")</f>
        <v/>
      </c>
      <c r="AA201" s="42" t="str">
        <f>IF(SUMIFS(Sheet2!$E:$E,Sheet2!$C:$C,$A201,Sheet2!$A:$A,AA$2)&lt;&gt;0,SUMIFS(Sheet2!$E:$E,Sheet2!$C:$C,$A201,Sheet2!$A:$A,AA$2),"")</f>
        <v/>
      </c>
      <c r="AB201" s="42" t="str">
        <f>IF(SUMIFS(Sheet2!$E:$E,Sheet2!$C:$C,$A201,Sheet2!$A:$A,AB$2)&lt;&gt;0,SUMIFS(Sheet2!$E:$E,Sheet2!$C:$C,$A201,Sheet2!$A:$A,AB$2),"")</f>
        <v/>
      </c>
      <c r="AC201" s="42" t="str">
        <f>IF(SUMIFS(Sheet2!$E:$E,Sheet2!$C:$C,$A201,Sheet2!$A:$A,AC$2)&lt;&gt;0,SUMIFS(Sheet2!$E:$E,Sheet2!$C:$C,$A201,Sheet2!$A:$A,AC$2),"")</f>
        <v/>
      </c>
      <c r="AD201" s="42" t="str">
        <f>IF(SUMIFS(Sheet2!$E:$E,Sheet2!$C:$C,$A201,Sheet2!$A:$A,AD$2)&lt;&gt;0,SUMIFS(Sheet2!$E:$E,Sheet2!$C:$C,$A201,Sheet2!$A:$A,AD$2),"")</f>
        <v/>
      </c>
      <c r="AE201" s="42" t="str">
        <f>IF(SUMIFS(Sheet2!$E:$E,Sheet2!$C:$C,$A201,Sheet2!$A:$A,AE$2)&lt;&gt;0,SUMIFS(Sheet2!$E:$E,Sheet2!$C:$C,$A201,Sheet2!$A:$A,AE$2),"")</f>
        <v/>
      </c>
      <c r="AF201" s="42" t="str">
        <f>IF(SUMIFS(Sheet2!$E:$E,Sheet2!$C:$C,$A201,Sheet2!$A:$A,AF$2)&lt;&gt;0,SUMIFS(Sheet2!$E:$E,Sheet2!$C:$C,$A201,Sheet2!$A:$A,AF$2),"")</f>
        <v/>
      </c>
      <c r="AG201" s="42" t="str">
        <f>IF(SUMIFS(Sheet2!$E:$E,Sheet2!$C:$C,$A201,Sheet2!$A:$A,AG$2)&lt;&gt;0,SUMIFS(Sheet2!$E:$E,Sheet2!$C:$C,$A201,Sheet2!$A:$A,AG$2),"")</f>
        <v/>
      </c>
      <c r="AH201" s="43">
        <f>SUM(Table2[[#This Row],[1]:[31]])</f>
        <v>0</v>
      </c>
    </row>
    <row r="202" spans="1:34" ht="12.75" customHeight="1">
      <c r="A202" s="76" t="str">
        <f>DSSP!A201</f>
        <v>GC126</v>
      </c>
      <c r="B202" s="25" t="str">
        <f>DSSP!B201</f>
        <v>Móc có hoa văn</v>
      </c>
      <c r="C202" s="42" t="str">
        <f>IF(SUMIFS(Sheet2!$E:$E,Sheet2!$C:$C,$A202,Sheet2!$A:$A,C$2)&lt;&gt;0,SUMIFS(Sheet2!$E:$E,Sheet2!$C:$C,$A202,Sheet2!$A:$A,C$2),"")</f>
        <v/>
      </c>
      <c r="D202" s="42" t="str">
        <f>IF(SUMIFS(Sheet2!$E:$E,Sheet2!$C:$C,$A202,Sheet2!$A:$A,D$2)&lt;&gt;0,SUMIFS(Sheet2!$E:$E,Sheet2!$C:$C,$A202,Sheet2!$A:$A,D$2),"")</f>
        <v/>
      </c>
      <c r="E202" s="42" t="str">
        <f>IF(SUMIFS(Sheet2!$E:$E,Sheet2!$C:$C,$A202,Sheet2!$A:$A,E$2)&lt;&gt;0,SUMIFS(Sheet2!$E:$E,Sheet2!$C:$C,$A202,Sheet2!$A:$A,E$2),"")</f>
        <v/>
      </c>
      <c r="F202" s="42" t="str">
        <f>IF(SUMIFS(Sheet2!$E:$E,Sheet2!$C:$C,$A202,Sheet2!$A:$A,F$2)&lt;&gt;0,SUMIFS(Sheet2!$E:$E,Sheet2!$C:$C,$A202,Sheet2!$A:$A,F$2),"")</f>
        <v/>
      </c>
      <c r="G202" s="42" t="str">
        <f>IF(SUMIFS(Sheet2!$E:$E,Sheet2!$C:$C,$A202,Sheet2!$A:$A,G$2)&lt;&gt;0,SUMIFS(Sheet2!$E:$E,Sheet2!$C:$C,$A202,Sheet2!$A:$A,G$2),"")</f>
        <v/>
      </c>
      <c r="H202" s="42" t="str">
        <f>IF(SUMIFS(Sheet2!$E:$E,Sheet2!$C:$C,$A202,Sheet2!$A:$A,H$2)&lt;&gt;0,SUMIFS(Sheet2!$E:$E,Sheet2!$C:$C,$A202,Sheet2!$A:$A,H$2),"")</f>
        <v/>
      </c>
      <c r="I202" s="42" t="str">
        <f>IF(SUMIFS(Sheet2!$E:$E,Sheet2!$C:$C,$A202,Sheet2!$A:$A,I$2)&lt;&gt;0,SUMIFS(Sheet2!$E:$E,Sheet2!$C:$C,$A202,Sheet2!$A:$A,I$2),"")</f>
        <v/>
      </c>
      <c r="J202" s="42" t="str">
        <f>IF(SUMIFS(Sheet2!$E:$E,Sheet2!$C:$C,$A202,Sheet2!$A:$A,J$2)&lt;&gt;0,SUMIFS(Sheet2!$E:$E,Sheet2!$C:$C,$A202,Sheet2!$A:$A,J$2),"")</f>
        <v/>
      </c>
      <c r="K202" s="42" t="str">
        <f>IF(SUMIFS(Sheet2!$E:$E,Sheet2!$C:$C,$A202,Sheet2!$A:$A,K$2)&lt;&gt;0,SUMIFS(Sheet2!$E:$E,Sheet2!$C:$C,$A202,Sheet2!$A:$A,K$2),"")</f>
        <v/>
      </c>
      <c r="L202" s="42" t="str">
        <f>IF(SUMIFS(Sheet2!$E:$E,Sheet2!$C:$C,$A202,Sheet2!$A:$A,L$2)&lt;&gt;0,SUMIFS(Sheet2!$E:$E,Sheet2!$C:$C,$A202,Sheet2!$A:$A,L$2),"")</f>
        <v/>
      </c>
      <c r="M202" s="42" t="str">
        <f>IF(SUMIFS(Sheet2!$E:$E,Sheet2!$C:$C,$A202,Sheet2!$A:$A,M$2)&lt;&gt;0,SUMIFS(Sheet2!$E:$E,Sheet2!$C:$C,$A202,Sheet2!$A:$A,M$2),"")</f>
        <v/>
      </c>
      <c r="N202" s="42" t="str">
        <f>IF(SUMIFS(Sheet2!$E:$E,Sheet2!$C:$C,$A202,Sheet2!$A:$A,N$2)&lt;&gt;0,SUMIFS(Sheet2!$E:$E,Sheet2!$C:$C,$A202,Sheet2!$A:$A,N$2),"")</f>
        <v/>
      </c>
      <c r="O202" s="42" t="str">
        <f>IF(SUMIFS(Sheet2!$E:$E,Sheet2!$C:$C,$A202,Sheet2!$A:$A,O$2)&lt;&gt;0,SUMIFS(Sheet2!$E:$E,Sheet2!$C:$C,$A202,Sheet2!$A:$A,O$2),"")</f>
        <v/>
      </c>
      <c r="P202" s="42" t="str">
        <f>IF(SUMIFS(Sheet2!$E:$E,Sheet2!$C:$C,$A202,Sheet2!$A:$A,P$2)&lt;&gt;0,SUMIFS(Sheet2!$E:$E,Sheet2!$C:$C,$A202,Sheet2!$A:$A,P$2),"")</f>
        <v/>
      </c>
      <c r="Q202" s="42" t="str">
        <f>IF(SUMIFS(Sheet2!$E:$E,Sheet2!$C:$C,$A202,Sheet2!$A:$A,Q$2)&lt;&gt;0,SUMIFS(Sheet2!$E:$E,Sheet2!$C:$C,$A202,Sheet2!$A:$A,Q$2),"")</f>
        <v/>
      </c>
      <c r="R202" s="42" t="str">
        <f>IF(SUMIFS(Sheet2!$E:$E,Sheet2!$C:$C,$A202,Sheet2!$A:$A,R$2)&lt;&gt;0,SUMIFS(Sheet2!$E:$E,Sheet2!$C:$C,$A202,Sheet2!$A:$A,R$2),"")</f>
        <v/>
      </c>
      <c r="S202" s="42" t="str">
        <f>IF(SUMIFS(Sheet2!$E:$E,Sheet2!$C:$C,$A202,Sheet2!$A:$A,S$2)&lt;&gt;0,SUMIFS(Sheet2!$E:$E,Sheet2!$C:$C,$A202,Sheet2!$A:$A,S$2),"")</f>
        <v/>
      </c>
      <c r="T202" s="42" t="str">
        <f>IF(SUMIFS(Sheet2!$E:$E,Sheet2!$C:$C,$A202,Sheet2!$A:$A,T$2)&lt;&gt;0,SUMIFS(Sheet2!$E:$E,Sheet2!$C:$C,$A202,Sheet2!$A:$A,T$2),"")</f>
        <v/>
      </c>
      <c r="U202" s="42" t="str">
        <f>IF(SUMIFS(Sheet2!$E:$E,Sheet2!$C:$C,$A202,Sheet2!$A:$A,U$2)&lt;&gt;0,SUMIFS(Sheet2!$E:$E,Sheet2!$C:$C,$A202,Sheet2!$A:$A,U$2),"")</f>
        <v/>
      </c>
      <c r="V202" s="42" t="str">
        <f>IF(SUMIFS(Sheet2!$E:$E,Sheet2!$C:$C,$A202,Sheet2!$A:$A,V$2)&lt;&gt;0,SUMIFS(Sheet2!$E:$E,Sheet2!$C:$C,$A202,Sheet2!$A:$A,V$2),"")</f>
        <v/>
      </c>
      <c r="W202" s="42" t="str">
        <f>IF(SUMIFS(Sheet2!$E:$E,Sheet2!$C:$C,$A202,Sheet2!$A:$A,W$2)&lt;&gt;0,SUMIFS(Sheet2!$E:$E,Sheet2!$C:$C,$A202,Sheet2!$A:$A,W$2),"")</f>
        <v/>
      </c>
      <c r="X202" s="42" t="str">
        <f>IF(SUMIFS(Sheet2!$E:$E,Sheet2!$C:$C,$A202,Sheet2!$A:$A,X$2)&lt;&gt;0,SUMIFS(Sheet2!$E:$E,Sheet2!$C:$C,$A202,Sheet2!$A:$A,X$2),"")</f>
        <v/>
      </c>
      <c r="Y202" s="42" t="str">
        <f>IF(SUMIFS(Sheet2!$E:$E,Sheet2!$C:$C,$A202,Sheet2!$A:$A,Y$2)&lt;&gt;0,SUMIFS(Sheet2!$E:$E,Sheet2!$C:$C,$A202,Sheet2!$A:$A,Y$2),"")</f>
        <v/>
      </c>
      <c r="Z202" s="42" t="str">
        <f>IF(SUMIFS(Sheet2!$E:$E,Sheet2!$C:$C,$A202,Sheet2!$A:$A,Z$2)&lt;&gt;0,SUMIFS(Sheet2!$E:$E,Sheet2!$C:$C,$A202,Sheet2!$A:$A,Z$2),"")</f>
        <v/>
      </c>
      <c r="AA202" s="42" t="str">
        <f>IF(SUMIFS(Sheet2!$E:$E,Sheet2!$C:$C,$A202,Sheet2!$A:$A,AA$2)&lt;&gt;0,SUMIFS(Sheet2!$E:$E,Sheet2!$C:$C,$A202,Sheet2!$A:$A,AA$2),"")</f>
        <v/>
      </c>
      <c r="AB202" s="42" t="str">
        <f>IF(SUMIFS(Sheet2!$E:$E,Sheet2!$C:$C,$A202,Sheet2!$A:$A,AB$2)&lt;&gt;0,SUMIFS(Sheet2!$E:$E,Sheet2!$C:$C,$A202,Sheet2!$A:$A,AB$2),"")</f>
        <v/>
      </c>
      <c r="AC202" s="42" t="str">
        <f>IF(SUMIFS(Sheet2!$E:$E,Sheet2!$C:$C,$A202,Sheet2!$A:$A,AC$2)&lt;&gt;0,SUMIFS(Sheet2!$E:$E,Sheet2!$C:$C,$A202,Sheet2!$A:$A,AC$2),"")</f>
        <v/>
      </c>
      <c r="AD202" s="42" t="str">
        <f>IF(SUMIFS(Sheet2!$E:$E,Sheet2!$C:$C,$A202,Sheet2!$A:$A,AD$2)&lt;&gt;0,SUMIFS(Sheet2!$E:$E,Sheet2!$C:$C,$A202,Sheet2!$A:$A,AD$2),"")</f>
        <v/>
      </c>
      <c r="AE202" s="42" t="str">
        <f>IF(SUMIFS(Sheet2!$E:$E,Sheet2!$C:$C,$A202,Sheet2!$A:$A,AE$2)&lt;&gt;0,SUMIFS(Sheet2!$E:$E,Sheet2!$C:$C,$A202,Sheet2!$A:$A,AE$2),"")</f>
        <v/>
      </c>
      <c r="AF202" s="42" t="str">
        <f>IF(SUMIFS(Sheet2!$E:$E,Sheet2!$C:$C,$A202,Sheet2!$A:$A,AF$2)&lt;&gt;0,SUMIFS(Sheet2!$E:$E,Sheet2!$C:$C,$A202,Sheet2!$A:$A,AF$2),"")</f>
        <v/>
      </c>
      <c r="AG202" s="42" t="str">
        <f>IF(SUMIFS(Sheet2!$E:$E,Sheet2!$C:$C,$A202,Sheet2!$A:$A,AG$2)&lt;&gt;0,SUMIFS(Sheet2!$E:$E,Sheet2!$C:$C,$A202,Sheet2!$A:$A,AG$2),"")</f>
        <v/>
      </c>
      <c r="AH202" s="43">
        <f>SUM(Table2[[#This Row],[1]:[31]])</f>
        <v>0</v>
      </c>
    </row>
    <row r="203" spans="1:34" ht="12.75" customHeight="1">
      <c r="A203" s="76" t="str">
        <f>DSSP!A202</f>
        <v>GC127</v>
      </c>
      <c r="B203" s="25" t="str">
        <f>DSSP!B202</f>
        <v>Ghế tiểu thư mini</v>
      </c>
      <c r="C203" s="42" t="str">
        <f>IF(SUMIFS(Sheet2!$E:$E,Sheet2!$C:$C,$A203,Sheet2!$A:$A,C$2)&lt;&gt;0,SUMIFS(Sheet2!$E:$E,Sheet2!$C:$C,$A203,Sheet2!$A:$A,C$2),"")</f>
        <v/>
      </c>
      <c r="D203" s="42" t="str">
        <f>IF(SUMIFS(Sheet2!$E:$E,Sheet2!$C:$C,$A203,Sheet2!$A:$A,D$2)&lt;&gt;0,SUMIFS(Sheet2!$E:$E,Sheet2!$C:$C,$A203,Sheet2!$A:$A,D$2),"")</f>
        <v/>
      </c>
      <c r="E203" s="42" t="str">
        <f>IF(SUMIFS(Sheet2!$E:$E,Sheet2!$C:$C,$A203,Sheet2!$A:$A,E$2)&lt;&gt;0,SUMIFS(Sheet2!$E:$E,Sheet2!$C:$C,$A203,Sheet2!$A:$A,E$2),"")</f>
        <v/>
      </c>
      <c r="F203" s="42" t="str">
        <f>IF(SUMIFS(Sheet2!$E:$E,Sheet2!$C:$C,$A203,Sheet2!$A:$A,F$2)&lt;&gt;0,SUMIFS(Sheet2!$E:$E,Sheet2!$C:$C,$A203,Sheet2!$A:$A,F$2),"")</f>
        <v/>
      </c>
      <c r="G203" s="42" t="str">
        <f>IF(SUMIFS(Sheet2!$E:$E,Sheet2!$C:$C,$A203,Sheet2!$A:$A,G$2)&lt;&gt;0,SUMIFS(Sheet2!$E:$E,Sheet2!$C:$C,$A203,Sheet2!$A:$A,G$2),"")</f>
        <v/>
      </c>
      <c r="H203" s="42" t="str">
        <f>IF(SUMIFS(Sheet2!$E:$E,Sheet2!$C:$C,$A203,Sheet2!$A:$A,H$2)&lt;&gt;0,SUMIFS(Sheet2!$E:$E,Sheet2!$C:$C,$A203,Sheet2!$A:$A,H$2),"")</f>
        <v/>
      </c>
      <c r="I203" s="42" t="str">
        <f>IF(SUMIFS(Sheet2!$E:$E,Sheet2!$C:$C,$A203,Sheet2!$A:$A,I$2)&lt;&gt;0,SUMIFS(Sheet2!$E:$E,Sheet2!$C:$C,$A203,Sheet2!$A:$A,I$2),"")</f>
        <v/>
      </c>
      <c r="J203" s="42" t="str">
        <f>IF(SUMIFS(Sheet2!$E:$E,Sheet2!$C:$C,$A203,Sheet2!$A:$A,J$2)&lt;&gt;0,SUMIFS(Sheet2!$E:$E,Sheet2!$C:$C,$A203,Sheet2!$A:$A,J$2),"")</f>
        <v/>
      </c>
      <c r="K203" s="42" t="str">
        <f>IF(SUMIFS(Sheet2!$E:$E,Sheet2!$C:$C,$A203,Sheet2!$A:$A,K$2)&lt;&gt;0,SUMIFS(Sheet2!$E:$E,Sheet2!$C:$C,$A203,Sheet2!$A:$A,K$2),"")</f>
        <v/>
      </c>
      <c r="L203" s="42" t="str">
        <f>IF(SUMIFS(Sheet2!$E:$E,Sheet2!$C:$C,$A203,Sheet2!$A:$A,L$2)&lt;&gt;0,SUMIFS(Sheet2!$E:$E,Sheet2!$C:$C,$A203,Sheet2!$A:$A,L$2),"")</f>
        <v/>
      </c>
      <c r="M203" s="42" t="str">
        <f>IF(SUMIFS(Sheet2!$E:$E,Sheet2!$C:$C,$A203,Sheet2!$A:$A,M$2)&lt;&gt;0,SUMIFS(Sheet2!$E:$E,Sheet2!$C:$C,$A203,Sheet2!$A:$A,M$2),"")</f>
        <v/>
      </c>
      <c r="N203" s="42" t="str">
        <f>IF(SUMIFS(Sheet2!$E:$E,Sheet2!$C:$C,$A203,Sheet2!$A:$A,N$2)&lt;&gt;0,SUMIFS(Sheet2!$E:$E,Sheet2!$C:$C,$A203,Sheet2!$A:$A,N$2),"")</f>
        <v/>
      </c>
      <c r="O203" s="42" t="str">
        <f>IF(SUMIFS(Sheet2!$E:$E,Sheet2!$C:$C,$A203,Sheet2!$A:$A,O$2)&lt;&gt;0,SUMIFS(Sheet2!$E:$E,Sheet2!$C:$C,$A203,Sheet2!$A:$A,O$2),"")</f>
        <v/>
      </c>
      <c r="P203" s="42" t="str">
        <f>IF(SUMIFS(Sheet2!$E:$E,Sheet2!$C:$C,$A203,Sheet2!$A:$A,P$2)&lt;&gt;0,SUMIFS(Sheet2!$E:$E,Sheet2!$C:$C,$A203,Sheet2!$A:$A,P$2),"")</f>
        <v/>
      </c>
      <c r="Q203" s="42" t="str">
        <f>IF(SUMIFS(Sheet2!$E:$E,Sheet2!$C:$C,$A203,Sheet2!$A:$A,Q$2)&lt;&gt;0,SUMIFS(Sheet2!$E:$E,Sheet2!$C:$C,$A203,Sheet2!$A:$A,Q$2),"")</f>
        <v/>
      </c>
      <c r="R203" s="42" t="str">
        <f>IF(SUMIFS(Sheet2!$E:$E,Sheet2!$C:$C,$A203,Sheet2!$A:$A,R$2)&lt;&gt;0,SUMIFS(Sheet2!$E:$E,Sheet2!$C:$C,$A203,Sheet2!$A:$A,R$2),"")</f>
        <v/>
      </c>
      <c r="S203" s="42" t="str">
        <f>IF(SUMIFS(Sheet2!$E:$E,Sheet2!$C:$C,$A203,Sheet2!$A:$A,S$2)&lt;&gt;0,SUMIFS(Sheet2!$E:$E,Sheet2!$C:$C,$A203,Sheet2!$A:$A,S$2),"")</f>
        <v/>
      </c>
      <c r="T203" s="42" t="str">
        <f>IF(SUMIFS(Sheet2!$E:$E,Sheet2!$C:$C,$A203,Sheet2!$A:$A,T$2)&lt;&gt;0,SUMIFS(Sheet2!$E:$E,Sheet2!$C:$C,$A203,Sheet2!$A:$A,T$2),"")</f>
        <v/>
      </c>
      <c r="U203" s="42" t="str">
        <f>IF(SUMIFS(Sheet2!$E:$E,Sheet2!$C:$C,$A203,Sheet2!$A:$A,U$2)&lt;&gt;0,SUMIFS(Sheet2!$E:$E,Sheet2!$C:$C,$A203,Sheet2!$A:$A,U$2),"")</f>
        <v/>
      </c>
      <c r="V203" s="42" t="str">
        <f>IF(SUMIFS(Sheet2!$E:$E,Sheet2!$C:$C,$A203,Sheet2!$A:$A,V$2)&lt;&gt;0,SUMIFS(Sheet2!$E:$E,Sheet2!$C:$C,$A203,Sheet2!$A:$A,V$2),"")</f>
        <v/>
      </c>
      <c r="W203" s="42" t="str">
        <f>IF(SUMIFS(Sheet2!$E:$E,Sheet2!$C:$C,$A203,Sheet2!$A:$A,W$2)&lt;&gt;0,SUMIFS(Sheet2!$E:$E,Sheet2!$C:$C,$A203,Sheet2!$A:$A,W$2),"")</f>
        <v/>
      </c>
      <c r="X203" s="42" t="str">
        <f>IF(SUMIFS(Sheet2!$E:$E,Sheet2!$C:$C,$A203,Sheet2!$A:$A,X$2)&lt;&gt;0,SUMIFS(Sheet2!$E:$E,Sheet2!$C:$C,$A203,Sheet2!$A:$A,X$2),"")</f>
        <v/>
      </c>
      <c r="Y203" s="42" t="str">
        <f>IF(SUMIFS(Sheet2!$E:$E,Sheet2!$C:$C,$A203,Sheet2!$A:$A,Y$2)&lt;&gt;0,SUMIFS(Sheet2!$E:$E,Sheet2!$C:$C,$A203,Sheet2!$A:$A,Y$2),"")</f>
        <v/>
      </c>
      <c r="Z203" s="42" t="str">
        <f>IF(SUMIFS(Sheet2!$E:$E,Sheet2!$C:$C,$A203,Sheet2!$A:$A,Z$2)&lt;&gt;0,SUMIFS(Sheet2!$E:$E,Sheet2!$C:$C,$A203,Sheet2!$A:$A,Z$2),"")</f>
        <v/>
      </c>
      <c r="AA203" s="42" t="str">
        <f>IF(SUMIFS(Sheet2!$E:$E,Sheet2!$C:$C,$A203,Sheet2!$A:$A,AA$2)&lt;&gt;0,SUMIFS(Sheet2!$E:$E,Sheet2!$C:$C,$A203,Sheet2!$A:$A,AA$2),"")</f>
        <v/>
      </c>
      <c r="AB203" s="42" t="str">
        <f>IF(SUMIFS(Sheet2!$E:$E,Sheet2!$C:$C,$A203,Sheet2!$A:$A,AB$2)&lt;&gt;0,SUMIFS(Sheet2!$E:$E,Sheet2!$C:$C,$A203,Sheet2!$A:$A,AB$2),"")</f>
        <v/>
      </c>
      <c r="AC203" s="42" t="str">
        <f>IF(SUMIFS(Sheet2!$E:$E,Sheet2!$C:$C,$A203,Sheet2!$A:$A,AC$2)&lt;&gt;0,SUMIFS(Sheet2!$E:$E,Sheet2!$C:$C,$A203,Sheet2!$A:$A,AC$2),"")</f>
        <v/>
      </c>
      <c r="AD203" s="42" t="str">
        <f>IF(SUMIFS(Sheet2!$E:$E,Sheet2!$C:$C,$A203,Sheet2!$A:$A,AD$2)&lt;&gt;0,SUMIFS(Sheet2!$E:$E,Sheet2!$C:$C,$A203,Sheet2!$A:$A,AD$2),"")</f>
        <v/>
      </c>
      <c r="AE203" s="42" t="str">
        <f>IF(SUMIFS(Sheet2!$E:$E,Sheet2!$C:$C,$A203,Sheet2!$A:$A,AE$2)&lt;&gt;0,SUMIFS(Sheet2!$E:$E,Sheet2!$C:$C,$A203,Sheet2!$A:$A,AE$2),"")</f>
        <v/>
      </c>
      <c r="AF203" s="42" t="str">
        <f>IF(SUMIFS(Sheet2!$E:$E,Sheet2!$C:$C,$A203,Sheet2!$A:$A,AF$2)&lt;&gt;0,SUMIFS(Sheet2!$E:$E,Sheet2!$C:$C,$A203,Sheet2!$A:$A,AF$2),"")</f>
        <v/>
      </c>
      <c r="AG203" s="42" t="str">
        <f>IF(SUMIFS(Sheet2!$E:$E,Sheet2!$C:$C,$A203,Sheet2!$A:$A,AG$2)&lt;&gt;0,SUMIFS(Sheet2!$E:$E,Sheet2!$C:$C,$A203,Sheet2!$A:$A,AG$2),"")</f>
        <v/>
      </c>
      <c r="AH203" s="43">
        <f>SUM(Table2[[#This Row],[1]:[31]])</f>
        <v>0</v>
      </c>
    </row>
    <row r="204" spans="1:34" ht="12.75" customHeight="1">
      <c r="A204" s="76" t="str">
        <f>DSSP!A203</f>
        <v>GC128</v>
      </c>
      <c r="B204" s="25" t="str">
        <f>DSSP!B203</f>
        <v>Love heart</v>
      </c>
      <c r="C204" s="42" t="str">
        <f>IF(SUMIFS(Sheet2!$E:$E,Sheet2!$C:$C,$A204,Sheet2!$A:$A,C$2)&lt;&gt;0,SUMIFS(Sheet2!$E:$E,Sheet2!$C:$C,$A204,Sheet2!$A:$A,C$2),"")</f>
        <v/>
      </c>
      <c r="D204" s="42" t="str">
        <f>IF(SUMIFS(Sheet2!$E:$E,Sheet2!$C:$C,$A204,Sheet2!$A:$A,D$2)&lt;&gt;0,SUMIFS(Sheet2!$E:$E,Sheet2!$C:$C,$A204,Sheet2!$A:$A,D$2),"")</f>
        <v/>
      </c>
      <c r="E204" s="42" t="str">
        <f>IF(SUMIFS(Sheet2!$E:$E,Sheet2!$C:$C,$A204,Sheet2!$A:$A,E$2)&lt;&gt;0,SUMIFS(Sheet2!$E:$E,Sheet2!$C:$C,$A204,Sheet2!$A:$A,E$2),"")</f>
        <v/>
      </c>
      <c r="F204" s="42" t="str">
        <f>IF(SUMIFS(Sheet2!$E:$E,Sheet2!$C:$C,$A204,Sheet2!$A:$A,F$2)&lt;&gt;0,SUMIFS(Sheet2!$E:$E,Sheet2!$C:$C,$A204,Sheet2!$A:$A,F$2),"")</f>
        <v/>
      </c>
      <c r="G204" s="42" t="str">
        <f>IF(SUMIFS(Sheet2!$E:$E,Sheet2!$C:$C,$A204,Sheet2!$A:$A,G$2)&lt;&gt;0,SUMIFS(Sheet2!$E:$E,Sheet2!$C:$C,$A204,Sheet2!$A:$A,G$2),"")</f>
        <v/>
      </c>
      <c r="H204" s="42" t="str">
        <f>IF(SUMIFS(Sheet2!$E:$E,Sheet2!$C:$C,$A204,Sheet2!$A:$A,H$2)&lt;&gt;0,SUMIFS(Sheet2!$E:$E,Sheet2!$C:$C,$A204,Sheet2!$A:$A,H$2),"")</f>
        <v/>
      </c>
      <c r="I204" s="42" t="str">
        <f>IF(SUMIFS(Sheet2!$E:$E,Sheet2!$C:$C,$A204,Sheet2!$A:$A,I$2)&lt;&gt;0,SUMIFS(Sheet2!$E:$E,Sheet2!$C:$C,$A204,Sheet2!$A:$A,I$2),"")</f>
        <v/>
      </c>
      <c r="J204" s="42" t="str">
        <f>IF(SUMIFS(Sheet2!$E:$E,Sheet2!$C:$C,$A204,Sheet2!$A:$A,J$2)&lt;&gt;0,SUMIFS(Sheet2!$E:$E,Sheet2!$C:$C,$A204,Sheet2!$A:$A,J$2),"")</f>
        <v/>
      </c>
      <c r="K204" s="42" t="str">
        <f>IF(SUMIFS(Sheet2!$E:$E,Sheet2!$C:$C,$A204,Sheet2!$A:$A,K$2)&lt;&gt;0,SUMIFS(Sheet2!$E:$E,Sheet2!$C:$C,$A204,Sheet2!$A:$A,K$2),"")</f>
        <v/>
      </c>
      <c r="L204" s="42" t="str">
        <f>IF(SUMIFS(Sheet2!$E:$E,Sheet2!$C:$C,$A204,Sheet2!$A:$A,L$2)&lt;&gt;0,SUMIFS(Sheet2!$E:$E,Sheet2!$C:$C,$A204,Sheet2!$A:$A,L$2),"")</f>
        <v/>
      </c>
      <c r="M204" s="42" t="str">
        <f>IF(SUMIFS(Sheet2!$E:$E,Sheet2!$C:$C,$A204,Sheet2!$A:$A,M$2)&lt;&gt;0,SUMIFS(Sheet2!$E:$E,Sheet2!$C:$C,$A204,Sheet2!$A:$A,M$2),"")</f>
        <v/>
      </c>
      <c r="N204" s="42" t="str">
        <f>IF(SUMIFS(Sheet2!$E:$E,Sheet2!$C:$C,$A204,Sheet2!$A:$A,N$2)&lt;&gt;0,SUMIFS(Sheet2!$E:$E,Sheet2!$C:$C,$A204,Sheet2!$A:$A,N$2),"")</f>
        <v/>
      </c>
      <c r="O204" s="42" t="str">
        <f>IF(SUMIFS(Sheet2!$E:$E,Sheet2!$C:$C,$A204,Sheet2!$A:$A,O$2)&lt;&gt;0,SUMIFS(Sheet2!$E:$E,Sheet2!$C:$C,$A204,Sheet2!$A:$A,O$2),"")</f>
        <v/>
      </c>
      <c r="P204" s="42" t="str">
        <f>IF(SUMIFS(Sheet2!$E:$E,Sheet2!$C:$C,$A204,Sheet2!$A:$A,P$2)&lt;&gt;0,SUMIFS(Sheet2!$E:$E,Sheet2!$C:$C,$A204,Sheet2!$A:$A,P$2),"")</f>
        <v/>
      </c>
      <c r="Q204" s="42" t="str">
        <f>IF(SUMIFS(Sheet2!$E:$E,Sheet2!$C:$C,$A204,Sheet2!$A:$A,Q$2)&lt;&gt;0,SUMIFS(Sheet2!$E:$E,Sheet2!$C:$C,$A204,Sheet2!$A:$A,Q$2),"")</f>
        <v/>
      </c>
      <c r="R204" s="42" t="str">
        <f>IF(SUMIFS(Sheet2!$E:$E,Sheet2!$C:$C,$A204,Sheet2!$A:$A,R$2)&lt;&gt;0,SUMIFS(Sheet2!$E:$E,Sheet2!$C:$C,$A204,Sheet2!$A:$A,R$2),"")</f>
        <v/>
      </c>
      <c r="S204" s="42" t="str">
        <f>IF(SUMIFS(Sheet2!$E:$E,Sheet2!$C:$C,$A204,Sheet2!$A:$A,S$2)&lt;&gt;0,SUMIFS(Sheet2!$E:$E,Sheet2!$C:$C,$A204,Sheet2!$A:$A,S$2),"")</f>
        <v/>
      </c>
      <c r="T204" s="42" t="str">
        <f>IF(SUMIFS(Sheet2!$E:$E,Sheet2!$C:$C,$A204,Sheet2!$A:$A,T$2)&lt;&gt;0,SUMIFS(Sheet2!$E:$E,Sheet2!$C:$C,$A204,Sheet2!$A:$A,T$2),"")</f>
        <v/>
      </c>
      <c r="U204" s="42" t="str">
        <f>IF(SUMIFS(Sheet2!$E:$E,Sheet2!$C:$C,$A204,Sheet2!$A:$A,U$2)&lt;&gt;0,SUMIFS(Sheet2!$E:$E,Sheet2!$C:$C,$A204,Sheet2!$A:$A,U$2),"")</f>
        <v/>
      </c>
      <c r="V204" s="42" t="str">
        <f>IF(SUMIFS(Sheet2!$E:$E,Sheet2!$C:$C,$A204,Sheet2!$A:$A,V$2)&lt;&gt;0,SUMIFS(Sheet2!$E:$E,Sheet2!$C:$C,$A204,Sheet2!$A:$A,V$2),"")</f>
        <v/>
      </c>
      <c r="W204" s="42" t="str">
        <f>IF(SUMIFS(Sheet2!$E:$E,Sheet2!$C:$C,$A204,Sheet2!$A:$A,W$2)&lt;&gt;0,SUMIFS(Sheet2!$E:$E,Sheet2!$C:$C,$A204,Sheet2!$A:$A,W$2),"")</f>
        <v/>
      </c>
      <c r="X204" s="42" t="str">
        <f>IF(SUMIFS(Sheet2!$E:$E,Sheet2!$C:$C,$A204,Sheet2!$A:$A,X$2)&lt;&gt;0,SUMIFS(Sheet2!$E:$E,Sheet2!$C:$C,$A204,Sheet2!$A:$A,X$2),"")</f>
        <v/>
      </c>
      <c r="Y204" s="42" t="str">
        <f>IF(SUMIFS(Sheet2!$E:$E,Sheet2!$C:$C,$A204,Sheet2!$A:$A,Y$2)&lt;&gt;0,SUMIFS(Sheet2!$E:$E,Sheet2!$C:$C,$A204,Sheet2!$A:$A,Y$2),"")</f>
        <v/>
      </c>
      <c r="Z204" s="42" t="str">
        <f>IF(SUMIFS(Sheet2!$E:$E,Sheet2!$C:$C,$A204,Sheet2!$A:$A,Z$2)&lt;&gt;0,SUMIFS(Sheet2!$E:$E,Sheet2!$C:$C,$A204,Sheet2!$A:$A,Z$2),"")</f>
        <v/>
      </c>
      <c r="AA204" s="42" t="str">
        <f>IF(SUMIFS(Sheet2!$E:$E,Sheet2!$C:$C,$A204,Sheet2!$A:$A,AA$2)&lt;&gt;0,SUMIFS(Sheet2!$E:$E,Sheet2!$C:$C,$A204,Sheet2!$A:$A,AA$2),"")</f>
        <v/>
      </c>
      <c r="AB204" s="42" t="str">
        <f>IF(SUMIFS(Sheet2!$E:$E,Sheet2!$C:$C,$A204,Sheet2!$A:$A,AB$2)&lt;&gt;0,SUMIFS(Sheet2!$E:$E,Sheet2!$C:$C,$A204,Sheet2!$A:$A,AB$2),"")</f>
        <v/>
      </c>
      <c r="AC204" s="42" t="str">
        <f>IF(SUMIFS(Sheet2!$E:$E,Sheet2!$C:$C,$A204,Sheet2!$A:$A,AC$2)&lt;&gt;0,SUMIFS(Sheet2!$E:$E,Sheet2!$C:$C,$A204,Sheet2!$A:$A,AC$2),"")</f>
        <v/>
      </c>
      <c r="AD204" s="42" t="str">
        <f>IF(SUMIFS(Sheet2!$E:$E,Sheet2!$C:$C,$A204,Sheet2!$A:$A,AD$2)&lt;&gt;0,SUMIFS(Sheet2!$E:$E,Sheet2!$C:$C,$A204,Sheet2!$A:$A,AD$2),"")</f>
        <v/>
      </c>
      <c r="AE204" s="42" t="str">
        <f>IF(SUMIFS(Sheet2!$E:$E,Sheet2!$C:$C,$A204,Sheet2!$A:$A,AE$2)&lt;&gt;0,SUMIFS(Sheet2!$E:$E,Sheet2!$C:$C,$A204,Sheet2!$A:$A,AE$2),"")</f>
        <v/>
      </c>
      <c r="AF204" s="42" t="str">
        <f>IF(SUMIFS(Sheet2!$E:$E,Sheet2!$C:$C,$A204,Sheet2!$A:$A,AF$2)&lt;&gt;0,SUMIFS(Sheet2!$E:$E,Sheet2!$C:$C,$A204,Sheet2!$A:$A,AF$2),"")</f>
        <v/>
      </c>
      <c r="AG204" s="42" t="str">
        <f>IF(SUMIFS(Sheet2!$E:$E,Sheet2!$C:$C,$A204,Sheet2!$A:$A,AG$2)&lt;&gt;0,SUMIFS(Sheet2!$E:$E,Sheet2!$C:$C,$A204,Sheet2!$A:$A,AG$2),"")</f>
        <v/>
      </c>
      <c r="AH204" s="43">
        <f>SUM(Table2[[#This Row],[1]:[31]])</f>
        <v>0</v>
      </c>
    </row>
    <row r="205" spans="1:34" ht="12.75" customHeight="1">
      <c r="A205" s="76" t="str">
        <f>DSSP!A204</f>
        <v>GC129</v>
      </c>
      <c r="B205" s="25" t="str">
        <f>DSSP!B204</f>
        <v>Vespa mini</v>
      </c>
      <c r="C205" s="42" t="str">
        <f>IF(SUMIFS(Sheet2!$E:$E,Sheet2!$C:$C,$A205,Sheet2!$A:$A,C$2)&lt;&gt;0,SUMIFS(Sheet2!$E:$E,Sheet2!$C:$C,$A205,Sheet2!$A:$A,C$2),"")</f>
        <v/>
      </c>
      <c r="D205" s="42" t="str">
        <f>IF(SUMIFS(Sheet2!$E:$E,Sheet2!$C:$C,$A205,Sheet2!$A:$A,D$2)&lt;&gt;0,SUMIFS(Sheet2!$E:$E,Sheet2!$C:$C,$A205,Sheet2!$A:$A,D$2),"")</f>
        <v/>
      </c>
      <c r="E205" s="42" t="str">
        <f>IF(SUMIFS(Sheet2!$E:$E,Sheet2!$C:$C,$A205,Sheet2!$A:$A,E$2)&lt;&gt;0,SUMIFS(Sheet2!$E:$E,Sheet2!$C:$C,$A205,Sheet2!$A:$A,E$2),"")</f>
        <v/>
      </c>
      <c r="F205" s="42" t="str">
        <f>IF(SUMIFS(Sheet2!$E:$E,Sheet2!$C:$C,$A205,Sheet2!$A:$A,F$2)&lt;&gt;0,SUMIFS(Sheet2!$E:$E,Sheet2!$C:$C,$A205,Sheet2!$A:$A,F$2),"")</f>
        <v/>
      </c>
      <c r="G205" s="42" t="str">
        <f>IF(SUMIFS(Sheet2!$E:$E,Sheet2!$C:$C,$A205,Sheet2!$A:$A,G$2)&lt;&gt;0,SUMIFS(Sheet2!$E:$E,Sheet2!$C:$C,$A205,Sheet2!$A:$A,G$2),"")</f>
        <v/>
      </c>
      <c r="H205" s="42" t="str">
        <f>IF(SUMIFS(Sheet2!$E:$E,Sheet2!$C:$C,$A205,Sheet2!$A:$A,H$2)&lt;&gt;0,SUMIFS(Sheet2!$E:$E,Sheet2!$C:$C,$A205,Sheet2!$A:$A,H$2),"")</f>
        <v/>
      </c>
      <c r="I205" s="42" t="str">
        <f>IF(SUMIFS(Sheet2!$E:$E,Sheet2!$C:$C,$A205,Sheet2!$A:$A,I$2)&lt;&gt;0,SUMIFS(Sheet2!$E:$E,Sheet2!$C:$C,$A205,Sheet2!$A:$A,I$2),"")</f>
        <v/>
      </c>
      <c r="J205" s="42" t="str">
        <f>IF(SUMIFS(Sheet2!$E:$E,Sheet2!$C:$C,$A205,Sheet2!$A:$A,J$2)&lt;&gt;0,SUMIFS(Sheet2!$E:$E,Sheet2!$C:$C,$A205,Sheet2!$A:$A,J$2),"")</f>
        <v/>
      </c>
      <c r="K205" s="42" t="str">
        <f>IF(SUMIFS(Sheet2!$E:$E,Sheet2!$C:$C,$A205,Sheet2!$A:$A,K$2)&lt;&gt;0,SUMIFS(Sheet2!$E:$E,Sheet2!$C:$C,$A205,Sheet2!$A:$A,K$2),"")</f>
        <v/>
      </c>
      <c r="L205" s="42" t="str">
        <f>IF(SUMIFS(Sheet2!$E:$E,Sheet2!$C:$C,$A205,Sheet2!$A:$A,L$2)&lt;&gt;0,SUMIFS(Sheet2!$E:$E,Sheet2!$C:$C,$A205,Sheet2!$A:$A,L$2),"")</f>
        <v/>
      </c>
      <c r="M205" s="42" t="str">
        <f>IF(SUMIFS(Sheet2!$E:$E,Sheet2!$C:$C,$A205,Sheet2!$A:$A,M$2)&lt;&gt;0,SUMIFS(Sheet2!$E:$E,Sheet2!$C:$C,$A205,Sheet2!$A:$A,M$2),"")</f>
        <v/>
      </c>
      <c r="N205" s="42" t="str">
        <f>IF(SUMIFS(Sheet2!$E:$E,Sheet2!$C:$C,$A205,Sheet2!$A:$A,N$2)&lt;&gt;0,SUMIFS(Sheet2!$E:$E,Sheet2!$C:$C,$A205,Sheet2!$A:$A,N$2),"")</f>
        <v/>
      </c>
      <c r="O205" s="42" t="str">
        <f>IF(SUMIFS(Sheet2!$E:$E,Sheet2!$C:$C,$A205,Sheet2!$A:$A,O$2)&lt;&gt;0,SUMIFS(Sheet2!$E:$E,Sheet2!$C:$C,$A205,Sheet2!$A:$A,O$2),"")</f>
        <v/>
      </c>
      <c r="P205" s="42" t="str">
        <f>IF(SUMIFS(Sheet2!$E:$E,Sheet2!$C:$C,$A205,Sheet2!$A:$A,P$2)&lt;&gt;0,SUMIFS(Sheet2!$E:$E,Sheet2!$C:$C,$A205,Sheet2!$A:$A,P$2),"")</f>
        <v/>
      </c>
      <c r="Q205" s="42" t="str">
        <f>IF(SUMIFS(Sheet2!$E:$E,Sheet2!$C:$C,$A205,Sheet2!$A:$A,Q$2)&lt;&gt;0,SUMIFS(Sheet2!$E:$E,Sheet2!$C:$C,$A205,Sheet2!$A:$A,Q$2),"")</f>
        <v/>
      </c>
      <c r="R205" s="42" t="str">
        <f>IF(SUMIFS(Sheet2!$E:$E,Sheet2!$C:$C,$A205,Sheet2!$A:$A,R$2)&lt;&gt;0,SUMIFS(Sheet2!$E:$E,Sheet2!$C:$C,$A205,Sheet2!$A:$A,R$2),"")</f>
        <v/>
      </c>
      <c r="S205" s="42" t="str">
        <f>IF(SUMIFS(Sheet2!$E:$E,Sheet2!$C:$C,$A205,Sheet2!$A:$A,S$2)&lt;&gt;0,SUMIFS(Sheet2!$E:$E,Sheet2!$C:$C,$A205,Sheet2!$A:$A,S$2),"")</f>
        <v/>
      </c>
      <c r="T205" s="42" t="str">
        <f>IF(SUMIFS(Sheet2!$E:$E,Sheet2!$C:$C,$A205,Sheet2!$A:$A,T$2)&lt;&gt;0,SUMIFS(Sheet2!$E:$E,Sheet2!$C:$C,$A205,Sheet2!$A:$A,T$2),"")</f>
        <v/>
      </c>
      <c r="U205" s="42" t="str">
        <f>IF(SUMIFS(Sheet2!$E:$E,Sheet2!$C:$C,$A205,Sheet2!$A:$A,U$2)&lt;&gt;0,SUMIFS(Sheet2!$E:$E,Sheet2!$C:$C,$A205,Sheet2!$A:$A,U$2),"")</f>
        <v/>
      </c>
      <c r="V205" s="42" t="str">
        <f>IF(SUMIFS(Sheet2!$E:$E,Sheet2!$C:$C,$A205,Sheet2!$A:$A,V$2)&lt;&gt;0,SUMIFS(Sheet2!$E:$E,Sheet2!$C:$C,$A205,Sheet2!$A:$A,V$2),"")</f>
        <v/>
      </c>
      <c r="W205" s="42" t="str">
        <f>IF(SUMIFS(Sheet2!$E:$E,Sheet2!$C:$C,$A205,Sheet2!$A:$A,W$2)&lt;&gt;0,SUMIFS(Sheet2!$E:$E,Sheet2!$C:$C,$A205,Sheet2!$A:$A,W$2),"")</f>
        <v/>
      </c>
      <c r="X205" s="42" t="str">
        <f>IF(SUMIFS(Sheet2!$E:$E,Sheet2!$C:$C,$A205,Sheet2!$A:$A,X$2)&lt;&gt;0,SUMIFS(Sheet2!$E:$E,Sheet2!$C:$C,$A205,Sheet2!$A:$A,X$2),"")</f>
        <v/>
      </c>
      <c r="Y205" s="42" t="str">
        <f>IF(SUMIFS(Sheet2!$E:$E,Sheet2!$C:$C,$A205,Sheet2!$A:$A,Y$2)&lt;&gt;0,SUMIFS(Sheet2!$E:$E,Sheet2!$C:$C,$A205,Sheet2!$A:$A,Y$2),"")</f>
        <v/>
      </c>
      <c r="Z205" s="42" t="str">
        <f>IF(SUMIFS(Sheet2!$E:$E,Sheet2!$C:$C,$A205,Sheet2!$A:$A,Z$2)&lt;&gt;0,SUMIFS(Sheet2!$E:$E,Sheet2!$C:$C,$A205,Sheet2!$A:$A,Z$2),"")</f>
        <v/>
      </c>
      <c r="AA205" s="42" t="str">
        <f>IF(SUMIFS(Sheet2!$E:$E,Sheet2!$C:$C,$A205,Sheet2!$A:$A,AA$2)&lt;&gt;0,SUMIFS(Sheet2!$E:$E,Sheet2!$C:$C,$A205,Sheet2!$A:$A,AA$2),"")</f>
        <v/>
      </c>
      <c r="AB205" s="42" t="str">
        <f>IF(SUMIFS(Sheet2!$E:$E,Sheet2!$C:$C,$A205,Sheet2!$A:$A,AB$2)&lt;&gt;0,SUMIFS(Sheet2!$E:$E,Sheet2!$C:$C,$A205,Sheet2!$A:$A,AB$2),"")</f>
        <v/>
      </c>
      <c r="AC205" s="42" t="str">
        <f>IF(SUMIFS(Sheet2!$E:$E,Sheet2!$C:$C,$A205,Sheet2!$A:$A,AC$2)&lt;&gt;0,SUMIFS(Sheet2!$E:$E,Sheet2!$C:$C,$A205,Sheet2!$A:$A,AC$2),"")</f>
        <v/>
      </c>
      <c r="AD205" s="42" t="str">
        <f>IF(SUMIFS(Sheet2!$E:$E,Sheet2!$C:$C,$A205,Sheet2!$A:$A,AD$2)&lt;&gt;0,SUMIFS(Sheet2!$E:$E,Sheet2!$C:$C,$A205,Sheet2!$A:$A,AD$2),"")</f>
        <v/>
      </c>
      <c r="AE205" s="42" t="str">
        <f>IF(SUMIFS(Sheet2!$E:$E,Sheet2!$C:$C,$A205,Sheet2!$A:$A,AE$2)&lt;&gt;0,SUMIFS(Sheet2!$E:$E,Sheet2!$C:$C,$A205,Sheet2!$A:$A,AE$2),"")</f>
        <v/>
      </c>
      <c r="AF205" s="42" t="str">
        <f>IF(SUMIFS(Sheet2!$E:$E,Sheet2!$C:$C,$A205,Sheet2!$A:$A,AF$2)&lt;&gt;0,SUMIFS(Sheet2!$E:$E,Sheet2!$C:$C,$A205,Sheet2!$A:$A,AF$2),"")</f>
        <v/>
      </c>
      <c r="AG205" s="42" t="str">
        <f>IF(SUMIFS(Sheet2!$E:$E,Sheet2!$C:$C,$A205,Sheet2!$A:$A,AG$2)&lt;&gt;0,SUMIFS(Sheet2!$E:$E,Sheet2!$C:$C,$A205,Sheet2!$A:$A,AG$2),"")</f>
        <v/>
      </c>
      <c r="AH205" s="43">
        <f>SUM(Table2[[#This Row],[1]:[31]])</f>
        <v>0</v>
      </c>
    </row>
    <row r="206" spans="1:34" ht="12.75" customHeight="1">
      <c r="A206" s="76" t="str">
        <f>DSSP!A205</f>
        <v>GC130</v>
      </c>
      <c r="B206" s="25" t="str">
        <f>DSSP!B205</f>
        <v>Trái tim có cánh</v>
      </c>
      <c r="C206" s="42" t="str">
        <f>IF(SUMIFS(Sheet2!$E:$E,Sheet2!$C:$C,$A206,Sheet2!$A:$A,C$2)&lt;&gt;0,SUMIFS(Sheet2!$E:$E,Sheet2!$C:$C,$A206,Sheet2!$A:$A,C$2),"")</f>
        <v/>
      </c>
      <c r="D206" s="42" t="str">
        <f>IF(SUMIFS(Sheet2!$E:$E,Sheet2!$C:$C,$A206,Sheet2!$A:$A,D$2)&lt;&gt;0,SUMIFS(Sheet2!$E:$E,Sheet2!$C:$C,$A206,Sheet2!$A:$A,D$2),"")</f>
        <v/>
      </c>
      <c r="E206" s="42" t="str">
        <f>IF(SUMIFS(Sheet2!$E:$E,Sheet2!$C:$C,$A206,Sheet2!$A:$A,E$2)&lt;&gt;0,SUMIFS(Sheet2!$E:$E,Sheet2!$C:$C,$A206,Sheet2!$A:$A,E$2),"")</f>
        <v/>
      </c>
      <c r="F206" s="42" t="str">
        <f>IF(SUMIFS(Sheet2!$E:$E,Sheet2!$C:$C,$A206,Sheet2!$A:$A,F$2)&lt;&gt;0,SUMIFS(Sheet2!$E:$E,Sheet2!$C:$C,$A206,Sheet2!$A:$A,F$2),"")</f>
        <v/>
      </c>
      <c r="G206" s="42" t="str">
        <f>IF(SUMIFS(Sheet2!$E:$E,Sheet2!$C:$C,$A206,Sheet2!$A:$A,G$2)&lt;&gt;0,SUMIFS(Sheet2!$E:$E,Sheet2!$C:$C,$A206,Sheet2!$A:$A,G$2),"")</f>
        <v/>
      </c>
      <c r="H206" s="42" t="str">
        <f>IF(SUMIFS(Sheet2!$E:$E,Sheet2!$C:$C,$A206,Sheet2!$A:$A,H$2)&lt;&gt;0,SUMIFS(Sheet2!$E:$E,Sheet2!$C:$C,$A206,Sheet2!$A:$A,H$2),"")</f>
        <v/>
      </c>
      <c r="I206" s="42" t="str">
        <f>IF(SUMIFS(Sheet2!$E:$E,Sheet2!$C:$C,$A206,Sheet2!$A:$A,I$2)&lt;&gt;0,SUMIFS(Sheet2!$E:$E,Sheet2!$C:$C,$A206,Sheet2!$A:$A,I$2),"")</f>
        <v/>
      </c>
      <c r="J206" s="42" t="str">
        <f>IF(SUMIFS(Sheet2!$E:$E,Sheet2!$C:$C,$A206,Sheet2!$A:$A,J$2)&lt;&gt;0,SUMIFS(Sheet2!$E:$E,Sheet2!$C:$C,$A206,Sheet2!$A:$A,J$2),"")</f>
        <v/>
      </c>
      <c r="K206" s="42" t="str">
        <f>IF(SUMIFS(Sheet2!$E:$E,Sheet2!$C:$C,$A206,Sheet2!$A:$A,K$2)&lt;&gt;0,SUMIFS(Sheet2!$E:$E,Sheet2!$C:$C,$A206,Sheet2!$A:$A,K$2),"")</f>
        <v/>
      </c>
      <c r="L206" s="42" t="str">
        <f>IF(SUMIFS(Sheet2!$E:$E,Sheet2!$C:$C,$A206,Sheet2!$A:$A,L$2)&lt;&gt;0,SUMIFS(Sheet2!$E:$E,Sheet2!$C:$C,$A206,Sheet2!$A:$A,L$2),"")</f>
        <v/>
      </c>
      <c r="M206" s="42" t="str">
        <f>IF(SUMIFS(Sheet2!$E:$E,Sheet2!$C:$C,$A206,Sheet2!$A:$A,M$2)&lt;&gt;0,SUMIFS(Sheet2!$E:$E,Sheet2!$C:$C,$A206,Sheet2!$A:$A,M$2),"")</f>
        <v/>
      </c>
      <c r="N206" s="42" t="str">
        <f>IF(SUMIFS(Sheet2!$E:$E,Sheet2!$C:$C,$A206,Sheet2!$A:$A,N$2)&lt;&gt;0,SUMIFS(Sheet2!$E:$E,Sheet2!$C:$C,$A206,Sheet2!$A:$A,N$2),"")</f>
        <v/>
      </c>
      <c r="O206" s="42" t="str">
        <f>IF(SUMIFS(Sheet2!$E:$E,Sheet2!$C:$C,$A206,Sheet2!$A:$A,O$2)&lt;&gt;0,SUMIFS(Sheet2!$E:$E,Sheet2!$C:$C,$A206,Sheet2!$A:$A,O$2),"")</f>
        <v/>
      </c>
      <c r="P206" s="42" t="str">
        <f>IF(SUMIFS(Sheet2!$E:$E,Sheet2!$C:$C,$A206,Sheet2!$A:$A,P$2)&lt;&gt;0,SUMIFS(Sheet2!$E:$E,Sheet2!$C:$C,$A206,Sheet2!$A:$A,P$2),"")</f>
        <v/>
      </c>
      <c r="Q206" s="42" t="str">
        <f>IF(SUMIFS(Sheet2!$E:$E,Sheet2!$C:$C,$A206,Sheet2!$A:$A,Q$2)&lt;&gt;0,SUMIFS(Sheet2!$E:$E,Sheet2!$C:$C,$A206,Sheet2!$A:$A,Q$2),"")</f>
        <v/>
      </c>
      <c r="R206" s="42" t="str">
        <f>IF(SUMIFS(Sheet2!$E:$E,Sheet2!$C:$C,$A206,Sheet2!$A:$A,R$2)&lt;&gt;0,SUMIFS(Sheet2!$E:$E,Sheet2!$C:$C,$A206,Sheet2!$A:$A,R$2),"")</f>
        <v/>
      </c>
      <c r="S206" s="42" t="str">
        <f>IF(SUMIFS(Sheet2!$E:$E,Sheet2!$C:$C,$A206,Sheet2!$A:$A,S$2)&lt;&gt;0,SUMIFS(Sheet2!$E:$E,Sheet2!$C:$C,$A206,Sheet2!$A:$A,S$2),"")</f>
        <v/>
      </c>
      <c r="T206" s="42" t="str">
        <f>IF(SUMIFS(Sheet2!$E:$E,Sheet2!$C:$C,$A206,Sheet2!$A:$A,T$2)&lt;&gt;0,SUMIFS(Sheet2!$E:$E,Sheet2!$C:$C,$A206,Sheet2!$A:$A,T$2),"")</f>
        <v/>
      </c>
      <c r="U206" s="42" t="str">
        <f>IF(SUMIFS(Sheet2!$E:$E,Sheet2!$C:$C,$A206,Sheet2!$A:$A,U$2)&lt;&gt;0,SUMIFS(Sheet2!$E:$E,Sheet2!$C:$C,$A206,Sheet2!$A:$A,U$2),"")</f>
        <v/>
      </c>
      <c r="V206" s="42" t="str">
        <f>IF(SUMIFS(Sheet2!$E:$E,Sheet2!$C:$C,$A206,Sheet2!$A:$A,V$2)&lt;&gt;0,SUMIFS(Sheet2!$E:$E,Sheet2!$C:$C,$A206,Sheet2!$A:$A,V$2),"")</f>
        <v/>
      </c>
      <c r="W206" s="42" t="str">
        <f>IF(SUMIFS(Sheet2!$E:$E,Sheet2!$C:$C,$A206,Sheet2!$A:$A,W$2)&lt;&gt;0,SUMIFS(Sheet2!$E:$E,Sheet2!$C:$C,$A206,Sheet2!$A:$A,W$2),"")</f>
        <v/>
      </c>
      <c r="X206" s="42" t="str">
        <f>IF(SUMIFS(Sheet2!$E:$E,Sheet2!$C:$C,$A206,Sheet2!$A:$A,X$2)&lt;&gt;0,SUMIFS(Sheet2!$E:$E,Sheet2!$C:$C,$A206,Sheet2!$A:$A,X$2),"")</f>
        <v/>
      </c>
      <c r="Y206" s="42" t="str">
        <f>IF(SUMIFS(Sheet2!$E:$E,Sheet2!$C:$C,$A206,Sheet2!$A:$A,Y$2)&lt;&gt;0,SUMIFS(Sheet2!$E:$E,Sheet2!$C:$C,$A206,Sheet2!$A:$A,Y$2),"")</f>
        <v/>
      </c>
      <c r="Z206" s="42" t="str">
        <f>IF(SUMIFS(Sheet2!$E:$E,Sheet2!$C:$C,$A206,Sheet2!$A:$A,Z$2)&lt;&gt;0,SUMIFS(Sheet2!$E:$E,Sheet2!$C:$C,$A206,Sheet2!$A:$A,Z$2),"")</f>
        <v/>
      </c>
      <c r="AA206" s="42" t="str">
        <f>IF(SUMIFS(Sheet2!$E:$E,Sheet2!$C:$C,$A206,Sheet2!$A:$A,AA$2)&lt;&gt;0,SUMIFS(Sheet2!$E:$E,Sheet2!$C:$C,$A206,Sheet2!$A:$A,AA$2),"")</f>
        <v/>
      </c>
      <c r="AB206" s="42" t="str">
        <f>IF(SUMIFS(Sheet2!$E:$E,Sheet2!$C:$C,$A206,Sheet2!$A:$A,AB$2)&lt;&gt;0,SUMIFS(Sheet2!$E:$E,Sheet2!$C:$C,$A206,Sheet2!$A:$A,AB$2),"")</f>
        <v/>
      </c>
      <c r="AC206" s="42" t="str">
        <f>IF(SUMIFS(Sheet2!$E:$E,Sheet2!$C:$C,$A206,Sheet2!$A:$A,AC$2)&lt;&gt;0,SUMIFS(Sheet2!$E:$E,Sheet2!$C:$C,$A206,Sheet2!$A:$A,AC$2),"")</f>
        <v/>
      </c>
      <c r="AD206" s="42" t="str">
        <f>IF(SUMIFS(Sheet2!$E:$E,Sheet2!$C:$C,$A206,Sheet2!$A:$A,AD$2)&lt;&gt;0,SUMIFS(Sheet2!$E:$E,Sheet2!$C:$C,$A206,Sheet2!$A:$A,AD$2),"")</f>
        <v/>
      </c>
      <c r="AE206" s="42" t="str">
        <f>IF(SUMIFS(Sheet2!$E:$E,Sheet2!$C:$C,$A206,Sheet2!$A:$A,AE$2)&lt;&gt;0,SUMIFS(Sheet2!$E:$E,Sheet2!$C:$C,$A206,Sheet2!$A:$A,AE$2),"")</f>
        <v/>
      </c>
      <c r="AF206" s="42" t="str">
        <f>IF(SUMIFS(Sheet2!$E:$E,Sheet2!$C:$C,$A206,Sheet2!$A:$A,AF$2)&lt;&gt;0,SUMIFS(Sheet2!$E:$E,Sheet2!$C:$C,$A206,Sheet2!$A:$A,AF$2),"")</f>
        <v/>
      </c>
      <c r="AG206" s="42" t="str">
        <f>IF(SUMIFS(Sheet2!$E:$E,Sheet2!$C:$C,$A206,Sheet2!$A:$A,AG$2)&lt;&gt;0,SUMIFS(Sheet2!$E:$E,Sheet2!$C:$C,$A206,Sheet2!$A:$A,AG$2),"")</f>
        <v/>
      </c>
      <c r="AH206" s="43">
        <f>SUM(Table2[[#This Row],[1]:[31]])</f>
        <v>0</v>
      </c>
    </row>
    <row r="207" spans="1:34" ht="12.75" customHeight="1">
      <c r="A207" s="76" t="str">
        <f>DSSP!A206</f>
        <v>GC131</v>
      </c>
      <c r="B207" s="25" t="str">
        <f>DSSP!B206</f>
        <v>Mề đay chữ ovan</v>
      </c>
      <c r="C207" s="42" t="str">
        <f>IF(SUMIFS(Sheet2!$E:$E,Sheet2!$C:$C,$A207,Sheet2!$A:$A,C$2)&lt;&gt;0,SUMIFS(Sheet2!$E:$E,Sheet2!$C:$C,$A207,Sheet2!$A:$A,C$2),"")</f>
        <v/>
      </c>
      <c r="D207" s="42" t="str">
        <f>IF(SUMIFS(Sheet2!$E:$E,Sheet2!$C:$C,$A207,Sheet2!$A:$A,D$2)&lt;&gt;0,SUMIFS(Sheet2!$E:$E,Sheet2!$C:$C,$A207,Sheet2!$A:$A,D$2),"")</f>
        <v/>
      </c>
      <c r="E207" s="42" t="str">
        <f>IF(SUMIFS(Sheet2!$E:$E,Sheet2!$C:$C,$A207,Sheet2!$A:$A,E$2)&lt;&gt;0,SUMIFS(Sheet2!$E:$E,Sheet2!$C:$C,$A207,Sheet2!$A:$A,E$2),"")</f>
        <v/>
      </c>
      <c r="F207" s="42" t="str">
        <f>IF(SUMIFS(Sheet2!$E:$E,Sheet2!$C:$C,$A207,Sheet2!$A:$A,F$2)&lt;&gt;0,SUMIFS(Sheet2!$E:$E,Sheet2!$C:$C,$A207,Sheet2!$A:$A,F$2),"")</f>
        <v/>
      </c>
      <c r="G207" s="42" t="str">
        <f>IF(SUMIFS(Sheet2!$E:$E,Sheet2!$C:$C,$A207,Sheet2!$A:$A,G$2)&lt;&gt;0,SUMIFS(Sheet2!$E:$E,Sheet2!$C:$C,$A207,Sheet2!$A:$A,G$2),"")</f>
        <v/>
      </c>
      <c r="H207" s="42" t="str">
        <f>IF(SUMIFS(Sheet2!$E:$E,Sheet2!$C:$C,$A207,Sheet2!$A:$A,H$2)&lt;&gt;0,SUMIFS(Sheet2!$E:$E,Sheet2!$C:$C,$A207,Sheet2!$A:$A,H$2),"")</f>
        <v/>
      </c>
      <c r="I207" s="42" t="str">
        <f>IF(SUMIFS(Sheet2!$E:$E,Sheet2!$C:$C,$A207,Sheet2!$A:$A,I$2)&lt;&gt;0,SUMIFS(Sheet2!$E:$E,Sheet2!$C:$C,$A207,Sheet2!$A:$A,I$2),"")</f>
        <v/>
      </c>
      <c r="J207" s="42" t="str">
        <f>IF(SUMIFS(Sheet2!$E:$E,Sheet2!$C:$C,$A207,Sheet2!$A:$A,J$2)&lt;&gt;0,SUMIFS(Sheet2!$E:$E,Sheet2!$C:$C,$A207,Sheet2!$A:$A,J$2),"")</f>
        <v/>
      </c>
      <c r="K207" s="42" t="str">
        <f>IF(SUMIFS(Sheet2!$E:$E,Sheet2!$C:$C,$A207,Sheet2!$A:$A,K$2)&lt;&gt;0,SUMIFS(Sheet2!$E:$E,Sheet2!$C:$C,$A207,Sheet2!$A:$A,K$2),"")</f>
        <v/>
      </c>
      <c r="L207" s="42" t="str">
        <f>IF(SUMIFS(Sheet2!$E:$E,Sheet2!$C:$C,$A207,Sheet2!$A:$A,L$2)&lt;&gt;0,SUMIFS(Sheet2!$E:$E,Sheet2!$C:$C,$A207,Sheet2!$A:$A,L$2),"")</f>
        <v/>
      </c>
      <c r="M207" s="42" t="str">
        <f>IF(SUMIFS(Sheet2!$E:$E,Sheet2!$C:$C,$A207,Sheet2!$A:$A,M$2)&lt;&gt;0,SUMIFS(Sheet2!$E:$E,Sheet2!$C:$C,$A207,Sheet2!$A:$A,M$2),"")</f>
        <v/>
      </c>
      <c r="N207" s="42" t="str">
        <f>IF(SUMIFS(Sheet2!$E:$E,Sheet2!$C:$C,$A207,Sheet2!$A:$A,N$2)&lt;&gt;0,SUMIFS(Sheet2!$E:$E,Sheet2!$C:$C,$A207,Sheet2!$A:$A,N$2),"")</f>
        <v/>
      </c>
      <c r="O207" s="42" t="str">
        <f>IF(SUMIFS(Sheet2!$E:$E,Sheet2!$C:$C,$A207,Sheet2!$A:$A,O$2)&lt;&gt;0,SUMIFS(Sheet2!$E:$E,Sheet2!$C:$C,$A207,Sheet2!$A:$A,O$2),"")</f>
        <v/>
      </c>
      <c r="P207" s="42" t="str">
        <f>IF(SUMIFS(Sheet2!$E:$E,Sheet2!$C:$C,$A207,Sheet2!$A:$A,P$2)&lt;&gt;0,SUMIFS(Sheet2!$E:$E,Sheet2!$C:$C,$A207,Sheet2!$A:$A,P$2),"")</f>
        <v/>
      </c>
      <c r="Q207" s="42" t="str">
        <f>IF(SUMIFS(Sheet2!$E:$E,Sheet2!$C:$C,$A207,Sheet2!$A:$A,Q$2)&lt;&gt;0,SUMIFS(Sheet2!$E:$E,Sheet2!$C:$C,$A207,Sheet2!$A:$A,Q$2),"")</f>
        <v/>
      </c>
      <c r="R207" s="42" t="str">
        <f>IF(SUMIFS(Sheet2!$E:$E,Sheet2!$C:$C,$A207,Sheet2!$A:$A,R$2)&lt;&gt;0,SUMIFS(Sheet2!$E:$E,Sheet2!$C:$C,$A207,Sheet2!$A:$A,R$2),"")</f>
        <v/>
      </c>
      <c r="S207" s="42" t="str">
        <f>IF(SUMIFS(Sheet2!$E:$E,Sheet2!$C:$C,$A207,Sheet2!$A:$A,S$2)&lt;&gt;0,SUMIFS(Sheet2!$E:$E,Sheet2!$C:$C,$A207,Sheet2!$A:$A,S$2),"")</f>
        <v/>
      </c>
      <c r="T207" s="42" t="str">
        <f>IF(SUMIFS(Sheet2!$E:$E,Sheet2!$C:$C,$A207,Sheet2!$A:$A,T$2)&lt;&gt;0,SUMIFS(Sheet2!$E:$E,Sheet2!$C:$C,$A207,Sheet2!$A:$A,T$2),"")</f>
        <v/>
      </c>
      <c r="U207" s="42" t="str">
        <f>IF(SUMIFS(Sheet2!$E:$E,Sheet2!$C:$C,$A207,Sheet2!$A:$A,U$2)&lt;&gt;0,SUMIFS(Sheet2!$E:$E,Sheet2!$C:$C,$A207,Sheet2!$A:$A,U$2),"")</f>
        <v/>
      </c>
      <c r="V207" s="42" t="str">
        <f>IF(SUMIFS(Sheet2!$E:$E,Sheet2!$C:$C,$A207,Sheet2!$A:$A,V$2)&lt;&gt;0,SUMIFS(Sheet2!$E:$E,Sheet2!$C:$C,$A207,Sheet2!$A:$A,V$2),"")</f>
        <v/>
      </c>
      <c r="W207" s="42" t="str">
        <f>IF(SUMIFS(Sheet2!$E:$E,Sheet2!$C:$C,$A207,Sheet2!$A:$A,W$2)&lt;&gt;0,SUMIFS(Sheet2!$E:$E,Sheet2!$C:$C,$A207,Sheet2!$A:$A,W$2),"")</f>
        <v/>
      </c>
      <c r="X207" s="42" t="str">
        <f>IF(SUMIFS(Sheet2!$E:$E,Sheet2!$C:$C,$A207,Sheet2!$A:$A,X$2)&lt;&gt;0,SUMIFS(Sheet2!$E:$E,Sheet2!$C:$C,$A207,Sheet2!$A:$A,X$2),"")</f>
        <v/>
      </c>
      <c r="Y207" s="42" t="str">
        <f>IF(SUMIFS(Sheet2!$E:$E,Sheet2!$C:$C,$A207,Sheet2!$A:$A,Y$2)&lt;&gt;0,SUMIFS(Sheet2!$E:$E,Sheet2!$C:$C,$A207,Sheet2!$A:$A,Y$2),"")</f>
        <v/>
      </c>
      <c r="Z207" s="42" t="str">
        <f>IF(SUMIFS(Sheet2!$E:$E,Sheet2!$C:$C,$A207,Sheet2!$A:$A,Z$2)&lt;&gt;0,SUMIFS(Sheet2!$E:$E,Sheet2!$C:$C,$A207,Sheet2!$A:$A,Z$2),"")</f>
        <v/>
      </c>
      <c r="AA207" s="42" t="str">
        <f>IF(SUMIFS(Sheet2!$E:$E,Sheet2!$C:$C,$A207,Sheet2!$A:$A,AA$2)&lt;&gt;0,SUMIFS(Sheet2!$E:$E,Sheet2!$C:$C,$A207,Sheet2!$A:$A,AA$2),"")</f>
        <v/>
      </c>
      <c r="AB207" s="42" t="str">
        <f>IF(SUMIFS(Sheet2!$E:$E,Sheet2!$C:$C,$A207,Sheet2!$A:$A,AB$2)&lt;&gt;0,SUMIFS(Sheet2!$E:$E,Sheet2!$C:$C,$A207,Sheet2!$A:$A,AB$2),"")</f>
        <v/>
      </c>
      <c r="AC207" s="42" t="str">
        <f>IF(SUMIFS(Sheet2!$E:$E,Sheet2!$C:$C,$A207,Sheet2!$A:$A,AC$2)&lt;&gt;0,SUMIFS(Sheet2!$E:$E,Sheet2!$C:$C,$A207,Sheet2!$A:$A,AC$2),"")</f>
        <v/>
      </c>
      <c r="AD207" s="42" t="str">
        <f>IF(SUMIFS(Sheet2!$E:$E,Sheet2!$C:$C,$A207,Sheet2!$A:$A,AD$2)&lt;&gt;0,SUMIFS(Sheet2!$E:$E,Sheet2!$C:$C,$A207,Sheet2!$A:$A,AD$2),"")</f>
        <v/>
      </c>
      <c r="AE207" s="42" t="str">
        <f>IF(SUMIFS(Sheet2!$E:$E,Sheet2!$C:$C,$A207,Sheet2!$A:$A,AE$2)&lt;&gt;0,SUMIFS(Sheet2!$E:$E,Sheet2!$C:$C,$A207,Sheet2!$A:$A,AE$2),"")</f>
        <v/>
      </c>
      <c r="AF207" s="42" t="str">
        <f>IF(SUMIFS(Sheet2!$E:$E,Sheet2!$C:$C,$A207,Sheet2!$A:$A,AF$2)&lt;&gt;0,SUMIFS(Sheet2!$E:$E,Sheet2!$C:$C,$A207,Sheet2!$A:$A,AF$2),"")</f>
        <v/>
      </c>
      <c r="AG207" s="42" t="str">
        <f>IF(SUMIFS(Sheet2!$E:$E,Sheet2!$C:$C,$A207,Sheet2!$A:$A,AG$2)&lt;&gt;0,SUMIFS(Sheet2!$E:$E,Sheet2!$C:$C,$A207,Sheet2!$A:$A,AG$2),"")</f>
        <v/>
      </c>
      <c r="AH207" s="43">
        <f>SUM(Table2[[#This Row],[1]:[31]])</f>
        <v>0</v>
      </c>
    </row>
    <row r="208" spans="1:34" ht="12.75" customHeight="1">
      <c r="A208" s="76" t="str">
        <f>DSSP!A207</f>
        <v>GC132</v>
      </c>
      <c r="B208" s="25" t="str">
        <f>DSSP!B207</f>
        <v>Trái tim cách điệu</v>
      </c>
      <c r="C208" s="42" t="str">
        <f>IF(SUMIFS(Sheet2!$E:$E,Sheet2!$C:$C,$A208,Sheet2!$A:$A,C$2)&lt;&gt;0,SUMIFS(Sheet2!$E:$E,Sheet2!$C:$C,$A208,Sheet2!$A:$A,C$2),"")</f>
        <v/>
      </c>
      <c r="D208" s="42" t="str">
        <f>IF(SUMIFS(Sheet2!$E:$E,Sheet2!$C:$C,$A208,Sheet2!$A:$A,D$2)&lt;&gt;0,SUMIFS(Sheet2!$E:$E,Sheet2!$C:$C,$A208,Sheet2!$A:$A,D$2),"")</f>
        <v/>
      </c>
      <c r="E208" s="42" t="str">
        <f>IF(SUMIFS(Sheet2!$E:$E,Sheet2!$C:$C,$A208,Sheet2!$A:$A,E$2)&lt;&gt;0,SUMIFS(Sheet2!$E:$E,Sheet2!$C:$C,$A208,Sheet2!$A:$A,E$2),"")</f>
        <v/>
      </c>
      <c r="F208" s="42" t="str">
        <f>IF(SUMIFS(Sheet2!$E:$E,Sheet2!$C:$C,$A208,Sheet2!$A:$A,F$2)&lt;&gt;0,SUMIFS(Sheet2!$E:$E,Sheet2!$C:$C,$A208,Sheet2!$A:$A,F$2),"")</f>
        <v/>
      </c>
      <c r="G208" s="42" t="str">
        <f>IF(SUMIFS(Sheet2!$E:$E,Sheet2!$C:$C,$A208,Sheet2!$A:$A,G$2)&lt;&gt;0,SUMIFS(Sheet2!$E:$E,Sheet2!$C:$C,$A208,Sheet2!$A:$A,G$2),"")</f>
        <v/>
      </c>
      <c r="H208" s="42" t="str">
        <f>IF(SUMIFS(Sheet2!$E:$E,Sheet2!$C:$C,$A208,Sheet2!$A:$A,H$2)&lt;&gt;0,SUMIFS(Sheet2!$E:$E,Sheet2!$C:$C,$A208,Sheet2!$A:$A,H$2),"")</f>
        <v/>
      </c>
      <c r="I208" s="42" t="str">
        <f>IF(SUMIFS(Sheet2!$E:$E,Sheet2!$C:$C,$A208,Sheet2!$A:$A,I$2)&lt;&gt;0,SUMIFS(Sheet2!$E:$E,Sheet2!$C:$C,$A208,Sheet2!$A:$A,I$2),"")</f>
        <v/>
      </c>
      <c r="J208" s="42" t="str">
        <f>IF(SUMIFS(Sheet2!$E:$E,Sheet2!$C:$C,$A208,Sheet2!$A:$A,J$2)&lt;&gt;0,SUMIFS(Sheet2!$E:$E,Sheet2!$C:$C,$A208,Sheet2!$A:$A,J$2),"")</f>
        <v/>
      </c>
      <c r="K208" s="42" t="str">
        <f>IF(SUMIFS(Sheet2!$E:$E,Sheet2!$C:$C,$A208,Sheet2!$A:$A,K$2)&lt;&gt;0,SUMIFS(Sheet2!$E:$E,Sheet2!$C:$C,$A208,Sheet2!$A:$A,K$2),"")</f>
        <v/>
      </c>
      <c r="L208" s="42" t="str">
        <f>IF(SUMIFS(Sheet2!$E:$E,Sheet2!$C:$C,$A208,Sheet2!$A:$A,L$2)&lt;&gt;0,SUMIFS(Sheet2!$E:$E,Sheet2!$C:$C,$A208,Sheet2!$A:$A,L$2),"")</f>
        <v/>
      </c>
      <c r="M208" s="42" t="str">
        <f>IF(SUMIFS(Sheet2!$E:$E,Sheet2!$C:$C,$A208,Sheet2!$A:$A,M$2)&lt;&gt;0,SUMIFS(Sheet2!$E:$E,Sheet2!$C:$C,$A208,Sheet2!$A:$A,M$2),"")</f>
        <v/>
      </c>
      <c r="N208" s="42" t="str">
        <f>IF(SUMIFS(Sheet2!$E:$E,Sheet2!$C:$C,$A208,Sheet2!$A:$A,N$2)&lt;&gt;0,SUMIFS(Sheet2!$E:$E,Sheet2!$C:$C,$A208,Sheet2!$A:$A,N$2),"")</f>
        <v/>
      </c>
      <c r="O208" s="42" t="str">
        <f>IF(SUMIFS(Sheet2!$E:$E,Sheet2!$C:$C,$A208,Sheet2!$A:$A,O$2)&lt;&gt;0,SUMIFS(Sheet2!$E:$E,Sheet2!$C:$C,$A208,Sheet2!$A:$A,O$2),"")</f>
        <v/>
      </c>
      <c r="P208" s="42" t="str">
        <f>IF(SUMIFS(Sheet2!$E:$E,Sheet2!$C:$C,$A208,Sheet2!$A:$A,P$2)&lt;&gt;0,SUMIFS(Sheet2!$E:$E,Sheet2!$C:$C,$A208,Sheet2!$A:$A,P$2),"")</f>
        <v/>
      </c>
      <c r="Q208" s="42" t="str">
        <f>IF(SUMIFS(Sheet2!$E:$E,Sheet2!$C:$C,$A208,Sheet2!$A:$A,Q$2)&lt;&gt;0,SUMIFS(Sheet2!$E:$E,Sheet2!$C:$C,$A208,Sheet2!$A:$A,Q$2),"")</f>
        <v/>
      </c>
      <c r="R208" s="42" t="str">
        <f>IF(SUMIFS(Sheet2!$E:$E,Sheet2!$C:$C,$A208,Sheet2!$A:$A,R$2)&lt;&gt;0,SUMIFS(Sheet2!$E:$E,Sheet2!$C:$C,$A208,Sheet2!$A:$A,R$2),"")</f>
        <v/>
      </c>
      <c r="S208" s="42" t="str">
        <f>IF(SUMIFS(Sheet2!$E:$E,Sheet2!$C:$C,$A208,Sheet2!$A:$A,S$2)&lt;&gt;0,SUMIFS(Sheet2!$E:$E,Sheet2!$C:$C,$A208,Sheet2!$A:$A,S$2),"")</f>
        <v/>
      </c>
      <c r="T208" s="42" t="str">
        <f>IF(SUMIFS(Sheet2!$E:$E,Sheet2!$C:$C,$A208,Sheet2!$A:$A,T$2)&lt;&gt;0,SUMIFS(Sheet2!$E:$E,Sheet2!$C:$C,$A208,Sheet2!$A:$A,T$2),"")</f>
        <v/>
      </c>
      <c r="U208" s="42" t="str">
        <f>IF(SUMIFS(Sheet2!$E:$E,Sheet2!$C:$C,$A208,Sheet2!$A:$A,U$2)&lt;&gt;0,SUMIFS(Sheet2!$E:$E,Sheet2!$C:$C,$A208,Sheet2!$A:$A,U$2),"")</f>
        <v/>
      </c>
      <c r="V208" s="42" t="str">
        <f>IF(SUMIFS(Sheet2!$E:$E,Sheet2!$C:$C,$A208,Sheet2!$A:$A,V$2)&lt;&gt;0,SUMIFS(Sheet2!$E:$E,Sheet2!$C:$C,$A208,Sheet2!$A:$A,V$2),"")</f>
        <v/>
      </c>
      <c r="W208" s="42" t="str">
        <f>IF(SUMIFS(Sheet2!$E:$E,Sheet2!$C:$C,$A208,Sheet2!$A:$A,W$2)&lt;&gt;0,SUMIFS(Sheet2!$E:$E,Sheet2!$C:$C,$A208,Sheet2!$A:$A,W$2),"")</f>
        <v/>
      </c>
      <c r="X208" s="42" t="str">
        <f>IF(SUMIFS(Sheet2!$E:$E,Sheet2!$C:$C,$A208,Sheet2!$A:$A,X$2)&lt;&gt;0,SUMIFS(Sheet2!$E:$E,Sheet2!$C:$C,$A208,Sheet2!$A:$A,X$2),"")</f>
        <v/>
      </c>
      <c r="Y208" s="42" t="str">
        <f>IF(SUMIFS(Sheet2!$E:$E,Sheet2!$C:$C,$A208,Sheet2!$A:$A,Y$2)&lt;&gt;0,SUMIFS(Sheet2!$E:$E,Sheet2!$C:$C,$A208,Sheet2!$A:$A,Y$2),"")</f>
        <v/>
      </c>
      <c r="Z208" s="42" t="str">
        <f>IF(SUMIFS(Sheet2!$E:$E,Sheet2!$C:$C,$A208,Sheet2!$A:$A,Z$2)&lt;&gt;0,SUMIFS(Sheet2!$E:$E,Sheet2!$C:$C,$A208,Sheet2!$A:$A,Z$2),"")</f>
        <v/>
      </c>
      <c r="AA208" s="42" t="str">
        <f>IF(SUMIFS(Sheet2!$E:$E,Sheet2!$C:$C,$A208,Sheet2!$A:$A,AA$2)&lt;&gt;0,SUMIFS(Sheet2!$E:$E,Sheet2!$C:$C,$A208,Sheet2!$A:$A,AA$2),"")</f>
        <v/>
      </c>
      <c r="AB208" s="42" t="str">
        <f>IF(SUMIFS(Sheet2!$E:$E,Sheet2!$C:$C,$A208,Sheet2!$A:$A,AB$2)&lt;&gt;0,SUMIFS(Sheet2!$E:$E,Sheet2!$C:$C,$A208,Sheet2!$A:$A,AB$2),"")</f>
        <v/>
      </c>
      <c r="AC208" s="42" t="str">
        <f>IF(SUMIFS(Sheet2!$E:$E,Sheet2!$C:$C,$A208,Sheet2!$A:$A,AC$2)&lt;&gt;0,SUMIFS(Sheet2!$E:$E,Sheet2!$C:$C,$A208,Sheet2!$A:$A,AC$2),"")</f>
        <v/>
      </c>
      <c r="AD208" s="42" t="str">
        <f>IF(SUMIFS(Sheet2!$E:$E,Sheet2!$C:$C,$A208,Sheet2!$A:$A,AD$2)&lt;&gt;0,SUMIFS(Sheet2!$E:$E,Sheet2!$C:$C,$A208,Sheet2!$A:$A,AD$2),"")</f>
        <v/>
      </c>
      <c r="AE208" s="42" t="str">
        <f>IF(SUMIFS(Sheet2!$E:$E,Sheet2!$C:$C,$A208,Sheet2!$A:$A,AE$2)&lt;&gt;0,SUMIFS(Sheet2!$E:$E,Sheet2!$C:$C,$A208,Sheet2!$A:$A,AE$2),"")</f>
        <v/>
      </c>
      <c r="AF208" s="42" t="str">
        <f>IF(SUMIFS(Sheet2!$E:$E,Sheet2!$C:$C,$A208,Sheet2!$A:$A,AF$2)&lt;&gt;0,SUMIFS(Sheet2!$E:$E,Sheet2!$C:$C,$A208,Sheet2!$A:$A,AF$2),"")</f>
        <v/>
      </c>
      <c r="AG208" s="42" t="str">
        <f>IF(SUMIFS(Sheet2!$E:$E,Sheet2!$C:$C,$A208,Sheet2!$A:$A,AG$2)&lt;&gt;0,SUMIFS(Sheet2!$E:$E,Sheet2!$C:$C,$A208,Sheet2!$A:$A,AG$2),"")</f>
        <v/>
      </c>
      <c r="AH208" s="43">
        <f>SUM(Table2[[#This Row],[1]:[31]])</f>
        <v>0</v>
      </c>
    </row>
    <row r="209" spans="1:34" ht="12.75" customHeight="1">
      <c r="A209" s="76" t="str">
        <f>DSSP!A208</f>
        <v>GC133</v>
      </c>
      <c r="B209" s="25" t="str">
        <f>DSSP!B208</f>
        <v>Chìa khóa hoa</v>
      </c>
      <c r="C209" s="42" t="str">
        <f>IF(SUMIFS(Sheet2!$E:$E,Sheet2!$C:$C,$A209,Sheet2!$A:$A,C$2)&lt;&gt;0,SUMIFS(Sheet2!$E:$E,Sheet2!$C:$C,$A209,Sheet2!$A:$A,C$2),"")</f>
        <v/>
      </c>
      <c r="D209" s="42" t="str">
        <f>IF(SUMIFS(Sheet2!$E:$E,Sheet2!$C:$C,$A209,Sheet2!$A:$A,D$2)&lt;&gt;0,SUMIFS(Sheet2!$E:$E,Sheet2!$C:$C,$A209,Sheet2!$A:$A,D$2),"")</f>
        <v/>
      </c>
      <c r="E209" s="42" t="str">
        <f>IF(SUMIFS(Sheet2!$E:$E,Sheet2!$C:$C,$A209,Sheet2!$A:$A,E$2)&lt;&gt;0,SUMIFS(Sheet2!$E:$E,Sheet2!$C:$C,$A209,Sheet2!$A:$A,E$2),"")</f>
        <v/>
      </c>
      <c r="F209" s="42" t="str">
        <f>IF(SUMIFS(Sheet2!$E:$E,Sheet2!$C:$C,$A209,Sheet2!$A:$A,F$2)&lt;&gt;0,SUMIFS(Sheet2!$E:$E,Sheet2!$C:$C,$A209,Sheet2!$A:$A,F$2),"")</f>
        <v/>
      </c>
      <c r="G209" s="42" t="str">
        <f>IF(SUMIFS(Sheet2!$E:$E,Sheet2!$C:$C,$A209,Sheet2!$A:$A,G$2)&lt;&gt;0,SUMIFS(Sheet2!$E:$E,Sheet2!$C:$C,$A209,Sheet2!$A:$A,G$2),"")</f>
        <v/>
      </c>
      <c r="H209" s="42" t="str">
        <f>IF(SUMIFS(Sheet2!$E:$E,Sheet2!$C:$C,$A209,Sheet2!$A:$A,H$2)&lt;&gt;0,SUMIFS(Sheet2!$E:$E,Sheet2!$C:$C,$A209,Sheet2!$A:$A,H$2),"")</f>
        <v/>
      </c>
      <c r="I209" s="42" t="str">
        <f>IF(SUMIFS(Sheet2!$E:$E,Sheet2!$C:$C,$A209,Sheet2!$A:$A,I$2)&lt;&gt;0,SUMIFS(Sheet2!$E:$E,Sheet2!$C:$C,$A209,Sheet2!$A:$A,I$2),"")</f>
        <v/>
      </c>
      <c r="J209" s="42" t="str">
        <f>IF(SUMIFS(Sheet2!$E:$E,Sheet2!$C:$C,$A209,Sheet2!$A:$A,J$2)&lt;&gt;0,SUMIFS(Sheet2!$E:$E,Sheet2!$C:$C,$A209,Sheet2!$A:$A,J$2),"")</f>
        <v/>
      </c>
      <c r="K209" s="42" t="str">
        <f>IF(SUMIFS(Sheet2!$E:$E,Sheet2!$C:$C,$A209,Sheet2!$A:$A,K$2)&lt;&gt;0,SUMIFS(Sheet2!$E:$E,Sheet2!$C:$C,$A209,Sheet2!$A:$A,K$2),"")</f>
        <v/>
      </c>
      <c r="L209" s="42" t="str">
        <f>IF(SUMIFS(Sheet2!$E:$E,Sheet2!$C:$C,$A209,Sheet2!$A:$A,L$2)&lt;&gt;0,SUMIFS(Sheet2!$E:$E,Sheet2!$C:$C,$A209,Sheet2!$A:$A,L$2),"")</f>
        <v/>
      </c>
      <c r="M209" s="42" t="str">
        <f>IF(SUMIFS(Sheet2!$E:$E,Sheet2!$C:$C,$A209,Sheet2!$A:$A,M$2)&lt;&gt;0,SUMIFS(Sheet2!$E:$E,Sheet2!$C:$C,$A209,Sheet2!$A:$A,M$2),"")</f>
        <v/>
      </c>
      <c r="N209" s="42" t="str">
        <f>IF(SUMIFS(Sheet2!$E:$E,Sheet2!$C:$C,$A209,Sheet2!$A:$A,N$2)&lt;&gt;0,SUMIFS(Sheet2!$E:$E,Sheet2!$C:$C,$A209,Sheet2!$A:$A,N$2),"")</f>
        <v/>
      </c>
      <c r="O209" s="42" t="str">
        <f>IF(SUMIFS(Sheet2!$E:$E,Sheet2!$C:$C,$A209,Sheet2!$A:$A,O$2)&lt;&gt;0,SUMIFS(Sheet2!$E:$E,Sheet2!$C:$C,$A209,Sheet2!$A:$A,O$2),"")</f>
        <v/>
      </c>
      <c r="P209" s="42" t="str">
        <f>IF(SUMIFS(Sheet2!$E:$E,Sheet2!$C:$C,$A209,Sheet2!$A:$A,P$2)&lt;&gt;0,SUMIFS(Sheet2!$E:$E,Sheet2!$C:$C,$A209,Sheet2!$A:$A,P$2),"")</f>
        <v/>
      </c>
      <c r="Q209" s="42" t="str">
        <f>IF(SUMIFS(Sheet2!$E:$E,Sheet2!$C:$C,$A209,Sheet2!$A:$A,Q$2)&lt;&gt;0,SUMIFS(Sheet2!$E:$E,Sheet2!$C:$C,$A209,Sheet2!$A:$A,Q$2),"")</f>
        <v/>
      </c>
      <c r="R209" s="42" t="str">
        <f>IF(SUMIFS(Sheet2!$E:$E,Sheet2!$C:$C,$A209,Sheet2!$A:$A,R$2)&lt;&gt;0,SUMIFS(Sheet2!$E:$E,Sheet2!$C:$C,$A209,Sheet2!$A:$A,R$2),"")</f>
        <v/>
      </c>
      <c r="S209" s="42" t="str">
        <f>IF(SUMIFS(Sheet2!$E:$E,Sheet2!$C:$C,$A209,Sheet2!$A:$A,S$2)&lt;&gt;0,SUMIFS(Sheet2!$E:$E,Sheet2!$C:$C,$A209,Sheet2!$A:$A,S$2),"")</f>
        <v/>
      </c>
      <c r="T209" s="42" t="str">
        <f>IF(SUMIFS(Sheet2!$E:$E,Sheet2!$C:$C,$A209,Sheet2!$A:$A,T$2)&lt;&gt;0,SUMIFS(Sheet2!$E:$E,Sheet2!$C:$C,$A209,Sheet2!$A:$A,T$2),"")</f>
        <v/>
      </c>
      <c r="U209" s="42" t="str">
        <f>IF(SUMIFS(Sheet2!$E:$E,Sheet2!$C:$C,$A209,Sheet2!$A:$A,U$2)&lt;&gt;0,SUMIFS(Sheet2!$E:$E,Sheet2!$C:$C,$A209,Sheet2!$A:$A,U$2),"")</f>
        <v/>
      </c>
      <c r="V209" s="42" t="str">
        <f>IF(SUMIFS(Sheet2!$E:$E,Sheet2!$C:$C,$A209,Sheet2!$A:$A,V$2)&lt;&gt;0,SUMIFS(Sheet2!$E:$E,Sheet2!$C:$C,$A209,Sheet2!$A:$A,V$2),"")</f>
        <v/>
      </c>
      <c r="W209" s="42" t="str">
        <f>IF(SUMIFS(Sheet2!$E:$E,Sheet2!$C:$C,$A209,Sheet2!$A:$A,W$2)&lt;&gt;0,SUMIFS(Sheet2!$E:$E,Sheet2!$C:$C,$A209,Sheet2!$A:$A,W$2),"")</f>
        <v/>
      </c>
      <c r="X209" s="42" t="str">
        <f>IF(SUMIFS(Sheet2!$E:$E,Sheet2!$C:$C,$A209,Sheet2!$A:$A,X$2)&lt;&gt;0,SUMIFS(Sheet2!$E:$E,Sheet2!$C:$C,$A209,Sheet2!$A:$A,X$2),"")</f>
        <v/>
      </c>
      <c r="Y209" s="42" t="str">
        <f>IF(SUMIFS(Sheet2!$E:$E,Sheet2!$C:$C,$A209,Sheet2!$A:$A,Y$2)&lt;&gt;0,SUMIFS(Sheet2!$E:$E,Sheet2!$C:$C,$A209,Sheet2!$A:$A,Y$2),"")</f>
        <v/>
      </c>
      <c r="Z209" s="42" t="str">
        <f>IF(SUMIFS(Sheet2!$E:$E,Sheet2!$C:$C,$A209,Sheet2!$A:$A,Z$2)&lt;&gt;0,SUMIFS(Sheet2!$E:$E,Sheet2!$C:$C,$A209,Sheet2!$A:$A,Z$2),"")</f>
        <v/>
      </c>
      <c r="AA209" s="42" t="str">
        <f>IF(SUMIFS(Sheet2!$E:$E,Sheet2!$C:$C,$A209,Sheet2!$A:$A,AA$2)&lt;&gt;0,SUMIFS(Sheet2!$E:$E,Sheet2!$C:$C,$A209,Sheet2!$A:$A,AA$2),"")</f>
        <v/>
      </c>
      <c r="AB209" s="42" t="str">
        <f>IF(SUMIFS(Sheet2!$E:$E,Sheet2!$C:$C,$A209,Sheet2!$A:$A,AB$2)&lt;&gt;0,SUMIFS(Sheet2!$E:$E,Sheet2!$C:$C,$A209,Sheet2!$A:$A,AB$2),"")</f>
        <v/>
      </c>
      <c r="AC209" s="42" t="str">
        <f>IF(SUMIFS(Sheet2!$E:$E,Sheet2!$C:$C,$A209,Sheet2!$A:$A,AC$2)&lt;&gt;0,SUMIFS(Sheet2!$E:$E,Sheet2!$C:$C,$A209,Sheet2!$A:$A,AC$2),"")</f>
        <v/>
      </c>
      <c r="AD209" s="42" t="str">
        <f>IF(SUMIFS(Sheet2!$E:$E,Sheet2!$C:$C,$A209,Sheet2!$A:$A,AD$2)&lt;&gt;0,SUMIFS(Sheet2!$E:$E,Sheet2!$C:$C,$A209,Sheet2!$A:$A,AD$2),"")</f>
        <v/>
      </c>
      <c r="AE209" s="42" t="str">
        <f>IF(SUMIFS(Sheet2!$E:$E,Sheet2!$C:$C,$A209,Sheet2!$A:$A,AE$2)&lt;&gt;0,SUMIFS(Sheet2!$E:$E,Sheet2!$C:$C,$A209,Sheet2!$A:$A,AE$2),"")</f>
        <v/>
      </c>
      <c r="AF209" s="42" t="str">
        <f>IF(SUMIFS(Sheet2!$E:$E,Sheet2!$C:$C,$A209,Sheet2!$A:$A,AF$2)&lt;&gt;0,SUMIFS(Sheet2!$E:$E,Sheet2!$C:$C,$A209,Sheet2!$A:$A,AF$2),"")</f>
        <v/>
      </c>
      <c r="AG209" s="42" t="str">
        <f>IF(SUMIFS(Sheet2!$E:$E,Sheet2!$C:$C,$A209,Sheet2!$A:$A,AG$2)&lt;&gt;0,SUMIFS(Sheet2!$E:$E,Sheet2!$C:$C,$A209,Sheet2!$A:$A,AG$2),"")</f>
        <v/>
      </c>
      <c r="AH209" s="43">
        <f>SUM(Table2[[#This Row],[1]:[31]])</f>
        <v>0</v>
      </c>
    </row>
    <row r="210" spans="1:34" ht="12.75" customHeight="1">
      <c r="A210" s="76" t="str">
        <f>DSSP!A209</f>
        <v>GC134</v>
      </c>
      <c r="B210" s="25" t="str">
        <f>DSSP!B209</f>
        <v>Cỏ 4 lá</v>
      </c>
      <c r="C210" s="42" t="str">
        <f>IF(SUMIFS(Sheet2!$E:$E,Sheet2!$C:$C,$A210,Sheet2!$A:$A,C$2)&lt;&gt;0,SUMIFS(Sheet2!$E:$E,Sheet2!$C:$C,$A210,Sheet2!$A:$A,C$2),"")</f>
        <v/>
      </c>
      <c r="D210" s="42" t="str">
        <f>IF(SUMIFS(Sheet2!$E:$E,Sheet2!$C:$C,$A210,Sheet2!$A:$A,D$2)&lt;&gt;0,SUMIFS(Sheet2!$E:$E,Sheet2!$C:$C,$A210,Sheet2!$A:$A,D$2),"")</f>
        <v/>
      </c>
      <c r="E210" s="42" t="str">
        <f>IF(SUMIFS(Sheet2!$E:$E,Sheet2!$C:$C,$A210,Sheet2!$A:$A,E$2)&lt;&gt;0,SUMIFS(Sheet2!$E:$E,Sheet2!$C:$C,$A210,Sheet2!$A:$A,E$2),"")</f>
        <v/>
      </c>
      <c r="F210" s="42" t="str">
        <f>IF(SUMIFS(Sheet2!$E:$E,Sheet2!$C:$C,$A210,Sheet2!$A:$A,F$2)&lt;&gt;0,SUMIFS(Sheet2!$E:$E,Sheet2!$C:$C,$A210,Sheet2!$A:$A,F$2),"")</f>
        <v/>
      </c>
      <c r="G210" s="42" t="str">
        <f>IF(SUMIFS(Sheet2!$E:$E,Sheet2!$C:$C,$A210,Sheet2!$A:$A,G$2)&lt;&gt;0,SUMIFS(Sheet2!$E:$E,Sheet2!$C:$C,$A210,Sheet2!$A:$A,G$2),"")</f>
        <v/>
      </c>
      <c r="H210" s="42" t="str">
        <f>IF(SUMIFS(Sheet2!$E:$E,Sheet2!$C:$C,$A210,Sheet2!$A:$A,H$2)&lt;&gt;0,SUMIFS(Sheet2!$E:$E,Sheet2!$C:$C,$A210,Sheet2!$A:$A,H$2),"")</f>
        <v/>
      </c>
      <c r="I210" s="42" t="str">
        <f>IF(SUMIFS(Sheet2!$E:$E,Sheet2!$C:$C,$A210,Sheet2!$A:$A,I$2)&lt;&gt;0,SUMIFS(Sheet2!$E:$E,Sheet2!$C:$C,$A210,Sheet2!$A:$A,I$2),"")</f>
        <v/>
      </c>
      <c r="J210" s="42" t="str">
        <f>IF(SUMIFS(Sheet2!$E:$E,Sheet2!$C:$C,$A210,Sheet2!$A:$A,J$2)&lt;&gt;0,SUMIFS(Sheet2!$E:$E,Sheet2!$C:$C,$A210,Sheet2!$A:$A,J$2),"")</f>
        <v/>
      </c>
      <c r="K210" s="42" t="str">
        <f>IF(SUMIFS(Sheet2!$E:$E,Sheet2!$C:$C,$A210,Sheet2!$A:$A,K$2)&lt;&gt;0,SUMIFS(Sheet2!$E:$E,Sheet2!$C:$C,$A210,Sheet2!$A:$A,K$2),"")</f>
        <v/>
      </c>
      <c r="L210" s="42" t="str">
        <f>IF(SUMIFS(Sheet2!$E:$E,Sheet2!$C:$C,$A210,Sheet2!$A:$A,L$2)&lt;&gt;0,SUMIFS(Sheet2!$E:$E,Sheet2!$C:$C,$A210,Sheet2!$A:$A,L$2),"")</f>
        <v/>
      </c>
      <c r="M210" s="42" t="str">
        <f>IF(SUMIFS(Sheet2!$E:$E,Sheet2!$C:$C,$A210,Sheet2!$A:$A,M$2)&lt;&gt;0,SUMIFS(Sheet2!$E:$E,Sheet2!$C:$C,$A210,Sheet2!$A:$A,M$2),"")</f>
        <v/>
      </c>
      <c r="N210" s="42" t="str">
        <f>IF(SUMIFS(Sheet2!$E:$E,Sheet2!$C:$C,$A210,Sheet2!$A:$A,N$2)&lt;&gt;0,SUMIFS(Sheet2!$E:$E,Sheet2!$C:$C,$A210,Sheet2!$A:$A,N$2),"")</f>
        <v/>
      </c>
      <c r="O210" s="42" t="str">
        <f>IF(SUMIFS(Sheet2!$E:$E,Sheet2!$C:$C,$A210,Sheet2!$A:$A,O$2)&lt;&gt;0,SUMIFS(Sheet2!$E:$E,Sheet2!$C:$C,$A210,Sheet2!$A:$A,O$2),"")</f>
        <v/>
      </c>
      <c r="P210" s="42" t="str">
        <f>IF(SUMIFS(Sheet2!$E:$E,Sheet2!$C:$C,$A210,Sheet2!$A:$A,P$2)&lt;&gt;0,SUMIFS(Sheet2!$E:$E,Sheet2!$C:$C,$A210,Sheet2!$A:$A,P$2),"")</f>
        <v/>
      </c>
      <c r="Q210" s="42" t="str">
        <f>IF(SUMIFS(Sheet2!$E:$E,Sheet2!$C:$C,$A210,Sheet2!$A:$A,Q$2)&lt;&gt;0,SUMIFS(Sheet2!$E:$E,Sheet2!$C:$C,$A210,Sheet2!$A:$A,Q$2),"")</f>
        <v/>
      </c>
      <c r="R210" s="42" t="str">
        <f>IF(SUMIFS(Sheet2!$E:$E,Sheet2!$C:$C,$A210,Sheet2!$A:$A,R$2)&lt;&gt;0,SUMIFS(Sheet2!$E:$E,Sheet2!$C:$C,$A210,Sheet2!$A:$A,R$2),"")</f>
        <v/>
      </c>
      <c r="S210" s="42" t="str">
        <f>IF(SUMIFS(Sheet2!$E:$E,Sheet2!$C:$C,$A210,Sheet2!$A:$A,S$2)&lt;&gt;0,SUMIFS(Sheet2!$E:$E,Sheet2!$C:$C,$A210,Sheet2!$A:$A,S$2),"")</f>
        <v/>
      </c>
      <c r="T210" s="42" t="str">
        <f>IF(SUMIFS(Sheet2!$E:$E,Sheet2!$C:$C,$A210,Sheet2!$A:$A,T$2)&lt;&gt;0,SUMIFS(Sheet2!$E:$E,Sheet2!$C:$C,$A210,Sheet2!$A:$A,T$2),"")</f>
        <v/>
      </c>
      <c r="U210" s="42" t="str">
        <f>IF(SUMIFS(Sheet2!$E:$E,Sheet2!$C:$C,$A210,Sheet2!$A:$A,U$2)&lt;&gt;0,SUMIFS(Sheet2!$E:$E,Sheet2!$C:$C,$A210,Sheet2!$A:$A,U$2),"")</f>
        <v/>
      </c>
      <c r="V210" s="42" t="str">
        <f>IF(SUMIFS(Sheet2!$E:$E,Sheet2!$C:$C,$A210,Sheet2!$A:$A,V$2)&lt;&gt;0,SUMIFS(Sheet2!$E:$E,Sheet2!$C:$C,$A210,Sheet2!$A:$A,V$2),"")</f>
        <v/>
      </c>
      <c r="W210" s="42" t="str">
        <f>IF(SUMIFS(Sheet2!$E:$E,Sheet2!$C:$C,$A210,Sheet2!$A:$A,W$2)&lt;&gt;0,SUMIFS(Sheet2!$E:$E,Sheet2!$C:$C,$A210,Sheet2!$A:$A,W$2),"")</f>
        <v/>
      </c>
      <c r="X210" s="42" t="str">
        <f>IF(SUMIFS(Sheet2!$E:$E,Sheet2!$C:$C,$A210,Sheet2!$A:$A,X$2)&lt;&gt;0,SUMIFS(Sheet2!$E:$E,Sheet2!$C:$C,$A210,Sheet2!$A:$A,X$2),"")</f>
        <v/>
      </c>
      <c r="Y210" s="42" t="str">
        <f>IF(SUMIFS(Sheet2!$E:$E,Sheet2!$C:$C,$A210,Sheet2!$A:$A,Y$2)&lt;&gt;0,SUMIFS(Sheet2!$E:$E,Sheet2!$C:$C,$A210,Sheet2!$A:$A,Y$2),"")</f>
        <v/>
      </c>
      <c r="Z210" s="42" t="str">
        <f>IF(SUMIFS(Sheet2!$E:$E,Sheet2!$C:$C,$A210,Sheet2!$A:$A,Z$2)&lt;&gt;0,SUMIFS(Sheet2!$E:$E,Sheet2!$C:$C,$A210,Sheet2!$A:$A,Z$2),"")</f>
        <v/>
      </c>
      <c r="AA210" s="42" t="str">
        <f>IF(SUMIFS(Sheet2!$E:$E,Sheet2!$C:$C,$A210,Sheet2!$A:$A,AA$2)&lt;&gt;0,SUMIFS(Sheet2!$E:$E,Sheet2!$C:$C,$A210,Sheet2!$A:$A,AA$2),"")</f>
        <v/>
      </c>
      <c r="AB210" s="42" t="str">
        <f>IF(SUMIFS(Sheet2!$E:$E,Sheet2!$C:$C,$A210,Sheet2!$A:$A,AB$2)&lt;&gt;0,SUMIFS(Sheet2!$E:$E,Sheet2!$C:$C,$A210,Sheet2!$A:$A,AB$2),"")</f>
        <v/>
      </c>
      <c r="AC210" s="42" t="str">
        <f>IF(SUMIFS(Sheet2!$E:$E,Sheet2!$C:$C,$A210,Sheet2!$A:$A,AC$2)&lt;&gt;0,SUMIFS(Sheet2!$E:$E,Sheet2!$C:$C,$A210,Sheet2!$A:$A,AC$2),"")</f>
        <v/>
      </c>
      <c r="AD210" s="42" t="str">
        <f>IF(SUMIFS(Sheet2!$E:$E,Sheet2!$C:$C,$A210,Sheet2!$A:$A,AD$2)&lt;&gt;0,SUMIFS(Sheet2!$E:$E,Sheet2!$C:$C,$A210,Sheet2!$A:$A,AD$2),"")</f>
        <v/>
      </c>
      <c r="AE210" s="42" t="str">
        <f>IF(SUMIFS(Sheet2!$E:$E,Sheet2!$C:$C,$A210,Sheet2!$A:$A,AE$2)&lt;&gt;0,SUMIFS(Sheet2!$E:$E,Sheet2!$C:$C,$A210,Sheet2!$A:$A,AE$2),"")</f>
        <v/>
      </c>
      <c r="AF210" s="42" t="str">
        <f>IF(SUMIFS(Sheet2!$E:$E,Sheet2!$C:$C,$A210,Sheet2!$A:$A,AF$2)&lt;&gt;0,SUMIFS(Sheet2!$E:$E,Sheet2!$C:$C,$A210,Sheet2!$A:$A,AF$2),"")</f>
        <v/>
      </c>
      <c r="AG210" s="42" t="str">
        <f>IF(SUMIFS(Sheet2!$E:$E,Sheet2!$C:$C,$A210,Sheet2!$A:$A,AG$2)&lt;&gt;0,SUMIFS(Sheet2!$E:$E,Sheet2!$C:$C,$A210,Sheet2!$A:$A,AG$2),"")</f>
        <v/>
      </c>
      <c r="AH210" s="43">
        <f>SUM(Table2[[#This Row],[1]:[31]])</f>
        <v>0</v>
      </c>
    </row>
    <row r="211" spans="1:34" ht="12.75" customHeight="1">
      <c r="A211" s="76" t="str">
        <f>DSSP!A210</f>
        <v>GC135</v>
      </c>
      <c r="B211" s="25" t="str">
        <f>DSSP!B210</f>
        <v>Đôi cánh</v>
      </c>
      <c r="C211" s="42" t="str">
        <f>IF(SUMIFS(Sheet2!$E:$E,Sheet2!$C:$C,$A211,Sheet2!$A:$A,C$2)&lt;&gt;0,SUMIFS(Sheet2!$E:$E,Sheet2!$C:$C,$A211,Sheet2!$A:$A,C$2),"")</f>
        <v/>
      </c>
      <c r="D211" s="42" t="str">
        <f>IF(SUMIFS(Sheet2!$E:$E,Sheet2!$C:$C,$A211,Sheet2!$A:$A,D$2)&lt;&gt;0,SUMIFS(Sheet2!$E:$E,Sheet2!$C:$C,$A211,Sheet2!$A:$A,D$2),"")</f>
        <v/>
      </c>
      <c r="E211" s="42" t="str">
        <f>IF(SUMIFS(Sheet2!$E:$E,Sheet2!$C:$C,$A211,Sheet2!$A:$A,E$2)&lt;&gt;0,SUMIFS(Sheet2!$E:$E,Sheet2!$C:$C,$A211,Sheet2!$A:$A,E$2),"")</f>
        <v/>
      </c>
      <c r="F211" s="42" t="str">
        <f>IF(SUMIFS(Sheet2!$E:$E,Sheet2!$C:$C,$A211,Sheet2!$A:$A,F$2)&lt;&gt;0,SUMIFS(Sheet2!$E:$E,Sheet2!$C:$C,$A211,Sheet2!$A:$A,F$2),"")</f>
        <v/>
      </c>
      <c r="G211" s="42" t="str">
        <f>IF(SUMIFS(Sheet2!$E:$E,Sheet2!$C:$C,$A211,Sheet2!$A:$A,G$2)&lt;&gt;0,SUMIFS(Sheet2!$E:$E,Sheet2!$C:$C,$A211,Sheet2!$A:$A,G$2),"")</f>
        <v/>
      </c>
      <c r="H211" s="42" t="str">
        <f>IF(SUMIFS(Sheet2!$E:$E,Sheet2!$C:$C,$A211,Sheet2!$A:$A,H$2)&lt;&gt;0,SUMIFS(Sheet2!$E:$E,Sheet2!$C:$C,$A211,Sheet2!$A:$A,H$2),"")</f>
        <v/>
      </c>
      <c r="I211" s="42" t="str">
        <f>IF(SUMIFS(Sheet2!$E:$E,Sheet2!$C:$C,$A211,Sheet2!$A:$A,I$2)&lt;&gt;0,SUMIFS(Sheet2!$E:$E,Sheet2!$C:$C,$A211,Sheet2!$A:$A,I$2),"")</f>
        <v/>
      </c>
      <c r="J211" s="42" t="str">
        <f>IF(SUMIFS(Sheet2!$E:$E,Sheet2!$C:$C,$A211,Sheet2!$A:$A,J$2)&lt;&gt;0,SUMIFS(Sheet2!$E:$E,Sheet2!$C:$C,$A211,Sheet2!$A:$A,J$2),"")</f>
        <v/>
      </c>
      <c r="K211" s="42" t="str">
        <f>IF(SUMIFS(Sheet2!$E:$E,Sheet2!$C:$C,$A211,Sheet2!$A:$A,K$2)&lt;&gt;0,SUMIFS(Sheet2!$E:$E,Sheet2!$C:$C,$A211,Sheet2!$A:$A,K$2),"")</f>
        <v/>
      </c>
      <c r="L211" s="42" t="str">
        <f>IF(SUMIFS(Sheet2!$E:$E,Sheet2!$C:$C,$A211,Sheet2!$A:$A,L$2)&lt;&gt;0,SUMIFS(Sheet2!$E:$E,Sheet2!$C:$C,$A211,Sheet2!$A:$A,L$2),"")</f>
        <v/>
      </c>
      <c r="M211" s="42" t="str">
        <f>IF(SUMIFS(Sheet2!$E:$E,Sheet2!$C:$C,$A211,Sheet2!$A:$A,M$2)&lt;&gt;0,SUMIFS(Sheet2!$E:$E,Sheet2!$C:$C,$A211,Sheet2!$A:$A,M$2),"")</f>
        <v/>
      </c>
      <c r="N211" s="42" t="str">
        <f>IF(SUMIFS(Sheet2!$E:$E,Sheet2!$C:$C,$A211,Sheet2!$A:$A,N$2)&lt;&gt;0,SUMIFS(Sheet2!$E:$E,Sheet2!$C:$C,$A211,Sheet2!$A:$A,N$2),"")</f>
        <v/>
      </c>
      <c r="O211" s="42" t="str">
        <f>IF(SUMIFS(Sheet2!$E:$E,Sheet2!$C:$C,$A211,Sheet2!$A:$A,O$2)&lt;&gt;0,SUMIFS(Sheet2!$E:$E,Sheet2!$C:$C,$A211,Sheet2!$A:$A,O$2),"")</f>
        <v/>
      </c>
      <c r="P211" s="42" t="str">
        <f>IF(SUMIFS(Sheet2!$E:$E,Sheet2!$C:$C,$A211,Sheet2!$A:$A,P$2)&lt;&gt;0,SUMIFS(Sheet2!$E:$E,Sheet2!$C:$C,$A211,Sheet2!$A:$A,P$2),"")</f>
        <v/>
      </c>
      <c r="Q211" s="42" t="str">
        <f>IF(SUMIFS(Sheet2!$E:$E,Sheet2!$C:$C,$A211,Sheet2!$A:$A,Q$2)&lt;&gt;0,SUMIFS(Sheet2!$E:$E,Sheet2!$C:$C,$A211,Sheet2!$A:$A,Q$2),"")</f>
        <v/>
      </c>
      <c r="R211" s="42" t="str">
        <f>IF(SUMIFS(Sheet2!$E:$E,Sheet2!$C:$C,$A211,Sheet2!$A:$A,R$2)&lt;&gt;0,SUMIFS(Sheet2!$E:$E,Sheet2!$C:$C,$A211,Sheet2!$A:$A,R$2),"")</f>
        <v/>
      </c>
      <c r="S211" s="42" t="str">
        <f>IF(SUMIFS(Sheet2!$E:$E,Sheet2!$C:$C,$A211,Sheet2!$A:$A,S$2)&lt;&gt;0,SUMIFS(Sheet2!$E:$E,Sheet2!$C:$C,$A211,Sheet2!$A:$A,S$2),"")</f>
        <v/>
      </c>
      <c r="T211" s="42" t="str">
        <f>IF(SUMIFS(Sheet2!$E:$E,Sheet2!$C:$C,$A211,Sheet2!$A:$A,T$2)&lt;&gt;0,SUMIFS(Sheet2!$E:$E,Sheet2!$C:$C,$A211,Sheet2!$A:$A,T$2),"")</f>
        <v/>
      </c>
      <c r="U211" s="42" t="str">
        <f>IF(SUMIFS(Sheet2!$E:$E,Sheet2!$C:$C,$A211,Sheet2!$A:$A,U$2)&lt;&gt;0,SUMIFS(Sheet2!$E:$E,Sheet2!$C:$C,$A211,Sheet2!$A:$A,U$2),"")</f>
        <v/>
      </c>
      <c r="V211" s="42" t="str">
        <f>IF(SUMIFS(Sheet2!$E:$E,Sheet2!$C:$C,$A211,Sheet2!$A:$A,V$2)&lt;&gt;0,SUMIFS(Sheet2!$E:$E,Sheet2!$C:$C,$A211,Sheet2!$A:$A,V$2),"")</f>
        <v/>
      </c>
      <c r="W211" s="42" t="str">
        <f>IF(SUMIFS(Sheet2!$E:$E,Sheet2!$C:$C,$A211,Sheet2!$A:$A,W$2)&lt;&gt;0,SUMIFS(Sheet2!$E:$E,Sheet2!$C:$C,$A211,Sheet2!$A:$A,W$2),"")</f>
        <v/>
      </c>
      <c r="X211" s="42" t="str">
        <f>IF(SUMIFS(Sheet2!$E:$E,Sheet2!$C:$C,$A211,Sheet2!$A:$A,X$2)&lt;&gt;0,SUMIFS(Sheet2!$E:$E,Sheet2!$C:$C,$A211,Sheet2!$A:$A,X$2),"")</f>
        <v/>
      </c>
      <c r="Y211" s="42" t="str">
        <f>IF(SUMIFS(Sheet2!$E:$E,Sheet2!$C:$C,$A211,Sheet2!$A:$A,Y$2)&lt;&gt;0,SUMIFS(Sheet2!$E:$E,Sheet2!$C:$C,$A211,Sheet2!$A:$A,Y$2),"")</f>
        <v/>
      </c>
      <c r="Z211" s="42" t="str">
        <f>IF(SUMIFS(Sheet2!$E:$E,Sheet2!$C:$C,$A211,Sheet2!$A:$A,Z$2)&lt;&gt;0,SUMIFS(Sheet2!$E:$E,Sheet2!$C:$C,$A211,Sheet2!$A:$A,Z$2),"")</f>
        <v/>
      </c>
      <c r="AA211" s="42" t="str">
        <f>IF(SUMIFS(Sheet2!$E:$E,Sheet2!$C:$C,$A211,Sheet2!$A:$A,AA$2)&lt;&gt;0,SUMIFS(Sheet2!$E:$E,Sheet2!$C:$C,$A211,Sheet2!$A:$A,AA$2),"")</f>
        <v/>
      </c>
      <c r="AB211" s="42" t="str">
        <f>IF(SUMIFS(Sheet2!$E:$E,Sheet2!$C:$C,$A211,Sheet2!$A:$A,AB$2)&lt;&gt;0,SUMIFS(Sheet2!$E:$E,Sheet2!$C:$C,$A211,Sheet2!$A:$A,AB$2),"")</f>
        <v/>
      </c>
      <c r="AC211" s="42" t="str">
        <f>IF(SUMIFS(Sheet2!$E:$E,Sheet2!$C:$C,$A211,Sheet2!$A:$A,AC$2)&lt;&gt;0,SUMIFS(Sheet2!$E:$E,Sheet2!$C:$C,$A211,Sheet2!$A:$A,AC$2),"")</f>
        <v/>
      </c>
      <c r="AD211" s="42" t="str">
        <f>IF(SUMIFS(Sheet2!$E:$E,Sheet2!$C:$C,$A211,Sheet2!$A:$A,AD$2)&lt;&gt;0,SUMIFS(Sheet2!$E:$E,Sheet2!$C:$C,$A211,Sheet2!$A:$A,AD$2),"")</f>
        <v/>
      </c>
      <c r="AE211" s="42" t="str">
        <f>IF(SUMIFS(Sheet2!$E:$E,Sheet2!$C:$C,$A211,Sheet2!$A:$A,AE$2)&lt;&gt;0,SUMIFS(Sheet2!$E:$E,Sheet2!$C:$C,$A211,Sheet2!$A:$A,AE$2),"")</f>
        <v/>
      </c>
      <c r="AF211" s="42" t="str">
        <f>IF(SUMIFS(Sheet2!$E:$E,Sheet2!$C:$C,$A211,Sheet2!$A:$A,AF$2)&lt;&gt;0,SUMIFS(Sheet2!$E:$E,Sheet2!$C:$C,$A211,Sheet2!$A:$A,AF$2),"")</f>
        <v/>
      </c>
      <c r="AG211" s="42" t="str">
        <f>IF(SUMIFS(Sheet2!$E:$E,Sheet2!$C:$C,$A211,Sheet2!$A:$A,AG$2)&lt;&gt;0,SUMIFS(Sheet2!$E:$E,Sheet2!$C:$C,$A211,Sheet2!$A:$A,AG$2),"")</f>
        <v/>
      </c>
      <c r="AH211" s="43">
        <f>SUM(Table2[[#This Row],[1]:[31]])</f>
        <v>0</v>
      </c>
    </row>
    <row r="212" spans="1:34" ht="12.75" customHeight="1">
      <c r="A212" s="76" t="str">
        <f>DSSP!A211</f>
        <v>GC136</v>
      </c>
      <c r="B212" s="25" t="str">
        <f>DSSP!B211</f>
        <v>Ấm trà</v>
      </c>
      <c r="C212" s="42" t="str">
        <f>IF(SUMIFS(Sheet2!$E:$E,Sheet2!$C:$C,$A212,Sheet2!$A:$A,C$2)&lt;&gt;0,SUMIFS(Sheet2!$E:$E,Sheet2!$C:$C,$A212,Sheet2!$A:$A,C$2),"")</f>
        <v/>
      </c>
      <c r="D212" s="42" t="str">
        <f>IF(SUMIFS(Sheet2!$E:$E,Sheet2!$C:$C,$A212,Sheet2!$A:$A,D$2)&lt;&gt;0,SUMIFS(Sheet2!$E:$E,Sheet2!$C:$C,$A212,Sheet2!$A:$A,D$2),"")</f>
        <v/>
      </c>
      <c r="E212" s="42" t="str">
        <f>IF(SUMIFS(Sheet2!$E:$E,Sheet2!$C:$C,$A212,Sheet2!$A:$A,E$2)&lt;&gt;0,SUMIFS(Sheet2!$E:$E,Sheet2!$C:$C,$A212,Sheet2!$A:$A,E$2),"")</f>
        <v/>
      </c>
      <c r="F212" s="42" t="str">
        <f>IF(SUMIFS(Sheet2!$E:$E,Sheet2!$C:$C,$A212,Sheet2!$A:$A,F$2)&lt;&gt;0,SUMIFS(Sheet2!$E:$E,Sheet2!$C:$C,$A212,Sheet2!$A:$A,F$2),"")</f>
        <v/>
      </c>
      <c r="G212" s="42" t="str">
        <f>IF(SUMIFS(Sheet2!$E:$E,Sheet2!$C:$C,$A212,Sheet2!$A:$A,G$2)&lt;&gt;0,SUMIFS(Sheet2!$E:$E,Sheet2!$C:$C,$A212,Sheet2!$A:$A,G$2),"")</f>
        <v/>
      </c>
      <c r="H212" s="42" t="str">
        <f>IF(SUMIFS(Sheet2!$E:$E,Sheet2!$C:$C,$A212,Sheet2!$A:$A,H$2)&lt;&gt;0,SUMIFS(Sheet2!$E:$E,Sheet2!$C:$C,$A212,Sheet2!$A:$A,H$2),"")</f>
        <v/>
      </c>
      <c r="I212" s="42" t="str">
        <f>IF(SUMIFS(Sheet2!$E:$E,Sheet2!$C:$C,$A212,Sheet2!$A:$A,I$2)&lt;&gt;0,SUMIFS(Sheet2!$E:$E,Sheet2!$C:$C,$A212,Sheet2!$A:$A,I$2),"")</f>
        <v/>
      </c>
      <c r="J212" s="42" t="str">
        <f>IF(SUMIFS(Sheet2!$E:$E,Sheet2!$C:$C,$A212,Sheet2!$A:$A,J$2)&lt;&gt;0,SUMIFS(Sheet2!$E:$E,Sheet2!$C:$C,$A212,Sheet2!$A:$A,J$2),"")</f>
        <v/>
      </c>
      <c r="K212" s="42" t="str">
        <f>IF(SUMIFS(Sheet2!$E:$E,Sheet2!$C:$C,$A212,Sheet2!$A:$A,K$2)&lt;&gt;0,SUMIFS(Sheet2!$E:$E,Sheet2!$C:$C,$A212,Sheet2!$A:$A,K$2),"")</f>
        <v/>
      </c>
      <c r="L212" s="42" t="str">
        <f>IF(SUMIFS(Sheet2!$E:$E,Sheet2!$C:$C,$A212,Sheet2!$A:$A,L$2)&lt;&gt;0,SUMIFS(Sheet2!$E:$E,Sheet2!$C:$C,$A212,Sheet2!$A:$A,L$2),"")</f>
        <v/>
      </c>
      <c r="M212" s="42" t="str">
        <f>IF(SUMIFS(Sheet2!$E:$E,Sheet2!$C:$C,$A212,Sheet2!$A:$A,M$2)&lt;&gt;0,SUMIFS(Sheet2!$E:$E,Sheet2!$C:$C,$A212,Sheet2!$A:$A,M$2),"")</f>
        <v/>
      </c>
      <c r="N212" s="42" t="str">
        <f>IF(SUMIFS(Sheet2!$E:$E,Sheet2!$C:$C,$A212,Sheet2!$A:$A,N$2)&lt;&gt;0,SUMIFS(Sheet2!$E:$E,Sheet2!$C:$C,$A212,Sheet2!$A:$A,N$2),"")</f>
        <v/>
      </c>
      <c r="O212" s="42" t="str">
        <f>IF(SUMIFS(Sheet2!$E:$E,Sheet2!$C:$C,$A212,Sheet2!$A:$A,O$2)&lt;&gt;0,SUMIFS(Sheet2!$E:$E,Sheet2!$C:$C,$A212,Sheet2!$A:$A,O$2),"")</f>
        <v/>
      </c>
      <c r="P212" s="42" t="str">
        <f>IF(SUMIFS(Sheet2!$E:$E,Sheet2!$C:$C,$A212,Sheet2!$A:$A,P$2)&lt;&gt;0,SUMIFS(Sheet2!$E:$E,Sheet2!$C:$C,$A212,Sheet2!$A:$A,P$2),"")</f>
        <v/>
      </c>
      <c r="Q212" s="42" t="str">
        <f>IF(SUMIFS(Sheet2!$E:$E,Sheet2!$C:$C,$A212,Sheet2!$A:$A,Q$2)&lt;&gt;0,SUMIFS(Sheet2!$E:$E,Sheet2!$C:$C,$A212,Sheet2!$A:$A,Q$2),"")</f>
        <v/>
      </c>
      <c r="R212" s="42" t="str">
        <f>IF(SUMIFS(Sheet2!$E:$E,Sheet2!$C:$C,$A212,Sheet2!$A:$A,R$2)&lt;&gt;0,SUMIFS(Sheet2!$E:$E,Sheet2!$C:$C,$A212,Sheet2!$A:$A,R$2),"")</f>
        <v/>
      </c>
      <c r="S212" s="42" t="str">
        <f>IF(SUMIFS(Sheet2!$E:$E,Sheet2!$C:$C,$A212,Sheet2!$A:$A,S$2)&lt;&gt;0,SUMIFS(Sheet2!$E:$E,Sheet2!$C:$C,$A212,Sheet2!$A:$A,S$2),"")</f>
        <v/>
      </c>
      <c r="T212" s="42" t="str">
        <f>IF(SUMIFS(Sheet2!$E:$E,Sheet2!$C:$C,$A212,Sheet2!$A:$A,T$2)&lt;&gt;0,SUMIFS(Sheet2!$E:$E,Sheet2!$C:$C,$A212,Sheet2!$A:$A,T$2),"")</f>
        <v/>
      </c>
      <c r="U212" s="42" t="str">
        <f>IF(SUMIFS(Sheet2!$E:$E,Sheet2!$C:$C,$A212,Sheet2!$A:$A,U$2)&lt;&gt;0,SUMIFS(Sheet2!$E:$E,Sheet2!$C:$C,$A212,Sheet2!$A:$A,U$2),"")</f>
        <v/>
      </c>
      <c r="V212" s="42" t="str">
        <f>IF(SUMIFS(Sheet2!$E:$E,Sheet2!$C:$C,$A212,Sheet2!$A:$A,V$2)&lt;&gt;0,SUMIFS(Sheet2!$E:$E,Sheet2!$C:$C,$A212,Sheet2!$A:$A,V$2),"")</f>
        <v/>
      </c>
      <c r="W212" s="42" t="str">
        <f>IF(SUMIFS(Sheet2!$E:$E,Sheet2!$C:$C,$A212,Sheet2!$A:$A,W$2)&lt;&gt;0,SUMIFS(Sheet2!$E:$E,Sheet2!$C:$C,$A212,Sheet2!$A:$A,W$2),"")</f>
        <v/>
      </c>
      <c r="X212" s="42" t="str">
        <f>IF(SUMIFS(Sheet2!$E:$E,Sheet2!$C:$C,$A212,Sheet2!$A:$A,X$2)&lt;&gt;0,SUMIFS(Sheet2!$E:$E,Sheet2!$C:$C,$A212,Sheet2!$A:$A,X$2),"")</f>
        <v/>
      </c>
      <c r="Y212" s="42" t="str">
        <f>IF(SUMIFS(Sheet2!$E:$E,Sheet2!$C:$C,$A212,Sheet2!$A:$A,Y$2)&lt;&gt;0,SUMIFS(Sheet2!$E:$E,Sheet2!$C:$C,$A212,Sheet2!$A:$A,Y$2),"")</f>
        <v/>
      </c>
      <c r="Z212" s="42" t="str">
        <f>IF(SUMIFS(Sheet2!$E:$E,Sheet2!$C:$C,$A212,Sheet2!$A:$A,Z$2)&lt;&gt;0,SUMIFS(Sheet2!$E:$E,Sheet2!$C:$C,$A212,Sheet2!$A:$A,Z$2),"")</f>
        <v/>
      </c>
      <c r="AA212" s="42" t="str">
        <f>IF(SUMIFS(Sheet2!$E:$E,Sheet2!$C:$C,$A212,Sheet2!$A:$A,AA$2)&lt;&gt;0,SUMIFS(Sheet2!$E:$E,Sheet2!$C:$C,$A212,Sheet2!$A:$A,AA$2),"")</f>
        <v/>
      </c>
      <c r="AB212" s="42" t="str">
        <f>IF(SUMIFS(Sheet2!$E:$E,Sheet2!$C:$C,$A212,Sheet2!$A:$A,AB$2)&lt;&gt;0,SUMIFS(Sheet2!$E:$E,Sheet2!$C:$C,$A212,Sheet2!$A:$A,AB$2),"")</f>
        <v/>
      </c>
      <c r="AC212" s="42" t="str">
        <f>IF(SUMIFS(Sheet2!$E:$E,Sheet2!$C:$C,$A212,Sheet2!$A:$A,AC$2)&lt;&gt;0,SUMIFS(Sheet2!$E:$E,Sheet2!$C:$C,$A212,Sheet2!$A:$A,AC$2),"")</f>
        <v/>
      </c>
      <c r="AD212" s="42" t="str">
        <f>IF(SUMIFS(Sheet2!$E:$E,Sheet2!$C:$C,$A212,Sheet2!$A:$A,AD$2)&lt;&gt;0,SUMIFS(Sheet2!$E:$E,Sheet2!$C:$C,$A212,Sheet2!$A:$A,AD$2),"")</f>
        <v/>
      </c>
      <c r="AE212" s="42" t="str">
        <f>IF(SUMIFS(Sheet2!$E:$E,Sheet2!$C:$C,$A212,Sheet2!$A:$A,AE$2)&lt;&gt;0,SUMIFS(Sheet2!$E:$E,Sheet2!$C:$C,$A212,Sheet2!$A:$A,AE$2),"")</f>
        <v/>
      </c>
      <c r="AF212" s="42" t="str">
        <f>IF(SUMIFS(Sheet2!$E:$E,Sheet2!$C:$C,$A212,Sheet2!$A:$A,AF$2)&lt;&gt;0,SUMIFS(Sheet2!$E:$E,Sheet2!$C:$C,$A212,Sheet2!$A:$A,AF$2),"")</f>
        <v/>
      </c>
      <c r="AG212" s="42" t="str">
        <f>IF(SUMIFS(Sheet2!$E:$E,Sheet2!$C:$C,$A212,Sheet2!$A:$A,AG$2)&lt;&gt;0,SUMIFS(Sheet2!$E:$E,Sheet2!$C:$C,$A212,Sheet2!$A:$A,AG$2),"")</f>
        <v/>
      </c>
      <c r="AH212" s="43">
        <f>SUM(Table2[[#This Row],[1]:[31]])</f>
        <v>0</v>
      </c>
    </row>
    <row r="213" spans="1:34" ht="12.75" customHeight="1">
      <c r="A213" s="76" t="str">
        <f>DSSP!A212</f>
        <v>GC137</v>
      </c>
      <c r="B213" s="25" t="str">
        <f>DSSP!B212</f>
        <v>Chìa khoá đôi</v>
      </c>
      <c r="C213" s="42" t="str">
        <f>IF(SUMIFS(Sheet2!$E:$E,Sheet2!$C:$C,$A213,Sheet2!$A:$A,C$2)&lt;&gt;0,SUMIFS(Sheet2!$E:$E,Sheet2!$C:$C,$A213,Sheet2!$A:$A,C$2),"")</f>
        <v/>
      </c>
      <c r="D213" s="42" t="str">
        <f>IF(SUMIFS(Sheet2!$E:$E,Sheet2!$C:$C,$A213,Sheet2!$A:$A,D$2)&lt;&gt;0,SUMIFS(Sheet2!$E:$E,Sheet2!$C:$C,$A213,Sheet2!$A:$A,D$2),"")</f>
        <v/>
      </c>
      <c r="E213" s="42" t="str">
        <f>IF(SUMIFS(Sheet2!$E:$E,Sheet2!$C:$C,$A213,Sheet2!$A:$A,E$2)&lt;&gt;0,SUMIFS(Sheet2!$E:$E,Sheet2!$C:$C,$A213,Sheet2!$A:$A,E$2),"")</f>
        <v/>
      </c>
      <c r="F213" s="42" t="str">
        <f>IF(SUMIFS(Sheet2!$E:$E,Sheet2!$C:$C,$A213,Sheet2!$A:$A,F$2)&lt;&gt;0,SUMIFS(Sheet2!$E:$E,Sheet2!$C:$C,$A213,Sheet2!$A:$A,F$2),"")</f>
        <v/>
      </c>
      <c r="G213" s="42" t="str">
        <f>IF(SUMIFS(Sheet2!$E:$E,Sheet2!$C:$C,$A213,Sheet2!$A:$A,G$2)&lt;&gt;0,SUMIFS(Sheet2!$E:$E,Sheet2!$C:$C,$A213,Sheet2!$A:$A,G$2),"")</f>
        <v/>
      </c>
      <c r="H213" s="42" t="str">
        <f>IF(SUMIFS(Sheet2!$E:$E,Sheet2!$C:$C,$A213,Sheet2!$A:$A,H$2)&lt;&gt;0,SUMIFS(Sheet2!$E:$E,Sheet2!$C:$C,$A213,Sheet2!$A:$A,H$2),"")</f>
        <v/>
      </c>
      <c r="I213" s="42" t="str">
        <f>IF(SUMIFS(Sheet2!$E:$E,Sheet2!$C:$C,$A213,Sheet2!$A:$A,I$2)&lt;&gt;0,SUMIFS(Sheet2!$E:$E,Sheet2!$C:$C,$A213,Sheet2!$A:$A,I$2),"")</f>
        <v/>
      </c>
      <c r="J213" s="42" t="str">
        <f>IF(SUMIFS(Sheet2!$E:$E,Sheet2!$C:$C,$A213,Sheet2!$A:$A,J$2)&lt;&gt;0,SUMIFS(Sheet2!$E:$E,Sheet2!$C:$C,$A213,Sheet2!$A:$A,J$2),"")</f>
        <v/>
      </c>
      <c r="K213" s="42" t="str">
        <f>IF(SUMIFS(Sheet2!$E:$E,Sheet2!$C:$C,$A213,Sheet2!$A:$A,K$2)&lt;&gt;0,SUMIFS(Sheet2!$E:$E,Sheet2!$C:$C,$A213,Sheet2!$A:$A,K$2),"")</f>
        <v/>
      </c>
      <c r="L213" s="42" t="str">
        <f>IF(SUMIFS(Sheet2!$E:$E,Sheet2!$C:$C,$A213,Sheet2!$A:$A,L$2)&lt;&gt;0,SUMIFS(Sheet2!$E:$E,Sheet2!$C:$C,$A213,Sheet2!$A:$A,L$2),"")</f>
        <v/>
      </c>
      <c r="M213" s="42" t="str">
        <f>IF(SUMIFS(Sheet2!$E:$E,Sheet2!$C:$C,$A213,Sheet2!$A:$A,M$2)&lt;&gt;0,SUMIFS(Sheet2!$E:$E,Sheet2!$C:$C,$A213,Sheet2!$A:$A,M$2),"")</f>
        <v/>
      </c>
      <c r="N213" s="42" t="str">
        <f>IF(SUMIFS(Sheet2!$E:$E,Sheet2!$C:$C,$A213,Sheet2!$A:$A,N$2)&lt;&gt;0,SUMIFS(Sheet2!$E:$E,Sheet2!$C:$C,$A213,Sheet2!$A:$A,N$2),"")</f>
        <v/>
      </c>
      <c r="O213" s="42" t="str">
        <f>IF(SUMIFS(Sheet2!$E:$E,Sheet2!$C:$C,$A213,Sheet2!$A:$A,O$2)&lt;&gt;0,SUMIFS(Sheet2!$E:$E,Sheet2!$C:$C,$A213,Sheet2!$A:$A,O$2),"")</f>
        <v/>
      </c>
      <c r="P213" s="42" t="str">
        <f>IF(SUMIFS(Sheet2!$E:$E,Sheet2!$C:$C,$A213,Sheet2!$A:$A,P$2)&lt;&gt;0,SUMIFS(Sheet2!$E:$E,Sheet2!$C:$C,$A213,Sheet2!$A:$A,P$2),"")</f>
        <v/>
      </c>
      <c r="Q213" s="42" t="str">
        <f>IF(SUMIFS(Sheet2!$E:$E,Sheet2!$C:$C,$A213,Sheet2!$A:$A,Q$2)&lt;&gt;0,SUMIFS(Sheet2!$E:$E,Sheet2!$C:$C,$A213,Sheet2!$A:$A,Q$2),"")</f>
        <v/>
      </c>
      <c r="R213" s="42" t="str">
        <f>IF(SUMIFS(Sheet2!$E:$E,Sheet2!$C:$C,$A213,Sheet2!$A:$A,R$2)&lt;&gt;0,SUMIFS(Sheet2!$E:$E,Sheet2!$C:$C,$A213,Sheet2!$A:$A,R$2),"")</f>
        <v/>
      </c>
      <c r="S213" s="42" t="str">
        <f>IF(SUMIFS(Sheet2!$E:$E,Sheet2!$C:$C,$A213,Sheet2!$A:$A,S$2)&lt;&gt;0,SUMIFS(Sheet2!$E:$E,Sheet2!$C:$C,$A213,Sheet2!$A:$A,S$2),"")</f>
        <v/>
      </c>
      <c r="T213" s="42" t="str">
        <f>IF(SUMIFS(Sheet2!$E:$E,Sheet2!$C:$C,$A213,Sheet2!$A:$A,T$2)&lt;&gt;0,SUMIFS(Sheet2!$E:$E,Sheet2!$C:$C,$A213,Sheet2!$A:$A,T$2),"")</f>
        <v/>
      </c>
      <c r="U213" s="42" t="str">
        <f>IF(SUMIFS(Sheet2!$E:$E,Sheet2!$C:$C,$A213,Sheet2!$A:$A,U$2)&lt;&gt;0,SUMIFS(Sheet2!$E:$E,Sheet2!$C:$C,$A213,Sheet2!$A:$A,U$2),"")</f>
        <v/>
      </c>
      <c r="V213" s="42" t="str">
        <f>IF(SUMIFS(Sheet2!$E:$E,Sheet2!$C:$C,$A213,Sheet2!$A:$A,V$2)&lt;&gt;0,SUMIFS(Sheet2!$E:$E,Sheet2!$C:$C,$A213,Sheet2!$A:$A,V$2),"")</f>
        <v/>
      </c>
      <c r="W213" s="42" t="str">
        <f>IF(SUMIFS(Sheet2!$E:$E,Sheet2!$C:$C,$A213,Sheet2!$A:$A,W$2)&lt;&gt;0,SUMIFS(Sheet2!$E:$E,Sheet2!$C:$C,$A213,Sheet2!$A:$A,W$2),"")</f>
        <v/>
      </c>
      <c r="X213" s="42" t="str">
        <f>IF(SUMIFS(Sheet2!$E:$E,Sheet2!$C:$C,$A213,Sheet2!$A:$A,X$2)&lt;&gt;0,SUMIFS(Sheet2!$E:$E,Sheet2!$C:$C,$A213,Sheet2!$A:$A,X$2),"")</f>
        <v/>
      </c>
      <c r="Y213" s="42" t="str">
        <f>IF(SUMIFS(Sheet2!$E:$E,Sheet2!$C:$C,$A213,Sheet2!$A:$A,Y$2)&lt;&gt;0,SUMIFS(Sheet2!$E:$E,Sheet2!$C:$C,$A213,Sheet2!$A:$A,Y$2),"")</f>
        <v/>
      </c>
      <c r="Z213" s="42" t="str">
        <f>IF(SUMIFS(Sheet2!$E:$E,Sheet2!$C:$C,$A213,Sheet2!$A:$A,Z$2)&lt;&gt;0,SUMIFS(Sheet2!$E:$E,Sheet2!$C:$C,$A213,Sheet2!$A:$A,Z$2),"")</f>
        <v/>
      </c>
      <c r="AA213" s="42" t="str">
        <f>IF(SUMIFS(Sheet2!$E:$E,Sheet2!$C:$C,$A213,Sheet2!$A:$A,AA$2)&lt;&gt;0,SUMIFS(Sheet2!$E:$E,Sheet2!$C:$C,$A213,Sheet2!$A:$A,AA$2),"")</f>
        <v/>
      </c>
      <c r="AB213" s="42" t="str">
        <f>IF(SUMIFS(Sheet2!$E:$E,Sheet2!$C:$C,$A213,Sheet2!$A:$A,AB$2)&lt;&gt;0,SUMIFS(Sheet2!$E:$E,Sheet2!$C:$C,$A213,Sheet2!$A:$A,AB$2),"")</f>
        <v/>
      </c>
      <c r="AC213" s="42" t="str">
        <f>IF(SUMIFS(Sheet2!$E:$E,Sheet2!$C:$C,$A213,Sheet2!$A:$A,AC$2)&lt;&gt;0,SUMIFS(Sheet2!$E:$E,Sheet2!$C:$C,$A213,Sheet2!$A:$A,AC$2),"")</f>
        <v/>
      </c>
      <c r="AD213" s="42" t="str">
        <f>IF(SUMIFS(Sheet2!$E:$E,Sheet2!$C:$C,$A213,Sheet2!$A:$A,AD$2)&lt;&gt;0,SUMIFS(Sheet2!$E:$E,Sheet2!$C:$C,$A213,Sheet2!$A:$A,AD$2),"")</f>
        <v/>
      </c>
      <c r="AE213" s="42" t="str">
        <f>IF(SUMIFS(Sheet2!$E:$E,Sheet2!$C:$C,$A213,Sheet2!$A:$A,AE$2)&lt;&gt;0,SUMIFS(Sheet2!$E:$E,Sheet2!$C:$C,$A213,Sheet2!$A:$A,AE$2),"")</f>
        <v/>
      </c>
      <c r="AF213" s="42" t="str">
        <f>IF(SUMIFS(Sheet2!$E:$E,Sheet2!$C:$C,$A213,Sheet2!$A:$A,AF$2)&lt;&gt;0,SUMIFS(Sheet2!$E:$E,Sheet2!$C:$C,$A213,Sheet2!$A:$A,AF$2),"")</f>
        <v/>
      </c>
      <c r="AG213" s="42" t="str">
        <f>IF(SUMIFS(Sheet2!$E:$E,Sheet2!$C:$C,$A213,Sheet2!$A:$A,AG$2)&lt;&gt;0,SUMIFS(Sheet2!$E:$E,Sheet2!$C:$C,$A213,Sheet2!$A:$A,AG$2),"")</f>
        <v/>
      </c>
      <c r="AH213" s="43">
        <f>SUM(Table2[[#This Row],[1]:[31]])</f>
        <v>0</v>
      </c>
    </row>
    <row r="214" spans="1:34" ht="12.75" customHeight="1">
      <c r="A214" s="76" t="str">
        <f>DSSP!A213</f>
        <v>GC138</v>
      </c>
      <c r="B214" s="25" t="str">
        <f>DSSP!B213</f>
        <v>Vòng tròn peace</v>
      </c>
      <c r="C214" s="42" t="str">
        <f>IF(SUMIFS(Sheet2!$E:$E,Sheet2!$C:$C,$A214,Sheet2!$A:$A,C$2)&lt;&gt;0,SUMIFS(Sheet2!$E:$E,Sheet2!$C:$C,$A214,Sheet2!$A:$A,C$2),"")</f>
        <v/>
      </c>
      <c r="D214" s="42" t="str">
        <f>IF(SUMIFS(Sheet2!$E:$E,Sheet2!$C:$C,$A214,Sheet2!$A:$A,D$2)&lt;&gt;0,SUMIFS(Sheet2!$E:$E,Sheet2!$C:$C,$A214,Sheet2!$A:$A,D$2),"")</f>
        <v/>
      </c>
      <c r="E214" s="42" t="str">
        <f>IF(SUMIFS(Sheet2!$E:$E,Sheet2!$C:$C,$A214,Sheet2!$A:$A,E$2)&lt;&gt;0,SUMIFS(Sheet2!$E:$E,Sheet2!$C:$C,$A214,Sheet2!$A:$A,E$2),"")</f>
        <v/>
      </c>
      <c r="F214" s="42" t="str">
        <f>IF(SUMIFS(Sheet2!$E:$E,Sheet2!$C:$C,$A214,Sheet2!$A:$A,F$2)&lt;&gt;0,SUMIFS(Sheet2!$E:$E,Sheet2!$C:$C,$A214,Sheet2!$A:$A,F$2),"")</f>
        <v/>
      </c>
      <c r="G214" s="42" t="str">
        <f>IF(SUMIFS(Sheet2!$E:$E,Sheet2!$C:$C,$A214,Sheet2!$A:$A,G$2)&lt;&gt;0,SUMIFS(Sheet2!$E:$E,Sheet2!$C:$C,$A214,Sheet2!$A:$A,G$2),"")</f>
        <v/>
      </c>
      <c r="H214" s="42" t="str">
        <f>IF(SUMIFS(Sheet2!$E:$E,Sheet2!$C:$C,$A214,Sheet2!$A:$A,H$2)&lt;&gt;0,SUMIFS(Sheet2!$E:$E,Sheet2!$C:$C,$A214,Sheet2!$A:$A,H$2),"")</f>
        <v/>
      </c>
      <c r="I214" s="42" t="str">
        <f>IF(SUMIFS(Sheet2!$E:$E,Sheet2!$C:$C,$A214,Sheet2!$A:$A,I$2)&lt;&gt;0,SUMIFS(Sheet2!$E:$E,Sheet2!$C:$C,$A214,Sheet2!$A:$A,I$2),"")</f>
        <v/>
      </c>
      <c r="J214" s="42" t="str">
        <f>IF(SUMIFS(Sheet2!$E:$E,Sheet2!$C:$C,$A214,Sheet2!$A:$A,J$2)&lt;&gt;0,SUMIFS(Sheet2!$E:$E,Sheet2!$C:$C,$A214,Sheet2!$A:$A,J$2),"")</f>
        <v/>
      </c>
      <c r="K214" s="42" t="str">
        <f>IF(SUMIFS(Sheet2!$E:$E,Sheet2!$C:$C,$A214,Sheet2!$A:$A,K$2)&lt;&gt;0,SUMIFS(Sheet2!$E:$E,Sheet2!$C:$C,$A214,Sheet2!$A:$A,K$2),"")</f>
        <v/>
      </c>
      <c r="L214" s="42" t="str">
        <f>IF(SUMIFS(Sheet2!$E:$E,Sheet2!$C:$C,$A214,Sheet2!$A:$A,L$2)&lt;&gt;0,SUMIFS(Sheet2!$E:$E,Sheet2!$C:$C,$A214,Sheet2!$A:$A,L$2),"")</f>
        <v/>
      </c>
      <c r="M214" s="42" t="str">
        <f>IF(SUMIFS(Sheet2!$E:$E,Sheet2!$C:$C,$A214,Sheet2!$A:$A,M$2)&lt;&gt;0,SUMIFS(Sheet2!$E:$E,Sheet2!$C:$C,$A214,Sheet2!$A:$A,M$2),"")</f>
        <v/>
      </c>
      <c r="N214" s="42" t="str">
        <f>IF(SUMIFS(Sheet2!$E:$E,Sheet2!$C:$C,$A214,Sheet2!$A:$A,N$2)&lt;&gt;0,SUMIFS(Sheet2!$E:$E,Sheet2!$C:$C,$A214,Sheet2!$A:$A,N$2),"")</f>
        <v/>
      </c>
      <c r="O214" s="42" t="str">
        <f>IF(SUMIFS(Sheet2!$E:$E,Sheet2!$C:$C,$A214,Sheet2!$A:$A,O$2)&lt;&gt;0,SUMIFS(Sheet2!$E:$E,Sheet2!$C:$C,$A214,Sheet2!$A:$A,O$2),"")</f>
        <v/>
      </c>
      <c r="P214" s="42" t="str">
        <f>IF(SUMIFS(Sheet2!$E:$E,Sheet2!$C:$C,$A214,Sheet2!$A:$A,P$2)&lt;&gt;0,SUMIFS(Sheet2!$E:$E,Sheet2!$C:$C,$A214,Sheet2!$A:$A,P$2),"")</f>
        <v/>
      </c>
      <c r="Q214" s="42" t="str">
        <f>IF(SUMIFS(Sheet2!$E:$E,Sheet2!$C:$C,$A214,Sheet2!$A:$A,Q$2)&lt;&gt;0,SUMIFS(Sheet2!$E:$E,Sheet2!$C:$C,$A214,Sheet2!$A:$A,Q$2),"")</f>
        <v/>
      </c>
      <c r="R214" s="42" t="str">
        <f>IF(SUMIFS(Sheet2!$E:$E,Sheet2!$C:$C,$A214,Sheet2!$A:$A,R$2)&lt;&gt;0,SUMIFS(Sheet2!$E:$E,Sheet2!$C:$C,$A214,Sheet2!$A:$A,R$2),"")</f>
        <v/>
      </c>
      <c r="S214" s="42" t="str">
        <f>IF(SUMIFS(Sheet2!$E:$E,Sheet2!$C:$C,$A214,Sheet2!$A:$A,S$2)&lt;&gt;0,SUMIFS(Sheet2!$E:$E,Sheet2!$C:$C,$A214,Sheet2!$A:$A,S$2),"")</f>
        <v/>
      </c>
      <c r="T214" s="42" t="str">
        <f>IF(SUMIFS(Sheet2!$E:$E,Sheet2!$C:$C,$A214,Sheet2!$A:$A,T$2)&lt;&gt;0,SUMIFS(Sheet2!$E:$E,Sheet2!$C:$C,$A214,Sheet2!$A:$A,T$2),"")</f>
        <v/>
      </c>
      <c r="U214" s="42" t="str">
        <f>IF(SUMIFS(Sheet2!$E:$E,Sheet2!$C:$C,$A214,Sheet2!$A:$A,U$2)&lt;&gt;0,SUMIFS(Sheet2!$E:$E,Sheet2!$C:$C,$A214,Sheet2!$A:$A,U$2),"")</f>
        <v/>
      </c>
      <c r="V214" s="42" t="str">
        <f>IF(SUMIFS(Sheet2!$E:$E,Sheet2!$C:$C,$A214,Sheet2!$A:$A,V$2)&lt;&gt;0,SUMIFS(Sheet2!$E:$E,Sheet2!$C:$C,$A214,Sheet2!$A:$A,V$2),"")</f>
        <v/>
      </c>
      <c r="W214" s="42" t="str">
        <f>IF(SUMIFS(Sheet2!$E:$E,Sheet2!$C:$C,$A214,Sheet2!$A:$A,W$2)&lt;&gt;0,SUMIFS(Sheet2!$E:$E,Sheet2!$C:$C,$A214,Sheet2!$A:$A,W$2),"")</f>
        <v/>
      </c>
      <c r="X214" s="42" t="str">
        <f>IF(SUMIFS(Sheet2!$E:$E,Sheet2!$C:$C,$A214,Sheet2!$A:$A,X$2)&lt;&gt;0,SUMIFS(Sheet2!$E:$E,Sheet2!$C:$C,$A214,Sheet2!$A:$A,X$2),"")</f>
        <v/>
      </c>
      <c r="Y214" s="42" t="str">
        <f>IF(SUMIFS(Sheet2!$E:$E,Sheet2!$C:$C,$A214,Sheet2!$A:$A,Y$2)&lt;&gt;0,SUMIFS(Sheet2!$E:$E,Sheet2!$C:$C,$A214,Sheet2!$A:$A,Y$2),"")</f>
        <v/>
      </c>
      <c r="Z214" s="42" t="str">
        <f>IF(SUMIFS(Sheet2!$E:$E,Sheet2!$C:$C,$A214,Sheet2!$A:$A,Z$2)&lt;&gt;0,SUMIFS(Sheet2!$E:$E,Sheet2!$C:$C,$A214,Sheet2!$A:$A,Z$2),"")</f>
        <v/>
      </c>
      <c r="AA214" s="42" t="str">
        <f>IF(SUMIFS(Sheet2!$E:$E,Sheet2!$C:$C,$A214,Sheet2!$A:$A,AA$2)&lt;&gt;0,SUMIFS(Sheet2!$E:$E,Sheet2!$C:$C,$A214,Sheet2!$A:$A,AA$2),"")</f>
        <v/>
      </c>
      <c r="AB214" s="42" t="str">
        <f>IF(SUMIFS(Sheet2!$E:$E,Sheet2!$C:$C,$A214,Sheet2!$A:$A,AB$2)&lt;&gt;0,SUMIFS(Sheet2!$E:$E,Sheet2!$C:$C,$A214,Sheet2!$A:$A,AB$2),"")</f>
        <v/>
      </c>
      <c r="AC214" s="42" t="str">
        <f>IF(SUMIFS(Sheet2!$E:$E,Sheet2!$C:$C,$A214,Sheet2!$A:$A,AC$2)&lt;&gt;0,SUMIFS(Sheet2!$E:$E,Sheet2!$C:$C,$A214,Sheet2!$A:$A,AC$2),"")</f>
        <v/>
      </c>
      <c r="AD214" s="42" t="str">
        <f>IF(SUMIFS(Sheet2!$E:$E,Sheet2!$C:$C,$A214,Sheet2!$A:$A,AD$2)&lt;&gt;0,SUMIFS(Sheet2!$E:$E,Sheet2!$C:$C,$A214,Sheet2!$A:$A,AD$2),"")</f>
        <v/>
      </c>
      <c r="AE214" s="42" t="str">
        <f>IF(SUMIFS(Sheet2!$E:$E,Sheet2!$C:$C,$A214,Sheet2!$A:$A,AE$2)&lt;&gt;0,SUMIFS(Sheet2!$E:$E,Sheet2!$C:$C,$A214,Sheet2!$A:$A,AE$2),"")</f>
        <v/>
      </c>
      <c r="AF214" s="42" t="str">
        <f>IF(SUMIFS(Sheet2!$E:$E,Sheet2!$C:$C,$A214,Sheet2!$A:$A,AF$2)&lt;&gt;0,SUMIFS(Sheet2!$E:$E,Sheet2!$C:$C,$A214,Sheet2!$A:$A,AF$2),"")</f>
        <v/>
      </c>
      <c r="AG214" s="42" t="str">
        <f>IF(SUMIFS(Sheet2!$E:$E,Sheet2!$C:$C,$A214,Sheet2!$A:$A,AG$2)&lt;&gt;0,SUMIFS(Sheet2!$E:$E,Sheet2!$C:$C,$A214,Sheet2!$A:$A,AG$2),"")</f>
        <v/>
      </c>
      <c r="AH214" s="43">
        <f>SUM(Table2[[#This Row],[1]:[31]])</f>
        <v>0</v>
      </c>
    </row>
    <row r="215" spans="1:34" ht="12.75" customHeight="1">
      <c r="A215" s="76" t="str">
        <f>DSSP!A214</f>
        <v>GC139</v>
      </c>
      <c r="B215" s="25" t="str">
        <f>DSSP!B214</f>
        <v>Be proud</v>
      </c>
      <c r="C215" s="42" t="str">
        <f>IF(SUMIFS(Sheet2!$E:$E,Sheet2!$C:$C,$A215,Sheet2!$A:$A,C$2)&lt;&gt;0,SUMIFS(Sheet2!$E:$E,Sheet2!$C:$C,$A215,Sheet2!$A:$A,C$2),"")</f>
        <v/>
      </c>
      <c r="D215" s="42" t="str">
        <f>IF(SUMIFS(Sheet2!$E:$E,Sheet2!$C:$C,$A215,Sheet2!$A:$A,D$2)&lt;&gt;0,SUMIFS(Sheet2!$E:$E,Sheet2!$C:$C,$A215,Sheet2!$A:$A,D$2),"")</f>
        <v/>
      </c>
      <c r="E215" s="42" t="str">
        <f>IF(SUMIFS(Sheet2!$E:$E,Sheet2!$C:$C,$A215,Sheet2!$A:$A,E$2)&lt;&gt;0,SUMIFS(Sheet2!$E:$E,Sheet2!$C:$C,$A215,Sheet2!$A:$A,E$2),"")</f>
        <v/>
      </c>
      <c r="F215" s="42" t="str">
        <f>IF(SUMIFS(Sheet2!$E:$E,Sheet2!$C:$C,$A215,Sheet2!$A:$A,F$2)&lt;&gt;0,SUMIFS(Sheet2!$E:$E,Sheet2!$C:$C,$A215,Sheet2!$A:$A,F$2),"")</f>
        <v/>
      </c>
      <c r="G215" s="42" t="str">
        <f>IF(SUMIFS(Sheet2!$E:$E,Sheet2!$C:$C,$A215,Sheet2!$A:$A,G$2)&lt;&gt;0,SUMIFS(Sheet2!$E:$E,Sheet2!$C:$C,$A215,Sheet2!$A:$A,G$2),"")</f>
        <v/>
      </c>
      <c r="H215" s="42" t="str">
        <f>IF(SUMIFS(Sheet2!$E:$E,Sheet2!$C:$C,$A215,Sheet2!$A:$A,H$2)&lt;&gt;0,SUMIFS(Sheet2!$E:$E,Sheet2!$C:$C,$A215,Sheet2!$A:$A,H$2),"")</f>
        <v/>
      </c>
      <c r="I215" s="42" t="str">
        <f>IF(SUMIFS(Sheet2!$E:$E,Sheet2!$C:$C,$A215,Sheet2!$A:$A,I$2)&lt;&gt;0,SUMIFS(Sheet2!$E:$E,Sheet2!$C:$C,$A215,Sheet2!$A:$A,I$2),"")</f>
        <v/>
      </c>
      <c r="J215" s="42" t="str">
        <f>IF(SUMIFS(Sheet2!$E:$E,Sheet2!$C:$C,$A215,Sheet2!$A:$A,J$2)&lt;&gt;0,SUMIFS(Sheet2!$E:$E,Sheet2!$C:$C,$A215,Sheet2!$A:$A,J$2),"")</f>
        <v/>
      </c>
      <c r="K215" s="42" t="str">
        <f>IF(SUMIFS(Sheet2!$E:$E,Sheet2!$C:$C,$A215,Sheet2!$A:$A,K$2)&lt;&gt;0,SUMIFS(Sheet2!$E:$E,Sheet2!$C:$C,$A215,Sheet2!$A:$A,K$2),"")</f>
        <v/>
      </c>
      <c r="L215" s="42" t="str">
        <f>IF(SUMIFS(Sheet2!$E:$E,Sheet2!$C:$C,$A215,Sheet2!$A:$A,L$2)&lt;&gt;0,SUMIFS(Sheet2!$E:$E,Sheet2!$C:$C,$A215,Sheet2!$A:$A,L$2),"")</f>
        <v/>
      </c>
      <c r="M215" s="42" t="str">
        <f>IF(SUMIFS(Sheet2!$E:$E,Sheet2!$C:$C,$A215,Sheet2!$A:$A,M$2)&lt;&gt;0,SUMIFS(Sheet2!$E:$E,Sheet2!$C:$C,$A215,Sheet2!$A:$A,M$2),"")</f>
        <v/>
      </c>
      <c r="N215" s="42" t="str">
        <f>IF(SUMIFS(Sheet2!$E:$E,Sheet2!$C:$C,$A215,Sheet2!$A:$A,N$2)&lt;&gt;0,SUMIFS(Sheet2!$E:$E,Sheet2!$C:$C,$A215,Sheet2!$A:$A,N$2),"")</f>
        <v/>
      </c>
      <c r="O215" s="42" t="str">
        <f>IF(SUMIFS(Sheet2!$E:$E,Sheet2!$C:$C,$A215,Sheet2!$A:$A,O$2)&lt;&gt;0,SUMIFS(Sheet2!$E:$E,Sheet2!$C:$C,$A215,Sheet2!$A:$A,O$2),"")</f>
        <v/>
      </c>
      <c r="P215" s="42" t="str">
        <f>IF(SUMIFS(Sheet2!$E:$E,Sheet2!$C:$C,$A215,Sheet2!$A:$A,P$2)&lt;&gt;0,SUMIFS(Sheet2!$E:$E,Sheet2!$C:$C,$A215,Sheet2!$A:$A,P$2),"")</f>
        <v/>
      </c>
      <c r="Q215" s="42" t="str">
        <f>IF(SUMIFS(Sheet2!$E:$E,Sheet2!$C:$C,$A215,Sheet2!$A:$A,Q$2)&lt;&gt;0,SUMIFS(Sheet2!$E:$E,Sheet2!$C:$C,$A215,Sheet2!$A:$A,Q$2),"")</f>
        <v/>
      </c>
      <c r="R215" s="42" t="str">
        <f>IF(SUMIFS(Sheet2!$E:$E,Sheet2!$C:$C,$A215,Sheet2!$A:$A,R$2)&lt;&gt;0,SUMIFS(Sheet2!$E:$E,Sheet2!$C:$C,$A215,Sheet2!$A:$A,R$2),"")</f>
        <v/>
      </c>
      <c r="S215" s="42" t="str">
        <f>IF(SUMIFS(Sheet2!$E:$E,Sheet2!$C:$C,$A215,Sheet2!$A:$A,S$2)&lt;&gt;0,SUMIFS(Sheet2!$E:$E,Sheet2!$C:$C,$A215,Sheet2!$A:$A,S$2),"")</f>
        <v/>
      </c>
      <c r="T215" s="42" t="str">
        <f>IF(SUMIFS(Sheet2!$E:$E,Sheet2!$C:$C,$A215,Sheet2!$A:$A,T$2)&lt;&gt;0,SUMIFS(Sheet2!$E:$E,Sheet2!$C:$C,$A215,Sheet2!$A:$A,T$2),"")</f>
        <v/>
      </c>
      <c r="U215" s="42" t="str">
        <f>IF(SUMIFS(Sheet2!$E:$E,Sheet2!$C:$C,$A215,Sheet2!$A:$A,U$2)&lt;&gt;0,SUMIFS(Sheet2!$E:$E,Sheet2!$C:$C,$A215,Sheet2!$A:$A,U$2),"")</f>
        <v/>
      </c>
      <c r="V215" s="42" t="str">
        <f>IF(SUMIFS(Sheet2!$E:$E,Sheet2!$C:$C,$A215,Sheet2!$A:$A,V$2)&lt;&gt;0,SUMIFS(Sheet2!$E:$E,Sheet2!$C:$C,$A215,Sheet2!$A:$A,V$2),"")</f>
        <v/>
      </c>
      <c r="W215" s="42" t="str">
        <f>IF(SUMIFS(Sheet2!$E:$E,Sheet2!$C:$C,$A215,Sheet2!$A:$A,W$2)&lt;&gt;0,SUMIFS(Sheet2!$E:$E,Sheet2!$C:$C,$A215,Sheet2!$A:$A,W$2),"")</f>
        <v/>
      </c>
      <c r="X215" s="42" t="str">
        <f>IF(SUMIFS(Sheet2!$E:$E,Sheet2!$C:$C,$A215,Sheet2!$A:$A,X$2)&lt;&gt;0,SUMIFS(Sheet2!$E:$E,Sheet2!$C:$C,$A215,Sheet2!$A:$A,X$2),"")</f>
        <v/>
      </c>
      <c r="Y215" s="42" t="str">
        <f>IF(SUMIFS(Sheet2!$E:$E,Sheet2!$C:$C,$A215,Sheet2!$A:$A,Y$2)&lt;&gt;0,SUMIFS(Sheet2!$E:$E,Sheet2!$C:$C,$A215,Sheet2!$A:$A,Y$2),"")</f>
        <v/>
      </c>
      <c r="Z215" s="42" t="str">
        <f>IF(SUMIFS(Sheet2!$E:$E,Sheet2!$C:$C,$A215,Sheet2!$A:$A,Z$2)&lt;&gt;0,SUMIFS(Sheet2!$E:$E,Sheet2!$C:$C,$A215,Sheet2!$A:$A,Z$2),"")</f>
        <v/>
      </c>
      <c r="AA215" s="42" t="str">
        <f>IF(SUMIFS(Sheet2!$E:$E,Sheet2!$C:$C,$A215,Sheet2!$A:$A,AA$2)&lt;&gt;0,SUMIFS(Sheet2!$E:$E,Sheet2!$C:$C,$A215,Sheet2!$A:$A,AA$2),"")</f>
        <v/>
      </c>
      <c r="AB215" s="42" t="str">
        <f>IF(SUMIFS(Sheet2!$E:$E,Sheet2!$C:$C,$A215,Sheet2!$A:$A,AB$2)&lt;&gt;0,SUMIFS(Sheet2!$E:$E,Sheet2!$C:$C,$A215,Sheet2!$A:$A,AB$2),"")</f>
        <v/>
      </c>
      <c r="AC215" s="42" t="str">
        <f>IF(SUMIFS(Sheet2!$E:$E,Sheet2!$C:$C,$A215,Sheet2!$A:$A,AC$2)&lt;&gt;0,SUMIFS(Sheet2!$E:$E,Sheet2!$C:$C,$A215,Sheet2!$A:$A,AC$2),"")</f>
        <v/>
      </c>
      <c r="AD215" s="42" t="str">
        <f>IF(SUMIFS(Sheet2!$E:$E,Sheet2!$C:$C,$A215,Sheet2!$A:$A,AD$2)&lt;&gt;0,SUMIFS(Sheet2!$E:$E,Sheet2!$C:$C,$A215,Sheet2!$A:$A,AD$2),"")</f>
        <v/>
      </c>
      <c r="AE215" s="42" t="str">
        <f>IF(SUMIFS(Sheet2!$E:$E,Sheet2!$C:$C,$A215,Sheet2!$A:$A,AE$2)&lt;&gt;0,SUMIFS(Sheet2!$E:$E,Sheet2!$C:$C,$A215,Sheet2!$A:$A,AE$2),"")</f>
        <v/>
      </c>
      <c r="AF215" s="42" t="str">
        <f>IF(SUMIFS(Sheet2!$E:$E,Sheet2!$C:$C,$A215,Sheet2!$A:$A,AF$2)&lt;&gt;0,SUMIFS(Sheet2!$E:$E,Sheet2!$C:$C,$A215,Sheet2!$A:$A,AF$2),"")</f>
        <v/>
      </c>
      <c r="AG215" s="42" t="str">
        <f>IF(SUMIFS(Sheet2!$E:$E,Sheet2!$C:$C,$A215,Sheet2!$A:$A,AG$2)&lt;&gt;0,SUMIFS(Sheet2!$E:$E,Sheet2!$C:$C,$A215,Sheet2!$A:$A,AG$2),"")</f>
        <v/>
      </c>
      <c r="AH215" s="43">
        <f>SUM(Table2[[#This Row],[1]:[31]])</f>
        <v>0</v>
      </c>
    </row>
    <row r="216" spans="1:34" ht="12.75" customHeight="1">
      <c r="A216" s="76" t="str">
        <f>DSSP!A215</f>
        <v>GC140</v>
      </c>
      <c r="B216" s="25" t="str">
        <f>DSSP!B215</f>
        <v>Vòng tròn 3 lá đeo cổ</v>
      </c>
      <c r="C216" s="42" t="str">
        <f>IF(SUMIFS(Sheet2!$E:$E,Sheet2!$C:$C,$A216,Sheet2!$A:$A,C$2)&lt;&gt;0,SUMIFS(Sheet2!$E:$E,Sheet2!$C:$C,$A216,Sheet2!$A:$A,C$2),"")</f>
        <v/>
      </c>
      <c r="D216" s="42" t="str">
        <f>IF(SUMIFS(Sheet2!$E:$E,Sheet2!$C:$C,$A216,Sheet2!$A:$A,D$2)&lt;&gt;0,SUMIFS(Sheet2!$E:$E,Sheet2!$C:$C,$A216,Sheet2!$A:$A,D$2),"")</f>
        <v/>
      </c>
      <c r="E216" s="42" t="str">
        <f>IF(SUMIFS(Sheet2!$E:$E,Sheet2!$C:$C,$A216,Sheet2!$A:$A,E$2)&lt;&gt;0,SUMIFS(Sheet2!$E:$E,Sheet2!$C:$C,$A216,Sheet2!$A:$A,E$2),"")</f>
        <v/>
      </c>
      <c r="F216" s="42" t="str">
        <f>IF(SUMIFS(Sheet2!$E:$E,Sheet2!$C:$C,$A216,Sheet2!$A:$A,F$2)&lt;&gt;0,SUMIFS(Sheet2!$E:$E,Sheet2!$C:$C,$A216,Sheet2!$A:$A,F$2),"")</f>
        <v/>
      </c>
      <c r="G216" s="42" t="str">
        <f>IF(SUMIFS(Sheet2!$E:$E,Sheet2!$C:$C,$A216,Sheet2!$A:$A,G$2)&lt;&gt;0,SUMIFS(Sheet2!$E:$E,Sheet2!$C:$C,$A216,Sheet2!$A:$A,G$2),"")</f>
        <v/>
      </c>
      <c r="H216" s="42" t="str">
        <f>IF(SUMIFS(Sheet2!$E:$E,Sheet2!$C:$C,$A216,Sheet2!$A:$A,H$2)&lt;&gt;0,SUMIFS(Sheet2!$E:$E,Sheet2!$C:$C,$A216,Sheet2!$A:$A,H$2),"")</f>
        <v/>
      </c>
      <c r="I216" s="42" t="str">
        <f>IF(SUMIFS(Sheet2!$E:$E,Sheet2!$C:$C,$A216,Sheet2!$A:$A,I$2)&lt;&gt;0,SUMIFS(Sheet2!$E:$E,Sheet2!$C:$C,$A216,Sheet2!$A:$A,I$2),"")</f>
        <v/>
      </c>
      <c r="J216" s="42" t="str">
        <f>IF(SUMIFS(Sheet2!$E:$E,Sheet2!$C:$C,$A216,Sheet2!$A:$A,J$2)&lt;&gt;0,SUMIFS(Sheet2!$E:$E,Sheet2!$C:$C,$A216,Sheet2!$A:$A,J$2),"")</f>
        <v/>
      </c>
      <c r="K216" s="42" t="str">
        <f>IF(SUMIFS(Sheet2!$E:$E,Sheet2!$C:$C,$A216,Sheet2!$A:$A,K$2)&lt;&gt;0,SUMIFS(Sheet2!$E:$E,Sheet2!$C:$C,$A216,Sheet2!$A:$A,K$2),"")</f>
        <v/>
      </c>
      <c r="L216" s="42" t="str">
        <f>IF(SUMIFS(Sheet2!$E:$E,Sheet2!$C:$C,$A216,Sheet2!$A:$A,L$2)&lt;&gt;0,SUMIFS(Sheet2!$E:$E,Sheet2!$C:$C,$A216,Sheet2!$A:$A,L$2),"")</f>
        <v/>
      </c>
      <c r="M216" s="42" t="str">
        <f>IF(SUMIFS(Sheet2!$E:$E,Sheet2!$C:$C,$A216,Sheet2!$A:$A,M$2)&lt;&gt;0,SUMIFS(Sheet2!$E:$E,Sheet2!$C:$C,$A216,Sheet2!$A:$A,M$2),"")</f>
        <v/>
      </c>
      <c r="N216" s="42" t="str">
        <f>IF(SUMIFS(Sheet2!$E:$E,Sheet2!$C:$C,$A216,Sheet2!$A:$A,N$2)&lt;&gt;0,SUMIFS(Sheet2!$E:$E,Sheet2!$C:$C,$A216,Sheet2!$A:$A,N$2),"")</f>
        <v/>
      </c>
      <c r="O216" s="42" t="str">
        <f>IF(SUMIFS(Sheet2!$E:$E,Sheet2!$C:$C,$A216,Sheet2!$A:$A,O$2)&lt;&gt;0,SUMIFS(Sheet2!$E:$E,Sheet2!$C:$C,$A216,Sheet2!$A:$A,O$2),"")</f>
        <v/>
      </c>
      <c r="P216" s="42" t="str">
        <f>IF(SUMIFS(Sheet2!$E:$E,Sheet2!$C:$C,$A216,Sheet2!$A:$A,P$2)&lt;&gt;0,SUMIFS(Sheet2!$E:$E,Sheet2!$C:$C,$A216,Sheet2!$A:$A,P$2),"")</f>
        <v/>
      </c>
      <c r="Q216" s="42" t="str">
        <f>IF(SUMIFS(Sheet2!$E:$E,Sheet2!$C:$C,$A216,Sheet2!$A:$A,Q$2)&lt;&gt;0,SUMIFS(Sheet2!$E:$E,Sheet2!$C:$C,$A216,Sheet2!$A:$A,Q$2),"")</f>
        <v/>
      </c>
      <c r="R216" s="42" t="str">
        <f>IF(SUMIFS(Sheet2!$E:$E,Sheet2!$C:$C,$A216,Sheet2!$A:$A,R$2)&lt;&gt;0,SUMIFS(Sheet2!$E:$E,Sheet2!$C:$C,$A216,Sheet2!$A:$A,R$2),"")</f>
        <v/>
      </c>
      <c r="S216" s="42" t="str">
        <f>IF(SUMIFS(Sheet2!$E:$E,Sheet2!$C:$C,$A216,Sheet2!$A:$A,S$2)&lt;&gt;0,SUMIFS(Sheet2!$E:$E,Sheet2!$C:$C,$A216,Sheet2!$A:$A,S$2),"")</f>
        <v/>
      </c>
      <c r="T216" s="42" t="str">
        <f>IF(SUMIFS(Sheet2!$E:$E,Sheet2!$C:$C,$A216,Sheet2!$A:$A,T$2)&lt;&gt;0,SUMIFS(Sheet2!$E:$E,Sheet2!$C:$C,$A216,Sheet2!$A:$A,T$2),"")</f>
        <v/>
      </c>
      <c r="U216" s="42" t="str">
        <f>IF(SUMIFS(Sheet2!$E:$E,Sheet2!$C:$C,$A216,Sheet2!$A:$A,U$2)&lt;&gt;0,SUMIFS(Sheet2!$E:$E,Sheet2!$C:$C,$A216,Sheet2!$A:$A,U$2),"")</f>
        <v/>
      </c>
      <c r="V216" s="42" t="str">
        <f>IF(SUMIFS(Sheet2!$E:$E,Sheet2!$C:$C,$A216,Sheet2!$A:$A,V$2)&lt;&gt;0,SUMIFS(Sheet2!$E:$E,Sheet2!$C:$C,$A216,Sheet2!$A:$A,V$2),"")</f>
        <v/>
      </c>
      <c r="W216" s="42" t="str">
        <f>IF(SUMIFS(Sheet2!$E:$E,Sheet2!$C:$C,$A216,Sheet2!$A:$A,W$2)&lt;&gt;0,SUMIFS(Sheet2!$E:$E,Sheet2!$C:$C,$A216,Sheet2!$A:$A,W$2),"")</f>
        <v/>
      </c>
      <c r="X216" s="42" t="str">
        <f>IF(SUMIFS(Sheet2!$E:$E,Sheet2!$C:$C,$A216,Sheet2!$A:$A,X$2)&lt;&gt;0,SUMIFS(Sheet2!$E:$E,Sheet2!$C:$C,$A216,Sheet2!$A:$A,X$2),"")</f>
        <v/>
      </c>
      <c r="Y216" s="42" t="str">
        <f>IF(SUMIFS(Sheet2!$E:$E,Sheet2!$C:$C,$A216,Sheet2!$A:$A,Y$2)&lt;&gt;0,SUMIFS(Sheet2!$E:$E,Sheet2!$C:$C,$A216,Sheet2!$A:$A,Y$2),"")</f>
        <v/>
      </c>
      <c r="Z216" s="42" t="str">
        <f>IF(SUMIFS(Sheet2!$E:$E,Sheet2!$C:$C,$A216,Sheet2!$A:$A,Z$2)&lt;&gt;0,SUMIFS(Sheet2!$E:$E,Sheet2!$C:$C,$A216,Sheet2!$A:$A,Z$2),"")</f>
        <v/>
      </c>
      <c r="AA216" s="42" t="str">
        <f>IF(SUMIFS(Sheet2!$E:$E,Sheet2!$C:$C,$A216,Sheet2!$A:$A,AA$2)&lt;&gt;0,SUMIFS(Sheet2!$E:$E,Sheet2!$C:$C,$A216,Sheet2!$A:$A,AA$2),"")</f>
        <v/>
      </c>
      <c r="AB216" s="42" t="str">
        <f>IF(SUMIFS(Sheet2!$E:$E,Sheet2!$C:$C,$A216,Sheet2!$A:$A,AB$2)&lt;&gt;0,SUMIFS(Sheet2!$E:$E,Sheet2!$C:$C,$A216,Sheet2!$A:$A,AB$2),"")</f>
        <v/>
      </c>
      <c r="AC216" s="42" t="str">
        <f>IF(SUMIFS(Sheet2!$E:$E,Sheet2!$C:$C,$A216,Sheet2!$A:$A,AC$2)&lt;&gt;0,SUMIFS(Sheet2!$E:$E,Sheet2!$C:$C,$A216,Sheet2!$A:$A,AC$2),"")</f>
        <v/>
      </c>
      <c r="AD216" s="42" t="str">
        <f>IF(SUMIFS(Sheet2!$E:$E,Sheet2!$C:$C,$A216,Sheet2!$A:$A,AD$2)&lt;&gt;0,SUMIFS(Sheet2!$E:$E,Sheet2!$C:$C,$A216,Sheet2!$A:$A,AD$2),"")</f>
        <v/>
      </c>
      <c r="AE216" s="42" t="str">
        <f>IF(SUMIFS(Sheet2!$E:$E,Sheet2!$C:$C,$A216,Sheet2!$A:$A,AE$2)&lt;&gt;0,SUMIFS(Sheet2!$E:$E,Sheet2!$C:$C,$A216,Sheet2!$A:$A,AE$2),"")</f>
        <v/>
      </c>
      <c r="AF216" s="42" t="str">
        <f>IF(SUMIFS(Sheet2!$E:$E,Sheet2!$C:$C,$A216,Sheet2!$A:$A,AF$2)&lt;&gt;0,SUMIFS(Sheet2!$E:$E,Sheet2!$C:$C,$A216,Sheet2!$A:$A,AF$2),"")</f>
        <v/>
      </c>
      <c r="AG216" s="42" t="str">
        <f>IF(SUMIFS(Sheet2!$E:$E,Sheet2!$C:$C,$A216,Sheet2!$A:$A,AG$2)&lt;&gt;0,SUMIFS(Sheet2!$E:$E,Sheet2!$C:$C,$A216,Sheet2!$A:$A,AG$2),"")</f>
        <v/>
      </c>
      <c r="AH216" s="43">
        <f>SUM(Table2[[#This Row],[1]:[31]])</f>
        <v>0</v>
      </c>
    </row>
    <row r="217" spans="1:34" ht="12.75" customHeight="1">
      <c r="A217" s="76" t="str">
        <f>DSSP!A216</f>
        <v>GC141</v>
      </c>
      <c r="B217" s="25" t="str">
        <f>DSSP!B216</f>
        <v>Tháp eiffel 1 mặt</v>
      </c>
      <c r="C217" s="42" t="str">
        <f>IF(SUMIFS(Sheet2!$E:$E,Sheet2!$C:$C,$A217,Sheet2!$A:$A,C$2)&lt;&gt;0,SUMIFS(Sheet2!$E:$E,Sheet2!$C:$C,$A217,Sheet2!$A:$A,C$2),"")</f>
        <v/>
      </c>
      <c r="D217" s="42" t="str">
        <f>IF(SUMIFS(Sheet2!$E:$E,Sheet2!$C:$C,$A217,Sheet2!$A:$A,D$2)&lt;&gt;0,SUMIFS(Sheet2!$E:$E,Sheet2!$C:$C,$A217,Sheet2!$A:$A,D$2),"")</f>
        <v/>
      </c>
      <c r="E217" s="42" t="str">
        <f>IF(SUMIFS(Sheet2!$E:$E,Sheet2!$C:$C,$A217,Sheet2!$A:$A,E$2)&lt;&gt;0,SUMIFS(Sheet2!$E:$E,Sheet2!$C:$C,$A217,Sheet2!$A:$A,E$2),"")</f>
        <v/>
      </c>
      <c r="F217" s="42" t="str">
        <f>IF(SUMIFS(Sheet2!$E:$E,Sheet2!$C:$C,$A217,Sheet2!$A:$A,F$2)&lt;&gt;0,SUMIFS(Sheet2!$E:$E,Sheet2!$C:$C,$A217,Sheet2!$A:$A,F$2),"")</f>
        <v/>
      </c>
      <c r="G217" s="42" t="str">
        <f>IF(SUMIFS(Sheet2!$E:$E,Sheet2!$C:$C,$A217,Sheet2!$A:$A,G$2)&lt;&gt;0,SUMIFS(Sheet2!$E:$E,Sheet2!$C:$C,$A217,Sheet2!$A:$A,G$2),"")</f>
        <v/>
      </c>
      <c r="H217" s="42" t="str">
        <f>IF(SUMIFS(Sheet2!$E:$E,Sheet2!$C:$C,$A217,Sheet2!$A:$A,H$2)&lt;&gt;0,SUMIFS(Sheet2!$E:$E,Sheet2!$C:$C,$A217,Sheet2!$A:$A,H$2),"")</f>
        <v/>
      </c>
      <c r="I217" s="42" t="str">
        <f>IF(SUMIFS(Sheet2!$E:$E,Sheet2!$C:$C,$A217,Sheet2!$A:$A,I$2)&lt;&gt;0,SUMIFS(Sheet2!$E:$E,Sheet2!$C:$C,$A217,Sheet2!$A:$A,I$2),"")</f>
        <v/>
      </c>
      <c r="J217" s="42" t="str">
        <f>IF(SUMIFS(Sheet2!$E:$E,Sheet2!$C:$C,$A217,Sheet2!$A:$A,J$2)&lt;&gt;0,SUMIFS(Sheet2!$E:$E,Sheet2!$C:$C,$A217,Sheet2!$A:$A,J$2),"")</f>
        <v/>
      </c>
      <c r="K217" s="42" t="str">
        <f>IF(SUMIFS(Sheet2!$E:$E,Sheet2!$C:$C,$A217,Sheet2!$A:$A,K$2)&lt;&gt;0,SUMIFS(Sheet2!$E:$E,Sheet2!$C:$C,$A217,Sheet2!$A:$A,K$2),"")</f>
        <v/>
      </c>
      <c r="L217" s="42" t="str">
        <f>IF(SUMIFS(Sheet2!$E:$E,Sheet2!$C:$C,$A217,Sheet2!$A:$A,L$2)&lt;&gt;0,SUMIFS(Sheet2!$E:$E,Sheet2!$C:$C,$A217,Sheet2!$A:$A,L$2),"")</f>
        <v/>
      </c>
      <c r="M217" s="42" t="str">
        <f>IF(SUMIFS(Sheet2!$E:$E,Sheet2!$C:$C,$A217,Sheet2!$A:$A,M$2)&lt;&gt;0,SUMIFS(Sheet2!$E:$E,Sheet2!$C:$C,$A217,Sheet2!$A:$A,M$2),"")</f>
        <v/>
      </c>
      <c r="N217" s="42" t="str">
        <f>IF(SUMIFS(Sheet2!$E:$E,Sheet2!$C:$C,$A217,Sheet2!$A:$A,N$2)&lt;&gt;0,SUMIFS(Sheet2!$E:$E,Sheet2!$C:$C,$A217,Sheet2!$A:$A,N$2),"")</f>
        <v/>
      </c>
      <c r="O217" s="42" t="str">
        <f>IF(SUMIFS(Sheet2!$E:$E,Sheet2!$C:$C,$A217,Sheet2!$A:$A,O$2)&lt;&gt;0,SUMIFS(Sheet2!$E:$E,Sheet2!$C:$C,$A217,Sheet2!$A:$A,O$2),"")</f>
        <v/>
      </c>
      <c r="P217" s="42" t="str">
        <f>IF(SUMIFS(Sheet2!$E:$E,Sheet2!$C:$C,$A217,Sheet2!$A:$A,P$2)&lt;&gt;0,SUMIFS(Sheet2!$E:$E,Sheet2!$C:$C,$A217,Sheet2!$A:$A,P$2),"")</f>
        <v/>
      </c>
      <c r="Q217" s="42" t="str">
        <f>IF(SUMIFS(Sheet2!$E:$E,Sheet2!$C:$C,$A217,Sheet2!$A:$A,Q$2)&lt;&gt;0,SUMIFS(Sheet2!$E:$E,Sheet2!$C:$C,$A217,Sheet2!$A:$A,Q$2),"")</f>
        <v/>
      </c>
      <c r="R217" s="42" t="str">
        <f>IF(SUMIFS(Sheet2!$E:$E,Sheet2!$C:$C,$A217,Sheet2!$A:$A,R$2)&lt;&gt;0,SUMIFS(Sheet2!$E:$E,Sheet2!$C:$C,$A217,Sheet2!$A:$A,R$2),"")</f>
        <v/>
      </c>
      <c r="S217" s="42" t="str">
        <f>IF(SUMIFS(Sheet2!$E:$E,Sheet2!$C:$C,$A217,Sheet2!$A:$A,S$2)&lt;&gt;0,SUMIFS(Sheet2!$E:$E,Sheet2!$C:$C,$A217,Sheet2!$A:$A,S$2),"")</f>
        <v/>
      </c>
      <c r="T217" s="42" t="str">
        <f>IF(SUMIFS(Sheet2!$E:$E,Sheet2!$C:$C,$A217,Sheet2!$A:$A,T$2)&lt;&gt;0,SUMIFS(Sheet2!$E:$E,Sheet2!$C:$C,$A217,Sheet2!$A:$A,T$2),"")</f>
        <v/>
      </c>
      <c r="U217" s="42" t="str">
        <f>IF(SUMIFS(Sheet2!$E:$E,Sheet2!$C:$C,$A217,Sheet2!$A:$A,U$2)&lt;&gt;0,SUMIFS(Sheet2!$E:$E,Sheet2!$C:$C,$A217,Sheet2!$A:$A,U$2),"")</f>
        <v/>
      </c>
      <c r="V217" s="42" t="str">
        <f>IF(SUMIFS(Sheet2!$E:$E,Sheet2!$C:$C,$A217,Sheet2!$A:$A,V$2)&lt;&gt;0,SUMIFS(Sheet2!$E:$E,Sheet2!$C:$C,$A217,Sheet2!$A:$A,V$2),"")</f>
        <v/>
      </c>
      <c r="W217" s="42" t="str">
        <f>IF(SUMIFS(Sheet2!$E:$E,Sheet2!$C:$C,$A217,Sheet2!$A:$A,W$2)&lt;&gt;0,SUMIFS(Sheet2!$E:$E,Sheet2!$C:$C,$A217,Sheet2!$A:$A,W$2),"")</f>
        <v/>
      </c>
      <c r="X217" s="42" t="str">
        <f>IF(SUMIFS(Sheet2!$E:$E,Sheet2!$C:$C,$A217,Sheet2!$A:$A,X$2)&lt;&gt;0,SUMIFS(Sheet2!$E:$E,Sheet2!$C:$C,$A217,Sheet2!$A:$A,X$2),"")</f>
        <v/>
      </c>
      <c r="Y217" s="42" t="str">
        <f>IF(SUMIFS(Sheet2!$E:$E,Sheet2!$C:$C,$A217,Sheet2!$A:$A,Y$2)&lt;&gt;0,SUMIFS(Sheet2!$E:$E,Sheet2!$C:$C,$A217,Sheet2!$A:$A,Y$2),"")</f>
        <v/>
      </c>
      <c r="Z217" s="42" t="str">
        <f>IF(SUMIFS(Sheet2!$E:$E,Sheet2!$C:$C,$A217,Sheet2!$A:$A,Z$2)&lt;&gt;0,SUMIFS(Sheet2!$E:$E,Sheet2!$C:$C,$A217,Sheet2!$A:$A,Z$2),"")</f>
        <v/>
      </c>
      <c r="AA217" s="42" t="str">
        <f>IF(SUMIFS(Sheet2!$E:$E,Sheet2!$C:$C,$A217,Sheet2!$A:$A,AA$2)&lt;&gt;0,SUMIFS(Sheet2!$E:$E,Sheet2!$C:$C,$A217,Sheet2!$A:$A,AA$2),"")</f>
        <v/>
      </c>
      <c r="AB217" s="42" t="str">
        <f>IF(SUMIFS(Sheet2!$E:$E,Sheet2!$C:$C,$A217,Sheet2!$A:$A,AB$2)&lt;&gt;0,SUMIFS(Sheet2!$E:$E,Sheet2!$C:$C,$A217,Sheet2!$A:$A,AB$2),"")</f>
        <v/>
      </c>
      <c r="AC217" s="42" t="str">
        <f>IF(SUMIFS(Sheet2!$E:$E,Sheet2!$C:$C,$A217,Sheet2!$A:$A,AC$2)&lt;&gt;0,SUMIFS(Sheet2!$E:$E,Sheet2!$C:$C,$A217,Sheet2!$A:$A,AC$2),"")</f>
        <v/>
      </c>
      <c r="AD217" s="42" t="str">
        <f>IF(SUMIFS(Sheet2!$E:$E,Sheet2!$C:$C,$A217,Sheet2!$A:$A,AD$2)&lt;&gt;0,SUMIFS(Sheet2!$E:$E,Sheet2!$C:$C,$A217,Sheet2!$A:$A,AD$2),"")</f>
        <v/>
      </c>
      <c r="AE217" s="42" t="str">
        <f>IF(SUMIFS(Sheet2!$E:$E,Sheet2!$C:$C,$A217,Sheet2!$A:$A,AE$2)&lt;&gt;0,SUMIFS(Sheet2!$E:$E,Sheet2!$C:$C,$A217,Sheet2!$A:$A,AE$2),"")</f>
        <v/>
      </c>
      <c r="AF217" s="42" t="str">
        <f>IF(SUMIFS(Sheet2!$E:$E,Sheet2!$C:$C,$A217,Sheet2!$A:$A,AF$2)&lt;&gt;0,SUMIFS(Sheet2!$E:$E,Sheet2!$C:$C,$A217,Sheet2!$A:$A,AF$2),"")</f>
        <v/>
      </c>
      <c r="AG217" s="42" t="str">
        <f>IF(SUMIFS(Sheet2!$E:$E,Sheet2!$C:$C,$A217,Sheet2!$A:$A,AG$2)&lt;&gt;0,SUMIFS(Sheet2!$E:$E,Sheet2!$C:$C,$A217,Sheet2!$A:$A,AG$2),"")</f>
        <v/>
      </c>
      <c r="AH217" s="43">
        <f>SUM(Table2[[#This Row],[1]:[31]])</f>
        <v>0</v>
      </c>
    </row>
    <row r="218" spans="1:34" ht="12.75" customHeight="1">
      <c r="A218" s="76" t="str">
        <f>DSSP!A217</f>
        <v>GC142</v>
      </c>
      <c r="B218" s="25" t="str">
        <f>DSSP!B217</f>
        <v>Bánh lái</v>
      </c>
      <c r="C218" s="42" t="str">
        <f>IF(SUMIFS(Sheet2!$E:$E,Sheet2!$C:$C,$A218,Sheet2!$A:$A,C$2)&lt;&gt;0,SUMIFS(Sheet2!$E:$E,Sheet2!$C:$C,$A218,Sheet2!$A:$A,C$2),"")</f>
        <v/>
      </c>
      <c r="D218" s="42" t="str">
        <f>IF(SUMIFS(Sheet2!$E:$E,Sheet2!$C:$C,$A218,Sheet2!$A:$A,D$2)&lt;&gt;0,SUMIFS(Sheet2!$E:$E,Sheet2!$C:$C,$A218,Sheet2!$A:$A,D$2),"")</f>
        <v/>
      </c>
      <c r="E218" s="42" t="str">
        <f>IF(SUMIFS(Sheet2!$E:$E,Sheet2!$C:$C,$A218,Sheet2!$A:$A,E$2)&lt;&gt;0,SUMIFS(Sheet2!$E:$E,Sheet2!$C:$C,$A218,Sheet2!$A:$A,E$2),"")</f>
        <v/>
      </c>
      <c r="F218" s="42" t="str">
        <f>IF(SUMIFS(Sheet2!$E:$E,Sheet2!$C:$C,$A218,Sheet2!$A:$A,F$2)&lt;&gt;0,SUMIFS(Sheet2!$E:$E,Sheet2!$C:$C,$A218,Sheet2!$A:$A,F$2),"")</f>
        <v/>
      </c>
      <c r="G218" s="42" t="str">
        <f>IF(SUMIFS(Sheet2!$E:$E,Sheet2!$C:$C,$A218,Sheet2!$A:$A,G$2)&lt;&gt;0,SUMIFS(Sheet2!$E:$E,Sheet2!$C:$C,$A218,Sheet2!$A:$A,G$2),"")</f>
        <v/>
      </c>
      <c r="H218" s="42" t="str">
        <f>IF(SUMIFS(Sheet2!$E:$E,Sheet2!$C:$C,$A218,Sheet2!$A:$A,H$2)&lt;&gt;0,SUMIFS(Sheet2!$E:$E,Sheet2!$C:$C,$A218,Sheet2!$A:$A,H$2),"")</f>
        <v/>
      </c>
      <c r="I218" s="42" t="str">
        <f>IF(SUMIFS(Sheet2!$E:$E,Sheet2!$C:$C,$A218,Sheet2!$A:$A,I$2)&lt;&gt;0,SUMIFS(Sheet2!$E:$E,Sheet2!$C:$C,$A218,Sheet2!$A:$A,I$2),"")</f>
        <v/>
      </c>
      <c r="J218" s="42" t="str">
        <f>IF(SUMIFS(Sheet2!$E:$E,Sheet2!$C:$C,$A218,Sheet2!$A:$A,J$2)&lt;&gt;0,SUMIFS(Sheet2!$E:$E,Sheet2!$C:$C,$A218,Sheet2!$A:$A,J$2),"")</f>
        <v/>
      </c>
      <c r="K218" s="42" t="str">
        <f>IF(SUMIFS(Sheet2!$E:$E,Sheet2!$C:$C,$A218,Sheet2!$A:$A,K$2)&lt;&gt;0,SUMIFS(Sheet2!$E:$E,Sheet2!$C:$C,$A218,Sheet2!$A:$A,K$2),"")</f>
        <v/>
      </c>
      <c r="L218" s="42" t="str">
        <f>IF(SUMIFS(Sheet2!$E:$E,Sheet2!$C:$C,$A218,Sheet2!$A:$A,L$2)&lt;&gt;0,SUMIFS(Sheet2!$E:$E,Sheet2!$C:$C,$A218,Sheet2!$A:$A,L$2),"")</f>
        <v/>
      </c>
      <c r="M218" s="42" t="str">
        <f>IF(SUMIFS(Sheet2!$E:$E,Sheet2!$C:$C,$A218,Sheet2!$A:$A,M$2)&lt;&gt;0,SUMIFS(Sheet2!$E:$E,Sheet2!$C:$C,$A218,Sheet2!$A:$A,M$2),"")</f>
        <v/>
      </c>
      <c r="N218" s="42" t="str">
        <f>IF(SUMIFS(Sheet2!$E:$E,Sheet2!$C:$C,$A218,Sheet2!$A:$A,N$2)&lt;&gt;0,SUMIFS(Sheet2!$E:$E,Sheet2!$C:$C,$A218,Sheet2!$A:$A,N$2),"")</f>
        <v/>
      </c>
      <c r="O218" s="42" t="str">
        <f>IF(SUMIFS(Sheet2!$E:$E,Sheet2!$C:$C,$A218,Sheet2!$A:$A,O$2)&lt;&gt;0,SUMIFS(Sheet2!$E:$E,Sheet2!$C:$C,$A218,Sheet2!$A:$A,O$2),"")</f>
        <v/>
      </c>
      <c r="P218" s="42" t="str">
        <f>IF(SUMIFS(Sheet2!$E:$E,Sheet2!$C:$C,$A218,Sheet2!$A:$A,P$2)&lt;&gt;0,SUMIFS(Sheet2!$E:$E,Sheet2!$C:$C,$A218,Sheet2!$A:$A,P$2),"")</f>
        <v/>
      </c>
      <c r="Q218" s="42" t="str">
        <f>IF(SUMIFS(Sheet2!$E:$E,Sheet2!$C:$C,$A218,Sheet2!$A:$A,Q$2)&lt;&gt;0,SUMIFS(Sheet2!$E:$E,Sheet2!$C:$C,$A218,Sheet2!$A:$A,Q$2),"")</f>
        <v/>
      </c>
      <c r="R218" s="42" t="str">
        <f>IF(SUMIFS(Sheet2!$E:$E,Sheet2!$C:$C,$A218,Sheet2!$A:$A,R$2)&lt;&gt;0,SUMIFS(Sheet2!$E:$E,Sheet2!$C:$C,$A218,Sheet2!$A:$A,R$2),"")</f>
        <v/>
      </c>
      <c r="S218" s="42" t="str">
        <f>IF(SUMIFS(Sheet2!$E:$E,Sheet2!$C:$C,$A218,Sheet2!$A:$A,S$2)&lt;&gt;0,SUMIFS(Sheet2!$E:$E,Sheet2!$C:$C,$A218,Sheet2!$A:$A,S$2),"")</f>
        <v/>
      </c>
      <c r="T218" s="42" t="str">
        <f>IF(SUMIFS(Sheet2!$E:$E,Sheet2!$C:$C,$A218,Sheet2!$A:$A,T$2)&lt;&gt;0,SUMIFS(Sheet2!$E:$E,Sheet2!$C:$C,$A218,Sheet2!$A:$A,T$2),"")</f>
        <v/>
      </c>
      <c r="U218" s="42" t="str">
        <f>IF(SUMIFS(Sheet2!$E:$E,Sheet2!$C:$C,$A218,Sheet2!$A:$A,U$2)&lt;&gt;0,SUMIFS(Sheet2!$E:$E,Sheet2!$C:$C,$A218,Sheet2!$A:$A,U$2),"")</f>
        <v/>
      </c>
      <c r="V218" s="42" t="str">
        <f>IF(SUMIFS(Sheet2!$E:$E,Sheet2!$C:$C,$A218,Sheet2!$A:$A,V$2)&lt;&gt;0,SUMIFS(Sheet2!$E:$E,Sheet2!$C:$C,$A218,Sheet2!$A:$A,V$2),"")</f>
        <v/>
      </c>
      <c r="W218" s="42" t="str">
        <f>IF(SUMIFS(Sheet2!$E:$E,Sheet2!$C:$C,$A218,Sheet2!$A:$A,W$2)&lt;&gt;0,SUMIFS(Sheet2!$E:$E,Sheet2!$C:$C,$A218,Sheet2!$A:$A,W$2),"")</f>
        <v/>
      </c>
      <c r="X218" s="42" t="str">
        <f>IF(SUMIFS(Sheet2!$E:$E,Sheet2!$C:$C,$A218,Sheet2!$A:$A,X$2)&lt;&gt;0,SUMIFS(Sheet2!$E:$E,Sheet2!$C:$C,$A218,Sheet2!$A:$A,X$2),"")</f>
        <v/>
      </c>
      <c r="Y218" s="42" t="str">
        <f>IF(SUMIFS(Sheet2!$E:$E,Sheet2!$C:$C,$A218,Sheet2!$A:$A,Y$2)&lt;&gt;0,SUMIFS(Sheet2!$E:$E,Sheet2!$C:$C,$A218,Sheet2!$A:$A,Y$2),"")</f>
        <v/>
      </c>
      <c r="Z218" s="42" t="str">
        <f>IF(SUMIFS(Sheet2!$E:$E,Sheet2!$C:$C,$A218,Sheet2!$A:$A,Z$2)&lt;&gt;0,SUMIFS(Sheet2!$E:$E,Sheet2!$C:$C,$A218,Sheet2!$A:$A,Z$2),"")</f>
        <v/>
      </c>
      <c r="AA218" s="42" t="str">
        <f>IF(SUMIFS(Sheet2!$E:$E,Sheet2!$C:$C,$A218,Sheet2!$A:$A,AA$2)&lt;&gt;0,SUMIFS(Sheet2!$E:$E,Sheet2!$C:$C,$A218,Sheet2!$A:$A,AA$2),"")</f>
        <v/>
      </c>
      <c r="AB218" s="42" t="str">
        <f>IF(SUMIFS(Sheet2!$E:$E,Sheet2!$C:$C,$A218,Sheet2!$A:$A,AB$2)&lt;&gt;0,SUMIFS(Sheet2!$E:$E,Sheet2!$C:$C,$A218,Sheet2!$A:$A,AB$2),"")</f>
        <v/>
      </c>
      <c r="AC218" s="42" t="str">
        <f>IF(SUMIFS(Sheet2!$E:$E,Sheet2!$C:$C,$A218,Sheet2!$A:$A,AC$2)&lt;&gt;0,SUMIFS(Sheet2!$E:$E,Sheet2!$C:$C,$A218,Sheet2!$A:$A,AC$2),"")</f>
        <v/>
      </c>
      <c r="AD218" s="42" t="str">
        <f>IF(SUMIFS(Sheet2!$E:$E,Sheet2!$C:$C,$A218,Sheet2!$A:$A,AD$2)&lt;&gt;0,SUMIFS(Sheet2!$E:$E,Sheet2!$C:$C,$A218,Sheet2!$A:$A,AD$2),"")</f>
        <v/>
      </c>
      <c r="AE218" s="42" t="str">
        <f>IF(SUMIFS(Sheet2!$E:$E,Sheet2!$C:$C,$A218,Sheet2!$A:$A,AE$2)&lt;&gt;0,SUMIFS(Sheet2!$E:$E,Sheet2!$C:$C,$A218,Sheet2!$A:$A,AE$2),"")</f>
        <v/>
      </c>
      <c r="AF218" s="42" t="str">
        <f>IF(SUMIFS(Sheet2!$E:$E,Sheet2!$C:$C,$A218,Sheet2!$A:$A,AF$2)&lt;&gt;0,SUMIFS(Sheet2!$E:$E,Sheet2!$C:$C,$A218,Sheet2!$A:$A,AF$2),"")</f>
        <v/>
      </c>
      <c r="AG218" s="42" t="str">
        <f>IF(SUMIFS(Sheet2!$E:$E,Sheet2!$C:$C,$A218,Sheet2!$A:$A,AG$2)&lt;&gt;0,SUMIFS(Sheet2!$E:$E,Sheet2!$C:$C,$A218,Sheet2!$A:$A,AG$2),"")</f>
        <v/>
      </c>
      <c r="AH218" s="43">
        <f>SUM(Table2[[#This Row],[1]:[31]])</f>
        <v>0</v>
      </c>
    </row>
    <row r="219" spans="1:34" ht="12.75" customHeight="1">
      <c r="A219" s="76" t="str">
        <f>DSSP!A218</f>
        <v>GC143</v>
      </c>
      <c r="B219" s="25" t="str">
        <f>DSSP!B218</f>
        <v>Mỏ neo cách điệu</v>
      </c>
      <c r="C219" s="42" t="str">
        <f>IF(SUMIFS(Sheet2!$E:$E,Sheet2!$C:$C,$A219,Sheet2!$A:$A,C$2)&lt;&gt;0,SUMIFS(Sheet2!$E:$E,Sheet2!$C:$C,$A219,Sheet2!$A:$A,C$2),"")</f>
        <v/>
      </c>
      <c r="D219" s="42" t="str">
        <f>IF(SUMIFS(Sheet2!$E:$E,Sheet2!$C:$C,$A219,Sheet2!$A:$A,D$2)&lt;&gt;0,SUMIFS(Sheet2!$E:$E,Sheet2!$C:$C,$A219,Sheet2!$A:$A,D$2),"")</f>
        <v/>
      </c>
      <c r="E219" s="42" t="str">
        <f>IF(SUMIFS(Sheet2!$E:$E,Sheet2!$C:$C,$A219,Sheet2!$A:$A,E$2)&lt;&gt;0,SUMIFS(Sheet2!$E:$E,Sheet2!$C:$C,$A219,Sheet2!$A:$A,E$2),"")</f>
        <v/>
      </c>
      <c r="F219" s="42" t="str">
        <f>IF(SUMIFS(Sheet2!$E:$E,Sheet2!$C:$C,$A219,Sheet2!$A:$A,F$2)&lt;&gt;0,SUMIFS(Sheet2!$E:$E,Sheet2!$C:$C,$A219,Sheet2!$A:$A,F$2),"")</f>
        <v/>
      </c>
      <c r="G219" s="42" t="str">
        <f>IF(SUMIFS(Sheet2!$E:$E,Sheet2!$C:$C,$A219,Sheet2!$A:$A,G$2)&lt;&gt;0,SUMIFS(Sheet2!$E:$E,Sheet2!$C:$C,$A219,Sheet2!$A:$A,G$2),"")</f>
        <v/>
      </c>
      <c r="H219" s="42" t="str">
        <f>IF(SUMIFS(Sheet2!$E:$E,Sheet2!$C:$C,$A219,Sheet2!$A:$A,H$2)&lt;&gt;0,SUMIFS(Sheet2!$E:$E,Sheet2!$C:$C,$A219,Sheet2!$A:$A,H$2),"")</f>
        <v/>
      </c>
      <c r="I219" s="42" t="str">
        <f>IF(SUMIFS(Sheet2!$E:$E,Sheet2!$C:$C,$A219,Sheet2!$A:$A,I$2)&lt;&gt;0,SUMIFS(Sheet2!$E:$E,Sheet2!$C:$C,$A219,Sheet2!$A:$A,I$2),"")</f>
        <v/>
      </c>
      <c r="J219" s="42" t="str">
        <f>IF(SUMIFS(Sheet2!$E:$E,Sheet2!$C:$C,$A219,Sheet2!$A:$A,J$2)&lt;&gt;0,SUMIFS(Sheet2!$E:$E,Sheet2!$C:$C,$A219,Sheet2!$A:$A,J$2),"")</f>
        <v/>
      </c>
      <c r="K219" s="42" t="str">
        <f>IF(SUMIFS(Sheet2!$E:$E,Sheet2!$C:$C,$A219,Sheet2!$A:$A,K$2)&lt;&gt;0,SUMIFS(Sheet2!$E:$E,Sheet2!$C:$C,$A219,Sheet2!$A:$A,K$2),"")</f>
        <v/>
      </c>
      <c r="L219" s="42" t="str">
        <f>IF(SUMIFS(Sheet2!$E:$E,Sheet2!$C:$C,$A219,Sheet2!$A:$A,L$2)&lt;&gt;0,SUMIFS(Sheet2!$E:$E,Sheet2!$C:$C,$A219,Sheet2!$A:$A,L$2),"")</f>
        <v/>
      </c>
      <c r="M219" s="42" t="str">
        <f>IF(SUMIFS(Sheet2!$E:$E,Sheet2!$C:$C,$A219,Sheet2!$A:$A,M$2)&lt;&gt;0,SUMIFS(Sheet2!$E:$E,Sheet2!$C:$C,$A219,Sheet2!$A:$A,M$2),"")</f>
        <v/>
      </c>
      <c r="N219" s="42" t="str">
        <f>IF(SUMIFS(Sheet2!$E:$E,Sheet2!$C:$C,$A219,Sheet2!$A:$A,N$2)&lt;&gt;0,SUMIFS(Sheet2!$E:$E,Sheet2!$C:$C,$A219,Sheet2!$A:$A,N$2),"")</f>
        <v/>
      </c>
      <c r="O219" s="42" t="str">
        <f>IF(SUMIFS(Sheet2!$E:$E,Sheet2!$C:$C,$A219,Sheet2!$A:$A,O$2)&lt;&gt;0,SUMIFS(Sheet2!$E:$E,Sheet2!$C:$C,$A219,Sheet2!$A:$A,O$2),"")</f>
        <v/>
      </c>
      <c r="P219" s="42" t="str">
        <f>IF(SUMIFS(Sheet2!$E:$E,Sheet2!$C:$C,$A219,Sheet2!$A:$A,P$2)&lt;&gt;0,SUMIFS(Sheet2!$E:$E,Sheet2!$C:$C,$A219,Sheet2!$A:$A,P$2),"")</f>
        <v/>
      </c>
      <c r="Q219" s="42" t="str">
        <f>IF(SUMIFS(Sheet2!$E:$E,Sheet2!$C:$C,$A219,Sheet2!$A:$A,Q$2)&lt;&gt;0,SUMIFS(Sheet2!$E:$E,Sheet2!$C:$C,$A219,Sheet2!$A:$A,Q$2),"")</f>
        <v/>
      </c>
      <c r="R219" s="42" t="str">
        <f>IF(SUMIFS(Sheet2!$E:$E,Sheet2!$C:$C,$A219,Sheet2!$A:$A,R$2)&lt;&gt;0,SUMIFS(Sheet2!$E:$E,Sheet2!$C:$C,$A219,Sheet2!$A:$A,R$2),"")</f>
        <v/>
      </c>
      <c r="S219" s="42" t="str">
        <f>IF(SUMIFS(Sheet2!$E:$E,Sheet2!$C:$C,$A219,Sheet2!$A:$A,S$2)&lt;&gt;0,SUMIFS(Sheet2!$E:$E,Sheet2!$C:$C,$A219,Sheet2!$A:$A,S$2),"")</f>
        <v/>
      </c>
      <c r="T219" s="42" t="str">
        <f>IF(SUMIFS(Sheet2!$E:$E,Sheet2!$C:$C,$A219,Sheet2!$A:$A,T$2)&lt;&gt;0,SUMIFS(Sheet2!$E:$E,Sheet2!$C:$C,$A219,Sheet2!$A:$A,T$2),"")</f>
        <v/>
      </c>
      <c r="U219" s="42" t="str">
        <f>IF(SUMIFS(Sheet2!$E:$E,Sheet2!$C:$C,$A219,Sheet2!$A:$A,U$2)&lt;&gt;0,SUMIFS(Sheet2!$E:$E,Sheet2!$C:$C,$A219,Sheet2!$A:$A,U$2),"")</f>
        <v/>
      </c>
      <c r="V219" s="42" t="str">
        <f>IF(SUMIFS(Sheet2!$E:$E,Sheet2!$C:$C,$A219,Sheet2!$A:$A,V$2)&lt;&gt;0,SUMIFS(Sheet2!$E:$E,Sheet2!$C:$C,$A219,Sheet2!$A:$A,V$2),"")</f>
        <v/>
      </c>
      <c r="W219" s="42" t="str">
        <f>IF(SUMIFS(Sheet2!$E:$E,Sheet2!$C:$C,$A219,Sheet2!$A:$A,W$2)&lt;&gt;0,SUMIFS(Sheet2!$E:$E,Sheet2!$C:$C,$A219,Sheet2!$A:$A,W$2),"")</f>
        <v/>
      </c>
      <c r="X219" s="42" t="str">
        <f>IF(SUMIFS(Sheet2!$E:$E,Sheet2!$C:$C,$A219,Sheet2!$A:$A,X$2)&lt;&gt;0,SUMIFS(Sheet2!$E:$E,Sheet2!$C:$C,$A219,Sheet2!$A:$A,X$2),"")</f>
        <v/>
      </c>
      <c r="Y219" s="42" t="str">
        <f>IF(SUMIFS(Sheet2!$E:$E,Sheet2!$C:$C,$A219,Sheet2!$A:$A,Y$2)&lt;&gt;0,SUMIFS(Sheet2!$E:$E,Sheet2!$C:$C,$A219,Sheet2!$A:$A,Y$2),"")</f>
        <v/>
      </c>
      <c r="Z219" s="42" t="str">
        <f>IF(SUMIFS(Sheet2!$E:$E,Sheet2!$C:$C,$A219,Sheet2!$A:$A,Z$2)&lt;&gt;0,SUMIFS(Sheet2!$E:$E,Sheet2!$C:$C,$A219,Sheet2!$A:$A,Z$2),"")</f>
        <v/>
      </c>
      <c r="AA219" s="42" t="str">
        <f>IF(SUMIFS(Sheet2!$E:$E,Sheet2!$C:$C,$A219,Sheet2!$A:$A,AA$2)&lt;&gt;0,SUMIFS(Sheet2!$E:$E,Sheet2!$C:$C,$A219,Sheet2!$A:$A,AA$2),"")</f>
        <v/>
      </c>
      <c r="AB219" s="42" t="str">
        <f>IF(SUMIFS(Sheet2!$E:$E,Sheet2!$C:$C,$A219,Sheet2!$A:$A,AB$2)&lt;&gt;0,SUMIFS(Sheet2!$E:$E,Sheet2!$C:$C,$A219,Sheet2!$A:$A,AB$2),"")</f>
        <v/>
      </c>
      <c r="AC219" s="42" t="str">
        <f>IF(SUMIFS(Sheet2!$E:$E,Sheet2!$C:$C,$A219,Sheet2!$A:$A,AC$2)&lt;&gt;0,SUMIFS(Sheet2!$E:$E,Sheet2!$C:$C,$A219,Sheet2!$A:$A,AC$2),"")</f>
        <v/>
      </c>
      <c r="AD219" s="42" t="str">
        <f>IF(SUMIFS(Sheet2!$E:$E,Sheet2!$C:$C,$A219,Sheet2!$A:$A,AD$2)&lt;&gt;0,SUMIFS(Sheet2!$E:$E,Sheet2!$C:$C,$A219,Sheet2!$A:$A,AD$2),"")</f>
        <v/>
      </c>
      <c r="AE219" s="42" t="str">
        <f>IF(SUMIFS(Sheet2!$E:$E,Sheet2!$C:$C,$A219,Sheet2!$A:$A,AE$2)&lt;&gt;0,SUMIFS(Sheet2!$E:$E,Sheet2!$C:$C,$A219,Sheet2!$A:$A,AE$2),"")</f>
        <v/>
      </c>
      <c r="AF219" s="42" t="str">
        <f>IF(SUMIFS(Sheet2!$E:$E,Sheet2!$C:$C,$A219,Sheet2!$A:$A,AF$2)&lt;&gt;0,SUMIFS(Sheet2!$E:$E,Sheet2!$C:$C,$A219,Sheet2!$A:$A,AF$2),"")</f>
        <v/>
      </c>
      <c r="AG219" s="42" t="str">
        <f>IF(SUMIFS(Sheet2!$E:$E,Sheet2!$C:$C,$A219,Sheet2!$A:$A,AG$2)&lt;&gt;0,SUMIFS(Sheet2!$E:$E,Sheet2!$C:$C,$A219,Sheet2!$A:$A,AG$2),"")</f>
        <v/>
      </c>
      <c r="AH219" s="43">
        <f>SUM(Table2[[#This Row],[1]:[31]])</f>
        <v>0</v>
      </c>
    </row>
    <row r="220" spans="1:34" ht="12.75" customHeight="1">
      <c r="A220" s="76" t="str">
        <f>DSSP!A219</f>
        <v>GC144</v>
      </c>
      <c r="B220" s="25" t="str">
        <f>DSSP!B219</f>
        <v>Vương miện</v>
      </c>
      <c r="C220" s="42" t="str">
        <f>IF(SUMIFS(Sheet2!$E:$E,Sheet2!$C:$C,$A220,Sheet2!$A:$A,C$2)&lt;&gt;0,SUMIFS(Sheet2!$E:$E,Sheet2!$C:$C,$A220,Sheet2!$A:$A,C$2),"")</f>
        <v/>
      </c>
      <c r="D220" s="42" t="str">
        <f>IF(SUMIFS(Sheet2!$E:$E,Sheet2!$C:$C,$A220,Sheet2!$A:$A,D$2)&lt;&gt;0,SUMIFS(Sheet2!$E:$E,Sheet2!$C:$C,$A220,Sheet2!$A:$A,D$2),"")</f>
        <v/>
      </c>
      <c r="E220" s="42" t="str">
        <f>IF(SUMIFS(Sheet2!$E:$E,Sheet2!$C:$C,$A220,Sheet2!$A:$A,E$2)&lt;&gt;0,SUMIFS(Sheet2!$E:$E,Sheet2!$C:$C,$A220,Sheet2!$A:$A,E$2),"")</f>
        <v/>
      </c>
      <c r="F220" s="42" t="str">
        <f>IF(SUMIFS(Sheet2!$E:$E,Sheet2!$C:$C,$A220,Sheet2!$A:$A,F$2)&lt;&gt;0,SUMIFS(Sheet2!$E:$E,Sheet2!$C:$C,$A220,Sheet2!$A:$A,F$2),"")</f>
        <v/>
      </c>
      <c r="G220" s="42" t="str">
        <f>IF(SUMIFS(Sheet2!$E:$E,Sheet2!$C:$C,$A220,Sheet2!$A:$A,G$2)&lt;&gt;0,SUMIFS(Sheet2!$E:$E,Sheet2!$C:$C,$A220,Sheet2!$A:$A,G$2),"")</f>
        <v/>
      </c>
      <c r="H220" s="42" t="str">
        <f>IF(SUMIFS(Sheet2!$E:$E,Sheet2!$C:$C,$A220,Sheet2!$A:$A,H$2)&lt;&gt;0,SUMIFS(Sheet2!$E:$E,Sheet2!$C:$C,$A220,Sheet2!$A:$A,H$2),"")</f>
        <v/>
      </c>
      <c r="I220" s="42" t="str">
        <f>IF(SUMIFS(Sheet2!$E:$E,Sheet2!$C:$C,$A220,Sheet2!$A:$A,I$2)&lt;&gt;0,SUMIFS(Sheet2!$E:$E,Sheet2!$C:$C,$A220,Sheet2!$A:$A,I$2),"")</f>
        <v/>
      </c>
      <c r="J220" s="42" t="str">
        <f>IF(SUMIFS(Sheet2!$E:$E,Sheet2!$C:$C,$A220,Sheet2!$A:$A,J$2)&lt;&gt;0,SUMIFS(Sheet2!$E:$E,Sheet2!$C:$C,$A220,Sheet2!$A:$A,J$2),"")</f>
        <v/>
      </c>
      <c r="K220" s="42" t="str">
        <f>IF(SUMIFS(Sheet2!$E:$E,Sheet2!$C:$C,$A220,Sheet2!$A:$A,K$2)&lt;&gt;0,SUMIFS(Sheet2!$E:$E,Sheet2!$C:$C,$A220,Sheet2!$A:$A,K$2),"")</f>
        <v/>
      </c>
      <c r="L220" s="42" t="str">
        <f>IF(SUMIFS(Sheet2!$E:$E,Sheet2!$C:$C,$A220,Sheet2!$A:$A,L$2)&lt;&gt;0,SUMIFS(Sheet2!$E:$E,Sheet2!$C:$C,$A220,Sheet2!$A:$A,L$2),"")</f>
        <v/>
      </c>
      <c r="M220" s="42" t="str">
        <f>IF(SUMIFS(Sheet2!$E:$E,Sheet2!$C:$C,$A220,Sheet2!$A:$A,M$2)&lt;&gt;0,SUMIFS(Sheet2!$E:$E,Sheet2!$C:$C,$A220,Sheet2!$A:$A,M$2),"")</f>
        <v/>
      </c>
      <c r="N220" s="42" t="str">
        <f>IF(SUMIFS(Sheet2!$E:$E,Sheet2!$C:$C,$A220,Sheet2!$A:$A,N$2)&lt;&gt;0,SUMIFS(Sheet2!$E:$E,Sheet2!$C:$C,$A220,Sheet2!$A:$A,N$2),"")</f>
        <v/>
      </c>
      <c r="O220" s="42" t="str">
        <f>IF(SUMIFS(Sheet2!$E:$E,Sheet2!$C:$C,$A220,Sheet2!$A:$A,O$2)&lt;&gt;0,SUMIFS(Sheet2!$E:$E,Sheet2!$C:$C,$A220,Sheet2!$A:$A,O$2),"")</f>
        <v/>
      </c>
      <c r="P220" s="42" t="str">
        <f>IF(SUMIFS(Sheet2!$E:$E,Sheet2!$C:$C,$A220,Sheet2!$A:$A,P$2)&lt;&gt;0,SUMIFS(Sheet2!$E:$E,Sheet2!$C:$C,$A220,Sheet2!$A:$A,P$2),"")</f>
        <v/>
      </c>
      <c r="Q220" s="42" t="str">
        <f>IF(SUMIFS(Sheet2!$E:$E,Sheet2!$C:$C,$A220,Sheet2!$A:$A,Q$2)&lt;&gt;0,SUMIFS(Sheet2!$E:$E,Sheet2!$C:$C,$A220,Sheet2!$A:$A,Q$2),"")</f>
        <v/>
      </c>
      <c r="R220" s="42" t="str">
        <f>IF(SUMIFS(Sheet2!$E:$E,Sheet2!$C:$C,$A220,Sheet2!$A:$A,R$2)&lt;&gt;0,SUMIFS(Sheet2!$E:$E,Sheet2!$C:$C,$A220,Sheet2!$A:$A,R$2),"")</f>
        <v/>
      </c>
      <c r="S220" s="42" t="str">
        <f>IF(SUMIFS(Sheet2!$E:$E,Sheet2!$C:$C,$A220,Sheet2!$A:$A,S$2)&lt;&gt;0,SUMIFS(Sheet2!$E:$E,Sheet2!$C:$C,$A220,Sheet2!$A:$A,S$2),"")</f>
        <v/>
      </c>
      <c r="T220" s="42" t="str">
        <f>IF(SUMIFS(Sheet2!$E:$E,Sheet2!$C:$C,$A220,Sheet2!$A:$A,T$2)&lt;&gt;0,SUMIFS(Sheet2!$E:$E,Sheet2!$C:$C,$A220,Sheet2!$A:$A,T$2),"")</f>
        <v/>
      </c>
      <c r="U220" s="42" t="str">
        <f>IF(SUMIFS(Sheet2!$E:$E,Sheet2!$C:$C,$A220,Sheet2!$A:$A,U$2)&lt;&gt;0,SUMIFS(Sheet2!$E:$E,Sheet2!$C:$C,$A220,Sheet2!$A:$A,U$2),"")</f>
        <v/>
      </c>
      <c r="V220" s="42" t="str">
        <f>IF(SUMIFS(Sheet2!$E:$E,Sheet2!$C:$C,$A220,Sheet2!$A:$A,V$2)&lt;&gt;0,SUMIFS(Sheet2!$E:$E,Sheet2!$C:$C,$A220,Sheet2!$A:$A,V$2),"")</f>
        <v/>
      </c>
      <c r="W220" s="42" t="str">
        <f>IF(SUMIFS(Sheet2!$E:$E,Sheet2!$C:$C,$A220,Sheet2!$A:$A,W$2)&lt;&gt;0,SUMIFS(Sheet2!$E:$E,Sheet2!$C:$C,$A220,Sheet2!$A:$A,W$2),"")</f>
        <v/>
      </c>
      <c r="X220" s="42" t="str">
        <f>IF(SUMIFS(Sheet2!$E:$E,Sheet2!$C:$C,$A220,Sheet2!$A:$A,X$2)&lt;&gt;0,SUMIFS(Sheet2!$E:$E,Sheet2!$C:$C,$A220,Sheet2!$A:$A,X$2),"")</f>
        <v/>
      </c>
      <c r="Y220" s="42" t="str">
        <f>IF(SUMIFS(Sheet2!$E:$E,Sheet2!$C:$C,$A220,Sheet2!$A:$A,Y$2)&lt;&gt;0,SUMIFS(Sheet2!$E:$E,Sheet2!$C:$C,$A220,Sheet2!$A:$A,Y$2),"")</f>
        <v/>
      </c>
      <c r="Z220" s="42" t="str">
        <f>IF(SUMIFS(Sheet2!$E:$E,Sheet2!$C:$C,$A220,Sheet2!$A:$A,Z$2)&lt;&gt;0,SUMIFS(Sheet2!$E:$E,Sheet2!$C:$C,$A220,Sheet2!$A:$A,Z$2),"")</f>
        <v/>
      </c>
      <c r="AA220" s="42" t="str">
        <f>IF(SUMIFS(Sheet2!$E:$E,Sheet2!$C:$C,$A220,Sheet2!$A:$A,AA$2)&lt;&gt;0,SUMIFS(Sheet2!$E:$E,Sheet2!$C:$C,$A220,Sheet2!$A:$A,AA$2),"")</f>
        <v/>
      </c>
      <c r="AB220" s="42" t="str">
        <f>IF(SUMIFS(Sheet2!$E:$E,Sheet2!$C:$C,$A220,Sheet2!$A:$A,AB$2)&lt;&gt;0,SUMIFS(Sheet2!$E:$E,Sheet2!$C:$C,$A220,Sheet2!$A:$A,AB$2),"")</f>
        <v/>
      </c>
      <c r="AC220" s="42" t="str">
        <f>IF(SUMIFS(Sheet2!$E:$E,Sheet2!$C:$C,$A220,Sheet2!$A:$A,AC$2)&lt;&gt;0,SUMIFS(Sheet2!$E:$E,Sheet2!$C:$C,$A220,Sheet2!$A:$A,AC$2),"")</f>
        <v/>
      </c>
      <c r="AD220" s="42" t="str">
        <f>IF(SUMIFS(Sheet2!$E:$E,Sheet2!$C:$C,$A220,Sheet2!$A:$A,AD$2)&lt;&gt;0,SUMIFS(Sheet2!$E:$E,Sheet2!$C:$C,$A220,Sheet2!$A:$A,AD$2),"")</f>
        <v/>
      </c>
      <c r="AE220" s="42" t="str">
        <f>IF(SUMIFS(Sheet2!$E:$E,Sheet2!$C:$C,$A220,Sheet2!$A:$A,AE$2)&lt;&gt;0,SUMIFS(Sheet2!$E:$E,Sheet2!$C:$C,$A220,Sheet2!$A:$A,AE$2),"")</f>
        <v/>
      </c>
      <c r="AF220" s="42" t="str">
        <f>IF(SUMIFS(Sheet2!$E:$E,Sheet2!$C:$C,$A220,Sheet2!$A:$A,AF$2)&lt;&gt;0,SUMIFS(Sheet2!$E:$E,Sheet2!$C:$C,$A220,Sheet2!$A:$A,AF$2),"")</f>
        <v/>
      </c>
      <c r="AG220" s="42" t="str">
        <f>IF(SUMIFS(Sheet2!$E:$E,Sheet2!$C:$C,$A220,Sheet2!$A:$A,AG$2)&lt;&gt;0,SUMIFS(Sheet2!$E:$E,Sheet2!$C:$C,$A220,Sheet2!$A:$A,AG$2),"")</f>
        <v/>
      </c>
      <c r="AH220" s="43">
        <f>SUM(Table2[[#This Row],[1]:[31]])</f>
        <v>0</v>
      </c>
    </row>
    <row r="221" spans="1:34" ht="12.75" customHeight="1">
      <c r="A221" s="76" t="str">
        <f>DSSP!A220</f>
        <v>GC145</v>
      </c>
      <c r="B221" s="25" t="str">
        <f>DSSP!B220</f>
        <v>Cú đặc có cành cây</v>
      </c>
      <c r="C221" s="42" t="str">
        <f>IF(SUMIFS(Sheet2!$E:$E,Sheet2!$C:$C,$A221,Sheet2!$A:$A,C$2)&lt;&gt;0,SUMIFS(Sheet2!$E:$E,Sheet2!$C:$C,$A221,Sheet2!$A:$A,C$2),"")</f>
        <v/>
      </c>
      <c r="D221" s="42" t="str">
        <f>IF(SUMIFS(Sheet2!$E:$E,Sheet2!$C:$C,$A221,Sheet2!$A:$A,D$2)&lt;&gt;0,SUMIFS(Sheet2!$E:$E,Sheet2!$C:$C,$A221,Sheet2!$A:$A,D$2),"")</f>
        <v/>
      </c>
      <c r="E221" s="42" t="str">
        <f>IF(SUMIFS(Sheet2!$E:$E,Sheet2!$C:$C,$A221,Sheet2!$A:$A,E$2)&lt;&gt;0,SUMIFS(Sheet2!$E:$E,Sheet2!$C:$C,$A221,Sheet2!$A:$A,E$2),"")</f>
        <v/>
      </c>
      <c r="F221" s="42" t="str">
        <f>IF(SUMIFS(Sheet2!$E:$E,Sheet2!$C:$C,$A221,Sheet2!$A:$A,F$2)&lt;&gt;0,SUMIFS(Sheet2!$E:$E,Sheet2!$C:$C,$A221,Sheet2!$A:$A,F$2),"")</f>
        <v/>
      </c>
      <c r="G221" s="42" t="str">
        <f>IF(SUMIFS(Sheet2!$E:$E,Sheet2!$C:$C,$A221,Sheet2!$A:$A,G$2)&lt;&gt;0,SUMIFS(Sheet2!$E:$E,Sheet2!$C:$C,$A221,Sheet2!$A:$A,G$2),"")</f>
        <v/>
      </c>
      <c r="H221" s="42" t="str">
        <f>IF(SUMIFS(Sheet2!$E:$E,Sheet2!$C:$C,$A221,Sheet2!$A:$A,H$2)&lt;&gt;0,SUMIFS(Sheet2!$E:$E,Sheet2!$C:$C,$A221,Sheet2!$A:$A,H$2),"")</f>
        <v/>
      </c>
      <c r="I221" s="42" t="str">
        <f>IF(SUMIFS(Sheet2!$E:$E,Sheet2!$C:$C,$A221,Sheet2!$A:$A,I$2)&lt;&gt;0,SUMIFS(Sheet2!$E:$E,Sheet2!$C:$C,$A221,Sheet2!$A:$A,I$2),"")</f>
        <v/>
      </c>
      <c r="J221" s="42" t="str">
        <f>IF(SUMIFS(Sheet2!$E:$E,Sheet2!$C:$C,$A221,Sheet2!$A:$A,J$2)&lt;&gt;0,SUMIFS(Sheet2!$E:$E,Sheet2!$C:$C,$A221,Sheet2!$A:$A,J$2),"")</f>
        <v/>
      </c>
      <c r="K221" s="42" t="str">
        <f>IF(SUMIFS(Sheet2!$E:$E,Sheet2!$C:$C,$A221,Sheet2!$A:$A,K$2)&lt;&gt;0,SUMIFS(Sheet2!$E:$E,Sheet2!$C:$C,$A221,Sheet2!$A:$A,K$2),"")</f>
        <v/>
      </c>
      <c r="L221" s="42" t="str">
        <f>IF(SUMIFS(Sheet2!$E:$E,Sheet2!$C:$C,$A221,Sheet2!$A:$A,L$2)&lt;&gt;0,SUMIFS(Sheet2!$E:$E,Sheet2!$C:$C,$A221,Sheet2!$A:$A,L$2),"")</f>
        <v/>
      </c>
      <c r="M221" s="42" t="str">
        <f>IF(SUMIFS(Sheet2!$E:$E,Sheet2!$C:$C,$A221,Sheet2!$A:$A,M$2)&lt;&gt;0,SUMIFS(Sheet2!$E:$E,Sheet2!$C:$C,$A221,Sheet2!$A:$A,M$2),"")</f>
        <v/>
      </c>
      <c r="N221" s="42" t="str">
        <f>IF(SUMIFS(Sheet2!$E:$E,Sheet2!$C:$C,$A221,Sheet2!$A:$A,N$2)&lt;&gt;0,SUMIFS(Sheet2!$E:$E,Sheet2!$C:$C,$A221,Sheet2!$A:$A,N$2),"")</f>
        <v/>
      </c>
      <c r="O221" s="42" t="str">
        <f>IF(SUMIFS(Sheet2!$E:$E,Sheet2!$C:$C,$A221,Sheet2!$A:$A,O$2)&lt;&gt;0,SUMIFS(Sheet2!$E:$E,Sheet2!$C:$C,$A221,Sheet2!$A:$A,O$2),"")</f>
        <v/>
      </c>
      <c r="P221" s="42" t="str">
        <f>IF(SUMIFS(Sheet2!$E:$E,Sheet2!$C:$C,$A221,Sheet2!$A:$A,P$2)&lt;&gt;0,SUMIFS(Sheet2!$E:$E,Sheet2!$C:$C,$A221,Sheet2!$A:$A,P$2),"")</f>
        <v/>
      </c>
      <c r="Q221" s="42" t="str">
        <f>IF(SUMIFS(Sheet2!$E:$E,Sheet2!$C:$C,$A221,Sheet2!$A:$A,Q$2)&lt;&gt;0,SUMIFS(Sheet2!$E:$E,Sheet2!$C:$C,$A221,Sheet2!$A:$A,Q$2),"")</f>
        <v/>
      </c>
      <c r="R221" s="42" t="str">
        <f>IF(SUMIFS(Sheet2!$E:$E,Sheet2!$C:$C,$A221,Sheet2!$A:$A,R$2)&lt;&gt;0,SUMIFS(Sheet2!$E:$E,Sheet2!$C:$C,$A221,Sheet2!$A:$A,R$2),"")</f>
        <v/>
      </c>
      <c r="S221" s="42" t="str">
        <f>IF(SUMIFS(Sheet2!$E:$E,Sheet2!$C:$C,$A221,Sheet2!$A:$A,S$2)&lt;&gt;0,SUMIFS(Sheet2!$E:$E,Sheet2!$C:$C,$A221,Sheet2!$A:$A,S$2),"")</f>
        <v/>
      </c>
      <c r="T221" s="42" t="str">
        <f>IF(SUMIFS(Sheet2!$E:$E,Sheet2!$C:$C,$A221,Sheet2!$A:$A,T$2)&lt;&gt;0,SUMIFS(Sheet2!$E:$E,Sheet2!$C:$C,$A221,Sheet2!$A:$A,T$2),"")</f>
        <v/>
      </c>
      <c r="U221" s="42" t="str">
        <f>IF(SUMIFS(Sheet2!$E:$E,Sheet2!$C:$C,$A221,Sheet2!$A:$A,U$2)&lt;&gt;0,SUMIFS(Sheet2!$E:$E,Sheet2!$C:$C,$A221,Sheet2!$A:$A,U$2),"")</f>
        <v/>
      </c>
      <c r="V221" s="42" t="str">
        <f>IF(SUMIFS(Sheet2!$E:$E,Sheet2!$C:$C,$A221,Sheet2!$A:$A,V$2)&lt;&gt;0,SUMIFS(Sheet2!$E:$E,Sheet2!$C:$C,$A221,Sheet2!$A:$A,V$2),"")</f>
        <v/>
      </c>
      <c r="W221" s="42" t="str">
        <f>IF(SUMIFS(Sheet2!$E:$E,Sheet2!$C:$C,$A221,Sheet2!$A:$A,W$2)&lt;&gt;0,SUMIFS(Sheet2!$E:$E,Sheet2!$C:$C,$A221,Sheet2!$A:$A,W$2),"")</f>
        <v/>
      </c>
      <c r="X221" s="42" t="str">
        <f>IF(SUMIFS(Sheet2!$E:$E,Sheet2!$C:$C,$A221,Sheet2!$A:$A,X$2)&lt;&gt;0,SUMIFS(Sheet2!$E:$E,Sheet2!$C:$C,$A221,Sheet2!$A:$A,X$2),"")</f>
        <v/>
      </c>
      <c r="Y221" s="42" t="str">
        <f>IF(SUMIFS(Sheet2!$E:$E,Sheet2!$C:$C,$A221,Sheet2!$A:$A,Y$2)&lt;&gt;0,SUMIFS(Sheet2!$E:$E,Sheet2!$C:$C,$A221,Sheet2!$A:$A,Y$2),"")</f>
        <v/>
      </c>
      <c r="Z221" s="42" t="str">
        <f>IF(SUMIFS(Sheet2!$E:$E,Sheet2!$C:$C,$A221,Sheet2!$A:$A,Z$2)&lt;&gt;0,SUMIFS(Sheet2!$E:$E,Sheet2!$C:$C,$A221,Sheet2!$A:$A,Z$2),"")</f>
        <v/>
      </c>
      <c r="AA221" s="42" t="str">
        <f>IF(SUMIFS(Sheet2!$E:$E,Sheet2!$C:$C,$A221,Sheet2!$A:$A,AA$2)&lt;&gt;0,SUMIFS(Sheet2!$E:$E,Sheet2!$C:$C,$A221,Sheet2!$A:$A,AA$2),"")</f>
        <v/>
      </c>
      <c r="AB221" s="42" t="str">
        <f>IF(SUMIFS(Sheet2!$E:$E,Sheet2!$C:$C,$A221,Sheet2!$A:$A,AB$2)&lt;&gt;0,SUMIFS(Sheet2!$E:$E,Sheet2!$C:$C,$A221,Sheet2!$A:$A,AB$2),"")</f>
        <v/>
      </c>
      <c r="AC221" s="42" t="str">
        <f>IF(SUMIFS(Sheet2!$E:$E,Sheet2!$C:$C,$A221,Sheet2!$A:$A,AC$2)&lt;&gt;0,SUMIFS(Sheet2!$E:$E,Sheet2!$C:$C,$A221,Sheet2!$A:$A,AC$2),"")</f>
        <v/>
      </c>
      <c r="AD221" s="42" t="str">
        <f>IF(SUMIFS(Sheet2!$E:$E,Sheet2!$C:$C,$A221,Sheet2!$A:$A,AD$2)&lt;&gt;0,SUMIFS(Sheet2!$E:$E,Sheet2!$C:$C,$A221,Sheet2!$A:$A,AD$2),"")</f>
        <v/>
      </c>
      <c r="AE221" s="42" t="str">
        <f>IF(SUMIFS(Sheet2!$E:$E,Sheet2!$C:$C,$A221,Sheet2!$A:$A,AE$2)&lt;&gt;0,SUMIFS(Sheet2!$E:$E,Sheet2!$C:$C,$A221,Sheet2!$A:$A,AE$2),"")</f>
        <v/>
      </c>
      <c r="AF221" s="42" t="str">
        <f>IF(SUMIFS(Sheet2!$E:$E,Sheet2!$C:$C,$A221,Sheet2!$A:$A,AF$2)&lt;&gt;0,SUMIFS(Sheet2!$E:$E,Sheet2!$C:$C,$A221,Sheet2!$A:$A,AF$2),"")</f>
        <v/>
      </c>
      <c r="AG221" s="42" t="str">
        <f>IF(SUMIFS(Sheet2!$E:$E,Sheet2!$C:$C,$A221,Sheet2!$A:$A,AG$2)&lt;&gt;0,SUMIFS(Sheet2!$E:$E,Sheet2!$C:$C,$A221,Sheet2!$A:$A,AG$2),"")</f>
        <v/>
      </c>
      <c r="AH221" s="43">
        <f>SUM(Table2[[#This Row],[1]:[31]])</f>
        <v>0</v>
      </c>
    </row>
    <row r="222" spans="1:34" ht="12.75" customHeight="1">
      <c r="A222" s="76" t="str">
        <f>DSSP!A221</f>
        <v>GC146</v>
      </c>
      <c r="B222" s="25" t="str">
        <f>DSSP!B221</f>
        <v>Cú đặc xòe cánh</v>
      </c>
      <c r="C222" s="42" t="str">
        <f>IF(SUMIFS(Sheet2!$E:$E,Sheet2!$C:$C,$A222,Sheet2!$A:$A,C$2)&lt;&gt;0,SUMIFS(Sheet2!$E:$E,Sheet2!$C:$C,$A222,Sheet2!$A:$A,C$2),"")</f>
        <v/>
      </c>
      <c r="D222" s="42" t="str">
        <f>IF(SUMIFS(Sheet2!$E:$E,Sheet2!$C:$C,$A222,Sheet2!$A:$A,D$2)&lt;&gt;0,SUMIFS(Sheet2!$E:$E,Sheet2!$C:$C,$A222,Sheet2!$A:$A,D$2),"")</f>
        <v/>
      </c>
      <c r="E222" s="42" t="str">
        <f>IF(SUMIFS(Sheet2!$E:$E,Sheet2!$C:$C,$A222,Sheet2!$A:$A,E$2)&lt;&gt;0,SUMIFS(Sheet2!$E:$E,Sheet2!$C:$C,$A222,Sheet2!$A:$A,E$2),"")</f>
        <v/>
      </c>
      <c r="F222" s="42" t="str">
        <f>IF(SUMIFS(Sheet2!$E:$E,Sheet2!$C:$C,$A222,Sheet2!$A:$A,F$2)&lt;&gt;0,SUMIFS(Sheet2!$E:$E,Sheet2!$C:$C,$A222,Sheet2!$A:$A,F$2),"")</f>
        <v/>
      </c>
      <c r="G222" s="42" t="str">
        <f>IF(SUMIFS(Sheet2!$E:$E,Sheet2!$C:$C,$A222,Sheet2!$A:$A,G$2)&lt;&gt;0,SUMIFS(Sheet2!$E:$E,Sheet2!$C:$C,$A222,Sheet2!$A:$A,G$2),"")</f>
        <v/>
      </c>
      <c r="H222" s="42" t="str">
        <f>IF(SUMIFS(Sheet2!$E:$E,Sheet2!$C:$C,$A222,Sheet2!$A:$A,H$2)&lt;&gt;0,SUMIFS(Sheet2!$E:$E,Sheet2!$C:$C,$A222,Sheet2!$A:$A,H$2),"")</f>
        <v/>
      </c>
      <c r="I222" s="42" t="str">
        <f>IF(SUMIFS(Sheet2!$E:$E,Sheet2!$C:$C,$A222,Sheet2!$A:$A,I$2)&lt;&gt;0,SUMIFS(Sheet2!$E:$E,Sheet2!$C:$C,$A222,Sheet2!$A:$A,I$2),"")</f>
        <v/>
      </c>
      <c r="J222" s="42" t="str">
        <f>IF(SUMIFS(Sheet2!$E:$E,Sheet2!$C:$C,$A222,Sheet2!$A:$A,J$2)&lt;&gt;0,SUMIFS(Sheet2!$E:$E,Sheet2!$C:$C,$A222,Sheet2!$A:$A,J$2),"")</f>
        <v/>
      </c>
      <c r="K222" s="42" t="str">
        <f>IF(SUMIFS(Sheet2!$E:$E,Sheet2!$C:$C,$A222,Sheet2!$A:$A,K$2)&lt;&gt;0,SUMIFS(Sheet2!$E:$E,Sheet2!$C:$C,$A222,Sheet2!$A:$A,K$2),"")</f>
        <v/>
      </c>
      <c r="L222" s="42" t="str">
        <f>IF(SUMIFS(Sheet2!$E:$E,Sheet2!$C:$C,$A222,Sheet2!$A:$A,L$2)&lt;&gt;0,SUMIFS(Sheet2!$E:$E,Sheet2!$C:$C,$A222,Sheet2!$A:$A,L$2),"")</f>
        <v/>
      </c>
      <c r="M222" s="42" t="str">
        <f>IF(SUMIFS(Sheet2!$E:$E,Sheet2!$C:$C,$A222,Sheet2!$A:$A,M$2)&lt;&gt;0,SUMIFS(Sheet2!$E:$E,Sheet2!$C:$C,$A222,Sheet2!$A:$A,M$2),"")</f>
        <v/>
      </c>
      <c r="N222" s="42" t="str">
        <f>IF(SUMIFS(Sheet2!$E:$E,Sheet2!$C:$C,$A222,Sheet2!$A:$A,N$2)&lt;&gt;0,SUMIFS(Sheet2!$E:$E,Sheet2!$C:$C,$A222,Sheet2!$A:$A,N$2),"")</f>
        <v/>
      </c>
      <c r="O222" s="42" t="str">
        <f>IF(SUMIFS(Sheet2!$E:$E,Sheet2!$C:$C,$A222,Sheet2!$A:$A,O$2)&lt;&gt;0,SUMIFS(Sheet2!$E:$E,Sheet2!$C:$C,$A222,Sheet2!$A:$A,O$2),"")</f>
        <v/>
      </c>
      <c r="P222" s="42" t="str">
        <f>IF(SUMIFS(Sheet2!$E:$E,Sheet2!$C:$C,$A222,Sheet2!$A:$A,P$2)&lt;&gt;0,SUMIFS(Sheet2!$E:$E,Sheet2!$C:$C,$A222,Sheet2!$A:$A,P$2),"")</f>
        <v/>
      </c>
      <c r="Q222" s="42" t="str">
        <f>IF(SUMIFS(Sheet2!$E:$E,Sheet2!$C:$C,$A222,Sheet2!$A:$A,Q$2)&lt;&gt;0,SUMIFS(Sheet2!$E:$E,Sheet2!$C:$C,$A222,Sheet2!$A:$A,Q$2),"")</f>
        <v/>
      </c>
      <c r="R222" s="42" t="str">
        <f>IF(SUMIFS(Sheet2!$E:$E,Sheet2!$C:$C,$A222,Sheet2!$A:$A,R$2)&lt;&gt;0,SUMIFS(Sheet2!$E:$E,Sheet2!$C:$C,$A222,Sheet2!$A:$A,R$2),"")</f>
        <v/>
      </c>
      <c r="S222" s="42" t="str">
        <f>IF(SUMIFS(Sheet2!$E:$E,Sheet2!$C:$C,$A222,Sheet2!$A:$A,S$2)&lt;&gt;0,SUMIFS(Sheet2!$E:$E,Sheet2!$C:$C,$A222,Sheet2!$A:$A,S$2),"")</f>
        <v/>
      </c>
      <c r="T222" s="42" t="str">
        <f>IF(SUMIFS(Sheet2!$E:$E,Sheet2!$C:$C,$A222,Sheet2!$A:$A,T$2)&lt;&gt;0,SUMIFS(Sheet2!$E:$E,Sheet2!$C:$C,$A222,Sheet2!$A:$A,T$2),"")</f>
        <v/>
      </c>
      <c r="U222" s="42" t="str">
        <f>IF(SUMIFS(Sheet2!$E:$E,Sheet2!$C:$C,$A222,Sheet2!$A:$A,U$2)&lt;&gt;0,SUMIFS(Sheet2!$E:$E,Sheet2!$C:$C,$A222,Sheet2!$A:$A,U$2),"")</f>
        <v/>
      </c>
      <c r="V222" s="42" t="str">
        <f>IF(SUMIFS(Sheet2!$E:$E,Sheet2!$C:$C,$A222,Sheet2!$A:$A,V$2)&lt;&gt;0,SUMIFS(Sheet2!$E:$E,Sheet2!$C:$C,$A222,Sheet2!$A:$A,V$2),"")</f>
        <v/>
      </c>
      <c r="W222" s="42" t="str">
        <f>IF(SUMIFS(Sheet2!$E:$E,Sheet2!$C:$C,$A222,Sheet2!$A:$A,W$2)&lt;&gt;0,SUMIFS(Sheet2!$E:$E,Sheet2!$C:$C,$A222,Sheet2!$A:$A,W$2),"")</f>
        <v/>
      </c>
      <c r="X222" s="42" t="str">
        <f>IF(SUMIFS(Sheet2!$E:$E,Sheet2!$C:$C,$A222,Sheet2!$A:$A,X$2)&lt;&gt;0,SUMIFS(Sheet2!$E:$E,Sheet2!$C:$C,$A222,Sheet2!$A:$A,X$2),"")</f>
        <v/>
      </c>
      <c r="Y222" s="42" t="str">
        <f>IF(SUMIFS(Sheet2!$E:$E,Sheet2!$C:$C,$A222,Sheet2!$A:$A,Y$2)&lt;&gt;0,SUMIFS(Sheet2!$E:$E,Sheet2!$C:$C,$A222,Sheet2!$A:$A,Y$2),"")</f>
        <v/>
      </c>
      <c r="Z222" s="42" t="str">
        <f>IF(SUMIFS(Sheet2!$E:$E,Sheet2!$C:$C,$A222,Sheet2!$A:$A,Z$2)&lt;&gt;0,SUMIFS(Sheet2!$E:$E,Sheet2!$C:$C,$A222,Sheet2!$A:$A,Z$2),"")</f>
        <v/>
      </c>
      <c r="AA222" s="42" t="str">
        <f>IF(SUMIFS(Sheet2!$E:$E,Sheet2!$C:$C,$A222,Sheet2!$A:$A,AA$2)&lt;&gt;0,SUMIFS(Sheet2!$E:$E,Sheet2!$C:$C,$A222,Sheet2!$A:$A,AA$2),"")</f>
        <v/>
      </c>
      <c r="AB222" s="42" t="str">
        <f>IF(SUMIFS(Sheet2!$E:$E,Sheet2!$C:$C,$A222,Sheet2!$A:$A,AB$2)&lt;&gt;0,SUMIFS(Sheet2!$E:$E,Sheet2!$C:$C,$A222,Sheet2!$A:$A,AB$2),"")</f>
        <v/>
      </c>
      <c r="AC222" s="42" t="str">
        <f>IF(SUMIFS(Sheet2!$E:$E,Sheet2!$C:$C,$A222,Sheet2!$A:$A,AC$2)&lt;&gt;0,SUMIFS(Sheet2!$E:$E,Sheet2!$C:$C,$A222,Sheet2!$A:$A,AC$2),"")</f>
        <v/>
      </c>
      <c r="AD222" s="42" t="str">
        <f>IF(SUMIFS(Sheet2!$E:$E,Sheet2!$C:$C,$A222,Sheet2!$A:$A,AD$2)&lt;&gt;0,SUMIFS(Sheet2!$E:$E,Sheet2!$C:$C,$A222,Sheet2!$A:$A,AD$2),"")</f>
        <v/>
      </c>
      <c r="AE222" s="42" t="str">
        <f>IF(SUMIFS(Sheet2!$E:$E,Sheet2!$C:$C,$A222,Sheet2!$A:$A,AE$2)&lt;&gt;0,SUMIFS(Sheet2!$E:$E,Sheet2!$C:$C,$A222,Sheet2!$A:$A,AE$2),"")</f>
        <v/>
      </c>
      <c r="AF222" s="42" t="str">
        <f>IF(SUMIFS(Sheet2!$E:$E,Sheet2!$C:$C,$A222,Sheet2!$A:$A,AF$2)&lt;&gt;0,SUMIFS(Sheet2!$E:$E,Sheet2!$C:$C,$A222,Sheet2!$A:$A,AF$2),"")</f>
        <v/>
      </c>
      <c r="AG222" s="42" t="str">
        <f>IF(SUMIFS(Sheet2!$E:$E,Sheet2!$C:$C,$A222,Sheet2!$A:$A,AG$2)&lt;&gt;0,SUMIFS(Sheet2!$E:$E,Sheet2!$C:$C,$A222,Sheet2!$A:$A,AG$2),"")</f>
        <v/>
      </c>
      <c r="AH222" s="43">
        <f>SUM(Table2[[#This Row],[1]:[31]])</f>
        <v>0</v>
      </c>
    </row>
    <row r="223" spans="1:34" ht="12.75" customHeight="1">
      <c r="A223" s="76" t="str">
        <f>DSSP!A222</f>
        <v>GC147</v>
      </c>
      <c r="B223" s="25" t="str">
        <f>DSSP!B222</f>
        <v>Cú đặc mắt tròn</v>
      </c>
      <c r="C223" s="42" t="str">
        <f>IF(SUMIFS(Sheet2!$E:$E,Sheet2!$C:$C,$A223,Sheet2!$A:$A,C$2)&lt;&gt;0,SUMIFS(Sheet2!$E:$E,Sheet2!$C:$C,$A223,Sheet2!$A:$A,C$2),"")</f>
        <v/>
      </c>
      <c r="D223" s="42" t="str">
        <f>IF(SUMIFS(Sheet2!$E:$E,Sheet2!$C:$C,$A223,Sheet2!$A:$A,D$2)&lt;&gt;0,SUMIFS(Sheet2!$E:$E,Sheet2!$C:$C,$A223,Sheet2!$A:$A,D$2),"")</f>
        <v/>
      </c>
      <c r="E223" s="42" t="str">
        <f>IF(SUMIFS(Sheet2!$E:$E,Sheet2!$C:$C,$A223,Sheet2!$A:$A,E$2)&lt;&gt;0,SUMIFS(Sheet2!$E:$E,Sheet2!$C:$C,$A223,Sheet2!$A:$A,E$2),"")</f>
        <v/>
      </c>
      <c r="F223" s="42" t="str">
        <f>IF(SUMIFS(Sheet2!$E:$E,Sheet2!$C:$C,$A223,Sheet2!$A:$A,F$2)&lt;&gt;0,SUMIFS(Sheet2!$E:$E,Sheet2!$C:$C,$A223,Sheet2!$A:$A,F$2),"")</f>
        <v/>
      </c>
      <c r="G223" s="42" t="str">
        <f>IF(SUMIFS(Sheet2!$E:$E,Sheet2!$C:$C,$A223,Sheet2!$A:$A,G$2)&lt;&gt;0,SUMIFS(Sheet2!$E:$E,Sheet2!$C:$C,$A223,Sheet2!$A:$A,G$2),"")</f>
        <v/>
      </c>
      <c r="H223" s="42" t="str">
        <f>IF(SUMIFS(Sheet2!$E:$E,Sheet2!$C:$C,$A223,Sheet2!$A:$A,H$2)&lt;&gt;0,SUMIFS(Sheet2!$E:$E,Sheet2!$C:$C,$A223,Sheet2!$A:$A,H$2),"")</f>
        <v/>
      </c>
      <c r="I223" s="42" t="str">
        <f>IF(SUMIFS(Sheet2!$E:$E,Sheet2!$C:$C,$A223,Sheet2!$A:$A,I$2)&lt;&gt;0,SUMIFS(Sheet2!$E:$E,Sheet2!$C:$C,$A223,Sheet2!$A:$A,I$2),"")</f>
        <v/>
      </c>
      <c r="J223" s="42" t="str">
        <f>IF(SUMIFS(Sheet2!$E:$E,Sheet2!$C:$C,$A223,Sheet2!$A:$A,J$2)&lt;&gt;0,SUMIFS(Sheet2!$E:$E,Sheet2!$C:$C,$A223,Sheet2!$A:$A,J$2),"")</f>
        <v/>
      </c>
      <c r="K223" s="42" t="str">
        <f>IF(SUMIFS(Sheet2!$E:$E,Sheet2!$C:$C,$A223,Sheet2!$A:$A,K$2)&lt;&gt;0,SUMIFS(Sheet2!$E:$E,Sheet2!$C:$C,$A223,Sheet2!$A:$A,K$2),"")</f>
        <v/>
      </c>
      <c r="L223" s="42" t="str">
        <f>IF(SUMIFS(Sheet2!$E:$E,Sheet2!$C:$C,$A223,Sheet2!$A:$A,L$2)&lt;&gt;0,SUMIFS(Sheet2!$E:$E,Sheet2!$C:$C,$A223,Sheet2!$A:$A,L$2),"")</f>
        <v/>
      </c>
      <c r="M223" s="42" t="str">
        <f>IF(SUMIFS(Sheet2!$E:$E,Sheet2!$C:$C,$A223,Sheet2!$A:$A,M$2)&lt;&gt;0,SUMIFS(Sheet2!$E:$E,Sheet2!$C:$C,$A223,Sheet2!$A:$A,M$2),"")</f>
        <v/>
      </c>
      <c r="N223" s="42" t="str">
        <f>IF(SUMIFS(Sheet2!$E:$E,Sheet2!$C:$C,$A223,Sheet2!$A:$A,N$2)&lt;&gt;0,SUMIFS(Sheet2!$E:$E,Sheet2!$C:$C,$A223,Sheet2!$A:$A,N$2),"")</f>
        <v/>
      </c>
      <c r="O223" s="42" t="str">
        <f>IF(SUMIFS(Sheet2!$E:$E,Sheet2!$C:$C,$A223,Sheet2!$A:$A,O$2)&lt;&gt;0,SUMIFS(Sheet2!$E:$E,Sheet2!$C:$C,$A223,Sheet2!$A:$A,O$2),"")</f>
        <v/>
      </c>
      <c r="P223" s="42" t="str">
        <f>IF(SUMIFS(Sheet2!$E:$E,Sheet2!$C:$C,$A223,Sheet2!$A:$A,P$2)&lt;&gt;0,SUMIFS(Sheet2!$E:$E,Sheet2!$C:$C,$A223,Sheet2!$A:$A,P$2),"")</f>
        <v/>
      </c>
      <c r="Q223" s="42" t="str">
        <f>IF(SUMIFS(Sheet2!$E:$E,Sheet2!$C:$C,$A223,Sheet2!$A:$A,Q$2)&lt;&gt;0,SUMIFS(Sheet2!$E:$E,Sheet2!$C:$C,$A223,Sheet2!$A:$A,Q$2),"")</f>
        <v/>
      </c>
      <c r="R223" s="42" t="str">
        <f>IF(SUMIFS(Sheet2!$E:$E,Sheet2!$C:$C,$A223,Sheet2!$A:$A,R$2)&lt;&gt;0,SUMIFS(Sheet2!$E:$E,Sheet2!$C:$C,$A223,Sheet2!$A:$A,R$2),"")</f>
        <v/>
      </c>
      <c r="S223" s="42" t="str">
        <f>IF(SUMIFS(Sheet2!$E:$E,Sheet2!$C:$C,$A223,Sheet2!$A:$A,S$2)&lt;&gt;0,SUMIFS(Sheet2!$E:$E,Sheet2!$C:$C,$A223,Sheet2!$A:$A,S$2),"")</f>
        <v/>
      </c>
      <c r="T223" s="42" t="str">
        <f>IF(SUMIFS(Sheet2!$E:$E,Sheet2!$C:$C,$A223,Sheet2!$A:$A,T$2)&lt;&gt;0,SUMIFS(Sheet2!$E:$E,Sheet2!$C:$C,$A223,Sheet2!$A:$A,T$2),"")</f>
        <v/>
      </c>
      <c r="U223" s="42" t="str">
        <f>IF(SUMIFS(Sheet2!$E:$E,Sheet2!$C:$C,$A223,Sheet2!$A:$A,U$2)&lt;&gt;0,SUMIFS(Sheet2!$E:$E,Sheet2!$C:$C,$A223,Sheet2!$A:$A,U$2),"")</f>
        <v/>
      </c>
      <c r="V223" s="42" t="str">
        <f>IF(SUMIFS(Sheet2!$E:$E,Sheet2!$C:$C,$A223,Sheet2!$A:$A,V$2)&lt;&gt;0,SUMIFS(Sheet2!$E:$E,Sheet2!$C:$C,$A223,Sheet2!$A:$A,V$2),"")</f>
        <v/>
      </c>
      <c r="W223" s="42" t="str">
        <f>IF(SUMIFS(Sheet2!$E:$E,Sheet2!$C:$C,$A223,Sheet2!$A:$A,W$2)&lt;&gt;0,SUMIFS(Sheet2!$E:$E,Sheet2!$C:$C,$A223,Sheet2!$A:$A,W$2),"")</f>
        <v/>
      </c>
      <c r="X223" s="42" t="str">
        <f>IF(SUMIFS(Sheet2!$E:$E,Sheet2!$C:$C,$A223,Sheet2!$A:$A,X$2)&lt;&gt;0,SUMIFS(Sheet2!$E:$E,Sheet2!$C:$C,$A223,Sheet2!$A:$A,X$2),"")</f>
        <v/>
      </c>
      <c r="Y223" s="42" t="str">
        <f>IF(SUMIFS(Sheet2!$E:$E,Sheet2!$C:$C,$A223,Sheet2!$A:$A,Y$2)&lt;&gt;0,SUMIFS(Sheet2!$E:$E,Sheet2!$C:$C,$A223,Sheet2!$A:$A,Y$2),"")</f>
        <v/>
      </c>
      <c r="Z223" s="42" t="str">
        <f>IF(SUMIFS(Sheet2!$E:$E,Sheet2!$C:$C,$A223,Sheet2!$A:$A,Z$2)&lt;&gt;0,SUMIFS(Sheet2!$E:$E,Sheet2!$C:$C,$A223,Sheet2!$A:$A,Z$2),"")</f>
        <v/>
      </c>
      <c r="AA223" s="42" t="str">
        <f>IF(SUMIFS(Sheet2!$E:$E,Sheet2!$C:$C,$A223,Sheet2!$A:$A,AA$2)&lt;&gt;0,SUMIFS(Sheet2!$E:$E,Sheet2!$C:$C,$A223,Sheet2!$A:$A,AA$2),"")</f>
        <v/>
      </c>
      <c r="AB223" s="42" t="str">
        <f>IF(SUMIFS(Sheet2!$E:$E,Sheet2!$C:$C,$A223,Sheet2!$A:$A,AB$2)&lt;&gt;0,SUMIFS(Sheet2!$E:$E,Sheet2!$C:$C,$A223,Sheet2!$A:$A,AB$2),"")</f>
        <v/>
      </c>
      <c r="AC223" s="42" t="str">
        <f>IF(SUMIFS(Sheet2!$E:$E,Sheet2!$C:$C,$A223,Sheet2!$A:$A,AC$2)&lt;&gt;0,SUMIFS(Sheet2!$E:$E,Sheet2!$C:$C,$A223,Sheet2!$A:$A,AC$2),"")</f>
        <v/>
      </c>
      <c r="AD223" s="42" t="str">
        <f>IF(SUMIFS(Sheet2!$E:$E,Sheet2!$C:$C,$A223,Sheet2!$A:$A,AD$2)&lt;&gt;0,SUMIFS(Sheet2!$E:$E,Sheet2!$C:$C,$A223,Sheet2!$A:$A,AD$2),"")</f>
        <v/>
      </c>
      <c r="AE223" s="42" t="str">
        <f>IF(SUMIFS(Sheet2!$E:$E,Sheet2!$C:$C,$A223,Sheet2!$A:$A,AE$2)&lt;&gt;0,SUMIFS(Sheet2!$E:$E,Sheet2!$C:$C,$A223,Sheet2!$A:$A,AE$2),"")</f>
        <v/>
      </c>
      <c r="AF223" s="42" t="str">
        <f>IF(SUMIFS(Sheet2!$E:$E,Sheet2!$C:$C,$A223,Sheet2!$A:$A,AF$2)&lt;&gt;0,SUMIFS(Sheet2!$E:$E,Sheet2!$C:$C,$A223,Sheet2!$A:$A,AF$2),"")</f>
        <v/>
      </c>
      <c r="AG223" s="42" t="str">
        <f>IF(SUMIFS(Sheet2!$E:$E,Sheet2!$C:$C,$A223,Sheet2!$A:$A,AG$2)&lt;&gt;0,SUMIFS(Sheet2!$E:$E,Sheet2!$C:$C,$A223,Sheet2!$A:$A,AG$2),"")</f>
        <v/>
      </c>
      <c r="AH223" s="43">
        <f>SUM(Table2[[#This Row],[1]:[31]])</f>
        <v>0</v>
      </c>
    </row>
    <row r="224" spans="1:34" ht="12.75" customHeight="1">
      <c r="A224" s="76" t="str">
        <f>DSSP!A223</f>
        <v>GC148</v>
      </c>
      <c r="B224" s="25" t="str">
        <f>DSSP!B223</f>
        <v>Ô dài 1 mặt</v>
      </c>
      <c r="C224" s="42" t="str">
        <f>IF(SUMIFS(Sheet2!$E:$E,Sheet2!$C:$C,$A224,Sheet2!$A:$A,C$2)&lt;&gt;0,SUMIFS(Sheet2!$E:$E,Sheet2!$C:$C,$A224,Sheet2!$A:$A,C$2),"")</f>
        <v/>
      </c>
      <c r="D224" s="42" t="str">
        <f>IF(SUMIFS(Sheet2!$E:$E,Sheet2!$C:$C,$A224,Sheet2!$A:$A,D$2)&lt;&gt;0,SUMIFS(Sheet2!$E:$E,Sheet2!$C:$C,$A224,Sheet2!$A:$A,D$2),"")</f>
        <v/>
      </c>
      <c r="E224" s="42" t="str">
        <f>IF(SUMIFS(Sheet2!$E:$E,Sheet2!$C:$C,$A224,Sheet2!$A:$A,E$2)&lt;&gt;0,SUMIFS(Sheet2!$E:$E,Sheet2!$C:$C,$A224,Sheet2!$A:$A,E$2),"")</f>
        <v/>
      </c>
      <c r="F224" s="42" t="str">
        <f>IF(SUMIFS(Sheet2!$E:$E,Sheet2!$C:$C,$A224,Sheet2!$A:$A,F$2)&lt;&gt;0,SUMIFS(Sheet2!$E:$E,Sheet2!$C:$C,$A224,Sheet2!$A:$A,F$2),"")</f>
        <v/>
      </c>
      <c r="G224" s="42" t="str">
        <f>IF(SUMIFS(Sheet2!$E:$E,Sheet2!$C:$C,$A224,Sheet2!$A:$A,G$2)&lt;&gt;0,SUMIFS(Sheet2!$E:$E,Sheet2!$C:$C,$A224,Sheet2!$A:$A,G$2),"")</f>
        <v/>
      </c>
      <c r="H224" s="42" t="str">
        <f>IF(SUMIFS(Sheet2!$E:$E,Sheet2!$C:$C,$A224,Sheet2!$A:$A,H$2)&lt;&gt;0,SUMIFS(Sheet2!$E:$E,Sheet2!$C:$C,$A224,Sheet2!$A:$A,H$2),"")</f>
        <v/>
      </c>
      <c r="I224" s="42" t="str">
        <f>IF(SUMIFS(Sheet2!$E:$E,Sheet2!$C:$C,$A224,Sheet2!$A:$A,I$2)&lt;&gt;0,SUMIFS(Sheet2!$E:$E,Sheet2!$C:$C,$A224,Sheet2!$A:$A,I$2),"")</f>
        <v/>
      </c>
      <c r="J224" s="42" t="str">
        <f>IF(SUMIFS(Sheet2!$E:$E,Sheet2!$C:$C,$A224,Sheet2!$A:$A,J$2)&lt;&gt;0,SUMIFS(Sheet2!$E:$E,Sheet2!$C:$C,$A224,Sheet2!$A:$A,J$2),"")</f>
        <v/>
      </c>
      <c r="K224" s="42" t="str">
        <f>IF(SUMIFS(Sheet2!$E:$E,Sheet2!$C:$C,$A224,Sheet2!$A:$A,K$2)&lt;&gt;0,SUMIFS(Sheet2!$E:$E,Sheet2!$C:$C,$A224,Sheet2!$A:$A,K$2),"")</f>
        <v/>
      </c>
      <c r="L224" s="42" t="str">
        <f>IF(SUMIFS(Sheet2!$E:$E,Sheet2!$C:$C,$A224,Sheet2!$A:$A,L$2)&lt;&gt;0,SUMIFS(Sheet2!$E:$E,Sheet2!$C:$C,$A224,Sheet2!$A:$A,L$2),"")</f>
        <v/>
      </c>
      <c r="M224" s="42" t="str">
        <f>IF(SUMIFS(Sheet2!$E:$E,Sheet2!$C:$C,$A224,Sheet2!$A:$A,M$2)&lt;&gt;0,SUMIFS(Sheet2!$E:$E,Sheet2!$C:$C,$A224,Sheet2!$A:$A,M$2),"")</f>
        <v/>
      </c>
      <c r="N224" s="42" t="str">
        <f>IF(SUMIFS(Sheet2!$E:$E,Sheet2!$C:$C,$A224,Sheet2!$A:$A,N$2)&lt;&gt;0,SUMIFS(Sheet2!$E:$E,Sheet2!$C:$C,$A224,Sheet2!$A:$A,N$2),"")</f>
        <v/>
      </c>
      <c r="O224" s="42" t="str">
        <f>IF(SUMIFS(Sheet2!$E:$E,Sheet2!$C:$C,$A224,Sheet2!$A:$A,O$2)&lt;&gt;0,SUMIFS(Sheet2!$E:$E,Sheet2!$C:$C,$A224,Sheet2!$A:$A,O$2),"")</f>
        <v/>
      </c>
      <c r="P224" s="42" t="str">
        <f>IF(SUMIFS(Sheet2!$E:$E,Sheet2!$C:$C,$A224,Sheet2!$A:$A,P$2)&lt;&gt;0,SUMIFS(Sheet2!$E:$E,Sheet2!$C:$C,$A224,Sheet2!$A:$A,P$2),"")</f>
        <v/>
      </c>
      <c r="Q224" s="42" t="str">
        <f>IF(SUMIFS(Sheet2!$E:$E,Sheet2!$C:$C,$A224,Sheet2!$A:$A,Q$2)&lt;&gt;0,SUMIFS(Sheet2!$E:$E,Sheet2!$C:$C,$A224,Sheet2!$A:$A,Q$2),"")</f>
        <v/>
      </c>
      <c r="R224" s="42" t="str">
        <f>IF(SUMIFS(Sheet2!$E:$E,Sheet2!$C:$C,$A224,Sheet2!$A:$A,R$2)&lt;&gt;0,SUMIFS(Sheet2!$E:$E,Sheet2!$C:$C,$A224,Sheet2!$A:$A,R$2),"")</f>
        <v/>
      </c>
      <c r="S224" s="42" t="str">
        <f>IF(SUMIFS(Sheet2!$E:$E,Sheet2!$C:$C,$A224,Sheet2!$A:$A,S$2)&lt;&gt;0,SUMIFS(Sheet2!$E:$E,Sheet2!$C:$C,$A224,Sheet2!$A:$A,S$2),"")</f>
        <v/>
      </c>
      <c r="T224" s="42" t="str">
        <f>IF(SUMIFS(Sheet2!$E:$E,Sheet2!$C:$C,$A224,Sheet2!$A:$A,T$2)&lt;&gt;0,SUMIFS(Sheet2!$E:$E,Sheet2!$C:$C,$A224,Sheet2!$A:$A,T$2),"")</f>
        <v/>
      </c>
      <c r="U224" s="42" t="str">
        <f>IF(SUMIFS(Sheet2!$E:$E,Sheet2!$C:$C,$A224,Sheet2!$A:$A,U$2)&lt;&gt;0,SUMIFS(Sheet2!$E:$E,Sheet2!$C:$C,$A224,Sheet2!$A:$A,U$2),"")</f>
        <v/>
      </c>
      <c r="V224" s="42" t="str">
        <f>IF(SUMIFS(Sheet2!$E:$E,Sheet2!$C:$C,$A224,Sheet2!$A:$A,V$2)&lt;&gt;0,SUMIFS(Sheet2!$E:$E,Sheet2!$C:$C,$A224,Sheet2!$A:$A,V$2),"")</f>
        <v/>
      </c>
      <c r="W224" s="42" t="str">
        <f>IF(SUMIFS(Sheet2!$E:$E,Sheet2!$C:$C,$A224,Sheet2!$A:$A,W$2)&lt;&gt;0,SUMIFS(Sheet2!$E:$E,Sheet2!$C:$C,$A224,Sheet2!$A:$A,W$2),"")</f>
        <v/>
      </c>
      <c r="X224" s="42" t="str">
        <f>IF(SUMIFS(Sheet2!$E:$E,Sheet2!$C:$C,$A224,Sheet2!$A:$A,X$2)&lt;&gt;0,SUMIFS(Sheet2!$E:$E,Sheet2!$C:$C,$A224,Sheet2!$A:$A,X$2),"")</f>
        <v/>
      </c>
      <c r="Y224" s="42" t="str">
        <f>IF(SUMIFS(Sheet2!$E:$E,Sheet2!$C:$C,$A224,Sheet2!$A:$A,Y$2)&lt;&gt;0,SUMIFS(Sheet2!$E:$E,Sheet2!$C:$C,$A224,Sheet2!$A:$A,Y$2),"")</f>
        <v/>
      </c>
      <c r="Z224" s="42" t="str">
        <f>IF(SUMIFS(Sheet2!$E:$E,Sheet2!$C:$C,$A224,Sheet2!$A:$A,Z$2)&lt;&gt;0,SUMIFS(Sheet2!$E:$E,Sheet2!$C:$C,$A224,Sheet2!$A:$A,Z$2),"")</f>
        <v/>
      </c>
      <c r="AA224" s="42" t="str">
        <f>IF(SUMIFS(Sheet2!$E:$E,Sheet2!$C:$C,$A224,Sheet2!$A:$A,AA$2)&lt;&gt;0,SUMIFS(Sheet2!$E:$E,Sheet2!$C:$C,$A224,Sheet2!$A:$A,AA$2),"")</f>
        <v/>
      </c>
      <c r="AB224" s="42" t="str">
        <f>IF(SUMIFS(Sheet2!$E:$E,Sheet2!$C:$C,$A224,Sheet2!$A:$A,AB$2)&lt;&gt;0,SUMIFS(Sheet2!$E:$E,Sheet2!$C:$C,$A224,Sheet2!$A:$A,AB$2),"")</f>
        <v/>
      </c>
      <c r="AC224" s="42" t="str">
        <f>IF(SUMIFS(Sheet2!$E:$E,Sheet2!$C:$C,$A224,Sheet2!$A:$A,AC$2)&lt;&gt;0,SUMIFS(Sheet2!$E:$E,Sheet2!$C:$C,$A224,Sheet2!$A:$A,AC$2),"")</f>
        <v/>
      </c>
      <c r="AD224" s="42" t="str">
        <f>IF(SUMIFS(Sheet2!$E:$E,Sheet2!$C:$C,$A224,Sheet2!$A:$A,AD$2)&lt;&gt;0,SUMIFS(Sheet2!$E:$E,Sheet2!$C:$C,$A224,Sheet2!$A:$A,AD$2),"")</f>
        <v/>
      </c>
      <c r="AE224" s="42" t="str">
        <f>IF(SUMIFS(Sheet2!$E:$E,Sheet2!$C:$C,$A224,Sheet2!$A:$A,AE$2)&lt;&gt;0,SUMIFS(Sheet2!$E:$E,Sheet2!$C:$C,$A224,Sheet2!$A:$A,AE$2),"")</f>
        <v/>
      </c>
      <c r="AF224" s="42" t="str">
        <f>IF(SUMIFS(Sheet2!$E:$E,Sheet2!$C:$C,$A224,Sheet2!$A:$A,AF$2)&lt;&gt;0,SUMIFS(Sheet2!$E:$E,Sheet2!$C:$C,$A224,Sheet2!$A:$A,AF$2),"")</f>
        <v/>
      </c>
      <c r="AG224" s="42" t="str">
        <f>IF(SUMIFS(Sheet2!$E:$E,Sheet2!$C:$C,$A224,Sheet2!$A:$A,AG$2)&lt;&gt;0,SUMIFS(Sheet2!$E:$E,Sheet2!$C:$C,$A224,Sheet2!$A:$A,AG$2),"")</f>
        <v/>
      </c>
      <c r="AH224" s="43">
        <f>SUM(Table2[[#This Row],[1]:[31]])</f>
        <v>0</v>
      </c>
    </row>
    <row r="225" spans="1:34" ht="12.75" customHeight="1">
      <c r="A225" s="76" t="str">
        <f>DSSP!A224</f>
        <v>GC149</v>
      </c>
      <c r="B225" s="25" t="str">
        <f>DSSP!B224</f>
        <v>Ô ngắn</v>
      </c>
      <c r="C225" s="42" t="str">
        <f>IF(SUMIFS(Sheet2!$E:$E,Sheet2!$C:$C,$A225,Sheet2!$A:$A,C$2)&lt;&gt;0,SUMIFS(Sheet2!$E:$E,Sheet2!$C:$C,$A225,Sheet2!$A:$A,C$2),"")</f>
        <v/>
      </c>
      <c r="D225" s="42" t="str">
        <f>IF(SUMIFS(Sheet2!$E:$E,Sheet2!$C:$C,$A225,Sheet2!$A:$A,D$2)&lt;&gt;0,SUMIFS(Sheet2!$E:$E,Sheet2!$C:$C,$A225,Sheet2!$A:$A,D$2),"")</f>
        <v/>
      </c>
      <c r="E225" s="42" t="str">
        <f>IF(SUMIFS(Sheet2!$E:$E,Sheet2!$C:$C,$A225,Sheet2!$A:$A,E$2)&lt;&gt;0,SUMIFS(Sheet2!$E:$E,Sheet2!$C:$C,$A225,Sheet2!$A:$A,E$2),"")</f>
        <v/>
      </c>
      <c r="F225" s="42" t="str">
        <f>IF(SUMIFS(Sheet2!$E:$E,Sheet2!$C:$C,$A225,Sheet2!$A:$A,F$2)&lt;&gt;0,SUMIFS(Sheet2!$E:$E,Sheet2!$C:$C,$A225,Sheet2!$A:$A,F$2),"")</f>
        <v/>
      </c>
      <c r="G225" s="42" t="str">
        <f>IF(SUMIFS(Sheet2!$E:$E,Sheet2!$C:$C,$A225,Sheet2!$A:$A,G$2)&lt;&gt;0,SUMIFS(Sheet2!$E:$E,Sheet2!$C:$C,$A225,Sheet2!$A:$A,G$2),"")</f>
        <v/>
      </c>
      <c r="H225" s="42" t="str">
        <f>IF(SUMIFS(Sheet2!$E:$E,Sheet2!$C:$C,$A225,Sheet2!$A:$A,H$2)&lt;&gt;0,SUMIFS(Sheet2!$E:$E,Sheet2!$C:$C,$A225,Sheet2!$A:$A,H$2),"")</f>
        <v/>
      </c>
      <c r="I225" s="42" t="str">
        <f>IF(SUMIFS(Sheet2!$E:$E,Sheet2!$C:$C,$A225,Sheet2!$A:$A,I$2)&lt;&gt;0,SUMIFS(Sheet2!$E:$E,Sheet2!$C:$C,$A225,Sheet2!$A:$A,I$2),"")</f>
        <v/>
      </c>
      <c r="J225" s="42" t="str">
        <f>IF(SUMIFS(Sheet2!$E:$E,Sheet2!$C:$C,$A225,Sheet2!$A:$A,J$2)&lt;&gt;0,SUMIFS(Sheet2!$E:$E,Sheet2!$C:$C,$A225,Sheet2!$A:$A,J$2),"")</f>
        <v/>
      </c>
      <c r="K225" s="42" t="str">
        <f>IF(SUMIFS(Sheet2!$E:$E,Sheet2!$C:$C,$A225,Sheet2!$A:$A,K$2)&lt;&gt;0,SUMIFS(Sheet2!$E:$E,Sheet2!$C:$C,$A225,Sheet2!$A:$A,K$2),"")</f>
        <v/>
      </c>
      <c r="L225" s="42" t="str">
        <f>IF(SUMIFS(Sheet2!$E:$E,Sheet2!$C:$C,$A225,Sheet2!$A:$A,L$2)&lt;&gt;0,SUMIFS(Sheet2!$E:$E,Sheet2!$C:$C,$A225,Sheet2!$A:$A,L$2),"")</f>
        <v/>
      </c>
      <c r="M225" s="42" t="str">
        <f>IF(SUMIFS(Sheet2!$E:$E,Sheet2!$C:$C,$A225,Sheet2!$A:$A,M$2)&lt;&gt;0,SUMIFS(Sheet2!$E:$E,Sheet2!$C:$C,$A225,Sheet2!$A:$A,M$2),"")</f>
        <v/>
      </c>
      <c r="N225" s="42" t="str">
        <f>IF(SUMIFS(Sheet2!$E:$E,Sheet2!$C:$C,$A225,Sheet2!$A:$A,N$2)&lt;&gt;0,SUMIFS(Sheet2!$E:$E,Sheet2!$C:$C,$A225,Sheet2!$A:$A,N$2),"")</f>
        <v/>
      </c>
      <c r="O225" s="42" t="str">
        <f>IF(SUMIFS(Sheet2!$E:$E,Sheet2!$C:$C,$A225,Sheet2!$A:$A,O$2)&lt;&gt;0,SUMIFS(Sheet2!$E:$E,Sheet2!$C:$C,$A225,Sheet2!$A:$A,O$2),"")</f>
        <v/>
      </c>
      <c r="P225" s="42" t="str">
        <f>IF(SUMIFS(Sheet2!$E:$E,Sheet2!$C:$C,$A225,Sheet2!$A:$A,P$2)&lt;&gt;0,SUMIFS(Sheet2!$E:$E,Sheet2!$C:$C,$A225,Sheet2!$A:$A,P$2),"")</f>
        <v/>
      </c>
      <c r="Q225" s="42" t="str">
        <f>IF(SUMIFS(Sheet2!$E:$E,Sheet2!$C:$C,$A225,Sheet2!$A:$A,Q$2)&lt;&gt;0,SUMIFS(Sheet2!$E:$E,Sheet2!$C:$C,$A225,Sheet2!$A:$A,Q$2),"")</f>
        <v/>
      </c>
      <c r="R225" s="42" t="str">
        <f>IF(SUMIFS(Sheet2!$E:$E,Sheet2!$C:$C,$A225,Sheet2!$A:$A,R$2)&lt;&gt;0,SUMIFS(Sheet2!$E:$E,Sheet2!$C:$C,$A225,Sheet2!$A:$A,R$2),"")</f>
        <v/>
      </c>
      <c r="S225" s="42" t="str">
        <f>IF(SUMIFS(Sheet2!$E:$E,Sheet2!$C:$C,$A225,Sheet2!$A:$A,S$2)&lt;&gt;0,SUMIFS(Sheet2!$E:$E,Sheet2!$C:$C,$A225,Sheet2!$A:$A,S$2),"")</f>
        <v/>
      </c>
      <c r="T225" s="42" t="str">
        <f>IF(SUMIFS(Sheet2!$E:$E,Sheet2!$C:$C,$A225,Sheet2!$A:$A,T$2)&lt;&gt;0,SUMIFS(Sheet2!$E:$E,Sheet2!$C:$C,$A225,Sheet2!$A:$A,T$2),"")</f>
        <v/>
      </c>
      <c r="U225" s="42" t="str">
        <f>IF(SUMIFS(Sheet2!$E:$E,Sheet2!$C:$C,$A225,Sheet2!$A:$A,U$2)&lt;&gt;0,SUMIFS(Sheet2!$E:$E,Sheet2!$C:$C,$A225,Sheet2!$A:$A,U$2),"")</f>
        <v/>
      </c>
      <c r="V225" s="42" t="str">
        <f>IF(SUMIFS(Sheet2!$E:$E,Sheet2!$C:$C,$A225,Sheet2!$A:$A,V$2)&lt;&gt;0,SUMIFS(Sheet2!$E:$E,Sheet2!$C:$C,$A225,Sheet2!$A:$A,V$2),"")</f>
        <v/>
      </c>
      <c r="W225" s="42" t="str">
        <f>IF(SUMIFS(Sheet2!$E:$E,Sheet2!$C:$C,$A225,Sheet2!$A:$A,W$2)&lt;&gt;0,SUMIFS(Sheet2!$E:$E,Sheet2!$C:$C,$A225,Sheet2!$A:$A,W$2),"")</f>
        <v/>
      </c>
      <c r="X225" s="42" t="str">
        <f>IF(SUMIFS(Sheet2!$E:$E,Sheet2!$C:$C,$A225,Sheet2!$A:$A,X$2)&lt;&gt;0,SUMIFS(Sheet2!$E:$E,Sheet2!$C:$C,$A225,Sheet2!$A:$A,X$2),"")</f>
        <v/>
      </c>
      <c r="Y225" s="42" t="str">
        <f>IF(SUMIFS(Sheet2!$E:$E,Sheet2!$C:$C,$A225,Sheet2!$A:$A,Y$2)&lt;&gt;0,SUMIFS(Sheet2!$E:$E,Sheet2!$C:$C,$A225,Sheet2!$A:$A,Y$2),"")</f>
        <v/>
      </c>
      <c r="Z225" s="42" t="str">
        <f>IF(SUMIFS(Sheet2!$E:$E,Sheet2!$C:$C,$A225,Sheet2!$A:$A,Z$2)&lt;&gt;0,SUMIFS(Sheet2!$E:$E,Sheet2!$C:$C,$A225,Sheet2!$A:$A,Z$2),"")</f>
        <v/>
      </c>
      <c r="AA225" s="42" t="str">
        <f>IF(SUMIFS(Sheet2!$E:$E,Sheet2!$C:$C,$A225,Sheet2!$A:$A,AA$2)&lt;&gt;0,SUMIFS(Sheet2!$E:$E,Sheet2!$C:$C,$A225,Sheet2!$A:$A,AA$2),"")</f>
        <v/>
      </c>
      <c r="AB225" s="42" t="str">
        <f>IF(SUMIFS(Sheet2!$E:$E,Sheet2!$C:$C,$A225,Sheet2!$A:$A,AB$2)&lt;&gt;0,SUMIFS(Sheet2!$E:$E,Sheet2!$C:$C,$A225,Sheet2!$A:$A,AB$2),"")</f>
        <v/>
      </c>
      <c r="AC225" s="42" t="str">
        <f>IF(SUMIFS(Sheet2!$E:$E,Sheet2!$C:$C,$A225,Sheet2!$A:$A,AC$2)&lt;&gt;0,SUMIFS(Sheet2!$E:$E,Sheet2!$C:$C,$A225,Sheet2!$A:$A,AC$2),"")</f>
        <v/>
      </c>
      <c r="AD225" s="42" t="str">
        <f>IF(SUMIFS(Sheet2!$E:$E,Sheet2!$C:$C,$A225,Sheet2!$A:$A,AD$2)&lt;&gt;0,SUMIFS(Sheet2!$E:$E,Sheet2!$C:$C,$A225,Sheet2!$A:$A,AD$2),"")</f>
        <v/>
      </c>
      <c r="AE225" s="42" t="str">
        <f>IF(SUMIFS(Sheet2!$E:$E,Sheet2!$C:$C,$A225,Sheet2!$A:$A,AE$2)&lt;&gt;0,SUMIFS(Sheet2!$E:$E,Sheet2!$C:$C,$A225,Sheet2!$A:$A,AE$2),"")</f>
        <v/>
      </c>
      <c r="AF225" s="42" t="str">
        <f>IF(SUMIFS(Sheet2!$E:$E,Sheet2!$C:$C,$A225,Sheet2!$A:$A,AF$2)&lt;&gt;0,SUMIFS(Sheet2!$E:$E,Sheet2!$C:$C,$A225,Sheet2!$A:$A,AF$2),"")</f>
        <v/>
      </c>
      <c r="AG225" s="42" t="str">
        <f>IF(SUMIFS(Sheet2!$E:$E,Sheet2!$C:$C,$A225,Sheet2!$A:$A,AG$2)&lt;&gt;0,SUMIFS(Sheet2!$E:$E,Sheet2!$C:$C,$A225,Sheet2!$A:$A,AG$2),"")</f>
        <v/>
      </c>
      <c r="AH225" s="43">
        <f>SUM(Table2[[#This Row],[1]:[31]])</f>
        <v>0</v>
      </c>
    </row>
    <row r="226" spans="1:34" ht="12.75" customHeight="1">
      <c r="A226" s="76" t="str">
        <f>DSSP!A225</f>
        <v>GC150</v>
      </c>
      <c r="B226" s="25" t="str">
        <f>DSSP!B225</f>
        <v>Lược</v>
      </c>
      <c r="C226" s="42" t="str">
        <f>IF(SUMIFS(Sheet2!$E:$E,Sheet2!$C:$C,$A226,Sheet2!$A:$A,C$2)&lt;&gt;0,SUMIFS(Sheet2!$E:$E,Sheet2!$C:$C,$A226,Sheet2!$A:$A,C$2),"")</f>
        <v/>
      </c>
      <c r="D226" s="42" t="str">
        <f>IF(SUMIFS(Sheet2!$E:$E,Sheet2!$C:$C,$A226,Sheet2!$A:$A,D$2)&lt;&gt;0,SUMIFS(Sheet2!$E:$E,Sheet2!$C:$C,$A226,Sheet2!$A:$A,D$2),"")</f>
        <v/>
      </c>
      <c r="E226" s="42" t="str">
        <f>IF(SUMIFS(Sheet2!$E:$E,Sheet2!$C:$C,$A226,Sheet2!$A:$A,E$2)&lt;&gt;0,SUMIFS(Sheet2!$E:$E,Sheet2!$C:$C,$A226,Sheet2!$A:$A,E$2),"")</f>
        <v/>
      </c>
      <c r="F226" s="42" t="str">
        <f>IF(SUMIFS(Sheet2!$E:$E,Sheet2!$C:$C,$A226,Sheet2!$A:$A,F$2)&lt;&gt;0,SUMIFS(Sheet2!$E:$E,Sheet2!$C:$C,$A226,Sheet2!$A:$A,F$2),"")</f>
        <v/>
      </c>
      <c r="G226" s="42" t="str">
        <f>IF(SUMIFS(Sheet2!$E:$E,Sheet2!$C:$C,$A226,Sheet2!$A:$A,G$2)&lt;&gt;0,SUMIFS(Sheet2!$E:$E,Sheet2!$C:$C,$A226,Sheet2!$A:$A,G$2),"")</f>
        <v/>
      </c>
      <c r="H226" s="42" t="str">
        <f>IF(SUMIFS(Sheet2!$E:$E,Sheet2!$C:$C,$A226,Sheet2!$A:$A,H$2)&lt;&gt;0,SUMIFS(Sheet2!$E:$E,Sheet2!$C:$C,$A226,Sheet2!$A:$A,H$2),"")</f>
        <v/>
      </c>
      <c r="I226" s="42" t="str">
        <f>IF(SUMIFS(Sheet2!$E:$E,Sheet2!$C:$C,$A226,Sheet2!$A:$A,I$2)&lt;&gt;0,SUMIFS(Sheet2!$E:$E,Sheet2!$C:$C,$A226,Sheet2!$A:$A,I$2),"")</f>
        <v/>
      </c>
      <c r="J226" s="42" t="str">
        <f>IF(SUMIFS(Sheet2!$E:$E,Sheet2!$C:$C,$A226,Sheet2!$A:$A,J$2)&lt;&gt;0,SUMIFS(Sheet2!$E:$E,Sheet2!$C:$C,$A226,Sheet2!$A:$A,J$2),"")</f>
        <v/>
      </c>
      <c r="K226" s="42" t="str">
        <f>IF(SUMIFS(Sheet2!$E:$E,Sheet2!$C:$C,$A226,Sheet2!$A:$A,K$2)&lt;&gt;0,SUMIFS(Sheet2!$E:$E,Sheet2!$C:$C,$A226,Sheet2!$A:$A,K$2),"")</f>
        <v/>
      </c>
      <c r="L226" s="42" t="str">
        <f>IF(SUMIFS(Sheet2!$E:$E,Sheet2!$C:$C,$A226,Sheet2!$A:$A,L$2)&lt;&gt;0,SUMIFS(Sheet2!$E:$E,Sheet2!$C:$C,$A226,Sheet2!$A:$A,L$2),"")</f>
        <v/>
      </c>
      <c r="M226" s="42" t="str">
        <f>IF(SUMIFS(Sheet2!$E:$E,Sheet2!$C:$C,$A226,Sheet2!$A:$A,M$2)&lt;&gt;0,SUMIFS(Sheet2!$E:$E,Sheet2!$C:$C,$A226,Sheet2!$A:$A,M$2),"")</f>
        <v/>
      </c>
      <c r="N226" s="42" t="str">
        <f>IF(SUMIFS(Sheet2!$E:$E,Sheet2!$C:$C,$A226,Sheet2!$A:$A,N$2)&lt;&gt;0,SUMIFS(Sheet2!$E:$E,Sheet2!$C:$C,$A226,Sheet2!$A:$A,N$2),"")</f>
        <v/>
      </c>
      <c r="O226" s="42" t="str">
        <f>IF(SUMIFS(Sheet2!$E:$E,Sheet2!$C:$C,$A226,Sheet2!$A:$A,O$2)&lt;&gt;0,SUMIFS(Sheet2!$E:$E,Sheet2!$C:$C,$A226,Sheet2!$A:$A,O$2),"")</f>
        <v/>
      </c>
      <c r="P226" s="42" t="str">
        <f>IF(SUMIFS(Sheet2!$E:$E,Sheet2!$C:$C,$A226,Sheet2!$A:$A,P$2)&lt;&gt;0,SUMIFS(Sheet2!$E:$E,Sheet2!$C:$C,$A226,Sheet2!$A:$A,P$2),"")</f>
        <v/>
      </c>
      <c r="Q226" s="42" t="str">
        <f>IF(SUMIFS(Sheet2!$E:$E,Sheet2!$C:$C,$A226,Sheet2!$A:$A,Q$2)&lt;&gt;0,SUMIFS(Sheet2!$E:$E,Sheet2!$C:$C,$A226,Sheet2!$A:$A,Q$2),"")</f>
        <v/>
      </c>
      <c r="R226" s="42" t="str">
        <f>IF(SUMIFS(Sheet2!$E:$E,Sheet2!$C:$C,$A226,Sheet2!$A:$A,R$2)&lt;&gt;0,SUMIFS(Sheet2!$E:$E,Sheet2!$C:$C,$A226,Sheet2!$A:$A,R$2),"")</f>
        <v/>
      </c>
      <c r="S226" s="42" t="str">
        <f>IF(SUMIFS(Sheet2!$E:$E,Sheet2!$C:$C,$A226,Sheet2!$A:$A,S$2)&lt;&gt;0,SUMIFS(Sheet2!$E:$E,Sheet2!$C:$C,$A226,Sheet2!$A:$A,S$2),"")</f>
        <v/>
      </c>
      <c r="T226" s="42" t="str">
        <f>IF(SUMIFS(Sheet2!$E:$E,Sheet2!$C:$C,$A226,Sheet2!$A:$A,T$2)&lt;&gt;0,SUMIFS(Sheet2!$E:$E,Sheet2!$C:$C,$A226,Sheet2!$A:$A,T$2),"")</f>
        <v/>
      </c>
      <c r="U226" s="42" t="str">
        <f>IF(SUMIFS(Sheet2!$E:$E,Sheet2!$C:$C,$A226,Sheet2!$A:$A,U$2)&lt;&gt;0,SUMIFS(Sheet2!$E:$E,Sheet2!$C:$C,$A226,Sheet2!$A:$A,U$2),"")</f>
        <v/>
      </c>
      <c r="V226" s="42" t="str">
        <f>IF(SUMIFS(Sheet2!$E:$E,Sheet2!$C:$C,$A226,Sheet2!$A:$A,V$2)&lt;&gt;0,SUMIFS(Sheet2!$E:$E,Sheet2!$C:$C,$A226,Sheet2!$A:$A,V$2),"")</f>
        <v/>
      </c>
      <c r="W226" s="42" t="str">
        <f>IF(SUMIFS(Sheet2!$E:$E,Sheet2!$C:$C,$A226,Sheet2!$A:$A,W$2)&lt;&gt;0,SUMIFS(Sheet2!$E:$E,Sheet2!$C:$C,$A226,Sheet2!$A:$A,W$2),"")</f>
        <v/>
      </c>
      <c r="X226" s="42" t="str">
        <f>IF(SUMIFS(Sheet2!$E:$E,Sheet2!$C:$C,$A226,Sheet2!$A:$A,X$2)&lt;&gt;0,SUMIFS(Sheet2!$E:$E,Sheet2!$C:$C,$A226,Sheet2!$A:$A,X$2),"")</f>
        <v/>
      </c>
      <c r="Y226" s="42" t="str">
        <f>IF(SUMIFS(Sheet2!$E:$E,Sheet2!$C:$C,$A226,Sheet2!$A:$A,Y$2)&lt;&gt;0,SUMIFS(Sheet2!$E:$E,Sheet2!$C:$C,$A226,Sheet2!$A:$A,Y$2),"")</f>
        <v/>
      </c>
      <c r="Z226" s="42" t="str">
        <f>IF(SUMIFS(Sheet2!$E:$E,Sheet2!$C:$C,$A226,Sheet2!$A:$A,Z$2)&lt;&gt;0,SUMIFS(Sheet2!$E:$E,Sheet2!$C:$C,$A226,Sheet2!$A:$A,Z$2),"")</f>
        <v/>
      </c>
      <c r="AA226" s="42" t="str">
        <f>IF(SUMIFS(Sheet2!$E:$E,Sheet2!$C:$C,$A226,Sheet2!$A:$A,AA$2)&lt;&gt;0,SUMIFS(Sheet2!$E:$E,Sheet2!$C:$C,$A226,Sheet2!$A:$A,AA$2),"")</f>
        <v/>
      </c>
      <c r="AB226" s="42" t="str">
        <f>IF(SUMIFS(Sheet2!$E:$E,Sheet2!$C:$C,$A226,Sheet2!$A:$A,AB$2)&lt;&gt;0,SUMIFS(Sheet2!$E:$E,Sheet2!$C:$C,$A226,Sheet2!$A:$A,AB$2),"")</f>
        <v/>
      </c>
      <c r="AC226" s="42" t="str">
        <f>IF(SUMIFS(Sheet2!$E:$E,Sheet2!$C:$C,$A226,Sheet2!$A:$A,AC$2)&lt;&gt;0,SUMIFS(Sheet2!$E:$E,Sheet2!$C:$C,$A226,Sheet2!$A:$A,AC$2),"")</f>
        <v/>
      </c>
      <c r="AD226" s="42" t="str">
        <f>IF(SUMIFS(Sheet2!$E:$E,Sheet2!$C:$C,$A226,Sheet2!$A:$A,AD$2)&lt;&gt;0,SUMIFS(Sheet2!$E:$E,Sheet2!$C:$C,$A226,Sheet2!$A:$A,AD$2),"")</f>
        <v/>
      </c>
      <c r="AE226" s="42" t="str">
        <f>IF(SUMIFS(Sheet2!$E:$E,Sheet2!$C:$C,$A226,Sheet2!$A:$A,AE$2)&lt;&gt;0,SUMIFS(Sheet2!$E:$E,Sheet2!$C:$C,$A226,Sheet2!$A:$A,AE$2),"")</f>
        <v/>
      </c>
      <c r="AF226" s="42" t="str">
        <f>IF(SUMIFS(Sheet2!$E:$E,Sheet2!$C:$C,$A226,Sheet2!$A:$A,AF$2)&lt;&gt;0,SUMIFS(Sheet2!$E:$E,Sheet2!$C:$C,$A226,Sheet2!$A:$A,AF$2),"")</f>
        <v/>
      </c>
      <c r="AG226" s="42" t="str">
        <f>IF(SUMIFS(Sheet2!$E:$E,Sheet2!$C:$C,$A226,Sheet2!$A:$A,AG$2)&lt;&gt;0,SUMIFS(Sheet2!$E:$E,Sheet2!$C:$C,$A226,Sheet2!$A:$A,AG$2),"")</f>
        <v/>
      </c>
      <c r="AH226" s="43">
        <f>SUM(Table2[[#This Row],[1]:[31]])</f>
        <v>0</v>
      </c>
    </row>
    <row r="227" spans="1:34" ht="12.75" customHeight="1">
      <c r="A227" s="76" t="str">
        <f>DSSP!A226</f>
        <v>GC151</v>
      </c>
      <c r="B227" s="25" t="str">
        <f>DSSP!B226</f>
        <v>Quạt</v>
      </c>
      <c r="C227" s="42" t="str">
        <f>IF(SUMIFS(Sheet2!$E:$E,Sheet2!$C:$C,$A227,Sheet2!$A:$A,C$2)&lt;&gt;0,SUMIFS(Sheet2!$E:$E,Sheet2!$C:$C,$A227,Sheet2!$A:$A,C$2),"")</f>
        <v/>
      </c>
      <c r="D227" s="42" t="str">
        <f>IF(SUMIFS(Sheet2!$E:$E,Sheet2!$C:$C,$A227,Sheet2!$A:$A,D$2)&lt;&gt;0,SUMIFS(Sheet2!$E:$E,Sheet2!$C:$C,$A227,Sheet2!$A:$A,D$2),"")</f>
        <v/>
      </c>
      <c r="E227" s="42" t="str">
        <f>IF(SUMIFS(Sheet2!$E:$E,Sheet2!$C:$C,$A227,Sheet2!$A:$A,E$2)&lt;&gt;0,SUMIFS(Sheet2!$E:$E,Sheet2!$C:$C,$A227,Sheet2!$A:$A,E$2),"")</f>
        <v/>
      </c>
      <c r="F227" s="42" t="str">
        <f>IF(SUMIFS(Sheet2!$E:$E,Sheet2!$C:$C,$A227,Sheet2!$A:$A,F$2)&lt;&gt;0,SUMIFS(Sheet2!$E:$E,Sheet2!$C:$C,$A227,Sheet2!$A:$A,F$2),"")</f>
        <v/>
      </c>
      <c r="G227" s="42" t="str">
        <f>IF(SUMIFS(Sheet2!$E:$E,Sheet2!$C:$C,$A227,Sheet2!$A:$A,G$2)&lt;&gt;0,SUMIFS(Sheet2!$E:$E,Sheet2!$C:$C,$A227,Sheet2!$A:$A,G$2),"")</f>
        <v/>
      </c>
      <c r="H227" s="42" t="str">
        <f>IF(SUMIFS(Sheet2!$E:$E,Sheet2!$C:$C,$A227,Sheet2!$A:$A,H$2)&lt;&gt;0,SUMIFS(Sheet2!$E:$E,Sheet2!$C:$C,$A227,Sheet2!$A:$A,H$2),"")</f>
        <v/>
      </c>
      <c r="I227" s="42" t="str">
        <f>IF(SUMIFS(Sheet2!$E:$E,Sheet2!$C:$C,$A227,Sheet2!$A:$A,I$2)&lt;&gt;0,SUMIFS(Sheet2!$E:$E,Sheet2!$C:$C,$A227,Sheet2!$A:$A,I$2),"")</f>
        <v/>
      </c>
      <c r="J227" s="42" t="str">
        <f>IF(SUMIFS(Sheet2!$E:$E,Sheet2!$C:$C,$A227,Sheet2!$A:$A,J$2)&lt;&gt;0,SUMIFS(Sheet2!$E:$E,Sheet2!$C:$C,$A227,Sheet2!$A:$A,J$2),"")</f>
        <v/>
      </c>
      <c r="K227" s="42" t="str">
        <f>IF(SUMIFS(Sheet2!$E:$E,Sheet2!$C:$C,$A227,Sheet2!$A:$A,K$2)&lt;&gt;0,SUMIFS(Sheet2!$E:$E,Sheet2!$C:$C,$A227,Sheet2!$A:$A,K$2),"")</f>
        <v/>
      </c>
      <c r="L227" s="42" t="str">
        <f>IF(SUMIFS(Sheet2!$E:$E,Sheet2!$C:$C,$A227,Sheet2!$A:$A,L$2)&lt;&gt;0,SUMIFS(Sheet2!$E:$E,Sheet2!$C:$C,$A227,Sheet2!$A:$A,L$2),"")</f>
        <v/>
      </c>
      <c r="M227" s="42" t="str">
        <f>IF(SUMIFS(Sheet2!$E:$E,Sheet2!$C:$C,$A227,Sheet2!$A:$A,M$2)&lt;&gt;0,SUMIFS(Sheet2!$E:$E,Sheet2!$C:$C,$A227,Sheet2!$A:$A,M$2),"")</f>
        <v/>
      </c>
      <c r="N227" s="42" t="str">
        <f>IF(SUMIFS(Sheet2!$E:$E,Sheet2!$C:$C,$A227,Sheet2!$A:$A,N$2)&lt;&gt;0,SUMIFS(Sheet2!$E:$E,Sheet2!$C:$C,$A227,Sheet2!$A:$A,N$2),"")</f>
        <v/>
      </c>
      <c r="O227" s="42" t="str">
        <f>IF(SUMIFS(Sheet2!$E:$E,Sheet2!$C:$C,$A227,Sheet2!$A:$A,O$2)&lt;&gt;0,SUMIFS(Sheet2!$E:$E,Sheet2!$C:$C,$A227,Sheet2!$A:$A,O$2),"")</f>
        <v/>
      </c>
      <c r="P227" s="42" t="str">
        <f>IF(SUMIFS(Sheet2!$E:$E,Sheet2!$C:$C,$A227,Sheet2!$A:$A,P$2)&lt;&gt;0,SUMIFS(Sheet2!$E:$E,Sheet2!$C:$C,$A227,Sheet2!$A:$A,P$2),"")</f>
        <v/>
      </c>
      <c r="Q227" s="42" t="str">
        <f>IF(SUMIFS(Sheet2!$E:$E,Sheet2!$C:$C,$A227,Sheet2!$A:$A,Q$2)&lt;&gt;0,SUMIFS(Sheet2!$E:$E,Sheet2!$C:$C,$A227,Sheet2!$A:$A,Q$2),"")</f>
        <v/>
      </c>
      <c r="R227" s="42" t="str">
        <f>IF(SUMIFS(Sheet2!$E:$E,Sheet2!$C:$C,$A227,Sheet2!$A:$A,R$2)&lt;&gt;0,SUMIFS(Sheet2!$E:$E,Sheet2!$C:$C,$A227,Sheet2!$A:$A,R$2),"")</f>
        <v/>
      </c>
      <c r="S227" s="42" t="str">
        <f>IF(SUMIFS(Sheet2!$E:$E,Sheet2!$C:$C,$A227,Sheet2!$A:$A,S$2)&lt;&gt;0,SUMIFS(Sheet2!$E:$E,Sheet2!$C:$C,$A227,Sheet2!$A:$A,S$2),"")</f>
        <v/>
      </c>
      <c r="T227" s="42" t="str">
        <f>IF(SUMIFS(Sheet2!$E:$E,Sheet2!$C:$C,$A227,Sheet2!$A:$A,T$2)&lt;&gt;0,SUMIFS(Sheet2!$E:$E,Sheet2!$C:$C,$A227,Sheet2!$A:$A,T$2),"")</f>
        <v/>
      </c>
      <c r="U227" s="42" t="str">
        <f>IF(SUMIFS(Sheet2!$E:$E,Sheet2!$C:$C,$A227,Sheet2!$A:$A,U$2)&lt;&gt;0,SUMIFS(Sheet2!$E:$E,Sheet2!$C:$C,$A227,Sheet2!$A:$A,U$2),"")</f>
        <v/>
      </c>
      <c r="V227" s="42" t="str">
        <f>IF(SUMIFS(Sheet2!$E:$E,Sheet2!$C:$C,$A227,Sheet2!$A:$A,V$2)&lt;&gt;0,SUMIFS(Sheet2!$E:$E,Sheet2!$C:$C,$A227,Sheet2!$A:$A,V$2),"")</f>
        <v/>
      </c>
      <c r="W227" s="42" t="str">
        <f>IF(SUMIFS(Sheet2!$E:$E,Sheet2!$C:$C,$A227,Sheet2!$A:$A,W$2)&lt;&gt;0,SUMIFS(Sheet2!$E:$E,Sheet2!$C:$C,$A227,Sheet2!$A:$A,W$2),"")</f>
        <v/>
      </c>
      <c r="X227" s="42" t="str">
        <f>IF(SUMIFS(Sheet2!$E:$E,Sheet2!$C:$C,$A227,Sheet2!$A:$A,X$2)&lt;&gt;0,SUMIFS(Sheet2!$E:$E,Sheet2!$C:$C,$A227,Sheet2!$A:$A,X$2),"")</f>
        <v/>
      </c>
      <c r="Y227" s="42" t="str">
        <f>IF(SUMIFS(Sheet2!$E:$E,Sheet2!$C:$C,$A227,Sheet2!$A:$A,Y$2)&lt;&gt;0,SUMIFS(Sheet2!$E:$E,Sheet2!$C:$C,$A227,Sheet2!$A:$A,Y$2),"")</f>
        <v/>
      </c>
      <c r="Z227" s="42" t="str">
        <f>IF(SUMIFS(Sheet2!$E:$E,Sheet2!$C:$C,$A227,Sheet2!$A:$A,Z$2)&lt;&gt;0,SUMIFS(Sheet2!$E:$E,Sheet2!$C:$C,$A227,Sheet2!$A:$A,Z$2),"")</f>
        <v/>
      </c>
      <c r="AA227" s="42" t="str">
        <f>IF(SUMIFS(Sheet2!$E:$E,Sheet2!$C:$C,$A227,Sheet2!$A:$A,AA$2)&lt;&gt;0,SUMIFS(Sheet2!$E:$E,Sheet2!$C:$C,$A227,Sheet2!$A:$A,AA$2),"")</f>
        <v/>
      </c>
      <c r="AB227" s="42" t="str">
        <f>IF(SUMIFS(Sheet2!$E:$E,Sheet2!$C:$C,$A227,Sheet2!$A:$A,AB$2)&lt;&gt;0,SUMIFS(Sheet2!$E:$E,Sheet2!$C:$C,$A227,Sheet2!$A:$A,AB$2),"")</f>
        <v/>
      </c>
      <c r="AC227" s="42" t="str">
        <f>IF(SUMIFS(Sheet2!$E:$E,Sheet2!$C:$C,$A227,Sheet2!$A:$A,AC$2)&lt;&gt;0,SUMIFS(Sheet2!$E:$E,Sheet2!$C:$C,$A227,Sheet2!$A:$A,AC$2),"")</f>
        <v/>
      </c>
      <c r="AD227" s="42" t="str">
        <f>IF(SUMIFS(Sheet2!$E:$E,Sheet2!$C:$C,$A227,Sheet2!$A:$A,AD$2)&lt;&gt;0,SUMIFS(Sheet2!$E:$E,Sheet2!$C:$C,$A227,Sheet2!$A:$A,AD$2),"")</f>
        <v/>
      </c>
      <c r="AE227" s="42" t="str">
        <f>IF(SUMIFS(Sheet2!$E:$E,Sheet2!$C:$C,$A227,Sheet2!$A:$A,AE$2)&lt;&gt;0,SUMIFS(Sheet2!$E:$E,Sheet2!$C:$C,$A227,Sheet2!$A:$A,AE$2),"")</f>
        <v/>
      </c>
      <c r="AF227" s="42" t="str">
        <f>IF(SUMIFS(Sheet2!$E:$E,Sheet2!$C:$C,$A227,Sheet2!$A:$A,AF$2)&lt;&gt;0,SUMIFS(Sheet2!$E:$E,Sheet2!$C:$C,$A227,Sheet2!$A:$A,AF$2),"")</f>
        <v/>
      </c>
      <c r="AG227" s="42" t="str">
        <f>IF(SUMIFS(Sheet2!$E:$E,Sheet2!$C:$C,$A227,Sheet2!$A:$A,AG$2)&lt;&gt;0,SUMIFS(Sheet2!$E:$E,Sheet2!$C:$C,$A227,Sheet2!$A:$A,AG$2),"")</f>
        <v/>
      </c>
      <c r="AH227" s="43">
        <f>SUM(Table2[[#This Row],[1]:[31]])</f>
        <v>0</v>
      </c>
    </row>
    <row r="228" spans="1:34" ht="12.75" customHeight="1">
      <c r="A228" s="76" t="str">
        <f>DSSP!A227</f>
        <v>GC152</v>
      </c>
      <c r="B228" s="25" t="str">
        <f>DSSP!B227</f>
        <v>Điện thoại bàn</v>
      </c>
      <c r="C228" s="42" t="str">
        <f>IF(SUMIFS(Sheet2!$E:$E,Sheet2!$C:$C,$A228,Sheet2!$A:$A,C$2)&lt;&gt;0,SUMIFS(Sheet2!$E:$E,Sheet2!$C:$C,$A228,Sheet2!$A:$A,C$2),"")</f>
        <v/>
      </c>
      <c r="D228" s="42" t="str">
        <f>IF(SUMIFS(Sheet2!$E:$E,Sheet2!$C:$C,$A228,Sheet2!$A:$A,D$2)&lt;&gt;0,SUMIFS(Sheet2!$E:$E,Sheet2!$C:$C,$A228,Sheet2!$A:$A,D$2),"")</f>
        <v/>
      </c>
      <c r="E228" s="42" t="str">
        <f>IF(SUMIFS(Sheet2!$E:$E,Sheet2!$C:$C,$A228,Sheet2!$A:$A,E$2)&lt;&gt;0,SUMIFS(Sheet2!$E:$E,Sheet2!$C:$C,$A228,Sheet2!$A:$A,E$2),"")</f>
        <v/>
      </c>
      <c r="F228" s="42" t="str">
        <f>IF(SUMIFS(Sheet2!$E:$E,Sheet2!$C:$C,$A228,Sheet2!$A:$A,F$2)&lt;&gt;0,SUMIFS(Sheet2!$E:$E,Sheet2!$C:$C,$A228,Sheet2!$A:$A,F$2),"")</f>
        <v/>
      </c>
      <c r="G228" s="42" t="str">
        <f>IF(SUMIFS(Sheet2!$E:$E,Sheet2!$C:$C,$A228,Sheet2!$A:$A,G$2)&lt;&gt;0,SUMIFS(Sheet2!$E:$E,Sheet2!$C:$C,$A228,Sheet2!$A:$A,G$2),"")</f>
        <v/>
      </c>
      <c r="H228" s="42" t="str">
        <f>IF(SUMIFS(Sheet2!$E:$E,Sheet2!$C:$C,$A228,Sheet2!$A:$A,H$2)&lt;&gt;0,SUMIFS(Sheet2!$E:$E,Sheet2!$C:$C,$A228,Sheet2!$A:$A,H$2),"")</f>
        <v/>
      </c>
      <c r="I228" s="42" t="str">
        <f>IF(SUMIFS(Sheet2!$E:$E,Sheet2!$C:$C,$A228,Sheet2!$A:$A,I$2)&lt;&gt;0,SUMIFS(Sheet2!$E:$E,Sheet2!$C:$C,$A228,Sheet2!$A:$A,I$2),"")</f>
        <v/>
      </c>
      <c r="J228" s="42" t="str">
        <f>IF(SUMIFS(Sheet2!$E:$E,Sheet2!$C:$C,$A228,Sheet2!$A:$A,J$2)&lt;&gt;0,SUMIFS(Sheet2!$E:$E,Sheet2!$C:$C,$A228,Sheet2!$A:$A,J$2),"")</f>
        <v/>
      </c>
      <c r="K228" s="42" t="str">
        <f>IF(SUMIFS(Sheet2!$E:$E,Sheet2!$C:$C,$A228,Sheet2!$A:$A,K$2)&lt;&gt;0,SUMIFS(Sheet2!$E:$E,Sheet2!$C:$C,$A228,Sheet2!$A:$A,K$2),"")</f>
        <v/>
      </c>
      <c r="L228" s="42" t="str">
        <f>IF(SUMIFS(Sheet2!$E:$E,Sheet2!$C:$C,$A228,Sheet2!$A:$A,L$2)&lt;&gt;0,SUMIFS(Sheet2!$E:$E,Sheet2!$C:$C,$A228,Sheet2!$A:$A,L$2),"")</f>
        <v/>
      </c>
      <c r="M228" s="42" t="str">
        <f>IF(SUMIFS(Sheet2!$E:$E,Sheet2!$C:$C,$A228,Sheet2!$A:$A,M$2)&lt;&gt;0,SUMIFS(Sheet2!$E:$E,Sheet2!$C:$C,$A228,Sheet2!$A:$A,M$2),"")</f>
        <v/>
      </c>
      <c r="N228" s="42" t="str">
        <f>IF(SUMIFS(Sheet2!$E:$E,Sheet2!$C:$C,$A228,Sheet2!$A:$A,N$2)&lt;&gt;0,SUMIFS(Sheet2!$E:$E,Sheet2!$C:$C,$A228,Sheet2!$A:$A,N$2),"")</f>
        <v/>
      </c>
      <c r="O228" s="42" t="str">
        <f>IF(SUMIFS(Sheet2!$E:$E,Sheet2!$C:$C,$A228,Sheet2!$A:$A,O$2)&lt;&gt;0,SUMIFS(Sheet2!$E:$E,Sheet2!$C:$C,$A228,Sheet2!$A:$A,O$2),"")</f>
        <v/>
      </c>
      <c r="P228" s="42" t="str">
        <f>IF(SUMIFS(Sheet2!$E:$E,Sheet2!$C:$C,$A228,Sheet2!$A:$A,P$2)&lt;&gt;0,SUMIFS(Sheet2!$E:$E,Sheet2!$C:$C,$A228,Sheet2!$A:$A,P$2),"")</f>
        <v/>
      </c>
      <c r="Q228" s="42" t="str">
        <f>IF(SUMIFS(Sheet2!$E:$E,Sheet2!$C:$C,$A228,Sheet2!$A:$A,Q$2)&lt;&gt;0,SUMIFS(Sheet2!$E:$E,Sheet2!$C:$C,$A228,Sheet2!$A:$A,Q$2),"")</f>
        <v/>
      </c>
      <c r="R228" s="42" t="str">
        <f>IF(SUMIFS(Sheet2!$E:$E,Sheet2!$C:$C,$A228,Sheet2!$A:$A,R$2)&lt;&gt;0,SUMIFS(Sheet2!$E:$E,Sheet2!$C:$C,$A228,Sheet2!$A:$A,R$2),"")</f>
        <v/>
      </c>
      <c r="S228" s="42" t="str">
        <f>IF(SUMIFS(Sheet2!$E:$E,Sheet2!$C:$C,$A228,Sheet2!$A:$A,S$2)&lt;&gt;0,SUMIFS(Sheet2!$E:$E,Sheet2!$C:$C,$A228,Sheet2!$A:$A,S$2),"")</f>
        <v/>
      </c>
      <c r="T228" s="42" t="str">
        <f>IF(SUMIFS(Sheet2!$E:$E,Sheet2!$C:$C,$A228,Sheet2!$A:$A,T$2)&lt;&gt;0,SUMIFS(Sheet2!$E:$E,Sheet2!$C:$C,$A228,Sheet2!$A:$A,T$2),"")</f>
        <v/>
      </c>
      <c r="U228" s="42" t="str">
        <f>IF(SUMIFS(Sheet2!$E:$E,Sheet2!$C:$C,$A228,Sheet2!$A:$A,U$2)&lt;&gt;0,SUMIFS(Sheet2!$E:$E,Sheet2!$C:$C,$A228,Sheet2!$A:$A,U$2),"")</f>
        <v/>
      </c>
      <c r="V228" s="42" t="str">
        <f>IF(SUMIFS(Sheet2!$E:$E,Sheet2!$C:$C,$A228,Sheet2!$A:$A,V$2)&lt;&gt;0,SUMIFS(Sheet2!$E:$E,Sheet2!$C:$C,$A228,Sheet2!$A:$A,V$2),"")</f>
        <v/>
      </c>
      <c r="W228" s="42" t="str">
        <f>IF(SUMIFS(Sheet2!$E:$E,Sheet2!$C:$C,$A228,Sheet2!$A:$A,W$2)&lt;&gt;0,SUMIFS(Sheet2!$E:$E,Sheet2!$C:$C,$A228,Sheet2!$A:$A,W$2),"")</f>
        <v/>
      </c>
      <c r="X228" s="42" t="str">
        <f>IF(SUMIFS(Sheet2!$E:$E,Sheet2!$C:$C,$A228,Sheet2!$A:$A,X$2)&lt;&gt;0,SUMIFS(Sheet2!$E:$E,Sheet2!$C:$C,$A228,Sheet2!$A:$A,X$2),"")</f>
        <v/>
      </c>
      <c r="Y228" s="42" t="str">
        <f>IF(SUMIFS(Sheet2!$E:$E,Sheet2!$C:$C,$A228,Sheet2!$A:$A,Y$2)&lt;&gt;0,SUMIFS(Sheet2!$E:$E,Sheet2!$C:$C,$A228,Sheet2!$A:$A,Y$2),"")</f>
        <v/>
      </c>
      <c r="Z228" s="42" t="str">
        <f>IF(SUMIFS(Sheet2!$E:$E,Sheet2!$C:$C,$A228,Sheet2!$A:$A,Z$2)&lt;&gt;0,SUMIFS(Sheet2!$E:$E,Sheet2!$C:$C,$A228,Sheet2!$A:$A,Z$2),"")</f>
        <v/>
      </c>
      <c r="AA228" s="42" t="str">
        <f>IF(SUMIFS(Sheet2!$E:$E,Sheet2!$C:$C,$A228,Sheet2!$A:$A,AA$2)&lt;&gt;0,SUMIFS(Sheet2!$E:$E,Sheet2!$C:$C,$A228,Sheet2!$A:$A,AA$2),"")</f>
        <v/>
      </c>
      <c r="AB228" s="42" t="str">
        <f>IF(SUMIFS(Sheet2!$E:$E,Sheet2!$C:$C,$A228,Sheet2!$A:$A,AB$2)&lt;&gt;0,SUMIFS(Sheet2!$E:$E,Sheet2!$C:$C,$A228,Sheet2!$A:$A,AB$2),"")</f>
        <v/>
      </c>
      <c r="AC228" s="42" t="str">
        <f>IF(SUMIFS(Sheet2!$E:$E,Sheet2!$C:$C,$A228,Sheet2!$A:$A,AC$2)&lt;&gt;0,SUMIFS(Sheet2!$E:$E,Sheet2!$C:$C,$A228,Sheet2!$A:$A,AC$2),"")</f>
        <v/>
      </c>
      <c r="AD228" s="42" t="str">
        <f>IF(SUMIFS(Sheet2!$E:$E,Sheet2!$C:$C,$A228,Sheet2!$A:$A,AD$2)&lt;&gt;0,SUMIFS(Sheet2!$E:$E,Sheet2!$C:$C,$A228,Sheet2!$A:$A,AD$2),"")</f>
        <v/>
      </c>
      <c r="AE228" s="42" t="str">
        <f>IF(SUMIFS(Sheet2!$E:$E,Sheet2!$C:$C,$A228,Sheet2!$A:$A,AE$2)&lt;&gt;0,SUMIFS(Sheet2!$E:$E,Sheet2!$C:$C,$A228,Sheet2!$A:$A,AE$2),"")</f>
        <v/>
      </c>
      <c r="AF228" s="42" t="str">
        <f>IF(SUMIFS(Sheet2!$E:$E,Sheet2!$C:$C,$A228,Sheet2!$A:$A,AF$2)&lt;&gt;0,SUMIFS(Sheet2!$E:$E,Sheet2!$C:$C,$A228,Sheet2!$A:$A,AF$2),"")</f>
        <v/>
      </c>
      <c r="AG228" s="42" t="str">
        <f>IF(SUMIFS(Sheet2!$E:$E,Sheet2!$C:$C,$A228,Sheet2!$A:$A,AG$2)&lt;&gt;0,SUMIFS(Sheet2!$E:$E,Sheet2!$C:$C,$A228,Sheet2!$A:$A,AG$2),"")</f>
        <v/>
      </c>
      <c r="AH228" s="43">
        <f>SUM(Table2[[#This Row],[1]:[31]])</f>
        <v>0</v>
      </c>
    </row>
    <row r="229" spans="1:34" ht="12.75" customHeight="1">
      <c r="A229" s="76" t="str">
        <f>DSSP!A228</f>
        <v>GC153</v>
      </c>
      <c r="B229" s="25" t="str">
        <f>DSSP!B228</f>
        <v>Nấm</v>
      </c>
      <c r="C229" s="42" t="str">
        <f>IF(SUMIFS(Sheet2!$E:$E,Sheet2!$C:$C,$A229,Sheet2!$A:$A,C$2)&lt;&gt;0,SUMIFS(Sheet2!$E:$E,Sheet2!$C:$C,$A229,Sheet2!$A:$A,C$2),"")</f>
        <v/>
      </c>
      <c r="D229" s="42" t="str">
        <f>IF(SUMIFS(Sheet2!$E:$E,Sheet2!$C:$C,$A229,Sheet2!$A:$A,D$2)&lt;&gt;0,SUMIFS(Sheet2!$E:$E,Sheet2!$C:$C,$A229,Sheet2!$A:$A,D$2),"")</f>
        <v/>
      </c>
      <c r="E229" s="42" t="str">
        <f>IF(SUMIFS(Sheet2!$E:$E,Sheet2!$C:$C,$A229,Sheet2!$A:$A,E$2)&lt;&gt;0,SUMIFS(Sheet2!$E:$E,Sheet2!$C:$C,$A229,Sheet2!$A:$A,E$2),"")</f>
        <v/>
      </c>
      <c r="F229" s="42" t="str">
        <f>IF(SUMIFS(Sheet2!$E:$E,Sheet2!$C:$C,$A229,Sheet2!$A:$A,F$2)&lt;&gt;0,SUMIFS(Sheet2!$E:$E,Sheet2!$C:$C,$A229,Sheet2!$A:$A,F$2),"")</f>
        <v/>
      </c>
      <c r="G229" s="42" t="str">
        <f>IF(SUMIFS(Sheet2!$E:$E,Sheet2!$C:$C,$A229,Sheet2!$A:$A,G$2)&lt;&gt;0,SUMIFS(Sheet2!$E:$E,Sheet2!$C:$C,$A229,Sheet2!$A:$A,G$2),"")</f>
        <v/>
      </c>
      <c r="H229" s="42" t="str">
        <f>IF(SUMIFS(Sheet2!$E:$E,Sheet2!$C:$C,$A229,Sheet2!$A:$A,H$2)&lt;&gt;0,SUMIFS(Sheet2!$E:$E,Sheet2!$C:$C,$A229,Sheet2!$A:$A,H$2),"")</f>
        <v/>
      </c>
      <c r="I229" s="42" t="str">
        <f>IF(SUMIFS(Sheet2!$E:$E,Sheet2!$C:$C,$A229,Sheet2!$A:$A,I$2)&lt;&gt;0,SUMIFS(Sheet2!$E:$E,Sheet2!$C:$C,$A229,Sheet2!$A:$A,I$2),"")</f>
        <v/>
      </c>
      <c r="J229" s="42" t="str">
        <f>IF(SUMIFS(Sheet2!$E:$E,Sheet2!$C:$C,$A229,Sheet2!$A:$A,J$2)&lt;&gt;0,SUMIFS(Sheet2!$E:$E,Sheet2!$C:$C,$A229,Sheet2!$A:$A,J$2),"")</f>
        <v/>
      </c>
      <c r="K229" s="42" t="str">
        <f>IF(SUMIFS(Sheet2!$E:$E,Sheet2!$C:$C,$A229,Sheet2!$A:$A,K$2)&lt;&gt;0,SUMIFS(Sheet2!$E:$E,Sheet2!$C:$C,$A229,Sheet2!$A:$A,K$2),"")</f>
        <v/>
      </c>
      <c r="L229" s="42" t="str">
        <f>IF(SUMIFS(Sheet2!$E:$E,Sheet2!$C:$C,$A229,Sheet2!$A:$A,L$2)&lt;&gt;0,SUMIFS(Sheet2!$E:$E,Sheet2!$C:$C,$A229,Sheet2!$A:$A,L$2),"")</f>
        <v/>
      </c>
      <c r="M229" s="42" t="str">
        <f>IF(SUMIFS(Sheet2!$E:$E,Sheet2!$C:$C,$A229,Sheet2!$A:$A,M$2)&lt;&gt;0,SUMIFS(Sheet2!$E:$E,Sheet2!$C:$C,$A229,Sheet2!$A:$A,M$2),"")</f>
        <v/>
      </c>
      <c r="N229" s="42" t="str">
        <f>IF(SUMIFS(Sheet2!$E:$E,Sheet2!$C:$C,$A229,Sheet2!$A:$A,N$2)&lt;&gt;0,SUMIFS(Sheet2!$E:$E,Sheet2!$C:$C,$A229,Sheet2!$A:$A,N$2),"")</f>
        <v/>
      </c>
      <c r="O229" s="42" t="str">
        <f>IF(SUMIFS(Sheet2!$E:$E,Sheet2!$C:$C,$A229,Sheet2!$A:$A,O$2)&lt;&gt;0,SUMIFS(Sheet2!$E:$E,Sheet2!$C:$C,$A229,Sheet2!$A:$A,O$2),"")</f>
        <v/>
      </c>
      <c r="P229" s="42" t="str">
        <f>IF(SUMIFS(Sheet2!$E:$E,Sheet2!$C:$C,$A229,Sheet2!$A:$A,P$2)&lt;&gt;0,SUMIFS(Sheet2!$E:$E,Sheet2!$C:$C,$A229,Sheet2!$A:$A,P$2),"")</f>
        <v/>
      </c>
      <c r="Q229" s="42" t="str">
        <f>IF(SUMIFS(Sheet2!$E:$E,Sheet2!$C:$C,$A229,Sheet2!$A:$A,Q$2)&lt;&gt;0,SUMIFS(Sheet2!$E:$E,Sheet2!$C:$C,$A229,Sheet2!$A:$A,Q$2),"")</f>
        <v/>
      </c>
      <c r="R229" s="42" t="str">
        <f>IF(SUMIFS(Sheet2!$E:$E,Sheet2!$C:$C,$A229,Sheet2!$A:$A,R$2)&lt;&gt;0,SUMIFS(Sheet2!$E:$E,Sheet2!$C:$C,$A229,Sheet2!$A:$A,R$2),"")</f>
        <v/>
      </c>
      <c r="S229" s="42" t="str">
        <f>IF(SUMIFS(Sheet2!$E:$E,Sheet2!$C:$C,$A229,Sheet2!$A:$A,S$2)&lt;&gt;0,SUMIFS(Sheet2!$E:$E,Sheet2!$C:$C,$A229,Sheet2!$A:$A,S$2),"")</f>
        <v/>
      </c>
      <c r="T229" s="42" t="str">
        <f>IF(SUMIFS(Sheet2!$E:$E,Sheet2!$C:$C,$A229,Sheet2!$A:$A,T$2)&lt;&gt;0,SUMIFS(Sheet2!$E:$E,Sheet2!$C:$C,$A229,Sheet2!$A:$A,T$2),"")</f>
        <v/>
      </c>
      <c r="U229" s="42" t="str">
        <f>IF(SUMIFS(Sheet2!$E:$E,Sheet2!$C:$C,$A229,Sheet2!$A:$A,U$2)&lt;&gt;0,SUMIFS(Sheet2!$E:$E,Sheet2!$C:$C,$A229,Sheet2!$A:$A,U$2),"")</f>
        <v/>
      </c>
      <c r="V229" s="42" t="str">
        <f>IF(SUMIFS(Sheet2!$E:$E,Sheet2!$C:$C,$A229,Sheet2!$A:$A,V$2)&lt;&gt;0,SUMIFS(Sheet2!$E:$E,Sheet2!$C:$C,$A229,Sheet2!$A:$A,V$2),"")</f>
        <v/>
      </c>
      <c r="W229" s="42" t="str">
        <f>IF(SUMIFS(Sheet2!$E:$E,Sheet2!$C:$C,$A229,Sheet2!$A:$A,W$2)&lt;&gt;0,SUMIFS(Sheet2!$E:$E,Sheet2!$C:$C,$A229,Sheet2!$A:$A,W$2),"")</f>
        <v/>
      </c>
      <c r="X229" s="42" t="str">
        <f>IF(SUMIFS(Sheet2!$E:$E,Sheet2!$C:$C,$A229,Sheet2!$A:$A,X$2)&lt;&gt;0,SUMIFS(Sheet2!$E:$E,Sheet2!$C:$C,$A229,Sheet2!$A:$A,X$2),"")</f>
        <v/>
      </c>
      <c r="Y229" s="42" t="str">
        <f>IF(SUMIFS(Sheet2!$E:$E,Sheet2!$C:$C,$A229,Sheet2!$A:$A,Y$2)&lt;&gt;0,SUMIFS(Sheet2!$E:$E,Sheet2!$C:$C,$A229,Sheet2!$A:$A,Y$2),"")</f>
        <v/>
      </c>
      <c r="Z229" s="42" t="str">
        <f>IF(SUMIFS(Sheet2!$E:$E,Sheet2!$C:$C,$A229,Sheet2!$A:$A,Z$2)&lt;&gt;0,SUMIFS(Sheet2!$E:$E,Sheet2!$C:$C,$A229,Sheet2!$A:$A,Z$2),"")</f>
        <v/>
      </c>
      <c r="AA229" s="42" t="str">
        <f>IF(SUMIFS(Sheet2!$E:$E,Sheet2!$C:$C,$A229,Sheet2!$A:$A,AA$2)&lt;&gt;0,SUMIFS(Sheet2!$E:$E,Sheet2!$C:$C,$A229,Sheet2!$A:$A,AA$2),"")</f>
        <v/>
      </c>
      <c r="AB229" s="42" t="str">
        <f>IF(SUMIFS(Sheet2!$E:$E,Sheet2!$C:$C,$A229,Sheet2!$A:$A,AB$2)&lt;&gt;0,SUMIFS(Sheet2!$E:$E,Sheet2!$C:$C,$A229,Sheet2!$A:$A,AB$2),"")</f>
        <v/>
      </c>
      <c r="AC229" s="42" t="str">
        <f>IF(SUMIFS(Sheet2!$E:$E,Sheet2!$C:$C,$A229,Sheet2!$A:$A,AC$2)&lt;&gt;0,SUMIFS(Sheet2!$E:$E,Sheet2!$C:$C,$A229,Sheet2!$A:$A,AC$2),"")</f>
        <v/>
      </c>
      <c r="AD229" s="42" t="str">
        <f>IF(SUMIFS(Sheet2!$E:$E,Sheet2!$C:$C,$A229,Sheet2!$A:$A,AD$2)&lt;&gt;0,SUMIFS(Sheet2!$E:$E,Sheet2!$C:$C,$A229,Sheet2!$A:$A,AD$2),"")</f>
        <v/>
      </c>
      <c r="AE229" s="42" t="str">
        <f>IF(SUMIFS(Sheet2!$E:$E,Sheet2!$C:$C,$A229,Sheet2!$A:$A,AE$2)&lt;&gt;0,SUMIFS(Sheet2!$E:$E,Sheet2!$C:$C,$A229,Sheet2!$A:$A,AE$2),"")</f>
        <v/>
      </c>
      <c r="AF229" s="42" t="str">
        <f>IF(SUMIFS(Sheet2!$E:$E,Sheet2!$C:$C,$A229,Sheet2!$A:$A,AF$2)&lt;&gt;0,SUMIFS(Sheet2!$E:$E,Sheet2!$C:$C,$A229,Sheet2!$A:$A,AF$2),"")</f>
        <v/>
      </c>
      <c r="AG229" s="42" t="str">
        <f>IF(SUMIFS(Sheet2!$E:$E,Sheet2!$C:$C,$A229,Sheet2!$A:$A,AG$2)&lt;&gt;0,SUMIFS(Sheet2!$E:$E,Sheet2!$C:$C,$A229,Sheet2!$A:$A,AG$2),"")</f>
        <v/>
      </c>
      <c r="AH229" s="43">
        <f>SUM(Table2[[#This Row],[1]:[31]])</f>
        <v>0</v>
      </c>
    </row>
    <row r="230" spans="1:34" ht="12.75" customHeight="1">
      <c r="A230" s="76" t="str">
        <f>DSSP!A229</f>
        <v>GC154</v>
      </c>
      <c r="B230" s="25" t="str">
        <f>DSSP!B229</f>
        <v>Mặt người tròn mắt sao mắt tròn</v>
      </c>
      <c r="C230" s="42" t="str">
        <f>IF(SUMIFS(Sheet2!$E:$E,Sheet2!$C:$C,$A230,Sheet2!$A:$A,C$2)&lt;&gt;0,SUMIFS(Sheet2!$E:$E,Sheet2!$C:$C,$A230,Sheet2!$A:$A,C$2),"")</f>
        <v/>
      </c>
      <c r="D230" s="42" t="str">
        <f>IF(SUMIFS(Sheet2!$E:$E,Sheet2!$C:$C,$A230,Sheet2!$A:$A,D$2)&lt;&gt;0,SUMIFS(Sheet2!$E:$E,Sheet2!$C:$C,$A230,Sheet2!$A:$A,D$2),"")</f>
        <v/>
      </c>
      <c r="E230" s="42" t="str">
        <f>IF(SUMIFS(Sheet2!$E:$E,Sheet2!$C:$C,$A230,Sheet2!$A:$A,E$2)&lt;&gt;0,SUMIFS(Sheet2!$E:$E,Sheet2!$C:$C,$A230,Sheet2!$A:$A,E$2),"")</f>
        <v/>
      </c>
      <c r="F230" s="42" t="str">
        <f>IF(SUMIFS(Sheet2!$E:$E,Sheet2!$C:$C,$A230,Sheet2!$A:$A,F$2)&lt;&gt;0,SUMIFS(Sheet2!$E:$E,Sheet2!$C:$C,$A230,Sheet2!$A:$A,F$2),"")</f>
        <v/>
      </c>
      <c r="G230" s="42" t="str">
        <f>IF(SUMIFS(Sheet2!$E:$E,Sheet2!$C:$C,$A230,Sheet2!$A:$A,G$2)&lt;&gt;0,SUMIFS(Sheet2!$E:$E,Sheet2!$C:$C,$A230,Sheet2!$A:$A,G$2),"")</f>
        <v/>
      </c>
      <c r="H230" s="42" t="str">
        <f>IF(SUMIFS(Sheet2!$E:$E,Sheet2!$C:$C,$A230,Sheet2!$A:$A,H$2)&lt;&gt;0,SUMIFS(Sheet2!$E:$E,Sheet2!$C:$C,$A230,Sheet2!$A:$A,H$2),"")</f>
        <v/>
      </c>
      <c r="I230" s="42" t="str">
        <f>IF(SUMIFS(Sheet2!$E:$E,Sheet2!$C:$C,$A230,Sheet2!$A:$A,I$2)&lt;&gt;0,SUMIFS(Sheet2!$E:$E,Sheet2!$C:$C,$A230,Sheet2!$A:$A,I$2),"")</f>
        <v/>
      </c>
      <c r="J230" s="42" t="str">
        <f>IF(SUMIFS(Sheet2!$E:$E,Sheet2!$C:$C,$A230,Sheet2!$A:$A,J$2)&lt;&gt;0,SUMIFS(Sheet2!$E:$E,Sheet2!$C:$C,$A230,Sheet2!$A:$A,J$2),"")</f>
        <v/>
      </c>
      <c r="K230" s="42" t="str">
        <f>IF(SUMIFS(Sheet2!$E:$E,Sheet2!$C:$C,$A230,Sheet2!$A:$A,K$2)&lt;&gt;0,SUMIFS(Sheet2!$E:$E,Sheet2!$C:$C,$A230,Sheet2!$A:$A,K$2),"")</f>
        <v/>
      </c>
      <c r="L230" s="42" t="str">
        <f>IF(SUMIFS(Sheet2!$E:$E,Sheet2!$C:$C,$A230,Sheet2!$A:$A,L$2)&lt;&gt;0,SUMIFS(Sheet2!$E:$E,Sheet2!$C:$C,$A230,Sheet2!$A:$A,L$2),"")</f>
        <v/>
      </c>
      <c r="M230" s="42" t="str">
        <f>IF(SUMIFS(Sheet2!$E:$E,Sheet2!$C:$C,$A230,Sheet2!$A:$A,M$2)&lt;&gt;0,SUMIFS(Sheet2!$E:$E,Sheet2!$C:$C,$A230,Sheet2!$A:$A,M$2),"")</f>
        <v/>
      </c>
      <c r="N230" s="42" t="str">
        <f>IF(SUMIFS(Sheet2!$E:$E,Sheet2!$C:$C,$A230,Sheet2!$A:$A,N$2)&lt;&gt;0,SUMIFS(Sheet2!$E:$E,Sheet2!$C:$C,$A230,Sheet2!$A:$A,N$2),"")</f>
        <v/>
      </c>
      <c r="O230" s="42" t="str">
        <f>IF(SUMIFS(Sheet2!$E:$E,Sheet2!$C:$C,$A230,Sheet2!$A:$A,O$2)&lt;&gt;0,SUMIFS(Sheet2!$E:$E,Sheet2!$C:$C,$A230,Sheet2!$A:$A,O$2),"")</f>
        <v/>
      </c>
      <c r="P230" s="42" t="str">
        <f>IF(SUMIFS(Sheet2!$E:$E,Sheet2!$C:$C,$A230,Sheet2!$A:$A,P$2)&lt;&gt;0,SUMIFS(Sheet2!$E:$E,Sheet2!$C:$C,$A230,Sheet2!$A:$A,P$2),"")</f>
        <v/>
      </c>
      <c r="Q230" s="42" t="str">
        <f>IF(SUMIFS(Sheet2!$E:$E,Sheet2!$C:$C,$A230,Sheet2!$A:$A,Q$2)&lt;&gt;0,SUMIFS(Sheet2!$E:$E,Sheet2!$C:$C,$A230,Sheet2!$A:$A,Q$2),"")</f>
        <v/>
      </c>
      <c r="R230" s="42" t="str">
        <f>IF(SUMIFS(Sheet2!$E:$E,Sheet2!$C:$C,$A230,Sheet2!$A:$A,R$2)&lt;&gt;0,SUMIFS(Sheet2!$E:$E,Sheet2!$C:$C,$A230,Sheet2!$A:$A,R$2),"")</f>
        <v/>
      </c>
      <c r="S230" s="42" t="str">
        <f>IF(SUMIFS(Sheet2!$E:$E,Sheet2!$C:$C,$A230,Sheet2!$A:$A,S$2)&lt;&gt;0,SUMIFS(Sheet2!$E:$E,Sheet2!$C:$C,$A230,Sheet2!$A:$A,S$2),"")</f>
        <v/>
      </c>
      <c r="T230" s="42" t="str">
        <f>IF(SUMIFS(Sheet2!$E:$E,Sheet2!$C:$C,$A230,Sheet2!$A:$A,T$2)&lt;&gt;0,SUMIFS(Sheet2!$E:$E,Sheet2!$C:$C,$A230,Sheet2!$A:$A,T$2),"")</f>
        <v/>
      </c>
      <c r="U230" s="42" t="str">
        <f>IF(SUMIFS(Sheet2!$E:$E,Sheet2!$C:$C,$A230,Sheet2!$A:$A,U$2)&lt;&gt;0,SUMIFS(Sheet2!$E:$E,Sheet2!$C:$C,$A230,Sheet2!$A:$A,U$2),"")</f>
        <v/>
      </c>
      <c r="V230" s="42" t="str">
        <f>IF(SUMIFS(Sheet2!$E:$E,Sheet2!$C:$C,$A230,Sheet2!$A:$A,V$2)&lt;&gt;0,SUMIFS(Sheet2!$E:$E,Sheet2!$C:$C,$A230,Sheet2!$A:$A,V$2),"")</f>
        <v/>
      </c>
      <c r="W230" s="42" t="str">
        <f>IF(SUMIFS(Sheet2!$E:$E,Sheet2!$C:$C,$A230,Sheet2!$A:$A,W$2)&lt;&gt;0,SUMIFS(Sheet2!$E:$E,Sheet2!$C:$C,$A230,Sheet2!$A:$A,W$2),"")</f>
        <v/>
      </c>
      <c r="X230" s="42" t="str">
        <f>IF(SUMIFS(Sheet2!$E:$E,Sheet2!$C:$C,$A230,Sheet2!$A:$A,X$2)&lt;&gt;0,SUMIFS(Sheet2!$E:$E,Sheet2!$C:$C,$A230,Sheet2!$A:$A,X$2),"")</f>
        <v/>
      </c>
      <c r="Y230" s="42" t="str">
        <f>IF(SUMIFS(Sheet2!$E:$E,Sheet2!$C:$C,$A230,Sheet2!$A:$A,Y$2)&lt;&gt;0,SUMIFS(Sheet2!$E:$E,Sheet2!$C:$C,$A230,Sheet2!$A:$A,Y$2),"")</f>
        <v/>
      </c>
      <c r="Z230" s="42" t="str">
        <f>IF(SUMIFS(Sheet2!$E:$E,Sheet2!$C:$C,$A230,Sheet2!$A:$A,Z$2)&lt;&gt;0,SUMIFS(Sheet2!$E:$E,Sheet2!$C:$C,$A230,Sheet2!$A:$A,Z$2),"")</f>
        <v/>
      </c>
      <c r="AA230" s="42" t="str">
        <f>IF(SUMIFS(Sheet2!$E:$E,Sheet2!$C:$C,$A230,Sheet2!$A:$A,AA$2)&lt;&gt;0,SUMIFS(Sheet2!$E:$E,Sheet2!$C:$C,$A230,Sheet2!$A:$A,AA$2),"")</f>
        <v/>
      </c>
      <c r="AB230" s="42" t="str">
        <f>IF(SUMIFS(Sheet2!$E:$E,Sheet2!$C:$C,$A230,Sheet2!$A:$A,AB$2)&lt;&gt;0,SUMIFS(Sheet2!$E:$E,Sheet2!$C:$C,$A230,Sheet2!$A:$A,AB$2),"")</f>
        <v/>
      </c>
      <c r="AC230" s="42" t="str">
        <f>IF(SUMIFS(Sheet2!$E:$E,Sheet2!$C:$C,$A230,Sheet2!$A:$A,AC$2)&lt;&gt;0,SUMIFS(Sheet2!$E:$E,Sheet2!$C:$C,$A230,Sheet2!$A:$A,AC$2),"")</f>
        <v/>
      </c>
      <c r="AD230" s="42" t="str">
        <f>IF(SUMIFS(Sheet2!$E:$E,Sheet2!$C:$C,$A230,Sheet2!$A:$A,AD$2)&lt;&gt;0,SUMIFS(Sheet2!$E:$E,Sheet2!$C:$C,$A230,Sheet2!$A:$A,AD$2),"")</f>
        <v/>
      </c>
      <c r="AE230" s="42" t="str">
        <f>IF(SUMIFS(Sheet2!$E:$E,Sheet2!$C:$C,$A230,Sheet2!$A:$A,AE$2)&lt;&gt;0,SUMIFS(Sheet2!$E:$E,Sheet2!$C:$C,$A230,Sheet2!$A:$A,AE$2),"")</f>
        <v/>
      </c>
      <c r="AF230" s="42" t="str">
        <f>IF(SUMIFS(Sheet2!$E:$E,Sheet2!$C:$C,$A230,Sheet2!$A:$A,AF$2)&lt;&gt;0,SUMIFS(Sheet2!$E:$E,Sheet2!$C:$C,$A230,Sheet2!$A:$A,AF$2),"")</f>
        <v/>
      </c>
      <c r="AG230" s="42" t="str">
        <f>IF(SUMIFS(Sheet2!$E:$E,Sheet2!$C:$C,$A230,Sheet2!$A:$A,AG$2)&lt;&gt;0,SUMIFS(Sheet2!$E:$E,Sheet2!$C:$C,$A230,Sheet2!$A:$A,AG$2),"")</f>
        <v/>
      </c>
      <c r="AH230" s="43">
        <f>SUM(Table2[[#This Row],[1]:[31]])</f>
        <v>0</v>
      </c>
    </row>
    <row r="231" spans="1:34" ht="12.75" customHeight="1">
      <c r="A231" s="76" t="str">
        <f>DSSP!A230</f>
        <v>GC155</v>
      </c>
      <c r="B231" s="25" t="str">
        <f>DSSP!B230</f>
        <v>Thỏ nhắm mắt</v>
      </c>
      <c r="C231" s="42" t="str">
        <f>IF(SUMIFS(Sheet2!$E:$E,Sheet2!$C:$C,$A231,Sheet2!$A:$A,C$2)&lt;&gt;0,SUMIFS(Sheet2!$E:$E,Sheet2!$C:$C,$A231,Sheet2!$A:$A,C$2),"")</f>
        <v/>
      </c>
      <c r="D231" s="42" t="str">
        <f>IF(SUMIFS(Sheet2!$E:$E,Sheet2!$C:$C,$A231,Sheet2!$A:$A,D$2)&lt;&gt;0,SUMIFS(Sheet2!$E:$E,Sheet2!$C:$C,$A231,Sheet2!$A:$A,D$2),"")</f>
        <v/>
      </c>
      <c r="E231" s="42" t="str">
        <f>IF(SUMIFS(Sheet2!$E:$E,Sheet2!$C:$C,$A231,Sheet2!$A:$A,E$2)&lt;&gt;0,SUMIFS(Sheet2!$E:$E,Sheet2!$C:$C,$A231,Sheet2!$A:$A,E$2),"")</f>
        <v/>
      </c>
      <c r="F231" s="42" t="str">
        <f>IF(SUMIFS(Sheet2!$E:$E,Sheet2!$C:$C,$A231,Sheet2!$A:$A,F$2)&lt;&gt;0,SUMIFS(Sheet2!$E:$E,Sheet2!$C:$C,$A231,Sheet2!$A:$A,F$2),"")</f>
        <v/>
      </c>
      <c r="G231" s="42" t="str">
        <f>IF(SUMIFS(Sheet2!$E:$E,Sheet2!$C:$C,$A231,Sheet2!$A:$A,G$2)&lt;&gt;0,SUMIFS(Sheet2!$E:$E,Sheet2!$C:$C,$A231,Sheet2!$A:$A,G$2),"")</f>
        <v/>
      </c>
      <c r="H231" s="42" t="str">
        <f>IF(SUMIFS(Sheet2!$E:$E,Sheet2!$C:$C,$A231,Sheet2!$A:$A,H$2)&lt;&gt;0,SUMIFS(Sheet2!$E:$E,Sheet2!$C:$C,$A231,Sheet2!$A:$A,H$2),"")</f>
        <v/>
      </c>
      <c r="I231" s="42" t="str">
        <f>IF(SUMIFS(Sheet2!$E:$E,Sheet2!$C:$C,$A231,Sheet2!$A:$A,I$2)&lt;&gt;0,SUMIFS(Sheet2!$E:$E,Sheet2!$C:$C,$A231,Sheet2!$A:$A,I$2),"")</f>
        <v/>
      </c>
      <c r="J231" s="42" t="str">
        <f>IF(SUMIFS(Sheet2!$E:$E,Sheet2!$C:$C,$A231,Sheet2!$A:$A,J$2)&lt;&gt;0,SUMIFS(Sheet2!$E:$E,Sheet2!$C:$C,$A231,Sheet2!$A:$A,J$2),"")</f>
        <v/>
      </c>
      <c r="K231" s="42" t="str">
        <f>IF(SUMIFS(Sheet2!$E:$E,Sheet2!$C:$C,$A231,Sheet2!$A:$A,K$2)&lt;&gt;0,SUMIFS(Sheet2!$E:$E,Sheet2!$C:$C,$A231,Sheet2!$A:$A,K$2),"")</f>
        <v/>
      </c>
      <c r="L231" s="42" t="str">
        <f>IF(SUMIFS(Sheet2!$E:$E,Sheet2!$C:$C,$A231,Sheet2!$A:$A,L$2)&lt;&gt;0,SUMIFS(Sheet2!$E:$E,Sheet2!$C:$C,$A231,Sheet2!$A:$A,L$2),"")</f>
        <v/>
      </c>
      <c r="M231" s="42" t="str">
        <f>IF(SUMIFS(Sheet2!$E:$E,Sheet2!$C:$C,$A231,Sheet2!$A:$A,M$2)&lt;&gt;0,SUMIFS(Sheet2!$E:$E,Sheet2!$C:$C,$A231,Sheet2!$A:$A,M$2),"")</f>
        <v/>
      </c>
      <c r="N231" s="42" t="str">
        <f>IF(SUMIFS(Sheet2!$E:$E,Sheet2!$C:$C,$A231,Sheet2!$A:$A,N$2)&lt;&gt;0,SUMIFS(Sheet2!$E:$E,Sheet2!$C:$C,$A231,Sheet2!$A:$A,N$2),"")</f>
        <v/>
      </c>
      <c r="O231" s="42" t="str">
        <f>IF(SUMIFS(Sheet2!$E:$E,Sheet2!$C:$C,$A231,Sheet2!$A:$A,O$2)&lt;&gt;0,SUMIFS(Sheet2!$E:$E,Sheet2!$C:$C,$A231,Sheet2!$A:$A,O$2),"")</f>
        <v/>
      </c>
      <c r="P231" s="42" t="str">
        <f>IF(SUMIFS(Sheet2!$E:$E,Sheet2!$C:$C,$A231,Sheet2!$A:$A,P$2)&lt;&gt;0,SUMIFS(Sheet2!$E:$E,Sheet2!$C:$C,$A231,Sheet2!$A:$A,P$2),"")</f>
        <v/>
      </c>
      <c r="Q231" s="42" t="str">
        <f>IF(SUMIFS(Sheet2!$E:$E,Sheet2!$C:$C,$A231,Sheet2!$A:$A,Q$2)&lt;&gt;0,SUMIFS(Sheet2!$E:$E,Sheet2!$C:$C,$A231,Sheet2!$A:$A,Q$2),"")</f>
        <v/>
      </c>
      <c r="R231" s="42" t="str">
        <f>IF(SUMIFS(Sheet2!$E:$E,Sheet2!$C:$C,$A231,Sheet2!$A:$A,R$2)&lt;&gt;0,SUMIFS(Sheet2!$E:$E,Sheet2!$C:$C,$A231,Sheet2!$A:$A,R$2),"")</f>
        <v/>
      </c>
      <c r="S231" s="42" t="str">
        <f>IF(SUMIFS(Sheet2!$E:$E,Sheet2!$C:$C,$A231,Sheet2!$A:$A,S$2)&lt;&gt;0,SUMIFS(Sheet2!$E:$E,Sheet2!$C:$C,$A231,Sheet2!$A:$A,S$2),"")</f>
        <v/>
      </c>
      <c r="T231" s="42" t="str">
        <f>IF(SUMIFS(Sheet2!$E:$E,Sheet2!$C:$C,$A231,Sheet2!$A:$A,T$2)&lt;&gt;0,SUMIFS(Sheet2!$E:$E,Sheet2!$C:$C,$A231,Sheet2!$A:$A,T$2),"")</f>
        <v/>
      </c>
      <c r="U231" s="42" t="str">
        <f>IF(SUMIFS(Sheet2!$E:$E,Sheet2!$C:$C,$A231,Sheet2!$A:$A,U$2)&lt;&gt;0,SUMIFS(Sheet2!$E:$E,Sheet2!$C:$C,$A231,Sheet2!$A:$A,U$2),"")</f>
        <v/>
      </c>
      <c r="V231" s="42" t="str">
        <f>IF(SUMIFS(Sheet2!$E:$E,Sheet2!$C:$C,$A231,Sheet2!$A:$A,V$2)&lt;&gt;0,SUMIFS(Sheet2!$E:$E,Sheet2!$C:$C,$A231,Sheet2!$A:$A,V$2),"")</f>
        <v/>
      </c>
      <c r="W231" s="42" t="str">
        <f>IF(SUMIFS(Sheet2!$E:$E,Sheet2!$C:$C,$A231,Sheet2!$A:$A,W$2)&lt;&gt;0,SUMIFS(Sheet2!$E:$E,Sheet2!$C:$C,$A231,Sheet2!$A:$A,W$2),"")</f>
        <v/>
      </c>
      <c r="X231" s="42" t="str">
        <f>IF(SUMIFS(Sheet2!$E:$E,Sheet2!$C:$C,$A231,Sheet2!$A:$A,X$2)&lt;&gt;0,SUMIFS(Sheet2!$E:$E,Sheet2!$C:$C,$A231,Sheet2!$A:$A,X$2),"")</f>
        <v/>
      </c>
      <c r="Y231" s="42" t="str">
        <f>IF(SUMIFS(Sheet2!$E:$E,Sheet2!$C:$C,$A231,Sheet2!$A:$A,Y$2)&lt;&gt;0,SUMIFS(Sheet2!$E:$E,Sheet2!$C:$C,$A231,Sheet2!$A:$A,Y$2),"")</f>
        <v/>
      </c>
      <c r="Z231" s="42" t="str">
        <f>IF(SUMIFS(Sheet2!$E:$E,Sheet2!$C:$C,$A231,Sheet2!$A:$A,Z$2)&lt;&gt;0,SUMIFS(Sheet2!$E:$E,Sheet2!$C:$C,$A231,Sheet2!$A:$A,Z$2),"")</f>
        <v/>
      </c>
      <c r="AA231" s="42" t="str">
        <f>IF(SUMIFS(Sheet2!$E:$E,Sheet2!$C:$C,$A231,Sheet2!$A:$A,AA$2)&lt;&gt;0,SUMIFS(Sheet2!$E:$E,Sheet2!$C:$C,$A231,Sheet2!$A:$A,AA$2),"")</f>
        <v/>
      </c>
      <c r="AB231" s="42" t="str">
        <f>IF(SUMIFS(Sheet2!$E:$E,Sheet2!$C:$C,$A231,Sheet2!$A:$A,AB$2)&lt;&gt;0,SUMIFS(Sheet2!$E:$E,Sheet2!$C:$C,$A231,Sheet2!$A:$A,AB$2),"")</f>
        <v/>
      </c>
      <c r="AC231" s="42" t="str">
        <f>IF(SUMIFS(Sheet2!$E:$E,Sheet2!$C:$C,$A231,Sheet2!$A:$A,AC$2)&lt;&gt;0,SUMIFS(Sheet2!$E:$E,Sheet2!$C:$C,$A231,Sheet2!$A:$A,AC$2),"")</f>
        <v/>
      </c>
      <c r="AD231" s="42" t="str">
        <f>IF(SUMIFS(Sheet2!$E:$E,Sheet2!$C:$C,$A231,Sheet2!$A:$A,AD$2)&lt;&gt;0,SUMIFS(Sheet2!$E:$E,Sheet2!$C:$C,$A231,Sheet2!$A:$A,AD$2),"")</f>
        <v/>
      </c>
      <c r="AE231" s="42" t="str">
        <f>IF(SUMIFS(Sheet2!$E:$E,Sheet2!$C:$C,$A231,Sheet2!$A:$A,AE$2)&lt;&gt;0,SUMIFS(Sheet2!$E:$E,Sheet2!$C:$C,$A231,Sheet2!$A:$A,AE$2),"")</f>
        <v/>
      </c>
      <c r="AF231" s="42" t="str">
        <f>IF(SUMIFS(Sheet2!$E:$E,Sheet2!$C:$C,$A231,Sheet2!$A:$A,AF$2)&lt;&gt;0,SUMIFS(Sheet2!$E:$E,Sheet2!$C:$C,$A231,Sheet2!$A:$A,AF$2),"")</f>
        <v/>
      </c>
      <c r="AG231" s="42" t="str">
        <f>IF(SUMIFS(Sheet2!$E:$E,Sheet2!$C:$C,$A231,Sheet2!$A:$A,AG$2)&lt;&gt;0,SUMIFS(Sheet2!$E:$E,Sheet2!$C:$C,$A231,Sheet2!$A:$A,AG$2),"")</f>
        <v/>
      </c>
      <c r="AH231" s="43">
        <f>SUM(Table2[[#This Row],[1]:[31]])</f>
        <v>0</v>
      </c>
    </row>
    <row r="232" spans="1:34" ht="12.75" customHeight="1">
      <c r="A232" s="76" t="str">
        <f>DSSP!A231</f>
        <v>GC156</v>
      </c>
      <c r="B232" s="25" t="str">
        <f>DSSP!B231</f>
        <v>Tàu hỏa</v>
      </c>
      <c r="C232" s="42" t="str">
        <f>IF(SUMIFS(Sheet2!$E:$E,Sheet2!$C:$C,$A232,Sheet2!$A:$A,C$2)&lt;&gt;0,SUMIFS(Sheet2!$E:$E,Sheet2!$C:$C,$A232,Sheet2!$A:$A,C$2),"")</f>
        <v/>
      </c>
      <c r="D232" s="42" t="str">
        <f>IF(SUMIFS(Sheet2!$E:$E,Sheet2!$C:$C,$A232,Sheet2!$A:$A,D$2)&lt;&gt;0,SUMIFS(Sheet2!$E:$E,Sheet2!$C:$C,$A232,Sheet2!$A:$A,D$2),"")</f>
        <v/>
      </c>
      <c r="E232" s="42" t="str">
        <f>IF(SUMIFS(Sheet2!$E:$E,Sheet2!$C:$C,$A232,Sheet2!$A:$A,E$2)&lt;&gt;0,SUMIFS(Sheet2!$E:$E,Sheet2!$C:$C,$A232,Sheet2!$A:$A,E$2),"")</f>
        <v/>
      </c>
      <c r="F232" s="42" t="str">
        <f>IF(SUMIFS(Sheet2!$E:$E,Sheet2!$C:$C,$A232,Sheet2!$A:$A,F$2)&lt;&gt;0,SUMIFS(Sheet2!$E:$E,Sheet2!$C:$C,$A232,Sheet2!$A:$A,F$2),"")</f>
        <v/>
      </c>
      <c r="G232" s="42" t="str">
        <f>IF(SUMIFS(Sheet2!$E:$E,Sheet2!$C:$C,$A232,Sheet2!$A:$A,G$2)&lt;&gt;0,SUMIFS(Sheet2!$E:$E,Sheet2!$C:$C,$A232,Sheet2!$A:$A,G$2),"")</f>
        <v/>
      </c>
      <c r="H232" s="42" t="str">
        <f>IF(SUMIFS(Sheet2!$E:$E,Sheet2!$C:$C,$A232,Sheet2!$A:$A,H$2)&lt;&gt;0,SUMIFS(Sheet2!$E:$E,Sheet2!$C:$C,$A232,Sheet2!$A:$A,H$2),"")</f>
        <v/>
      </c>
      <c r="I232" s="42" t="str">
        <f>IF(SUMIFS(Sheet2!$E:$E,Sheet2!$C:$C,$A232,Sheet2!$A:$A,I$2)&lt;&gt;0,SUMIFS(Sheet2!$E:$E,Sheet2!$C:$C,$A232,Sheet2!$A:$A,I$2),"")</f>
        <v/>
      </c>
      <c r="J232" s="42" t="str">
        <f>IF(SUMIFS(Sheet2!$E:$E,Sheet2!$C:$C,$A232,Sheet2!$A:$A,J$2)&lt;&gt;0,SUMIFS(Sheet2!$E:$E,Sheet2!$C:$C,$A232,Sheet2!$A:$A,J$2),"")</f>
        <v/>
      </c>
      <c r="K232" s="42" t="str">
        <f>IF(SUMIFS(Sheet2!$E:$E,Sheet2!$C:$C,$A232,Sheet2!$A:$A,K$2)&lt;&gt;0,SUMIFS(Sheet2!$E:$E,Sheet2!$C:$C,$A232,Sheet2!$A:$A,K$2),"")</f>
        <v/>
      </c>
      <c r="L232" s="42" t="str">
        <f>IF(SUMIFS(Sheet2!$E:$E,Sheet2!$C:$C,$A232,Sheet2!$A:$A,L$2)&lt;&gt;0,SUMIFS(Sheet2!$E:$E,Sheet2!$C:$C,$A232,Sheet2!$A:$A,L$2),"")</f>
        <v/>
      </c>
      <c r="M232" s="42" t="str">
        <f>IF(SUMIFS(Sheet2!$E:$E,Sheet2!$C:$C,$A232,Sheet2!$A:$A,M$2)&lt;&gt;0,SUMIFS(Sheet2!$E:$E,Sheet2!$C:$C,$A232,Sheet2!$A:$A,M$2),"")</f>
        <v/>
      </c>
      <c r="N232" s="42" t="str">
        <f>IF(SUMIFS(Sheet2!$E:$E,Sheet2!$C:$C,$A232,Sheet2!$A:$A,N$2)&lt;&gt;0,SUMIFS(Sheet2!$E:$E,Sheet2!$C:$C,$A232,Sheet2!$A:$A,N$2),"")</f>
        <v/>
      </c>
      <c r="O232" s="42" t="str">
        <f>IF(SUMIFS(Sheet2!$E:$E,Sheet2!$C:$C,$A232,Sheet2!$A:$A,O$2)&lt;&gt;0,SUMIFS(Sheet2!$E:$E,Sheet2!$C:$C,$A232,Sheet2!$A:$A,O$2),"")</f>
        <v/>
      </c>
      <c r="P232" s="42" t="str">
        <f>IF(SUMIFS(Sheet2!$E:$E,Sheet2!$C:$C,$A232,Sheet2!$A:$A,P$2)&lt;&gt;0,SUMIFS(Sheet2!$E:$E,Sheet2!$C:$C,$A232,Sheet2!$A:$A,P$2),"")</f>
        <v/>
      </c>
      <c r="Q232" s="42" t="str">
        <f>IF(SUMIFS(Sheet2!$E:$E,Sheet2!$C:$C,$A232,Sheet2!$A:$A,Q$2)&lt;&gt;0,SUMIFS(Sheet2!$E:$E,Sheet2!$C:$C,$A232,Sheet2!$A:$A,Q$2),"")</f>
        <v/>
      </c>
      <c r="R232" s="42" t="str">
        <f>IF(SUMIFS(Sheet2!$E:$E,Sheet2!$C:$C,$A232,Sheet2!$A:$A,R$2)&lt;&gt;0,SUMIFS(Sheet2!$E:$E,Sheet2!$C:$C,$A232,Sheet2!$A:$A,R$2),"")</f>
        <v/>
      </c>
      <c r="S232" s="42" t="str">
        <f>IF(SUMIFS(Sheet2!$E:$E,Sheet2!$C:$C,$A232,Sheet2!$A:$A,S$2)&lt;&gt;0,SUMIFS(Sheet2!$E:$E,Sheet2!$C:$C,$A232,Sheet2!$A:$A,S$2),"")</f>
        <v/>
      </c>
      <c r="T232" s="42" t="str">
        <f>IF(SUMIFS(Sheet2!$E:$E,Sheet2!$C:$C,$A232,Sheet2!$A:$A,T$2)&lt;&gt;0,SUMIFS(Sheet2!$E:$E,Sheet2!$C:$C,$A232,Sheet2!$A:$A,T$2),"")</f>
        <v/>
      </c>
      <c r="U232" s="42" t="str">
        <f>IF(SUMIFS(Sheet2!$E:$E,Sheet2!$C:$C,$A232,Sheet2!$A:$A,U$2)&lt;&gt;0,SUMIFS(Sheet2!$E:$E,Sheet2!$C:$C,$A232,Sheet2!$A:$A,U$2),"")</f>
        <v/>
      </c>
      <c r="V232" s="42" t="str">
        <f>IF(SUMIFS(Sheet2!$E:$E,Sheet2!$C:$C,$A232,Sheet2!$A:$A,V$2)&lt;&gt;0,SUMIFS(Sheet2!$E:$E,Sheet2!$C:$C,$A232,Sheet2!$A:$A,V$2),"")</f>
        <v/>
      </c>
      <c r="W232" s="42" t="str">
        <f>IF(SUMIFS(Sheet2!$E:$E,Sheet2!$C:$C,$A232,Sheet2!$A:$A,W$2)&lt;&gt;0,SUMIFS(Sheet2!$E:$E,Sheet2!$C:$C,$A232,Sheet2!$A:$A,W$2),"")</f>
        <v/>
      </c>
      <c r="X232" s="42" t="str">
        <f>IF(SUMIFS(Sheet2!$E:$E,Sheet2!$C:$C,$A232,Sheet2!$A:$A,X$2)&lt;&gt;0,SUMIFS(Sheet2!$E:$E,Sheet2!$C:$C,$A232,Sheet2!$A:$A,X$2),"")</f>
        <v/>
      </c>
      <c r="Y232" s="42" t="str">
        <f>IF(SUMIFS(Sheet2!$E:$E,Sheet2!$C:$C,$A232,Sheet2!$A:$A,Y$2)&lt;&gt;0,SUMIFS(Sheet2!$E:$E,Sheet2!$C:$C,$A232,Sheet2!$A:$A,Y$2),"")</f>
        <v/>
      </c>
      <c r="Z232" s="42" t="str">
        <f>IF(SUMIFS(Sheet2!$E:$E,Sheet2!$C:$C,$A232,Sheet2!$A:$A,Z$2)&lt;&gt;0,SUMIFS(Sheet2!$E:$E,Sheet2!$C:$C,$A232,Sheet2!$A:$A,Z$2),"")</f>
        <v/>
      </c>
      <c r="AA232" s="42" t="str">
        <f>IF(SUMIFS(Sheet2!$E:$E,Sheet2!$C:$C,$A232,Sheet2!$A:$A,AA$2)&lt;&gt;0,SUMIFS(Sheet2!$E:$E,Sheet2!$C:$C,$A232,Sheet2!$A:$A,AA$2),"")</f>
        <v/>
      </c>
      <c r="AB232" s="42" t="str">
        <f>IF(SUMIFS(Sheet2!$E:$E,Sheet2!$C:$C,$A232,Sheet2!$A:$A,AB$2)&lt;&gt;0,SUMIFS(Sheet2!$E:$E,Sheet2!$C:$C,$A232,Sheet2!$A:$A,AB$2),"")</f>
        <v/>
      </c>
      <c r="AC232" s="42" t="str">
        <f>IF(SUMIFS(Sheet2!$E:$E,Sheet2!$C:$C,$A232,Sheet2!$A:$A,AC$2)&lt;&gt;0,SUMIFS(Sheet2!$E:$E,Sheet2!$C:$C,$A232,Sheet2!$A:$A,AC$2),"")</f>
        <v/>
      </c>
      <c r="AD232" s="42" t="str">
        <f>IF(SUMIFS(Sheet2!$E:$E,Sheet2!$C:$C,$A232,Sheet2!$A:$A,AD$2)&lt;&gt;0,SUMIFS(Sheet2!$E:$E,Sheet2!$C:$C,$A232,Sheet2!$A:$A,AD$2),"")</f>
        <v/>
      </c>
      <c r="AE232" s="42" t="str">
        <f>IF(SUMIFS(Sheet2!$E:$E,Sheet2!$C:$C,$A232,Sheet2!$A:$A,AE$2)&lt;&gt;0,SUMIFS(Sheet2!$E:$E,Sheet2!$C:$C,$A232,Sheet2!$A:$A,AE$2),"")</f>
        <v/>
      </c>
      <c r="AF232" s="42" t="str">
        <f>IF(SUMIFS(Sheet2!$E:$E,Sheet2!$C:$C,$A232,Sheet2!$A:$A,AF$2)&lt;&gt;0,SUMIFS(Sheet2!$E:$E,Sheet2!$C:$C,$A232,Sheet2!$A:$A,AF$2),"")</f>
        <v/>
      </c>
      <c r="AG232" s="42" t="str">
        <f>IF(SUMIFS(Sheet2!$E:$E,Sheet2!$C:$C,$A232,Sheet2!$A:$A,AG$2)&lt;&gt;0,SUMIFS(Sheet2!$E:$E,Sheet2!$C:$C,$A232,Sheet2!$A:$A,AG$2),"")</f>
        <v/>
      </c>
      <c r="AH232" s="43">
        <f>SUM(Table2[[#This Row],[1]:[31]])</f>
        <v>0</v>
      </c>
    </row>
    <row r="233" spans="1:34" ht="12.75" customHeight="1">
      <c r="A233" s="76" t="str">
        <f>DSSP!A232</f>
        <v>GC157</v>
      </c>
      <c r="B233" s="25" t="str">
        <f>DSSP!B232</f>
        <v>Cánh chim</v>
      </c>
      <c r="C233" s="42" t="str">
        <f>IF(SUMIFS(Sheet2!$E:$E,Sheet2!$C:$C,$A233,Sheet2!$A:$A,C$2)&lt;&gt;0,SUMIFS(Sheet2!$E:$E,Sheet2!$C:$C,$A233,Sheet2!$A:$A,C$2),"")</f>
        <v/>
      </c>
      <c r="D233" s="42" t="str">
        <f>IF(SUMIFS(Sheet2!$E:$E,Sheet2!$C:$C,$A233,Sheet2!$A:$A,D$2)&lt;&gt;0,SUMIFS(Sheet2!$E:$E,Sheet2!$C:$C,$A233,Sheet2!$A:$A,D$2),"")</f>
        <v/>
      </c>
      <c r="E233" s="42" t="str">
        <f>IF(SUMIFS(Sheet2!$E:$E,Sheet2!$C:$C,$A233,Sheet2!$A:$A,E$2)&lt;&gt;0,SUMIFS(Sheet2!$E:$E,Sheet2!$C:$C,$A233,Sheet2!$A:$A,E$2),"")</f>
        <v/>
      </c>
      <c r="F233" s="42" t="str">
        <f>IF(SUMIFS(Sheet2!$E:$E,Sheet2!$C:$C,$A233,Sheet2!$A:$A,F$2)&lt;&gt;0,SUMIFS(Sheet2!$E:$E,Sheet2!$C:$C,$A233,Sheet2!$A:$A,F$2),"")</f>
        <v/>
      </c>
      <c r="G233" s="42" t="str">
        <f>IF(SUMIFS(Sheet2!$E:$E,Sheet2!$C:$C,$A233,Sheet2!$A:$A,G$2)&lt;&gt;0,SUMIFS(Sheet2!$E:$E,Sheet2!$C:$C,$A233,Sheet2!$A:$A,G$2),"")</f>
        <v/>
      </c>
      <c r="H233" s="42" t="str">
        <f>IF(SUMIFS(Sheet2!$E:$E,Sheet2!$C:$C,$A233,Sheet2!$A:$A,H$2)&lt;&gt;0,SUMIFS(Sheet2!$E:$E,Sheet2!$C:$C,$A233,Sheet2!$A:$A,H$2),"")</f>
        <v/>
      </c>
      <c r="I233" s="42" t="str">
        <f>IF(SUMIFS(Sheet2!$E:$E,Sheet2!$C:$C,$A233,Sheet2!$A:$A,I$2)&lt;&gt;0,SUMIFS(Sheet2!$E:$E,Sheet2!$C:$C,$A233,Sheet2!$A:$A,I$2),"")</f>
        <v/>
      </c>
      <c r="J233" s="42" t="str">
        <f>IF(SUMIFS(Sheet2!$E:$E,Sheet2!$C:$C,$A233,Sheet2!$A:$A,J$2)&lt;&gt;0,SUMIFS(Sheet2!$E:$E,Sheet2!$C:$C,$A233,Sheet2!$A:$A,J$2),"")</f>
        <v/>
      </c>
      <c r="K233" s="42" t="str">
        <f>IF(SUMIFS(Sheet2!$E:$E,Sheet2!$C:$C,$A233,Sheet2!$A:$A,K$2)&lt;&gt;0,SUMIFS(Sheet2!$E:$E,Sheet2!$C:$C,$A233,Sheet2!$A:$A,K$2),"")</f>
        <v/>
      </c>
      <c r="L233" s="42" t="str">
        <f>IF(SUMIFS(Sheet2!$E:$E,Sheet2!$C:$C,$A233,Sheet2!$A:$A,L$2)&lt;&gt;0,SUMIFS(Sheet2!$E:$E,Sheet2!$C:$C,$A233,Sheet2!$A:$A,L$2),"")</f>
        <v/>
      </c>
      <c r="M233" s="42" t="str">
        <f>IF(SUMIFS(Sheet2!$E:$E,Sheet2!$C:$C,$A233,Sheet2!$A:$A,M$2)&lt;&gt;0,SUMIFS(Sheet2!$E:$E,Sheet2!$C:$C,$A233,Sheet2!$A:$A,M$2),"")</f>
        <v/>
      </c>
      <c r="N233" s="42" t="str">
        <f>IF(SUMIFS(Sheet2!$E:$E,Sheet2!$C:$C,$A233,Sheet2!$A:$A,N$2)&lt;&gt;0,SUMIFS(Sheet2!$E:$E,Sheet2!$C:$C,$A233,Sheet2!$A:$A,N$2),"")</f>
        <v/>
      </c>
      <c r="O233" s="42" t="str">
        <f>IF(SUMIFS(Sheet2!$E:$E,Sheet2!$C:$C,$A233,Sheet2!$A:$A,O$2)&lt;&gt;0,SUMIFS(Sheet2!$E:$E,Sheet2!$C:$C,$A233,Sheet2!$A:$A,O$2),"")</f>
        <v/>
      </c>
      <c r="P233" s="42" t="str">
        <f>IF(SUMIFS(Sheet2!$E:$E,Sheet2!$C:$C,$A233,Sheet2!$A:$A,P$2)&lt;&gt;0,SUMIFS(Sheet2!$E:$E,Sheet2!$C:$C,$A233,Sheet2!$A:$A,P$2),"")</f>
        <v/>
      </c>
      <c r="Q233" s="42" t="str">
        <f>IF(SUMIFS(Sheet2!$E:$E,Sheet2!$C:$C,$A233,Sheet2!$A:$A,Q$2)&lt;&gt;0,SUMIFS(Sheet2!$E:$E,Sheet2!$C:$C,$A233,Sheet2!$A:$A,Q$2),"")</f>
        <v/>
      </c>
      <c r="R233" s="42" t="str">
        <f>IF(SUMIFS(Sheet2!$E:$E,Sheet2!$C:$C,$A233,Sheet2!$A:$A,R$2)&lt;&gt;0,SUMIFS(Sheet2!$E:$E,Sheet2!$C:$C,$A233,Sheet2!$A:$A,R$2),"")</f>
        <v/>
      </c>
      <c r="S233" s="42" t="str">
        <f>IF(SUMIFS(Sheet2!$E:$E,Sheet2!$C:$C,$A233,Sheet2!$A:$A,S$2)&lt;&gt;0,SUMIFS(Sheet2!$E:$E,Sheet2!$C:$C,$A233,Sheet2!$A:$A,S$2),"")</f>
        <v/>
      </c>
      <c r="T233" s="42" t="str">
        <f>IF(SUMIFS(Sheet2!$E:$E,Sheet2!$C:$C,$A233,Sheet2!$A:$A,T$2)&lt;&gt;0,SUMIFS(Sheet2!$E:$E,Sheet2!$C:$C,$A233,Sheet2!$A:$A,T$2),"")</f>
        <v/>
      </c>
      <c r="U233" s="42" t="str">
        <f>IF(SUMIFS(Sheet2!$E:$E,Sheet2!$C:$C,$A233,Sheet2!$A:$A,U$2)&lt;&gt;0,SUMIFS(Sheet2!$E:$E,Sheet2!$C:$C,$A233,Sheet2!$A:$A,U$2),"")</f>
        <v/>
      </c>
      <c r="V233" s="42" t="str">
        <f>IF(SUMIFS(Sheet2!$E:$E,Sheet2!$C:$C,$A233,Sheet2!$A:$A,V$2)&lt;&gt;0,SUMIFS(Sheet2!$E:$E,Sheet2!$C:$C,$A233,Sheet2!$A:$A,V$2),"")</f>
        <v/>
      </c>
      <c r="W233" s="42" t="str">
        <f>IF(SUMIFS(Sheet2!$E:$E,Sheet2!$C:$C,$A233,Sheet2!$A:$A,W$2)&lt;&gt;0,SUMIFS(Sheet2!$E:$E,Sheet2!$C:$C,$A233,Sheet2!$A:$A,W$2),"")</f>
        <v/>
      </c>
      <c r="X233" s="42" t="str">
        <f>IF(SUMIFS(Sheet2!$E:$E,Sheet2!$C:$C,$A233,Sheet2!$A:$A,X$2)&lt;&gt;0,SUMIFS(Sheet2!$E:$E,Sheet2!$C:$C,$A233,Sheet2!$A:$A,X$2),"")</f>
        <v/>
      </c>
      <c r="Y233" s="42" t="str">
        <f>IF(SUMIFS(Sheet2!$E:$E,Sheet2!$C:$C,$A233,Sheet2!$A:$A,Y$2)&lt;&gt;0,SUMIFS(Sheet2!$E:$E,Sheet2!$C:$C,$A233,Sheet2!$A:$A,Y$2),"")</f>
        <v/>
      </c>
      <c r="Z233" s="42" t="str">
        <f>IF(SUMIFS(Sheet2!$E:$E,Sheet2!$C:$C,$A233,Sheet2!$A:$A,Z$2)&lt;&gt;0,SUMIFS(Sheet2!$E:$E,Sheet2!$C:$C,$A233,Sheet2!$A:$A,Z$2),"")</f>
        <v/>
      </c>
      <c r="AA233" s="42" t="str">
        <f>IF(SUMIFS(Sheet2!$E:$E,Sheet2!$C:$C,$A233,Sheet2!$A:$A,AA$2)&lt;&gt;0,SUMIFS(Sheet2!$E:$E,Sheet2!$C:$C,$A233,Sheet2!$A:$A,AA$2),"")</f>
        <v/>
      </c>
      <c r="AB233" s="42" t="str">
        <f>IF(SUMIFS(Sheet2!$E:$E,Sheet2!$C:$C,$A233,Sheet2!$A:$A,AB$2)&lt;&gt;0,SUMIFS(Sheet2!$E:$E,Sheet2!$C:$C,$A233,Sheet2!$A:$A,AB$2),"")</f>
        <v/>
      </c>
      <c r="AC233" s="42" t="str">
        <f>IF(SUMIFS(Sheet2!$E:$E,Sheet2!$C:$C,$A233,Sheet2!$A:$A,AC$2)&lt;&gt;0,SUMIFS(Sheet2!$E:$E,Sheet2!$C:$C,$A233,Sheet2!$A:$A,AC$2),"")</f>
        <v/>
      </c>
      <c r="AD233" s="42" t="str">
        <f>IF(SUMIFS(Sheet2!$E:$E,Sheet2!$C:$C,$A233,Sheet2!$A:$A,AD$2)&lt;&gt;0,SUMIFS(Sheet2!$E:$E,Sheet2!$C:$C,$A233,Sheet2!$A:$A,AD$2),"")</f>
        <v/>
      </c>
      <c r="AE233" s="42" t="str">
        <f>IF(SUMIFS(Sheet2!$E:$E,Sheet2!$C:$C,$A233,Sheet2!$A:$A,AE$2)&lt;&gt;0,SUMIFS(Sheet2!$E:$E,Sheet2!$C:$C,$A233,Sheet2!$A:$A,AE$2),"")</f>
        <v/>
      </c>
      <c r="AF233" s="42" t="str">
        <f>IF(SUMIFS(Sheet2!$E:$E,Sheet2!$C:$C,$A233,Sheet2!$A:$A,AF$2)&lt;&gt;0,SUMIFS(Sheet2!$E:$E,Sheet2!$C:$C,$A233,Sheet2!$A:$A,AF$2),"")</f>
        <v/>
      </c>
      <c r="AG233" s="42" t="str">
        <f>IF(SUMIFS(Sheet2!$E:$E,Sheet2!$C:$C,$A233,Sheet2!$A:$A,AG$2)&lt;&gt;0,SUMIFS(Sheet2!$E:$E,Sheet2!$C:$C,$A233,Sheet2!$A:$A,AG$2),"")</f>
        <v/>
      </c>
      <c r="AH233" s="43">
        <f>SUM(Table2[[#This Row],[1]:[31]])</f>
        <v>0</v>
      </c>
    </row>
    <row r="234" spans="1:34" ht="12.75" customHeight="1">
      <c r="A234" s="76" t="str">
        <f>DSSP!A233</f>
        <v>GC158</v>
      </c>
      <c r="B234" s="25" t="str">
        <f>DSSP!B233</f>
        <v>Sao 1 mặt có vân</v>
      </c>
      <c r="C234" s="42" t="str">
        <f>IF(SUMIFS(Sheet2!$E:$E,Sheet2!$C:$C,$A234,Sheet2!$A:$A,C$2)&lt;&gt;0,SUMIFS(Sheet2!$E:$E,Sheet2!$C:$C,$A234,Sheet2!$A:$A,C$2),"")</f>
        <v/>
      </c>
      <c r="D234" s="42" t="str">
        <f>IF(SUMIFS(Sheet2!$E:$E,Sheet2!$C:$C,$A234,Sheet2!$A:$A,D$2)&lt;&gt;0,SUMIFS(Sheet2!$E:$E,Sheet2!$C:$C,$A234,Sheet2!$A:$A,D$2),"")</f>
        <v/>
      </c>
      <c r="E234" s="42" t="str">
        <f>IF(SUMIFS(Sheet2!$E:$E,Sheet2!$C:$C,$A234,Sheet2!$A:$A,E$2)&lt;&gt;0,SUMIFS(Sheet2!$E:$E,Sheet2!$C:$C,$A234,Sheet2!$A:$A,E$2),"")</f>
        <v/>
      </c>
      <c r="F234" s="42" t="str">
        <f>IF(SUMIFS(Sheet2!$E:$E,Sheet2!$C:$C,$A234,Sheet2!$A:$A,F$2)&lt;&gt;0,SUMIFS(Sheet2!$E:$E,Sheet2!$C:$C,$A234,Sheet2!$A:$A,F$2),"")</f>
        <v/>
      </c>
      <c r="G234" s="42" t="str">
        <f>IF(SUMIFS(Sheet2!$E:$E,Sheet2!$C:$C,$A234,Sheet2!$A:$A,G$2)&lt;&gt;0,SUMIFS(Sheet2!$E:$E,Sheet2!$C:$C,$A234,Sheet2!$A:$A,G$2),"")</f>
        <v/>
      </c>
      <c r="H234" s="42" t="str">
        <f>IF(SUMIFS(Sheet2!$E:$E,Sheet2!$C:$C,$A234,Sheet2!$A:$A,H$2)&lt;&gt;0,SUMIFS(Sheet2!$E:$E,Sheet2!$C:$C,$A234,Sheet2!$A:$A,H$2),"")</f>
        <v/>
      </c>
      <c r="I234" s="42" t="str">
        <f>IF(SUMIFS(Sheet2!$E:$E,Sheet2!$C:$C,$A234,Sheet2!$A:$A,I$2)&lt;&gt;0,SUMIFS(Sheet2!$E:$E,Sheet2!$C:$C,$A234,Sheet2!$A:$A,I$2),"")</f>
        <v/>
      </c>
      <c r="J234" s="42" t="str">
        <f>IF(SUMIFS(Sheet2!$E:$E,Sheet2!$C:$C,$A234,Sheet2!$A:$A,J$2)&lt;&gt;0,SUMIFS(Sheet2!$E:$E,Sheet2!$C:$C,$A234,Sheet2!$A:$A,J$2),"")</f>
        <v/>
      </c>
      <c r="K234" s="42" t="str">
        <f>IF(SUMIFS(Sheet2!$E:$E,Sheet2!$C:$C,$A234,Sheet2!$A:$A,K$2)&lt;&gt;0,SUMIFS(Sheet2!$E:$E,Sheet2!$C:$C,$A234,Sheet2!$A:$A,K$2),"")</f>
        <v/>
      </c>
      <c r="L234" s="42" t="str">
        <f>IF(SUMIFS(Sheet2!$E:$E,Sheet2!$C:$C,$A234,Sheet2!$A:$A,L$2)&lt;&gt;0,SUMIFS(Sheet2!$E:$E,Sheet2!$C:$C,$A234,Sheet2!$A:$A,L$2),"")</f>
        <v/>
      </c>
      <c r="M234" s="42" t="str">
        <f>IF(SUMIFS(Sheet2!$E:$E,Sheet2!$C:$C,$A234,Sheet2!$A:$A,M$2)&lt;&gt;0,SUMIFS(Sheet2!$E:$E,Sheet2!$C:$C,$A234,Sheet2!$A:$A,M$2),"")</f>
        <v/>
      </c>
      <c r="N234" s="42" t="str">
        <f>IF(SUMIFS(Sheet2!$E:$E,Sheet2!$C:$C,$A234,Sheet2!$A:$A,N$2)&lt;&gt;0,SUMIFS(Sheet2!$E:$E,Sheet2!$C:$C,$A234,Sheet2!$A:$A,N$2),"")</f>
        <v/>
      </c>
      <c r="O234" s="42" t="str">
        <f>IF(SUMIFS(Sheet2!$E:$E,Sheet2!$C:$C,$A234,Sheet2!$A:$A,O$2)&lt;&gt;0,SUMIFS(Sheet2!$E:$E,Sheet2!$C:$C,$A234,Sheet2!$A:$A,O$2),"")</f>
        <v/>
      </c>
      <c r="P234" s="42" t="str">
        <f>IF(SUMIFS(Sheet2!$E:$E,Sheet2!$C:$C,$A234,Sheet2!$A:$A,P$2)&lt;&gt;0,SUMIFS(Sheet2!$E:$E,Sheet2!$C:$C,$A234,Sheet2!$A:$A,P$2),"")</f>
        <v/>
      </c>
      <c r="Q234" s="42" t="str">
        <f>IF(SUMIFS(Sheet2!$E:$E,Sheet2!$C:$C,$A234,Sheet2!$A:$A,Q$2)&lt;&gt;0,SUMIFS(Sheet2!$E:$E,Sheet2!$C:$C,$A234,Sheet2!$A:$A,Q$2),"")</f>
        <v/>
      </c>
      <c r="R234" s="42" t="str">
        <f>IF(SUMIFS(Sheet2!$E:$E,Sheet2!$C:$C,$A234,Sheet2!$A:$A,R$2)&lt;&gt;0,SUMIFS(Sheet2!$E:$E,Sheet2!$C:$C,$A234,Sheet2!$A:$A,R$2),"")</f>
        <v/>
      </c>
      <c r="S234" s="42" t="str">
        <f>IF(SUMIFS(Sheet2!$E:$E,Sheet2!$C:$C,$A234,Sheet2!$A:$A,S$2)&lt;&gt;0,SUMIFS(Sheet2!$E:$E,Sheet2!$C:$C,$A234,Sheet2!$A:$A,S$2),"")</f>
        <v/>
      </c>
      <c r="T234" s="42" t="str">
        <f>IF(SUMIFS(Sheet2!$E:$E,Sheet2!$C:$C,$A234,Sheet2!$A:$A,T$2)&lt;&gt;0,SUMIFS(Sheet2!$E:$E,Sheet2!$C:$C,$A234,Sheet2!$A:$A,T$2),"")</f>
        <v/>
      </c>
      <c r="U234" s="42" t="str">
        <f>IF(SUMIFS(Sheet2!$E:$E,Sheet2!$C:$C,$A234,Sheet2!$A:$A,U$2)&lt;&gt;0,SUMIFS(Sheet2!$E:$E,Sheet2!$C:$C,$A234,Sheet2!$A:$A,U$2),"")</f>
        <v/>
      </c>
      <c r="V234" s="42" t="str">
        <f>IF(SUMIFS(Sheet2!$E:$E,Sheet2!$C:$C,$A234,Sheet2!$A:$A,V$2)&lt;&gt;0,SUMIFS(Sheet2!$E:$E,Sheet2!$C:$C,$A234,Sheet2!$A:$A,V$2),"")</f>
        <v/>
      </c>
      <c r="W234" s="42" t="str">
        <f>IF(SUMIFS(Sheet2!$E:$E,Sheet2!$C:$C,$A234,Sheet2!$A:$A,W$2)&lt;&gt;0,SUMIFS(Sheet2!$E:$E,Sheet2!$C:$C,$A234,Sheet2!$A:$A,W$2),"")</f>
        <v/>
      </c>
      <c r="X234" s="42" t="str">
        <f>IF(SUMIFS(Sheet2!$E:$E,Sheet2!$C:$C,$A234,Sheet2!$A:$A,X$2)&lt;&gt;0,SUMIFS(Sheet2!$E:$E,Sheet2!$C:$C,$A234,Sheet2!$A:$A,X$2),"")</f>
        <v/>
      </c>
      <c r="Y234" s="42" t="str">
        <f>IF(SUMIFS(Sheet2!$E:$E,Sheet2!$C:$C,$A234,Sheet2!$A:$A,Y$2)&lt;&gt;0,SUMIFS(Sheet2!$E:$E,Sheet2!$C:$C,$A234,Sheet2!$A:$A,Y$2),"")</f>
        <v/>
      </c>
      <c r="Z234" s="42" t="str">
        <f>IF(SUMIFS(Sheet2!$E:$E,Sheet2!$C:$C,$A234,Sheet2!$A:$A,Z$2)&lt;&gt;0,SUMIFS(Sheet2!$E:$E,Sheet2!$C:$C,$A234,Sheet2!$A:$A,Z$2),"")</f>
        <v/>
      </c>
      <c r="AA234" s="42" t="str">
        <f>IF(SUMIFS(Sheet2!$E:$E,Sheet2!$C:$C,$A234,Sheet2!$A:$A,AA$2)&lt;&gt;0,SUMIFS(Sheet2!$E:$E,Sheet2!$C:$C,$A234,Sheet2!$A:$A,AA$2),"")</f>
        <v/>
      </c>
      <c r="AB234" s="42" t="str">
        <f>IF(SUMIFS(Sheet2!$E:$E,Sheet2!$C:$C,$A234,Sheet2!$A:$A,AB$2)&lt;&gt;0,SUMIFS(Sheet2!$E:$E,Sheet2!$C:$C,$A234,Sheet2!$A:$A,AB$2),"")</f>
        <v/>
      </c>
      <c r="AC234" s="42" t="str">
        <f>IF(SUMIFS(Sheet2!$E:$E,Sheet2!$C:$C,$A234,Sheet2!$A:$A,AC$2)&lt;&gt;0,SUMIFS(Sheet2!$E:$E,Sheet2!$C:$C,$A234,Sheet2!$A:$A,AC$2),"")</f>
        <v/>
      </c>
      <c r="AD234" s="42" t="str">
        <f>IF(SUMIFS(Sheet2!$E:$E,Sheet2!$C:$C,$A234,Sheet2!$A:$A,AD$2)&lt;&gt;0,SUMIFS(Sheet2!$E:$E,Sheet2!$C:$C,$A234,Sheet2!$A:$A,AD$2),"")</f>
        <v/>
      </c>
      <c r="AE234" s="42" t="str">
        <f>IF(SUMIFS(Sheet2!$E:$E,Sheet2!$C:$C,$A234,Sheet2!$A:$A,AE$2)&lt;&gt;0,SUMIFS(Sheet2!$E:$E,Sheet2!$C:$C,$A234,Sheet2!$A:$A,AE$2),"")</f>
        <v/>
      </c>
      <c r="AF234" s="42" t="str">
        <f>IF(SUMIFS(Sheet2!$E:$E,Sheet2!$C:$C,$A234,Sheet2!$A:$A,AF$2)&lt;&gt;0,SUMIFS(Sheet2!$E:$E,Sheet2!$C:$C,$A234,Sheet2!$A:$A,AF$2),"")</f>
        <v/>
      </c>
      <c r="AG234" s="42" t="str">
        <f>IF(SUMIFS(Sheet2!$E:$E,Sheet2!$C:$C,$A234,Sheet2!$A:$A,AG$2)&lt;&gt;0,SUMIFS(Sheet2!$E:$E,Sheet2!$C:$C,$A234,Sheet2!$A:$A,AG$2),"")</f>
        <v/>
      </c>
      <c r="AH234" s="43">
        <f>SUM(Table2[[#This Row],[1]:[31]])</f>
        <v>0</v>
      </c>
    </row>
    <row r="235" spans="1:34" ht="12.75" customHeight="1">
      <c r="A235" s="76" t="str">
        <f>DSSP!A234</f>
        <v>GC159</v>
      </c>
      <c r="B235" s="25" t="str">
        <f>DSSP!B234</f>
        <v>Trái tim Thank u nhỏ</v>
      </c>
      <c r="C235" s="42" t="str">
        <f>IF(SUMIFS(Sheet2!$E:$E,Sheet2!$C:$C,$A235,Sheet2!$A:$A,C$2)&lt;&gt;0,SUMIFS(Sheet2!$E:$E,Sheet2!$C:$C,$A235,Sheet2!$A:$A,C$2),"")</f>
        <v/>
      </c>
      <c r="D235" s="42" t="str">
        <f>IF(SUMIFS(Sheet2!$E:$E,Sheet2!$C:$C,$A235,Sheet2!$A:$A,D$2)&lt;&gt;0,SUMIFS(Sheet2!$E:$E,Sheet2!$C:$C,$A235,Sheet2!$A:$A,D$2),"")</f>
        <v/>
      </c>
      <c r="E235" s="42" t="str">
        <f>IF(SUMIFS(Sheet2!$E:$E,Sheet2!$C:$C,$A235,Sheet2!$A:$A,E$2)&lt;&gt;0,SUMIFS(Sheet2!$E:$E,Sheet2!$C:$C,$A235,Sheet2!$A:$A,E$2),"")</f>
        <v/>
      </c>
      <c r="F235" s="42" t="str">
        <f>IF(SUMIFS(Sheet2!$E:$E,Sheet2!$C:$C,$A235,Sheet2!$A:$A,F$2)&lt;&gt;0,SUMIFS(Sheet2!$E:$E,Sheet2!$C:$C,$A235,Sheet2!$A:$A,F$2),"")</f>
        <v/>
      </c>
      <c r="G235" s="42" t="str">
        <f>IF(SUMIFS(Sheet2!$E:$E,Sheet2!$C:$C,$A235,Sheet2!$A:$A,G$2)&lt;&gt;0,SUMIFS(Sheet2!$E:$E,Sheet2!$C:$C,$A235,Sheet2!$A:$A,G$2),"")</f>
        <v/>
      </c>
      <c r="H235" s="42" t="str">
        <f>IF(SUMIFS(Sheet2!$E:$E,Sheet2!$C:$C,$A235,Sheet2!$A:$A,H$2)&lt;&gt;0,SUMIFS(Sheet2!$E:$E,Sheet2!$C:$C,$A235,Sheet2!$A:$A,H$2),"")</f>
        <v/>
      </c>
      <c r="I235" s="42" t="str">
        <f>IF(SUMIFS(Sheet2!$E:$E,Sheet2!$C:$C,$A235,Sheet2!$A:$A,I$2)&lt;&gt;0,SUMIFS(Sheet2!$E:$E,Sheet2!$C:$C,$A235,Sheet2!$A:$A,I$2),"")</f>
        <v/>
      </c>
      <c r="J235" s="42" t="str">
        <f>IF(SUMIFS(Sheet2!$E:$E,Sheet2!$C:$C,$A235,Sheet2!$A:$A,J$2)&lt;&gt;0,SUMIFS(Sheet2!$E:$E,Sheet2!$C:$C,$A235,Sheet2!$A:$A,J$2),"")</f>
        <v/>
      </c>
      <c r="K235" s="42" t="str">
        <f>IF(SUMIFS(Sheet2!$E:$E,Sheet2!$C:$C,$A235,Sheet2!$A:$A,K$2)&lt;&gt;0,SUMIFS(Sheet2!$E:$E,Sheet2!$C:$C,$A235,Sheet2!$A:$A,K$2),"")</f>
        <v/>
      </c>
      <c r="L235" s="42" t="str">
        <f>IF(SUMIFS(Sheet2!$E:$E,Sheet2!$C:$C,$A235,Sheet2!$A:$A,L$2)&lt;&gt;0,SUMIFS(Sheet2!$E:$E,Sheet2!$C:$C,$A235,Sheet2!$A:$A,L$2),"")</f>
        <v/>
      </c>
      <c r="M235" s="42" t="str">
        <f>IF(SUMIFS(Sheet2!$E:$E,Sheet2!$C:$C,$A235,Sheet2!$A:$A,M$2)&lt;&gt;0,SUMIFS(Sheet2!$E:$E,Sheet2!$C:$C,$A235,Sheet2!$A:$A,M$2),"")</f>
        <v/>
      </c>
      <c r="N235" s="42" t="str">
        <f>IF(SUMIFS(Sheet2!$E:$E,Sheet2!$C:$C,$A235,Sheet2!$A:$A,N$2)&lt;&gt;0,SUMIFS(Sheet2!$E:$E,Sheet2!$C:$C,$A235,Sheet2!$A:$A,N$2),"")</f>
        <v/>
      </c>
      <c r="O235" s="42" t="str">
        <f>IF(SUMIFS(Sheet2!$E:$E,Sheet2!$C:$C,$A235,Sheet2!$A:$A,O$2)&lt;&gt;0,SUMIFS(Sheet2!$E:$E,Sheet2!$C:$C,$A235,Sheet2!$A:$A,O$2),"")</f>
        <v/>
      </c>
      <c r="P235" s="42" t="str">
        <f>IF(SUMIFS(Sheet2!$E:$E,Sheet2!$C:$C,$A235,Sheet2!$A:$A,P$2)&lt;&gt;0,SUMIFS(Sheet2!$E:$E,Sheet2!$C:$C,$A235,Sheet2!$A:$A,P$2),"")</f>
        <v/>
      </c>
      <c r="Q235" s="42" t="str">
        <f>IF(SUMIFS(Sheet2!$E:$E,Sheet2!$C:$C,$A235,Sheet2!$A:$A,Q$2)&lt;&gt;0,SUMIFS(Sheet2!$E:$E,Sheet2!$C:$C,$A235,Sheet2!$A:$A,Q$2),"")</f>
        <v/>
      </c>
      <c r="R235" s="42" t="str">
        <f>IF(SUMIFS(Sheet2!$E:$E,Sheet2!$C:$C,$A235,Sheet2!$A:$A,R$2)&lt;&gt;0,SUMIFS(Sheet2!$E:$E,Sheet2!$C:$C,$A235,Sheet2!$A:$A,R$2),"")</f>
        <v/>
      </c>
      <c r="S235" s="42" t="str">
        <f>IF(SUMIFS(Sheet2!$E:$E,Sheet2!$C:$C,$A235,Sheet2!$A:$A,S$2)&lt;&gt;0,SUMIFS(Sheet2!$E:$E,Sheet2!$C:$C,$A235,Sheet2!$A:$A,S$2),"")</f>
        <v/>
      </c>
      <c r="T235" s="42" t="str">
        <f>IF(SUMIFS(Sheet2!$E:$E,Sheet2!$C:$C,$A235,Sheet2!$A:$A,T$2)&lt;&gt;0,SUMIFS(Sheet2!$E:$E,Sheet2!$C:$C,$A235,Sheet2!$A:$A,T$2),"")</f>
        <v/>
      </c>
      <c r="U235" s="42" t="str">
        <f>IF(SUMIFS(Sheet2!$E:$E,Sheet2!$C:$C,$A235,Sheet2!$A:$A,U$2)&lt;&gt;0,SUMIFS(Sheet2!$E:$E,Sheet2!$C:$C,$A235,Sheet2!$A:$A,U$2),"")</f>
        <v/>
      </c>
      <c r="V235" s="42" t="str">
        <f>IF(SUMIFS(Sheet2!$E:$E,Sheet2!$C:$C,$A235,Sheet2!$A:$A,V$2)&lt;&gt;0,SUMIFS(Sheet2!$E:$E,Sheet2!$C:$C,$A235,Sheet2!$A:$A,V$2),"")</f>
        <v/>
      </c>
      <c r="W235" s="42" t="str">
        <f>IF(SUMIFS(Sheet2!$E:$E,Sheet2!$C:$C,$A235,Sheet2!$A:$A,W$2)&lt;&gt;0,SUMIFS(Sheet2!$E:$E,Sheet2!$C:$C,$A235,Sheet2!$A:$A,W$2),"")</f>
        <v/>
      </c>
      <c r="X235" s="42" t="str">
        <f>IF(SUMIFS(Sheet2!$E:$E,Sheet2!$C:$C,$A235,Sheet2!$A:$A,X$2)&lt;&gt;0,SUMIFS(Sheet2!$E:$E,Sheet2!$C:$C,$A235,Sheet2!$A:$A,X$2),"")</f>
        <v/>
      </c>
      <c r="Y235" s="42" t="str">
        <f>IF(SUMIFS(Sheet2!$E:$E,Sheet2!$C:$C,$A235,Sheet2!$A:$A,Y$2)&lt;&gt;0,SUMIFS(Sheet2!$E:$E,Sheet2!$C:$C,$A235,Sheet2!$A:$A,Y$2),"")</f>
        <v/>
      </c>
      <c r="Z235" s="42" t="str">
        <f>IF(SUMIFS(Sheet2!$E:$E,Sheet2!$C:$C,$A235,Sheet2!$A:$A,Z$2)&lt;&gt;0,SUMIFS(Sheet2!$E:$E,Sheet2!$C:$C,$A235,Sheet2!$A:$A,Z$2),"")</f>
        <v/>
      </c>
      <c r="AA235" s="42" t="str">
        <f>IF(SUMIFS(Sheet2!$E:$E,Sheet2!$C:$C,$A235,Sheet2!$A:$A,AA$2)&lt;&gt;0,SUMIFS(Sheet2!$E:$E,Sheet2!$C:$C,$A235,Sheet2!$A:$A,AA$2),"")</f>
        <v/>
      </c>
      <c r="AB235" s="42" t="str">
        <f>IF(SUMIFS(Sheet2!$E:$E,Sheet2!$C:$C,$A235,Sheet2!$A:$A,AB$2)&lt;&gt;0,SUMIFS(Sheet2!$E:$E,Sheet2!$C:$C,$A235,Sheet2!$A:$A,AB$2),"")</f>
        <v/>
      </c>
      <c r="AC235" s="42" t="str">
        <f>IF(SUMIFS(Sheet2!$E:$E,Sheet2!$C:$C,$A235,Sheet2!$A:$A,AC$2)&lt;&gt;0,SUMIFS(Sheet2!$E:$E,Sheet2!$C:$C,$A235,Sheet2!$A:$A,AC$2),"")</f>
        <v/>
      </c>
      <c r="AD235" s="42" t="str">
        <f>IF(SUMIFS(Sheet2!$E:$E,Sheet2!$C:$C,$A235,Sheet2!$A:$A,AD$2)&lt;&gt;0,SUMIFS(Sheet2!$E:$E,Sheet2!$C:$C,$A235,Sheet2!$A:$A,AD$2),"")</f>
        <v/>
      </c>
      <c r="AE235" s="42" t="str">
        <f>IF(SUMIFS(Sheet2!$E:$E,Sheet2!$C:$C,$A235,Sheet2!$A:$A,AE$2)&lt;&gt;0,SUMIFS(Sheet2!$E:$E,Sheet2!$C:$C,$A235,Sheet2!$A:$A,AE$2),"")</f>
        <v/>
      </c>
      <c r="AF235" s="42" t="str">
        <f>IF(SUMIFS(Sheet2!$E:$E,Sheet2!$C:$C,$A235,Sheet2!$A:$A,AF$2)&lt;&gt;0,SUMIFS(Sheet2!$E:$E,Sheet2!$C:$C,$A235,Sheet2!$A:$A,AF$2),"")</f>
        <v/>
      </c>
      <c r="AG235" s="42" t="str">
        <f>IF(SUMIFS(Sheet2!$E:$E,Sheet2!$C:$C,$A235,Sheet2!$A:$A,AG$2)&lt;&gt;0,SUMIFS(Sheet2!$E:$E,Sheet2!$C:$C,$A235,Sheet2!$A:$A,AG$2),"")</f>
        <v/>
      </c>
      <c r="AH235" s="43">
        <f>SUM(Table2[[#This Row],[1]:[31]])</f>
        <v>0</v>
      </c>
    </row>
    <row r="236" spans="1:34" ht="12.75" customHeight="1">
      <c r="A236" s="76" t="str">
        <f>DSSP!A235</f>
        <v>GC160</v>
      </c>
      <c r="B236" s="25" t="str">
        <f>DSSP!B235</f>
        <v>Ovan made with love</v>
      </c>
      <c r="C236" s="42" t="str">
        <f>IF(SUMIFS(Sheet2!$E:$E,Sheet2!$C:$C,$A236,Sheet2!$A:$A,C$2)&lt;&gt;0,SUMIFS(Sheet2!$E:$E,Sheet2!$C:$C,$A236,Sheet2!$A:$A,C$2),"")</f>
        <v/>
      </c>
      <c r="D236" s="42" t="str">
        <f>IF(SUMIFS(Sheet2!$E:$E,Sheet2!$C:$C,$A236,Sheet2!$A:$A,D$2)&lt;&gt;0,SUMIFS(Sheet2!$E:$E,Sheet2!$C:$C,$A236,Sheet2!$A:$A,D$2),"")</f>
        <v/>
      </c>
      <c r="E236" s="42" t="str">
        <f>IF(SUMIFS(Sheet2!$E:$E,Sheet2!$C:$C,$A236,Sheet2!$A:$A,E$2)&lt;&gt;0,SUMIFS(Sheet2!$E:$E,Sheet2!$C:$C,$A236,Sheet2!$A:$A,E$2),"")</f>
        <v/>
      </c>
      <c r="F236" s="42" t="str">
        <f>IF(SUMIFS(Sheet2!$E:$E,Sheet2!$C:$C,$A236,Sheet2!$A:$A,F$2)&lt;&gt;0,SUMIFS(Sheet2!$E:$E,Sheet2!$C:$C,$A236,Sheet2!$A:$A,F$2),"")</f>
        <v/>
      </c>
      <c r="G236" s="42" t="str">
        <f>IF(SUMIFS(Sheet2!$E:$E,Sheet2!$C:$C,$A236,Sheet2!$A:$A,G$2)&lt;&gt;0,SUMIFS(Sheet2!$E:$E,Sheet2!$C:$C,$A236,Sheet2!$A:$A,G$2),"")</f>
        <v/>
      </c>
      <c r="H236" s="42" t="str">
        <f>IF(SUMIFS(Sheet2!$E:$E,Sheet2!$C:$C,$A236,Sheet2!$A:$A,H$2)&lt;&gt;0,SUMIFS(Sheet2!$E:$E,Sheet2!$C:$C,$A236,Sheet2!$A:$A,H$2),"")</f>
        <v/>
      </c>
      <c r="I236" s="42" t="str">
        <f>IF(SUMIFS(Sheet2!$E:$E,Sheet2!$C:$C,$A236,Sheet2!$A:$A,I$2)&lt;&gt;0,SUMIFS(Sheet2!$E:$E,Sheet2!$C:$C,$A236,Sheet2!$A:$A,I$2),"")</f>
        <v/>
      </c>
      <c r="J236" s="42" t="str">
        <f>IF(SUMIFS(Sheet2!$E:$E,Sheet2!$C:$C,$A236,Sheet2!$A:$A,J$2)&lt;&gt;0,SUMIFS(Sheet2!$E:$E,Sheet2!$C:$C,$A236,Sheet2!$A:$A,J$2),"")</f>
        <v/>
      </c>
      <c r="K236" s="42" t="str">
        <f>IF(SUMIFS(Sheet2!$E:$E,Sheet2!$C:$C,$A236,Sheet2!$A:$A,K$2)&lt;&gt;0,SUMIFS(Sheet2!$E:$E,Sheet2!$C:$C,$A236,Sheet2!$A:$A,K$2),"")</f>
        <v/>
      </c>
      <c r="L236" s="42" t="str">
        <f>IF(SUMIFS(Sheet2!$E:$E,Sheet2!$C:$C,$A236,Sheet2!$A:$A,L$2)&lt;&gt;0,SUMIFS(Sheet2!$E:$E,Sheet2!$C:$C,$A236,Sheet2!$A:$A,L$2),"")</f>
        <v/>
      </c>
      <c r="M236" s="42" t="str">
        <f>IF(SUMIFS(Sheet2!$E:$E,Sheet2!$C:$C,$A236,Sheet2!$A:$A,M$2)&lt;&gt;0,SUMIFS(Sheet2!$E:$E,Sheet2!$C:$C,$A236,Sheet2!$A:$A,M$2),"")</f>
        <v/>
      </c>
      <c r="N236" s="42" t="str">
        <f>IF(SUMIFS(Sheet2!$E:$E,Sheet2!$C:$C,$A236,Sheet2!$A:$A,N$2)&lt;&gt;0,SUMIFS(Sheet2!$E:$E,Sheet2!$C:$C,$A236,Sheet2!$A:$A,N$2),"")</f>
        <v/>
      </c>
      <c r="O236" s="42" t="str">
        <f>IF(SUMIFS(Sheet2!$E:$E,Sheet2!$C:$C,$A236,Sheet2!$A:$A,O$2)&lt;&gt;0,SUMIFS(Sheet2!$E:$E,Sheet2!$C:$C,$A236,Sheet2!$A:$A,O$2),"")</f>
        <v/>
      </c>
      <c r="P236" s="42" t="str">
        <f>IF(SUMIFS(Sheet2!$E:$E,Sheet2!$C:$C,$A236,Sheet2!$A:$A,P$2)&lt;&gt;0,SUMIFS(Sheet2!$E:$E,Sheet2!$C:$C,$A236,Sheet2!$A:$A,P$2),"")</f>
        <v/>
      </c>
      <c r="Q236" s="42" t="str">
        <f>IF(SUMIFS(Sheet2!$E:$E,Sheet2!$C:$C,$A236,Sheet2!$A:$A,Q$2)&lt;&gt;0,SUMIFS(Sheet2!$E:$E,Sheet2!$C:$C,$A236,Sheet2!$A:$A,Q$2),"")</f>
        <v/>
      </c>
      <c r="R236" s="42" t="str">
        <f>IF(SUMIFS(Sheet2!$E:$E,Sheet2!$C:$C,$A236,Sheet2!$A:$A,R$2)&lt;&gt;0,SUMIFS(Sheet2!$E:$E,Sheet2!$C:$C,$A236,Sheet2!$A:$A,R$2),"")</f>
        <v/>
      </c>
      <c r="S236" s="42" t="str">
        <f>IF(SUMIFS(Sheet2!$E:$E,Sheet2!$C:$C,$A236,Sheet2!$A:$A,S$2)&lt;&gt;0,SUMIFS(Sheet2!$E:$E,Sheet2!$C:$C,$A236,Sheet2!$A:$A,S$2),"")</f>
        <v/>
      </c>
      <c r="T236" s="42" t="str">
        <f>IF(SUMIFS(Sheet2!$E:$E,Sheet2!$C:$C,$A236,Sheet2!$A:$A,T$2)&lt;&gt;0,SUMIFS(Sheet2!$E:$E,Sheet2!$C:$C,$A236,Sheet2!$A:$A,T$2),"")</f>
        <v/>
      </c>
      <c r="U236" s="42" t="str">
        <f>IF(SUMIFS(Sheet2!$E:$E,Sheet2!$C:$C,$A236,Sheet2!$A:$A,U$2)&lt;&gt;0,SUMIFS(Sheet2!$E:$E,Sheet2!$C:$C,$A236,Sheet2!$A:$A,U$2),"")</f>
        <v/>
      </c>
      <c r="V236" s="42" t="str">
        <f>IF(SUMIFS(Sheet2!$E:$E,Sheet2!$C:$C,$A236,Sheet2!$A:$A,V$2)&lt;&gt;0,SUMIFS(Sheet2!$E:$E,Sheet2!$C:$C,$A236,Sheet2!$A:$A,V$2),"")</f>
        <v/>
      </c>
      <c r="W236" s="42" t="str">
        <f>IF(SUMIFS(Sheet2!$E:$E,Sheet2!$C:$C,$A236,Sheet2!$A:$A,W$2)&lt;&gt;0,SUMIFS(Sheet2!$E:$E,Sheet2!$C:$C,$A236,Sheet2!$A:$A,W$2),"")</f>
        <v/>
      </c>
      <c r="X236" s="42" t="str">
        <f>IF(SUMIFS(Sheet2!$E:$E,Sheet2!$C:$C,$A236,Sheet2!$A:$A,X$2)&lt;&gt;0,SUMIFS(Sheet2!$E:$E,Sheet2!$C:$C,$A236,Sheet2!$A:$A,X$2),"")</f>
        <v/>
      </c>
      <c r="Y236" s="42" t="str">
        <f>IF(SUMIFS(Sheet2!$E:$E,Sheet2!$C:$C,$A236,Sheet2!$A:$A,Y$2)&lt;&gt;0,SUMIFS(Sheet2!$E:$E,Sheet2!$C:$C,$A236,Sheet2!$A:$A,Y$2),"")</f>
        <v/>
      </c>
      <c r="Z236" s="42" t="str">
        <f>IF(SUMIFS(Sheet2!$E:$E,Sheet2!$C:$C,$A236,Sheet2!$A:$A,Z$2)&lt;&gt;0,SUMIFS(Sheet2!$E:$E,Sheet2!$C:$C,$A236,Sheet2!$A:$A,Z$2),"")</f>
        <v/>
      </c>
      <c r="AA236" s="42" t="str">
        <f>IF(SUMIFS(Sheet2!$E:$E,Sheet2!$C:$C,$A236,Sheet2!$A:$A,AA$2)&lt;&gt;0,SUMIFS(Sheet2!$E:$E,Sheet2!$C:$C,$A236,Sheet2!$A:$A,AA$2),"")</f>
        <v/>
      </c>
      <c r="AB236" s="42" t="str">
        <f>IF(SUMIFS(Sheet2!$E:$E,Sheet2!$C:$C,$A236,Sheet2!$A:$A,AB$2)&lt;&gt;0,SUMIFS(Sheet2!$E:$E,Sheet2!$C:$C,$A236,Sheet2!$A:$A,AB$2),"")</f>
        <v/>
      </c>
      <c r="AC236" s="42" t="str">
        <f>IF(SUMIFS(Sheet2!$E:$E,Sheet2!$C:$C,$A236,Sheet2!$A:$A,AC$2)&lt;&gt;0,SUMIFS(Sheet2!$E:$E,Sheet2!$C:$C,$A236,Sheet2!$A:$A,AC$2),"")</f>
        <v/>
      </c>
      <c r="AD236" s="42" t="str">
        <f>IF(SUMIFS(Sheet2!$E:$E,Sheet2!$C:$C,$A236,Sheet2!$A:$A,AD$2)&lt;&gt;0,SUMIFS(Sheet2!$E:$E,Sheet2!$C:$C,$A236,Sheet2!$A:$A,AD$2),"")</f>
        <v/>
      </c>
      <c r="AE236" s="42" t="str">
        <f>IF(SUMIFS(Sheet2!$E:$E,Sheet2!$C:$C,$A236,Sheet2!$A:$A,AE$2)&lt;&gt;0,SUMIFS(Sheet2!$E:$E,Sheet2!$C:$C,$A236,Sheet2!$A:$A,AE$2),"")</f>
        <v/>
      </c>
      <c r="AF236" s="42" t="str">
        <f>IF(SUMIFS(Sheet2!$E:$E,Sheet2!$C:$C,$A236,Sheet2!$A:$A,AF$2)&lt;&gt;0,SUMIFS(Sheet2!$E:$E,Sheet2!$C:$C,$A236,Sheet2!$A:$A,AF$2),"")</f>
        <v/>
      </c>
      <c r="AG236" s="42" t="str">
        <f>IF(SUMIFS(Sheet2!$E:$E,Sheet2!$C:$C,$A236,Sheet2!$A:$A,AG$2)&lt;&gt;0,SUMIFS(Sheet2!$E:$E,Sheet2!$C:$C,$A236,Sheet2!$A:$A,AG$2),"")</f>
        <v/>
      </c>
      <c r="AH236" s="43">
        <f>SUM(Table2[[#This Row],[1]:[31]])</f>
        <v>0</v>
      </c>
    </row>
    <row r="237" spans="1:34" ht="12.75" customHeight="1">
      <c r="A237" s="76" t="str">
        <f>DSSP!A236</f>
        <v>GC161</v>
      </c>
      <c r="B237" s="25" t="str">
        <f>DSSP!B236</f>
        <v>Sao mặt cười nhỏ</v>
      </c>
      <c r="C237" s="42" t="str">
        <f>IF(SUMIFS(Sheet2!$E:$E,Sheet2!$C:$C,$A237,Sheet2!$A:$A,C$2)&lt;&gt;0,SUMIFS(Sheet2!$E:$E,Sheet2!$C:$C,$A237,Sheet2!$A:$A,C$2),"")</f>
        <v/>
      </c>
      <c r="D237" s="42" t="str">
        <f>IF(SUMIFS(Sheet2!$E:$E,Sheet2!$C:$C,$A237,Sheet2!$A:$A,D$2)&lt;&gt;0,SUMIFS(Sheet2!$E:$E,Sheet2!$C:$C,$A237,Sheet2!$A:$A,D$2),"")</f>
        <v/>
      </c>
      <c r="E237" s="42" t="str">
        <f>IF(SUMIFS(Sheet2!$E:$E,Sheet2!$C:$C,$A237,Sheet2!$A:$A,E$2)&lt;&gt;0,SUMIFS(Sheet2!$E:$E,Sheet2!$C:$C,$A237,Sheet2!$A:$A,E$2),"")</f>
        <v/>
      </c>
      <c r="F237" s="42" t="str">
        <f>IF(SUMIFS(Sheet2!$E:$E,Sheet2!$C:$C,$A237,Sheet2!$A:$A,F$2)&lt;&gt;0,SUMIFS(Sheet2!$E:$E,Sheet2!$C:$C,$A237,Sheet2!$A:$A,F$2),"")</f>
        <v/>
      </c>
      <c r="G237" s="42" t="str">
        <f>IF(SUMIFS(Sheet2!$E:$E,Sheet2!$C:$C,$A237,Sheet2!$A:$A,G$2)&lt;&gt;0,SUMIFS(Sheet2!$E:$E,Sheet2!$C:$C,$A237,Sheet2!$A:$A,G$2),"")</f>
        <v/>
      </c>
      <c r="H237" s="42" t="str">
        <f>IF(SUMIFS(Sheet2!$E:$E,Sheet2!$C:$C,$A237,Sheet2!$A:$A,H$2)&lt;&gt;0,SUMIFS(Sheet2!$E:$E,Sheet2!$C:$C,$A237,Sheet2!$A:$A,H$2),"")</f>
        <v/>
      </c>
      <c r="I237" s="42" t="str">
        <f>IF(SUMIFS(Sheet2!$E:$E,Sheet2!$C:$C,$A237,Sheet2!$A:$A,I$2)&lt;&gt;0,SUMIFS(Sheet2!$E:$E,Sheet2!$C:$C,$A237,Sheet2!$A:$A,I$2),"")</f>
        <v/>
      </c>
      <c r="J237" s="42" t="str">
        <f>IF(SUMIFS(Sheet2!$E:$E,Sheet2!$C:$C,$A237,Sheet2!$A:$A,J$2)&lt;&gt;0,SUMIFS(Sheet2!$E:$E,Sheet2!$C:$C,$A237,Sheet2!$A:$A,J$2),"")</f>
        <v/>
      </c>
      <c r="K237" s="42" t="str">
        <f>IF(SUMIFS(Sheet2!$E:$E,Sheet2!$C:$C,$A237,Sheet2!$A:$A,K$2)&lt;&gt;0,SUMIFS(Sheet2!$E:$E,Sheet2!$C:$C,$A237,Sheet2!$A:$A,K$2),"")</f>
        <v/>
      </c>
      <c r="L237" s="42" t="str">
        <f>IF(SUMIFS(Sheet2!$E:$E,Sheet2!$C:$C,$A237,Sheet2!$A:$A,L$2)&lt;&gt;0,SUMIFS(Sheet2!$E:$E,Sheet2!$C:$C,$A237,Sheet2!$A:$A,L$2),"")</f>
        <v/>
      </c>
      <c r="M237" s="42" t="str">
        <f>IF(SUMIFS(Sheet2!$E:$E,Sheet2!$C:$C,$A237,Sheet2!$A:$A,M$2)&lt;&gt;0,SUMIFS(Sheet2!$E:$E,Sheet2!$C:$C,$A237,Sheet2!$A:$A,M$2),"")</f>
        <v/>
      </c>
      <c r="N237" s="42" t="str">
        <f>IF(SUMIFS(Sheet2!$E:$E,Sheet2!$C:$C,$A237,Sheet2!$A:$A,N$2)&lt;&gt;0,SUMIFS(Sheet2!$E:$E,Sheet2!$C:$C,$A237,Sheet2!$A:$A,N$2),"")</f>
        <v/>
      </c>
      <c r="O237" s="42" t="str">
        <f>IF(SUMIFS(Sheet2!$E:$E,Sheet2!$C:$C,$A237,Sheet2!$A:$A,O$2)&lt;&gt;0,SUMIFS(Sheet2!$E:$E,Sheet2!$C:$C,$A237,Sheet2!$A:$A,O$2),"")</f>
        <v/>
      </c>
      <c r="P237" s="42" t="str">
        <f>IF(SUMIFS(Sheet2!$E:$E,Sheet2!$C:$C,$A237,Sheet2!$A:$A,P$2)&lt;&gt;0,SUMIFS(Sheet2!$E:$E,Sheet2!$C:$C,$A237,Sheet2!$A:$A,P$2),"")</f>
        <v/>
      </c>
      <c r="Q237" s="42" t="str">
        <f>IF(SUMIFS(Sheet2!$E:$E,Sheet2!$C:$C,$A237,Sheet2!$A:$A,Q$2)&lt;&gt;0,SUMIFS(Sheet2!$E:$E,Sheet2!$C:$C,$A237,Sheet2!$A:$A,Q$2),"")</f>
        <v/>
      </c>
      <c r="R237" s="42" t="str">
        <f>IF(SUMIFS(Sheet2!$E:$E,Sheet2!$C:$C,$A237,Sheet2!$A:$A,R$2)&lt;&gt;0,SUMIFS(Sheet2!$E:$E,Sheet2!$C:$C,$A237,Sheet2!$A:$A,R$2),"")</f>
        <v/>
      </c>
      <c r="S237" s="42" t="str">
        <f>IF(SUMIFS(Sheet2!$E:$E,Sheet2!$C:$C,$A237,Sheet2!$A:$A,S$2)&lt;&gt;0,SUMIFS(Sheet2!$E:$E,Sheet2!$C:$C,$A237,Sheet2!$A:$A,S$2),"")</f>
        <v/>
      </c>
      <c r="T237" s="42" t="str">
        <f>IF(SUMIFS(Sheet2!$E:$E,Sheet2!$C:$C,$A237,Sheet2!$A:$A,T$2)&lt;&gt;0,SUMIFS(Sheet2!$E:$E,Sheet2!$C:$C,$A237,Sheet2!$A:$A,T$2),"")</f>
        <v/>
      </c>
      <c r="U237" s="42" t="str">
        <f>IF(SUMIFS(Sheet2!$E:$E,Sheet2!$C:$C,$A237,Sheet2!$A:$A,U$2)&lt;&gt;0,SUMIFS(Sheet2!$E:$E,Sheet2!$C:$C,$A237,Sheet2!$A:$A,U$2),"")</f>
        <v/>
      </c>
      <c r="V237" s="42" t="str">
        <f>IF(SUMIFS(Sheet2!$E:$E,Sheet2!$C:$C,$A237,Sheet2!$A:$A,V$2)&lt;&gt;0,SUMIFS(Sheet2!$E:$E,Sheet2!$C:$C,$A237,Sheet2!$A:$A,V$2),"")</f>
        <v/>
      </c>
      <c r="W237" s="42" t="str">
        <f>IF(SUMIFS(Sheet2!$E:$E,Sheet2!$C:$C,$A237,Sheet2!$A:$A,W$2)&lt;&gt;0,SUMIFS(Sheet2!$E:$E,Sheet2!$C:$C,$A237,Sheet2!$A:$A,W$2),"")</f>
        <v/>
      </c>
      <c r="X237" s="42" t="str">
        <f>IF(SUMIFS(Sheet2!$E:$E,Sheet2!$C:$C,$A237,Sheet2!$A:$A,X$2)&lt;&gt;0,SUMIFS(Sheet2!$E:$E,Sheet2!$C:$C,$A237,Sheet2!$A:$A,X$2),"")</f>
        <v/>
      </c>
      <c r="Y237" s="42" t="str">
        <f>IF(SUMIFS(Sheet2!$E:$E,Sheet2!$C:$C,$A237,Sheet2!$A:$A,Y$2)&lt;&gt;0,SUMIFS(Sheet2!$E:$E,Sheet2!$C:$C,$A237,Sheet2!$A:$A,Y$2),"")</f>
        <v/>
      </c>
      <c r="Z237" s="42" t="str">
        <f>IF(SUMIFS(Sheet2!$E:$E,Sheet2!$C:$C,$A237,Sheet2!$A:$A,Z$2)&lt;&gt;0,SUMIFS(Sheet2!$E:$E,Sheet2!$C:$C,$A237,Sheet2!$A:$A,Z$2),"")</f>
        <v/>
      </c>
      <c r="AA237" s="42" t="str">
        <f>IF(SUMIFS(Sheet2!$E:$E,Sheet2!$C:$C,$A237,Sheet2!$A:$A,AA$2)&lt;&gt;0,SUMIFS(Sheet2!$E:$E,Sheet2!$C:$C,$A237,Sheet2!$A:$A,AA$2),"")</f>
        <v/>
      </c>
      <c r="AB237" s="42" t="str">
        <f>IF(SUMIFS(Sheet2!$E:$E,Sheet2!$C:$C,$A237,Sheet2!$A:$A,AB$2)&lt;&gt;0,SUMIFS(Sheet2!$E:$E,Sheet2!$C:$C,$A237,Sheet2!$A:$A,AB$2),"")</f>
        <v/>
      </c>
      <c r="AC237" s="42" t="str">
        <f>IF(SUMIFS(Sheet2!$E:$E,Sheet2!$C:$C,$A237,Sheet2!$A:$A,AC$2)&lt;&gt;0,SUMIFS(Sheet2!$E:$E,Sheet2!$C:$C,$A237,Sheet2!$A:$A,AC$2),"")</f>
        <v/>
      </c>
      <c r="AD237" s="42" t="str">
        <f>IF(SUMIFS(Sheet2!$E:$E,Sheet2!$C:$C,$A237,Sheet2!$A:$A,AD$2)&lt;&gt;0,SUMIFS(Sheet2!$E:$E,Sheet2!$C:$C,$A237,Sheet2!$A:$A,AD$2),"")</f>
        <v/>
      </c>
      <c r="AE237" s="42" t="str">
        <f>IF(SUMIFS(Sheet2!$E:$E,Sheet2!$C:$C,$A237,Sheet2!$A:$A,AE$2)&lt;&gt;0,SUMIFS(Sheet2!$E:$E,Sheet2!$C:$C,$A237,Sheet2!$A:$A,AE$2),"")</f>
        <v/>
      </c>
      <c r="AF237" s="42" t="str">
        <f>IF(SUMIFS(Sheet2!$E:$E,Sheet2!$C:$C,$A237,Sheet2!$A:$A,AF$2)&lt;&gt;0,SUMIFS(Sheet2!$E:$E,Sheet2!$C:$C,$A237,Sheet2!$A:$A,AF$2),"")</f>
        <v/>
      </c>
      <c r="AG237" s="42" t="str">
        <f>IF(SUMIFS(Sheet2!$E:$E,Sheet2!$C:$C,$A237,Sheet2!$A:$A,AG$2)&lt;&gt;0,SUMIFS(Sheet2!$E:$E,Sheet2!$C:$C,$A237,Sheet2!$A:$A,AG$2),"")</f>
        <v/>
      </c>
      <c r="AH237" s="43">
        <f>SUM(Table2[[#This Row],[1]:[31]])</f>
        <v>0</v>
      </c>
    </row>
    <row r="238" spans="1:34" ht="12.75" customHeight="1">
      <c r="A238" s="76" t="str">
        <f>DSSP!A237</f>
        <v>GC162</v>
      </c>
      <c r="B238" s="25" t="str">
        <f>DSSP!B237</f>
        <v>Tháp Eiffel trong tranh</v>
      </c>
      <c r="C238" s="42" t="str">
        <f>IF(SUMIFS(Sheet2!$E:$E,Sheet2!$C:$C,$A238,Sheet2!$A:$A,C$2)&lt;&gt;0,SUMIFS(Sheet2!$E:$E,Sheet2!$C:$C,$A238,Sheet2!$A:$A,C$2),"")</f>
        <v/>
      </c>
      <c r="D238" s="42" t="str">
        <f>IF(SUMIFS(Sheet2!$E:$E,Sheet2!$C:$C,$A238,Sheet2!$A:$A,D$2)&lt;&gt;0,SUMIFS(Sheet2!$E:$E,Sheet2!$C:$C,$A238,Sheet2!$A:$A,D$2),"")</f>
        <v/>
      </c>
      <c r="E238" s="42" t="str">
        <f>IF(SUMIFS(Sheet2!$E:$E,Sheet2!$C:$C,$A238,Sheet2!$A:$A,E$2)&lt;&gt;0,SUMIFS(Sheet2!$E:$E,Sheet2!$C:$C,$A238,Sheet2!$A:$A,E$2),"")</f>
        <v/>
      </c>
      <c r="F238" s="42" t="str">
        <f>IF(SUMIFS(Sheet2!$E:$E,Sheet2!$C:$C,$A238,Sheet2!$A:$A,F$2)&lt;&gt;0,SUMIFS(Sheet2!$E:$E,Sheet2!$C:$C,$A238,Sheet2!$A:$A,F$2),"")</f>
        <v/>
      </c>
      <c r="G238" s="42" t="str">
        <f>IF(SUMIFS(Sheet2!$E:$E,Sheet2!$C:$C,$A238,Sheet2!$A:$A,G$2)&lt;&gt;0,SUMIFS(Sheet2!$E:$E,Sheet2!$C:$C,$A238,Sheet2!$A:$A,G$2),"")</f>
        <v/>
      </c>
      <c r="H238" s="42" t="str">
        <f>IF(SUMIFS(Sheet2!$E:$E,Sheet2!$C:$C,$A238,Sheet2!$A:$A,H$2)&lt;&gt;0,SUMIFS(Sheet2!$E:$E,Sheet2!$C:$C,$A238,Sheet2!$A:$A,H$2),"")</f>
        <v/>
      </c>
      <c r="I238" s="42" t="str">
        <f>IF(SUMIFS(Sheet2!$E:$E,Sheet2!$C:$C,$A238,Sheet2!$A:$A,I$2)&lt;&gt;0,SUMIFS(Sheet2!$E:$E,Sheet2!$C:$C,$A238,Sheet2!$A:$A,I$2),"")</f>
        <v/>
      </c>
      <c r="J238" s="42" t="str">
        <f>IF(SUMIFS(Sheet2!$E:$E,Sheet2!$C:$C,$A238,Sheet2!$A:$A,J$2)&lt;&gt;0,SUMIFS(Sheet2!$E:$E,Sheet2!$C:$C,$A238,Sheet2!$A:$A,J$2),"")</f>
        <v/>
      </c>
      <c r="K238" s="42" t="str">
        <f>IF(SUMIFS(Sheet2!$E:$E,Sheet2!$C:$C,$A238,Sheet2!$A:$A,K$2)&lt;&gt;0,SUMIFS(Sheet2!$E:$E,Sheet2!$C:$C,$A238,Sheet2!$A:$A,K$2),"")</f>
        <v/>
      </c>
      <c r="L238" s="42" t="str">
        <f>IF(SUMIFS(Sheet2!$E:$E,Sheet2!$C:$C,$A238,Sheet2!$A:$A,L$2)&lt;&gt;0,SUMIFS(Sheet2!$E:$E,Sheet2!$C:$C,$A238,Sheet2!$A:$A,L$2),"")</f>
        <v/>
      </c>
      <c r="M238" s="42" t="str">
        <f>IF(SUMIFS(Sheet2!$E:$E,Sheet2!$C:$C,$A238,Sheet2!$A:$A,M$2)&lt;&gt;0,SUMIFS(Sheet2!$E:$E,Sheet2!$C:$C,$A238,Sheet2!$A:$A,M$2),"")</f>
        <v/>
      </c>
      <c r="N238" s="42" t="str">
        <f>IF(SUMIFS(Sheet2!$E:$E,Sheet2!$C:$C,$A238,Sheet2!$A:$A,N$2)&lt;&gt;0,SUMIFS(Sheet2!$E:$E,Sheet2!$C:$C,$A238,Sheet2!$A:$A,N$2),"")</f>
        <v/>
      </c>
      <c r="O238" s="42" t="str">
        <f>IF(SUMIFS(Sheet2!$E:$E,Sheet2!$C:$C,$A238,Sheet2!$A:$A,O$2)&lt;&gt;0,SUMIFS(Sheet2!$E:$E,Sheet2!$C:$C,$A238,Sheet2!$A:$A,O$2),"")</f>
        <v/>
      </c>
      <c r="P238" s="42" t="str">
        <f>IF(SUMIFS(Sheet2!$E:$E,Sheet2!$C:$C,$A238,Sheet2!$A:$A,P$2)&lt;&gt;0,SUMIFS(Sheet2!$E:$E,Sheet2!$C:$C,$A238,Sheet2!$A:$A,P$2),"")</f>
        <v/>
      </c>
      <c r="Q238" s="42" t="str">
        <f>IF(SUMIFS(Sheet2!$E:$E,Sheet2!$C:$C,$A238,Sheet2!$A:$A,Q$2)&lt;&gt;0,SUMIFS(Sheet2!$E:$E,Sheet2!$C:$C,$A238,Sheet2!$A:$A,Q$2),"")</f>
        <v/>
      </c>
      <c r="R238" s="42" t="str">
        <f>IF(SUMIFS(Sheet2!$E:$E,Sheet2!$C:$C,$A238,Sheet2!$A:$A,R$2)&lt;&gt;0,SUMIFS(Sheet2!$E:$E,Sheet2!$C:$C,$A238,Sheet2!$A:$A,R$2),"")</f>
        <v/>
      </c>
      <c r="S238" s="42" t="str">
        <f>IF(SUMIFS(Sheet2!$E:$E,Sheet2!$C:$C,$A238,Sheet2!$A:$A,S$2)&lt;&gt;0,SUMIFS(Sheet2!$E:$E,Sheet2!$C:$C,$A238,Sheet2!$A:$A,S$2),"")</f>
        <v/>
      </c>
      <c r="T238" s="42" t="str">
        <f>IF(SUMIFS(Sheet2!$E:$E,Sheet2!$C:$C,$A238,Sheet2!$A:$A,T$2)&lt;&gt;0,SUMIFS(Sheet2!$E:$E,Sheet2!$C:$C,$A238,Sheet2!$A:$A,T$2),"")</f>
        <v/>
      </c>
      <c r="U238" s="42" t="str">
        <f>IF(SUMIFS(Sheet2!$E:$E,Sheet2!$C:$C,$A238,Sheet2!$A:$A,U$2)&lt;&gt;0,SUMIFS(Sheet2!$E:$E,Sheet2!$C:$C,$A238,Sheet2!$A:$A,U$2),"")</f>
        <v/>
      </c>
      <c r="V238" s="42" t="str">
        <f>IF(SUMIFS(Sheet2!$E:$E,Sheet2!$C:$C,$A238,Sheet2!$A:$A,V$2)&lt;&gt;0,SUMIFS(Sheet2!$E:$E,Sheet2!$C:$C,$A238,Sheet2!$A:$A,V$2),"")</f>
        <v/>
      </c>
      <c r="W238" s="42" t="str">
        <f>IF(SUMIFS(Sheet2!$E:$E,Sheet2!$C:$C,$A238,Sheet2!$A:$A,W$2)&lt;&gt;0,SUMIFS(Sheet2!$E:$E,Sheet2!$C:$C,$A238,Sheet2!$A:$A,W$2),"")</f>
        <v/>
      </c>
      <c r="X238" s="42" t="str">
        <f>IF(SUMIFS(Sheet2!$E:$E,Sheet2!$C:$C,$A238,Sheet2!$A:$A,X$2)&lt;&gt;0,SUMIFS(Sheet2!$E:$E,Sheet2!$C:$C,$A238,Sheet2!$A:$A,X$2),"")</f>
        <v/>
      </c>
      <c r="Y238" s="42" t="str">
        <f>IF(SUMIFS(Sheet2!$E:$E,Sheet2!$C:$C,$A238,Sheet2!$A:$A,Y$2)&lt;&gt;0,SUMIFS(Sheet2!$E:$E,Sheet2!$C:$C,$A238,Sheet2!$A:$A,Y$2),"")</f>
        <v/>
      </c>
      <c r="Z238" s="42" t="str">
        <f>IF(SUMIFS(Sheet2!$E:$E,Sheet2!$C:$C,$A238,Sheet2!$A:$A,Z$2)&lt;&gt;0,SUMIFS(Sheet2!$E:$E,Sheet2!$C:$C,$A238,Sheet2!$A:$A,Z$2),"")</f>
        <v/>
      </c>
      <c r="AA238" s="42" t="str">
        <f>IF(SUMIFS(Sheet2!$E:$E,Sheet2!$C:$C,$A238,Sheet2!$A:$A,AA$2)&lt;&gt;0,SUMIFS(Sheet2!$E:$E,Sheet2!$C:$C,$A238,Sheet2!$A:$A,AA$2),"")</f>
        <v/>
      </c>
      <c r="AB238" s="42" t="str">
        <f>IF(SUMIFS(Sheet2!$E:$E,Sheet2!$C:$C,$A238,Sheet2!$A:$A,AB$2)&lt;&gt;0,SUMIFS(Sheet2!$E:$E,Sheet2!$C:$C,$A238,Sheet2!$A:$A,AB$2),"")</f>
        <v/>
      </c>
      <c r="AC238" s="42" t="str">
        <f>IF(SUMIFS(Sheet2!$E:$E,Sheet2!$C:$C,$A238,Sheet2!$A:$A,AC$2)&lt;&gt;0,SUMIFS(Sheet2!$E:$E,Sheet2!$C:$C,$A238,Sheet2!$A:$A,AC$2),"")</f>
        <v/>
      </c>
      <c r="AD238" s="42" t="str">
        <f>IF(SUMIFS(Sheet2!$E:$E,Sheet2!$C:$C,$A238,Sheet2!$A:$A,AD$2)&lt;&gt;0,SUMIFS(Sheet2!$E:$E,Sheet2!$C:$C,$A238,Sheet2!$A:$A,AD$2),"")</f>
        <v/>
      </c>
      <c r="AE238" s="42" t="str">
        <f>IF(SUMIFS(Sheet2!$E:$E,Sheet2!$C:$C,$A238,Sheet2!$A:$A,AE$2)&lt;&gt;0,SUMIFS(Sheet2!$E:$E,Sheet2!$C:$C,$A238,Sheet2!$A:$A,AE$2),"")</f>
        <v/>
      </c>
      <c r="AF238" s="42" t="str">
        <f>IF(SUMIFS(Sheet2!$E:$E,Sheet2!$C:$C,$A238,Sheet2!$A:$A,AF$2)&lt;&gt;0,SUMIFS(Sheet2!$E:$E,Sheet2!$C:$C,$A238,Sheet2!$A:$A,AF$2),"")</f>
        <v/>
      </c>
      <c r="AG238" s="42" t="str">
        <f>IF(SUMIFS(Sheet2!$E:$E,Sheet2!$C:$C,$A238,Sheet2!$A:$A,AG$2)&lt;&gt;0,SUMIFS(Sheet2!$E:$E,Sheet2!$C:$C,$A238,Sheet2!$A:$A,AG$2),"")</f>
        <v/>
      </c>
      <c r="AH238" s="43">
        <f>SUM(Table2[[#This Row],[1]:[31]])</f>
        <v>0</v>
      </c>
    </row>
    <row r="239" spans="1:34" ht="12.75" customHeight="1">
      <c r="A239" s="76" t="str">
        <f>DSSP!A238</f>
        <v>GC163</v>
      </c>
      <c r="B239" s="25" t="str">
        <f>DSSP!B238</f>
        <v>Cỏ bốn lá viền nhỏ xinh</v>
      </c>
      <c r="C239" s="42" t="str">
        <f>IF(SUMIFS(Sheet2!$E:$E,Sheet2!$C:$C,$A239,Sheet2!$A:$A,C$2)&lt;&gt;0,SUMIFS(Sheet2!$E:$E,Sheet2!$C:$C,$A239,Sheet2!$A:$A,C$2),"")</f>
        <v/>
      </c>
      <c r="D239" s="42" t="str">
        <f>IF(SUMIFS(Sheet2!$E:$E,Sheet2!$C:$C,$A239,Sheet2!$A:$A,D$2)&lt;&gt;0,SUMIFS(Sheet2!$E:$E,Sheet2!$C:$C,$A239,Sheet2!$A:$A,D$2),"")</f>
        <v/>
      </c>
      <c r="E239" s="42" t="str">
        <f>IF(SUMIFS(Sheet2!$E:$E,Sheet2!$C:$C,$A239,Sheet2!$A:$A,E$2)&lt;&gt;0,SUMIFS(Sheet2!$E:$E,Sheet2!$C:$C,$A239,Sheet2!$A:$A,E$2),"")</f>
        <v/>
      </c>
      <c r="F239" s="42" t="str">
        <f>IF(SUMIFS(Sheet2!$E:$E,Sheet2!$C:$C,$A239,Sheet2!$A:$A,F$2)&lt;&gt;0,SUMIFS(Sheet2!$E:$E,Sheet2!$C:$C,$A239,Sheet2!$A:$A,F$2),"")</f>
        <v/>
      </c>
      <c r="G239" s="42" t="str">
        <f>IF(SUMIFS(Sheet2!$E:$E,Sheet2!$C:$C,$A239,Sheet2!$A:$A,G$2)&lt;&gt;0,SUMIFS(Sheet2!$E:$E,Sheet2!$C:$C,$A239,Sheet2!$A:$A,G$2),"")</f>
        <v/>
      </c>
      <c r="H239" s="42" t="str">
        <f>IF(SUMIFS(Sheet2!$E:$E,Sheet2!$C:$C,$A239,Sheet2!$A:$A,H$2)&lt;&gt;0,SUMIFS(Sheet2!$E:$E,Sheet2!$C:$C,$A239,Sheet2!$A:$A,H$2),"")</f>
        <v/>
      </c>
      <c r="I239" s="42" t="str">
        <f>IF(SUMIFS(Sheet2!$E:$E,Sheet2!$C:$C,$A239,Sheet2!$A:$A,I$2)&lt;&gt;0,SUMIFS(Sheet2!$E:$E,Sheet2!$C:$C,$A239,Sheet2!$A:$A,I$2),"")</f>
        <v/>
      </c>
      <c r="J239" s="42" t="str">
        <f>IF(SUMIFS(Sheet2!$E:$E,Sheet2!$C:$C,$A239,Sheet2!$A:$A,J$2)&lt;&gt;0,SUMIFS(Sheet2!$E:$E,Sheet2!$C:$C,$A239,Sheet2!$A:$A,J$2),"")</f>
        <v/>
      </c>
      <c r="K239" s="42" t="str">
        <f>IF(SUMIFS(Sheet2!$E:$E,Sheet2!$C:$C,$A239,Sheet2!$A:$A,K$2)&lt;&gt;0,SUMIFS(Sheet2!$E:$E,Sheet2!$C:$C,$A239,Sheet2!$A:$A,K$2),"")</f>
        <v/>
      </c>
      <c r="L239" s="42" t="str">
        <f>IF(SUMIFS(Sheet2!$E:$E,Sheet2!$C:$C,$A239,Sheet2!$A:$A,L$2)&lt;&gt;0,SUMIFS(Sheet2!$E:$E,Sheet2!$C:$C,$A239,Sheet2!$A:$A,L$2),"")</f>
        <v/>
      </c>
      <c r="M239" s="42" t="str">
        <f>IF(SUMIFS(Sheet2!$E:$E,Sheet2!$C:$C,$A239,Sheet2!$A:$A,M$2)&lt;&gt;0,SUMIFS(Sheet2!$E:$E,Sheet2!$C:$C,$A239,Sheet2!$A:$A,M$2),"")</f>
        <v/>
      </c>
      <c r="N239" s="42" t="str">
        <f>IF(SUMIFS(Sheet2!$E:$E,Sheet2!$C:$C,$A239,Sheet2!$A:$A,N$2)&lt;&gt;0,SUMIFS(Sheet2!$E:$E,Sheet2!$C:$C,$A239,Sheet2!$A:$A,N$2),"")</f>
        <v/>
      </c>
      <c r="O239" s="42" t="str">
        <f>IF(SUMIFS(Sheet2!$E:$E,Sheet2!$C:$C,$A239,Sheet2!$A:$A,O$2)&lt;&gt;0,SUMIFS(Sheet2!$E:$E,Sheet2!$C:$C,$A239,Sheet2!$A:$A,O$2),"")</f>
        <v/>
      </c>
      <c r="P239" s="42" t="str">
        <f>IF(SUMIFS(Sheet2!$E:$E,Sheet2!$C:$C,$A239,Sheet2!$A:$A,P$2)&lt;&gt;0,SUMIFS(Sheet2!$E:$E,Sheet2!$C:$C,$A239,Sheet2!$A:$A,P$2),"")</f>
        <v/>
      </c>
      <c r="Q239" s="42" t="str">
        <f>IF(SUMIFS(Sheet2!$E:$E,Sheet2!$C:$C,$A239,Sheet2!$A:$A,Q$2)&lt;&gt;0,SUMIFS(Sheet2!$E:$E,Sheet2!$C:$C,$A239,Sheet2!$A:$A,Q$2),"")</f>
        <v/>
      </c>
      <c r="R239" s="42" t="str">
        <f>IF(SUMIFS(Sheet2!$E:$E,Sheet2!$C:$C,$A239,Sheet2!$A:$A,R$2)&lt;&gt;0,SUMIFS(Sheet2!$E:$E,Sheet2!$C:$C,$A239,Sheet2!$A:$A,R$2),"")</f>
        <v/>
      </c>
      <c r="S239" s="42" t="str">
        <f>IF(SUMIFS(Sheet2!$E:$E,Sheet2!$C:$C,$A239,Sheet2!$A:$A,S$2)&lt;&gt;0,SUMIFS(Sheet2!$E:$E,Sheet2!$C:$C,$A239,Sheet2!$A:$A,S$2),"")</f>
        <v/>
      </c>
      <c r="T239" s="42" t="str">
        <f>IF(SUMIFS(Sheet2!$E:$E,Sheet2!$C:$C,$A239,Sheet2!$A:$A,T$2)&lt;&gt;0,SUMIFS(Sheet2!$E:$E,Sheet2!$C:$C,$A239,Sheet2!$A:$A,T$2),"")</f>
        <v/>
      </c>
      <c r="U239" s="42" t="str">
        <f>IF(SUMIFS(Sheet2!$E:$E,Sheet2!$C:$C,$A239,Sheet2!$A:$A,U$2)&lt;&gt;0,SUMIFS(Sheet2!$E:$E,Sheet2!$C:$C,$A239,Sheet2!$A:$A,U$2),"")</f>
        <v/>
      </c>
      <c r="V239" s="42" t="str">
        <f>IF(SUMIFS(Sheet2!$E:$E,Sheet2!$C:$C,$A239,Sheet2!$A:$A,V$2)&lt;&gt;0,SUMIFS(Sheet2!$E:$E,Sheet2!$C:$C,$A239,Sheet2!$A:$A,V$2),"")</f>
        <v/>
      </c>
      <c r="W239" s="42" t="str">
        <f>IF(SUMIFS(Sheet2!$E:$E,Sheet2!$C:$C,$A239,Sheet2!$A:$A,W$2)&lt;&gt;0,SUMIFS(Sheet2!$E:$E,Sheet2!$C:$C,$A239,Sheet2!$A:$A,W$2),"")</f>
        <v/>
      </c>
      <c r="X239" s="42" t="str">
        <f>IF(SUMIFS(Sheet2!$E:$E,Sheet2!$C:$C,$A239,Sheet2!$A:$A,X$2)&lt;&gt;0,SUMIFS(Sheet2!$E:$E,Sheet2!$C:$C,$A239,Sheet2!$A:$A,X$2),"")</f>
        <v/>
      </c>
      <c r="Y239" s="42" t="str">
        <f>IF(SUMIFS(Sheet2!$E:$E,Sheet2!$C:$C,$A239,Sheet2!$A:$A,Y$2)&lt;&gt;0,SUMIFS(Sheet2!$E:$E,Sheet2!$C:$C,$A239,Sheet2!$A:$A,Y$2),"")</f>
        <v/>
      </c>
      <c r="Z239" s="42" t="str">
        <f>IF(SUMIFS(Sheet2!$E:$E,Sheet2!$C:$C,$A239,Sheet2!$A:$A,Z$2)&lt;&gt;0,SUMIFS(Sheet2!$E:$E,Sheet2!$C:$C,$A239,Sheet2!$A:$A,Z$2),"")</f>
        <v/>
      </c>
      <c r="AA239" s="42" t="str">
        <f>IF(SUMIFS(Sheet2!$E:$E,Sheet2!$C:$C,$A239,Sheet2!$A:$A,AA$2)&lt;&gt;0,SUMIFS(Sheet2!$E:$E,Sheet2!$C:$C,$A239,Sheet2!$A:$A,AA$2),"")</f>
        <v/>
      </c>
      <c r="AB239" s="42" t="str">
        <f>IF(SUMIFS(Sheet2!$E:$E,Sheet2!$C:$C,$A239,Sheet2!$A:$A,AB$2)&lt;&gt;0,SUMIFS(Sheet2!$E:$E,Sheet2!$C:$C,$A239,Sheet2!$A:$A,AB$2),"")</f>
        <v/>
      </c>
      <c r="AC239" s="42" t="str">
        <f>IF(SUMIFS(Sheet2!$E:$E,Sheet2!$C:$C,$A239,Sheet2!$A:$A,AC$2)&lt;&gt;0,SUMIFS(Sheet2!$E:$E,Sheet2!$C:$C,$A239,Sheet2!$A:$A,AC$2),"")</f>
        <v/>
      </c>
      <c r="AD239" s="42" t="str">
        <f>IF(SUMIFS(Sheet2!$E:$E,Sheet2!$C:$C,$A239,Sheet2!$A:$A,AD$2)&lt;&gt;0,SUMIFS(Sheet2!$E:$E,Sheet2!$C:$C,$A239,Sheet2!$A:$A,AD$2),"")</f>
        <v/>
      </c>
      <c r="AE239" s="42" t="str">
        <f>IF(SUMIFS(Sheet2!$E:$E,Sheet2!$C:$C,$A239,Sheet2!$A:$A,AE$2)&lt;&gt;0,SUMIFS(Sheet2!$E:$E,Sheet2!$C:$C,$A239,Sheet2!$A:$A,AE$2),"")</f>
        <v/>
      </c>
      <c r="AF239" s="42" t="str">
        <f>IF(SUMIFS(Sheet2!$E:$E,Sheet2!$C:$C,$A239,Sheet2!$A:$A,AF$2)&lt;&gt;0,SUMIFS(Sheet2!$E:$E,Sheet2!$C:$C,$A239,Sheet2!$A:$A,AF$2),"")</f>
        <v/>
      </c>
      <c r="AG239" s="42" t="str">
        <f>IF(SUMIFS(Sheet2!$E:$E,Sheet2!$C:$C,$A239,Sheet2!$A:$A,AG$2)&lt;&gt;0,SUMIFS(Sheet2!$E:$E,Sheet2!$C:$C,$A239,Sheet2!$A:$A,AG$2),"")</f>
        <v/>
      </c>
      <c r="AH239" s="43">
        <f>SUM(Table2[[#This Row],[1]:[31]])</f>
        <v>0</v>
      </c>
    </row>
    <row r="240" spans="1:34" ht="12.75" customHeight="1">
      <c r="A240" s="76" t="str">
        <f>DSSP!A239</f>
        <v>GC164</v>
      </c>
      <c r="B240" s="25" t="str">
        <f>DSSP!B239</f>
        <v>Đồng hồ báo thức</v>
      </c>
      <c r="C240" s="42" t="str">
        <f>IF(SUMIFS(Sheet2!$E:$E,Sheet2!$C:$C,$A240,Sheet2!$A:$A,C$2)&lt;&gt;0,SUMIFS(Sheet2!$E:$E,Sheet2!$C:$C,$A240,Sheet2!$A:$A,C$2),"")</f>
        <v/>
      </c>
      <c r="D240" s="42" t="str">
        <f>IF(SUMIFS(Sheet2!$E:$E,Sheet2!$C:$C,$A240,Sheet2!$A:$A,D$2)&lt;&gt;0,SUMIFS(Sheet2!$E:$E,Sheet2!$C:$C,$A240,Sheet2!$A:$A,D$2),"")</f>
        <v/>
      </c>
      <c r="E240" s="42" t="str">
        <f>IF(SUMIFS(Sheet2!$E:$E,Sheet2!$C:$C,$A240,Sheet2!$A:$A,E$2)&lt;&gt;0,SUMIFS(Sheet2!$E:$E,Sheet2!$C:$C,$A240,Sheet2!$A:$A,E$2),"")</f>
        <v/>
      </c>
      <c r="F240" s="42" t="str">
        <f>IF(SUMIFS(Sheet2!$E:$E,Sheet2!$C:$C,$A240,Sheet2!$A:$A,F$2)&lt;&gt;0,SUMIFS(Sheet2!$E:$E,Sheet2!$C:$C,$A240,Sheet2!$A:$A,F$2),"")</f>
        <v/>
      </c>
      <c r="G240" s="42" t="str">
        <f>IF(SUMIFS(Sheet2!$E:$E,Sheet2!$C:$C,$A240,Sheet2!$A:$A,G$2)&lt;&gt;0,SUMIFS(Sheet2!$E:$E,Sheet2!$C:$C,$A240,Sheet2!$A:$A,G$2),"")</f>
        <v/>
      </c>
      <c r="H240" s="42" t="str">
        <f>IF(SUMIFS(Sheet2!$E:$E,Sheet2!$C:$C,$A240,Sheet2!$A:$A,H$2)&lt;&gt;0,SUMIFS(Sheet2!$E:$E,Sheet2!$C:$C,$A240,Sheet2!$A:$A,H$2),"")</f>
        <v/>
      </c>
      <c r="I240" s="42" t="str">
        <f>IF(SUMIFS(Sheet2!$E:$E,Sheet2!$C:$C,$A240,Sheet2!$A:$A,I$2)&lt;&gt;0,SUMIFS(Sheet2!$E:$E,Sheet2!$C:$C,$A240,Sheet2!$A:$A,I$2),"")</f>
        <v/>
      </c>
      <c r="J240" s="42" t="str">
        <f>IF(SUMIFS(Sheet2!$E:$E,Sheet2!$C:$C,$A240,Sheet2!$A:$A,J$2)&lt;&gt;0,SUMIFS(Sheet2!$E:$E,Sheet2!$C:$C,$A240,Sheet2!$A:$A,J$2),"")</f>
        <v/>
      </c>
      <c r="K240" s="42" t="str">
        <f>IF(SUMIFS(Sheet2!$E:$E,Sheet2!$C:$C,$A240,Sheet2!$A:$A,K$2)&lt;&gt;0,SUMIFS(Sheet2!$E:$E,Sheet2!$C:$C,$A240,Sheet2!$A:$A,K$2),"")</f>
        <v/>
      </c>
      <c r="L240" s="42" t="str">
        <f>IF(SUMIFS(Sheet2!$E:$E,Sheet2!$C:$C,$A240,Sheet2!$A:$A,L$2)&lt;&gt;0,SUMIFS(Sheet2!$E:$E,Sheet2!$C:$C,$A240,Sheet2!$A:$A,L$2),"")</f>
        <v/>
      </c>
      <c r="M240" s="42" t="str">
        <f>IF(SUMIFS(Sheet2!$E:$E,Sheet2!$C:$C,$A240,Sheet2!$A:$A,M$2)&lt;&gt;0,SUMIFS(Sheet2!$E:$E,Sheet2!$C:$C,$A240,Sheet2!$A:$A,M$2),"")</f>
        <v/>
      </c>
      <c r="N240" s="42" t="str">
        <f>IF(SUMIFS(Sheet2!$E:$E,Sheet2!$C:$C,$A240,Sheet2!$A:$A,N$2)&lt;&gt;0,SUMIFS(Sheet2!$E:$E,Sheet2!$C:$C,$A240,Sheet2!$A:$A,N$2),"")</f>
        <v/>
      </c>
      <c r="O240" s="42" t="str">
        <f>IF(SUMIFS(Sheet2!$E:$E,Sheet2!$C:$C,$A240,Sheet2!$A:$A,O$2)&lt;&gt;0,SUMIFS(Sheet2!$E:$E,Sheet2!$C:$C,$A240,Sheet2!$A:$A,O$2),"")</f>
        <v/>
      </c>
      <c r="P240" s="42" t="str">
        <f>IF(SUMIFS(Sheet2!$E:$E,Sheet2!$C:$C,$A240,Sheet2!$A:$A,P$2)&lt;&gt;0,SUMIFS(Sheet2!$E:$E,Sheet2!$C:$C,$A240,Sheet2!$A:$A,P$2),"")</f>
        <v/>
      </c>
      <c r="Q240" s="42" t="str">
        <f>IF(SUMIFS(Sheet2!$E:$E,Sheet2!$C:$C,$A240,Sheet2!$A:$A,Q$2)&lt;&gt;0,SUMIFS(Sheet2!$E:$E,Sheet2!$C:$C,$A240,Sheet2!$A:$A,Q$2),"")</f>
        <v/>
      </c>
      <c r="R240" s="42" t="str">
        <f>IF(SUMIFS(Sheet2!$E:$E,Sheet2!$C:$C,$A240,Sheet2!$A:$A,R$2)&lt;&gt;0,SUMIFS(Sheet2!$E:$E,Sheet2!$C:$C,$A240,Sheet2!$A:$A,R$2),"")</f>
        <v/>
      </c>
      <c r="S240" s="42" t="str">
        <f>IF(SUMIFS(Sheet2!$E:$E,Sheet2!$C:$C,$A240,Sheet2!$A:$A,S$2)&lt;&gt;0,SUMIFS(Sheet2!$E:$E,Sheet2!$C:$C,$A240,Sheet2!$A:$A,S$2),"")</f>
        <v/>
      </c>
      <c r="T240" s="42" t="str">
        <f>IF(SUMIFS(Sheet2!$E:$E,Sheet2!$C:$C,$A240,Sheet2!$A:$A,T$2)&lt;&gt;0,SUMIFS(Sheet2!$E:$E,Sheet2!$C:$C,$A240,Sheet2!$A:$A,T$2),"")</f>
        <v/>
      </c>
      <c r="U240" s="42" t="str">
        <f>IF(SUMIFS(Sheet2!$E:$E,Sheet2!$C:$C,$A240,Sheet2!$A:$A,U$2)&lt;&gt;0,SUMIFS(Sheet2!$E:$E,Sheet2!$C:$C,$A240,Sheet2!$A:$A,U$2),"")</f>
        <v/>
      </c>
      <c r="V240" s="42" t="str">
        <f>IF(SUMIFS(Sheet2!$E:$E,Sheet2!$C:$C,$A240,Sheet2!$A:$A,V$2)&lt;&gt;0,SUMIFS(Sheet2!$E:$E,Sheet2!$C:$C,$A240,Sheet2!$A:$A,V$2),"")</f>
        <v/>
      </c>
      <c r="W240" s="42" t="str">
        <f>IF(SUMIFS(Sheet2!$E:$E,Sheet2!$C:$C,$A240,Sheet2!$A:$A,W$2)&lt;&gt;0,SUMIFS(Sheet2!$E:$E,Sheet2!$C:$C,$A240,Sheet2!$A:$A,W$2),"")</f>
        <v/>
      </c>
      <c r="X240" s="42" t="str">
        <f>IF(SUMIFS(Sheet2!$E:$E,Sheet2!$C:$C,$A240,Sheet2!$A:$A,X$2)&lt;&gt;0,SUMIFS(Sheet2!$E:$E,Sheet2!$C:$C,$A240,Sheet2!$A:$A,X$2),"")</f>
        <v/>
      </c>
      <c r="Y240" s="42" t="str">
        <f>IF(SUMIFS(Sheet2!$E:$E,Sheet2!$C:$C,$A240,Sheet2!$A:$A,Y$2)&lt;&gt;0,SUMIFS(Sheet2!$E:$E,Sheet2!$C:$C,$A240,Sheet2!$A:$A,Y$2),"")</f>
        <v/>
      </c>
      <c r="Z240" s="42" t="str">
        <f>IF(SUMIFS(Sheet2!$E:$E,Sheet2!$C:$C,$A240,Sheet2!$A:$A,Z$2)&lt;&gt;0,SUMIFS(Sheet2!$E:$E,Sheet2!$C:$C,$A240,Sheet2!$A:$A,Z$2),"")</f>
        <v/>
      </c>
      <c r="AA240" s="42" t="str">
        <f>IF(SUMIFS(Sheet2!$E:$E,Sheet2!$C:$C,$A240,Sheet2!$A:$A,AA$2)&lt;&gt;0,SUMIFS(Sheet2!$E:$E,Sheet2!$C:$C,$A240,Sheet2!$A:$A,AA$2),"")</f>
        <v/>
      </c>
      <c r="AB240" s="42" t="str">
        <f>IF(SUMIFS(Sheet2!$E:$E,Sheet2!$C:$C,$A240,Sheet2!$A:$A,AB$2)&lt;&gt;0,SUMIFS(Sheet2!$E:$E,Sheet2!$C:$C,$A240,Sheet2!$A:$A,AB$2),"")</f>
        <v/>
      </c>
      <c r="AC240" s="42" t="str">
        <f>IF(SUMIFS(Sheet2!$E:$E,Sheet2!$C:$C,$A240,Sheet2!$A:$A,AC$2)&lt;&gt;0,SUMIFS(Sheet2!$E:$E,Sheet2!$C:$C,$A240,Sheet2!$A:$A,AC$2),"")</f>
        <v/>
      </c>
      <c r="AD240" s="42" t="str">
        <f>IF(SUMIFS(Sheet2!$E:$E,Sheet2!$C:$C,$A240,Sheet2!$A:$A,AD$2)&lt;&gt;0,SUMIFS(Sheet2!$E:$E,Sheet2!$C:$C,$A240,Sheet2!$A:$A,AD$2),"")</f>
        <v/>
      </c>
      <c r="AE240" s="42" t="str">
        <f>IF(SUMIFS(Sheet2!$E:$E,Sheet2!$C:$C,$A240,Sheet2!$A:$A,AE$2)&lt;&gt;0,SUMIFS(Sheet2!$E:$E,Sheet2!$C:$C,$A240,Sheet2!$A:$A,AE$2),"")</f>
        <v/>
      </c>
      <c r="AF240" s="42" t="str">
        <f>IF(SUMIFS(Sheet2!$E:$E,Sheet2!$C:$C,$A240,Sheet2!$A:$A,AF$2)&lt;&gt;0,SUMIFS(Sheet2!$E:$E,Sheet2!$C:$C,$A240,Sheet2!$A:$A,AF$2),"")</f>
        <v/>
      </c>
      <c r="AG240" s="42" t="str">
        <f>IF(SUMIFS(Sheet2!$E:$E,Sheet2!$C:$C,$A240,Sheet2!$A:$A,AG$2)&lt;&gt;0,SUMIFS(Sheet2!$E:$E,Sheet2!$C:$C,$A240,Sheet2!$A:$A,AG$2),"")</f>
        <v/>
      </c>
      <c r="AH240" s="43">
        <f>SUM(Table2[[#This Row],[1]:[31]])</f>
        <v>0</v>
      </c>
    </row>
    <row r="241" spans="1:34" ht="12.75" customHeight="1">
      <c r="A241" s="76" t="str">
        <f>DSSP!A240</f>
        <v>GC165</v>
      </c>
      <c r="B241" s="25" t="str">
        <f>DSSP!B240</f>
        <v>Đồng hồ quả lắc</v>
      </c>
      <c r="C241" s="42" t="str">
        <f>IF(SUMIFS(Sheet2!$E:$E,Sheet2!$C:$C,$A241,Sheet2!$A:$A,C$2)&lt;&gt;0,SUMIFS(Sheet2!$E:$E,Sheet2!$C:$C,$A241,Sheet2!$A:$A,C$2),"")</f>
        <v/>
      </c>
      <c r="D241" s="42" t="str">
        <f>IF(SUMIFS(Sheet2!$E:$E,Sheet2!$C:$C,$A241,Sheet2!$A:$A,D$2)&lt;&gt;0,SUMIFS(Sheet2!$E:$E,Sheet2!$C:$C,$A241,Sheet2!$A:$A,D$2),"")</f>
        <v/>
      </c>
      <c r="E241" s="42" t="str">
        <f>IF(SUMIFS(Sheet2!$E:$E,Sheet2!$C:$C,$A241,Sheet2!$A:$A,E$2)&lt;&gt;0,SUMIFS(Sheet2!$E:$E,Sheet2!$C:$C,$A241,Sheet2!$A:$A,E$2),"")</f>
        <v/>
      </c>
      <c r="F241" s="42" t="str">
        <f>IF(SUMIFS(Sheet2!$E:$E,Sheet2!$C:$C,$A241,Sheet2!$A:$A,F$2)&lt;&gt;0,SUMIFS(Sheet2!$E:$E,Sheet2!$C:$C,$A241,Sheet2!$A:$A,F$2),"")</f>
        <v/>
      </c>
      <c r="G241" s="42" t="str">
        <f>IF(SUMIFS(Sheet2!$E:$E,Sheet2!$C:$C,$A241,Sheet2!$A:$A,G$2)&lt;&gt;0,SUMIFS(Sheet2!$E:$E,Sheet2!$C:$C,$A241,Sheet2!$A:$A,G$2),"")</f>
        <v/>
      </c>
      <c r="H241" s="42" t="str">
        <f>IF(SUMIFS(Sheet2!$E:$E,Sheet2!$C:$C,$A241,Sheet2!$A:$A,H$2)&lt;&gt;0,SUMIFS(Sheet2!$E:$E,Sheet2!$C:$C,$A241,Sheet2!$A:$A,H$2),"")</f>
        <v/>
      </c>
      <c r="I241" s="42" t="str">
        <f>IF(SUMIFS(Sheet2!$E:$E,Sheet2!$C:$C,$A241,Sheet2!$A:$A,I$2)&lt;&gt;0,SUMIFS(Sheet2!$E:$E,Sheet2!$C:$C,$A241,Sheet2!$A:$A,I$2),"")</f>
        <v/>
      </c>
      <c r="J241" s="42" t="str">
        <f>IF(SUMIFS(Sheet2!$E:$E,Sheet2!$C:$C,$A241,Sheet2!$A:$A,J$2)&lt;&gt;0,SUMIFS(Sheet2!$E:$E,Sheet2!$C:$C,$A241,Sheet2!$A:$A,J$2),"")</f>
        <v/>
      </c>
      <c r="K241" s="42" t="str">
        <f>IF(SUMIFS(Sheet2!$E:$E,Sheet2!$C:$C,$A241,Sheet2!$A:$A,K$2)&lt;&gt;0,SUMIFS(Sheet2!$E:$E,Sheet2!$C:$C,$A241,Sheet2!$A:$A,K$2),"")</f>
        <v/>
      </c>
      <c r="L241" s="42" t="str">
        <f>IF(SUMIFS(Sheet2!$E:$E,Sheet2!$C:$C,$A241,Sheet2!$A:$A,L$2)&lt;&gt;0,SUMIFS(Sheet2!$E:$E,Sheet2!$C:$C,$A241,Sheet2!$A:$A,L$2),"")</f>
        <v/>
      </c>
      <c r="M241" s="42" t="str">
        <f>IF(SUMIFS(Sheet2!$E:$E,Sheet2!$C:$C,$A241,Sheet2!$A:$A,M$2)&lt;&gt;0,SUMIFS(Sheet2!$E:$E,Sheet2!$C:$C,$A241,Sheet2!$A:$A,M$2),"")</f>
        <v/>
      </c>
      <c r="N241" s="42" t="str">
        <f>IF(SUMIFS(Sheet2!$E:$E,Sheet2!$C:$C,$A241,Sheet2!$A:$A,N$2)&lt;&gt;0,SUMIFS(Sheet2!$E:$E,Sheet2!$C:$C,$A241,Sheet2!$A:$A,N$2),"")</f>
        <v/>
      </c>
      <c r="O241" s="42" t="str">
        <f>IF(SUMIFS(Sheet2!$E:$E,Sheet2!$C:$C,$A241,Sheet2!$A:$A,O$2)&lt;&gt;0,SUMIFS(Sheet2!$E:$E,Sheet2!$C:$C,$A241,Sheet2!$A:$A,O$2),"")</f>
        <v/>
      </c>
      <c r="P241" s="42" t="str">
        <f>IF(SUMIFS(Sheet2!$E:$E,Sheet2!$C:$C,$A241,Sheet2!$A:$A,P$2)&lt;&gt;0,SUMIFS(Sheet2!$E:$E,Sheet2!$C:$C,$A241,Sheet2!$A:$A,P$2),"")</f>
        <v/>
      </c>
      <c r="Q241" s="42" t="str">
        <f>IF(SUMIFS(Sheet2!$E:$E,Sheet2!$C:$C,$A241,Sheet2!$A:$A,Q$2)&lt;&gt;0,SUMIFS(Sheet2!$E:$E,Sheet2!$C:$C,$A241,Sheet2!$A:$A,Q$2),"")</f>
        <v/>
      </c>
      <c r="R241" s="42" t="str">
        <f>IF(SUMIFS(Sheet2!$E:$E,Sheet2!$C:$C,$A241,Sheet2!$A:$A,R$2)&lt;&gt;0,SUMIFS(Sheet2!$E:$E,Sheet2!$C:$C,$A241,Sheet2!$A:$A,R$2),"")</f>
        <v/>
      </c>
      <c r="S241" s="42" t="str">
        <f>IF(SUMIFS(Sheet2!$E:$E,Sheet2!$C:$C,$A241,Sheet2!$A:$A,S$2)&lt;&gt;0,SUMIFS(Sheet2!$E:$E,Sheet2!$C:$C,$A241,Sheet2!$A:$A,S$2),"")</f>
        <v/>
      </c>
      <c r="T241" s="42" t="str">
        <f>IF(SUMIFS(Sheet2!$E:$E,Sheet2!$C:$C,$A241,Sheet2!$A:$A,T$2)&lt;&gt;0,SUMIFS(Sheet2!$E:$E,Sheet2!$C:$C,$A241,Sheet2!$A:$A,T$2),"")</f>
        <v/>
      </c>
      <c r="U241" s="42" t="str">
        <f>IF(SUMIFS(Sheet2!$E:$E,Sheet2!$C:$C,$A241,Sheet2!$A:$A,U$2)&lt;&gt;0,SUMIFS(Sheet2!$E:$E,Sheet2!$C:$C,$A241,Sheet2!$A:$A,U$2),"")</f>
        <v/>
      </c>
      <c r="V241" s="42" t="str">
        <f>IF(SUMIFS(Sheet2!$E:$E,Sheet2!$C:$C,$A241,Sheet2!$A:$A,V$2)&lt;&gt;0,SUMIFS(Sheet2!$E:$E,Sheet2!$C:$C,$A241,Sheet2!$A:$A,V$2),"")</f>
        <v/>
      </c>
      <c r="W241" s="42" t="str">
        <f>IF(SUMIFS(Sheet2!$E:$E,Sheet2!$C:$C,$A241,Sheet2!$A:$A,W$2)&lt;&gt;0,SUMIFS(Sheet2!$E:$E,Sheet2!$C:$C,$A241,Sheet2!$A:$A,W$2),"")</f>
        <v/>
      </c>
      <c r="X241" s="42" t="str">
        <f>IF(SUMIFS(Sheet2!$E:$E,Sheet2!$C:$C,$A241,Sheet2!$A:$A,X$2)&lt;&gt;0,SUMIFS(Sheet2!$E:$E,Sheet2!$C:$C,$A241,Sheet2!$A:$A,X$2),"")</f>
        <v/>
      </c>
      <c r="Y241" s="42" t="str">
        <f>IF(SUMIFS(Sheet2!$E:$E,Sheet2!$C:$C,$A241,Sheet2!$A:$A,Y$2)&lt;&gt;0,SUMIFS(Sheet2!$E:$E,Sheet2!$C:$C,$A241,Sheet2!$A:$A,Y$2),"")</f>
        <v/>
      </c>
      <c r="Z241" s="42" t="str">
        <f>IF(SUMIFS(Sheet2!$E:$E,Sheet2!$C:$C,$A241,Sheet2!$A:$A,Z$2)&lt;&gt;0,SUMIFS(Sheet2!$E:$E,Sheet2!$C:$C,$A241,Sheet2!$A:$A,Z$2),"")</f>
        <v/>
      </c>
      <c r="AA241" s="42" t="str">
        <f>IF(SUMIFS(Sheet2!$E:$E,Sheet2!$C:$C,$A241,Sheet2!$A:$A,AA$2)&lt;&gt;0,SUMIFS(Sheet2!$E:$E,Sheet2!$C:$C,$A241,Sheet2!$A:$A,AA$2),"")</f>
        <v/>
      </c>
      <c r="AB241" s="42" t="str">
        <f>IF(SUMIFS(Sheet2!$E:$E,Sheet2!$C:$C,$A241,Sheet2!$A:$A,AB$2)&lt;&gt;0,SUMIFS(Sheet2!$E:$E,Sheet2!$C:$C,$A241,Sheet2!$A:$A,AB$2),"")</f>
        <v/>
      </c>
      <c r="AC241" s="42" t="str">
        <f>IF(SUMIFS(Sheet2!$E:$E,Sheet2!$C:$C,$A241,Sheet2!$A:$A,AC$2)&lt;&gt;0,SUMIFS(Sheet2!$E:$E,Sheet2!$C:$C,$A241,Sheet2!$A:$A,AC$2),"")</f>
        <v/>
      </c>
      <c r="AD241" s="42" t="str">
        <f>IF(SUMIFS(Sheet2!$E:$E,Sheet2!$C:$C,$A241,Sheet2!$A:$A,AD$2)&lt;&gt;0,SUMIFS(Sheet2!$E:$E,Sheet2!$C:$C,$A241,Sheet2!$A:$A,AD$2),"")</f>
        <v/>
      </c>
      <c r="AE241" s="42" t="str">
        <f>IF(SUMIFS(Sheet2!$E:$E,Sheet2!$C:$C,$A241,Sheet2!$A:$A,AE$2)&lt;&gt;0,SUMIFS(Sheet2!$E:$E,Sheet2!$C:$C,$A241,Sheet2!$A:$A,AE$2),"")</f>
        <v/>
      </c>
      <c r="AF241" s="42" t="str">
        <f>IF(SUMIFS(Sheet2!$E:$E,Sheet2!$C:$C,$A241,Sheet2!$A:$A,AF$2)&lt;&gt;0,SUMIFS(Sheet2!$E:$E,Sheet2!$C:$C,$A241,Sheet2!$A:$A,AF$2),"")</f>
        <v/>
      </c>
      <c r="AG241" s="42" t="str">
        <f>IF(SUMIFS(Sheet2!$E:$E,Sheet2!$C:$C,$A241,Sheet2!$A:$A,AG$2)&lt;&gt;0,SUMIFS(Sheet2!$E:$E,Sheet2!$C:$C,$A241,Sheet2!$A:$A,AG$2),"")</f>
        <v/>
      </c>
      <c r="AH241" s="43">
        <f>SUM(Table2[[#This Row],[1]:[31]])</f>
        <v>0</v>
      </c>
    </row>
    <row r="242" spans="1:34" ht="12.75" customHeight="1">
      <c r="A242" s="76" t="str">
        <f>DSSP!A241</f>
        <v>GC166</v>
      </c>
      <c r="B242" s="25" t="str">
        <f>DSSP!B241</f>
        <v>Trái tim có cánh chim</v>
      </c>
      <c r="C242" s="42" t="str">
        <f>IF(SUMIFS(Sheet2!$E:$E,Sheet2!$C:$C,$A242,Sheet2!$A:$A,C$2)&lt;&gt;0,SUMIFS(Sheet2!$E:$E,Sheet2!$C:$C,$A242,Sheet2!$A:$A,C$2),"")</f>
        <v/>
      </c>
      <c r="D242" s="42" t="str">
        <f>IF(SUMIFS(Sheet2!$E:$E,Sheet2!$C:$C,$A242,Sheet2!$A:$A,D$2)&lt;&gt;0,SUMIFS(Sheet2!$E:$E,Sheet2!$C:$C,$A242,Sheet2!$A:$A,D$2),"")</f>
        <v/>
      </c>
      <c r="E242" s="42" t="str">
        <f>IF(SUMIFS(Sheet2!$E:$E,Sheet2!$C:$C,$A242,Sheet2!$A:$A,E$2)&lt;&gt;0,SUMIFS(Sheet2!$E:$E,Sheet2!$C:$C,$A242,Sheet2!$A:$A,E$2),"")</f>
        <v/>
      </c>
      <c r="F242" s="42" t="str">
        <f>IF(SUMIFS(Sheet2!$E:$E,Sheet2!$C:$C,$A242,Sheet2!$A:$A,F$2)&lt;&gt;0,SUMIFS(Sheet2!$E:$E,Sheet2!$C:$C,$A242,Sheet2!$A:$A,F$2),"")</f>
        <v/>
      </c>
      <c r="G242" s="42" t="str">
        <f>IF(SUMIFS(Sheet2!$E:$E,Sheet2!$C:$C,$A242,Sheet2!$A:$A,G$2)&lt;&gt;0,SUMIFS(Sheet2!$E:$E,Sheet2!$C:$C,$A242,Sheet2!$A:$A,G$2),"")</f>
        <v/>
      </c>
      <c r="H242" s="42" t="str">
        <f>IF(SUMIFS(Sheet2!$E:$E,Sheet2!$C:$C,$A242,Sheet2!$A:$A,H$2)&lt;&gt;0,SUMIFS(Sheet2!$E:$E,Sheet2!$C:$C,$A242,Sheet2!$A:$A,H$2),"")</f>
        <v/>
      </c>
      <c r="I242" s="42" t="str">
        <f>IF(SUMIFS(Sheet2!$E:$E,Sheet2!$C:$C,$A242,Sheet2!$A:$A,I$2)&lt;&gt;0,SUMIFS(Sheet2!$E:$E,Sheet2!$C:$C,$A242,Sheet2!$A:$A,I$2),"")</f>
        <v/>
      </c>
      <c r="J242" s="42" t="str">
        <f>IF(SUMIFS(Sheet2!$E:$E,Sheet2!$C:$C,$A242,Sheet2!$A:$A,J$2)&lt;&gt;0,SUMIFS(Sheet2!$E:$E,Sheet2!$C:$C,$A242,Sheet2!$A:$A,J$2),"")</f>
        <v/>
      </c>
      <c r="K242" s="42" t="str">
        <f>IF(SUMIFS(Sheet2!$E:$E,Sheet2!$C:$C,$A242,Sheet2!$A:$A,K$2)&lt;&gt;0,SUMIFS(Sheet2!$E:$E,Sheet2!$C:$C,$A242,Sheet2!$A:$A,K$2),"")</f>
        <v/>
      </c>
      <c r="L242" s="42" t="str">
        <f>IF(SUMIFS(Sheet2!$E:$E,Sheet2!$C:$C,$A242,Sheet2!$A:$A,L$2)&lt;&gt;0,SUMIFS(Sheet2!$E:$E,Sheet2!$C:$C,$A242,Sheet2!$A:$A,L$2),"")</f>
        <v/>
      </c>
      <c r="M242" s="42" t="str">
        <f>IF(SUMIFS(Sheet2!$E:$E,Sheet2!$C:$C,$A242,Sheet2!$A:$A,M$2)&lt;&gt;0,SUMIFS(Sheet2!$E:$E,Sheet2!$C:$C,$A242,Sheet2!$A:$A,M$2),"")</f>
        <v/>
      </c>
      <c r="N242" s="42" t="str">
        <f>IF(SUMIFS(Sheet2!$E:$E,Sheet2!$C:$C,$A242,Sheet2!$A:$A,N$2)&lt;&gt;0,SUMIFS(Sheet2!$E:$E,Sheet2!$C:$C,$A242,Sheet2!$A:$A,N$2),"")</f>
        <v/>
      </c>
      <c r="O242" s="42" t="str">
        <f>IF(SUMIFS(Sheet2!$E:$E,Sheet2!$C:$C,$A242,Sheet2!$A:$A,O$2)&lt;&gt;0,SUMIFS(Sheet2!$E:$E,Sheet2!$C:$C,$A242,Sheet2!$A:$A,O$2),"")</f>
        <v/>
      </c>
      <c r="P242" s="42" t="str">
        <f>IF(SUMIFS(Sheet2!$E:$E,Sheet2!$C:$C,$A242,Sheet2!$A:$A,P$2)&lt;&gt;0,SUMIFS(Sheet2!$E:$E,Sheet2!$C:$C,$A242,Sheet2!$A:$A,P$2),"")</f>
        <v/>
      </c>
      <c r="Q242" s="42" t="str">
        <f>IF(SUMIFS(Sheet2!$E:$E,Sheet2!$C:$C,$A242,Sheet2!$A:$A,Q$2)&lt;&gt;0,SUMIFS(Sheet2!$E:$E,Sheet2!$C:$C,$A242,Sheet2!$A:$A,Q$2),"")</f>
        <v/>
      </c>
      <c r="R242" s="42" t="str">
        <f>IF(SUMIFS(Sheet2!$E:$E,Sheet2!$C:$C,$A242,Sheet2!$A:$A,R$2)&lt;&gt;0,SUMIFS(Sheet2!$E:$E,Sheet2!$C:$C,$A242,Sheet2!$A:$A,R$2),"")</f>
        <v/>
      </c>
      <c r="S242" s="42" t="str">
        <f>IF(SUMIFS(Sheet2!$E:$E,Sheet2!$C:$C,$A242,Sheet2!$A:$A,S$2)&lt;&gt;0,SUMIFS(Sheet2!$E:$E,Sheet2!$C:$C,$A242,Sheet2!$A:$A,S$2),"")</f>
        <v/>
      </c>
      <c r="T242" s="42" t="str">
        <f>IF(SUMIFS(Sheet2!$E:$E,Sheet2!$C:$C,$A242,Sheet2!$A:$A,T$2)&lt;&gt;0,SUMIFS(Sheet2!$E:$E,Sheet2!$C:$C,$A242,Sheet2!$A:$A,T$2),"")</f>
        <v/>
      </c>
      <c r="U242" s="42" t="str">
        <f>IF(SUMIFS(Sheet2!$E:$E,Sheet2!$C:$C,$A242,Sheet2!$A:$A,U$2)&lt;&gt;0,SUMIFS(Sheet2!$E:$E,Sheet2!$C:$C,$A242,Sheet2!$A:$A,U$2),"")</f>
        <v/>
      </c>
      <c r="V242" s="42" t="str">
        <f>IF(SUMIFS(Sheet2!$E:$E,Sheet2!$C:$C,$A242,Sheet2!$A:$A,V$2)&lt;&gt;0,SUMIFS(Sheet2!$E:$E,Sheet2!$C:$C,$A242,Sheet2!$A:$A,V$2),"")</f>
        <v/>
      </c>
      <c r="W242" s="42" t="str">
        <f>IF(SUMIFS(Sheet2!$E:$E,Sheet2!$C:$C,$A242,Sheet2!$A:$A,W$2)&lt;&gt;0,SUMIFS(Sheet2!$E:$E,Sheet2!$C:$C,$A242,Sheet2!$A:$A,W$2),"")</f>
        <v/>
      </c>
      <c r="X242" s="42" t="str">
        <f>IF(SUMIFS(Sheet2!$E:$E,Sheet2!$C:$C,$A242,Sheet2!$A:$A,X$2)&lt;&gt;0,SUMIFS(Sheet2!$E:$E,Sheet2!$C:$C,$A242,Sheet2!$A:$A,X$2),"")</f>
        <v/>
      </c>
      <c r="Y242" s="42" t="str">
        <f>IF(SUMIFS(Sheet2!$E:$E,Sheet2!$C:$C,$A242,Sheet2!$A:$A,Y$2)&lt;&gt;0,SUMIFS(Sheet2!$E:$E,Sheet2!$C:$C,$A242,Sheet2!$A:$A,Y$2),"")</f>
        <v/>
      </c>
      <c r="Z242" s="42" t="str">
        <f>IF(SUMIFS(Sheet2!$E:$E,Sheet2!$C:$C,$A242,Sheet2!$A:$A,Z$2)&lt;&gt;0,SUMIFS(Sheet2!$E:$E,Sheet2!$C:$C,$A242,Sheet2!$A:$A,Z$2),"")</f>
        <v/>
      </c>
      <c r="AA242" s="42" t="str">
        <f>IF(SUMIFS(Sheet2!$E:$E,Sheet2!$C:$C,$A242,Sheet2!$A:$A,AA$2)&lt;&gt;0,SUMIFS(Sheet2!$E:$E,Sheet2!$C:$C,$A242,Sheet2!$A:$A,AA$2),"")</f>
        <v/>
      </c>
      <c r="AB242" s="42" t="str">
        <f>IF(SUMIFS(Sheet2!$E:$E,Sheet2!$C:$C,$A242,Sheet2!$A:$A,AB$2)&lt;&gt;0,SUMIFS(Sheet2!$E:$E,Sheet2!$C:$C,$A242,Sheet2!$A:$A,AB$2),"")</f>
        <v/>
      </c>
      <c r="AC242" s="42" t="str">
        <f>IF(SUMIFS(Sheet2!$E:$E,Sheet2!$C:$C,$A242,Sheet2!$A:$A,AC$2)&lt;&gt;0,SUMIFS(Sheet2!$E:$E,Sheet2!$C:$C,$A242,Sheet2!$A:$A,AC$2),"")</f>
        <v/>
      </c>
      <c r="AD242" s="42" t="str">
        <f>IF(SUMIFS(Sheet2!$E:$E,Sheet2!$C:$C,$A242,Sheet2!$A:$A,AD$2)&lt;&gt;0,SUMIFS(Sheet2!$E:$E,Sheet2!$C:$C,$A242,Sheet2!$A:$A,AD$2),"")</f>
        <v/>
      </c>
      <c r="AE242" s="42" t="str">
        <f>IF(SUMIFS(Sheet2!$E:$E,Sheet2!$C:$C,$A242,Sheet2!$A:$A,AE$2)&lt;&gt;0,SUMIFS(Sheet2!$E:$E,Sheet2!$C:$C,$A242,Sheet2!$A:$A,AE$2),"")</f>
        <v/>
      </c>
      <c r="AF242" s="42" t="str">
        <f>IF(SUMIFS(Sheet2!$E:$E,Sheet2!$C:$C,$A242,Sheet2!$A:$A,AF$2)&lt;&gt;0,SUMIFS(Sheet2!$E:$E,Sheet2!$C:$C,$A242,Sheet2!$A:$A,AF$2),"")</f>
        <v/>
      </c>
      <c r="AG242" s="42" t="str">
        <f>IF(SUMIFS(Sheet2!$E:$E,Sheet2!$C:$C,$A242,Sheet2!$A:$A,AG$2)&lt;&gt;0,SUMIFS(Sheet2!$E:$E,Sheet2!$C:$C,$A242,Sheet2!$A:$A,AG$2),"")</f>
        <v/>
      </c>
      <c r="AH242" s="43">
        <f>SUM(Table2[[#This Row],[1]:[31]])</f>
        <v>0</v>
      </c>
    </row>
    <row r="243" spans="1:34" ht="12.75" customHeight="1">
      <c r="A243" s="76" t="str">
        <f>DSSP!A242</f>
        <v>GC167</v>
      </c>
      <c r="B243" s="25" t="str">
        <f>DSSP!B242</f>
        <v>Cánh chim rỗng</v>
      </c>
      <c r="C243" s="42" t="str">
        <f>IF(SUMIFS(Sheet2!$E:$E,Sheet2!$C:$C,$A243,Sheet2!$A:$A,C$2)&lt;&gt;0,SUMIFS(Sheet2!$E:$E,Sheet2!$C:$C,$A243,Sheet2!$A:$A,C$2),"")</f>
        <v/>
      </c>
      <c r="D243" s="42" t="str">
        <f>IF(SUMIFS(Sheet2!$E:$E,Sheet2!$C:$C,$A243,Sheet2!$A:$A,D$2)&lt;&gt;0,SUMIFS(Sheet2!$E:$E,Sheet2!$C:$C,$A243,Sheet2!$A:$A,D$2),"")</f>
        <v/>
      </c>
      <c r="E243" s="42" t="str">
        <f>IF(SUMIFS(Sheet2!$E:$E,Sheet2!$C:$C,$A243,Sheet2!$A:$A,E$2)&lt;&gt;0,SUMIFS(Sheet2!$E:$E,Sheet2!$C:$C,$A243,Sheet2!$A:$A,E$2),"")</f>
        <v/>
      </c>
      <c r="F243" s="42" t="str">
        <f>IF(SUMIFS(Sheet2!$E:$E,Sheet2!$C:$C,$A243,Sheet2!$A:$A,F$2)&lt;&gt;0,SUMIFS(Sheet2!$E:$E,Sheet2!$C:$C,$A243,Sheet2!$A:$A,F$2),"")</f>
        <v/>
      </c>
      <c r="G243" s="42" t="str">
        <f>IF(SUMIFS(Sheet2!$E:$E,Sheet2!$C:$C,$A243,Sheet2!$A:$A,G$2)&lt;&gt;0,SUMIFS(Sheet2!$E:$E,Sheet2!$C:$C,$A243,Sheet2!$A:$A,G$2),"")</f>
        <v/>
      </c>
      <c r="H243" s="42" t="str">
        <f>IF(SUMIFS(Sheet2!$E:$E,Sheet2!$C:$C,$A243,Sheet2!$A:$A,H$2)&lt;&gt;0,SUMIFS(Sheet2!$E:$E,Sheet2!$C:$C,$A243,Sheet2!$A:$A,H$2),"")</f>
        <v/>
      </c>
      <c r="I243" s="42" t="str">
        <f>IF(SUMIFS(Sheet2!$E:$E,Sheet2!$C:$C,$A243,Sheet2!$A:$A,I$2)&lt;&gt;0,SUMIFS(Sheet2!$E:$E,Sheet2!$C:$C,$A243,Sheet2!$A:$A,I$2),"")</f>
        <v/>
      </c>
      <c r="J243" s="42" t="str">
        <f>IF(SUMIFS(Sheet2!$E:$E,Sheet2!$C:$C,$A243,Sheet2!$A:$A,J$2)&lt;&gt;0,SUMIFS(Sheet2!$E:$E,Sheet2!$C:$C,$A243,Sheet2!$A:$A,J$2),"")</f>
        <v/>
      </c>
      <c r="K243" s="42" t="str">
        <f>IF(SUMIFS(Sheet2!$E:$E,Sheet2!$C:$C,$A243,Sheet2!$A:$A,K$2)&lt;&gt;0,SUMIFS(Sheet2!$E:$E,Sheet2!$C:$C,$A243,Sheet2!$A:$A,K$2),"")</f>
        <v/>
      </c>
      <c r="L243" s="42" t="str">
        <f>IF(SUMIFS(Sheet2!$E:$E,Sheet2!$C:$C,$A243,Sheet2!$A:$A,L$2)&lt;&gt;0,SUMIFS(Sheet2!$E:$E,Sheet2!$C:$C,$A243,Sheet2!$A:$A,L$2),"")</f>
        <v/>
      </c>
      <c r="M243" s="42" t="str">
        <f>IF(SUMIFS(Sheet2!$E:$E,Sheet2!$C:$C,$A243,Sheet2!$A:$A,M$2)&lt;&gt;0,SUMIFS(Sheet2!$E:$E,Sheet2!$C:$C,$A243,Sheet2!$A:$A,M$2),"")</f>
        <v/>
      </c>
      <c r="N243" s="42" t="str">
        <f>IF(SUMIFS(Sheet2!$E:$E,Sheet2!$C:$C,$A243,Sheet2!$A:$A,N$2)&lt;&gt;0,SUMIFS(Sheet2!$E:$E,Sheet2!$C:$C,$A243,Sheet2!$A:$A,N$2),"")</f>
        <v/>
      </c>
      <c r="O243" s="42" t="str">
        <f>IF(SUMIFS(Sheet2!$E:$E,Sheet2!$C:$C,$A243,Sheet2!$A:$A,O$2)&lt;&gt;0,SUMIFS(Sheet2!$E:$E,Sheet2!$C:$C,$A243,Sheet2!$A:$A,O$2),"")</f>
        <v/>
      </c>
      <c r="P243" s="42" t="str">
        <f>IF(SUMIFS(Sheet2!$E:$E,Sheet2!$C:$C,$A243,Sheet2!$A:$A,P$2)&lt;&gt;0,SUMIFS(Sheet2!$E:$E,Sheet2!$C:$C,$A243,Sheet2!$A:$A,P$2),"")</f>
        <v/>
      </c>
      <c r="Q243" s="42" t="str">
        <f>IF(SUMIFS(Sheet2!$E:$E,Sheet2!$C:$C,$A243,Sheet2!$A:$A,Q$2)&lt;&gt;0,SUMIFS(Sheet2!$E:$E,Sheet2!$C:$C,$A243,Sheet2!$A:$A,Q$2),"")</f>
        <v/>
      </c>
      <c r="R243" s="42" t="str">
        <f>IF(SUMIFS(Sheet2!$E:$E,Sheet2!$C:$C,$A243,Sheet2!$A:$A,R$2)&lt;&gt;0,SUMIFS(Sheet2!$E:$E,Sheet2!$C:$C,$A243,Sheet2!$A:$A,R$2),"")</f>
        <v/>
      </c>
      <c r="S243" s="42" t="str">
        <f>IF(SUMIFS(Sheet2!$E:$E,Sheet2!$C:$C,$A243,Sheet2!$A:$A,S$2)&lt;&gt;0,SUMIFS(Sheet2!$E:$E,Sheet2!$C:$C,$A243,Sheet2!$A:$A,S$2),"")</f>
        <v/>
      </c>
      <c r="T243" s="42" t="str">
        <f>IF(SUMIFS(Sheet2!$E:$E,Sheet2!$C:$C,$A243,Sheet2!$A:$A,T$2)&lt;&gt;0,SUMIFS(Sheet2!$E:$E,Sheet2!$C:$C,$A243,Sheet2!$A:$A,T$2),"")</f>
        <v/>
      </c>
      <c r="U243" s="42" t="str">
        <f>IF(SUMIFS(Sheet2!$E:$E,Sheet2!$C:$C,$A243,Sheet2!$A:$A,U$2)&lt;&gt;0,SUMIFS(Sheet2!$E:$E,Sheet2!$C:$C,$A243,Sheet2!$A:$A,U$2),"")</f>
        <v/>
      </c>
      <c r="V243" s="42" t="str">
        <f>IF(SUMIFS(Sheet2!$E:$E,Sheet2!$C:$C,$A243,Sheet2!$A:$A,V$2)&lt;&gt;0,SUMIFS(Sheet2!$E:$E,Sheet2!$C:$C,$A243,Sheet2!$A:$A,V$2),"")</f>
        <v/>
      </c>
      <c r="W243" s="42" t="str">
        <f>IF(SUMIFS(Sheet2!$E:$E,Sheet2!$C:$C,$A243,Sheet2!$A:$A,W$2)&lt;&gt;0,SUMIFS(Sheet2!$E:$E,Sheet2!$C:$C,$A243,Sheet2!$A:$A,W$2),"")</f>
        <v/>
      </c>
      <c r="X243" s="42" t="str">
        <f>IF(SUMIFS(Sheet2!$E:$E,Sheet2!$C:$C,$A243,Sheet2!$A:$A,X$2)&lt;&gt;0,SUMIFS(Sheet2!$E:$E,Sheet2!$C:$C,$A243,Sheet2!$A:$A,X$2),"")</f>
        <v/>
      </c>
      <c r="Y243" s="42" t="str">
        <f>IF(SUMIFS(Sheet2!$E:$E,Sheet2!$C:$C,$A243,Sheet2!$A:$A,Y$2)&lt;&gt;0,SUMIFS(Sheet2!$E:$E,Sheet2!$C:$C,$A243,Sheet2!$A:$A,Y$2),"")</f>
        <v/>
      </c>
      <c r="Z243" s="42" t="str">
        <f>IF(SUMIFS(Sheet2!$E:$E,Sheet2!$C:$C,$A243,Sheet2!$A:$A,Z$2)&lt;&gt;0,SUMIFS(Sheet2!$E:$E,Sheet2!$C:$C,$A243,Sheet2!$A:$A,Z$2),"")</f>
        <v/>
      </c>
      <c r="AA243" s="42" t="str">
        <f>IF(SUMIFS(Sheet2!$E:$E,Sheet2!$C:$C,$A243,Sheet2!$A:$A,AA$2)&lt;&gt;0,SUMIFS(Sheet2!$E:$E,Sheet2!$C:$C,$A243,Sheet2!$A:$A,AA$2),"")</f>
        <v/>
      </c>
      <c r="AB243" s="42" t="str">
        <f>IF(SUMIFS(Sheet2!$E:$E,Sheet2!$C:$C,$A243,Sheet2!$A:$A,AB$2)&lt;&gt;0,SUMIFS(Sheet2!$E:$E,Sheet2!$C:$C,$A243,Sheet2!$A:$A,AB$2),"")</f>
        <v/>
      </c>
      <c r="AC243" s="42" t="str">
        <f>IF(SUMIFS(Sheet2!$E:$E,Sheet2!$C:$C,$A243,Sheet2!$A:$A,AC$2)&lt;&gt;0,SUMIFS(Sheet2!$E:$E,Sheet2!$C:$C,$A243,Sheet2!$A:$A,AC$2),"")</f>
        <v/>
      </c>
      <c r="AD243" s="42" t="str">
        <f>IF(SUMIFS(Sheet2!$E:$E,Sheet2!$C:$C,$A243,Sheet2!$A:$A,AD$2)&lt;&gt;0,SUMIFS(Sheet2!$E:$E,Sheet2!$C:$C,$A243,Sheet2!$A:$A,AD$2),"")</f>
        <v/>
      </c>
      <c r="AE243" s="42" t="str">
        <f>IF(SUMIFS(Sheet2!$E:$E,Sheet2!$C:$C,$A243,Sheet2!$A:$A,AE$2)&lt;&gt;0,SUMIFS(Sheet2!$E:$E,Sheet2!$C:$C,$A243,Sheet2!$A:$A,AE$2),"")</f>
        <v/>
      </c>
      <c r="AF243" s="42" t="str">
        <f>IF(SUMIFS(Sheet2!$E:$E,Sheet2!$C:$C,$A243,Sheet2!$A:$A,AF$2)&lt;&gt;0,SUMIFS(Sheet2!$E:$E,Sheet2!$C:$C,$A243,Sheet2!$A:$A,AF$2),"")</f>
        <v/>
      </c>
      <c r="AG243" s="42" t="str">
        <f>IF(SUMIFS(Sheet2!$E:$E,Sheet2!$C:$C,$A243,Sheet2!$A:$A,AG$2)&lt;&gt;0,SUMIFS(Sheet2!$E:$E,Sheet2!$C:$C,$A243,Sheet2!$A:$A,AG$2),"")</f>
        <v/>
      </c>
      <c r="AH243" s="43">
        <f>SUM(Table2[[#This Row],[1]:[31]])</f>
        <v>0</v>
      </c>
    </row>
    <row r="244" spans="1:34" ht="12.75" customHeight="1">
      <c r="A244" s="76" t="str">
        <f>DSSP!A243</f>
        <v>GC168</v>
      </c>
      <c r="B244" s="25" t="str">
        <f>DSSP!B243</f>
        <v>Bàn tay Handmade</v>
      </c>
      <c r="C244" s="42" t="str">
        <f>IF(SUMIFS(Sheet2!$E:$E,Sheet2!$C:$C,$A244,Sheet2!$A:$A,C$2)&lt;&gt;0,SUMIFS(Sheet2!$E:$E,Sheet2!$C:$C,$A244,Sheet2!$A:$A,C$2),"")</f>
        <v/>
      </c>
      <c r="D244" s="42" t="str">
        <f>IF(SUMIFS(Sheet2!$E:$E,Sheet2!$C:$C,$A244,Sheet2!$A:$A,D$2)&lt;&gt;0,SUMIFS(Sheet2!$E:$E,Sheet2!$C:$C,$A244,Sheet2!$A:$A,D$2),"")</f>
        <v/>
      </c>
      <c r="E244" s="42" t="str">
        <f>IF(SUMIFS(Sheet2!$E:$E,Sheet2!$C:$C,$A244,Sheet2!$A:$A,E$2)&lt;&gt;0,SUMIFS(Sheet2!$E:$E,Sheet2!$C:$C,$A244,Sheet2!$A:$A,E$2),"")</f>
        <v/>
      </c>
      <c r="F244" s="42" t="str">
        <f>IF(SUMIFS(Sheet2!$E:$E,Sheet2!$C:$C,$A244,Sheet2!$A:$A,F$2)&lt;&gt;0,SUMIFS(Sheet2!$E:$E,Sheet2!$C:$C,$A244,Sheet2!$A:$A,F$2),"")</f>
        <v/>
      </c>
      <c r="G244" s="42" t="str">
        <f>IF(SUMIFS(Sheet2!$E:$E,Sheet2!$C:$C,$A244,Sheet2!$A:$A,G$2)&lt;&gt;0,SUMIFS(Sheet2!$E:$E,Sheet2!$C:$C,$A244,Sheet2!$A:$A,G$2),"")</f>
        <v/>
      </c>
      <c r="H244" s="42" t="str">
        <f>IF(SUMIFS(Sheet2!$E:$E,Sheet2!$C:$C,$A244,Sheet2!$A:$A,H$2)&lt;&gt;0,SUMIFS(Sheet2!$E:$E,Sheet2!$C:$C,$A244,Sheet2!$A:$A,H$2),"")</f>
        <v/>
      </c>
      <c r="I244" s="42" t="str">
        <f>IF(SUMIFS(Sheet2!$E:$E,Sheet2!$C:$C,$A244,Sheet2!$A:$A,I$2)&lt;&gt;0,SUMIFS(Sheet2!$E:$E,Sheet2!$C:$C,$A244,Sheet2!$A:$A,I$2),"")</f>
        <v/>
      </c>
      <c r="J244" s="42" t="str">
        <f>IF(SUMIFS(Sheet2!$E:$E,Sheet2!$C:$C,$A244,Sheet2!$A:$A,J$2)&lt;&gt;0,SUMIFS(Sheet2!$E:$E,Sheet2!$C:$C,$A244,Sheet2!$A:$A,J$2),"")</f>
        <v/>
      </c>
      <c r="K244" s="42" t="str">
        <f>IF(SUMIFS(Sheet2!$E:$E,Sheet2!$C:$C,$A244,Sheet2!$A:$A,K$2)&lt;&gt;0,SUMIFS(Sheet2!$E:$E,Sheet2!$C:$C,$A244,Sheet2!$A:$A,K$2),"")</f>
        <v/>
      </c>
      <c r="L244" s="42" t="str">
        <f>IF(SUMIFS(Sheet2!$E:$E,Sheet2!$C:$C,$A244,Sheet2!$A:$A,L$2)&lt;&gt;0,SUMIFS(Sheet2!$E:$E,Sheet2!$C:$C,$A244,Sheet2!$A:$A,L$2),"")</f>
        <v/>
      </c>
      <c r="M244" s="42" t="str">
        <f>IF(SUMIFS(Sheet2!$E:$E,Sheet2!$C:$C,$A244,Sheet2!$A:$A,M$2)&lt;&gt;0,SUMIFS(Sheet2!$E:$E,Sheet2!$C:$C,$A244,Sheet2!$A:$A,M$2),"")</f>
        <v/>
      </c>
      <c r="N244" s="42" t="str">
        <f>IF(SUMIFS(Sheet2!$E:$E,Sheet2!$C:$C,$A244,Sheet2!$A:$A,N$2)&lt;&gt;0,SUMIFS(Sheet2!$E:$E,Sheet2!$C:$C,$A244,Sheet2!$A:$A,N$2),"")</f>
        <v/>
      </c>
      <c r="O244" s="42" t="str">
        <f>IF(SUMIFS(Sheet2!$E:$E,Sheet2!$C:$C,$A244,Sheet2!$A:$A,O$2)&lt;&gt;0,SUMIFS(Sheet2!$E:$E,Sheet2!$C:$C,$A244,Sheet2!$A:$A,O$2),"")</f>
        <v/>
      </c>
      <c r="P244" s="42" t="str">
        <f>IF(SUMIFS(Sheet2!$E:$E,Sheet2!$C:$C,$A244,Sheet2!$A:$A,P$2)&lt;&gt;0,SUMIFS(Sheet2!$E:$E,Sheet2!$C:$C,$A244,Sheet2!$A:$A,P$2),"")</f>
        <v/>
      </c>
      <c r="Q244" s="42" t="str">
        <f>IF(SUMIFS(Sheet2!$E:$E,Sheet2!$C:$C,$A244,Sheet2!$A:$A,Q$2)&lt;&gt;0,SUMIFS(Sheet2!$E:$E,Sheet2!$C:$C,$A244,Sheet2!$A:$A,Q$2),"")</f>
        <v/>
      </c>
      <c r="R244" s="42" t="str">
        <f>IF(SUMIFS(Sheet2!$E:$E,Sheet2!$C:$C,$A244,Sheet2!$A:$A,R$2)&lt;&gt;0,SUMIFS(Sheet2!$E:$E,Sheet2!$C:$C,$A244,Sheet2!$A:$A,R$2),"")</f>
        <v/>
      </c>
      <c r="S244" s="42" t="str">
        <f>IF(SUMIFS(Sheet2!$E:$E,Sheet2!$C:$C,$A244,Sheet2!$A:$A,S$2)&lt;&gt;0,SUMIFS(Sheet2!$E:$E,Sheet2!$C:$C,$A244,Sheet2!$A:$A,S$2),"")</f>
        <v/>
      </c>
      <c r="T244" s="42" t="str">
        <f>IF(SUMIFS(Sheet2!$E:$E,Sheet2!$C:$C,$A244,Sheet2!$A:$A,T$2)&lt;&gt;0,SUMIFS(Sheet2!$E:$E,Sheet2!$C:$C,$A244,Sheet2!$A:$A,T$2),"")</f>
        <v/>
      </c>
      <c r="U244" s="42" t="str">
        <f>IF(SUMIFS(Sheet2!$E:$E,Sheet2!$C:$C,$A244,Sheet2!$A:$A,U$2)&lt;&gt;0,SUMIFS(Sheet2!$E:$E,Sheet2!$C:$C,$A244,Sheet2!$A:$A,U$2),"")</f>
        <v/>
      </c>
      <c r="V244" s="42" t="str">
        <f>IF(SUMIFS(Sheet2!$E:$E,Sheet2!$C:$C,$A244,Sheet2!$A:$A,V$2)&lt;&gt;0,SUMIFS(Sheet2!$E:$E,Sheet2!$C:$C,$A244,Sheet2!$A:$A,V$2),"")</f>
        <v/>
      </c>
      <c r="W244" s="42" t="str">
        <f>IF(SUMIFS(Sheet2!$E:$E,Sheet2!$C:$C,$A244,Sheet2!$A:$A,W$2)&lt;&gt;0,SUMIFS(Sheet2!$E:$E,Sheet2!$C:$C,$A244,Sheet2!$A:$A,W$2),"")</f>
        <v/>
      </c>
      <c r="X244" s="42" t="str">
        <f>IF(SUMIFS(Sheet2!$E:$E,Sheet2!$C:$C,$A244,Sheet2!$A:$A,X$2)&lt;&gt;0,SUMIFS(Sheet2!$E:$E,Sheet2!$C:$C,$A244,Sheet2!$A:$A,X$2),"")</f>
        <v/>
      </c>
      <c r="Y244" s="42" t="str">
        <f>IF(SUMIFS(Sheet2!$E:$E,Sheet2!$C:$C,$A244,Sheet2!$A:$A,Y$2)&lt;&gt;0,SUMIFS(Sheet2!$E:$E,Sheet2!$C:$C,$A244,Sheet2!$A:$A,Y$2),"")</f>
        <v/>
      </c>
      <c r="Z244" s="42" t="str">
        <f>IF(SUMIFS(Sheet2!$E:$E,Sheet2!$C:$C,$A244,Sheet2!$A:$A,Z$2)&lt;&gt;0,SUMIFS(Sheet2!$E:$E,Sheet2!$C:$C,$A244,Sheet2!$A:$A,Z$2),"")</f>
        <v/>
      </c>
      <c r="AA244" s="42" t="str">
        <f>IF(SUMIFS(Sheet2!$E:$E,Sheet2!$C:$C,$A244,Sheet2!$A:$A,AA$2)&lt;&gt;0,SUMIFS(Sheet2!$E:$E,Sheet2!$C:$C,$A244,Sheet2!$A:$A,AA$2),"")</f>
        <v/>
      </c>
      <c r="AB244" s="42" t="str">
        <f>IF(SUMIFS(Sheet2!$E:$E,Sheet2!$C:$C,$A244,Sheet2!$A:$A,AB$2)&lt;&gt;0,SUMIFS(Sheet2!$E:$E,Sheet2!$C:$C,$A244,Sheet2!$A:$A,AB$2),"")</f>
        <v/>
      </c>
      <c r="AC244" s="42" t="str">
        <f>IF(SUMIFS(Sheet2!$E:$E,Sheet2!$C:$C,$A244,Sheet2!$A:$A,AC$2)&lt;&gt;0,SUMIFS(Sheet2!$E:$E,Sheet2!$C:$C,$A244,Sheet2!$A:$A,AC$2),"")</f>
        <v/>
      </c>
      <c r="AD244" s="42" t="str">
        <f>IF(SUMIFS(Sheet2!$E:$E,Sheet2!$C:$C,$A244,Sheet2!$A:$A,AD$2)&lt;&gt;0,SUMIFS(Sheet2!$E:$E,Sheet2!$C:$C,$A244,Sheet2!$A:$A,AD$2),"")</f>
        <v/>
      </c>
      <c r="AE244" s="42" t="str">
        <f>IF(SUMIFS(Sheet2!$E:$E,Sheet2!$C:$C,$A244,Sheet2!$A:$A,AE$2)&lt;&gt;0,SUMIFS(Sheet2!$E:$E,Sheet2!$C:$C,$A244,Sheet2!$A:$A,AE$2),"")</f>
        <v/>
      </c>
      <c r="AF244" s="42" t="str">
        <f>IF(SUMIFS(Sheet2!$E:$E,Sheet2!$C:$C,$A244,Sheet2!$A:$A,AF$2)&lt;&gt;0,SUMIFS(Sheet2!$E:$E,Sheet2!$C:$C,$A244,Sheet2!$A:$A,AF$2),"")</f>
        <v/>
      </c>
      <c r="AG244" s="42" t="str">
        <f>IF(SUMIFS(Sheet2!$E:$E,Sheet2!$C:$C,$A244,Sheet2!$A:$A,AG$2)&lt;&gt;0,SUMIFS(Sheet2!$E:$E,Sheet2!$C:$C,$A244,Sheet2!$A:$A,AG$2),"")</f>
        <v/>
      </c>
      <c r="AH244" s="43">
        <f>SUM(Table2[[#This Row],[1]:[31]])</f>
        <v>0</v>
      </c>
    </row>
    <row r="245" spans="1:34" ht="12.75" customHeight="1">
      <c r="A245" s="77" t="str">
        <f>DSSP!A244</f>
        <v>GC169</v>
      </c>
      <c r="B245" s="75" t="str">
        <f>DSSP!B244</f>
        <v>Hộp nhẫn kim cương</v>
      </c>
      <c r="C245" s="21" t="str">
        <f>IF(SUMIFS(Sheet2!$E:$E,Sheet2!$C:$C,$A245,Sheet2!$A:$A,C$2)&lt;&gt;0,SUMIFS(Sheet2!$E:$E,Sheet2!$C:$C,$A245,Sheet2!$A:$A,C$2),"")</f>
        <v/>
      </c>
      <c r="D245" s="21" t="str">
        <f>IF(SUMIFS(Sheet2!$E:$E,Sheet2!$C:$C,$A245,Sheet2!$A:$A,D$2)&lt;&gt;0,SUMIFS(Sheet2!$E:$E,Sheet2!$C:$C,$A245,Sheet2!$A:$A,D$2),"")</f>
        <v/>
      </c>
      <c r="E245" s="21" t="str">
        <f>IF(SUMIFS(Sheet2!$E:$E,Sheet2!$C:$C,$A245,Sheet2!$A:$A,E$2)&lt;&gt;0,SUMIFS(Sheet2!$E:$E,Sheet2!$C:$C,$A245,Sheet2!$A:$A,E$2),"")</f>
        <v/>
      </c>
      <c r="F245" s="21" t="str">
        <f>IF(SUMIFS(Sheet2!$E:$E,Sheet2!$C:$C,$A245,Sheet2!$A:$A,F$2)&lt;&gt;0,SUMIFS(Sheet2!$E:$E,Sheet2!$C:$C,$A245,Sheet2!$A:$A,F$2),"")</f>
        <v/>
      </c>
      <c r="G245" s="21" t="str">
        <f>IF(SUMIFS(Sheet2!$E:$E,Sheet2!$C:$C,$A245,Sheet2!$A:$A,G$2)&lt;&gt;0,SUMIFS(Sheet2!$E:$E,Sheet2!$C:$C,$A245,Sheet2!$A:$A,G$2),"")</f>
        <v/>
      </c>
      <c r="H245" s="21" t="str">
        <f>IF(SUMIFS(Sheet2!$E:$E,Sheet2!$C:$C,$A245,Sheet2!$A:$A,H$2)&lt;&gt;0,SUMIFS(Sheet2!$E:$E,Sheet2!$C:$C,$A245,Sheet2!$A:$A,H$2),"")</f>
        <v/>
      </c>
      <c r="I245" s="21" t="str">
        <f>IF(SUMIFS(Sheet2!$E:$E,Sheet2!$C:$C,$A245,Sheet2!$A:$A,I$2)&lt;&gt;0,SUMIFS(Sheet2!$E:$E,Sheet2!$C:$C,$A245,Sheet2!$A:$A,I$2),"")</f>
        <v/>
      </c>
      <c r="J245" s="21" t="str">
        <f>IF(SUMIFS(Sheet2!$E:$E,Sheet2!$C:$C,$A245,Sheet2!$A:$A,J$2)&lt;&gt;0,SUMIFS(Sheet2!$E:$E,Sheet2!$C:$C,$A245,Sheet2!$A:$A,J$2),"")</f>
        <v/>
      </c>
      <c r="K245" s="21" t="str">
        <f>IF(SUMIFS(Sheet2!$E:$E,Sheet2!$C:$C,$A245,Sheet2!$A:$A,K$2)&lt;&gt;0,SUMIFS(Sheet2!$E:$E,Sheet2!$C:$C,$A245,Sheet2!$A:$A,K$2),"")</f>
        <v/>
      </c>
      <c r="L245" s="21" t="str">
        <f>IF(SUMIFS(Sheet2!$E:$E,Sheet2!$C:$C,$A245,Sheet2!$A:$A,L$2)&lt;&gt;0,SUMIFS(Sheet2!$E:$E,Sheet2!$C:$C,$A245,Sheet2!$A:$A,L$2),"")</f>
        <v/>
      </c>
      <c r="M245" s="21" t="str">
        <f>IF(SUMIFS(Sheet2!$E:$E,Sheet2!$C:$C,$A245,Sheet2!$A:$A,M$2)&lt;&gt;0,SUMIFS(Sheet2!$E:$E,Sheet2!$C:$C,$A245,Sheet2!$A:$A,M$2),"")</f>
        <v/>
      </c>
      <c r="N245" s="21" t="str">
        <f>IF(SUMIFS(Sheet2!$E:$E,Sheet2!$C:$C,$A245,Sheet2!$A:$A,N$2)&lt;&gt;0,SUMIFS(Sheet2!$E:$E,Sheet2!$C:$C,$A245,Sheet2!$A:$A,N$2),"")</f>
        <v/>
      </c>
      <c r="O245" s="21" t="str">
        <f>IF(SUMIFS(Sheet2!$E:$E,Sheet2!$C:$C,$A245,Sheet2!$A:$A,O$2)&lt;&gt;0,SUMIFS(Sheet2!$E:$E,Sheet2!$C:$C,$A245,Sheet2!$A:$A,O$2),"")</f>
        <v/>
      </c>
      <c r="P245" s="21" t="str">
        <f>IF(SUMIFS(Sheet2!$E:$E,Sheet2!$C:$C,$A245,Sheet2!$A:$A,P$2)&lt;&gt;0,SUMIFS(Sheet2!$E:$E,Sheet2!$C:$C,$A245,Sheet2!$A:$A,P$2),"")</f>
        <v/>
      </c>
      <c r="Q245" s="21" t="str">
        <f>IF(SUMIFS(Sheet2!$E:$E,Sheet2!$C:$C,$A245,Sheet2!$A:$A,Q$2)&lt;&gt;0,SUMIFS(Sheet2!$E:$E,Sheet2!$C:$C,$A245,Sheet2!$A:$A,Q$2),"")</f>
        <v/>
      </c>
      <c r="R245" s="21" t="str">
        <f>IF(SUMIFS(Sheet2!$E:$E,Sheet2!$C:$C,$A245,Sheet2!$A:$A,R$2)&lt;&gt;0,SUMIFS(Sheet2!$E:$E,Sheet2!$C:$C,$A245,Sheet2!$A:$A,R$2),"")</f>
        <v/>
      </c>
      <c r="S245" s="21" t="str">
        <f>IF(SUMIFS(Sheet2!$E:$E,Sheet2!$C:$C,$A245,Sheet2!$A:$A,S$2)&lt;&gt;0,SUMIFS(Sheet2!$E:$E,Sheet2!$C:$C,$A245,Sheet2!$A:$A,S$2),"")</f>
        <v/>
      </c>
      <c r="T245" s="21" t="str">
        <f>IF(SUMIFS(Sheet2!$E:$E,Sheet2!$C:$C,$A245,Sheet2!$A:$A,T$2)&lt;&gt;0,SUMIFS(Sheet2!$E:$E,Sheet2!$C:$C,$A245,Sheet2!$A:$A,T$2),"")</f>
        <v/>
      </c>
      <c r="U245" s="21" t="str">
        <f>IF(SUMIFS(Sheet2!$E:$E,Sheet2!$C:$C,$A245,Sheet2!$A:$A,U$2)&lt;&gt;0,SUMIFS(Sheet2!$E:$E,Sheet2!$C:$C,$A245,Sheet2!$A:$A,U$2),"")</f>
        <v/>
      </c>
      <c r="V245" s="21" t="str">
        <f>IF(SUMIFS(Sheet2!$E:$E,Sheet2!$C:$C,$A245,Sheet2!$A:$A,V$2)&lt;&gt;0,SUMIFS(Sheet2!$E:$E,Sheet2!$C:$C,$A245,Sheet2!$A:$A,V$2),"")</f>
        <v/>
      </c>
      <c r="W245" s="21" t="str">
        <f>IF(SUMIFS(Sheet2!$E:$E,Sheet2!$C:$C,$A245,Sheet2!$A:$A,W$2)&lt;&gt;0,SUMIFS(Sheet2!$E:$E,Sheet2!$C:$C,$A245,Sheet2!$A:$A,W$2),"")</f>
        <v/>
      </c>
      <c r="X245" s="21" t="str">
        <f>IF(SUMIFS(Sheet2!$E:$E,Sheet2!$C:$C,$A245,Sheet2!$A:$A,X$2)&lt;&gt;0,SUMIFS(Sheet2!$E:$E,Sheet2!$C:$C,$A245,Sheet2!$A:$A,X$2),"")</f>
        <v/>
      </c>
      <c r="Y245" s="21" t="str">
        <f>IF(SUMIFS(Sheet2!$E:$E,Sheet2!$C:$C,$A245,Sheet2!$A:$A,Y$2)&lt;&gt;0,SUMIFS(Sheet2!$E:$E,Sheet2!$C:$C,$A245,Sheet2!$A:$A,Y$2),"")</f>
        <v/>
      </c>
      <c r="Z245" s="21" t="str">
        <f>IF(SUMIFS(Sheet2!$E:$E,Sheet2!$C:$C,$A245,Sheet2!$A:$A,Z$2)&lt;&gt;0,SUMIFS(Sheet2!$E:$E,Sheet2!$C:$C,$A245,Sheet2!$A:$A,Z$2),"")</f>
        <v/>
      </c>
      <c r="AA245" s="21" t="str">
        <f>IF(SUMIFS(Sheet2!$E:$E,Sheet2!$C:$C,$A245,Sheet2!$A:$A,AA$2)&lt;&gt;0,SUMIFS(Sheet2!$E:$E,Sheet2!$C:$C,$A245,Sheet2!$A:$A,AA$2),"")</f>
        <v/>
      </c>
      <c r="AB245" s="21" t="str">
        <f>IF(SUMIFS(Sheet2!$E:$E,Sheet2!$C:$C,$A245,Sheet2!$A:$A,AB$2)&lt;&gt;0,SUMIFS(Sheet2!$E:$E,Sheet2!$C:$C,$A245,Sheet2!$A:$A,AB$2),"")</f>
        <v/>
      </c>
      <c r="AC245" s="21" t="str">
        <f>IF(SUMIFS(Sheet2!$E:$E,Sheet2!$C:$C,$A245,Sheet2!$A:$A,AC$2)&lt;&gt;0,SUMIFS(Sheet2!$E:$E,Sheet2!$C:$C,$A245,Sheet2!$A:$A,AC$2),"")</f>
        <v/>
      </c>
      <c r="AD245" s="21" t="str">
        <f>IF(SUMIFS(Sheet2!$E:$E,Sheet2!$C:$C,$A245,Sheet2!$A:$A,AD$2)&lt;&gt;0,SUMIFS(Sheet2!$E:$E,Sheet2!$C:$C,$A245,Sheet2!$A:$A,AD$2),"")</f>
        <v/>
      </c>
      <c r="AE245" s="21" t="str">
        <f>IF(SUMIFS(Sheet2!$E:$E,Sheet2!$C:$C,$A245,Sheet2!$A:$A,AE$2)&lt;&gt;0,SUMIFS(Sheet2!$E:$E,Sheet2!$C:$C,$A245,Sheet2!$A:$A,AE$2),"")</f>
        <v/>
      </c>
      <c r="AF245" s="21" t="str">
        <f>IF(SUMIFS(Sheet2!$E:$E,Sheet2!$C:$C,$A245,Sheet2!$A:$A,AF$2)&lt;&gt;0,SUMIFS(Sheet2!$E:$E,Sheet2!$C:$C,$A245,Sheet2!$A:$A,AF$2),"")</f>
        <v/>
      </c>
      <c r="AG245" s="21" t="str">
        <f>IF(SUMIFS(Sheet2!$E:$E,Sheet2!$C:$C,$A245,Sheet2!$A:$A,AG$2)&lt;&gt;0,SUMIFS(Sheet2!$E:$E,Sheet2!$C:$C,$A245,Sheet2!$A:$A,AG$2),"")</f>
        <v/>
      </c>
      <c r="AH245" s="43">
        <f>SUM(Table2[[#This Row],[1]:[31]])</f>
        <v>0</v>
      </c>
    </row>
    <row r="246" spans="1:34" ht="12.75" customHeight="1">
      <c r="A246" s="77" t="str">
        <f>DSSP!A245</f>
        <v>GC170</v>
      </c>
      <c r="B246" s="75" t="str">
        <f>DSSP!B245</f>
        <v>Thuyền buồm</v>
      </c>
      <c r="C246" s="21" t="str">
        <f>IF(SUMIFS(Sheet2!$E:$E,Sheet2!$C:$C,$A246,Sheet2!$A:$A,C$2)&lt;&gt;0,SUMIFS(Sheet2!$E:$E,Sheet2!$C:$C,$A246,Sheet2!$A:$A,C$2),"")</f>
        <v/>
      </c>
      <c r="D246" s="21" t="str">
        <f>IF(SUMIFS(Sheet2!$E:$E,Sheet2!$C:$C,$A246,Sheet2!$A:$A,D$2)&lt;&gt;0,SUMIFS(Sheet2!$E:$E,Sheet2!$C:$C,$A246,Sheet2!$A:$A,D$2),"")</f>
        <v/>
      </c>
      <c r="E246" s="21" t="str">
        <f>IF(SUMIFS(Sheet2!$E:$E,Sheet2!$C:$C,$A246,Sheet2!$A:$A,E$2)&lt;&gt;0,SUMIFS(Sheet2!$E:$E,Sheet2!$C:$C,$A246,Sheet2!$A:$A,E$2),"")</f>
        <v/>
      </c>
      <c r="F246" s="21" t="str">
        <f>IF(SUMIFS(Sheet2!$E:$E,Sheet2!$C:$C,$A246,Sheet2!$A:$A,F$2)&lt;&gt;0,SUMIFS(Sheet2!$E:$E,Sheet2!$C:$C,$A246,Sheet2!$A:$A,F$2),"")</f>
        <v/>
      </c>
      <c r="G246" s="21" t="str">
        <f>IF(SUMIFS(Sheet2!$E:$E,Sheet2!$C:$C,$A246,Sheet2!$A:$A,G$2)&lt;&gt;0,SUMIFS(Sheet2!$E:$E,Sheet2!$C:$C,$A246,Sheet2!$A:$A,G$2),"")</f>
        <v/>
      </c>
      <c r="H246" s="21" t="str">
        <f>IF(SUMIFS(Sheet2!$E:$E,Sheet2!$C:$C,$A246,Sheet2!$A:$A,H$2)&lt;&gt;0,SUMIFS(Sheet2!$E:$E,Sheet2!$C:$C,$A246,Sheet2!$A:$A,H$2),"")</f>
        <v/>
      </c>
      <c r="I246" s="21" t="str">
        <f>IF(SUMIFS(Sheet2!$E:$E,Sheet2!$C:$C,$A246,Sheet2!$A:$A,I$2)&lt;&gt;0,SUMIFS(Sheet2!$E:$E,Sheet2!$C:$C,$A246,Sheet2!$A:$A,I$2),"")</f>
        <v/>
      </c>
      <c r="J246" s="21" t="str">
        <f>IF(SUMIFS(Sheet2!$E:$E,Sheet2!$C:$C,$A246,Sheet2!$A:$A,J$2)&lt;&gt;0,SUMIFS(Sheet2!$E:$E,Sheet2!$C:$C,$A246,Sheet2!$A:$A,J$2),"")</f>
        <v/>
      </c>
      <c r="K246" s="21" t="str">
        <f>IF(SUMIFS(Sheet2!$E:$E,Sheet2!$C:$C,$A246,Sheet2!$A:$A,K$2)&lt;&gt;0,SUMIFS(Sheet2!$E:$E,Sheet2!$C:$C,$A246,Sheet2!$A:$A,K$2),"")</f>
        <v/>
      </c>
      <c r="L246" s="21" t="str">
        <f>IF(SUMIFS(Sheet2!$E:$E,Sheet2!$C:$C,$A246,Sheet2!$A:$A,L$2)&lt;&gt;0,SUMIFS(Sheet2!$E:$E,Sheet2!$C:$C,$A246,Sheet2!$A:$A,L$2),"")</f>
        <v/>
      </c>
      <c r="M246" s="21" t="str">
        <f>IF(SUMIFS(Sheet2!$E:$E,Sheet2!$C:$C,$A246,Sheet2!$A:$A,M$2)&lt;&gt;0,SUMIFS(Sheet2!$E:$E,Sheet2!$C:$C,$A246,Sheet2!$A:$A,M$2),"")</f>
        <v/>
      </c>
      <c r="N246" s="21" t="str">
        <f>IF(SUMIFS(Sheet2!$E:$E,Sheet2!$C:$C,$A246,Sheet2!$A:$A,N$2)&lt;&gt;0,SUMIFS(Sheet2!$E:$E,Sheet2!$C:$C,$A246,Sheet2!$A:$A,N$2),"")</f>
        <v/>
      </c>
      <c r="O246" s="21" t="str">
        <f>IF(SUMIFS(Sheet2!$E:$E,Sheet2!$C:$C,$A246,Sheet2!$A:$A,O$2)&lt;&gt;0,SUMIFS(Sheet2!$E:$E,Sheet2!$C:$C,$A246,Sheet2!$A:$A,O$2),"")</f>
        <v/>
      </c>
      <c r="P246" s="21" t="str">
        <f>IF(SUMIFS(Sheet2!$E:$E,Sheet2!$C:$C,$A246,Sheet2!$A:$A,P$2)&lt;&gt;0,SUMIFS(Sheet2!$E:$E,Sheet2!$C:$C,$A246,Sheet2!$A:$A,P$2),"")</f>
        <v/>
      </c>
      <c r="Q246" s="21" t="str">
        <f>IF(SUMIFS(Sheet2!$E:$E,Sheet2!$C:$C,$A246,Sheet2!$A:$A,Q$2)&lt;&gt;0,SUMIFS(Sheet2!$E:$E,Sheet2!$C:$C,$A246,Sheet2!$A:$A,Q$2),"")</f>
        <v/>
      </c>
      <c r="R246" s="21" t="str">
        <f>IF(SUMIFS(Sheet2!$E:$E,Sheet2!$C:$C,$A246,Sheet2!$A:$A,R$2)&lt;&gt;0,SUMIFS(Sheet2!$E:$E,Sheet2!$C:$C,$A246,Sheet2!$A:$A,R$2),"")</f>
        <v/>
      </c>
      <c r="S246" s="21" t="str">
        <f>IF(SUMIFS(Sheet2!$E:$E,Sheet2!$C:$C,$A246,Sheet2!$A:$A,S$2)&lt;&gt;0,SUMIFS(Sheet2!$E:$E,Sheet2!$C:$C,$A246,Sheet2!$A:$A,S$2),"")</f>
        <v/>
      </c>
      <c r="T246" s="21" t="str">
        <f>IF(SUMIFS(Sheet2!$E:$E,Sheet2!$C:$C,$A246,Sheet2!$A:$A,T$2)&lt;&gt;0,SUMIFS(Sheet2!$E:$E,Sheet2!$C:$C,$A246,Sheet2!$A:$A,T$2),"")</f>
        <v/>
      </c>
      <c r="U246" s="21" t="str">
        <f>IF(SUMIFS(Sheet2!$E:$E,Sheet2!$C:$C,$A246,Sheet2!$A:$A,U$2)&lt;&gt;0,SUMIFS(Sheet2!$E:$E,Sheet2!$C:$C,$A246,Sheet2!$A:$A,U$2),"")</f>
        <v/>
      </c>
      <c r="V246" s="21" t="str">
        <f>IF(SUMIFS(Sheet2!$E:$E,Sheet2!$C:$C,$A246,Sheet2!$A:$A,V$2)&lt;&gt;0,SUMIFS(Sheet2!$E:$E,Sheet2!$C:$C,$A246,Sheet2!$A:$A,V$2),"")</f>
        <v/>
      </c>
      <c r="W246" s="21" t="str">
        <f>IF(SUMIFS(Sheet2!$E:$E,Sheet2!$C:$C,$A246,Sheet2!$A:$A,W$2)&lt;&gt;0,SUMIFS(Sheet2!$E:$E,Sheet2!$C:$C,$A246,Sheet2!$A:$A,W$2),"")</f>
        <v/>
      </c>
      <c r="X246" s="21" t="str">
        <f>IF(SUMIFS(Sheet2!$E:$E,Sheet2!$C:$C,$A246,Sheet2!$A:$A,X$2)&lt;&gt;0,SUMIFS(Sheet2!$E:$E,Sheet2!$C:$C,$A246,Sheet2!$A:$A,X$2),"")</f>
        <v/>
      </c>
      <c r="Y246" s="21" t="str">
        <f>IF(SUMIFS(Sheet2!$E:$E,Sheet2!$C:$C,$A246,Sheet2!$A:$A,Y$2)&lt;&gt;0,SUMIFS(Sheet2!$E:$E,Sheet2!$C:$C,$A246,Sheet2!$A:$A,Y$2),"")</f>
        <v/>
      </c>
      <c r="Z246" s="21" t="str">
        <f>IF(SUMIFS(Sheet2!$E:$E,Sheet2!$C:$C,$A246,Sheet2!$A:$A,Z$2)&lt;&gt;0,SUMIFS(Sheet2!$E:$E,Sheet2!$C:$C,$A246,Sheet2!$A:$A,Z$2),"")</f>
        <v/>
      </c>
      <c r="AA246" s="21" t="str">
        <f>IF(SUMIFS(Sheet2!$E:$E,Sheet2!$C:$C,$A246,Sheet2!$A:$A,AA$2)&lt;&gt;0,SUMIFS(Sheet2!$E:$E,Sheet2!$C:$C,$A246,Sheet2!$A:$A,AA$2),"")</f>
        <v/>
      </c>
      <c r="AB246" s="21" t="str">
        <f>IF(SUMIFS(Sheet2!$E:$E,Sheet2!$C:$C,$A246,Sheet2!$A:$A,AB$2)&lt;&gt;0,SUMIFS(Sheet2!$E:$E,Sheet2!$C:$C,$A246,Sheet2!$A:$A,AB$2),"")</f>
        <v/>
      </c>
      <c r="AC246" s="21" t="str">
        <f>IF(SUMIFS(Sheet2!$E:$E,Sheet2!$C:$C,$A246,Sheet2!$A:$A,AC$2)&lt;&gt;0,SUMIFS(Sheet2!$E:$E,Sheet2!$C:$C,$A246,Sheet2!$A:$A,AC$2),"")</f>
        <v/>
      </c>
      <c r="AD246" s="21" t="str">
        <f>IF(SUMIFS(Sheet2!$E:$E,Sheet2!$C:$C,$A246,Sheet2!$A:$A,AD$2)&lt;&gt;0,SUMIFS(Sheet2!$E:$E,Sheet2!$C:$C,$A246,Sheet2!$A:$A,AD$2),"")</f>
        <v/>
      </c>
      <c r="AE246" s="21" t="str">
        <f>IF(SUMIFS(Sheet2!$E:$E,Sheet2!$C:$C,$A246,Sheet2!$A:$A,AE$2)&lt;&gt;0,SUMIFS(Sheet2!$E:$E,Sheet2!$C:$C,$A246,Sheet2!$A:$A,AE$2),"")</f>
        <v/>
      </c>
      <c r="AF246" s="21" t="str">
        <f>IF(SUMIFS(Sheet2!$E:$E,Sheet2!$C:$C,$A246,Sheet2!$A:$A,AF$2)&lt;&gt;0,SUMIFS(Sheet2!$E:$E,Sheet2!$C:$C,$A246,Sheet2!$A:$A,AF$2),"")</f>
        <v/>
      </c>
      <c r="AG246" s="21" t="str">
        <f>IF(SUMIFS(Sheet2!$E:$E,Sheet2!$C:$C,$A246,Sheet2!$A:$A,AG$2)&lt;&gt;0,SUMIFS(Sheet2!$E:$E,Sheet2!$C:$C,$A246,Sheet2!$A:$A,AG$2),"")</f>
        <v/>
      </c>
      <c r="AH246" s="43">
        <f>SUM(Table2[[#This Row],[1]:[31]])</f>
        <v>0</v>
      </c>
    </row>
    <row r="247" spans="1:34" ht="12.75" customHeight="1">
      <c r="A247" s="77" t="str">
        <f>DSSP!A246</f>
        <v>GC171</v>
      </c>
      <c r="B247" s="75" t="str">
        <f>DSSP!B246</f>
        <v>Súng</v>
      </c>
      <c r="C247" s="21" t="str">
        <f>IF(SUMIFS(Sheet2!$E:$E,Sheet2!$C:$C,$A247,Sheet2!$A:$A,C$2)&lt;&gt;0,SUMIFS(Sheet2!$E:$E,Sheet2!$C:$C,$A247,Sheet2!$A:$A,C$2),"")</f>
        <v/>
      </c>
      <c r="D247" s="21" t="str">
        <f>IF(SUMIFS(Sheet2!$E:$E,Sheet2!$C:$C,$A247,Sheet2!$A:$A,D$2)&lt;&gt;0,SUMIFS(Sheet2!$E:$E,Sheet2!$C:$C,$A247,Sheet2!$A:$A,D$2),"")</f>
        <v/>
      </c>
      <c r="E247" s="21" t="str">
        <f>IF(SUMIFS(Sheet2!$E:$E,Sheet2!$C:$C,$A247,Sheet2!$A:$A,E$2)&lt;&gt;0,SUMIFS(Sheet2!$E:$E,Sheet2!$C:$C,$A247,Sheet2!$A:$A,E$2),"")</f>
        <v/>
      </c>
      <c r="F247" s="21" t="str">
        <f>IF(SUMIFS(Sheet2!$E:$E,Sheet2!$C:$C,$A247,Sheet2!$A:$A,F$2)&lt;&gt;0,SUMIFS(Sheet2!$E:$E,Sheet2!$C:$C,$A247,Sheet2!$A:$A,F$2),"")</f>
        <v/>
      </c>
      <c r="G247" s="21" t="str">
        <f>IF(SUMIFS(Sheet2!$E:$E,Sheet2!$C:$C,$A247,Sheet2!$A:$A,G$2)&lt;&gt;0,SUMIFS(Sheet2!$E:$E,Sheet2!$C:$C,$A247,Sheet2!$A:$A,G$2),"")</f>
        <v/>
      </c>
      <c r="H247" s="21" t="str">
        <f>IF(SUMIFS(Sheet2!$E:$E,Sheet2!$C:$C,$A247,Sheet2!$A:$A,H$2)&lt;&gt;0,SUMIFS(Sheet2!$E:$E,Sheet2!$C:$C,$A247,Sheet2!$A:$A,H$2),"")</f>
        <v/>
      </c>
      <c r="I247" s="21" t="str">
        <f>IF(SUMIFS(Sheet2!$E:$E,Sheet2!$C:$C,$A247,Sheet2!$A:$A,I$2)&lt;&gt;0,SUMIFS(Sheet2!$E:$E,Sheet2!$C:$C,$A247,Sheet2!$A:$A,I$2),"")</f>
        <v/>
      </c>
      <c r="J247" s="21" t="str">
        <f>IF(SUMIFS(Sheet2!$E:$E,Sheet2!$C:$C,$A247,Sheet2!$A:$A,J$2)&lt;&gt;0,SUMIFS(Sheet2!$E:$E,Sheet2!$C:$C,$A247,Sheet2!$A:$A,J$2),"")</f>
        <v/>
      </c>
      <c r="K247" s="21" t="str">
        <f>IF(SUMIFS(Sheet2!$E:$E,Sheet2!$C:$C,$A247,Sheet2!$A:$A,K$2)&lt;&gt;0,SUMIFS(Sheet2!$E:$E,Sheet2!$C:$C,$A247,Sheet2!$A:$A,K$2),"")</f>
        <v/>
      </c>
      <c r="L247" s="21" t="str">
        <f>IF(SUMIFS(Sheet2!$E:$E,Sheet2!$C:$C,$A247,Sheet2!$A:$A,L$2)&lt;&gt;0,SUMIFS(Sheet2!$E:$E,Sheet2!$C:$C,$A247,Sheet2!$A:$A,L$2),"")</f>
        <v/>
      </c>
      <c r="M247" s="21" t="str">
        <f>IF(SUMIFS(Sheet2!$E:$E,Sheet2!$C:$C,$A247,Sheet2!$A:$A,M$2)&lt;&gt;0,SUMIFS(Sheet2!$E:$E,Sheet2!$C:$C,$A247,Sheet2!$A:$A,M$2),"")</f>
        <v/>
      </c>
      <c r="N247" s="21" t="str">
        <f>IF(SUMIFS(Sheet2!$E:$E,Sheet2!$C:$C,$A247,Sheet2!$A:$A,N$2)&lt;&gt;0,SUMIFS(Sheet2!$E:$E,Sheet2!$C:$C,$A247,Sheet2!$A:$A,N$2),"")</f>
        <v/>
      </c>
      <c r="O247" s="21" t="str">
        <f>IF(SUMIFS(Sheet2!$E:$E,Sheet2!$C:$C,$A247,Sheet2!$A:$A,O$2)&lt;&gt;0,SUMIFS(Sheet2!$E:$E,Sheet2!$C:$C,$A247,Sheet2!$A:$A,O$2),"")</f>
        <v/>
      </c>
      <c r="P247" s="21" t="str">
        <f>IF(SUMIFS(Sheet2!$E:$E,Sheet2!$C:$C,$A247,Sheet2!$A:$A,P$2)&lt;&gt;0,SUMIFS(Sheet2!$E:$E,Sheet2!$C:$C,$A247,Sheet2!$A:$A,P$2),"")</f>
        <v/>
      </c>
      <c r="Q247" s="21" t="str">
        <f>IF(SUMIFS(Sheet2!$E:$E,Sheet2!$C:$C,$A247,Sheet2!$A:$A,Q$2)&lt;&gt;0,SUMIFS(Sheet2!$E:$E,Sheet2!$C:$C,$A247,Sheet2!$A:$A,Q$2),"")</f>
        <v/>
      </c>
      <c r="R247" s="21" t="str">
        <f>IF(SUMIFS(Sheet2!$E:$E,Sheet2!$C:$C,$A247,Sheet2!$A:$A,R$2)&lt;&gt;0,SUMIFS(Sheet2!$E:$E,Sheet2!$C:$C,$A247,Sheet2!$A:$A,R$2),"")</f>
        <v/>
      </c>
      <c r="S247" s="21" t="str">
        <f>IF(SUMIFS(Sheet2!$E:$E,Sheet2!$C:$C,$A247,Sheet2!$A:$A,S$2)&lt;&gt;0,SUMIFS(Sheet2!$E:$E,Sheet2!$C:$C,$A247,Sheet2!$A:$A,S$2),"")</f>
        <v/>
      </c>
      <c r="T247" s="21" t="str">
        <f>IF(SUMIFS(Sheet2!$E:$E,Sheet2!$C:$C,$A247,Sheet2!$A:$A,T$2)&lt;&gt;0,SUMIFS(Sheet2!$E:$E,Sheet2!$C:$C,$A247,Sheet2!$A:$A,T$2),"")</f>
        <v/>
      </c>
      <c r="U247" s="21" t="str">
        <f>IF(SUMIFS(Sheet2!$E:$E,Sheet2!$C:$C,$A247,Sheet2!$A:$A,U$2)&lt;&gt;0,SUMIFS(Sheet2!$E:$E,Sheet2!$C:$C,$A247,Sheet2!$A:$A,U$2),"")</f>
        <v/>
      </c>
      <c r="V247" s="21" t="str">
        <f>IF(SUMIFS(Sheet2!$E:$E,Sheet2!$C:$C,$A247,Sheet2!$A:$A,V$2)&lt;&gt;0,SUMIFS(Sheet2!$E:$E,Sheet2!$C:$C,$A247,Sheet2!$A:$A,V$2),"")</f>
        <v/>
      </c>
      <c r="W247" s="21" t="str">
        <f>IF(SUMIFS(Sheet2!$E:$E,Sheet2!$C:$C,$A247,Sheet2!$A:$A,W$2)&lt;&gt;0,SUMIFS(Sheet2!$E:$E,Sheet2!$C:$C,$A247,Sheet2!$A:$A,W$2),"")</f>
        <v/>
      </c>
      <c r="X247" s="21" t="str">
        <f>IF(SUMIFS(Sheet2!$E:$E,Sheet2!$C:$C,$A247,Sheet2!$A:$A,X$2)&lt;&gt;0,SUMIFS(Sheet2!$E:$E,Sheet2!$C:$C,$A247,Sheet2!$A:$A,X$2),"")</f>
        <v/>
      </c>
      <c r="Y247" s="21" t="str">
        <f>IF(SUMIFS(Sheet2!$E:$E,Sheet2!$C:$C,$A247,Sheet2!$A:$A,Y$2)&lt;&gt;0,SUMIFS(Sheet2!$E:$E,Sheet2!$C:$C,$A247,Sheet2!$A:$A,Y$2),"")</f>
        <v/>
      </c>
      <c r="Z247" s="21" t="str">
        <f>IF(SUMIFS(Sheet2!$E:$E,Sheet2!$C:$C,$A247,Sheet2!$A:$A,Z$2)&lt;&gt;0,SUMIFS(Sheet2!$E:$E,Sheet2!$C:$C,$A247,Sheet2!$A:$A,Z$2),"")</f>
        <v/>
      </c>
      <c r="AA247" s="21" t="str">
        <f>IF(SUMIFS(Sheet2!$E:$E,Sheet2!$C:$C,$A247,Sheet2!$A:$A,AA$2)&lt;&gt;0,SUMIFS(Sheet2!$E:$E,Sheet2!$C:$C,$A247,Sheet2!$A:$A,AA$2),"")</f>
        <v/>
      </c>
      <c r="AB247" s="21" t="str">
        <f>IF(SUMIFS(Sheet2!$E:$E,Sheet2!$C:$C,$A247,Sheet2!$A:$A,AB$2)&lt;&gt;0,SUMIFS(Sheet2!$E:$E,Sheet2!$C:$C,$A247,Sheet2!$A:$A,AB$2),"")</f>
        <v/>
      </c>
      <c r="AC247" s="21" t="str">
        <f>IF(SUMIFS(Sheet2!$E:$E,Sheet2!$C:$C,$A247,Sheet2!$A:$A,AC$2)&lt;&gt;0,SUMIFS(Sheet2!$E:$E,Sheet2!$C:$C,$A247,Sheet2!$A:$A,AC$2),"")</f>
        <v/>
      </c>
      <c r="AD247" s="21" t="str">
        <f>IF(SUMIFS(Sheet2!$E:$E,Sheet2!$C:$C,$A247,Sheet2!$A:$A,AD$2)&lt;&gt;0,SUMIFS(Sheet2!$E:$E,Sheet2!$C:$C,$A247,Sheet2!$A:$A,AD$2),"")</f>
        <v/>
      </c>
      <c r="AE247" s="21" t="str">
        <f>IF(SUMIFS(Sheet2!$E:$E,Sheet2!$C:$C,$A247,Sheet2!$A:$A,AE$2)&lt;&gt;0,SUMIFS(Sheet2!$E:$E,Sheet2!$C:$C,$A247,Sheet2!$A:$A,AE$2),"")</f>
        <v/>
      </c>
      <c r="AF247" s="21" t="str">
        <f>IF(SUMIFS(Sheet2!$E:$E,Sheet2!$C:$C,$A247,Sheet2!$A:$A,AF$2)&lt;&gt;0,SUMIFS(Sheet2!$E:$E,Sheet2!$C:$C,$A247,Sheet2!$A:$A,AF$2),"")</f>
        <v/>
      </c>
      <c r="AG247" s="21" t="str">
        <f>IF(SUMIFS(Sheet2!$E:$E,Sheet2!$C:$C,$A247,Sheet2!$A:$A,AG$2)&lt;&gt;0,SUMIFS(Sheet2!$E:$E,Sheet2!$C:$C,$A247,Sheet2!$A:$A,AG$2),"")</f>
        <v/>
      </c>
      <c r="AH247" s="43">
        <f>SUM(Table2[[#This Row],[1]:[31]])</f>
        <v>0</v>
      </c>
    </row>
    <row r="248" spans="1:34" ht="12.75" customHeight="1">
      <c r="A248" s="77" t="str">
        <f>DSSP!A247</f>
        <v>GC172</v>
      </c>
      <c r="B248" s="75" t="str">
        <f>DSSP!B247</f>
        <v>Tháp Effeil Trăng</v>
      </c>
      <c r="C248" s="21" t="str">
        <f>IF(SUMIFS(Sheet2!$E:$E,Sheet2!$C:$C,$A248,Sheet2!$A:$A,C$2)&lt;&gt;0,SUMIFS(Sheet2!$E:$E,Sheet2!$C:$C,$A248,Sheet2!$A:$A,C$2),"")</f>
        <v/>
      </c>
      <c r="D248" s="21" t="str">
        <f>IF(SUMIFS(Sheet2!$E:$E,Sheet2!$C:$C,$A248,Sheet2!$A:$A,D$2)&lt;&gt;0,SUMIFS(Sheet2!$E:$E,Sheet2!$C:$C,$A248,Sheet2!$A:$A,D$2),"")</f>
        <v/>
      </c>
      <c r="E248" s="21" t="str">
        <f>IF(SUMIFS(Sheet2!$E:$E,Sheet2!$C:$C,$A248,Sheet2!$A:$A,E$2)&lt;&gt;0,SUMIFS(Sheet2!$E:$E,Sheet2!$C:$C,$A248,Sheet2!$A:$A,E$2),"")</f>
        <v/>
      </c>
      <c r="F248" s="21" t="str">
        <f>IF(SUMIFS(Sheet2!$E:$E,Sheet2!$C:$C,$A248,Sheet2!$A:$A,F$2)&lt;&gt;0,SUMIFS(Sheet2!$E:$E,Sheet2!$C:$C,$A248,Sheet2!$A:$A,F$2),"")</f>
        <v/>
      </c>
      <c r="G248" s="21" t="str">
        <f>IF(SUMIFS(Sheet2!$E:$E,Sheet2!$C:$C,$A248,Sheet2!$A:$A,G$2)&lt;&gt;0,SUMIFS(Sheet2!$E:$E,Sheet2!$C:$C,$A248,Sheet2!$A:$A,G$2),"")</f>
        <v/>
      </c>
      <c r="H248" s="21" t="str">
        <f>IF(SUMIFS(Sheet2!$E:$E,Sheet2!$C:$C,$A248,Sheet2!$A:$A,H$2)&lt;&gt;0,SUMIFS(Sheet2!$E:$E,Sheet2!$C:$C,$A248,Sheet2!$A:$A,H$2),"")</f>
        <v/>
      </c>
      <c r="I248" s="21" t="str">
        <f>IF(SUMIFS(Sheet2!$E:$E,Sheet2!$C:$C,$A248,Sheet2!$A:$A,I$2)&lt;&gt;0,SUMIFS(Sheet2!$E:$E,Sheet2!$C:$C,$A248,Sheet2!$A:$A,I$2),"")</f>
        <v/>
      </c>
      <c r="J248" s="21" t="str">
        <f>IF(SUMIFS(Sheet2!$E:$E,Sheet2!$C:$C,$A248,Sheet2!$A:$A,J$2)&lt;&gt;0,SUMIFS(Sheet2!$E:$E,Sheet2!$C:$C,$A248,Sheet2!$A:$A,J$2),"")</f>
        <v/>
      </c>
      <c r="K248" s="21" t="str">
        <f>IF(SUMIFS(Sheet2!$E:$E,Sheet2!$C:$C,$A248,Sheet2!$A:$A,K$2)&lt;&gt;0,SUMIFS(Sheet2!$E:$E,Sheet2!$C:$C,$A248,Sheet2!$A:$A,K$2),"")</f>
        <v/>
      </c>
      <c r="L248" s="21" t="str">
        <f>IF(SUMIFS(Sheet2!$E:$E,Sheet2!$C:$C,$A248,Sheet2!$A:$A,L$2)&lt;&gt;0,SUMIFS(Sheet2!$E:$E,Sheet2!$C:$C,$A248,Sheet2!$A:$A,L$2),"")</f>
        <v/>
      </c>
      <c r="M248" s="21" t="str">
        <f>IF(SUMIFS(Sheet2!$E:$E,Sheet2!$C:$C,$A248,Sheet2!$A:$A,M$2)&lt;&gt;0,SUMIFS(Sheet2!$E:$E,Sheet2!$C:$C,$A248,Sheet2!$A:$A,M$2),"")</f>
        <v/>
      </c>
      <c r="N248" s="21" t="str">
        <f>IF(SUMIFS(Sheet2!$E:$E,Sheet2!$C:$C,$A248,Sheet2!$A:$A,N$2)&lt;&gt;0,SUMIFS(Sheet2!$E:$E,Sheet2!$C:$C,$A248,Sheet2!$A:$A,N$2),"")</f>
        <v/>
      </c>
      <c r="O248" s="21" t="str">
        <f>IF(SUMIFS(Sheet2!$E:$E,Sheet2!$C:$C,$A248,Sheet2!$A:$A,O$2)&lt;&gt;0,SUMIFS(Sheet2!$E:$E,Sheet2!$C:$C,$A248,Sheet2!$A:$A,O$2),"")</f>
        <v/>
      </c>
      <c r="P248" s="21" t="str">
        <f>IF(SUMIFS(Sheet2!$E:$E,Sheet2!$C:$C,$A248,Sheet2!$A:$A,P$2)&lt;&gt;0,SUMIFS(Sheet2!$E:$E,Sheet2!$C:$C,$A248,Sheet2!$A:$A,P$2),"")</f>
        <v/>
      </c>
      <c r="Q248" s="21" t="str">
        <f>IF(SUMIFS(Sheet2!$E:$E,Sheet2!$C:$C,$A248,Sheet2!$A:$A,Q$2)&lt;&gt;0,SUMIFS(Sheet2!$E:$E,Sheet2!$C:$C,$A248,Sheet2!$A:$A,Q$2),"")</f>
        <v/>
      </c>
      <c r="R248" s="21" t="str">
        <f>IF(SUMIFS(Sheet2!$E:$E,Sheet2!$C:$C,$A248,Sheet2!$A:$A,R$2)&lt;&gt;0,SUMIFS(Sheet2!$E:$E,Sheet2!$C:$C,$A248,Sheet2!$A:$A,R$2),"")</f>
        <v/>
      </c>
      <c r="S248" s="21" t="str">
        <f>IF(SUMIFS(Sheet2!$E:$E,Sheet2!$C:$C,$A248,Sheet2!$A:$A,S$2)&lt;&gt;0,SUMIFS(Sheet2!$E:$E,Sheet2!$C:$C,$A248,Sheet2!$A:$A,S$2),"")</f>
        <v/>
      </c>
      <c r="T248" s="21" t="str">
        <f>IF(SUMIFS(Sheet2!$E:$E,Sheet2!$C:$C,$A248,Sheet2!$A:$A,T$2)&lt;&gt;0,SUMIFS(Sheet2!$E:$E,Sheet2!$C:$C,$A248,Sheet2!$A:$A,T$2),"")</f>
        <v/>
      </c>
      <c r="U248" s="21" t="str">
        <f>IF(SUMIFS(Sheet2!$E:$E,Sheet2!$C:$C,$A248,Sheet2!$A:$A,U$2)&lt;&gt;0,SUMIFS(Sheet2!$E:$E,Sheet2!$C:$C,$A248,Sheet2!$A:$A,U$2),"")</f>
        <v/>
      </c>
      <c r="V248" s="21" t="str">
        <f>IF(SUMIFS(Sheet2!$E:$E,Sheet2!$C:$C,$A248,Sheet2!$A:$A,V$2)&lt;&gt;0,SUMIFS(Sheet2!$E:$E,Sheet2!$C:$C,$A248,Sheet2!$A:$A,V$2),"")</f>
        <v/>
      </c>
      <c r="W248" s="21" t="str">
        <f>IF(SUMIFS(Sheet2!$E:$E,Sheet2!$C:$C,$A248,Sheet2!$A:$A,W$2)&lt;&gt;0,SUMIFS(Sheet2!$E:$E,Sheet2!$C:$C,$A248,Sheet2!$A:$A,W$2),"")</f>
        <v/>
      </c>
      <c r="X248" s="21" t="str">
        <f>IF(SUMIFS(Sheet2!$E:$E,Sheet2!$C:$C,$A248,Sheet2!$A:$A,X$2)&lt;&gt;0,SUMIFS(Sheet2!$E:$E,Sheet2!$C:$C,$A248,Sheet2!$A:$A,X$2),"")</f>
        <v/>
      </c>
      <c r="Y248" s="21" t="str">
        <f>IF(SUMIFS(Sheet2!$E:$E,Sheet2!$C:$C,$A248,Sheet2!$A:$A,Y$2)&lt;&gt;0,SUMIFS(Sheet2!$E:$E,Sheet2!$C:$C,$A248,Sheet2!$A:$A,Y$2),"")</f>
        <v/>
      </c>
      <c r="Z248" s="21" t="str">
        <f>IF(SUMIFS(Sheet2!$E:$E,Sheet2!$C:$C,$A248,Sheet2!$A:$A,Z$2)&lt;&gt;0,SUMIFS(Sheet2!$E:$E,Sheet2!$C:$C,$A248,Sheet2!$A:$A,Z$2),"")</f>
        <v/>
      </c>
      <c r="AA248" s="21" t="str">
        <f>IF(SUMIFS(Sheet2!$E:$E,Sheet2!$C:$C,$A248,Sheet2!$A:$A,AA$2)&lt;&gt;0,SUMIFS(Sheet2!$E:$E,Sheet2!$C:$C,$A248,Sheet2!$A:$A,AA$2),"")</f>
        <v/>
      </c>
      <c r="AB248" s="21" t="str">
        <f>IF(SUMIFS(Sheet2!$E:$E,Sheet2!$C:$C,$A248,Sheet2!$A:$A,AB$2)&lt;&gt;0,SUMIFS(Sheet2!$E:$E,Sheet2!$C:$C,$A248,Sheet2!$A:$A,AB$2),"")</f>
        <v/>
      </c>
      <c r="AC248" s="21" t="str">
        <f>IF(SUMIFS(Sheet2!$E:$E,Sheet2!$C:$C,$A248,Sheet2!$A:$A,AC$2)&lt;&gt;0,SUMIFS(Sheet2!$E:$E,Sheet2!$C:$C,$A248,Sheet2!$A:$A,AC$2),"")</f>
        <v/>
      </c>
      <c r="AD248" s="21" t="str">
        <f>IF(SUMIFS(Sheet2!$E:$E,Sheet2!$C:$C,$A248,Sheet2!$A:$A,AD$2)&lt;&gt;0,SUMIFS(Sheet2!$E:$E,Sheet2!$C:$C,$A248,Sheet2!$A:$A,AD$2),"")</f>
        <v/>
      </c>
      <c r="AE248" s="21" t="str">
        <f>IF(SUMIFS(Sheet2!$E:$E,Sheet2!$C:$C,$A248,Sheet2!$A:$A,AE$2)&lt;&gt;0,SUMIFS(Sheet2!$E:$E,Sheet2!$C:$C,$A248,Sheet2!$A:$A,AE$2),"")</f>
        <v/>
      </c>
      <c r="AF248" s="21" t="str">
        <f>IF(SUMIFS(Sheet2!$E:$E,Sheet2!$C:$C,$A248,Sheet2!$A:$A,AF$2)&lt;&gt;0,SUMIFS(Sheet2!$E:$E,Sheet2!$C:$C,$A248,Sheet2!$A:$A,AF$2),"")</f>
        <v/>
      </c>
      <c r="AG248" s="21" t="str">
        <f>IF(SUMIFS(Sheet2!$E:$E,Sheet2!$C:$C,$A248,Sheet2!$A:$A,AG$2)&lt;&gt;0,SUMIFS(Sheet2!$E:$E,Sheet2!$C:$C,$A248,Sheet2!$A:$A,AG$2),"")</f>
        <v/>
      </c>
      <c r="AH248" s="43">
        <f>SUM(Table2[[#This Row],[1]:[31]])</f>
        <v>0</v>
      </c>
    </row>
    <row r="249" spans="1:34" ht="12.75" customHeight="1">
      <c r="A249" s="77" t="str">
        <f>DSSP!A248</f>
        <v>GC173</v>
      </c>
      <c r="B249" s="75" t="str">
        <f>DSSP!B248</f>
        <v>Nốt nhạc</v>
      </c>
      <c r="C249" s="21" t="str">
        <f>IF(SUMIFS(Sheet2!$E:$E,Sheet2!$C:$C,$A249,Sheet2!$A:$A,C$2)&lt;&gt;0,SUMIFS(Sheet2!$E:$E,Sheet2!$C:$C,$A249,Sheet2!$A:$A,C$2),"")</f>
        <v/>
      </c>
      <c r="D249" s="21" t="str">
        <f>IF(SUMIFS(Sheet2!$E:$E,Sheet2!$C:$C,$A249,Sheet2!$A:$A,D$2)&lt;&gt;0,SUMIFS(Sheet2!$E:$E,Sheet2!$C:$C,$A249,Sheet2!$A:$A,D$2),"")</f>
        <v/>
      </c>
      <c r="E249" s="21" t="str">
        <f>IF(SUMIFS(Sheet2!$E:$E,Sheet2!$C:$C,$A249,Sheet2!$A:$A,E$2)&lt;&gt;0,SUMIFS(Sheet2!$E:$E,Sheet2!$C:$C,$A249,Sheet2!$A:$A,E$2),"")</f>
        <v/>
      </c>
      <c r="F249" s="21" t="str">
        <f>IF(SUMIFS(Sheet2!$E:$E,Sheet2!$C:$C,$A249,Sheet2!$A:$A,F$2)&lt;&gt;0,SUMIFS(Sheet2!$E:$E,Sheet2!$C:$C,$A249,Sheet2!$A:$A,F$2),"")</f>
        <v/>
      </c>
      <c r="G249" s="21" t="str">
        <f>IF(SUMIFS(Sheet2!$E:$E,Sheet2!$C:$C,$A249,Sheet2!$A:$A,G$2)&lt;&gt;0,SUMIFS(Sheet2!$E:$E,Sheet2!$C:$C,$A249,Sheet2!$A:$A,G$2),"")</f>
        <v/>
      </c>
      <c r="H249" s="21" t="str">
        <f>IF(SUMIFS(Sheet2!$E:$E,Sheet2!$C:$C,$A249,Sheet2!$A:$A,H$2)&lt;&gt;0,SUMIFS(Sheet2!$E:$E,Sheet2!$C:$C,$A249,Sheet2!$A:$A,H$2),"")</f>
        <v/>
      </c>
      <c r="I249" s="21" t="str">
        <f>IF(SUMIFS(Sheet2!$E:$E,Sheet2!$C:$C,$A249,Sheet2!$A:$A,I$2)&lt;&gt;0,SUMIFS(Sheet2!$E:$E,Sheet2!$C:$C,$A249,Sheet2!$A:$A,I$2),"")</f>
        <v/>
      </c>
      <c r="J249" s="21" t="str">
        <f>IF(SUMIFS(Sheet2!$E:$E,Sheet2!$C:$C,$A249,Sheet2!$A:$A,J$2)&lt;&gt;0,SUMIFS(Sheet2!$E:$E,Sheet2!$C:$C,$A249,Sheet2!$A:$A,J$2),"")</f>
        <v/>
      </c>
      <c r="K249" s="21" t="str">
        <f>IF(SUMIFS(Sheet2!$E:$E,Sheet2!$C:$C,$A249,Sheet2!$A:$A,K$2)&lt;&gt;0,SUMIFS(Sheet2!$E:$E,Sheet2!$C:$C,$A249,Sheet2!$A:$A,K$2),"")</f>
        <v/>
      </c>
      <c r="L249" s="21" t="str">
        <f>IF(SUMIFS(Sheet2!$E:$E,Sheet2!$C:$C,$A249,Sheet2!$A:$A,L$2)&lt;&gt;0,SUMIFS(Sheet2!$E:$E,Sheet2!$C:$C,$A249,Sheet2!$A:$A,L$2),"")</f>
        <v/>
      </c>
      <c r="M249" s="21" t="str">
        <f>IF(SUMIFS(Sheet2!$E:$E,Sheet2!$C:$C,$A249,Sheet2!$A:$A,M$2)&lt;&gt;0,SUMIFS(Sheet2!$E:$E,Sheet2!$C:$C,$A249,Sheet2!$A:$A,M$2),"")</f>
        <v/>
      </c>
      <c r="N249" s="21" t="str">
        <f>IF(SUMIFS(Sheet2!$E:$E,Sheet2!$C:$C,$A249,Sheet2!$A:$A,N$2)&lt;&gt;0,SUMIFS(Sheet2!$E:$E,Sheet2!$C:$C,$A249,Sheet2!$A:$A,N$2),"")</f>
        <v/>
      </c>
      <c r="O249" s="21" t="str">
        <f>IF(SUMIFS(Sheet2!$E:$E,Sheet2!$C:$C,$A249,Sheet2!$A:$A,O$2)&lt;&gt;0,SUMIFS(Sheet2!$E:$E,Sheet2!$C:$C,$A249,Sheet2!$A:$A,O$2),"")</f>
        <v/>
      </c>
      <c r="P249" s="21" t="str">
        <f>IF(SUMIFS(Sheet2!$E:$E,Sheet2!$C:$C,$A249,Sheet2!$A:$A,P$2)&lt;&gt;0,SUMIFS(Sheet2!$E:$E,Sheet2!$C:$C,$A249,Sheet2!$A:$A,P$2),"")</f>
        <v/>
      </c>
      <c r="Q249" s="21" t="str">
        <f>IF(SUMIFS(Sheet2!$E:$E,Sheet2!$C:$C,$A249,Sheet2!$A:$A,Q$2)&lt;&gt;0,SUMIFS(Sheet2!$E:$E,Sheet2!$C:$C,$A249,Sheet2!$A:$A,Q$2),"")</f>
        <v/>
      </c>
      <c r="R249" s="21" t="str">
        <f>IF(SUMIFS(Sheet2!$E:$E,Sheet2!$C:$C,$A249,Sheet2!$A:$A,R$2)&lt;&gt;0,SUMIFS(Sheet2!$E:$E,Sheet2!$C:$C,$A249,Sheet2!$A:$A,R$2),"")</f>
        <v/>
      </c>
      <c r="S249" s="21" t="str">
        <f>IF(SUMIFS(Sheet2!$E:$E,Sheet2!$C:$C,$A249,Sheet2!$A:$A,S$2)&lt;&gt;0,SUMIFS(Sheet2!$E:$E,Sheet2!$C:$C,$A249,Sheet2!$A:$A,S$2),"")</f>
        <v/>
      </c>
      <c r="T249" s="21" t="str">
        <f>IF(SUMIFS(Sheet2!$E:$E,Sheet2!$C:$C,$A249,Sheet2!$A:$A,T$2)&lt;&gt;0,SUMIFS(Sheet2!$E:$E,Sheet2!$C:$C,$A249,Sheet2!$A:$A,T$2),"")</f>
        <v/>
      </c>
      <c r="U249" s="21" t="str">
        <f>IF(SUMIFS(Sheet2!$E:$E,Sheet2!$C:$C,$A249,Sheet2!$A:$A,U$2)&lt;&gt;0,SUMIFS(Sheet2!$E:$E,Sheet2!$C:$C,$A249,Sheet2!$A:$A,U$2),"")</f>
        <v/>
      </c>
      <c r="V249" s="21" t="str">
        <f>IF(SUMIFS(Sheet2!$E:$E,Sheet2!$C:$C,$A249,Sheet2!$A:$A,V$2)&lt;&gt;0,SUMIFS(Sheet2!$E:$E,Sheet2!$C:$C,$A249,Sheet2!$A:$A,V$2),"")</f>
        <v/>
      </c>
      <c r="W249" s="21" t="str">
        <f>IF(SUMIFS(Sheet2!$E:$E,Sheet2!$C:$C,$A249,Sheet2!$A:$A,W$2)&lt;&gt;0,SUMIFS(Sheet2!$E:$E,Sheet2!$C:$C,$A249,Sheet2!$A:$A,W$2),"")</f>
        <v/>
      </c>
      <c r="X249" s="21" t="str">
        <f>IF(SUMIFS(Sheet2!$E:$E,Sheet2!$C:$C,$A249,Sheet2!$A:$A,X$2)&lt;&gt;0,SUMIFS(Sheet2!$E:$E,Sheet2!$C:$C,$A249,Sheet2!$A:$A,X$2),"")</f>
        <v/>
      </c>
      <c r="Y249" s="21" t="str">
        <f>IF(SUMIFS(Sheet2!$E:$E,Sheet2!$C:$C,$A249,Sheet2!$A:$A,Y$2)&lt;&gt;0,SUMIFS(Sheet2!$E:$E,Sheet2!$C:$C,$A249,Sheet2!$A:$A,Y$2),"")</f>
        <v/>
      </c>
      <c r="Z249" s="21" t="str">
        <f>IF(SUMIFS(Sheet2!$E:$E,Sheet2!$C:$C,$A249,Sheet2!$A:$A,Z$2)&lt;&gt;0,SUMIFS(Sheet2!$E:$E,Sheet2!$C:$C,$A249,Sheet2!$A:$A,Z$2),"")</f>
        <v/>
      </c>
      <c r="AA249" s="21" t="str">
        <f>IF(SUMIFS(Sheet2!$E:$E,Sheet2!$C:$C,$A249,Sheet2!$A:$A,AA$2)&lt;&gt;0,SUMIFS(Sheet2!$E:$E,Sheet2!$C:$C,$A249,Sheet2!$A:$A,AA$2),"")</f>
        <v/>
      </c>
      <c r="AB249" s="21" t="str">
        <f>IF(SUMIFS(Sheet2!$E:$E,Sheet2!$C:$C,$A249,Sheet2!$A:$A,AB$2)&lt;&gt;0,SUMIFS(Sheet2!$E:$E,Sheet2!$C:$C,$A249,Sheet2!$A:$A,AB$2),"")</f>
        <v/>
      </c>
      <c r="AC249" s="21" t="str">
        <f>IF(SUMIFS(Sheet2!$E:$E,Sheet2!$C:$C,$A249,Sheet2!$A:$A,AC$2)&lt;&gt;0,SUMIFS(Sheet2!$E:$E,Sheet2!$C:$C,$A249,Sheet2!$A:$A,AC$2),"")</f>
        <v/>
      </c>
      <c r="AD249" s="21" t="str">
        <f>IF(SUMIFS(Sheet2!$E:$E,Sheet2!$C:$C,$A249,Sheet2!$A:$A,AD$2)&lt;&gt;0,SUMIFS(Sheet2!$E:$E,Sheet2!$C:$C,$A249,Sheet2!$A:$A,AD$2),"")</f>
        <v/>
      </c>
      <c r="AE249" s="21" t="str">
        <f>IF(SUMIFS(Sheet2!$E:$E,Sheet2!$C:$C,$A249,Sheet2!$A:$A,AE$2)&lt;&gt;0,SUMIFS(Sheet2!$E:$E,Sheet2!$C:$C,$A249,Sheet2!$A:$A,AE$2),"")</f>
        <v/>
      </c>
      <c r="AF249" s="21" t="str">
        <f>IF(SUMIFS(Sheet2!$E:$E,Sheet2!$C:$C,$A249,Sheet2!$A:$A,AF$2)&lt;&gt;0,SUMIFS(Sheet2!$E:$E,Sheet2!$C:$C,$A249,Sheet2!$A:$A,AF$2),"")</f>
        <v/>
      </c>
      <c r="AG249" s="21" t="str">
        <f>IF(SUMIFS(Sheet2!$E:$E,Sheet2!$C:$C,$A249,Sheet2!$A:$A,AG$2)&lt;&gt;0,SUMIFS(Sheet2!$E:$E,Sheet2!$C:$C,$A249,Sheet2!$A:$A,AG$2),"")</f>
        <v/>
      </c>
      <c r="AH249" s="43">
        <f>SUM(Table2[[#This Row],[1]:[31]])</f>
        <v>0</v>
      </c>
    </row>
    <row r="250" spans="1:34" ht="12.75" customHeight="1">
      <c r="A250" s="77" t="str">
        <f>DSSP!A249</f>
        <v>GC174</v>
      </c>
      <c r="B250" s="75" t="str">
        <f>DSSP!B249</f>
        <v>Bông tuyết mới</v>
      </c>
      <c r="C250" s="21" t="str">
        <f>IF(SUMIFS(Sheet2!$E:$E,Sheet2!$C:$C,$A250,Sheet2!$A:$A,C$2)&lt;&gt;0,SUMIFS(Sheet2!$E:$E,Sheet2!$C:$C,$A250,Sheet2!$A:$A,C$2),"")</f>
        <v/>
      </c>
      <c r="D250" s="21" t="str">
        <f>IF(SUMIFS(Sheet2!$E:$E,Sheet2!$C:$C,$A250,Sheet2!$A:$A,D$2)&lt;&gt;0,SUMIFS(Sheet2!$E:$E,Sheet2!$C:$C,$A250,Sheet2!$A:$A,D$2),"")</f>
        <v/>
      </c>
      <c r="E250" s="21" t="str">
        <f>IF(SUMIFS(Sheet2!$E:$E,Sheet2!$C:$C,$A250,Sheet2!$A:$A,E$2)&lt;&gt;0,SUMIFS(Sheet2!$E:$E,Sheet2!$C:$C,$A250,Sheet2!$A:$A,E$2),"")</f>
        <v/>
      </c>
      <c r="F250" s="21" t="str">
        <f>IF(SUMIFS(Sheet2!$E:$E,Sheet2!$C:$C,$A250,Sheet2!$A:$A,F$2)&lt;&gt;0,SUMIFS(Sheet2!$E:$E,Sheet2!$C:$C,$A250,Sheet2!$A:$A,F$2),"")</f>
        <v/>
      </c>
      <c r="G250" s="21" t="str">
        <f>IF(SUMIFS(Sheet2!$E:$E,Sheet2!$C:$C,$A250,Sheet2!$A:$A,G$2)&lt;&gt;0,SUMIFS(Sheet2!$E:$E,Sheet2!$C:$C,$A250,Sheet2!$A:$A,G$2),"")</f>
        <v/>
      </c>
      <c r="H250" s="21" t="str">
        <f>IF(SUMIFS(Sheet2!$E:$E,Sheet2!$C:$C,$A250,Sheet2!$A:$A,H$2)&lt;&gt;0,SUMIFS(Sheet2!$E:$E,Sheet2!$C:$C,$A250,Sheet2!$A:$A,H$2),"")</f>
        <v/>
      </c>
      <c r="I250" s="21" t="str">
        <f>IF(SUMIFS(Sheet2!$E:$E,Sheet2!$C:$C,$A250,Sheet2!$A:$A,I$2)&lt;&gt;0,SUMIFS(Sheet2!$E:$E,Sheet2!$C:$C,$A250,Sheet2!$A:$A,I$2),"")</f>
        <v/>
      </c>
      <c r="J250" s="21" t="str">
        <f>IF(SUMIFS(Sheet2!$E:$E,Sheet2!$C:$C,$A250,Sheet2!$A:$A,J$2)&lt;&gt;0,SUMIFS(Sheet2!$E:$E,Sheet2!$C:$C,$A250,Sheet2!$A:$A,J$2),"")</f>
        <v/>
      </c>
      <c r="K250" s="21" t="str">
        <f>IF(SUMIFS(Sheet2!$E:$E,Sheet2!$C:$C,$A250,Sheet2!$A:$A,K$2)&lt;&gt;0,SUMIFS(Sheet2!$E:$E,Sheet2!$C:$C,$A250,Sheet2!$A:$A,K$2),"")</f>
        <v/>
      </c>
      <c r="L250" s="21" t="str">
        <f>IF(SUMIFS(Sheet2!$E:$E,Sheet2!$C:$C,$A250,Sheet2!$A:$A,L$2)&lt;&gt;0,SUMIFS(Sheet2!$E:$E,Sheet2!$C:$C,$A250,Sheet2!$A:$A,L$2),"")</f>
        <v/>
      </c>
      <c r="M250" s="21" t="str">
        <f>IF(SUMIFS(Sheet2!$E:$E,Sheet2!$C:$C,$A250,Sheet2!$A:$A,M$2)&lt;&gt;0,SUMIFS(Sheet2!$E:$E,Sheet2!$C:$C,$A250,Sheet2!$A:$A,M$2),"")</f>
        <v/>
      </c>
      <c r="N250" s="21" t="str">
        <f>IF(SUMIFS(Sheet2!$E:$E,Sheet2!$C:$C,$A250,Sheet2!$A:$A,N$2)&lt;&gt;0,SUMIFS(Sheet2!$E:$E,Sheet2!$C:$C,$A250,Sheet2!$A:$A,N$2),"")</f>
        <v/>
      </c>
      <c r="O250" s="21" t="str">
        <f>IF(SUMIFS(Sheet2!$E:$E,Sheet2!$C:$C,$A250,Sheet2!$A:$A,O$2)&lt;&gt;0,SUMIFS(Sheet2!$E:$E,Sheet2!$C:$C,$A250,Sheet2!$A:$A,O$2),"")</f>
        <v/>
      </c>
      <c r="P250" s="21" t="str">
        <f>IF(SUMIFS(Sheet2!$E:$E,Sheet2!$C:$C,$A250,Sheet2!$A:$A,P$2)&lt;&gt;0,SUMIFS(Sheet2!$E:$E,Sheet2!$C:$C,$A250,Sheet2!$A:$A,P$2),"")</f>
        <v/>
      </c>
      <c r="Q250" s="21" t="str">
        <f>IF(SUMIFS(Sheet2!$E:$E,Sheet2!$C:$C,$A250,Sheet2!$A:$A,Q$2)&lt;&gt;0,SUMIFS(Sheet2!$E:$E,Sheet2!$C:$C,$A250,Sheet2!$A:$A,Q$2),"")</f>
        <v/>
      </c>
      <c r="R250" s="21" t="str">
        <f>IF(SUMIFS(Sheet2!$E:$E,Sheet2!$C:$C,$A250,Sheet2!$A:$A,R$2)&lt;&gt;0,SUMIFS(Sheet2!$E:$E,Sheet2!$C:$C,$A250,Sheet2!$A:$A,R$2),"")</f>
        <v/>
      </c>
      <c r="S250" s="21" t="str">
        <f>IF(SUMIFS(Sheet2!$E:$E,Sheet2!$C:$C,$A250,Sheet2!$A:$A,S$2)&lt;&gt;0,SUMIFS(Sheet2!$E:$E,Sheet2!$C:$C,$A250,Sheet2!$A:$A,S$2),"")</f>
        <v/>
      </c>
      <c r="T250" s="21" t="str">
        <f>IF(SUMIFS(Sheet2!$E:$E,Sheet2!$C:$C,$A250,Sheet2!$A:$A,T$2)&lt;&gt;0,SUMIFS(Sheet2!$E:$E,Sheet2!$C:$C,$A250,Sheet2!$A:$A,T$2),"")</f>
        <v/>
      </c>
      <c r="U250" s="21" t="str">
        <f>IF(SUMIFS(Sheet2!$E:$E,Sheet2!$C:$C,$A250,Sheet2!$A:$A,U$2)&lt;&gt;0,SUMIFS(Sheet2!$E:$E,Sheet2!$C:$C,$A250,Sheet2!$A:$A,U$2),"")</f>
        <v/>
      </c>
      <c r="V250" s="21" t="str">
        <f>IF(SUMIFS(Sheet2!$E:$E,Sheet2!$C:$C,$A250,Sheet2!$A:$A,V$2)&lt;&gt;0,SUMIFS(Sheet2!$E:$E,Sheet2!$C:$C,$A250,Sheet2!$A:$A,V$2),"")</f>
        <v/>
      </c>
      <c r="W250" s="21" t="str">
        <f>IF(SUMIFS(Sheet2!$E:$E,Sheet2!$C:$C,$A250,Sheet2!$A:$A,W$2)&lt;&gt;0,SUMIFS(Sheet2!$E:$E,Sheet2!$C:$C,$A250,Sheet2!$A:$A,W$2),"")</f>
        <v/>
      </c>
      <c r="X250" s="21" t="str">
        <f>IF(SUMIFS(Sheet2!$E:$E,Sheet2!$C:$C,$A250,Sheet2!$A:$A,X$2)&lt;&gt;0,SUMIFS(Sheet2!$E:$E,Sheet2!$C:$C,$A250,Sheet2!$A:$A,X$2),"")</f>
        <v/>
      </c>
      <c r="Y250" s="21" t="str">
        <f>IF(SUMIFS(Sheet2!$E:$E,Sheet2!$C:$C,$A250,Sheet2!$A:$A,Y$2)&lt;&gt;0,SUMIFS(Sheet2!$E:$E,Sheet2!$C:$C,$A250,Sheet2!$A:$A,Y$2),"")</f>
        <v/>
      </c>
      <c r="Z250" s="21" t="str">
        <f>IF(SUMIFS(Sheet2!$E:$E,Sheet2!$C:$C,$A250,Sheet2!$A:$A,Z$2)&lt;&gt;0,SUMIFS(Sheet2!$E:$E,Sheet2!$C:$C,$A250,Sheet2!$A:$A,Z$2),"")</f>
        <v/>
      </c>
      <c r="AA250" s="21" t="str">
        <f>IF(SUMIFS(Sheet2!$E:$E,Sheet2!$C:$C,$A250,Sheet2!$A:$A,AA$2)&lt;&gt;0,SUMIFS(Sheet2!$E:$E,Sheet2!$C:$C,$A250,Sheet2!$A:$A,AA$2),"")</f>
        <v/>
      </c>
      <c r="AB250" s="21" t="str">
        <f>IF(SUMIFS(Sheet2!$E:$E,Sheet2!$C:$C,$A250,Sheet2!$A:$A,AB$2)&lt;&gt;0,SUMIFS(Sheet2!$E:$E,Sheet2!$C:$C,$A250,Sheet2!$A:$A,AB$2),"")</f>
        <v/>
      </c>
      <c r="AC250" s="21" t="str">
        <f>IF(SUMIFS(Sheet2!$E:$E,Sheet2!$C:$C,$A250,Sheet2!$A:$A,AC$2)&lt;&gt;0,SUMIFS(Sheet2!$E:$E,Sheet2!$C:$C,$A250,Sheet2!$A:$A,AC$2),"")</f>
        <v/>
      </c>
      <c r="AD250" s="21" t="str">
        <f>IF(SUMIFS(Sheet2!$E:$E,Sheet2!$C:$C,$A250,Sheet2!$A:$A,AD$2)&lt;&gt;0,SUMIFS(Sheet2!$E:$E,Sheet2!$C:$C,$A250,Sheet2!$A:$A,AD$2),"")</f>
        <v/>
      </c>
      <c r="AE250" s="21" t="str">
        <f>IF(SUMIFS(Sheet2!$E:$E,Sheet2!$C:$C,$A250,Sheet2!$A:$A,AE$2)&lt;&gt;0,SUMIFS(Sheet2!$E:$E,Sheet2!$C:$C,$A250,Sheet2!$A:$A,AE$2),"")</f>
        <v/>
      </c>
      <c r="AF250" s="21" t="str">
        <f>IF(SUMIFS(Sheet2!$E:$E,Sheet2!$C:$C,$A250,Sheet2!$A:$A,AF$2)&lt;&gt;0,SUMIFS(Sheet2!$E:$E,Sheet2!$C:$C,$A250,Sheet2!$A:$A,AF$2),"")</f>
        <v/>
      </c>
      <c r="AG250" s="21" t="str">
        <f>IF(SUMIFS(Sheet2!$E:$E,Sheet2!$C:$C,$A250,Sheet2!$A:$A,AG$2)&lt;&gt;0,SUMIFS(Sheet2!$E:$E,Sheet2!$C:$C,$A250,Sheet2!$A:$A,AG$2),"")</f>
        <v/>
      </c>
      <c r="AH250" s="43">
        <f>SUM(Table2[[#This Row],[1]:[31]])</f>
        <v>0</v>
      </c>
    </row>
    <row r="251" spans="1:34" ht="12.75" customHeight="1">
      <c r="A251" s="76" t="str">
        <f>DSSP!A250</f>
        <v>CT01</v>
      </c>
      <c r="B251" s="25" t="str">
        <f>DSSP!B250</f>
        <v>Chỉ DC</v>
      </c>
      <c r="C251" s="42" t="str">
        <f>IF(SUMIFS(Sheet2!$E:$E,Sheet2!$C:$C,$A251,Sheet2!$A:$A,C$2)&lt;&gt;0,SUMIFS(Sheet2!$E:$E,Sheet2!$C:$C,$A251,Sheet2!$A:$A,C$2),"")</f>
        <v/>
      </c>
      <c r="D251" s="42" t="str">
        <f>IF(SUMIFS(Sheet2!$E:$E,Sheet2!$C:$C,$A251,Sheet2!$A:$A,D$2)&lt;&gt;0,SUMIFS(Sheet2!$E:$E,Sheet2!$C:$C,$A251,Sheet2!$A:$A,D$2),"")</f>
        <v/>
      </c>
      <c r="E251" s="42" t="str">
        <f>IF(SUMIFS(Sheet2!$E:$E,Sheet2!$C:$C,$A251,Sheet2!$A:$A,E$2)&lt;&gt;0,SUMIFS(Sheet2!$E:$E,Sheet2!$C:$C,$A251,Sheet2!$A:$A,E$2),"")</f>
        <v/>
      </c>
      <c r="F251" s="42" t="str">
        <f>IF(SUMIFS(Sheet2!$E:$E,Sheet2!$C:$C,$A251,Sheet2!$A:$A,F$2)&lt;&gt;0,SUMIFS(Sheet2!$E:$E,Sheet2!$C:$C,$A251,Sheet2!$A:$A,F$2),"")</f>
        <v/>
      </c>
      <c r="G251" s="42" t="str">
        <f>IF(SUMIFS(Sheet2!$E:$E,Sheet2!$C:$C,$A251,Sheet2!$A:$A,G$2)&lt;&gt;0,SUMIFS(Sheet2!$E:$E,Sheet2!$C:$C,$A251,Sheet2!$A:$A,G$2),"")</f>
        <v/>
      </c>
      <c r="H251" s="42" t="str">
        <f>IF(SUMIFS(Sheet2!$E:$E,Sheet2!$C:$C,$A251,Sheet2!$A:$A,H$2)&lt;&gt;0,SUMIFS(Sheet2!$E:$E,Sheet2!$C:$C,$A251,Sheet2!$A:$A,H$2),"")</f>
        <v/>
      </c>
      <c r="I251" s="42" t="str">
        <f>IF(SUMIFS(Sheet2!$E:$E,Sheet2!$C:$C,$A251,Sheet2!$A:$A,I$2)&lt;&gt;0,SUMIFS(Sheet2!$E:$E,Sheet2!$C:$C,$A251,Sheet2!$A:$A,I$2),"")</f>
        <v/>
      </c>
      <c r="J251" s="42" t="str">
        <f>IF(SUMIFS(Sheet2!$E:$E,Sheet2!$C:$C,$A251,Sheet2!$A:$A,J$2)&lt;&gt;0,SUMIFS(Sheet2!$E:$E,Sheet2!$C:$C,$A251,Sheet2!$A:$A,J$2),"")</f>
        <v/>
      </c>
      <c r="K251" s="42" t="str">
        <f>IF(SUMIFS(Sheet2!$E:$E,Sheet2!$C:$C,$A251,Sheet2!$A:$A,K$2)&lt;&gt;0,SUMIFS(Sheet2!$E:$E,Sheet2!$C:$C,$A251,Sheet2!$A:$A,K$2),"")</f>
        <v/>
      </c>
      <c r="L251" s="42" t="str">
        <f>IF(SUMIFS(Sheet2!$E:$E,Sheet2!$C:$C,$A251,Sheet2!$A:$A,L$2)&lt;&gt;0,SUMIFS(Sheet2!$E:$E,Sheet2!$C:$C,$A251,Sheet2!$A:$A,L$2),"")</f>
        <v/>
      </c>
      <c r="M251" s="42" t="str">
        <f>IF(SUMIFS(Sheet2!$E:$E,Sheet2!$C:$C,$A251,Sheet2!$A:$A,M$2)&lt;&gt;0,SUMIFS(Sheet2!$E:$E,Sheet2!$C:$C,$A251,Sheet2!$A:$A,M$2),"")</f>
        <v/>
      </c>
      <c r="N251" s="42" t="str">
        <f>IF(SUMIFS(Sheet2!$E:$E,Sheet2!$C:$C,$A251,Sheet2!$A:$A,N$2)&lt;&gt;0,SUMIFS(Sheet2!$E:$E,Sheet2!$C:$C,$A251,Sheet2!$A:$A,N$2),"")</f>
        <v/>
      </c>
      <c r="O251" s="42" t="str">
        <f>IF(SUMIFS(Sheet2!$E:$E,Sheet2!$C:$C,$A251,Sheet2!$A:$A,O$2)&lt;&gt;0,SUMIFS(Sheet2!$E:$E,Sheet2!$C:$C,$A251,Sheet2!$A:$A,O$2),"")</f>
        <v/>
      </c>
      <c r="P251" s="42" t="str">
        <f>IF(SUMIFS(Sheet2!$E:$E,Sheet2!$C:$C,$A251,Sheet2!$A:$A,P$2)&lt;&gt;0,SUMIFS(Sheet2!$E:$E,Sheet2!$C:$C,$A251,Sheet2!$A:$A,P$2),"")</f>
        <v/>
      </c>
      <c r="Q251" s="42" t="str">
        <f>IF(SUMIFS(Sheet2!$E:$E,Sheet2!$C:$C,$A251,Sheet2!$A:$A,Q$2)&lt;&gt;0,SUMIFS(Sheet2!$E:$E,Sheet2!$C:$C,$A251,Sheet2!$A:$A,Q$2),"")</f>
        <v/>
      </c>
      <c r="R251" s="42" t="str">
        <f>IF(SUMIFS(Sheet2!$E:$E,Sheet2!$C:$C,$A251,Sheet2!$A:$A,R$2)&lt;&gt;0,SUMIFS(Sheet2!$E:$E,Sheet2!$C:$C,$A251,Sheet2!$A:$A,R$2),"")</f>
        <v/>
      </c>
      <c r="S251" s="42" t="str">
        <f>IF(SUMIFS(Sheet2!$E:$E,Sheet2!$C:$C,$A251,Sheet2!$A:$A,S$2)&lt;&gt;0,SUMIFS(Sheet2!$E:$E,Sheet2!$C:$C,$A251,Sheet2!$A:$A,S$2),"")</f>
        <v/>
      </c>
      <c r="T251" s="42" t="str">
        <f>IF(SUMIFS(Sheet2!$E:$E,Sheet2!$C:$C,$A251,Sheet2!$A:$A,T$2)&lt;&gt;0,SUMIFS(Sheet2!$E:$E,Sheet2!$C:$C,$A251,Sheet2!$A:$A,T$2),"")</f>
        <v/>
      </c>
      <c r="U251" s="42" t="str">
        <f>IF(SUMIFS(Sheet2!$E:$E,Sheet2!$C:$C,$A251,Sheet2!$A:$A,U$2)&lt;&gt;0,SUMIFS(Sheet2!$E:$E,Sheet2!$C:$C,$A251,Sheet2!$A:$A,U$2),"")</f>
        <v/>
      </c>
      <c r="V251" s="42" t="str">
        <f>IF(SUMIFS(Sheet2!$E:$E,Sheet2!$C:$C,$A251,Sheet2!$A:$A,V$2)&lt;&gt;0,SUMIFS(Sheet2!$E:$E,Sheet2!$C:$C,$A251,Sheet2!$A:$A,V$2),"")</f>
        <v/>
      </c>
      <c r="W251" s="42" t="str">
        <f>IF(SUMIFS(Sheet2!$E:$E,Sheet2!$C:$C,$A251,Sheet2!$A:$A,W$2)&lt;&gt;0,SUMIFS(Sheet2!$E:$E,Sheet2!$C:$C,$A251,Sheet2!$A:$A,W$2),"")</f>
        <v/>
      </c>
      <c r="X251" s="42" t="str">
        <f>IF(SUMIFS(Sheet2!$E:$E,Sheet2!$C:$C,$A251,Sheet2!$A:$A,X$2)&lt;&gt;0,SUMIFS(Sheet2!$E:$E,Sheet2!$C:$C,$A251,Sheet2!$A:$A,X$2),"")</f>
        <v/>
      </c>
      <c r="Y251" s="42" t="str">
        <f>IF(SUMIFS(Sheet2!$E:$E,Sheet2!$C:$C,$A251,Sheet2!$A:$A,Y$2)&lt;&gt;0,SUMIFS(Sheet2!$E:$E,Sheet2!$C:$C,$A251,Sheet2!$A:$A,Y$2),"")</f>
        <v/>
      </c>
      <c r="Z251" s="42" t="str">
        <f>IF(SUMIFS(Sheet2!$E:$E,Sheet2!$C:$C,$A251,Sheet2!$A:$A,Z$2)&lt;&gt;0,SUMIFS(Sheet2!$E:$E,Sheet2!$C:$C,$A251,Sheet2!$A:$A,Z$2),"")</f>
        <v/>
      </c>
      <c r="AA251" s="42" t="str">
        <f>IF(SUMIFS(Sheet2!$E:$E,Sheet2!$C:$C,$A251,Sheet2!$A:$A,AA$2)&lt;&gt;0,SUMIFS(Sheet2!$E:$E,Sheet2!$C:$C,$A251,Sheet2!$A:$A,AA$2),"")</f>
        <v/>
      </c>
      <c r="AB251" s="42" t="str">
        <f>IF(SUMIFS(Sheet2!$E:$E,Sheet2!$C:$C,$A251,Sheet2!$A:$A,AB$2)&lt;&gt;0,SUMIFS(Sheet2!$E:$E,Sheet2!$C:$C,$A251,Sheet2!$A:$A,AB$2),"")</f>
        <v/>
      </c>
      <c r="AC251" s="42" t="str">
        <f>IF(SUMIFS(Sheet2!$E:$E,Sheet2!$C:$C,$A251,Sheet2!$A:$A,AC$2)&lt;&gt;0,SUMIFS(Sheet2!$E:$E,Sheet2!$C:$C,$A251,Sheet2!$A:$A,AC$2),"")</f>
        <v/>
      </c>
      <c r="AD251" s="42" t="str">
        <f>IF(SUMIFS(Sheet2!$E:$E,Sheet2!$C:$C,$A251,Sheet2!$A:$A,AD$2)&lt;&gt;0,SUMIFS(Sheet2!$E:$E,Sheet2!$C:$C,$A251,Sheet2!$A:$A,AD$2),"")</f>
        <v/>
      </c>
      <c r="AE251" s="42" t="str">
        <f>IF(SUMIFS(Sheet2!$E:$E,Sheet2!$C:$C,$A251,Sheet2!$A:$A,AE$2)&lt;&gt;0,SUMIFS(Sheet2!$E:$E,Sheet2!$C:$C,$A251,Sheet2!$A:$A,AE$2),"")</f>
        <v/>
      </c>
      <c r="AF251" s="42" t="str">
        <f>IF(SUMIFS(Sheet2!$E:$E,Sheet2!$C:$C,$A251,Sheet2!$A:$A,AF$2)&lt;&gt;0,SUMIFS(Sheet2!$E:$E,Sheet2!$C:$C,$A251,Sheet2!$A:$A,AF$2),"")</f>
        <v/>
      </c>
      <c r="AG251" s="42" t="str">
        <f>IF(SUMIFS(Sheet2!$E:$E,Sheet2!$C:$C,$A251,Sheet2!$A:$A,AG$2)&lt;&gt;0,SUMIFS(Sheet2!$E:$E,Sheet2!$C:$C,$A251,Sheet2!$A:$A,AG$2),"")</f>
        <v/>
      </c>
      <c r="AH251" s="43">
        <f>SUM(Table2[[#This Row],[1]:[31]])</f>
        <v>0</v>
      </c>
    </row>
    <row r="252" spans="1:34" ht="12.75" customHeight="1">
      <c r="A252" s="76" t="str">
        <f>DSSP!A251</f>
        <v>VN01</v>
      </c>
      <c r="B252" s="25" t="str">
        <f>DSSP!B251</f>
        <v>Vải mét</v>
      </c>
      <c r="C252" s="42" t="str">
        <f>IF(SUMIFS(Sheet2!$E:$E,Sheet2!$C:$C,$A252,Sheet2!$A:$A,C$2)&lt;&gt;0,SUMIFS(Sheet2!$E:$E,Sheet2!$C:$C,$A252,Sheet2!$A:$A,C$2),"")</f>
        <v/>
      </c>
      <c r="D252" s="42" t="str">
        <f>IF(SUMIFS(Sheet2!$E:$E,Sheet2!$C:$C,$A252,Sheet2!$A:$A,D$2)&lt;&gt;0,SUMIFS(Sheet2!$E:$E,Sheet2!$C:$C,$A252,Sheet2!$A:$A,D$2),"")</f>
        <v/>
      </c>
      <c r="E252" s="42" t="str">
        <f>IF(SUMIFS(Sheet2!$E:$E,Sheet2!$C:$C,$A252,Sheet2!$A:$A,E$2)&lt;&gt;0,SUMIFS(Sheet2!$E:$E,Sheet2!$C:$C,$A252,Sheet2!$A:$A,E$2),"")</f>
        <v/>
      </c>
      <c r="F252" s="42" t="str">
        <f>IF(SUMIFS(Sheet2!$E:$E,Sheet2!$C:$C,$A252,Sheet2!$A:$A,F$2)&lt;&gt;0,SUMIFS(Sheet2!$E:$E,Sheet2!$C:$C,$A252,Sheet2!$A:$A,F$2),"")</f>
        <v/>
      </c>
      <c r="G252" s="42" t="str">
        <f>IF(SUMIFS(Sheet2!$E:$E,Sheet2!$C:$C,$A252,Sheet2!$A:$A,G$2)&lt;&gt;0,SUMIFS(Sheet2!$E:$E,Sheet2!$C:$C,$A252,Sheet2!$A:$A,G$2),"")</f>
        <v/>
      </c>
      <c r="H252" s="42" t="str">
        <f>IF(SUMIFS(Sheet2!$E:$E,Sheet2!$C:$C,$A252,Sheet2!$A:$A,H$2)&lt;&gt;0,SUMIFS(Sheet2!$E:$E,Sheet2!$C:$C,$A252,Sheet2!$A:$A,H$2),"")</f>
        <v/>
      </c>
      <c r="I252" s="42" t="str">
        <f>IF(SUMIFS(Sheet2!$E:$E,Sheet2!$C:$C,$A252,Sheet2!$A:$A,I$2)&lt;&gt;0,SUMIFS(Sheet2!$E:$E,Sheet2!$C:$C,$A252,Sheet2!$A:$A,I$2),"")</f>
        <v/>
      </c>
      <c r="J252" s="42" t="str">
        <f>IF(SUMIFS(Sheet2!$E:$E,Sheet2!$C:$C,$A252,Sheet2!$A:$A,J$2)&lt;&gt;0,SUMIFS(Sheet2!$E:$E,Sheet2!$C:$C,$A252,Sheet2!$A:$A,J$2),"")</f>
        <v/>
      </c>
      <c r="K252" s="42" t="str">
        <f>IF(SUMIFS(Sheet2!$E:$E,Sheet2!$C:$C,$A252,Sheet2!$A:$A,K$2)&lt;&gt;0,SUMIFS(Sheet2!$E:$E,Sheet2!$C:$C,$A252,Sheet2!$A:$A,K$2),"")</f>
        <v/>
      </c>
      <c r="L252" s="42" t="str">
        <f>IF(SUMIFS(Sheet2!$E:$E,Sheet2!$C:$C,$A252,Sheet2!$A:$A,L$2)&lt;&gt;0,SUMIFS(Sheet2!$E:$E,Sheet2!$C:$C,$A252,Sheet2!$A:$A,L$2),"")</f>
        <v/>
      </c>
      <c r="M252" s="42" t="str">
        <f>IF(SUMIFS(Sheet2!$E:$E,Sheet2!$C:$C,$A252,Sheet2!$A:$A,M$2)&lt;&gt;0,SUMIFS(Sheet2!$E:$E,Sheet2!$C:$C,$A252,Sheet2!$A:$A,M$2),"")</f>
        <v/>
      </c>
      <c r="N252" s="42" t="str">
        <f>IF(SUMIFS(Sheet2!$E:$E,Sheet2!$C:$C,$A252,Sheet2!$A:$A,N$2)&lt;&gt;0,SUMIFS(Sheet2!$E:$E,Sheet2!$C:$C,$A252,Sheet2!$A:$A,N$2),"")</f>
        <v/>
      </c>
      <c r="O252" s="42" t="str">
        <f>IF(SUMIFS(Sheet2!$E:$E,Sheet2!$C:$C,$A252,Sheet2!$A:$A,O$2)&lt;&gt;0,SUMIFS(Sheet2!$E:$E,Sheet2!$C:$C,$A252,Sheet2!$A:$A,O$2),"")</f>
        <v/>
      </c>
      <c r="P252" s="42" t="str">
        <f>IF(SUMIFS(Sheet2!$E:$E,Sheet2!$C:$C,$A252,Sheet2!$A:$A,P$2)&lt;&gt;0,SUMIFS(Sheet2!$E:$E,Sheet2!$C:$C,$A252,Sheet2!$A:$A,P$2),"")</f>
        <v/>
      </c>
      <c r="Q252" s="42" t="str">
        <f>IF(SUMIFS(Sheet2!$E:$E,Sheet2!$C:$C,$A252,Sheet2!$A:$A,Q$2)&lt;&gt;0,SUMIFS(Sheet2!$E:$E,Sheet2!$C:$C,$A252,Sheet2!$A:$A,Q$2),"")</f>
        <v/>
      </c>
      <c r="R252" s="42" t="str">
        <f>IF(SUMIFS(Sheet2!$E:$E,Sheet2!$C:$C,$A252,Sheet2!$A:$A,R$2)&lt;&gt;0,SUMIFS(Sheet2!$E:$E,Sheet2!$C:$C,$A252,Sheet2!$A:$A,R$2),"")</f>
        <v/>
      </c>
      <c r="S252" s="42" t="str">
        <f>IF(SUMIFS(Sheet2!$E:$E,Sheet2!$C:$C,$A252,Sheet2!$A:$A,S$2)&lt;&gt;0,SUMIFS(Sheet2!$E:$E,Sheet2!$C:$C,$A252,Sheet2!$A:$A,S$2),"")</f>
        <v/>
      </c>
      <c r="T252" s="42" t="str">
        <f>IF(SUMIFS(Sheet2!$E:$E,Sheet2!$C:$C,$A252,Sheet2!$A:$A,T$2)&lt;&gt;0,SUMIFS(Sheet2!$E:$E,Sheet2!$C:$C,$A252,Sheet2!$A:$A,T$2),"")</f>
        <v/>
      </c>
      <c r="U252" s="42" t="str">
        <f>IF(SUMIFS(Sheet2!$E:$E,Sheet2!$C:$C,$A252,Sheet2!$A:$A,U$2)&lt;&gt;0,SUMIFS(Sheet2!$E:$E,Sheet2!$C:$C,$A252,Sheet2!$A:$A,U$2),"")</f>
        <v/>
      </c>
      <c r="V252" s="42" t="str">
        <f>IF(SUMIFS(Sheet2!$E:$E,Sheet2!$C:$C,$A252,Sheet2!$A:$A,V$2)&lt;&gt;0,SUMIFS(Sheet2!$E:$E,Sheet2!$C:$C,$A252,Sheet2!$A:$A,V$2),"")</f>
        <v/>
      </c>
      <c r="W252" s="42" t="str">
        <f>IF(SUMIFS(Sheet2!$E:$E,Sheet2!$C:$C,$A252,Sheet2!$A:$A,W$2)&lt;&gt;0,SUMIFS(Sheet2!$E:$E,Sheet2!$C:$C,$A252,Sheet2!$A:$A,W$2),"")</f>
        <v/>
      </c>
      <c r="X252" s="42" t="str">
        <f>IF(SUMIFS(Sheet2!$E:$E,Sheet2!$C:$C,$A252,Sheet2!$A:$A,X$2)&lt;&gt;0,SUMIFS(Sheet2!$E:$E,Sheet2!$C:$C,$A252,Sheet2!$A:$A,X$2),"")</f>
        <v/>
      </c>
      <c r="Y252" s="42" t="str">
        <f>IF(SUMIFS(Sheet2!$E:$E,Sheet2!$C:$C,$A252,Sheet2!$A:$A,Y$2)&lt;&gt;0,SUMIFS(Sheet2!$E:$E,Sheet2!$C:$C,$A252,Sheet2!$A:$A,Y$2),"")</f>
        <v/>
      </c>
      <c r="Z252" s="42" t="str">
        <f>IF(SUMIFS(Sheet2!$E:$E,Sheet2!$C:$C,$A252,Sheet2!$A:$A,Z$2)&lt;&gt;0,SUMIFS(Sheet2!$E:$E,Sheet2!$C:$C,$A252,Sheet2!$A:$A,Z$2),"")</f>
        <v/>
      </c>
      <c r="AA252" s="42" t="str">
        <f>IF(SUMIFS(Sheet2!$E:$E,Sheet2!$C:$C,$A252,Sheet2!$A:$A,AA$2)&lt;&gt;0,SUMIFS(Sheet2!$E:$E,Sheet2!$C:$C,$A252,Sheet2!$A:$A,AA$2),"")</f>
        <v/>
      </c>
      <c r="AB252" s="42" t="str">
        <f>IF(SUMIFS(Sheet2!$E:$E,Sheet2!$C:$C,$A252,Sheet2!$A:$A,AB$2)&lt;&gt;0,SUMIFS(Sheet2!$E:$E,Sheet2!$C:$C,$A252,Sheet2!$A:$A,AB$2),"")</f>
        <v/>
      </c>
      <c r="AC252" s="42" t="str">
        <f>IF(SUMIFS(Sheet2!$E:$E,Sheet2!$C:$C,$A252,Sheet2!$A:$A,AC$2)&lt;&gt;0,SUMIFS(Sheet2!$E:$E,Sheet2!$C:$C,$A252,Sheet2!$A:$A,AC$2),"")</f>
        <v/>
      </c>
      <c r="AD252" s="42" t="str">
        <f>IF(SUMIFS(Sheet2!$E:$E,Sheet2!$C:$C,$A252,Sheet2!$A:$A,AD$2)&lt;&gt;0,SUMIFS(Sheet2!$E:$E,Sheet2!$C:$C,$A252,Sheet2!$A:$A,AD$2),"")</f>
        <v/>
      </c>
      <c r="AE252" s="42" t="str">
        <f>IF(SUMIFS(Sheet2!$E:$E,Sheet2!$C:$C,$A252,Sheet2!$A:$A,AE$2)&lt;&gt;0,SUMIFS(Sheet2!$E:$E,Sheet2!$C:$C,$A252,Sheet2!$A:$A,AE$2),"")</f>
        <v/>
      </c>
      <c r="AF252" s="42" t="str">
        <f>IF(SUMIFS(Sheet2!$E:$E,Sheet2!$C:$C,$A252,Sheet2!$A:$A,AF$2)&lt;&gt;0,SUMIFS(Sheet2!$E:$E,Sheet2!$C:$C,$A252,Sheet2!$A:$A,AF$2),"")</f>
        <v/>
      </c>
      <c r="AG252" s="42" t="str">
        <f>IF(SUMIFS(Sheet2!$E:$E,Sheet2!$C:$C,$A252,Sheet2!$A:$A,AG$2)&lt;&gt;0,SUMIFS(Sheet2!$E:$E,Sheet2!$C:$C,$A252,Sheet2!$A:$A,AG$2),"")</f>
        <v/>
      </c>
      <c r="AH252" s="43">
        <f>SUM(Table2[[#This Row],[1]:[31]])</f>
        <v>0</v>
      </c>
    </row>
    <row r="253" spans="1:34" ht="12.75" customHeight="1">
      <c r="A253" s="76" t="str">
        <f>DSSP!A252</f>
        <v>VN02</v>
      </c>
      <c r="B253" s="25" t="str">
        <f>DSSP!B252</f>
        <v>Vải nỉ làm gối 1.6 x 0.5m</v>
      </c>
      <c r="C253" s="42" t="str">
        <f>IF(SUMIFS(Sheet2!$E:$E,Sheet2!$C:$C,$A253,Sheet2!$A:$A,C$2)&lt;&gt;0,SUMIFS(Sheet2!$E:$E,Sheet2!$C:$C,$A253,Sheet2!$A:$A,C$2),"")</f>
        <v/>
      </c>
      <c r="D253" s="42" t="str">
        <f>IF(SUMIFS(Sheet2!$E:$E,Sheet2!$C:$C,$A253,Sheet2!$A:$A,D$2)&lt;&gt;0,SUMIFS(Sheet2!$E:$E,Sheet2!$C:$C,$A253,Sheet2!$A:$A,D$2),"")</f>
        <v/>
      </c>
      <c r="E253" s="42" t="str">
        <f>IF(SUMIFS(Sheet2!$E:$E,Sheet2!$C:$C,$A253,Sheet2!$A:$A,E$2)&lt;&gt;0,SUMIFS(Sheet2!$E:$E,Sheet2!$C:$C,$A253,Sheet2!$A:$A,E$2),"")</f>
        <v/>
      </c>
      <c r="F253" s="42" t="str">
        <f>IF(SUMIFS(Sheet2!$E:$E,Sheet2!$C:$C,$A253,Sheet2!$A:$A,F$2)&lt;&gt;0,SUMIFS(Sheet2!$E:$E,Sheet2!$C:$C,$A253,Sheet2!$A:$A,F$2),"")</f>
        <v/>
      </c>
      <c r="G253" s="42" t="str">
        <f>IF(SUMIFS(Sheet2!$E:$E,Sheet2!$C:$C,$A253,Sheet2!$A:$A,G$2)&lt;&gt;0,SUMIFS(Sheet2!$E:$E,Sheet2!$C:$C,$A253,Sheet2!$A:$A,G$2),"")</f>
        <v/>
      </c>
      <c r="H253" s="42" t="str">
        <f>IF(SUMIFS(Sheet2!$E:$E,Sheet2!$C:$C,$A253,Sheet2!$A:$A,H$2)&lt;&gt;0,SUMIFS(Sheet2!$E:$E,Sheet2!$C:$C,$A253,Sheet2!$A:$A,H$2),"")</f>
        <v/>
      </c>
      <c r="I253" s="42" t="str">
        <f>IF(SUMIFS(Sheet2!$E:$E,Sheet2!$C:$C,$A253,Sheet2!$A:$A,I$2)&lt;&gt;0,SUMIFS(Sheet2!$E:$E,Sheet2!$C:$C,$A253,Sheet2!$A:$A,I$2),"")</f>
        <v/>
      </c>
      <c r="J253" s="42" t="str">
        <f>IF(SUMIFS(Sheet2!$E:$E,Sheet2!$C:$C,$A253,Sheet2!$A:$A,J$2)&lt;&gt;0,SUMIFS(Sheet2!$E:$E,Sheet2!$C:$C,$A253,Sheet2!$A:$A,J$2),"")</f>
        <v/>
      </c>
      <c r="K253" s="42" t="str">
        <f>IF(SUMIFS(Sheet2!$E:$E,Sheet2!$C:$C,$A253,Sheet2!$A:$A,K$2)&lt;&gt;0,SUMIFS(Sheet2!$E:$E,Sheet2!$C:$C,$A253,Sheet2!$A:$A,K$2),"")</f>
        <v/>
      </c>
      <c r="L253" s="42" t="str">
        <f>IF(SUMIFS(Sheet2!$E:$E,Sheet2!$C:$C,$A253,Sheet2!$A:$A,L$2)&lt;&gt;0,SUMIFS(Sheet2!$E:$E,Sheet2!$C:$C,$A253,Sheet2!$A:$A,L$2),"")</f>
        <v/>
      </c>
      <c r="M253" s="42" t="str">
        <f>IF(SUMIFS(Sheet2!$E:$E,Sheet2!$C:$C,$A253,Sheet2!$A:$A,M$2)&lt;&gt;0,SUMIFS(Sheet2!$E:$E,Sheet2!$C:$C,$A253,Sheet2!$A:$A,M$2),"")</f>
        <v/>
      </c>
      <c r="N253" s="42" t="str">
        <f>IF(SUMIFS(Sheet2!$E:$E,Sheet2!$C:$C,$A253,Sheet2!$A:$A,N$2)&lt;&gt;0,SUMIFS(Sheet2!$E:$E,Sheet2!$C:$C,$A253,Sheet2!$A:$A,N$2),"")</f>
        <v/>
      </c>
      <c r="O253" s="42" t="str">
        <f>IF(SUMIFS(Sheet2!$E:$E,Sheet2!$C:$C,$A253,Sheet2!$A:$A,O$2)&lt;&gt;0,SUMIFS(Sheet2!$E:$E,Sheet2!$C:$C,$A253,Sheet2!$A:$A,O$2),"")</f>
        <v/>
      </c>
      <c r="P253" s="42" t="str">
        <f>IF(SUMIFS(Sheet2!$E:$E,Sheet2!$C:$C,$A253,Sheet2!$A:$A,P$2)&lt;&gt;0,SUMIFS(Sheet2!$E:$E,Sheet2!$C:$C,$A253,Sheet2!$A:$A,P$2),"")</f>
        <v/>
      </c>
      <c r="Q253" s="42" t="str">
        <f>IF(SUMIFS(Sheet2!$E:$E,Sheet2!$C:$C,$A253,Sheet2!$A:$A,Q$2)&lt;&gt;0,SUMIFS(Sheet2!$E:$E,Sheet2!$C:$C,$A253,Sheet2!$A:$A,Q$2),"")</f>
        <v/>
      </c>
      <c r="R253" s="42" t="str">
        <f>IF(SUMIFS(Sheet2!$E:$E,Sheet2!$C:$C,$A253,Sheet2!$A:$A,R$2)&lt;&gt;0,SUMIFS(Sheet2!$E:$E,Sheet2!$C:$C,$A253,Sheet2!$A:$A,R$2),"")</f>
        <v/>
      </c>
      <c r="S253" s="42" t="str">
        <f>IF(SUMIFS(Sheet2!$E:$E,Sheet2!$C:$C,$A253,Sheet2!$A:$A,S$2)&lt;&gt;0,SUMIFS(Sheet2!$E:$E,Sheet2!$C:$C,$A253,Sheet2!$A:$A,S$2),"")</f>
        <v/>
      </c>
      <c r="T253" s="42" t="str">
        <f>IF(SUMIFS(Sheet2!$E:$E,Sheet2!$C:$C,$A253,Sheet2!$A:$A,T$2)&lt;&gt;0,SUMIFS(Sheet2!$E:$E,Sheet2!$C:$C,$A253,Sheet2!$A:$A,T$2),"")</f>
        <v/>
      </c>
      <c r="U253" s="42" t="str">
        <f>IF(SUMIFS(Sheet2!$E:$E,Sheet2!$C:$C,$A253,Sheet2!$A:$A,U$2)&lt;&gt;0,SUMIFS(Sheet2!$E:$E,Sheet2!$C:$C,$A253,Sheet2!$A:$A,U$2),"")</f>
        <v/>
      </c>
      <c r="V253" s="42" t="str">
        <f>IF(SUMIFS(Sheet2!$E:$E,Sheet2!$C:$C,$A253,Sheet2!$A:$A,V$2)&lt;&gt;0,SUMIFS(Sheet2!$E:$E,Sheet2!$C:$C,$A253,Sheet2!$A:$A,V$2),"")</f>
        <v/>
      </c>
      <c r="W253" s="42" t="str">
        <f>IF(SUMIFS(Sheet2!$E:$E,Sheet2!$C:$C,$A253,Sheet2!$A:$A,W$2)&lt;&gt;0,SUMIFS(Sheet2!$E:$E,Sheet2!$C:$C,$A253,Sheet2!$A:$A,W$2),"")</f>
        <v/>
      </c>
      <c r="X253" s="42" t="str">
        <f>IF(SUMIFS(Sheet2!$E:$E,Sheet2!$C:$C,$A253,Sheet2!$A:$A,X$2)&lt;&gt;0,SUMIFS(Sheet2!$E:$E,Sheet2!$C:$C,$A253,Sheet2!$A:$A,X$2),"")</f>
        <v/>
      </c>
      <c r="Y253" s="42" t="str">
        <f>IF(SUMIFS(Sheet2!$E:$E,Sheet2!$C:$C,$A253,Sheet2!$A:$A,Y$2)&lt;&gt;0,SUMIFS(Sheet2!$E:$E,Sheet2!$C:$C,$A253,Sheet2!$A:$A,Y$2),"")</f>
        <v/>
      </c>
      <c r="Z253" s="42" t="str">
        <f>IF(SUMIFS(Sheet2!$E:$E,Sheet2!$C:$C,$A253,Sheet2!$A:$A,Z$2)&lt;&gt;0,SUMIFS(Sheet2!$E:$E,Sheet2!$C:$C,$A253,Sheet2!$A:$A,Z$2),"")</f>
        <v/>
      </c>
      <c r="AA253" s="42" t="str">
        <f>IF(SUMIFS(Sheet2!$E:$E,Sheet2!$C:$C,$A253,Sheet2!$A:$A,AA$2)&lt;&gt;0,SUMIFS(Sheet2!$E:$E,Sheet2!$C:$C,$A253,Sheet2!$A:$A,AA$2),"")</f>
        <v/>
      </c>
      <c r="AB253" s="42" t="str">
        <f>IF(SUMIFS(Sheet2!$E:$E,Sheet2!$C:$C,$A253,Sheet2!$A:$A,AB$2)&lt;&gt;0,SUMIFS(Sheet2!$E:$E,Sheet2!$C:$C,$A253,Sheet2!$A:$A,AB$2),"")</f>
        <v/>
      </c>
      <c r="AC253" s="42" t="str">
        <f>IF(SUMIFS(Sheet2!$E:$E,Sheet2!$C:$C,$A253,Sheet2!$A:$A,AC$2)&lt;&gt;0,SUMIFS(Sheet2!$E:$E,Sheet2!$C:$C,$A253,Sheet2!$A:$A,AC$2),"")</f>
        <v/>
      </c>
      <c r="AD253" s="42" t="str">
        <f>IF(SUMIFS(Sheet2!$E:$E,Sheet2!$C:$C,$A253,Sheet2!$A:$A,AD$2)&lt;&gt;0,SUMIFS(Sheet2!$E:$E,Sheet2!$C:$C,$A253,Sheet2!$A:$A,AD$2),"")</f>
        <v/>
      </c>
      <c r="AE253" s="42" t="str">
        <f>IF(SUMIFS(Sheet2!$E:$E,Sheet2!$C:$C,$A253,Sheet2!$A:$A,AE$2)&lt;&gt;0,SUMIFS(Sheet2!$E:$E,Sheet2!$C:$C,$A253,Sheet2!$A:$A,AE$2),"")</f>
        <v/>
      </c>
      <c r="AF253" s="42" t="str">
        <f>IF(SUMIFS(Sheet2!$E:$E,Sheet2!$C:$C,$A253,Sheet2!$A:$A,AF$2)&lt;&gt;0,SUMIFS(Sheet2!$E:$E,Sheet2!$C:$C,$A253,Sheet2!$A:$A,AF$2),"")</f>
        <v/>
      </c>
      <c r="AG253" s="42" t="str">
        <f>IF(SUMIFS(Sheet2!$E:$E,Sheet2!$C:$C,$A253,Sheet2!$A:$A,AG$2)&lt;&gt;0,SUMIFS(Sheet2!$E:$E,Sheet2!$C:$C,$A253,Sheet2!$A:$A,AG$2),"")</f>
        <v/>
      </c>
      <c r="AH253" s="43">
        <f>SUM(Table2[[#This Row],[1]:[31]])</f>
        <v>0</v>
      </c>
    </row>
    <row r="254" spans="1:34" ht="12.75" customHeight="1">
      <c r="A254" s="76" t="str">
        <f>DSSP!A253</f>
        <v>VN03</v>
      </c>
      <c r="B254" s="25" t="str">
        <f>DSSP!B253</f>
        <v>Vải nỉ làm gối 1.6 x 1m</v>
      </c>
      <c r="C254" s="42" t="str">
        <f>IF(SUMIFS(Sheet2!$E:$E,Sheet2!$C:$C,$A254,Sheet2!$A:$A,C$2)&lt;&gt;0,SUMIFS(Sheet2!$E:$E,Sheet2!$C:$C,$A254,Sheet2!$A:$A,C$2),"")</f>
        <v/>
      </c>
      <c r="D254" s="42" t="str">
        <f>IF(SUMIFS(Sheet2!$E:$E,Sheet2!$C:$C,$A254,Sheet2!$A:$A,D$2)&lt;&gt;0,SUMIFS(Sheet2!$E:$E,Sheet2!$C:$C,$A254,Sheet2!$A:$A,D$2),"")</f>
        <v/>
      </c>
      <c r="E254" s="42" t="str">
        <f>IF(SUMIFS(Sheet2!$E:$E,Sheet2!$C:$C,$A254,Sheet2!$A:$A,E$2)&lt;&gt;0,SUMIFS(Sheet2!$E:$E,Sheet2!$C:$C,$A254,Sheet2!$A:$A,E$2),"")</f>
        <v/>
      </c>
      <c r="F254" s="42" t="str">
        <f>IF(SUMIFS(Sheet2!$E:$E,Sheet2!$C:$C,$A254,Sheet2!$A:$A,F$2)&lt;&gt;0,SUMIFS(Sheet2!$E:$E,Sheet2!$C:$C,$A254,Sheet2!$A:$A,F$2),"")</f>
        <v/>
      </c>
      <c r="G254" s="42" t="str">
        <f>IF(SUMIFS(Sheet2!$E:$E,Sheet2!$C:$C,$A254,Sheet2!$A:$A,G$2)&lt;&gt;0,SUMIFS(Sheet2!$E:$E,Sheet2!$C:$C,$A254,Sheet2!$A:$A,G$2),"")</f>
        <v/>
      </c>
      <c r="H254" s="42" t="str">
        <f>IF(SUMIFS(Sheet2!$E:$E,Sheet2!$C:$C,$A254,Sheet2!$A:$A,H$2)&lt;&gt;0,SUMIFS(Sheet2!$E:$E,Sheet2!$C:$C,$A254,Sheet2!$A:$A,H$2),"")</f>
        <v/>
      </c>
      <c r="I254" s="42" t="str">
        <f>IF(SUMIFS(Sheet2!$E:$E,Sheet2!$C:$C,$A254,Sheet2!$A:$A,I$2)&lt;&gt;0,SUMIFS(Sheet2!$E:$E,Sheet2!$C:$C,$A254,Sheet2!$A:$A,I$2),"")</f>
        <v/>
      </c>
      <c r="J254" s="42" t="str">
        <f>IF(SUMIFS(Sheet2!$E:$E,Sheet2!$C:$C,$A254,Sheet2!$A:$A,J$2)&lt;&gt;0,SUMIFS(Sheet2!$E:$E,Sheet2!$C:$C,$A254,Sheet2!$A:$A,J$2),"")</f>
        <v/>
      </c>
      <c r="K254" s="42" t="str">
        <f>IF(SUMIFS(Sheet2!$E:$E,Sheet2!$C:$C,$A254,Sheet2!$A:$A,K$2)&lt;&gt;0,SUMIFS(Sheet2!$E:$E,Sheet2!$C:$C,$A254,Sheet2!$A:$A,K$2),"")</f>
        <v/>
      </c>
      <c r="L254" s="42" t="str">
        <f>IF(SUMIFS(Sheet2!$E:$E,Sheet2!$C:$C,$A254,Sheet2!$A:$A,L$2)&lt;&gt;0,SUMIFS(Sheet2!$E:$E,Sheet2!$C:$C,$A254,Sheet2!$A:$A,L$2),"")</f>
        <v/>
      </c>
      <c r="M254" s="42" t="str">
        <f>IF(SUMIFS(Sheet2!$E:$E,Sheet2!$C:$C,$A254,Sheet2!$A:$A,M$2)&lt;&gt;0,SUMIFS(Sheet2!$E:$E,Sheet2!$C:$C,$A254,Sheet2!$A:$A,M$2),"")</f>
        <v/>
      </c>
      <c r="N254" s="42" t="str">
        <f>IF(SUMIFS(Sheet2!$E:$E,Sheet2!$C:$C,$A254,Sheet2!$A:$A,N$2)&lt;&gt;0,SUMIFS(Sheet2!$E:$E,Sheet2!$C:$C,$A254,Sheet2!$A:$A,N$2),"")</f>
        <v/>
      </c>
      <c r="O254" s="42" t="str">
        <f>IF(SUMIFS(Sheet2!$E:$E,Sheet2!$C:$C,$A254,Sheet2!$A:$A,O$2)&lt;&gt;0,SUMIFS(Sheet2!$E:$E,Sheet2!$C:$C,$A254,Sheet2!$A:$A,O$2),"")</f>
        <v/>
      </c>
      <c r="P254" s="42" t="str">
        <f>IF(SUMIFS(Sheet2!$E:$E,Sheet2!$C:$C,$A254,Sheet2!$A:$A,P$2)&lt;&gt;0,SUMIFS(Sheet2!$E:$E,Sheet2!$C:$C,$A254,Sheet2!$A:$A,P$2),"")</f>
        <v/>
      </c>
      <c r="Q254" s="42" t="str">
        <f>IF(SUMIFS(Sheet2!$E:$E,Sheet2!$C:$C,$A254,Sheet2!$A:$A,Q$2)&lt;&gt;0,SUMIFS(Sheet2!$E:$E,Sheet2!$C:$C,$A254,Sheet2!$A:$A,Q$2),"")</f>
        <v/>
      </c>
      <c r="R254" s="42" t="str">
        <f>IF(SUMIFS(Sheet2!$E:$E,Sheet2!$C:$C,$A254,Sheet2!$A:$A,R$2)&lt;&gt;0,SUMIFS(Sheet2!$E:$E,Sheet2!$C:$C,$A254,Sheet2!$A:$A,R$2),"")</f>
        <v/>
      </c>
      <c r="S254" s="42" t="str">
        <f>IF(SUMIFS(Sheet2!$E:$E,Sheet2!$C:$C,$A254,Sheet2!$A:$A,S$2)&lt;&gt;0,SUMIFS(Sheet2!$E:$E,Sheet2!$C:$C,$A254,Sheet2!$A:$A,S$2),"")</f>
        <v/>
      </c>
      <c r="T254" s="42" t="str">
        <f>IF(SUMIFS(Sheet2!$E:$E,Sheet2!$C:$C,$A254,Sheet2!$A:$A,T$2)&lt;&gt;0,SUMIFS(Sheet2!$E:$E,Sheet2!$C:$C,$A254,Sheet2!$A:$A,T$2),"")</f>
        <v/>
      </c>
      <c r="U254" s="42" t="str">
        <f>IF(SUMIFS(Sheet2!$E:$E,Sheet2!$C:$C,$A254,Sheet2!$A:$A,U$2)&lt;&gt;0,SUMIFS(Sheet2!$E:$E,Sheet2!$C:$C,$A254,Sheet2!$A:$A,U$2),"")</f>
        <v/>
      </c>
      <c r="V254" s="42" t="str">
        <f>IF(SUMIFS(Sheet2!$E:$E,Sheet2!$C:$C,$A254,Sheet2!$A:$A,V$2)&lt;&gt;0,SUMIFS(Sheet2!$E:$E,Sheet2!$C:$C,$A254,Sheet2!$A:$A,V$2),"")</f>
        <v/>
      </c>
      <c r="W254" s="42" t="str">
        <f>IF(SUMIFS(Sheet2!$E:$E,Sheet2!$C:$C,$A254,Sheet2!$A:$A,W$2)&lt;&gt;0,SUMIFS(Sheet2!$E:$E,Sheet2!$C:$C,$A254,Sheet2!$A:$A,W$2),"")</f>
        <v/>
      </c>
      <c r="X254" s="42" t="str">
        <f>IF(SUMIFS(Sheet2!$E:$E,Sheet2!$C:$C,$A254,Sheet2!$A:$A,X$2)&lt;&gt;0,SUMIFS(Sheet2!$E:$E,Sheet2!$C:$C,$A254,Sheet2!$A:$A,X$2),"")</f>
        <v/>
      </c>
      <c r="Y254" s="42" t="str">
        <f>IF(SUMIFS(Sheet2!$E:$E,Sheet2!$C:$C,$A254,Sheet2!$A:$A,Y$2)&lt;&gt;0,SUMIFS(Sheet2!$E:$E,Sheet2!$C:$C,$A254,Sheet2!$A:$A,Y$2),"")</f>
        <v/>
      </c>
      <c r="Z254" s="42" t="str">
        <f>IF(SUMIFS(Sheet2!$E:$E,Sheet2!$C:$C,$A254,Sheet2!$A:$A,Z$2)&lt;&gt;0,SUMIFS(Sheet2!$E:$E,Sheet2!$C:$C,$A254,Sheet2!$A:$A,Z$2),"")</f>
        <v/>
      </c>
      <c r="AA254" s="42" t="str">
        <f>IF(SUMIFS(Sheet2!$E:$E,Sheet2!$C:$C,$A254,Sheet2!$A:$A,AA$2)&lt;&gt;0,SUMIFS(Sheet2!$E:$E,Sheet2!$C:$C,$A254,Sheet2!$A:$A,AA$2),"")</f>
        <v/>
      </c>
      <c r="AB254" s="42" t="str">
        <f>IF(SUMIFS(Sheet2!$E:$E,Sheet2!$C:$C,$A254,Sheet2!$A:$A,AB$2)&lt;&gt;0,SUMIFS(Sheet2!$E:$E,Sheet2!$C:$C,$A254,Sheet2!$A:$A,AB$2),"")</f>
        <v/>
      </c>
      <c r="AC254" s="42" t="str">
        <f>IF(SUMIFS(Sheet2!$E:$E,Sheet2!$C:$C,$A254,Sheet2!$A:$A,AC$2)&lt;&gt;0,SUMIFS(Sheet2!$E:$E,Sheet2!$C:$C,$A254,Sheet2!$A:$A,AC$2),"")</f>
        <v/>
      </c>
      <c r="AD254" s="42" t="str">
        <f>IF(SUMIFS(Sheet2!$E:$E,Sheet2!$C:$C,$A254,Sheet2!$A:$A,AD$2)&lt;&gt;0,SUMIFS(Sheet2!$E:$E,Sheet2!$C:$C,$A254,Sheet2!$A:$A,AD$2),"")</f>
        <v/>
      </c>
      <c r="AE254" s="42" t="str">
        <f>IF(SUMIFS(Sheet2!$E:$E,Sheet2!$C:$C,$A254,Sheet2!$A:$A,AE$2)&lt;&gt;0,SUMIFS(Sheet2!$E:$E,Sheet2!$C:$C,$A254,Sheet2!$A:$A,AE$2),"")</f>
        <v/>
      </c>
      <c r="AF254" s="42" t="str">
        <f>IF(SUMIFS(Sheet2!$E:$E,Sheet2!$C:$C,$A254,Sheet2!$A:$A,AF$2)&lt;&gt;0,SUMIFS(Sheet2!$E:$E,Sheet2!$C:$C,$A254,Sheet2!$A:$A,AF$2),"")</f>
        <v/>
      </c>
      <c r="AG254" s="42" t="str">
        <f>IF(SUMIFS(Sheet2!$E:$E,Sheet2!$C:$C,$A254,Sheet2!$A:$A,AG$2)&lt;&gt;0,SUMIFS(Sheet2!$E:$E,Sheet2!$C:$C,$A254,Sheet2!$A:$A,AG$2),"")</f>
        <v/>
      </c>
      <c r="AH254" s="43">
        <f>SUM(Table2[[#This Row],[1]:[31]])</f>
        <v>0</v>
      </c>
    </row>
    <row r="255" spans="1:34" ht="12.75" customHeight="1">
      <c r="A255" s="76" t="str">
        <f>DSSP!A254</f>
        <v>VN04</v>
      </c>
      <c r="B255" s="25" t="str">
        <f>DSSP!B254</f>
        <v>Vải 40x40</v>
      </c>
      <c r="C255" s="42" t="str">
        <f>IF(SUMIFS(Sheet2!$E:$E,Sheet2!$C:$C,$A255,Sheet2!$A:$A,C$2)&lt;&gt;0,SUMIFS(Sheet2!$E:$E,Sheet2!$C:$C,$A255,Sheet2!$A:$A,C$2),"")</f>
        <v/>
      </c>
      <c r="D255" s="42" t="str">
        <f>IF(SUMIFS(Sheet2!$E:$E,Sheet2!$C:$C,$A255,Sheet2!$A:$A,D$2)&lt;&gt;0,SUMIFS(Sheet2!$E:$E,Sheet2!$C:$C,$A255,Sheet2!$A:$A,D$2),"")</f>
        <v/>
      </c>
      <c r="E255" s="42" t="str">
        <f>IF(SUMIFS(Sheet2!$E:$E,Sheet2!$C:$C,$A255,Sheet2!$A:$A,E$2)&lt;&gt;0,SUMIFS(Sheet2!$E:$E,Sheet2!$C:$C,$A255,Sheet2!$A:$A,E$2),"")</f>
        <v/>
      </c>
      <c r="F255" s="42" t="str">
        <f>IF(SUMIFS(Sheet2!$E:$E,Sheet2!$C:$C,$A255,Sheet2!$A:$A,F$2)&lt;&gt;0,SUMIFS(Sheet2!$E:$E,Sheet2!$C:$C,$A255,Sheet2!$A:$A,F$2),"")</f>
        <v/>
      </c>
      <c r="G255" s="42" t="str">
        <f>IF(SUMIFS(Sheet2!$E:$E,Sheet2!$C:$C,$A255,Sheet2!$A:$A,G$2)&lt;&gt;0,SUMIFS(Sheet2!$E:$E,Sheet2!$C:$C,$A255,Sheet2!$A:$A,G$2),"")</f>
        <v/>
      </c>
      <c r="H255" s="42" t="str">
        <f>IF(SUMIFS(Sheet2!$E:$E,Sheet2!$C:$C,$A255,Sheet2!$A:$A,H$2)&lt;&gt;0,SUMIFS(Sheet2!$E:$E,Sheet2!$C:$C,$A255,Sheet2!$A:$A,H$2),"")</f>
        <v/>
      </c>
      <c r="I255" s="42" t="str">
        <f>IF(SUMIFS(Sheet2!$E:$E,Sheet2!$C:$C,$A255,Sheet2!$A:$A,I$2)&lt;&gt;0,SUMIFS(Sheet2!$E:$E,Sheet2!$C:$C,$A255,Sheet2!$A:$A,I$2),"")</f>
        <v/>
      </c>
      <c r="J255" s="42" t="str">
        <f>IF(SUMIFS(Sheet2!$E:$E,Sheet2!$C:$C,$A255,Sheet2!$A:$A,J$2)&lt;&gt;0,SUMIFS(Sheet2!$E:$E,Sheet2!$C:$C,$A255,Sheet2!$A:$A,J$2),"")</f>
        <v/>
      </c>
      <c r="K255" s="42" t="str">
        <f>IF(SUMIFS(Sheet2!$E:$E,Sheet2!$C:$C,$A255,Sheet2!$A:$A,K$2)&lt;&gt;0,SUMIFS(Sheet2!$E:$E,Sheet2!$C:$C,$A255,Sheet2!$A:$A,K$2),"")</f>
        <v/>
      </c>
      <c r="L255" s="42" t="str">
        <f>IF(SUMIFS(Sheet2!$E:$E,Sheet2!$C:$C,$A255,Sheet2!$A:$A,L$2)&lt;&gt;0,SUMIFS(Sheet2!$E:$E,Sheet2!$C:$C,$A255,Sheet2!$A:$A,L$2),"")</f>
        <v/>
      </c>
      <c r="M255" s="42" t="str">
        <f>IF(SUMIFS(Sheet2!$E:$E,Sheet2!$C:$C,$A255,Sheet2!$A:$A,M$2)&lt;&gt;0,SUMIFS(Sheet2!$E:$E,Sheet2!$C:$C,$A255,Sheet2!$A:$A,M$2),"")</f>
        <v/>
      </c>
      <c r="N255" s="42" t="str">
        <f>IF(SUMIFS(Sheet2!$E:$E,Sheet2!$C:$C,$A255,Sheet2!$A:$A,N$2)&lt;&gt;0,SUMIFS(Sheet2!$E:$E,Sheet2!$C:$C,$A255,Sheet2!$A:$A,N$2),"")</f>
        <v/>
      </c>
      <c r="O255" s="42" t="str">
        <f>IF(SUMIFS(Sheet2!$E:$E,Sheet2!$C:$C,$A255,Sheet2!$A:$A,O$2)&lt;&gt;0,SUMIFS(Sheet2!$E:$E,Sheet2!$C:$C,$A255,Sheet2!$A:$A,O$2),"")</f>
        <v/>
      </c>
      <c r="P255" s="42" t="str">
        <f>IF(SUMIFS(Sheet2!$E:$E,Sheet2!$C:$C,$A255,Sheet2!$A:$A,P$2)&lt;&gt;0,SUMIFS(Sheet2!$E:$E,Sheet2!$C:$C,$A255,Sheet2!$A:$A,P$2),"")</f>
        <v/>
      </c>
      <c r="Q255" s="42" t="str">
        <f>IF(SUMIFS(Sheet2!$E:$E,Sheet2!$C:$C,$A255,Sheet2!$A:$A,Q$2)&lt;&gt;0,SUMIFS(Sheet2!$E:$E,Sheet2!$C:$C,$A255,Sheet2!$A:$A,Q$2),"")</f>
        <v/>
      </c>
      <c r="R255" s="42" t="str">
        <f>IF(SUMIFS(Sheet2!$E:$E,Sheet2!$C:$C,$A255,Sheet2!$A:$A,R$2)&lt;&gt;0,SUMIFS(Sheet2!$E:$E,Sheet2!$C:$C,$A255,Sheet2!$A:$A,R$2),"")</f>
        <v/>
      </c>
      <c r="S255" s="42" t="str">
        <f>IF(SUMIFS(Sheet2!$E:$E,Sheet2!$C:$C,$A255,Sheet2!$A:$A,S$2)&lt;&gt;0,SUMIFS(Sheet2!$E:$E,Sheet2!$C:$C,$A255,Sheet2!$A:$A,S$2),"")</f>
        <v/>
      </c>
      <c r="T255" s="42" t="str">
        <f>IF(SUMIFS(Sheet2!$E:$E,Sheet2!$C:$C,$A255,Sheet2!$A:$A,T$2)&lt;&gt;0,SUMIFS(Sheet2!$E:$E,Sheet2!$C:$C,$A255,Sheet2!$A:$A,T$2),"")</f>
        <v/>
      </c>
      <c r="U255" s="42" t="str">
        <f>IF(SUMIFS(Sheet2!$E:$E,Sheet2!$C:$C,$A255,Sheet2!$A:$A,U$2)&lt;&gt;0,SUMIFS(Sheet2!$E:$E,Sheet2!$C:$C,$A255,Sheet2!$A:$A,U$2),"")</f>
        <v/>
      </c>
      <c r="V255" s="42" t="str">
        <f>IF(SUMIFS(Sheet2!$E:$E,Sheet2!$C:$C,$A255,Sheet2!$A:$A,V$2)&lt;&gt;0,SUMIFS(Sheet2!$E:$E,Sheet2!$C:$C,$A255,Sheet2!$A:$A,V$2),"")</f>
        <v/>
      </c>
      <c r="W255" s="42" t="str">
        <f>IF(SUMIFS(Sheet2!$E:$E,Sheet2!$C:$C,$A255,Sheet2!$A:$A,W$2)&lt;&gt;0,SUMIFS(Sheet2!$E:$E,Sheet2!$C:$C,$A255,Sheet2!$A:$A,W$2),"")</f>
        <v/>
      </c>
      <c r="X255" s="42" t="str">
        <f>IF(SUMIFS(Sheet2!$E:$E,Sheet2!$C:$C,$A255,Sheet2!$A:$A,X$2)&lt;&gt;0,SUMIFS(Sheet2!$E:$E,Sheet2!$C:$C,$A255,Sheet2!$A:$A,X$2),"")</f>
        <v/>
      </c>
      <c r="Y255" s="42" t="str">
        <f>IF(SUMIFS(Sheet2!$E:$E,Sheet2!$C:$C,$A255,Sheet2!$A:$A,Y$2)&lt;&gt;0,SUMIFS(Sheet2!$E:$E,Sheet2!$C:$C,$A255,Sheet2!$A:$A,Y$2),"")</f>
        <v/>
      </c>
      <c r="Z255" s="42" t="str">
        <f>IF(SUMIFS(Sheet2!$E:$E,Sheet2!$C:$C,$A255,Sheet2!$A:$A,Z$2)&lt;&gt;0,SUMIFS(Sheet2!$E:$E,Sheet2!$C:$C,$A255,Sheet2!$A:$A,Z$2),"")</f>
        <v/>
      </c>
      <c r="AA255" s="42" t="str">
        <f>IF(SUMIFS(Sheet2!$E:$E,Sheet2!$C:$C,$A255,Sheet2!$A:$A,AA$2)&lt;&gt;0,SUMIFS(Sheet2!$E:$E,Sheet2!$C:$C,$A255,Sheet2!$A:$A,AA$2),"")</f>
        <v/>
      </c>
      <c r="AB255" s="42" t="str">
        <f>IF(SUMIFS(Sheet2!$E:$E,Sheet2!$C:$C,$A255,Sheet2!$A:$A,AB$2)&lt;&gt;0,SUMIFS(Sheet2!$E:$E,Sheet2!$C:$C,$A255,Sheet2!$A:$A,AB$2),"")</f>
        <v/>
      </c>
      <c r="AC255" s="42" t="str">
        <f>IF(SUMIFS(Sheet2!$E:$E,Sheet2!$C:$C,$A255,Sheet2!$A:$A,AC$2)&lt;&gt;0,SUMIFS(Sheet2!$E:$E,Sheet2!$C:$C,$A255,Sheet2!$A:$A,AC$2),"")</f>
        <v/>
      </c>
      <c r="AD255" s="42" t="str">
        <f>IF(SUMIFS(Sheet2!$E:$E,Sheet2!$C:$C,$A255,Sheet2!$A:$A,AD$2)&lt;&gt;0,SUMIFS(Sheet2!$E:$E,Sheet2!$C:$C,$A255,Sheet2!$A:$A,AD$2),"")</f>
        <v/>
      </c>
      <c r="AE255" s="42" t="str">
        <f>IF(SUMIFS(Sheet2!$E:$E,Sheet2!$C:$C,$A255,Sheet2!$A:$A,AE$2)&lt;&gt;0,SUMIFS(Sheet2!$E:$E,Sheet2!$C:$C,$A255,Sheet2!$A:$A,AE$2),"")</f>
        <v/>
      </c>
      <c r="AF255" s="42" t="str">
        <f>IF(SUMIFS(Sheet2!$E:$E,Sheet2!$C:$C,$A255,Sheet2!$A:$A,AF$2)&lt;&gt;0,SUMIFS(Sheet2!$E:$E,Sheet2!$C:$C,$A255,Sheet2!$A:$A,AF$2),"")</f>
        <v/>
      </c>
      <c r="AG255" s="42" t="str">
        <f>IF(SUMIFS(Sheet2!$E:$E,Sheet2!$C:$C,$A255,Sheet2!$A:$A,AG$2)&lt;&gt;0,SUMIFS(Sheet2!$E:$E,Sheet2!$C:$C,$A255,Sheet2!$A:$A,AG$2),"")</f>
        <v/>
      </c>
      <c r="AH255" s="43">
        <f>SUM(Table2[[#This Row],[1]:[31]])</f>
        <v>0</v>
      </c>
    </row>
    <row r="256" spans="1:34" ht="12.75" customHeight="1">
      <c r="A256" s="76" t="str">
        <f>DSSP!A255</f>
        <v>VN05</v>
      </c>
      <c r="B256" s="25" t="str">
        <f>DSSP!B255</f>
        <v>Vải vụn 1 LẠNG</v>
      </c>
      <c r="C256" s="42" t="str">
        <f>IF(SUMIFS(Sheet2!$E:$E,Sheet2!$C:$C,$A256,Sheet2!$A:$A,C$2)&lt;&gt;0,SUMIFS(Sheet2!$E:$E,Sheet2!$C:$C,$A256,Sheet2!$A:$A,C$2),"")</f>
        <v/>
      </c>
      <c r="D256" s="42" t="str">
        <f>IF(SUMIFS(Sheet2!$E:$E,Sheet2!$C:$C,$A256,Sheet2!$A:$A,D$2)&lt;&gt;0,SUMIFS(Sheet2!$E:$E,Sheet2!$C:$C,$A256,Sheet2!$A:$A,D$2),"")</f>
        <v/>
      </c>
      <c r="E256" s="42" t="str">
        <f>IF(SUMIFS(Sheet2!$E:$E,Sheet2!$C:$C,$A256,Sheet2!$A:$A,E$2)&lt;&gt;0,SUMIFS(Sheet2!$E:$E,Sheet2!$C:$C,$A256,Sheet2!$A:$A,E$2),"")</f>
        <v/>
      </c>
      <c r="F256" s="42" t="str">
        <f>IF(SUMIFS(Sheet2!$E:$E,Sheet2!$C:$C,$A256,Sheet2!$A:$A,F$2)&lt;&gt;0,SUMIFS(Sheet2!$E:$E,Sheet2!$C:$C,$A256,Sheet2!$A:$A,F$2),"")</f>
        <v/>
      </c>
      <c r="G256" s="42" t="str">
        <f>IF(SUMIFS(Sheet2!$E:$E,Sheet2!$C:$C,$A256,Sheet2!$A:$A,G$2)&lt;&gt;0,SUMIFS(Sheet2!$E:$E,Sheet2!$C:$C,$A256,Sheet2!$A:$A,G$2),"")</f>
        <v/>
      </c>
      <c r="H256" s="42" t="str">
        <f>IF(SUMIFS(Sheet2!$E:$E,Sheet2!$C:$C,$A256,Sheet2!$A:$A,H$2)&lt;&gt;0,SUMIFS(Sheet2!$E:$E,Sheet2!$C:$C,$A256,Sheet2!$A:$A,H$2),"")</f>
        <v/>
      </c>
      <c r="I256" s="42" t="str">
        <f>IF(SUMIFS(Sheet2!$E:$E,Sheet2!$C:$C,$A256,Sheet2!$A:$A,I$2)&lt;&gt;0,SUMIFS(Sheet2!$E:$E,Sheet2!$C:$C,$A256,Sheet2!$A:$A,I$2),"")</f>
        <v/>
      </c>
      <c r="J256" s="42" t="str">
        <f>IF(SUMIFS(Sheet2!$E:$E,Sheet2!$C:$C,$A256,Sheet2!$A:$A,J$2)&lt;&gt;0,SUMIFS(Sheet2!$E:$E,Sheet2!$C:$C,$A256,Sheet2!$A:$A,J$2),"")</f>
        <v/>
      </c>
      <c r="K256" s="42" t="str">
        <f>IF(SUMIFS(Sheet2!$E:$E,Sheet2!$C:$C,$A256,Sheet2!$A:$A,K$2)&lt;&gt;0,SUMIFS(Sheet2!$E:$E,Sheet2!$C:$C,$A256,Sheet2!$A:$A,K$2),"")</f>
        <v/>
      </c>
      <c r="L256" s="42" t="str">
        <f>IF(SUMIFS(Sheet2!$E:$E,Sheet2!$C:$C,$A256,Sheet2!$A:$A,L$2)&lt;&gt;0,SUMIFS(Sheet2!$E:$E,Sheet2!$C:$C,$A256,Sheet2!$A:$A,L$2),"")</f>
        <v/>
      </c>
      <c r="M256" s="42" t="str">
        <f>IF(SUMIFS(Sheet2!$E:$E,Sheet2!$C:$C,$A256,Sheet2!$A:$A,M$2)&lt;&gt;0,SUMIFS(Sheet2!$E:$E,Sheet2!$C:$C,$A256,Sheet2!$A:$A,M$2),"")</f>
        <v/>
      </c>
      <c r="N256" s="42" t="str">
        <f>IF(SUMIFS(Sheet2!$E:$E,Sheet2!$C:$C,$A256,Sheet2!$A:$A,N$2)&lt;&gt;0,SUMIFS(Sheet2!$E:$E,Sheet2!$C:$C,$A256,Sheet2!$A:$A,N$2),"")</f>
        <v/>
      </c>
      <c r="O256" s="42" t="str">
        <f>IF(SUMIFS(Sheet2!$E:$E,Sheet2!$C:$C,$A256,Sheet2!$A:$A,O$2)&lt;&gt;0,SUMIFS(Sheet2!$E:$E,Sheet2!$C:$C,$A256,Sheet2!$A:$A,O$2),"")</f>
        <v/>
      </c>
      <c r="P256" s="42" t="str">
        <f>IF(SUMIFS(Sheet2!$E:$E,Sheet2!$C:$C,$A256,Sheet2!$A:$A,P$2)&lt;&gt;0,SUMIFS(Sheet2!$E:$E,Sheet2!$C:$C,$A256,Sheet2!$A:$A,P$2),"")</f>
        <v/>
      </c>
      <c r="Q256" s="42" t="str">
        <f>IF(SUMIFS(Sheet2!$E:$E,Sheet2!$C:$C,$A256,Sheet2!$A:$A,Q$2)&lt;&gt;0,SUMIFS(Sheet2!$E:$E,Sheet2!$C:$C,$A256,Sheet2!$A:$A,Q$2),"")</f>
        <v/>
      </c>
      <c r="R256" s="42" t="str">
        <f>IF(SUMIFS(Sheet2!$E:$E,Sheet2!$C:$C,$A256,Sheet2!$A:$A,R$2)&lt;&gt;0,SUMIFS(Sheet2!$E:$E,Sheet2!$C:$C,$A256,Sheet2!$A:$A,R$2),"")</f>
        <v/>
      </c>
      <c r="S256" s="42" t="str">
        <f>IF(SUMIFS(Sheet2!$E:$E,Sheet2!$C:$C,$A256,Sheet2!$A:$A,S$2)&lt;&gt;0,SUMIFS(Sheet2!$E:$E,Sheet2!$C:$C,$A256,Sheet2!$A:$A,S$2),"")</f>
        <v/>
      </c>
      <c r="T256" s="42" t="str">
        <f>IF(SUMIFS(Sheet2!$E:$E,Sheet2!$C:$C,$A256,Sheet2!$A:$A,T$2)&lt;&gt;0,SUMIFS(Sheet2!$E:$E,Sheet2!$C:$C,$A256,Sheet2!$A:$A,T$2),"")</f>
        <v/>
      </c>
      <c r="U256" s="42" t="str">
        <f>IF(SUMIFS(Sheet2!$E:$E,Sheet2!$C:$C,$A256,Sheet2!$A:$A,U$2)&lt;&gt;0,SUMIFS(Sheet2!$E:$E,Sheet2!$C:$C,$A256,Sheet2!$A:$A,U$2),"")</f>
        <v/>
      </c>
      <c r="V256" s="42" t="str">
        <f>IF(SUMIFS(Sheet2!$E:$E,Sheet2!$C:$C,$A256,Sheet2!$A:$A,V$2)&lt;&gt;0,SUMIFS(Sheet2!$E:$E,Sheet2!$C:$C,$A256,Sheet2!$A:$A,V$2),"")</f>
        <v/>
      </c>
      <c r="W256" s="42" t="str">
        <f>IF(SUMIFS(Sheet2!$E:$E,Sheet2!$C:$C,$A256,Sheet2!$A:$A,W$2)&lt;&gt;0,SUMIFS(Sheet2!$E:$E,Sheet2!$C:$C,$A256,Sheet2!$A:$A,W$2),"")</f>
        <v/>
      </c>
      <c r="X256" s="42" t="str">
        <f>IF(SUMIFS(Sheet2!$E:$E,Sheet2!$C:$C,$A256,Sheet2!$A:$A,X$2)&lt;&gt;0,SUMIFS(Sheet2!$E:$E,Sheet2!$C:$C,$A256,Sheet2!$A:$A,X$2),"")</f>
        <v/>
      </c>
      <c r="Y256" s="42" t="str">
        <f>IF(SUMIFS(Sheet2!$E:$E,Sheet2!$C:$C,$A256,Sheet2!$A:$A,Y$2)&lt;&gt;0,SUMIFS(Sheet2!$E:$E,Sheet2!$C:$C,$A256,Sheet2!$A:$A,Y$2),"")</f>
        <v/>
      </c>
      <c r="Z256" s="42" t="str">
        <f>IF(SUMIFS(Sheet2!$E:$E,Sheet2!$C:$C,$A256,Sheet2!$A:$A,Z$2)&lt;&gt;0,SUMIFS(Sheet2!$E:$E,Sheet2!$C:$C,$A256,Sheet2!$A:$A,Z$2),"")</f>
        <v/>
      </c>
      <c r="AA256" s="42" t="str">
        <f>IF(SUMIFS(Sheet2!$E:$E,Sheet2!$C:$C,$A256,Sheet2!$A:$A,AA$2)&lt;&gt;0,SUMIFS(Sheet2!$E:$E,Sheet2!$C:$C,$A256,Sheet2!$A:$A,AA$2),"")</f>
        <v/>
      </c>
      <c r="AB256" s="42" t="str">
        <f>IF(SUMIFS(Sheet2!$E:$E,Sheet2!$C:$C,$A256,Sheet2!$A:$A,AB$2)&lt;&gt;0,SUMIFS(Sheet2!$E:$E,Sheet2!$C:$C,$A256,Sheet2!$A:$A,AB$2),"")</f>
        <v/>
      </c>
      <c r="AC256" s="42" t="str">
        <f>IF(SUMIFS(Sheet2!$E:$E,Sheet2!$C:$C,$A256,Sheet2!$A:$A,AC$2)&lt;&gt;0,SUMIFS(Sheet2!$E:$E,Sheet2!$C:$C,$A256,Sheet2!$A:$A,AC$2),"")</f>
        <v/>
      </c>
      <c r="AD256" s="42" t="str">
        <f>IF(SUMIFS(Sheet2!$E:$E,Sheet2!$C:$C,$A256,Sheet2!$A:$A,AD$2)&lt;&gt;0,SUMIFS(Sheet2!$E:$E,Sheet2!$C:$C,$A256,Sheet2!$A:$A,AD$2),"")</f>
        <v/>
      </c>
      <c r="AE256" s="42" t="str">
        <f>IF(SUMIFS(Sheet2!$E:$E,Sheet2!$C:$C,$A256,Sheet2!$A:$A,AE$2)&lt;&gt;0,SUMIFS(Sheet2!$E:$E,Sheet2!$C:$C,$A256,Sheet2!$A:$A,AE$2),"")</f>
        <v/>
      </c>
      <c r="AF256" s="42" t="str">
        <f>IF(SUMIFS(Sheet2!$E:$E,Sheet2!$C:$C,$A256,Sheet2!$A:$A,AF$2)&lt;&gt;0,SUMIFS(Sheet2!$E:$E,Sheet2!$C:$C,$A256,Sheet2!$A:$A,AF$2),"")</f>
        <v/>
      </c>
      <c r="AG256" s="42" t="str">
        <f>IF(SUMIFS(Sheet2!$E:$E,Sheet2!$C:$C,$A256,Sheet2!$A:$A,AG$2)&lt;&gt;0,SUMIFS(Sheet2!$E:$E,Sheet2!$C:$C,$A256,Sheet2!$A:$A,AG$2),"")</f>
        <v/>
      </c>
      <c r="AH256" s="43">
        <f>SUM(Table2[[#This Row],[1]:[31]])</f>
        <v>0</v>
      </c>
    </row>
    <row r="257" spans="1:34" ht="12.75" customHeight="1">
      <c r="A257" s="76" t="str">
        <f>DSSP!A256</f>
        <v>VN06</v>
      </c>
      <c r="B257" s="25" t="str">
        <f>DSSP!B256</f>
        <v>Khóa trắng</v>
      </c>
      <c r="C257" s="42" t="str">
        <f>IF(SUMIFS(Sheet2!$E:$E,Sheet2!$C:$C,$A257,Sheet2!$A:$A,C$2)&lt;&gt;0,SUMIFS(Sheet2!$E:$E,Sheet2!$C:$C,$A257,Sheet2!$A:$A,C$2),"")</f>
        <v/>
      </c>
      <c r="D257" s="42" t="str">
        <f>IF(SUMIFS(Sheet2!$E:$E,Sheet2!$C:$C,$A257,Sheet2!$A:$A,D$2)&lt;&gt;0,SUMIFS(Sheet2!$E:$E,Sheet2!$C:$C,$A257,Sheet2!$A:$A,D$2),"")</f>
        <v/>
      </c>
      <c r="E257" s="42" t="str">
        <f>IF(SUMIFS(Sheet2!$E:$E,Sheet2!$C:$C,$A257,Sheet2!$A:$A,E$2)&lt;&gt;0,SUMIFS(Sheet2!$E:$E,Sheet2!$C:$C,$A257,Sheet2!$A:$A,E$2),"")</f>
        <v/>
      </c>
      <c r="F257" s="42" t="str">
        <f>IF(SUMIFS(Sheet2!$E:$E,Sheet2!$C:$C,$A257,Sheet2!$A:$A,F$2)&lt;&gt;0,SUMIFS(Sheet2!$E:$E,Sheet2!$C:$C,$A257,Sheet2!$A:$A,F$2),"")</f>
        <v/>
      </c>
      <c r="G257" s="42" t="str">
        <f>IF(SUMIFS(Sheet2!$E:$E,Sheet2!$C:$C,$A257,Sheet2!$A:$A,G$2)&lt;&gt;0,SUMIFS(Sheet2!$E:$E,Sheet2!$C:$C,$A257,Sheet2!$A:$A,G$2),"")</f>
        <v/>
      </c>
      <c r="H257" s="42" t="str">
        <f>IF(SUMIFS(Sheet2!$E:$E,Sheet2!$C:$C,$A257,Sheet2!$A:$A,H$2)&lt;&gt;0,SUMIFS(Sheet2!$E:$E,Sheet2!$C:$C,$A257,Sheet2!$A:$A,H$2),"")</f>
        <v/>
      </c>
      <c r="I257" s="42" t="str">
        <f>IF(SUMIFS(Sheet2!$E:$E,Sheet2!$C:$C,$A257,Sheet2!$A:$A,I$2)&lt;&gt;0,SUMIFS(Sheet2!$E:$E,Sheet2!$C:$C,$A257,Sheet2!$A:$A,I$2),"")</f>
        <v/>
      </c>
      <c r="J257" s="42" t="str">
        <f>IF(SUMIFS(Sheet2!$E:$E,Sheet2!$C:$C,$A257,Sheet2!$A:$A,J$2)&lt;&gt;0,SUMIFS(Sheet2!$E:$E,Sheet2!$C:$C,$A257,Sheet2!$A:$A,J$2),"")</f>
        <v/>
      </c>
      <c r="K257" s="42" t="str">
        <f>IF(SUMIFS(Sheet2!$E:$E,Sheet2!$C:$C,$A257,Sheet2!$A:$A,K$2)&lt;&gt;0,SUMIFS(Sheet2!$E:$E,Sheet2!$C:$C,$A257,Sheet2!$A:$A,K$2),"")</f>
        <v/>
      </c>
      <c r="L257" s="42" t="str">
        <f>IF(SUMIFS(Sheet2!$E:$E,Sheet2!$C:$C,$A257,Sheet2!$A:$A,L$2)&lt;&gt;0,SUMIFS(Sheet2!$E:$E,Sheet2!$C:$C,$A257,Sheet2!$A:$A,L$2),"")</f>
        <v/>
      </c>
      <c r="M257" s="42" t="str">
        <f>IF(SUMIFS(Sheet2!$E:$E,Sheet2!$C:$C,$A257,Sheet2!$A:$A,M$2)&lt;&gt;0,SUMIFS(Sheet2!$E:$E,Sheet2!$C:$C,$A257,Sheet2!$A:$A,M$2),"")</f>
        <v/>
      </c>
      <c r="N257" s="42" t="str">
        <f>IF(SUMIFS(Sheet2!$E:$E,Sheet2!$C:$C,$A257,Sheet2!$A:$A,N$2)&lt;&gt;0,SUMIFS(Sheet2!$E:$E,Sheet2!$C:$C,$A257,Sheet2!$A:$A,N$2),"")</f>
        <v/>
      </c>
      <c r="O257" s="42" t="str">
        <f>IF(SUMIFS(Sheet2!$E:$E,Sheet2!$C:$C,$A257,Sheet2!$A:$A,O$2)&lt;&gt;0,SUMIFS(Sheet2!$E:$E,Sheet2!$C:$C,$A257,Sheet2!$A:$A,O$2),"")</f>
        <v/>
      </c>
      <c r="P257" s="42" t="str">
        <f>IF(SUMIFS(Sheet2!$E:$E,Sheet2!$C:$C,$A257,Sheet2!$A:$A,P$2)&lt;&gt;0,SUMIFS(Sheet2!$E:$E,Sheet2!$C:$C,$A257,Sheet2!$A:$A,P$2),"")</f>
        <v/>
      </c>
      <c r="Q257" s="42" t="str">
        <f>IF(SUMIFS(Sheet2!$E:$E,Sheet2!$C:$C,$A257,Sheet2!$A:$A,Q$2)&lt;&gt;0,SUMIFS(Sheet2!$E:$E,Sheet2!$C:$C,$A257,Sheet2!$A:$A,Q$2),"")</f>
        <v/>
      </c>
      <c r="R257" s="42" t="str">
        <f>IF(SUMIFS(Sheet2!$E:$E,Sheet2!$C:$C,$A257,Sheet2!$A:$A,R$2)&lt;&gt;0,SUMIFS(Sheet2!$E:$E,Sheet2!$C:$C,$A257,Sheet2!$A:$A,R$2),"")</f>
        <v/>
      </c>
      <c r="S257" s="42" t="str">
        <f>IF(SUMIFS(Sheet2!$E:$E,Sheet2!$C:$C,$A257,Sheet2!$A:$A,S$2)&lt;&gt;0,SUMIFS(Sheet2!$E:$E,Sheet2!$C:$C,$A257,Sheet2!$A:$A,S$2),"")</f>
        <v/>
      </c>
      <c r="T257" s="42" t="str">
        <f>IF(SUMIFS(Sheet2!$E:$E,Sheet2!$C:$C,$A257,Sheet2!$A:$A,T$2)&lt;&gt;0,SUMIFS(Sheet2!$E:$E,Sheet2!$C:$C,$A257,Sheet2!$A:$A,T$2),"")</f>
        <v/>
      </c>
      <c r="U257" s="42" t="str">
        <f>IF(SUMIFS(Sheet2!$E:$E,Sheet2!$C:$C,$A257,Sheet2!$A:$A,U$2)&lt;&gt;0,SUMIFS(Sheet2!$E:$E,Sheet2!$C:$C,$A257,Sheet2!$A:$A,U$2),"")</f>
        <v/>
      </c>
      <c r="V257" s="42" t="str">
        <f>IF(SUMIFS(Sheet2!$E:$E,Sheet2!$C:$C,$A257,Sheet2!$A:$A,V$2)&lt;&gt;0,SUMIFS(Sheet2!$E:$E,Sheet2!$C:$C,$A257,Sheet2!$A:$A,V$2),"")</f>
        <v/>
      </c>
      <c r="W257" s="42" t="str">
        <f>IF(SUMIFS(Sheet2!$E:$E,Sheet2!$C:$C,$A257,Sheet2!$A:$A,W$2)&lt;&gt;0,SUMIFS(Sheet2!$E:$E,Sheet2!$C:$C,$A257,Sheet2!$A:$A,W$2),"")</f>
        <v/>
      </c>
      <c r="X257" s="42" t="str">
        <f>IF(SUMIFS(Sheet2!$E:$E,Sheet2!$C:$C,$A257,Sheet2!$A:$A,X$2)&lt;&gt;0,SUMIFS(Sheet2!$E:$E,Sheet2!$C:$C,$A257,Sheet2!$A:$A,X$2),"")</f>
        <v/>
      </c>
      <c r="Y257" s="42" t="str">
        <f>IF(SUMIFS(Sheet2!$E:$E,Sheet2!$C:$C,$A257,Sheet2!$A:$A,Y$2)&lt;&gt;0,SUMIFS(Sheet2!$E:$E,Sheet2!$C:$C,$A257,Sheet2!$A:$A,Y$2),"")</f>
        <v/>
      </c>
      <c r="Z257" s="42" t="str">
        <f>IF(SUMIFS(Sheet2!$E:$E,Sheet2!$C:$C,$A257,Sheet2!$A:$A,Z$2)&lt;&gt;0,SUMIFS(Sheet2!$E:$E,Sheet2!$C:$C,$A257,Sheet2!$A:$A,Z$2),"")</f>
        <v/>
      </c>
      <c r="AA257" s="42" t="str">
        <f>IF(SUMIFS(Sheet2!$E:$E,Sheet2!$C:$C,$A257,Sheet2!$A:$A,AA$2)&lt;&gt;0,SUMIFS(Sheet2!$E:$E,Sheet2!$C:$C,$A257,Sheet2!$A:$A,AA$2),"")</f>
        <v/>
      </c>
      <c r="AB257" s="42" t="str">
        <f>IF(SUMIFS(Sheet2!$E:$E,Sheet2!$C:$C,$A257,Sheet2!$A:$A,AB$2)&lt;&gt;0,SUMIFS(Sheet2!$E:$E,Sheet2!$C:$C,$A257,Sheet2!$A:$A,AB$2),"")</f>
        <v/>
      </c>
      <c r="AC257" s="42" t="str">
        <f>IF(SUMIFS(Sheet2!$E:$E,Sheet2!$C:$C,$A257,Sheet2!$A:$A,AC$2)&lt;&gt;0,SUMIFS(Sheet2!$E:$E,Sheet2!$C:$C,$A257,Sheet2!$A:$A,AC$2),"")</f>
        <v/>
      </c>
      <c r="AD257" s="42" t="str">
        <f>IF(SUMIFS(Sheet2!$E:$E,Sheet2!$C:$C,$A257,Sheet2!$A:$A,AD$2)&lt;&gt;0,SUMIFS(Sheet2!$E:$E,Sheet2!$C:$C,$A257,Sheet2!$A:$A,AD$2),"")</f>
        <v/>
      </c>
      <c r="AE257" s="42" t="str">
        <f>IF(SUMIFS(Sheet2!$E:$E,Sheet2!$C:$C,$A257,Sheet2!$A:$A,AE$2)&lt;&gt;0,SUMIFS(Sheet2!$E:$E,Sheet2!$C:$C,$A257,Sheet2!$A:$A,AE$2),"")</f>
        <v/>
      </c>
      <c r="AF257" s="42" t="str">
        <f>IF(SUMIFS(Sheet2!$E:$E,Sheet2!$C:$C,$A257,Sheet2!$A:$A,AF$2)&lt;&gt;0,SUMIFS(Sheet2!$E:$E,Sheet2!$C:$C,$A257,Sheet2!$A:$A,AF$2),"")</f>
        <v/>
      </c>
      <c r="AG257" s="42" t="str">
        <f>IF(SUMIFS(Sheet2!$E:$E,Sheet2!$C:$C,$A257,Sheet2!$A:$A,AG$2)&lt;&gt;0,SUMIFS(Sheet2!$E:$E,Sheet2!$C:$C,$A257,Sheet2!$A:$A,AG$2),"")</f>
        <v/>
      </c>
      <c r="AH257" s="43">
        <f>SUM(Table2[[#This Row],[1]:[31]])</f>
        <v>0</v>
      </c>
    </row>
    <row r="258" spans="1:34" ht="12.75" customHeight="1">
      <c r="A258" s="76" t="str">
        <f>DSSP!A257</f>
        <v>VN07</v>
      </c>
      <c r="B258" s="25" t="str">
        <f>DSSP!B257</f>
        <v>Khóa 40cm nổi</v>
      </c>
      <c r="C258" s="42" t="str">
        <f>IF(SUMIFS(Sheet2!$E:$E,Sheet2!$C:$C,$A258,Sheet2!$A:$A,C$2)&lt;&gt;0,SUMIFS(Sheet2!$E:$E,Sheet2!$C:$C,$A258,Sheet2!$A:$A,C$2),"")</f>
        <v/>
      </c>
      <c r="D258" s="42" t="str">
        <f>IF(SUMIFS(Sheet2!$E:$E,Sheet2!$C:$C,$A258,Sheet2!$A:$A,D$2)&lt;&gt;0,SUMIFS(Sheet2!$E:$E,Sheet2!$C:$C,$A258,Sheet2!$A:$A,D$2),"")</f>
        <v/>
      </c>
      <c r="E258" s="42" t="str">
        <f>IF(SUMIFS(Sheet2!$E:$E,Sheet2!$C:$C,$A258,Sheet2!$A:$A,E$2)&lt;&gt;0,SUMIFS(Sheet2!$E:$E,Sheet2!$C:$C,$A258,Sheet2!$A:$A,E$2),"")</f>
        <v/>
      </c>
      <c r="F258" s="42" t="str">
        <f>IF(SUMIFS(Sheet2!$E:$E,Sheet2!$C:$C,$A258,Sheet2!$A:$A,F$2)&lt;&gt;0,SUMIFS(Sheet2!$E:$E,Sheet2!$C:$C,$A258,Sheet2!$A:$A,F$2),"")</f>
        <v/>
      </c>
      <c r="G258" s="42" t="str">
        <f>IF(SUMIFS(Sheet2!$E:$E,Sheet2!$C:$C,$A258,Sheet2!$A:$A,G$2)&lt;&gt;0,SUMIFS(Sheet2!$E:$E,Sheet2!$C:$C,$A258,Sheet2!$A:$A,G$2),"")</f>
        <v/>
      </c>
      <c r="H258" s="42" t="str">
        <f>IF(SUMIFS(Sheet2!$E:$E,Sheet2!$C:$C,$A258,Sheet2!$A:$A,H$2)&lt;&gt;0,SUMIFS(Sheet2!$E:$E,Sheet2!$C:$C,$A258,Sheet2!$A:$A,H$2),"")</f>
        <v/>
      </c>
      <c r="I258" s="42" t="str">
        <f>IF(SUMIFS(Sheet2!$E:$E,Sheet2!$C:$C,$A258,Sheet2!$A:$A,I$2)&lt;&gt;0,SUMIFS(Sheet2!$E:$E,Sheet2!$C:$C,$A258,Sheet2!$A:$A,I$2),"")</f>
        <v/>
      </c>
      <c r="J258" s="42" t="str">
        <f>IF(SUMIFS(Sheet2!$E:$E,Sheet2!$C:$C,$A258,Sheet2!$A:$A,J$2)&lt;&gt;0,SUMIFS(Sheet2!$E:$E,Sheet2!$C:$C,$A258,Sheet2!$A:$A,J$2),"")</f>
        <v/>
      </c>
      <c r="K258" s="42" t="str">
        <f>IF(SUMIFS(Sheet2!$E:$E,Sheet2!$C:$C,$A258,Sheet2!$A:$A,K$2)&lt;&gt;0,SUMIFS(Sheet2!$E:$E,Sheet2!$C:$C,$A258,Sheet2!$A:$A,K$2),"")</f>
        <v/>
      </c>
      <c r="L258" s="42" t="str">
        <f>IF(SUMIFS(Sheet2!$E:$E,Sheet2!$C:$C,$A258,Sheet2!$A:$A,L$2)&lt;&gt;0,SUMIFS(Sheet2!$E:$E,Sheet2!$C:$C,$A258,Sheet2!$A:$A,L$2),"")</f>
        <v/>
      </c>
      <c r="M258" s="42" t="str">
        <f>IF(SUMIFS(Sheet2!$E:$E,Sheet2!$C:$C,$A258,Sheet2!$A:$A,M$2)&lt;&gt;0,SUMIFS(Sheet2!$E:$E,Sheet2!$C:$C,$A258,Sheet2!$A:$A,M$2),"")</f>
        <v/>
      </c>
      <c r="N258" s="42" t="str">
        <f>IF(SUMIFS(Sheet2!$E:$E,Sheet2!$C:$C,$A258,Sheet2!$A:$A,N$2)&lt;&gt;0,SUMIFS(Sheet2!$E:$E,Sheet2!$C:$C,$A258,Sheet2!$A:$A,N$2),"")</f>
        <v/>
      </c>
      <c r="O258" s="42" t="str">
        <f>IF(SUMIFS(Sheet2!$E:$E,Sheet2!$C:$C,$A258,Sheet2!$A:$A,O$2)&lt;&gt;0,SUMIFS(Sheet2!$E:$E,Sheet2!$C:$C,$A258,Sheet2!$A:$A,O$2),"")</f>
        <v/>
      </c>
      <c r="P258" s="42" t="str">
        <f>IF(SUMIFS(Sheet2!$E:$E,Sheet2!$C:$C,$A258,Sheet2!$A:$A,P$2)&lt;&gt;0,SUMIFS(Sheet2!$E:$E,Sheet2!$C:$C,$A258,Sheet2!$A:$A,P$2),"")</f>
        <v/>
      </c>
      <c r="Q258" s="42" t="str">
        <f>IF(SUMIFS(Sheet2!$E:$E,Sheet2!$C:$C,$A258,Sheet2!$A:$A,Q$2)&lt;&gt;0,SUMIFS(Sheet2!$E:$E,Sheet2!$C:$C,$A258,Sheet2!$A:$A,Q$2),"")</f>
        <v/>
      </c>
      <c r="R258" s="42" t="str">
        <f>IF(SUMIFS(Sheet2!$E:$E,Sheet2!$C:$C,$A258,Sheet2!$A:$A,R$2)&lt;&gt;0,SUMIFS(Sheet2!$E:$E,Sheet2!$C:$C,$A258,Sheet2!$A:$A,R$2),"")</f>
        <v/>
      </c>
      <c r="S258" s="42" t="str">
        <f>IF(SUMIFS(Sheet2!$E:$E,Sheet2!$C:$C,$A258,Sheet2!$A:$A,S$2)&lt;&gt;0,SUMIFS(Sheet2!$E:$E,Sheet2!$C:$C,$A258,Sheet2!$A:$A,S$2),"")</f>
        <v/>
      </c>
      <c r="T258" s="42" t="str">
        <f>IF(SUMIFS(Sheet2!$E:$E,Sheet2!$C:$C,$A258,Sheet2!$A:$A,T$2)&lt;&gt;0,SUMIFS(Sheet2!$E:$E,Sheet2!$C:$C,$A258,Sheet2!$A:$A,T$2),"")</f>
        <v/>
      </c>
      <c r="U258" s="42" t="str">
        <f>IF(SUMIFS(Sheet2!$E:$E,Sheet2!$C:$C,$A258,Sheet2!$A:$A,U$2)&lt;&gt;0,SUMIFS(Sheet2!$E:$E,Sheet2!$C:$C,$A258,Sheet2!$A:$A,U$2),"")</f>
        <v/>
      </c>
      <c r="V258" s="42" t="str">
        <f>IF(SUMIFS(Sheet2!$E:$E,Sheet2!$C:$C,$A258,Sheet2!$A:$A,V$2)&lt;&gt;0,SUMIFS(Sheet2!$E:$E,Sheet2!$C:$C,$A258,Sheet2!$A:$A,V$2),"")</f>
        <v/>
      </c>
      <c r="W258" s="42" t="str">
        <f>IF(SUMIFS(Sheet2!$E:$E,Sheet2!$C:$C,$A258,Sheet2!$A:$A,W$2)&lt;&gt;0,SUMIFS(Sheet2!$E:$E,Sheet2!$C:$C,$A258,Sheet2!$A:$A,W$2),"")</f>
        <v/>
      </c>
      <c r="X258" s="42" t="str">
        <f>IF(SUMIFS(Sheet2!$E:$E,Sheet2!$C:$C,$A258,Sheet2!$A:$A,X$2)&lt;&gt;0,SUMIFS(Sheet2!$E:$E,Sheet2!$C:$C,$A258,Sheet2!$A:$A,X$2),"")</f>
        <v/>
      </c>
      <c r="Y258" s="42" t="str">
        <f>IF(SUMIFS(Sheet2!$E:$E,Sheet2!$C:$C,$A258,Sheet2!$A:$A,Y$2)&lt;&gt;0,SUMIFS(Sheet2!$E:$E,Sheet2!$C:$C,$A258,Sheet2!$A:$A,Y$2),"")</f>
        <v/>
      </c>
      <c r="Z258" s="42" t="str">
        <f>IF(SUMIFS(Sheet2!$E:$E,Sheet2!$C:$C,$A258,Sheet2!$A:$A,Z$2)&lt;&gt;0,SUMIFS(Sheet2!$E:$E,Sheet2!$C:$C,$A258,Sheet2!$A:$A,Z$2),"")</f>
        <v/>
      </c>
      <c r="AA258" s="42" t="str">
        <f>IF(SUMIFS(Sheet2!$E:$E,Sheet2!$C:$C,$A258,Sheet2!$A:$A,AA$2)&lt;&gt;0,SUMIFS(Sheet2!$E:$E,Sheet2!$C:$C,$A258,Sheet2!$A:$A,AA$2),"")</f>
        <v/>
      </c>
      <c r="AB258" s="42" t="str">
        <f>IF(SUMIFS(Sheet2!$E:$E,Sheet2!$C:$C,$A258,Sheet2!$A:$A,AB$2)&lt;&gt;0,SUMIFS(Sheet2!$E:$E,Sheet2!$C:$C,$A258,Sheet2!$A:$A,AB$2),"")</f>
        <v/>
      </c>
      <c r="AC258" s="42" t="str">
        <f>IF(SUMIFS(Sheet2!$E:$E,Sheet2!$C:$C,$A258,Sheet2!$A:$A,AC$2)&lt;&gt;0,SUMIFS(Sheet2!$E:$E,Sheet2!$C:$C,$A258,Sheet2!$A:$A,AC$2),"")</f>
        <v/>
      </c>
      <c r="AD258" s="42" t="str">
        <f>IF(SUMIFS(Sheet2!$E:$E,Sheet2!$C:$C,$A258,Sheet2!$A:$A,AD$2)&lt;&gt;0,SUMIFS(Sheet2!$E:$E,Sheet2!$C:$C,$A258,Sheet2!$A:$A,AD$2),"")</f>
        <v/>
      </c>
      <c r="AE258" s="42" t="str">
        <f>IF(SUMIFS(Sheet2!$E:$E,Sheet2!$C:$C,$A258,Sheet2!$A:$A,AE$2)&lt;&gt;0,SUMIFS(Sheet2!$E:$E,Sheet2!$C:$C,$A258,Sheet2!$A:$A,AE$2),"")</f>
        <v/>
      </c>
      <c r="AF258" s="42" t="str">
        <f>IF(SUMIFS(Sheet2!$E:$E,Sheet2!$C:$C,$A258,Sheet2!$A:$A,AF$2)&lt;&gt;0,SUMIFS(Sheet2!$E:$E,Sheet2!$C:$C,$A258,Sheet2!$A:$A,AF$2),"")</f>
        <v/>
      </c>
      <c r="AG258" s="42" t="str">
        <f>IF(SUMIFS(Sheet2!$E:$E,Sheet2!$C:$C,$A258,Sheet2!$A:$A,AG$2)&lt;&gt;0,SUMIFS(Sheet2!$E:$E,Sheet2!$C:$C,$A258,Sheet2!$A:$A,AG$2),"")</f>
        <v/>
      </c>
      <c r="AH258" s="43">
        <f>SUM(Table2[[#This Row],[1]:[31]])</f>
        <v>0</v>
      </c>
    </row>
    <row r="259" spans="1:34" ht="12.75" customHeight="1">
      <c r="A259" s="76" t="str">
        <f>DSSP!A258</f>
        <v>VN08</v>
      </c>
      <c r="B259" s="25" t="str">
        <f>DSSP!B258</f>
        <v>Khóa màu</v>
      </c>
      <c r="C259" s="42" t="str">
        <f>IF(SUMIFS(Sheet2!$E:$E,Sheet2!$C:$C,$A259,Sheet2!$A:$A,C$2)&lt;&gt;0,SUMIFS(Sheet2!$E:$E,Sheet2!$C:$C,$A259,Sheet2!$A:$A,C$2),"")</f>
        <v/>
      </c>
      <c r="D259" s="42" t="str">
        <f>IF(SUMIFS(Sheet2!$E:$E,Sheet2!$C:$C,$A259,Sheet2!$A:$A,D$2)&lt;&gt;0,SUMIFS(Sheet2!$E:$E,Sheet2!$C:$C,$A259,Sheet2!$A:$A,D$2),"")</f>
        <v/>
      </c>
      <c r="E259" s="42" t="str">
        <f>IF(SUMIFS(Sheet2!$E:$E,Sheet2!$C:$C,$A259,Sheet2!$A:$A,E$2)&lt;&gt;0,SUMIFS(Sheet2!$E:$E,Sheet2!$C:$C,$A259,Sheet2!$A:$A,E$2),"")</f>
        <v/>
      </c>
      <c r="F259" s="42" t="str">
        <f>IF(SUMIFS(Sheet2!$E:$E,Sheet2!$C:$C,$A259,Sheet2!$A:$A,F$2)&lt;&gt;0,SUMIFS(Sheet2!$E:$E,Sheet2!$C:$C,$A259,Sheet2!$A:$A,F$2),"")</f>
        <v/>
      </c>
      <c r="G259" s="42" t="str">
        <f>IF(SUMIFS(Sheet2!$E:$E,Sheet2!$C:$C,$A259,Sheet2!$A:$A,G$2)&lt;&gt;0,SUMIFS(Sheet2!$E:$E,Sheet2!$C:$C,$A259,Sheet2!$A:$A,G$2),"")</f>
        <v/>
      </c>
      <c r="H259" s="42" t="str">
        <f>IF(SUMIFS(Sheet2!$E:$E,Sheet2!$C:$C,$A259,Sheet2!$A:$A,H$2)&lt;&gt;0,SUMIFS(Sheet2!$E:$E,Sheet2!$C:$C,$A259,Sheet2!$A:$A,H$2),"")</f>
        <v/>
      </c>
      <c r="I259" s="42" t="str">
        <f>IF(SUMIFS(Sheet2!$E:$E,Sheet2!$C:$C,$A259,Sheet2!$A:$A,I$2)&lt;&gt;0,SUMIFS(Sheet2!$E:$E,Sheet2!$C:$C,$A259,Sheet2!$A:$A,I$2),"")</f>
        <v/>
      </c>
      <c r="J259" s="42" t="str">
        <f>IF(SUMIFS(Sheet2!$E:$E,Sheet2!$C:$C,$A259,Sheet2!$A:$A,J$2)&lt;&gt;0,SUMIFS(Sheet2!$E:$E,Sheet2!$C:$C,$A259,Sheet2!$A:$A,J$2),"")</f>
        <v/>
      </c>
      <c r="K259" s="42" t="str">
        <f>IF(SUMIFS(Sheet2!$E:$E,Sheet2!$C:$C,$A259,Sheet2!$A:$A,K$2)&lt;&gt;0,SUMIFS(Sheet2!$E:$E,Sheet2!$C:$C,$A259,Sheet2!$A:$A,K$2),"")</f>
        <v/>
      </c>
      <c r="L259" s="42" t="str">
        <f>IF(SUMIFS(Sheet2!$E:$E,Sheet2!$C:$C,$A259,Sheet2!$A:$A,L$2)&lt;&gt;0,SUMIFS(Sheet2!$E:$E,Sheet2!$C:$C,$A259,Sheet2!$A:$A,L$2),"")</f>
        <v/>
      </c>
      <c r="M259" s="42" t="str">
        <f>IF(SUMIFS(Sheet2!$E:$E,Sheet2!$C:$C,$A259,Sheet2!$A:$A,M$2)&lt;&gt;0,SUMIFS(Sheet2!$E:$E,Sheet2!$C:$C,$A259,Sheet2!$A:$A,M$2),"")</f>
        <v/>
      </c>
      <c r="N259" s="42" t="str">
        <f>IF(SUMIFS(Sheet2!$E:$E,Sheet2!$C:$C,$A259,Sheet2!$A:$A,N$2)&lt;&gt;0,SUMIFS(Sheet2!$E:$E,Sheet2!$C:$C,$A259,Sheet2!$A:$A,N$2),"")</f>
        <v/>
      </c>
      <c r="O259" s="42" t="str">
        <f>IF(SUMIFS(Sheet2!$E:$E,Sheet2!$C:$C,$A259,Sheet2!$A:$A,O$2)&lt;&gt;0,SUMIFS(Sheet2!$E:$E,Sheet2!$C:$C,$A259,Sheet2!$A:$A,O$2),"")</f>
        <v/>
      </c>
      <c r="P259" s="42" t="str">
        <f>IF(SUMIFS(Sheet2!$E:$E,Sheet2!$C:$C,$A259,Sheet2!$A:$A,P$2)&lt;&gt;0,SUMIFS(Sheet2!$E:$E,Sheet2!$C:$C,$A259,Sheet2!$A:$A,P$2),"")</f>
        <v/>
      </c>
      <c r="Q259" s="42" t="str">
        <f>IF(SUMIFS(Sheet2!$E:$E,Sheet2!$C:$C,$A259,Sheet2!$A:$A,Q$2)&lt;&gt;0,SUMIFS(Sheet2!$E:$E,Sheet2!$C:$C,$A259,Sheet2!$A:$A,Q$2),"")</f>
        <v/>
      </c>
      <c r="R259" s="42" t="str">
        <f>IF(SUMIFS(Sheet2!$E:$E,Sheet2!$C:$C,$A259,Sheet2!$A:$A,R$2)&lt;&gt;0,SUMIFS(Sheet2!$E:$E,Sheet2!$C:$C,$A259,Sheet2!$A:$A,R$2),"")</f>
        <v/>
      </c>
      <c r="S259" s="42" t="str">
        <f>IF(SUMIFS(Sheet2!$E:$E,Sheet2!$C:$C,$A259,Sheet2!$A:$A,S$2)&lt;&gt;0,SUMIFS(Sheet2!$E:$E,Sheet2!$C:$C,$A259,Sheet2!$A:$A,S$2),"")</f>
        <v/>
      </c>
      <c r="T259" s="42" t="str">
        <f>IF(SUMIFS(Sheet2!$E:$E,Sheet2!$C:$C,$A259,Sheet2!$A:$A,T$2)&lt;&gt;0,SUMIFS(Sheet2!$E:$E,Sheet2!$C:$C,$A259,Sheet2!$A:$A,T$2),"")</f>
        <v/>
      </c>
      <c r="U259" s="42" t="str">
        <f>IF(SUMIFS(Sheet2!$E:$E,Sheet2!$C:$C,$A259,Sheet2!$A:$A,U$2)&lt;&gt;0,SUMIFS(Sheet2!$E:$E,Sheet2!$C:$C,$A259,Sheet2!$A:$A,U$2),"")</f>
        <v/>
      </c>
      <c r="V259" s="42" t="str">
        <f>IF(SUMIFS(Sheet2!$E:$E,Sheet2!$C:$C,$A259,Sheet2!$A:$A,V$2)&lt;&gt;0,SUMIFS(Sheet2!$E:$E,Sheet2!$C:$C,$A259,Sheet2!$A:$A,V$2),"")</f>
        <v/>
      </c>
      <c r="W259" s="42" t="str">
        <f>IF(SUMIFS(Sheet2!$E:$E,Sheet2!$C:$C,$A259,Sheet2!$A:$A,W$2)&lt;&gt;0,SUMIFS(Sheet2!$E:$E,Sheet2!$C:$C,$A259,Sheet2!$A:$A,W$2),"")</f>
        <v/>
      </c>
      <c r="X259" s="42" t="str">
        <f>IF(SUMIFS(Sheet2!$E:$E,Sheet2!$C:$C,$A259,Sheet2!$A:$A,X$2)&lt;&gt;0,SUMIFS(Sheet2!$E:$E,Sheet2!$C:$C,$A259,Sheet2!$A:$A,X$2),"")</f>
        <v/>
      </c>
      <c r="Y259" s="42" t="str">
        <f>IF(SUMIFS(Sheet2!$E:$E,Sheet2!$C:$C,$A259,Sheet2!$A:$A,Y$2)&lt;&gt;0,SUMIFS(Sheet2!$E:$E,Sheet2!$C:$C,$A259,Sheet2!$A:$A,Y$2),"")</f>
        <v/>
      </c>
      <c r="Z259" s="42" t="str">
        <f>IF(SUMIFS(Sheet2!$E:$E,Sheet2!$C:$C,$A259,Sheet2!$A:$A,Z$2)&lt;&gt;0,SUMIFS(Sheet2!$E:$E,Sheet2!$C:$C,$A259,Sheet2!$A:$A,Z$2),"")</f>
        <v/>
      </c>
      <c r="AA259" s="42" t="str">
        <f>IF(SUMIFS(Sheet2!$E:$E,Sheet2!$C:$C,$A259,Sheet2!$A:$A,AA$2)&lt;&gt;0,SUMIFS(Sheet2!$E:$E,Sheet2!$C:$C,$A259,Sheet2!$A:$A,AA$2),"")</f>
        <v/>
      </c>
      <c r="AB259" s="42" t="str">
        <f>IF(SUMIFS(Sheet2!$E:$E,Sheet2!$C:$C,$A259,Sheet2!$A:$A,AB$2)&lt;&gt;0,SUMIFS(Sheet2!$E:$E,Sheet2!$C:$C,$A259,Sheet2!$A:$A,AB$2),"")</f>
        <v/>
      </c>
      <c r="AC259" s="42" t="str">
        <f>IF(SUMIFS(Sheet2!$E:$E,Sheet2!$C:$C,$A259,Sheet2!$A:$A,AC$2)&lt;&gt;0,SUMIFS(Sheet2!$E:$E,Sheet2!$C:$C,$A259,Sheet2!$A:$A,AC$2),"")</f>
        <v/>
      </c>
      <c r="AD259" s="42" t="str">
        <f>IF(SUMIFS(Sheet2!$E:$E,Sheet2!$C:$C,$A259,Sheet2!$A:$A,AD$2)&lt;&gt;0,SUMIFS(Sheet2!$E:$E,Sheet2!$C:$C,$A259,Sheet2!$A:$A,AD$2),"")</f>
        <v/>
      </c>
      <c r="AE259" s="42" t="str">
        <f>IF(SUMIFS(Sheet2!$E:$E,Sheet2!$C:$C,$A259,Sheet2!$A:$A,AE$2)&lt;&gt;0,SUMIFS(Sheet2!$E:$E,Sheet2!$C:$C,$A259,Sheet2!$A:$A,AE$2),"")</f>
        <v/>
      </c>
      <c r="AF259" s="42" t="str">
        <f>IF(SUMIFS(Sheet2!$E:$E,Sheet2!$C:$C,$A259,Sheet2!$A:$A,AF$2)&lt;&gt;0,SUMIFS(Sheet2!$E:$E,Sheet2!$C:$C,$A259,Sheet2!$A:$A,AF$2),"")</f>
        <v/>
      </c>
      <c r="AG259" s="42" t="str">
        <f>IF(SUMIFS(Sheet2!$E:$E,Sheet2!$C:$C,$A259,Sheet2!$A:$A,AG$2)&lt;&gt;0,SUMIFS(Sheet2!$E:$E,Sheet2!$C:$C,$A259,Sheet2!$A:$A,AG$2),"")</f>
        <v/>
      </c>
      <c r="AH259" s="43">
        <f>SUM(Table2[[#This Row],[1]:[31]])</f>
        <v>0</v>
      </c>
    </row>
    <row r="260" spans="1:34" ht="12.75" customHeight="1">
      <c r="A260" s="76" t="str">
        <f>DSSP!A259</f>
        <v>VN09</v>
      </c>
      <c r="B260" s="25" t="str">
        <f>DSSP!B259</f>
        <v>Khóa 25cm chìm trắng</v>
      </c>
      <c r="C260" s="42" t="str">
        <f>IF(SUMIFS(Sheet2!$E:$E,Sheet2!$C:$C,$A260,Sheet2!$A:$A,C$2)&lt;&gt;0,SUMIFS(Sheet2!$E:$E,Sheet2!$C:$C,$A260,Sheet2!$A:$A,C$2),"")</f>
        <v/>
      </c>
      <c r="D260" s="42" t="str">
        <f>IF(SUMIFS(Sheet2!$E:$E,Sheet2!$C:$C,$A260,Sheet2!$A:$A,D$2)&lt;&gt;0,SUMIFS(Sheet2!$E:$E,Sheet2!$C:$C,$A260,Sheet2!$A:$A,D$2),"")</f>
        <v/>
      </c>
      <c r="E260" s="42" t="str">
        <f>IF(SUMIFS(Sheet2!$E:$E,Sheet2!$C:$C,$A260,Sheet2!$A:$A,E$2)&lt;&gt;0,SUMIFS(Sheet2!$E:$E,Sheet2!$C:$C,$A260,Sheet2!$A:$A,E$2),"")</f>
        <v/>
      </c>
      <c r="F260" s="42" t="str">
        <f>IF(SUMIFS(Sheet2!$E:$E,Sheet2!$C:$C,$A260,Sheet2!$A:$A,F$2)&lt;&gt;0,SUMIFS(Sheet2!$E:$E,Sheet2!$C:$C,$A260,Sheet2!$A:$A,F$2),"")</f>
        <v/>
      </c>
      <c r="G260" s="42" t="str">
        <f>IF(SUMIFS(Sheet2!$E:$E,Sheet2!$C:$C,$A260,Sheet2!$A:$A,G$2)&lt;&gt;0,SUMIFS(Sheet2!$E:$E,Sheet2!$C:$C,$A260,Sheet2!$A:$A,G$2),"")</f>
        <v/>
      </c>
      <c r="H260" s="42" t="str">
        <f>IF(SUMIFS(Sheet2!$E:$E,Sheet2!$C:$C,$A260,Sheet2!$A:$A,H$2)&lt;&gt;0,SUMIFS(Sheet2!$E:$E,Sheet2!$C:$C,$A260,Sheet2!$A:$A,H$2),"")</f>
        <v/>
      </c>
      <c r="I260" s="42" t="str">
        <f>IF(SUMIFS(Sheet2!$E:$E,Sheet2!$C:$C,$A260,Sheet2!$A:$A,I$2)&lt;&gt;0,SUMIFS(Sheet2!$E:$E,Sheet2!$C:$C,$A260,Sheet2!$A:$A,I$2),"")</f>
        <v/>
      </c>
      <c r="J260" s="42" t="str">
        <f>IF(SUMIFS(Sheet2!$E:$E,Sheet2!$C:$C,$A260,Sheet2!$A:$A,J$2)&lt;&gt;0,SUMIFS(Sheet2!$E:$E,Sheet2!$C:$C,$A260,Sheet2!$A:$A,J$2),"")</f>
        <v/>
      </c>
      <c r="K260" s="42" t="str">
        <f>IF(SUMIFS(Sheet2!$E:$E,Sheet2!$C:$C,$A260,Sheet2!$A:$A,K$2)&lt;&gt;0,SUMIFS(Sheet2!$E:$E,Sheet2!$C:$C,$A260,Sheet2!$A:$A,K$2),"")</f>
        <v/>
      </c>
      <c r="L260" s="42" t="str">
        <f>IF(SUMIFS(Sheet2!$E:$E,Sheet2!$C:$C,$A260,Sheet2!$A:$A,L$2)&lt;&gt;0,SUMIFS(Sheet2!$E:$E,Sheet2!$C:$C,$A260,Sheet2!$A:$A,L$2),"")</f>
        <v/>
      </c>
      <c r="M260" s="42" t="str">
        <f>IF(SUMIFS(Sheet2!$E:$E,Sheet2!$C:$C,$A260,Sheet2!$A:$A,M$2)&lt;&gt;0,SUMIFS(Sheet2!$E:$E,Sheet2!$C:$C,$A260,Sheet2!$A:$A,M$2),"")</f>
        <v/>
      </c>
      <c r="N260" s="42" t="str">
        <f>IF(SUMIFS(Sheet2!$E:$E,Sheet2!$C:$C,$A260,Sheet2!$A:$A,N$2)&lt;&gt;0,SUMIFS(Sheet2!$E:$E,Sheet2!$C:$C,$A260,Sheet2!$A:$A,N$2),"")</f>
        <v/>
      </c>
      <c r="O260" s="42" t="str">
        <f>IF(SUMIFS(Sheet2!$E:$E,Sheet2!$C:$C,$A260,Sheet2!$A:$A,O$2)&lt;&gt;0,SUMIFS(Sheet2!$E:$E,Sheet2!$C:$C,$A260,Sheet2!$A:$A,O$2),"")</f>
        <v/>
      </c>
      <c r="P260" s="42" t="str">
        <f>IF(SUMIFS(Sheet2!$E:$E,Sheet2!$C:$C,$A260,Sheet2!$A:$A,P$2)&lt;&gt;0,SUMIFS(Sheet2!$E:$E,Sheet2!$C:$C,$A260,Sheet2!$A:$A,P$2),"")</f>
        <v/>
      </c>
      <c r="Q260" s="42" t="str">
        <f>IF(SUMIFS(Sheet2!$E:$E,Sheet2!$C:$C,$A260,Sheet2!$A:$A,Q$2)&lt;&gt;0,SUMIFS(Sheet2!$E:$E,Sheet2!$C:$C,$A260,Sheet2!$A:$A,Q$2),"")</f>
        <v/>
      </c>
      <c r="R260" s="42" t="str">
        <f>IF(SUMIFS(Sheet2!$E:$E,Sheet2!$C:$C,$A260,Sheet2!$A:$A,R$2)&lt;&gt;0,SUMIFS(Sheet2!$E:$E,Sheet2!$C:$C,$A260,Sheet2!$A:$A,R$2),"")</f>
        <v/>
      </c>
      <c r="S260" s="42" t="str">
        <f>IF(SUMIFS(Sheet2!$E:$E,Sheet2!$C:$C,$A260,Sheet2!$A:$A,S$2)&lt;&gt;0,SUMIFS(Sheet2!$E:$E,Sheet2!$C:$C,$A260,Sheet2!$A:$A,S$2),"")</f>
        <v/>
      </c>
      <c r="T260" s="42" t="str">
        <f>IF(SUMIFS(Sheet2!$E:$E,Sheet2!$C:$C,$A260,Sheet2!$A:$A,T$2)&lt;&gt;0,SUMIFS(Sheet2!$E:$E,Sheet2!$C:$C,$A260,Sheet2!$A:$A,T$2),"")</f>
        <v/>
      </c>
      <c r="U260" s="42" t="str">
        <f>IF(SUMIFS(Sheet2!$E:$E,Sheet2!$C:$C,$A260,Sheet2!$A:$A,U$2)&lt;&gt;0,SUMIFS(Sheet2!$E:$E,Sheet2!$C:$C,$A260,Sheet2!$A:$A,U$2),"")</f>
        <v/>
      </c>
      <c r="V260" s="42" t="str">
        <f>IF(SUMIFS(Sheet2!$E:$E,Sheet2!$C:$C,$A260,Sheet2!$A:$A,V$2)&lt;&gt;0,SUMIFS(Sheet2!$E:$E,Sheet2!$C:$C,$A260,Sheet2!$A:$A,V$2),"")</f>
        <v/>
      </c>
      <c r="W260" s="42" t="str">
        <f>IF(SUMIFS(Sheet2!$E:$E,Sheet2!$C:$C,$A260,Sheet2!$A:$A,W$2)&lt;&gt;0,SUMIFS(Sheet2!$E:$E,Sheet2!$C:$C,$A260,Sheet2!$A:$A,W$2),"")</f>
        <v/>
      </c>
      <c r="X260" s="42" t="str">
        <f>IF(SUMIFS(Sheet2!$E:$E,Sheet2!$C:$C,$A260,Sheet2!$A:$A,X$2)&lt;&gt;0,SUMIFS(Sheet2!$E:$E,Sheet2!$C:$C,$A260,Sheet2!$A:$A,X$2),"")</f>
        <v/>
      </c>
      <c r="Y260" s="42" t="str">
        <f>IF(SUMIFS(Sheet2!$E:$E,Sheet2!$C:$C,$A260,Sheet2!$A:$A,Y$2)&lt;&gt;0,SUMIFS(Sheet2!$E:$E,Sheet2!$C:$C,$A260,Sheet2!$A:$A,Y$2),"")</f>
        <v/>
      </c>
      <c r="Z260" s="42" t="str">
        <f>IF(SUMIFS(Sheet2!$E:$E,Sheet2!$C:$C,$A260,Sheet2!$A:$A,Z$2)&lt;&gt;0,SUMIFS(Sheet2!$E:$E,Sheet2!$C:$C,$A260,Sheet2!$A:$A,Z$2),"")</f>
        <v/>
      </c>
      <c r="AA260" s="42" t="str">
        <f>IF(SUMIFS(Sheet2!$E:$E,Sheet2!$C:$C,$A260,Sheet2!$A:$A,AA$2)&lt;&gt;0,SUMIFS(Sheet2!$E:$E,Sheet2!$C:$C,$A260,Sheet2!$A:$A,AA$2),"")</f>
        <v/>
      </c>
      <c r="AB260" s="42" t="str">
        <f>IF(SUMIFS(Sheet2!$E:$E,Sheet2!$C:$C,$A260,Sheet2!$A:$A,AB$2)&lt;&gt;0,SUMIFS(Sheet2!$E:$E,Sheet2!$C:$C,$A260,Sheet2!$A:$A,AB$2),"")</f>
        <v/>
      </c>
      <c r="AC260" s="42" t="str">
        <f>IF(SUMIFS(Sheet2!$E:$E,Sheet2!$C:$C,$A260,Sheet2!$A:$A,AC$2)&lt;&gt;0,SUMIFS(Sheet2!$E:$E,Sheet2!$C:$C,$A260,Sheet2!$A:$A,AC$2),"")</f>
        <v/>
      </c>
      <c r="AD260" s="42" t="str">
        <f>IF(SUMIFS(Sheet2!$E:$E,Sheet2!$C:$C,$A260,Sheet2!$A:$A,AD$2)&lt;&gt;0,SUMIFS(Sheet2!$E:$E,Sheet2!$C:$C,$A260,Sheet2!$A:$A,AD$2),"")</f>
        <v/>
      </c>
      <c r="AE260" s="42" t="str">
        <f>IF(SUMIFS(Sheet2!$E:$E,Sheet2!$C:$C,$A260,Sheet2!$A:$A,AE$2)&lt;&gt;0,SUMIFS(Sheet2!$E:$E,Sheet2!$C:$C,$A260,Sheet2!$A:$A,AE$2),"")</f>
        <v/>
      </c>
      <c r="AF260" s="42" t="str">
        <f>IF(SUMIFS(Sheet2!$E:$E,Sheet2!$C:$C,$A260,Sheet2!$A:$A,AF$2)&lt;&gt;0,SUMIFS(Sheet2!$E:$E,Sheet2!$C:$C,$A260,Sheet2!$A:$A,AF$2),"")</f>
        <v/>
      </c>
      <c r="AG260" s="42" t="str">
        <f>IF(SUMIFS(Sheet2!$E:$E,Sheet2!$C:$C,$A260,Sheet2!$A:$A,AG$2)&lt;&gt;0,SUMIFS(Sheet2!$E:$E,Sheet2!$C:$C,$A260,Sheet2!$A:$A,AG$2),"")</f>
        <v/>
      </c>
      <c r="AH260" s="43">
        <f>SUM(Table2[[#This Row],[1]:[31]])</f>
        <v>0</v>
      </c>
    </row>
    <row r="261" spans="1:34" ht="12.75" customHeight="1">
      <c r="A261" s="76" t="str">
        <f>DSSP!A260</f>
        <v>VN10</v>
      </c>
      <c r="B261" s="25" t="str">
        <f>DSSP!B260</f>
        <v>Khóa 25cm chìm màu</v>
      </c>
      <c r="C261" s="42" t="str">
        <f>IF(SUMIFS(Sheet2!$E:$E,Sheet2!$C:$C,$A261,Sheet2!$A:$A,C$2)&lt;&gt;0,SUMIFS(Sheet2!$E:$E,Sheet2!$C:$C,$A261,Sheet2!$A:$A,C$2),"")</f>
        <v/>
      </c>
      <c r="D261" s="42" t="str">
        <f>IF(SUMIFS(Sheet2!$E:$E,Sheet2!$C:$C,$A261,Sheet2!$A:$A,D$2)&lt;&gt;0,SUMIFS(Sheet2!$E:$E,Sheet2!$C:$C,$A261,Sheet2!$A:$A,D$2),"")</f>
        <v/>
      </c>
      <c r="E261" s="42" t="str">
        <f>IF(SUMIFS(Sheet2!$E:$E,Sheet2!$C:$C,$A261,Sheet2!$A:$A,E$2)&lt;&gt;0,SUMIFS(Sheet2!$E:$E,Sheet2!$C:$C,$A261,Sheet2!$A:$A,E$2),"")</f>
        <v/>
      </c>
      <c r="F261" s="42" t="str">
        <f>IF(SUMIFS(Sheet2!$E:$E,Sheet2!$C:$C,$A261,Sheet2!$A:$A,F$2)&lt;&gt;0,SUMIFS(Sheet2!$E:$E,Sheet2!$C:$C,$A261,Sheet2!$A:$A,F$2),"")</f>
        <v/>
      </c>
      <c r="G261" s="42" t="str">
        <f>IF(SUMIFS(Sheet2!$E:$E,Sheet2!$C:$C,$A261,Sheet2!$A:$A,G$2)&lt;&gt;0,SUMIFS(Sheet2!$E:$E,Sheet2!$C:$C,$A261,Sheet2!$A:$A,G$2),"")</f>
        <v/>
      </c>
      <c r="H261" s="42" t="str">
        <f>IF(SUMIFS(Sheet2!$E:$E,Sheet2!$C:$C,$A261,Sheet2!$A:$A,H$2)&lt;&gt;0,SUMIFS(Sheet2!$E:$E,Sheet2!$C:$C,$A261,Sheet2!$A:$A,H$2),"")</f>
        <v/>
      </c>
      <c r="I261" s="42" t="str">
        <f>IF(SUMIFS(Sheet2!$E:$E,Sheet2!$C:$C,$A261,Sheet2!$A:$A,I$2)&lt;&gt;0,SUMIFS(Sheet2!$E:$E,Sheet2!$C:$C,$A261,Sheet2!$A:$A,I$2),"")</f>
        <v/>
      </c>
      <c r="J261" s="42" t="str">
        <f>IF(SUMIFS(Sheet2!$E:$E,Sheet2!$C:$C,$A261,Sheet2!$A:$A,J$2)&lt;&gt;0,SUMIFS(Sheet2!$E:$E,Sheet2!$C:$C,$A261,Sheet2!$A:$A,J$2),"")</f>
        <v/>
      </c>
      <c r="K261" s="42" t="str">
        <f>IF(SUMIFS(Sheet2!$E:$E,Sheet2!$C:$C,$A261,Sheet2!$A:$A,K$2)&lt;&gt;0,SUMIFS(Sheet2!$E:$E,Sheet2!$C:$C,$A261,Sheet2!$A:$A,K$2),"")</f>
        <v/>
      </c>
      <c r="L261" s="42" t="str">
        <f>IF(SUMIFS(Sheet2!$E:$E,Sheet2!$C:$C,$A261,Sheet2!$A:$A,L$2)&lt;&gt;0,SUMIFS(Sheet2!$E:$E,Sheet2!$C:$C,$A261,Sheet2!$A:$A,L$2),"")</f>
        <v/>
      </c>
      <c r="M261" s="42" t="str">
        <f>IF(SUMIFS(Sheet2!$E:$E,Sheet2!$C:$C,$A261,Sheet2!$A:$A,M$2)&lt;&gt;0,SUMIFS(Sheet2!$E:$E,Sheet2!$C:$C,$A261,Sheet2!$A:$A,M$2),"")</f>
        <v/>
      </c>
      <c r="N261" s="42" t="str">
        <f>IF(SUMIFS(Sheet2!$E:$E,Sheet2!$C:$C,$A261,Sheet2!$A:$A,N$2)&lt;&gt;0,SUMIFS(Sheet2!$E:$E,Sheet2!$C:$C,$A261,Sheet2!$A:$A,N$2),"")</f>
        <v/>
      </c>
      <c r="O261" s="42" t="str">
        <f>IF(SUMIFS(Sheet2!$E:$E,Sheet2!$C:$C,$A261,Sheet2!$A:$A,O$2)&lt;&gt;0,SUMIFS(Sheet2!$E:$E,Sheet2!$C:$C,$A261,Sheet2!$A:$A,O$2),"")</f>
        <v/>
      </c>
      <c r="P261" s="42" t="str">
        <f>IF(SUMIFS(Sheet2!$E:$E,Sheet2!$C:$C,$A261,Sheet2!$A:$A,P$2)&lt;&gt;0,SUMIFS(Sheet2!$E:$E,Sheet2!$C:$C,$A261,Sheet2!$A:$A,P$2),"")</f>
        <v/>
      </c>
      <c r="Q261" s="42" t="str">
        <f>IF(SUMIFS(Sheet2!$E:$E,Sheet2!$C:$C,$A261,Sheet2!$A:$A,Q$2)&lt;&gt;0,SUMIFS(Sheet2!$E:$E,Sheet2!$C:$C,$A261,Sheet2!$A:$A,Q$2),"")</f>
        <v/>
      </c>
      <c r="R261" s="42" t="str">
        <f>IF(SUMIFS(Sheet2!$E:$E,Sheet2!$C:$C,$A261,Sheet2!$A:$A,R$2)&lt;&gt;0,SUMIFS(Sheet2!$E:$E,Sheet2!$C:$C,$A261,Sheet2!$A:$A,R$2),"")</f>
        <v/>
      </c>
      <c r="S261" s="42" t="str">
        <f>IF(SUMIFS(Sheet2!$E:$E,Sheet2!$C:$C,$A261,Sheet2!$A:$A,S$2)&lt;&gt;0,SUMIFS(Sheet2!$E:$E,Sheet2!$C:$C,$A261,Sheet2!$A:$A,S$2),"")</f>
        <v/>
      </c>
      <c r="T261" s="42" t="str">
        <f>IF(SUMIFS(Sheet2!$E:$E,Sheet2!$C:$C,$A261,Sheet2!$A:$A,T$2)&lt;&gt;0,SUMIFS(Sheet2!$E:$E,Sheet2!$C:$C,$A261,Sheet2!$A:$A,T$2),"")</f>
        <v/>
      </c>
      <c r="U261" s="42" t="str">
        <f>IF(SUMIFS(Sheet2!$E:$E,Sheet2!$C:$C,$A261,Sheet2!$A:$A,U$2)&lt;&gt;0,SUMIFS(Sheet2!$E:$E,Sheet2!$C:$C,$A261,Sheet2!$A:$A,U$2),"")</f>
        <v/>
      </c>
      <c r="V261" s="42" t="str">
        <f>IF(SUMIFS(Sheet2!$E:$E,Sheet2!$C:$C,$A261,Sheet2!$A:$A,V$2)&lt;&gt;0,SUMIFS(Sheet2!$E:$E,Sheet2!$C:$C,$A261,Sheet2!$A:$A,V$2),"")</f>
        <v/>
      </c>
      <c r="W261" s="42" t="str">
        <f>IF(SUMIFS(Sheet2!$E:$E,Sheet2!$C:$C,$A261,Sheet2!$A:$A,W$2)&lt;&gt;0,SUMIFS(Sheet2!$E:$E,Sheet2!$C:$C,$A261,Sheet2!$A:$A,W$2),"")</f>
        <v/>
      </c>
      <c r="X261" s="42" t="str">
        <f>IF(SUMIFS(Sheet2!$E:$E,Sheet2!$C:$C,$A261,Sheet2!$A:$A,X$2)&lt;&gt;0,SUMIFS(Sheet2!$E:$E,Sheet2!$C:$C,$A261,Sheet2!$A:$A,X$2),"")</f>
        <v/>
      </c>
      <c r="Y261" s="42" t="str">
        <f>IF(SUMIFS(Sheet2!$E:$E,Sheet2!$C:$C,$A261,Sheet2!$A:$A,Y$2)&lt;&gt;0,SUMIFS(Sheet2!$E:$E,Sheet2!$C:$C,$A261,Sheet2!$A:$A,Y$2),"")</f>
        <v/>
      </c>
      <c r="Z261" s="42" t="str">
        <f>IF(SUMIFS(Sheet2!$E:$E,Sheet2!$C:$C,$A261,Sheet2!$A:$A,Z$2)&lt;&gt;0,SUMIFS(Sheet2!$E:$E,Sheet2!$C:$C,$A261,Sheet2!$A:$A,Z$2),"")</f>
        <v/>
      </c>
      <c r="AA261" s="42" t="str">
        <f>IF(SUMIFS(Sheet2!$E:$E,Sheet2!$C:$C,$A261,Sheet2!$A:$A,AA$2)&lt;&gt;0,SUMIFS(Sheet2!$E:$E,Sheet2!$C:$C,$A261,Sheet2!$A:$A,AA$2),"")</f>
        <v/>
      </c>
      <c r="AB261" s="42" t="str">
        <f>IF(SUMIFS(Sheet2!$E:$E,Sheet2!$C:$C,$A261,Sheet2!$A:$A,AB$2)&lt;&gt;0,SUMIFS(Sheet2!$E:$E,Sheet2!$C:$C,$A261,Sheet2!$A:$A,AB$2),"")</f>
        <v/>
      </c>
      <c r="AC261" s="42" t="str">
        <f>IF(SUMIFS(Sheet2!$E:$E,Sheet2!$C:$C,$A261,Sheet2!$A:$A,AC$2)&lt;&gt;0,SUMIFS(Sheet2!$E:$E,Sheet2!$C:$C,$A261,Sheet2!$A:$A,AC$2),"")</f>
        <v/>
      </c>
      <c r="AD261" s="42" t="str">
        <f>IF(SUMIFS(Sheet2!$E:$E,Sheet2!$C:$C,$A261,Sheet2!$A:$A,AD$2)&lt;&gt;0,SUMIFS(Sheet2!$E:$E,Sheet2!$C:$C,$A261,Sheet2!$A:$A,AD$2),"")</f>
        <v/>
      </c>
      <c r="AE261" s="42" t="str">
        <f>IF(SUMIFS(Sheet2!$E:$E,Sheet2!$C:$C,$A261,Sheet2!$A:$A,AE$2)&lt;&gt;0,SUMIFS(Sheet2!$E:$E,Sheet2!$C:$C,$A261,Sheet2!$A:$A,AE$2),"")</f>
        <v/>
      </c>
      <c r="AF261" s="42" t="str">
        <f>IF(SUMIFS(Sheet2!$E:$E,Sheet2!$C:$C,$A261,Sheet2!$A:$A,AF$2)&lt;&gt;0,SUMIFS(Sheet2!$E:$E,Sheet2!$C:$C,$A261,Sheet2!$A:$A,AF$2),"")</f>
        <v/>
      </c>
      <c r="AG261" s="42" t="str">
        <f>IF(SUMIFS(Sheet2!$E:$E,Sheet2!$C:$C,$A261,Sheet2!$A:$A,AG$2)&lt;&gt;0,SUMIFS(Sheet2!$E:$E,Sheet2!$C:$C,$A261,Sheet2!$A:$A,AG$2),"")</f>
        <v/>
      </c>
      <c r="AH261" s="43">
        <f>SUM(Table2[[#This Row],[1]:[31]])</f>
        <v>0</v>
      </c>
    </row>
    <row r="262" spans="1:34" ht="12.75" customHeight="1">
      <c r="A262" s="76" t="str">
        <f>DSSP!A261</f>
        <v>VN11</v>
      </c>
      <c r="B262" s="25" t="str">
        <f>DSSP!B261</f>
        <v>Chun 1m</v>
      </c>
      <c r="C262" s="42" t="str">
        <f>IF(SUMIFS(Sheet2!$E:$E,Sheet2!$C:$C,$A262,Sheet2!$A:$A,C$2)&lt;&gt;0,SUMIFS(Sheet2!$E:$E,Sheet2!$C:$C,$A262,Sheet2!$A:$A,C$2),"")</f>
        <v/>
      </c>
      <c r="D262" s="42" t="str">
        <f>IF(SUMIFS(Sheet2!$E:$E,Sheet2!$C:$C,$A262,Sheet2!$A:$A,D$2)&lt;&gt;0,SUMIFS(Sheet2!$E:$E,Sheet2!$C:$C,$A262,Sheet2!$A:$A,D$2),"")</f>
        <v/>
      </c>
      <c r="E262" s="42" t="str">
        <f>IF(SUMIFS(Sheet2!$E:$E,Sheet2!$C:$C,$A262,Sheet2!$A:$A,E$2)&lt;&gt;0,SUMIFS(Sheet2!$E:$E,Sheet2!$C:$C,$A262,Sheet2!$A:$A,E$2),"")</f>
        <v/>
      </c>
      <c r="F262" s="42" t="str">
        <f>IF(SUMIFS(Sheet2!$E:$E,Sheet2!$C:$C,$A262,Sheet2!$A:$A,F$2)&lt;&gt;0,SUMIFS(Sheet2!$E:$E,Sheet2!$C:$C,$A262,Sheet2!$A:$A,F$2),"")</f>
        <v/>
      </c>
      <c r="G262" s="42" t="str">
        <f>IF(SUMIFS(Sheet2!$E:$E,Sheet2!$C:$C,$A262,Sheet2!$A:$A,G$2)&lt;&gt;0,SUMIFS(Sheet2!$E:$E,Sheet2!$C:$C,$A262,Sheet2!$A:$A,G$2),"")</f>
        <v/>
      </c>
      <c r="H262" s="42" t="str">
        <f>IF(SUMIFS(Sheet2!$E:$E,Sheet2!$C:$C,$A262,Sheet2!$A:$A,H$2)&lt;&gt;0,SUMIFS(Sheet2!$E:$E,Sheet2!$C:$C,$A262,Sheet2!$A:$A,H$2),"")</f>
        <v/>
      </c>
      <c r="I262" s="42" t="str">
        <f>IF(SUMIFS(Sheet2!$E:$E,Sheet2!$C:$C,$A262,Sheet2!$A:$A,I$2)&lt;&gt;0,SUMIFS(Sheet2!$E:$E,Sheet2!$C:$C,$A262,Sheet2!$A:$A,I$2),"")</f>
        <v/>
      </c>
      <c r="J262" s="42" t="str">
        <f>IF(SUMIFS(Sheet2!$E:$E,Sheet2!$C:$C,$A262,Sheet2!$A:$A,J$2)&lt;&gt;0,SUMIFS(Sheet2!$E:$E,Sheet2!$C:$C,$A262,Sheet2!$A:$A,J$2),"")</f>
        <v/>
      </c>
      <c r="K262" s="42" t="str">
        <f>IF(SUMIFS(Sheet2!$E:$E,Sheet2!$C:$C,$A262,Sheet2!$A:$A,K$2)&lt;&gt;0,SUMIFS(Sheet2!$E:$E,Sheet2!$C:$C,$A262,Sheet2!$A:$A,K$2),"")</f>
        <v/>
      </c>
      <c r="L262" s="42" t="str">
        <f>IF(SUMIFS(Sheet2!$E:$E,Sheet2!$C:$C,$A262,Sheet2!$A:$A,L$2)&lt;&gt;0,SUMIFS(Sheet2!$E:$E,Sheet2!$C:$C,$A262,Sheet2!$A:$A,L$2),"")</f>
        <v/>
      </c>
      <c r="M262" s="42" t="str">
        <f>IF(SUMIFS(Sheet2!$E:$E,Sheet2!$C:$C,$A262,Sheet2!$A:$A,M$2)&lt;&gt;0,SUMIFS(Sheet2!$E:$E,Sheet2!$C:$C,$A262,Sheet2!$A:$A,M$2),"")</f>
        <v/>
      </c>
      <c r="N262" s="42" t="str">
        <f>IF(SUMIFS(Sheet2!$E:$E,Sheet2!$C:$C,$A262,Sheet2!$A:$A,N$2)&lt;&gt;0,SUMIFS(Sheet2!$E:$E,Sheet2!$C:$C,$A262,Sheet2!$A:$A,N$2),"")</f>
        <v/>
      </c>
      <c r="O262" s="42" t="str">
        <f>IF(SUMIFS(Sheet2!$E:$E,Sheet2!$C:$C,$A262,Sheet2!$A:$A,O$2)&lt;&gt;0,SUMIFS(Sheet2!$E:$E,Sheet2!$C:$C,$A262,Sheet2!$A:$A,O$2),"")</f>
        <v/>
      </c>
      <c r="P262" s="42" t="str">
        <f>IF(SUMIFS(Sheet2!$E:$E,Sheet2!$C:$C,$A262,Sheet2!$A:$A,P$2)&lt;&gt;0,SUMIFS(Sheet2!$E:$E,Sheet2!$C:$C,$A262,Sheet2!$A:$A,P$2),"")</f>
        <v/>
      </c>
      <c r="Q262" s="42" t="str">
        <f>IF(SUMIFS(Sheet2!$E:$E,Sheet2!$C:$C,$A262,Sheet2!$A:$A,Q$2)&lt;&gt;0,SUMIFS(Sheet2!$E:$E,Sheet2!$C:$C,$A262,Sheet2!$A:$A,Q$2),"")</f>
        <v/>
      </c>
      <c r="R262" s="42" t="str">
        <f>IF(SUMIFS(Sheet2!$E:$E,Sheet2!$C:$C,$A262,Sheet2!$A:$A,R$2)&lt;&gt;0,SUMIFS(Sheet2!$E:$E,Sheet2!$C:$C,$A262,Sheet2!$A:$A,R$2),"")</f>
        <v/>
      </c>
      <c r="S262" s="42" t="str">
        <f>IF(SUMIFS(Sheet2!$E:$E,Sheet2!$C:$C,$A262,Sheet2!$A:$A,S$2)&lt;&gt;0,SUMIFS(Sheet2!$E:$E,Sheet2!$C:$C,$A262,Sheet2!$A:$A,S$2),"")</f>
        <v/>
      </c>
      <c r="T262" s="42" t="str">
        <f>IF(SUMIFS(Sheet2!$E:$E,Sheet2!$C:$C,$A262,Sheet2!$A:$A,T$2)&lt;&gt;0,SUMIFS(Sheet2!$E:$E,Sheet2!$C:$C,$A262,Sheet2!$A:$A,T$2),"")</f>
        <v/>
      </c>
      <c r="U262" s="42" t="str">
        <f>IF(SUMIFS(Sheet2!$E:$E,Sheet2!$C:$C,$A262,Sheet2!$A:$A,U$2)&lt;&gt;0,SUMIFS(Sheet2!$E:$E,Sheet2!$C:$C,$A262,Sheet2!$A:$A,U$2),"")</f>
        <v/>
      </c>
      <c r="V262" s="42" t="str">
        <f>IF(SUMIFS(Sheet2!$E:$E,Sheet2!$C:$C,$A262,Sheet2!$A:$A,V$2)&lt;&gt;0,SUMIFS(Sheet2!$E:$E,Sheet2!$C:$C,$A262,Sheet2!$A:$A,V$2),"")</f>
        <v/>
      </c>
      <c r="W262" s="42" t="str">
        <f>IF(SUMIFS(Sheet2!$E:$E,Sheet2!$C:$C,$A262,Sheet2!$A:$A,W$2)&lt;&gt;0,SUMIFS(Sheet2!$E:$E,Sheet2!$C:$C,$A262,Sheet2!$A:$A,W$2),"")</f>
        <v/>
      </c>
      <c r="X262" s="42" t="str">
        <f>IF(SUMIFS(Sheet2!$E:$E,Sheet2!$C:$C,$A262,Sheet2!$A:$A,X$2)&lt;&gt;0,SUMIFS(Sheet2!$E:$E,Sheet2!$C:$C,$A262,Sheet2!$A:$A,X$2),"")</f>
        <v/>
      </c>
      <c r="Y262" s="42" t="str">
        <f>IF(SUMIFS(Sheet2!$E:$E,Sheet2!$C:$C,$A262,Sheet2!$A:$A,Y$2)&lt;&gt;0,SUMIFS(Sheet2!$E:$E,Sheet2!$C:$C,$A262,Sheet2!$A:$A,Y$2),"")</f>
        <v/>
      </c>
      <c r="Z262" s="42" t="str">
        <f>IF(SUMIFS(Sheet2!$E:$E,Sheet2!$C:$C,$A262,Sheet2!$A:$A,Z$2)&lt;&gt;0,SUMIFS(Sheet2!$E:$E,Sheet2!$C:$C,$A262,Sheet2!$A:$A,Z$2),"")</f>
        <v/>
      </c>
      <c r="AA262" s="42" t="str">
        <f>IF(SUMIFS(Sheet2!$E:$E,Sheet2!$C:$C,$A262,Sheet2!$A:$A,AA$2)&lt;&gt;0,SUMIFS(Sheet2!$E:$E,Sheet2!$C:$C,$A262,Sheet2!$A:$A,AA$2),"")</f>
        <v/>
      </c>
      <c r="AB262" s="42" t="str">
        <f>IF(SUMIFS(Sheet2!$E:$E,Sheet2!$C:$C,$A262,Sheet2!$A:$A,AB$2)&lt;&gt;0,SUMIFS(Sheet2!$E:$E,Sheet2!$C:$C,$A262,Sheet2!$A:$A,AB$2),"")</f>
        <v/>
      </c>
      <c r="AC262" s="42" t="str">
        <f>IF(SUMIFS(Sheet2!$E:$E,Sheet2!$C:$C,$A262,Sheet2!$A:$A,AC$2)&lt;&gt;0,SUMIFS(Sheet2!$E:$E,Sheet2!$C:$C,$A262,Sheet2!$A:$A,AC$2),"")</f>
        <v/>
      </c>
      <c r="AD262" s="42" t="str">
        <f>IF(SUMIFS(Sheet2!$E:$E,Sheet2!$C:$C,$A262,Sheet2!$A:$A,AD$2)&lt;&gt;0,SUMIFS(Sheet2!$E:$E,Sheet2!$C:$C,$A262,Sheet2!$A:$A,AD$2),"")</f>
        <v/>
      </c>
      <c r="AE262" s="42" t="str">
        <f>IF(SUMIFS(Sheet2!$E:$E,Sheet2!$C:$C,$A262,Sheet2!$A:$A,AE$2)&lt;&gt;0,SUMIFS(Sheet2!$E:$E,Sheet2!$C:$C,$A262,Sheet2!$A:$A,AE$2),"")</f>
        <v/>
      </c>
      <c r="AF262" s="42" t="str">
        <f>IF(SUMIFS(Sheet2!$E:$E,Sheet2!$C:$C,$A262,Sheet2!$A:$A,AF$2)&lt;&gt;0,SUMIFS(Sheet2!$E:$E,Sheet2!$C:$C,$A262,Sheet2!$A:$A,AF$2),"")</f>
        <v/>
      </c>
      <c r="AG262" s="42" t="str">
        <f>IF(SUMIFS(Sheet2!$E:$E,Sheet2!$C:$C,$A262,Sheet2!$A:$A,AG$2)&lt;&gt;0,SUMIFS(Sheet2!$E:$E,Sheet2!$C:$C,$A262,Sheet2!$A:$A,AG$2),"")</f>
        <v/>
      </c>
      <c r="AH262" s="43">
        <f>SUM(Table2[[#This Row],[1]:[31]])</f>
        <v>0</v>
      </c>
    </row>
    <row r="263" spans="1:34" ht="12.75" customHeight="1">
      <c r="A263" s="76" t="str">
        <f>DSSP!A262</f>
        <v>VN12</v>
      </c>
      <c r="B263" s="25" t="str">
        <f>DSSP!B262</f>
        <v>Vải lót 1m</v>
      </c>
      <c r="C263" s="42" t="str">
        <f>IF(SUMIFS(Sheet2!$E:$E,Sheet2!$C:$C,$A263,Sheet2!$A:$A,C$2)&lt;&gt;0,SUMIFS(Sheet2!$E:$E,Sheet2!$C:$C,$A263,Sheet2!$A:$A,C$2),"")</f>
        <v/>
      </c>
      <c r="D263" s="42" t="str">
        <f>IF(SUMIFS(Sheet2!$E:$E,Sheet2!$C:$C,$A263,Sheet2!$A:$A,D$2)&lt;&gt;0,SUMIFS(Sheet2!$E:$E,Sheet2!$C:$C,$A263,Sheet2!$A:$A,D$2),"")</f>
        <v/>
      </c>
      <c r="E263" s="42" t="str">
        <f>IF(SUMIFS(Sheet2!$E:$E,Sheet2!$C:$C,$A263,Sheet2!$A:$A,E$2)&lt;&gt;0,SUMIFS(Sheet2!$E:$E,Sheet2!$C:$C,$A263,Sheet2!$A:$A,E$2),"")</f>
        <v/>
      </c>
      <c r="F263" s="42" t="str">
        <f>IF(SUMIFS(Sheet2!$E:$E,Sheet2!$C:$C,$A263,Sheet2!$A:$A,F$2)&lt;&gt;0,SUMIFS(Sheet2!$E:$E,Sheet2!$C:$C,$A263,Sheet2!$A:$A,F$2),"")</f>
        <v/>
      </c>
      <c r="G263" s="42" t="str">
        <f>IF(SUMIFS(Sheet2!$E:$E,Sheet2!$C:$C,$A263,Sheet2!$A:$A,G$2)&lt;&gt;0,SUMIFS(Sheet2!$E:$E,Sheet2!$C:$C,$A263,Sheet2!$A:$A,G$2),"")</f>
        <v/>
      </c>
      <c r="H263" s="42" t="str">
        <f>IF(SUMIFS(Sheet2!$E:$E,Sheet2!$C:$C,$A263,Sheet2!$A:$A,H$2)&lt;&gt;0,SUMIFS(Sheet2!$E:$E,Sheet2!$C:$C,$A263,Sheet2!$A:$A,H$2),"")</f>
        <v/>
      </c>
      <c r="I263" s="42" t="str">
        <f>IF(SUMIFS(Sheet2!$E:$E,Sheet2!$C:$C,$A263,Sheet2!$A:$A,I$2)&lt;&gt;0,SUMIFS(Sheet2!$E:$E,Sheet2!$C:$C,$A263,Sheet2!$A:$A,I$2),"")</f>
        <v/>
      </c>
      <c r="J263" s="42" t="str">
        <f>IF(SUMIFS(Sheet2!$E:$E,Sheet2!$C:$C,$A263,Sheet2!$A:$A,J$2)&lt;&gt;0,SUMIFS(Sheet2!$E:$E,Sheet2!$C:$C,$A263,Sheet2!$A:$A,J$2),"")</f>
        <v/>
      </c>
      <c r="K263" s="42" t="str">
        <f>IF(SUMIFS(Sheet2!$E:$E,Sheet2!$C:$C,$A263,Sheet2!$A:$A,K$2)&lt;&gt;0,SUMIFS(Sheet2!$E:$E,Sheet2!$C:$C,$A263,Sheet2!$A:$A,K$2),"")</f>
        <v/>
      </c>
      <c r="L263" s="42" t="str">
        <f>IF(SUMIFS(Sheet2!$E:$E,Sheet2!$C:$C,$A263,Sheet2!$A:$A,L$2)&lt;&gt;0,SUMIFS(Sheet2!$E:$E,Sheet2!$C:$C,$A263,Sheet2!$A:$A,L$2),"")</f>
        <v/>
      </c>
      <c r="M263" s="42" t="str">
        <f>IF(SUMIFS(Sheet2!$E:$E,Sheet2!$C:$C,$A263,Sheet2!$A:$A,M$2)&lt;&gt;0,SUMIFS(Sheet2!$E:$E,Sheet2!$C:$C,$A263,Sheet2!$A:$A,M$2),"")</f>
        <v/>
      </c>
      <c r="N263" s="42" t="str">
        <f>IF(SUMIFS(Sheet2!$E:$E,Sheet2!$C:$C,$A263,Sheet2!$A:$A,N$2)&lt;&gt;0,SUMIFS(Sheet2!$E:$E,Sheet2!$C:$C,$A263,Sheet2!$A:$A,N$2),"")</f>
        <v/>
      </c>
      <c r="O263" s="42" t="str">
        <f>IF(SUMIFS(Sheet2!$E:$E,Sheet2!$C:$C,$A263,Sheet2!$A:$A,O$2)&lt;&gt;0,SUMIFS(Sheet2!$E:$E,Sheet2!$C:$C,$A263,Sheet2!$A:$A,O$2),"")</f>
        <v/>
      </c>
      <c r="P263" s="42" t="str">
        <f>IF(SUMIFS(Sheet2!$E:$E,Sheet2!$C:$C,$A263,Sheet2!$A:$A,P$2)&lt;&gt;0,SUMIFS(Sheet2!$E:$E,Sheet2!$C:$C,$A263,Sheet2!$A:$A,P$2),"")</f>
        <v/>
      </c>
      <c r="Q263" s="42" t="str">
        <f>IF(SUMIFS(Sheet2!$E:$E,Sheet2!$C:$C,$A263,Sheet2!$A:$A,Q$2)&lt;&gt;0,SUMIFS(Sheet2!$E:$E,Sheet2!$C:$C,$A263,Sheet2!$A:$A,Q$2),"")</f>
        <v/>
      </c>
      <c r="R263" s="42" t="str">
        <f>IF(SUMIFS(Sheet2!$E:$E,Sheet2!$C:$C,$A263,Sheet2!$A:$A,R$2)&lt;&gt;0,SUMIFS(Sheet2!$E:$E,Sheet2!$C:$C,$A263,Sheet2!$A:$A,R$2),"")</f>
        <v/>
      </c>
      <c r="S263" s="42" t="str">
        <f>IF(SUMIFS(Sheet2!$E:$E,Sheet2!$C:$C,$A263,Sheet2!$A:$A,S$2)&lt;&gt;0,SUMIFS(Sheet2!$E:$E,Sheet2!$C:$C,$A263,Sheet2!$A:$A,S$2),"")</f>
        <v/>
      </c>
      <c r="T263" s="42" t="str">
        <f>IF(SUMIFS(Sheet2!$E:$E,Sheet2!$C:$C,$A263,Sheet2!$A:$A,T$2)&lt;&gt;0,SUMIFS(Sheet2!$E:$E,Sheet2!$C:$C,$A263,Sheet2!$A:$A,T$2),"")</f>
        <v/>
      </c>
      <c r="U263" s="42" t="str">
        <f>IF(SUMIFS(Sheet2!$E:$E,Sheet2!$C:$C,$A263,Sheet2!$A:$A,U$2)&lt;&gt;0,SUMIFS(Sheet2!$E:$E,Sheet2!$C:$C,$A263,Sheet2!$A:$A,U$2),"")</f>
        <v/>
      </c>
      <c r="V263" s="42" t="str">
        <f>IF(SUMIFS(Sheet2!$E:$E,Sheet2!$C:$C,$A263,Sheet2!$A:$A,V$2)&lt;&gt;0,SUMIFS(Sheet2!$E:$E,Sheet2!$C:$C,$A263,Sheet2!$A:$A,V$2),"")</f>
        <v/>
      </c>
      <c r="W263" s="42" t="str">
        <f>IF(SUMIFS(Sheet2!$E:$E,Sheet2!$C:$C,$A263,Sheet2!$A:$A,W$2)&lt;&gt;0,SUMIFS(Sheet2!$E:$E,Sheet2!$C:$C,$A263,Sheet2!$A:$A,W$2),"")</f>
        <v/>
      </c>
      <c r="X263" s="42" t="str">
        <f>IF(SUMIFS(Sheet2!$E:$E,Sheet2!$C:$C,$A263,Sheet2!$A:$A,X$2)&lt;&gt;0,SUMIFS(Sheet2!$E:$E,Sheet2!$C:$C,$A263,Sheet2!$A:$A,X$2),"")</f>
        <v/>
      </c>
      <c r="Y263" s="42" t="str">
        <f>IF(SUMIFS(Sheet2!$E:$E,Sheet2!$C:$C,$A263,Sheet2!$A:$A,Y$2)&lt;&gt;0,SUMIFS(Sheet2!$E:$E,Sheet2!$C:$C,$A263,Sheet2!$A:$A,Y$2),"")</f>
        <v/>
      </c>
      <c r="Z263" s="42" t="str">
        <f>IF(SUMIFS(Sheet2!$E:$E,Sheet2!$C:$C,$A263,Sheet2!$A:$A,Z$2)&lt;&gt;0,SUMIFS(Sheet2!$E:$E,Sheet2!$C:$C,$A263,Sheet2!$A:$A,Z$2),"")</f>
        <v/>
      </c>
      <c r="AA263" s="42" t="str">
        <f>IF(SUMIFS(Sheet2!$E:$E,Sheet2!$C:$C,$A263,Sheet2!$A:$A,AA$2)&lt;&gt;0,SUMIFS(Sheet2!$E:$E,Sheet2!$C:$C,$A263,Sheet2!$A:$A,AA$2),"")</f>
        <v/>
      </c>
      <c r="AB263" s="42" t="str">
        <f>IF(SUMIFS(Sheet2!$E:$E,Sheet2!$C:$C,$A263,Sheet2!$A:$A,AB$2)&lt;&gt;0,SUMIFS(Sheet2!$E:$E,Sheet2!$C:$C,$A263,Sheet2!$A:$A,AB$2),"")</f>
        <v/>
      </c>
      <c r="AC263" s="42" t="str">
        <f>IF(SUMIFS(Sheet2!$E:$E,Sheet2!$C:$C,$A263,Sheet2!$A:$A,AC$2)&lt;&gt;0,SUMIFS(Sheet2!$E:$E,Sheet2!$C:$C,$A263,Sheet2!$A:$A,AC$2),"")</f>
        <v/>
      </c>
      <c r="AD263" s="42" t="str">
        <f>IF(SUMIFS(Sheet2!$E:$E,Sheet2!$C:$C,$A263,Sheet2!$A:$A,AD$2)&lt;&gt;0,SUMIFS(Sheet2!$E:$E,Sheet2!$C:$C,$A263,Sheet2!$A:$A,AD$2),"")</f>
        <v/>
      </c>
      <c r="AE263" s="42" t="str">
        <f>IF(SUMIFS(Sheet2!$E:$E,Sheet2!$C:$C,$A263,Sheet2!$A:$A,AE$2)&lt;&gt;0,SUMIFS(Sheet2!$E:$E,Sheet2!$C:$C,$A263,Sheet2!$A:$A,AE$2),"")</f>
        <v/>
      </c>
      <c r="AF263" s="42" t="str">
        <f>IF(SUMIFS(Sheet2!$E:$E,Sheet2!$C:$C,$A263,Sheet2!$A:$A,AF$2)&lt;&gt;0,SUMIFS(Sheet2!$E:$E,Sheet2!$C:$C,$A263,Sheet2!$A:$A,AF$2),"")</f>
        <v/>
      </c>
      <c r="AG263" s="42" t="str">
        <f>IF(SUMIFS(Sheet2!$E:$E,Sheet2!$C:$C,$A263,Sheet2!$A:$A,AG$2)&lt;&gt;0,SUMIFS(Sheet2!$E:$E,Sheet2!$C:$C,$A263,Sheet2!$A:$A,AG$2),"")</f>
        <v/>
      </c>
      <c r="AH263" s="43">
        <f>SUM(Table2[[#This Row],[1]:[31]])</f>
        <v>0</v>
      </c>
    </row>
    <row r="264" spans="1:34" ht="12.75" customHeight="1">
      <c r="A264" s="76" t="str">
        <f>DSSP!A263</f>
        <v>VN13</v>
      </c>
      <c r="B264" s="25" t="str">
        <f>DSSP!B263</f>
        <v>Vải lót 0.5m</v>
      </c>
      <c r="C264" s="42" t="str">
        <f>IF(SUMIFS(Sheet2!$E:$E,Sheet2!$C:$C,$A264,Sheet2!$A:$A,C$2)&lt;&gt;0,SUMIFS(Sheet2!$E:$E,Sheet2!$C:$C,$A264,Sheet2!$A:$A,C$2),"")</f>
        <v/>
      </c>
      <c r="D264" s="42" t="str">
        <f>IF(SUMIFS(Sheet2!$E:$E,Sheet2!$C:$C,$A264,Sheet2!$A:$A,D$2)&lt;&gt;0,SUMIFS(Sheet2!$E:$E,Sheet2!$C:$C,$A264,Sheet2!$A:$A,D$2),"")</f>
        <v/>
      </c>
      <c r="E264" s="42" t="str">
        <f>IF(SUMIFS(Sheet2!$E:$E,Sheet2!$C:$C,$A264,Sheet2!$A:$A,E$2)&lt;&gt;0,SUMIFS(Sheet2!$E:$E,Sheet2!$C:$C,$A264,Sheet2!$A:$A,E$2),"")</f>
        <v/>
      </c>
      <c r="F264" s="42" t="str">
        <f>IF(SUMIFS(Sheet2!$E:$E,Sheet2!$C:$C,$A264,Sheet2!$A:$A,F$2)&lt;&gt;0,SUMIFS(Sheet2!$E:$E,Sheet2!$C:$C,$A264,Sheet2!$A:$A,F$2),"")</f>
        <v/>
      </c>
      <c r="G264" s="42" t="str">
        <f>IF(SUMIFS(Sheet2!$E:$E,Sheet2!$C:$C,$A264,Sheet2!$A:$A,G$2)&lt;&gt;0,SUMIFS(Sheet2!$E:$E,Sheet2!$C:$C,$A264,Sheet2!$A:$A,G$2),"")</f>
        <v/>
      </c>
      <c r="H264" s="42" t="str">
        <f>IF(SUMIFS(Sheet2!$E:$E,Sheet2!$C:$C,$A264,Sheet2!$A:$A,H$2)&lt;&gt;0,SUMIFS(Sheet2!$E:$E,Sheet2!$C:$C,$A264,Sheet2!$A:$A,H$2),"")</f>
        <v/>
      </c>
      <c r="I264" s="42" t="str">
        <f>IF(SUMIFS(Sheet2!$E:$E,Sheet2!$C:$C,$A264,Sheet2!$A:$A,I$2)&lt;&gt;0,SUMIFS(Sheet2!$E:$E,Sheet2!$C:$C,$A264,Sheet2!$A:$A,I$2),"")</f>
        <v/>
      </c>
      <c r="J264" s="42" t="str">
        <f>IF(SUMIFS(Sheet2!$E:$E,Sheet2!$C:$C,$A264,Sheet2!$A:$A,J$2)&lt;&gt;0,SUMIFS(Sheet2!$E:$E,Sheet2!$C:$C,$A264,Sheet2!$A:$A,J$2),"")</f>
        <v/>
      </c>
      <c r="K264" s="42" t="str">
        <f>IF(SUMIFS(Sheet2!$E:$E,Sheet2!$C:$C,$A264,Sheet2!$A:$A,K$2)&lt;&gt;0,SUMIFS(Sheet2!$E:$E,Sheet2!$C:$C,$A264,Sheet2!$A:$A,K$2),"")</f>
        <v/>
      </c>
      <c r="L264" s="42" t="str">
        <f>IF(SUMIFS(Sheet2!$E:$E,Sheet2!$C:$C,$A264,Sheet2!$A:$A,L$2)&lt;&gt;0,SUMIFS(Sheet2!$E:$E,Sheet2!$C:$C,$A264,Sheet2!$A:$A,L$2),"")</f>
        <v/>
      </c>
      <c r="M264" s="42" t="str">
        <f>IF(SUMIFS(Sheet2!$E:$E,Sheet2!$C:$C,$A264,Sheet2!$A:$A,M$2)&lt;&gt;0,SUMIFS(Sheet2!$E:$E,Sheet2!$C:$C,$A264,Sheet2!$A:$A,M$2),"")</f>
        <v/>
      </c>
      <c r="N264" s="42" t="str">
        <f>IF(SUMIFS(Sheet2!$E:$E,Sheet2!$C:$C,$A264,Sheet2!$A:$A,N$2)&lt;&gt;0,SUMIFS(Sheet2!$E:$E,Sheet2!$C:$C,$A264,Sheet2!$A:$A,N$2),"")</f>
        <v/>
      </c>
      <c r="O264" s="42" t="str">
        <f>IF(SUMIFS(Sheet2!$E:$E,Sheet2!$C:$C,$A264,Sheet2!$A:$A,O$2)&lt;&gt;0,SUMIFS(Sheet2!$E:$E,Sheet2!$C:$C,$A264,Sheet2!$A:$A,O$2),"")</f>
        <v/>
      </c>
      <c r="P264" s="42" t="str">
        <f>IF(SUMIFS(Sheet2!$E:$E,Sheet2!$C:$C,$A264,Sheet2!$A:$A,P$2)&lt;&gt;0,SUMIFS(Sheet2!$E:$E,Sheet2!$C:$C,$A264,Sheet2!$A:$A,P$2),"")</f>
        <v/>
      </c>
      <c r="Q264" s="42" t="str">
        <f>IF(SUMIFS(Sheet2!$E:$E,Sheet2!$C:$C,$A264,Sheet2!$A:$A,Q$2)&lt;&gt;0,SUMIFS(Sheet2!$E:$E,Sheet2!$C:$C,$A264,Sheet2!$A:$A,Q$2),"")</f>
        <v/>
      </c>
      <c r="R264" s="42" t="str">
        <f>IF(SUMIFS(Sheet2!$E:$E,Sheet2!$C:$C,$A264,Sheet2!$A:$A,R$2)&lt;&gt;0,SUMIFS(Sheet2!$E:$E,Sheet2!$C:$C,$A264,Sheet2!$A:$A,R$2),"")</f>
        <v/>
      </c>
      <c r="S264" s="42" t="str">
        <f>IF(SUMIFS(Sheet2!$E:$E,Sheet2!$C:$C,$A264,Sheet2!$A:$A,S$2)&lt;&gt;0,SUMIFS(Sheet2!$E:$E,Sheet2!$C:$C,$A264,Sheet2!$A:$A,S$2),"")</f>
        <v/>
      </c>
      <c r="T264" s="42" t="str">
        <f>IF(SUMIFS(Sheet2!$E:$E,Sheet2!$C:$C,$A264,Sheet2!$A:$A,T$2)&lt;&gt;0,SUMIFS(Sheet2!$E:$E,Sheet2!$C:$C,$A264,Sheet2!$A:$A,T$2),"")</f>
        <v/>
      </c>
      <c r="U264" s="42" t="str">
        <f>IF(SUMIFS(Sheet2!$E:$E,Sheet2!$C:$C,$A264,Sheet2!$A:$A,U$2)&lt;&gt;0,SUMIFS(Sheet2!$E:$E,Sheet2!$C:$C,$A264,Sheet2!$A:$A,U$2),"")</f>
        <v/>
      </c>
      <c r="V264" s="42" t="str">
        <f>IF(SUMIFS(Sheet2!$E:$E,Sheet2!$C:$C,$A264,Sheet2!$A:$A,V$2)&lt;&gt;0,SUMIFS(Sheet2!$E:$E,Sheet2!$C:$C,$A264,Sheet2!$A:$A,V$2),"")</f>
        <v/>
      </c>
      <c r="W264" s="42" t="str">
        <f>IF(SUMIFS(Sheet2!$E:$E,Sheet2!$C:$C,$A264,Sheet2!$A:$A,W$2)&lt;&gt;0,SUMIFS(Sheet2!$E:$E,Sheet2!$C:$C,$A264,Sheet2!$A:$A,W$2),"")</f>
        <v/>
      </c>
      <c r="X264" s="42" t="str">
        <f>IF(SUMIFS(Sheet2!$E:$E,Sheet2!$C:$C,$A264,Sheet2!$A:$A,X$2)&lt;&gt;0,SUMIFS(Sheet2!$E:$E,Sheet2!$C:$C,$A264,Sheet2!$A:$A,X$2),"")</f>
        <v/>
      </c>
      <c r="Y264" s="42" t="str">
        <f>IF(SUMIFS(Sheet2!$E:$E,Sheet2!$C:$C,$A264,Sheet2!$A:$A,Y$2)&lt;&gt;0,SUMIFS(Sheet2!$E:$E,Sheet2!$C:$C,$A264,Sheet2!$A:$A,Y$2),"")</f>
        <v/>
      </c>
      <c r="Z264" s="42" t="str">
        <f>IF(SUMIFS(Sheet2!$E:$E,Sheet2!$C:$C,$A264,Sheet2!$A:$A,Z$2)&lt;&gt;0,SUMIFS(Sheet2!$E:$E,Sheet2!$C:$C,$A264,Sheet2!$A:$A,Z$2),"")</f>
        <v/>
      </c>
      <c r="AA264" s="42" t="str">
        <f>IF(SUMIFS(Sheet2!$E:$E,Sheet2!$C:$C,$A264,Sheet2!$A:$A,AA$2)&lt;&gt;0,SUMIFS(Sheet2!$E:$E,Sheet2!$C:$C,$A264,Sheet2!$A:$A,AA$2),"")</f>
        <v/>
      </c>
      <c r="AB264" s="42" t="str">
        <f>IF(SUMIFS(Sheet2!$E:$E,Sheet2!$C:$C,$A264,Sheet2!$A:$A,AB$2)&lt;&gt;0,SUMIFS(Sheet2!$E:$E,Sheet2!$C:$C,$A264,Sheet2!$A:$A,AB$2),"")</f>
        <v/>
      </c>
      <c r="AC264" s="42" t="str">
        <f>IF(SUMIFS(Sheet2!$E:$E,Sheet2!$C:$C,$A264,Sheet2!$A:$A,AC$2)&lt;&gt;0,SUMIFS(Sheet2!$E:$E,Sheet2!$C:$C,$A264,Sheet2!$A:$A,AC$2),"")</f>
        <v/>
      </c>
      <c r="AD264" s="42" t="str">
        <f>IF(SUMIFS(Sheet2!$E:$E,Sheet2!$C:$C,$A264,Sheet2!$A:$A,AD$2)&lt;&gt;0,SUMIFS(Sheet2!$E:$E,Sheet2!$C:$C,$A264,Sheet2!$A:$A,AD$2),"")</f>
        <v/>
      </c>
      <c r="AE264" s="42" t="str">
        <f>IF(SUMIFS(Sheet2!$E:$E,Sheet2!$C:$C,$A264,Sheet2!$A:$A,AE$2)&lt;&gt;0,SUMIFS(Sheet2!$E:$E,Sheet2!$C:$C,$A264,Sheet2!$A:$A,AE$2),"")</f>
        <v/>
      </c>
      <c r="AF264" s="42" t="str">
        <f>IF(SUMIFS(Sheet2!$E:$E,Sheet2!$C:$C,$A264,Sheet2!$A:$A,AF$2)&lt;&gt;0,SUMIFS(Sheet2!$E:$E,Sheet2!$C:$C,$A264,Sheet2!$A:$A,AF$2),"")</f>
        <v/>
      </c>
      <c r="AG264" s="42" t="str">
        <f>IF(SUMIFS(Sheet2!$E:$E,Sheet2!$C:$C,$A264,Sheet2!$A:$A,AG$2)&lt;&gt;0,SUMIFS(Sheet2!$E:$E,Sheet2!$C:$C,$A264,Sheet2!$A:$A,AG$2),"")</f>
        <v/>
      </c>
      <c r="AH264" s="43">
        <f>SUM(Table2[[#This Row],[1]:[31]])</f>
        <v>0</v>
      </c>
    </row>
    <row r="265" spans="1:34" ht="12.75" customHeight="1">
      <c r="A265" s="76" t="str">
        <f>DSSP!A264</f>
        <v>CB01</v>
      </c>
      <c r="B265" s="25" t="str">
        <f>DSSP!B264</f>
        <v>20' basic</v>
      </c>
      <c r="C265" s="42" t="str">
        <f>IF(SUMIFS(Sheet2!$E:$E,Sheet2!$C:$C,$A265,Sheet2!$A:$A,C$2)&lt;&gt;0,SUMIFS(Sheet2!$E:$E,Sheet2!$C:$C,$A265,Sheet2!$A:$A,C$2),"")</f>
        <v/>
      </c>
      <c r="D265" s="42" t="str">
        <f>IF(SUMIFS(Sheet2!$E:$E,Sheet2!$C:$C,$A265,Sheet2!$A:$A,D$2)&lt;&gt;0,SUMIFS(Sheet2!$E:$E,Sheet2!$C:$C,$A265,Sheet2!$A:$A,D$2),"")</f>
        <v/>
      </c>
      <c r="E265" s="42" t="str">
        <f>IF(SUMIFS(Sheet2!$E:$E,Sheet2!$C:$C,$A265,Sheet2!$A:$A,E$2)&lt;&gt;0,SUMIFS(Sheet2!$E:$E,Sheet2!$C:$C,$A265,Sheet2!$A:$A,E$2),"")</f>
        <v/>
      </c>
      <c r="F265" s="42" t="str">
        <f>IF(SUMIFS(Sheet2!$E:$E,Sheet2!$C:$C,$A265,Sheet2!$A:$A,F$2)&lt;&gt;0,SUMIFS(Sheet2!$E:$E,Sheet2!$C:$C,$A265,Sheet2!$A:$A,F$2),"")</f>
        <v/>
      </c>
      <c r="G265" s="42" t="str">
        <f>IF(SUMIFS(Sheet2!$E:$E,Sheet2!$C:$C,$A265,Sheet2!$A:$A,G$2)&lt;&gt;0,SUMIFS(Sheet2!$E:$E,Sheet2!$C:$C,$A265,Sheet2!$A:$A,G$2),"")</f>
        <v/>
      </c>
      <c r="H265" s="42" t="str">
        <f>IF(SUMIFS(Sheet2!$E:$E,Sheet2!$C:$C,$A265,Sheet2!$A:$A,H$2)&lt;&gt;0,SUMIFS(Sheet2!$E:$E,Sheet2!$C:$C,$A265,Sheet2!$A:$A,H$2),"")</f>
        <v/>
      </c>
      <c r="I265" s="42" t="str">
        <f>IF(SUMIFS(Sheet2!$E:$E,Sheet2!$C:$C,$A265,Sheet2!$A:$A,I$2)&lt;&gt;0,SUMIFS(Sheet2!$E:$E,Sheet2!$C:$C,$A265,Sheet2!$A:$A,I$2),"")</f>
        <v/>
      </c>
      <c r="J265" s="42" t="str">
        <f>IF(SUMIFS(Sheet2!$E:$E,Sheet2!$C:$C,$A265,Sheet2!$A:$A,J$2)&lt;&gt;0,SUMIFS(Sheet2!$E:$E,Sheet2!$C:$C,$A265,Sheet2!$A:$A,J$2),"")</f>
        <v/>
      </c>
      <c r="K265" s="42" t="str">
        <f>IF(SUMIFS(Sheet2!$E:$E,Sheet2!$C:$C,$A265,Sheet2!$A:$A,K$2)&lt;&gt;0,SUMIFS(Sheet2!$E:$E,Sheet2!$C:$C,$A265,Sheet2!$A:$A,K$2),"")</f>
        <v/>
      </c>
      <c r="L265" s="42" t="str">
        <f>IF(SUMIFS(Sheet2!$E:$E,Sheet2!$C:$C,$A265,Sheet2!$A:$A,L$2)&lt;&gt;0,SUMIFS(Sheet2!$E:$E,Sheet2!$C:$C,$A265,Sheet2!$A:$A,L$2),"")</f>
        <v/>
      </c>
      <c r="M265" s="42" t="str">
        <f>IF(SUMIFS(Sheet2!$E:$E,Sheet2!$C:$C,$A265,Sheet2!$A:$A,M$2)&lt;&gt;0,SUMIFS(Sheet2!$E:$E,Sheet2!$C:$C,$A265,Sheet2!$A:$A,M$2),"")</f>
        <v/>
      </c>
      <c r="N265" s="42" t="str">
        <f>IF(SUMIFS(Sheet2!$E:$E,Sheet2!$C:$C,$A265,Sheet2!$A:$A,N$2)&lt;&gt;0,SUMIFS(Sheet2!$E:$E,Sheet2!$C:$C,$A265,Sheet2!$A:$A,N$2),"")</f>
        <v/>
      </c>
      <c r="O265" s="42" t="str">
        <f>IF(SUMIFS(Sheet2!$E:$E,Sheet2!$C:$C,$A265,Sheet2!$A:$A,O$2)&lt;&gt;0,SUMIFS(Sheet2!$E:$E,Sheet2!$C:$C,$A265,Sheet2!$A:$A,O$2),"")</f>
        <v/>
      </c>
      <c r="P265" s="42" t="str">
        <f>IF(SUMIFS(Sheet2!$E:$E,Sheet2!$C:$C,$A265,Sheet2!$A:$A,P$2)&lt;&gt;0,SUMIFS(Sheet2!$E:$E,Sheet2!$C:$C,$A265,Sheet2!$A:$A,P$2),"")</f>
        <v/>
      </c>
      <c r="Q265" s="42" t="str">
        <f>IF(SUMIFS(Sheet2!$E:$E,Sheet2!$C:$C,$A265,Sheet2!$A:$A,Q$2)&lt;&gt;0,SUMIFS(Sheet2!$E:$E,Sheet2!$C:$C,$A265,Sheet2!$A:$A,Q$2),"")</f>
        <v/>
      </c>
      <c r="R265" s="42" t="str">
        <f>IF(SUMIFS(Sheet2!$E:$E,Sheet2!$C:$C,$A265,Sheet2!$A:$A,R$2)&lt;&gt;0,SUMIFS(Sheet2!$E:$E,Sheet2!$C:$C,$A265,Sheet2!$A:$A,R$2),"")</f>
        <v/>
      </c>
      <c r="S265" s="42" t="str">
        <f>IF(SUMIFS(Sheet2!$E:$E,Sheet2!$C:$C,$A265,Sheet2!$A:$A,S$2)&lt;&gt;0,SUMIFS(Sheet2!$E:$E,Sheet2!$C:$C,$A265,Sheet2!$A:$A,S$2),"")</f>
        <v/>
      </c>
      <c r="T265" s="42" t="str">
        <f>IF(SUMIFS(Sheet2!$E:$E,Sheet2!$C:$C,$A265,Sheet2!$A:$A,T$2)&lt;&gt;0,SUMIFS(Sheet2!$E:$E,Sheet2!$C:$C,$A265,Sheet2!$A:$A,T$2),"")</f>
        <v/>
      </c>
      <c r="U265" s="42" t="str">
        <f>IF(SUMIFS(Sheet2!$E:$E,Sheet2!$C:$C,$A265,Sheet2!$A:$A,U$2)&lt;&gt;0,SUMIFS(Sheet2!$E:$E,Sheet2!$C:$C,$A265,Sheet2!$A:$A,U$2),"")</f>
        <v/>
      </c>
      <c r="V265" s="42" t="str">
        <f>IF(SUMIFS(Sheet2!$E:$E,Sheet2!$C:$C,$A265,Sheet2!$A:$A,V$2)&lt;&gt;0,SUMIFS(Sheet2!$E:$E,Sheet2!$C:$C,$A265,Sheet2!$A:$A,V$2),"")</f>
        <v/>
      </c>
      <c r="W265" s="42" t="str">
        <f>IF(SUMIFS(Sheet2!$E:$E,Sheet2!$C:$C,$A265,Sheet2!$A:$A,W$2)&lt;&gt;0,SUMIFS(Sheet2!$E:$E,Sheet2!$C:$C,$A265,Sheet2!$A:$A,W$2),"")</f>
        <v/>
      </c>
      <c r="X265" s="42" t="str">
        <f>IF(SUMIFS(Sheet2!$E:$E,Sheet2!$C:$C,$A265,Sheet2!$A:$A,X$2)&lt;&gt;0,SUMIFS(Sheet2!$E:$E,Sheet2!$C:$C,$A265,Sheet2!$A:$A,X$2),"")</f>
        <v/>
      </c>
      <c r="Y265" s="42" t="str">
        <f>IF(SUMIFS(Sheet2!$E:$E,Sheet2!$C:$C,$A265,Sheet2!$A:$A,Y$2)&lt;&gt;0,SUMIFS(Sheet2!$E:$E,Sheet2!$C:$C,$A265,Sheet2!$A:$A,Y$2),"")</f>
        <v/>
      </c>
      <c r="Z265" s="42" t="str">
        <f>IF(SUMIFS(Sheet2!$E:$E,Sheet2!$C:$C,$A265,Sheet2!$A:$A,Z$2)&lt;&gt;0,SUMIFS(Sheet2!$E:$E,Sheet2!$C:$C,$A265,Sheet2!$A:$A,Z$2),"")</f>
        <v/>
      </c>
      <c r="AA265" s="42" t="str">
        <f>IF(SUMIFS(Sheet2!$E:$E,Sheet2!$C:$C,$A265,Sheet2!$A:$A,AA$2)&lt;&gt;0,SUMIFS(Sheet2!$E:$E,Sheet2!$C:$C,$A265,Sheet2!$A:$A,AA$2),"")</f>
        <v/>
      </c>
      <c r="AB265" s="42" t="str">
        <f>IF(SUMIFS(Sheet2!$E:$E,Sheet2!$C:$C,$A265,Sheet2!$A:$A,AB$2)&lt;&gt;0,SUMIFS(Sheet2!$E:$E,Sheet2!$C:$C,$A265,Sheet2!$A:$A,AB$2),"")</f>
        <v/>
      </c>
      <c r="AC265" s="42" t="str">
        <f>IF(SUMIFS(Sheet2!$E:$E,Sheet2!$C:$C,$A265,Sheet2!$A:$A,AC$2)&lt;&gt;0,SUMIFS(Sheet2!$E:$E,Sheet2!$C:$C,$A265,Sheet2!$A:$A,AC$2),"")</f>
        <v/>
      </c>
      <c r="AD265" s="42" t="str">
        <f>IF(SUMIFS(Sheet2!$E:$E,Sheet2!$C:$C,$A265,Sheet2!$A:$A,AD$2)&lt;&gt;0,SUMIFS(Sheet2!$E:$E,Sheet2!$C:$C,$A265,Sheet2!$A:$A,AD$2),"")</f>
        <v/>
      </c>
      <c r="AE265" s="42" t="str">
        <f>IF(SUMIFS(Sheet2!$E:$E,Sheet2!$C:$C,$A265,Sheet2!$A:$A,AE$2)&lt;&gt;0,SUMIFS(Sheet2!$E:$E,Sheet2!$C:$C,$A265,Sheet2!$A:$A,AE$2),"")</f>
        <v/>
      </c>
      <c r="AF265" s="42" t="str">
        <f>IF(SUMIFS(Sheet2!$E:$E,Sheet2!$C:$C,$A265,Sheet2!$A:$A,AF$2)&lt;&gt;0,SUMIFS(Sheet2!$E:$E,Sheet2!$C:$C,$A265,Sheet2!$A:$A,AF$2),"")</f>
        <v/>
      </c>
      <c r="AG265" s="42" t="str">
        <f>IF(SUMIFS(Sheet2!$E:$E,Sheet2!$C:$C,$A265,Sheet2!$A:$A,AG$2)&lt;&gt;0,SUMIFS(Sheet2!$E:$E,Sheet2!$C:$C,$A265,Sheet2!$A:$A,AG$2),"")</f>
        <v/>
      </c>
      <c r="AH265" s="43">
        <f>SUM(Table2[[#This Row],[1]:[31]])</f>
        <v>0</v>
      </c>
    </row>
    <row r="266" spans="1:34" ht="12.75" customHeight="1">
      <c r="A266" s="76" t="str">
        <f>DSSP!A265</f>
        <v>CB02</v>
      </c>
      <c r="B266" s="25" t="str">
        <f>DSSP!B265</f>
        <v>20' advanced</v>
      </c>
      <c r="C266" s="42" t="str">
        <f>IF(SUMIFS(Sheet2!$E:$E,Sheet2!$C:$C,$A266,Sheet2!$A:$A,C$2)&lt;&gt;0,SUMIFS(Sheet2!$E:$E,Sheet2!$C:$C,$A266,Sheet2!$A:$A,C$2),"")</f>
        <v/>
      </c>
      <c r="D266" s="42" t="str">
        <f>IF(SUMIFS(Sheet2!$E:$E,Sheet2!$C:$C,$A266,Sheet2!$A:$A,D$2)&lt;&gt;0,SUMIFS(Sheet2!$E:$E,Sheet2!$C:$C,$A266,Sheet2!$A:$A,D$2),"")</f>
        <v/>
      </c>
      <c r="E266" s="42" t="str">
        <f>IF(SUMIFS(Sheet2!$E:$E,Sheet2!$C:$C,$A266,Sheet2!$A:$A,E$2)&lt;&gt;0,SUMIFS(Sheet2!$E:$E,Sheet2!$C:$C,$A266,Sheet2!$A:$A,E$2),"")</f>
        <v/>
      </c>
      <c r="F266" s="42" t="str">
        <f>IF(SUMIFS(Sheet2!$E:$E,Sheet2!$C:$C,$A266,Sheet2!$A:$A,F$2)&lt;&gt;0,SUMIFS(Sheet2!$E:$E,Sheet2!$C:$C,$A266,Sheet2!$A:$A,F$2),"")</f>
        <v/>
      </c>
      <c r="G266" s="42" t="str">
        <f>IF(SUMIFS(Sheet2!$E:$E,Sheet2!$C:$C,$A266,Sheet2!$A:$A,G$2)&lt;&gt;0,SUMIFS(Sheet2!$E:$E,Sheet2!$C:$C,$A266,Sheet2!$A:$A,G$2),"")</f>
        <v/>
      </c>
      <c r="H266" s="42" t="str">
        <f>IF(SUMIFS(Sheet2!$E:$E,Sheet2!$C:$C,$A266,Sheet2!$A:$A,H$2)&lt;&gt;0,SUMIFS(Sheet2!$E:$E,Sheet2!$C:$C,$A266,Sheet2!$A:$A,H$2),"")</f>
        <v/>
      </c>
      <c r="I266" s="42" t="str">
        <f>IF(SUMIFS(Sheet2!$E:$E,Sheet2!$C:$C,$A266,Sheet2!$A:$A,I$2)&lt;&gt;0,SUMIFS(Sheet2!$E:$E,Sheet2!$C:$C,$A266,Sheet2!$A:$A,I$2),"")</f>
        <v/>
      </c>
      <c r="J266" s="42" t="str">
        <f>IF(SUMIFS(Sheet2!$E:$E,Sheet2!$C:$C,$A266,Sheet2!$A:$A,J$2)&lt;&gt;0,SUMIFS(Sheet2!$E:$E,Sheet2!$C:$C,$A266,Sheet2!$A:$A,J$2),"")</f>
        <v/>
      </c>
      <c r="K266" s="42" t="str">
        <f>IF(SUMIFS(Sheet2!$E:$E,Sheet2!$C:$C,$A266,Sheet2!$A:$A,K$2)&lt;&gt;0,SUMIFS(Sheet2!$E:$E,Sheet2!$C:$C,$A266,Sheet2!$A:$A,K$2),"")</f>
        <v/>
      </c>
      <c r="L266" s="42" t="str">
        <f>IF(SUMIFS(Sheet2!$E:$E,Sheet2!$C:$C,$A266,Sheet2!$A:$A,L$2)&lt;&gt;0,SUMIFS(Sheet2!$E:$E,Sheet2!$C:$C,$A266,Sheet2!$A:$A,L$2),"")</f>
        <v/>
      </c>
      <c r="M266" s="42" t="str">
        <f>IF(SUMIFS(Sheet2!$E:$E,Sheet2!$C:$C,$A266,Sheet2!$A:$A,M$2)&lt;&gt;0,SUMIFS(Sheet2!$E:$E,Sheet2!$C:$C,$A266,Sheet2!$A:$A,M$2),"")</f>
        <v/>
      </c>
      <c r="N266" s="42" t="str">
        <f>IF(SUMIFS(Sheet2!$E:$E,Sheet2!$C:$C,$A266,Sheet2!$A:$A,N$2)&lt;&gt;0,SUMIFS(Sheet2!$E:$E,Sheet2!$C:$C,$A266,Sheet2!$A:$A,N$2),"")</f>
        <v/>
      </c>
      <c r="O266" s="42" t="str">
        <f>IF(SUMIFS(Sheet2!$E:$E,Sheet2!$C:$C,$A266,Sheet2!$A:$A,O$2)&lt;&gt;0,SUMIFS(Sheet2!$E:$E,Sheet2!$C:$C,$A266,Sheet2!$A:$A,O$2),"")</f>
        <v/>
      </c>
      <c r="P266" s="42" t="str">
        <f>IF(SUMIFS(Sheet2!$E:$E,Sheet2!$C:$C,$A266,Sheet2!$A:$A,P$2)&lt;&gt;0,SUMIFS(Sheet2!$E:$E,Sheet2!$C:$C,$A266,Sheet2!$A:$A,P$2),"")</f>
        <v/>
      </c>
      <c r="Q266" s="42" t="str">
        <f>IF(SUMIFS(Sheet2!$E:$E,Sheet2!$C:$C,$A266,Sheet2!$A:$A,Q$2)&lt;&gt;0,SUMIFS(Sheet2!$E:$E,Sheet2!$C:$C,$A266,Sheet2!$A:$A,Q$2),"")</f>
        <v/>
      </c>
      <c r="R266" s="42" t="str">
        <f>IF(SUMIFS(Sheet2!$E:$E,Sheet2!$C:$C,$A266,Sheet2!$A:$A,R$2)&lt;&gt;0,SUMIFS(Sheet2!$E:$E,Sheet2!$C:$C,$A266,Sheet2!$A:$A,R$2),"")</f>
        <v/>
      </c>
      <c r="S266" s="42" t="str">
        <f>IF(SUMIFS(Sheet2!$E:$E,Sheet2!$C:$C,$A266,Sheet2!$A:$A,S$2)&lt;&gt;0,SUMIFS(Sheet2!$E:$E,Sheet2!$C:$C,$A266,Sheet2!$A:$A,S$2),"")</f>
        <v/>
      </c>
      <c r="T266" s="42" t="str">
        <f>IF(SUMIFS(Sheet2!$E:$E,Sheet2!$C:$C,$A266,Sheet2!$A:$A,T$2)&lt;&gt;0,SUMIFS(Sheet2!$E:$E,Sheet2!$C:$C,$A266,Sheet2!$A:$A,T$2),"")</f>
        <v/>
      </c>
      <c r="U266" s="42" t="str">
        <f>IF(SUMIFS(Sheet2!$E:$E,Sheet2!$C:$C,$A266,Sheet2!$A:$A,U$2)&lt;&gt;0,SUMIFS(Sheet2!$E:$E,Sheet2!$C:$C,$A266,Sheet2!$A:$A,U$2),"")</f>
        <v/>
      </c>
      <c r="V266" s="42" t="str">
        <f>IF(SUMIFS(Sheet2!$E:$E,Sheet2!$C:$C,$A266,Sheet2!$A:$A,V$2)&lt;&gt;0,SUMIFS(Sheet2!$E:$E,Sheet2!$C:$C,$A266,Sheet2!$A:$A,V$2),"")</f>
        <v/>
      </c>
      <c r="W266" s="42" t="str">
        <f>IF(SUMIFS(Sheet2!$E:$E,Sheet2!$C:$C,$A266,Sheet2!$A:$A,W$2)&lt;&gt;0,SUMIFS(Sheet2!$E:$E,Sheet2!$C:$C,$A266,Sheet2!$A:$A,W$2),"")</f>
        <v/>
      </c>
      <c r="X266" s="42" t="str">
        <f>IF(SUMIFS(Sheet2!$E:$E,Sheet2!$C:$C,$A266,Sheet2!$A:$A,X$2)&lt;&gt;0,SUMIFS(Sheet2!$E:$E,Sheet2!$C:$C,$A266,Sheet2!$A:$A,X$2),"")</f>
        <v/>
      </c>
      <c r="Y266" s="42" t="str">
        <f>IF(SUMIFS(Sheet2!$E:$E,Sheet2!$C:$C,$A266,Sheet2!$A:$A,Y$2)&lt;&gt;0,SUMIFS(Sheet2!$E:$E,Sheet2!$C:$C,$A266,Sheet2!$A:$A,Y$2),"")</f>
        <v/>
      </c>
      <c r="Z266" s="42" t="str">
        <f>IF(SUMIFS(Sheet2!$E:$E,Sheet2!$C:$C,$A266,Sheet2!$A:$A,Z$2)&lt;&gt;0,SUMIFS(Sheet2!$E:$E,Sheet2!$C:$C,$A266,Sheet2!$A:$A,Z$2),"")</f>
        <v/>
      </c>
      <c r="AA266" s="42" t="str">
        <f>IF(SUMIFS(Sheet2!$E:$E,Sheet2!$C:$C,$A266,Sheet2!$A:$A,AA$2)&lt;&gt;0,SUMIFS(Sheet2!$E:$E,Sheet2!$C:$C,$A266,Sheet2!$A:$A,AA$2),"")</f>
        <v/>
      </c>
      <c r="AB266" s="42" t="str">
        <f>IF(SUMIFS(Sheet2!$E:$E,Sheet2!$C:$C,$A266,Sheet2!$A:$A,AB$2)&lt;&gt;0,SUMIFS(Sheet2!$E:$E,Sheet2!$C:$C,$A266,Sheet2!$A:$A,AB$2),"")</f>
        <v/>
      </c>
      <c r="AC266" s="42" t="str">
        <f>IF(SUMIFS(Sheet2!$E:$E,Sheet2!$C:$C,$A266,Sheet2!$A:$A,AC$2)&lt;&gt;0,SUMIFS(Sheet2!$E:$E,Sheet2!$C:$C,$A266,Sheet2!$A:$A,AC$2),"")</f>
        <v/>
      </c>
      <c r="AD266" s="42" t="str">
        <f>IF(SUMIFS(Sheet2!$E:$E,Sheet2!$C:$C,$A266,Sheet2!$A:$A,AD$2)&lt;&gt;0,SUMIFS(Sheet2!$E:$E,Sheet2!$C:$C,$A266,Sheet2!$A:$A,AD$2),"")</f>
        <v/>
      </c>
      <c r="AE266" s="42" t="str">
        <f>IF(SUMIFS(Sheet2!$E:$E,Sheet2!$C:$C,$A266,Sheet2!$A:$A,AE$2)&lt;&gt;0,SUMIFS(Sheet2!$E:$E,Sheet2!$C:$C,$A266,Sheet2!$A:$A,AE$2),"")</f>
        <v/>
      </c>
      <c r="AF266" s="42" t="str">
        <f>IF(SUMIFS(Sheet2!$E:$E,Sheet2!$C:$C,$A266,Sheet2!$A:$A,AF$2)&lt;&gt;0,SUMIFS(Sheet2!$E:$E,Sheet2!$C:$C,$A266,Sheet2!$A:$A,AF$2),"")</f>
        <v/>
      </c>
      <c r="AG266" s="42" t="str">
        <f>IF(SUMIFS(Sheet2!$E:$E,Sheet2!$C:$C,$A266,Sheet2!$A:$A,AG$2)&lt;&gt;0,SUMIFS(Sheet2!$E:$E,Sheet2!$C:$C,$A266,Sheet2!$A:$A,AG$2),"")</f>
        <v/>
      </c>
      <c r="AH266" s="43">
        <f>SUM(Table2[[#This Row],[1]:[31]])</f>
        <v>0</v>
      </c>
    </row>
    <row r="267" spans="1:34" ht="12.75" customHeight="1">
      <c r="A267" s="76" t="str">
        <f>DSSP!A266</f>
        <v>CB03</v>
      </c>
      <c r="B267" s="25" t="str">
        <f>DSSP!B266</f>
        <v>3D basic</v>
      </c>
      <c r="C267" s="42" t="str">
        <f>IF(SUMIFS(Sheet2!$E:$E,Sheet2!$C:$C,$A267,Sheet2!$A:$A,C$2)&lt;&gt;0,SUMIFS(Sheet2!$E:$E,Sheet2!$C:$C,$A267,Sheet2!$A:$A,C$2),"")</f>
        <v/>
      </c>
      <c r="D267" s="42" t="str">
        <f>IF(SUMIFS(Sheet2!$E:$E,Sheet2!$C:$C,$A267,Sheet2!$A:$A,D$2)&lt;&gt;0,SUMIFS(Sheet2!$E:$E,Sheet2!$C:$C,$A267,Sheet2!$A:$A,D$2),"")</f>
        <v/>
      </c>
      <c r="E267" s="42" t="str">
        <f>IF(SUMIFS(Sheet2!$E:$E,Sheet2!$C:$C,$A267,Sheet2!$A:$A,E$2)&lt;&gt;0,SUMIFS(Sheet2!$E:$E,Sheet2!$C:$C,$A267,Sheet2!$A:$A,E$2),"")</f>
        <v/>
      </c>
      <c r="F267" s="42" t="str">
        <f>IF(SUMIFS(Sheet2!$E:$E,Sheet2!$C:$C,$A267,Sheet2!$A:$A,F$2)&lt;&gt;0,SUMIFS(Sheet2!$E:$E,Sheet2!$C:$C,$A267,Sheet2!$A:$A,F$2),"")</f>
        <v/>
      </c>
      <c r="G267" s="42" t="str">
        <f>IF(SUMIFS(Sheet2!$E:$E,Sheet2!$C:$C,$A267,Sheet2!$A:$A,G$2)&lt;&gt;0,SUMIFS(Sheet2!$E:$E,Sheet2!$C:$C,$A267,Sheet2!$A:$A,G$2),"")</f>
        <v/>
      </c>
      <c r="H267" s="42" t="str">
        <f>IF(SUMIFS(Sheet2!$E:$E,Sheet2!$C:$C,$A267,Sheet2!$A:$A,H$2)&lt;&gt;0,SUMIFS(Sheet2!$E:$E,Sheet2!$C:$C,$A267,Sheet2!$A:$A,H$2),"")</f>
        <v/>
      </c>
      <c r="I267" s="42" t="str">
        <f>IF(SUMIFS(Sheet2!$E:$E,Sheet2!$C:$C,$A267,Sheet2!$A:$A,I$2)&lt;&gt;0,SUMIFS(Sheet2!$E:$E,Sheet2!$C:$C,$A267,Sheet2!$A:$A,I$2),"")</f>
        <v/>
      </c>
      <c r="J267" s="42" t="str">
        <f>IF(SUMIFS(Sheet2!$E:$E,Sheet2!$C:$C,$A267,Sheet2!$A:$A,J$2)&lt;&gt;0,SUMIFS(Sheet2!$E:$E,Sheet2!$C:$C,$A267,Sheet2!$A:$A,J$2),"")</f>
        <v/>
      </c>
      <c r="K267" s="42" t="str">
        <f>IF(SUMIFS(Sheet2!$E:$E,Sheet2!$C:$C,$A267,Sheet2!$A:$A,K$2)&lt;&gt;0,SUMIFS(Sheet2!$E:$E,Sheet2!$C:$C,$A267,Sheet2!$A:$A,K$2),"")</f>
        <v/>
      </c>
      <c r="L267" s="42" t="str">
        <f>IF(SUMIFS(Sheet2!$E:$E,Sheet2!$C:$C,$A267,Sheet2!$A:$A,L$2)&lt;&gt;0,SUMIFS(Sheet2!$E:$E,Sheet2!$C:$C,$A267,Sheet2!$A:$A,L$2),"")</f>
        <v/>
      </c>
      <c r="M267" s="42" t="str">
        <f>IF(SUMIFS(Sheet2!$E:$E,Sheet2!$C:$C,$A267,Sheet2!$A:$A,M$2)&lt;&gt;0,SUMIFS(Sheet2!$E:$E,Sheet2!$C:$C,$A267,Sheet2!$A:$A,M$2),"")</f>
        <v/>
      </c>
      <c r="N267" s="42" t="str">
        <f>IF(SUMIFS(Sheet2!$E:$E,Sheet2!$C:$C,$A267,Sheet2!$A:$A,N$2)&lt;&gt;0,SUMIFS(Sheet2!$E:$E,Sheet2!$C:$C,$A267,Sheet2!$A:$A,N$2),"")</f>
        <v/>
      </c>
      <c r="O267" s="42" t="str">
        <f>IF(SUMIFS(Sheet2!$E:$E,Sheet2!$C:$C,$A267,Sheet2!$A:$A,O$2)&lt;&gt;0,SUMIFS(Sheet2!$E:$E,Sheet2!$C:$C,$A267,Sheet2!$A:$A,O$2),"")</f>
        <v/>
      </c>
      <c r="P267" s="42" t="str">
        <f>IF(SUMIFS(Sheet2!$E:$E,Sheet2!$C:$C,$A267,Sheet2!$A:$A,P$2)&lt;&gt;0,SUMIFS(Sheet2!$E:$E,Sheet2!$C:$C,$A267,Sheet2!$A:$A,P$2),"")</f>
        <v/>
      </c>
      <c r="Q267" s="42" t="str">
        <f>IF(SUMIFS(Sheet2!$E:$E,Sheet2!$C:$C,$A267,Sheet2!$A:$A,Q$2)&lt;&gt;0,SUMIFS(Sheet2!$E:$E,Sheet2!$C:$C,$A267,Sheet2!$A:$A,Q$2),"")</f>
        <v/>
      </c>
      <c r="R267" s="42" t="str">
        <f>IF(SUMIFS(Sheet2!$E:$E,Sheet2!$C:$C,$A267,Sheet2!$A:$A,R$2)&lt;&gt;0,SUMIFS(Sheet2!$E:$E,Sheet2!$C:$C,$A267,Sheet2!$A:$A,R$2),"")</f>
        <v/>
      </c>
      <c r="S267" s="42" t="str">
        <f>IF(SUMIFS(Sheet2!$E:$E,Sheet2!$C:$C,$A267,Sheet2!$A:$A,S$2)&lt;&gt;0,SUMIFS(Sheet2!$E:$E,Sheet2!$C:$C,$A267,Sheet2!$A:$A,S$2),"")</f>
        <v/>
      </c>
      <c r="T267" s="42" t="str">
        <f>IF(SUMIFS(Sheet2!$E:$E,Sheet2!$C:$C,$A267,Sheet2!$A:$A,T$2)&lt;&gt;0,SUMIFS(Sheet2!$E:$E,Sheet2!$C:$C,$A267,Sheet2!$A:$A,T$2),"")</f>
        <v/>
      </c>
      <c r="U267" s="42" t="str">
        <f>IF(SUMIFS(Sheet2!$E:$E,Sheet2!$C:$C,$A267,Sheet2!$A:$A,U$2)&lt;&gt;0,SUMIFS(Sheet2!$E:$E,Sheet2!$C:$C,$A267,Sheet2!$A:$A,U$2),"")</f>
        <v/>
      </c>
      <c r="V267" s="42" t="str">
        <f>IF(SUMIFS(Sheet2!$E:$E,Sheet2!$C:$C,$A267,Sheet2!$A:$A,V$2)&lt;&gt;0,SUMIFS(Sheet2!$E:$E,Sheet2!$C:$C,$A267,Sheet2!$A:$A,V$2),"")</f>
        <v/>
      </c>
      <c r="W267" s="42" t="str">
        <f>IF(SUMIFS(Sheet2!$E:$E,Sheet2!$C:$C,$A267,Sheet2!$A:$A,W$2)&lt;&gt;0,SUMIFS(Sheet2!$E:$E,Sheet2!$C:$C,$A267,Sheet2!$A:$A,W$2),"")</f>
        <v/>
      </c>
      <c r="X267" s="42" t="str">
        <f>IF(SUMIFS(Sheet2!$E:$E,Sheet2!$C:$C,$A267,Sheet2!$A:$A,X$2)&lt;&gt;0,SUMIFS(Sheet2!$E:$E,Sheet2!$C:$C,$A267,Sheet2!$A:$A,X$2),"")</f>
        <v/>
      </c>
      <c r="Y267" s="42" t="str">
        <f>IF(SUMIFS(Sheet2!$E:$E,Sheet2!$C:$C,$A267,Sheet2!$A:$A,Y$2)&lt;&gt;0,SUMIFS(Sheet2!$E:$E,Sheet2!$C:$C,$A267,Sheet2!$A:$A,Y$2),"")</f>
        <v/>
      </c>
      <c r="Z267" s="42" t="str">
        <f>IF(SUMIFS(Sheet2!$E:$E,Sheet2!$C:$C,$A267,Sheet2!$A:$A,Z$2)&lt;&gt;0,SUMIFS(Sheet2!$E:$E,Sheet2!$C:$C,$A267,Sheet2!$A:$A,Z$2),"")</f>
        <v/>
      </c>
      <c r="AA267" s="42" t="str">
        <f>IF(SUMIFS(Sheet2!$E:$E,Sheet2!$C:$C,$A267,Sheet2!$A:$A,AA$2)&lt;&gt;0,SUMIFS(Sheet2!$E:$E,Sheet2!$C:$C,$A267,Sheet2!$A:$A,AA$2),"")</f>
        <v/>
      </c>
      <c r="AB267" s="42" t="str">
        <f>IF(SUMIFS(Sheet2!$E:$E,Sheet2!$C:$C,$A267,Sheet2!$A:$A,AB$2)&lt;&gt;0,SUMIFS(Sheet2!$E:$E,Sheet2!$C:$C,$A267,Sheet2!$A:$A,AB$2),"")</f>
        <v/>
      </c>
      <c r="AC267" s="42" t="str">
        <f>IF(SUMIFS(Sheet2!$E:$E,Sheet2!$C:$C,$A267,Sheet2!$A:$A,AC$2)&lt;&gt;0,SUMIFS(Sheet2!$E:$E,Sheet2!$C:$C,$A267,Sheet2!$A:$A,AC$2),"")</f>
        <v/>
      </c>
      <c r="AD267" s="42" t="str">
        <f>IF(SUMIFS(Sheet2!$E:$E,Sheet2!$C:$C,$A267,Sheet2!$A:$A,AD$2)&lt;&gt;0,SUMIFS(Sheet2!$E:$E,Sheet2!$C:$C,$A267,Sheet2!$A:$A,AD$2),"")</f>
        <v/>
      </c>
      <c r="AE267" s="42" t="str">
        <f>IF(SUMIFS(Sheet2!$E:$E,Sheet2!$C:$C,$A267,Sheet2!$A:$A,AE$2)&lt;&gt;0,SUMIFS(Sheet2!$E:$E,Sheet2!$C:$C,$A267,Sheet2!$A:$A,AE$2),"")</f>
        <v/>
      </c>
      <c r="AF267" s="42" t="str">
        <f>IF(SUMIFS(Sheet2!$E:$E,Sheet2!$C:$C,$A267,Sheet2!$A:$A,AF$2)&lt;&gt;0,SUMIFS(Sheet2!$E:$E,Sheet2!$C:$C,$A267,Sheet2!$A:$A,AF$2),"")</f>
        <v/>
      </c>
      <c r="AG267" s="42" t="str">
        <f>IF(SUMIFS(Sheet2!$E:$E,Sheet2!$C:$C,$A267,Sheet2!$A:$A,AG$2)&lt;&gt;0,SUMIFS(Sheet2!$E:$E,Sheet2!$C:$C,$A267,Sheet2!$A:$A,AG$2),"")</f>
        <v/>
      </c>
      <c r="AH267" s="43">
        <f>SUM(Table2[[#This Row],[1]:[31]])</f>
        <v>0</v>
      </c>
    </row>
    <row r="268" spans="1:34" ht="12.75" customHeight="1">
      <c r="A268" s="76" t="str">
        <f>DSSP!A267</f>
        <v>CB04</v>
      </c>
      <c r="B268" s="25" t="str">
        <f>DSSP!B267</f>
        <v>3D advanced</v>
      </c>
      <c r="C268" s="42" t="str">
        <f>IF(SUMIFS(Sheet2!$E:$E,Sheet2!$C:$C,$A268,Sheet2!$A:$A,C$2)&lt;&gt;0,SUMIFS(Sheet2!$E:$E,Sheet2!$C:$C,$A268,Sheet2!$A:$A,C$2),"")</f>
        <v/>
      </c>
      <c r="D268" s="42" t="str">
        <f>IF(SUMIFS(Sheet2!$E:$E,Sheet2!$C:$C,$A268,Sheet2!$A:$A,D$2)&lt;&gt;0,SUMIFS(Sheet2!$E:$E,Sheet2!$C:$C,$A268,Sheet2!$A:$A,D$2),"")</f>
        <v/>
      </c>
      <c r="E268" s="42" t="str">
        <f>IF(SUMIFS(Sheet2!$E:$E,Sheet2!$C:$C,$A268,Sheet2!$A:$A,E$2)&lt;&gt;0,SUMIFS(Sheet2!$E:$E,Sheet2!$C:$C,$A268,Sheet2!$A:$A,E$2),"")</f>
        <v/>
      </c>
      <c r="F268" s="42" t="str">
        <f>IF(SUMIFS(Sheet2!$E:$E,Sheet2!$C:$C,$A268,Sheet2!$A:$A,F$2)&lt;&gt;0,SUMIFS(Sheet2!$E:$E,Sheet2!$C:$C,$A268,Sheet2!$A:$A,F$2),"")</f>
        <v/>
      </c>
      <c r="G268" s="42" t="str">
        <f>IF(SUMIFS(Sheet2!$E:$E,Sheet2!$C:$C,$A268,Sheet2!$A:$A,G$2)&lt;&gt;0,SUMIFS(Sheet2!$E:$E,Sheet2!$C:$C,$A268,Sheet2!$A:$A,G$2),"")</f>
        <v/>
      </c>
      <c r="H268" s="42" t="str">
        <f>IF(SUMIFS(Sheet2!$E:$E,Sheet2!$C:$C,$A268,Sheet2!$A:$A,H$2)&lt;&gt;0,SUMIFS(Sheet2!$E:$E,Sheet2!$C:$C,$A268,Sheet2!$A:$A,H$2),"")</f>
        <v/>
      </c>
      <c r="I268" s="42" t="str">
        <f>IF(SUMIFS(Sheet2!$E:$E,Sheet2!$C:$C,$A268,Sheet2!$A:$A,I$2)&lt;&gt;0,SUMIFS(Sheet2!$E:$E,Sheet2!$C:$C,$A268,Sheet2!$A:$A,I$2),"")</f>
        <v/>
      </c>
      <c r="J268" s="42" t="str">
        <f>IF(SUMIFS(Sheet2!$E:$E,Sheet2!$C:$C,$A268,Sheet2!$A:$A,J$2)&lt;&gt;0,SUMIFS(Sheet2!$E:$E,Sheet2!$C:$C,$A268,Sheet2!$A:$A,J$2),"")</f>
        <v/>
      </c>
      <c r="K268" s="42" t="str">
        <f>IF(SUMIFS(Sheet2!$E:$E,Sheet2!$C:$C,$A268,Sheet2!$A:$A,K$2)&lt;&gt;0,SUMIFS(Sheet2!$E:$E,Sheet2!$C:$C,$A268,Sheet2!$A:$A,K$2),"")</f>
        <v/>
      </c>
      <c r="L268" s="42" t="str">
        <f>IF(SUMIFS(Sheet2!$E:$E,Sheet2!$C:$C,$A268,Sheet2!$A:$A,L$2)&lt;&gt;0,SUMIFS(Sheet2!$E:$E,Sheet2!$C:$C,$A268,Sheet2!$A:$A,L$2),"")</f>
        <v/>
      </c>
      <c r="M268" s="42" t="str">
        <f>IF(SUMIFS(Sheet2!$E:$E,Sheet2!$C:$C,$A268,Sheet2!$A:$A,M$2)&lt;&gt;0,SUMIFS(Sheet2!$E:$E,Sheet2!$C:$C,$A268,Sheet2!$A:$A,M$2),"")</f>
        <v/>
      </c>
      <c r="N268" s="42" t="str">
        <f>IF(SUMIFS(Sheet2!$E:$E,Sheet2!$C:$C,$A268,Sheet2!$A:$A,N$2)&lt;&gt;0,SUMIFS(Sheet2!$E:$E,Sheet2!$C:$C,$A268,Sheet2!$A:$A,N$2),"")</f>
        <v/>
      </c>
      <c r="O268" s="42" t="str">
        <f>IF(SUMIFS(Sheet2!$E:$E,Sheet2!$C:$C,$A268,Sheet2!$A:$A,O$2)&lt;&gt;0,SUMIFS(Sheet2!$E:$E,Sheet2!$C:$C,$A268,Sheet2!$A:$A,O$2),"")</f>
        <v/>
      </c>
      <c r="P268" s="42" t="str">
        <f>IF(SUMIFS(Sheet2!$E:$E,Sheet2!$C:$C,$A268,Sheet2!$A:$A,P$2)&lt;&gt;0,SUMIFS(Sheet2!$E:$E,Sheet2!$C:$C,$A268,Sheet2!$A:$A,P$2),"")</f>
        <v/>
      </c>
      <c r="Q268" s="42" t="str">
        <f>IF(SUMIFS(Sheet2!$E:$E,Sheet2!$C:$C,$A268,Sheet2!$A:$A,Q$2)&lt;&gt;0,SUMIFS(Sheet2!$E:$E,Sheet2!$C:$C,$A268,Sheet2!$A:$A,Q$2),"")</f>
        <v/>
      </c>
      <c r="R268" s="42" t="str">
        <f>IF(SUMIFS(Sheet2!$E:$E,Sheet2!$C:$C,$A268,Sheet2!$A:$A,R$2)&lt;&gt;0,SUMIFS(Sheet2!$E:$E,Sheet2!$C:$C,$A268,Sheet2!$A:$A,R$2),"")</f>
        <v/>
      </c>
      <c r="S268" s="42" t="str">
        <f>IF(SUMIFS(Sheet2!$E:$E,Sheet2!$C:$C,$A268,Sheet2!$A:$A,S$2)&lt;&gt;0,SUMIFS(Sheet2!$E:$E,Sheet2!$C:$C,$A268,Sheet2!$A:$A,S$2),"")</f>
        <v/>
      </c>
      <c r="T268" s="42" t="str">
        <f>IF(SUMIFS(Sheet2!$E:$E,Sheet2!$C:$C,$A268,Sheet2!$A:$A,T$2)&lt;&gt;0,SUMIFS(Sheet2!$E:$E,Sheet2!$C:$C,$A268,Sheet2!$A:$A,T$2),"")</f>
        <v/>
      </c>
      <c r="U268" s="42" t="str">
        <f>IF(SUMIFS(Sheet2!$E:$E,Sheet2!$C:$C,$A268,Sheet2!$A:$A,U$2)&lt;&gt;0,SUMIFS(Sheet2!$E:$E,Sheet2!$C:$C,$A268,Sheet2!$A:$A,U$2),"")</f>
        <v/>
      </c>
      <c r="V268" s="42" t="str">
        <f>IF(SUMIFS(Sheet2!$E:$E,Sheet2!$C:$C,$A268,Sheet2!$A:$A,V$2)&lt;&gt;0,SUMIFS(Sheet2!$E:$E,Sheet2!$C:$C,$A268,Sheet2!$A:$A,V$2),"")</f>
        <v/>
      </c>
      <c r="W268" s="42" t="str">
        <f>IF(SUMIFS(Sheet2!$E:$E,Sheet2!$C:$C,$A268,Sheet2!$A:$A,W$2)&lt;&gt;0,SUMIFS(Sheet2!$E:$E,Sheet2!$C:$C,$A268,Sheet2!$A:$A,W$2),"")</f>
        <v/>
      </c>
      <c r="X268" s="42" t="str">
        <f>IF(SUMIFS(Sheet2!$E:$E,Sheet2!$C:$C,$A268,Sheet2!$A:$A,X$2)&lt;&gt;0,SUMIFS(Sheet2!$E:$E,Sheet2!$C:$C,$A268,Sheet2!$A:$A,X$2),"")</f>
        <v/>
      </c>
      <c r="Y268" s="42" t="str">
        <f>IF(SUMIFS(Sheet2!$E:$E,Sheet2!$C:$C,$A268,Sheet2!$A:$A,Y$2)&lt;&gt;0,SUMIFS(Sheet2!$E:$E,Sheet2!$C:$C,$A268,Sheet2!$A:$A,Y$2),"")</f>
        <v/>
      </c>
      <c r="Z268" s="42" t="str">
        <f>IF(SUMIFS(Sheet2!$E:$E,Sheet2!$C:$C,$A268,Sheet2!$A:$A,Z$2)&lt;&gt;0,SUMIFS(Sheet2!$E:$E,Sheet2!$C:$C,$A268,Sheet2!$A:$A,Z$2),"")</f>
        <v/>
      </c>
      <c r="AA268" s="42" t="str">
        <f>IF(SUMIFS(Sheet2!$E:$E,Sheet2!$C:$C,$A268,Sheet2!$A:$A,AA$2)&lt;&gt;0,SUMIFS(Sheet2!$E:$E,Sheet2!$C:$C,$A268,Sheet2!$A:$A,AA$2),"")</f>
        <v/>
      </c>
      <c r="AB268" s="42" t="str">
        <f>IF(SUMIFS(Sheet2!$E:$E,Sheet2!$C:$C,$A268,Sheet2!$A:$A,AB$2)&lt;&gt;0,SUMIFS(Sheet2!$E:$E,Sheet2!$C:$C,$A268,Sheet2!$A:$A,AB$2),"")</f>
        <v/>
      </c>
      <c r="AC268" s="42" t="str">
        <f>IF(SUMIFS(Sheet2!$E:$E,Sheet2!$C:$C,$A268,Sheet2!$A:$A,AC$2)&lt;&gt;0,SUMIFS(Sheet2!$E:$E,Sheet2!$C:$C,$A268,Sheet2!$A:$A,AC$2),"")</f>
        <v/>
      </c>
      <c r="AD268" s="42" t="str">
        <f>IF(SUMIFS(Sheet2!$E:$E,Sheet2!$C:$C,$A268,Sheet2!$A:$A,AD$2)&lt;&gt;0,SUMIFS(Sheet2!$E:$E,Sheet2!$C:$C,$A268,Sheet2!$A:$A,AD$2),"")</f>
        <v/>
      </c>
      <c r="AE268" s="42" t="str">
        <f>IF(SUMIFS(Sheet2!$E:$E,Sheet2!$C:$C,$A268,Sheet2!$A:$A,AE$2)&lt;&gt;0,SUMIFS(Sheet2!$E:$E,Sheet2!$C:$C,$A268,Sheet2!$A:$A,AE$2),"")</f>
        <v/>
      </c>
      <c r="AF268" s="42" t="str">
        <f>IF(SUMIFS(Sheet2!$E:$E,Sheet2!$C:$C,$A268,Sheet2!$A:$A,AF$2)&lt;&gt;0,SUMIFS(Sheet2!$E:$E,Sheet2!$C:$C,$A268,Sheet2!$A:$A,AF$2),"")</f>
        <v/>
      </c>
      <c r="AG268" s="42" t="str">
        <f>IF(SUMIFS(Sheet2!$E:$E,Sheet2!$C:$C,$A268,Sheet2!$A:$A,AG$2)&lt;&gt;0,SUMIFS(Sheet2!$E:$E,Sheet2!$C:$C,$A268,Sheet2!$A:$A,AG$2),"")</f>
        <v/>
      </c>
      <c r="AH268" s="43">
        <f>SUM(Table2[[#This Row],[1]:[31]])</f>
        <v>0</v>
      </c>
    </row>
    <row r="269" spans="1:34" ht="12.75" customHeight="1">
      <c r="A269" s="76" t="str">
        <f>DSSP!A268</f>
        <v>CB05</v>
      </c>
      <c r="B269" s="25" t="str">
        <f>DSSP!B268</f>
        <v>Vải dạ nỉ basic</v>
      </c>
      <c r="C269" s="42" t="str">
        <f>IF(SUMIFS(Sheet2!$E:$E,Sheet2!$C:$C,$A269,Sheet2!$A:$A,C$2)&lt;&gt;0,SUMIFS(Sheet2!$E:$E,Sheet2!$C:$C,$A269,Sheet2!$A:$A,C$2),"")</f>
        <v/>
      </c>
      <c r="D269" s="42" t="str">
        <f>IF(SUMIFS(Sheet2!$E:$E,Sheet2!$C:$C,$A269,Sheet2!$A:$A,D$2)&lt;&gt;0,SUMIFS(Sheet2!$E:$E,Sheet2!$C:$C,$A269,Sheet2!$A:$A,D$2),"")</f>
        <v/>
      </c>
      <c r="E269" s="42" t="str">
        <f>IF(SUMIFS(Sheet2!$E:$E,Sheet2!$C:$C,$A269,Sheet2!$A:$A,E$2)&lt;&gt;0,SUMIFS(Sheet2!$E:$E,Sheet2!$C:$C,$A269,Sheet2!$A:$A,E$2),"")</f>
        <v/>
      </c>
      <c r="F269" s="42" t="str">
        <f>IF(SUMIFS(Sheet2!$E:$E,Sheet2!$C:$C,$A269,Sheet2!$A:$A,F$2)&lt;&gt;0,SUMIFS(Sheet2!$E:$E,Sheet2!$C:$C,$A269,Sheet2!$A:$A,F$2),"")</f>
        <v/>
      </c>
      <c r="G269" s="42" t="str">
        <f>IF(SUMIFS(Sheet2!$E:$E,Sheet2!$C:$C,$A269,Sheet2!$A:$A,G$2)&lt;&gt;0,SUMIFS(Sheet2!$E:$E,Sheet2!$C:$C,$A269,Sheet2!$A:$A,G$2),"")</f>
        <v/>
      </c>
      <c r="H269" s="42" t="str">
        <f>IF(SUMIFS(Sheet2!$E:$E,Sheet2!$C:$C,$A269,Sheet2!$A:$A,H$2)&lt;&gt;0,SUMIFS(Sheet2!$E:$E,Sheet2!$C:$C,$A269,Sheet2!$A:$A,H$2),"")</f>
        <v/>
      </c>
      <c r="I269" s="42" t="str">
        <f>IF(SUMIFS(Sheet2!$E:$E,Sheet2!$C:$C,$A269,Sheet2!$A:$A,I$2)&lt;&gt;0,SUMIFS(Sheet2!$E:$E,Sheet2!$C:$C,$A269,Sheet2!$A:$A,I$2),"")</f>
        <v/>
      </c>
      <c r="J269" s="42" t="str">
        <f>IF(SUMIFS(Sheet2!$E:$E,Sheet2!$C:$C,$A269,Sheet2!$A:$A,J$2)&lt;&gt;0,SUMIFS(Sheet2!$E:$E,Sheet2!$C:$C,$A269,Sheet2!$A:$A,J$2),"")</f>
        <v/>
      </c>
      <c r="K269" s="42" t="str">
        <f>IF(SUMIFS(Sheet2!$E:$E,Sheet2!$C:$C,$A269,Sheet2!$A:$A,K$2)&lt;&gt;0,SUMIFS(Sheet2!$E:$E,Sheet2!$C:$C,$A269,Sheet2!$A:$A,K$2),"")</f>
        <v/>
      </c>
      <c r="L269" s="42" t="str">
        <f>IF(SUMIFS(Sheet2!$E:$E,Sheet2!$C:$C,$A269,Sheet2!$A:$A,L$2)&lt;&gt;0,SUMIFS(Sheet2!$E:$E,Sheet2!$C:$C,$A269,Sheet2!$A:$A,L$2),"")</f>
        <v/>
      </c>
      <c r="M269" s="42" t="str">
        <f>IF(SUMIFS(Sheet2!$E:$E,Sheet2!$C:$C,$A269,Sheet2!$A:$A,M$2)&lt;&gt;0,SUMIFS(Sheet2!$E:$E,Sheet2!$C:$C,$A269,Sheet2!$A:$A,M$2),"")</f>
        <v/>
      </c>
      <c r="N269" s="42" t="str">
        <f>IF(SUMIFS(Sheet2!$E:$E,Sheet2!$C:$C,$A269,Sheet2!$A:$A,N$2)&lt;&gt;0,SUMIFS(Sheet2!$E:$E,Sheet2!$C:$C,$A269,Sheet2!$A:$A,N$2),"")</f>
        <v/>
      </c>
      <c r="O269" s="42" t="str">
        <f>IF(SUMIFS(Sheet2!$E:$E,Sheet2!$C:$C,$A269,Sheet2!$A:$A,O$2)&lt;&gt;0,SUMIFS(Sheet2!$E:$E,Sheet2!$C:$C,$A269,Sheet2!$A:$A,O$2),"")</f>
        <v/>
      </c>
      <c r="P269" s="42" t="str">
        <f>IF(SUMIFS(Sheet2!$E:$E,Sheet2!$C:$C,$A269,Sheet2!$A:$A,P$2)&lt;&gt;0,SUMIFS(Sheet2!$E:$E,Sheet2!$C:$C,$A269,Sheet2!$A:$A,P$2),"")</f>
        <v/>
      </c>
      <c r="Q269" s="42" t="str">
        <f>IF(SUMIFS(Sheet2!$E:$E,Sheet2!$C:$C,$A269,Sheet2!$A:$A,Q$2)&lt;&gt;0,SUMIFS(Sheet2!$E:$E,Sheet2!$C:$C,$A269,Sheet2!$A:$A,Q$2),"")</f>
        <v/>
      </c>
      <c r="R269" s="42" t="str">
        <f>IF(SUMIFS(Sheet2!$E:$E,Sheet2!$C:$C,$A269,Sheet2!$A:$A,R$2)&lt;&gt;0,SUMIFS(Sheet2!$E:$E,Sheet2!$C:$C,$A269,Sheet2!$A:$A,R$2),"")</f>
        <v/>
      </c>
      <c r="S269" s="42" t="str">
        <f>IF(SUMIFS(Sheet2!$E:$E,Sheet2!$C:$C,$A269,Sheet2!$A:$A,S$2)&lt;&gt;0,SUMIFS(Sheet2!$E:$E,Sheet2!$C:$C,$A269,Sheet2!$A:$A,S$2),"")</f>
        <v/>
      </c>
      <c r="T269" s="42" t="str">
        <f>IF(SUMIFS(Sheet2!$E:$E,Sheet2!$C:$C,$A269,Sheet2!$A:$A,T$2)&lt;&gt;0,SUMIFS(Sheet2!$E:$E,Sheet2!$C:$C,$A269,Sheet2!$A:$A,T$2),"")</f>
        <v/>
      </c>
      <c r="U269" s="42" t="str">
        <f>IF(SUMIFS(Sheet2!$E:$E,Sheet2!$C:$C,$A269,Sheet2!$A:$A,U$2)&lt;&gt;0,SUMIFS(Sheet2!$E:$E,Sheet2!$C:$C,$A269,Sheet2!$A:$A,U$2),"")</f>
        <v/>
      </c>
      <c r="V269" s="42" t="str">
        <f>IF(SUMIFS(Sheet2!$E:$E,Sheet2!$C:$C,$A269,Sheet2!$A:$A,V$2)&lt;&gt;0,SUMIFS(Sheet2!$E:$E,Sheet2!$C:$C,$A269,Sheet2!$A:$A,V$2),"")</f>
        <v/>
      </c>
      <c r="W269" s="42" t="str">
        <f>IF(SUMIFS(Sheet2!$E:$E,Sheet2!$C:$C,$A269,Sheet2!$A:$A,W$2)&lt;&gt;0,SUMIFS(Sheet2!$E:$E,Sheet2!$C:$C,$A269,Sheet2!$A:$A,W$2),"")</f>
        <v/>
      </c>
      <c r="X269" s="42" t="str">
        <f>IF(SUMIFS(Sheet2!$E:$E,Sheet2!$C:$C,$A269,Sheet2!$A:$A,X$2)&lt;&gt;0,SUMIFS(Sheet2!$E:$E,Sheet2!$C:$C,$A269,Sheet2!$A:$A,X$2),"")</f>
        <v/>
      </c>
      <c r="Y269" s="42" t="str">
        <f>IF(SUMIFS(Sheet2!$E:$E,Sheet2!$C:$C,$A269,Sheet2!$A:$A,Y$2)&lt;&gt;0,SUMIFS(Sheet2!$E:$E,Sheet2!$C:$C,$A269,Sheet2!$A:$A,Y$2),"")</f>
        <v/>
      </c>
      <c r="Z269" s="42" t="str">
        <f>IF(SUMIFS(Sheet2!$E:$E,Sheet2!$C:$C,$A269,Sheet2!$A:$A,Z$2)&lt;&gt;0,SUMIFS(Sheet2!$E:$E,Sheet2!$C:$C,$A269,Sheet2!$A:$A,Z$2),"")</f>
        <v/>
      </c>
      <c r="AA269" s="42" t="str">
        <f>IF(SUMIFS(Sheet2!$E:$E,Sheet2!$C:$C,$A269,Sheet2!$A:$A,AA$2)&lt;&gt;0,SUMIFS(Sheet2!$E:$E,Sheet2!$C:$C,$A269,Sheet2!$A:$A,AA$2),"")</f>
        <v/>
      </c>
      <c r="AB269" s="42" t="str">
        <f>IF(SUMIFS(Sheet2!$E:$E,Sheet2!$C:$C,$A269,Sheet2!$A:$A,AB$2)&lt;&gt;0,SUMIFS(Sheet2!$E:$E,Sheet2!$C:$C,$A269,Sheet2!$A:$A,AB$2),"")</f>
        <v/>
      </c>
      <c r="AC269" s="42" t="str">
        <f>IF(SUMIFS(Sheet2!$E:$E,Sheet2!$C:$C,$A269,Sheet2!$A:$A,AC$2)&lt;&gt;0,SUMIFS(Sheet2!$E:$E,Sheet2!$C:$C,$A269,Sheet2!$A:$A,AC$2),"")</f>
        <v/>
      </c>
      <c r="AD269" s="42" t="str">
        <f>IF(SUMIFS(Sheet2!$E:$E,Sheet2!$C:$C,$A269,Sheet2!$A:$A,AD$2)&lt;&gt;0,SUMIFS(Sheet2!$E:$E,Sheet2!$C:$C,$A269,Sheet2!$A:$A,AD$2),"")</f>
        <v/>
      </c>
      <c r="AE269" s="42" t="str">
        <f>IF(SUMIFS(Sheet2!$E:$E,Sheet2!$C:$C,$A269,Sheet2!$A:$A,AE$2)&lt;&gt;0,SUMIFS(Sheet2!$E:$E,Sheet2!$C:$C,$A269,Sheet2!$A:$A,AE$2),"")</f>
        <v/>
      </c>
      <c r="AF269" s="42" t="str">
        <f>IF(SUMIFS(Sheet2!$E:$E,Sheet2!$C:$C,$A269,Sheet2!$A:$A,AF$2)&lt;&gt;0,SUMIFS(Sheet2!$E:$E,Sheet2!$C:$C,$A269,Sheet2!$A:$A,AF$2),"")</f>
        <v/>
      </c>
      <c r="AG269" s="42" t="str">
        <f>IF(SUMIFS(Sheet2!$E:$E,Sheet2!$C:$C,$A269,Sheet2!$A:$A,AG$2)&lt;&gt;0,SUMIFS(Sheet2!$E:$E,Sheet2!$C:$C,$A269,Sheet2!$A:$A,AG$2),"")</f>
        <v/>
      </c>
      <c r="AH269" s="43">
        <f>SUM(Table2[[#This Row],[1]:[31]])</f>
        <v>0</v>
      </c>
    </row>
    <row r="270" spans="1:34" ht="12.75" customHeight="1">
      <c r="A270" s="76" t="str">
        <f>DSSP!A269</f>
        <v>CB06</v>
      </c>
      <c r="B270" s="25" t="str">
        <f>DSSP!B269</f>
        <v>Vải dạ nỉ plus</v>
      </c>
      <c r="C270" s="42" t="str">
        <f>IF(SUMIFS(Sheet2!$E:$E,Sheet2!$C:$C,$A270,Sheet2!$A:$A,C$2)&lt;&gt;0,SUMIFS(Sheet2!$E:$E,Sheet2!$C:$C,$A270,Sheet2!$A:$A,C$2),"")</f>
        <v/>
      </c>
      <c r="D270" s="42" t="str">
        <f>IF(SUMIFS(Sheet2!$E:$E,Sheet2!$C:$C,$A270,Sheet2!$A:$A,D$2)&lt;&gt;0,SUMIFS(Sheet2!$E:$E,Sheet2!$C:$C,$A270,Sheet2!$A:$A,D$2),"")</f>
        <v/>
      </c>
      <c r="E270" s="42" t="str">
        <f>IF(SUMIFS(Sheet2!$E:$E,Sheet2!$C:$C,$A270,Sheet2!$A:$A,E$2)&lt;&gt;0,SUMIFS(Sheet2!$E:$E,Sheet2!$C:$C,$A270,Sheet2!$A:$A,E$2),"")</f>
        <v/>
      </c>
      <c r="F270" s="42" t="str">
        <f>IF(SUMIFS(Sheet2!$E:$E,Sheet2!$C:$C,$A270,Sheet2!$A:$A,F$2)&lt;&gt;0,SUMIFS(Sheet2!$E:$E,Sheet2!$C:$C,$A270,Sheet2!$A:$A,F$2),"")</f>
        <v/>
      </c>
      <c r="G270" s="42" t="str">
        <f>IF(SUMIFS(Sheet2!$E:$E,Sheet2!$C:$C,$A270,Sheet2!$A:$A,G$2)&lt;&gt;0,SUMIFS(Sheet2!$E:$E,Sheet2!$C:$C,$A270,Sheet2!$A:$A,G$2),"")</f>
        <v/>
      </c>
      <c r="H270" s="42" t="str">
        <f>IF(SUMIFS(Sheet2!$E:$E,Sheet2!$C:$C,$A270,Sheet2!$A:$A,H$2)&lt;&gt;0,SUMIFS(Sheet2!$E:$E,Sheet2!$C:$C,$A270,Sheet2!$A:$A,H$2),"")</f>
        <v/>
      </c>
      <c r="I270" s="42" t="str">
        <f>IF(SUMIFS(Sheet2!$E:$E,Sheet2!$C:$C,$A270,Sheet2!$A:$A,I$2)&lt;&gt;0,SUMIFS(Sheet2!$E:$E,Sheet2!$C:$C,$A270,Sheet2!$A:$A,I$2),"")</f>
        <v/>
      </c>
      <c r="J270" s="42" t="str">
        <f>IF(SUMIFS(Sheet2!$E:$E,Sheet2!$C:$C,$A270,Sheet2!$A:$A,J$2)&lt;&gt;0,SUMIFS(Sheet2!$E:$E,Sheet2!$C:$C,$A270,Sheet2!$A:$A,J$2),"")</f>
        <v/>
      </c>
      <c r="K270" s="42" t="str">
        <f>IF(SUMIFS(Sheet2!$E:$E,Sheet2!$C:$C,$A270,Sheet2!$A:$A,K$2)&lt;&gt;0,SUMIFS(Sheet2!$E:$E,Sheet2!$C:$C,$A270,Sheet2!$A:$A,K$2),"")</f>
        <v/>
      </c>
      <c r="L270" s="42" t="str">
        <f>IF(SUMIFS(Sheet2!$E:$E,Sheet2!$C:$C,$A270,Sheet2!$A:$A,L$2)&lt;&gt;0,SUMIFS(Sheet2!$E:$E,Sheet2!$C:$C,$A270,Sheet2!$A:$A,L$2),"")</f>
        <v/>
      </c>
      <c r="M270" s="42" t="str">
        <f>IF(SUMIFS(Sheet2!$E:$E,Sheet2!$C:$C,$A270,Sheet2!$A:$A,M$2)&lt;&gt;0,SUMIFS(Sheet2!$E:$E,Sheet2!$C:$C,$A270,Sheet2!$A:$A,M$2),"")</f>
        <v/>
      </c>
      <c r="N270" s="42" t="str">
        <f>IF(SUMIFS(Sheet2!$E:$E,Sheet2!$C:$C,$A270,Sheet2!$A:$A,N$2)&lt;&gt;0,SUMIFS(Sheet2!$E:$E,Sheet2!$C:$C,$A270,Sheet2!$A:$A,N$2),"")</f>
        <v/>
      </c>
      <c r="O270" s="42" t="str">
        <f>IF(SUMIFS(Sheet2!$E:$E,Sheet2!$C:$C,$A270,Sheet2!$A:$A,O$2)&lt;&gt;0,SUMIFS(Sheet2!$E:$E,Sheet2!$C:$C,$A270,Sheet2!$A:$A,O$2),"")</f>
        <v/>
      </c>
      <c r="P270" s="42" t="str">
        <f>IF(SUMIFS(Sheet2!$E:$E,Sheet2!$C:$C,$A270,Sheet2!$A:$A,P$2)&lt;&gt;0,SUMIFS(Sheet2!$E:$E,Sheet2!$C:$C,$A270,Sheet2!$A:$A,P$2),"")</f>
        <v/>
      </c>
      <c r="Q270" s="42" t="str">
        <f>IF(SUMIFS(Sheet2!$E:$E,Sheet2!$C:$C,$A270,Sheet2!$A:$A,Q$2)&lt;&gt;0,SUMIFS(Sheet2!$E:$E,Sheet2!$C:$C,$A270,Sheet2!$A:$A,Q$2),"")</f>
        <v/>
      </c>
      <c r="R270" s="42" t="str">
        <f>IF(SUMIFS(Sheet2!$E:$E,Sheet2!$C:$C,$A270,Sheet2!$A:$A,R$2)&lt;&gt;0,SUMIFS(Sheet2!$E:$E,Sheet2!$C:$C,$A270,Sheet2!$A:$A,R$2),"")</f>
        <v/>
      </c>
      <c r="S270" s="42" t="str">
        <f>IF(SUMIFS(Sheet2!$E:$E,Sheet2!$C:$C,$A270,Sheet2!$A:$A,S$2)&lt;&gt;0,SUMIFS(Sheet2!$E:$E,Sheet2!$C:$C,$A270,Sheet2!$A:$A,S$2),"")</f>
        <v/>
      </c>
      <c r="T270" s="42" t="str">
        <f>IF(SUMIFS(Sheet2!$E:$E,Sheet2!$C:$C,$A270,Sheet2!$A:$A,T$2)&lt;&gt;0,SUMIFS(Sheet2!$E:$E,Sheet2!$C:$C,$A270,Sheet2!$A:$A,T$2),"")</f>
        <v/>
      </c>
      <c r="U270" s="42" t="str">
        <f>IF(SUMIFS(Sheet2!$E:$E,Sheet2!$C:$C,$A270,Sheet2!$A:$A,U$2)&lt;&gt;0,SUMIFS(Sheet2!$E:$E,Sheet2!$C:$C,$A270,Sheet2!$A:$A,U$2),"")</f>
        <v/>
      </c>
      <c r="V270" s="42" t="str">
        <f>IF(SUMIFS(Sheet2!$E:$E,Sheet2!$C:$C,$A270,Sheet2!$A:$A,V$2)&lt;&gt;0,SUMIFS(Sheet2!$E:$E,Sheet2!$C:$C,$A270,Sheet2!$A:$A,V$2),"")</f>
        <v/>
      </c>
      <c r="W270" s="42" t="str">
        <f>IF(SUMIFS(Sheet2!$E:$E,Sheet2!$C:$C,$A270,Sheet2!$A:$A,W$2)&lt;&gt;0,SUMIFS(Sheet2!$E:$E,Sheet2!$C:$C,$A270,Sheet2!$A:$A,W$2),"")</f>
        <v/>
      </c>
      <c r="X270" s="42" t="str">
        <f>IF(SUMIFS(Sheet2!$E:$E,Sheet2!$C:$C,$A270,Sheet2!$A:$A,X$2)&lt;&gt;0,SUMIFS(Sheet2!$E:$E,Sheet2!$C:$C,$A270,Sheet2!$A:$A,X$2),"")</f>
        <v/>
      </c>
      <c r="Y270" s="42" t="str">
        <f>IF(SUMIFS(Sheet2!$E:$E,Sheet2!$C:$C,$A270,Sheet2!$A:$A,Y$2)&lt;&gt;0,SUMIFS(Sheet2!$E:$E,Sheet2!$C:$C,$A270,Sheet2!$A:$A,Y$2),"")</f>
        <v/>
      </c>
      <c r="Z270" s="42" t="str">
        <f>IF(SUMIFS(Sheet2!$E:$E,Sheet2!$C:$C,$A270,Sheet2!$A:$A,Z$2)&lt;&gt;0,SUMIFS(Sheet2!$E:$E,Sheet2!$C:$C,$A270,Sheet2!$A:$A,Z$2),"")</f>
        <v/>
      </c>
      <c r="AA270" s="42" t="str">
        <f>IF(SUMIFS(Sheet2!$E:$E,Sheet2!$C:$C,$A270,Sheet2!$A:$A,AA$2)&lt;&gt;0,SUMIFS(Sheet2!$E:$E,Sheet2!$C:$C,$A270,Sheet2!$A:$A,AA$2),"")</f>
        <v/>
      </c>
      <c r="AB270" s="42" t="str">
        <f>IF(SUMIFS(Sheet2!$E:$E,Sheet2!$C:$C,$A270,Sheet2!$A:$A,AB$2)&lt;&gt;0,SUMIFS(Sheet2!$E:$E,Sheet2!$C:$C,$A270,Sheet2!$A:$A,AB$2),"")</f>
        <v/>
      </c>
      <c r="AC270" s="42" t="str">
        <f>IF(SUMIFS(Sheet2!$E:$E,Sheet2!$C:$C,$A270,Sheet2!$A:$A,AC$2)&lt;&gt;0,SUMIFS(Sheet2!$E:$E,Sheet2!$C:$C,$A270,Sheet2!$A:$A,AC$2),"")</f>
        <v/>
      </c>
      <c r="AD270" s="42" t="str">
        <f>IF(SUMIFS(Sheet2!$E:$E,Sheet2!$C:$C,$A270,Sheet2!$A:$A,AD$2)&lt;&gt;0,SUMIFS(Sheet2!$E:$E,Sheet2!$C:$C,$A270,Sheet2!$A:$A,AD$2),"")</f>
        <v/>
      </c>
      <c r="AE270" s="42" t="str">
        <f>IF(SUMIFS(Sheet2!$E:$E,Sheet2!$C:$C,$A270,Sheet2!$A:$A,AE$2)&lt;&gt;0,SUMIFS(Sheet2!$E:$E,Sheet2!$C:$C,$A270,Sheet2!$A:$A,AE$2),"")</f>
        <v/>
      </c>
      <c r="AF270" s="42" t="str">
        <f>IF(SUMIFS(Sheet2!$E:$E,Sheet2!$C:$C,$A270,Sheet2!$A:$A,AF$2)&lt;&gt;0,SUMIFS(Sheet2!$E:$E,Sheet2!$C:$C,$A270,Sheet2!$A:$A,AF$2),"")</f>
        <v/>
      </c>
      <c r="AG270" s="42" t="str">
        <f>IF(SUMIFS(Sheet2!$E:$E,Sheet2!$C:$C,$A270,Sheet2!$A:$A,AG$2)&lt;&gt;0,SUMIFS(Sheet2!$E:$E,Sheet2!$C:$C,$A270,Sheet2!$A:$A,AG$2),"")</f>
        <v/>
      </c>
      <c r="AH270" s="43">
        <f>SUM(Table2[[#This Row],[1]:[31]])</f>
        <v>0</v>
      </c>
    </row>
    <row r="271" spans="1:34" ht="12.75" customHeight="1">
      <c r="A271" s="76" t="str">
        <f>DSSP!A270</f>
        <v>CB07</v>
      </c>
      <c r="B271" s="25" t="str">
        <f>DSSP!B270</f>
        <v>Vải dạ nỉ advanced</v>
      </c>
      <c r="C271" s="42" t="str">
        <f>IF(SUMIFS(Sheet2!$E:$E,Sheet2!$C:$C,$A271,Sheet2!$A:$A,C$2)&lt;&gt;0,SUMIFS(Sheet2!$E:$E,Sheet2!$C:$C,$A271,Sheet2!$A:$A,C$2),"")</f>
        <v/>
      </c>
      <c r="D271" s="42" t="str">
        <f>IF(SUMIFS(Sheet2!$E:$E,Sheet2!$C:$C,$A271,Sheet2!$A:$A,D$2)&lt;&gt;0,SUMIFS(Sheet2!$E:$E,Sheet2!$C:$C,$A271,Sheet2!$A:$A,D$2),"")</f>
        <v/>
      </c>
      <c r="E271" s="42" t="str">
        <f>IF(SUMIFS(Sheet2!$E:$E,Sheet2!$C:$C,$A271,Sheet2!$A:$A,E$2)&lt;&gt;0,SUMIFS(Sheet2!$E:$E,Sheet2!$C:$C,$A271,Sheet2!$A:$A,E$2),"")</f>
        <v/>
      </c>
      <c r="F271" s="42" t="str">
        <f>IF(SUMIFS(Sheet2!$E:$E,Sheet2!$C:$C,$A271,Sheet2!$A:$A,F$2)&lt;&gt;0,SUMIFS(Sheet2!$E:$E,Sheet2!$C:$C,$A271,Sheet2!$A:$A,F$2),"")</f>
        <v/>
      </c>
      <c r="G271" s="42" t="str">
        <f>IF(SUMIFS(Sheet2!$E:$E,Sheet2!$C:$C,$A271,Sheet2!$A:$A,G$2)&lt;&gt;0,SUMIFS(Sheet2!$E:$E,Sheet2!$C:$C,$A271,Sheet2!$A:$A,G$2),"")</f>
        <v/>
      </c>
      <c r="H271" s="42" t="str">
        <f>IF(SUMIFS(Sheet2!$E:$E,Sheet2!$C:$C,$A271,Sheet2!$A:$A,H$2)&lt;&gt;0,SUMIFS(Sheet2!$E:$E,Sheet2!$C:$C,$A271,Sheet2!$A:$A,H$2),"")</f>
        <v/>
      </c>
      <c r="I271" s="42" t="str">
        <f>IF(SUMIFS(Sheet2!$E:$E,Sheet2!$C:$C,$A271,Sheet2!$A:$A,I$2)&lt;&gt;0,SUMIFS(Sheet2!$E:$E,Sheet2!$C:$C,$A271,Sheet2!$A:$A,I$2),"")</f>
        <v/>
      </c>
      <c r="J271" s="42" t="str">
        <f>IF(SUMIFS(Sheet2!$E:$E,Sheet2!$C:$C,$A271,Sheet2!$A:$A,J$2)&lt;&gt;0,SUMIFS(Sheet2!$E:$E,Sheet2!$C:$C,$A271,Sheet2!$A:$A,J$2),"")</f>
        <v/>
      </c>
      <c r="K271" s="42" t="str">
        <f>IF(SUMIFS(Sheet2!$E:$E,Sheet2!$C:$C,$A271,Sheet2!$A:$A,K$2)&lt;&gt;0,SUMIFS(Sheet2!$E:$E,Sheet2!$C:$C,$A271,Sheet2!$A:$A,K$2),"")</f>
        <v/>
      </c>
      <c r="L271" s="42" t="str">
        <f>IF(SUMIFS(Sheet2!$E:$E,Sheet2!$C:$C,$A271,Sheet2!$A:$A,L$2)&lt;&gt;0,SUMIFS(Sheet2!$E:$E,Sheet2!$C:$C,$A271,Sheet2!$A:$A,L$2),"")</f>
        <v/>
      </c>
      <c r="M271" s="42" t="str">
        <f>IF(SUMIFS(Sheet2!$E:$E,Sheet2!$C:$C,$A271,Sheet2!$A:$A,M$2)&lt;&gt;0,SUMIFS(Sheet2!$E:$E,Sheet2!$C:$C,$A271,Sheet2!$A:$A,M$2),"")</f>
        <v/>
      </c>
      <c r="N271" s="42" t="str">
        <f>IF(SUMIFS(Sheet2!$E:$E,Sheet2!$C:$C,$A271,Sheet2!$A:$A,N$2)&lt;&gt;0,SUMIFS(Sheet2!$E:$E,Sheet2!$C:$C,$A271,Sheet2!$A:$A,N$2),"")</f>
        <v/>
      </c>
      <c r="O271" s="42" t="str">
        <f>IF(SUMIFS(Sheet2!$E:$E,Sheet2!$C:$C,$A271,Sheet2!$A:$A,O$2)&lt;&gt;0,SUMIFS(Sheet2!$E:$E,Sheet2!$C:$C,$A271,Sheet2!$A:$A,O$2),"")</f>
        <v/>
      </c>
      <c r="P271" s="42" t="str">
        <f>IF(SUMIFS(Sheet2!$E:$E,Sheet2!$C:$C,$A271,Sheet2!$A:$A,P$2)&lt;&gt;0,SUMIFS(Sheet2!$E:$E,Sheet2!$C:$C,$A271,Sheet2!$A:$A,P$2),"")</f>
        <v/>
      </c>
      <c r="Q271" s="42" t="str">
        <f>IF(SUMIFS(Sheet2!$E:$E,Sheet2!$C:$C,$A271,Sheet2!$A:$A,Q$2)&lt;&gt;0,SUMIFS(Sheet2!$E:$E,Sheet2!$C:$C,$A271,Sheet2!$A:$A,Q$2),"")</f>
        <v/>
      </c>
      <c r="R271" s="42" t="str">
        <f>IF(SUMIFS(Sheet2!$E:$E,Sheet2!$C:$C,$A271,Sheet2!$A:$A,R$2)&lt;&gt;0,SUMIFS(Sheet2!$E:$E,Sheet2!$C:$C,$A271,Sheet2!$A:$A,R$2),"")</f>
        <v/>
      </c>
      <c r="S271" s="42" t="str">
        <f>IF(SUMIFS(Sheet2!$E:$E,Sheet2!$C:$C,$A271,Sheet2!$A:$A,S$2)&lt;&gt;0,SUMIFS(Sheet2!$E:$E,Sheet2!$C:$C,$A271,Sheet2!$A:$A,S$2),"")</f>
        <v/>
      </c>
      <c r="T271" s="42" t="str">
        <f>IF(SUMIFS(Sheet2!$E:$E,Sheet2!$C:$C,$A271,Sheet2!$A:$A,T$2)&lt;&gt;0,SUMIFS(Sheet2!$E:$E,Sheet2!$C:$C,$A271,Sheet2!$A:$A,T$2),"")</f>
        <v/>
      </c>
      <c r="U271" s="42" t="str">
        <f>IF(SUMIFS(Sheet2!$E:$E,Sheet2!$C:$C,$A271,Sheet2!$A:$A,U$2)&lt;&gt;0,SUMIFS(Sheet2!$E:$E,Sheet2!$C:$C,$A271,Sheet2!$A:$A,U$2),"")</f>
        <v/>
      </c>
      <c r="V271" s="42" t="str">
        <f>IF(SUMIFS(Sheet2!$E:$E,Sheet2!$C:$C,$A271,Sheet2!$A:$A,V$2)&lt;&gt;0,SUMIFS(Sheet2!$E:$E,Sheet2!$C:$C,$A271,Sheet2!$A:$A,V$2),"")</f>
        <v/>
      </c>
      <c r="W271" s="42" t="str">
        <f>IF(SUMIFS(Sheet2!$E:$E,Sheet2!$C:$C,$A271,Sheet2!$A:$A,W$2)&lt;&gt;0,SUMIFS(Sheet2!$E:$E,Sheet2!$C:$C,$A271,Sheet2!$A:$A,W$2),"")</f>
        <v/>
      </c>
      <c r="X271" s="42" t="str">
        <f>IF(SUMIFS(Sheet2!$E:$E,Sheet2!$C:$C,$A271,Sheet2!$A:$A,X$2)&lt;&gt;0,SUMIFS(Sheet2!$E:$E,Sheet2!$C:$C,$A271,Sheet2!$A:$A,X$2),"")</f>
        <v/>
      </c>
      <c r="Y271" s="42" t="str">
        <f>IF(SUMIFS(Sheet2!$E:$E,Sheet2!$C:$C,$A271,Sheet2!$A:$A,Y$2)&lt;&gt;0,SUMIFS(Sheet2!$E:$E,Sheet2!$C:$C,$A271,Sheet2!$A:$A,Y$2),"")</f>
        <v/>
      </c>
      <c r="Z271" s="42" t="str">
        <f>IF(SUMIFS(Sheet2!$E:$E,Sheet2!$C:$C,$A271,Sheet2!$A:$A,Z$2)&lt;&gt;0,SUMIFS(Sheet2!$E:$E,Sheet2!$C:$C,$A271,Sheet2!$A:$A,Z$2),"")</f>
        <v/>
      </c>
      <c r="AA271" s="42" t="str">
        <f>IF(SUMIFS(Sheet2!$E:$E,Sheet2!$C:$C,$A271,Sheet2!$A:$A,AA$2)&lt;&gt;0,SUMIFS(Sheet2!$E:$E,Sheet2!$C:$C,$A271,Sheet2!$A:$A,AA$2),"")</f>
        <v/>
      </c>
      <c r="AB271" s="42" t="str">
        <f>IF(SUMIFS(Sheet2!$E:$E,Sheet2!$C:$C,$A271,Sheet2!$A:$A,AB$2)&lt;&gt;0,SUMIFS(Sheet2!$E:$E,Sheet2!$C:$C,$A271,Sheet2!$A:$A,AB$2),"")</f>
        <v/>
      </c>
      <c r="AC271" s="42" t="str">
        <f>IF(SUMIFS(Sheet2!$E:$E,Sheet2!$C:$C,$A271,Sheet2!$A:$A,AC$2)&lt;&gt;0,SUMIFS(Sheet2!$E:$E,Sheet2!$C:$C,$A271,Sheet2!$A:$A,AC$2),"")</f>
        <v/>
      </c>
      <c r="AD271" s="42" t="str">
        <f>IF(SUMIFS(Sheet2!$E:$E,Sheet2!$C:$C,$A271,Sheet2!$A:$A,AD$2)&lt;&gt;0,SUMIFS(Sheet2!$E:$E,Sheet2!$C:$C,$A271,Sheet2!$A:$A,AD$2),"")</f>
        <v/>
      </c>
      <c r="AE271" s="42" t="str">
        <f>IF(SUMIFS(Sheet2!$E:$E,Sheet2!$C:$C,$A271,Sheet2!$A:$A,AE$2)&lt;&gt;0,SUMIFS(Sheet2!$E:$E,Sheet2!$C:$C,$A271,Sheet2!$A:$A,AE$2),"")</f>
        <v/>
      </c>
      <c r="AF271" s="42" t="str">
        <f>IF(SUMIFS(Sheet2!$E:$E,Sheet2!$C:$C,$A271,Sheet2!$A:$A,AF$2)&lt;&gt;0,SUMIFS(Sheet2!$E:$E,Sheet2!$C:$C,$A271,Sheet2!$A:$A,AF$2),"")</f>
        <v/>
      </c>
      <c r="AG271" s="42" t="str">
        <f>IF(SUMIFS(Sheet2!$E:$E,Sheet2!$C:$C,$A271,Sheet2!$A:$A,AG$2)&lt;&gt;0,SUMIFS(Sheet2!$E:$E,Sheet2!$C:$C,$A271,Sheet2!$A:$A,AG$2),"")</f>
        <v/>
      </c>
      <c r="AH271" s="43">
        <f>SUM(Table2[[#This Row],[1]:[31]])</f>
        <v>0</v>
      </c>
    </row>
    <row r="272" spans="1:34" ht="12.75" customHeight="1">
      <c r="A272" s="76" t="str">
        <f>DSSP!A271</f>
        <v>CB08</v>
      </c>
      <c r="B272" s="25" t="str">
        <f>DSSP!B271</f>
        <v>Vải nỉ HQ basic</v>
      </c>
      <c r="C272" s="42" t="str">
        <f>IF(SUMIFS(Sheet2!$E:$E,Sheet2!$C:$C,$A272,Sheet2!$A:$A,C$2)&lt;&gt;0,SUMIFS(Sheet2!$E:$E,Sheet2!$C:$C,$A272,Sheet2!$A:$A,C$2),"")</f>
        <v/>
      </c>
      <c r="D272" s="42" t="str">
        <f>IF(SUMIFS(Sheet2!$E:$E,Sheet2!$C:$C,$A272,Sheet2!$A:$A,D$2)&lt;&gt;0,SUMIFS(Sheet2!$E:$E,Sheet2!$C:$C,$A272,Sheet2!$A:$A,D$2),"")</f>
        <v/>
      </c>
      <c r="E272" s="42" t="str">
        <f>IF(SUMIFS(Sheet2!$E:$E,Sheet2!$C:$C,$A272,Sheet2!$A:$A,E$2)&lt;&gt;0,SUMIFS(Sheet2!$E:$E,Sheet2!$C:$C,$A272,Sheet2!$A:$A,E$2),"")</f>
        <v/>
      </c>
      <c r="F272" s="42" t="str">
        <f>IF(SUMIFS(Sheet2!$E:$E,Sheet2!$C:$C,$A272,Sheet2!$A:$A,F$2)&lt;&gt;0,SUMIFS(Sheet2!$E:$E,Sheet2!$C:$C,$A272,Sheet2!$A:$A,F$2),"")</f>
        <v/>
      </c>
      <c r="G272" s="42" t="str">
        <f>IF(SUMIFS(Sheet2!$E:$E,Sheet2!$C:$C,$A272,Sheet2!$A:$A,G$2)&lt;&gt;0,SUMIFS(Sheet2!$E:$E,Sheet2!$C:$C,$A272,Sheet2!$A:$A,G$2),"")</f>
        <v/>
      </c>
      <c r="H272" s="42" t="str">
        <f>IF(SUMIFS(Sheet2!$E:$E,Sheet2!$C:$C,$A272,Sheet2!$A:$A,H$2)&lt;&gt;0,SUMIFS(Sheet2!$E:$E,Sheet2!$C:$C,$A272,Sheet2!$A:$A,H$2),"")</f>
        <v/>
      </c>
      <c r="I272" s="42" t="str">
        <f>IF(SUMIFS(Sheet2!$E:$E,Sheet2!$C:$C,$A272,Sheet2!$A:$A,I$2)&lt;&gt;0,SUMIFS(Sheet2!$E:$E,Sheet2!$C:$C,$A272,Sheet2!$A:$A,I$2),"")</f>
        <v/>
      </c>
      <c r="J272" s="42" t="str">
        <f>IF(SUMIFS(Sheet2!$E:$E,Sheet2!$C:$C,$A272,Sheet2!$A:$A,J$2)&lt;&gt;0,SUMIFS(Sheet2!$E:$E,Sheet2!$C:$C,$A272,Sheet2!$A:$A,J$2),"")</f>
        <v/>
      </c>
      <c r="K272" s="42" t="str">
        <f>IF(SUMIFS(Sheet2!$E:$E,Sheet2!$C:$C,$A272,Sheet2!$A:$A,K$2)&lt;&gt;0,SUMIFS(Sheet2!$E:$E,Sheet2!$C:$C,$A272,Sheet2!$A:$A,K$2),"")</f>
        <v/>
      </c>
      <c r="L272" s="42" t="str">
        <f>IF(SUMIFS(Sheet2!$E:$E,Sheet2!$C:$C,$A272,Sheet2!$A:$A,L$2)&lt;&gt;0,SUMIFS(Sheet2!$E:$E,Sheet2!$C:$C,$A272,Sheet2!$A:$A,L$2),"")</f>
        <v/>
      </c>
      <c r="M272" s="42" t="str">
        <f>IF(SUMIFS(Sheet2!$E:$E,Sheet2!$C:$C,$A272,Sheet2!$A:$A,M$2)&lt;&gt;0,SUMIFS(Sheet2!$E:$E,Sheet2!$C:$C,$A272,Sheet2!$A:$A,M$2),"")</f>
        <v/>
      </c>
      <c r="N272" s="42" t="str">
        <f>IF(SUMIFS(Sheet2!$E:$E,Sheet2!$C:$C,$A272,Sheet2!$A:$A,N$2)&lt;&gt;0,SUMIFS(Sheet2!$E:$E,Sheet2!$C:$C,$A272,Sheet2!$A:$A,N$2),"")</f>
        <v/>
      </c>
      <c r="O272" s="42" t="str">
        <f>IF(SUMIFS(Sheet2!$E:$E,Sheet2!$C:$C,$A272,Sheet2!$A:$A,O$2)&lt;&gt;0,SUMIFS(Sheet2!$E:$E,Sheet2!$C:$C,$A272,Sheet2!$A:$A,O$2),"")</f>
        <v/>
      </c>
      <c r="P272" s="42" t="str">
        <f>IF(SUMIFS(Sheet2!$E:$E,Sheet2!$C:$C,$A272,Sheet2!$A:$A,P$2)&lt;&gt;0,SUMIFS(Sheet2!$E:$E,Sheet2!$C:$C,$A272,Sheet2!$A:$A,P$2),"")</f>
        <v/>
      </c>
      <c r="Q272" s="42" t="str">
        <f>IF(SUMIFS(Sheet2!$E:$E,Sheet2!$C:$C,$A272,Sheet2!$A:$A,Q$2)&lt;&gt;0,SUMIFS(Sheet2!$E:$E,Sheet2!$C:$C,$A272,Sheet2!$A:$A,Q$2),"")</f>
        <v/>
      </c>
      <c r="R272" s="42" t="str">
        <f>IF(SUMIFS(Sheet2!$E:$E,Sheet2!$C:$C,$A272,Sheet2!$A:$A,R$2)&lt;&gt;0,SUMIFS(Sheet2!$E:$E,Sheet2!$C:$C,$A272,Sheet2!$A:$A,R$2),"")</f>
        <v/>
      </c>
      <c r="S272" s="42" t="str">
        <f>IF(SUMIFS(Sheet2!$E:$E,Sheet2!$C:$C,$A272,Sheet2!$A:$A,S$2)&lt;&gt;0,SUMIFS(Sheet2!$E:$E,Sheet2!$C:$C,$A272,Sheet2!$A:$A,S$2),"")</f>
        <v/>
      </c>
      <c r="T272" s="42" t="str">
        <f>IF(SUMIFS(Sheet2!$E:$E,Sheet2!$C:$C,$A272,Sheet2!$A:$A,T$2)&lt;&gt;0,SUMIFS(Sheet2!$E:$E,Sheet2!$C:$C,$A272,Sheet2!$A:$A,T$2),"")</f>
        <v/>
      </c>
      <c r="U272" s="42" t="str">
        <f>IF(SUMIFS(Sheet2!$E:$E,Sheet2!$C:$C,$A272,Sheet2!$A:$A,U$2)&lt;&gt;0,SUMIFS(Sheet2!$E:$E,Sheet2!$C:$C,$A272,Sheet2!$A:$A,U$2),"")</f>
        <v/>
      </c>
      <c r="V272" s="42" t="str">
        <f>IF(SUMIFS(Sheet2!$E:$E,Sheet2!$C:$C,$A272,Sheet2!$A:$A,V$2)&lt;&gt;0,SUMIFS(Sheet2!$E:$E,Sheet2!$C:$C,$A272,Sheet2!$A:$A,V$2),"")</f>
        <v/>
      </c>
      <c r="W272" s="42" t="str">
        <f>IF(SUMIFS(Sheet2!$E:$E,Sheet2!$C:$C,$A272,Sheet2!$A:$A,W$2)&lt;&gt;0,SUMIFS(Sheet2!$E:$E,Sheet2!$C:$C,$A272,Sheet2!$A:$A,W$2),"")</f>
        <v/>
      </c>
      <c r="X272" s="42" t="str">
        <f>IF(SUMIFS(Sheet2!$E:$E,Sheet2!$C:$C,$A272,Sheet2!$A:$A,X$2)&lt;&gt;0,SUMIFS(Sheet2!$E:$E,Sheet2!$C:$C,$A272,Sheet2!$A:$A,X$2),"")</f>
        <v/>
      </c>
      <c r="Y272" s="42" t="str">
        <f>IF(SUMIFS(Sheet2!$E:$E,Sheet2!$C:$C,$A272,Sheet2!$A:$A,Y$2)&lt;&gt;0,SUMIFS(Sheet2!$E:$E,Sheet2!$C:$C,$A272,Sheet2!$A:$A,Y$2),"")</f>
        <v/>
      </c>
      <c r="Z272" s="42" t="str">
        <f>IF(SUMIFS(Sheet2!$E:$E,Sheet2!$C:$C,$A272,Sheet2!$A:$A,Z$2)&lt;&gt;0,SUMIFS(Sheet2!$E:$E,Sheet2!$C:$C,$A272,Sheet2!$A:$A,Z$2),"")</f>
        <v/>
      </c>
      <c r="AA272" s="42" t="str">
        <f>IF(SUMIFS(Sheet2!$E:$E,Sheet2!$C:$C,$A272,Sheet2!$A:$A,AA$2)&lt;&gt;0,SUMIFS(Sheet2!$E:$E,Sheet2!$C:$C,$A272,Sheet2!$A:$A,AA$2),"")</f>
        <v/>
      </c>
      <c r="AB272" s="42" t="str">
        <f>IF(SUMIFS(Sheet2!$E:$E,Sheet2!$C:$C,$A272,Sheet2!$A:$A,AB$2)&lt;&gt;0,SUMIFS(Sheet2!$E:$E,Sheet2!$C:$C,$A272,Sheet2!$A:$A,AB$2),"")</f>
        <v/>
      </c>
      <c r="AC272" s="42" t="str">
        <f>IF(SUMIFS(Sheet2!$E:$E,Sheet2!$C:$C,$A272,Sheet2!$A:$A,AC$2)&lt;&gt;0,SUMIFS(Sheet2!$E:$E,Sheet2!$C:$C,$A272,Sheet2!$A:$A,AC$2),"")</f>
        <v/>
      </c>
      <c r="AD272" s="42" t="str">
        <f>IF(SUMIFS(Sheet2!$E:$E,Sheet2!$C:$C,$A272,Sheet2!$A:$A,AD$2)&lt;&gt;0,SUMIFS(Sheet2!$E:$E,Sheet2!$C:$C,$A272,Sheet2!$A:$A,AD$2),"")</f>
        <v/>
      </c>
      <c r="AE272" s="42" t="str">
        <f>IF(SUMIFS(Sheet2!$E:$E,Sheet2!$C:$C,$A272,Sheet2!$A:$A,AE$2)&lt;&gt;0,SUMIFS(Sheet2!$E:$E,Sheet2!$C:$C,$A272,Sheet2!$A:$A,AE$2),"")</f>
        <v/>
      </c>
      <c r="AF272" s="42" t="str">
        <f>IF(SUMIFS(Sheet2!$E:$E,Sheet2!$C:$C,$A272,Sheet2!$A:$A,AF$2)&lt;&gt;0,SUMIFS(Sheet2!$E:$E,Sheet2!$C:$C,$A272,Sheet2!$A:$A,AF$2),"")</f>
        <v/>
      </c>
      <c r="AG272" s="42" t="str">
        <f>IF(SUMIFS(Sheet2!$E:$E,Sheet2!$C:$C,$A272,Sheet2!$A:$A,AG$2)&lt;&gt;0,SUMIFS(Sheet2!$E:$E,Sheet2!$C:$C,$A272,Sheet2!$A:$A,AG$2),"")</f>
        <v/>
      </c>
      <c r="AH272" s="43">
        <f>SUM(Table2[[#This Row],[1]:[31]])</f>
        <v>0</v>
      </c>
    </row>
    <row r="273" spans="1:34" ht="12.75" customHeight="1">
      <c r="A273" s="76" t="str">
        <f>DSSP!A272</f>
        <v>CB09</v>
      </c>
      <c r="B273" s="25" t="str">
        <f>DSSP!B272</f>
        <v>Vải nỉ HQ advanced</v>
      </c>
      <c r="C273" s="42" t="str">
        <f>IF(SUMIFS(Sheet2!$E:$E,Sheet2!$C:$C,$A273,Sheet2!$A:$A,C$2)&lt;&gt;0,SUMIFS(Sheet2!$E:$E,Sheet2!$C:$C,$A273,Sheet2!$A:$A,C$2),"")</f>
        <v/>
      </c>
      <c r="D273" s="42" t="str">
        <f>IF(SUMIFS(Sheet2!$E:$E,Sheet2!$C:$C,$A273,Sheet2!$A:$A,D$2)&lt;&gt;0,SUMIFS(Sheet2!$E:$E,Sheet2!$C:$C,$A273,Sheet2!$A:$A,D$2),"")</f>
        <v/>
      </c>
      <c r="E273" s="42" t="str">
        <f>IF(SUMIFS(Sheet2!$E:$E,Sheet2!$C:$C,$A273,Sheet2!$A:$A,E$2)&lt;&gt;0,SUMIFS(Sheet2!$E:$E,Sheet2!$C:$C,$A273,Sheet2!$A:$A,E$2),"")</f>
        <v/>
      </c>
      <c r="F273" s="42" t="str">
        <f>IF(SUMIFS(Sheet2!$E:$E,Sheet2!$C:$C,$A273,Sheet2!$A:$A,F$2)&lt;&gt;0,SUMIFS(Sheet2!$E:$E,Sheet2!$C:$C,$A273,Sheet2!$A:$A,F$2),"")</f>
        <v/>
      </c>
      <c r="G273" s="42" t="str">
        <f>IF(SUMIFS(Sheet2!$E:$E,Sheet2!$C:$C,$A273,Sheet2!$A:$A,G$2)&lt;&gt;0,SUMIFS(Sheet2!$E:$E,Sheet2!$C:$C,$A273,Sheet2!$A:$A,G$2),"")</f>
        <v/>
      </c>
      <c r="H273" s="42" t="str">
        <f>IF(SUMIFS(Sheet2!$E:$E,Sheet2!$C:$C,$A273,Sheet2!$A:$A,H$2)&lt;&gt;0,SUMIFS(Sheet2!$E:$E,Sheet2!$C:$C,$A273,Sheet2!$A:$A,H$2),"")</f>
        <v/>
      </c>
      <c r="I273" s="42" t="str">
        <f>IF(SUMIFS(Sheet2!$E:$E,Sheet2!$C:$C,$A273,Sheet2!$A:$A,I$2)&lt;&gt;0,SUMIFS(Sheet2!$E:$E,Sheet2!$C:$C,$A273,Sheet2!$A:$A,I$2),"")</f>
        <v/>
      </c>
      <c r="J273" s="42" t="str">
        <f>IF(SUMIFS(Sheet2!$E:$E,Sheet2!$C:$C,$A273,Sheet2!$A:$A,J$2)&lt;&gt;0,SUMIFS(Sheet2!$E:$E,Sheet2!$C:$C,$A273,Sheet2!$A:$A,J$2),"")</f>
        <v/>
      </c>
      <c r="K273" s="42" t="str">
        <f>IF(SUMIFS(Sheet2!$E:$E,Sheet2!$C:$C,$A273,Sheet2!$A:$A,K$2)&lt;&gt;0,SUMIFS(Sheet2!$E:$E,Sheet2!$C:$C,$A273,Sheet2!$A:$A,K$2),"")</f>
        <v/>
      </c>
      <c r="L273" s="42" t="str">
        <f>IF(SUMIFS(Sheet2!$E:$E,Sheet2!$C:$C,$A273,Sheet2!$A:$A,L$2)&lt;&gt;0,SUMIFS(Sheet2!$E:$E,Sheet2!$C:$C,$A273,Sheet2!$A:$A,L$2),"")</f>
        <v/>
      </c>
      <c r="M273" s="42" t="str">
        <f>IF(SUMIFS(Sheet2!$E:$E,Sheet2!$C:$C,$A273,Sheet2!$A:$A,M$2)&lt;&gt;0,SUMIFS(Sheet2!$E:$E,Sheet2!$C:$C,$A273,Sheet2!$A:$A,M$2),"")</f>
        <v/>
      </c>
      <c r="N273" s="42" t="str">
        <f>IF(SUMIFS(Sheet2!$E:$E,Sheet2!$C:$C,$A273,Sheet2!$A:$A,N$2)&lt;&gt;0,SUMIFS(Sheet2!$E:$E,Sheet2!$C:$C,$A273,Sheet2!$A:$A,N$2),"")</f>
        <v/>
      </c>
      <c r="O273" s="42" t="str">
        <f>IF(SUMIFS(Sheet2!$E:$E,Sheet2!$C:$C,$A273,Sheet2!$A:$A,O$2)&lt;&gt;0,SUMIFS(Sheet2!$E:$E,Sheet2!$C:$C,$A273,Sheet2!$A:$A,O$2),"")</f>
        <v/>
      </c>
      <c r="P273" s="42" t="str">
        <f>IF(SUMIFS(Sheet2!$E:$E,Sheet2!$C:$C,$A273,Sheet2!$A:$A,P$2)&lt;&gt;0,SUMIFS(Sheet2!$E:$E,Sheet2!$C:$C,$A273,Sheet2!$A:$A,P$2),"")</f>
        <v/>
      </c>
      <c r="Q273" s="42" t="str">
        <f>IF(SUMIFS(Sheet2!$E:$E,Sheet2!$C:$C,$A273,Sheet2!$A:$A,Q$2)&lt;&gt;0,SUMIFS(Sheet2!$E:$E,Sheet2!$C:$C,$A273,Sheet2!$A:$A,Q$2),"")</f>
        <v/>
      </c>
      <c r="R273" s="42" t="str">
        <f>IF(SUMIFS(Sheet2!$E:$E,Sheet2!$C:$C,$A273,Sheet2!$A:$A,R$2)&lt;&gt;0,SUMIFS(Sheet2!$E:$E,Sheet2!$C:$C,$A273,Sheet2!$A:$A,R$2),"")</f>
        <v/>
      </c>
      <c r="S273" s="42" t="str">
        <f>IF(SUMIFS(Sheet2!$E:$E,Sheet2!$C:$C,$A273,Sheet2!$A:$A,S$2)&lt;&gt;0,SUMIFS(Sheet2!$E:$E,Sheet2!$C:$C,$A273,Sheet2!$A:$A,S$2),"")</f>
        <v/>
      </c>
      <c r="T273" s="42" t="str">
        <f>IF(SUMIFS(Sheet2!$E:$E,Sheet2!$C:$C,$A273,Sheet2!$A:$A,T$2)&lt;&gt;0,SUMIFS(Sheet2!$E:$E,Sheet2!$C:$C,$A273,Sheet2!$A:$A,T$2),"")</f>
        <v/>
      </c>
      <c r="U273" s="42" t="str">
        <f>IF(SUMIFS(Sheet2!$E:$E,Sheet2!$C:$C,$A273,Sheet2!$A:$A,U$2)&lt;&gt;0,SUMIFS(Sheet2!$E:$E,Sheet2!$C:$C,$A273,Sheet2!$A:$A,U$2),"")</f>
        <v/>
      </c>
      <c r="V273" s="42" t="str">
        <f>IF(SUMIFS(Sheet2!$E:$E,Sheet2!$C:$C,$A273,Sheet2!$A:$A,V$2)&lt;&gt;0,SUMIFS(Sheet2!$E:$E,Sheet2!$C:$C,$A273,Sheet2!$A:$A,V$2),"")</f>
        <v/>
      </c>
      <c r="W273" s="42" t="str">
        <f>IF(SUMIFS(Sheet2!$E:$E,Sheet2!$C:$C,$A273,Sheet2!$A:$A,W$2)&lt;&gt;0,SUMIFS(Sheet2!$E:$E,Sheet2!$C:$C,$A273,Sheet2!$A:$A,W$2),"")</f>
        <v/>
      </c>
      <c r="X273" s="42" t="str">
        <f>IF(SUMIFS(Sheet2!$E:$E,Sheet2!$C:$C,$A273,Sheet2!$A:$A,X$2)&lt;&gt;0,SUMIFS(Sheet2!$E:$E,Sheet2!$C:$C,$A273,Sheet2!$A:$A,X$2),"")</f>
        <v/>
      </c>
      <c r="Y273" s="42" t="str">
        <f>IF(SUMIFS(Sheet2!$E:$E,Sheet2!$C:$C,$A273,Sheet2!$A:$A,Y$2)&lt;&gt;0,SUMIFS(Sheet2!$E:$E,Sheet2!$C:$C,$A273,Sheet2!$A:$A,Y$2),"")</f>
        <v/>
      </c>
      <c r="Z273" s="42" t="str">
        <f>IF(SUMIFS(Sheet2!$E:$E,Sheet2!$C:$C,$A273,Sheet2!$A:$A,Z$2)&lt;&gt;0,SUMIFS(Sheet2!$E:$E,Sheet2!$C:$C,$A273,Sheet2!$A:$A,Z$2),"")</f>
        <v/>
      </c>
      <c r="AA273" s="42" t="str">
        <f>IF(SUMIFS(Sheet2!$E:$E,Sheet2!$C:$C,$A273,Sheet2!$A:$A,AA$2)&lt;&gt;0,SUMIFS(Sheet2!$E:$E,Sheet2!$C:$C,$A273,Sheet2!$A:$A,AA$2),"")</f>
        <v/>
      </c>
      <c r="AB273" s="42" t="str">
        <f>IF(SUMIFS(Sheet2!$E:$E,Sheet2!$C:$C,$A273,Sheet2!$A:$A,AB$2)&lt;&gt;0,SUMIFS(Sheet2!$E:$E,Sheet2!$C:$C,$A273,Sheet2!$A:$A,AB$2),"")</f>
        <v/>
      </c>
      <c r="AC273" s="42" t="str">
        <f>IF(SUMIFS(Sheet2!$E:$E,Sheet2!$C:$C,$A273,Sheet2!$A:$A,AC$2)&lt;&gt;0,SUMIFS(Sheet2!$E:$E,Sheet2!$C:$C,$A273,Sheet2!$A:$A,AC$2),"")</f>
        <v/>
      </c>
      <c r="AD273" s="42" t="str">
        <f>IF(SUMIFS(Sheet2!$E:$E,Sheet2!$C:$C,$A273,Sheet2!$A:$A,AD$2)&lt;&gt;0,SUMIFS(Sheet2!$E:$E,Sheet2!$C:$C,$A273,Sheet2!$A:$A,AD$2),"")</f>
        <v/>
      </c>
      <c r="AE273" s="42" t="str">
        <f>IF(SUMIFS(Sheet2!$E:$E,Sheet2!$C:$C,$A273,Sheet2!$A:$A,AE$2)&lt;&gt;0,SUMIFS(Sheet2!$E:$E,Sheet2!$C:$C,$A273,Sheet2!$A:$A,AE$2),"")</f>
        <v/>
      </c>
      <c r="AF273" s="42" t="str">
        <f>IF(SUMIFS(Sheet2!$E:$E,Sheet2!$C:$C,$A273,Sheet2!$A:$A,AF$2)&lt;&gt;0,SUMIFS(Sheet2!$E:$E,Sheet2!$C:$C,$A273,Sheet2!$A:$A,AF$2),"")</f>
        <v/>
      </c>
      <c r="AG273" s="42" t="str">
        <f>IF(SUMIFS(Sheet2!$E:$E,Sheet2!$C:$C,$A273,Sheet2!$A:$A,AG$2)&lt;&gt;0,SUMIFS(Sheet2!$E:$E,Sheet2!$C:$C,$A273,Sheet2!$A:$A,AG$2),"")</f>
        <v/>
      </c>
      <c r="AH273" s="43">
        <f>SUM(Table2[[#This Row],[1]:[31]])</f>
        <v>0</v>
      </c>
    </row>
    <row r="274" spans="1:34" ht="12.75" customHeight="1">
      <c r="A274" s="76" t="str">
        <f>DSSP!A273</f>
        <v>CB10</v>
      </c>
      <c r="B274" s="25" t="str">
        <f>DSSP!B273</f>
        <v>Mặt giả cổ hoàng đạo</v>
      </c>
      <c r="C274" s="42" t="str">
        <f>IF(SUMIFS(Sheet2!$E:$E,Sheet2!$C:$C,$A274,Sheet2!$A:$A,C$2)&lt;&gt;0,SUMIFS(Sheet2!$E:$E,Sheet2!$C:$C,$A274,Sheet2!$A:$A,C$2),"")</f>
        <v/>
      </c>
      <c r="D274" s="42" t="str">
        <f>IF(SUMIFS(Sheet2!$E:$E,Sheet2!$C:$C,$A274,Sheet2!$A:$A,D$2)&lt;&gt;0,SUMIFS(Sheet2!$E:$E,Sheet2!$C:$C,$A274,Sheet2!$A:$A,D$2),"")</f>
        <v/>
      </c>
      <c r="E274" s="42" t="str">
        <f>IF(SUMIFS(Sheet2!$E:$E,Sheet2!$C:$C,$A274,Sheet2!$A:$A,E$2)&lt;&gt;0,SUMIFS(Sheet2!$E:$E,Sheet2!$C:$C,$A274,Sheet2!$A:$A,E$2),"")</f>
        <v/>
      </c>
      <c r="F274" s="42" t="str">
        <f>IF(SUMIFS(Sheet2!$E:$E,Sheet2!$C:$C,$A274,Sheet2!$A:$A,F$2)&lt;&gt;0,SUMIFS(Sheet2!$E:$E,Sheet2!$C:$C,$A274,Sheet2!$A:$A,F$2),"")</f>
        <v/>
      </c>
      <c r="G274" s="42" t="str">
        <f>IF(SUMIFS(Sheet2!$E:$E,Sheet2!$C:$C,$A274,Sheet2!$A:$A,G$2)&lt;&gt;0,SUMIFS(Sheet2!$E:$E,Sheet2!$C:$C,$A274,Sheet2!$A:$A,G$2),"")</f>
        <v/>
      </c>
      <c r="H274" s="42" t="str">
        <f>IF(SUMIFS(Sheet2!$E:$E,Sheet2!$C:$C,$A274,Sheet2!$A:$A,H$2)&lt;&gt;0,SUMIFS(Sheet2!$E:$E,Sheet2!$C:$C,$A274,Sheet2!$A:$A,H$2),"")</f>
        <v/>
      </c>
      <c r="I274" s="42" t="str">
        <f>IF(SUMIFS(Sheet2!$E:$E,Sheet2!$C:$C,$A274,Sheet2!$A:$A,I$2)&lt;&gt;0,SUMIFS(Sheet2!$E:$E,Sheet2!$C:$C,$A274,Sheet2!$A:$A,I$2),"")</f>
        <v/>
      </c>
      <c r="J274" s="42" t="str">
        <f>IF(SUMIFS(Sheet2!$E:$E,Sheet2!$C:$C,$A274,Sheet2!$A:$A,J$2)&lt;&gt;0,SUMIFS(Sheet2!$E:$E,Sheet2!$C:$C,$A274,Sheet2!$A:$A,J$2),"")</f>
        <v/>
      </c>
      <c r="K274" s="42" t="str">
        <f>IF(SUMIFS(Sheet2!$E:$E,Sheet2!$C:$C,$A274,Sheet2!$A:$A,K$2)&lt;&gt;0,SUMIFS(Sheet2!$E:$E,Sheet2!$C:$C,$A274,Sheet2!$A:$A,K$2),"")</f>
        <v/>
      </c>
      <c r="L274" s="42" t="str">
        <f>IF(SUMIFS(Sheet2!$E:$E,Sheet2!$C:$C,$A274,Sheet2!$A:$A,L$2)&lt;&gt;0,SUMIFS(Sheet2!$E:$E,Sheet2!$C:$C,$A274,Sheet2!$A:$A,L$2),"")</f>
        <v/>
      </c>
      <c r="M274" s="42" t="str">
        <f>IF(SUMIFS(Sheet2!$E:$E,Sheet2!$C:$C,$A274,Sheet2!$A:$A,M$2)&lt;&gt;0,SUMIFS(Sheet2!$E:$E,Sheet2!$C:$C,$A274,Sheet2!$A:$A,M$2),"")</f>
        <v/>
      </c>
      <c r="N274" s="42" t="str">
        <f>IF(SUMIFS(Sheet2!$E:$E,Sheet2!$C:$C,$A274,Sheet2!$A:$A,N$2)&lt;&gt;0,SUMIFS(Sheet2!$E:$E,Sheet2!$C:$C,$A274,Sheet2!$A:$A,N$2),"")</f>
        <v/>
      </c>
      <c r="O274" s="42" t="str">
        <f>IF(SUMIFS(Sheet2!$E:$E,Sheet2!$C:$C,$A274,Sheet2!$A:$A,O$2)&lt;&gt;0,SUMIFS(Sheet2!$E:$E,Sheet2!$C:$C,$A274,Sheet2!$A:$A,O$2),"")</f>
        <v/>
      </c>
      <c r="P274" s="42" t="str">
        <f>IF(SUMIFS(Sheet2!$E:$E,Sheet2!$C:$C,$A274,Sheet2!$A:$A,P$2)&lt;&gt;0,SUMIFS(Sheet2!$E:$E,Sheet2!$C:$C,$A274,Sheet2!$A:$A,P$2),"")</f>
        <v/>
      </c>
      <c r="Q274" s="42" t="str">
        <f>IF(SUMIFS(Sheet2!$E:$E,Sheet2!$C:$C,$A274,Sheet2!$A:$A,Q$2)&lt;&gt;0,SUMIFS(Sheet2!$E:$E,Sheet2!$C:$C,$A274,Sheet2!$A:$A,Q$2),"")</f>
        <v/>
      </c>
      <c r="R274" s="42" t="str">
        <f>IF(SUMIFS(Sheet2!$E:$E,Sheet2!$C:$C,$A274,Sheet2!$A:$A,R$2)&lt;&gt;0,SUMIFS(Sheet2!$E:$E,Sheet2!$C:$C,$A274,Sheet2!$A:$A,R$2),"")</f>
        <v/>
      </c>
      <c r="S274" s="42" t="str">
        <f>IF(SUMIFS(Sheet2!$E:$E,Sheet2!$C:$C,$A274,Sheet2!$A:$A,S$2)&lt;&gt;0,SUMIFS(Sheet2!$E:$E,Sheet2!$C:$C,$A274,Sheet2!$A:$A,S$2),"")</f>
        <v/>
      </c>
      <c r="T274" s="42" t="str">
        <f>IF(SUMIFS(Sheet2!$E:$E,Sheet2!$C:$C,$A274,Sheet2!$A:$A,T$2)&lt;&gt;0,SUMIFS(Sheet2!$E:$E,Sheet2!$C:$C,$A274,Sheet2!$A:$A,T$2),"")</f>
        <v/>
      </c>
      <c r="U274" s="42" t="str">
        <f>IF(SUMIFS(Sheet2!$E:$E,Sheet2!$C:$C,$A274,Sheet2!$A:$A,U$2)&lt;&gt;0,SUMIFS(Sheet2!$E:$E,Sheet2!$C:$C,$A274,Sheet2!$A:$A,U$2),"")</f>
        <v/>
      </c>
      <c r="V274" s="42" t="str">
        <f>IF(SUMIFS(Sheet2!$E:$E,Sheet2!$C:$C,$A274,Sheet2!$A:$A,V$2)&lt;&gt;0,SUMIFS(Sheet2!$E:$E,Sheet2!$C:$C,$A274,Sheet2!$A:$A,V$2),"")</f>
        <v/>
      </c>
      <c r="W274" s="42" t="str">
        <f>IF(SUMIFS(Sheet2!$E:$E,Sheet2!$C:$C,$A274,Sheet2!$A:$A,W$2)&lt;&gt;0,SUMIFS(Sheet2!$E:$E,Sheet2!$C:$C,$A274,Sheet2!$A:$A,W$2),"")</f>
        <v/>
      </c>
      <c r="X274" s="42" t="str">
        <f>IF(SUMIFS(Sheet2!$E:$E,Sheet2!$C:$C,$A274,Sheet2!$A:$A,X$2)&lt;&gt;0,SUMIFS(Sheet2!$E:$E,Sheet2!$C:$C,$A274,Sheet2!$A:$A,X$2),"")</f>
        <v/>
      </c>
      <c r="Y274" s="42" t="str">
        <f>IF(SUMIFS(Sheet2!$E:$E,Sheet2!$C:$C,$A274,Sheet2!$A:$A,Y$2)&lt;&gt;0,SUMIFS(Sheet2!$E:$E,Sheet2!$C:$C,$A274,Sheet2!$A:$A,Y$2),"")</f>
        <v/>
      </c>
      <c r="Z274" s="42" t="str">
        <f>IF(SUMIFS(Sheet2!$E:$E,Sheet2!$C:$C,$A274,Sheet2!$A:$A,Z$2)&lt;&gt;0,SUMIFS(Sheet2!$E:$E,Sheet2!$C:$C,$A274,Sheet2!$A:$A,Z$2),"")</f>
        <v/>
      </c>
      <c r="AA274" s="42" t="str">
        <f>IF(SUMIFS(Sheet2!$E:$E,Sheet2!$C:$C,$A274,Sheet2!$A:$A,AA$2)&lt;&gt;0,SUMIFS(Sheet2!$E:$E,Sheet2!$C:$C,$A274,Sheet2!$A:$A,AA$2),"")</f>
        <v/>
      </c>
      <c r="AB274" s="42" t="str">
        <f>IF(SUMIFS(Sheet2!$E:$E,Sheet2!$C:$C,$A274,Sheet2!$A:$A,AB$2)&lt;&gt;0,SUMIFS(Sheet2!$E:$E,Sheet2!$C:$C,$A274,Sheet2!$A:$A,AB$2),"")</f>
        <v/>
      </c>
      <c r="AC274" s="42" t="str">
        <f>IF(SUMIFS(Sheet2!$E:$E,Sheet2!$C:$C,$A274,Sheet2!$A:$A,AC$2)&lt;&gt;0,SUMIFS(Sheet2!$E:$E,Sheet2!$C:$C,$A274,Sheet2!$A:$A,AC$2),"")</f>
        <v/>
      </c>
      <c r="AD274" s="42" t="str">
        <f>IF(SUMIFS(Sheet2!$E:$E,Sheet2!$C:$C,$A274,Sheet2!$A:$A,AD$2)&lt;&gt;0,SUMIFS(Sheet2!$E:$E,Sheet2!$C:$C,$A274,Sheet2!$A:$A,AD$2),"")</f>
        <v/>
      </c>
      <c r="AE274" s="42" t="str">
        <f>IF(SUMIFS(Sheet2!$E:$E,Sheet2!$C:$C,$A274,Sheet2!$A:$A,AE$2)&lt;&gt;0,SUMIFS(Sheet2!$E:$E,Sheet2!$C:$C,$A274,Sheet2!$A:$A,AE$2),"")</f>
        <v/>
      </c>
      <c r="AF274" s="42" t="str">
        <f>IF(SUMIFS(Sheet2!$E:$E,Sheet2!$C:$C,$A274,Sheet2!$A:$A,AF$2)&lt;&gt;0,SUMIFS(Sheet2!$E:$E,Sheet2!$C:$C,$A274,Sheet2!$A:$A,AF$2),"")</f>
        <v/>
      </c>
      <c r="AG274" s="42" t="str">
        <f>IF(SUMIFS(Sheet2!$E:$E,Sheet2!$C:$C,$A274,Sheet2!$A:$A,AG$2)&lt;&gt;0,SUMIFS(Sheet2!$E:$E,Sheet2!$C:$C,$A274,Sheet2!$A:$A,AG$2),"")</f>
        <v/>
      </c>
      <c r="AH274" s="43">
        <f>SUM(Table2[[#This Row],[1]:[31]])</f>
        <v>0</v>
      </c>
    </row>
    <row r="275" spans="1:34" ht="12.75" customHeight="1">
      <c r="A275" s="76" t="str">
        <f>DSSP!A274</f>
        <v>CB11</v>
      </c>
      <c r="B275" s="25" t="str">
        <f>DSSP!B274</f>
        <v>Mặt giả cổ chữ</v>
      </c>
      <c r="C275" s="42" t="str">
        <f>IF(SUMIFS(Sheet2!$E:$E,Sheet2!$C:$C,$A275,Sheet2!$A:$A,C$2)&lt;&gt;0,SUMIFS(Sheet2!$E:$E,Sheet2!$C:$C,$A275,Sheet2!$A:$A,C$2),"")</f>
        <v/>
      </c>
      <c r="D275" s="42" t="str">
        <f>IF(SUMIFS(Sheet2!$E:$E,Sheet2!$C:$C,$A275,Sheet2!$A:$A,D$2)&lt;&gt;0,SUMIFS(Sheet2!$E:$E,Sheet2!$C:$C,$A275,Sheet2!$A:$A,D$2),"")</f>
        <v/>
      </c>
      <c r="E275" s="42" t="str">
        <f>IF(SUMIFS(Sheet2!$E:$E,Sheet2!$C:$C,$A275,Sheet2!$A:$A,E$2)&lt;&gt;0,SUMIFS(Sheet2!$E:$E,Sheet2!$C:$C,$A275,Sheet2!$A:$A,E$2),"")</f>
        <v/>
      </c>
      <c r="F275" s="42" t="str">
        <f>IF(SUMIFS(Sheet2!$E:$E,Sheet2!$C:$C,$A275,Sheet2!$A:$A,F$2)&lt;&gt;0,SUMIFS(Sheet2!$E:$E,Sheet2!$C:$C,$A275,Sheet2!$A:$A,F$2),"")</f>
        <v/>
      </c>
      <c r="G275" s="42" t="str">
        <f>IF(SUMIFS(Sheet2!$E:$E,Sheet2!$C:$C,$A275,Sheet2!$A:$A,G$2)&lt;&gt;0,SUMIFS(Sheet2!$E:$E,Sheet2!$C:$C,$A275,Sheet2!$A:$A,G$2),"")</f>
        <v/>
      </c>
      <c r="H275" s="42" t="str">
        <f>IF(SUMIFS(Sheet2!$E:$E,Sheet2!$C:$C,$A275,Sheet2!$A:$A,H$2)&lt;&gt;0,SUMIFS(Sheet2!$E:$E,Sheet2!$C:$C,$A275,Sheet2!$A:$A,H$2),"")</f>
        <v/>
      </c>
      <c r="I275" s="42" t="str">
        <f>IF(SUMIFS(Sheet2!$E:$E,Sheet2!$C:$C,$A275,Sheet2!$A:$A,I$2)&lt;&gt;0,SUMIFS(Sheet2!$E:$E,Sheet2!$C:$C,$A275,Sheet2!$A:$A,I$2),"")</f>
        <v/>
      </c>
      <c r="J275" s="42" t="str">
        <f>IF(SUMIFS(Sheet2!$E:$E,Sheet2!$C:$C,$A275,Sheet2!$A:$A,J$2)&lt;&gt;0,SUMIFS(Sheet2!$E:$E,Sheet2!$C:$C,$A275,Sheet2!$A:$A,J$2),"")</f>
        <v/>
      </c>
      <c r="K275" s="42" t="str">
        <f>IF(SUMIFS(Sheet2!$E:$E,Sheet2!$C:$C,$A275,Sheet2!$A:$A,K$2)&lt;&gt;0,SUMIFS(Sheet2!$E:$E,Sheet2!$C:$C,$A275,Sheet2!$A:$A,K$2),"")</f>
        <v/>
      </c>
      <c r="L275" s="42" t="str">
        <f>IF(SUMIFS(Sheet2!$E:$E,Sheet2!$C:$C,$A275,Sheet2!$A:$A,L$2)&lt;&gt;0,SUMIFS(Sheet2!$E:$E,Sheet2!$C:$C,$A275,Sheet2!$A:$A,L$2),"")</f>
        <v/>
      </c>
      <c r="M275" s="42" t="str">
        <f>IF(SUMIFS(Sheet2!$E:$E,Sheet2!$C:$C,$A275,Sheet2!$A:$A,M$2)&lt;&gt;0,SUMIFS(Sheet2!$E:$E,Sheet2!$C:$C,$A275,Sheet2!$A:$A,M$2),"")</f>
        <v/>
      </c>
      <c r="N275" s="42" t="str">
        <f>IF(SUMIFS(Sheet2!$E:$E,Sheet2!$C:$C,$A275,Sheet2!$A:$A,N$2)&lt;&gt;0,SUMIFS(Sheet2!$E:$E,Sheet2!$C:$C,$A275,Sheet2!$A:$A,N$2),"")</f>
        <v/>
      </c>
      <c r="O275" s="42" t="str">
        <f>IF(SUMIFS(Sheet2!$E:$E,Sheet2!$C:$C,$A275,Sheet2!$A:$A,O$2)&lt;&gt;0,SUMIFS(Sheet2!$E:$E,Sheet2!$C:$C,$A275,Sheet2!$A:$A,O$2),"")</f>
        <v/>
      </c>
      <c r="P275" s="42" t="str">
        <f>IF(SUMIFS(Sheet2!$E:$E,Sheet2!$C:$C,$A275,Sheet2!$A:$A,P$2)&lt;&gt;0,SUMIFS(Sheet2!$E:$E,Sheet2!$C:$C,$A275,Sheet2!$A:$A,P$2),"")</f>
        <v/>
      </c>
      <c r="Q275" s="42" t="str">
        <f>IF(SUMIFS(Sheet2!$E:$E,Sheet2!$C:$C,$A275,Sheet2!$A:$A,Q$2)&lt;&gt;0,SUMIFS(Sheet2!$E:$E,Sheet2!$C:$C,$A275,Sheet2!$A:$A,Q$2),"")</f>
        <v/>
      </c>
      <c r="R275" s="42" t="str">
        <f>IF(SUMIFS(Sheet2!$E:$E,Sheet2!$C:$C,$A275,Sheet2!$A:$A,R$2)&lt;&gt;0,SUMIFS(Sheet2!$E:$E,Sheet2!$C:$C,$A275,Sheet2!$A:$A,R$2),"")</f>
        <v/>
      </c>
      <c r="S275" s="42" t="str">
        <f>IF(SUMIFS(Sheet2!$E:$E,Sheet2!$C:$C,$A275,Sheet2!$A:$A,S$2)&lt;&gt;0,SUMIFS(Sheet2!$E:$E,Sheet2!$C:$C,$A275,Sheet2!$A:$A,S$2),"")</f>
        <v/>
      </c>
      <c r="T275" s="42" t="str">
        <f>IF(SUMIFS(Sheet2!$E:$E,Sheet2!$C:$C,$A275,Sheet2!$A:$A,T$2)&lt;&gt;0,SUMIFS(Sheet2!$E:$E,Sheet2!$C:$C,$A275,Sheet2!$A:$A,T$2),"")</f>
        <v/>
      </c>
      <c r="U275" s="42" t="str">
        <f>IF(SUMIFS(Sheet2!$E:$E,Sheet2!$C:$C,$A275,Sheet2!$A:$A,U$2)&lt;&gt;0,SUMIFS(Sheet2!$E:$E,Sheet2!$C:$C,$A275,Sheet2!$A:$A,U$2),"")</f>
        <v/>
      </c>
      <c r="V275" s="42" t="str">
        <f>IF(SUMIFS(Sheet2!$E:$E,Sheet2!$C:$C,$A275,Sheet2!$A:$A,V$2)&lt;&gt;0,SUMIFS(Sheet2!$E:$E,Sheet2!$C:$C,$A275,Sheet2!$A:$A,V$2),"")</f>
        <v/>
      </c>
      <c r="W275" s="42" t="str">
        <f>IF(SUMIFS(Sheet2!$E:$E,Sheet2!$C:$C,$A275,Sheet2!$A:$A,W$2)&lt;&gt;0,SUMIFS(Sheet2!$E:$E,Sheet2!$C:$C,$A275,Sheet2!$A:$A,W$2),"")</f>
        <v/>
      </c>
      <c r="X275" s="42" t="str">
        <f>IF(SUMIFS(Sheet2!$E:$E,Sheet2!$C:$C,$A275,Sheet2!$A:$A,X$2)&lt;&gt;0,SUMIFS(Sheet2!$E:$E,Sheet2!$C:$C,$A275,Sheet2!$A:$A,X$2),"")</f>
        <v/>
      </c>
      <c r="Y275" s="42" t="str">
        <f>IF(SUMIFS(Sheet2!$E:$E,Sheet2!$C:$C,$A275,Sheet2!$A:$A,Y$2)&lt;&gt;0,SUMIFS(Sheet2!$E:$E,Sheet2!$C:$C,$A275,Sheet2!$A:$A,Y$2),"")</f>
        <v/>
      </c>
      <c r="Z275" s="42" t="str">
        <f>IF(SUMIFS(Sheet2!$E:$E,Sheet2!$C:$C,$A275,Sheet2!$A:$A,Z$2)&lt;&gt;0,SUMIFS(Sheet2!$E:$E,Sheet2!$C:$C,$A275,Sheet2!$A:$A,Z$2),"")</f>
        <v/>
      </c>
      <c r="AA275" s="42" t="str">
        <f>IF(SUMIFS(Sheet2!$E:$E,Sheet2!$C:$C,$A275,Sheet2!$A:$A,AA$2)&lt;&gt;0,SUMIFS(Sheet2!$E:$E,Sheet2!$C:$C,$A275,Sheet2!$A:$A,AA$2),"")</f>
        <v/>
      </c>
      <c r="AB275" s="42" t="str">
        <f>IF(SUMIFS(Sheet2!$E:$E,Sheet2!$C:$C,$A275,Sheet2!$A:$A,AB$2)&lt;&gt;0,SUMIFS(Sheet2!$E:$E,Sheet2!$C:$C,$A275,Sheet2!$A:$A,AB$2),"")</f>
        <v/>
      </c>
      <c r="AC275" s="42" t="str">
        <f>IF(SUMIFS(Sheet2!$E:$E,Sheet2!$C:$C,$A275,Sheet2!$A:$A,AC$2)&lt;&gt;0,SUMIFS(Sheet2!$E:$E,Sheet2!$C:$C,$A275,Sheet2!$A:$A,AC$2),"")</f>
        <v/>
      </c>
      <c r="AD275" s="42" t="str">
        <f>IF(SUMIFS(Sheet2!$E:$E,Sheet2!$C:$C,$A275,Sheet2!$A:$A,AD$2)&lt;&gt;0,SUMIFS(Sheet2!$E:$E,Sheet2!$C:$C,$A275,Sheet2!$A:$A,AD$2),"")</f>
        <v/>
      </c>
      <c r="AE275" s="42" t="str">
        <f>IF(SUMIFS(Sheet2!$E:$E,Sheet2!$C:$C,$A275,Sheet2!$A:$A,AE$2)&lt;&gt;0,SUMIFS(Sheet2!$E:$E,Sheet2!$C:$C,$A275,Sheet2!$A:$A,AE$2),"")</f>
        <v/>
      </c>
      <c r="AF275" s="42" t="str">
        <f>IF(SUMIFS(Sheet2!$E:$E,Sheet2!$C:$C,$A275,Sheet2!$A:$A,AF$2)&lt;&gt;0,SUMIFS(Sheet2!$E:$E,Sheet2!$C:$C,$A275,Sheet2!$A:$A,AF$2),"")</f>
        <v/>
      </c>
      <c r="AG275" s="42" t="str">
        <f>IF(SUMIFS(Sheet2!$E:$E,Sheet2!$C:$C,$A275,Sheet2!$A:$A,AG$2)&lt;&gt;0,SUMIFS(Sheet2!$E:$E,Sheet2!$C:$C,$A275,Sheet2!$A:$A,AG$2),"")</f>
        <v/>
      </c>
      <c r="AH275" s="43">
        <f>SUM(Table2[[#This Row],[1]:[31]])</f>
        <v>0</v>
      </c>
    </row>
    <row r="276" spans="1:34" ht="12.75" customHeight="1">
      <c r="A276" s="76" t="str">
        <f>DSSP!A275</f>
        <v>CB12</v>
      </c>
      <c r="B276" s="25" t="str">
        <f>DSSP!B275</f>
        <v>Mặt giả cổ số</v>
      </c>
      <c r="C276" s="42" t="str">
        <f>IF(SUMIFS(Sheet2!$E:$E,Sheet2!$C:$C,$A276,Sheet2!$A:$A,C$2)&lt;&gt;0,SUMIFS(Sheet2!$E:$E,Sheet2!$C:$C,$A276,Sheet2!$A:$A,C$2),"")</f>
        <v/>
      </c>
      <c r="D276" s="42" t="str">
        <f>IF(SUMIFS(Sheet2!$E:$E,Sheet2!$C:$C,$A276,Sheet2!$A:$A,D$2)&lt;&gt;0,SUMIFS(Sheet2!$E:$E,Sheet2!$C:$C,$A276,Sheet2!$A:$A,D$2),"")</f>
        <v/>
      </c>
      <c r="E276" s="42" t="str">
        <f>IF(SUMIFS(Sheet2!$E:$E,Sheet2!$C:$C,$A276,Sheet2!$A:$A,E$2)&lt;&gt;0,SUMIFS(Sheet2!$E:$E,Sheet2!$C:$C,$A276,Sheet2!$A:$A,E$2),"")</f>
        <v/>
      </c>
      <c r="F276" s="42" t="str">
        <f>IF(SUMIFS(Sheet2!$E:$E,Sheet2!$C:$C,$A276,Sheet2!$A:$A,F$2)&lt;&gt;0,SUMIFS(Sheet2!$E:$E,Sheet2!$C:$C,$A276,Sheet2!$A:$A,F$2),"")</f>
        <v/>
      </c>
      <c r="G276" s="42" t="str">
        <f>IF(SUMIFS(Sheet2!$E:$E,Sheet2!$C:$C,$A276,Sheet2!$A:$A,G$2)&lt;&gt;0,SUMIFS(Sheet2!$E:$E,Sheet2!$C:$C,$A276,Sheet2!$A:$A,G$2),"")</f>
        <v/>
      </c>
      <c r="H276" s="42" t="str">
        <f>IF(SUMIFS(Sheet2!$E:$E,Sheet2!$C:$C,$A276,Sheet2!$A:$A,H$2)&lt;&gt;0,SUMIFS(Sheet2!$E:$E,Sheet2!$C:$C,$A276,Sheet2!$A:$A,H$2),"")</f>
        <v/>
      </c>
      <c r="I276" s="42" t="str">
        <f>IF(SUMIFS(Sheet2!$E:$E,Sheet2!$C:$C,$A276,Sheet2!$A:$A,I$2)&lt;&gt;0,SUMIFS(Sheet2!$E:$E,Sheet2!$C:$C,$A276,Sheet2!$A:$A,I$2),"")</f>
        <v/>
      </c>
      <c r="J276" s="42" t="str">
        <f>IF(SUMIFS(Sheet2!$E:$E,Sheet2!$C:$C,$A276,Sheet2!$A:$A,J$2)&lt;&gt;0,SUMIFS(Sheet2!$E:$E,Sheet2!$C:$C,$A276,Sheet2!$A:$A,J$2),"")</f>
        <v/>
      </c>
      <c r="K276" s="42" t="str">
        <f>IF(SUMIFS(Sheet2!$E:$E,Sheet2!$C:$C,$A276,Sheet2!$A:$A,K$2)&lt;&gt;0,SUMIFS(Sheet2!$E:$E,Sheet2!$C:$C,$A276,Sheet2!$A:$A,K$2),"")</f>
        <v/>
      </c>
      <c r="L276" s="42" t="str">
        <f>IF(SUMIFS(Sheet2!$E:$E,Sheet2!$C:$C,$A276,Sheet2!$A:$A,L$2)&lt;&gt;0,SUMIFS(Sheet2!$E:$E,Sheet2!$C:$C,$A276,Sheet2!$A:$A,L$2),"")</f>
        <v/>
      </c>
      <c r="M276" s="42" t="str">
        <f>IF(SUMIFS(Sheet2!$E:$E,Sheet2!$C:$C,$A276,Sheet2!$A:$A,M$2)&lt;&gt;0,SUMIFS(Sheet2!$E:$E,Sheet2!$C:$C,$A276,Sheet2!$A:$A,M$2),"")</f>
        <v/>
      </c>
      <c r="N276" s="42" t="str">
        <f>IF(SUMIFS(Sheet2!$E:$E,Sheet2!$C:$C,$A276,Sheet2!$A:$A,N$2)&lt;&gt;0,SUMIFS(Sheet2!$E:$E,Sheet2!$C:$C,$A276,Sheet2!$A:$A,N$2),"")</f>
        <v/>
      </c>
      <c r="O276" s="42" t="str">
        <f>IF(SUMIFS(Sheet2!$E:$E,Sheet2!$C:$C,$A276,Sheet2!$A:$A,O$2)&lt;&gt;0,SUMIFS(Sheet2!$E:$E,Sheet2!$C:$C,$A276,Sheet2!$A:$A,O$2),"")</f>
        <v/>
      </c>
      <c r="P276" s="42" t="str">
        <f>IF(SUMIFS(Sheet2!$E:$E,Sheet2!$C:$C,$A276,Sheet2!$A:$A,P$2)&lt;&gt;0,SUMIFS(Sheet2!$E:$E,Sheet2!$C:$C,$A276,Sheet2!$A:$A,P$2),"")</f>
        <v/>
      </c>
      <c r="Q276" s="42" t="str">
        <f>IF(SUMIFS(Sheet2!$E:$E,Sheet2!$C:$C,$A276,Sheet2!$A:$A,Q$2)&lt;&gt;0,SUMIFS(Sheet2!$E:$E,Sheet2!$C:$C,$A276,Sheet2!$A:$A,Q$2),"")</f>
        <v/>
      </c>
      <c r="R276" s="42" t="str">
        <f>IF(SUMIFS(Sheet2!$E:$E,Sheet2!$C:$C,$A276,Sheet2!$A:$A,R$2)&lt;&gt;0,SUMIFS(Sheet2!$E:$E,Sheet2!$C:$C,$A276,Sheet2!$A:$A,R$2),"")</f>
        <v/>
      </c>
      <c r="S276" s="42" t="str">
        <f>IF(SUMIFS(Sheet2!$E:$E,Sheet2!$C:$C,$A276,Sheet2!$A:$A,S$2)&lt;&gt;0,SUMIFS(Sheet2!$E:$E,Sheet2!$C:$C,$A276,Sheet2!$A:$A,S$2),"")</f>
        <v/>
      </c>
      <c r="T276" s="42" t="str">
        <f>IF(SUMIFS(Sheet2!$E:$E,Sheet2!$C:$C,$A276,Sheet2!$A:$A,T$2)&lt;&gt;0,SUMIFS(Sheet2!$E:$E,Sheet2!$C:$C,$A276,Sheet2!$A:$A,T$2),"")</f>
        <v/>
      </c>
      <c r="U276" s="42" t="str">
        <f>IF(SUMIFS(Sheet2!$E:$E,Sheet2!$C:$C,$A276,Sheet2!$A:$A,U$2)&lt;&gt;0,SUMIFS(Sheet2!$E:$E,Sheet2!$C:$C,$A276,Sheet2!$A:$A,U$2),"")</f>
        <v/>
      </c>
      <c r="V276" s="42" t="str">
        <f>IF(SUMIFS(Sheet2!$E:$E,Sheet2!$C:$C,$A276,Sheet2!$A:$A,V$2)&lt;&gt;0,SUMIFS(Sheet2!$E:$E,Sheet2!$C:$C,$A276,Sheet2!$A:$A,V$2),"")</f>
        <v/>
      </c>
      <c r="W276" s="42" t="str">
        <f>IF(SUMIFS(Sheet2!$E:$E,Sheet2!$C:$C,$A276,Sheet2!$A:$A,W$2)&lt;&gt;0,SUMIFS(Sheet2!$E:$E,Sheet2!$C:$C,$A276,Sheet2!$A:$A,W$2),"")</f>
        <v/>
      </c>
      <c r="X276" s="42" t="str">
        <f>IF(SUMIFS(Sheet2!$E:$E,Sheet2!$C:$C,$A276,Sheet2!$A:$A,X$2)&lt;&gt;0,SUMIFS(Sheet2!$E:$E,Sheet2!$C:$C,$A276,Sheet2!$A:$A,X$2),"")</f>
        <v/>
      </c>
      <c r="Y276" s="42" t="str">
        <f>IF(SUMIFS(Sheet2!$E:$E,Sheet2!$C:$C,$A276,Sheet2!$A:$A,Y$2)&lt;&gt;0,SUMIFS(Sheet2!$E:$E,Sheet2!$C:$C,$A276,Sheet2!$A:$A,Y$2),"")</f>
        <v/>
      </c>
      <c r="Z276" s="42" t="str">
        <f>IF(SUMIFS(Sheet2!$E:$E,Sheet2!$C:$C,$A276,Sheet2!$A:$A,Z$2)&lt;&gt;0,SUMIFS(Sheet2!$E:$E,Sheet2!$C:$C,$A276,Sheet2!$A:$A,Z$2),"")</f>
        <v/>
      </c>
      <c r="AA276" s="42" t="str">
        <f>IF(SUMIFS(Sheet2!$E:$E,Sheet2!$C:$C,$A276,Sheet2!$A:$A,AA$2)&lt;&gt;0,SUMIFS(Sheet2!$E:$E,Sheet2!$C:$C,$A276,Sheet2!$A:$A,AA$2),"")</f>
        <v/>
      </c>
      <c r="AB276" s="42" t="str">
        <f>IF(SUMIFS(Sheet2!$E:$E,Sheet2!$C:$C,$A276,Sheet2!$A:$A,AB$2)&lt;&gt;0,SUMIFS(Sheet2!$E:$E,Sheet2!$C:$C,$A276,Sheet2!$A:$A,AB$2),"")</f>
        <v/>
      </c>
      <c r="AC276" s="42" t="str">
        <f>IF(SUMIFS(Sheet2!$E:$E,Sheet2!$C:$C,$A276,Sheet2!$A:$A,AC$2)&lt;&gt;0,SUMIFS(Sheet2!$E:$E,Sheet2!$C:$C,$A276,Sheet2!$A:$A,AC$2),"")</f>
        <v/>
      </c>
      <c r="AD276" s="42" t="str">
        <f>IF(SUMIFS(Sheet2!$E:$E,Sheet2!$C:$C,$A276,Sheet2!$A:$A,AD$2)&lt;&gt;0,SUMIFS(Sheet2!$E:$E,Sheet2!$C:$C,$A276,Sheet2!$A:$A,AD$2),"")</f>
        <v/>
      </c>
      <c r="AE276" s="42" t="str">
        <f>IF(SUMIFS(Sheet2!$E:$E,Sheet2!$C:$C,$A276,Sheet2!$A:$A,AE$2)&lt;&gt;0,SUMIFS(Sheet2!$E:$E,Sheet2!$C:$C,$A276,Sheet2!$A:$A,AE$2),"")</f>
        <v/>
      </c>
      <c r="AF276" s="42" t="str">
        <f>IF(SUMIFS(Sheet2!$E:$E,Sheet2!$C:$C,$A276,Sheet2!$A:$A,AF$2)&lt;&gt;0,SUMIFS(Sheet2!$E:$E,Sheet2!$C:$C,$A276,Sheet2!$A:$A,AF$2),"")</f>
        <v/>
      </c>
      <c r="AG276" s="42" t="str">
        <f>IF(SUMIFS(Sheet2!$E:$E,Sheet2!$C:$C,$A276,Sheet2!$A:$A,AG$2)&lt;&gt;0,SUMIFS(Sheet2!$E:$E,Sheet2!$C:$C,$A276,Sheet2!$A:$A,AG$2),"")</f>
        <v/>
      </c>
      <c r="AH276" s="43">
        <f>SUM(Table2[[#This Row],[1]:[31]])</f>
        <v>0</v>
      </c>
    </row>
    <row r="277" spans="1:34" ht="12.75" customHeight="1">
      <c r="A277" s="76" t="str">
        <f>DSSP!A276</f>
        <v>TR01</v>
      </c>
      <c r="B277" s="25" t="str">
        <f>DSSP!B276</f>
        <v>Tranh tô màu cỡ đại</v>
      </c>
      <c r="C277" s="42" t="str">
        <f>IF(SUMIFS(Sheet2!$E:$E,Sheet2!$C:$C,$A277,Sheet2!$A:$A,C$2)&lt;&gt;0,SUMIFS(Sheet2!$E:$E,Sheet2!$C:$C,$A277,Sheet2!$A:$A,C$2),"")</f>
        <v/>
      </c>
      <c r="D277" s="42" t="str">
        <f>IF(SUMIFS(Sheet2!$E:$E,Sheet2!$C:$C,$A277,Sheet2!$A:$A,D$2)&lt;&gt;0,SUMIFS(Sheet2!$E:$E,Sheet2!$C:$C,$A277,Sheet2!$A:$A,D$2),"")</f>
        <v/>
      </c>
      <c r="E277" s="42" t="str">
        <f>IF(SUMIFS(Sheet2!$E:$E,Sheet2!$C:$C,$A277,Sheet2!$A:$A,E$2)&lt;&gt;0,SUMIFS(Sheet2!$E:$E,Sheet2!$C:$C,$A277,Sheet2!$A:$A,E$2),"")</f>
        <v/>
      </c>
      <c r="F277" s="42" t="str">
        <f>IF(SUMIFS(Sheet2!$E:$E,Sheet2!$C:$C,$A277,Sheet2!$A:$A,F$2)&lt;&gt;0,SUMIFS(Sheet2!$E:$E,Sheet2!$C:$C,$A277,Sheet2!$A:$A,F$2),"")</f>
        <v/>
      </c>
      <c r="G277" s="42" t="str">
        <f>IF(SUMIFS(Sheet2!$E:$E,Sheet2!$C:$C,$A277,Sheet2!$A:$A,G$2)&lt;&gt;0,SUMIFS(Sheet2!$E:$E,Sheet2!$C:$C,$A277,Sheet2!$A:$A,G$2),"")</f>
        <v/>
      </c>
      <c r="H277" s="42" t="str">
        <f>IF(SUMIFS(Sheet2!$E:$E,Sheet2!$C:$C,$A277,Sheet2!$A:$A,H$2)&lt;&gt;0,SUMIFS(Sheet2!$E:$E,Sheet2!$C:$C,$A277,Sheet2!$A:$A,H$2),"")</f>
        <v/>
      </c>
      <c r="I277" s="42" t="str">
        <f>IF(SUMIFS(Sheet2!$E:$E,Sheet2!$C:$C,$A277,Sheet2!$A:$A,I$2)&lt;&gt;0,SUMIFS(Sheet2!$E:$E,Sheet2!$C:$C,$A277,Sheet2!$A:$A,I$2),"")</f>
        <v/>
      </c>
      <c r="J277" s="42" t="str">
        <f>IF(SUMIFS(Sheet2!$E:$E,Sheet2!$C:$C,$A277,Sheet2!$A:$A,J$2)&lt;&gt;0,SUMIFS(Sheet2!$E:$E,Sheet2!$C:$C,$A277,Sheet2!$A:$A,J$2),"")</f>
        <v/>
      </c>
      <c r="K277" s="42" t="str">
        <f>IF(SUMIFS(Sheet2!$E:$E,Sheet2!$C:$C,$A277,Sheet2!$A:$A,K$2)&lt;&gt;0,SUMIFS(Sheet2!$E:$E,Sheet2!$C:$C,$A277,Sheet2!$A:$A,K$2),"")</f>
        <v/>
      </c>
      <c r="L277" s="42" t="str">
        <f>IF(SUMIFS(Sheet2!$E:$E,Sheet2!$C:$C,$A277,Sheet2!$A:$A,L$2)&lt;&gt;0,SUMIFS(Sheet2!$E:$E,Sheet2!$C:$C,$A277,Sheet2!$A:$A,L$2),"")</f>
        <v/>
      </c>
      <c r="M277" s="42" t="str">
        <f>IF(SUMIFS(Sheet2!$E:$E,Sheet2!$C:$C,$A277,Sheet2!$A:$A,M$2)&lt;&gt;0,SUMIFS(Sheet2!$E:$E,Sheet2!$C:$C,$A277,Sheet2!$A:$A,M$2),"")</f>
        <v/>
      </c>
      <c r="N277" s="42" t="str">
        <f>IF(SUMIFS(Sheet2!$E:$E,Sheet2!$C:$C,$A277,Sheet2!$A:$A,N$2)&lt;&gt;0,SUMIFS(Sheet2!$E:$E,Sheet2!$C:$C,$A277,Sheet2!$A:$A,N$2),"")</f>
        <v/>
      </c>
      <c r="O277" s="42" t="str">
        <f>IF(SUMIFS(Sheet2!$E:$E,Sheet2!$C:$C,$A277,Sheet2!$A:$A,O$2)&lt;&gt;0,SUMIFS(Sheet2!$E:$E,Sheet2!$C:$C,$A277,Sheet2!$A:$A,O$2),"")</f>
        <v/>
      </c>
      <c r="P277" s="42" t="str">
        <f>IF(SUMIFS(Sheet2!$E:$E,Sheet2!$C:$C,$A277,Sheet2!$A:$A,P$2)&lt;&gt;0,SUMIFS(Sheet2!$E:$E,Sheet2!$C:$C,$A277,Sheet2!$A:$A,P$2),"")</f>
        <v/>
      </c>
      <c r="Q277" s="42" t="str">
        <f>IF(SUMIFS(Sheet2!$E:$E,Sheet2!$C:$C,$A277,Sheet2!$A:$A,Q$2)&lt;&gt;0,SUMIFS(Sheet2!$E:$E,Sheet2!$C:$C,$A277,Sheet2!$A:$A,Q$2),"")</f>
        <v/>
      </c>
      <c r="R277" s="42" t="str">
        <f>IF(SUMIFS(Sheet2!$E:$E,Sheet2!$C:$C,$A277,Sheet2!$A:$A,R$2)&lt;&gt;0,SUMIFS(Sheet2!$E:$E,Sheet2!$C:$C,$A277,Sheet2!$A:$A,R$2),"")</f>
        <v/>
      </c>
      <c r="S277" s="42" t="str">
        <f>IF(SUMIFS(Sheet2!$E:$E,Sheet2!$C:$C,$A277,Sheet2!$A:$A,S$2)&lt;&gt;0,SUMIFS(Sheet2!$E:$E,Sheet2!$C:$C,$A277,Sheet2!$A:$A,S$2),"")</f>
        <v/>
      </c>
      <c r="T277" s="42" t="str">
        <f>IF(SUMIFS(Sheet2!$E:$E,Sheet2!$C:$C,$A277,Sheet2!$A:$A,T$2)&lt;&gt;0,SUMIFS(Sheet2!$E:$E,Sheet2!$C:$C,$A277,Sheet2!$A:$A,T$2),"")</f>
        <v/>
      </c>
      <c r="U277" s="42" t="str">
        <f>IF(SUMIFS(Sheet2!$E:$E,Sheet2!$C:$C,$A277,Sheet2!$A:$A,U$2)&lt;&gt;0,SUMIFS(Sheet2!$E:$E,Sheet2!$C:$C,$A277,Sheet2!$A:$A,U$2),"")</f>
        <v/>
      </c>
      <c r="V277" s="42" t="str">
        <f>IF(SUMIFS(Sheet2!$E:$E,Sheet2!$C:$C,$A277,Sheet2!$A:$A,V$2)&lt;&gt;0,SUMIFS(Sheet2!$E:$E,Sheet2!$C:$C,$A277,Sheet2!$A:$A,V$2),"")</f>
        <v/>
      </c>
      <c r="W277" s="42" t="str">
        <f>IF(SUMIFS(Sheet2!$E:$E,Sheet2!$C:$C,$A277,Sheet2!$A:$A,W$2)&lt;&gt;0,SUMIFS(Sheet2!$E:$E,Sheet2!$C:$C,$A277,Sheet2!$A:$A,W$2),"")</f>
        <v/>
      </c>
      <c r="X277" s="42" t="str">
        <f>IF(SUMIFS(Sheet2!$E:$E,Sheet2!$C:$C,$A277,Sheet2!$A:$A,X$2)&lt;&gt;0,SUMIFS(Sheet2!$E:$E,Sheet2!$C:$C,$A277,Sheet2!$A:$A,X$2),"")</f>
        <v/>
      </c>
      <c r="Y277" s="42" t="str">
        <f>IF(SUMIFS(Sheet2!$E:$E,Sheet2!$C:$C,$A277,Sheet2!$A:$A,Y$2)&lt;&gt;0,SUMIFS(Sheet2!$E:$E,Sheet2!$C:$C,$A277,Sheet2!$A:$A,Y$2),"")</f>
        <v/>
      </c>
      <c r="Z277" s="42" t="str">
        <f>IF(SUMIFS(Sheet2!$E:$E,Sheet2!$C:$C,$A277,Sheet2!$A:$A,Z$2)&lt;&gt;0,SUMIFS(Sheet2!$E:$E,Sheet2!$C:$C,$A277,Sheet2!$A:$A,Z$2),"")</f>
        <v/>
      </c>
      <c r="AA277" s="42" t="str">
        <f>IF(SUMIFS(Sheet2!$E:$E,Sheet2!$C:$C,$A277,Sheet2!$A:$A,AA$2)&lt;&gt;0,SUMIFS(Sheet2!$E:$E,Sheet2!$C:$C,$A277,Sheet2!$A:$A,AA$2),"")</f>
        <v/>
      </c>
      <c r="AB277" s="42" t="str">
        <f>IF(SUMIFS(Sheet2!$E:$E,Sheet2!$C:$C,$A277,Sheet2!$A:$A,AB$2)&lt;&gt;0,SUMIFS(Sheet2!$E:$E,Sheet2!$C:$C,$A277,Sheet2!$A:$A,AB$2),"")</f>
        <v/>
      </c>
      <c r="AC277" s="42" t="str">
        <f>IF(SUMIFS(Sheet2!$E:$E,Sheet2!$C:$C,$A277,Sheet2!$A:$A,AC$2)&lt;&gt;0,SUMIFS(Sheet2!$E:$E,Sheet2!$C:$C,$A277,Sheet2!$A:$A,AC$2),"")</f>
        <v/>
      </c>
      <c r="AD277" s="42" t="str">
        <f>IF(SUMIFS(Sheet2!$E:$E,Sheet2!$C:$C,$A277,Sheet2!$A:$A,AD$2)&lt;&gt;0,SUMIFS(Sheet2!$E:$E,Sheet2!$C:$C,$A277,Sheet2!$A:$A,AD$2),"")</f>
        <v/>
      </c>
      <c r="AE277" s="42" t="str">
        <f>IF(SUMIFS(Sheet2!$E:$E,Sheet2!$C:$C,$A277,Sheet2!$A:$A,AE$2)&lt;&gt;0,SUMIFS(Sheet2!$E:$E,Sheet2!$C:$C,$A277,Sheet2!$A:$A,AE$2),"")</f>
        <v/>
      </c>
      <c r="AF277" s="42" t="str">
        <f>IF(SUMIFS(Sheet2!$E:$E,Sheet2!$C:$C,$A277,Sheet2!$A:$A,AF$2)&lt;&gt;0,SUMIFS(Sheet2!$E:$E,Sheet2!$C:$C,$A277,Sheet2!$A:$A,AF$2),"")</f>
        <v/>
      </c>
      <c r="AG277" s="42" t="str">
        <f>IF(SUMIFS(Sheet2!$E:$E,Sheet2!$C:$C,$A277,Sheet2!$A:$A,AG$2)&lt;&gt;0,SUMIFS(Sheet2!$E:$E,Sheet2!$C:$C,$A277,Sheet2!$A:$A,AG$2),"")</f>
        <v/>
      </c>
      <c r="AH277" s="43">
        <f>SUM(Table2[[#This Row],[1]:[31]])</f>
        <v>0</v>
      </c>
    </row>
    <row r="278" spans="1:34" ht="12.75" customHeight="1">
      <c r="A278" s="76" t="str">
        <f>DSSP!A277</f>
        <v>TR02</v>
      </c>
      <c r="B278" s="25" t="str">
        <f>DSSP!B277</f>
        <v>Tranh tô màu cỡ nhỏ</v>
      </c>
      <c r="C278" s="44" t="str">
        <f>IF(SUMIFS(Sheet2!$E:$E,Sheet2!$C:$C,$A278,Sheet2!$A:$A,C$2)&lt;&gt;0,SUMIFS(Sheet2!$E:$E,Sheet2!$C:$C,$A278,Sheet2!$A:$A,C$2),"")</f>
        <v/>
      </c>
      <c r="D278" s="44" t="str">
        <f>IF(SUMIFS(Sheet2!$E:$E,Sheet2!$C:$C,$A278,Sheet2!$A:$A,D$2)&lt;&gt;0,SUMIFS(Sheet2!$E:$E,Sheet2!$C:$C,$A278,Sheet2!$A:$A,D$2),"")</f>
        <v/>
      </c>
      <c r="E278" s="44" t="str">
        <f>IF(SUMIFS(Sheet2!$E:$E,Sheet2!$C:$C,$A278,Sheet2!$A:$A,E$2)&lt;&gt;0,SUMIFS(Sheet2!$E:$E,Sheet2!$C:$C,$A278,Sheet2!$A:$A,E$2),"")</f>
        <v/>
      </c>
      <c r="F278" s="44" t="str">
        <f>IF(SUMIFS(Sheet2!$E:$E,Sheet2!$C:$C,$A278,Sheet2!$A:$A,F$2)&lt;&gt;0,SUMIFS(Sheet2!$E:$E,Sheet2!$C:$C,$A278,Sheet2!$A:$A,F$2),"")</f>
        <v/>
      </c>
      <c r="G278" s="44" t="str">
        <f>IF(SUMIFS(Sheet2!$E:$E,Sheet2!$C:$C,$A278,Sheet2!$A:$A,G$2)&lt;&gt;0,SUMIFS(Sheet2!$E:$E,Sheet2!$C:$C,$A278,Sheet2!$A:$A,G$2),"")</f>
        <v/>
      </c>
      <c r="H278" s="44" t="str">
        <f>IF(SUMIFS(Sheet2!$E:$E,Sheet2!$C:$C,$A278,Sheet2!$A:$A,H$2)&lt;&gt;0,SUMIFS(Sheet2!$E:$E,Sheet2!$C:$C,$A278,Sheet2!$A:$A,H$2),"")</f>
        <v/>
      </c>
      <c r="I278" s="44" t="str">
        <f>IF(SUMIFS(Sheet2!$E:$E,Sheet2!$C:$C,$A278,Sheet2!$A:$A,I$2)&lt;&gt;0,SUMIFS(Sheet2!$E:$E,Sheet2!$C:$C,$A278,Sheet2!$A:$A,I$2),"")</f>
        <v/>
      </c>
      <c r="J278" s="44" t="str">
        <f>IF(SUMIFS(Sheet2!$E:$E,Sheet2!$C:$C,$A278,Sheet2!$A:$A,J$2)&lt;&gt;0,SUMIFS(Sheet2!$E:$E,Sheet2!$C:$C,$A278,Sheet2!$A:$A,J$2),"")</f>
        <v/>
      </c>
      <c r="K278" s="44" t="str">
        <f>IF(SUMIFS(Sheet2!$E:$E,Sheet2!$C:$C,$A278,Sheet2!$A:$A,K$2)&lt;&gt;0,SUMIFS(Sheet2!$E:$E,Sheet2!$C:$C,$A278,Sheet2!$A:$A,K$2),"")</f>
        <v/>
      </c>
      <c r="L278" s="44" t="str">
        <f>IF(SUMIFS(Sheet2!$E:$E,Sheet2!$C:$C,$A278,Sheet2!$A:$A,L$2)&lt;&gt;0,SUMIFS(Sheet2!$E:$E,Sheet2!$C:$C,$A278,Sheet2!$A:$A,L$2),"")</f>
        <v/>
      </c>
      <c r="M278" s="44" t="str">
        <f>IF(SUMIFS(Sheet2!$E:$E,Sheet2!$C:$C,$A278,Sheet2!$A:$A,M$2)&lt;&gt;0,SUMIFS(Sheet2!$E:$E,Sheet2!$C:$C,$A278,Sheet2!$A:$A,M$2),"")</f>
        <v/>
      </c>
      <c r="N278" s="44" t="str">
        <f>IF(SUMIFS(Sheet2!$E:$E,Sheet2!$C:$C,$A278,Sheet2!$A:$A,N$2)&lt;&gt;0,SUMIFS(Sheet2!$E:$E,Sheet2!$C:$C,$A278,Sheet2!$A:$A,N$2),"")</f>
        <v/>
      </c>
      <c r="O278" s="44" t="str">
        <f>IF(SUMIFS(Sheet2!$E:$E,Sheet2!$C:$C,$A278,Sheet2!$A:$A,O$2)&lt;&gt;0,SUMIFS(Sheet2!$E:$E,Sheet2!$C:$C,$A278,Sheet2!$A:$A,O$2),"")</f>
        <v/>
      </c>
      <c r="P278" s="44" t="str">
        <f>IF(SUMIFS(Sheet2!$E:$E,Sheet2!$C:$C,$A278,Sheet2!$A:$A,P$2)&lt;&gt;0,SUMIFS(Sheet2!$E:$E,Sheet2!$C:$C,$A278,Sheet2!$A:$A,P$2),"")</f>
        <v/>
      </c>
      <c r="Q278" s="44" t="str">
        <f>IF(SUMIFS(Sheet2!$E:$E,Sheet2!$C:$C,$A278,Sheet2!$A:$A,Q$2)&lt;&gt;0,SUMIFS(Sheet2!$E:$E,Sheet2!$C:$C,$A278,Sheet2!$A:$A,Q$2),"")</f>
        <v/>
      </c>
      <c r="R278" s="44" t="str">
        <f>IF(SUMIFS(Sheet2!$E:$E,Sheet2!$C:$C,$A278,Sheet2!$A:$A,R$2)&lt;&gt;0,SUMIFS(Sheet2!$E:$E,Sheet2!$C:$C,$A278,Sheet2!$A:$A,R$2),"")</f>
        <v/>
      </c>
      <c r="S278" s="44" t="str">
        <f>IF(SUMIFS(Sheet2!$E:$E,Sheet2!$C:$C,$A278,Sheet2!$A:$A,S$2)&lt;&gt;0,SUMIFS(Sheet2!$E:$E,Sheet2!$C:$C,$A278,Sheet2!$A:$A,S$2),"")</f>
        <v/>
      </c>
      <c r="T278" s="44" t="str">
        <f>IF(SUMIFS(Sheet2!$E:$E,Sheet2!$C:$C,$A278,Sheet2!$A:$A,T$2)&lt;&gt;0,SUMIFS(Sheet2!$E:$E,Sheet2!$C:$C,$A278,Sheet2!$A:$A,T$2),"")</f>
        <v/>
      </c>
      <c r="U278" s="44" t="str">
        <f>IF(SUMIFS(Sheet2!$E:$E,Sheet2!$C:$C,$A278,Sheet2!$A:$A,U$2)&lt;&gt;0,SUMIFS(Sheet2!$E:$E,Sheet2!$C:$C,$A278,Sheet2!$A:$A,U$2),"")</f>
        <v/>
      </c>
      <c r="V278" s="44" t="str">
        <f>IF(SUMIFS(Sheet2!$E:$E,Sheet2!$C:$C,$A278,Sheet2!$A:$A,V$2)&lt;&gt;0,SUMIFS(Sheet2!$E:$E,Sheet2!$C:$C,$A278,Sheet2!$A:$A,V$2),"")</f>
        <v/>
      </c>
      <c r="W278" s="44" t="str">
        <f>IF(SUMIFS(Sheet2!$E:$E,Sheet2!$C:$C,$A278,Sheet2!$A:$A,W$2)&lt;&gt;0,SUMIFS(Sheet2!$E:$E,Sheet2!$C:$C,$A278,Sheet2!$A:$A,W$2),"")</f>
        <v/>
      </c>
      <c r="X278" s="44" t="str">
        <f>IF(SUMIFS(Sheet2!$E:$E,Sheet2!$C:$C,$A278,Sheet2!$A:$A,X$2)&lt;&gt;0,SUMIFS(Sheet2!$E:$E,Sheet2!$C:$C,$A278,Sheet2!$A:$A,X$2),"")</f>
        <v/>
      </c>
      <c r="Y278" s="44" t="str">
        <f>IF(SUMIFS(Sheet2!$E:$E,Sheet2!$C:$C,$A278,Sheet2!$A:$A,Y$2)&lt;&gt;0,SUMIFS(Sheet2!$E:$E,Sheet2!$C:$C,$A278,Sheet2!$A:$A,Y$2),"")</f>
        <v/>
      </c>
      <c r="Z278" s="44" t="str">
        <f>IF(SUMIFS(Sheet2!$E:$E,Sheet2!$C:$C,$A278,Sheet2!$A:$A,Z$2)&lt;&gt;0,SUMIFS(Sheet2!$E:$E,Sheet2!$C:$C,$A278,Sheet2!$A:$A,Z$2),"")</f>
        <v/>
      </c>
      <c r="AA278" s="44" t="str">
        <f>IF(SUMIFS(Sheet2!$E:$E,Sheet2!$C:$C,$A278,Sheet2!$A:$A,AA$2)&lt;&gt;0,SUMIFS(Sheet2!$E:$E,Sheet2!$C:$C,$A278,Sheet2!$A:$A,AA$2),"")</f>
        <v/>
      </c>
      <c r="AB278" s="44" t="str">
        <f>IF(SUMIFS(Sheet2!$E:$E,Sheet2!$C:$C,$A278,Sheet2!$A:$A,AB$2)&lt;&gt;0,SUMIFS(Sheet2!$E:$E,Sheet2!$C:$C,$A278,Sheet2!$A:$A,AB$2),"")</f>
        <v/>
      </c>
      <c r="AC278" s="44" t="str">
        <f>IF(SUMIFS(Sheet2!$E:$E,Sheet2!$C:$C,$A278,Sheet2!$A:$A,AC$2)&lt;&gt;0,SUMIFS(Sheet2!$E:$E,Sheet2!$C:$C,$A278,Sheet2!$A:$A,AC$2),"")</f>
        <v/>
      </c>
      <c r="AD278" s="44" t="str">
        <f>IF(SUMIFS(Sheet2!$E:$E,Sheet2!$C:$C,$A278,Sheet2!$A:$A,AD$2)&lt;&gt;0,SUMIFS(Sheet2!$E:$E,Sheet2!$C:$C,$A278,Sheet2!$A:$A,AD$2),"")</f>
        <v/>
      </c>
      <c r="AE278" s="44" t="str">
        <f>IF(SUMIFS(Sheet2!$E:$E,Sheet2!$C:$C,$A278,Sheet2!$A:$A,AE$2)&lt;&gt;0,SUMIFS(Sheet2!$E:$E,Sheet2!$C:$C,$A278,Sheet2!$A:$A,AE$2),"")</f>
        <v/>
      </c>
      <c r="AF278" s="44" t="str">
        <f>IF(SUMIFS(Sheet2!$E:$E,Sheet2!$C:$C,$A278,Sheet2!$A:$A,AF$2)&lt;&gt;0,SUMIFS(Sheet2!$E:$E,Sheet2!$C:$C,$A278,Sheet2!$A:$A,AF$2),"")</f>
        <v/>
      </c>
      <c r="AG278" s="44" t="str">
        <f>IF(SUMIFS(Sheet2!$E:$E,Sheet2!$C:$C,$A278,Sheet2!$A:$A,AG$2)&lt;&gt;0,SUMIFS(Sheet2!$E:$E,Sheet2!$C:$C,$A278,Sheet2!$A:$A,AG$2),"")</f>
        <v/>
      </c>
      <c r="AH278" s="45">
        <f>SUM(Table2[[#This Row],[1]:[31]])</f>
        <v>0</v>
      </c>
    </row>
  </sheetData>
  <mergeCells count="1">
    <mergeCell ref="A1:AH1"/>
  </mergeCells>
  <pageMargins left="0.7" right="0.7" top="0.75" bottom="0.75" header="0.3" footer="0.3"/>
  <pageSetup orientation="portrait" r:id="rId1"/>
  <customProperties>
    <customPr name="DVSECTIONID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278"/>
  <sheetViews>
    <sheetView topLeftCell="A249" workbookViewId="0">
      <selection activeCell="S257" sqref="S257"/>
    </sheetView>
  </sheetViews>
  <sheetFormatPr defaultColWidth="17.140625" defaultRowHeight="12.75" customHeight="1"/>
  <cols>
    <col min="1" max="1" width="10" style="8" customWidth="1"/>
    <col min="2" max="2" width="18.140625" style="8" customWidth="1"/>
    <col min="3" max="33" width="4.140625" style="8" customWidth="1"/>
    <col min="34" max="34" width="10.42578125" style="8" customWidth="1"/>
    <col min="35" max="16384" width="17.140625" style="8"/>
  </cols>
  <sheetData>
    <row r="1" spans="1:34" s="7" customFormat="1" ht="20.25" customHeight="1">
      <c r="A1" s="89" t="s">
        <v>581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</row>
    <row r="2" spans="1:34" ht="12.75" customHeight="1">
      <c r="A2" s="11" t="s">
        <v>0</v>
      </c>
      <c r="B2" s="12" t="s">
        <v>147</v>
      </c>
      <c r="C2" s="13" t="s">
        <v>313</v>
      </c>
      <c r="D2" s="13" t="s">
        <v>314</v>
      </c>
      <c r="E2" s="13" t="s">
        <v>315</v>
      </c>
      <c r="F2" s="13" t="s">
        <v>316</v>
      </c>
      <c r="G2" s="13" t="s">
        <v>317</v>
      </c>
      <c r="H2" s="13" t="s">
        <v>318</v>
      </c>
      <c r="I2" s="13" t="s">
        <v>319</v>
      </c>
      <c r="J2" s="13" t="s">
        <v>320</v>
      </c>
      <c r="K2" s="13" t="s">
        <v>321</v>
      </c>
      <c r="L2" s="13" t="s">
        <v>322</v>
      </c>
      <c r="M2" s="13" t="s">
        <v>323</v>
      </c>
      <c r="N2" s="13" t="s">
        <v>324</v>
      </c>
      <c r="O2" s="13" t="s">
        <v>325</v>
      </c>
      <c r="P2" s="13" t="s">
        <v>326</v>
      </c>
      <c r="Q2" s="13" t="s">
        <v>327</v>
      </c>
      <c r="R2" s="13" t="s">
        <v>328</v>
      </c>
      <c r="S2" s="13" t="s">
        <v>329</v>
      </c>
      <c r="T2" s="13" t="s">
        <v>330</v>
      </c>
      <c r="U2" s="13" t="s">
        <v>331</v>
      </c>
      <c r="V2" s="13" t="s">
        <v>332</v>
      </c>
      <c r="W2" s="13" t="s">
        <v>333</v>
      </c>
      <c r="X2" s="13" t="s">
        <v>334</v>
      </c>
      <c r="Y2" s="13" t="s">
        <v>335</v>
      </c>
      <c r="Z2" s="13" t="s">
        <v>336</v>
      </c>
      <c r="AA2" s="13" t="s">
        <v>337</v>
      </c>
      <c r="AB2" s="13" t="s">
        <v>338</v>
      </c>
      <c r="AC2" s="13" t="s">
        <v>339</v>
      </c>
      <c r="AD2" s="13" t="s">
        <v>340</v>
      </c>
      <c r="AE2" s="13" t="s">
        <v>341</v>
      </c>
      <c r="AF2" s="13" t="s">
        <v>342</v>
      </c>
      <c r="AG2" s="13" t="s">
        <v>343</v>
      </c>
      <c r="AH2" s="14" t="s">
        <v>344</v>
      </c>
    </row>
    <row r="3" spans="1:34">
      <c r="A3" s="24" t="str">
        <f>DSSP!A2</f>
        <v>A025</v>
      </c>
      <c r="B3" s="25" t="str">
        <f>DSSP!B2</f>
        <v>Gà bông</v>
      </c>
      <c r="C3" s="9">
        <f>IF(SUMIFS(Sheet1!$E:$E,Sheet1!$C:$C,$A3,Sheet1!$A:$A,C$2)&lt;&gt;0,SUMIFS(Sheet1!$E:$E,Sheet1!$C:$C,$A3,Sheet1!$A:$A,C$2),"")</f>
        <v>22</v>
      </c>
      <c r="D3" s="9" t="str">
        <f>IF(SUMIFS(Sheet1!$E:$E,Sheet1!$C:$C,$A3,Sheet1!$A:$A,D$2)&lt;&gt;0,SUMIFS(Sheet1!$E:$E,Sheet1!$C:$C,$A3,Sheet1!$A:$A,D$2),"")</f>
        <v/>
      </c>
      <c r="E3" s="9" t="str">
        <f>IF(SUMIFS(Sheet1!$E:$E,Sheet1!$C:$C,$A3,Sheet1!$A:$A,E$2)&lt;&gt;0,SUMIFS(Sheet1!$E:$E,Sheet1!$C:$C,$A3,Sheet1!$A:$A,E$2),"")</f>
        <v/>
      </c>
      <c r="F3" s="9" t="str">
        <f>IF(SUMIFS(Sheet1!$E:$E,Sheet1!$C:$C,$A3,Sheet1!$A:$A,F$2)&lt;&gt;0,SUMIFS(Sheet1!$E:$E,Sheet1!$C:$C,$A3,Sheet1!$A:$A,F$2),"")</f>
        <v/>
      </c>
      <c r="G3" s="9" t="str">
        <f>IF(SUMIFS(Sheet1!$E:$E,Sheet1!$C:$C,$A3,Sheet1!$A:$A,G$2)&lt;&gt;0,SUMIFS(Sheet1!$E:$E,Sheet1!$C:$C,$A3,Sheet1!$A:$A,G$2),"")</f>
        <v/>
      </c>
      <c r="H3" s="9" t="str">
        <f>IF(SUMIFS(Sheet1!$E:$E,Sheet1!$C:$C,$A3,Sheet1!$A:$A,H$2)&lt;&gt;0,SUMIFS(Sheet1!$E:$E,Sheet1!$C:$C,$A3,Sheet1!$A:$A,H$2),"")</f>
        <v/>
      </c>
      <c r="I3" s="9" t="str">
        <f>IF(SUMIFS(Sheet1!$E:$E,Sheet1!$C:$C,$A3,Sheet1!$A:$A,I$2)&lt;&gt;0,SUMIFS(Sheet1!$E:$E,Sheet1!$C:$C,$A3,Sheet1!$A:$A,I$2),"")</f>
        <v/>
      </c>
      <c r="J3" s="9" t="str">
        <f>IF(SUMIFS(Sheet1!$E:$E,Sheet1!$C:$C,$A3,Sheet1!$A:$A,J$2)&lt;&gt;0,SUMIFS(Sheet1!$E:$E,Sheet1!$C:$C,$A3,Sheet1!$A:$A,J$2),"")</f>
        <v/>
      </c>
      <c r="K3" s="9" t="str">
        <f>IF(SUMIFS(Sheet1!$E:$E,Sheet1!$C:$C,$A3,Sheet1!$A:$A,K$2)&lt;&gt;0,SUMIFS(Sheet1!$E:$E,Sheet1!$C:$C,$A3,Sheet1!$A:$A,K$2),"")</f>
        <v/>
      </c>
      <c r="L3" s="9" t="str">
        <f>IF(SUMIFS(Sheet1!$E:$E,Sheet1!$C:$C,$A3,Sheet1!$A:$A,L$2)&lt;&gt;0,SUMIFS(Sheet1!$E:$E,Sheet1!$C:$C,$A3,Sheet1!$A:$A,L$2),"")</f>
        <v/>
      </c>
      <c r="M3" s="9" t="str">
        <f>IF(SUMIFS(Sheet1!$E:$E,Sheet1!$C:$C,$A3,Sheet1!$A:$A,M$2)&lt;&gt;0,SUMIFS(Sheet1!$E:$E,Sheet1!$C:$C,$A3,Sheet1!$A:$A,M$2),"")</f>
        <v/>
      </c>
      <c r="N3" s="9" t="str">
        <f>IF(SUMIFS(Sheet1!$E:$E,Sheet1!$C:$C,$A3,Sheet1!$A:$A,N$2)&lt;&gt;0,SUMIFS(Sheet1!$E:$E,Sheet1!$C:$C,$A3,Sheet1!$A:$A,N$2),"")</f>
        <v/>
      </c>
      <c r="O3" s="9" t="str">
        <f>IF(SUMIFS(Sheet1!$E:$E,Sheet1!$C:$C,$A3,Sheet1!$A:$A,O$2)&lt;&gt;0,SUMIFS(Sheet1!$E:$E,Sheet1!$C:$C,$A3,Sheet1!$A:$A,O$2),"")</f>
        <v/>
      </c>
      <c r="P3" s="9" t="str">
        <f>IF(SUMIFS(Sheet1!$E:$E,Sheet1!$C:$C,$A3,Sheet1!$A:$A,P$2)&lt;&gt;0,SUMIFS(Sheet1!$E:$E,Sheet1!$C:$C,$A3,Sheet1!$A:$A,P$2),"")</f>
        <v/>
      </c>
      <c r="Q3" s="9" t="str">
        <f>IF(SUMIFS(Sheet1!$E:$E,Sheet1!$C:$C,$A3,Sheet1!$A:$A,Q$2)&lt;&gt;0,SUMIFS(Sheet1!$E:$E,Sheet1!$C:$C,$A3,Sheet1!$A:$A,Q$2),"")</f>
        <v/>
      </c>
      <c r="R3" s="9" t="str">
        <f>IF(SUMIFS(Sheet1!$E:$E,Sheet1!$C:$C,$A3,Sheet1!$A:$A,R$2)&lt;&gt;0,SUMIFS(Sheet1!$E:$E,Sheet1!$C:$C,$A3,Sheet1!$A:$A,R$2),"")</f>
        <v/>
      </c>
      <c r="S3" s="9" t="str">
        <f>IF(SUMIFS(Sheet1!$E:$E,Sheet1!$C:$C,$A3,Sheet1!$A:$A,S$2)&lt;&gt;0,SUMIFS(Sheet1!$E:$E,Sheet1!$C:$C,$A3,Sheet1!$A:$A,S$2),"")</f>
        <v/>
      </c>
      <c r="T3" s="9" t="str">
        <f>IF(SUMIFS(Sheet1!$E:$E,Sheet1!$C:$C,$A3,Sheet1!$A:$A,T$2)&lt;&gt;0,SUMIFS(Sheet1!$E:$E,Sheet1!$C:$C,$A3,Sheet1!$A:$A,T$2),"")</f>
        <v/>
      </c>
      <c r="U3" s="9" t="str">
        <f>IF(SUMIFS(Sheet1!$E:$E,Sheet1!$C:$C,$A3,Sheet1!$A:$A,U$2)&lt;&gt;0,SUMIFS(Sheet1!$E:$E,Sheet1!$C:$C,$A3,Sheet1!$A:$A,U$2),"")</f>
        <v/>
      </c>
      <c r="V3" s="9" t="str">
        <f>IF(SUMIFS(Sheet1!$E:$E,Sheet1!$C:$C,$A3,Sheet1!$A:$A,V$2)&lt;&gt;0,SUMIFS(Sheet1!$E:$E,Sheet1!$C:$C,$A3,Sheet1!$A:$A,V$2),"")</f>
        <v/>
      </c>
      <c r="W3" s="9" t="str">
        <f>IF(SUMIFS(Sheet1!$E:$E,Sheet1!$C:$C,$A3,Sheet1!$A:$A,W$2)&lt;&gt;0,SUMIFS(Sheet1!$E:$E,Sheet1!$C:$C,$A3,Sheet1!$A:$A,W$2),"")</f>
        <v/>
      </c>
      <c r="X3" s="9" t="str">
        <f>IF(SUMIFS(Sheet1!$E:$E,Sheet1!$C:$C,$A3,Sheet1!$A:$A,X$2)&lt;&gt;0,SUMIFS(Sheet1!$E:$E,Sheet1!$C:$C,$A3,Sheet1!$A:$A,X$2),"")</f>
        <v/>
      </c>
      <c r="Y3" s="9" t="str">
        <f>IF(SUMIFS(Sheet1!$E:$E,Sheet1!$C:$C,$A3,Sheet1!$A:$A,Y$2)&lt;&gt;0,SUMIFS(Sheet1!$E:$E,Sheet1!$C:$C,$A3,Sheet1!$A:$A,Y$2),"")</f>
        <v/>
      </c>
      <c r="Z3" s="9" t="str">
        <f>IF(SUMIFS(Sheet1!$E:$E,Sheet1!$C:$C,$A3,Sheet1!$A:$A,Z$2)&lt;&gt;0,SUMIFS(Sheet1!$E:$E,Sheet1!$C:$C,$A3,Sheet1!$A:$A,Z$2),"")</f>
        <v/>
      </c>
      <c r="AA3" s="9" t="str">
        <f>IF(SUMIFS(Sheet1!$E:$E,Sheet1!$C:$C,$A3,Sheet1!$A:$A,AA$2)&lt;&gt;0,SUMIFS(Sheet1!$E:$E,Sheet1!$C:$C,$A3,Sheet1!$A:$A,AA$2),"")</f>
        <v/>
      </c>
      <c r="AB3" s="9" t="str">
        <f>IF(SUMIFS(Sheet1!$E:$E,Sheet1!$C:$C,$A3,Sheet1!$A:$A,AB$2)&lt;&gt;0,SUMIFS(Sheet1!$E:$E,Sheet1!$C:$C,$A3,Sheet1!$A:$A,AB$2),"")</f>
        <v/>
      </c>
      <c r="AC3" s="9" t="str">
        <f>IF(SUMIFS(Sheet1!$E:$E,Sheet1!$C:$C,$A3,Sheet1!$A:$A,AC$2)&lt;&gt;0,SUMIFS(Sheet1!$E:$E,Sheet1!$C:$C,$A3,Sheet1!$A:$A,AC$2),"")</f>
        <v/>
      </c>
      <c r="AD3" s="9" t="str">
        <f>IF(SUMIFS(Sheet1!$E:$E,Sheet1!$C:$C,$A3,Sheet1!$A:$A,AD$2)&lt;&gt;0,SUMIFS(Sheet1!$E:$E,Sheet1!$C:$C,$A3,Sheet1!$A:$A,AD$2),"")</f>
        <v/>
      </c>
      <c r="AE3" s="9" t="str">
        <f>IF(SUMIFS(Sheet1!$E:$E,Sheet1!$C:$C,$A3,Sheet1!$A:$A,AE$2)&lt;&gt;0,SUMIFS(Sheet1!$E:$E,Sheet1!$C:$C,$A3,Sheet1!$A:$A,AE$2),"")</f>
        <v/>
      </c>
      <c r="AF3" s="9" t="str">
        <f>IF(SUMIFS(Sheet1!$E:$E,Sheet1!$C:$C,$A3,Sheet1!$A:$A,AF$2)&lt;&gt;0,SUMIFS(Sheet1!$E:$E,Sheet1!$C:$C,$A3,Sheet1!$A:$A,AF$2),"")</f>
        <v/>
      </c>
      <c r="AG3" s="9" t="str">
        <f>IF(SUMIFS(Sheet1!$E:$E,Sheet1!$C:$C,$A3,Sheet1!$A:$A,AG$2)&lt;&gt;0,SUMIFS(Sheet1!$E:$E,Sheet1!$C:$C,$A3,Sheet1!$A:$A,AG$2),"")</f>
        <v/>
      </c>
      <c r="AH3" s="49">
        <f>SUM(Table24[[#This Row],[1]:[31]])</f>
        <v>22</v>
      </c>
    </row>
    <row r="4" spans="1:34" ht="12.75" customHeight="1">
      <c r="A4" s="24" t="str">
        <f>DSSP!A3</f>
        <v>A026</v>
      </c>
      <c r="B4" s="25" t="str">
        <f>DSSP!B3</f>
        <v>Dép bốn lá</v>
      </c>
      <c r="C4" s="9">
        <f>IF(SUMIFS(Sheet1!$E:$E,Sheet1!$C:$C,$A4,Sheet1!$A:$A,C$2)&lt;&gt;0,SUMIFS(Sheet1!$E:$E,Sheet1!$C:$C,$A4,Sheet1!$A:$A,C$2),"")</f>
        <v>53</v>
      </c>
      <c r="D4" s="9" t="str">
        <f>IF(SUMIFS(Sheet1!$E:$E,Sheet1!$C:$C,$A4,Sheet1!$A:$A,D$2)&lt;&gt;0,SUMIFS(Sheet1!$E:$E,Sheet1!$C:$C,$A4,Sheet1!$A:$A,D$2),"")</f>
        <v/>
      </c>
      <c r="E4" s="9" t="str">
        <f>IF(SUMIFS(Sheet1!$E:$E,Sheet1!$C:$C,$A4,Sheet1!$A:$A,E$2)&lt;&gt;0,SUMIFS(Sheet1!$E:$E,Sheet1!$C:$C,$A4,Sheet1!$A:$A,E$2),"")</f>
        <v/>
      </c>
      <c r="F4" s="9" t="str">
        <f>IF(SUMIFS(Sheet1!$E:$E,Sheet1!$C:$C,$A4,Sheet1!$A:$A,F$2)&lt;&gt;0,SUMIFS(Sheet1!$E:$E,Sheet1!$C:$C,$A4,Sheet1!$A:$A,F$2),"")</f>
        <v/>
      </c>
      <c r="G4" s="9" t="str">
        <f>IF(SUMIFS(Sheet1!$E:$E,Sheet1!$C:$C,$A4,Sheet1!$A:$A,G$2)&lt;&gt;0,SUMIFS(Sheet1!$E:$E,Sheet1!$C:$C,$A4,Sheet1!$A:$A,G$2),"")</f>
        <v/>
      </c>
      <c r="H4" s="9" t="str">
        <f>IF(SUMIFS(Sheet1!$E:$E,Sheet1!$C:$C,$A4,Sheet1!$A:$A,H$2)&lt;&gt;0,SUMIFS(Sheet1!$E:$E,Sheet1!$C:$C,$A4,Sheet1!$A:$A,H$2),"")</f>
        <v/>
      </c>
      <c r="I4" s="9" t="str">
        <f>IF(SUMIFS(Sheet1!$E:$E,Sheet1!$C:$C,$A4,Sheet1!$A:$A,I$2)&lt;&gt;0,SUMIFS(Sheet1!$E:$E,Sheet1!$C:$C,$A4,Sheet1!$A:$A,I$2),"")</f>
        <v/>
      </c>
      <c r="J4" s="9" t="str">
        <f>IF(SUMIFS(Sheet1!$E:$E,Sheet1!$C:$C,$A4,Sheet1!$A:$A,J$2)&lt;&gt;0,SUMIFS(Sheet1!$E:$E,Sheet1!$C:$C,$A4,Sheet1!$A:$A,J$2),"")</f>
        <v/>
      </c>
      <c r="K4" s="9" t="str">
        <f>IF(SUMIFS(Sheet1!$E:$E,Sheet1!$C:$C,$A4,Sheet1!$A:$A,K$2)&lt;&gt;0,SUMIFS(Sheet1!$E:$E,Sheet1!$C:$C,$A4,Sheet1!$A:$A,K$2),"")</f>
        <v/>
      </c>
      <c r="L4" s="9" t="str">
        <f>IF(SUMIFS(Sheet1!$E:$E,Sheet1!$C:$C,$A4,Sheet1!$A:$A,L$2)&lt;&gt;0,SUMIFS(Sheet1!$E:$E,Sheet1!$C:$C,$A4,Sheet1!$A:$A,L$2),"")</f>
        <v/>
      </c>
      <c r="M4" s="9" t="str">
        <f>IF(SUMIFS(Sheet1!$E:$E,Sheet1!$C:$C,$A4,Sheet1!$A:$A,M$2)&lt;&gt;0,SUMIFS(Sheet1!$E:$E,Sheet1!$C:$C,$A4,Sheet1!$A:$A,M$2),"")</f>
        <v/>
      </c>
      <c r="N4" s="9" t="str">
        <f>IF(SUMIFS(Sheet1!$E:$E,Sheet1!$C:$C,$A4,Sheet1!$A:$A,N$2)&lt;&gt;0,SUMIFS(Sheet1!$E:$E,Sheet1!$C:$C,$A4,Sheet1!$A:$A,N$2),"")</f>
        <v/>
      </c>
      <c r="O4" s="9" t="str">
        <f>IF(SUMIFS(Sheet1!$E:$E,Sheet1!$C:$C,$A4,Sheet1!$A:$A,O$2)&lt;&gt;0,SUMIFS(Sheet1!$E:$E,Sheet1!$C:$C,$A4,Sheet1!$A:$A,O$2),"")</f>
        <v/>
      </c>
      <c r="P4" s="9" t="str">
        <f>IF(SUMIFS(Sheet1!$E:$E,Sheet1!$C:$C,$A4,Sheet1!$A:$A,P$2)&lt;&gt;0,SUMIFS(Sheet1!$E:$E,Sheet1!$C:$C,$A4,Sheet1!$A:$A,P$2),"")</f>
        <v/>
      </c>
      <c r="Q4" s="9" t="str">
        <f>IF(SUMIFS(Sheet1!$E:$E,Sheet1!$C:$C,$A4,Sheet1!$A:$A,Q$2)&lt;&gt;0,SUMIFS(Sheet1!$E:$E,Sheet1!$C:$C,$A4,Sheet1!$A:$A,Q$2),"")</f>
        <v/>
      </c>
      <c r="R4" s="9" t="str">
        <f>IF(SUMIFS(Sheet1!$E:$E,Sheet1!$C:$C,$A4,Sheet1!$A:$A,R$2)&lt;&gt;0,SUMIFS(Sheet1!$E:$E,Sheet1!$C:$C,$A4,Sheet1!$A:$A,R$2),"")</f>
        <v/>
      </c>
      <c r="S4" s="9" t="str">
        <f>IF(SUMIFS(Sheet1!$E:$E,Sheet1!$C:$C,$A4,Sheet1!$A:$A,S$2)&lt;&gt;0,SUMIFS(Sheet1!$E:$E,Sheet1!$C:$C,$A4,Sheet1!$A:$A,S$2),"")</f>
        <v/>
      </c>
      <c r="T4" s="9" t="str">
        <f>IF(SUMIFS(Sheet1!$E:$E,Sheet1!$C:$C,$A4,Sheet1!$A:$A,T$2)&lt;&gt;0,SUMIFS(Sheet1!$E:$E,Sheet1!$C:$C,$A4,Sheet1!$A:$A,T$2),"")</f>
        <v/>
      </c>
      <c r="U4" s="9" t="str">
        <f>IF(SUMIFS(Sheet1!$E:$E,Sheet1!$C:$C,$A4,Sheet1!$A:$A,U$2)&lt;&gt;0,SUMIFS(Sheet1!$E:$E,Sheet1!$C:$C,$A4,Sheet1!$A:$A,U$2),"")</f>
        <v/>
      </c>
      <c r="V4" s="9" t="str">
        <f>IF(SUMIFS(Sheet1!$E:$E,Sheet1!$C:$C,$A4,Sheet1!$A:$A,V$2)&lt;&gt;0,SUMIFS(Sheet1!$E:$E,Sheet1!$C:$C,$A4,Sheet1!$A:$A,V$2),"")</f>
        <v/>
      </c>
      <c r="W4" s="9" t="str">
        <f>IF(SUMIFS(Sheet1!$E:$E,Sheet1!$C:$C,$A4,Sheet1!$A:$A,W$2)&lt;&gt;0,SUMIFS(Sheet1!$E:$E,Sheet1!$C:$C,$A4,Sheet1!$A:$A,W$2),"")</f>
        <v/>
      </c>
      <c r="X4" s="9" t="str">
        <f>IF(SUMIFS(Sheet1!$E:$E,Sheet1!$C:$C,$A4,Sheet1!$A:$A,X$2)&lt;&gt;0,SUMIFS(Sheet1!$E:$E,Sheet1!$C:$C,$A4,Sheet1!$A:$A,X$2),"")</f>
        <v/>
      </c>
      <c r="Y4" s="9" t="str">
        <f>IF(SUMIFS(Sheet1!$E:$E,Sheet1!$C:$C,$A4,Sheet1!$A:$A,Y$2)&lt;&gt;0,SUMIFS(Sheet1!$E:$E,Sheet1!$C:$C,$A4,Sheet1!$A:$A,Y$2),"")</f>
        <v/>
      </c>
      <c r="Z4" s="9" t="str">
        <f>IF(SUMIFS(Sheet1!$E:$E,Sheet1!$C:$C,$A4,Sheet1!$A:$A,Z$2)&lt;&gt;0,SUMIFS(Sheet1!$E:$E,Sheet1!$C:$C,$A4,Sheet1!$A:$A,Z$2),"")</f>
        <v/>
      </c>
      <c r="AA4" s="9" t="str">
        <f>IF(SUMIFS(Sheet1!$E:$E,Sheet1!$C:$C,$A4,Sheet1!$A:$A,AA$2)&lt;&gt;0,SUMIFS(Sheet1!$E:$E,Sheet1!$C:$C,$A4,Sheet1!$A:$A,AA$2),"")</f>
        <v/>
      </c>
      <c r="AB4" s="9" t="str">
        <f>IF(SUMIFS(Sheet1!$E:$E,Sheet1!$C:$C,$A4,Sheet1!$A:$A,AB$2)&lt;&gt;0,SUMIFS(Sheet1!$E:$E,Sheet1!$C:$C,$A4,Sheet1!$A:$A,AB$2),"")</f>
        <v/>
      </c>
      <c r="AC4" s="9" t="str">
        <f>IF(SUMIFS(Sheet1!$E:$E,Sheet1!$C:$C,$A4,Sheet1!$A:$A,AC$2)&lt;&gt;0,SUMIFS(Sheet1!$E:$E,Sheet1!$C:$C,$A4,Sheet1!$A:$A,AC$2),"")</f>
        <v/>
      </c>
      <c r="AD4" s="9" t="str">
        <f>IF(SUMIFS(Sheet1!$E:$E,Sheet1!$C:$C,$A4,Sheet1!$A:$A,AD$2)&lt;&gt;0,SUMIFS(Sheet1!$E:$E,Sheet1!$C:$C,$A4,Sheet1!$A:$A,AD$2),"")</f>
        <v/>
      </c>
      <c r="AE4" s="9" t="str">
        <f>IF(SUMIFS(Sheet1!$E:$E,Sheet1!$C:$C,$A4,Sheet1!$A:$A,AE$2)&lt;&gt;0,SUMIFS(Sheet1!$E:$E,Sheet1!$C:$C,$A4,Sheet1!$A:$A,AE$2),"")</f>
        <v/>
      </c>
      <c r="AF4" s="9" t="str">
        <f>IF(SUMIFS(Sheet1!$E:$E,Sheet1!$C:$C,$A4,Sheet1!$A:$A,AF$2)&lt;&gt;0,SUMIFS(Sheet1!$E:$E,Sheet1!$C:$C,$A4,Sheet1!$A:$A,AF$2),"")</f>
        <v/>
      </c>
      <c r="AG4" s="9" t="str">
        <f>IF(SUMIFS(Sheet1!$E:$E,Sheet1!$C:$C,$A4,Sheet1!$A:$A,AG$2)&lt;&gt;0,SUMIFS(Sheet1!$E:$E,Sheet1!$C:$C,$A4,Sheet1!$A:$A,AG$2),"")</f>
        <v/>
      </c>
      <c r="AH4" s="47">
        <f>SUM(Table24[[#This Row],[1]:[31]])</f>
        <v>53</v>
      </c>
    </row>
    <row r="5" spans="1:34" ht="12.75" customHeight="1">
      <c r="A5" s="24" t="str">
        <f>DSSP!A4</f>
        <v>A028</v>
      </c>
      <c r="B5" s="25" t="str">
        <f>DSSP!B4</f>
        <v>Cá voi</v>
      </c>
      <c r="C5" s="9">
        <f>IF(SUMIFS(Sheet1!$E:$E,Sheet1!$C:$C,$A5,Sheet1!$A:$A,C$2)&lt;&gt;0,SUMIFS(Sheet1!$E:$E,Sheet1!$C:$C,$A5,Sheet1!$A:$A,C$2),"")</f>
        <v>34</v>
      </c>
      <c r="D5" s="9" t="str">
        <f>IF(SUMIFS(Sheet1!$E:$E,Sheet1!$C:$C,$A5,Sheet1!$A:$A,D$2)&lt;&gt;0,SUMIFS(Sheet1!$E:$E,Sheet1!$C:$C,$A5,Sheet1!$A:$A,D$2),"")</f>
        <v/>
      </c>
      <c r="E5" s="9" t="str">
        <f>IF(SUMIFS(Sheet1!$E:$E,Sheet1!$C:$C,$A5,Sheet1!$A:$A,E$2)&lt;&gt;0,SUMIFS(Sheet1!$E:$E,Sheet1!$C:$C,$A5,Sheet1!$A:$A,E$2),"")</f>
        <v/>
      </c>
      <c r="F5" s="9" t="str">
        <f>IF(SUMIFS(Sheet1!$E:$E,Sheet1!$C:$C,$A5,Sheet1!$A:$A,F$2)&lt;&gt;0,SUMIFS(Sheet1!$E:$E,Sheet1!$C:$C,$A5,Sheet1!$A:$A,F$2),"")</f>
        <v/>
      </c>
      <c r="G5" s="9" t="str">
        <f>IF(SUMIFS(Sheet1!$E:$E,Sheet1!$C:$C,$A5,Sheet1!$A:$A,G$2)&lt;&gt;0,SUMIFS(Sheet1!$E:$E,Sheet1!$C:$C,$A5,Sheet1!$A:$A,G$2),"")</f>
        <v/>
      </c>
      <c r="H5" s="9" t="str">
        <f>IF(SUMIFS(Sheet1!$E:$E,Sheet1!$C:$C,$A5,Sheet1!$A:$A,H$2)&lt;&gt;0,SUMIFS(Sheet1!$E:$E,Sheet1!$C:$C,$A5,Sheet1!$A:$A,H$2),"")</f>
        <v/>
      </c>
      <c r="I5" s="9" t="str">
        <f>IF(SUMIFS(Sheet1!$E:$E,Sheet1!$C:$C,$A5,Sheet1!$A:$A,I$2)&lt;&gt;0,SUMIFS(Sheet1!$E:$E,Sheet1!$C:$C,$A5,Sheet1!$A:$A,I$2),"")</f>
        <v/>
      </c>
      <c r="J5" s="9" t="str">
        <f>IF(SUMIFS(Sheet1!$E:$E,Sheet1!$C:$C,$A5,Sheet1!$A:$A,J$2)&lt;&gt;0,SUMIFS(Sheet1!$E:$E,Sheet1!$C:$C,$A5,Sheet1!$A:$A,J$2),"")</f>
        <v/>
      </c>
      <c r="K5" s="9" t="str">
        <f>IF(SUMIFS(Sheet1!$E:$E,Sheet1!$C:$C,$A5,Sheet1!$A:$A,K$2)&lt;&gt;0,SUMIFS(Sheet1!$E:$E,Sheet1!$C:$C,$A5,Sheet1!$A:$A,K$2),"")</f>
        <v/>
      </c>
      <c r="L5" s="9" t="str">
        <f>IF(SUMIFS(Sheet1!$E:$E,Sheet1!$C:$C,$A5,Sheet1!$A:$A,L$2)&lt;&gt;0,SUMIFS(Sheet1!$E:$E,Sheet1!$C:$C,$A5,Sheet1!$A:$A,L$2),"")</f>
        <v/>
      </c>
      <c r="M5" s="9" t="str">
        <f>IF(SUMIFS(Sheet1!$E:$E,Sheet1!$C:$C,$A5,Sheet1!$A:$A,M$2)&lt;&gt;0,SUMIFS(Sheet1!$E:$E,Sheet1!$C:$C,$A5,Sheet1!$A:$A,M$2),"")</f>
        <v/>
      </c>
      <c r="N5" s="9" t="str">
        <f>IF(SUMIFS(Sheet1!$E:$E,Sheet1!$C:$C,$A5,Sheet1!$A:$A,N$2)&lt;&gt;0,SUMIFS(Sheet1!$E:$E,Sheet1!$C:$C,$A5,Sheet1!$A:$A,N$2),"")</f>
        <v/>
      </c>
      <c r="O5" s="9" t="str">
        <f>IF(SUMIFS(Sheet1!$E:$E,Sheet1!$C:$C,$A5,Sheet1!$A:$A,O$2)&lt;&gt;0,SUMIFS(Sheet1!$E:$E,Sheet1!$C:$C,$A5,Sheet1!$A:$A,O$2),"")</f>
        <v/>
      </c>
      <c r="P5" s="9" t="str">
        <f>IF(SUMIFS(Sheet1!$E:$E,Sheet1!$C:$C,$A5,Sheet1!$A:$A,P$2)&lt;&gt;0,SUMIFS(Sheet1!$E:$E,Sheet1!$C:$C,$A5,Sheet1!$A:$A,P$2),"")</f>
        <v/>
      </c>
      <c r="Q5" s="9" t="str">
        <f>IF(SUMIFS(Sheet1!$E:$E,Sheet1!$C:$C,$A5,Sheet1!$A:$A,Q$2)&lt;&gt;0,SUMIFS(Sheet1!$E:$E,Sheet1!$C:$C,$A5,Sheet1!$A:$A,Q$2),"")</f>
        <v/>
      </c>
      <c r="R5" s="9" t="str">
        <f>IF(SUMIFS(Sheet1!$E:$E,Sheet1!$C:$C,$A5,Sheet1!$A:$A,R$2)&lt;&gt;0,SUMIFS(Sheet1!$E:$E,Sheet1!$C:$C,$A5,Sheet1!$A:$A,R$2),"")</f>
        <v/>
      </c>
      <c r="S5" s="9" t="str">
        <f>IF(SUMIFS(Sheet1!$E:$E,Sheet1!$C:$C,$A5,Sheet1!$A:$A,S$2)&lt;&gt;0,SUMIFS(Sheet1!$E:$E,Sheet1!$C:$C,$A5,Sheet1!$A:$A,S$2),"")</f>
        <v/>
      </c>
      <c r="T5" s="9" t="str">
        <f>IF(SUMIFS(Sheet1!$E:$E,Sheet1!$C:$C,$A5,Sheet1!$A:$A,T$2)&lt;&gt;0,SUMIFS(Sheet1!$E:$E,Sheet1!$C:$C,$A5,Sheet1!$A:$A,T$2),"")</f>
        <v/>
      </c>
      <c r="U5" s="9" t="str">
        <f>IF(SUMIFS(Sheet1!$E:$E,Sheet1!$C:$C,$A5,Sheet1!$A:$A,U$2)&lt;&gt;0,SUMIFS(Sheet1!$E:$E,Sheet1!$C:$C,$A5,Sheet1!$A:$A,U$2),"")</f>
        <v/>
      </c>
      <c r="V5" s="9" t="str">
        <f>IF(SUMIFS(Sheet1!$E:$E,Sheet1!$C:$C,$A5,Sheet1!$A:$A,V$2)&lt;&gt;0,SUMIFS(Sheet1!$E:$E,Sheet1!$C:$C,$A5,Sheet1!$A:$A,V$2),"")</f>
        <v/>
      </c>
      <c r="W5" s="9" t="str">
        <f>IF(SUMIFS(Sheet1!$E:$E,Sheet1!$C:$C,$A5,Sheet1!$A:$A,W$2)&lt;&gt;0,SUMIFS(Sheet1!$E:$E,Sheet1!$C:$C,$A5,Sheet1!$A:$A,W$2),"")</f>
        <v/>
      </c>
      <c r="X5" s="9" t="str">
        <f>IF(SUMIFS(Sheet1!$E:$E,Sheet1!$C:$C,$A5,Sheet1!$A:$A,X$2)&lt;&gt;0,SUMIFS(Sheet1!$E:$E,Sheet1!$C:$C,$A5,Sheet1!$A:$A,X$2),"")</f>
        <v/>
      </c>
      <c r="Y5" s="9" t="str">
        <f>IF(SUMIFS(Sheet1!$E:$E,Sheet1!$C:$C,$A5,Sheet1!$A:$A,Y$2)&lt;&gt;0,SUMIFS(Sheet1!$E:$E,Sheet1!$C:$C,$A5,Sheet1!$A:$A,Y$2),"")</f>
        <v/>
      </c>
      <c r="Z5" s="9" t="str">
        <f>IF(SUMIFS(Sheet1!$E:$E,Sheet1!$C:$C,$A5,Sheet1!$A:$A,Z$2)&lt;&gt;0,SUMIFS(Sheet1!$E:$E,Sheet1!$C:$C,$A5,Sheet1!$A:$A,Z$2),"")</f>
        <v/>
      </c>
      <c r="AA5" s="9" t="str">
        <f>IF(SUMIFS(Sheet1!$E:$E,Sheet1!$C:$C,$A5,Sheet1!$A:$A,AA$2)&lt;&gt;0,SUMIFS(Sheet1!$E:$E,Sheet1!$C:$C,$A5,Sheet1!$A:$A,AA$2),"")</f>
        <v/>
      </c>
      <c r="AB5" s="9" t="str">
        <f>IF(SUMIFS(Sheet1!$E:$E,Sheet1!$C:$C,$A5,Sheet1!$A:$A,AB$2)&lt;&gt;0,SUMIFS(Sheet1!$E:$E,Sheet1!$C:$C,$A5,Sheet1!$A:$A,AB$2),"")</f>
        <v/>
      </c>
      <c r="AC5" s="9" t="str">
        <f>IF(SUMIFS(Sheet1!$E:$E,Sheet1!$C:$C,$A5,Sheet1!$A:$A,AC$2)&lt;&gt;0,SUMIFS(Sheet1!$E:$E,Sheet1!$C:$C,$A5,Sheet1!$A:$A,AC$2),"")</f>
        <v/>
      </c>
      <c r="AD5" s="9" t="str">
        <f>IF(SUMIFS(Sheet1!$E:$E,Sheet1!$C:$C,$A5,Sheet1!$A:$A,AD$2)&lt;&gt;0,SUMIFS(Sheet1!$E:$E,Sheet1!$C:$C,$A5,Sheet1!$A:$A,AD$2),"")</f>
        <v/>
      </c>
      <c r="AE5" s="9" t="str">
        <f>IF(SUMIFS(Sheet1!$E:$E,Sheet1!$C:$C,$A5,Sheet1!$A:$A,AE$2)&lt;&gt;0,SUMIFS(Sheet1!$E:$E,Sheet1!$C:$C,$A5,Sheet1!$A:$A,AE$2),"")</f>
        <v/>
      </c>
      <c r="AF5" s="9" t="str">
        <f>IF(SUMIFS(Sheet1!$E:$E,Sheet1!$C:$C,$A5,Sheet1!$A:$A,AF$2)&lt;&gt;0,SUMIFS(Sheet1!$E:$E,Sheet1!$C:$C,$A5,Sheet1!$A:$A,AF$2),"")</f>
        <v/>
      </c>
      <c r="AG5" s="9" t="str">
        <f>IF(SUMIFS(Sheet1!$E:$E,Sheet1!$C:$C,$A5,Sheet1!$A:$A,AG$2)&lt;&gt;0,SUMIFS(Sheet1!$E:$E,Sheet1!$C:$C,$A5,Sheet1!$A:$A,AG$2),"")</f>
        <v/>
      </c>
      <c r="AH5" s="47">
        <f>SUM(Table24[[#This Row],[1]:[31]])</f>
        <v>34</v>
      </c>
    </row>
    <row r="6" spans="1:34" ht="12.75" customHeight="1">
      <c r="A6" s="24" t="str">
        <f>DSSP!A5</f>
        <v>A031</v>
      </c>
      <c r="B6" s="25" t="str">
        <f>DSSP!B5</f>
        <v>Angry Bird</v>
      </c>
      <c r="C6" s="9">
        <f>IF(SUMIFS(Sheet1!$E:$E,Sheet1!$C:$C,$A6,Sheet1!$A:$A,C$2)&lt;&gt;0,SUMIFS(Sheet1!$E:$E,Sheet1!$C:$C,$A6,Sheet1!$A:$A,C$2),"")</f>
        <v>8</v>
      </c>
      <c r="D6" s="9" t="str">
        <f>IF(SUMIFS(Sheet1!$E:$E,Sheet1!$C:$C,$A6,Sheet1!$A:$A,D$2)&lt;&gt;0,SUMIFS(Sheet1!$E:$E,Sheet1!$C:$C,$A6,Sheet1!$A:$A,D$2),"")</f>
        <v/>
      </c>
      <c r="E6" s="9" t="str">
        <f>IF(SUMIFS(Sheet1!$E:$E,Sheet1!$C:$C,$A6,Sheet1!$A:$A,E$2)&lt;&gt;0,SUMIFS(Sheet1!$E:$E,Sheet1!$C:$C,$A6,Sheet1!$A:$A,E$2),"")</f>
        <v/>
      </c>
      <c r="F6" s="9" t="str">
        <f>IF(SUMIFS(Sheet1!$E:$E,Sheet1!$C:$C,$A6,Sheet1!$A:$A,F$2)&lt;&gt;0,SUMIFS(Sheet1!$E:$E,Sheet1!$C:$C,$A6,Sheet1!$A:$A,F$2),"")</f>
        <v/>
      </c>
      <c r="G6" s="9" t="str">
        <f>IF(SUMIFS(Sheet1!$E:$E,Sheet1!$C:$C,$A6,Sheet1!$A:$A,G$2)&lt;&gt;0,SUMIFS(Sheet1!$E:$E,Sheet1!$C:$C,$A6,Sheet1!$A:$A,G$2),"")</f>
        <v/>
      </c>
      <c r="H6" s="9" t="str">
        <f>IF(SUMIFS(Sheet1!$E:$E,Sheet1!$C:$C,$A6,Sheet1!$A:$A,H$2)&lt;&gt;0,SUMIFS(Sheet1!$E:$E,Sheet1!$C:$C,$A6,Sheet1!$A:$A,H$2),"")</f>
        <v/>
      </c>
      <c r="I6" s="9" t="str">
        <f>IF(SUMIFS(Sheet1!$E:$E,Sheet1!$C:$C,$A6,Sheet1!$A:$A,I$2)&lt;&gt;0,SUMIFS(Sheet1!$E:$E,Sheet1!$C:$C,$A6,Sheet1!$A:$A,I$2),"")</f>
        <v/>
      </c>
      <c r="J6" s="9" t="str">
        <f>IF(SUMIFS(Sheet1!$E:$E,Sheet1!$C:$C,$A6,Sheet1!$A:$A,J$2)&lt;&gt;0,SUMIFS(Sheet1!$E:$E,Sheet1!$C:$C,$A6,Sheet1!$A:$A,J$2),"")</f>
        <v/>
      </c>
      <c r="K6" s="9" t="str">
        <f>IF(SUMIFS(Sheet1!$E:$E,Sheet1!$C:$C,$A6,Sheet1!$A:$A,K$2)&lt;&gt;0,SUMIFS(Sheet1!$E:$E,Sheet1!$C:$C,$A6,Sheet1!$A:$A,K$2),"")</f>
        <v/>
      </c>
      <c r="L6" s="9" t="str">
        <f>IF(SUMIFS(Sheet1!$E:$E,Sheet1!$C:$C,$A6,Sheet1!$A:$A,L$2)&lt;&gt;0,SUMIFS(Sheet1!$E:$E,Sheet1!$C:$C,$A6,Sheet1!$A:$A,L$2),"")</f>
        <v/>
      </c>
      <c r="M6" s="9" t="str">
        <f>IF(SUMIFS(Sheet1!$E:$E,Sheet1!$C:$C,$A6,Sheet1!$A:$A,M$2)&lt;&gt;0,SUMIFS(Sheet1!$E:$E,Sheet1!$C:$C,$A6,Sheet1!$A:$A,M$2),"")</f>
        <v/>
      </c>
      <c r="N6" s="9" t="str">
        <f>IF(SUMIFS(Sheet1!$E:$E,Sheet1!$C:$C,$A6,Sheet1!$A:$A,N$2)&lt;&gt;0,SUMIFS(Sheet1!$E:$E,Sheet1!$C:$C,$A6,Sheet1!$A:$A,N$2),"")</f>
        <v/>
      </c>
      <c r="O6" s="9" t="str">
        <f>IF(SUMIFS(Sheet1!$E:$E,Sheet1!$C:$C,$A6,Sheet1!$A:$A,O$2)&lt;&gt;0,SUMIFS(Sheet1!$E:$E,Sheet1!$C:$C,$A6,Sheet1!$A:$A,O$2),"")</f>
        <v/>
      </c>
      <c r="P6" s="9" t="str">
        <f>IF(SUMIFS(Sheet1!$E:$E,Sheet1!$C:$C,$A6,Sheet1!$A:$A,P$2)&lt;&gt;0,SUMIFS(Sheet1!$E:$E,Sheet1!$C:$C,$A6,Sheet1!$A:$A,P$2),"")</f>
        <v/>
      </c>
      <c r="Q6" s="9" t="str">
        <f>IF(SUMIFS(Sheet1!$E:$E,Sheet1!$C:$C,$A6,Sheet1!$A:$A,Q$2)&lt;&gt;0,SUMIFS(Sheet1!$E:$E,Sheet1!$C:$C,$A6,Sheet1!$A:$A,Q$2),"")</f>
        <v/>
      </c>
      <c r="R6" s="9" t="str">
        <f>IF(SUMIFS(Sheet1!$E:$E,Sheet1!$C:$C,$A6,Sheet1!$A:$A,R$2)&lt;&gt;0,SUMIFS(Sheet1!$E:$E,Sheet1!$C:$C,$A6,Sheet1!$A:$A,R$2),"")</f>
        <v/>
      </c>
      <c r="S6" s="9" t="str">
        <f>IF(SUMIFS(Sheet1!$E:$E,Sheet1!$C:$C,$A6,Sheet1!$A:$A,S$2)&lt;&gt;0,SUMIFS(Sheet1!$E:$E,Sheet1!$C:$C,$A6,Sheet1!$A:$A,S$2),"")</f>
        <v/>
      </c>
      <c r="T6" s="9" t="str">
        <f>IF(SUMIFS(Sheet1!$E:$E,Sheet1!$C:$C,$A6,Sheet1!$A:$A,T$2)&lt;&gt;0,SUMIFS(Sheet1!$E:$E,Sheet1!$C:$C,$A6,Sheet1!$A:$A,T$2),"")</f>
        <v/>
      </c>
      <c r="U6" s="9" t="str">
        <f>IF(SUMIFS(Sheet1!$E:$E,Sheet1!$C:$C,$A6,Sheet1!$A:$A,U$2)&lt;&gt;0,SUMIFS(Sheet1!$E:$E,Sheet1!$C:$C,$A6,Sheet1!$A:$A,U$2),"")</f>
        <v/>
      </c>
      <c r="V6" s="9" t="str">
        <f>IF(SUMIFS(Sheet1!$E:$E,Sheet1!$C:$C,$A6,Sheet1!$A:$A,V$2)&lt;&gt;0,SUMIFS(Sheet1!$E:$E,Sheet1!$C:$C,$A6,Sheet1!$A:$A,V$2),"")</f>
        <v/>
      </c>
      <c r="W6" s="9" t="str">
        <f>IF(SUMIFS(Sheet1!$E:$E,Sheet1!$C:$C,$A6,Sheet1!$A:$A,W$2)&lt;&gt;0,SUMIFS(Sheet1!$E:$E,Sheet1!$C:$C,$A6,Sheet1!$A:$A,W$2),"")</f>
        <v/>
      </c>
      <c r="X6" s="9" t="str">
        <f>IF(SUMIFS(Sheet1!$E:$E,Sheet1!$C:$C,$A6,Sheet1!$A:$A,X$2)&lt;&gt;0,SUMIFS(Sheet1!$E:$E,Sheet1!$C:$C,$A6,Sheet1!$A:$A,X$2),"")</f>
        <v/>
      </c>
      <c r="Y6" s="9" t="str">
        <f>IF(SUMIFS(Sheet1!$E:$E,Sheet1!$C:$C,$A6,Sheet1!$A:$A,Y$2)&lt;&gt;0,SUMIFS(Sheet1!$E:$E,Sheet1!$C:$C,$A6,Sheet1!$A:$A,Y$2),"")</f>
        <v/>
      </c>
      <c r="Z6" s="9" t="str">
        <f>IF(SUMIFS(Sheet1!$E:$E,Sheet1!$C:$C,$A6,Sheet1!$A:$A,Z$2)&lt;&gt;0,SUMIFS(Sheet1!$E:$E,Sheet1!$C:$C,$A6,Sheet1!$A:$A,Z$2),"")</f>
        <v/>
      </c>
      <c r="AA6" s="9" t="str">
        <f>IF(SUMIFS(Sheet1!$E:$E,Sheet1!$C:$C,$A6,Sheet1!$A:$A,AA$2)&lt;&gt;0,SUMIFS(Sheet1!$E:$E,Sheet1!$C:$C,$A6,Sheet1!$A:$A,AA$2),"")</f>
        <v/>
      </c>
      <c r="AB6" s="9" t="str">
        <f>IF(SUMIFS(Sheet1!$E:$E,Sheet1!$C:$C,$A6,Sheet1!$A:$A,AB$2)&lt;&gt;0,SUMIFS(Sheet1!$E:$E,Sheet1!$C:$C,$A6,Sheet1!$A:$A,AB$2),"")</f>
        <v/>
      </c>
      <c r="AC6" s="9" t="str">
        <f>IF(SUMIFS(Sheet1!$E:$E,Sheet1!$C:$C,$A6,Sheet1!$A:$A,AC$2)&lt;&gt;0,SUMIFS(Sheet1!$E:$E,Sheet1!$C:$C,$A6,Sheet1!$A:$A,AC$2),"")</f>
        <v/>
      </c>
      <c r="AD6" s="9" t="str">
        <f>IF(SUMIFS(Sheet1!$E:$E,Sheet1!$C:$C,$A6,Sheet1!$A:$A,AD$2)&lt;&gt;0,SUMIFS(Sheet1!$E:$E,Sheet1!$C:$C,$A6,Sheet1!$A:$A,AD$2),"")</f>
        <v/>
      </c>
      <c r="AE6" s="9" t="str">
        <f>IF(SUMIFS(Sheet1!$E:$E,Sheet1!$C:$C,$A6,Sheet1!$A:$A,AE$2)&lt;&gt;0,SUMIFS(Sheet1!$E:$E,Sheet1!$C:$C,$A6,Sheet1!$A:$A,AE$2),"")</f>
        <v/>
      </c>
      <c r="AF6" s="9" t="str">
        <f>IF(SUMIFS(Sheet1!$E:$E,Sheet1!$C:$C,$A6,Sheet1!$A:$A,AF$2)&lt;&gt;0,SUMIFS(Sheet1!$E:$E,Sheet1!$C:$C,$A6,Sheet1!$A:$A,AF$2),"")</f>
        <v/>
      </c>
      <c r="AG6" s="9" t="str">
        <f>IF(SUMIFS(Sheet1!$E:$E,Sheet1!$C:$C,$A6,Sheet1!$A:$A,AG$2)&lt;&gt;0,SUMIFS(Sheet1!$E:$E,Sheet1!$C:$C,$A6,Sheet1!$A:$A,AG$2),"")</f>
        <v/>
      </c>
      <c r="AH6" s="47">
        <f>SUM(Table24[[#This Row],[1]:[31]])</f>
        <v>8</v>
      </c>
    </row>
    <row r="7" spans="1:34" ht="12.75" customHeight="1">
      <c r="A7" s="24" t="str">
        <f>DSSP!A6</f>
        <v>A041</v>
      </c>
      <c r="B7" s="25" t="str">
        <f>DSSP!B6</f>
        <v>Cup cake</v>
      </c>
      <c r="C7" s="9">
        <f>IF(SUMIFS(Sheet1!$E:$E,Sheet1!$C:$C,$A7,Sheet1!$A:$A,C$2)&lt;&gt;0,SUMIFS(Sheet1!$E:$E,Sheet1!$C:$C,$A7,Sheet1!$A:$A,C$2),"")</f>
        <v>16</v>
      </c>
      <c r="D7" s="9" t="str">
        <f>IF(SUMIFS(Sheet1!$E:$E,Sheet1!$C:$C,$A7,Sheet1!$A:$A,D$2)&lt;&gt;0,SUMIFS(Sheet1!$E:$E,Sheet1!$C:$C,$A7,Sheet1!$A:$A,D$2),"")</f>
        <v/>
      </c>
      <c r="E7" s="9" t="str">
        <f>IF(SUMIFS(Sheet1!$E:$E,Sheet1!$C:$C,$A7,Sheet1!$A:$A,E$2)&lt;&gt;0,SUMIFS(Sheet1!$E:$E,Sheet1!$C:$C,$A7,Sheet1!$A:$A,E$2),"")</f>
        <v/>
      </c>
      <c r="F7" s="9" t="str">
        <f>IF(SUMIFS(Sheet1!$E:$E,Sheet1!$C:$C,$A7,Sheet1!$A:$A,F$2)&lt;&gt;0,SUMIFS(Sheet1!$E:$E,Sheet1!$C:$C,$A7,Sheet1!$A:$A,F$2),"")</f>
        <v/>
      </c>
      <c r="G7" s="9" t="str">
        <f>IF(SUMIFS(Sheet1!$E:$E,Sheet1!$C:$C,$A7,Sheet1!$A:$A,G$2)&lt;&gt;0,SUMIFS(Sheet1!$E:$E,Sheet1!$C:$C,$A7,Sheet1!$A:$A,G$2),"")</f>
        <v/>
      </c>
      <c r="H7" s="9" t="str">
        <f>IF(SUMIFS(Sheet1!$E:$E,Sheet1!$C:$C,$A7,Sheet1!$A:$A,H$2)&lt;&gt;0,SUMIFS(Sheet1!$E:$E,Sheet1!$C:$C,$A7,Sheet1!$A:$A,H$2),"")</f>
        <v/>
      </c>
      <c r="I7" s="9" t="str">
        <f>IF(SUMIFS(Sheet1!$E:$E,Sheet1!$C:$C,$A7,Sheet1!$A:$A,I$2)&lt;&gt;0,SUMIFS(Sheet1!$E:$E,Sheet1!$C:$C,$A7,Sheet1!$A:$A,I$2),"")</f>
        <v/>
      </c>
      <c r="J7" s="9" t="str">
        <f>IF(SUMIFS(Sheet1!$E:$E,Sheet1!$C:$C,$A7,Sheet1!$A:$A,J$2)&lt;&gt;0,SUMIFS(Sheet1!$E:$E,Sheet1!$C:$C,$A7,Sheet1!$A:$A,J$2),"")</f>
        <v/>
      </c>
      <c r="K7" s="9" t="str">
        <f>IF(SUMIFS(Sheet1!$E:$E,Sheet1!$C:$C,$A7,Sheet1!$A:$A,K$2)&lt;&gt;0,SUMIFS(Sheet1!$E:$E,Sheet1!$C:$C,$A7,Sheet1!$A:$A,K$2),"")</f>
        <v/>
      </c>
      <c r="L7" s="9" t="str">
        <f>IF(SUMIFS(Sheet1!$E:$E,Sheet1!$C:$C,$A7,Sheet1!$A:$A,L$2)&lt;&gt;0,SUMIFS(Sheet1!$E:$E,Sheet1!$C:$C,$A7,Sheet1!$A:$A,L$2),"")</f>
        <v/>
      </c>
      <c r="M7" s="9" t="str">
        <f>IF(SUMIFS(Sheet1!$E:$E,Sheet1!$C:$C,$A7,Sheet1!$A:$A,M$2)&lt;&gt;0,SUMIFS(Sheet1!$E:$E,Sheet1!$C:$C,$A7,Sheet1!$A:$A,M$2),"")</f>
        <v/>
      </c>
      <c r="N7" s="9" t="str">
        <f>IF(SUMIFS(Sheet1!$E:$E,Sheet1!$C:$C,$A7,Sheet1!$A:$A,N$2)&lt;&gt;0,SUMIFS(Sheet1!$E:$E,Sheet1!$C:$C,$A7,Sheet1!$A:$A,N$2),"")</f>
        <v/>
      </c>
      <c r="O7" s="9" t="str">
        <f>IF(SUMIFS(Sheet1!$E:$E,Sheet1!$C:$C,$A7,Sheet1!$A:$A,O$2)&lt;&gt;0,SUMIFS(Sheet1!$E:$E,Sheet1!$C:$C,$A7,Sheet1!$A:$A,O$2),"")</f>
        <v/>
      </c>
      <c r="P7" s="9" t="str">
        <f>IF(SUMIFS(Sheet1!$E:$E,Sheet1!$C:$C,$A7,Sheet1!$A:$A,P$2)&lt;&gt;0,SUMIFS(Sheet1!$E:$E,Sheet1!$C:$C,$A7,Sheet1!$A:$A,P$2),"")</f>
        <v/>
      </c>
      <c r="Q7" s="9" t="str">
        <f>IF(SUMIFS(Sheet1!$E:$E,Sheet1!$C:$C,$A7,Sheet1!$A:$A,Q$2)&lt;&gt;0,SUMIFS(Sheet1!$E:$E,Sheet1!$C:$C,$A7,Sheet1!$A:$A,Q$2),"")</f>
        <v/>
      </c>
      <c r="R7" s="9" t="str">
        <f>IF(SUMIFS(Sheet1!$E:$E,Sheet1!$C:$C,$A7,Sheet1!$A:$A,R$2)&lt;&gt;0,SUMIFS(Sheet1!$E:$E,Sheet1!$C:$C,$A7,Sheet1!$A:$A,R$2),"")</f>
        <v/>
      </c>
      <c r="S7" s="9" t="str">
        <f>IF(SUMIFS(Sheet1!$E:$E,Sheet1!$C:$C,$A7,Sheet1!$A:$A,S$2)&lt;&gt;0,SUMIFS(Sheet1!$E:$E,Sheet1!$C:$C,$A7,Sheet1!$A:$A,S$2),"")</f>
        <v/>
      </c>
      <c r="T7" s="9" t="str">
        <f>IF(SUMIFS(Sheet1!$E:$E,Sheet1!$C:$C,$A7,Sheet1!$A:$A,T$2)&lt;&gt;0,SUMIFS(Sheet1!$E:$E,Sheet1!$C:$C,$A7,Sheet1!$A:$A,T$2),"")</f>
        <v/>
      </c>
      <c r="U7" s="9" t="str">
        <f>IF(SUMIFS(Sheet1!$E:$E,Sheet1!$C:$C,$A7,Sheet1!$A:$A,U$2)&lt;&gt;0,SUMIFS(Sheet1!$E:$E,Sheet1!$C:$C,$A7,Sheet1!$A:$A,U$2),"")</f>
        <v/>
      </c>
      <c r="V7" s="9" t="str">
        <f>IF(SUMIFS(Sheet1!$E:$E,Sheet1!$C:$C,$A7,Sheet1!$A:$A,V$2)&lt;&gt;0,SUMIFS(Sheet1!$E:$E,Sheet1!$C:$C,$A7,Sheet1!$A:$A,V$2),"")</f>
        <v/>
      </c>
      <c r="W7" s="9" t="str">
        <f>IF(SUMIFS(Sheet1!$E:$E,Sheet1!$C:$C,$A7,Sheet1!$A:$A,W$2)&lt;&gt;0,SUMIFS(Sheet1!$E:$E,Sheet1!$C:$C,$A7,Sheet1!$A:$A,W$2),"")</f>
        <v/>
      </c>
      <c r="X7" s="9" t="str">
        <f>IF(SUMIFS(Sheet1!$E:$E,Sheet1!$C:$C,$A7,Sheet1!$A:$A,X$2)&lt;&gt;0,SUMIFS(Sheet1!$E:$E,Sheet1!$C:$C,$A7,Sheet1!$A:$A,X$2),"")</f>
        <v/>
      </c>
      <c r="Y7" s="9" t="str">
        <f>IF(SUMIFS(Sheet1!$E:$E,Sheet1!$C:$C,$A7,Sheet1!$A:$A,Y$2)&lt;&gt;0,SUMIFS(Sheet1!$E:$E,Sheet1!$C:$C,$A7,Sheet1!$A:$A,Y$2),"")</f>
        <v/>
      </c>
      <c r="Z7" s="9" t="str">
        <f>IF(SUMIFS(Sheet1!$E:$E,Sheet1!$C:$C,$A7,Sheet1!$A:$A,Z$2)&lt;&gt;0,SUMIFS(Sheet1!$E:$E,Sheet1!$C:$C,$A7,Sheet1!$A:$A,Z$2),"")</f>
        <v/>
      </c>
      <c r="AA7" s="9" t="str">
        <f>IF(SUMIFS(Sheet1!$E:$E,Sheet1!$C:$C,$A7,Sheet1!$A:$A,AA$2)&lt;&gt;0,SUMIFS(Sheet1!$E:$E,Sheet1!$C:$C,$A7,Sheet1!$A:$A,AA$2),"")</f>
        <v/>
      </c>
      <c r="AB7" s="9" t="str">
        <f>IF(SUMIFS(Sheet1!$E:$E,Sheet1!$C:$C,$A7,Sheet1!$A:$A,AB$2)&lt;&gt;0,SUMIFS(Sheet1!$E:$E,Sheet1!$C:$C,$A7,Sheet1!$A:$A,AB$2),"")</f>
        <v/>
      </c>
      <c r="AC7" s="9" t="str">
        <f>IF(SUMIFS(Sheet1!$E:$E,Sheet1!$C:$C,$A7,Sheet1!$A:$A,AC$2)&lt;&gt;0,SUMIFS(Sheet1!$E:$E,Sheet1!$C:$C,$A7,Sheet1!$A:$A,AC$2),"")</f>
        <v/>
      </c>
      <c r="AD7" s="9" t="str">
        <f>IF(SUMIFS(Sheet1!$E:$E,Sheet1!$C:$C,$A7,Sheet1!$A:$A,AD$2)&lt;&gt;0,SUMIFS(Sheet1!$E:$E,Sheet1!$C:$C,$A7,Sheet1!$A:$A,AD$2),"")</f>
        <v/>
      </c>
      <c r="AE7" s="9" t="str">
        <f>IF(SUMIFS(Sheet1!$E:$E,Sheet1!$C:$C,$A7,Sheet1!$A:$A,AE$2)&lt;&gt;0,SUMIFS(Sheet1!$E:$E,Sheet1!$C:$C,$A7,Sheet1!$A:$A,AE$2),"")</f>
        <v/>
      </c>
      <c r="AF7" s="9" t="str">
        <f>IF(SUMIFS(Sheet1!$E:$E,Sheet1!$C:$C,$A7,Sheet1!$A:$A,AF$2)&lt;&gt;0,SUMIFS(Sheet1!$E:$E,Sheet1!$C:$C,$A7,Sheet1!$A:$A,AF$2),"")</f>
        <v/>
      </c>
      <c r="AG7" s="9" t="str">
        <f>IF(SUMIFS(Sheet1!$E:$E,Sheet1!$C:$C,$A7,Sheet1!$A:$A,AG$2)&lt;&gt;0,SUMIFS(Sheet1!$E:$E,Sheet1!$C:$C,$A7,Sheet1!$A:$A,AG$2),"")</f>
        <v/>
      </c>
      <c r="AH7" s="47">
        <f>SUM(Table24[[#This Row],[1]:[31]])</f>
        <v>16</v>
      </c>
    </row>
    <row r="8" spans="1:34" ht="12.75" customHeight="1">
      <c r="A8" s="24" t="str">
        <f>DSSP!A7</f>
        <v>A042</v>
      </c>
      <c r="B8" s="25" t="str">
        <f>DSSP!B7</f>
        <v>Dino</v>
      </c>
      <c r="C8" s="9">
        <f>IF(SUMIFS(Sheet1!$E:$E,Sheet1!$C:$C,$A8,Sheet1!$A:$A,C$2)&lt;&gt;0,SUMIFS(Sheet1!$E:$E,Sheet1!$C:$C,$A8,Sheet1!$A:$A,C$2),"")</f>
        <v>12</v>
      </c>
      <c r="D8" s="9" t="str">
        <f>IF(SUMIFS(Sheet1!$E:$E,Sheet1!$C:$C,$A8,Sheet1!$A:$A,D$2)&lt;&gt;0,SUMIFS(Sheet1!$E:$E,Sheet1!$C:$C,$A8,Sheet1!$A:$A,D$2),"")</f>
        <v/>
      </c>
      <c r="E8" s="9" t="str">
        <f>IF(SUMIFS(Sheet1!$E:$E,Sheet1!$C:$C,$A8,Sheet1!$A:$A,E$2)&lt;&gt;0,SUMIFS(Sheet1!$E:$E,Sheet1!$C:$C,$A8,Sheet1!$A:$A,E$2),"")</f>
        <v/>
      </c>
      <c r="F8" s="9" t="str">
        <f>IF(SUMIFS(Sheet1!$E:$E,Sheet1!$C:$C,$A8,Sheet1!$A:$A,F$2)&lt;&gt;0,SUMIFS(Sheet1!$E:$E,Sheet1!$C:$C,$A8,Sheet1!$A:$A,F$2),"")</f>
        <v/>
      </c>
      <c r="G8" s="9" t="str">
        <f>IF(SUMIFS(Sheet1!$E:$E,Sheet1!$C:$C,$A8,Sheet1!$A:$A,G$2)&lt;&gt;0,SUMIFS(Sheet1!$E:$E,Sheet1!$C:$C,$A8,Sheet1!$A:$A,G$2),"")</f>
        <v/>
      </c>
      <c r="H8" s="9" t="str">
        <f>IF(SUMIFS(Sheet1!$E:$E,Sheet1!$C:$C,$A8,Sheet1!$A:$A,H$2)&lt;&gt;0,SUMIFS(Sheet1!$E:$E,Sheet1!$C:$C,$A8,Sheet1!$A:$A,H$2),"")</f>
        <v/>
      </c>
      <c r="I8" s="9" t="str">
        <f>IF(SUMIFS(Sheet1!$E:$E,Sheet1!$C:$C,$A8,Sheet1!$A:$A,I$2)&lt;&gt;0,SUMIFS(Sheet1!$E:$E,Sheet1!$C:$C,$A8,Sheet1!$A:$A,I$2),"")</f>
        <v/>
      </c>
      <c r="J8" s="9" t="str">
        <f>IF(SUMIFS(Sheet1!$E:$E,Sheet1!$C:$C,$A8,Sheet1!$A:$A,J$2)&lt;&gt;0,SUMIFS(Sheet1!$E:$E,Sheet1!$C:$C,$A8,Sheet1!$A:$A,J$2),"")</f>
        <v/>
      </c>
      <c r="K8" s="9" t="str">
        <f>IF(SUMIFS(Sheet1!$E:$E,Sheet1!$C:$C,$A8,Sheet1!$A:$A,K$2)&lt;&gt;0,SUMIFS(Sheet1!$E:$E,Sheet1!$C:$C,$A8,Sheet1!$A:$A,K$2),"")</f>
        <v/>
      </c>
      <c r="L8" s="9" t="str">
        <f>IF(SUMIFS(Sheet1!$E:$E,Sheet1!$C:$C,$A8,Sheet1!$A:$A,L$2)&lt;&gt;0,SUMIFS(Sheet1!$E:$E,Sheet1!$C:$C,$A8,Sheet1!$A:$A,L$2),"")</f>
        <v/>
      </c>
      <c r="M8" s="9" t="str">
        <f>IF(SUMIFS(Sheet1!$E:$E,Sheet1!$C:$C,$A8,Sheet1!$A:$A,M$2)&lt;&gt;0,SUMIFS(Sheet1!$E:$E,Sheet1!$C:$C,$A8,Sheet1!$A:$A,M$2),"")</f>
        <v/>
      </c>
      <c r="N8" s="9" t="str">
        <f>IF(SUMIFS(Sheet1!$E:$E,Sheet1!$C:$C,$A8,Sheet1!$A:$A,N$2)&lt;&gt;0,SUMIFS(Sheet1!$E:$E,Sheet1!$C:$C,$A8,Sheet1!$A:$A,N$2),"")</f>
        <v/>
      </c>
      <c r="O8" s="9" t="str">
        <f>IF(SUMIFS(Sheet1!$E:$E,Sheet1!$C:$C,$A8,Sheet1!$A:$A,O$2)&lt;&gt;0,SUMIFS(Sheet1!$E:$E,Sheet1!$C:$C,$A8,Sheet1!$A:$A,O$2),"")</f>
        <v/>
      </c>
      <c r="P8" s="9" t="str">
        <f>IF(SUMIFS(Sheet1!$E:$E,Sheet1!$C:$C,$A8,Sheet1!$A:$A,P$2)&lt;&gt;0,SUMIFS(Sheet1!$E:$E,Sheet1!$C:$C,$A8,Sheet1!$A:$A,P$2),"")</f>
        <v/>
      </c>
      <c r="Q8" s="9" t="str">
        <f>IF(SUMIFS(Sheet1!$E:$E,Sheet1!$C:$C,$A8,Sheet1!$A:$A,Q$2)&lt;&gt;0,SUMIFS(Sheet1!$E:$E,Sheet1!$C:$C,$A8,Sheet1!$A:$A,Q$2),"")</f>
        <v/>
      </c>
      <c r="R8" s="9" t="str">
        <f>IF(SUMIFS(Sheet1!$E:$E,Sheet1!$C:$C,$A8,Sheet1!$A:$A,R$2)&lt;&gt;0,SUMIFS(Sheet1!$E:$E,Sheet1!$C:$C,$A8,Sheet1!$A:$A,R$2),"")</f>
        <v/>
      </c>
      <c r="S8" s="9" t="str">
        <f>IF(SUMIFS(Sheet1!$E:$E,Sheet1!$C:$C,$A8,Sheet1!$A:$A,S$2)&lt;&gt;0,SUMIFS(Sheet1!$E:$E,Sheet1!$C:$C,$A8,Sheet1!$A:$A,S$2),"")</f>
        <v/>
      </c>
      <c r="T8" s="9" t="str">
        <f>IF(SUMIFS(Sheet1!$E:$E,Sheet1!$C:$C,$A8,Sheet1!$A:$A,T$2)&lt;&gt;0,SUMIFS(Sheet1!$E:$E,Sheet1!$C:$C,$A8,Sheet1!$A:$A,T$2),"")</f>
        <v/>
      </c>
      <c r="U8" s="9" t="str">
        <f>IF(SUMIFS(Sheet1!$E:$E,Sheet1!$C:$C,$A8,Sheet1!$A:$A,U$2)&lt;&gt;0,SUMIFS(Sheet1!$E:$E,Sheet1!$C:$C,$A8,Sheet1!$A:$A,U$2),"")</f>
        <v/>
      </c>
      <c r="V8" s="9" t="str">
        <f>IF(SUMIFS(Sheet1!$E:$E,Sheet1!$C:$C,$A8,Sheet1!$A:$A,V$2)&lt;&gt;0,SUMIFS(Sheet1!$E:$E,Sheet1!$C:$C,$A8,Sheet1!$A:$A,V$2),"")</f>
        <v/>
      </c>
      <c r="W8" s="9" t="str">
        <f>IF(SUMIFS(Sheet1!$E:$E,Sheet1!$C:$C,$A8,Sheet1!$A:$A,W$2)&lt;&gt;0,SUMIFS(Sheet1!$E:$E,Sheet1!$C:$C,$A8,Sheet1!$A:$A,W$2),"")</f>
        <v/>
      </c>
      <c r="X8" s="9" t="str">
        <f>IF(SUMIFS(Sheet1!$E:$E,Sheet1!$C:$C,$A8,Sheet1!$A:$A,X$2)&lt;&gt;0,SUMIFS(Sheet1!$E:$E,Sheet1!$C:$C,$A8,Sheet1!$A:$A,X$2),"")</f>
        <v/>
      </c>
      <c r="Y8" s="9" t="str">
        <f>IF(SUMIFS(Sheet1!$E:$E,Sheet1!$C:$C,$A8,Sheet1!$A:$A,Y$2)&lt;&gt;0,SUMIFS(Sheet1!$E:$E,Sheet1!$C:$C,$A8,Sheet1!$A:$A,Y$2),"")</f>
        <v/>
      </c>
      <c r="Z8" s="9" t="str">
        <f>IF(SUMIFS(Sheet1!$E:$E,Sheet1!$C:$C,$A8,Sheet1!$A:$A,Z$2)&lt;&gt;0,SUMIFS(Sheet1!$E:$E,Sheet1!$C:$C,$A8,Sheet1!$A:$A,Z$2),"")</f>
        <v/>
      </c>
      <c r="AA8" s="9" t="str">
        <f>IF(SUMIFS(Sheet1!$E:$E,Sheet1!$C:$C,$A8,Sheet1!$A:$A,AA$2)&lt;&gt;0,SUMIFS(Sheet1!$E:$E,Sheet1!$C:$C,$A8,Sheet1!$A:$A,AA$2),"")</f>
        <v/>
      </c>
      <c r="AB8" s="9" t="str">
        <f>IF(SUMIFS(Sheet1!$E:$E,Sheet1!$C:$C,$A8,Sheet1!$A:$A,AB$2)&lt;&gt;0,SUMIFS(Sheet1!$E:$E,Sheet1!$C:$C,$A8,Sheet1!$A:$A,AB$2),"")</f>
        <v/>
      </c>
      <c r="AC8" s="9" t="str">
        <f>IF(SUMIFS(Sheet1!$E:$E,Sheet1!$C:$C,$A8,Sheet1!$A:$A,AC$2)&lt;&gt;0,SUMIFS(Sheet1!$E:$E,Sheet1!$C:$C,$A8,Sheet1!$A:$A,AC$2),"")</f>
        <v/>
      </c>
      <c r="AD8" s="9" t="str">
        <f>IF(SUMIFS(Sheet1!$E:$E,Sheet1!$C:$C,$A8,Sheet1!$A:$A,AD$2)&lt;&gt;0,SUMIFS(Sheet1!$E:$E,Sheet1!$C:$C,$A8,Sheet1!$A:$A,AD$2),"")</f>
        <v/>
      </c>
      <c r="AE8" s="9" t="str">
        <f>IF(SUMIFS(Sheet1!$E:$E,Sheet1!$C:$C,$A8,Sheet1!$A:$A,AE$2)&lt;&gt;0,SUMIFS(Sheet1!$E:$E,Sheet1!$C:$C,$A8,Sheet1!$A:$A,AE$2),"")</f>
        <v/>
      </c>
      <c r="AF8" s="9" t="str">
        <f>IF(SUMIFS(Sheet1!$E:$E,Sheet1!$C:$C,$A8,Sheet1!$A:$A,AF$2)&lt;&gt;0,SUMIFS(Sheet1!$E:$E,Sheet1!$C:$C,$A8,Sheet1!$A:$A,AF$2),"")</f>
        <v/>
      </c>
      <c r="AG8" s="9" t="str">
        <f>IF(SUMIFS(Sheet1!$E:$E,Sheet1!$C:$C,$A8,Sheet1!$A:$A,AG$2)&lt;&gt;0,SUMIFS(Sheet1!$E:$E,Sheet1!$C:$C,$A8,Sheet1!$A:$A,AG$2),"")</f>
        <v/>
      </c>
      <c r="AH8" s="47">
        <f>SUM(Table24[[#This Row],[1]:[31]])</f>
        <v>12</v>
      </c>
    </row>
    <row r="9" spans="1:34" ht="12.75" customHeight="1">
      <c r="A9" s="24" t="str">
        <f>DSSP!A8</f>
        <v>A049</v>
      </c>
      <c r="B9" s="25" t="str">
        <f>DSSP!B8</f>
        <v xml:space="preserve">Key - lock </v>
      </c>
      <c r="C9" s="9">
        <f>IF(SUMIFS(Sheet1!$E:$E,Sheet1!$C:$C,$A9,Sheet1!$A:$A,C$2)&lt;&gt;0,SUMIFS(Sheet1!$E:$E,Sheet1!$C:$C,$A9,Sheet1!$A:$A,C$2),"")</f>
        <v>1</v>
      </c>
      <c r="D9" s="9" t="str">
        <f>IF(SUMIFS(Sheet1!$E:$E,Sheet1!$C:$C,$A9,Sheet1!$A:$A,D$2)&lt;&gt;0,SUMIFS(Sheet1!$E:$E,Sheet1!$C:$C,$A9,Sheet1!$A:$A,D$2),"")</f>
        <v/>
      </c>
      <c r="E9" s="9" t="str">
        <f>IF(SUMIFS(Sheet1!$E:$E,Sheet1!$C:$C,$A9,Sheet1!$A:$A,E$2)&lt;&gt;0,SUMIFS(Sheet1!$E:$E,Sheet1!$C:$C,$A9,Sheet1!$A:$A,E$2),"")</f>
        <v/>
      </c>
      <c r="F9" s="9" t="str">
        <f>IF(SUMIFS(Sheet1!$E:$E,Sheet1!$C:$C,$A9,Sheet1!$A:$A,F$2)&lt;&gt;0,SUMIFS(Sheet1!$E:$E,Sheet1!$C:$C,$A9,Sheet1!$A:$A,F$2),"")</f>
        <v/>
      </c>
      <c r="G9" s="9" t="str">
        <f>IF(SUMIFS(Sheet1!$E:$E,Sheet1!$C:$C,$A9,Sheet1!$A:$A,G$2)&lt;&gt;0,SUMIFS(Sheet1!$E:$E,Sheet1!$C:$C,$A9,Sheet1!$A:$A,G$2),"")</f>
        <v/>
      </c>
      <c r="H9" s="9" t="str">
        <f>IF(SUMIFS(Sheet1!$E:$E,Sheet1!$C:$C,$A9,Sheet1!$A:$A,H$2)&lt;&gt;0,SUMIFS(Sheet1!$E:$E,Sheet1!$C:$C,$A9,Sheet1!$A:$A,H$2),"")</f>
        <v/>
      </c>
      <c r="I9" s="9" t="str">
        <f>IF(SUMIFS(Sheet1!$E:$E,Sheet1!$C:$C,$A9,Sheet1!$A:$A,I$2)&lt;&gt;0,SUMIFS(Sheet1!$E:$E,Sheet1!$C:$C,$A9,Sheet1!$A:$A,I$2),"")</f>
        <v/>
      </c>
      <c r="J9" s="9" t="str">
        <f>IF(SUMIFS(Sheet1!$E:$E,Sheet1!$C:$C,$A9,Sheet1!$A:$A,J$2)&lt;&gt;0,SUMIFS(Sheet1!$E:$E,Sheet1!$C:$C,$A9,Sheet1!$A:$A,J$2),"")</f>
        <v/>
      </c>
      <c r="K9" s="9" t="str">
        <f>IF(SUMIFS(Sheet1!$E:$E,Sheet1!$C:$C,$A9,Sheet1!$A:$A,K$2)&lt;&gt;0,SUMIFS(Sheet1!$E:$E,Sheet1!$C:$C,$A9,Sheet1!$A:$A,K$2),"")</f>
        <v/>
      </c>
      <c r="L9" s="9" t="str">
        <f>IF(SUMIFS(Sheet1!$E:$E,Sheet1!$C:$C,$A9,Sheet1!$A:$A,L$2)&lt;&gt;0,SUMIFS(Sheet1!$E:$E,Sheet1!$C:$C,$A9,Sheet1!$A:$A,L$2),"")</f>
        <v/>
      </c>
      <c r="M9" s="9" t="str">
        <f>IF(SUMIFS(Sheet1!$E:$E,Sheet1!$C:$C,$A9,Sheet1!$A:$A,M$2)&lt;&gt;0,SUMIFS(Sheet1!$E:$E,Sheet1!$C:$C,$A9,Sheet1!$A:$A,M$2),"")</f>
        <v/>
      </c>
      <c r="N9" s="9" t="str">
        <f>IF(SUMIFS(Sheet1!$E:$E,Sheet1!$C:$C,$A9,Sheet1!$A:$A,N$2)&lt;&gt;0,SUMIFS(Sheet1!$E:$E,Sheet1!$C:$C,$A9,Sheet1!$A:$A,N$2),"")</f>
        <v/>
      </c>
      <c r="O9" s="9" t="str">
        <f>IF(SUMIFS(Sheet1!$E:$E,Sheet1!$C:$C,$A9,Sheet1!$A:$A,O$2)&lt;&gt;0,SUMIFS(Sheet1!$E:$E,Sheet1!$C:$C,$A9,Sheet1!$A:$A,O$2),"")</f>
        <v/>
      </c>
      <c r="P9" s="9" t="str">
        <f>IF(SUMIFS(Sheet1!$E:$E,Sheet1!$C:$C,$A9,Sheet1!$A:$A,P$2)&lt;&gt;0,SUMIFS(Sheet1!$E:$E,Sheet1!$C:$C,$A9,Sheet1!$A:$A,P$2),"")</f>
        <v/>
      </c>
      <c r="Q9" s="9" t="str">
        <f>IF(SUMIFS(Sheet1!$E:$E,Sheet1!$C:$C,$A9,Sheet1!$A:$A,Q$2)&lt;&gt;0,SUMIFS(Sheet1!$E:$E,Sheet1!$C:$C,$A9,Sheet1!$A:$A,Q$2),"")</f>
        <v/>
      </c>
      <c r="R9" s="9" t="str">
        <f>IF(SUMIFS(Sheet1!$E:$E,Sheet1!$C:$C,$A9,Sheet1!$A:$A,R$2)&lt;&gt;0,SUMIFS(Sheet1!$E:$E,Sheet1!$C:$C,$A9,Sheet1!$A:$A,R$2),"")</f>
        <v/>
      </c>
      <c r="S9" s="9" t="str">
        <f>IF(SUMIFS(Sheet1!$E:$E,Sheet1!$C:$C,$A9,Sheet1!$A:$A,S$2)&lt;&gt;0,SUMIFS(Sheet1!$E:$E,Sheet1!$C:$C,$A9,Sheet1!$A:$A,S$2),"")</f>
        <v/>
      </c>
      <c r="T9" s="9" t="str">
        <f>IF(SUMIFS(Sheet1!$E:$E,Sheet1!$C:$C,$A9,Sheet1!$A:$A,T$2)&lt;&gt;0,SUMIFS(Sheet1!$E:$E,Sheet1!$C:$C,$A9,Sheet1!$A:$A,T$2),"")</f>
        <v/>
      </c>
      <c r="U9" s="9" t="str">
        <f>IF(SUMIFS(Sheet1!$E:$E,Sheet1!$C:$C,$A9,Sheet1!$A:$A,U$2)&lt;&gt;0,SUMIFS(Sheet1!$E:$E,Sheet1!$C:$C,$A9,Sheet1!$A:$A,U$2),"")</f>
        <v/>
      </c>
      <c r="V9" s="9" t="str">
        <f>IF(SUMIFS(Sheet1!$E:$E,Sheet1!$C:$C,$A9,Sheet1!$A:$A,V$2)&lt;&gt;0,SUMIFS(Sheet1!$E:$E,Sheet1!$C:$C,$A9,Sheet1!$A:$A,V$2),"")</f>
        <v/>
      </c>
      <c r="W9" s="9" t="str">
        <f>IF(SUMIFS(Sheet1!$E:$E,Sheet1!$C:$C,$A9,Sheet1!$A:$A,W$2)&lt;&gt;0,SUMIFS(Sheet1!$E:$E,Sheet1!$C:$C,$A9,Sheet1!$A:$A,W$2),"")</f>
        <v/>
      </c>
      <c r="X9" s="9" t="str">
        <f>IF(SUMIFS(Sheet1!$E:$E,Sheet1!$C:$C,$A9,Sheet1!$A:$A,X$2)&lt;&gt;0,SUMIFS(Sheet1!$E:$E,Sheet1!$C:$C,$A9,Sheet1!$A:$A,X$2),"")</f>
        <v/>
      </c>
      <c r="Y9" s="9" t="str">
        <f>IF(SUMIFS(Sheet1!$E:$E,Sheet1!$C:$C,$A9,Sheet1!$A:$A,Y$2)&lt;&gt;0,SUMIFS(Sheet1!$E:$E,Sheet1!$C:$C,$A9,Sheet1!$A:$A,Y$2),"")</f>
        <v/>
      </c>
      <c r="Z9" s="9" t="str">
        <f>IF(SUMIFS(Sheet1!$E:$E,Sheet1!$C:$C,$A9,Sheet1!$A:$A,Z$2)&lt;&gt;0,SUMIFS(Sheet1!$E:$E,Sheet1!$C:$C,$A9,Sheet1!$A:$A,Z$2),"")</f>
        <v/>
      </c>
      <c r="AA9" s="9" t="str">
        <f>IF(SUMIFS(Sheet1!$E:$E,Sheet1!$C:$C,$A9,Sheet1!$A:$A,AA$2)&lt;&gt;0,SUMIFS(Sheet1!$E:$E,Sheet1!$C:$C,$A9,Sheet1!$A:$A,AA$2),"")</f>
        <v/>
      </c>
      <c r="AB9" s="9" t="str">
        <f>IF(SUMIFS(Sheet1!$E:$E,Sheet1!$C:$C,$A9,Sheet1!$A:$A,AB$2)&lt;&gt;0,SUMIFS(Sheet1!$E:$E,Sheet1!$C:$C,$A9,Sheet1!$A:$A,AB$2),"")</f>
        <v/>
      </c>
      <c r="AC9" s="9" t="str">
        <f>IF(SUMIFS(Sheet1!$E:$E,Sheet1!$C:$C,$A9,Sheet1!$A:$A,AC$2)&lt;&gt;0,SUMIFS(Sheet1!$E:$E,Sheet1!$C:$C,$A9,Sheet1!$A:$A,AC$2),"")</f>
        <v/>
      </c>
      <c r="AD9" s="9" t="str">
        <f>IF(SUMIFS(Sheet1!$E:$E,Sheet1!$C:$C,$A9,Sheet1!$A:$A,AD$2)&lt;&gt;0,SUMIFS(Sheet1!$E:$E,Sheet1!$C:$C,$A9,Sheet1!$A:$A,AD$2),"")</f>
        <v/>
      </c>
      <c r="AE9" s="9" t="str">
        <f>IF(SUMIFS(Sheet1!$E:$E,Sheet1!$C:$C,$A9,Sheet1!$A:$A,AE$2)&lt;&gt;0,SUMIFS(Sheet1!$E:$E,Sheet1!$C:$C,$A9,Sheet1!$A:$A,AE$2),"")</f>
        <v/>
      </c>
      <c r="AF9" s="9" t="str">
        <f>IF(SUMIFS(Sheet1!$E:$E,Sheet1!$C:$C,$A9,Sheet1!$A:$A,AF$2)&lt;&gt;0,SUMIFS(Sheet1!$E:$E,Sheet1!$C:$C,$A9,Sheet1!$A:$A,AF$2),"")</f>
        <v/>
      </c>
      <c r="AG9" s="9" t="str">
        <f>IF(SUMIFS(Sheet1!$E:$E,Sheet1!$C:$C,$A9,Sheet1!$A:$A,AG$2)&lt;&gt;0,SUMIFS(Sheet1!$E:$E,Sheet1!$C:$C,$A9,Sheet1!$A:$A,AG$2),"")</f>
        <v/>
      </c>
      <c r="AH9" s="47">
        <f>SUM(Table24[[#This Row],[1]:[31]])</f>
        <v>1</v>
      </c>
    </row>
    <row r="10" spans="1:34" ht="12.75" customHeight="1">
      <c r="A10" s="24" t="str">
        <f>DSSP!A9</f>
        <v>A050</v>
      </c>
      <c r="B10" s="25" t="str">
        <f>DSSP!B9</f>
        <v>XX and XY</v>
      </c>
      <c r="C10" s="9">
        <f>IF(SUMIFS(Sheet1!$E:$E,Sheet1!$C:$C,$A10,Sheet1!$A:$A,C$2)&lt;&gt;0,SUMIFS(Sheet1!$E:$E,Sheet1!$C:$C,$A10,Sheet1!$A:$A,C$2),"")</f>
        <v>5</v>
      </c>
      <c r="D10" s="9" t="str">
        <f>IF(SUMIFS(Sheet1!$E:$E,Sheet1!$C:$C,$A10,Sheet1!$A:$A,D$2)&lt;&gt;0,SUMIFS(Sheet1!$E:$E,Sheet1!$C:$C,$A10,Sheet1!$A:$A,D$2),"")</f>
        <v/>
      </c>
      <c r="E10" s="9" t="str">
        <f>IF(SUMIFS(Sheet1!$E:$E,Sheet1!$C:$C,$A10,Sheet1!$A:$A,E$2)&lt;&gt;0,SUMIFS(Sheet1!$E:$E,Sheet1!$C:$C,$A10,Sheet1!$A:$A,E$2),"")</f>
        <v/>
      </c>
      <c r="F10" s="9" t="str">
        <f>IF(SUMIFS(Sheet1!$E:$E,Sheet1!$C:$C,$A10,Sheet1!$A:$A,F$2)&lt;&gt;0,SUMIFS(Sheet1!$E:$E,Sheet1!$C:$C,$A10,Sheet1!$A:$A,F$2),"")</f>
        <v/>
      </c>
      <c r="G10" s="9" t="str">
        <f>IF(SUMIFS(Sheet1!$E:$E,Sheet1!$C:$C,$A10,Sheet1!$A:$A,G$2)&lt;&gt;0,SUMIFS(Sheet1!$E:$E,Sheet1!$C:$C,$A10,Sheet1!$A:$A,G$2),"")</f>
        <v/>
      </c>
      <c r="H10" s="9" t="str">
        <f>IF(SUMIFS(Sheet1!$E:$E,Sheet1!$C:$C,$A10,Sheet1!$A:$A,H$2)&lt;&gt;0,SUMIFS(Sheet1!$E:$E,Sheet1!$C:$C,$A10,Sheet1!$A:$A,H$2),"")</f>
        <v/>
      </c>
      <c r="I10" s="9" t="str">
        <f>IF(SUMIFS(Sheet1!$E:$E,Sheet1!$C:$C,$A10,Sheet1!$A:$A,I$2)&lt;&gt;0,SUMIFS(Sheet1!$E:$E,Sheet1!$C:$C,$A10,Sheet1!$A:$A,I$2),"")</f>
        <v/>
      </c>
      <c r="J10" s="9" t="str">
        <f>IF(SUMIFS(Sheet1!$E:$E,Sheet1!$C:$C,$A10,Sheet1!$A:$A,J$2)&lt;&gt;0,SUMIFS(Sheet1!$E:$E,Sheet1!$C:$C,$A10,Sheet1!$A:$A,J$2),"")</f>
        <v/>
      </c>
      <c r="K10" s="9" t="str">
        <f>IF(SUMIFS(Sheet1!$E:$E,Sheet1!$C:$C,$A10,Sheet1!$A:$A,K$2)&lt;&gt;0,SUMIFS(Sheet1!$E:$E,Sheet1!$C:$C,$A10,Sheet1!$A:$A,K$2),"")</f>
        <v/>
      </c>
      <c r="L10" s="9" t="str">
        <f>IF(SUMIFS(Sheet1!$E:$E,Sheet1!$C:$C,$A10,Sheet1!$A:$A,L$2)&lt;&gt;0,SUMIFS(Sheet1!$E:$E,Sheet1!$C:$C,$A10,Sheet1!$A:$A,L$2),"")</f>
        <v/>
      </c>
      <c r="M10" s="9" t="str">
        <f>IF(SUMIFS(Sheet1!$E:$E,Sheet1!$C:$C,$A10,Sheet1!$A:$A,M$2)&lt;&gt;0,SUMIFS(Sheet1!$E:$E,Sheet1!$C:$C,$A10,Sheet1!$A:$A,M$2),"")</f>
        <v/>
      </c>
      <c r="N10" s="9" t="str">
        <f>IF(SUMIFS(Sheet1!$E:$E,Sheet1!$C:$C,$A10,Sheet1!$A:$A,N$2)&lt;&gt;0,SUMIFS(Sheet1!$E:$E,Sheet1!$C:$C,$A10,Sheet1!$A:$A,N$2),"")</f>
        <v/>
      </c>
      <c r="O10" s="9" t="str">
        <f>IF(SUMIFS(Sheet1!$E:$E,Sheet1!$C:$C,$A10,Sheet1!$A:$A,O$2)&lt;&gt;0,SUMIFS(Sheet1!$E:$E,Sheet1!$C:$C,$A10,Sheet1!$A:$A,O$2),"")</f>
        <v/>
      </c>
      <c r="P10" s="9" t="str">
        <f>IF(SUMIFS(Sheet1!$E:$E,Sheet1!$C:$C,$A10,Sheet1!$A:$A,P$2)&lt;&gt;0,SUMIFS(Sheet1!$E:$E,Sheet1!$C:$C,$A10,Sheet1!$A:$A,P$2),"")</f>
        <v/>
      </c>
      <c r="Q10" s="9" t="str">
        <f>IF(SUMIFS(Sheet1!$E:$E,Sheet1!$C:$C,$A10,Sheet1!$A:$A,Q$2)&lt;&gt;0,SUMIFS(Sheet1!$E:$E,Sheet1!$C:$C,$A10,Sheet1!$A:$A,Q$2),"")</f>
        <v/>
      </c>
      <c r="R10" s="9" t="str">
        <f>IF(SUMIFS(Sheet1!$E:$E,Sheet1!$C:$C,$A10,Sheet1!$A:$A,R$2)&lt;&gt;0,SUMIFS(Sheet1!$E:$E,Sheet1!$C:$C,$A10,Sheet1!$A:$A,R$2),"")</f>
        <v/>
      </c>
      <c r="S10" s="9" t="str">
        <f>IF(SUMIFS(Sheet1!$E:$E,Sheet1!$C:$C,$A10,Sheet1!$A:$A,S$2)&lt;&gt;0,SUMIFS(Sheet1!$E:$E,Sheet1!$C:$C,$A10,Sheet1!$A:$A,S$2),"")</f>
        <v/>
      </c>
      <c r="T10" s="9" t="str">
        <f>IF(SUMIFS(Sheet1!$E:$E,Sheet1!$C:$C,$A10,Sheet1!$A:$A,T$2)&lt;&gt;0,SUMIFS(Sheet1!$E:$E,Sheet1!$C:$C,$A10,Sheet1!$A:$A,T$2),"")</f>
        <v/>
      </c>
      <c r="U10" s="9" t="str">
        <f>IF(SUMIFS(Sheet1!$E:$E,Sheet1!$C:$C,$A10,Sheet1!$A:$A,U$2)&lt;&gt;0,SUMIFS(Sheet1!$E:$E,Sheet1!$C:$C,$A10,Sheet1!$A:$A,U$2),"")</f>
        <v/>
      </c>
      <c r="V10" s="9" t="str">
        <f>IF(SUMIFS(Sheet1!$E:$E,Sheet1!$C:$C,$A10,Sheet1!$A:$A,V$2)&lt;&gt;0,SUMIFS(Sheet1!$E:$E,Sheet1!$C:$C,$A10,Sheet1!$A:$A,V$2),"")</f>
        <v/>
      </c>
      <c r="W10" s="9" t="str">
        <f>IF(SUMIFS(Sheet1!$E:$E,Sheet1!$C:$C,$A10,Sheet1!$A:$A,W$2)&lt;&gt;0,SUMIFS(Sheet1!$E:$E,Sheet1!$C:$C,$A10,Sheet1!$A:$A,W$2),"")</f>
        <v/>
      </c>
      <c r="X10" s="9" t="str">
        <f>IF(SUMIFS(Sheet1!$E:$E,Sheet1!$C:$C,$A10,Sheet1!$A:$A,X$2)&lt;&gt;0,SUMIFS(Sheet1!$E:$E,Sheet1!$C:$C,$A10,Sheet1!$A:$A,X$2),"")</f>
        <v/>
      </c>
      <c r="Y10" s="9" t="str">
        <f>IF(SUMIFS(Sheet1!$E:$E,Sheet1!$C:$C,$A10,Sheet1!$A:$A,Y$2)&lt;&gt;0,SUMIFS(Sheet1!$E:$E,Sheet1!$C:$C,$A10,Sheet1!$A:$A,Y$2),"")</f>
        <v/>
      </c>
      <c r="Z10" s="9" t="str">
        <f>IF(SUMIFS(Sheet1!$E:$E,Sheet1!$C:$C,$A10,Sheet1!$A:$A,Z$2)&lt;&gt;0,SUMIFS(Sheet1!$E:$E,Sheet1!$C:$C,$A10,Sheet1!$A:$A,Z$2),"")</f>
        <v/>
      </c>
      <c r="AA10" s="9" t="str">
        <f>IF(SUMIFS(Sheet1!$E:$E,Sheet1!$C:$C,$A10,Sheet1!$A:$A,AA$2)&lt;&gt;0,SUMIFS(Sheet1!$E:$E,Sheet1!$C:$C,$A10,Sheet1!$A:$A,AA$2),"")</f>
        <v/>
      </c>
      <c r="AB10" s="9" t="str">
        <f>IF(SUMIFS(Sheet1!$E:$E,Sheet1!$C:$C,$A10,Sheet1!$A:$A,AB$2)&lt;&gt;0,SUMIFS(Sheet1!$E:$E,Sheet1!$C:$C,$A10,Sheet1!$A:$A,AB$2),"")</f>
        <v/>
      </c>
      <c r="AC10" s="9" t="str">
        <f>IF(SUMIFS(Sheet1!$E:$E,Sheet1!$C:$C,$A10,Sheet1!$A:$A,AC$2)&lt;&gt;0,SUMIFS(Sheet1!$E:$E,Sheet1!$C:$C,$A10,Sheet1!$A:$A,AC$2),"")</f>
        <v/>
      </c>
      <c r="AD10" s="9" t="str">
        <f>IF(SUMIFS(Sheet1!$E:$E,Sheet1!$C:$C,$A10,Sheet1!$A:$A,AD$2)&lt;&gt;0,SUMIFS(Sheet1!$E:$E,Sheet1!$C:$C,$A10,Sheet1!$A:$A,AD$2),"")</f>
        <v/>
      </c>
      <c r="AE10" s="9" t="str">
        <f>IF(SUMIFS(Sheet1!$E:$E,Sheet1!$C:$C,$A10,Sheet1!$A:$A,AE$2)&lt;&gt;0,SUMIFS(Sheet1!$E:$E,Sheet1!$C:$C,$A10,Sheet1!$A:$A,AE$2),"")</f>
        <v/>
      </c>
      <c r="AF10" s="9" t="str">
        <f>IF(SUMIFS(Sheet1!$E:$E,Sheet1!$C:$C,$A10,Sheet1!$A:$A,AF$2)&lt;&gt;0,SUMIFS(Sheet1!$E:$E,Sheet1!$C:$C,$A10,Sheet1!$A:$A,AF$2),"")</f>
        <v/>
      </c>
      <c r="AG10" s="9" t="str">
        <f>IF(SUMIFS(Sheet1!$E:$E,Sheet1!$C:$C,$A10,Sheet1!$A:$A,AG$2)&lt;&gt;0,SUMIFS(Sheet1!$E:$E,Sheet1!$C:$C,$A10,Sheet1!$A:$A,AG$2),"")</f>
        <v/>
      </c>
      <c r="AH10" s="47">
        <f>SUM(Table24[[#This Row],[1]:[31]])</f>
        <v>5</v>
      </c>
    </row>
    <row r="11" spans="1:34" ht="12.75" customHeight="1">
      <c r="A11" s="24" t="str">
        <f>DSSP!A10</f>
        <v>A051</v>
      </c>
      <c r="B11" s="25" t="str">
        <f>DSSP!B10</f>
        <v>Kem đôi</v>
      </c>
      <c r="C11" s="9">
        <f>IF(SUMIFS(Sheet1!$E:$E,Sheet1!$C:$C,$A11,Sheet1!$A:$A,C$2)&lt;&gt;0,SUMIFS(Sheet1!$E:$E,Sheet1!$C:$C,$A11,Sheet1!$A:$A,C$2),"")</f>
        <v>34</v>
      </c>
      <c r="D11" s="9" t="str">
        <f>IF(SUMIFS(Sheet1!$E:$E,Sheet1!$C:$C,$A11,Sheet1!$A:$A,D$2)&lt;&gt;0,SUMIFS(Sheet1!$E:$E,Sheet1!$C:$C,$A11,Sheet1!$A:$A,D$2),"")</f>
        <v/>
      </c>
      <c r="E11" s="9" t="str">
        <f>IF(SUMIFS(Sheet1!$E:$E,Sheet1!$C:$C,$A11,Sheet1!$A:$A,E$2)&lt;&gt;0,SUMIFS(Sheet1!$E:$E,Sheet1!$C:$C,$A11,Sheet1!$A:$A,E$2),"")</f>
        <v/>
      </c>
      <c r="F11" s="9" t="str">
        <f>IF(SUMIFS(Sheet1!$E:$E,Sheet1!$C:$C,$A11,Sheet1!$A:$A,F$2)&lt;&gt;0,SUMIFS(Sheet1!$E:$E,Sheet1!$C:$C,$A11,Sheet1!$A:$A,F$2),"")</f>
        <v/>
      </c>
      <c r="G11" s="9" t="str">
        <f>IF(SUMIFS(Sheet1!$E:$E,Sheet1!$C:$C,$A11,Sheet1!$A:$A,G$2)&lt;&gt;0,SUMIFS(Sheet1!$E:$E,Sheet1!$C:$C,$A11,Sheet1!$A:$A,G$2),"")</f>
        <v/>
      </c>
      <c r="H11" s="9" t="str">
        <f>IF(SUMIFS(Sheet1!$E:$E,Sheet1!$C:$C,$A11,Sheet1!$A:$A,H$2)&lt;&gt;0,SUMIFS(Sheet1!$E:$E,Sheet1!$C:$C,$A11,Sheet1!$A:$A,H$2),"")</f>
        <v/>
      </c>
      <c r="I11" s="9" t="str">
        <f>IF(SUMIFS(Sheet1!$E:$E,Sheet1!$C:$C,$A11,Sheet1!$A:$A,I$2)&lt;&gt;0,SUMIFS(Sheet1!$E:$E,Sheet1!$C:$C,$A11,Sheet1!$A:$A,I$2),"")</f>
        <v/>
      </c>
      <c r="J11" s="9" t="str">
        <f>IF(SUMIFS(Sheet1!$E:$E,Sheet1!$C:$C,$A11,Sheet1!$A:$A,J$2)&lt;&gt;0,SUMIFS(Sheet1!$E:$E,Sheet1!$C:$C,$A11,Sheet1!$A:$A,J$2),"")</f>
        <v/>
      </c>
      <c r="K11" s="9" t="str">
        <f>IF(SUMIFS(Sheet1!$E:$E,Sheet1!$C:$C,$A11,Sheet1!$A:$A,K$2)&lt;&gt;0,SUMIFS(Sheet1!$E:$E,Sheet1!$C:$C,$A11,Sheet1!$A:$A,K$2),"")</f>
        <v/>
      </c>
      <c r="L11" s="9" t="str">
        <f>IF(SUMIFS(Sheet1!$E:$E,Sheet1!$C:$C,$A11,Sheet1!$A:$A,L$2)&lt;&gt;0,SUMIFS(Sheet1!$E:$E,Sheet1!$C:$C,$A11,Sheet1!$A:$A,L$2),"")</f>
        <v/>
      </c>
      <c r="M11" s="9" t="str">
        <f>IF(SUMIFS(Sheet1!$E:$E,Sheet1!$C:$C,$A11,Sheet1!$A:$A,M$2)&lt;&gt;0,SUMIFS(Sheet1!$E:$E,Sheet1!$C:$C,$A11,Sheet1!$A:$A,M$2),"")</f>
        <v/>
      </c>
      <c r="N11" s="9" t="str">
        <f>IF(SUMIFS(Sheet1!$E:$E,Sheet1!$C:$C,$A11,Sheet1!$A:$A,N$2)&lt;&gt;0,SUMIFS(Sheet1!$E:$E,Sheet1!$C:$C,$A11,Sheet1!$A:$A,N$2),"")</f>
        <v/>
      </c>
      <c r="O11" s="9" t="str">
        <f>IF(SUMIFS(Sheet1!$E:$E,Sheet1!$C:$C,$A11,Sheet1!$A:$A,O$2)&lt;&gt;0,SUMIFS(Sheet1!$E:$E,Sheet1!$C:$C,$A11,Sheet1!$A:$A,O$2),"")</f>
        <v/>
      </c>
      <c r="P11" s="9" t="str">
        <f>IF(SUMIFS(Sheet1!$E:$E,Sheet1!$C:$C,$A11,Sheet1!$A:$A,P$2)&lt;&gt;0,SUMIFS(Sheet1!$E:$E,Sheet1!$C:$C,$A11,Sheet1!$A:$A,P$2),"")</f>
        <v/>
      </c>
      <c r="Q11" s="9" t="str">
        <f>IF(SUMIFS(Sheet1!$E:$E,Sheet1!$C:$C,$A11,Sheet1!$A:$A,Q$2)&lt;&gt;0,SUMIFS(Sheet1!$E:$E,Sheet1!$C:$C,$A11,Sheet1!$A:$A,Q$2),"")</f>
        <v/>
      </c>
      <c r="R11" s="9" t="str">
        <f>IF(SUMIFS(Sheet1!$E:$E,Sheet1!$C:$C,$A11,Sheet1!$A:$A,R$2)&lt;&gt;0,SUMIFS(Sheet1!$E:$E,Sheet1!$C:$C,$A11,Sheet1!$A:$A,R$2),"")</f>
        <v/>
      </c>
      <c r="S11" s="9" t="str">
        <f>IF(SUMIFS(Sheet1!$E:$E,Sheet1!$C:$C,$A11,Sheet1!$A:$A,S$2)&lt;&gt;0,SUMIFS(Sheet1!$E:$E,Sheet1!$C:$C,$A11,Sheet1!$A:$A,S$2),"")</f>
        <v/>
      </c>
      <c r="T11" s="9" t="str">
        <f>IF(SUMIFS(Sheet1!$E:$E,Sheet1!$C:$C,$A11,Sheet1!$A:$A,T$2)&lt;&gt;0,SUMIFS(Sheet1!$E:$E,Sheet1!$C:$C,$A11,Sheet1!$A:$A,T$2),"")</f>
        <v/>
      </c>
      <c r="U11" s="9" t="str">
        <f>IF(SUMIFS(Sheet1!$E:$E,Sheet1!$C:$C,$A11,Sheet1!$A:$A,U$2)&lt;&gt;0,SUMIFS(Sheet1!$E:$E,Sheet1!$C:$C,$A11,Sheet1!$A:$A,U$2),"")</f>
        <v/>
      </c>
      <c r="V11" s="9" t="str">
        <f>IF(SUMIFS(Sheet1!$E:$E,Sheet1!$C:$C,$A11,Sheet1!$A:$A,V$2)&lt;&gt;0,SUMIFS(Sheet1!$E:$E,Sheet1!$C:$C,$A11,Sheet1!$A:$A,V$2),"")</f>
        <v/>
      </c>
      <c r="W11" s="9" t="str">
        <f>IF(SUMIFS(Sheet1!$E:$E,Sheet1!$C:$C,$A11,Sheet1!$A:$A,W$2)&lt;&gt;0,SUMIFS(Sheet1!$E:$E,Sheet1!$C:$C,$A11,Sheet1!$A:$A,W$2),"")</f>
        <v/>
      </c>
      <c r="X11" s="9" t="str">
        <f>IF(SUMIFS(Sheet1!$E:$E,Sheet1!$C:$C,$A11,Sheet1!$A:$A,X$2)&lt;&gt;0,SUMIFS(Sheet1!$E:$E,Sheet1!$C:$C,$A11,Sheet1!$A:$A,X$2),"")</f>
        <v/>
      </c>
      <c r="Y11" s="9" t="str">
        <f>IF(SUMIFS(Sheet1!$E:$E,Sheet1!$C:$C,$A11,Sheet1!$A:$A,Y$2)&lt;&gt;0,SUMIFS(Sheet1!$E:$E,Sheet1!$C:$C,$A11,Sheet1!$A:$A,Y$2),"")</f>
        <v/>
      </c>
      <c r="Z11" s="9" t="str">
        <f>IF(SUMIFS(Sheet1!$E:$E,Sheet1!$C:$C,$A11,Sheet1!$A:$A,Z$2)&lt;&gt;0,SUMIFS(Sheet1!$E:$E,Sheet1!$C:$C,$A11,Sheet1!$A:$A,Z$2),"")</f>
        <v/>
      </c>
      <c r="AA11" s="9" t="str">
        <f>IF(SUMIFS(Sheet1!$E:$E,Sheet1!$C:$C,$A11,Sheet1!$A:$A,AA$2)&lt;&gt;0,SUMIFS(Sheet1!$E:$E,Sheet1!$C:$C,$A11,Sheet1!$A:$A,AA$2),"")</f>
        <v/>
      </c>
      <c r="AB11" s="9" t="str">
        <f>IF(SUMIFS(Sheet1!$E:$E,Sheet1!$C:$C,$A11,Sheet1!$A:$A,AB$2)&lt;&gt;0,SUMIFS(Sheet1!$E:$E,Sheet1!$C:$C,$A11,Sheet1!$A:$A,AB$2),"")</f>
        <v/>
      </c>
      <c r="AC11" s="9" t="str">
        <f>IF(SUMIFS(Sheet1!$E:$E,Sheet1!$C:$C,$A11,Sheet1!$A:$A,AC$2)&lt;&gt;0,SUMIFS(Sheet1!$E:$E,Sheet1!$C:$C,$A11,Sheet1!$A:$A,AC$2),"")</f>
        <v/>
      </c>
      <c r="AD11" s="9" t="str">
        <f>IF(SUMIFS(Sheet1!$E:$E,Sheet1!$C:$C,$A11,Sheet1!$A:$A,AD$2)&lt;&gt;0,SUMIFS(Sheet1!$E:$E,Sheet1!$C:$C,$A11,Sheet1!$A:$A,AD$2),"")</f>
        <v/>
      </c>
      <c r="AE11" s="9" t="str">
        <f>IF(SUMIFS(Sheet1!$E:$E,Sheet1!$C:$C,$A11,Sheet1!$A:$A,AE$2)&lt;&gt;0,SUMIFS(Sheet1!$E:$E,Sheet1!$C:$C,$A11,Sheet1!$A:$A,AE$2),"")</f>
        <v/>
      </c>
      <c r="AF11" s="9" t="str">
        <f>IF(SUMIFS(Sheet1!$E:$E,Sheet1!$C:$C,$A11,Sheet1!$A:$A,AF$2)&lt;&gt;0,SUMIFS(Sheet1!$E:$E,Sheet1!$C:$C,$A11,Sheet1!$A:$A,AF$2),"")</f>
        <v/>
      </c>
      <c r="AG11" s="9" t="str">
        <f>IF(SUMIFS(Sheet1!$E:$E,Sheet1!$C:$C,$A11,Sheet1!$A:$A,AG$2)&lt;&gt;0,SUMIFS(Sheet1!$E:$E,Sheet1!$C:$C,$A11,Sheet1!$A:$A,AG$2),"")</f>
        <v/>
      </c>
      <c r="AH11" s="47">
        <f>SUM(Table24[[#This Row],[1]:[31]])</f>
        <v>34</v>
      </c>
    </row>
    <row r="12" spans="1:34" ht="12.75" customHeight="1">
      <c r="A12" s="24" t="str">
        <f>DSSP!A11</f>
        <v>A052</v>
      </c>
      <c r="B12" s="25" t="str">
        <f>DSSP!B11</f>
        <v>Nấm đôi</v>
      </c>
      <c r="C12" s="9">
        <f>IF(SUMIFS(Sheet1!$E:$E,Sheet1!$C:$C,$A12,Sheet1!$A:$A,C$2)&lt;&gt;0,SUMIFS(Sheet1!$E:$E,Sheet1!$C:$C,$A12,Sheet1!$A:$A,C$2),"")</f>
        <v>30</v>
      </c>
      <c r="D12" s="9" t="str">
        <f>IF(SUMIFS(Sheet1!$E:$E,Sheet1!$C:$C,$A12,Sheet1!$A:$A,D$2)&lt;&gt;0,SUMIFS(Sheet1!$E:$E,Sheet1!$C:$C,$A12,Sheet1!$A:$A,D$2),"")</f>
        <v/>
      </c>
      <c r="E12" s="9" t="str">
        <f>IF(SUMIFS(Sheet1!$E:$E,Sheet1!$C:$C,$A12,Sheet1!$A:$A,E$2)&lt;&gt;0,SUMIFS(Sheet1!$E:$E,Sheet1!$C:$C,$A12,Sheet1!$A:$A,E$2),"")</f>
        <v/>
      </c>
      <c r="F12" s="9" t="str">
        <f>IF(SUMIFS(Sheet1!$E:$E,Sheet1!$C:$C,$A12,Sheet1!$A:$A,F$2)&lt;&gt;0,SUMIFS(Sheet1!$E:$E,Sheet1!$C:$C,$A12,Sheet1!$A:$A,F$2),"")</f>
        <v/>
      </c>
      <c r="G12" s="9" t="str">
        <f>IF(SUMIFS(Sheet1!$E:$E,Sheet1!$C:$C,$A12,Sheet1!$A:$A,G$2)&lt;&gt;0,SUMIFS(Sheet1!$E:$E,Sheet1!$C:$C,$A12,Sheet1!$A:$A,G$2),"")</f>
        <v/>
      </c>
      <c r="H12" s="9" t="str">
        <f>IF(SUMIFS(Sheet1!$E:$E,Sheet1!$C:$C,$A12,Sheet1!$A:$A,H$2)&lt;&gt;0,SUMIFS(Sheet1!$E:$E,Sheet1!$C:$C,$A12,Sheet1!$A:$A,H$2),"")</f>
        <v/>
      </c>
      <c r="I12" s="9" t="str">
        <f>IF(SUMIFS(Sheet1!$E:$E,Sheet1!$C:$C,$A12,Sheet1!$A:$A,I$2)&lt;&gt;0,SUMIFS(Sheet1!$E:$E,Sheet1!$C:$C,$A12,Sheet1!$A:$A,I$2),"")</f>
        <v/>
      </c>
      <c r="J12" s="9" t="str">
        <f>IF(SUMIFS(Sheet1!$E:$E,Sheet1!$C:$C,$A12,Sheet1!$A:$A,J$2)&lt;&gt;0,SUMIFS(Sheet1!$E:$E,Sheet1!$C:$C,$A12,Sheet1!$A:$A,J$2),"")</f>
        <v/>
      </c>
      <c r="K12" s="9" t="str">
        <f>IF(SUMIFS(Sheet1!$E:$E,Sheet1!$C:$C,$A12,Sheet1!$A:$A,K$2)&lt;&gt;0,SUMIFS(Sheet1!$E:$E,Sheet1!$C:$C,$A12,Sheet1!$A:$A,K$2),"")</f>
        <v/>
      </c>
      <c r="L12" s="9" t="str">
        <f>IF(SUMIFS(Sheet1!$E:$E,Sheet1!$C:$C,$A12,Sheet1!$A:$A,L$2)&lt;&gt;0,SUMIFS(Sheet1!$E:$E,Sheet1!$C:$C,$A12,Sheet1!$A:$A,L$2),"")</f>
        <v/>
      </c>
      <c r="M12" s="9" t="str">
        <f>IF(SUMIFS(Sheet1!$E:$E,Sheet1!$C:$C,$A12,Sheet1!$A:$A,M$2)&lt;&gt;0,SUMIFS(Sheet1!$E:$E,Sheet1!$C:$C,$A12,Sheet1!$A:$A,M$2),"")</f>
        <v/>
      </c>
      <c r="N12" s="9" t="str">
        <f>IF(SUMIFS(Sheet1!$E:$E,Sheet1!$C:$C,$A12,Sheet1!$A:$A,N$2)&lt;&gt;0,SUMIFS(Sheet1!$E:$E,Sheet1!$C:$C,$A12,Sheet1!$A:$A,N$2),"")</f>
        <v/>
      </c>
      <c r="O12" s="9" t="str">
        <f>IF(SUMIFS(Sheet1!$E:$E,Sheet1!$C:$C,$A12,Sheet1!$A:$A,O$2)&lt;&gt;0,SUMIFS(Sheet1!$E:$E,Sheet1!$C:$C,$A12,Sheet1!$A:$A,O$2),"")</f>
        <v/>
      </c>
      <c r="P12" s="9" t="str">
        <f>IF(SUMIFS(Sheet1!$E:$E,Sheet1!$C:$C,$A12,Sheet1!$A:$A,P$2)&lt;&gt;0,SUMIFS(Sheet1!$E:$E,Sheet1!$C:$C,$A12,Sheet1!$A:$A,P$2),"")</f>
        <v/>
      </c>
      <c r="Q12" s="9" t="str">
        <f>IF(SUMIFS(Sheet1!$E:$E,Sheet1!$C:$C,$A12,Sheet1!$A:$A,Q$2)&lt;&gt;0,SUMIFS(Sheet1!$E:$E,Sheet1!$C:$C,$A12,Sheet1!$A:$A,Q$2),"")</f>
        <v/>
      </c>
      <c r="R12" s="9" t="str">
        <f>IF(SUMIFS(Sheet1!$E:$E,Sheet1!$C:$C,$A12,Sheet1!$A:$A,R$2)&lt;&gt;0,SUMIFS(Sheet1!$E:$E,Sheet1!$C:$C,$A12,Sheet1!$A:$A,R$2),"")</f>
        <v/>
      </c>
      <c r="S12" s="9" t="str">
        <f>IF(SUMIFS(Sheet1!$E:$E,Sheet1!$C:$C,$A12,Sheet1!$A:$A,S$2)&lt;&gt;0,SUMIFS(Sheet1!$E:$E,Sheet1!$C:$C,$A12,Sheet1!$A:$A,S$2),"")</f>
        <v/>
      </c>
      <c r="T12" s="9" t="str">
        <f>IF(SUMIFS(Sheet1!$E:$E,Sheet1!$C:$C,$A12,Sheet1!$A:$A,T$2)&lt;&gt;0,SUMIFS(Sheet1!$E:$E,Sheet1!$C:$C,$A12,Sheet1!$A:$A,T$2),"")</f>
        <v/>
      </c>
      <c r="U12" s="9" t="str">
        <f>IF(SUMIFS(Sheet1!$E:$E,Sheet1!$C:$C,$A12,Sheet1!$A:$A,U$2)&lt;&gt;0,SUMIFS(Sheet1!$E:$E,Sheet1!$C:$C,$A12,Sheet1!$A:$A,U$2),"")</f>
        <v/>
      </c>
      <c r="V12" s="9" t="str">
        <f>IF(SUMIFS(Sheet1!$E:$E,Sheet1!$C:$C,$A12,Sheet1!$A:$A,V$2)&lt;&gt;0,SUMIFS(Sheet1!$E:$E,Sheet1!$C:$C,$A12,Sheet1!$A:$A,V$2),"")</f>
        <v/>
      </c>
      <c r="W12" s="9" t="str">
        <f>IF(SUMIFS(Sheet1!$E:$E,Sheet1!$C:$C,$A12,Sheet1!$A:$A,W$2)&lt;&gt;0,SUMIFS(Sheet1!$E:$E,Sheet1!$C:$C,$A12,Sheet1!$A:$A,W$2),"")</f>
        <v/>
      </c>
      <c r="X12" s="9" t="str">
        <f>IF(SUMIFS(Sheet1!$E:$E,Sheet1!$C:$C,$A12,Sheet1!$A:$A,X$2)&lt;&gt;0,SUMIFS(Sheet1!$E:$E,Sheet1!$C:$C,$A12,Sheet1!$A:$A,X$2),"")</f>
        <v/>
      </c>
      <c r="Y12" s="9" t="str">
        <f>IF(SUMIFS(Sheet1!$E:$E,Sheet1!$C:$C,$A12,Sheet1!$A:$A,Y$2)&lt;&gt;0,SUMIFS(Sheet1!$E:$E,Sheet1!$C:$C,$A12,Sheet1!$A:$A,Y$2),"")</f>
        <v/>
      </c>
      <c r="Z12" s="9" t="str">
        <f>IF(SUMIFS(Sheet1!$E:$E,Sheet1!$C:$C,$A12,Sheet1!$A:$A,Z$2)&lt;&gt;0,SUMIFS(Sheet1!$E:$E,Sheet1!$C:$C,$A12,Sheet1!$A:$A,Z$2),"")</f>
        <v/>
      </c>
      <c r="AA12" s="9" t="str">
        <f>IF(SUMIFS(Sheet1!$E:$E,Sheet1!$C:$C,$A12,Sheet1!$A:$A,AA$2)&lt;&gt;0,SUMIFS(Sheet1!$E:$E,Sheet1!$C:$C,$A12,Sheet1!$A:$A,AA$2),"")</f>
        <v/>
      </c>
      <c r="AB12" s="9" t="str">
        <f>IF(SUMIFS(Sheet1!$E:$E,Sheet1!$C:$C,$A12,Sheet1!$A:$A,AB$2)&lt;&gt;0,SUMIFS(Sheet1!$E:$E,Sheet1!$C:$C,$A12,Sheet1!$A:$A,AB$2),"")</f>
        <v/>
      </c>
      <c r="AC12" s="9" t="str">
        <f>IF(SUMIFS(Sheet1!$E:$E,Sheet1!$C:$C,$A12,Sheet1!$A:$A,AC$2)&lt;&gt;0,SUMIFS(Sheet1!$E:$E,Sheet1!$C:$C,$A12,Sheet1!$A:$A,AC$2),"")</f>
        <v/>
      </c>
      <c r="AD12" s="9" t="str">
        <f>IF(SUMIFS(Sheet1!$E:$E,Sheet1!$C:$C,$A12,Sheet1!$A:$A,AD$2)&lt;&gt;0,SUMIFS(Sheet1!$E:$E,Sheet1!$C:$C,$A12,Sheet1!$A:$A,AD$2),"")</f>
        <v/>
      </c>
      <c r="AE12" s="9" t="str">
        <f>IF(SUMIFS(Sheet1!$E:$E,Sheet1!$C:$C,$A12,Sheet1!$A:$A,AE$2)&lt;&gt;0,SUMIFS(Sheet1!$E:$E,Sheet1!$C:$C,$A12,Sheet1!$A:$A,AE$2),"")</f>
        <v/>
      </c>
      <c r="AF12" s="9" t="str">
        <f>IF(SUMIFS(Sheet1!$E:$E,Sheet1!$C:$C,$A12,Sheet1!$A:$A,AF$2)&lt;&gt;0,SUMIFS(Sheet1!$E:$E,Sheet1!$C:$C,$A12,Sheet1!$A:$A,AF$2),"")</f>
        <v/>
      </c>
      <c r="AG12" s="9" t="str">
        <f>IF(SUMIFS(Sheet1!$E:$E,Sheet1!$C:$C,$A12,Sheet1!$A:$A,AG$2)&lt;&gt;0,SUMIFS(Sheet1!$E:$E,Sheet1!$C:$C,$A12,Sheet1!$A:$A,AG$2),"")</f>
        <v/>
      </c>
      <c r="AH12" s="47">
        <f>SUM(Table24[[#This Row],[1]:[31]])</f>
        <v>30</v>
      </c>
    </row>
    <row r="13" spans="1:34" ht="12.75" customHeight="1">
      <c r="A13" s="24" t="str">
        <f>DSSP!A12</f>
        <v>A054</v>
      </c>
      <c r="B13" s="25" t="str">
        <f>DSSP!B12</f>
        <v>Cáo đôi</v>
      </c>
      <c r="C13" s="9">
        <f>IF(SUMIFS(Sheet1!$E:$E,Sheet1!$C:$C,$A13,Sheet1!$A:$A,C$2)&lt;&gt;0,SUMIFS(Sheet1!$E:$E,Sheet1!$C:$C,$A13,Sheet1!$A:$A,C$2),"")</f>
        <v>9</v>
      </c>
      <c r="D13" s="9" t="str">
        <f>IF(SUMIFS(Sheet1!$E:$E,Sheet1!$C:$C,$A13,Sheet1!$A:$A,D$2)&lt;&gt;0,SUMIFS(Sheet1!$E:$E,Sheet1!$C:$C,$A13,Sheet1!$A:$A,D$2),"")</f>
        <v/>
      </c>
      <c r="E13" s="9" t="str">
        <f>IF(SUMIFS(Sheet1!$E:$E,Sheet1!$C:$C,$A13,Sheet1!$A:$A,E$2)&lt;&gt;0,SUMIFS(Sheet1!$E:$E,Sheet1!$C:$C,$A13,Sheet1!$A:$A,E$2),"")</f>
        <v/>
      </c>
      <c r="F13" s="9" t="str">
        <f>IF(SUMIFS(Sheet1!$E:$E,Sheet1!$C:$C,$A13,Sheet1!$A:$A,F$2)&lt;&gt;0,SUMIFS(Sheet1!$E:$E,Sheet1!$C:$C,$A13,Sheet1!$A:$A,F$2),"")</f>
        <v/>
      </c>
      <c r="G13" s="9" t="str">
        <f>IF(SUMIFS(Sheet1!$E:$E,Sheet1!$C:$C,$A13,Sheet1!$A:$A,G$2)&lt;&gt;0,SUMIFS(Sheet1!$E:$E,Sheet1!$C:$C,$A13,Sheet1!$A:$A,G$2),"")</f>
        <v/>
      </c>
      <c r="H13" s="9" t="str">
        <f>IF(SUMIFS(Sheet1!$E:$E,Sheet1!$C:$C,$A13,Sheet1!$A:$A,H$2)&lt;&gt;0,SUMIFS(Sheet1!$E:$E,Sheet1!$C:$C,$A13,Sheet1!$A:$A,H$2),"")</f>
        <v/>
      </c>
      <c r="I13" s="9" t="str">
        <f>IF(SUMIFS(Sheet1!$E:$E,Sheet1!$C:$C,$A13,Sheet1!$A:$A,I$2)&lt;&gt;0,SUMIFS(Sheet1!$E:$E,Sheet1!$C:$C,$A13,Sheet1!$A:$A,I$2),"")</f>
        <v/>
      </c>
      <c r="J13" s="9" t="str">
        <f>IF(SUMIFS(Sheet1!$E:$E,Sheet1!$C:$C,$A13,Sheet1!$A:$A,J$2)&lt;&gt;0,SUMIFS(Sheet1!$E:$E,Sheet1!$C:$C,$A13,Sheet1!$A:$A,J$2),"")</f>
        <v/>
      </c>
      <c r="K13" s="9" t="str">
        <f>IF(SUMIFS(Sheet1!$E:$E,Sheet1!$C:$C,$A13,Sheet1!$A:$A,K$2)&lt;&gt;0,SUMIFS(Sheet1!$E:$E,Sheet1!$C:$C,$A13,Sheet1!$A:$A,K$2),"")</f>
        <v/>
      </c>
      <c r="L13" s="9" t="str">
        <f>IF(SUMIFS(Sheet1!$E:$E,Sheet1!$C:$C,$A13,Sheet1!$A:$A,L$2)&lt;&gt;0,SUMIFS(Sheet1!$E:$E,Sheet1!$C:$C,$A13,Sheet1!$A:$A,L$2),"")</f>
        <v/>
      </c>
      <c r="M13" s="9" t="str">
        <f>IF(SUMIFS(Sheet1!$E:$E,Sheet1!$C:$C,$A13,Sheet1!$A:$A,M$2)&lt;&gt;0,SUMIFS(Sheet1!$E:$E,Sheet1!$C:$C,$A13,Sheet1!$A:$A,M$2),"")</f>
        <v/>
      </c>
      <c r="N13" s="9" t="str">
        <f>IF(SUMIFS(Sheet1!$E:$E,Sheet1!$C:$C,$A13,Sheet1!$A:$A,N$2)&lt;&gt;0,SUMIFS(Sheet1!$E:$E,Sheet1!$C:$C,$A13,Sheet1!$A:$A,N$2),"")</f>
        <v/>
      </c>
      <c r="O13" s="9" t="str">
        <f>IF(SUMIFS(Sheet1!$E:$E,Sheet1!$C:$C,$A13,Sheet1!$A:$A,O$2)&lt;&gt;0,SUMIFS(Sheet1!$E:$E,Sheet1!$C:$C,$A13,Sheet1!$A:$A,O$2),"")</f>
        <v/>
      </c>
      <c r="P13" s="9" t="str">
        <f>IF(SUMIFS(Sheet1!$E:$E,Sheet1!$C:$C,$A13,Sheet1!$A:$A,P$2)&lt;&gt;0,SUMIFS(Sheet1!$E:$E,Sheet1!$C:$C,$A13,Sheet1!$A:$A,P$2),"")</f>
        <v/>
      </c>
      <c r="Q13" s="9" t="str">
        <f>IF(SUMIFS(Sheet1!$E:$E,Sheet1!$C:$C,$A13,Sheet1!$A:$A,Q$2)&lt;&gt;0,SUMIFS(Sheet1!$E:$E,Sheet1!$C:$C,$A13,Sheet1!$A:$A,Q$2),"")</f>
        <v/>
      </c>
      <c r="R13" s="9" t="str">
        <f>IF(SUMIFS(Sheet1!$E:$E,Sheet1!$C:$C,$A13,Sheet1!$A:$A,R$2)&lt;&gt;0,SUMIFS(Sheet1!$E:$E,Sheet1!$C:$C,$A13,Sheet1!$A:$A,R$2),"")</f>
        <v/>
      </c>
      <c r="S13" s="9" t="str">
        <f>IF(SUMIFS(Sheet1!$E:$E,Sheet1!$C:$C,$A13,Sheet1!$A:$A,S$2)&lt;&gt;0,SUMIFS(Sheet1!$E:$E,Sheet1!$C:$C,$A13,Sheet1!$A:$A,S$2),"")</f>
        <v/>
      </c>
      <c r="T13" s="9" t="str">
        <f>IF(SUMIFS(Sheet1!$E:$E,Sheet1!$C:$C,$A13,Sheet1!$A:$A,T$2)&lt;&gt;0,SUMIFS(Sheet1!$E:$E,Sheet1!$C:$C,$A13,Sheet1!$A:$A,T$2),"")</f>
        <v/>
      </c>
      <c r="U13" s="9" t="str">
        <f>IF(SUMIFS(Sheet1!$E:$E,Sheet1!$C:$C,$A13,Sheet1!$A:$A,U$2)&lt;&gt;0,SUMIFS(Sheet1!$E:$E,Sheet1!$C:$C,$A13,Sheet1!$A:$A,U$2),"")</f>
        <v/>
      </c>
      <c r="V13" s="9" t="str">
        <f>IF(SUMIFS(Sheet1!$E:$E,Sheet1!$C:$C,$A13,Sheet1!$A:$A,V$2)&lt;&gt;0,SUMIFS(Sheet1!$E:$E,Sheet1!$C:$C,$A13,Sheet1!$A:$A,V$2),"")</f>
        <v/>
      </c>
      <c r="W13" s="9" t="str">
        <f>IF(SUMIFS(Sheet1!$E:$E,Sheet1!$C:$C,$A13,Sheet1!$A:$A,W$2)&lt;&gt;0,SUMIFS(Sheet1!$E:$E,Sheet1!$C:$C,$A13,Sheet1!$A:$A,W$2),"")</f>
        <v/>
      </c>
      <c r="X13" s="9" t="str">
        <f>IF(SUMIFS(Sheet1!$E:$E,Sheet1!$C:$C,$A13,Sheet1!$A:$A,X$2)&lt;&gt;0,SUMIFS(Sheet1!$E:$E,Sheet1!$C:$C,$A13,Sheet1!$A:$A,X$2),"")</f>
        <v/>
      </c>
      <c r="Y13" s="9" t="str">
        <f>IF(SUMIFS(Sheet1!$E:$E,Sheet1!$C:$C,$A13,Sheet1!$A:$A,Y$2)&lt;&gt;0,SUMIFS(Sheet1!$E:$E,Sheet1!$C:$C,$A13,Sheet1!$A:$A,Y$2),"")</f>
        <v/>
      </c>
      <c r="Z13" s="9" t="str">
        <f>IF(SUMIFS(Sheet1!$E:$E,Sheet1!$C:$C,$A13,Sheet1!$A:$A,Z$2)&lt;&gt;0,SUMIFS(Sheet1!$E:$E,Sheet1!$C:$C,$A13,Sheet1!$A:$A,Z$2),"")</f>
        <v/>
      </c>
      <c r="AA13" s="9" t="str">
        <f>IF(SUMIFS(Sheet1!$E:$E,Sheet1!$C:$C,$A13,Sheet1!$A:$A,AA$2)&lt;&gt;0,SUMIFS(Sheet1!$E:$E,Sheet1!$C:$C,$A13,Sheet1!$A:$A,AA$2),"")</f>
        <v/>
      </c>
      <c r="AB13" s="9" t="str">
        <f>IF(SUMIFS(Sheet1!$E:$E,Sheet1!$C:$C,$A13,Sheet1!$A:$A,AB$2)&lt;&gt;0,SUMIFS(Sheet1!$E:$E,Sheet1!$C:$C,$A13,Sheet1!$A:$A,AB$2),"")</f>
        <v/>
      </c>
      <c r="AC13" s="9" t="str">
        <f>IF(SUMIFS(Sheet1!$E:$E,Sheet1!$C:$C,$A13,Sheet1!$A:$A,AC$2)&lt;&gt;0,SUMIFS(Sheet1!$E:$E,Sheet1!$C:$C,$A13,Sheet1!$A:$A,AC$2),"")</f>
        <v/>
      </c>
      <c r="AD13" s="9" t="str">
        <f>IF(SUMIFS(Sheet1!$E:$E,Sheet1!$C:$C,$A13,Sheet1!$A:$A,AD$2)&lt;&gt;0,SUMIFS(Sheet1!$E:$E,Sheet1!$C:$C,$A13,Sheet1!$A:$A,AD$2),"")</f>
        <v/>
      </c>
      <c r="AE13" s="9" t="str">
        <f>IF(SUMIFS(Sheet1!$E:$E,Sheet1!$C:$C,$A13,Sheet1!$A:$A,AE$2)&lt;&gt;0,SUMIFS(Sheet1!$E:$E,Sheet1!$C:$C,$A13,Sheet1!$A:$A,AE$2),"")</f>
        <v/>
      </c>
      <c r="AF13" s="9" t="str">
        <f>IF(SUMIFS(Sheet1!$E:$E,Sheet1!$C:$C,$A13,Sheet1!$A:$A,AF$2)&lt;&gt;0,SUMIFS(Sheet1!$E:$E,Sheet1!$C:$C,$A13,Sheet1!$A:$A,AF$2),"")</f>
        <v/>
      </c>
      <c r="AG13" s="9" t="str">
        <f>IF(SUMIFS(Sheet1!$E:$E,Sheet1!$C:$C,$A13,Sheet1!$A:$A,AG$2)&lt;&gt;0,SUMIFS(Sheet1!$E:$E,Sheet1!$C:$C,$A13,Sheet1!$A:$A,AG$2),"")</f>
        <v/>
      </c>
      <c r="AH13" s="47">
        <f>SUM(Table24[[#This Row],[1]:[31]])</f>
        <v>9</v>
      </c>
    </row>
    <row r="14" spans="1:34" ht="12.75" customHeight="1">
      <c r="A14" s="24" t="str">
        <f>DSSP!A13</f>
        <v>A055</v>
      </c>
      <c r="B14" s="25" t="str">
        <f>DSSP!B13</f>
        <v>Cơm nắm</v>
      </c>
      <c r="C14" s="9">
        <f>IF(SUMIFS(Sheet1!$E:$E,Sheet1!$C:$C,$A14,Sheet1!$A:$A,C$2)&lt;&gt;0,SUMIFS(Sheet1!$E:$E,Sheet1!$C:$C,$A14,Sheet1!$A:$A,C$2),"")</f>
        <v>45</v>
      </c>
      <c r="D14" s="9" t="str">
        <f>IF(SUMIFS(Sheet1!$E:$E,Sheet1!$C:$C,$A14,Sheet1!$A:$A,D$2)&lt;&gt;0,SUMIFS(Sheet1!$E:$E,Sheet1!$C:$C,$A14,Sheet1!$A:$A,D$2),"")</f>
        <v/>
      </c>
      <c r="E14" s="9" t="str">
        <f>IF(SUMIFS(Sheet1!$E:$E,Sheet1!$C:$C,$A14,Sheet1!$A:$A,E$2)&lt;&gt;0,SUMIFS(Sheet1!$E:$E,Sheet1!$C:$C,$A14,Sheet1!$A:$A,E$2),"")</f>
        <v/>
      </c>
      <c r="F14" s="9" t="str">
        <f>IF(SUMIFS(Sheet1!$E:$E,Sheet1!$C:$C,$A14,Sheet1!$A:$A,F$2)&lt;&gt;0,SUMIFS(Sheet1!$E:$E,Sheet1!$C:$C,$A14,Sheet1!$A:$A,F$2),"")</f>
        <v/>
      </c>
      <c r="G14" s="9" t="str">
        <f>IF(SUMIFS(Sheet1!$E:$E,Sheet1!$C:$C,$A14,Sheet1!$A:$A,G$2)&lt;&gt;0,SUMIFS(Sheet1!$E:$E,Sheet1!$C:$C,$A14,Sheet1!$A:$A,G$2),"")</f>
        <v/>
      </c>
      <c r="H14" s="9" t="str">
        <f>IF(SUMIFS(Sheet1!$E:$E,Sheet1!$C:$C,$A14,Sheet1!$A:$A,H$2)&lt;&gt;0,SUMIFS(Sheet1!$E:$E,Sheet1!$C:$C,$A14,Sheet1!$A:$A,H$2),"")</f>
        <v/>
      </c>
      <c r="I14" s="9" t="str">
        <f>IF(SUMIFS(Sheet1!$E:$E,Sheet1!$C:$C,$A14,Sheet1!$A:$A,I$2)&lt;&gt;0,SUMIFS(Sheet1!$E:$E,Sheet1!$C:$C,$A14,Sheet1!$A:$A,I$2),"")</f>
        <v/>
      </c>
      <c r="J14" s="9" t="str">
        <f>IF(SUMIFS(Sheet1!$E:$E,Sheet1!$C:$C,$A14,Sheet1!$A:$A,J$2)&lt;&gt;0,SUMIFS(Sheet1!$E:$E,Sheet1!$C:$C,$A14,Sheet1!$A:$A,J$2),"")</f>
        <v/>
      </c>
      <c r="K14" s="9" t="str">
        <f>IF(SUMIFS(Sheet1!$E:$E,Sheet1!$C:$C,$A14,Sheet1!$A:$A,K$2)&lt;&gt;0,SUMIFS(Sheet1!$E:$E,Sheet1!$C:$C,$A14,Sheet1!$A:$A,K$2),"")</f>
        <v/>
      </c>
      <c r="L14" s="9" t="str">
        <f>IF(SUMIFS(Sheet1!$E:$E,Sheet1!$C:$C,$A14,Sheet1!$A:$A,L$2)&lt;&gt;0,SUMIFS(Sheet1!$E:$E,Sheet1!$C:$C,$A14,Sheet1!$A:$A,L$2),"")</f>
        <v/>
      </c>
      <c r="M14" s="9" t="str">
        <f>IF(SUMIFS(Sheet1!$E:$E,Sheet1!$C:$C,$A14,Sheet1!$A:$A,M$2)&lt;&gt;0,SUMIFS(Sheet1!$E:$E,Sheet1!$C:$C,$A14,Sheet1!$A:$A,M$2),"")</f>
        <v/>
      </c>
      <c r="N14" s="9" t="str">
        <f>IF(SUMIFS(Sheet1!$E:$E,Sheet1!$C:$C,$A14,Sheet1!$A:$A,N$2)&lt;&gt;0,SUMIFS(Sheet1!$E:$E,Sheet1!$C:$C,$A14,Sheet1!$A:$A,N$2),"")</f>
        <v/>
      </c>
      <c r="O14" s="9" t="str">
        <f>IF(SUMIFS(Sheet1!$E:$E,Sheet1!$C:$C,$A14,Sheet1!$A:$A,O$2)&lt;&gt;0,SUMIFS(Sheet1!$E:$E,Sheet1!$C:$C,$A14,Sheet1!$A:$A,O$2),"")</f>
        <v/>
      </c>
      <c r="P14" s="9" t="str">
        <f>IF(SUMIFS(Sheet1!$E:$E,Sheet1!$C:$C,$A14,Sheet1!$A:$A,P$2)&lt;&gt;0,SUMIFS(Sheet1!$E:$E,Sheet1!$C:$C,$A14,Sheet1!$A:$A,P$2),"")</f>
        <v/>
      </c>
      <c r="Q14" s="9" t="str">
        <f>IF(SUMIFS(Sheet1!$E:$E,Sheet1!$C:$C,$A14,Sheet1!$A:$A,Q$2)&lt;&gt;0,SUMIFS(Sheet1!$E:$E,Sheet1!$C:$C,$A14,Sheet1!$A:$A,Q$2),"")</f>
        <v/>
      </c>
      <c r="R14" s="9" t="str">
        <f>IF(SUMIFS(Sheet1!$E:$E,Sheet1!$C:$C,$A14,Sheet1!$A:$A,R$2)&lt;&gt;0,SUMIFS(Sheet1!$E:$E,Sheet1!$C:$C,$A14,Sheet1!$A:$A,R$2),"")</f>
        <v/>
      </c>
      <c r="S14" s="9" t="str">
        <f>IF(SUMIFS(Sheet1!$E:$E,Sheet1!$C:$C,$A14,Sheet1!$A:$A,S$2)&lt;&gt;0,SUMIFS(Sheet1!$E:$E,Sheet1!$C:$C,$A14,Sheet1!$A:$A,S$2),"")</f>
        <v/>
      </c>
      <c r="T14" s="9" t="str">
        <f>IF(SUMIFS(Sheet1!$E:$E,Sheet1!$C:$C,$A14,Sheet1!$A:$A,T$2)&lt;&gt;0,SUMIFS(Sheet1!$E:$E,Sheet1!$C:$C,$A14,Sheet1!$A:$A,T$2),"")</f>
        <v/>
      </c>
      <c r="U14" s="9" t="str">
        <f>IF(SUMIFS(Sheet1!$E:$E,Sheet1!$C:$C,$A14,Sheet1!$A:$A,U$2)&lt;&gt;0,SUMIFS(Sheet1!$E:$E,Sheet1!$C:$C,$A14,Sheet1!$A:$A,U$2),"")</f>
        <v/>
      </c>
      <c r="V14" s="9" t="str">
        <f>IF(SUMIFS(Sheet1!$E:$E,Sheet1!$C:$C,$A14,Sheet1!$A:$A,V$2)&lt;&gt;0,SUMIFS(Sheet1!$E:$E,Sheet1!$C:$C,$A14,Sheet1!$A:$A,V$2),"")</f>
        <v/>
      </c>
      <c r="W14" s="9" t="str">
        <f>IF(SUMIFS(Sheet1!$E:$E,Sheet1!$C:$C,$A14,Sheet1!$A:$A,W$2)&lt;&gt;0,SUMIFS(Sheet1!$E:$E,Sheet1!$C:$C,$A14,Sheet1!$A:$A,W$2),"")</f>
        <v/>
      </c>
      <c r="X14" s="9" t="str">
        <f>IF(SUMIFS(Sheet1!$E:$E,Sheet1!$C:$C,$A14,Sheet1!$A:$A,X$2)&lt;&gt;0,SUMIFS(Sheet1!$E:$E,Sheet1!$C:$C,$A14,Sheet1!$A:$A,X$2),"")</f>
        <v/>
      </c>
      <c r="Y14" s="9" t="str">
        <f>IF(SUMIFS(Sheet1!$E:$E,Sheet1!$C:$C,$A14,Sheet1!$A:$A,Y$2)&lt;&gt;0,SUMIFS(Sheet1!$E:$E,Sheet1!$C:$C,$A14,Sheet1!$A:$A,Y$2),"")</f>
        <v/>
      </c>
      <c r="Z14" s="9" t="str">
        <f>IF(SUMIFS(Sheet1!$E:$E,Sheet1!$C:$C,$A14,Sheet1!$A:$A,Z$2)&lt;&gt;0,SUMIFS(Sheet1!$E:$E,Sheet1!$C:$C,$A14,Sheet1!$A:$A,Z$2),"")</f>
        <v/>
      </c>
      <c r="AA14" s="9" t="str">
        <f>IF(SUMIFS(Sheet1!$E:$E,Sheet1!$C:$C,$A14,Sheet1!$A:$A,AA$2)&lt;&gt;0,SUMIFS(Sheet1!$E:$E,Sheet1!$C:$C,$A14,Sheet1!$A:$A,AA$2),"")</f>
        <v/>
      </c>
      <c r="AB14" s="9" t="str">
        <f>IF(SUMIFS(Sheet1!$E:$E,Sheet1!$C:$C,$A14,Sheet1!$A:$A,AB$2)&lt;&gt;0,SUMIFS(Sheet1!$E:$E,Sheet1!$C:$C,$A14,Sheet1!$A:$A,AB$2),"")</f>
        <v/>
      </c>
      <c r="AC14" s="9" t="str">
        <f>IF(SUMIFS(Sheet1!$E:$E,Sheet1!$C:$C,$A14,Sheet1!$A:$A,AC$2)&lt;&gt;0,SUMIFS(Sheet1!$E:$E,Sheet1!$C:$C,$A14,Sheet1!$A:$A,AC$2),"")</f>
        <v/>
      </c>
      <c r="AD14" s="9" t="str">
        <f>IF(SUMIFS(Sheet1!$E:$E,Sheet1!$C:$C,$A14,Sheet1!$A:$A,AD$2)&lt;&gt;0,SUMIFS(Sheet1!$E:$E,Sheet1!$C:$C,$A14,Sheet1!$A:$A,AD$2),"")</f>
        <v/>
      </c>
      <c r="AE14" s="9" t="str">
        <f>IF(SUMIFS(Sheet1!$E:$E,Sheet1!$C:$C,$A14,Sheet1!$A:$A,AE$2)&lt;&gt;0,SUMIFS(Sheet1!$E:$E,Sheet1!$C:$C,$A14,Sheet1!$A:$A,AE$2),"")</f>
        <v/>
      </c>
      <c r="AF14" s="9" t="str">
        <f>IF(SUMIFS(Sheet1!$E:$E,Sheet1!$C:$C,$A14,Sheet1!$A:$A,AF$2)&lt;&gt;0,SUMIFS(Sheet1!$E:$E,Sheet1!$C:$C,$A14,Sheet1!$A:$A,AF$2),"")</f>
        <v/>
      </c>
      <c r="AG14" s="9" t="str">
        <f>IF(SUMIFS(Sheet1!$E:$E,Sheet1!$C:$C,$A14,Sheet1!$A:$A,AG$2)&lt;&gt;0,SUMIFS(Sheet1!$E:$E,Sheet1!$C:$C,$A14,Sheet1!$A:$A,AG$2),"")</f>
        <v/>
      </c>
      <c r="AH14" s="47">
        <f>SUM(Table24[[#This Row],[1]:[31]])</f>
        <v>45</v>
      </c>
    </row>
    <row r="15" spans="1:34" ht="12.75" customHeight="1">
      <c r="A15" s="24" t="str">
        <f>DSSP!A14</f>
        <v>A056</v>
      </c>
      <c r="B15" s="25" t="str">
        <f>DSSP!B14</f>
        <v>Ong</v>
      </c>
      <c r="C15" s="9" t="str">
        <f>IF(SUMIFS(Sheet1!$E:$E,Sheet1!$C:$C,$A15,Sheet1!$A:$A,C$2)&lt;&gt;0,SUMIFS(Sheet1!$E:$E,Sheet1!$C:$C,$A15,Sheet1!$A:$A,C$2),"")</f>
        <v/>
      </c>
      <c r="D15" s="9" t="str">
        <f>IF(SUMIFS(Sheet1!$E:$E,Sheet1!$C:$C,$A15,Sheet1!$A:$A,D$2)&lt;&gt;0,SUMIFS(Sheet1!$E:$E,Sheet1!$C:$C,$A15,Sheet1!$A:$A,D$2),"")</f>
        <v/>
      </c>
      <c r="E15" s="9" t="str">
        <f>IF(SUMIFS(Sheet1!$E:$E,Sheet1!$C:$C,$A15,Sheet1!$A:$A,E$2)&lt;&gt;0,SUMIFS(Sheet1!$E:$E,Sheet1!$C:$C,$A15,Sheet1!$A:$A,E$2),"")</f>
        <v/>
      </c>
      <c r="F15" s="9" t="str">
        <f>IF(SUMIFS(Sheet1!$E:$E,Sheet1!$C:$C,$A15,Sheet1!$A:$A,F$2)&lt;&gt;0,SUMIFS(Sheet1!$E:$E,Sheet1!$C:$C,$A15,Sheet1!$A:$A,F$2),"")</f>
        <v/>
      </c>
      <c r="G15" s="9" t="str">
        <f>IF(SUMIFS(Sheet1!$E:$E,Sheet1!$C:$C,$A15,Sheet1!$A:$A,G$2)&lt;&gt;0,SUMIFS(Sheet1!$E:$E,Sheet1!$C:$C,$A15,Sheet1!$A:$A,G$2),"")</f>
        <v/>
      </c>
      <c r="H15" s="9" t="str">
        <f>IF(SUMIFS(Sheet1!$E:$E,Sheet1!$C:$C,$A15,Sheet1!$A:$A,H$2)&lt;&gt;0,SUMIFS(Sheet1!$E:$E,Sheet1!$C:$C,$A15,Sheet1!$A:$A,H$2),"")</f>
        <v/>
      </c>
      <c r="I15" s="9" t="str">
        <f>IF(SUMIFS(Sheet1!$E:$E,Sheet1!$C:$C,$A15,Sheet1!$A:$A,I$2)&lt;&gt;0,SUMIFS(Sheet1!$E:$E,Sheet1!$C:$C,$A15,Sheet1!$A:$A,I$2),"")</f>
        <v/>
      </c>
      <c r="J15" s="9" t="str">
        <f>IF(SUMIFS(Sheet1!$E:$E,Sheet1!$C:$C,$A15,Sheet1!$A:$A,J$2)&lt;&gt;0,SUMIFS(Sheet1!$E:$E,Sheet1!$C:$C,$A15,Sheet1!$A:$A,J$2),"")</f>
        <v/>
      </c>
      <c r="K15" s="9" t="str">
        <f>IF(SUMIFS(Sheet1!$E:$E,Sheet1!$C:$C,$A15,Sheet1!$A:$A,K$2)&lt;&gt;0,SUMIFS(Sheet1!$E:$E,Sheet1!$C:$C,$A15,Sheet1!$A:$A,K$2),"")</f>
        <v/>
      </c>
      <c r="L15" s="9" t="str">
        <f>IF(SUMIFS(Sheet1!$E:$E,Sheet1!$C:$C,$A15,Sheet1!$A:$A,L$2)&lt;&gt;0,SUMIFS(Sheet1!$E:$E,Sheet1!$C:$C,$A15,Sheet1!$A:$A,L$2),"")</f>
        <v/>
      </c>
      <c r="M15" s="9" t="str">
        <f>IF(SUMIFS(Sheet1!$E:$E,Sheet1!$C:$C,$A15,Sheet1!$A:$A,M$2)&lt;&gt;0,SUMIFS(Sheet1!$E:$E,Sheet1!$C:$C,$A15,Sheet1!$A:$A,M$2),"")</f>
        <v/>
      </c>
      <c r="N15" s="9" t="str">
        <f>IF(SUMIFS(Sheet1!$E:$E,Sheet1!$C:$C,$A15,Sheet1!$A:$A,N$2)&lt;&gt;0,SUMIFS(Sheet1!$E:$E,Sheet1!$C:$C,$A15,Sheet1!$A:$A,N$2),"")</f>
        <v/>
      </c>
      <c r="O15" s="9" t="str">
        <f>IF(SUMIFS(Sheet1!$E:$E,Sheet1!$C:$C,$A15,Sheet1!$A:$A,O$2)&lt;&gt;0,SUMIFS(Sheet1!$E:$E,Sheet1!$C:$C,$A15,Sheet1!$A:$A,O$2),"")</f>
        <v/>
      </c>
      <c r="P15" s="9" t="str">
        <f>IF(SUMIFS(Sheet1!$E:$E,Sheet1!$C:$C,$A15,Sheet1!$A:$A,P$2)&lt;&gt;0,SUMIFS(Sheet1!$E:$E,Sheet1!$C:$C,$A15,Sheet1!$A:$A,P$2),"")</f>
        <v/>
      </c>
      <c r="Q15" s="9" t="str">
        <f>IF(SUMIFS(Sheet1!$E:$E,Sheet1!$C:$C,$A15,Sheet1!$A:$A,Q$2)&lt;&gt;0,SUMIFS(Sheet1!$E:$E,Sheet1!$C:$C,$A15,Sheet1!$A:$A,Q$2),"")</f>
        <v/>
      </c>
      <c r="R15" s="9" t="str">
        <f>IF(SUMIFS(Sheet1!$E:$E,Sheet1!$C:$C,$A15,Sheet1!$A:$A,R$2)&lt;&gt;0,SUMIFS(Sheet1!$E:$E,Sheet1!$C:$C,$A15,Sheet1!$A:$A,R$2),"")</f>
        <v/>
      </c>
      <c r="S15" s="9" t="str">
        <f>IF(SUMIFS(Sheet1!$E:$E,Sheet1!$C:$C,$A15,Sheet1!$A:$A,S$2)&lt;&gt;0,SUMIFS(Sheet1!$E:$E,Sheet1!$C:$C,$A15,Sheet1!$A:$A,S$2),"")</f>
        <v/>
      </c>
      <c r="T15" s="9" t="str">
        <f>IF(SUMIFS(Sheet1!$E:$E,Sheet1!$C:$C,$A15,Sheet1!$A:$A,T$2)&lt;&gt;0,SUMIFS(Sheet1!$E:$E,Sheet1!$C:$C,$A15,Sheet1!$A:$A,T$2),"")</f>
        <v/>
      </c>
      <c r="U15" s="9" t="str">
        <f>IF(SUMIFS(Sheet1!$E:$E,Sheet1!$C:$C,$A15,Sheet1!$A:$A,U$2)&lt;&gt;0,SUMIFS(Sheet1!$E:$E,Sheet1!$C:$C,$A15,Sheet1!$A:$A,U$2),"")</f>
        <v/>
      </c>
      <c r="V15" s="9" t="str">
        <f>IF(SUMIFS(Sheet1!$E:$E,Sheet1!$C:$C,$A15,Sheet1!$A:$A,V$2)&lt;&gt;0,SUMIFS(Sheet1!$E:$E,Sheet1!$C:$C,$A15,Sheet1!$A:$A,V$2),"")</f>
        <v/>
      </c>
      <c r="W15" s="9" t="str">
        <f>IF(SUMIFS(Sheet1!$E:$E,Sheet1!$C:$C,$A15,Sheet1!$A:$A,W$2)&lt;&gt;0,SUMIFS(Sheet1!$E:$E,Sheet1!$C:$C,$A15,Sheet1!$A:$A,W$2),"")</f>
        <v/>
      </c>
      <c r="X15" s="9" t="str">
        <f>IF(SUMIFS(Sheet1!$E:$E,Sheet1!$C:$C,$A15,Sheet1!$A:$A,X$2)&lt;&gt;0,SUMIFS(Sheet1!$E:$E,Sheet1!$C:$C,$A15,Sheet1!$A:$A,X$2),"")</f>
        <v/>
      </c>
      <c r="Y15" s="9" t="str">
        <f>IF(SUMIFS(Sheet1!$E:$E,Sheet1!$C:$C,$A15,Sheet1!$A:$A,Y$2)&lt;&gt;0,SUMIFS(Sheet1!$E:$E,Sheet1!$C:$C,$A15,Sheet1!$A:$A,Y$2),"")</f>
        <v/>
      </c>
      <c r="Z15" s="9" t="str">
        <f>IF(SUMIFS(Sheet1!$E:$E,Sheet1!$C:$C,$A15,Sheet1!$A:$A,Z$2)&lt;&gt;0,SUMIFS(Sheet1!$E:$E,Sheet1!$C:$C,$A15,Sheet1!$A:$A,Z$2),"")</f>
        <v/>
      </c>
      <c r="AA15" s="9" t="str">
        <f>IF(SUMIFS(Sheet1!$E:$E,Sheet1!$C:$C,$A15,Sheet1!$A:$A,AA$2)&lt;&gt;0,SUMIFS(Sheet1!$E:$E,Sheet1!$C:$C,$A15,Sheet1!$A:$A,AA$2),"")</f>
        <v/>
      </c>
      <c r="AB15" s="9" t="str">
        <f>IF(SUMIFS(Sheet1!$E:$E,Sheet1!$C:$C,$A15,Sheet1!$A:$A,AB$2)&lt;&gt;0,SUMIFS(Sheet1!$E:$E,Sheet1!$C:$C,$A15,Sheet1!$A:$A,AB$2),"")</f>
        <v/>
      </c>
      <c r="AC15" s="9" t="str">
        <f>IF(SUMIFS(Sheet1!$E:$E,Sheet1!$C:$C,$A15,Sheet1!$A:$A,AC$2)&lt;&gt;0,SUMIFS(Sheet1!$E:$E,Sheet1!$C:$C,$A15,Sheet1!$A:$A,AC$2),"")</f>
        <v/>
      </c>
      <c r="AD15" s="9" t="str">
        <f>IF(SUMIFS(Sheet1!$E:$E,Sheet1!$C:$C,$A15,Sheet1!$A:$A,AD$2)&lt;&gt;0,SUMIFS(Sheet1!$E:$E,Sheet1!$C:$C,$A15,Sheet1!$A:$A,AD$2),"")</f>
        <v/>
      </c>
      <c r="AE15" s="9" t="str">
        <f>IF(SUMIFS(Sheet1!$E:$E,Sheet1!$C:$C,$A15,Sheet1!$A:$A,AE$2)&lt;&gt;0,SUMIFS(Sheet1!$E:$E,Sheet1!$C:$C,$A15,Sheet1!$A:$A,AE$2),"")</f>
        <v/>
      </c>
      <c r="AF15" s="9" t="str">
        <f>IF(SUMIFS(Sheet1!$E:$E,Sheet1!$C:$C,$A15,Sheet1!$A:$A,AF$2)&lt;&gt;0,SUMIFS(Sheet1!$E:$E,Sheet1!$C:$C,$A15,Sheet1!$A:$A,AF$2),"")</f>
        <v/>
      </c>
      <c r="AG15" s="9" t="str">
        <f>IF(SUMIFS(Sheet1!$E:$E,Sheet1!$C:$C,$A15,Sheet1!$A:$A,AG$2)&lt;&gt;0,SUMIFS(Sheet1!$E:$E,Sheet1!$C:$C,$A15,Sheet1!$A:$A,AG$2),"")</f>
        <v/>
      </c>
      <c r="AH15" s="47">
        <f>SUM(Table24[[#This Row],[1]:[31]])</f>
        <v>0</v>
      </c>
    </row>
    <row r="16" spans="1:34" ht="12.75" customHeight="1">
      <c r="A16" s="24" t="str">
        <f>DSSP!A15</f>
        <v>A057</v>
      </c>
      <c r="B16" s="25" t="str">
        <f>DSSP!B15</f>
        <v>Cỏ 4 lá</v>
      </c>
      <c r="C16" s="9">
        <f>IF(SUMIFS(Sheet1!$E:$E,Sheet1!$C:$C,$A16,Sheet1!$A:$A,C$2)&lt;&gt;0,SUMIFS(Sheet1!$E:$E,Sheet1!$C:$C,$A16,Sheet1!$A:$A,C$2),"")</f>
        <v>58</v>
      </c>
      <c r="D16" s="9" t="str">
        <f>IF(SUMIFS(Sheet1!$E:$E,Sheet1!$C:$C,$A16,Sheet1!$A:$A,D$2)&lt;&gt;0,SUMIFS(Sheet1!$E:$E,Sheet1!$C:$C,$A16,Sheet1!$A:$A,D$2),"")</f>
        <v/>
      </c>
      <c r="E16" s="9" t="str">
        <f>IF(SUMIFS(Sheet1!$E:$E,Sheet1!$C:$C,$A16,Sheet1!$A:$A,E$2)&lt;&gt;0,SUMIFS(Sheet1!$E:$E,Sheet1!$C:$C,$A16,Sheet1!$A:$A,E$2),"")</f>
        <v/>
      </c>
      <c r="F16" s="9" t="str">
        <f>IF(SUMIFS(Sheet1!$E:$E,Sheet1!$C:$C,$A16,Sheet1!$A:$A,F$2)&lt;&gt;0,SUMIFS(Sheet1!$E:$E,Sheet1!$C:$C,$A16,Sheet1!$A:$A,F$2),"")</f>
        <v/>
      </c>
      <c r="G16" s="9" t="str">
        <f>IF(SUMIFS(Sheet1!$E:$E,Sheet1!$C:$C,$A16,Sheet1!$A:$A,G$2)&lt;&gt;0,SUMIFS(Sheet1!$E:$E,Sheet1!$C:$C,$A16,Sheet1!$A:$A,G$2),"")</f>
        <v/>
      </c>
      <c r="H16" s="9" t="str">
        <f>IF(SUMIFS(Sheet1!$E:$E,Sheet1!$C:$C,$A16,Sheet1!$A:$A,H$2)&lt;&gt;0,SUMIFS(Sheet1!$E:$E,Sheet1!$C:$C,$A16,Sheet1!$A:$A,H$2),"")</f>
        <v/>
      </c>
      <c r="I16" s="9" t="str">
        <f>IF(SUMIFS(Sheet1!$E:$E,Sheet1!$C:$C,$A16,Sheet1!$A:$A,I$2)&lt;&gt;0,SUMIFS(Sheet1!$E:$E,Sheet1!$C:$C,$A16,Sheet1!$A:$A,I$2),"")</f>
        <v/>
      </c>
      <c r="J16" s="9" t="str">
        <f>IF(SUMIFS(Sheet1!$E:$E,Sheet1!$C:$C,$A16,Sheet1!$A:$A,J$2)&lt;&gt;0,SUMIFS(Sheet1!$E:$E,Sheet1!$C:$C,$A16,Sheet1!$A:$A,J$2),"")</f>
        <v/>
      </c>
      <c r="K16" s="9" t="str">
        <f>IF(SUMIFS(Sheet1!$E:$E,Sheet1!$C:$C,$A16,Sheet1!$A:$A,K$2)&lt;&gt;0,SUMIFS(Sheet1!$E:$E,Sheet1!$C:$C,$A16,Sheet1!$A:$A,K$2),"")</f>
        <v/>
      </c>
      <c r="L16" s="9" t="str">
        <f>IF(SUMIFS(Sheet1!$E:$E,Sheet1!$C:$C,$A16,Sheet1!$A:$A,L$2)&lt;&gt;0,SUMIFS(Sheet1!$E:$E,Sheet1!$C:$C,$A16,Sheet1!$A:$A,L$2),"")</f>
        <v/>
      </c>
      <c r="M16" s="9" t="str">
        <f>IF(SUMIFS(Sheet1!$E:$E,Sheet1!$C:$C,$A16,Sheet1!$A:$A,M$2)&lt;&gt;0,SUMIFS(Sheet1!$E:$E,Sheet1!$C:$C,$A16,Sheet1!$A:$A,M$2),"")</f>
        <v/>
      </c>
      <c r="N16" s="9" t="str">
        <f>IF(SUMIFS(Sheet1!$E:$E,Sheet1!$C:$C,$A16,Sheet1!$A:$A,N$2)&lt;&gt;0,SUMIFS(Sheet1!$E:$E,Sheet1!$C:$C,$A16,Sheet1!$A:$A,N$2),"")</f>
        <v/>
      </c>
      <c r="O16" s="9" t="str">
        <f>IF(SUMIFS(Sheet1!$E:$E,Sheet1!$C:$C,$A16,Sheet1!$A:$A,O$2)&lt;&gt;0,SUMIFS(Sheet1!$E:$E,Sheet1!$C:$C,$A16,Sheet1!$A:$A,O$2),"")</f>
        <v/>
      </c>
      <c r="P16" s="9" t="str">
        <f>IF(SUMIFS(Sheet1!$E:$E,Sheet1!$C:$C,$A16,Sheet1!$A:$A,P$2)&lt;&gt;0,SUMIFS(Sheet1!$E:$E,Sheet1!$C:$C,$A16,Sheet1!$A:$A,P$2),"")</f>
        <v/>
      </c>
      <c r="Q16" s="9" t="str">
        <f>IF(SUMIFS(Sheet1!$E:$E,Sheet1!$C:$C,$A16,Sheet1!$A:$A,Q$2)&lt;&gt;0,SUMIFS(Sheet1!$E:$E,Sheet1!$C:$C,$A16,Sheet1!$A:$A,Q$2),"")</f>
        <v/>
      </c>
      <c r="R16" s="9" t="str">
        <f>IF(SUMIFS(Sheet1!$E:$E,Sheet1!$C:$C,$A16,Sheet1!$A:$A,R$2)&lt;&gt;0,SUMIFS(Sheet1!$E:$E,Sheet1!$C:$C,$A16,Sheet1!$A:$A,R$2),"")</f>
        <v/>
      </c>
      <c r="S16" s="9" t="str">
        <f>IF(SUMIFS(Sheet1!$E:$E,Sheet1!$C:$C,$A16,Sheet1!$A:$A,S$2)&lt;&gt;0,SUMIFS(Sheet1!$E:$E,Sheet1!$C:$C,$A16,Sheet1!$A:$A,S$2),"")</f>
        <v/>
      </c>
      <c r="T16" s="9" t="str">
        <f>IF(SUMIFS(Sheet1!$E:$E,Sheet1!$C:$C,$A16,Sheet1!$A:$A,T$2)&lt;&gt;0,SUMIFS(Sheet1!$E:$E,Sheet1!$C:$C,$A16,Sheet1!$A:$A,T$2),"")</f>
        <v/>
      </c>
      <c r="U16" s="9" t="str">
        <f>IF(SUMIFS(Sheet1!$E:$E,Sheet1!$C:$C,$A16,Sheet1!$A:$A,U$2)&lt;&gt;0,SUMIFS(Sheet1!$E:$E,Sheet1!$C:$C,$A16,Sheet1!$A:$A,U$2),"")</f>
        <v/>
      </c>
      <c r="V16" s="9" t="str">
        <f>IF(SUMIFS(Sheet1!$E:$E,Sheet1!$C:$C,$A16,Sheet1!$A:$A,V$2)&lt;&gt;0,SUMIFS(Sheet1!$E:$E,Sheet1!$C:$C,$A16,Sheet1!$A:$A,V$2),"")</f>
        <v/>
      </c>
      <c r="W16" s="9" t="str">
        <f>IF(SUMIFS(Sheet1!$E:$E,Sheet1!$C:$C,$A16,Sheet1!$A:$A,W$2)&lt;&gt;0,SUMIFS(Sheet1!$E:$E,Sheet1!$C:$C,$A16,Sheet1!$A:$A,W$2),"")</f>
        <v/>
      </c>
      <c r="X16" s="9" t="str">
        <f>IF(SUMIFS(Sheet1!$E:$E,Sheet1!$C:$C,$A16,Sheet1!$A:$A,X$2)&lt;&gt;0,SUMIFS(Sheet1!$E:$E,Sheet1!$C:$C,$A16,Sheet1!$A:$A,X$2),"")</f>
        <v/>
      </c>
      <c r="Y16" s="9" t="str">
        <f>IF(SUMIFS(Sheet1!$E:$E,Sheet1!$C:$C,$A16,Sheet1!$A:$A,Y$2)&lt;&gt;0,SUMIFS(Sheet1!$E:$E,Sheet1!$C:$C,$A16,Sheet1!$A:$A,Y$2),"")</f>
        <v/>
      </c>
      <c r="Z16" s="9" t="str">
        <f>IF(SUMIFS(Sheet1!$E:$E,Sheet1!$C:$C,$A16,Sheet1!$A:$A,Z$2)&lt;&gt;0,SUMIFS(Sheet1!$E:$E,Sheet1!$C:$C,$A16,Sheet1!$A:$A,Z$2),"")</f>
        <v/>
      </c>
      <c r="AA16" s="9" t="str">
        <f>IF(SUMIFS(Sheet1!$E:$E,Sheet1!$C:$C,$A16,Sheet1!$A:$A,AA$2)&lt;&gt;0,SUMIFS(Sheet1!$E:$E,Sheet1!$C:$C,$A16,Sheet1!$A:$A,AA$2),"")</f>
        <v/>
      </c>
      <c r="AB16" s="9" t="str">
        <f>IF(SUMIFS(Sheet1!$E:$E,Sheet1!$C:$C,$A16,Sheet1!$A:$A,AB$2)&lt;&gt;0,SUMIFS(Sheet1!$E:$E,Sheet1!$C:$C,$A16,Sheet1!$A:$A,AB$2),"")</f>
        <v/>
      </c>
      <c r="AC16" s="9" t="str">
        <f>IF(SUMIFS(Sheet1!$E:$E,Sheet1!$C:$C,$A16,Sheet1!$A:$A,AC$2)&lt;&gt;0,SUMIFS(Sheet1!$E:$E,Sheet1!$C:$C,$A16,Sheet1!$A:$A,AC$2),"")</f>
        <v/>
      </c>
      <c r="AD16" s="9" t="str">
        <f>IF(SUMIFS(Sheet1!$E:$E,Sheet1!$C:$C,$A16,Sheet1!$A:$A,AD$2)&lt;&gt;0,SUMIFS(Sheet1!$E:$E,Sheet1!$C:$C,$A16,Sheet1!$A:$A,AD$2),"")</f>
        <v/>
      </c>
      <c r="AE16" s="9" t="str">
        <f>IF(SUMIFS(Sheet1!$E:$E,Sheet1!$C:$C,$A16,Sheet1!$A:$A,AE$2)&lt;&gt;0,SUMIFS(Sheet1!$E:$E,Sheet1!$C:$C,$A16,Sheet1!$A:$A,AE$2),"")</f>
        <v/>
      </c>
      <c r="AF16" s="9" t="str">
        <f>IF(SUMIFS(Sheet1!$E:$E,Sheet1!$C:$C,$A16,Sheet1!$A:$A,AF$2)&lt;&gt;0,SUMIFS(Sheet1!$E:$E,Sheet1!$C:$C,$A16,Sheet1!$A:$A,AF$2),"")</f>
        <v/>
      </c>
      <c r="AG16" s="9" t="str">
        <f>IF(SUMIFS(Sheet1!$E:$E,Sheet1!$C:$C,$A16,Sheet1!$A:$A,AG$2)&lt;&gt;0,SUMIFS(Sheet1!$E:$E,Sheet1!$C:$C,$A16,Sheet1!$A:$A,AG$2),"")</f>
        <v/>
      </c>
      <c r="AH16" s="47">
        <f>SUM(Table24[[#This Row],[1]:[31]])</f>
        <v>58</v>
      </c>
    </row>
    <row r="17" spans="1:34" ht="12.75" customHeight="1">
      <c r="A17" s="24" t="str">
        <f>DSSP!A16</f>
        <v>A058</v>
      </c>
      <c r="B17" s="25" t="str">
        <f>DSSP!B16</f>
        <v>Ếch</v>
      </c>
      <c r="C17" s="9">
        <f>IF(SUMIFS(Sheet1!$E:$E,Sheet1!$C:$C,$A17,Sheet1!$A:$A,C$2)&lt;&gt;0,SUMIFS(Sheet1!$E:$E,Sheet1!$C:$C,$A17,Sheet1!$A:$A,C$2),"")</f>
        <v>47</v>
      </c>
      <c r="D17" s="9" t="str">
        <f>IF(SUMIFS(Sheet1!$E:$E,Sheet1!$C:$C,$A17,Sheet1!$A:$A,D$2)&lt;&gt;0,SUMIFS(Sheet1!$E:$E,Sheet1!$C:$C,$A17,Sheet1!$A:$A,D$2),"")</f>
        <v/>
      </c>
      <c r="E17" s="9" t="str">
        <f>IF(SUMIFS(Sheet1!$E:$E,Sheet1!$C:$C,$A17,Sheet1!$A:$A,E$2)&lt;&gt;0,SUMIFS(Sheet1!$E:$E,Sheet1!$C:$C,$A17,Sheet1!$A:$A,E$2),"")</f>
        <v/>
      </c>
      <c r="F17" s="9" t="str">
        <f>IF(SUMIFS(Sheet1!$E:$E,Sheet1!$C:$C,$A17,Sheet1!$A:$A,F$2)&lt;&gt;0,SUMIFS(Sheet1!$E:$E,Sheet1!$C:$C,$A17,Sheet1!$A:$A,F$2),"")</f>
        <v/>
      </c>
      <c r="G17" s="9" t="str">
        <f>IF(SUMIFS(Sheet1!$E:$E,Sheet1!$C:$C,$A17,Sheet1!$A:$A,G$2)&lt;&gt;0,SUMIFS(Sheet1!$E:$E,Sheet1!$C:$C,$A17,Sheet1!$A:$A,G$2),"")</f>
        <v/>
      </c>
      <c r="H17" s="9" t="str">
        <f>IF(SUMIFS(Sheet1!$E:$E,Sheet1!$C:$C,$A17,Sheet1!$A:$A,H$2)&lt;&gt;0,SUMIFS(Sheet1!$E:$E,Sheet1!$C:$C,$A17,Sheet1!$A:$A,H$2),"")</f>
        <v/>
      </c>
      <c r="I17" s="9" t="str">
        <f>IF(SUMIFS(Sheet1!$E:$E,Sheet1!$C:$C,$A17,Sheet1!$A:$A,I$2)&lt;&gt;0,SUMIFS(Sheet1!$E:$E,Sheet1!$C:$C,$A17,Sheet1!$A:$A,I$2),"")</f>
        <v/>
      </c>
      <c r="J17" s="9" t="str">
        <f>IF(SUMIFS(Sheet1!$E:$E,Sheet1!$C:$C,$A17,Sheet1!$A:$A,J$2)&lt;&gt;0,SUMIFS(Sheet1!$E:$E,Sheet1!$C:$C,$A17,Sheet1!$A:$A,J$2),"")</f>
        <v/>
      </c>
      <c r="K17" s="9" t="str">
        <f>IF(SUMIFS(Sheet1!$E:$E,Sheet1!$C:$C,$A17,Sheet1!$A:$A,K$2)&lt;&gt;0,SUMIFS(Sheet1!$E:$E,Sheet1!$C:$C,$A17,Sheet1!$A:$A,K$2),"")</f>
        <v/>
      </c>
      <c r="L17" s="9" t="str">
        <f>IF(SUMIFS(Sheet1!$E:$E,Sheet1!$C:$C,$A17,Sheet1!$A:$A,L$2)&lt;&gt;0,SUMIFS(Sheet1!$E:$E,Sheet1!$C:$C,$A17,Sheet1!$A:$A,L$2),"")</f>
        <v/>
      </c>
      <c r="M17" s="9" t="str">
        <f>IF(SUMIFS(Sheet1!$E:$E,Sheet1!$C:$C,$A17,Sheet1!$A:$A,M$2)&lt;&gt;0,SUMIFS(Sheet1!$E:$E,Sheet1!$C:$C,$A17,Sheet1!$A:$A,M$2),"")</f>
        <v/>
      </c>
      <c r="N17" s="9" t="str">
        <f>IF(SUMIFS(Sheet1!$E:$E,Sheet1!$C:$C,$A17,Sheet1!$A:$A,N$2)&lt;&gt;0,SUMIFS(Sheet1!$E:$E,Sheet1!$C:$C,$A17,Sheet1!$A:$A,N$2),"")</f>
        <v/>
      </c>
      <c r="O17" s="9" t="str">
        <f>IF(SUMIFS(Sheet1!$E:$E,Sheet1!$C:$C,$A17,Sheet1!$A:$A,O$2)&lt;&gt;0,SUMIFS(Sheet1!$E:$E,Sheet1!$C:$C,$A17,Sheet1!$A:$A,O$2),"")</f>
        <v/>
      </c>
      <c r="P17" s="9" t="str">
        <f>IF(SUMIFS(Sheet1!$E:$E,Sheet1!$C:$C,$A17,Sheet1!$A:$A,P$2)&lt;&gt;0,SUMIFS(Sheet1!$E:$E,Sheet1!$C:$C,$A17,Sheet1!$A:$A,P$2),"")</f>
        <v/>
      </c>
      <c r="Q17" s="9" t="str">
        <f>IF(SUMIFS(Sheet1!$E:$E,Sheet1!$C:$C,$A17,Sheet1!$A:$A,Q$2)&lt;&gt;0,SUMIFS(Sheet1!$E:$E,Sheet1!$C:$C,$A17,Sheet1!$A:$A,Q$2),"")</f>
        <v/>
      </c>
      <c r="R17" s="9" t="str">
        <f>IF(SUMIFS(Sheet1!$E:$E,Sheet1!$C:$C,$A17,Sheet1!$A:$A,R$2)&lt;&gt;0,SUMIFS(Sheet1!$E:$E,Sheet1!$C:$C,$A17,Sheet1!$A:$A,R$2),"")</f>
        <v/>
      </c>
      <c r="S17" s="9" t="str">
        <f>IF(SUMIFS(Sheet1!$E:$E,Sheet1!$C:$C,$A17,Sheet1!$A:$A,S$2)&lt;&gt;0,SUMIFS(Sheet1!$E:$E,Sheet1!$C:$C,$A17,Sheet1!$A:$A,S$2),"")</f>
        <v/>
      </c>
      <c r="T17" s="9" t="str">
        <f>IF(SUMIFS(Sheet1!$E:$E,Sheet1!$C:$C,$A17,Sheet1!$A:$A,T$2)&lt;&gt;0,SUMIFS(Sheet1!$E:$E,Sheet1!$C:$C,$A17,Sheet1!$A:$A,T$2),"")</f>
        <v/>
      </c>
      <c r="U17" s="9" t="str">
        <f>IF(SUMIFS(Sheet1!$E:$E,Sheet1!$C:$C,$A17,Sheet1!$A:$A,U$2)&lt;&gt;0,SUMIFS(Sheet1!$E:$E,Sheet1!$C:$C,$A17,Sheet1!$A:$A,U$2),"")</f>
        <v/>
      </c>
      <c r="V17" s="9" t="str">
        <f>IF(SUMIFS(Sheet1!$E:$E,Sheet1!$C:$C,$A17,Sheet1!$A:$A,V$2)&lt;&gt;0,SUMIFS(Sheet1!$E:$E,Sheet1!$C:$C,$A17,Sheet1!$A:$A,V$2),"")</f>
        <v/>
      </c>
      <c r="W17" s="9" t="str">
        <f>IF(SUMIFS(Sheet1!$E:$E,Sheet1!$C:$C,$A17,Sheet1!$A:$A,W$2)&lt;&gt;0,SUMIFS(Sheet1!$E:$E,Sheet1!$C:$C,$A17,Sheet1!$A:$A,W$2),"")</f>
        <v/>
      </c>
      <c r="X17" s="9" t="str">
        <f>IF(SUMIFS(Sheet1!$E:$E,Sheet1!$C:$C,$A17,Sheet1!$A:$A,X$2)&lt;&gt;0,SUMIFS(Sheet1!$E:$E,Sheet1!$C:$C,$A17,Sheet1!$A:$A,X$2),"")</f>
        <v/>
      </c>
      <c r="Y17" s="9" t="str">
        <f>IF(SUMIFS(Sheet1!$E:$E,Sheet1!$C:$C,$A17,Sheet1!$A:$A,Y$2)&lt;&gt;0,SUMIFS(Sheet1!$E:$E,Sheet1!$C:$C,$A17,Sheet1!$A:$A,Y$2),"")</f>
        <v/>
      </c>
      <c r="Z17" s="9" t="str">
        <f>IF(SUMIFS(Sheet1!$E:$E,Sheet1!$C:$C,$A17,Sheet1!$A:$A,Z$2)&lt;&gt;0,SUMIFS(Sheet1!$E:$E,Sheet1!$C:$C,$A17,Sheet1!$A:$A,Z$2),"")</f>
        <v/>
      </c>
      <c r="AA17" s="9" t="str">
        <f>IF(SUMIFS(Sheet1!$E:$E,Sheet1!$C:$C,$A17,Sheet1!$A:$A,AA$2)&lt;&gt;0,SUMIFS(Sheet1!$E:$E,Sheet1!$C:$C,$A17,Sheet1!$A:$A,AA$2),"")</f>
        <v/>
      </c>
      <c r="AB17" s="9" t="str">
        <f>IF(SUMIFS(Sheet1!$E:$E,Sheet1!$C:$C,$A17,Sheet1!$A:$A,AB$2)&lt;&gt;0,SUMIFS(Sheet1!$E:$E,Sheet1!$C:$C,$A17,Sheet1!$A:$A,AB$2),"")</f>
        <v/>
      </c>
      <c r="AC17" s="9" t="str">
        <f>IF(SUMIFS(Sheet1!$E:$E,Sheet1!$C:$C,$A17,Sheet1!$A:$A,AC$2)&lt;&gt;0,SUMIFS(Sheet1!$E:$E,Sheet1!$C:$C,$A17,Sheet1!$A:$A,AC$2),"")</f>
        <v/>
      </c>
      <c r="AD17" s="9" t="str">
        <f>IF(SUMIFS(Sheet1!$E:$E,Sheet1!$C:$C,$A17,Sheet1!$A:$A,AD$2)&lt;&gt;0,SUMIFS(Sheet1!$E:$E,Sheet1!$C:$C,$A17,Sheet1!$A:$A,AD$2),"")</f>
        <v/>
      </c>
      <c r="AE17" s="9" t="str">
        <f>IF(SUMIFS(Sheet1!$E:$E,Sheet1!$C:$C,$A17,Sheet1!$A:$A,AE$2)&lt;&gt;0,SUMIFS(Sheet1!$E:$E,Sheet1!$C:$C,$A17,Sheet1!$A:$A,AE$2),"")</f>
        <v/>
      </c>
      <c r="AF17" s="9" t="str">
        <f>IF(SUMIFS(Sheet1!$E:$E,Sheet1!$C:$C,$A17,Sheet1!$A:$A,AF$2)&lt;&gt;0,SUMIFS(Sheet1!$E:$E,Sheet1!$C:$C,$A17,Sheet1!$A:$A,AF$2),"")</f>
        <v/>
      </c>
      <c r="AG17" s="9" t="str">
        <f>IF(SUMIFS(Sheet1!$E:$E,Sheet1!$C:$C,$A17,Sheet1!$A:$A,AG$2)&lt;&gt;0,SUMIFS(Sheet1!$E:$E,Sheet1!$C:$C,$A17,Sheet1!$A:$A,AG$2),"")</f>
        <v/>
      </c>
      <c r="AH17" s="47">
        <f>SUM(Table24[[#This Row],[1]:[31]])</f>
        <v>47</v>
      </c>
    </row>
    <row r="18" spans="1:34" ht="12.75" customHeight="1">
      <c r="A18" s="24" t="str">
        <f>DSSP!A17</f>
        <v>A059</v>
      </c>
      <c r="B18" s="25" t="str">
        <f>DSSP!B17</f>
        <v>Bọ dừa</v>
      </c>
      <c r="C18" s="9">
        <f>IF(SUMIFS(Sheet1!$E:$E,Sheet1!$C:$C,$A18,Sheet1!$A:$A,C$2)&lt;&gt;0,SUMIFS(Sheet1!$E:$E,Sheet1!$C:$C,$A18,Sheet1!$A:$A,C$2),"")</f>
        <v>18</v>
      </c>
      <c r="D18" s="9" t="str">
        <f>IF(SUMIFS(Sheet1!$E:$E,Sheet1!$C:$C,$A18,Sheet1!$A:$A,D$2)&lt;&gt;0,SUMIFS(Sheet1!$E:$E,Sheet1!$C:$C,$A18,Sheet1!$A:$A,D$2),"")</f>
        <v/>
      </c>
      <c r="E18" s="9" t="str">
        <f>IF(SUMIFS(Sheet1!$E:$E,Sheet1!$C:$C,$A18,Sheet1!$A:$A,E$2)&lt;&gt;0,SUMIFS(Sheet1!$E:$E,Sheet1!$C:$C,$A18,Sheet1!$A:$A,E$2),"")</f>
        <v/>
      </c>
      <c r="F18" s="9" t="str">
        <f>IF(SUMIFS(Sheet1!$E:$E,Sheet1!$C:$C,$A18,Sheet1!$A:$A,F$2)&lt;&gt;0,SUMIFS(Sheet1!$E:$E,Sheet1!$C:$C,$A18,Sheet1!$A:$A,F$2),"")</f>
        <v/>
      </c>
      <c r="G18" s="9" t="str">
        <f>IF(SUMIFS(Sheet1!$E:$E,Sheet1!$C:$C,$A18,Sheet1!$A:$A,G$2)&lt;&gt;0,SUMIFS(Sheet1!$E:$E,Sheet1!$C:$C,$A18,Sheet1!$A:$A,G$2),"")</f>
        <v/>
      </c>
      <c r="H18" s="9" t="str">
        <f>IF(SUMIFS(Sheet1!$E:$E,Sheet1!$C:$C,$A18,Sheet1!$A:$A,H$2)&lt;&gt;0,SUMIFS(Sheet1!$E:$E,Sheet1!$C:$C,$A18,Sheet1!$A:$A,H$2),"")</f>
        <v/>
      </c>
      <c r="I18" s="9" t="str">
        <f>IF(SUMIFS(Sheet1!$E:$E,Sheet1!$C:$C,$A18,Sheet1!$A:$A,I$2)&lt;&gt;0,SUMIFS(Sheet1!$E:$E,Sheet1!$C:$C,$A18,Sheet1!$A:$A,I$2),"")</f>
        <v/>
      </c>
      <c r="J18" s="9" t="str">
        <f>IF(SUMIFS(Sheet1!$E:$E,Sheet1!$C:$C,$A18,Sheet1!$A:$A,J$2)&lt;&gt;0,SUMIFS(Sheet1!$E:$E,Sheet1!$C:$C,$A18,Sheet1!$A:$A,J$2),"")</f>
        <v/>
      </c>
      <c r="K18" s="9" t="str">
        <f>IF(SUMIFS(Sheet1!$E:$E,Sheet1!$C:$C,$A18,Sheet1!$A:$A,K$2)&lt;&gt;0,SUMIFS(Sheet1!$E:$E,Sheet1!$C:$C,$A18,Sheet1!$A:$A,K$2),"")</f>
        <v/>
      </c>
      <c r="L18" s="9" t="str">
        <f>IF(SUMIFS(Sheet1!$E:$E,Sheet1!$C:$C,$A18,Sheet1!$A:$A,L$2)&lt;&gt;0,SUMIFS(Sheet1!$E:$E,Sheet1!$C:$C,$A18,Sheet1!$A:$A,L$2),"")</f>
        <v/>
      </c>
      <c r="M18" s="9" t="str">
        <f>IF(SUMIFS(Sheet1!$E:$E,Sheet1!$C:$C,$A18,Sheet1!$A:$A,M$2)&lt;&gt;0,SUMIFS(Sheet1!$E:$E,Sheet1!$C:$C,$A18,Sheet1!$A:$A,M$2),"")</f>
        <v/>
      </c>
      <c r="N18" s="9" t="str">
        <f>IF(SUMIFS(Sheet1!$E:$E,Sheet1!$C:$C,$A18,Sheet1!$A:$A,N$2)&lt;&gt;0,SUMIFS(Sheet1!$E:$E,Sheet1!$C:$C,$A18,Sheet1!$A:$A,N$2),"")</f>
        <v/>
      </c>
      <c r="O18" s="9" t="str">
        <f>IF(SUMIFS(Sheet1!$E:$E,Sheet1!$C:$C,$A18,Sheet1!$A:$A,O$2)&lt;&gt;0,SUMIFS(Sheet1!$E:$E,Sheet1!$C:$C,$A18,Sheet1!$A:$A,O$2),"")</f>
        <v/>
      </c>
      <c r="P18" s="9" t="str">
        <f>IF(SUMIFS(Sheet1!$E:$E,Sheet1!$C:$C,$A18,Sheet1!$A:$A,P$2)&lt;&gt;0,SUMIFS(Sheet1!$E:$E,Sheet1!$C:$C,$A18,Sheet1!$A:$A,P$2),"")</f>
        <v/>
      </c>
      <c r="Q18" s="9" t="str">
        <f>IF(SUMIFS(Sheet1!$E:$E,Sheet1!$C:$C,$A18,Sheet1!$A:$A,Q$2)&lt;&gt;0,SUMIFS(Sheet1!$E:$E,Sheet1!$C:$C,$A18,Sheet1!$A:$A,Q$2),"")</f>
        <v/>
      </c>
      <c r="R18" s="9" t="str">
        <f>IF(SUMIFS(Sheet1!$E:$E,Sheet1!$C:$C,$A18,Sheet1!$A:$A,R$2)&lt;&gt;0,SUMIFS(Sheet1!$E:$E,Sheet1!$C:$C,$A18,Sheet1!$A:$A,R$2),"")</f>
        <v/>
      </c>
      <c r="S18" s="9" t="str">
        <f>IF(SUMIFS(Sheet1!$E:$E,Sheet1!$C:$C,$A18,Sheet1!$A:$A,S$2)&lt;&gt;0,SUMIFS(Sheet1!$E:$E,Sheet1!$C:$C,$A18,Sheet1!$A:$A,S$2),"")</f>
        <v/>
      </c>
      <c r="T18" s="9" t="str">
        <f>IF(SUMIFS(Sheet1!$E:$E,Sheet1!$C:$C,$A18,Sheet1!$A:$A,T$2)&lt;&gt;0,SUMIFS(Sheet1!$E:$E,Sheet1!$C:$C,$A18,Sheet1!$A:$A,T$2),"")</f>
        <v/>
      </c>
      <c r="U18" s="9" t="str">
        <f>IF(SUMIFS(Sheet1!$E:$E,Sheet1!$C:$C,$A18,Sheet1!$A:$A,U$2)&lt;&gt;0,SUMIFS(Sheet1!$E:$E,Sheet1!$C:$C,$A18,Sheet1!$A:$A,U$2),"")</f>
        <v/>
      </c>
      <c r="V18" s="9" t="str">
        <f>IF(SUMIFS(Sheet1!$E:$E,Sheet1!$C:$C,$A18,Sheet1!$A:$A,V$2)&lt;&gt;0,SUMIFS(Sheet1!$E:$E,Sheet1!$C:$C,$A18,Sheet1!$A:$A,V$2),"")</f>
        <v/>
      </c>
      <c r="W18" s="9" t="str">
        <f>IF(SUMIFS(Sheet1!$E:$E,Sheet1!$C:$C,$A18,Sheet1!$A:$A,W$2)&lt;&gt;0,SUMIFS(Sheet1!$E:$E,Sheet1!$C:$C,$A18,Sheet1!$A:$A,W$2),"")</f>
        <v/>
      </c>
      <c r="X18" s="9" t="str">
        <f>IF(SUMIFS(Sheet1!$E:$E,Sheet1!$C:$C,$A18,Sheet1!$A:$A,X$2)&lt;&gt;0,SUMIFS(Sheet1!$E:$E,Sheet1!$C:$C,$A18,Sheet1!$A:$A,X$2),"")</f>
        <v/>
      </c>
      <c r="Y18" s="9" t="str">
        <f>IF(SUMIFS(Sheet1!$E:$E,Sheet1!$C:$C,$A18,Sheet1!$A:$A,Y$2)&lt;&gt;0,SUMIFS(Sheet1!$E:$E,Sheet1!$C:$C,$A18,Sheet1!$A:$A,Y$2),"")</f>
        <v/>
      </c>
      <c r="Z18" s="9" t="str">
        <f>IF(SUMIFS(Sheet1!$E:$E,Sheet1!$C:$C,$A18,Sheet1!$A:$A,Z$2)&lt;&gt;0,SUMIFS(Sheet1!$E:$E,Sheet1!$C:$C,$A18,Sheet1!$A:$A,Z$2),"")</f>
        <v/>
      </c>
      <c r="AA18" s="9" t="str">
        <f>IF(SUMIFS(Sheet1!$E:$E,Sheet1!$C:$C,$A18,Sheet1!$A:$A,AA$2)&lt;&gt;0,SUMIFS(Sheet1!$E:$E,Sheet1!$C:$C,$A18,Sheet1!$A:$A,AA$2),"")</f>
        <v/>
      </c>
      <c r="AB18" s="9" t="str">
        <f>IF(SUMIFS(Sheet1!$E:$E,Sheet1!$C:$C,$A18,Sheet1!$A:$A,AB$2)&lt;&gt;0,SUMIFS(Sheet1!$E:$E,Sheet1!$C:$C,$A18,Sheet1!$A:$A,AB$2),"")</f>
        <v/>
      </c>
      <c r="AC18" s="9" t="str">
        <f>IF(SUMIFS(Sheet1!$E:$E,Sheet1!$C:$C,$A18,Sheet1!$A:$A,AC$2)&lt;&gt;0,SUMIFS(Sheet1!$E:$E,Sheet1!$C:$C,$A18,Sheet1!$A:$A,AC$2),"")</f>
        <v/>
      </c>
      <c r="AD18" s="9" t="str">
        <f>IF(SUMIFS(Sheet1!$E:$E,Sheet1!$C:$C,$A18,Sheet1!$A:$A,AD$2)&lt;&gt;0,SUMIFS(Sheet1!$E:$E,Sheet1!$C:$C,$A18,Sheet1!$A:$A,AD$2),"")</f>
        <v/>
      </c>
      <c r="AE18" s="9" t="str">
        <f>IF(SUMIFS(Sheet1!$E:$E,Sheet1!$C:$C,$A18,Sheet1!$A:$A,AE$2)&lt;&gt;0,SUMIFS(Sheet1!$E:$E,Sheet1!$C:$C,$A18,Sheet1!$A:$A,AE$2),"")</f>
        <v/>
      </c>
      <c r="AF18" s="9" t="str">
        <f>IF(SUMIFS(Sheet1!$E:$E,Sheet1!$C:$C,$A18,Sheet1!$A:$A,AF$2)&lt;&gt;0,SUMIFS(Sheet1!$E:$E,Sheet1!$C:$C,$A18,Sheet1!$A:$A,AF$2),"")</f>
        <v/>
      </c>
      <c r="AG18" s="9" t="str">
        <f>IF(SUMIFS(Sheet1!$E:$E,Sheet1!$C:$C,$A18,Sheet1!$A:$A,AG$2)&lt;&gt;0,SUMIFS(Sheet1!$E:$E,Sheet1!$C:$C,$A18,Sheet1!$A:$A,AG$2),"")</f>
        <v/>
      </c>
      <c r="AH18" s="47">
        <f>SUM(Table24[[#This Row],[1]:[31]])</f>
        <v>18</v>
      </c>
    </row>
    <row r="19" spans="1:34" ht="12.75" customHeight="1">
      <c r="A19" s="24" t="str">
        <f>DSSP!A18</f>
        <v>A060</v>
      </c>
      <c r="B19" s="25" t="str">
        <f>DSSP!B18</f>
        <v>Cánh cụt</v>
      </c>
      <c r="C19" s="9">
        <f>IF(SUMIFS(Sheet1!$E:$E,Sheet1!$C:$C,$A19,Sheet1!$A:$A,C$2)&lt;&gt;0,SUMIFS(Sheet1!$E:$E,Sheet1!$C:$C,$A19,Sheet1!$A:$A,C$2),"")</f>
        <v>32</v>
      </c>
      <c r="D19" s="9" t="str">
        <f>IF(SUMIFS(Sheet1!$E:$E,Sheet1!$C:$C,$A19,Sheet1!$A:$A,D$2)&lt;&gt;0,SUMIFS(Sheet1!$E:$E,Sheet1!$C:$C,$A19,Sheet1!$A:$A,D$2),"")</f>
        <v/>
      </c>
      <c r="E19" s="9" t="str">
        <f>IF(SUMIFS(Sheet1!$E:$E,Sheet1!$C:$C,$A19,Sheet1!$A:$A,E$2)&lt;&gt;0,SUMIFS(Sheet1!$E:$E,Sheet1!$C:$C,$A19,Sheet1!$A:$A,E$2),"")</f>
        <v/>
      </c>
      <c r="F19" s="9" t="str">
        <f>IF(SUMIFS(Sheet1!$E:$E,Sheet1!$C:$C,$A19,Sheet1!$A:$A,F$2)&lt;&gt;0,SUMIFS(Sheet1!$E:$E,Sheet1!$C:$C,$A19,Sheet1!$A:$A,F$2),"")</f>
        <v/>
      </c>
      <c r="G19" s="9" t="str">
        <f>IF(SUMIFS(Sheet1!$E:$E,Sheet1!$C:$C,$A19,Sheet1!$A:$A,G$2)&lt;&gt;0,SUMIFS(Sheet1!$E:$E,Sheet1!$C:$C,$A19,Sheet1!$A:$A,G$2),"")</f>
        <v/>
      </c>
      <c r="H19" s="9" t="str">
        <f>IF(SUMIFS(Sheet1!$E:$E,Sheet1!$C:$C,$A19,Sheet1!$A:$A,H$2)&lt;&gt;0,SUMIFS(Sheet1!$E:$E,Sheet1!$C:$C,$A19,Sheet1!$A:$A,H$2),"")</f>
        <v/>
      </c>
      <c r="I19" s="9" t="str">
        <f>IF(SUMIFS(Sheet1!$E:$E,Sheet1!$C:$C,$A19,Sheet1!$A:$A,I$2)&lt;&gt;0,SUMIFS(Sheet1!$E:$E,Sheet1!$C:$C,$A19,Sheet1!$A:$A,I$2),"")</f>
        <v/>
      </c>
      <c r="J19" s="9" t="str">
        <f>IF(SUMIFS(Sheet1!$E:$E,Sheet1!$C:$C,$A19,Sheet1!$A:$A,J$2)&lt;&gt;0,SUMIFS(Sheet1!$E:$E,Sheet1!$C:$C,$A19,Sheet1!$A:$A,J$2),"")</f>
        <v/>
      </c>
      <c r="K19" s="9" t="str">
        <f>IF(SUMIFS(Sheet1!$E:$E,Sheet1!$C:$C,$A19,Sheet1!$A:$A,K$2)&lt;&gt;0,SUMIFS(Sheet1!$E:$E,Sheet1!$C:$C,$A19,Sheet1!$A:$A,K$2),"")</f>
        <v/>
      </c>
      <c r="L19" s="9" t="str">
        <f>IF(SUMIFS(Sheet1!$E:$E,Sheet1!$C:$C,$A19,Sheet1!$A:$A,L$2)&lt;&gt;0,SUMIFS(Sheet1!$E:$E,Sheet1!$C:$C,$A19,Sheet1!$A:$A,L$2),"")</f>
        <v/>
      </c>
      <c r="M19" s="9" t="str">
        <f>IF(SUMIFS(Sheet1!$E:$E,Sheet1!$C:$C,$A19,Sheet1!$A:$A,M$2)&lt;&gt;0,SUMIFS(Sheet1!$E:$E,Sheet1!$C:$C,$A19,Sheet1!$A:$A,M$2),"")</f>
        <v/>
      </c>
      <c r="N19" s="9" t="str">
        <f>IF(SUMIFS(Sheet1!$E:$E,Sheet1!$C:$C,$A19,Sheet1!$A:$A,N$2)&lt;&gt;0,SUMIFS(Sheet1!$E:$E,Sheet1!$C:$C,$A19,Sheet1!$A:$A,N$2),"")</f>
        <v/>
      </c>
      <c r="O19" s="9" t="str">
        <f>IF(SUMIFS(Sheet1!$E:$E,Sheet1!$C:$C,$A19,Sheet1!$A:$A,O$2)&lt;&gt;0,SUMIFS(Sheet1!$E:$E,Sheet1!$C:$C,$A19,Sheet1!$A:$A,O$2),"")</f>
        <v/>
      </c>
      <c r="P19" s="9" t="str">
        <f>IF(SUMIFS(Sheet1!$E:$E,Sheet1!$C:$C,$A19,Sheet1!$A:$A,P$2)&lt;&gt;0,SUMIFS(Sheet1!$E:$E,Sheet1!$C:$C,$A19,Sheet1!$A:$A,P$2),"")</f>
        <v/>
      </c>
      <c r="Q19" s="9" t="str">
        <f>IF(SUMIFS(Sheet1!$E:$E,Sheet1!$C:$C,$A19,Sheet1!$A:$A,Q$2)&lt;&gt;0,SUMIFS(Sheet1!$E:$E,Sheet1!$C:$C,$A19,Sheet1!$A:$A,Q$2),"")</f>
        <v/>
      </c>
      <c r="R19" s="9" t="str">
        <f>IF(SUMIFS(Sheet1!$E:$E,Sheet1!$C:$C,$A19,Sheet1!$A:$A,R$2)&lt;&gt;0,SUMIFS(Sheet1!$E:$E,Sheet1!$C:$C,$A19,Sheet1!$A:$A,R$2),"")</f>
        <v/>
      </c>
      <c r="S19" s="9" t="str">
        <f>IF(SUMIFS(Sheet1!$E:$E,Sheet1!$C:$C,$A19,Sheet1!$A:$A,S$2)&lt;&gt;0,SUMIFS(Sheet1!$E:$E,Sheet1!$C:$C,$A19,Sheet1!$A:$A,S$2),"")</f>
        <v/>
      </c>
      <c r="T19" s="9" t="str">
        <f>IF(SUMIFS(Sheet1!$E:$E,Sheet1!$C:$C,$A19,Sheet1!$A:$A,T$2)&lt;&gt;0,SUMIFS(Sheet1!$E:$E,Sheet1!$C:$C,$A19,Sheet1!$A:$A,T$2),"")</f>
        <v/>
      </c>
      <c r="U19" s="9" t="str">
        <f>IF(SUMIFS(Sheet1!$E:$E,Sheet1!$C:$C,$A19,Sheet1!$A:$A,U$2)&lt;&gt;0,SUMIFS(Sheet1!$E:$E,Sheet1!$C:$C,$A19,Sheet1!$A:$A,U$2),"")</f>
        <v/>
      </c>
      <c r="V19" s="9" t="str">
        <f>IF(SUMIFS(Sheet1!$E:$E,Sheet1!$C:$C,$A19,Sheet1!$A:$A,V$2)&lt;&gt;0,SUMIFS(Sheet1!$E:$E,Sheet1!$C:$C,$A19,Sheet1!$A:$A,V$2),"")</f>
        <v/>
      </c>
      <c r="W19" s="9" t="str">
        <f>IF(SUMIFS(Sheet1!$E:$E,Sheet1!$C:$C,$A19,Sheet1!$A:$A,W$2)&lt;&gt;0,SUMIFS(Sheet1!$E:$E,Sheet1!$C:$C,$A19,Sheet1!$A:$A,W$2),"")</f>
        <v/>
      </c>
      <c r="X19" s="9" t="str">
        <f>IF(SUMIFS(Sheet1!$E:$E,Sheet1!$C:$C,$A19,Sheet1!$A:$A,X$2)&lt;&gt;0,SUMIFS(Sheet1!$E:$E,Sheet1!$C:$C,$A19,Sheet1!$A:$A,X$2),"")</f>
        <v/>
      </c>
      <c r="Y19" s="9" t="str">
        <f>IF(SUMIFS(Sheet1!$E:$E,Sheet1!$C:$C,$A19,Sheet1!$A:$A,Y$2)&lt;&gt;0,SUMIFS(Sheet1!$E:$E,Sheet1!$C:$C,$A19,Sheet1!$A:$A,Y$2),"")</f>
        <v/>
      </c>
      <c r="Z19" s="9" t="str">
        <f>IF(SUMIFS(Sheet1!$E:$E,Sheet1!$C:$C,$A19,Sheet1!$A:$A,Z$2)&lt;&gt;0,SUMIFS(Sheet1!$E:$E,Sheet1!$C:$C,$A19,Sheet1!$A:$A,Z$2),"")</f>
        <v/>
      </c>
      <c r="AA19" s="9" t="str">
        <f>IF(SUMIFS(Sheet1!$E:$E,Sheet1!$C:$C,$A19,Sheet1!$A:$A,AA$2)&lt;&gt;0,SUMIFS(Sheet1!$E:$E,Sheet1!$C:$C,$A19,Sheet1!$A:$A,AA$2),"")</f>
        <v/>
      </c>
      <c r="AB19" s="9" t="str">
        <f>IF(SUMIFS(Sheet1!$E:$E,Sheet1!$C:$C,$A19,Sheet1!$A:$A,AB$2)&lt;&gt;0,SUMIFS(Sheet1!$E:$E,Sheet1!$C:$C,$A19,Sheet1!$A:$A,AB$2),"")</f>
        <v/>
      </c>
      <c r="AC19" s="9" t="str">
        <f>IF(SUMIFS(Sheet1!$E:$E,Sheet1!$C:$C,$A19,Sheet1!$A:$A,AC$2)&lt;&gt;0,SUMIFS(Sheet1!$E:$E,Sheet1!$C:$C,$A19,Sheet1!$A:$A,AC$2),"")</f>
        <v/>
      </c>
      <c r="AD19" s="9" t="str">
        <f>IF(SUMIFS(Sheet1!$E:$E,Sheet1!$C:$C,$A19,Sheet1!$A:$A,AD$2)&lt;&gt;0,SUMIFS(Sheet1!$E:$E,Sheet1!$C:$C,$A19,Sheet1!$A:$A,AD$2),"")</f>
        <v/>
      </c>
      <c r="AE19" s="9" t="str">
        <f>IF(SUMIFS(Sheet1!$E:$E,Sheet1!$C:$C,$A19,Sheet1!$A:$A,AE$2)&lt;&gt;0,SUMIFS(Sheet1!$E:$E,Sheet1!$C:$C,$A19,Sheet1!$A:$A,AE$2),"")</f>
        <v/>
      </c>
      <c r="AF19" s="9" t="str">
        <f>IF(SUMIFS(Sheet1!$E:$E,Sheet1!$C:$C,$A19,Sheet1!$A:$A,AF$2)&lt;&gt;0,SUMIFS(Sheet1!$E:$E,Sheet1!$C:$C,$A19,Sheet1!$A:$A,AF$2),"")</f>
        <v/>
      </c>
      <c r="AG19" s="9" t="str">
        <f>IF(SUMIFS(Sheet1!$E:$E,Sheet1!$C:$C,$A19,Sheet1!$A:$A,AG$2)&lt;&gt;0,SUMIFS(Sheet1!$E:$E,Sheet1!$C:$C,$A19,Sheet1!$A:$A,AG$2),"")</f>
        <v/>
      </c>
      <c r="AH19" s="47">
        <f>SUM(Table24[[#This Row],[1]:[31]])</f>
        <v>32</v>
      </c>
    </row>
    <row r="20" spans="1:34" ht="12.75" customHeight="1">
      <c r="A20" s="24" t="str">
        <f>DSSP!A19</f>
        <v>A061</v>
      </c>
      <c r="B20" s="25" t="str">
        <f>DSSP!B19</f>
        <v>Gấu trúc</v>
      </c>
      <c r="C20" s="9">
        <f>IF(SUMIFS(Sheet1!$E:$E,Sheet1!$C:$C,$A20,Sheet1!$A:$A,C$2)&lt;&gt;0,SUMIFS(Sheet1!$E:$E,Sheet1!$C:$C,$A20,Sheet1!$A:$A,C$2),"")</f>
        <v>54</v>
      </c>
      <c r="D20" s="9" t="str">
        <f>IF(SUMIFS(Sheet1!$E:$E,Sheet1!$C:$C,$A20,Sheet1!$A:$A,D$2)&lt;&gt;0,SUMIFS(Sheet1!$E:$E,Sheet1!$C:$C,$A20,Sheet1!$A:$A,D$2),"")</f>
        <v/>
      </c>
      <c r="E20" s="9" t="str">
        <f>IF(SUMIFS(Sheet1!$E:$E,Sheet1!$C:$C,$A20,Sheet1!$A:$A,E$2)&lt;&gt;0,SUMIFS(Sheet1!$E:$E,Sheet1!$C:$C,$A20,Sheet1!$A:$A,E$2),"")</f>
        <v/>
      </c>
      <c r="F20" s="9" t="str">
        <f>IF(SUMIFS(Sheet1!$E:$E,Sheet1!$C:$C,$A20,Sheet1!$A:$A,F$2)&lt;&gt;0,SUMIFS(Sheet1!$E:$E,Sheet1!$C:$C,$A20,Sheet1!$A:$A,F$2),"")</f>
        <v/>
      </c>
      <c r="G20" s="9" t="str">
        <f>IF(SUMIFS(Sheet1!$E:$E,Sheet1!$C:$C,$A20,Sheet1!$A:$A,G$2)&lt;&gt;0,SUMIFS(Sheet1!$E:$E,Sheet1!$C:$C,$A20,Sheet1!$A:$A,G$2),"")</f>
        <v/>
      </c>
      <c r="H20" s="9" t="str">
        <f>IF(SUMIFS(Sheet1!$E:$E,Sheet1!$C:$C,$A20,Sheet1!$A:$A,H$2)&lt;&gt;0,SUMIFS(Sheet1!$E:$E,Sheet1!$C:$C,$A20,Sheet1!$A:$A,H$2),"")</f>
        <v/>
      </c>
      <c r="I20" s="9" t="str">
        <f>IF(SUMIFS(Sheet1!$E:$E,Sheet1!$C:$C,$A20,Sheet1!$A:$A,I$2)&lt;&gt;0,SUMIFS(Sheet1!$E:$E,Sheet1!$C:$C,$A20,Sheet1!$A:$A,I$2),"")</f>
        <v/>
      </c>
      <c r="J20" s="9" t="str">
        <f>IF(SUMIFS(Sheet1!$E:$E,Sheet1!$C:$C,$A20,Sheet1!$A:$A,J$2)&lt;&gt;0,SUMIFS(Sheet1!$E:$E,Sheet1!$C:$C,$A20,Sheet1!$A:$A,J$2),"")</f>
        <v/>
      </c>
      <c r="K20" s="9" t="str">
        <f>IF(SUMIFS(Sheet1!$E:$E,Sheet1!$C:$C,$A20,Sheet1!$A:$A,K$2)&lt;&gt;0,SUMIFS(Sheet1!$E:$E,Sheet1!$C:$C,$A20,Sheet1!$A:$A,K$2),"")</f>
        <v/>
      </c>
      <c r="L20" s="9" t="str">
        <f>IF(SUMIFS(Sheet1!$E:$E,Sheet1!$C:$C,$A20,Sheet1!$A:$A,L$2)&lt;&gt;0,SUMIFS(Sheet1!$E:$E,Sheet1!$C:$C,$A20,Sheet1!$A:$A,L$2),"")</f>
        <v/>
      </c>
      <c r="M20" s="9" t="str">
        <f>IF(SUMIFS(Sheet1!$E:$E,Sheet1!$C:$C,$A20,Sheet1!$A:$A,M$2)&lt;&gt;0,SUMIFS(Sheet1!$E:$E,Sheet1!$C:$C,$A20,Sheet1!$A:$A,M$2),"")</f>
        <v/>
      </c>
      <c r="N20" s="9" t="str">
        <f>IF(SUMIFS(Sheet1!$E:$E,Sheet1!$C:$C,$A20,Sheet1!$A:$A,N$2)&lt;&gt;0,SUMIFS(Sheet1!$E:$E,Sheet1!$C:$C,$A20,Sheet1!$A:$A,N$2),"")</f>
        <v/>
      </c>
      <c r="O20" s="9" t="str">
        <f>IF(SUMIFS(Sheet1!$E:$E,Sheet1!$C:$C,$A20,Sheet1!$A:$A,O$2)&lt;&gt;0,SUMIFS(Sheet1!$E:$E,Sheet1!$C:$C,$A20,Sheet1!$A:$A,O$2),"")</f>
        <v/>
      </c>
      <c r="P20" s="9" t="str">
        <f>IF(SUMIFS(Sheet1!$E:$E,Sheet1!$C:$C,$A20,Sheet1!$A:$A,P$2)&lt;&gt;0,SUMIFS(Sheet1!$E:$E,Sheet1!$C:$C,$A20,Sheet1!$A:$A,P$2),"")</f>
        <v/>
      </c>
      <c r="Q20" s="9" t="str">
        <f>IF(SUMIFS(Sheet1!$E:$E,Sheet1!$C:$C,$A20,Sheet1!$A:$A,Q$2)&lt;&gt;0,SUMIFS(Sheet1!$E:$E,Sheet1!$C:$C,$A20,Sheet1!$A:$A,Q$2),"")</f>
        <v/>
      </c>
      <c r="R20" s="9" t="str">
        <f>IF(SUMIFS(Sheet1!$E:$E,Sheet1!$C:$C,$A20,Sheet1!$A:$A,R$2)&lt;&gt;0,SUMIFS(Sheet1!$E:$E,Sheet1!$C:$C,$A20,Sheet1!$A:$A,R$2),"")</f>
        <v/>
      </c>
      <c r="S20" s="9" t="str">
        <f>IF(SUMIFS(Sheet1!$E:$E,Sheet1!$C:$C,$A20,Sheet1!$A:$A,S$2)&lt;&gt;0,SUMIFS(Sheet1!$E:$E,Sheet1!$C:$C,$A20,Sheet1!$A:$A,S$2),"")</f>
        <v/>
      </c>
      <c r="T20" s="9" t="str">
        <f>IF(SUMIFS(Sheet1!$E:$E,Sheet1!$C:$C,$A20,Sheet1!$A:$A,T$2)&lt;&gt;0,SUMIFS(Sheet1!$E:$E,Sheet1!$C:$C,$A20,Sheet1!$A:$A,T$2),"")</f>
        <v/>
      </c>
      <c r="U20" s="9" t="str">
        <f>IF(SUMIFS(Sheet1!$E:$E,Sheet1!$C:$C,$A20,Sheet1!$A:$A,U$2)&lt;&gt;0,SUMIFS(Sheet1!$E:$E,Sheet1!$C:$C,$A20,Sheet1!$A:$A,U$2),"")</f>
        <v/>
      </c>
      <c r="V20" s="9" t="str">
        <f>IF(SUMIFS(Sheet1!$E:$E,Sheet1!$C:$C,$A20,Sheet1!$A:$A,V$2)&lt;&gt;0,SUMIFS(Sheet1!$E:$E,Sheet1!$C:$C,$A20,Sheet1!$A:$A,V$2),"")</f>
        <v/>
      </c>
      <c r="W20" s="9" t="str">
        <f>IF(SUMIFS(Sheet1!$E:$E,Sheet1!$C:$C,$A20,Sheet1!$A:$A,W$2)&lt;&gt;0,SUMIFS(Sheet1!$E:$E,Sheet1!$C:$C,$A20,Sheet1!$A:$A,W$2),"")</f>
        <v/>
      </c>
      <c r="X20" s="9" t="str">
        <f>IF(SUMIFS(Sheet1!$E:$E,Sheet1!$C:$C,$A20,Sheet1!$A:$A,X$2)&lt;&gt;0,SUMIFS(Sheet1!$E:$E,Sheet1!$C:$C,$A20,Sheet1!$A:$A,X$2),"")</f>
        <v/>
      </c>
      <c r="Y20" s="9" t="str">
        <f>IF(SUMIFS(Sheet1!$E:$E,Sheet1!$C:$C,$A20,Sheet1!$A:$A,Y$2)&lt;&gt;0,SUMIFS(Sheet1!$E:$E,Sheet1!$C:$C,$A20,Sheet1!$A:$A,Y$2),"")</f>
        <v/>
      </c>
      <c r="Z20" s="9" t="str">
        <f>IF(SUMIFS(Sheet1!$E:$E,Sheet1!$C:$C,$A20,Sheet1!$A:$A,Z$2)&lt;&gt;0,SUMIFS(Sheet1!$E:$E,Sheet1!$C:$C,$A20,Sheet1!$A:$A,Z$2),"")</f>
        <v/>
      </c>
      <c r="AA20" s="9" t="str">
        <f>IF(SUMIFS(Sheet1!$E:$E,Sheet1!$C:$C,$A20,Sheet1!$A:$A,AA$2)&lt;&gt;0,SUMIFS(Sheet1!$E:$E,Sheet1!$C:$C,$A20,Sheet1!$A:$A,AA$2),"")</f>
        <v/>
      </c>
      <c r="AB20" s="9" t="str">
        <f>IF(SUMIFS(Sheet1!$E:$E,Sheet1!$C:$C,$A20,Sheet1!$A:$A,AB$2)&lt;&gt;0,SUMIFS(Sheet1!$E:$E,Sheet1!$C:$C,$A20,Sheet1!$A:$A,AB$2),"")</f>
        <v/>
      </c>
      <c r="AC20" s="9" t="str">
        <f>IF(SUMIFS(Sheet1!$E:$E,Sheet1!$C:$C,$A20,Sheet1!$A:$A,AC$2)&lt;&gt;0,SUMIFS(Sheet1!$E:$E,Sheet1!$C:$C,$A20,Sheet1!$A:$A,AC$2),"")</f>
        <v/>
      </c>
      <c r="AD20" s="9" t="str">
        <f>IF(SUMIFS(Sheet1!$E:$E,Sheet1!$C:$C,$A20,Sheet1!$A:$A,AD$2)&lt;&gt;0,SUMIFS(Sheet1!$E:$E,Sheet1!$C:$C,$A20,Sheet1!$A:$A,AD$2),"")</f>
        <v/>
      </c>
      <c r="AE20" s="9" t="str">
        <f>IF(SUMIFS(Sheet1!$E:$E,Sheet1!$C:$C,$A20,Sheet1!$A:$A,AE$2)&lt;&gt;0,SUMIFS(Sheet1!$E:$E,Sheet1!$C:$C,$A20,Sheet1!$A:$A,AE$2),"")</f>
        <v/>
      </c>
      <c r="AF20" s="9" t="str">
        <f>IF(SUMIFS(Sheet1!$E:$E,Sheet1!$C:$C,$A20,Sheet1!$A:$A,AF$2)&lt;&gt;0,SUMIFS(Sheet1!$E:$E,Sheet1!$C:$C,$A20,Sheet1!$A:$A,AF$2),"")</f>
        <v/>
      </c>
      <c r="AG20" s="9" t="str">
        <f>IF(SUMIFS(Sheet1!$E:$E,Sheet1!$C:$C,$A20,Sheet1!$A:$A,AG$2)&lt;&gt;0,SUMIFS(Sheet1!$E:$E,Sheet1!$C:$C,$A20,Sheet1!$A:$A,AG$2),"")</f>
        <v/>
      </c>
      <c r="AH20" s="47">
        <f>SUM(Table24[[#This Row],[1]:[31]])</f>
        <v>54</v>
      </c>
    </row>
    <row r="21" spans="1:34" ht="12.75" customHeight="1">
      <c r="A21" s="24" t="str">
        <f>DSSP!A20</f>
        <v>A062</v>
      </c>
      <c r="B21" s="25" t="str">
        <f>DSSP!B20</f>
        <v>Hươu</v>
      </c>
      <c r="C21" s="9">
        <f>IF(SUMIFS(Sheet1!$E:$E,Sheet1!$C:$C,$A21,Sheet1!$A:$A,C$2)&lt;&gt;0,SUMIFS(Sheet1!$E:$E,Sheet1!$C:$C,$A21,Sheet1!$A:$A,C$2),"")</f>
        <v>30</v>
      </c>
      <c r="D21" s="9" t="str">
        <f>IF(SUMIFS(Sheet1!$E:$E,Sheet1!$C:$C,$A21,Sheet1!$A:$A,D$2)&lt;&gt;0,SUMIFS(Sheet1!$E:$E,Sheet1!$C:$C,$A21,Sheet1!$A:$A,D$2),"")</f>
        <v/>
      </c>
      <c r="E21" s="9" t="str">
        <f>IF(SUMIFS(Sheet1!$E:$E,Sheet1!$C:$C,$A21,Sheet1!$A:$A,E$2)&lt;&gt;0,SUMIFS(Sheet1!$E:$E,Sheet1!$C:$C,$A21,Sheet1!$A:$A,E$2),"")</f>
        <v/>
      </c>
      <c r="F21" s="9" t="str">
        <f>IF(SUMIFS(Sheet1!$E:$E,Sheet1!$C:$C,$A21,Sheet1!$A:$A,F$2)&lt;&gt;0,SUMIFS(Sheet1!$E:$E,Sheet1!$C:$C,$A21,Sheet1!$A:$A,F$2),"")</f>
        <v/>
      </c>
      <c r="G21" s="9" t="str">
        <f>IF(SUMIFS(Sheet1!$E:$E,Sheet1!$C:$C,$A21,Sheet1!$A:$A,G$2)&lt;&gt;0,SUMIFS(Sheet1!$E:$E,Sheet1!$C:$C,$A21,Sheet1!$A:$A,G$2),"")</f>
        <v/>
      </c>
      <c r="H21" s="9" t="str">
        <f>IF(SUMIFS(Sheet1!$E:$E,Sheet1!$C:$C,$A21,Sheet1!$A:$A,H$2)&lt;&gt;0,SUMIFS(Sheet1!$E:$E,Sheet1!$C:$C,$A21,Sheet1!$A:$A,H$2),"")</f>
        <v/>
      </c>
      <c r="I21" s="9" t="str">
        <f>IF(SUMIFS(Sheet1!$E:$E,Sheet1!$C:$C,$A21,Sheet1!$A:$A,I$2)&lt;&gt;0,SUMIFS(Sheet1!$E:$E,Sheet1!$C:$C,$A21,Sheet1!$A:$A,I$2),"")</f>
        <v/>
      </c>
      <c r="J21" s="9" t="str">
        <f>IF(SUMIFS(Sheet1!$E:$E,Sheet1!$C:$C,$A21,Sheet1!$A:$A,J$2)&lt;&gt;0,SUMIFS(Sheet1!$E:$E,Sheet1!$C:$C,$A21,Sheet1!$A:$A,J$2),"")</f>
        <v/>
      </c>
      <c r="K21" s="9" t="str">
        <f>IF(SUMIFS(Sheet1!$E:$E,Sheet1!$C:$C,$A21,Sheet1!$A:$A,K$2)&lt;&gt;0,SUMIFS(Sheet1!$E:$E,Sheet1!$C:$C,$A21,Sheet1!$A:$A,K$2),"")</f>
        <v/>
      </c>
      <c r="L21" s="9" t="str">
        <f>IF(SUMIFS(Sheet1!$E:$E,Sheet1!$C:$C,$A21,Sheet1!$A:$A,L$2)&lt;&gt;0,SUMIFS(Sheet1!$E:$E,Sheet1!$C:$C,$A21,Sheet1!$A:$A,L$2),"")</f>
        <v/>
      </c>
      <c r="M21" s="9" t="str">
        <f>IF(SUMIFS(Sheet1!$E:$E,Sheet1!$C:$C,$A21,Sheet1!$A:$A,M$2)&lt;&gt;0,SUMIFS(Sheet1!$E:$E,Sheet1!$C:$C,$A21,Sheet1!$A:$A,M$2),"")</f>
        <v/>
      </c>
      <c r="N21" s="9" t="str">
        <f>IF(SUMIFS(Sheet1!$E:$E,Sheet1!$C:$C,$A21,Sheet1!$A:$A,N$2)&lt;&gt;0,SUMIFS(Sheet1!$E:$E,Sheet1!$C:$C,$A21,Sheet1!$A:$A,N$2),"")</f>
        <v/>
      </c>
      <c r="O21" s="9" t="str">
        <f>IF(SUMIFS(Sheet1!$E:$E,Sheet1!$C:$C,$A21,Sheet1!$A:$A,O$2)&lt;&gt;0,SUMIFS(Sheet1!$E:$E,Sheet1!$C:$C,$A21,Sheet1!$A:$A,O$2),"")</f>
        <v/>
      </c>
      <c r="P21" s="9" t="str">
        <f>IF(SUMIFS(Sheet1!$E:$E,Sheet1!$C:$C,$A21,Sheet1!$A:$A,P$2)&lt;&gt;0,SUMIFS(Sheet1!$E:$E,Sheet1!$C:$C,$A21,Sheet1!$A:$A,P$2),"")</f>
        <v/>
      </c>
      <c r="Q21" s="9" t="str">
        <f>IF(SUMIFS(Sheet1!$E:$E,Sheet1!$C:$C,$A21,Sheet1!$A:$A,Q$2)&lt;&gt;0,SUMIFS(Sheet1!$E:$E,Sheet1!$C:$C,$A21,Sheet1!$A:$A,Q$2),"")</f>
        <v/>
      </c>
      <c r="R21" s="9" t="str">
        <f>IF(SUMIFS(Sheet1!$E:$E,Sheet1!$C:$C,$A21,Sheet1!$A:$A,R$2)&lt;&gt;0,SUMIFS(Sheet1!$E:$E,Sheet1!$C:$C,$A21,Sheet1!$A:$A,R$2),"")</f>
        <v/>
      </c>
      <c r="S21" s="9" t="str">
        <f>IF(SUMIFS(Sheet1!$E:$E,Sheet1!$C:$C,$A21,Sheet1!$A:$A,S$2)&lt;&gt;0,SUMIFS(Sheet1!$E:$E,Sheet1!$C:$C,$A21,Sheet1!$A:$A,S$2),"")</f>
        <v/>
      </c>
      <c r="T21" s="9" t="str">
        <f>IF(SUMIFS(Sheet1!$E:$E,Sheet1!$C:$C,$A21,Sheet1!$A:$A,T$2)&lt;&gt;0,SUMIFS(Sheet1!$E:$E,Sheet1!$C:$C,$A21,Sheet1!$A:$A,T$2),"")</f>
        <v/>
      </c>
      <c r="U21" s="9" t="str">
        <f>IF(SUMIFS(Sheet1!$E:$E,Sheet1!$C:$C,$A21,Sheet1!$A:$A,U$2)&lt;&gt;0,SUMIFS(Sheet1!$E:$E,Sheet1!$C:$C,$A21,Sheet1!$A:$A,U$2),"")</f>
        <v/>
      </c>
      <c r="V21" s="9" t="str">
        <f>IF(SUMIFS(Sheet1!$E:$E,Sheet1!$C:$C,$A21,Sheet1!$A:$A,V$2)&lt;&gt;0,SUMIFS(Sheet1!$E:$E,Sheet1!$C:$C,$A21,Sheet1!$A:$A,V$2),"")</f>
        <v/>
      </c>
      <c r="W21" s="9" t="str">
        <f>IF(SUMIFS(Sheet1!$E:$E,Sheet1!$C:$C,$A21,Sheet1!$A:$A,W$2)&lt;&gt;0,SUMIFS(Sheet1!$E:$E,Sheet1!$C:$C,$A21,Sheet1!$A:$A,W$2),"")</f>
        <v/>
      </c>
      <c r="X21" s="9" t="str">
        <f>IF(SUMIFS(Sheet1!$E:$E,Sheet1!$C:$C,$A21,Sheet1!$A:$A,X$2)&lt;&gt;0,SUMIFS(Sheet1!$E:$E,Sheet1!$C:$C,$A21,Sheet1!$A:$A,X$2),"")</f>
        <v/>
      </c>
      <c r="Y21" s="9" t="str">
        <f>IF(SUMIFS(Sheet1!$E:$E,Sheet1!$C:$C,$A21,Sheet1!$A:$A,Y$2)&lt;&gt;0,SUMIFS(Sheet1!$E:$E,Sheet1!$C:$C,$A21,Sheet1!$A:$A,Y$2),"")</f>
        <v/>
      </c>
      <c r="Z21" s="9" t="str">
        <f>IF(SUMIFS(Sheet1!$E:$E,Sheet1!$C:$C,$A21,Sheet1!$A:$A,Z$2)&lt;&gt;0,SUMIFS(Sheet1!$E:$E,Sheet1!$C:$C,$A21,Sheet1!$A:$A,Z$2),"")</f>
        <v/>
      </c>
      <c r="AA21" s="9" t="str">
        <f>IF(SUMIFS(Sheet1!$E:$E,Sheet1!$C:$C,$A21,Sheet1!$A:$A,AA$2)&lt;&gt;0,SUMIFS(Sheet1!$E:$E,Sheet1!$C:$C,$A21,Sheet1!$A:$A,AA$2),"")</f>
        <v/>
      </c>
      <c r="AB21" s="9" t="str">
        <f>IF(SUMIFS(Sheet1!$E:$E,Sheet1!$C:$C,$A21,Sheet1!$A:$A,AB$2)&lt;&gt;0,SUMIFS(Sheet1!$E:$E,Sheet1!$C:$C,$A21,Sheet1!$A:$A,AB$2),"")</f>
        <v/>
      </c>
      <c r="AC21" s="9" t="str">
        <f>IF(SUMIFS(Sheet1!$E:$E,Sheet1!$C:$C,$A21,Sheet1!$A:$A,AC$2)&lt;&gt;0,SUMIFS(Sheet1!$E:$E,Sheet1!$C:$C,$A21,Sheet1!$A:$A,AC$2),"")</f>
        <v/>
      </c>
      <c r="AD21" s="9" t="str">
        <f>IF(SUMIFS(Sheet1!$E:$E,Sheet1!$C:$C,$A21,Sheet1!$A:$A,AD$2)&lt;&gt;0,SUMIFS(Sheet1!$E:$E,Sheet1!$C:$C,$A21,Sheet1!$A:$A,AD$2),"")</f>
        <v/>
      </c>
      <c r="AE21" s="9" t="str">
        <f>IF(SUMIFS(Sheet1!$E:$E,Sheet1!$C:$C,$A21,Sheet1!$A:$A,AE$2)&lt;&gt;0,SUMIFS(Sheet1!$E:$E,Sheet1!$C:$C,$A21,Sheet1!$A:$A,AE$2),"")</f>
        <v/>
      </c>
      <c r="AF21" s="9" t="str">
        <f>IF(SUMIFS(Sheet1!$E:$E,Sheet1!$C:$C,$A21,Sheet1!$A:$A,AF$2)&lt;&gt;0,SUMIFS(Sheet1!$E:$E,Sheet1!$C:$C,$A21,Sheet1!$A:$A,AF$2),"")</f>
        <v/>
      </c>
      <c r="AG21" s="9" t="str">
        <f>IF(SUMIFS(Sheet1!$E:$E,Sheet1!$C:$C,$A21,Sheet1!$A:$A,AG$2)&lt;&gt;0,SUMIFS(Sheet1!$E:$E,Sheet1!$C:$C,$A21,Sheet1!$A:$A,AG$2),"")</f>
        <v/>
      </c>
      <c r="AH21" s="47">
        <f>SUM(Table24[[#This Row],[1]:[31]])</f>
        <v>30</v>
      </c>
    </row>
    <row r="22" spans="1:34" ht="12.75" customHeight="1">
      <c r="A22" s="24" t="str">
        <f>DSSP!A21</f>
        <v>A063</v>
      </c>
      <c r="B22" s="25" t="str">
        <f>DSSP!B21</f>
        <v>Lừa</v>
      </c>
      <c r="C22" s="9">
        <f>IF(SUMIFS(Sheet1!$E:$E,Sheet1!$C:$C,$A22,Sheet1!$A:$A,C$2)&lt;&gt;0,SUMIFS(Sheet1!$E:$E,Sheet1!$C:$C,$A22,Sheet1!$A:$A,C$2),"")</f>
        <v>21</v>
      </c>
      <c r="D22" s="9" t="str">
        <f>IF(SUMIFS(Sheet1!$E:$E,Sheet1!$C:$C,$A22,Sheet1!$A:$A,D$2)&lt;&gt;0,SUMIFS(Sheet1!$E:$E,Sheet1!$C:$C,$A22,Sheet1!$A:$A,D$2),"")</f>
        <v/>
      </c>
      <c r="E22" s="9" t="str">
        <f>IF(SUMIFS(Sheet1!$E:$E,Sheet1!$C:$C,$A22,Sheet1!$A:$A,E$2)&lt;&gt;0,SUMIFS(Sheet1!$E:$E,Sheet1!$C:$C,$A22,Sheet1!$A:$A,E$2),"")</f>
        <v/>
      </c>
      <c r="F22" s="9" t="str">
        <f>IF(SUMIFS(Sheet1!$E:$E,Sheet1!$C:$C,$A22,Sheet1!$A:$A,F$2)&lt;&gt;0,SUMIFS(Sheet1!$E:$E,Sheet1!$C:$C,$A22,Sheet1!$A:$A,F$2),"")</f>
        <v/>
      </c>
      <c r="G22" s="9" t="str">
        <f>IF(SUMIFS(Sheet1!$E:$E,Sheet1!$C:$C,$A22,Sheet1!$A:$A,G$2)&lt;&gt;0,SUMIFS(Sheet1!$E:$E,Sheet1!$C:$C,$A22,Sheet1!$A:$A,G$2),"")</f>
        <v/>
      </c>
      <c r="H22" s="9" t="str">
        <f>IF(SUMIFS(Sheet1!$E:$E,Sheet1!$C:$C,$A22,Sheet1!$A:$A,H$2)&lt;&gt;0,SUMIFS(Sheet1!$E:$E,Sheet1!$C:$C,$A22,Sheet1!$A:$A,H$2),"")</f>
        <v/>
      </c>
      <c r="I22" s="9" t="str">
        <f>IF(SUMIFS(Sheet1!$E:$E,Sheet1!$C:$C,$A22,Sheet1!$A:$A,I$2)&lt;&gt;0,SUMIFS(Sheet1!$E:$E,Sheet1!$C:$C,$A22,Sheet1!$A:$A,I$2),"")</f>
        <v/>
      </c>
      <c r="J22" s="9" t="str">
        <f>IF(SUMIFS(Sheet1!$E:$E,Sheet1!$C:$C,$A22,Sheet1!$A:$A,J$2)&lt;&gt;0,SUMIFS(Sheet1!$E:$E,Sheet1!$C:$C,$A22,Sheet1!$A:$A,J$2),"")</f>
        <v/>
      </c>
      <c r="K22" s="9" t="str">
        <f>IF(SUMIFS(Sheet1!$E:$E,Sheet1!$C:$C,$A22,Sheet1!$A:$A,K$2)&lt;&gt;0,SUMIFS(Sheet1!$E:$E,Sheet1!$C:$C,$A22,Sheet1!$A:$A,K$2),"")</f>
        <v/>
      </c>
      <c r="L22" s="9" t="str">
        <f>IF(SUMIFS(Sheet1!$E:$E,Sheet1!$C:$C,$A22,Sheet1!$A:$A,L$2)&lt;&gt;0,SUMIFS(Sheet1!$E:$E,Sheet1!$C:$C,$A22,Sheet1!$A:$A,L$2),"")</f>
        <v/>
      </c>
      <c r="M22" s="9" t="str">
        <f>IF(SUMIFS(Sheet1!$E:$E,Sheet1!$C:$C,$A22,Sheet1!$A:$A,M$2)&lt;&gt;0,SUMIFS(Sheet1!$E:$E,Sheet1!$C:$C,$A22,Sheet1!$A:$A,M$2),"")</f>
        <v/>
      </c>
      <c r="N22" s="9" t="str">
        <f>IF(SUMIFS(Sheet1!$E:$E,Sheet1!$C:$C,$A22,Sheet1!$A:$A,N$2)&lt;&gt;0,SUMIFS(Sheet1!$E:$E,Sheet1!$C:$C,$A22,Sheet1!$A:$A,N$2),"")</f>
        <v/>
      </c>
      <c r="O22" s="9" t="str">
        <f>IF(SUMIFS(Sheet1!$E:$E,Sheet1!$C:$C,$A22,Sheet1!$A:$A,O$2)&lt;&gt;0,SUMIFS(Sheet1!$E:$E,Sheet1!$C:$C,$A22,Sheet1!$A:$A,O$2),"")</f>
        <v/>
      </c>
      <c r="P22" s="9" t="str">
        <f>IF(SUMIFS(Sheet1!$E:$E,Sheet1!$C:$C,$A22,Sheet1!$A:$A,P$2)&lt;&gt;0,SUMIFS(Sheet1!$E:$E,Sheet1!$C:$C,$A22,Sheet1!$A:$A,P$2),"")</f>
        <v/>
      </c>
      <c r="Q22" s="9" t="str">
        <f>IF(SUMIFS(Sheet1!$E:$E,Sheet1!$C:$C,$A22,Sheet1!$A:$A,Q$2)&lt;&gt;0,SUMIFS(Sheet1!$E:$E,Sheet1!$C:$C,$A22,Sheet1!$A:$A,Q$2),"")</f>
        <v/>
      </c>
      <c r="R22" s="9" t="str">
        <f>IF(SUMIFS(Sheet1!$E:$E,Sheet1!$C:$C,$A22,Sheet1!$A:$A,R$2)&lt;&gt;0,SUMIFS(Sheet1!$E:$E,Sheet1!$C:$C,$A22,Sheet1!$A:$A,R$2),"")</f>
        <v/>
      </c>
      <c r="S22" s="9" t="str">
        <f>IF(SUMIFS(Sheet1!$E:$E,Sheet1!$C:$C,$A22,Sheet1!$A:$A,S$2)&lt;&gt;0,SUMIFS(Sheet1!$E:$E,Sheet1!$C:$C,$A22,Sheet1!$A:$A,S$2),"")</f>
        <v/>
      </c>
      <c r="T22" s="9" t="str">
        <f>IF(SUMIFS(Sheet1!$E:$E,Sheet1!$C:$C,$A22,Sheet1!$A:$A,T$2)&lt;&gt;0,SUMIFS(Sheet1!$E:$E,Sheet1!$C:$C,$A22,Sheet1!$A:$A,T$2),"")</f>
        <v/>
      </c>
      <c r="U22" s="9" t="str">
        <f>IF(SUMIFS(Sheet1!$E:$E,Sheet1!$C:$C,$A22,Sheet1!$A:$A,U$2)&lt;&gt;0,SUMIFS(Sheet1!$E:$E,Sheet1!$C:$C,$A22,Sheet1!$A:$A,U$2),"")</f>
        <v/>
      </c>
      <c r="V22" s="9" t="str">
        <f>IF(SUMIFS(Sheet1!$E:$E,Sheet1!$C:$C,$A22,Sheet1!$A:$A,V$2)&lt;&gt;0,SUMIFS(Sheet1!$E:$E,Sheet1!$C:$C,$A22,Sheet1!$A:$A,V$2),"")</f>
        <v/>
      </c>
      <c r="W22" s="9" t="str">
        <f>IF(SUMIFS(Sheet1!$E:$E,Sheet1!$C:$C,$A22,Sheet1!$A:$A,W$2)&lt;&gt;0,SUMIFS(Sheet1!$E:$E,Sheet1!$C:$C,$A22,Sheet1!$A:$A,W$2),"")</f>
        <v/>
      </c>
      <c r="X22" s="9" t="str">
        <f>IF(SUMIFS(Sheet1!$E:$E,Sheet1!$C:$C,$A22,Sheet1!$A:$A,X$2)&lt;&gt;0,SUMIFS(Sheet1!$E:$E,Sheet1!$C:$C,$A22,Sheet1!$A:$A,X$2),"")</f>
        <v/>
      </c>
      <c r="Y22" s="9" t="str">
        <f>IF(SUMIFS(Sheet1!$E:$E,Sheet1!$C:$C,$A22,Sheet1!$A:$A,Y$2)&lt;&gt;0,SUMIFS(Sheet1!$E:$E,Sheet1!$C:$C,$A22,Sheet1!$A:$A,Y$2),"")</f>
        <v/>
      </c>
      <c r="Z22" s="9" t="str">
        <f>IF(SUMIFS(Sheet1!$E:$E,Sheet1!$C:$C,$A22,Sheet1!$A:$A,Z$2)&lt;&gt;0,SUMIFS(Sheet1!$E:$E,Sheet1!$C:$C,$A22,Sheet1!$A:$A,Z$2),"")</f>
        <v/>
      </c>
      <c r="AA22" s="9" t="str">
        <f>IF(SUMIFS(Sheet1!$E:$E,Sheet1!$C:$C,$A22,Sheet1!$A:$A,AA$2)&lt;&gt;0,SUMIFS(Sheet1!$E:$E,Sheet1!$C:$C,$A22,Sheet1!$A:$A,AA$2),"")</f>
        <v/>
      </c>
      <c r="AB22" s="9" t="str">
        <f>IF(SUMIFS(Sheet1!$E:$E,Sheet1!$C:$C,$A22,Sheet1!$A:$A,AB$2)&lt;&gt;0,SUMIFS(Sheet1!$E:$E,Sheet1!$C:$C,$A22,Sheet1!$A:$A,AB$2),"")</f>
        <v/>
      </c>
      <c r="AC22" s="9" t="str">
        <f>IF(SUMIFS(Sheet1!$E:$E,Sheet1!$C:$C,$A22,Sheet1!$A:$A,AC$2)&lt;&gt;0,SUMIFS(Sheet1!$E:$E,Sheet1!$C:$C,$A22,Sheet1!$A:$A,AC$2),"")</f>
        <v/>
      </c>
      <c r="AD22" s="9" t="str">
        <f>IF(SUMIFS(Sheet1!$E:$E,Sheet1!$C:$C,$A22,Sheet1!$A:$A,AD$2)&lt;&gt;0,SUMIFS(Sheet1!$E:$E,Sheet1!$C:$C,$A22,Sheet1!$A:$A,AD$2),"")</f>
        <v/>
      </c>
      <c r="AE22" s="9" t="str">
        <f>IF(SUMIFS(Sheet1!$E:$E,Sheet1!$C:$C,$A22,Sheet1!$A:$A,AE$2)&lt;&gt;0,SUMIFS(Sheet1!$E:$E,Sheet1!$C:$C,$A22,Sheet1!$A:$A,AE$2),"")</f>
        <v/>
      </c>
      <c r="AF22" s="9" t="str">
        <f>IF(SUMIFS(Sheet1!$E:$E,Sheet1!$C:$C,$A22,Sheet1!$A:$A,AF$2)&lt;&gt;0,SUMIFS(Sheet1!$E:$E,Sheet1!$C:$C,$A22,Sheet1!$A:$A,AF$2),"")</f>
        <v/>
      </c>
      <c r="AG22" s="9" t="str">
        <f>IF(SUMIFS(Sheet1!$E:$E,Sheet1!$C:$C,$A22,Sheet1!$A:$A,AG$2)&lt;&gt;0,SUMIFS(Sheet1!$E:$E,Sheet1!$C:$C,$A22,Sheet1!$A:$A,AG$2),"")</f>
        <v/>
      </c>
      <c r="AH22" s="47">
        <f>SUM(Table24[[#This Row],[1]:[31]])</f>
        <v>21</v>
      </c>
    </row>
    <row r="23" spans="1:34" ht="12.75" customHeight="1">
      <c r="A23" s="24" t="str">
        <f>DSSP!A22</f>
        <v>A064</v>
      </c>
      <c r="B23" s="25" t="str">
        <f>DSSP!B22</f>
        <v>Bánh sữa</v>
      </c>
      <c r="C23" s="9">
        <f>IF(SUMIFS(Sheet1!$E:$E,Sheet1!$C:$C,$A23,Sheet1!$A:$A,C$2)&lt;&gt;0,SUMIFS(Sheet1!$E:$E,Sheet1!$C:$C,$A23,Sheet1!$A:$A,C$2),"")</f>
        <v>36</v>
      </c>
      <c r="D23" s="9" t="str">
        <f>IF(SUMIFS(Sheet1!$E:$E,Sheet1!$C:$C,$A23,Sheet1!$A:$A,D$2)&lt;&gt;0,SUMIFS(Sheet1!$E:$E,Sheet1!$C:$C,$A23,Sheet1!$A:$A,D$2),"")</f>
        <v/>
      </c>
      <c r="E23" s="9" t="str">
        <f>IF(SUMIFS(Sheet1!$E:$E,Sheet1!$C:$C,$A23,Sheet1!$A:$A,E$2)&lt;&gt;0,SUMIFS(Sheet1!$E:$E,Sheet1!$C:$C,$A23,Sheet1!$A:$A,E$2),"")</f>
        <v/>
      </c>
      <c r="F23" s="9" t="str">
        <f>IF(SUMIFS(Sheet1!$E:$E,Sheet1!$C:$C,$A23,Sheet1!$A:$A,F$2)&lt;&gt;0,SUMIFS(Sheet1!$E:$E,Sheet1!$C:$C,$A23,Sheet1!$A:$A,F$2),"")</f>
        <v/>
      </c>
      <c r="G23" s="9" t="str">
        <f>IF(SUMIFS(Sheet1!$E:$E,Sheet1!$C:$C,$A23,Sheet1!$A:$A,G$2)&lt;&gt;0,SUMIFS(Sheet1!$E:$E,Sheet1!$C:$C,$A23,Sheet1!$A:$A,G$2),"")</f>
        <v/>
      </c>
      <c r="H23" s="9" t="str">
        <f>IF(SUMIFS(Sheet1!$E:$E,Sheet1!$C:$C,$A23,Sheet1!$A:$A,H$2)&lt;&gt;0,SUMIFS(Sheet1!$E:$E,Sheet1!$C:$C,$A23,Sheet1!$A:$A,H$2),"")</f>
        <v/>
      </c>
      <c r="I23" s="9" t="str">
        <f>IF(SUMIFS(Sheet1!$E:$E,Sheet1!$C:$C,$A23,Sheet1!$A:$A,I$2)&lt;&gt;0,SUMIFS(Sheet1!$E:$E,Sheet1!$C:$C,$A23,Sheet1!$A:$A,I$2),"")</f>
        <v/>
      </c>
      <c r="J23" s="9" t="str">
        <f>IF(SUMIFS(Sheet1!$E:$E,Sheet1!$C:$C,$A23,Sheet1!$A:$A,J$2)&lt;&gt;0,SUMIFS(Sheet1!$E:$E,Sheet1!$C:$C,$A23,Sheet1!$A:$A,J$2),"")</f>
        <v/>
      </c>
      <c r="K23" s="9" t="str">
        <f>IF(SUMIFS(Sheet1!$E:$E,Sheet1!$C:$C,$A23,Sheet1!$A:$A,K$2)&lt;&gt;0,SUMIFS(Sheet1!$E:$E,Sheet1!$C:$C,$A23,Sheet1!$A:$A,K$2),"")</f>
        <v/>
      </c>
      <c r="L23" s="9" t="str">
        <f>IF(SUMIFS(Sheet1!$E:$E,Sheet1!$C:$C,$A23,Sheet1!$A:$A,L$2)&lt;&gt;0,SUMIFS(Sheet1!$E:$E,Sheet1!$C:$C,$A23,Sheet1!$A:$A,L$2),"")</f>
        <v/>
      </c>
      <c r="M23" s="9" t="str">
        <f>IF(SUMIFS(Sheet1!$E:$E,Sheet1!$C:$C,$A23,Sheet1!$A:$A,M$2)&lt;&gt;0,SUMIFS(Sheet1!$E:$E,Sheet1!$C:$C,$A23,Sheet1!$A:$A,M$2),"")</f>
        <v/>
      </c>
      <c r="N23" s="9" t="str">
        <f>IF(SUMIFS(Sheet1!$E:$E,Sheet1!$C:$C,$A23,Sheet1!$A:$A,N$2)&lt;&gt;0,SUMIFS(Sheet1!$E:$E,Sheet1!$C:$C,$A23,Sheet1!$A:$A,N$2),"")</f>
        <v/>
      </c>
      <c r="O23" s="9" t="str">
        <f>IF(SUMIFS(Sheet1!$E:$E,Sheet1!$C:$C,$A23,Sheet1!$A:$A,O$2)&lt;&gt;0,SUMIFS(Sheet1!$E:$E,Sheet1!$C:$C,$A23,Sheet1!$A:$A,O$2),"")</f>
        <v/>
      </c>
      <c r="P23" s="9" t="str">
        <f>IF(SUMIFS(Sheet1!$E:$E,Sheet1!$C:$C,$A23,Sheet1!$A:$A,P$2)&lt;&gt;0,SUMIFS(Sheet1!$E:$E,Sheet1!$C:$C,$A23,Sheet1!$A:$A,P$2),"")</f>
        <v/>
      </c>
      <c r="Q23" s="9" t="str">
        <f>IF(SUMIFS(Sheet1!$E:$E,Sheet1!$C:$C,$A23,Sheet1!$A:$A,Q$2)&lt;&gt;0,SUMIFS(Sheet1!$E:$E,Sheet1!$C:$C,$A23,Sheet1!$A:$A,Q$2),"")</f>
        <v/>
      </c>
      <c r="R23" s="9" t="str">
        <f>IF(SUMIFS(Sheet1!$E:$E,Sheet1!$C:$C,$A23,Sheet1!$A:$A,R$2)&lt;&gt;0,SUMIFS(Sheet1!$E:$E,Sheet1!$C:$C,$A23,Sheet1!$A:$A,R$2),"")</f>
        <v/>
      </c>
      <c r="S23" s="9" t="str">
        <f>IF(SUMIFS(Sheet1!$E:$E,Sheet1!$C:$C,$A23,Sheet1!$A:$A,S$2)&lt;&gt;0,SUMIFS(Sheet1!$E:$E,Sheet1!$C:$C,$A23,Sheet1!$A:$A,S$2),"")</f>
        <v/>
      </c>
      <c r="T23" s="9" t="str">
        <f>IF(SUMIFS(Sheet1!$E:$E,Sheet1!$C:$C,$A23,Sheet1!$A:$A,T$2)&lt;&gt;0,SUMIFS(Sheet1!$E:$E,Sheet1!$C:$C,$A23,Sheet1!$A:$A,T$2),"")</f>
        <v/>
      </c>
      <c r="U23" s="9" t="str">
        <f>IF(SUMIFS(Sheet1!$E:$E,Sheet1!$C:$C,$A23,Sheet1!$A:$A,U$2)&lt;&gt;0,SUMIFS(Sheet1!$E:$E,Sheet1!$C:$C,$A23,Sheet1!$A:$A,U$2),"")</f>
        <v/>
      </c>
      <c r="V23" s="9" t="str">
        <f>IF(SUMIFS(Sheet1!$E:$E,Sheet1!$C:$C,$A23,Sheet1!$A:$A,V$2)&lt;&gt;0,SUMIFS(Sheet1!$E:$E,Sheet1!$C:$C,$A23,Sheet1!$A:$A,V$2),"")</f>
        <v/>
      </c>
      <c r="W23" s="9" t="str">
        <f>IF(SUMIFS(Sheet1!$E:$E,Sheet1!$C:$C,$A23,Sheet1!$A:$A,W$2)&lt;&gt;0,SUMIFS(Sheet1!$E:$E,Sheet1!$C:$C,$A23,Sheet1!$A:$A,W$2),"")</f>
        <v/>
      </c>
      <c r="X23" s="9" t="str">
        <f>IF(SUMIFS(Sheet1!$E:$E,Sheet1!$C:$C,$A23,Sheet1!$A:$A,X$2)&lt;&gt;0,SUMIFS(Sheet1!$E:$E,Sheet1!$C:$C,$A23,Sheet1!$A:$A,X$2),"")</f>
        <v/>
      </c>
      <c r="Y23" s="9" t="str">
        <f>IF(SUMIFS(Sheet1!$E:$E,Sheet1!$C:$C,$A23,Sheet1!$A:$A,Y$2)&lt;&gt;0,SUMIFS(Sheet1!$E:$E,Sheet1!$C:$C,$A23,Sheet1!$A:$A,Y$2),"")</f>
        <v/>
      </c>
      <c r="Z23" s="9" t="str">
        <f>IF(SUMIFS(Sheet1!$E:$E,Sheet1!$C:$C,$A23,Sheet1!$A:$A,Z$2)&lt;&gt;0,SUMIFS(Sheet1!$E:$E,Sheet1!$C:$C,$A23,Sheet1!$A:$A,Z$2),"")</f>
        <v/>
      </c>
      <c r="AA23" s="9" t="str">
        <f>IF(SUMIFS(Sheet1!$E:$E,Sheet1!$C:$C,$A23,Sheet1!$A:$A,AA$2)&lt;&gt;0,SUMIFS(Sheet1!$E:$E,Sheet1!$C:$C,$A23,Sheet1!$A:$A,AA$2),"")</f>
        <v/>
      </c>
      <c r="AB23" s="9" t="str">
        <f>IF(SUMIFS(Sheet1!$E:$E,Sheet1!$C:$C,$A23,Sheet1!$A:$A,AB$2)&lt;&gt;0,SUMIFS(Sheet1!$E:$E,Sheet1!$C:$C,$A23,Sheet1!$A:$A,AB$2),"")</f>
        <v/>
      </c>
      <c r="AC23" s="9" t="str">
        <f>IF(SUMIFS(Sheet1!$E:$E,Sheet1!$C:$C,$A23,Sheet1!$A:$A,AC$2)&lt;&gt;0,SUMIFS(Sheet1!$E:$E,Sheet1!$C:$C,$A23,Sheet1!$A:$A,AC$2),"")</f>
        <v/>
      </c>
      <c r="AD23" s="9" t="str">
        <f>IF(SUMIFS(Sheet1!$E:$E,Sheet1!$C:$C,$A23,Sheet1!$A:$A,AD$2)&lt;&gt;0,SUMIFS(Sheet1!$E:$E,Sheet1!$C:$C,$A23,Sheet1!$A:$A,AD$2),"")</f>
        <v/>
      </c>
      <c r="AE23" s="9" t="str">
        <f>IF(SUMIFS(Sheet1!$E:$E,Sheet1!$C:$C,$A23,Sheet1!$A:$A,AE$2)&lt;&gt;0,SUMIFS(Sheet1!$E:$E,Sheet1!$C:$C,$A23,Sheet1!$A:$A,AE$2),"")</f>
        <v/>
      </c>
      <c r="AF23" s="9" t="str">
        <f>IF(SUMIFS(Sheet1!$E:$E,Sheet1!$C:$C,$A23,Sheet1!$A:$A,AF$2)&lt;&gt;0,SUMIFS(Sheet1!$E:$E,Sheet1!$C:$C,$A23,Sheet1!$A:$A,AF$2),"")</f>
        <v/>
      </c>
      <c r="AG23" s="9" t="str">
        <f>IF(SUMIFS(Sheet1!$E:$E,Sheet1!$C:$C,$A23,Sheet1!$A:$A,AG$2)&lt;&gt;0,SUMIFS(Sheet1!$E:$E,Sheet1!$C:$C,$A23,Sheet1!$A:$A,AG$2),"")</f>
        <v/>
      </c>
      <c r="AH23" s="47">
        <f>SUM(Table24[[#This Row],[1]:[31]])</f>
        <v>36</v>
      </c>
    </row>
    <row r="24" spans="1:34" ht="12.75" customHeight="1">
      <c r="A24" s="24" t="str">
        <f>DSSP!A23</f>
        <v>A069</v>
      </c>
      <c r="B24" s="25" t="str">
        <f>DSSP!B23</f>
        <v>Bánh kem</v>
      </c>
      <c r="C24" s="9">
        <f>IF(SUMIFS(Sheet1!$E:$E,Sheet1!$C:$C,$A24,Sheet1!$A:$A,C$2)&lt;&gt;0,SUMIFS(Sheet1!$E:$E,Sheet1!$C:$C,$A24,Sheet1!$A:$A,C$2),"")</f>
        <v>-1</v>
      </c>
      <c r="D24" s="9" t="str">
        <f>IF(SUMIFS(Sheet1!$E:$E,Sheet1!$C:$C,$A24,Sheet1!$A:$A,D$2)&lt;&gt;0,SUMIFS(Sheet1!$E:$E,Sheet1!$C:$C,$A24,Sheet1!$A:$A,D$2),"")</f>
        <v/>
      </c>
      <c r="E24" s="9" t="str">
        <f>IF(SUMIFS(Sheet1!$E:$E,Sheet1!$C:$C,$A24,Sheet1!$A:$A,E$2)&lt;&gt;0,SUMIFS(Sheet1!$E:$E,Sheet1!$C:$C,$A24,Sheet1!$A:$A,E$2),"")</f>
        <v/>
      </c>
      <c r="F24" s="9" t="str">
        <f>IF(SUMIFS(Sheet1!$E:$E,Sheet1!$C:$C,$A24,Sheet1!$A:$A,F$2)&lt;&gt;0,SUMIFS(Sheet1!$E:$E,Sheet1!$C:$C,$A24,Sheet1!$A:$A,F$2),"")</f>
        <v/>
      </c>
      <c r="G24" s="9" t="str">
        <f>IF(SUMIFS(Sheet1!$E:$E,Sheet1!$C:$C,$A24,Sheet1!$A:$A,G$2)&lt;&gt;0,SUMIFS(Sheet1!$E:$E,Sheet1!$C:$C,$A24,Sheet1!$A:$A,G$2),"")</f>
        <v/>
      </c>
      <c r="H24" s="9" t="str">
        <f>IF(SUMIFS(Sheet1!$E:$E,Sheet1!$C:$C,$A24,Sheet1!$A:$A,H$2)&lt;&gt;0,SUMIFS(Sheet1!$E:$E,Sheet1!$C:$C,$A24,Sheet1!$A:$A,H$2),"")</f>
        <v/>
      </c>
      <c r="I24" s="9" t="str">
        <f>IF(SUMIFS(Sheet1!$E:$E,Sheet1!$C:$C,$A24,Sheet1!$A:$A,I$2)&lt;&gt;0,SUMIFS(Sheet1!$E:$E,Sheet1!$C:$C,$A24,Sheet1!$A:$A,I$2),"")</f>
        <v/>
      </c>
      <c r="J24" s="9" t="str">
        <f>IF(SUMIFS(Sheet1!$E:$E,Sheet1!$C:$C,$A24,Sheet1!$A:$A,J$2)&lt;&gt;0,SUMIFS(Sheet1!$E:$E,Sheet1!$C:$C,$A24,Sheet1!$A:$A,J$2),"")</f>
        <v/>
      </c>
      <c r="K24" s="9" t="str">
        <f>IF(SUMIFS(Sheet1!$E:$E,Sheet1!$C:$C,$A24,Sheet1!$A:$A,K$2)&lt;&gt;0,SUMIFS(Sheet1!$E:$E,Sheet1!$C:$C,$A24,Sheet1!$A:$A,K$2),"")</f>
        <v/>
      </c>
      <c r="L24" s="9" t="str">
        <f>IF(SUMIFS(Sheet1!$E:$E,Sheet1!$C:$C,$A24,Sheet1!$A:$A,L$2)&lt;&gt;0,SUMIFS(Sheet1!$E:$E,Sheet1!$C:$C,$A24,Sheet1!$A:$A,L$2),"")</f>
        <v/>
      </c>
      <c r="M24" s="9" t="str">
        <f>IF(SUMIFS(Sheet1!$E:$E,Sheet1!$C:$C,$A24,Sheet1!$A:$A,M$2)&lt;&gt;0,SUMIFS(Sheet1!$E:$E,Sheet1!$C:$C,$A24,Sheet1!$A:$A,M$2),"")</f>
        <v/>
      </c>
      <c r="N24" s="9" t="str">
        <f>IF(SUMIFS(Sheet1!$E:$E,Sheet1!$C:$C,$A24,Sheet1!$A:$A,N$2)&lt;&gt;0,SUMIFS(Sheet1!$E:$E,Sheet1!$C:$C,$A24,Sheet1!$A:$A,N$2),"")</f>
        <v/>
      </c>
      <c r="O24" s="9" t="str">
        <f>IF(SUMIFS(Sheet1!$E:$E,Sheet1!$C:$C,$A24,Sheet1!$A:$A,O$2)&lt;&gt;0,SUMIFS(Sheet1!$E:$E,Sheet1!$C:$C,$A24,Sheet1!$A:$A,O$2),"")</f>
        <v/>
      </c>
      <c r="P24" s="9" t="str">
        <f>IF(SUMIFS(Sheet1!$E:$E,Sheet1!$C:$C,$A24,Sheet1!$A:$A,P$2)&lt;&gt;0,SUMIFS(Sheet1!$E:$E,Sheet1!$C:$C,$A24,Sheet1!$A:$A,P$2),"")</f>
        <v/>
      </c>
      <c r="Q24" s="9" t="str">
        <f>IF(SUMIFS(Sheet1!$E:$E,Sheet1!$C:$C,$A24,Sheet1!$A:$A,Q$2)&lt;&gt;0,SUMIFS(Sheet1!$E:$E,Sheet1!$C:$C,$A24,Sheet1!$A:$A,Q$2),"")</f>
        <v/>
      </c>
      <c r="R24" s="9" t="str">
        <f>IF(SUMIFS(Sheet1!$E:$E,Sheet1!$C:$C,$A24,Sheet1!$A:$A,R$2)&lt;&gt;0,SUMIFS(Sheet1!$E:$E,Sheet1!$C:$C,$A24,Sheet1!$A:$A,R$2),"")</f>
        <v/>
      </c>
      <c r="S24" s="9" t="str">
        <f>IF(SUMIFS(Sheet1!$E:$E,Sheet1!$C:$C,$A24,Sheet1!$A:$A,S$2)&lt;&gt;0,SUMIFS(Sheet1!$E:$E,Sheet1!$C:$C,$A24,Sheet1!$A:$A,S$2),"")</f>
        <v/>
      </c>
      <c r="T24" s="9" t="str">
        <f>IF(SUMIFS(Sheet1!$E:$E,Sheet1!$C:$C,$A24,Sheet1!$A:$A,T$2)&lt;&gt;0,SUMIFS(Sheet1!$E:$E,Sheet1!$C:$C,$A24,Sheet1!$A:$A,T$2),"")</f>
        <v/>
      </c>
      <c r="U24" s="9" t="str">
        <f>IF(SUMIFS(Sheet1!$E:$E,Sheet1!$C:$C,$A24,Sheet1!$A:$A,U$2)&lt;&gt;0,SUMIFS(Sheet1!$E:$E,Sheet1!$C:$C,$A24,Sheet1!$A:$A,U$2),"")</f>
        <v/>
      </c>
      <c r="V24" s="9" t="str">
        <f>IF(SUMIFS(Sheet1!$E:$E,Sheet1!$C:$C,$A24,Sheet1!$A:$A,V$2)&lt;&gt;0,SUMIFS(Sheet1!$E:$E,Sheet1!$C:$C,$A24,Sheet1!$A:$A,V$2),"")</f>
        <v/>
      </c>
      <c r="W24" s="9" t="str">
        <f>IF(SUMIFS(Sheet1!$E:$E,Sheet1!$C:$C,$A24,Sheet1!$A:$A,W$2)&lt;&gt;0,SUMIFS(Sheet1!$E:$E,Sheet1!$C:$C,$A24,Sheet1!$A:$A,W$2),"")</f>
        <v/>
      </c>
      <c r="X24" s="9" t="str">
        <f>IF(SUMIFS(Sheet1!$E:$E,Sheet1!$C:$C,$A24,Sheet1!$A:$A,X$2)&lt;&gt;0,SUMIFS(Sheet1!$E:$E,Sheet1!$C:$C,$A24,Sheet1!$A:$A,X$2),"")</f>
        <v/>
      </c>
      <c r="Y24" s="9" t="str">
        <f>IF(SUMIFS(Sheet1!$E:$E,Sheet1!$C:$C,$A24,Sheet1!$A:$A,Y$2)&lt;&gt;0,SUMIFS(Sheet1!$E:$E,Sheet1!$C:$C,$A24,Sheet1!$A:$A,Y$2),"")</f>
        <v/>
      </c>
      <c r="Z24" s="9" t="str">
        <f>IF(SUMIFS(Sheet1!$E:$E,Sheet1!$C:$C,$A24,Sheet1!$A:$A,Z$2)&lt;&gt;0,SUMIFS(Sheet1!$E:$E,Sheet1!$C:$C,$A24,Sheet1!$A:$A,Z$2),"")</f>
        <v/>
      </c>
      <c r="AA24" s="9" t="str">
        <f>IF(SUMIFS(Sheet1!$E:$E,Sheet1!$C:$C,$A24,Sheet1!$A:$A,AA$2)&lt;&gt;0,SUMIFS(Sheet1!$E:$E,Sheet1!$C:$C,$A24,Sheet1!$A:$A,AA$2),"")</f>
        <v/>
      </c>
      <c r="AB24" s="9" t="str">
        <f>IF(SUMIFS(Sheet1!$E:$E,Sheet1!$C:$C,$A24,Sheet1!$A:$A,AB$2)&lt;&gt;0,SUMIFS(Sheet1!$E:$E,Sheet1!$C:$C,$A24,Sheet1!$A:$A,AB$2),"")</f>
        <v/>
      </c>
      <c r="AC24" s="9" t="str">
        <f>IF(SUMIFS(Sheet1!$E:$E,Sheet1!$C:$C,$A24,Sheet1!$A:$A,AC$2)&lt;&gt;0,SUMIFS(Sheet1!$E:$E,Sheet1!$C:$C,$A24,Sheet1!$A:$A,AC$2),"")</f>
        <v/>
      </c>
      <c r="AD24" s="9" t="str">
        <f>IF(SUMIFS(Sheet1!$E:$E,Sheet1!$C:$C,$A24,Sheet1!$A:$A,AD$2)&lt;&gt;0,SUMIFS(Sheet1!$E:$E,Sheet1!$C:$C,$A24,Sheet1!$A:$A,AD$2),"")</f>
        <v/>
      </c>
      <c r="AE24" s="9" t="str">
        <f>IF(SUMIFS(Sheet1!$E:$E,Sheet1!$C:$C,$A24,Sheet1!$A:$A,AE$2)&lt;&gt;0,SUMIFS(Sheet1!$E:$E,Sheet1!$C:$C,$A24,Sheet1!$A:$A,AE$2),"")</f>
        <v/>
      </c>
      <c r="AF24" s="9" t="str">
        <f>IF(SUMIFS(Sheet1!$E:$E,Sheet1!$C:$C,$A24,Sheet1!$A:$A,AF$2)&lt;&gt;0,SUMIFS(Sheet1!$E:$E,Sheet1!$C:$C,$A24,Sheet1!$A:$A,AF$2),"")</f>
        <v/>
      </c>
      <c r="AG24" s="9" t="str">
        <f>IF(SUMIFS(Sheet1!$E:$E,Sheet1!$C:$C,$A24,Sheet1!$A:$A,AG$2)&lt;&gt;0,SUMIFS(Sheet1!$E:$E,Sheet1!$C:$C,$A24,Sheet1!$A:$A,AG$2),"")</f>
        <v/>
      </c>
      <c r="AH24" s="47">
        <f>SUM(Table24[[#This Row],[1]:[31]])</f>
        <v>-1</v>
      </c>
    </row>
    <row r="25" spans="1:34" ht="12.75" customHeight="1">
      <c r="A25" s="24" t="str">
        <f>DSSP!A24</f>
        <v>A071</v>
      </c>
      <c r="B25" s="25" t="str">
        <f>DSSP!B24</f>
        <v>Bao tay</v>
      </c>
      <c r="C25" s="9">
        <f>IF(SUMIFS(Sheet1!$E:$E,Sheet1!$C:$C,$A25,Sheet1!$A:$A,C$2)&lt;&gt;0,SUMIFS(Sheet1!$E:$E,Sheet1!$C:$C,$A25,Sheet1!$A:$A,C$2),"")</f>
        <v>34</v>
      </c>
      <c r="D25" s="9" t="str">
        <f>IF(SUMIFS(Sheet1!$E:$E,Sheet1!$C:$C,$A25,Sheet1!$A:$A,D$2)&lt;&gt;0,SUMIFS(Sheet1!$E:$E,Sheet1!$C:$C,$A25,Sheet1!$A:$A,D$2),"")</f>
        <v/>
      </c>
      <c r="E25" s="9" t="str">
        <f>IF(SUMIFS(Sheet1!$E:$E,Sheet1!$C:$C,$A25,Sheet1!$A:$A,E$2)&lt;&gt;0,SUMIFS(Sheet1!$E:$E,Sheet1!$C:$C,$A25,Sheet1!$A:$A,E$2),"")</f>
        <v/>
      </c>
      <c r="F25" s="9" t="str">
        <f>IF(SUMIFS(Sheet1!$E:$E,Sheet1!$C:$C,$A25,Sheet1!$A:$A,F$2)&lt;&gt;0,SUMIFS(Sheet1!$E:$E,Sheet1!$C:$C,$A25,Sheet1!$A:$A,F$2),"")</f>
        <v/>
      </c>
      <c r="G25" s="9" t="str">
        <f>IF(SUMIFS(Sheet1!$E:$E,Sheet1!$C:$C,$A25,Sheet1!$A:$A,G$2)&lt;&gt;0,SUMIFS(Sheet1!$E:$E,Sheet1!$C:$C,$A25,Sheet1!$A:$A,G$2),"")</f>
        <v/>
      </c>
      <c r="H25" s="9" t="str">
        <f>IF(SUMIFS(Sheet1!$E:$E,Sheet1!$C:$C,$A25,Sheet1!$A:$A,H$2)&lt;&gt;0,SUMIFS(Sheet1!$E:$E,Sheet1!$C:$C,$A25,Sheet1!$A:$A,H$2),"")</f>
        <v/>
      </c>
      <c r="I25" s="9" t="str">
        <f>IF(SUMIFS(Sheet1!$E:$E,Sheet1!$C:$C,$A25,Sheet1!$A:$A,I$2)&lt;&gt;0,SUMIFS(Sheet1!$E:$E,Sheet1!$C:$C,$A25,Sheet1!$A:$A,I$2),"")</f>
        <v/>
      </c>
      <c r="J25" s="9" t="str">
        <f>IF(SUMIFS(Sheet1!$E:$E,Sheet1!$C:$C,$A25,Sheet1!$A:$A,J$2)&lt;&gt;0,SUMIFS(Sheet1!$E:$E,Sheet1!$C:$C,$A25,Sheet1!$A:$A,J$2),"")</f>
        <v/>
      </c>
      <c r="K25" s="9" t="str">
        <f>IF(SUMIFS(Sheet1!$E:$E,Sheet1!$C:$C,$A25,Sheet1!$A:$A,K$2)&lt;&gt;0,SUMIFS(Sheet1!$E:$E,Sheet1!$C:$C,$A25,Sheet1!$A:$A,K$2),"")</f>
        <v/>
      </c>
      <c r="L25" s="9" t="str">
        <f>IF(SUMIFS(Sheet1!$E:$E,Sheet1!$C:$C,$A25,Sheet1!$A:$A,L$2)&lt;&gt;0,SUMIFS(Sheet1!$E:$E,Sheet1!$C:$C,$A25,Sheet1!$A:$A,L$2),"")</f>
        <v/>
      </c>
      <c r="M25" s="9" t="str">
        <f>IF(SUMIFS(Sheet1!$E:$E,Sheet1!$C:$C,$A25,Sheet1!$A:$A,M$2)&lt;&gt;0,SUMIFS(Sheet1!$E:$E,Sheet1!$C:$C,$A25,Sheet1!$A:$A,M$2),"")</f>
        <v/>
      </c>
      <c r="N25" s="9" t="str">
        <f>IF(SUMIFS(Sheet1!$E:$E,Sheet1!$C:$C,$A25,Sheet1!$A:$A,N$2)&lt;&gt;0,SUMIFS(Sheet1!$E:$E,Sheet1!$C:$C,$A25,Sheet1!$A:$A,N$2),"")</f>
        <v/>
      </c>
      <c r="O25" s="9" t="str">
        <f>IF(SUMIFS(Sheet1!$E:$E,Sheet1!$C:$C,$A25,Sheet1!$A:$A,O$2)&lt;&gt;0,SUMIFS(Sheet1!$E:$E,Sheet1!$C:$C,$A25,Sheet1!$A:$A,O$2),"")</f>
        <v/>
      </c>
      <c r="P25" s="9" t="str">
        <f>IF(SUMIFS(Sheet1!$E:$E,Sheet1!$C:$C,$A25,Sheet1!$A:$A,P$2)&lt;&gt;0,SUMIFS(Sheet1!$E:$E,Sheet1!$C:$C,$A25,Sheet1!$A:$A,P$2),"")</f>
        <v/>
      </c>
      <c r="Q25" s="9" t="str">
        <f>IF(SUMIFS(Sheet1!$E:$E,Sheet1!$C:$C,$A25,Sheet1!$A:$A,Q$2)&lt;&gt;0,SUMIFS(Sheet1!$E:$E,Sheet1!$C:$C,$A25,Sheet1!$A:$A,Q$2),"")</f>
        <v/>
      </c>
      <c r="R25" s="9" t="str">
        <f>IF(SUMIFS(Sheet1!$E:$E,Sheet1!$C:$C,$A25,Sheet1!$A:$A,R$2)&lt;&gt;0,SUMIFS(Sheet1!$E:$E,Sheet1!$C:$C,$A25,Sheet1!$A:$A,R$2),"")</f>
        <v/>
      </c>
      <c r="S25" s="9" t="str">
        <f>IF(SUMIFS(Sheet1!$E:$E,Sheet1!$C:$C,$A25,Sheet1!$A:$A,S$2)&lt;&gt;0,SUMIFS(Sheet1!$E:$E,Sheet1!$C:$C,$A25,Sheet1!$A:$A,S$2),"")</f>
        <v/>
      </c>
      <c r="T25" s="9" t="str">
        <f>IF(SUMIFS(Sheet1!$E:$E,Sheet1!$C:$C,$A25,Sheet1!$A:$A,T$2)&lt;&gt;0,SUMIFS(Sheet1!$E:$E,Sheet1!$C:$C,$A25,Sheet1!$A:$A,T$2),"")</f>
        <v/>
      </c>
      <c r="U25" s="9" t="str">
        <f>IF(SUMIFS(Sheet1!$E:$E,Sheet1!$C:$C,$A25,Sheet1!$A:$A,U$2)&lt;&gt;0,SUMIFS(Sheet1!$E:$E,Sheet1!$C:$C,$A25,Sheet1!$A:$A,U$2),"")</f>
        <v/>
      </c>
      <c r="V25" s="9" t="str">
        <f>IF(SUMIFS(Sheet1!$E:$E,Sheet1!$C:$C,$A25,Sheet1!$A:$A,V$2)&lt;&gt;0,SUMIFS(Sheet1!$E:$E,Sheet1!$C:$C,$A25,Sheet1!$A:$A,V$2),"")</f>
        <v/>
      </c>
      <c r="W25" s="9" t="str">
        <f>IF(SUMIFS(Sheet1!$E:$E,Sheet1!$C:$C,$A25,Sheet1!$A:$A,W$2)&lt;&gt;0,SUMIFS(Sheet1!$E:$E,Sheet1!$C:$C,$A25,Sheet1!$A:$A,W$2),"")</f>
        <v/>
      </c>
      <c r="X25" s="9" t="str">
        <f>IF(SUMIFS(Sheet1!$E:$E,Sheet1!$C:$C,$A25,Sheet1!$A:$A,X$2)&lt;&gt;0,SUMIFS(Sheet1!$E:$E,Sheet1!$C:$C,$A25,Sheet1!$A:$A,X$2),"")</f>
        <v/>
      </c>
      <c r="Y25" s="9" t="str">
        <f>IF(SUMIFS(Sheet1!$E:$E,Sheet1!$C:$C,$A25,Sheet1!$A:$A,Y$2)&lt;&gt;0,SUMIFS(Sheet1!$E:$E,Sheet1!$C:$C,$A25,Sheet1!$A:$A,Y$2),"")</f>
        <v/>
      </c>
      <c r="Z25" s="9" t="str">
        <f>IF(SUMIFS(Sheet1!$E:$E,Sheet1!$C:$C,$A25,Sheet1!$A:$A,Z$2)&lt;&gt;0,SUMIFS(Sheet1!$E:$E,Sheet1!$C:$C,$A25,Sheet1!$A:$A,Z$2),"")</f>
        <v/>
      </c>
      <c r="AA25" s="9" t="str">
        <f>IF(SUMIFS(Sheet1!$E:$E,Sheet1!$C:$C,$A25,Sheet1!$A:$A,AA$2)&lt;&gt;0,SUMIFS(Sheet1!$E:$E,Sheet1!$C:$C,$A25,Sheet1!$A:$A,AA$2),"")</f>
        <v/>
      </c>
      <c r="AB25" s="9" t="str">
        <f>IF(SUMIFS(Sheet1!$E:$E,Sheet1!$C:$C,$A25,Sheet1!$A:$A,AB$2)&lt;&gt;0,SUMIFS(Sheet1!$E:$E,Sheet1!$C:$C,$A25,Sheet1!$A:$A,AB$2),"")</f>
        <v/>
      </c>
      <c r="AC25" s="9" t="str">
        <f>IF(SUMIFS(Sheet1!$E:$E,Sheet1!$C:$C,$A25,Sheet1!$A:$A,AC$2)&lt;&gt;0,SUMIFS(Sheet1!$E:$E,Sheet1!$C:$C,$A25,Sheet1!$A:$A,AC$2),"")</f>
        <v/>
      </c>
      <c r="AD25" s="9" t="str">
        <f>IF(SUMIFS(Sheet1!$E:$E,Sheet1!$C:$C,$A25,Sheet1!$A:$A,AD$2)&lt;&gt;0,SUMIFS(Sheet1!$E:$E,Sheet1!$C:$C,$A25,Sheet1!$A:$A,AD$2),"")</f>
        <v/>
      </c>
      <c r="AE25" s="9" t="str">
        <f>IF(SUMIFS(Sheet1!$E:$E,Sheet1!$C:$C,$A25,Sheet1!$A:$A,AE$2)&lt;&gt;0,SUMIFS(Sheet1!$E:$E,Sheet1!$C:$C,$A25,Sheet1!$A:$A,AE$2),"")</f>
        <v/>
      </c>
      <c r="AF25" s="9" t="str">
        <f>IF(SUMIFS(Sheet1!$E:$E,Sheet1!$C:$C,$A25,Sheet1!$A:$A,AF$2)&lt;&gt;0,SUMIFS(Sheet1!$E:$E,Sheet1!$C:$C,$A25,Sheet1!$A:$A,AF$2),"")</f>
        <v/>
      </c>
      <c r="AG25" s="9" t="str">
        <f>IF(SUMIFS(Sheet1!$E:$E,Sheet1!$C:$C,$A25,Sheet1!$A:$A,AG$2)&lt;&gt;0,SUMIFS(Sheet1!$E:$E,Sheet1!$C:$C,$A25,Sheet1!$A:$A,AG$2),"")</f>
        <v/>
      </c>
      <c r="AH25" s="47">
        <f>SUM(Table24[[#This Row],[1]:[31]])</f>
        <v>34</v>
      </c>
    </row>
    <row r="26" spans="1:34" ht="12.75" customHeight="1">
      <c r="A26" s="24" t="str">
        <f>DSSP!A25</f>
        <v>A073</v>
      </c>
      <c r="B26" s="25" t="str">
        <f>DSSP!B25</f>
        <v>Cá heo</v>
      </c>
      <c r="C26" s="9" t="str">
        <f>IF(SUMIFS(Sheet1!$E:$E,Sheet1!$C:$C,$A26,Sheet1!$A:$A,C$2)&lt;&gt;0,SUMIFS(Sheet1!$E:$E,Sheet1!$C:$C,$A26,Sheet1!$A:$A,C$2),"")</f>
        <v/>
      </c>
      <c r="D26" s="9" t="str">
        <f>IF(SUMIFS(Sheet1!$E:$E,Sheet1!$C:$C,$A26,Sheet1!$A:$A,D$2)&lt;&gt;0,SUMIFS(Sheet1!$E:$E,Sheet1!$C:$C,$A26,Sheet1!$A:$A,D$2),"")</f>
        <v/>
      </c>
      <c r="E26" s="9" t="str">
        <f>IF(SUMIFS(Sheet1!$E:$E,Sheet1!$C:$C,$A26,Sheet1!$A:$A,E$2)&lt;&gt;0,SUMIFS(Sheet1!$E:$E,Sheet1!$C:$C,$A26,Sheet1!$A:$A,E$2),"")</f>
        <v/>
      </c>
      <c r="F26" s="9" t="str">
        <f>IF(SUMIFS(Sheet1!$E:$E,Sheet1!$C:$C,$A26,Sheet1!$A:$A,F$2)&lt;&gt;0,SUMIFS(Sheet1!$E:$E,Sheet1!$C:$C,$A26,Sheet1!$A:$A,F$2),"")</f>
        <v/>
      </c>
      <c r="G26" s="9" t="str">
        <f>IF(SUMIFS(Sheet1!$E:$E,Sheet1!$C:$C,$A26,Sheet1!$A:$A,G$2)&lt;&gt;0,SUMIFS(Sheet1!$E:$E,Sheet1!$C:$C,$A26,Sheet1!$A:$A,G$2),"")</f>
        <v/>
      </c>
      <c r="H26" s="9" t="str">
        <f>IF(SUMIFS(Sheet1!$E:$E,Sheet1!$C:$C,$A26,Sheet1!$A:$A,H$2)&lt;&gt;0,SUMIFS(Sheet1!$E:$E,Sheet1!$C:$C,$A26,Sheet1!$A:$A,H$2),"")</f>
        <v/>
      </c>
      <c r="I26" s="9" t="str">
        <f>IF(SUMIFS(Sheet1!$E:$E,Sheet1!$C:$C,$A26,Sheet1!$A:$A,I$2)&lt;&gt;0,SUMIFS(Sheet1!$E:$E,Sheet1!$C:$C,$A26,Sheet1!$A:$A,I$2),"")</f>
        <v/>
      </c>
      <c r="J26" s="9" t="str">
        <f>IF(SUMIFS(Sheet1!$E:$E,Sheet1!$C:$C,$A26,Sheet1!$A:$A,J$2)&lt;&gt;0,SUMIFS(Sheet1!$E:$E,Sheet1!$C:$C,$A26,Sheet1!$A:$A,J$2),"")</f>
        <v/>
      </c>
      <c r="K26" s="9" t="str">
        <f>IF(SUMIFS(Sheet1!$E:$E,Sheet1!$C:$C,$A26,Sheet1!$A:$A,K$2)&lt;&gt;0,SUMIFS(Sheet1!$E:$E,Sheet1!$C:$C,$A26,Sheet1!$A:$A,K$2),"")</f>
        <v/>
      </c>
      <c r="L26" s="9" t="str">
        <f>IF(SUMIFS(Sheet1!$E:$E,Sheet1!$C:$C,$A26,Sheet1!$A:$A,L$2)&lt;&gt;0,SUMIFS(Sheet1!$E:$E,Sheet1!$C:$C,$A26,Sheet1!$A:$A,L$2),"")</f>
        <v/>
      </c>
      <c r="M26" s="9" t="str">
        <f>IF(SUMIFS(Sheet1!$E:$E,Sheet1!$C:$C,$A26,Sheet1!$A:$A,M$2)&lt;&gt;0,SUMIFS(Sheet1!$E:$E,Sheet1!$C:$C,$A26,Sheet1!$A:$A,M$2),"")</f>
        <v/>
      </c>
      <c r="N26" s="9" t="str">
        <f>IF(SUMIFS(Sheet1!$E:$E,Sheet1!$C:$C,$A26,Sheet1!$A:$A,N$2)&lt;&gt;0,SUMIFS(Sheet1!$E:$E,Sheet1!$C:$C,$A26,Sheet1!$A:$A,N$2),"")</f>
        <v/>
      </c>
      <c r="O26" s="9" t="str">
        <f>IF(SUMIFS(Sheet1!$E:$E,Sheet1!$C:$C,$A26,Sheet1!$A:$A,O$2)&lt;&gt;0,SUMIFS(Sheet1!$E:$E,Sheet1!$C:$C,$A26,Sheet1!$A:$A,O$2),"")</f>
        <v/>
      </c>
      <c r="P26" s="9" t="str">
        <f>IF(SUMIFS(Sheet1!$E:$E,Sheet1!$C:$C,$A26,Sheet1!$A:$A,P$2)&lt;&gt;0,SUMIFS(Sheet1!$E:$E,Sheet1!$C:$C,$A26,Sheet1!$A:$A,P$2),"")</f>
        <v/>
      </c>
      <c r="Q26" s="9" t="str">
        <f>IF(SUMIFS(Sheet1!$E:$E,Sheet1!$C:$C,$A26,Sheet1!$A:$A,Q$2)&lt;&gt;0,SUMIFS(Sheet1!$E:$E,Sheet1!$C:$C,$A26,Sheet1!$A:$A,Q$2),"")</f>
        <v/>
      </c>
      <c r="R26" s="9" t="str">
        <f>IF(SUMIFS(Sheet1!$E:$E,Sheet1!$C:$C,$A26,Sheet1!$A:$A,R$2)&lt;&gt;0,SUMIFS(Sheet1!$E:$E,Sheet1!$C:$C,$A26,Sheet1!$A:$A,R$2),"")</f>
        <v/>
      </c>
      <c r="S26" s="9" t="str">
        <f>IF(SUMIFS(Sheet1!$E:$E,Sheet1!$C:$C,$A26,Sheet1!$A:$A,S$2)&lt;&gt;0,SUMIFS(Sheet1!$E:$E,Sheet1!$C:$C,$A26,Sheet1!$A:$A,S$2),"")</f>
        <v/>
      </c>
      <c r="T26" s="9" t="str">
        <f>IF(SUMIFS(Sheet1!$E:$E,Sheet1!$C:$C,$A26,Sheet1!$A:$A,T$2)&lt;&gt;0,SUMIFS(Sheet1!$E:$E,Sheet1!$C:$C,$A26,Sheet1!$A:$A,T$2),"")</f>
        <v/>
      </c>
      <c r="U26" s="9" t="str">
        <f>IF(SUMIFS(Sheet1!$E:$E,Sheet1!$C:$C,$A26,Sheet1!$A:$A,U$2)&lt;&gt;0,SUMIFS(Sheet1!$E:$E,Sheet1!$C:$C,$A26,Sheet1!$A:$A,U$2),"")</f>
        <v/>
      </c>
      <c r="V26" s="9" t="str">
        <f>IF(SUMIFS(Sheet1!$E:$E,Sheet1!$C:$C,$A26,Sheet1!$A:$A,V$2)&lt;&gt;0,SUMIFS(Sheet1!$E:$E,Sheet1!$C:$C,$A26,Sheet1!$A:$A,V$2),"")</f>
        <v/>
      </c>
      <c r="W26" s="9" t="str">
        <f>IF(SUMIFS(Sheet1!$E:$E,Sheet1!$C:$C,$A26,Sheet1!$A:$A,W$2)&lt;&gt;0,SUMIFS(Sheet1!$E:$E,Sheet1!$C:$C,$A26,Sheet1!$A:$A,W$2),"")</f>
        <v/>
      </c>
      <c r="X26" s="9" t="str">
        <f>IF(SUMIFS(Sheet1!$E:$E,Sheet1!$C:$C,$A26,Sheet1!$A:$A,X$2)&lt;&gt;0,SUMIFS(Sheet1!$E:$E,Sheet1!$C:$C,$A26,Sheet1!$A:$A,X$2),"")</f>
        <v/>
      </c>
      <c r="Y26" s="9" t="str">
        <f>IF(SUMIFS(Sheet1!$E:$E,Sheet1!$C:$C,$A26,Sheet1!$A:$A,Y$2)&lt;&gt;0,SUMIFS(Sheet1!$E:$E,Sheet1!$C:$C,$A26,Sheet1!$A:$A,Y$2),"")</f>
        <v/>
      </c>
      <c r="Z26" s="9" t="str">
        <f>IF(SUMIFS(Sheet1!$E:$E,Sheet1!$C:$C,$A26,Sheet1!$A:$A,Z$2)&lt;&gt;0,SUMIFS(Sheet1!$E:$E,Sheet1!$C:$C,$A26,Sheet1!$A:$A,Z$2),"")</f>
        <v/>
      </c>
      <c r="AA26" s="9" t="str">
        <f>IF(SUMIFS(Sheet1!$E:$E,Sheet1!$C:$C,$A26,Sheet1!$A:$A,AA$2)&lt;&gt;0,SUMIFS(Sheet1!$E:$E,Sheet1!$C:$C,$A26,Sheet1!$A:$A,AA$2),"")</f>
        <v/>
      </c>
      <c r="AB26" s="9" t="str">
        <f>IF(SUMIFS(Sheet1!$E:$E,Sheet1!$C:$C,$A26,Sheet1!$A:$A,AB$2)&lt;&gt;0,SUMIFS(Sheet1!$E:$E,Sheet1!$C:$C,$A26,Sheet1!$A:$A,AB$2),"")</f>
        <v/>
      </c>
      <c r="AC26" s="9" t="str">
        <f>IF(SUMIFS(Sheet1!$E:$E,Sheet1!$C:$C,$A26,Sheet1!$A:$A,AC$2)&lt;&gt;0,SUMIFS(Sheet1!$E:$E,Sheet1!$C:$C,$A26,Sheet1!$A:$A,AC$2),"")</f>
        <v/>
      </c>
      <c r="AD26" s="9" t="str">
        <f>IF(SUMIFS(Sheet1!$E:$E,Sheet1!$C:$C,$A26,Sheet1!$A:$A,AD$2)&lt;&gt;0,SUMIFS(Sheet1!$E:$E,Sheet1!$C:$C,$A26,Sheet1!$A:$A,AD$2),"")</f>
        <v/>
      </c>
      <c r="AE26" s="9" t="str">
        <f>IF(SUMIFS(Sheet1!$E:$E,Sheet1!$C:$C,$A26,Sheet1!$A:$A,AE$2)&lt;&gt;0,SUMIFS(Sheet1!$E:$E,Sheet1!$C:$C,$A26,Sheet1!$A:$A,AE$2),"")</f>
        <v/>
      </c>
      <c r="AF26" s="9" t="str">
        <f>IF(SUMIFS(Sheet1!$E:$E,Sheet1!$C:$C,$A26,Sheet1!$A:$A,AF$2)&lt;&gt;0,SUMIFS(Sheet1!$E:$E,Sheet1!$C:$C,$A26,Sheet1!$A:$A,AF$2),"")</f>
        <v/>
      </c>
      <c r="AG26" s="9" t="str">
        <f>IF(SUMIFS(Sheet1!$E:$E,Sheet1!$C:$C,$A26,Sheet1!$A:$A,AG$2)&lt;&gt;0,SUMIFS(Sheet1!$E:$E,Sheet1!$C:$C,$A26,Sheet1!$A:$A,AG$2),"")</f>
        <v/>
      </c>
      <c r="AH26" s="47">
        <f>SUM(Table24[[#This Row],[1]:[31]])</f>
        <v>0</v>
      </c>
    </row>
    <row r="27" spans="1:34" ht="12.75" customHeight="1">
      <c r="A27" s="24" t="str">
        <f>DSSP!A26</f>
        <v>A075</v>
      </c>
      <c r="B27" s="25" t="str">
        <f>DSSP!B26</f>
        <v>Bánh kẹp trứng</v>
      </c>
      <c r="C27" s="9">
        <f>IF(SUMIFS(Sheet1!$E:$E,Sheet1!$C:$C,$A27,Sheet1!$A:$A,C$2)&lt;&gt;0,SUMIFS(Sheet1!$E:$E,Sheet1!$C:$C,$A27,Sheet1!$A:$A,C$2),"")</f>
        <v>20</v>
      </c>
      <c r="D27" s="9" t="str">
        <f>IF(SUMIFS(Sheet1!$E:$E,Sheet1!$C:$C,$A27,Sheet1!$A:$A,D$2)&lt;&gt;0,SUMIFS(Sheet1!$E:$E,Sheet1!$C:$C,$A27,Sheet1!$A:$A,D$2),"")</f>
        <v/>
      </c>
      <c r="E27" s="9" t="str">
        <f>IF(SUMIFS(Sheet1!$E:$E,Sheet1!$C:$C,$A27,Sheet1!$A:$A,E$2)&lt;&gt;0,SUMIFS(Sheet1!$E:$E,Sheet1!$C:$C,$A27,Sheet1!$A:$A,E$2),"")</f>
        <v/>
      </c>
      <c r="F27" s="9" t="str">
        <f>IF(SUMIFS(Sheet1!$E:$E,Sheet1!$C:$C,$A27,Sheet1!$A:$A,F$2)&lt;&gt;0,SUMIFS(Sheet1!$E:$E,Sheet1!$C:$C,$A27,Sheet1!$A:$A,F$2),"")</f>
        <v/>
      </c>
      <c r="G27" s="9" t="str">
        <f>IF(SUMIFS(Sheet1!$E:$E,Sheet1!$C:$C,$A27,Sheet1!$A:$A,G$2)&lt;&gt;0,SUMIFS(Sheet1!$E:$E,Sheet1!$C:$C,$A27,Sheet1!$A:$A,G$2),"")</f>
        <v/>
      </c>
      <c r="H27" s="9" t="str">
        <f>IF(SUMIFS(Sheet1!$E:$E,Sheet1!$C:$C,$A27,Sheet1!$A:$A,H$2)&lt;&gt;0,SUMIFS(Sheet1!$E:$E,Sheet1!$C:$C,$A27,Sheet1!$A:$A,H$2),"")</f>
        <v/>
      </c>
      <c r="I27" s="9" t="str">
        <f>IF(SUMIFS(Sheet1!$E:$E,Sheet1!$C:$C,$A27,Sheet1!$A:$A,I$2)&lt;&gt;0,SUMIFS(Sheet1!$E:$E,Sheet1!$C:$C,$A27,Sheet1!$A:$A,I$2),"")</f>
        <v/>
      </c>
      <c r="J27" s="9" t="str">
        <f>IF(SUMIFS(Sheet1!$E:$E,Sheet1!$C:$C,$A27,Sheet1!$A:$A,J$2)&lt;&gt;0,SUMIFS(Sheet1!$E:$E,Sheet1!$C:$C,$A27,Sheet1!$A:$A,J$2),"")</f>
        <v/>
      </c>
      <c r="K27" s="9" t="str">
        <f>IF(SUMIFS(Sheet1!$E:$E,Sheet1!$C:$C,$A27,Sheet1!$A:$A,K$2)&lt;&gt;0,SUMIFS(Sheet1!$E:$E,Sheet1!$C:$C,$A27,Sheet1!$A:$A,K$2),"")</f>
        <v/>
      </c>
      <c r="L27" s="9" t="str">
        <f>IF(SUMIFS(Sheet1!$E:$E,Sheet1!$C:$C,$A27,Sheet1!$A:$A,L$2)&lt;&gt;0,SUMIFS(Sheet1!$E:$E,Sheet1!$C:$C,$A27,Sheet1!$A:$A,L$2),"")</f>
        <v/>
      </c>
      <c r="M27" s="9" t="str">
        <f>IF(SUMIFS(Sheet1!$E:$E,Sheet1!$C:$C,$A27,Sheet1!$A:$A,M$2)&lt;&gt;0,SUMIFS(Sheet1!$E:$E,Sheet1!$C:$C,$A27,Sheet1!$A:$A,M$2),"")</f>
        <v/>
      </c>
      <c r="N27" s="9" t="str">
        <f>IF(SUMIFS(Sheet1!$E:$E,Sheet1!$C:$C,$A27,Sheet1!$A:$A,N$2)&lt;&gt;0,SUMIFS(Sheet1!$E:$E,Sheet1!$C:$C,$A27,Sheet1!$A:$A,N$2),"")</f>
        <v/>
      </c>
      <c r="O27" s="9" t="str">
        <f>IF(SUMIFS(Sheet1!$E:$E,Sheet1!$C:$C,$A27,Sheet1!$A:$A,O$2)&lt;&gt;0,SUMIFS(Sheet1!$E:$E,Sheet1!$C:$C,$A27,Sheet1!$A:$A,O$2),"")</f>
        <v/>
      </c>
      <c r="P27" s="9" t="str">
        <f>IF(SUMIFS(Sheet1!$E:$E,Sheet1!$C:$C,$A27,Sheet1!$A:$A,P$2)&lt;&gt;0,SUMIFS(Sheet1!$E:$E,Sheet1!$C:$C,$A27,Sheet1!$A:$A,P$2),"")</f>
        <v/>
      </c>
      <c r="Q27" s="9" t="str">
        <f>IF(SUMIFS(Sheet1!$E:$E,Sheet1!$C:$C,$A27,Sheet1!$A:$A,Q$2)&lt;&gt;0,SUMIFS(Sheet1!$E:$E,Sheet1!$C:$C,$A27,Sheet1!$A:$A,Q$2),"")</f>
        <v/>
      </c>
      <c r="R27" s="9" t="str">
        <f>IF(SUMIFS(Sheet1!$E:$E,Sheet1!$C:$C,$A27,Sheet1!$A:$A,R$2)&lt;&gt;0,SUMIFS(Sheet1!$E:$E,Sheet1!$C:$C,$A27,Sheet1!$A:$A,R$2),"")</f>
        <v/>
      </c>
      <c r="S27" s="9" t="str">
        <f>IF(SUMIFS(Sheet1!$E:$E,Sheet1!$C:$C,$A27,Sheet1!$A:$A,S$2)&lt;&gt;0,SUMIFS(Sheet1!$E:$E,Sheet1!$C:$C,$A27,Sheet1!$A:$A,S$2),"")</f>
        <v/>
      </c>
      <c r="T27" s="9" t="str">
        <f>IF(SUMIFS(Sheet1!$E:$E,Sheet1!$C:$C,$A27,Sheet1!$A:$A,T$2)&lt;&gt;0,SUMIFS(Sheet1!$E:$E,Sheet1!$C:$C,$A27,Sheet1!$A:$A,T$2),"")</f>
        <v/>
      </c>
      <c r="U27" s="9" t="str">
        <f>IF(SUMIFS(Sheet1!$E:$E,Sheet1!$C:$C,$A27,Sheet1!$A:$A,U$2)&lt;&gt;0,SUMIFS(Sheet1!$E:$E,Sheet1!$C:$C,$A27,Sheet1!$A:$A,U$2),"")</f>
        <v/>
      </c>
      <c r="V27" s="9" t="str">
        <f>IF(SUMIFS(Sheet1!$E:$E,Sheet1!$C:$C,$A27,Sheet1!$A:$A,V$2)&lt;&gt;0,SUMIFS(Sheet1!$E:$E,Sheet1!$C:$C,$A27,Sheet1!$A:$A,V$2),"")</f>
        <v/>
      </c>
      <c r="W27" s="9" t="str">
        <f>IF(SUMIFS(Sheet1!$E:$E,Sheet1!$C:$C,$A27,Sheet1!$A:$A,W$2)&lt;&gt;0,SUMIFS(Sheet1!$E:$E,Sheet1!$C:$C,$A27,Sheet1!$A:$A,W$2),"")</f>
        <v/>
      </c>
      <c r="X27" s="9" t="str">
        <f>IF(SUMIFS(Sheet1!$E:$E,Sheet1!$C:$C,$A27,Sheet1!$A:$A,X$2)&lt;&gt;0,SUMIFS(Sheet1!$E:$E,Sheet1!$C:$C,$A27,Sheet1!$A:$A,X$2),"")</f>
        <v/>
      </c>
      <c r="Y27" s="9" t="str">
        <f>IF(SUMIFS(Sheet1!$E:$E,Sheet1!$C:$C,$A27,Sheet1!$A:$A,Y$2)&lt;&gt;0,SUMIFS(Sheet1!$E:$E,Sheet1!$C:$C,$A27,Sheet1!$A:$A,Y$2),"")</f>
        <v/>
      </c>
      <c r="Z27" s="9" t="str">
        <f>IF(SUMIFS(Sheet1!$E:$E,Sheet1!$C:$C,$A27,Sheet1!$A:$A,Z$2)&lt;&gt;0,SUMIFS(Sheet1!$E:$E,Sheet1!$C:$C,$A27,Sheet1!$A:$A,Z$2),"")</f>
        <v/>
      </c>
      <c r="AA27" s="9" t="str">
        <f>IF(SUMIFS(Sheet1!$E:$E,Sheet1!$C:$C,$A27,Sheet1!$A:$A,AA$2)&lt;&gt;0,SUMIFS(Sheet1!$E:$E,Sheet1!$C:$C,$A27,Sheet1!$A:$A,AA$2),"")</f>
        <v/>
      </c>
      <c r="AB27" s="9" t="str">
        <f>IF(SUMIFS(Sheet1!$E:$E,Sheet1!$C:$C,$A27,Sheet1!$A:$A,AB$2)&lt;&gt;0,SUMIFS(Sheet1!$E:$E,Sheet1!$C:$C,$A27,Sheet1!$A:$A,AB$2),"")</f>
        <v/>
      </c>
      <c r="AC27" s="9" t="str">
        <f>IF(SUMIFS(Sheet1!$E:$E,Sheet1!$C:$C,$A27,Sheet1!$A:$A,AC$2)&lt;&gt;0,SUMIFS(Sheet1!$E:$E,Sheet1!$C:$C,$A27,Sheet1!$A:$A,AC$2),"")</f>
        <v/>
      </c>
      <c r="AD27" s="9" t="str">
        <f>IF(SUMIFS(Sheet1!$E:$E,Sheet1!$C:$C,$A27,Sheet1!$A:$A,AD$2)&lt;&gt;0,SUMIFS(Sheet1!$E:$E,Sheet1!$C:$C,$A27,Sheet1!$A:$A,AD$2),"")</f>
        <v/>
      </c>
      <c r="AE27" s="9" t="str">
        <f>IF(SUMIFS(Sheet1!$E:$E,Sheet1!$C:$C,$A27,Sheet1!$A:$A,AE$2)&lt;&gt;0,SUMIFS(Sheet1!$E:$E,Sheet1!$C:$C,$A27,Sheet1!$A:$A,AE$2),"")</f>
        <v/>
      </c>
      <c r="AF27" s="9" t="str">
        <f>IF(SUMIFS(Sheet1!$E:$E,Sheet1!$C:$C,$A27,Sheet1!$A:$A,AF$2)&lt;&gt;0,SUMIFS(Sheet1!$E:$E,Sheet1!$C:$C,$A27,Sheet1!$A:$A,AF$2),"")</f>
        <v/>
      </c>
      <c r="AG27" s="9" t="str">
        <f>IF(SUMIFS(Sheet1!$E:$E,Sheet1!$C:$C,$A27,Sheet1!$A:$A,AG$2)&lt;&gt;0,SUMIFS(Sheet1!$E:$E,Sheet1!$C:$C,$A27,Sheet1!$A:$A,AG$2),"")</f>
        <v/>
      </c>
      <c r="AH27" s="47">
        <f>SUM(Table24[[#This Row],[1]:[31]])</f>
        <v>20</v>
      </c>
    </row>
    <row r="28" spans="1:34" ht="12.75" customHeight="1">
      <c r="A28" s="24" t="str">
        <f>DSSP!A27</f>
        <v>A076</v>
      </c>
      <c r="B28" s="25" t="str">
        <f>DSSP!B27</f>
        <v>Búp bê Nga</v>
      </c>
      <c r="C28" s="9">
        <f>IF(SUMIFS(Sheet1!$E:$E,Sheet1!$C:$C,$A28,Sheet1!$A:$A,C$2)&lt;&gt;0,SUMIFS(Sheet1!$E:$E,Sheet1!$C:$C,$A28,Sheet1!$A:$A,C$2),"")</f>
        <v>25</v>
      </c>
      <c r="D28" s="9" t="str">
        <f>IF(SUMIFS(Sheet1!$E:$E,Sheet1!$C:$C,$A28,Sheet1!$A:$A,D$2)&lt;&gt;0,SUMIFS(Sheet1!$E:$E,Sheet1!$C:$C,$A28,Sheet1!$A:$A,D$2),"")</f>
        <v/>
      </c>
      <c r="E28" s="9" t="str">
        <f>IF(SUMIFS(Sheet1!$E:$E,Sheet1!$C:$C,$A28,Sheet1!$A:$A,E$2)&lt;&gt;0,SUMIFS(Sheet1!$E:$E,Sheet1!$C:$C,$A28,Sheet1!$A:$A,E$2),"")</f>
        <v/>
      </c>
      <c r="F28" s="9" t="str">
        <f>IF(SUMIFS(Sheet1!$E:$E,Sheet1!$C:$C,$A28,Sheet1!$A:$A,F$2)&lt;&gt;0,SUMIFS(Sheet1!$E:$E,Sheet1!$C:$C,$A28,Sheet1!$A:$A,F$2),"")</f>
        <v/>
      </c>
      <c r="G28" s="9" t="str">
        <f>IF(SUMIFS(Sheet1!$E:$E,Sheet1!$C:$C,$A28,Sheet1!$A:$A,G$2)&lt;&gt;0,SUMIFS(Sheet1!$E:$E,Sheet1!$C:$C,$A28,Sheet1!$A:$A,G$2),"")</f>
        <v/>
      </c>
      <c r="H28" s="9" t="str">
        <f>IF(SUMIFS(Sheet1!$E:$E,Sheet1!$C:$C,$A28,Sheet1!$A:$A,H$2)&lt;&gt;0,SUMIFS(Sheet1!$E:$E,Sheet1!$C:$C,$A28,Sheet1!$A:$A,H$2),"")</f>
        <v/>
      </c>
      <c r="I28" s="9" t="str">
        <f>IF(SUMIFS(Sheet1!$E:$E,Sheet1!$C:$C,$A28,Sheet1!$A:$A,I$2)&lt;&gt;0,SUMIFS(Sheet1!$E:$E,Sheet1!$C:$C,$A28,Sheet1!$A:$A,I$2),"")</f>
        <v/>
      </c>
      <c r="J28" s="9" t="str">
        <f>IF(SUMIFS(Sheet1!$E:$E,Sheet1!$C:$C,$A28,Sheet1!$A:$A,J$2)&lt;&gt;0,SUMIFS(Sheet1!$E:$E,Sheet1!$C:$C,$A28,Sheet1!$A:$A,J$2),"")</f>
        <v/>
      </c>
      <c r="K28" s="9" t="str">
        <f>IF(SUMIFS(Sheet1!$E:$E,Sheet1!$C:$C,$A28,Sheet1!$A:$A,K$2)&lt;&gt;0,SUMIFS(Sheet1!$E:$E,Sheet1!$C:$C,$A28,Sheet1!$A:$A,K$2),"")</f>
        <v/>
      </c>
      <c r="L28" s="9" t="str">
        <f>IF(SUMIFS(Sheet1!$E:$E,Sheet1!$C:$C,$A28,Sheet1!$A:$A,L$2)&lt;&gt;0,SUMIFS(Sheet1!$E:$E,Sheet1!$C:$C,$A28,Sheet1!$A:$A,L$2),"")</f>
        <v/>
      </c>
      <c r="M28" s="9" t="str">
        <f>IF(SUMIFS(Sheet1!$E:$E,Sheet1!$C:$C,$A28,Sheet1!$A:$A,M$2)&lt;&gt;0,SUMIFS(Sheet1!$E:$E,Sheet1!$C:$C,$A28,Sheet1!$A:$A,M$2),"")</f>
        <v/>
      </c>
      <c r="N28" s="9" t="str">
        <f>IF(SUMIFS(Sheet1!$E:$E,Sheet1!$C:$C,$A28,Sheet1!$A:$A,N$2)&lt;&gt;0,SUMIFS(Sheet1!$E:$E,Sheet1!$C:$C,$A28,Sheet1!$A:$A,N$2),"")</f>
        <v/>
      </c>
      <c r="O28" s="9" t="str">
        <f>IF(SUMIFS(Sheet1!$E:$E,Sheet1!$C:$C,$A28,Sheet1!$A:$A,O$2)&lt;&gt;0,SUMIFS(Sheet1!$E:$E,Sheet1!$C:$C,$A28,Sheet1!$A:$A,O$2),"")</f>
        <v/>
      </c>
      <c r="P28" s="9" t="str">
        <f>IF(SUMIFS(Sheet1!$E:$E,Sheet1!$C:$C,$A28,Sheet1!$A:$A,P$2)&lt;&gt;0,SUMIFS(Sheet1!$E:$E,Sheet1!$C:$C,$A28,Sheet1!$A:$A,P$2),"")</f>
        <v/>
      </c>
      <c r="Q28" s="9" t="str">
        <f>IF(SUMIFS(Sheet1!$E:$E,Sheet1!$C:$C,$A28,Sheet1!$A:$A,Q$2)&lt;&gt;0,SUMIFS(Sheet1!$E:$E,Sheet1!$C:$C,$A28,Sheet1!$A:$A,Q$2),"")</f>
        <v/>
      </c>
      <c r="R28" s="9" t="str">
        <f>IF(SUMIFS(Sheet1!$E:$E,Sheet1!$C:$C,$A28,Sheet1!$A:$A,R$2)&lt;&gt;0,SUMIFS(Sheet1!$E:$E,Sheet1!$C:$C,$A28,Sheet1!$A:$A,R$2),"")</f>
        <v/>
      </c>
      <c r="S28" s="9" t="str">
        <f>IF(SUMIFS(Sheet1!$E:$E,Sheet1!$C:$C,$A28,Sheet1!$A:$A,S$2)&lt;&gt;0,SUMIFS(Sheet1!$E:$E,Sheet1!$C:$C,$A28,Sheet1!$A:$A,S$2),"")</f>
        <v/>
      </c>
      <c r="T28" s="9" t="str">
        <f>IF(SUMIFS(Sheet1!$E:$E,Sheet1!$C:$C,$A28,Sheet1!$A:$A,T$2)&lt;&gt;0,SUMIFS(Sheet1!$E:$E,Sheet1!$C:$C,$A28,Sheet1!$A:$A,T$2),"")</f>
        <v/>
      </c>
      <c r="U28" s="9" t="str">
        <f>IF(SUMIFS(Sheet1!$E:$E,Sheet1!$C:$C,$A28,Sheet1!$A:$A,U$2)&lt;&gt;0,SUMIFS(Sheet1!$E:$E,Sheet1!$C:$C,$A28,Sheet1!$A:$A,U$2),"")</f>
        <v/>
      </c>
      <c r="V28" s="9" t="str">
        <f>IF(SUMIFS(Sheet1!$E:$E,Sheet1!$C:$C,$A28,Sheet1!$A:$A,V$2)&lt;&gt;0,SUMIFS(Sheet1!$E:$E,Sheet1!$C:$C,$A28,Sheet1!$A:$A,V$2),"")</f>
        <v/>
      </c>
      <c r="W28" s="9" t="str">
        <f>IF(SUMIFS(Sheet1!$E:$E,Sheet1!$C:$C,$A28,Sheet1!$A:$A,W$2)&lt;&gt;0,SUMIFS(Sheet1!$E:$E,Sheet1!$C:$C,$A28,Sheet1!$A:$A,W$2),"")</f>
        <v/>
      </c>
      <c r="X28" s="9" t="str">
        <f>IF(SUMIFS(Sheet1!$E:$E,Sheet1!$C:$C,$A28,Sheet1!$A:$A,X$2)&lt;&gt;0,SUMIFS(Sheet1!$E:$E,Sheet1!$C:$C,$A28,Sheet1!$A:$A,X$2),"")</f>
        <v/>
      </c>
      <c r="Y28" s="9" t="str">
        <f>IF(SUMIFS(Sheet1!$E:$E,Sheet1!$C:$C,$A28,Sheet1!$A:$A,Y$2)&lt;&gt;0,SUMIFS(Sheet1!$E:$E,Sheet1!$C:$C,$A28,Sheet1!$A:$A,Y$2),"")</f>
        <v/>
      </c>
      <c r="Z28" s="9" t="str">
        <f>IF(SUMIFS(Sheet1!$E:$E,Sheet1!$C:$C,$A28,Sheet1!$A:$A,Z$2)&lt;&gt;0,SUMIFS(Sheet1!$E:$E,Sheet1!$C:$C,$A28,Sheet1!$A:$A,Z$2),"")</f>
        <v/>
      </c>
      <c r="AA28" s="9" t="str">
        <f>IF(SUMIFS(Sheet1!$E:$E,Sheet1!$C:$C,$A28,Sheet1!$A:$A,AA$2)&lt;&gt;0,SUMIFS(Sheet1!$E:$E,Sheet1!$C:$C,$A28,Sheet1!$A:$A,AA$2),"")</f>
        <v/>
      </c>
      <c r="AB28" s="9" t="str">
        <f>IF(SUMIFS(Sheet1!$E:$E,Sheet1!$C:$C,$A28,Sheet1!$A:$A,AB$2)&lt;&gt;0,SUMIFS(Sheet1!$E:$E,Sheet1!$C:$C,$A28,Sheet1!$A:$A,AB$2),"")</f>
        <v/>
      </c>
      <c r="AC28" s="9" t="str">
        <f>IF(SUMIFS(Sheet1!$E:$E,Sheet1!$C:$C,$A28,Sheet1!$A:$A,AC$2)&lt;&gt;0,SUMIFS(Sheet1!$E:$E,Sheet1!$C:$C,$A28,Sheet1!$A:$A,AC$2),"")</f>
        <v/>
      </c>
      <c r="AD28" s="9" t="str">
        <f>IF(SUMIFS(Sheet1!$E:$E,Sheet1!$C:$C,$A28,Sheet1!$A:$A,AD$2)&lt;&gt;0,SUMIFS(Sheet1!$E:$E,Sheet1!$C:$C,$A28,Sheet1!$A:$A,AD$2),"")</f>
        <v/>
      </c>
      <c r="AE28" s="9" t="str">
        <f>IF(SUMIFS(Sheet1!$E:$E,Sheet1!$C:$C,$A28,Sheet1!$A:$A,AE$2)&lt;&gt;0,SUMIFS(Sheet1!$E:$E,Sheet1!$C:$C,$A28,Sheet1!$A:$A,AE$2),"")</f>
        <v/>
      </c>
      <c r="AF28" s="9" t="str">
        <f>IF(SUMIFS(Sheet1!$E:$E,Sheet1!$C:$C,$A28,Sheet1!$A:$A,AF$2)&lt;&gt;0,SUMIFS(Sheet1!$E:$E,Sheet1!$C:$C,$A28,Sheet1!$A:$A,AF$2),"")</f>
        <v/>
      </c>
      <c r="AG28" s="9" t="str">
        <f>IF(SUMIFS(Sheet1!$E:$E,Sheet1!$C:$C,$A28,Sheet1!$A:$A,AG$2)&lt;&gt;0,SUMIFS(Sheet1!$E:$E,Sheet1!$C:$C,$A28,Sheet1!$A:$A,AG$2),"")</f>
        <v/>
      </c>
      <c r="AH28" s="47">
        <f>SUM(Table24[[#This Row],[1]:[31]])</f>
        <v>25</v>
      </c>
    </row>
    <row r="29" spans="1:34" ht="12.75" customHeight="1">
      <c r="A29" s="24" t="str">
        <f>DSSP!A28</f>
        <v>A077</v>
      </c>
      <c r="B29" s="25" t="str">
        <f>DSSP!B28</f>
        <v>Chim</v>
      </c>
      <c r="C29" s="9">
        <f>IF(SUMIFS(Sheet1!$E:$E,Sheet1!$C:$C,$A29,Sheet1!$A:$A,C$2)&lt;&gt;0,SUMIFS(Sheet1!$E:$E,Sheet1!$C:$C,$A29,Sheet1!$A:$A,C$2),"")</f>
        <v>34</v>
      </c>
      <c r="D29" s="9" t="str">
        <f>IF(SUMIFS(Sheet1!$E:$E,Sheet1!$C:$C,$A29,Sheet1!$A:$A,D$2)&lt;&gt;0,SUMIFS(Sheet1!$E:$E,Sheet1!$C:$C,$A29,Sheet1!$A:$A,D$2),"")</f>
        <v/>
      </c>
      <c r="E29" s="9" t="str">
        <f>IF(SUMIFS(Sheet1!$E:$E,Sheet1!$C:$C,$A29,Sheet1!$A:$A,E$2)&lt;&gt;0,SUMIFS(Sheet1!$E:$E,Sheet1!$C:$C,$A29,Sheet1!$A:$A,E$2),"")</f>
        <v/>
      </c>
      <c r="F29" s="9" t="str">
        <f>IF(SUMIFS(Sheet1!$E:$E,Sheet1!$C:$C,$A29,Sheet1!$A:$A,F$2)&lt;&gt;0,SUMIFS(Sheet1!$E:$E,Sheet1!$C:$C,$A29,Sheet1!$A:$A,F$2),"")</f>
        <v/>
      </c>
      <c r="G29" s="9" t="str">
        <f>IF(SUMIFS(Sheet1!$E:$E,Sheet1!$C:$C,$A29,Sheet1!$A:$A,G$2)&lt;&gt;0,SUMIFS(Sheet1!$E:$E,Sheet1!$C:$C,$A29,Sheet1!$A:$A,G$2),"")</f>
        <v/>
      </c>
      <c r="H29" s="9" t="str">
        <f>IF(SUMIFS(Sheet1!$E:$E,Sheet1!$C:$C,$A29,Sheet1!$A:$A,H$2)&lt;&gt;0,SUMIFS(Sheet1!$E:$E,Sheet1!$C:$C,$A29,Sheet1!$A:$A,H$2),"")</f>
        <v/>
      </c>
      <c r="I29" s="9" t="str">
        <f>IF(SUMIFS(Sheet1!$E:$E,Sheet1!$C:$C,$A29,Sheet1!$A:$A,I$2)&lt;&gt;0,SUMIFS(Sheet1!$E:$E,Sheet1!$C:$C,$A29,Sheet1!$A:$A,I$2),"")</f>
        <v/>
      </c>
      <c r="J29" s="9" t="str">
        <f>IF(SUMIFS(Sheet1!$E:$E,Sheet1!$C:$C,$A29,Sheet1!$A:$A,J$2)&lt;&gt;0,SUMIFS(Sheet1!$E:$E,Sheet1!$C:$C,$A29,Sheet1!$A:$A,J$2),"")</f>
        <v/>
      </c>
      <c r="K29" s="9" t="str">
        <f>IF(SUMIFS(Sheet1!$E:$E,Sheet1!$C:$C,$A29,Sheet1!$A:$A,K$2)&lt;&gt;0,SUMIFS(Sheet1!$E:$E,Sheet1!$C:$C,$A29,Sheet1!$A:$A,K$2),"")</f>
        <v/>
      </c>
      <c r="L29" s="9" t="str">
        <f>IF(SUMIFS(Sheet1!$E:$E,Sheet1!$C:$C,$A29,Sheet1!$A:$A,L$2)&lt;&gt;0,SUMIFS(Sheet1!$E:$E,Sheet1!$C:$C,$A29,Sheet1!$A:$A,L$2),"")</f>
        <v/>
      </c>
      <c r="M29" s="9" t="str">
        <f>IF(SUMIFS(Sheet1!$E:$E,Sheet1!$C:$C,$A29,Sheet1!$A:$A,M$2)&lt;&gt;0,SUMIFS(Sheet1!$E:$E,Sheet1!$C:$C,$A29,Sheet1!$A:$A,M$2),"")</f>
        <v/>
      </c>
      <c r="N29" s="9" t="str">
        <f>IF(SUMIFS(Sheet1!$E:$E,Sheet1!$C:$C,$A29,Sheet1!$A:$A,N$2)&lt;&gt;0,SUMIFS(Sheet1!$E:$E,Sheet1!$C:$C,$A29,Sheet1!$A:$A,N$2),"")</f>
        <v/>
      </c>
      <c r="O29" s="9" t="str">
        <f>IF(SUMIFS(Sheet1!$E:$E,Sheet1!$C:$C,$A29,Sheet1!$A:$A,O$2)&lt;&gt;0,SUMIFS(Sheet1!$E:$E,Sheet1!$C:$C,$A29,Sheet1!$A:$A,O$2),"")</f>
        <v/>
      </c>
      <c r="P29" s="9" t="str">
        <f>IF(SUMIFS(Sheet1!$E:$E,Sheet1!$C:$C,$A29,Sheet1!$A:$A,P$2)&lt;&gt;0,SUMIFS(Sheet1!$E:$E,Sheet1!$C:$C,$A29,Sheet1!$A:$A,P$2),"")</f>
        <v/>
      </c>
      <c r="Q29" s="9" t="str">
        <f>IF(SUMIFS(Sheet1!$E:$E,Sheet1!$C:$C,$A29,Sheet1!$A:$A,Q$2)&lt;&gt;0,SUMIFS(Sheet1!$E:$E,Sheet1!$C:$C,$A29,Sheet1!$A:$A,Q$2),"")</f>
        <v/>
      </c>
      <c r="R29" s="9" t="str">
        <f>IF(SUMIFS(Sheet1!$E:$E,Sheet1!$C:$C,$A29,Sheet1!$A:$A,R$2)&lt;&gt;0,SUMIFS(Sheet1!$E:$E,Sheet1!$C:$C,$A29,Sheet1!$A:$A,R$2),"")</f>
        <v/>
      </c>
      <c r="S29" s="9" t="str">
        <f>IF(SUMIFS(Sheet1!$E:$E,Sheet1!$C:$C,$A29,Sheet1!$A:$A,S$2)&lt;&gt;0,SUMIFS(Sheet1!$E:$E,Sheet1!$C:$C,$A29,Sheet1!$A:$A,S$2),"")</f>
        <v/>
      </c>
      <c r="T29" s="9" t="str">
        <f>IF(SUMIFS(Sheet1!$E:$E,Sheet1!$C:$C,$A29,Sheet1!$A:$A,T$2)&lt;&gt;0,SUMIFS(Sheet1!$E:$E,Sheet1!$C:$C,$A29,Sheet1!$A:$A,T$2),"")</f>
        <v/>
      </c>
      <c r="U29" s="9" t="str">
        <f>IF(SUMIFS(Sheet1!$E:$E,Sheet1!$C:$C,$A29,Sheet1!$A:$A,U$2)&lt;&gt;0,SUMIFS(Sheet1!$E:$E,Sheet1!$C:$C,$A29,Sheet1!$A:$A,U$2),"")</f>
        <v/>
      </c>
      <c r="V29" s="9" t="str">
        <f>IF(SUMIFS(Sheet1!$E:$E,Sheet1!$C:$C,$A29,Sheet1!$A:$A,V$2)&lt;&gt;0,SUMIFS(Sheet1!$E:$E,Sheet1!$C:$C,$A29,Sheet1!$A:$A,V$2),"")</f>
        <v/>
      </c>
      <c r="W29" s="9" t="str">
        <f>IF(SUMIFS(Sheet1!$E:$E,Sheet1!$C:$C,$A29,Sheet1!$A:$A,W$2)&lt;&gt;0,SUMIFS(Sheet1!$E:$E,Sheet1!$C:$C,$A29,Sheet1!$A:$A,W$2),"")</f>
        <v/>
      </c>
      <c r="X29" s="9" t="str">
        <f>IF(SUMIFS(Sheet1!$E:$E,Sheet1!$C:$C,$A29,Sheet1!$A:$A,X$2)&lt;&gt;0,SUMIFS(Sheet1!$E:$E,Sheet1!$C:$C,$A29,Sheet1!$A:$A,X$2),"")</f>
        <v/>
      </c>
      <c r="Y29" s="9" t="str">
        <f>IF(SUMIFS(Sheet1!$E:$E,Sheet1!$C:$C,$A29,Sheet1!$A:$A,Y$2)&lt;&gt;0,SUMIFS(Sheet1!$E:$E,Sheet1!$C:$C,$A29,Sheet1!$A:$A,Y$2),"")</f>
        <v/>
      </c>
      <c r="Z29" s="9" t="str">
        <f>IF(SUMIFS(Sheet1!$E:$E,Sheet1!$C:$C,$A29,Sheet1!$A:$A,Z$2)&lt;&gt;0,SUMIFS(Sheet1!$E:$E,Sheet1!$C:$C,$A29,Sheet1!$A:$A,Z$2),"")</f>
        <v/>
      </c>
      <c r="AA29" s="9" t="str">
        <f>IF(SUMIFS(Sheet1!$E:$E,Sheet1!$C:$C,$A29,Sheet1!$A:$A,AA$2)&lt;&gt;0,SUMIFS(Sheet1!$E:$E,Sheet1!$C:$C,$A29,Sheet1!$A:$A,AA$2),"")</f>
        <v/>
      </c>
      <c r="AB29" s="9" t="str">
        <f>IF(SUMIFS(Sheet1!$E:$E,Sheet1!$C:$C,$A29,Sheet1!$A:$A,AB$2)&lt;&gt;0,SUMIFS(Sheet1!$E:$E,Sheet1!$C:$C,$A29,Sheet1!$A:$A,AB$2),"")</f>
        <v/>
      </c>
      <c r="AC29" s="9" t="str">
        <f>IF(SUMIFS(Sheet1!$E:$E,Sheet1!$C:$C,$A29,Sheet1!$A:$A,AC$2)&lt;&gt;0,SUMIFS(Sheet1!$E:$E,Sheet1!$C:$C,$A29,Sheet1!$A:$A,AC$2),"")</f>
        <v/>
      </c>
      <c r="AD29" s="9" t="str">
        <f>IF(SUMIFS(Sheet1!$E:$E,Sheet1!$C:$C,$A29,Sheet1!$A:$A,AD$2)&lt;&gt;0,SUMIFS(Sheet1!$E:$E,Sheet1!$C:$C,$A29,Sheet1!$A:$A,AD$2),"")</f>
        <v/>
      </c>
      <c r="AE29" s="9" t="str">
        <f>IF(SUMIFS(Sheet1!$E:$E,Sheet1!$C:$C,$A29,Sheet1!$A:$A,AE$2)&lt;&gt;0,SUMIFS(Sheet1!$E:$E,Sheet1!$C:$C,$A29,Sheet1!$A:$A,AE$2),"")</f>
        <v/>
      </c>
      <c r="AF29" s="9" t="str">
        <f>IF(SUMIFS(Sheet1!$E:$E,Sheet1!$C:$C,$A29,Sheet1!$A:$A,AF$2)&lt;&gt;0,SUMIFS(Sheet1!$E:$E,Sheet1!$C:$C,$A29,Sheet1!$A:$A,AF$2),"")</f>
        <v/>
      </c>
      <c r="AG29" s="9" t="str">
        <f>IF(SUMIFS(Sheet1!$E:$E,Sheet1!$C:$C,$A29,Sheet1!$A:$A,AG$2)&lt;&gt;0,SUMIFS(Sheet1!$E:$E,Sheet1!$C:$C,$A29,Sheet1!$A:$A,AG$2),"")</f>
        <v/>
      </c>
      <c r="AH29" s="47">
        <f>SUM(Table24[[#This Row],[1]:[31]])</f>
        <v>34</v>
      </c>
    </row>
    <row r="30" spans="1:34" ht="12.75" customHeight="1">
      <c r="A30" s="24" t="str">
        <f>DSSP!A29</f>
        <v>A078</v>
      </c>
      <c r="B30" s="25" t="str">
        <f>DSSP!B29</f>
        <v>Trà sữa</v>
      </c>
      <c r="C30" s="9">
        <f>IF(SUMIFS(Sheet1!$E:$E,Sheet1!$C:$C,$A30,Sheet1!$A:$A,C$2)&lt;&gt;0,SUMIFS(Sheet1!$E:$E,Sheet1!$C:$C,$A30,Sheet1!$A:$A,C$2),"")</f>
        <v>22</v>
      </c>
      <c r="D30" s="9" t="str">
        <f>IF(SUMIFS(Sheet1!$E:$E,Sheet1!$C:$C,$A30,Sheet1!$A:$A,D$2)&lt;&gt;0,SUMIFS(Sheet1!$E:$E,Sheet1!$C:$C,$A30,Sheet1!$A:$A,D$2),"")</f>
        <v/>
      </c>
      <c r="E30" s="9" t="str">
        <f>IF(SUMIFS(Sheet1!$E:$E,Sheet1!$C:$C,$A30,Sheet1!$A:$A,E$2)&lt;&gt;0,SUMIFS(Sheet1!$E:$E,Sheet1!$C:$C,$A30,Sheet1!$A:$A,E$2),"")</f>
        <v/>
      </c>
      <c r="F30" s="9" t="str">
        <f>IF(SUMIFS(Sheet1!$E:$E,Sheet1!$C:$C,$A30,Sheet1!$A:$A,F$2)&lt;&gt;0,SUMIFS(Sheet1!$E:$E,Sheet1!$C:$C,$A30,Sheet1!$A:$A,F$2),"")</f>
        <v/>
      </c>
      <c r="G30" s="9" t="str">
        <f>IF(SUMIFS(Sheet1!$E:$E,Sheet1!$C:$C,$A30,Sheet1!$A:$A,G$2)&lt;&gt;0,SUMIFS(Sheet1!$E:$E,Sheet1!$C:$C,$A30,Sheet1!$A:$A,G$2),"")</f>
        <v/>
      </c>
      <c r="H30" s="9" t="str">
        <f>IF(SUMIFS(Sheet1!$E:$E,Sheet1!$C:$C,$A30,Sheet1!$A:$A,H$2)&lt;&gt;0,SUMIFS(Sheet1!$E:$E,Sheet1!$C:$C,$A30,Sheet1!$A:$A,H$2),"")</f>
        <v/>
      </c>
      <c r="I30" s="9" t="str">
        <f>IF(SUMIFS(Sheet1!$E:$E,Sheet1!$C:$C,$A30,Sheet1!$A:$A,I$2)&lt;&gt;0,SUMIFS(Sheet1!$E:$E,Sheet1!$C:$C,$A30,Sheet1!$A:$A,I$2),"")</f>
        <v/>
      </c>
      <c r="J30" s="9" t="str">
        <f>IF(SUMIFS(Sheet1!$E:$E,Sheet1!$C:$C,$A30,Sheet1!$A:$A,J$2)&lt;&gt;0,SUMIFS(Sheet1!$E:$E,Sheet1!$C:$C,$A30,Sheet1!$A:$A,J$2),"")</f>
        <v/>
      </c>
      <c r="K30" s="9" t="str">
        <f>IF(SUMIFS(Sheet1!$E:$E,Sheet1!$C:$C,$A30,Sheet1!$A:$A,K$2)&lt;&gt;0,SUMIFS(Sheet1!$E:$E,Sheet1!$C:$C,$A30,Sheet1!$A:$A,K$2),"")</f>
        <v/>
      </c>
      <c r="L30" s="9" t="str">
        <f>IF(SUMIFS(Sheet1!$E:$E,Sheet1!$C:$C,$A30,Sheet1!$A:$A,L$2)&lt;&gt;0,SUMIFS(Sheet1!$E:$E,Sheet1!$C:$C,$A30,Sheet1!$A:$A,L$2),"")</f>
        <v/>
      </c>
      <c r="M30" s="9" t="str">
        <f>IF(SUMIFS(Sheet1!$E:$E,Sheet1!$C:$C,$A30,Sheet1!$A:$A,M$2)&lt;&gt;0,SUMIFS(Sheet1!$E:$E,Sheet1!$C:$C,$A30,Sheet1!$A:$A,M$2),"")</f>
        <v/>
      </c>
      <c r="N30" s="9" t="str">
        <f>IF(SUMIFS(Sheet1!$E:$E,Sheet1!$C:$C,$A30,Sheet1!$A:$A,N$2)&lt;&gt;0,SUMIFS(Sheet1!$E:$E,Sheet1!$C:$C,$A30,Sheet1!$A:$A,N$2),"")</f>
        <v/>
      </c>
      <c r="O30" s="9" t="str">
        <f>IF(SUMIFS(Sheet1!$E:$E,Sheet1!$C:$C,$A30,Sheet1!$A:$A,O$2)&lt;&gt;0,SUMIFS(Sheet1!$E:$E,Sheet1!$C:$C,$A30,Sheet1!$A:$A,O$2),"")</f>
        <v/>
      </c>
      <c r="P30" s="9" t="str">
        <f>IF(SUMIFS(Sheet1!$E:$E,Sheet1!$C:$C,$A30,Sheet1!$A:$A,P$2)&lt;&gt;0,SUMIFS(Sheet1!$E:$E,Sheet1!$C:$C,$A30,Sheet1!$A:$A,P$2),"")</f>
        <v/>
      </c>
      <c r="Q30" s="9" t="str">
        <f>IF(SUMIFS(Sheet1!$E:$E,Sheet1!$C:$C,$A30,Sheet1!$A:$A,Q$2)&lt;&gt;0,SUMIFS(Sheet1!$E:$E,Sheet1!$C:$C,$A30,Sheet1!$A:$A,Q$2),"")</f>
        <v/>
      </c>
      <c r="R30" s="9" t="str">
        <f>IF(SUMIFS(Sheet1!$E:$E,Sheet1!$C:$C,$A30,Sheet1!$A:$A,R$2)&lt;&gt;0,SUMIFS(Sheet1!$E:$E,Sheet1!$C:$C,$A30,Sheet1!$A:$A,R$2),"")</f>
        <v/>
      </c>
      <c r="S30" s="9" t="str">
        <f>IF(SUMIFS(Sheet1!$E:$E,Sheet1!$C:$C,$A30,Sheet1!$A:$A,S$2)&lt;&gt;0,SUMIFS(Sheet1!$E:$E,Sheet1!$C:$C,$A30,Sheet1!$A:$A,S$2),"")</f>
        <v/>
      </c>
      <c r="T30" s="9" t="str">
        <f>IF(SUMIFS(Sheet1!$E:$E,Sheet1!$C:$C,$A30,Sheet1!$A:$A,T$2)&lt;&gt;0,SUMIFS(Sheet1!$E:$E,Sheet1!$C:$C,$A30,Sheet1!$A:$A,T$2),"")</f>
        <v/>
      </c>
      <c r="U30" s="9" t="str">
        <f>IF(SUMIFS(Sheet1!$E:$E,Sheet1!$C:$C,$A30,Sheet1!$A:$A,U$2)&lt;&gt;0,SUMIFS(Sheet1!$E:$E,Sheet1!$C:$C,$A30,Sheet1!$A:$A,U$2),"")</f>
        <v/>
      </c>
      <c r="V30" s="9" t="str">
        <f>IF(SUMIFS(Sheet1!$E:$E,Sheet1!$C:$C,$A30,Sheet1!$A:$A,V$2)&lt;&gt;0,SUMIFS(Sheet1!$E:$E,Sheet1!$C:$C,$A30,Sheet1!$A:$A,V$2),"")</f>
        <v/>
      </c>
      <c r="W30" s="9" t="str">
        <f>IF(SUMIFS(Sheet1!$E:$E,Sheet1!$C:$C,$A30,Sheet1!$A:$A,W$2)&lt;&gt;0,SUMIFS(Sheet1!$E:$E,Sheet1!$C:$C,$A30,Sheet1!$A:$A,W$2),"")</f>
        <v/>
      </c>
      <c r="X30" s="9" t="str">
        <f>IF(SUMIFS(Sheet1!$E:$E,Sheet1!$C:$C,$A30,Sheet1!$A:$A,X$2)&lt;&gt;0,SUMIFS(Sheet1!$E:$E,Sheet1!$C:$C,$A30,Sheet1!$A:$A,X$2),"")</f>
        <v/>
      </c>
      <c r="Y30" s="9" t="str">
        <f>IF(SUMIFS(Sheet1!$E:$E,Sheet1!$C:$C,$A30,Sheet1!$A:$A,Y$2)&lt;&gt;0,SUMIFS(Sheet1!$E:$E,Sheet1!$C:$C,$A30,Sheet1!$A:$A,Y$2),"")</f>
        <v/>
      </c>
      <c r="Z30" s="9" t="str">
        <f>IF(SUMIFS(Sheet1!$E:$E,Sheet1!$C:$C,$A30,Sheet1!$A:$A,Z$2)&lt;&gt;0,SUMIFS(Sheet1!$E:$E,Sheet1!$C:$C,$A30,Sheet1!$A:$A,Z$2),"")</f>
        <v/>
      </c>
      <c r="AA30" s="9" t="str">
        <f>IF(SUMIFS(Sheet1!$E:$E,Sheet1!$C:$C,$A30,Sheet1!$A:$A,AA$2)&lt;&gt;0,SUMIFS(Sheet1!$E:$E,Sheet1!$C:$C,$A30,Sheet1!$A:$A,AA$2),"")</f>
        <v/>
      </c>
      <c r="AB30" s="9" t="str">
        <f>IF(SUMIFS(Sheet1!$E:$E,Sheet1!$C:$C,$A30,Sheet1!$A:$A,AB$2)&lt;&gt;0,SUMIFS(Sheet1!$E:$E,Sheet1!$C:$C,$A30,Sheet1!$A:$A,AB$2),"")</f>
        <v/>
      </c>
      <c r="AC30" s="9" t="str">
        <f>IF(SUMIFS(Sheet1!$E:$E,Sheet1!$C:$C,$A30,Sheet1!$A:$A,AC$2)&lt;&gt;0,SUMIFS(Sheet1!$E:$E,Sheet1!$C:$C,$A30,Sheet1!$A:$A,AC$2),"")</f>
        <v/>
      </c>
      <c r="AD30" s="9" t="str">
        <f>IF(SUMIFS(Sheet1!$E:$E,Sheet1!$C:$C,$A30,Sheet1!$A:$A,AD$2)&lt;&gt;0,SUMIFS(Sheet1!$E:$E,Sheet1!$C:$C,$A30,Sheet1!$A:$A,AD$2),"")</f>
        <v/>
      </c>
      <c r="AE30" s="9" t="str">
        <f>IF(SUMIFS(Sheet1!$E:$E,Sheet1!$C:$C,$A30,Sheet1!$A:$A,AE$2)&lt;&gt;0,SUMIFS(Sheet1!$E:$E,Sheet1!$C:$C,$A30,Sheet1!$A:$A,AE$2),"")</f>
        <v/>
      </c>
      <c r="AF30" s="9" t="str">
        <f>IF(SUMIFS(Sheet1!$E:$E,Sheet1!$C:$C,$A30,Sheet1!$A:$A,AF$2)&lt;&gt;0,SUMIFS(Sheet1!$E:$E,Sheet1!$C:$C,$A30,Sheet1!$A:$A,AF$2),"")</f>
        <v/>
      </c>
      <c r="AG30" s="9" t="str">
        <f>IF(SUMIFS(Sheet1!$E:$E,Sheet1!$C:$C,$A30,Sheet1!$A:$A,AG$2)&lt;&gt;0,SUMIFS(Sheet1!$E:$E,Sheet1!$C:$C,$A30,Sheet1!$A:$A,AG$2),"")</f>
        <v/>
      </c>
      <c r="AH30" s="47">
        <f>SUM(Table24[[#This Row],[1]:[31]])</f>
        <v>22</v>
      </c>
    </row>
    <row r="31" spans="1:34" ht="12.75" customHeight="1">
      <c r="A31" s="24" t="str">
        <f>DSSP!A30</f>
        <v>A079</v>
      </c>
      <c r="B31" s="25" t="str">
        <f>DSSP!B30</f>
        <v>Trăng sao</v>
      </c>
      <c r="C31" s="9">
        <f>IF(SUMIFS(Sheet1!$E:$E,Sheet1!$C:$C,$A31,Sheet1!$A:$A,C$2)&lt;&gt;0,SUMIFS(Sheet1!$E:$E,Sheet1!$C:$C,$A31,Sheet1!$A:$A,C$2),"")</f>
        <v>32</v>
      </c>
      <c r="D31" s="9" t="str">
        <f>IF(SUMIFS(Sheet1!$E:$E,Sheet1!$C:$C,$A31,Sheet1!$A:$A,D$2)&lt;&gt;0,SUMIFS(Sheet1!$E:$E,Sheet1!$C:$C,$A31,Sheet1!$A:$A,D$2),"")</f>
        <v/>
      </c>
      <c r="E31" s="9" t="str">
        <f>IF(SUMIFS(Sheet1!$E:$E,Sheet1!$C:$C,$A31,Sheet1!$A:$A,E$2)&lt;&gt;0,SUMIFS(Sheet1!$E:$E,Sheet1!$C:$C,$A31,Sheet1!$A:$A,E$2),"")</f>
        <v/>
      </c>
      <c r="F31" s="9" t="str">
        <f>IF(SUMIFS(Sheet1!$E:$E,Sheet1!$C:$C,$A31,Sheet1!$A:$A,F$2)&lt;&gt;0,SUMIFS(Sheet1!$E:$E,Sheet1!$C:$C,$A31,Sheet1!$A:$A,F$2),"")</f>
        <v/>
      </c>
      <c r="G31" s="9" t="str">
        <f>IF(SUMIFS(Sheet1!$E:$E,Sheet1!$C:$C,$A31,Sheet1!$A:$A,G$2)&lt;&gt;0,SUMIFS(Sheet1!$E:$E,Sheet1!$C:$C,$A31,Sheet1!$A:$A,G$2),"")</f>
        <v/>
      </c>
      <c r="H31" s="9" t="str">
        <f>IF(SUMIFS(Sheet1!$E:$E,Sheet1!$C:$C,$A31,Sheet1!$A:$A,H$2)&lt;&gt;0,SUMIFS(Sheet1!$E:$E,Sheet1!$C:$C,$A31,Sheet1!$A:$A,H$2),"")</f>
        <v/>
      </c>
      <c r="I31" s="9" t="str">
        <f>IF(SUMIFS(Sheet1!$E:$E,Sheet1!$C:$C,$A31,Sheet1!$A:$A,I$2)&lt;&gt;0,SUMIFS(Sheet1!$E:$E,Sheet1!$C:$C,$A31,Sheet1!$A:$A,I$2),"")</f>
        <v/>
      </c>
      <c r="J31" s="9" t="str">
        <f>IF(SUMIFS(Sheet1!$E:$E,Sheet1!$C:$C,$A31,Sheet1!$A:$A,J$2)&lt;&gt;0,SUMIFS(Sheet1!$E:$E,Sheet1!$C:$C,$A31,Sheet1!$A:$A,J$2),"")</f>
        <v/>
      </c>
      <c r="K31" s="9" t="str">
        <f>IF(SUMIFS(Sheet1!$E:$E,Sheet1!$C:$C,$A31,Sheet1!$A:$A,K$2)&lt;&gt;0,SUMIFS(Sheet1!$E:$E,Sheet1!$C:$C,$A31,Sheet1!$A:$A,K$2),"")</f>
        <v/>
      </c>
      <c r="L31" s="9" t="str">
        <f>IF(SUMIFS(Sheet1!$E:$E,Sheet1!$C:$C,$A31,Sheet1!$A:$A,L$2)&lt;&gt;0,SUMIFS(Sheet1!$E:$E,Sheet1!$C:$C,$A31,Sheet1!$A:$A,L$2),"")</f>
        <v/>
      </c>
      <c r="M31" s="9" t="str">
        <f>IF(SUMIFS(Sheet1!$E:$E,Sheet1!$C:$C,$A31,Sheet1!$A:$A,M$2)&lt;&gt;0,SUMIFS(Sheet1!$E:$E,Sheet1!$C:$C,$A31,Sheet1!$A:$A,M$2),"")</f>
        <v/>
      </c>
      <c r="N31" s="9" t="str">
        <f>IF(SUMIFS(Sheet1!$E:$E,Sheet1!$C:$C,$A31,Sheet1!$A:$A,N$2)&lt;&gt;0,SUMIFS(Sheet1!$E:$E,Sheet1!$C:$C,$A31,Sheet1!$A:$A,N$2),"")</f>
        <v/>
      </c>
      <c r="O31" s="9" t="str">
        <f>IF(SUMIFS(Sheet1!$E:$E,Sheet1!$C:$C,$A31,Sheet1!$A:$A,O$2)&lt;&gt;0,SUMIFS(Sheet1!$E:$E,Sheet1!$C:$C,$A31,Sheet1!$A:$A,O$2),"")</f>
        <v/>
      </c>
      <c r="P31" s="9" t="str">
        <f>IF(SUMIFS(Sheet1!$E:$E,Sheet1!$C:$C,$A31,Sheet1!$A:$A,P$2)&lt;&gt;0,SUMIFS(Sheet1!$E:$E,Sheet1!$C:$C,$A31,Sheet1!$A:$A,P$2),"")</f>
        <v/>
      </c>
      <c r="Q31" s="9" t="str">
        <f>IF(SUMIFS(Sheet1!$E:$E,Sheet1!$C:$C,$A31,Sheet1!$A:$A,Q$2)&lt;&gt;0,SUMIFS(Sheet1!$E:$E,Sheet1!$C:$C,$A31,Sheet1!$A:$A,Q$2),"")</f>
        <v/>
      </c>
      <c r="R31" s="9" t="str">
        <f>IF(SUMIFS(Sheet1!$E:$E,Sheet1!$C:$C,$A31,Sheet1!$A:$A,R$2)&lt;&gt;0,SUMIFS(Sheet1!$E:$E,Sheet1!$C:$C,$A31,Sheet1!$A:$A,R$2),"")</f>
        <v/>
      </c>
      <c r="S31" s="9" t="str">
        <f>IF(SUMIFS(Sheet1!$E:$E,Sheet1!$C:$C,$A31,Sheet1!$A:$A,S$2)&lt;&gt;0,SUMIFS(Sheet1!$E:$E,Sheet1!$C:$C,$A31,Sheet1!$A:$A,S$2),"")</f>
        <v/>
      </c>
      <c r="T31" s="9" t="str">
        <f>IF(SUMIFS(Sheet1!$E:$E,Sheet1!$C:$C,$A31,Sheet1!$A:$A,T$2)&lt;&gt;0,SUMIFS(Sheet1!$E:$E,Sheet1!$C:$C,$A31,Sheet1!$A:$A,T$2),"")</f>
        <v/>
      </c>
      <c r="U31" s="9" t="str">
        <f>IF(SUMIFS(Sheet1!$E:$E,Sheet1!$C:$C,$A31,Sheet1!$A:$A,U$2)&lt;&gt;0,SUMIFS(Sheet1!$E:$E,Sheet1!$C:$C,$A31,Sheet1!$A:$A,U$2),"")</f>
        <v/>
      </c>
      <c r="V31" s="9" t="str">
        <f>IF(SUMIFS(Sheet1!$E:$E,Sheet1!$C:$C,$A31,Sheet1!$A:$A,V$2)&lt;&gt;0,SUMIFS(Sheet1!$E:$E,Sheet1!$C:$C,$A31,Sheet1!$A:$A,V$2),"")</f>
        <v/>
      </c>
      <c r="W31" s="9" t="str">
        <f>IF(SUMIFS(Sheet1!$E:$E,Sheet1!$C:$C,$A31,Sheet1!$A:$A,W$2)&lt;&gt;0,SUMIFS(Sheet1!$E:$E,Sheet1!$C:$C,$A31,Sheet1!$A:$A,W$2),"")</f>
        <v/>
      </c>
      <c r="X31" s="9" t="str">
        <f>IF(SUMIFS(Sheet1!$E:$E,Sheet1!$C:$C,$A31,Sheet1!$A:$A,X$2)&lt;&gt;0,SUMIFS(Sheet1!$E:$E,Sheet1!$C:$C,$A31,Sheet1!$A:$A,X$2),"")</f>
        <v/>
      </c>
      <c r="Y31" s="9" t="str">
        <f>IF(SUMIFS(Sheet1!$E:$E,Sheet1!$C:$C,$A31,Sheet1!$A:$A,Y$2)&lt;&gt;0,SUMIFS(Sheet1!$E:$E,Sheet1!$C:$C,$A31,Sheet1!$A:$A,Y$2),"")</f>
        <v/>
      </c>
      <c r="Z31" s="9" t="str">
        <f>IF(SUMIFS(Sheet1!$E:$E,Sheet1!$C:$C,$A31,Sheet1!$A:$A,Z$2)&lt;&gt;0,SUMIFS(Sheet1!$E:$E,Sheet1!$C:$C,$A31,Sheet1!$A:$A,Z$2),"")</f>
        <v/>
      </c>
      <c r="AA31" s="9" t="str">
        <f>IF(SUMIFS(Sheet1!$E:$E,Sheet1!$C:$C,$A31,Sheet1!$A:$A,AA$2)&lt;&gt;0,SUMIFS(Sheet1!$E:$E,Sheet1!$C:$C,$A31,Sheet1!$A:$A,AA$2),"")</f>
        <v/>
      </c>
      <c r="AB31" s="9" t="str">
        <f>IF(SUMIFS(Sheet1!$E:$E,Sheet1!$C:$C,$A31,Sheet1!$A:$A,AB$2)&lt;&gt;0,SUMIFS(Sheet1!$E:$E,Sheet1!$C:$C,$A31,Sheet1!$A:$A,AB$2),"")</f>
        <v/>
      </c>
      <c r="AC31" s="9" t="str">
        <f>IF(SUMIFS(Sheet1!$E:$E,Sheet1!$C:$C,$A31,Sheet1!$A:$A,AC$2)&lt;&gt;0,SUMIFS(Sheet1!$E:$E,Sheet1!$C:$C,$A31,Sheet1!$A:$A,AC$2),"")</f>
        <v/>
      </c>
      <c r="AD31" s="9" t="str">
        <f>IF(SUMIFS(Sheet1!$E:$E,Sheet1!$C:$C,$A31,Sheet1!$A:$A,AD$2)&lt;&gt;0,SUMIFS(Sheet1!$E:$E,Sheet1!$C:$C,$A31,Sheet1!$A:$A,AD$2),"")</f>
        <v/>
      </c>
      <c r="AE31" s="9" t="str">
        <f>IF(SUMIFS(Sheet1!$E:$E,Sheet1!$C:$C,$A31,Sheet1!$A:$A,AE$2)&lt;&gt;0,SUMIFS(Sheet1!$E:$E,Sheet1!$C:$C,$A31,Sheet1!$A:$A,AE$2),"")</f>
        <v/>
      </c>
      <c r="AF31" s="9" t="str">
        <f>IF(SUMIFS(Sheet1!$E:$E,Sheet1!$C:$C,$A31,Sheet1!$A:$A,AF$2)&lt;&gt;0,SUMIFS(Sheet1!$E:$E,Sheet1!$C:$C,$A31,Sheet1!$A:$A,AF$2),"")</f>
        <v/>
      </c>
      <c r="AG31" s="9" t="str">
        <f>IF(SUMIFS(Sheet1!$E:$E,Sheet1!$C:$C,$A31,Sheet1!$A:$A,AG$2)&lt;&gt;0,SUMIFS(Sheet1!$E:$E,Sheet1!$C:$C,$A31,Sheet1!$A:$A,AG$2),"")</f>
        <v/>
      </c>
      <c r="AH31" s="47">
        <f>SUM(Table24[[#This Row],[1]:[31]])</f>
        <v>32</v>
      </c>
    </row>
    <row r="32" spans="1:34" ht="12.75" customHeight="1">
      <c r="A32" s="24" t="str">
        <f>DSSP!A31</f>
        <v>A080</v>
      </c>
      <c r="B32" s="25" t="str">
        <f>DSSP!B31</f>
        <v>Chuột cheese</v>
      </c>
      <c r="C32" s="9">
        <f>IF(SUMIFS(Sheet1!$E:$E,Sheet1!$C:$C,$A32,Sheet1!$A:$A,C$2)&lt;&gt;0,SUMIFS(Sheet1!$E:$E,Sheet1!$C:$C,$A32,Sheet1!$A:$A,C$2),"")</f>
        <v>60</v>
      </c>
      <c r="D32" s="9" t="str">
        <f>IF(SUMIFS(Sheet1!$E:$E,Sheet1!$C:$C,$A32,Sheet1!$A:$A,D$2)&lt;&gt;0,SUMIFS(Sheet1!$E:$E,Sheet1!$C:$C,$A32,Sheet1!$A:$A,D$2),"")</f>
        <v/>
      </c>
      <c r="E32" s="9" t="str">
        <f>IF(SUMIFS(Sheet1!$E:$E,Sheet1!$C:$C,$A32,Sheet1!$A:$A,E$2)&lt;&gt;0,SUMIFS(Sheet1!$E:$E,Sheet1!$C:$C,$A32,Sheet1!$A:$A,E$2),"")</f>
        <v/>
      </c>
      <c r="F32" s="9" t="str">
        <f>IF(SUMIFS(Sheet1!$E:$E,Sheet1!$C:$C,$A32,Sheet1!$A:$A,F$2)&lt;&gt;0,SUMIFS(Sheet1!$E:$E,Sheet1!$C:$C,$A32,Sheet1!$A:$A,F$2),"")</f>
        <v/>
      </c>
      <c r="G32" s="9" t="str">
        <f>IF(SUMIFS(Sheet1!$E:$E,Sheet1!$C:$C,$A32,Sheet1!$A:$A,G$2)&lt;&gt;0,SUMIFS(Sheet1!$E:$E,Sheet1!$C:$C,$A32,Sheet1!$A:$A,G$2),"")</f>
        <v/>
      </c>
      <c r="H32" s="9" t="str">
        <f>IF(SUMIFS(Sheet1!$E:$E,Sheet1!$C:$C,$A32,Sheet1!$A:$A,H$2)&lt;&gt;0,SUMIFS(Sheet1!$E:$E,Sheet1!$C:$C,$A32,Sheet1!$A:$A,H$2),"")</f>
        <v/>
      </c>
      <c r="I32" s="9" t="str">
        <f>IF(SUMIFS(Sheet1!$E:$E,Sheet1!$C:$C,$A32,Sheet1!$A:$A,I$2)&lt;&gt;0,SUMIFS(Sheet1!$E:$E,Sheet1!$C:$C,$A32,Sheet1!$A:$A,I$2),"")</f>
        <v/>
      </c>
      <c r="J32" s="9" t="str">
        <f>IF(SUMIFS(Sheet1!$E:$E,Sheet1!$C:$C,$A32,Sheet1!$A:$A,J$2)&lt;&gt;0,SUMIFS(Sheet1!$E:$E,Sheet1!$C:$C,$A32,Sheet1!$A:$A,J$2),"")</f>
        <v/>
      </c>
      <c r="K32" s="9" t="str">
        <f>IF(SUMIFS(Sheet1!$E:$E,Sheet1!$C:$C,$A32,Sheet1!$A:$A,K$2)&lt;&gt;0,SUMIFS(Sheet1!$E:$E,Sheet1!$C:$C,$A32,Sheet1!$A:$A,K$2),"")</f>
        <v/>
      </c>
      <c r="L32" s="9" t="str">
        <f>IF(SUMIFS(Sheet1!$E:$E,Sheet1!$C:$C,$A32,Sheet1!$A:$A,L$2)&lt;&gt;0,SUMIFS(Sheet1!$E:$E,Sheet1!$C:$C,$A32,Sheet1!$A:$A,L$2),"")</f>
        <v/>
      </c>
      <c r="M32" s="9" t="str">
        <f>IF(SUMIFS(Sheet1!$E:$E,Sheet1!$C:$C,$A32,Sheet1!$A:$A,M$2)&lt;&gt;0,SUMIFS(Sheet1!$E:$E,Sheet1!$C:$C,$A32,Sheet1!$A:$A,M$2),"")</f>
        <v/>
      </c>
      <c r="N32" s="9" t="str">
        <f>IF(SUMIFS(Sheet1!$E:$E,Sheet1!$C:$C,$A32,Sheet1!$A:$A,N$2)&lt;&gt;0,SUMIFS(Sheet1!$E:$E,Sheet1!$C:$C,$A32,Sheet1!$A:$A,N$2),"")</f>
        <v/>
      </c>
      <c r="O32" s="9" t="str">
        <f>IF(SUMIFS(Sheet1!$E:$E,Sheet1!$C:$C,$A32,Sheet1!$A:$A,O$2)&lt;&gt;0,SUMIFS(Sheet1!$E:$E,Sheet1!$C:$C,$A32,Sheet1!$A:$A,O$2),"")</f>
        <v/>
      </c>
      <c r="P32" s="9" t="str">
        <f>IF(SUMIFS(Sheet1!$E:$E,Sheet1!$C:$C,$A32,Sheet1!$A:$A,P$2)&lt;&gt;0,SUMIFS(Sheet1!$E:$E,Sheet1!$C:$C,$A32,Sheet1!$A:$A,P$2),"")</f>
        <v/>
      </c>
      <c r="Q32" s="9" t="str">
        <f>IF(SUMIFS(Sheet1!$E:$E,Sheet1!$C:$C,$A32,Sheet1!$A:$A,Q$2)&lt;&gt;0,SUMIFS(Sheet1!$E:$E,Sheet1!$C:$C,$A32,Sheet1!$A:$A,Q$2),"")</f>
        <v/>
      </c>
      <c r="R32" s="9" t="str">
        <f>IF(SUMIFS(Sheet1!$E:$E,Sheet1!$C:$C,$A32,Sheet1!$A:$A,R$2)&lt;&gt;0,SUMIFS(Sheet1!$E:$E,Sheet1!$C:$C,$A32,Sheet1!$A:$A,R$2),"")</f>
        <v/>
      </c>
      <c r="S32" s="9" t="str">
        <f>IF(SUMIFS(Sheet1!$E:$E,Sheet1!$C:$C,$A32,Sheet1!$A:$A,S$2)&lt;&gt;0,SUMIFS(Sheet1!$E:$E,Sheet1!$C:$C,$A32,Sheet1!$A:$A,S$2),"")</f>
        <v/>
      </c>
      <c r="T32" s="9" t="str">
        <f>IF(SUMIFS(Sheet1!$E:$E,Sheet1!$C:$C,$A32,Sheet1!$A:$A,T$2)&lt;&gt;0,SUMIFS(Sheet1!$E:$E,Sheet1!$C:$C,$A32,Sheet1!$A:$A,T$2),"")</f>
        <v/>
      </c>
      <c r="U32" s="9" t="str">
        <f>IF(SUMIFS(Sheet1!$E:$E,Sheet1!$C:$C,$A32,Sheet1!$A:$A,U$2)&lt;&gt;0,SUMIFS(Sheet1!$E:$E,Sheet1!$C:$C,$A32,Sheet1!$A:$A,U$2),"")</f>
        <v/>
      </c>
      <c r="V32" s="9" t="str">
        <f>IF(SUMIFS(Sheet1!$E:$E,Sheet1!$C:$C,$A32,Sheet1!$A:$A,V$2)&lt;&gt;0,SUMIFS(Sheet1!$E:$E,Sheet1!$C:$C,$A32,Sheet1!$A:$A,V$2),"")</f>
        <v/>
      </c>
      <c r="W32" s="9" t="str">
        <f>IF(SUMIFS(Sheet1!$E:$E,Sheet1!$C:$C,$A32,Sheet1!$A:$A,W$2)&lt;&gt;0,SUMIFS(Sheet1!$E:$E,Sheet1!$C:$C,$A32,Sheet1!$A:$A,W$2),"")</f>
        <v/>
      </c>
      <c r="X32" s="9" t="str">
        <f>IF(SUMIFS(Sheet1!$E:$E,Sheet1!$C:$C,$A32,Sheet1!$A:$A,X$2)&lt;&gt;0,SUMIFS(Sheet1!$E:$E,Sheet1!$C:$C,$A32,Sheet1!$A:$A,X$2),"")</f>
        <v/>
      </c>
      <c r="Y32" s="9" t="str">
        <f>IF(SUMIFS(Sheet1!$E:$E,Sheet1!$C:$C,$A32,Sheet1!$A:$A,Y$2)&lt;&gt;0,SUMIFS(Sheet1!$E:$E,Sheet1!$C:$C,$A32,Sheet1!$A:$A,Y$2),"")</f>
        <v/>
      </c>
      <c r="Z32" s="9" t="str">
        <f>IF(SUMIFS(Sheet1!$E:$E,Sheet1!$C:$C,$A32,Sheet1!$A:$A,Z$2)&lt;&gt;0,SUMIFS(Sheet1!$E:$E,Sheet1!$C:$C,$A32,Sheet1!$A:$A,Z$2),"")</f>
        <v/>
      </c>
      <c r="AA32" s="9" t="str">
        <f>IF(SUMIFS(Sheet1!$E:$E,Sheet1!$C:$C,$A32,Sheet1!$A:$A,AA$2)&lt;&gt;0,SUMIFS(Sheet1!$E:$E,Sheet1!$C:$C,$A32,Sheet1!$A:$A,AA$2),"")</f>
        <v/>
      </c>
      <c r="AB32" s="9" t="str">
        <f>IF(SUMIFS(Sheet1!$E:$E,Sheet1!$C:$C,$A32,Sheet1!$A:$A,AB$2)&lt;&gt;0,SUMIFS(Sheet1!$E:$E,Sheet1!$C:$C,$A32,Sheet1!$A:$A,AB$2),"")</f>
        <v/>
      </c>
      <c r="AC32" s="9" t="str">
        <f>IF(SUMIFS(Sheet1!$E:$E,Sheet1!$C:$C,$A32,Sheet1!$A:$A,AC$2)&lt;&gt;0,SUMIFS(Sheet1!$E:$E,Sheet1!$C:$C,$A32,Sheet1!$A:$A,AC$2),"")</f>
        <v/>
      </c>
      <c r="AD32" s="9" t="str">
        <f>IF(SUMIFS(Sheet1!$E:$E,Sheet1!$C:$C,$A32,Sheet1!$A:$A,AD$2)&lt;&gt;0,SUMIFS(Sheet1!$E:$E,Sheet1!$C:$C,$A32,Sheet1!$A:$A,AD$2),"")</f>
        <v/>
      </c>
      <c r="AE32" s="9" t="str">
        <f>IF(SUMIFS(Sheet1!$E:$E,Sheet1!$C:$C,$A32,Sheet1!$A:$A,AE$2)&lt;&gt;0,SUMIFS(Sheet1!$E:$E,Sheet1!$C:$C,$A32,Sheet1!$A:$A,AE$2),"")</f>
        <v/>
      </c>
      <c r="AF32" s="9" t="str">
        <f>IF(SUMIFS(Sheet1!$E:$E,Sheet1!$C:$C,$A32,Sheet1!$A:$A,AF$2)&lt;&gt;0,SUMIFS(Sheet1!$E:$E,Sheet1!$C:$C,$A32,Sheet1!$A:$A,AF$2),"")</f>
        <v/>
      </c>
      <c r="AG32" s="9" t="str">
        <f>IF(SUMIFS(Sheet1!$E:$E,Sheet1!$C:$C,$A32,Sheet1!$A:$A,AG$2)&lt;&gt;0,SUMIFS(Sheet1!$E:$E,Sheet1!$C:$C,$A32,Sheet1!$A:$A,AG$2),"")</f>
        <v/>
      </c>
      <c r="AH32" s="47">
        <f>SUM(Table24[[#This Row],[1]:[31]])</f>
        <v>60</v>
      </c>
    </row>
    <row r="33" spans="1:34" ht="12.75" customHeight="1">
      <c r="A33" s="24" t="str">
        <f>DSSP!A32</f>
        <v>A085</v>
      </c>
      <c r="B33" s="25" t="str">
        <f>DSSP!B32</f>
        <v>Trà sữa</v>
      </c>
      <c r="C33" s="9" t="str">
        <f>IF(SUMIFS(Sheet1!$E:$E,Sheet1!$C:$C,$A33,Sheet1!$A:$A,C$2)&lt;&gt;0,SUMIFS(Sheet1!$E:$E,Sheet1!$C:$C,$A33,Sheet1!$A:$A,C$2),"")</f>
        <v/>
      </c>
      <c r="D33" s="9" t="str">
        <f>IF(SUMIFS(Sheet1!$E:$E,Sheet1!$C:$C,$A33,Sheet1!$A:$A,D$2)&lt;&gt;0,SUMIFS(Sheet1!$E:$E,Sheet1!$C:$C,$A33,Sheet1!$A:$A,D$2),"")</f>
        <v/>
      </c>
      <c r="E33" s="9" t="str">
        <f>IF(SUMIFS(Sheet1!$E:$E,Sheet1!$C:$C,$A33,Sheet1!$A:$A,E$2)&lt;&gt;0,SUMIFS(Sheet1!$E:$E,Sheet1!$C:$C,$A33,Sheet1!$A:$A,E$2),"")</f>
        <v/>
      </c>
      <c r="F33" s="9" t="str">
        <f>IF(SUMIFS(Sheet1!$E:$E,Sheet1!$C:$C,$A33,Sheet1!$A:$A,F$2)&lt;&gt;0,SUMIFS(Sheet1!$E:$E,Sheet1!$C:$C,$A33,Sheet1!$A:$A,F$2),"")</f>
        <v/>
      </c>
      <c r="G33" s="9" t="str">
        <f>IF(SUMIFS(Sheet1!$E:$E,Sheet1!$C:$C,$A33,Sheet1!$A:$A,G$2)&lt;&gt;0,SUMIFS(Sheet1!$E:$E,Sheet1!$C:$C,$A33,Sheet1!$A:$A,G$2),"")</f>
        <v/>
      </c>
      <c r="H33" s="9" t="str">
        <f>IF(SUMIFS(Sheet1!$E:$E,Sheet1!$C:$C,$A33,Sheet1!$A:$A,H$2)&lt;&gt;0,SUMIFS(Sheet1!$E:$E,Sheet1!$C:$C,$A33,Sheet1!$A:$A,H$2),"")</f>
        <v/>
      </c>
      <c r="I33" s="9" t="str">
        <f>IF(SUMIFS(Sheet1!$E:$E,Sheet1!$C:$C,$A33,Sheet1!$A:$A,I$2)&lt;&gt;0,SUMIFS(Sheet1!$E:$E,Sheet1!$C:$C,$A33,Sheet1!$A:$A,I$2),"")</f>
        <v/>
      </c>
      <c r="J33" s="9" t="str">
        <f>IF(SUMIFS(Sheet1!$E:$E,Sheet1!$C:$C,$A33,Sheet1!$A:$A,J$2)&lt;&gt;0,SUMIFS(Sheet1!$E:$E,Sheet1!$C:$C,$A33,Sheet1!$A:$A,J$2),"")</f>
        <v/>
      </c>
      <c r="K33" s="9" t="str">
        <f>IF(SUMIFS(Sheet1!$E:$E,Sheet1!$C:$C,$A33,Sheet1!$A:$A,K$2)&lt;&gt;0,SUMIFS(Sheet1!$E:$E,Sheet1!$C:$C,$A33,Sheet1!$A:$A,K$2),"")</f>
        <v/>
      </c>
      <c r="L33" s="9" t="str">
        <f>IF(SUMIFS(Sheet1!$E:$E,Sheet1!$C:$C,$A33,Sheet1!$A:$A,L$2)&lt;&gt;0,SUMIFS(Sheet1!$E:$E,Sheet1!$C:$C,$A33,Sheet1!$A:$A,L$2),"")</f>
        <v/>
      </c>
      <c r="M33" s="9" t="str">
        <f>IF(SUMIFS(Sheet1!$E:$E,Sheet1!$C:$C,$A33,Sheet1!$A:$A,M$2)&lt;&gt;0,SUMIFS(Sheet1!$E:$E,Sheet1!$C:$C,$A33,Sheet1!$A:$A,M$2),"")</f>
        <v/>
      </c>
      <c r="N33" s="9" t="str">
        <f>IF(SUMIFS(Sheet1!$E:$E,Sheet1!$C:$C,$A33,Sheet1!$A:$A,N$2)&lt;&gt;0,SUMIFS(Sheet1!$E:$E,Sheet1!$C:$C,$A33,Sheet1!$A:$A,N$2),"")</f>
        <v/>
      </c>
      <c r="O33" s="9" t="str">
        <f>IF(SUMIFS(Sheet1!$E:$E,Sheet1!$C:$C,$A33,Sheet1!$A:$A,O$2)&lt;&gt;0,SUMIFS(Sheet1!$E:$E,Sheet1!$C:$C,$A33,Sheet1!$A:$A,O$2),"")</f>
        <v/>
      </c>
      <c r="P33" s="9" t="str">
        <f>IF(SUMIFS(Sheet1!$E:$E,Sheet1!$C:$C,$A33,Sheet1!$A:$A,P$2)&lt;&gt;0,SUMIFS(Sheet1!$E:$E,Sheet1!$C:$C,$A33,Sheet1!$A:$A,P$2),"")</f>
        <v/>
      </c>
      <c r="Q33" s="9" t="str">
        <f>IF(SUMIFS(Sheet1!$E:$E,Sheet1!$C:$C,$A33,Sheet1!$A:$A,Q$2)&lt;&gt;0,SUMIFS(Sheet1!$E:$E,Sheet1!$C:$C,$A33,Sheet1!$A:$A,Q$2),"")</f>
        <v/>
      </c>
      <c r="R33" s="9" t="str">
        <f>IF(SUMIFS(Sheet1!$E:$E,Sheet1!$C:$C,$A33,Sheet1!$A:$A,R$2)&lt;&gt;0,SUMIFS(Sheet1!$E:$E,Sheet1!$C:$C,$A33,Sheet1!$A:$A,R$2),"")</f>
        <v/>
      </c>
      <c r="S33" s="9" t="str">
        <f>IF(SUMIFS(Sheet1!$E:$E,Sheet1!$C:$C,$A33,Sheet1!$A:$A,S$2)&lt;&gt;0,SUMIFS(Sheet1!$E:$E,Sheet1!$C:$C,$A33,Sheet1!$A:$A,S$2),"")</f>
        <v/>
      </c>
      <c r="T33" s="9" t="str">
        <f>IF(SUMIFS(Sheet1!$E:$E,Sheet1!$C:$C,$A33,Sheet1!$A:$A,T$2)&lt;&gt;0,SUMIFS(Sheet1!$E:$E,Sheet1!$C:$C,$A33,Sheet1!$A:$A,T$2),"")</f>
        <v/>
      </c>
      <c r="U33" s="9" t="str">
        <f>IF(SUMIFS(Sheet1!$E:$E,Sheet1!$C:$C,$A33,Sheet1!$A:$A,U$2)&lt;&gt;0,SUMIFS(Sheet1!$E:$E,Sheet1!$C:$C,$A33,Sheet1!$A:$A,U$2),"")</f>
        <v/>
      </c>
      <c r="V33" s="9" t="str">
        <f>IF(SUMIFS(Sheet1!$E:$E,Sheet1!$C:$C,$A33,Sheet1!$A:$A,V$2)&lt;&gt;0,SUMIFS(Sheet1!$E:$E,Sheet1!$C:$C,$A33,Sheet1!$A:$A,V$2),"")</f>
        <v/>
      </c>
      <c r="W33" s="9" t="str">
        <f>IF(SUMIFS(Sheet1!$E:$E,Sheet1!$C:$C,$A33,Sheet1!$A:$A,W$2)&lt;&gt;0,SUMIFS(Sheet1!$E:$E,Sheet1!$C:$C,$A33,Sheet1!$A:$A,W$2),"")</f>
        <v/>
      </c>
      <c r="X33" s="9" t="str">
        <f>IF(SUMIFS(Sheet1!$E:$E,Sheet1!$C:$C,$A33,Sheet1!$A:$A,X$2)&lt;&gt;0,SUMIFS(Sheet1!$E:$E,Sheet1!$C:$C,$A33,Sheet1!$A:$A,X$2),"")</f>
        <v/>
      </c>
      <c r="Y33" s="9" t="str">
        <f>IF(SUMIFS(Sheet1!$E:$E,Sheet1!$C:$C,$A33,Sheet1!$A:$A,Y$2)&lt;&gt;0,SUMIFS(Sheet1!$E:$E,Sheet1!$C:$C,$A33,Sheet1!$A:$A,Y$2),"")</f>
        <v/>
      </c>
      <c r="Z33" s="9" t="str">
        <f>IF(SUMIFS(Sheet1!$E:$E,Sheet1!$C:$C,$A33,Sheet1!$A:$A,Z$2)&lt;&gt;0,SUMIFS(Sheet1!$E:$E,Sheet1!$C:$C,$A33,Sheet1!$A:$A,Z$2),"")</f>
        <v/>
      </c>
      <c r="AA33" s="9" t="str">
        <f>IF(SUMIFS(Sheet1!$E:$E,Sheet1!$C:$C,$A33,Sheet1!$A:$A,AA$2)&lt;&gt;0,SUMIFS(Sheet1!$E:$E,Sheet1!$C:$C,$A33,Sheet1!$A:$A,AA$2),"")</f>
        <v/>
      </c>
      <c r="AB33" s="9" t="str">
        <f>IF(SUMIFS(Sheet1!$E:$E,Sheet1!$C:$C,$A33,Sheet1!$A:$A,AB$2)&lt;&gt;0,SUMIFS(Sheet1!$E:$E,Sheet1!$C:$C,$A33,Sheet1!$A:$A,AB$2),"")</f>
        <v/>
      </c>
      <c r="AC33" s="9" t="str">
        <f>IF(SUMIFS(Sheet1!$E:$E,Sheet1!$C:$C,$A33,Sheet1!$A:$A,AC$2)&lt;&gt;0,SUMIFS(Sheet1!$E:$E,Sheet1!$C:$C,$A33,Sheet1!$A:$A,AC$2),"")</f>
        <v/>
      </c>
      <c r="AD33" s="9" t="str">
        <f>IF(SUMIFS(Sheet1!$E:$E,Sheet1!$C:$C,$A33,Sheet1!$A:$A,AD$2)&lt;&gt;0,SUMIFS(Sheet1!$E:$E,Sheet1!$C:$C,$A33,Sheet1!$A:$A,AD$2),"")</f>
        <v/>
      </c>
      <c r="AE33" s="9" t="str">
        <f>IF(SUMIFS(Sheet1!$E:$E,Sheet1!$C:$C,$A33,Sheet1!$A:$A,AE$2)&lt;&gt;0,SUMIFS(Sheet1!$E:$E,Sheet1!$C:$C,$A33,Sheet1!$A:$A,AE$2),"")</f>
        <v/>
      </c>
      <c r="AF33" s="9" t="str">
        <f>IF(SUMIFS(Sheet1!$E:$E,Sheet1!$C:$C,$A33,Sheet1!$A:$A,AF$2)&lt;&gt;0,SUMIFS(Sheet1!$E:$E,Sheet1!$C:$C,$A33,Sheet1!$A:$A,AF$2),"")</f>
        <v/>
      </c>
      <c r="AG33" s="9" t="str">
        <f>IF(SUMIFS(Sheet1!$E:$E,Sheet1!$C:$C,$A33,Sheet1!$A:$A,AG$2)&lt;&gt;0,SUMIFS(Sheet1!$E:$E,Sheet1!$C:$C,$A33,Sheet1!$A:$A,AG$2),"")</f>
        <v/>
      </c>
      <c r="AH33" s="47">
        <f>SUM(Table24[[#This Row],[1]:[31]])</f>
        <v>0</v>
      </c>
    </row>
    <row r="34" spans="1:34" ht="12.75" customHeight="1">
      <c r="A34" s="24" t="str">
        <f>DSSP!A33</f>
        <v>A090</v>
      </c>
      <c r="B34" s="25" t="str">
        <f>DSSP!B33</f>
        <v>Hamster</v>
      </c>
      <c r="C34" s="9" t="str">
        <f>IF(SUMIFS(Sheet1!$E:$E,Sheet1!$C:$C,$A34,Sheet1!$A:$A,C$2)&lt;&gt;0,SUMIFS(Sheet1!$E:$E,Sheet1!$C:$C,$A34,Sheet1!$A:$A,C$2),"")</f>
        <v/>
      </c>
      <c r="D34" s="9" t="str">
        <f>IF(SUMIFS(Sheet1!$E:$E,Sheet1!$C:$C,$A34,Sheet1!$A:$A,D$2)&lt;&gt;0,SUMIFS(Sheet1!$E:$E,Sheet1!$C:$C,$A34,Sheet1!$A:$A,D$2),"")</f>
        <v/>
      </c>
      <c r="E34" s="9" t="str">
        <f>IF(SUMIFS(Sheet1!$E:$E,Sheet1!$C:$C,$A34,Sheet1!$A:$A,E$2)&lt;&gt;0,SUMIFS(Sheet1!$E:$E,Sheet1!$C:$C,$A34,Sheet1!$A:$A,E$2),"")</f>
        <v/>
      </c>
      <c r="F34" s="9" t="str">
        <f>IF(SUMIFS(Sheet1!$E:$E,Sheet1!$C:$C,$A34,Sheet1!$A:$A,F$2)&lt;&gt;0,SUMIFS(Sheet1!$E:$E,Sheet1!$C:$C,$A34,Sheet1!$A:$A,F$2),"")</f>
        <v/>
      </c>
      <c r="G34" s="9" t="str">
        <f>IF(SUMIFS(Sheet1!$E:$E,Sheet1!$C:$C,$A34,Sheet1!$A:$A,G$2)&lt;&gt;0,SUMIFS(Sheet1!$E:$E,Sheet1!$C:$C,$A34,Sheet1!$A:$A,G$2),"")</f>
        <v/>
      </c>
      <c r="H34" s="9" t="str">
        <f>IF(SUMIFS(Sheet1!$E:$E,Sheet1!$C:$C,$A34,Sheet1!$A:$A,H$2)&lt;&gt;0,SUMIFS(Sheet1!$E:$E,Sheet1!$C:$C,$A34,Sheet1!$A:$A,H$2),"")</f>
        <v/>
      </c>
      <c r="I34" s="9" t="str">
        <f>IF(SUMIFS(Sheet1!$E:$E,Sheet1!$C:$C,$A34,Sheet1!$A:$A,I$2)&lt;&gt;0,SUMIFS(Sheet1!$E:$E,Sheet1!$C:$C,$A34,Sheet1!$A:$A,I$2),"")</f>
        <v/>
      </c>
      <c r="J34" s="9" t="str">
        <f>IF(SUMIFS(Sheet1!$E:$E,Sheet1!$C:$C,$A34,Sheet1!$A:$A,J$2)&lt;&gt;0,SUMIFS(Sheet1!$E:$E,Sheet1!$C:$C,$A34,Sheet1!$A:$A,J$2),"")</f>
        <v/>
      </c>
      <c r="K34" s="9" t="str">
        <f>IF(SUMIFS(Sheet1!$E:$E,Sheet1!$C:$C,$A34,Sheet1!$A:$A,K$2)&lt;&gt;0,SUMIFS(Sheet1!$E:$E,Sheet1!$C:$C,$A34,Sheet1!$A:$A,K$2),"")</f>
        <v/>
      </c>
      <c r="L34" s="9" t="str">
        <f>IF(SUMIFS(Sheet1!$E:$E,Sheet1!$C:$C,$A34,Sheet1!$A:$A,L$2)&lt;&gt;0,SUMIFS(Sheet1!$E:$E,Sheet1!$C:$C,$A34,Sheet1!$A:$A,L$2),"")</f>
        <v/>
      </c>
      <c r="M34" s="9" t="str">
        <f>IF(SUMIFS(Sheet1!$E:$E,Sheet1!$C:$C,$A34,Sheet1!$A:$A,M$2)&lt;&gt;0,SUMIFS(Sheet1!$E:$E,Sheet1!$C:$C,$A34,Sheet1!$A:$A,M$2),"")</f>
        <v/>
      </c>
      <c r="N34" s="9" t="str">
        <f>IF(SUMIFS(Sheet1!$E:$E,Sheet1!$C:$C,$A34,Sheet1!$A:$A,N$2)&lt;&gt;0,SUMIFS(Sheet1!$E:$E,Sheet1!$C:$C,$A34,Sheet1!$A:$A,N$2),"")</f>
        <v/>
      </c>
      <c r="O34" s="9" t="str">
        <f>IF(SUMIFS(Sheet1!$E:$E,Sheet1!$C:$C,$A34,Sheet1!$A:$A,O$2)&lt;&gt;0,SUMIFS(Sheet1!$E:$E,Sheet1!$C:$C,$A34,Sheet1!$A:$A,O$2),"")</f>
        <v/>
      </c>
      <c r="P34" s="9" t="str">
        <f>IF(SUMIFS(Sheet1!$E:$E,Sheet1!$C:$C,$A34,Sheet1!$A:$A,P$2)&lt;&gt;0,SUMIFS(Sheet1!$E:$E,Sheet1!$C:$C,$A34,Sheet1!$A:$A,P$2),"")</f>
        <v/>
      </c>
      <c r="Q34" s="9" t="str">
        <f>IF(SUMIFS(Sheet1!$E:$E,Sheet1!$C:$C,$A34,Sheet1!$A:$A,Q$2)&lt;&gt;0,SUMIFS(Sheet1!$E:$E,Sheet1!$C:$C,$A34,Sheet1!$A:$A,Q$2),"")</f>
        <v/>
      </c>
      <c r="R34" s="9" t="str">
        <f>IF(SUMIFS(Sheet1!$E:$E,Sheet1!$C:$C,$A34,Sheet1!$A:$A,R$2)&lt;&gt;0,SUMIFS(Sheet1!$E:$E,Sheet1!$C:$C,$A34,Sheet1!$A:$A,R$2),"")</f>
        <v/>
      </c>
      <c r="S34" s="9" t="str">
        <f>IF(SUMIFS(Sheet1!$E:$E,Sheet1!$C:$C,$A34,Sheet1!$A:$A,S$2)&lt;&gt;0,SUMIFS(Sheet1!$E:$E,Sheet1!$C:$C,$A34,Sheet1!$A:$A,S$2),"")</f>
        <v/>
      </c>
      <c r="T34" s="9" t="str">
        <f>IF(SUMIFS(Sheet1!$E:$E,Sheet1!$C:$C,$A34,Sheet1!$A:$A,T$2)&lt;&gt;0,SUMIFS(Sheet1!$E:$E,Sheet1!$C:$C,$A34,Sheet1!$A:$A,T$2),"")</f>
        <v/>
      </c>
      <c r="U34" s="9" t="str">
        <f>IF(SUMIFS(Sheet1!$E:$E,Sheet1!$C:$C,$A34,Sheet1!$A:$A,U$2)&lt;&gt;0,SUMIFS(Sheet1!$E:$E,Sheet1!$C:$C,$A34,Sheet1!$A:$A,U$2),"")</f>
        <v/>
      </c>
      <c r="V34" s="9" t="str">
        <f>IF(SUMIFS(Sheet1!$E:$E,Sheet1!$C:$C,$A34,Sheet1!$A:$A,V$2)&lt;&gt;0,SUMIFS(Sheet1!$E:$E,Sheet1!$C:$C,$A34,Sheet1!$A:$A,V$2),"")</f>
        <v/>
      </c>
      <c r="W34" s="9" t="str">
        <f>IF(SUMIFS(Sheet1!$E:$E,Sheet1!$C:$C,$A34,Sheet1!$A:$A,W$2)&lt;&gt;0,SUMIFS(Sheet1!$E:$E,Sheet1!$C:$C,$A34,Sheet1!$A:$A,W$2),"")</f>
        <v/>
      </c>
      <c r="X34" s="9" t="str">
        <f>IF(SUMIFS(Sheet1!$E:$E,Sheet1!$C:$C,$A34,Sheet1!$A:$A,X$2)&lt;&gt;0,SUMIFS(Sheet1!$E:$E,Sheet1!$C:$C,$A34,Sheet1!$A:$A,X$2),"")</f>
        <v/>
      </c>
      <c r="Y34" s="9" t="str">
        <f>IF(SUMIFS(Sheet1!$E:$E,Sheet1!$C:$C,$A34,Sheet1!$A:$A,Y$2)&lt;&gt;0,SUMIFS(Sheet1!$E:$E,Sheet1!$C:$C,$A34,Sheet1!$A:$A,Y$2),"")</f>
        <v/>
      </c>
      <c r="Z34" s="9" t="str">
        <f>IF(SUMIFS(Sheet1!$E:$E,Sheet1!$C:$C,$A34,Sheet1!$A:$A,Z$2)&lt;&gt;0,SUMIFS(Sheet1!$E:$E,Sheet1!$C:$C,$A34,Sheet1!$A:$A,Z$2),"")</f>
        <v/>
      </c>
      <c r="AA34" s="9" t="str">
        <f>IF(SUMIFS(Sheet1!$E:$E,Sheet1!$C:$C,$A34,Sheet1!$A:$A,AA$2)&lt;&gt;0,SUMIFS(Sheet1!$E:$E,Sheet1!$C:$C,$A34,Sheet1!$A:$A,AA$2),"")</f>
        <v/>
      </c>
      <c r="AB34" s="9" t="str">
        <f>IF(SUMIFS(Sheet1!$E:$E,Sheet1!$C:$C,$A34,Sheet1!$A:$A,AB$2)&lt;&gt;0,SUMIFS(Sheet1!$E:$E,Sheet1!$C:$C,$A34,Sheet1!$A:$A,AB$2),"")</f>
        <v/>
      </c>
      <c r="AC34" s="9" t="str">
        <f>IF(SUMIFS(Sheet1!$E:$E,Sheet1!$C:$C,$A34,Sheet1!$A:$A,AC$2)&lt;&gt;0,SUMIFS(Sheet1!$E:$E,Sheet1!$C:$C,$A34,Sheet1!$A:$A,AC$2),"")</f>
        <v/>
      </c>
      <c r="AD34" s="9" t="str">
        <f>IF(SUMIFS(Sheet1!$E:$E,Sheet1!$C:$C,$A34,Sheet1!$A:$A,AD$2)&lt;&gt;0,SUMIFS(Sheet1!$E:$E,Sheet1!$C:$C,$A34,Sheet1!$A:$A,AD$2),"")</f>
        <v/>
      </c>
      <c r="AE34" s="9" t="str">
        <f>IF(SUMIFS(Sheet1!$E:$E,Sheet1!$C:$C,$A34,Sheet1!$A:$A,AE$2)&lt;&gt;0,SUMIFS(Sheet1!$E:$E,Sheet1!$C:$C,$A34,Sheet1!$A:$A,AE$2),"")</f>
        <v/>
      </c>
      <c r="AF34" s="9" t="str">
        <f>IF(SUMIFS(Sheet1!$E:$E,Sheet1!$C:$C,$A34,Sheet1!$A:$A,AF$2)&lt;&gt;0,SUMIFS(Sheet1!$E:$E,Sheet1!$C:$C,$A34,Sheet1!$A:$A,AF$2),"")</f>
        <v/>
      </c>
      <c r="AG34" s="9" t="str">
        <f>IF(SUMIFS(Sheet1!$E:$E,Sheet1!$C:$C,$A34,Sheet1!$A:$A,AG$2)&lt;&gt;0,SUMIFS(Sheet1!$E:$E,Sheet1!$C:$C,$A34,Sheet1!$A:$A,AG$2),"")</f>
        <v/>
      </c>
      <c r="AH34" s="47">
        <f>SUM(Table24[[#This Row],[1]:[31]])</f>
        <v>0</v>
      </c>
    </row>
    <row r="35" spans="1:34" ht="12.75" customHeight="1">
      <c r="A35" s="24" t="str">
        <f>DSSP!A34</f>
        <v>A091</v>
      </c>
      <c r="B35" s="25" t="str">
        <f>DSSP!B34</f>
        <v>Cánh cụt bơi</v>
      </c>
      <c r="C35" s="9" t="str">
        <f>IF(SUMIFS(Sheet1!$E:$E,Sheet1!$C:$C,$A35,Sheet1!$A:$A,C$2)&lt;&gt;0,SUMIFS(Sheet1!$E:$E,Sheet1!$C:$C,$A35,Sheet1!$A:$A,C$2),"")</f>
        <v/>
      </c>
      <c r="D35" s="9" t="str">
        <f>IF(SUMIFS(Sheet1!$E:$E,Sheet1!$C:$C,$A35,Sheet1!$A:$A,D$2)&lt;&gt;0,SUMIFS(Sheet1!$E:$E,Sheet1!$C:$C,$A35,Sheet1!$A:$A,D$2),"")</f>
        <v/>
      </c>
      <c r="E35" s="9" t="str">
        <f>IF(SUMIFS(Sheet1!$E:$E,Sheet1!$C:$C,$A35,Sheet1!$A:$A,E$2)&lt;&gt;0,SUMIFS(Sheet1!$E:$E,Sheet1!$C:$C,$A35,Sheet1!$A:$A,E$2),"")</f>
        <v/>
      </c>
      <c r="F35" s="9" t="str">
        <f>IF(SUMIFS(Sheet1!$E:$E,Sheet1!$C:$C,$A35,Sheet1!$A:$A,F$2)&lt;&gt;0,SUMIFS(Sheet1!$E:$E,Sheet1!$C:$C,$A35,Sheet1!$A:$A,F$2),"")</f>
        <v/>
      </c>
      <c r="G35" s="9" t="str">
        <f>IF(SUMIFS(Sheet1!$E:$E,Sheet1!$C:$C,$A35,Sheet1!$A:$A,G$2)&lt;&gt;0,SUMIFS(Sheet1!$E:$E,Sheet1!$C:$C,$A35,Sheet1!$A:$A,G$2),"")</f>
        <v/>
      </c>
      <c r="H35" s="9" t="str">
        <f>IF(SUMIFS(Sheet1!$E:$E,Sheet1!$C:$C,$A35,Sheet1!$A:$A,H$2)&lt;&gt;0,SUMIFS(Sheet1!$E:$E,Sheet1!$C:$C,$A35,Sheet1!$A:$A,H$2),"")</f>
        <v/>
      </c>
      <c r="I35" s="9" t="str">
        <f>IF(SUMIFS(Sheet1!$E:$E,Sheet1!$C:$C,$A35,Sheet1!$A:$A,I$2)&lt;&gt;0,SUMIFS(Sheet1!$E:$E,Sheet1!$C:$C,$A35,Sheet1!$A:$A,I$2),"")</f>
        <v/>
      </c>
      <c r="J35" s="9" t="str">
        <f>IF(SUMIFS(Sheet1!$E:$E,Sheet1!$C:$C,$A35,Sheet1!$A:$A,J$2)&lt;&gt;0,SUMIFS(Sheet1!$E:$E,Sheet1!$C:$C,$A35,Sheet1!$A:$A,J$2),"")</f>
        <v/>
      </c>
      <c r="K35" s="9" t="str">
        <f>IF(SUMIFS(Sheet1!$E:$E,Sheet1!$C:$C,$A35,Sheet1!$A:$A,K$2)&lt;&gt;0,SUMIFS(Sheet1!$E:$E,Sheet1!$C:$C,$A35,Sheet1!$A:$A,K$2),"")</f>
        <v/>
      </c>
      <c r="L35" s="9" t="str">
        <f>IF(SUMIFS(Sheet1!$E:$E,Sheet1!$C:$C,$A35,Sheet1!$A:$A,L$2)&lt;&gt;0,SUMIFS(Sheet1!$E:$E,Sheet1!$C:$C,$A35,Sheet1!$A:$A,L$2),"")</f>
        <v/>
      </c>
      <c r="M35" s="9" t="str">
        <f>IF(SUMIFS(Sheet1!$E:$E,Sheet1!$C:$C,$A35,Sheet1!$A:$A,M$2)&lt;&gt;0,SUMIFS(Sheet1!$E:$E,Sheet1!$C:$C,$A35,Sheet1!$A:$A,M$2),"")</f>
        <v/>
      </c>
      <c r="N35" s="9" t="str">
        <f>IF(SUMIFS(Sheet1!$E:$E,Sheet1!$C:$C,$A35,Sheet1!$A:$A,N$2)&lt;&gt;0,SUMIFS(Sheet1!$E:$E,Sheet1!$C:$C,$A35,Sheet1!$A:$A,N$2),"")</f>
        <v/>
      </c>
      <c r="O35" s="9" t="str">
        <f>IF(SUMIFS(Sheet1!$E:$E,Sheet1!$C:$C,$A35,Sheet1!$A:$A,O$2)&lt;&gt;0,SUMIFS(Sheet1!$E:$E,Sheet1!$C:$C,$A35,Sheet1!$A:$A,O$2),"")</f>
        <v/>
      </c>
      <c r="P35" s="9" t="str">
        <f>IF(SUMIFS(Sheet1!$E:$E,Sheet1!$C:$C,$A35,Sheet1!$A:$A,P$2)&lt;&gt;0,SUMIFS(Sheet1!$E:$E,Sheet1!$C:$C,$A35,Sheet1!$A:$A,P$2),"")</f>
        <v/>
      </c>
      <c r="Q35" s="9" t="str">
        <f>IF(SUMIFS(Sheet1!$E:$E,Sheet1!$C:$C,$A35,Sheet1!$A:$A,Q$2)&lt;&gt;0,SUMIFS(Sheet1!$E:$E,Sheet1!$C:$C,$A35,Sheet1!$A:$A,Q$2),"")</f>
        <v/>
      </c>
      <c r="R35" s="9" t="str">
        <f>IF(SUMIFS(Sheet1!$E:$E,Sheet1!$C:$C,$A35,Sheet1!$A:$A,R$2)&lt;&gt;0,SUMIFS(Sheet1!$E:$E,Sheet1!$C:$C,$A35,Sheet1!$A:$A,R$2),"")</f>
        <v/>
      </c>
      <c r="S35" s="9" t="str">
        <f>IF(SUMIFS(Sheet1!$E:$E,Sheet1!$C:$C,$A35,Sheet1!$A:$A,S$2)&lt;&gt;0,SUMIFS(Sheet1!$E:$E,Sheet1!$C:$C,$A35,Sheet1!$A:$A,S$2),"")</f>
        <v/>
      </c>
      <c r="T35" s="9" t="str">
        <f>IF(SUMIFS(Sheet1!$E:$E,Sheet1!$C:$C,$A35,Sheet1!$A:$A,T$2)&lt;&gt;0,SUMIFS(Sheet1!$E:$E,Sheet1!$C:$C,$A35,Sheet1!$A:$A,T$2),"")</f>
        <v/>
      </c>
      <c r="U35" s="9" t="str">
        <f>IF(SUMIFS(Sheet1!$E:$E,Sheet1!$C:$C,$A35,Sheet1!$A:$A,U$2)&lt;&gt;0,SUMIFS(Sheet1!$E:$E,Sheet1!$C:$C,$A35,Sheet1!$A:$A,U$2),"")</f>
        <v/>
      </c>
      <c r="V35" s="9" t="str">
        <f>IF(SUMIFS(Sheet1!$E:$E,Sheet1!$C:$C,$A35,Sheet1!$A:$A,V$2)&lt;&gt;0,SUMIFS(Sheet1!$E:$E,Sheet1!$C:$C,$A35,Sheet1!$A:$A,V$2),"")</f>
        <v/>
      </c>
      <c r="W35" s="9" t="str">
        <f>IF(SUMIFS(Sheet1!$E:$E,Sheet1!$C:$C,$A35,Sheet1!$A:$A,W$2)&lt;&gt;0,SUMIFS(Sheet1!$E:$E,Sheet1!$C:$C,$A35,Sheet1!$A:$A,W$2),"")</f>
        <v/>
      </c>
      <c r="X35" s="9" t="str">
        <f>IF(SUMIFS(Sheet1!$E:$E,Sheet1!$C:$C,$A35,Sheet1!$A:$A,X$2)&lt;&gt;0,SUMIFS(Sheet1!$E:$E,Sheet1!$C:$C,$A35,Sheet1!$A:$A,X$2),"")</f>
        <v/>
      </c>
      <c r="Y35" s="9" t="str">
        <f>IF(SUMIFS(Sheet1!$E:$E,Sheet1!$C:$C,$A35,Sheet1!$A:$A,Y$2)&lt;&gt;0,SUMIFS(Sheet1!$E:$E,Sheet1!$C:$C,$A35,Sheet1!$A:$A,Y$2),"")</f>
        <v/>
      </c>
      <c r="Z35" s="9" t="str">
        <f>IF(SUMIFS(Sheet1!$E:$E,Sheet1!$C:$C,$A35,Sheet1!$A:$A,Z$2)&lt;&gt;0,SUMIFS(Sheet1!$E:$E,Sheet1!$C:$C,$A35,Sheet1!$A:$A,Z$2),"")</f>
        <v/>
      </c>
      <c r="AA35" s="9" t="str">
        <f>IF(SUMIFS(Sheet1!$E:$E,Sheet1!$C:$C,$A35,Sheet1!$A:$A,AA$2)&lt;&gt;0,SUMIFS(Sheet1!$E:$E,Sheet1!$C:$C,$A35,Sheet1!$A:$A,AA$2),"")</f>
        <v/>
      </c>
      <c r="AB35" s="9" t="str">
        <f>IF(SUMIFS(Sheet1!$E:$E,Sheet1!$C:$C,$A35,Sheet1!$A:$A,AB$2)&lt;&gt;0,SUMIFS(Sheet1!$E:$E,Sheet1!$C:$C,$A35,Sheet1!$A:$A,AB$2),"")</f>
        <v/>
      </c>
      <c r="AC35" s="9" t="str">
        <f>IF(SUMIFS(Sheet1!$E:$E,Sheet1!$C:$C,$A35,Sheet1!$A:$A,AC$2)&lt;&gt;0,SUMIFS(Sheet1!$E:$E,Sheet1!$C:$C,$A35,Sheet1!$A:$A,AC$2),"")</f>
        <v/>
      </c>
      <c r="AD35" s="9" t="str">
        <f>IF(SUMIFS(Sheet1!$E:$E,Sheet1!$C:$C,$A35,Sheet1!$A:$A,AD$2)&lt;&gt;0,SUMIFS(Sheet1!$E:$E,Sheet1!$C:$C,$A35,Sheet1!$A:$A,AD$2),"")</f>
        <v/>
      </c>
      <c r="AE35" s="9" t="str">
        <f>IF(SUMIFS(Sheet1!$E:$E,Sheet1!$C:$C,$A35,Sheet1!$A:$A,AE$2)&lt;&gt;0,SUMIFS(Sheet1!$E:$E,Sheet1!$C:$C,$A35,Sheet1!$A:$A,AE$2),"")</f>
        <v/>
      </c>
      <c r="AF35" s="9" t="str">
        <f>IF(SUMIFS(Sheet1!$E:$E,Sheet1!$C:$C,$A35,Sheet1!$A:$A,AF$2)&lt;&gt;0,SUMIFS(Sheet1!$E:$E,Sheet1!$C:$C,$A35,Sheet1!$A:$A,AF$2),"")</f>
        <v/>
      </c>
      <c r="AG35" s="9" t="str">
        <f>IF(SUMIFS(Sheet1!$E:$E,Sheet1!$C:$C,$A35,Sheet1!$A:$A,AG$2)&lt;&gt;0,SUMIFS(Sheet1!$E:$E,Sheet1!$C:$C,$A35,Sheet1!$A:$A,AG$2),"")</f>
        <v/>
      </c>
      <c r="AH35" s="47">
        <f>SUM(Table24[[#This Row],[1]:[31]])</f>
        <v>0</v>
      </c>
    </row>
    <row r="36" spans="1:34" ht="12.75" customHeight="1">
      <c r="A36" s="24" t="str">
        <f>DSSP!A35</f>
        <v>A092</v>
      </c>
      <c r="B36" s="25" t="str">
        <f>DSSP!B35</f>
        <v>Heo đất</v>
      </c>
      <c r="C36" s="9">
        <f>IF(SUMIFS(Sheet1!$E:$E,Sheet1!$C:$C,$A36,Sheet1!$A:$A,C$2)&lt;&gt;0,SUMIFS(Sheet1!$E:$E,Sheet1!$C:$C,$A36,Sheet1!$A:$A,C$2),"")</f>
        <v>32</v>
      </c>
      <c r="D36" s="9" t="str">
        <f>IF(SUMIFS(Sheet1!$E:$E,Sheet1!$C:$C,$A36,Sheet1!$A:$A,D$2)&lt;&gt;0,SUMIFS(Sheet1!$E:$E,Sheet1!$C:$C,$A36,Sheet1!$A:$A,D$2),"")</f>
        <v/>
      </c>
      <c r="E36" s="9" t="str">
        <f>IF(SUMIFS(Sheet1!$E:$E,Sheet1!$C:$C,$A36,Sheet1!$A:$A,E$2)&lt;&gt;0,SUMIFS(Sheet1!$E:$E,Sheet1!$C:$C,$A36,Sheet1!$A:$A,E$2),"")</f>
        <v/>
      </c>
      <c r="F36" s="9" t="str">
        <f>IF(SUMIFS(Sheet1!$E:$E,Sheet1!$C:$C,$A36,Sheet1!$A:$A,F$2)&lt;&gt;0,SUMIFS(Sheet1!$E:$E,Sheet1!$C:$C,$A36,Sheet1!$A:$A,F$2),"")</f>
        <v/>
      </c>
      <c r="G36" s="9" t="str">
        <f>IF(SUMIFS(Sheet1!$E:$E,Sheet1!$C:$C,$A36,Sheet1!$A:$A,G$2)&lt;&gt;0,SUMIFS(Sheet1!$E:$E,Sheet1!$C:$C,$A36,Sheet1!$A:$A,G$2),"")</f>
        <v/>
      </c>
      <c r="H36" s="9" t="str">
        <f>IF(SUMIFS(Sheet1!$E:$E,Sheet1!$C:$C,$A36,Sheet1!$A:$A,H$2)&lt;&gt;0,SUMIFS(Sheet1!$E:$E,Sheet1!$C:$C,$A36,Sheet1!$A:$A,H$2),"")</f>
        <v/>
      </c>
      <c r="I36" s="9" t="str">
        <f>IF(SUMIFS(Sheet1!$E:$E,Sheet1!$C:$C,$A36,Sheet1!$A:$A,I$2)&lt;&gt;0,SUMIFS(Sheet1!$E:$E,Sheet1!$C:$C,$A36,Sheet1!$A:$A,I$2),"")</f>
        <v/>
      </c>
      <c r="J36" s="9" t="str">
        <f>IF(SUMIFS(Sheet1!$E:$E,Sheet1!$C:$C,$A36,Sheet1!$A:$A,J$2)&lt;&gt;0,SUMIFS(Sheet1!$E:$E,Sheet1!$C:$C,$A36,Sheet1!$A:$A,J$2),"")</f>
        <v/>
      </c>
      <c r="K36" s="9" t="str">
        <f>IF(SUMIFS(Sheet1!$E:$E,Sheet1!$C:$C,$A36,Sheet1!$A:$A,K$2)&lt;&gt;0,SUMIFS(Sheet1!$E:$E,Sheet1!$C:$C,$A36,Sheet1!$A:$A,K$2),"")</f>
        <v/>
      </c>
      <c r="L36" s="9" t="str">
        <f>IF(SUMIFS(Sheet1!$E:$E,Sheet1!$C:$C,$A36,Sheet1!$A:$A,L$2)&lt;&gt;0,SUMIFS(Sheet1!$E:$E,Sheet1!$C:$C,$A36,Sheet1!$A:$A,L$2),"")</f>
        <v/>
      </c>
      <c r="M36" s="9" t="str">
        <f>IF(SUMIFS(Sheet1!$E:$E,Sheet1!$C:$C,$A36,Sheet1!$A:$A,M$2)&lt;&gt;0,SUMIFS(Sheet1!$E:$E,Sheet1!$C:$C,$A36,Sheet1!$A:$A,M$2),"")</f>
        <v/>
      </c>
      <c r="N36" s="9" t="str">
        <f>IF(SUMIFS(Sheet1!$E:$E,Sheet1!$C:$C,$A36,Sheet1!$A:$A,N$2)&lt;&gt;0,SUMIFS(Sheet1!$E:$E,Sheet1!$C:$C,$A36,Sheet1!$A:$A,N$2),"")</f>
        <v/>
      </c>
      <c r="O36" s="9" t="str">
        <f>IF(SUMIFS(Sheet1!$E:$E,Sheet1!$C:$C,$A36,Sheet1!$A:$A,O$2)&lt;&gt;0,SUMIFS(Sheet1!$E:$E,Sheet1!$C:$C,$A36,Sheet1!$A:$A,O$2),"")</f>
        <v/>
      </c>
      <c r="P36" s="9" t="str">
        <f>IF(SUMIFS(Sheet1!$E:$E,Sheet1!$C:$C,$A36,Sheet1!$A:$A,P$2)&lt;&gt;0,SUMIFS(Sheet1!$E:$E,Sheet1!$C:$C,$A36,Sheet1!$A:$A,P$2),"")</f>
        <v/>
      </c>
      <c r="Q36" s="9" t="str">
        <f>IF(SUMIFS(Sheet1!$E:$E,Sheet1!$C:$C,$A36,Sheet1!$A:$A,Q$2)&lt;&gt;0,SUMIFS(Sheet1!$E:$E,Sheet1!$C:$C,$A36,Sheet1!$A:$A,Q$2),"")</f>
        <v/>
      </c>
      <c r="R36" s="9" t="str">
        <f>IF(SUMIFS(Sheet1!$E:$E,Sheet1!$C:$C,$A36,Sheet1!$A:$A,R$2)&lt;&gt;0,SUMIFS(Sheet1!$E:$E,Sheet1!$C:$C,$A36,Sheet1!$A:$A,R$2),"")</f>
        <v/>
      </c>
      <c r="S36" s="9" t="str">
        <f>IF(SUMIFS(Sheet1!$E:$E,Sheet1!$C:$C,$A36,Sheet1!$A:$A,S$2)&lt;&gt;0,SUMIFS(Sheet1!$E:$E,Sheet1!$C:$C,$A36,Sheet1!$A:$A,S$2),"")</f>
        <v/>
      </c>
      <c r="T36" s="9" t="str">
        <f>IF(SUMIFS(Sheet1!$E:$E,Sheet1!$C:$C,$A36,Sheet1!$A:$A,T$2)&lt;&gt;0,SUMIFS(Sheet1!$E:$E,Sheet1!$C:$C,$A36,Sheet1!$A:$A,T$2),"")</f>
        <v/>
      </c>
      <c r="U36" s="9" t="str">
        <f>IF(SUMIFS(Sheet1!$E:$E,Sheet1!$C:$C,$A36,Sheet1!$A:$A,U$2)&lt;&gt;0,SUMIFS(Sheet1!$E:$E,Sheet1!$C:$C,$A36,Sheet1!$A:$A,U$2),"")</f>
        <v/>
      </c>
      <c r="V36" s="9" t="str">
        <f>IF(SUMIFS(Sheet1!$E:$E,Sheet1!$C:$C,$A36,Sheet1!$A:$A,V$2)&lt;&gt;0,SUMIFS(Sheet1!$E:$E,Sheet1!$C:$C,$A36,Sheet1!$A:$A,V$2),"")</f>
        <v/>
      </c>
      <c r="W36" s="9" t="str">
        <f>IF(SUMIFS(Sheet1!$E:$E,Sheet1!$C:$C,$A36,Sheet1!$A:$A,W$2)&lt;&gt;0,SUMIFS(Sheet1!$E:$E,Sheet1!$C:$C,$A36,Sheet1!$A:$A,W$2),"")</f>
        <v/>
      </c>
      <c r="X36" s="9" t="str">
        <f>IF(SUMIFS(Sheet1!$E:$E,Sheet1!$C:$C,$A36,Sheet1!$A:$A,X$2)&lt;&gt;0,SUMIFS(Sheet1!$E:$E,Sheet1!$C:$C,$A36,Sheet1!$A:$A,X$2),"")</f>
        <v/>
      </c>
      <c r="Y36" s="9" t="str">
        <f>IF(SUMIFS(Sheet1!$E:$E,Sheet1!$C:$C,$A36,Sheet1!$A:$A,Y$2)&lt;&gt;0,SUMIFS(Sheet1!$E:$E,Sheet1!$C:$C,$A36,Sheet1!$A:$A,Y$2),"")</f>
        <v/>
      </c>
      <c r="Z36" s="9" t="str">
        <f>IF(SUMIFS(Sheet1!$E:$E,Sheet1!$C:$C,$A36,Sheet1!$A:$A,Z$2)&lt;&gt;0,SUMIFS(Sheet1!$E:$E,Sheet1!$C:$C,$A36,Sheet1!$A:$A,Z$2),"")</f>
        <v/>
      </c>
      <c r="AA36" s="9" t="str">
        <f>IF(SUMIFS(Sheet1!$E:$E,Sheet1!$C:$C,$A36,Sheet1!$A:$A,AA$2)&lt;&gt;0,SUMIFS(Sheet1!$E:$E,Sheet1!$C:$C,$A36,Sheet1!$A:$A,AA$2),"")</f>
        <v/>
      </c>
      <c r="AB36" s="9" t="str">
        <f>IF(SUMIFS(Sheet1!$E:$E,Sheet1!$C:$C,$A36,Sheet1!$A:$A,AB$2)&lt;&gt;0,SUMIFS(Sheet1!$E:$E,Sheet1!$C:$C,$A36,Sheet1!$A:$A,AB$2),"")</f>
        <v/>
      </c>
      <c r="AC36" s="9" t="str">
        <f>IF(SUMIFS(Sheet1!$E:$E,Sheet1!$C:$C,$A36,Sheet1!$A:$A,AC$2)&lt;&gt;0,SUMIFS(Sheet1!$E:$E,Sheet1!$C:$C,$A36,Sheet1!$A:$A,AC$2),"")</f>
        <v/>
      </c>
      <c r="AD36" s="9" t="str">
        <f>IF(SUMIFS(Sheet1!$E:$E,Sheet1!$C:$C,$A36,Sheet1!$A:$A,AD$2)&lt;&gt;0,SUMIFS(Sheet1!$E:$E,Sheet1!$C:$C,$A36,Sheet1!$A:$A,AD$2),"")</f>
        <v/>
      </c>
      <c r="AE36" s="9" t="str">
        <f>IF(SUMIFS(Sheet1!$E:$E,Sheet1!$C:$C,$A36,Sheet1!$A:$A,AE$2)&lt;&gt;0,SUMIFS(Sheet1!$E:$E,Sheet1!$C:$C,$A36,Sheet1!$A:$A,AE$2),"")</f>
        <v/>
      </c>
      <c r="AF36" s="9" t="str">
        <f>IF(SUMIFS(Sheet1!$E:$E,Sheet1!$C:$C,$A36,Sheet1!$A:$A,AF$2)&lt;&gt;0,SUMIFS(Sheet1!$E:$E,Sheet1!$C:$C,$A36,Sheet1!$A:$A,AF$2),"")</f>
        <v/>
      </c>
      <c r="AG36" s="9" t="str">
        <f>IF(SUMIFS(Sheet1!$E:$E,Sheet1!$C:$C,$A36,Sheet1!$A:$A,AG$2)&lt;&gt;0,SUMIFS(Sheet1!$E:$E,Sheet1!$C:$C,$A36,Sheet1!$A:$A,AG$2),"")</f>
        <v/>
      </c>
      <c r="AH36" s="47">
        <f>SUM(Table24[[#This Row],[1]:[31]])</f>
        <v>32</v>
      </c>
    </row>
    <row r="37" spans="1:34" ht="12.75" customHeight="1">
      <c r="A37" s="24" t="str">
        <f>DSSP!A36</f>
        <v>A121</v>
      </c>
      <c r="B37" s="25" t="str">
        <f>DSSP!B36</f>
        <v>Gà mẹ con</v>
      </c>
      <c r="C37" s="9" t="str">
        <f>IF(SUMIFS(Sheet1!$E:$E,Sheet1!$C:$C,$A37,Sheet1!$A:$A,C$2)&lt;&gt;0,SUMIFS(Sheet1!$E:$E,Sheet1!$C:$C,$A37,Sheet1!$A:$A,C$2),"")</f>
        <v/>
      </c>
      <c r="D37" s="9" t="str">
        <f>IF(SUMIFS(Sheet1!$E:$E,Sheet1!$C:$C,$A37,Sheet1!$A:$A,D$2)&lt;&gt;0,SUMIFS(Sheet1!$E:$E,Sheet1!$C:$C,$A37,Sheet1!$A:$A,D$2),"")</f>
        <v/>
      </c>
      <c r="E37" s="9" t="str">
        <f>IF(SUMIFS(Sheet1!$E:$E,Sheet1!$C:$C,$A37,Sheet1!$A:$A,E$2)&lt;&gt;0,SUMIFS(Sheet1!$E:$E,Sheet1!$C:$C,$A37,Sheet1!$A:$A,E$2),"")</f>
        <v/>
      </c>
      <c r="F37" s="9" t="str">
        <f>IF(SUMIFS(Sheet1!$E:$E,Sheet1!$C:$C,$A37,Sheet1!$A:$A,F$2)&lt;&gt;0,SUMIFS(Sheet1!$E:$E,Sheet1!$C:$C,$A37,Sheet1!$A:$A,F$2),"")</f>
        <v/>
      </c>
      <c r="G37" s="9" t="str">
        <f>IF(SUMIFS(Sheet1!$E:$E,Sheet1!$C:$C,$A37,Sheet1!$A:$A,G$2)&lt;&gt;0,SUMIFS(Sheet1!$E:$E,Sheet1!$C:$C,$A37,Sheet1!$A:$A,G$2),"")</f>
        <v/>
      </c>
      <c r="H37" s="9" t="str">
        <f>IF(SUMIFS(Sheet1!$E:$E,Sheet1!$C:$C,$A37,Sheet1!$A:$A,H$2)&lt;&gt;0,SUMIFS(Sheet1!$E:$E,Sheet1!$C:$C,$A37,Sheet1!$A:$A,H$2),"")</f>
        <v/>
      </c>
      <c r="I37" s="9" t="str">
        <f>IF(SUMIFS(Sheet1!$E:$E,Sheet1!$C:$C,$A37,Sheet1!$A:$A,I$2)&lt;&gt;0,SUMIFS(Sheet1!$E:$E,Sheet1!$C:$C,$A37,Sheet1!$A:$A,I$2),"")</f>
        <v/>
      </c>
      <c r="J37" s="9" t="str">
        <f>IF(SUMIFS(Sheet1!$E:$E,Sheet1!$C:$C,$A37,Sheet1!$A:$A,J$2)&lt;&gt;0,SUMIFS(Sheet1!$E:$E,Sheet1!$C:$C,$A37,Sheet1!$A:$A,J$2),"")</f>
        <v/>
      </c>
      <c r="K37" s="9" t="str">
        <f>IF(SUMIFS(Sheet1!$E:$E,Sheet1!$C:$C,$A37,Sheet1!$A:$A,K$2)&lt;&gt;0,SUMIFS(Sheet1!$E:$E,Sheet1!$C:$C,$A37,Sheet1!$A:$A,K$2),"")</f>
        <v/>
      </c>
      <c r="L37" s="9" t="str">
        <f>IF(SUMIFS(Sheet1!$E:$E,Sheet1!$C:$C,$A37,Sheet1!$A:$A,L$2)&lt;&gt;0,SUMIFS(Sheet1!$E:$E,Sheet1!$C:$C,$A37,Sheet1!$A:$A,L$2),"")</f>
        <v/>
      </c>
      <c r="M37" s="9" t="str">
        <f>IF(SUMIFS(Sheet1!$E:$E,Sheet1!$C:$C,$A37,Sheet1!$A:$A,M$2)&lt;&gt;0,SUMIFS(Sheet1!$E:$E,Sheet1!$C:$C,$A37,Sheet1!$A:$A,M$2),"")</f>
        <v/>
      </c>
      <c r="N37" s="9" t="str">
        <f>IF(SUMIFS(Sheet1!$E:$E,Sheet1!$C:$C,$A37,Sheet1!$A:$A,N$2)&lt;&gt;0,SUMIFS(Sheet1!$E:$E,Sheet1!$C:$C,$A37,Sheet1!$A:$A,N$2),"")</f>
        <v/>
      </c>
      <c r="O37" s="9" t="str">
        <f>IF(SUMIFS(Sheet1!$E:$E,Sheet1!$C:$C,$A37,Sheet1!$A:$A,O$2)&lt;&gt;0,SUMIFS(Sheet1!$E:$E,Sheet1!$C:$C,$A37,Sheet1!$A:$A,O$2),"")</f>
        <v/>
      </c>
      <c r="P37" s="9" t="str">
        <f>IF(SUMIFS(Sheet1!$E:$E,Sheet1!$C:$C,$A37,Sheet1!$A:$A,P$2)&lt;&gt;0,SUMIFS(Sheet1!$E:$E,Sheet1!$C:$C,$A37,Sheet1!$A:$A,P$2),"")</f>
        <v/>
      </c>
      <c r="Q37" s="9" t="str">
        <f>IF(SUMIFS(Sheet1!$E:$E,Sheet1!$C:$C,$A37,Sheet1!$A:$A,Q$2)&lt;&gt;0,SUMIFS(Sheet1!$E:$E,Sheet1!$C:$C,$A37,Sheet1!$A:$A,Q$2),"")</f>
        <v/>
      </c>
      <c r="R37" s="9" t="str">
        <f>IF(SUMIFS(Sheet1!$E:$E,Sheet1!$C:$C,$A37,Sheet1!$A:$A,R$2)&lt;&gt;0,SUMIFS(Sheet1!$E:$E,Sheet1!$C:$C,$A37,Sheet1!$A:$A,R$2),"")</f>
        <v/>
      </c>
      <c r="S37" s="9" t="str">
        <f>IF(SUMIFS(Sheet1!$E:$E,Sheet1!$C:$C,$A37,Sheet1!$A:$A,S$2)&lt;&gt;0,SUMIFS(Sheet1!$E:$E,Sheet1!$C:$C,$A37,Sheet1!$A:$A,S$2),"")</f>
        <v/>
      </c>
      <c r="T37" s="9" t="str">
        <f>IF(SUMIFS(Sheet1!$E:$E,Sheet1!$C:$C,$A37,Sheet1!$A:$A,T$2)&lt;&gt;0,SUMIFS(Sheet1!$E:$E,Sheet1!$C:$C,$A37,Sheet1!$A:$A,T$2),"")</f>
        <v/>
      </c>
      <c r="U37" s="9" t="str">
        <f>IF(SUMIFS(Sheet1!$E:$E,Sheet1!$C:$C,$A37,Sheet1!$A:$A,U$2)&lt;&gt;0,SUMIFS(Sheet1!$E:$E,Sheet1!$C:$C,$A37,Sheet1!$A:$A,U$2),"")</f>
        <v/>
      </c>
      <c r="V37" s="9" t="str">
        <f>IF(SUMIFS(Sheet1!$E:$E,Sheet1!$C:$C,$A37,Sheet1!$A:$A,V$2)&lt;&gt;0,SUMIFS(Sheet1!$E:$E,Sheet1!$C:$C,$A37,Sheet1!$A:$A,V$2),"")</f>
        <v/>
      </c>
      <c r="W37" s="9" t="str">
        <f>IF(SUMIFS(Sheet1!$E:$E,Sheet1!$C:$C,$A37,Sheet1!$A:$A,W$2)&lt;&gt;0,SUMIFS(Sheet1!$E:$E,Sheet1!$C:$C,$A37,Sheet1!$A:$A,W$2),"")</f>
        <v/>
      </c>
      <c r="X37" s="9" t="str">
        <f>IF(SUMIFS(Sheet1!$E:$E,Sheet1!$C:$C,$A37,Sheet1!$A:$A,X$2)&lt;&gt;0,SUMIFS(Sheet1!$E:$E,Sheet1!$C:$C,$A37,Sheet1!$A:$A,X$2),"")</f>
        <v/>
      </c>
      <c r="Y37" s="9" t="str">
        <f>IF(SUMIFS(Sheet1!$E:$E,Sheet1!$C:$C,$A37,Sheet1!$A:$A,Y$2)&lt;&gt;0,SUMIFS(Sheet1!$E:$E,Sheet1!$C:$C,$A37,Sheet1!$A:$A,Y$2),"")</f>
        <v/>
      </c>
      <c r="Z37" s="9" t="str">
        <f>IF(SUMIFS(Sheet1!$E:$E,Sheet1!$C:$C,$A37,Sheet1!$A:$A,Z$2)&lt;&gt;0,SUMIFS(Sheet1!$E:$E,Sheet1!$C:$C,$A37,Sheet1!$A:$A,Z$2),"")</f>
        <v/>
      </c>
      <c r="AA37" s="9" t="str">
        <f>IF(SUMIFS(Sheet1!$E:$E,Sheet1!$C:$C,$A37,Sheet1!$A:$A,AA$2)&lt;&gt;0,SUMIFS(Sheet1!$E:$E,Sheet1!$C:$C,$A37,Sheet1!$A:$A,AA$2),"")</f>
        <v/>
      </c>
      <c r="AB37" s="9" t="str">
        <f>IF(SUMIFS(Sheet1!$E:$E,Sheet1!$C:$C,$A37,Sheet1!$A:$A,AB$2)&lt;&gt;0,SUMIFS(Sheet1!$E:$E,Sheet1!$C:$C,$A37,Sheet1!$A:$A,AB$2),"")</f>
        <v/>
      </c>
      <c r="AC37" s="9" t="str">
        <f>IF(SUMIFS(Sheet1!$E:$E,Sheet1!$C:$C,$A37,Sheet1!$A:$A,AC$2)&lt;&gt;0,SUMIFS(Sheet1!$E:$E,Sheet1!$C:$C,$A37,Sheet1!$A:$A,AC$2),"")</f>
        <v/>
      </c>
      <c r="AD37" s="9" t="str">
        <f>IF(SUMIFS(Sheet1!$E:$E,Sheet1!$C:$C,$A37,Sheet1!$A:$A,AD$2)&lt;&gt;0,SUMIFS(Sheet1!$E:$E,Sheet1!$C:$C,$A37,Sheet1!$A:$A,AD$2),"")</f>
        <v/>
      </c>
      <c r="AE37" s="9" t="str">
        <f>IF(SUMIFS(Sheet1!$E:$E,Sheet1!$C:$C,$A37,Sheet1!$A:$A,AE$2)&lt;&gt;0,SUMIFS(Sheet1!$E:$E,Sheet1!$C:$C,$A37,Sheet1!$A:$A,AE$2),"")</f>
        <v/>
      </c>
      <c r="AF37" s="9" t="str">
        <f>IF(SUMIFS(Sheet1!$E:$E,Sheet1!$C:$C,$A37,Sheet1!$A:$A,AF$2)&lt;&gt;0,SUMIFS(Sheet1!$E:$E,Sheet1!$C:$C,$A37,Sheet1!$A:$A,AF$2),"")</f>
        <v/>
      </c>
      <c r="AG37" s="9" t="str">
        <f>IF(SUMIFS(Sheet1!$E:$E,Sheet1!$C:$C,$A37,Sheet1!$A:$A,AG$2)&lt;&gt;0,SUMIFS(Sheet1!$E:$E,Sheet1!$C:$C,$A37,Sheet1!$A:$A,AG$2),"")</f>
        <v/>
      </c>
      <c r="AH37" s="47">
        <f>SUM(Table24[[#This Row],[1]:[31]])</f>
        <v>0</v>
      </c>
    </row>
    <row r="38" spans="1:34" ht="12.75" customHeight="1">
      <c r="A38" s="24" t="str">
        <f>DSSP!A37</f>
        <v>A122</v>
      </c>
      <c r="B38" s="25" t="str">
        <f>DSSP!B37</f>
        <v>Ếch kêu mưa</v>
      </c>
      <c r="C38" s="9">
        <f>IF(SUMIFS(Sheet1!$E:$E,Sheet1!$C:$C,$A38,Sheet1!$A:$A,C$2)&lt;&gt;0,SUMIFS(Sheet1!$E:$E,Sheet1!$C:$C,$A38,Sheet1!$A:$A,C$2),"")</f>
        <v>18</v>
      </c>
      <c r="D38" s="9" t="str">
        <f>IF(SUMIFS(Sheet1!$E:$E,Sheet1!$C:$C,$A38,Sheet1!$A:$A,D$2)&lt;&gt;0,SUMIFS(Sheet1!$E:$E,Sheet1!$C:$C,$A38,Sheet1!$A:$A,D$2),"")</f>
        <v/>
      </c>
      <c r="E38" s="9" t="str">
        <f>IF(SUMIFS(Sheet1!$E:$E,Sheet1!$C:$C,$A38,Sheet1!$A:$A,E$2)&lt;&gt;0,SUMIFS(Sheet1!$E:$E,Sheet1!$C:$C,$A38,Sheet1!$A:$A,E$2),"")</f>
        <v/>
      </c>
      <c r="F38" s="9" t="str">
        <f>IF(SUMIFS(Sheet1!$E:$E,Sheet1!$C:$C,$A38,Sheet1!$A:$A,F$2)&lt;&gt;0,SUMIFS(Sheet1!$E:$E,Sheet1!$C:$C,$A38,Sheet1!$A:$A,F$2),"")</f>
        <v/>
      </c>
      <c r="G38" s="9" t="str">
        <f>IF(SUMIFS(Sheet1!$E:$E,Sheet1!$C:$C,$A38,Sheet1!$A:$A,G$2)&lt;&gt;0,SUMIFS(Sheet1!$E:$E,Sheet1!$C:$C,$A38,Sheet1!$A:$A,G$2),"")</f>
        <v/>
      </c>
      <c r="H38" s="9" t="str">
        <f>IF(SUMIFS(Sheet1!$E:$E,Sheet1!$C:$C,$A38,Sheet1!$A:$A,H$2)&lt;&gt;0,SUMIFS(Sheet1!$E:$E,Sheet1!$C:$C,$A38,Sheet1!$A:$A,H$2),"")</f>
        <v/>
      </c>
      <c r="I38" s="9" t="str">
        <f>IF(SUMIFS(Sheet1!$E:$E,Sheet1!$C:$C,$A38,Sheet1!$A:$A,I$2)&lt;&gt;0,SUMIFS(Sheet1!$E:$E,Sheet1!$C:$C,$A38,Sheet1!$A:$A,I$2),"")</f>
        <v/>
      </c>
      <c r="J38" s="9" t="str">
        <f>IF(SUMIFS(Sheet1!$E:$E,Sheet1!$C:$C,$A38,Sheet1!$A:$A,J$2)&lt;&gt;0,SUMIFS(Sheet1!$E:$E,Sheet1!$C:$C,$A38,Sheet1!$A:$A,J$2),"")</f>
        <v/>
      </c>
      <c r="K38" s="9" t="str">
        <f>IF(SUMIFS(Sheet1!$E:$E,Sheet1!$C:$C,$A38,Sheet1!$A:$A,K$2)&lt;&gt;0,SUMIFS(Sheet1!$E:$E,Sheet1!$C:$C,$A38,Sheet1!$A:$A,K$2),"")</f>
        <v/>
      </c>
      <c r="L38" s="9" t="str">
        <f>IF(SUMIFS(Sheet1!$E:$E,Sheet1!$C:$C,$A38,Sheet1!$A:$A,L$2)&lt;&gt;0,SUMIFS(Sheet1!$E:$E,Sheet1!$C:$C,$A38,Sheet1!$A:$A,L$2),"")</f>
        <v/>
      </c>
      <c r="M38" s="9" t="str">
        <f>IF(SUMIFS(Sheet1!$E:$E,Sheet1!$C:$C,$A38,Sheet1!$A:$A,M$2)&lt;&gt;0,SUMIFS(Sheet1!$E:$E,Sheet1!$C:$C,$A38,Sheet1!$A:$A,M$2),"")</f>
        <v/>
      </c>
      <c r="N38" s="9" t="str">
        <f>IF(SUMIFS(Sheet1!$E:$E,Sheet1!$C:$C,$A38,Sheet1!$A:$A,N$2)&lt;&gt;0,SUMIFS(Sheet1!$E:$E,Sheet1!$C:$C,$A38,Sheet1!$A:$A,N$2),"")</f>
        <v/>
      </c>
      <c r="O38" s="9" t="str">
        <f>IF(SUMIFS(Sheet1!$E:$E,Sheet1!$C:$C,$A38,Sheet1!$A:$A,O$2)&lt;&gt;0,SUMIFS(Sheet1!$E:$E,Sheet1!$C:$C,$A38,Sheet1!$A:$A,O$2),"")</f>
        <v/>
      </c>
      <c r="P38" s="9" t="str">
        <f>IF(SUMIFS(Sheet1!$E:$E,Sheet1!$C:$C,$A38,Sheet1!$A:$A,P$2)&lt;&gt;0,SUMIFS(Sheet1!$E:$E,Sheet1!$C:$C,$A38,Sheet1!$A:$A,P$2),"")</f>
        <v/>
      </c>
      <c r="Q38" s="9" t="str">
        <f>IF(SUMIFS(Sheet1!$E:$E,Sheet1!$C:$C,$A38,Sheet1!$A:$A,Q$2)&lt;&gt;0,SUMIFS(Sheet1!$E:$E,Sheet1!$C:$C,$A38,Sheet1!$A:$A,Q$2),"")</f>
        <v/>
      </c>
      <c r="R38" s="9" t="str">
        <f>IF(SUMIFS(Sheet1!$E:$E,Sheet1!$C:$C,$A38,Sheet1!$A:$A,R$2)&lt;&gt;0,SUMIFS(Sheet1!$E:$E,Sheet1!$C:$C,$A38,Sheet1!$A:$A,R$2),"")</f>
        <v/>
      </c>
      <c r="S38" s="9" t="str">
        <f>IF(SUMIFS(Sheet1!$E:$E,Sheet1!$C:$C,$A38,Sheet1!$A:$A,S$2)&lt;&gt;0,SUMIFS(Sheet1!$E:$E,Sheet1!$C:$C,$A38,Sheet1!$A:$A,S$2),"")</f>
        <v/>
      </c>
      <c r="T38" s="9" t="str">
        <f>IF(SUMIFS(Sheet1!$E:$E,Sheet1!$C:$C,$A38,Sheet1!$A:$A,T$2)&lt;&gt;0,SUMIFS(Sheet1!$E:$E,Sheet1!$C:$C,$A38,Sheet1!$A:$A,T$2),"")</f>
        <v/>
      </c>
      <c r="U38" s="9" t="str">
        <f>IF(SUMIFS(Sheet1!$E:$E,Sheet1!$C:$C,$A38,Sheet1!$A:$A,U$2)&lt;&gt;0,SUMIFS(Sheet1!$E:$E,Sheet1!$C:$C,$A38,Sheet1!$A:$A,U$2),"")</f>
        <v/>
      </c>
      <c r="V38" s="9" t="str">
        <f>IF(SUMIFS(Sheet1!$E:$E,Sheet1!$C:$C,$A38,Sheet1!$A:$A,V$2)&lt;&gt;0,SUMIFS(Sheet1!$E:$E,Sheet1!$C:$C,$A38,Sheet1!$A:$A,V$2),"")</f>
        <v/>
      </c>
      <c r="W38" s="9" t="str">
        <f>IF(SUMIFS(Sheet1!$E:$E,Sheet1!$C:$C,$A38,Sheet1!$A:$A,W$2)&lt;&gt;0,SUMIFS(Sheet1!$E:$E,Sheet1!$C:$C,$A38,Sheet1!$A:$A,W$2),"")</f>
        <v/>
      </c>
      <c r="X38" s="9" t="str">
        <f>IF(SUMIFS(Sheet1!$E:$E,Sheet1!$C:$C,$A38,Sheet1!$A:$A,X$2)&lt;&gt;0,SUMIFS(Sheet1!$E:$E,Sheet1!$C:$C,$A38,Sheet1!$A:$A,X$2),"")</f>
        <v/>
      </c>
      <c r="Y38" s="9" t="str">
        <f>IF(SUMIFS(Sheet1!$E:$E,Sheet1!$C:$C,$A38,Sheet1!$A:$A,Y$2)&lt;&gt;0,SUMIFS(Sheet1!$E:$E,Sheet1!$C:$C,$A38,Sheet1!$A:$A,Y$2),"")</f>
        <v/>
      </c>
      <c r="Z38" s="9" t="str">
        <f>IF(SUMIFS(Sheet1!$E:$E,Sheet1!$C:$C,$A38,Sheet1!$A:$A,Z$2)&lt;&gt;0,SUMIFS(Sheet1!$E:$E,Sheet1!$C:$C,$A38,Sheet1!$A:$A,Z$2),"")</f>
        <v/>
      </c>
      <c r="AA38" s="9" t="str">
        <f>IF(SUMIFS(Sheet1!$E:$E,Sheet1!$C:$C,$A38,Sheet1!$A:$A,AA$2)&lt;&gt;0,SUMIFS(Sheet1!$E:$E,Sheet1!$C:$C,$A38,Sheet1!$A:$A,AA$2),"")</f>
        <v/>
      </c>
      <c r="AB38" s="9" t="str">
        <f>IF(SUMIFS(Sheet1!$E:$E,Sheet1!$C:$C,$A38,Sheet1!$A:$A,AB$2)&lt;&gt;0,SUMIFS(Sheet1!$E:$E,Sheet1!$C:$C,$A38,Sheet1!$A:$A,AB$2),"")</f>
        <v/>
      </c>
      <c r="AC38" s="9" t="str">
        <f>IF(SUMIFS(Sheet1!$E:$E,Sheet1!$C:$C,$A38,Sheet1!$A:$A,AC$2)&lt;&gt;0,SUMIFS(Sheet1!$E:$E,Sheet1!$C:$C,$A38,Sheet1!$A:$A,AC$2),"")</f>
        <v/>
      </c>
      <c r="AD38" s="9" t="str">
        <f>IF(SUMIFS(Sheet1!$E:$E,Sheet1!$C:$C,$A38,Sheet1!$A:$A,AD$2)&lt;&gt;0,SUMIFS(Sheet1!$E:$E,Sheet1!$C:$C,$A38,Sheet1!$A:$A,AD$2),"")</f>
        <v/>
      </c>
      <c r="AE38" s="9" t="str">
        <f>IF(SUMIFS(Sheet1!$E:$E,Sheet1!$C:$C,$A38,Sheet1!$A:$A,AE$2)&lt;&gt;0,SUMIFS(Sheet1!$E:$E,Sheet1!$C:$C,$A38,Sheet1!$A:$A,AE$2),"")</f>
        <v/>
      </c>
      <c r="AF38" s="9" t="str">
        <f>IF(SUMIFS(Sheet1!$E:$E,Sheet1!$C:$C,$A38,Sheet1!$A:$A,AF$2)&lt;&gt;0,SUMIFS(Sheet1!$E:$E,Sheet1!$C:$C,$A38,Sheet1!$A:$A,AF$2),"")</f>
        <v/>
      </c>
      <c r="AG38" s="9" t="str">
        <f>IF(SUMIFS(Sheet1!$E:$E,Sheet1!$C:$C,$A38,Sheet1!$A:$A,AG$2)&lt;&gt;0,SUMIFS(Sheet1!$E:$E,Sheet1!$C:$C,$A38,Sheet1!$A:$A,AG$2),"")</f>
        <v/>
      </c>
      <c r="AH38" s="47">
        <f>SUM(Table24[[#This Row],[1]:[31]])</f>
        <v>18</v>
      </c>
    </row>
    <row r="39" spans="1:34" ht="12.75" customHeight="1">
      <c r="A39" s="24" t="str">
        <f>DSSP!A38</f>
        <v>A123</v>
      </c>
      <c r="B39" s="25" t="str">
        <f>DSSP!B38</f>
        <v>Tê giác tắm</v>
      </c>
      <c r="C39" s="9" t="str">
        <f>IF(SUMIFS(Sheet1!$E:$E,Sheet1!$C:$C,$A39,Sheet1!$A:$A,C$2)&lt;&gt;0,SUMIFS(Sheet1!$E:$E,Sheet1!$C:$C,$A39,Sheet1!$A:$A,C$2),"")</f>
        <v/>
      </c>
      <c r="D39" s="9" t="str">
        <f>IF(SUMIFS(Sheet1!$E:$E,Sheet1!$C:$C,$A39,Sheet1!$A:$A,D$2)&lt;&gt;0,SUMIFS(Sheet1!$E:$E,Sheet1!$C:$C,$A39,Sheet1!$A:$A,D$2),"")</f>
        <v/>
      </c>
      <c r="E39" s="9" t="str">
        <f>IF(SUMIFS(Sheet1!$E:$E,Sheet1!$C:$C,$A39,Sheet1!$A:$A,E$2)&lt;&gt;0,SUMIFS(Sheet1!$E:$E,Sheet1!$C:$C,$A39,Sheet1!$A:$A,E$2),"")</f>
        <v/>
      </c>
      <c r="F39" s="9" t="str">
        <f>IF(SUMIFS(Sheet1!$E:$E,Sheet1!$C:$C,$A39,Sheet1!$A:$A,F$2)&lt;&gt;0,SUMIFS(Sheet1!$E:$E,Sheet1!$C:$C,$A39,Sheet1!$A:$A,F$2),"")</f>
        <v/>
      </c>
      <c r="G39" s="9" t="str">
        <f>IF(SUMIFS(Sheet1!$E:$E,Sheet1!$C:$C,$A39,Sheet1!$A:$A,G$2)&lt;&gt;0,SUMIFS(Sheet1!$E:$E,Sheet1!$C:$C,$A39,Sheet1!$A:$A,G$2),"")</f>
        <v/>
      </c>
      <c r="H39" s="9" t="str">
        <f>IF(SUMIFS(Sheet1!$E:$E,Sheet1!$C:$C,$A39,Sheet1!$A:$A,H$2)&lt;&gt;0,SUMIFS(Sheet1!$E:$E,Sheet1!$C:$C,$A39,Sheet1!$A:$A,H$2),"")</f>
        <v/>
      </c>
      <c r="I39" s="9" t="str">
        <f>IF(SUMIFS(Sheet1!$E:$E,Sheet1!$C:$C,$A39,Sheet1!$A:$A,I$2)&lt;&gt;0,SUMIFS(Sheet1!$E:$E,Sheet1!$C:$C,$A39,Sheet1!$A:$A,I$2),"")</f>
        <v/>
      </c>
      <c r="J39" s="9" t="str">
        <f>IF(SUMIFS(Sheet1!$E:$E,Sheet1!$C:$C,$A39,Sheet1!$A:$A,J$2)&lt;&gt;0,SUMIFS(Sheet1!$E:$E,Sheet1!$C:$C,$A39,Sheet1!$A:$A,J$2),"")</f>
        <v/>
      </c>
      <c r="K39" s="9" t="str">
        <f>IF(SUMIFS(Sheet1!$E:$E,Sheet1!$C:$C,$A39,Sheet1!$A:$A,K$2)&lt;&gt;0,SUMIFS(Sheet1!$E:$E,Sheet1!$C:$C,$A39,Sheet1!$A:$A,K$2),"")</f>
        <v/>
      </c>
      <c r="L39" s="9" t="str">
        <f>IF(SUMIFS(Sheet1!$E:$E,Sheet1!$C:$C,$A39,Sheet1!$A:$A,L$2)&lt;&gt;0,SUMIFS(Sheet1!$E:$E,Sheet1!$C:$C,$A39,Sheet1!$A:$A,L$2),"")</f>
        <v/>
      </c>
      <c r="M39" s="9" t="str">
        <f>IF(SUMIFS(Sheet1!$E:$E,Sheet1!$C:$C,$A39,Sheet1!$A:$A,M$2)&lt;&gt;0,SUMIFS(Sheet1!$E:$E,Sheet1!$C:$C,$A39,Sheet1!$A:$A,M$2),"")</f>
        <v/>
      </c>
      <c r="N39" s="9" t="str">
        <f>IF(SUMIFS(Sheet1!$E:$E,Sheet1!$C:$C,$A39,Sheet1!$A:$A,N$2)&lt;&gt;0,SUMIFS(Sheet1!$E:$E,Sheet1!$C:$C,$A39,Sheet1!$A:$A,N$2),"")</f>
        <v/>
      </c>
      <c r="O39" s="9" t="str">
        <f>IF(SUMIFS(Sheet1!$E:$E,Sheet1!$C:$C,$A39,Sheet1!$A:$A,O$2)&lt;&gt;0,SUMIFS(Sheet1!$E:$E,Sheet1!$C:$C,$A39,Sheet1!$A:$A,O$2),"")</f>
        <v/>
      </c>
      <c r="P39" s="9" t="str">
        <f>IF(SUMIFS(Sheet1!$E:$E,Sheet1!$C:$C,$A39,Sheet1!$A:$A,P$2)&lt;&gt;0,SUMIFS(Sheet1!$E:$E,Sheet1!$C:$C,$A39,Sheet1!$A:$A,P$2),"")</f>
        <v/>
      </c>
      <c r="Q39" s="9" t="str">
        <f>IF(SUMIFS(Sheet1!$E:$E,Sheet1!$C:$C,$A39,Sheet1!$A:$A,Q$2)&lt;&gt;0,SUMIFS(Sheet1!$E:$E,Sheet1!$C:$C,$A39,Sheet1!$A:$A,Q$2),"")</f>
        <v/>
      </c>
      <c r="R39" s="9" t="str">
        <f>IF(SUMIFS(Sheet1!$E:$E,Sheet1!$C:$C,$A39,Sheet1!$A:$A,R$2)&lt;&gt;0,SUMIFS(Sheet1!$E:$E,Sheet1!$C:$C,$A39,Sheet1!$A:$A,R$2),"")</f>
        <v/>
      </c>
      <c r="S39" s="9" t="str">
        <f>IF(SUMIFS(Sheet1!$E:$E,Sheet1!$C:$C,$A39,Sheet1!$A:$A,S$2)&lt;&gt;0,SUMIFS(Sheet1!$E:$E,Sheet1!$C:$C,$A39,Sheet1!$A:$A,S$2),"")</f>
        <v/>
      </c>
      <c r="T39" s="9" t="str">
        <f>IF(SUMIFS(Sheet1!$E:$E,Sheet1!$C:$C,$A39,Sheet1!$A:$A,T$2)&lt;&gt;0,SUMIFS(Sheet1!$E:$E,Sheet1!$C:$C,$A39,Sheet1!$A:$A,T$2),"")</f>
        <v/>
      </c>
      <c r="U39" s="9" t="str">
        <f>IF(SUMIFS(Sheet1!$E:$E,Sheet1!$C:$C,$A39,Sheet1!$A:$A,U$2)&lt;&gt;0,SUMIFS(Sheet1!$E:$E,Sheet1!$C:$C,$A39,Sheet1!$A:$A,U$2),"")</f>
        <v/>
      </c>
      <c r="V39" s="9" t="str">
        <f>IF(SUMIFS(Sheet1!$E:$E,Sheet1!$C:$C,$A39,Sheet1!$A:$A,V$2)&lt;&gt;0,SUMIFS(Sheet1!$E:$E,Sheet1!$C:$C,$A39,Sheet1!$A:$A,V$2),"")</f>
        <v/>
      </c>
      <c r="W39" s="9" t="str">
        <f>IF(SUMIFS(Sheet1!$E:$E,Sheet1!$C:$C,$A39,Sheet1!$A:$A,W$2)&lt;&gt;0,SUMIFS(Sheet1!$E:$E,Sheet1!$C:$C,$A39,Sheet1!$A:$A,W$2),"")</f>
        <v/>
      </c>
      <c r="X39" s="9" t="str">
        <f>IF(SUMIFS(Sheet1!$E:$E,Sheet1!$C:$C,$A39,Sheet1!$A:$A,X$2)&lt;&gt;0,SUMIFS(Sheet1!$E:$E,Sheet1!$C:$C,$A39,Sheet1!$A:$A,X$2),"")</f>
        <v/>
      </c>
      <c r="Y39" s="9" t="str">
        <f>IF(SUMIFS(Sheet1!$E:$E,Sheet1!$C:$C,$A39,Sheet1!$A:$A,Y$2)&lt;&gt;0,SUMIFS(Sheet1!$E:$E,Sheet1!$C:$C,$A39,Sheet1!$A:$A,Y$2),"")</f>
        <v/>
      </c>
      <c r="Z39" s="9" t="str">
        <f>IF(SUMIFS(Sheet1!$E:$E,Sheet1!$C:$C,$A39,Sheet1!$A:$A,Z$2)&lt;&gt;0,SUMIFS(Sheet1!$E:$E,Sheet1!$C:$C,$A39,Sheet1!$A:$A,Z$2),"")</f>
        <v/>
      </c>
      <c r="AA39" s="9" t="str">
        <f>IF(SUMIFS(Sheet1!$E:$E,Sheet1!$C:$C,$A39,Sheet1!$A:$A,AA$2)&lt;&gt;0,SUMIFS(Sheet1!$E:$E,Sheet1!$C:$C,$A39,Sheet1!$A:$A,AA$2),"")</f>
        <v/>
      </c>
      <c r="AB39" s="9" t="str">
        <f>IF(SUMIFS(Sheet1!$E:$E,Sheet1!$C:$C,$A39,Sheet1!$A:$A,AB$2)&lt;&gt;0,SUMIFS(Sheet1!$E:$E,Sheet1!$C:$C,$A39,Sheet1!$A:$A,AB$2),"")</f>
        <v/>
      </c>
      <c r="AC39" s="9" t="str">
        <f>IF(SUMIFS(Sheet1!$E:$E,Sheet1!$C:$C,$A39,Sheet1!$A:$A,AC$2)&lt;&gt;0,SUMIFS(Sheet1!$E:$E,Sheet1!$C:$C,$A39,Sheet1!$A:$A,AC$2),"")</f>
        <v/>
      </c>
      <c r="AD39" s="9" t="str">
        <f>IF(SUMIFS(Sheet1!$E:$E,Sheet1!$C:$C,$A39,Sheet1!$A:$A,AD$2)&lt;&gt;0,SUMIFS(Sheet1!$E:$E,Sheet1!$C:$C,$A39,Sheet1!$A:$A,AD$2),"")</f>
        <v/>
      </c>
      <c r="AE39" s="9" t="str">
        <f>IF(SUMIFS(Sheet1!$E:$E,Sheet1!$C:$C,$A39,Sheet1!$A:$A,AE$2)&lt;&gt;0,SUMIFS(Sheet1!$E:$E,Sheet1!$C:$C,$A39,Sheet1!$A:$A,AE$2),"")</f>
        <v/>
      </c>
      <c r="AF39" s="9" t="str">
        <f>IF(SUMIFS(Sheet1!$E:$E,Sheet1!$C:$C,$A39,Sheet1!$A:$A,AF$2)&lt;&gt;0,SUMIFS(Sheet1!$E:$E,Sheet1!$C:$C,$A39,Sheet1!$A:$A,AF$2),"")</f>
        <v/>
      </c>
      <c r="AG39" s="9" t="str">
        <f>IF(SUMIFS(Sheet1!$E:$E,Sheet1!$C:$C,$A39,Sheet1!$A:$A,AG$2)&lt;&gt;0,SUMIFS(Sheet1!$E:$E,Sheet1!$C:$C,$A39,Sheet1!$A:$A,AG$2),"")</f>
        <v/>
      </c>
      <c r="AH39" s="47">
        <f>SUM(Table24[[#This Row],[1]:[31]])</f>
        <v>0</v>
      </c>
    </row>
    <row r="40" spans="1:34" ht="12.75" customHeight="1">
      <c r="A40" s="24" t="str">
        <f>DSSP!A39</f>
        <v>A124</v>
      </c>
      <c r="B40" s="25" t="str">
        <f>DSSP!B39</f>
        <v>Cá mú</v>
      </c>
      <c r="C40" s="9" t="str">
        <f>IF(SUMIFS(Sheet1!$E:$E,Sheet1!$C:$C,$A40,Sheet1!$A:$A,C$2)&lt;&gt;0,SUMIFS(Sheet1!$E:$E,Sheet1!$C:$C,$A40,Sheet1!$A:$A,C$2),"")</f>
        <v/>
      </c>
      <c r="D40" s="9" t="str">
        <f>IF(SUMIFS(Sheet1!$E:$E,Sheet1!$C:$C,$A40,Sheet1!$A:$A,D$2)&lt;&gt;0,SUMIFS(Sheet1!$E:$E,Sheet1!$C:$C,$A40,Sheet1!$A:$A,D$2),"")</f>
        <v/>
      </c>
      <c r="E40" s="9" t="str">
        <f>IF(SUMIFS(Sheet1!$E:$E,Sheet1!$C:$C,$A40,Sheet1!$A:$A,E$2)&lt;&gt;0,SUMIFS(Sheet1!$E:$E,Sheet1!$C:$C,$A40,Sheet1!$A:$A,E$2),"")</f>
        <v/>
      </c>
      <c r="F40" s="9" t="str">
        <f>IF(SUMIFS(Sheet1!$E:$E,Sheet1!$C:$C,$A40,Sheet1!$A:$A,F$2)&lt;&gt;0,SUMIFS(Sheet1!$E:$E,Sheet1!$C:$C,$A40,Sheet1!$A:$A,F$2),"")</f>
        <v/>
      </c>
      <c r="G40" s="9" t="str">
        <f>IF(SUMIFS(Sheet1!$E:$E,Sheet1!$C:$C,$A40,Sheet1!$A:$A,G$2)&lt;&gt;0,SUMIFS(Sheet1!$E:$E,Sheet1!$C:$C,$A40,Sheet1!$A:$A,G$2),"")</f>
        <v/>
      </c>
      <c r="H40" s="9" t="str">
        <f>IF(SUMIFS(Sheet1!$E:$E,Sheet1!$C:$C,$A40,Sheet1!$A:$A,H$2)&lt;&gt;0,SUMIFS(Sheet1!$E:$E,Sheet1!$C:$C,$A40,Sheet1!$A:$A,H$2),"")</f>
        <v/>
      </c>
      <c r="I40" s="9" t="str">
        <f>IF(SUMIFS(Sheet1!$E:$E,Sheet1!$C:$C,$A40,Sheet1!$A:$A,I$2)&lt;&gt;0,SUMIFS(Sheet1!$E:$E,Sheet1!$C:$C,$A40,Sheet1!$A:$A,I$2),"")</f>
        <v/>
      </c>
      <c r="J40" s="9" t="str">
        <f>IF(SUMIFS(Sheet1!$E:$E,Sheet1!$C:$C,$A40,Sheet1!$A:$A,J$2)&lt;&gt;0,SUMIFS(Sheet1!$E:$E,Sheet1!$C:$C,$A40,Sheet1!$A:$A,J$2),"")</f>
        <v/>
      </c>
      <c r="K40" s="9" t="str">
        <f>IF(SUMIFS(Sheet1!$E:$E,Sheet1!$C:$C,$A40,Sheet1!$A:$A,K$2)&lt;&gt;0,SUMIFS(Sheet1!$E:$E,Sheet1!$C:$C,$A40,Sheet1!$A:$A,K$2),"")</f>
        <v/>
      </c>
      <c r="L40" s="9" t="str">
        <f>IF(SUMIFS(Sheet1!$E:$E,Sheet1!$C:$C,$A40,Sheet1!$A:$A,L$2)&lt;&gt;0,SUMIFS(Sheet1!$E:$E,Sheet1!$C:$C,$A40,Sheet1!$A:$A,L$2),"")</f>
        <v/>
      </c>
      <c r="M40" s="9" t="str">
        <f>IF(SUMIFS(Sheet1!$E:$E,Sheet1!$C:$C,$A40,Sheet1!$A:$A,M$2)&lt;&gt;0,SUMIFS(Sheet1!$E:$E,Sheet1!$C:$C,$A40,Sheet1!$A:$A,M$2),"")</f>
        <v/>
      </c>
      <c r="N40" s="9" t="str">
        <f>IF(SUMIFS(Sheet1!$E:$E,Sheet1!$C:$C,$A40,Sheet1!$A:$A,N$2)&lt;&gt;0,SUMIFS(Sheet1!$E:$E,Sheet1!$C:$C,$A40,Sheet1!$A:$A,N$2),"")</f>
        <v/>
      </c>
      <c r="O40" s="9" t="str">
        <f>IF(SUMIFS(Sheet1!$E:$E,Sheet1!$C:$C,$A40,Sheet1!$A:$A,O$2)&lt;&gt;0,SUMIFS(Sheet1!$E:$E,Sheet1!$C:$C,$A40,Sheet1!$A:$A,O$2),"")</f>
        <v/>
      </c>
      <c r="P40" s="9" t="str">
        <f>IF(SUMIFS(Sheet1!$E:$E,Sheet1!$C:$C,$A40,Sheet1!$A:$A,P$2)&lt;&gt;0,SUMIFS(Sheet1!$E:$E,Sheet1!$C:$C,$A40,Sheet1!$A:$A,P$2),"")</f>
        <v/>
      </c>
      <c r="Q40" s="9" t="str">
        <f>IF(SUMIFS(Sheet1!$E:$E,Sheet1!$C:$C,$A40,Sheet1!$A:$A,Q$2)&lt;&gt;0,SUMIFS(Sheet1!$E:$E,Sheet1!$C:$C,$A40,Sheet1!$A:$A,Q$2),"")</f>
        <v/>
      </c>
      <c r="R40" s="9" t="str">
        <f>IF(SUMIFS(Sheet1!$E:$E,Sheet1!$C:$C,$A40,Sheet1!$A:$A,R$2)&lt;&gt;0,SUMIFS(Sheet1!$E:$E,Sheet1!$C:$C,$A40,Sheet1!$A:$A,R$2),"")</f>
        <v/>
      </c>
      <c r="S40" s="9" t="str">
        <f>IF(SUMIFS(Sheet1!$E:$E,Sheet1!$C:$C,$A40,Sheet1!$A:$A,S$2)&lt;&gt;0,SUMIFS(Sheet1!$E:$E,Sheet1!$C:$C,$A40,Sheet1!$A:$A,S$2),"")</f>
        <v/>
      </c>
      <c r="T40" s="9" t="str">
        <f>IF(SUMIFS(Sheet1!$E:$E,Sheet1!$C:$C,$A40,Sheet1!$A:$A,T$2)&lt;&gt;0,SUMIFS(Sheet1!$E:$E,Sheet1!$C:$C,$A40,Sheet1!$A:$A,T$2),"")</f>
        <v/>
      </c>
      <c r="U40" s="9" t="str">
        <f>IF(SUMIFS(Sheet1!$E:$E,Sheet1!$C:$C,$A40,Sheet1!$A:$A,U$2)&lt;&gt;0,SUMIFS(Sheet1!$E:$E,Sheet1!$C:$C,$A40,Sheet1!$A:$A,U$2),"")</f>
        <v/>
      </c>
      <c r="V40" s="9" t="str">
        <f>IF(SUMIFS(Sheet1!$E:$E,Sheet1!$C:$C,$A40,Sheet1!$A:$A,V$2)&lt;&gt;0,SUMIFS(Sheet1!$E:$E,Sheet1!$C:$C,$A40,Sheet1!$A:$A,V$2),"")</f>
        <v/>
      </c>
      <c r="W40" s="9" t="str">
        <f>IF(SUMIFS(Sheet1!$E:$E,Sheet1!$C:$C,$A40,Sheet1!$A:$A,W$2)&lt;&gt;0,SUMIFS(Sheet1!$E:$E,Sheet1!$C:$C,$A40,Sheet1!$A:$A,W$2),"")</f>
        <v/>
      </c>
      <c r="X40" s="9" t="str">
        <f>IF(SUMIFS(Sheet1!$E:$E,Sheet1!$C:$C,$A40,Sheet1!$A:$A,X$2)&lt;&gt;0,SUMIFS(Sheet1!$E:$E,Sheet1!$C:$C,$A40,Sheet1!$A:$A,X$2),"")</f>
        <v/>
      </c>
      <c r="Y40" s="9" t="str">
        <f>IF(SUMIFS(Sheet1!$E:$E,Sheet1!$C:$C,$A40,Sheet1!$A:$A,Y$2)&lt;&gt;0,SUMIFS(Sheet1!$E:$E,Sheet1!$C:$C,$A40,Sheet1!$A:$A,Y$2),"")</f>
        <v/>
      </c>
      <c r="Z40" s="9" t="str">
        <f>IF(SUMIFS(Sheet1!$E:$E,Sheet1!$C:$C,$A40,Sheet1!$A:$A,Z$2)&lt;&gt;0,SUMIFS(Sheet1!$E:$E,Sheet1!$C:$C,$A40,Sheet1!$A:$A,Z$2),"")</f>
        <v/>
      </c>
      <c r="AA40" s="9" t="str">
        <f>IF(SUMIFS(Sheet1!$E:$E,Sheet1!$C:$C,$A40,Sheet1!$A:$A,AA$2)&lt;&gt;0,SUMIFS(Sheet1!$E:$E,Sheet1!$C:$C,$A40,Sheet1!$A:$A,AA$2),"")</f>
        <v/>
      </c>
      <c r="AB40" s="9" t="str">
        <f>IF(SUMIFS(Sheet1!$E:$E,Sheet1!$C:$C,$A40,Sheet1!$A:$A,AB$2)&lt;&gt;0,SUMIFS(Sheet1!$E:$E,Sheet1!$C:$C,$A40,Sheet1!$A:$A,AB$2),"")</f>
        <v/>
      </c>
      <c r="AC40" s="9" t="str">
        <f>IF(SUMIFS(Sheet1!$E:$E,Sheet1!$C:$C,$A40,Sheet1!$A:$A,AC$2)&lt;&gt;0,SUMIFS(Sheet1!$E:$E,Sheet1!$C:$C,$A40,Sheet1!$A:$A,AC$2),"")</f>
        <v/>
      </c>
      <c r="AD40" s="9" t="str">
        <f>IF(SUMIFS(Sheet1!$E:$E,Sheet1!$C:$C,$A40,Sheet1!$A:$A,AD$2)&lt;&gt;0,SUMIFS(Sheet1!$E:$E,Sheet1!$C:$C,$A40,Sheet1!$A:$A,AD$2),"")</f>
        <v/>
      </c>
      <c r="AE40" s="9" t="str">
        <f>IF(SUMIFS(Sheet1!$E:$E,Sheet1!$C:$C,$A40,Sheet1!$A:$A,AE$2)&lt;&gt;0,SUMIFS(Sheet1!$E:$E,Sheet1!$C:$C,$A40,Sheet1!$A:$A,AE$2),"")</f>
        <v/>
      </c>
      <c r="AF40" s="9" t="str">
        <f>IF(SUMIFS(Sheet1!$E:$E,Sheet1!$C:$C,$A40,Sheet1!$A:$A,AF$2)&lt;&gt;0,SUMIFS(Sheet1!$E:$E,Sheet1!$C:$C,$A40,Sheet1!$A:$A,AF$2),"")</f>
        <v/>
      </c>
      <c r="AG40" s="9" t="str">
        <f>IF(SUMIFS(Sheet1!$E:$E,Sheet1!$C:$C,$A40,Sheet1!$A:$A,AG$2)&lt;&gt;0,SUMIFS(Sheet1!$E:$E,Sheet1!$C:$C,$A40,Sheet1!$A:$A,AG$2),"")</f>
        <v/>
      </c>
      <c r="AH40" s="47">
        <f>SUM(Table24[[#This Row],[1]:[31]])</f>
        <v>0</v>
      </c>
    </row>
    <row r="41" spans="1:34" ht="12.75" customHeight="1">
      <c r="A41" s="24" t="str">
        <f>DSSP!A40</f>
        <v>A125</v>
      </c>
      <c r="B41" s="25" t="str">
        <f>DSSP!B40</f>
        <v>Ỉn hồng</v>
      </c>
      <c r="C41" s="9" t="str">
        <f>IF(SUMIFS(Sheet1!$E:$E,Sheet1!$C:$C,$A41,Sheet1!$A:$A,C$2)&lt;&gt;0,SUMIFS(Sheet1!$E:$E,Sheet1!$C:$C,$A41,Sheet1!$A:$A,C$2),"")</f>
        <v/>
      </c>
      <c r="D41" s="9" t="str">
        <f>IF(SUMIFS(Sheet1!$E:$E,Sheet1!$C:$C,$A41,Sheet1!$A:$A,D$2)&lt;&gt;0,SUMIFS(Sheet1!$E:$E,Sheet1!$C:$C,$A41,Sheet1!$A:$A,D$2),"")</f>
        <v/>
      </c>
      <c r="E41" s="9" t="str">
        <f>IF(SUMIFS(Sheet1!$E:$E,Sheet1!$C:$C,$A41,Sheet1!$A:$A,E$2)&lt;&gt;0,SUMIFS(Sheet1!$E:$E,Sheet1!$C:$C,$A41,Sheet1!$A:$A,E$2),"")</f>
        <v/>
      </c>
      <c r="F41" s="9" t="str">
        <f>IF(SUMIFS(Sheet1!$E:$E,Sheet1!$C:$C,$A41,Sheet1!$A:$A,F$2)&lt;&gt;0,SUMIFS(Sheet1!$E:$E,Sheet1!$C:$C,$A41,Sheet1!$A:$A,F$2),"")</f>
        <v/>
      </c>
      <c r="G41" s="9" t="str">
        <f>IF(SUMIFS(Sheet1!$E:$E,Sheet1!$C:$C,$A41,Sheet1!$A:$A,G$2)&lt;&gt;0,SUMIFS(Sheet1!$E:$E,Sheet1!$C:$C,$A41,Sheet1!$A:$A,G$2),"")</f>
        <v/>
      </c>
      <c r="H41" s="9" t="str">
        <f>IF(SUMIFS(Sheet1!$E:$E,Sheet1!$C:$C,$A41,Sheet1!$A:$A,H$2)&lt;&gt;0,SUMIFS(Sheet1!$E:$E,Sheet1!$C:$C,$A41,Sheet1!$A:$A,H$2),"")</f>
        <v/>
      </c>
      <c r="I41" s="9" t="str">
        <f>IF(SUMIFS(Sheet1!$E:$E,Sheet1!$C:$C,$A41,Sheet1!$A:$A,I$2)&lt;&gt;0,SUMIFS(Sheet1!$E:$E,Sheet1!$C:$C,$A41,Sheet1!$A:$A,I$2),"")</f>
        <v/>
      </c>
      <c r="J41" s="9" t="str">
        <f>IF(SUMIFS(Sheet1!$E:$E,Sheet1!$C:$C,$A41,Sheet1!$A:$A,J$2)&lt;&gt;0,SUMIFS(Sheet1!$E:$E,Sheet1!$C:$C,$A41,Sheet1!$A:$A,J$2),"")</f>
        <v/>
      </c>
      <c r="K41" s="9" t="str">
        <f>IF(SUMIFS(Sheet1!$E:$E,Sheet1!$C:$C,$A41,Sheet1!$A:$A,K$2)&lt;&gt;0,SUMIFS(Sheet1!$E:$E,Sheet1!$C:$C,$A41,Sheet1!$A:$A,K$2),"")</f>
        <v/>
      </c>
      <c r="L41" s="9" t="str">
        <f>IF(SUMIFS(Sheet1!$E:$E,Sheet1!$C:$C,$A41,Sheet1!$A:$A,L$2)&lt;&gt;0,SUMIFS(Sheet1!$E:$E,Sheet1!$C:$C,$A41,Sheet1!$A:$A,L$2),"")</f>
        <v/>
      </c>
      <c r="M41" s="9" t="str">
        <f>IF(SUMIFS(Sheet1!$E:$E,Sheet1!$C:$C,$A41,Sheet1!$A:$A,M$2)&lt;&gt;0,SUMIFS(Sheet1!$E:$E,Sheet1!$C:$C,$A41,Sheet1!$A:$A,M$2),"")</f>
        <v/>
      </c>
      <c r="N41" s="9" t="str">
        <f>IF(SUMIFS(Sheet1!$E:$E,Sheet1!$C:$C,$A41,Sheet1!$A:$A,N$2)&lt;&gt;0,SUMIFS(Sheet1!$E:$E,Sheet1!$C:$C,$A41,Sheet1!$A:$A,N$2),"")</f>
        <v/>
      </c>
      <c r="O41" s="9" t="str">
        <f>IF(SUMIFS(Sheet1!$E:$E,Sheet1!$C:$C,$A41,Sheet1!$A:$A,O$2)&lt;&gt;0,SUMIFS(Sheet1!$E:$E,Sheet1!$C:$C,$A41,Sheet1!$A:$A,O$2),"")</f>
        <v/>
      </c>
      <c r="P41" s="9" t="str">
        <f>IF(SUMIFS(Sheet1!$E:$E,Sheet1!$C:$C,$A41,Sheet1!$A:$A,P$2)&lt;&gt;0,SUMIFS(Sheet1!$E:$E,Sheet1!$C:$C,$A41,Sheet1!$A:$A,P$2),"")</f>
        <v/>
      </c>
      <c r="Q41" s="9" t="str">
        <f>IF(SUMIFS(Sheet1!$E:$E,Sheet1!$C:$C,$A41,Sheet1!$A:$A,Q$2)&lt;&gt;0,SUMIFS(Sheet1!$E:$E,Sheet1!$C:$C,$A41,Sheet1!$A:$A,Q$2),"")</f>
        <v/>
      </c>
      <c r="R41" s="9" t="str">
        <f>IF(SUMIFS(Sheet1!$E:$E,Sheet1!$C:$C,$A41,Sheet1!$A:$A,R$2)&lt;&gt;0,SUMIFS(Sheet1!$E:$E,Sheet1!$C:$C,$A41,Sheet1!$A:$A,R$2),"")</f>
        <v/>
      </c>
      <c r="S41" s="9" t="str">
        <f>IF(SUMIFS(Sheet1!$E:$E,Sheet1!$C:$C,$A41,Sheet1!$A:$A,S$2)&lt;&gt;0,SUMIFS(Sheet1!$E:$E,Sheet1!$C:$C,$A41,Sheet1!$A:$A,S$2),"")</f>
        <v/>
      </c>
      <c r="T41" s="9" t="str">
        <f>IF(SUMIFS(Sheet1!$E:$E,Sheet1!$C:$C,$A41,Sheet1!$A:$A,T$2)&lt;&gt;0,SUMIFS(Sheet1!$E:$E,Sheet1!$C:$C,$A41,Sheet1!$A:$A,T$2),"")</f>
        <v/>
      </c>
      <c r="U41" s="9" t="str">
        <f>IF(SUMIFS(Sheet1!$E:$E,Sheet1!$C:$C,$A41,Sheet1!$A:$A,U$2)&lt;&gt;0,SUMIFS(Sheet1!$E:$E,Sheet1!$C:$C,$A41,Sheet1!$A:$A,U$2),"")</f>
        <v/>
      </c>
      <c r="V41" s="9" t="str">
        <f>IF(SUMIFS(Sheet1!$E:$E,Sheet1!$C:$C,$A41,Sheet1!$A:$A,V$2)&lt;&gt;0,SUMIFS(Sheet1!$E:$E,Sheet1!$C:$C,$A41,Sheet1!$A:$A,V$2),"")</f>
        <v/>
      </c>
      <c r="W41" s="9" t="str">
        <f>IF(SUMIFS(Sheet1!$E:$E,Sheet1!$C:$C,$A41,Sheet1!$A:$A,W$2)&lt;&gt;0,SUMIFS(Sheet1!$E:$E,Sheet1!$C:$C,$A41,Sheet1!$A:$A,W$2),"")</f>
        <v/>
      </c>
      <c r="X41" s="9" t="str">
        <f>IF(SUMIFS(Sheet1!$E:$E,Sheet1!$C:$C,$A41,Sheet1!$A:$A,X$2)&lt;&gt;0,SUMIFS(Sheet1!$E:$E,Sheet1!$C:$C,$A41,Sheet1!$A:$A,X$2),"")</f>
        <v/>
      </c>
      <c r="Y41" s="9" t="str">
        <f>IF(SUMIFS(Sheet1!$E:$E,Sheet1!$C:$C,$A41,Sheet1!$A:$A,Y$2)&lt;&gt;0,SUMIFS(Sheet1!$E:$E,Sheet1!$C:$C,$A41,Sheet1!$A:$A,Y$2),"")</f>
        <v/>
      </c>
      <c r="Z41" s="9" t="str">
        <f>IF(SUMIFS(Sheet1!$E:$E,Sheet1!$C:$C,$A41,Sheet1!$A:$A,Z$2)&lt;&gt;0,SUMIFS(Sheet1!$E:$E,Sheet1!$C:$C,$A41,Sheet1!$A:$A,Z$2),"")</f>
        <v/>
      </c>
      <c r="AA41" s="9" t="str">
        <f>IF(SUMIFS(Sheet1!$E:$E,Sheet1!$C:$C,$A41,Sheet1!$A:$A,AA$2)&lt;&gt;0,SUMIFS(Sheet1!$E:$E,Sheet1!$C:$C,$A41,Sheet1!$A:$A,AA$2),"")</f>
        <v/>
      </c>
      <c r="AB41" s="9" t="str">
        <f>IF(SUMIFS(Sheet1!$E:$E,Sheet1!$C:$C,$A41,Sheet1!$A:$A,AB$2)&lt;&gt;0,SUMIFS(Sheet1!$E:$E,Sheet1!$C:$C,$A41,Sheet1!$A:$A,AB$2),"")</f>
        <v/>
      </c>
      <c r="AC41" s="9" t="str">
        <f>IF(SUMIFS(Sheet1!$E:$E,Sheet1!$C:$C,$A41,Sheet1!$A:$A,AC$2)&lt;&gt;0,SUMIFS(Sheet1!$E:$E,Sheet1!$C:$C,$A41,Sheet1!$A:$A,AC$2),"")</f>
        <v/>
      </c>
      <c r="AD41" s="9" t="str">
        <f>IF(SUMIFS(Sheet1!$E:$E,Sheet1!$C:$C,$A41,Sheet1!$A:$A,AD$2)&lt;&gt;0,SUMIFS(Sheet1!$E:$E,Sheet1!$C:$C,$A41,Sheet1!$A:$A,AD$2),"")</f>
        <v/>
      </c>
      <c r="AE41" s="9" t="str">
        <f>IF(SUMIFS(Sheet1!$E:$E,Sheet1!$C:$C,$A41,Sheet1!$A:$A,AE$2)&lt;&gt;0,SUMIFS(Sheet1!$E:$E,Sheet1!$C:$C,$A41,Sheet1!$A:$A,AE$2),"")</f>
        <v/>
      </c>
      <c r="AF41" s="9" t="str">
        <f>IF(SUMIFS(Sheet1!$E:$E,Sheet1!$C:$C,$A41,Sheet1!$A:$A,AF$2)&lt;&gt;0,SUMIFS(Sheet1!$E:$E,Sheet1!$C:$C,$A41,Sheet1!$A:$A,AF$2),"")</f>
        <v/>
      </c>
      <c r="AG41" s="9" t="str">
        <f>IF(SUMIFS(Sheet1!$E:$E,Sheet1!$C:$C,$A41,Sheet1!$A:$A,AG$2)&lt;&gt;0,SUMIFS(Sheet1!$E:$E,Sheet1!$C:$C,$A41,Sheet1!$A:$A,AG$2),"")</f>
        <v/>
      </c>
      <c r="AH41" s="47">
        <f>SUM(Table24[[#This Row],[1]:[31]])</f>
        <v>0</v>
      </c>
    </row>
    <row r="42" spans="1:34" ht="12.75" customHeight="1">
      <c r="A42" s="24" t="str">
        <f>DSSP!A41</f>
        <v>A126</v>
      </c>
      <c r="B42" s="25" t="str">
        <f>DSSP!B41</f>
        <v>Cá voi</v>
      </c>
      <c r="C42" s="9" t="str">
        <f>IF(SUMIFS(Sheet1!$E:$E,Sheet1!$C:$C,$A42,Sheet1!$A:$A,C$2)&lt;&gt;0,SUMIFS(Sheet1!$E:$E,Sheet1!$C:$C,$A42,Sheet1!$A:$A,C$2),"")</f>
        <v/>
      </c>
      <c r="D42" s="9" t="str">
        <f>IF(SUMIFS(Sheet1!$E:$E,Sheet1!$C:$C,$A42,Sheet1!$A:$A,D$2)&lt;&gt;0,SUMIFS(Sheet1!$E:$E,Sheet1!$C:$C,$A42,Sheet1!$A:$A,D$2),"")</f>
        <v/>
      </c>
      <c r="E42" s="9" t="str">
        <f>IF(SUMIFS(Sheet1!$E:$E,Sheet1!$C:$C,$A42,Sheet1!$A:$A,E$2)&lt;&gt;0,SUMIFS(Sheet1!$E:$E,Sheet1!$C:$C,$A42,Sheet1!$A:$A,E$2),"")</f>
        <v/>
      </c>
      <c r="F42" s="9" t="str">
        <f>IF(SUMIFS(Sheet1!$E:$E,Sheet1!$C:$C,$A42,Sheet1!$A:$A,F$2)&lt;&gt;0,SUMIFS(Sheet1!$E:$E,Sheet1!$C:$C,$A42,Sheet1!$A:$A,F$2),"")</f>
        <v/>
      </c>
      <c r="G42" s="9" t="str">
        <f>IF(SUMIFS(Sheet1!$E:$E,Sheet1!$C:$C,$A42,Sheet1!$A:$A,G$2)&lt;&gt;0,SUMIFS(Sheet1!$E:$E,Sheet1!$C:$C,$A42,Sheet1!$A:$A,G$2),"")</f>
        <v/>
      </c>
      <c r="H42" s="9" t="str">
        <f>IF(SUMIFS(Sheet1!$E:$E,Sheet1!$C:$C,$A42,Sheet1!$A:$A,H$2)&lt;&gt;0,SUMIFS(Sheet1!$E:$E,Sheet1!$C:$C,$A42,Sheet1!$A:$A,H$2),"")</f>
        <v/>
      </c>
      <c r="I42" s="9" t="str">
        <f>IF(SUMIFS(Sheet1!$E:$E,Sheet1!$C:$C,$A42,Sheet1!$A:$A,I$2)&lt;&gt;0,SUMIFS(Sheet1!$E:$E,Sheet1!$C:$C,$A42,Sheet1!$A:$A,I$2),"")</f>
        <v/>
      </c>
      <c r="J42" s="9" t="str">
        <f>IF(SUMIFS(Sheet1!$E:$E,Sheet1!$C:$C,$A42,Sheet1!$A:$A,J$2)&lt;&gt;0,SUMIFS(Sheet1!$E:$E,Sheet1!$C:$C,$A42,Sheet1!$A:$A,J$2),"")</f>
        <v/>
      </c>
      <c r="K42" s="9" t="str">
        <f>IF(SUMIFS(Sheet1!$E:$E,Sheet1!$C:$C,$A42,Sheet1!$A:$A,K$2)&lt;&gt;0,SUMIFS(Sheet1!$E:$E,Sheet1!$C:$C,$A42,Sheet1!$A:$A,K$2),"")</f>
        <v/>
      </c>
      <c r="L42" s="9" t="str">
        <f>IF(SUMIFS(Sheet1!$E:$E,Sheet1!$C:$C,$A42,Sheet1!$A:$A,L$2)&lt;&gt;0,SUMIFS(Sheet1!$E:$E,Sheet1!$C:$C,$A42,Sheet1!$A:$A,L$2),"")</f>
        <v/>
      </c>
      <c r="M42" s="9" t="str">
        <f>IF(SUMIFS(Sheet1!$E:$E,Sheet1!$C:$C,$A42,Sheet1!$A:$A,M$2)&lt;&gt;0,SUMIFS(Sheet1!$E:$E,Sheet1!$C:$C,$A42,Sheet1!$A:$A,M$2),"")</f>
        <v/>
      </c>
      <c r="N42" s="9" t="str">
        <f>IF(SUMIFS(Sheet1!$E:$E,Sheet1!$C:$C,$A42,Sheet1!$A:$A,N$2)&lt;&gt;0,SUMIFS(Sheet1!$E:$E,Sheet1!$C:$C,$A42,Sheet1!$A:$A,N$2),"")</f>
        <v/>
      </c>
      <c r="O42" s="9" t="str">
        <f>IF(SUMIFS(Sheet1!$E:$E,Sheet1!$C:$C,$A42,Sheet1!$A:$A,O$2)&lt;&gt;0,SUMIFS(Sheet1!$E:$E,Sheet1!$C:$C,$A42,Sheet1!$A:$A,O$2),"")</f>
        <v/>
      </c>
      <c r="P42" s="9" t="str">
        <f>IF(SUMIFS(Sheet1!$E:$E,Sheet1!$C:$C,$A42,Sheet1!$A:$A,P$2)&lt;&gt;0,SUMIFS(Sheet1!$E:$E,Sheet1!$C:$C,$A42,Sheet1!$A:$A,P$2),"")</f>
        <v/>
      </c>
      <c r="Q42" s="9" t="str">
        <f>IF(SUMIFS(Sheet1!$E:$E,Sheet1!$C:$C,$A42,Sheet1!$A:$A,Q$2)&lt;&gt;0,SUMIFS(Sheet1!$E:$E,Sheet1!$C:$C,$A42,Sheet1!$A:$A,Q$2),"")</f>
        <v/>
      </c>
      <c r="R42" s="9" t="str">
        <f>IF(SUMIFS(Sheet1!$E:$E,Sheet1!$C:$C,$A42,Sheet1!$A:$A,R$2)&lt;&gt;0,SUMIFS(Sheet1!$E:$E,Sheet1!$C:$C,$A42,Sheet1!$A:$A,R$2),"")</f>
        <v/>
      </c>
      <c r="S42" s="9" t="str">
        <f>IF(SUMIFS(Sheet1!$E:$E,Sheet1!$C:$C,$A42,Sheet1!$A:$A,S$2)&lt;&gt;0,SUMIFS(Sheet1!$E:$E,Sheet1!$C:$C,$A42,Sheet1!$A:$A,S$2),"")</f>
        <v/>
      </c>
      <c r="T42" s="9" t="str">
        <f>IF(SUMIFS(Sheet1!$E:$E,Sheet1!$C:$C,$A42,Sheet1!$A:$A,T$2)&lt;&gt;0,SUMIFS(Sheet1!$E:$E,Sheet1!$C:$C,$A42,Sheet1!$A:$A,T$2),"")</f>
        <v/>
      </c>
      <c r="U42" s="9" t="str">
        <f>IF(SUMIFS(Sheet1!$E:$E,Sheet1!$C:$C,$A42,Sheet1!$A:$A,U$2)&lt;&gt;0,SUMIFS(Sheet1!$E:$E,Sheet1!$C:$C,$A42,Sheet1!$A:$A,U$2),"")</f>
        <v/>
      </c>
      <c r="V42" s="9" t="str">
        <f>IF(SUMIFS(Sheet1!$E:$E,Sheet1!$C:$C,$A42,Sheet1!$A:$A,V$2)&lt;&gt;0,SUMIFS(Sheet1!$E:$E,Sheet1!$C:$C,$A42,Sheet1!$A:$A,V$2),"")</f>
        <v/>
      </c>
      <c r="W42" s="9" t="str">
        <f>IF(SUMIFS(Sheet1!$E:$E,Sheet1!$C:$C,$A42,Sheet1!$A:$A,W$2)&lt;&gt;0,SUMIFS(Sheet1!$E:$E,Sheet1!$C:$C,$A42,Sheet1!$A:$A,W$2),"")</f>
        <v/>
      </c>
      <c r="X42" s="9" t="str">
        <f>IF(SUMIFS(Sheet1!$E:$E,Sheet1!$C:$C,$A42,Sheet1!$A:$A,X$2)&lt;&gt;0,SUMIFS(Sheet1!$E:$E,Sheet1!$C:$C,$A42,Sheet1!$A:$A,X$2),"")</f>
        <v/>
      </c>
      <c r="Y42" s="9" t="str">
        <f>IF(SUMIFS(Sheet1!$E:$E,Sheet1!$C:$C,$A42,Sheet1!$A:$A,Y$2)&lt;&gt;0,SUMIFS(Sheet1!$E:$E,Sheet1!$C:$C,$A42,Sheet1!$A:$A,Y$2),"")</f>
        <v/>
      </c>
      <c r="Z42" s="9" t="str">
        <f>IF(SUMIFS(Sheet1!$E:$E,Sheet1!$C:$C,$A42,Sheet1!$A:$A,Z$2)&lt;&gt;0,SUMIFS(Sheet1!$E:$E,Sheet1!$C:$C,$A42,Sheet1!$A:$A,Z$2),"")</f>
        <v/>
      </c>
      <c r="AA42" s="9" t="str">
        <f>IF(SUMIFS(Sheet1!$E:$E,Sheet1!$C:$C,$A42,Sheet1!$A:$A,AA$2)&lt;&gt;0,SUMIFS(Sheet1!$E:$E,Sheet1!$C:$C,$A42,Sheet1!$A:$A,AA$2),"")</f>
        <v/>
      </c>
      <c r="AB42" s="9" t="str">
        <f>IF(SUMIFS(Sheet1!$E:$E,Sheet1!$C:$C,$A42,Sheet1!$A:$A,AB$2)&lt;&gt;0,SUMIFS(Sheet1!$E:$E,Sheet1!$C:$C,$A42,Sheet1!$A:$A,AB$2),"")</f>
        <v/>
      </c>
      <c r="AC42" s="9" t="str">
        <f>IF(SUMIFS(Sheet1!$E:$E,Sheet1!$C:$C,$A42,Sheet1!$A:$A,AC$2)&lt;&gt;0,SUMIFS(Sheet1!$E:$E,Sheet1!$C:$C,$A42,Sheet1!$A:$A,AC$2),"")</f>
        <v/>
      </c>
      <c r="AD42" s="9" t="str">
        <f>IF(SUMIFS(Sheet1!$E:$E,Sheet1!$C:$C,$A42,Sheet1!$A:$A,AD$2)&lt;&gt;0,SUMIFS(Sheet1!$E:$E,Sheet1!$C:$C,$A42,Sheet1!$A:$A,AD$2),"")</f>
        <v/>
      </c>
      <c r="AE42" s="9" t="str">
        <f>IF(SUMIFS(Sheet1!$E:$E,Sheet1!$C:$C,$A42,Sheet1!$A:$A,AE$2)&lt;&gt;0,SUMIFS(Sheet1!$E:$E,Sheet1!$C:$C,$A42,Sheet1!$A:$A,AE$2),"")</f>
        <v/>
      </c>
      <c r="AF42" s="9" t="str">
        <f>IF(SUMIFS(Sheet1!$E:$E,Sheet1!$C:$C,$A42,Sheet1!$A:$A,AF$2)&lt;&gt;0,SUMIFS(Sheet1!$E:$E,Sheet1!$C:$C,$A42,Sheet1!$A:$A,AF$2),"")</f>
        <v/>
      </c>
      <c r="AG42" s="9" t="str">
        <f>IF(SUMIFS(Sheet1!$E:$E,Sheet1!$C:$C,$A42,Sheet1!$A:$A,AG$2)&lt;&gt;0,SUMIFS(Sheet1!$E:$E,Sheet1!$C:$C,$A42,Sheet1!$A:$A,AG$2),"")</f>
        <v/>
      </c>
      <c r="AH42" s="47">
        <f>SUM(Table24[[#This Row],[1]:[31]])</f>
        <v>0</v>
      </c>
    </row>
    <row r="43" spans="1:34" ht="12.75" customHeight="1">
      <c r="A43" s="24" t="str">
        <f>DSSP!A42</f>
        <v>A127</v>
      </c>
      <c r="B43" s="25" t="str">
        <f>DSSP!B42</f>
        <v>Gối bốn lá</v>
      </c>
      <c r="C43" s="9">
        <f>IF(SUMIFS(Sheet1!$E:$E,Sheet1!$C:$C,$A43,Sheet1!$A:$A,C$2)&lt;&gt;0,SUMIFS(Sheet1!$E:$E,Sheet1!$C:$C,$A43,Sheet1!$A:$A,C$2),"")</f>
        <v>35</v>
      </c>
      <c r="D43" s="9" t="str">
        <f>IF(SUMIFS(Sheet1!$E:$E,Sheet1!$C:$C,$A43,Sheet1!$A:$A,D$2)&lt;&gt;0,SUMIFS(Sheet1!$E:$E,Sheet1!$C:$C,$A43,Sheet1!$A:$A,D$2),"")</f>
        <v/>
      </c>
      <c r="E43" s="9" t="str">
        <f>IF(SUMIFS(Sheet1!$E:$E,Sheet1!$C:$C,$A43,Sheet1!$A:$A,E$2)&lt;&gt;0,SUMIFS(Sheet1!$E:$E,Sheet1!$C:$C,$A43,Sheet1!$A:$A,E$2),"")</f>
        <v/>
      </c>
      <c r="F43" s="9" t="str">
        <f>IF(SUMIFS(Sheet1!$E:$E,Sheet1!$C:$C,$A43,Sheet1!$A:$A,F$2)&lt;&gt;0,SUMIFS(Sheet1!$E:$E,Sheet1!$C:$C,$A43,Sheet1!$A:$A,F$2),"")</f>
        <v/>
      </c>
      <c r="G43" s="9" t="str">
        <f>IF(SUMIFS(Sheet1!$E:$E,Sheet1!$C:$C,$A43,Sheet1!$A:$A,G$2)&lt;&gt;0,SUMIFS(Sheet1!$E:$E,Sheet1!$C:$C,$A43,Sheet1!$A:$A,G$2),"")</f>
        <v/>
      </c>
      <c r="H43" s="9" t="str">
        <f>IF(SUMIFS(Sheet1!$E:$E,Sheet1!$C:$C,$A43,Sheet1!$A:$A,H$2)&lt;&gt;0,SUMIFS(Sheet1!$E:$E,Sheet1!$C:$C,$A43,Sheet1!$A:$A,H$2),"")</f>
        <v/>
      </c>
      <c r="I43" s="9" t="str">
        <f>IF(SUMIFS(Sheet1!$E:$E,Sheet1!$C:$C,$A43,Sheet1!$A:$A,I$2)&lt;&gt;0,SUMIFS(Sheet1!$E:$E,Sheet1!$C:$C,$A43,Sheet1!$A:$A,I$2),"")</f>
        <v/>
      </c>
      <c r="J43" s="9" t="str">
        <f>IF(SUMIFS(Sheet1!$E:$E,Sheet1!$C:$C,$A43,Sheet1!$A:$A,J$2)&lt;&gt;0,SUMIFS(Sheet1!$E:$E,Sheet1!$C:$C,$A43,Sheet1!$A:$A,J$2),"")</f>
        <v/>
      </c>
      <c r="K43" s="9" t="str">
        <f>IF(SUMIFS(Sheet1!$E:$E,Sheet1!$C:$C,$A43,Sheet1!$A:$A,K$2)&lt;&gt;0,SUMIFS(Sheet1!$E:$E,Sheet1!$C:$C,$A43,Sheet1!$A:$A,K$2),"")</f>
        <v/>
      </c>
      <c r="L43" s="9" t="str">
        <f>IF(SUMIFS(Sheet1!$E:$E,Sheet1!$C:$C,$A43,Sheet1!$A:$A,L$2)&lt;&gt;0,SUMIFS(Sheet1!$E:$E,Sheet1!$C:$C,$A43,Sheet1!$A:$A,L$2),"")</f>
        <v/>
      </c>
      <c r="M43" s="9" t="str">
        <f>IF(SUMIFS(Sheet1!$E:$E,Sheet1!$C:$C,$A43,Sheet1!$A:$A,M$2)&lt;&gt;0,SUMIFS(Sheet1!$E:$E,Sheet1!$C:$C,$A43,Sheet1!$A:$A,M$2),"")</f>
        <v/>
      </c>
      <c r="N43" s="9" t="str">
        <f>IF(SUMIFS(Sheet1!$E:$E,Sheet1!$C:$C,$A43,Sheet1!$A:$A,N$2)&lt;&gt;0,SUMIFS(Sheet1!$E:$E,Sheet1!$C:$C,$A43,Sheet1!$A:$A,N$2),"")</f>
        <v/>
      </c>
      <c r="O43" s="9" t="str">
        <f>IF(SUMIFS(Sheet1!$E:$E,Sheet1!$C:$C,$A43,Sheet1!$A:$A,O$2)&lt;&gt;0,SUMIFS(Sheet1!$E:$E,Sheet1!$C:$C,$A43,Sheet1!$A:$A,O$2),"")</f>
        <v/>
      </c>
      <c r="P43" s="9" t="str">
        <f>IF(SUMIFS(Sheet1!$E:$E,Sheet1!$C:$C,$A43,Sheet1!$A:$A,P$2)&lt;&gt;0,SUMIFS(Sheet1!$E:$E,Sheet1!$C:$C,$A43,Sheet1!$A:$A,P$2),"")</f>
        <v/>
      </c>
      <c r="Q43" s="9" t="str">
        <f>IF(SUMIFS(Sheet1!$E:$E,Sheet1!$C:$C,$A43,Sheet1!$A:$A,Q$2)&lt;&gt;0,SUMIFS(Sheet1!$E:$E,Sheet1!$C:$C,$A43,Sheet1!$A:$A,Q$2),"")</f>
        <v/>
      </c>
      <c r="R43" s="9" t="str">
        <f>IF(SUMIFS(Sheet1!$E:$E,Sheet1!$C:$C,$A43,Sheet1!$A:$A,R$2)&lt;&gt;0,SUMIFS(Sheet1!$E:$E,Sheet1!$C:$C,$A43,Sheet1!$A:$A,R$2),"")</f>
        <v/>
      </c>
      <c r="S43" s="9" t="str">
        <f>IF(SUMIFS(Sheet1!$E:$E,Sheet1!$C:$C,$A43,Sheet1!$A:$A,S$2)&lt;&gt;0,SUMIFS(Sheet1!$E:$E,Sheet1!$C:$C,$A43,Sheet1!$A:$A,S$2),"")</f>
        <v/>
      </c>
      <c r="T43" s="9" t="str">
        <f>IF(SUMIFS(Sheet1!$E:$E,Sheet1!$C:$C,$A43,Sheet1!$A:$A,T$2)&lt;&gt;0,SUMIFS(Sheet1!$E:$E,Sheet1!$C:$C,$A43,Sheet1!$A:$A,T$2),"")</f>
        <v/>
      </c>
      <c r="U43" s="9" t="str">
        <f>IF(SUMIFS(Sheet1!$E:$E,Sheet1!$C:$C,$A43,Sheet1!$A:$A,U$2)&lt;&gt;0,SUMIFS(Sheet1!$E:$E,Sheet1!$C:$C,$A43,Sheet1!$A:$A,U$2),"")</f>
        <v/>
      </c>
      <c r="V43" s="9" t="str">
        <f>IF(SUMIFS(Sheet1!$E:$E,Sheet1!$C:$C,$A43,Sheet1!$A:$A,V$2)&lt;&gt;0,SUMIFS(Sheet1!$E:$E,Sheet1!$C:$C,$A43,Sheet1!$A:$A,V$2),"")</f>
        <v/>
      </c>
      <c r="W43" s="9" t="str">
        <f>IF(SUMIFS(Sheet1!$E:$E,Sheet1!$C:$C,$A43,Sheet1!$A:$A,W$2)&lt;&gt;0,SUMIFS(Sheet1!$E:$E,Sheet1!$C:$C,$A43,Sheet1!$A:$A,W$2),"")</f>
        <v/>
      </c>
      <c r="X43" s="9" t="str">
        <f>IF(SUMIFS(Sheet1!$E:$E,Sheet1!$C:$C,$A43,Sheet1!$A:$A,X$2)&lt;&gt;0,SUMIFS(Sheet1!$E:$E,Sheet1!$C:$C,$A43,Sheet1!$A:$A,X$2),"")</f>
        <v/>
      </c>
      <c r="Y43" s="9" t="str">
        <f>IF(SUMIFS(Sheet1!$E:$E,Sheet1!$C:$C,$A43,Sheet1!$A:$A,Y$2)&lt;&gt;0,SUMIFS(Sheet1!$E:$E,Sheet1!$C:$C,$A43,Sheet1!$A:$A,Y$2),"")</f>
        <v/>
      </c>
      <c r="Z43" s="9" t="str">
        <f>IF(SUMIFS(Sheet1!$E:$E,Sheet1!$C:$C,$A43,Sheet1!$A:$A,Z$2)&lt;&gt;0,SUMIFS(Sheet1!$E:$E,Sheet1!$C:$C,$A43,Sheet1!$A:$A,Z$2),"")</f>
        <v/>
      </c>
      <c r="AA43" s="9" t="str">
        <f>IF(SUMIFS(Sheet1!$E:$E,Sheet1!$C:$C,$A43,Sheet1!$A:$A,AA$2)&lt;&gt;0,SUMIFS(Sheet1!$E:$E,Sheet1!$C:$C,$A43,Sheet1!$A:$A,AA$2),"")</f>
        <v/>
      </c>
      <c r="AB43" s="9" t="str">
        <f>IF(SUMIFS(Sheet1!$E:$E,Sheet1!$C:$C,$A43,Sheet1!$A:$A,AB$2)&lt;&gt;0,SUMIFS(Sheet1!$E:$E,Sheet1!$C:$C,$A43,Sheet1!$A:$A,AB$2),"")</f>
        <v/>
      </c>
      <c r="AC43" s="9" t="str">
        <f>IF(SUMIFS(Sheet1!$E:$E,Sheet1!$C:$C,$A43,Sheet1!$A:$A,AC$2)&lt;&gt;0,SUMIFS(Sheet1!$E:$E,Sheet1!$C:$C,$A43,Sheet1!$A:$A,AC$2),"")</f>
        <v/>
      </c>
      <c r="AD43" s="9" t="str">
        <f>IF(SUMIFS(Sheet1!$E:$E,Sheet1!$C:$C,$A43,Sheet1!$A:$A,AD$2)&lt;&gt;0,SUMIFS(Sheet1!$E:$E,Sheet1!$C:$C,$A43,Sheet1!$A:$A,AD$2),"")</f>
        <v/>
      </c>
      <c r="AE43" s="9" t="str">
        <f>IF(SUMIFS(Sheet1!$E:$E,Sheet1!$C:$C,$A43,Sheet1!$A:$A,AE$2)&lt;&gt;0,SUMIFS(Sheet1!$E:$E,Sheet1!$C:$C,$A43,Sheet1!$A:$A,AE$2),"")</f>
        <v/>
      </c>
      <c r="AF43" s="9" t="str">
        <f>IF(SUMIFS(Sheet1!$E:$E,Sheet1!$C:$C,$A43,Sheet1!$A:$A,AF$2)&lt;&gt;0,SUMIFS(Sheet1!$E:$E,Sheet1!$C:$C,$A43,Sheet1!$A:$A,AF$2),"")</f>
        <v/>
      </c>
      <c r="AG43" s="9" t="str">
        <f>IF(SUMIFS(Sheet1!$E:$E,Sheet1!$C:$C,$A43,Sheet1!$A:$A,AG$2)&lt;&gt;0,SUMIFS(Sheet1!$E:$E,Sheet1!$C:$C,$A43,Sheet1!$A:$A,AG$2),"")</f>
        <v/>
      </c>
      <c r="AH43" s="47">
        <f>SUM(Table24[[#This Row],[1]:[31]])</f>
        <v>35</v>
      </c>
    </row>
    <row r="44" spans="1:34" ht="12.75" customHeight="1">
      <c r="A44" s="24" t="str">
        <f>DSSP!A43</f>
        <v>A128</v>
      </c>
      <c r="B44" s="25" t="str">
        <f>DSSP!B43</f>
        <v>Ếch</v>
      </c>
      <c r="C44" s="9">
        <f>IF(SUMIFS(Sheet1!$E:$E,Sheet1!$C:$C,$A44,Sheet1!$A:$A,C$2)&lt;&gt;0,SUMIFS(Sheet1!$E:$E,Sheet1!$C:$C,$A44,Sheet1!$A:$A,C$2),"")</f>
        <v>9</v>
      </c>
      <c r="D44" s="9" t="str">
        <f>IF(SUMIFS(Sheet1!$E:$E,Sheet1!$C:$C,$A44,Sheet1!$A:$A,D$2)&lt;&gt;0,SUMIFS(Sheet1!$E:$E,Sheet1!$C:$C,$A44,Sheet1!$A:$A,D$2),"")</f>
        <v/>
      </c>
      <c r="E44" s="9" t="str">
        <f>IF(SUMIFS(Sheet1!$E:$E,Sheet1!$C:$C,$A44,Sheet1!$A:$A,E$2)&lt;&gt;0,SUMIFS(Sheet1!$E:$E,Sheet1!$C:$C,$A44,Sheet1!$A:$A,E$2),"")</f>
        <v/>
      </c>
      <c r="F44" s="9" t="str">
        <f>IF(SUMIFS(Sheet1!$E:$E,Sheet1!$C:$C,$A44,Sheet1!$A:$A,F$2)&lt;&gt;0,SUMIFS(Sheet1!$E:$E,Sheet1!$C:$C,$A44,Sheet1!$A:$A,F$2),"")</f>
        <v/>
      </c>
      <c r="G44" s="9" t="str">
        <f>IF(SUMIFS(Sheet1!$E:$E,Sheet1!$C:$C,$A44,Sheet1!$A:$A,G$2)&lt;&gt;0,SUMIFS(Sheet1!$E:$E,Sheet1!$C:$C,$A44,Sheet1!$A:$A,G$2),"")</f>
        <v/>
      </c>
      <c r="H44" s="9" t="str">
        <f>IF(SUMIFS(Sheet1!$E:$E,Sheet1!$C:$C,$A44,Sheet1!$A:$A,H$2)&lt;&gt;0,SUMIFS(Sheet1!$E:$E,Sheet1!$C:$C,$A44,Sheet1!$A:$A,H$2),"")</f>
        <v/>
      </c>
      <c r="I44" s="9" t="str">
        <f>IF(SUMIFS(Sheet1!$E:$E,Sheet1!$C:$C,$A44,Sheet1!$A:$A,I$2)&lt;&gt;0,SUMIFS(Sheet1!$E:$E,Sheet1!$C:$C,$A44,Sheet1!$A:$A,I$2),"")</f>
        <v/>
      </c>
      <c r="J44" s="9" t="str">
        <f>IF(SUMIFS(Sheet1!$E:$E,Sheet1!$C:$C,$A44,Sheet1!$A:$A,J$2)&lt;&gt;0,SUMIFS(Sheet1!$E:$E,Sheet1!$C:$C,$A44,Sheet1!$A:$A,J$2),"")</f>
        <v/>
      </c>
      <c r="K44" s="9" t="str">
        <f>IF(SUMIFS(Sheet1!$E:$E,Sheet1!$C:$C,$A44,Sheet1!$A:$A,K$2)&lt;&gt;0,SUMIFS(Sheet1!$E:$E,Sheet1!$C:$C,$A44,Sheet1!$A:$A,K$2),"")</f>
        <v/>
      </c>
      <c r="L44" s="9" t="str">
        <f>IF(SUMIFS(Sheet1!$E:$E,Sheet1!$C:$C,$A44,Sheet1!$A:$A,L$2)&lt;&gt;0,SUMIFS(Sheet1!$E:$E,Sheet1!$C:$C,$A44,Sheet1!$A:$A,L$2),"")</f>
        <v/>
      </c>
      <c r="M44" s="9" t="str">
        <f>IF(SUMIFS(Sheet1!$E:$E,Sheet1!$C:$C,$A44,Sheet1!$A:$A,M$2)&lt;&gt;0,SUMIFS(Sheet1!$E:$E,Sheet1!$C:$C,$A44,Sheet1!$A:$A,M$2),"")</f>
        <v/>
      </c>
      <c r="N44" s="9" t="str">
        <f>IF(SUMIFS(Sheet1!$E:$E,Sheet1!$C:$C,$A44,Sheet1!$A:$A,N$2)&lt;&gt;0,SUMIFS(Sheet1!$E:$E,Sheet1!$C:$C,$A44,Sheet1!$A:$A,N$2),"")</f>
        <v/>
      </c>
      <c r="O44" s="9" t="str">
        <f>IF(SUMIFS(Sheet1!$E:$E,Sheet1!$C:$C,$A44,Sheet1!$A:$A,O$2)&lt;&gt;0,SUMIFS(Sheet1!$E:$E,Sheet1!$C:$C,$A44,Sheet1!$A:$A,O$2),"")</f>
        <v/>
      </c>
      <c r="P44" s="9" t="str">
        <f>IF(SUMIFS(Sheet1!$E:$E,Sheet1!$C:$C,$A44,Sheet1!$A:$A,P$2)&lt;&gt;0,SUMIFS(Sheet1!$E:$E,Sheet1!$C:$C,$A44,Sheet1!$A:$A,P$2),"")</f>
        <v/>
      </c>
      <c r="Q44" s="9" t="str">
        <f>IF(SUMIFS(Sheet1!$E:$E,Sheet1!$C:$C,$A44,Sheet1!$A:$A,Q$2)&lt;&gt;0,SUMIFS(Sheet1!$E:$E,Sheet1!$C:$C,$A44,Sheet1!$A:$A,Q$2),"")</f>
        <v/>
      </c>
      <c r="R44" s="9" t="str">
        <f>IF(SUMIFS(Sheet1!$E:$E,Sheet1!$C:$C,$A44,Sheet1!$A:$A,R$2)&lt;&gt;0,SUMIFS(Sheet1!$E:$E,Sheet1!$C:$C,$A44,Sheet1!$A:$A,R$2),"")</f>
        <v/>
      </c>
      <c r="S44" s="9" t="str">
        <f>IF(SUMIFS(Sheet1!$E:$E,Sheet1!$C:$C,$A44,Sheet1!$A:$A,S$2)&lt;&gt;0,SUMIFS(Sheet1!$E:$E,Sheet1!$C:$C,$A44,Sheet1!$A:$A,S$2),"")</f>
        <v/>
      </c>
      <c r="T44" s="9" t="str">
        <f>IF(SUMIFS(Sheet1!$E:$E,Sheet1!$C:$C,$A44,Sheet1!$A:$A,T$2)&lt;&gt;0,SUMIFS(Sheet1!$E:$E,Sheet1!$C:$C,$A44,Sheet1!$A:$A,T$2),"")</f>
        <v/>
      </c>
      <c r="U44" s="9" t="str">
        <f>IF(SUMIFS(Sheet1!$E:$E,Sheet1!$C:$C,$A44,Sheet1!$A:$A,U$2)&lt;&gt;0,SUMIFS(Sheet1!$E:$E,Sheet1!$C:$C,$A44,Sheet1!$A:$A,U$2),"")</f>
        <v/>
      </c>
      <c r="V44" s="9" t="str">
        <f>IF(SUMIFS(Sheet1!$E:$E,Sheet1!$C:$C,$A44,Sheet1!$A:$A,V$2)&lt;&gt;0,SUMIFS(Sheet1!$E:$E,Sheet1!$C:$C,$A44,Sheet1!$A:$A,V$2),"")</f>
        <v/>
      </c>
      <c r="W44" s="9" t="str">
        <f>IF(SUMIFS(Sheet1!$E:$E,Sheet1!$C:$C,$A44,Sheet1!$A:$A,W$2)&lt;&gt;0,SUMIFS(Sheet1!$E:$E,Sheet1!$C:$C,$A44,Sheet1!$A:$A,W$2),"")</f>
        <v/>
      </c>
      <c r="X44" s="9" t="str">
        <f>IF(SUMIFS(Sheet1!$E:$E,Sheet1!$C:$C,$A44,Sheet1!$A:$A,X$2)&lt;&gt;0,SUMIFS(Sheet1!$E:$E,Sheet1!$C:$C,$A44,Sheet1!$A:$A,X$2),"")</f>
        <v/>
      </c>
      <c r="Y44" s="9" t="str">
        <f>IF(SUMIFS(Sheet1!$E:$E,Sheet1!$C:$C,$A44,Sheet1!$A:$A,Y$2)&lt;&gt;0,SUMIFS(Sheet1!$E:$E,Sheet1!$C:$C,$A44,Sheet1!$A:$A,Y$2),"")</f>
        <v/>
      </c>
      <c r="Z44" s="9" t="str">
        <f>IF(SUMIFS(Sheet1!$E:$E,Sheet1!$C:$C,$A44,Sheet1!$A:$A,Z$2)&lt;&gt;0,SUMIFS(Sheet1!$E:$E,Sheet1!$C:$C,$A44,Sheet1!$A:$A,Z$2),"")</f>
        <v/>
      </c>
      <c r="AA44" s="9" t="str">
        <f>IF(SUMIFS(Sheet1!$E:$E,Sheet1!$C:$C,$A44,Sheet1!$A:$A,AA$2)&lt;&gt;0,SUMIFS(Sheet1!$E:$E,Sheet1!$C:$C,$A44,Sheet1!$A:$A,AA$2),"")</f>
        <v/>
      </c>
      <c r="AB44" s="9" t="str">
        <f>IF(SUMIFS(Sheet1!$E:$E,Sheet1!$C:$C,$A44,Sheet1!$A:$A,AB$2)&lt;&gt;0,SUMIFS(Sheet1!$E:$E,Sheet1!$C:$C,$A44,Sheet1!$A:$A,AB$2),"")</f>
        <v/>
      </c>
      <c r="AC44" s="9" t="str">
        <f>IF(SUMIFS(Sheet1!$E:$E,Sheet1!$C:$C,$A44,Sheet1!$A:$A,AC$2)&lt;&gt;0,SUMIFS(Sheet1!$E:$E,Sheet1!$C:$C,$A44,Sheet1!$A:$A,AC$2),"")</f>
        <v/>
      </c>
      <c r="AD44" s="9" t="str">
        <f>IF(SUMIFS(Sheet1!$E:$E,Sheet1!$C:$C,$A44,Sheet1!$A:$A,AD$2)&lt;&gt;0,SUMIFS(Sheet1!$E:$E,Sheet1!$C:$C,$A44,Sheet1!$A:$A,AD$2),"")</f>
        <v/>
      </c>
      <c r="AE44" s="9" t="str">
        <f>IF(SUMIFS(Sheet1!$E:$E,Sheet1!$C:$C,$A44,Sheet1!$A:$A,AE$2)&lt;&gt;0,SUMIFS(Sheet1!$E:$E,Sheet1!$C:$C,$A44,Sheet1!$A:$A,AE$2),"")</f>
        <v/>
      </c>
      <c r="AF44" s="9" t="str">
        <f>IF(SUMIFS(Sheet1!$E:$E,Sheet1!$C:$C,$A44,Sheet1!$A:$A,AF$2)&lt;&gt;0,SUMIFS(Sheet1!$E:$E,Sheet1!$C:$C,$A44,Sheet1!$A:$A,AF$2),"")</f>
        <v/>
      </c>
      <c r="AG44" s="9" t="str">
        <f>IF(SUMIFS(Sheet1!$E:$E,Sheet1!$C:$C,$A44,Sheet1!$A:$A,AG$2)&lt;&gt;0,SUMIFS(Sheet1!$E:$E,Sheet1!$C:$C,$A44,Sheet1!$A:$A,AG$2),"")</f>
        <v/>
      </c>
      <c r="AH44" s="47">
        <f>SUM(Table24[[#This Row],[1]:[31]])</f>
        <v>9</v>
      </c>
    </row>
    <row r="45" spans="1:34" ht="12.75" customHeight="1">
      <c r="A45" s="24" t="str">
        <f>DSSP!A44</f>
        <v>A129</v>
      </c>
      <c r="B45" s="25" t="str">
        <f>DSSP!B44</f>
        <v>Chó</v>
      </c>
      <c r="C45" s="9">
        <f>IF(SUMIFS(Sheet1!$E:$E,Sheet1!$C:$C,$A45,Sheet1!$A:$A,C$2)&lt;&gt;0,SUMIFS(Sheet1!$E:$E,Sheet1!$C:$C,$A45,Sheet1!$A:$A,C$2),"")</f>
        <v>32</v>
      </c>
      <c r="D45" s="9" t="str">
        <f>IF(SUMIFS(Sheet1!$E:$E,Sheet1!$C:$C,$A45,Sheet1!$A:$A,D$2)&lt;&gt;0,SUMIFS(Sheet1!$E:$E,Sheet1!$C:$C,$A45,Sheet1!$A:$A,D$2),"")</f>
        <v/>
      </c>
      <c r="E45" s="9" t="str">
        <f>IF(SUMIFS(Sheet1!$E:$E,Sheet1!$C:$C,$A45,Sheet1!$A:$A,E$2)&lt;&gt;0,SUMIFS(Sheet1!$E:$E,Sheet1!$C:$C,$A45,Sheet1!$A:$A,E$2),"")</f>
        <v/>
      </c>
      <c r="F45" s="9" t="str">
        <f>IF(SUMIFS(Sheet1!$E:$E,Sheet1!$C:$C,$A45,Sheet1!$A:$A,F$2)&lt;&gt;0,SUMIFS(Sheet1!$E:$E,Sheet1!$C:$C,$A45,Sheet1!$A:$A,F$2),"")</f>
        <v/>
      </c>
      <c r="G45" s="9" t="str">
        <f>IF(SUMIFS(Sheet1!$E:$E,Sheet1!$C:$C,$A45,Sheet1!$A:$A,G$2)&lt;&gt;0,SUMIFS(Sheet1!$E:$E,Sheet1!$C:$C,$A45,Sheet1!$A:$A,G$2),"")</f>
        <v/>
      </c>
      <c r="H45" s="9" t="str">
        <f>IF(SUMIFS(Sheet1!$E:$E,Sheet1!$C:$C,$A45,Sheet1!$A:$A,H$2)&lt;&gt;0,SUMIFS(Sheet1!$E:$E,Sheet1!$C:$C,$A45,Sheet1!$A:$A,H$2),"")</f>
        <v/>
      </c>
      <c r="I45" s="9" t="str">
        <f>IF(SUMIFS(Sheet1!$E:$E,Sheet1!$C:$C,$A45,Sheet1!$A:$A,I$2)&lt;&gt;0,SUMIFS(Sheet1!$E:$E,Sheet1!$C:$C,$A45,Sheet1!$A:$A,I$2),"")</f>
        <v/>
      </c>
      <c r="J45" s="9" t="str">
        <f>IF(SUMIFS(Sheet1!$E:$E,Sheet1!$C:$C,$A45,Sheet1!$A:$A,J$2)&lt;&gt;0,SUMIFS(Sheet1!$E:$E,Sheet1!$C:$C,$A45,Sheet1!$A:$A,J$2),"")</f>
        <v/>
      </c>
      <c r="K45" s="9" t="str">
        <f>IF(SUMIFS(Sheet1!$E:$E,Sheet1!$C:$C,$A45,Sheet1!$A:$A,K$2)&lt;&gt;0,SUMIFS(Sheet1!$E:$E,Sheet1!$C:$C,$A45,Sheet1!$A:$A,K$2),"")</f>
        <v/>
      </c>
      <c r="L45" s="9" t="str">
        <f>IF(SUMIFS(Sheet1!$E:$E,Sheet1!$C:$C,$A45,Sheet1!$A:$A,L$2)&lt;&gt;0,SUMIFS(Sheet1!$E:$E,Sheet1!$C:$C,$A45,Sheet1!$A:$A,L$2),"")</f>
        <v/>
      </c>
      <c r="M45" s="9" t="str">
        <f>IF(SUMIFS(Sheet1!$E:$E,Sheet1!$C:$C,$A45,Sheet1!$A:$A,M$2)&lt;&gt;0,SUMIFS(Sheet1!$E:$E,Sheet1!$C:$C,$A45,Sheet1!$A:$A,M$2),"")</f>
        <v/>
      </c>
      <c r="N45" s="9" t="str">
        <f>IF(SUMIFS(Sheet1!$E:$E,Sheet1!$C:$C,$A45,Sheet1!$A:$A,N$2)&lt;&gt;0,SUMIFS(Sheet1!$E:$E,Sheet1!$C:$C,$A45,Sheet1!$A:$A,N$2),"")</f>
        <v/>
      </c>
      <c r="O45" s="9" t="str">
        <f>IF(SUMIFS(Sheet1!$E:$E,Sheet1!$C:$C,$A45,Sheet1!$A:$A,O$2)&lt;&gt;0,SUMIFS(Sheet1!$E:$E,Sheet1!$C:$C,$A45,Sheet1!$A:$A,O$2),"")</f>
        <v/>
      </c>
      <c r="P45" s="9" t="str">
        <f>IF(SUMIFS(Sheet1!$E:$E,Sheet1!$C:$C,$A45,Sheet1!$A:$A,P$2)&lt;&gt;0,SUMIFS(Sheet1!$E:$E,Sheet1!$C:$C,$A45,Sheet1!$A:$A,P$2),"")</f>
        <v/>
      </c>
      <c r="Q45" s="9" t="str">
        <f>IF(SUMIFS(Sheet1!$E:$E,Sheet1!$C:$C,$A45,Sheet1!$A:$A,Q$2)&lt;&gt;0,SUMIFS(Sheet1!$E:$E,Sheet1!$C:$C,$A45,Sheet1!$A:$A,Q$2),"")</f>
        <v/>
      </c>
      <c r="R45" s="9" t="str">
        <f>IF(SUMIFS(Sheet1!$E:$E,Sheet1!$C:$C,$A45,Sheet1!$A:$A,R$2)&lt;&gt;0,SUMIFS(Sheet1!$E:$E,Sheet1!$C:$C,$A45,Sheet1!$A:$A,R$2),"")</f>
        <v/>
      </c>
      <c r="S45" s="9" t="str">
        <f>IF(SUMIFS(Sheet1!$E:$E,Sheet1!$C:$C,$A45,Sheet1!$A:$A,S$2)&lt;&gt;0,SUMIFS(Sheet1!$E:$E,Sheet1!$C:$C,$A45,Sheet1!$A:$A,S$2),"")</f>
        <v/>
      </c>
      <c r="T45" s="9" t="str">
        <f>IF(SUMIFS(Sheet1!$E:$E,Sheet1!$C:$C,$A45,Sheet1!$A:$A,T$2)&lt;&gt;0,SUMIFS(Sheet1!$E:$E,Sheet1!$C:$C,$A45,Sheet1!$A:$A,T$2),"")</f>
        <v/>
      </c>
      <c r="U45" s="9" t="str">
        <f>IF(SUMIFS(Sheet1!$E:$E,Sheet1!$C:$C,$A45,Sheet1!$A:$A,U$2)&lt;&gt;0,SUMIFS(Sheet1!$E:$E,Sheet1!$C:$C,$A45,Sheet1!$A:$A,U$2),"")</f>
        <v/>
      </c>
      <c r="V45" s="9" t="str">
        <f>IF(SUMIFS(Sheet1!$E:$E,Sheet1!$C:$C,$A45,Sheet1!$A:$A,V$2)&lt;&gt;0,SUMIFS(Sheet1!$E:$E,Sheet1!$C:$C,$A45,Sheet1!$A:$A,V$2),"")</f>
        <v/>
      </c>
      <c r="W45" s="9" t="str">
        <f>IF(SUMIFS(Sheet1!$E:$E,Sheet1!$C:$C,$A45,Sheet1!$A:$A,W$2)&lt;&gt;0,SUMIFS(Sheet1!$E:$E,Sheet1!$C:$C,$A45,Sheet1!$A:$A,W$2),"")</f>
        <v/>
      </c>
      <c r="X45" s="9" t="str">
        <f>IF(SUMIFS(Sheet1!$E:$E,Sheet1!$C:$C,$A45,Sheet1!$A:$A,X$2)&lt;&gt;0,SUMIFS(Sheet1!$E:$E,Sheet1!$C:$C,$A45,Sheet1!$A:$A,X$2),"")</f>
        <v/>
      </c>
      <c r="Y45" s="9" t="str">
        <f>IF(SUMIFS(Sheet1!$E:$E,Sheet1!$C:$C,$A45,Sheet1!$A:$A,Y$2)&lt;&gt;0,SUMIFS(Sheet1!$E:$E,Sheet1!$C:$C,$A45,Sheet1!$A:$A,Y$2),"")</f>
        <v/>
      </c>
      <c r="Z45" s="9" t="str">
        <f>IF(SUMIFS(Sheet1!$E:$E,Sheet1!$C:$C,$A45,Sheet1!$A:$A,Z$2)&lt;&gt;0,SUMIFS(Sheet1!$E:$E,Sheet1!$C:$C,$A45,Sheet1!$A:$A,Z$2),"")</f>
        <v/>
      </c>
      <c r="AA45" s="9" t="str">
        <f>IF(SUMIFS(Sheet1!$E:$E,Sheet1!$C:$C,$A45,Sheet1!$A:$A,AA$2)&lt;&gt;0,SUMIFS(Sheet1!$E:$E,Sheet1!$C:$C,$A45,Sheet1!$A:$A,AA$2),"")</f>
        <v/>
      </c>
      <c r="AB45" s="9" t="str">
        <f>IF(SUMIFS(Sheet1!$E:$E,Sheet1!$C:$C,$A45,Sheet1!$A:$A,AB$2)&lt;&gt;0,SUMIFS(Sheet1!$E:$E,Sheet1!$C:$C,$A45,Sheet1!$A:$A,AB$2),"")</f>
        <v/>
      </c>
      <c r="AC45" s="9" t="str">
        <f>IF(SUMIFS(Sheet1!$E:$E,Sheet1!$C:$C,$A45,Sheet1!$A:$A,AC$2)&lt;&gt;0,SUMIFS(Sheet1!$E:$E,Sheet1!$C:$C,$A45,Sheet1!$A:$A,AC$2),"")</f>
        <v/>
      </c>
      <c r="AD45" s="9" t="str">
        <f>IF(SUMIFS(Sheet1!$E:$E,Sheet1!$C:$C,$A45,Sheet1!$A:$A,AD$2)&lt;&gt;0,SUMIFS(Sheet1!$E:$E,Sheet1!$C:$C,$A45,Sheet1!$A:$A,AD$2),"")</f>
        <v/>
      </c>
      <c r="AE45" s="9" t="str">
        <f>IF(SUMIFS(Sheet1!$E:$E,Sheet1!$C:$C,$A45,Sheet1!$A:$A,AE$2)&lt;&gt;0,SUMIFS(Sheet1!$E:$E,Sheet1!$C:$C,$A45,Sheet1!$A:$A,AE$2),"")</f>
        <v/>
      </c>
      <c r="AF45" s="9" t="str">
        <f>IF(SUMIFS(Sheet1!$E:$E,Sheet1!$C:$C,$A45,Sheet1!$A:$A,AF$2)&lt;&gt;0,SUMIFS(Sheet1!$E:$E,Sheet1!$C:$C,$A45,Sheet1!$A:$A,AF$2),"")</f>
        <v/>
      </c>
      <c r="AG45" s="9" t="str">
        <f>IF(SUMIFS(Sheet1!$E:$E,Sheet1!$C:$C,$A45,Sheet1!$A:$A,AG$2)&lt;&gt;0,SUMIFS(Sheet1!$E:$E,Sheet1!$C:$C,$A45,Sheet1!$A:$A,AG$2),"")</f>
        <v/>
      </c>
      <c r="AH45" s="47">
        <f>SUM(Table24[[#This Row],[1]:[31]])</f>
        <v>32</v>
      </c>
    </row>
    <row r="46" spans="1:34" ht="12.75" customHeight="1">
      <c r="A46" s="24" t="str">
        <f>DSSP!A45</f>
        <v>A130</v>
      </c>
      <c r="B46" s="25" t="str">
        <f>DSSP!B45</f>
        <v>Cơm nắm</v>
      </c>
      <c r="C46" s="9">
        <f>IF(SUMIFS(Sheet1!$E:$E,Sheet1!$C:$C,$A46,Sheet1!$A:$A,C$2)&lt;&gt;0,SUMIFS(Sheet1!$E:$E,Sheet1!$C:$C,$A46,Sheet1!$A:$A,C$2),"")</f>
        <v>28</v>
      </c>
      <c r="D46" s="9" t="str">
        <f>IF(SUMIFS(Sheet1!$E:$E,Sheet1!$C:$C,$A46,Sheet1!$A:$A,D$2)&lt;&gt;0,SUMIFS(Sheet1!$E:$E,Sheet1!$C:$C,$A46,Sheet1!$A:$A,D$2),"")</f>
        <v/>
      </c>
      <c r="E46" s="9" t="str">
        <f>IF(SUMIFS(Sheet1!$E:$E,Sheet1!$C:$C,$A46,Sheet1!$A:$A,E$2)&lt;&gt;0,SUMIFS(Sheet1!$E:$E,Sheet1!$C:$C,$A46,Sheet1!$A:$A,E$2),"")</f>
        <v/>
      </c>
      <c r="F46" s="9" t="str">
        <f>IF(SUMIFS(Sheet1!$E:$E,Sheet1!$C:$C,$A46,Sheet1!$A:$A,F$2)&lt;&gt;0,SUMIFS(Sheet1!$E:$E,Sheet1!$C:$C,$A46,Sheet1!$A:$A,F$2),"")</f>
        <v/>
      </c>
      <c r="G46" s="9" t="str">
        <f>IF(SUMIFS(Sheet1!$E:$E,Sheet1!$C:$C,$A46,Sheet1!$A:$A,G$2)&lt;&gt;0,SUMIFS(Sheet1!$E:$E,Sheet1!$C:$C,$A46,Sheet1!$A:$A,G$2),"")</f>
        <v/>
      </c>
      <c r="H46" s="9" t="str">
        <f>IF(SUMIFS(Sheet1!$E:$E,Sheet1!$C:$C,$A46,Sheet1!$A:$A,H$2)&lt;&gt;0,SUMIFS(Sheet1!$E:$E,Sheet1!$C:$C,$A46,Sheet1!$A:$A,H$2),"")</f>
        <v/>
      </c>
      <c r="I46" s="9" t="str">
        <f>IF(SUMIFS(Sheet1!$E:$E,Sheet1!$C:$C,$A46,Sheet1!$A:$A,I$2)&lt;&gt;0,SUMIFS(Sheet1!$E:$E,Sheet1!$C:$C,$A46,Sheet1!$A:$A,I$2),"")</f>
        <v/>
      </c>
      <c r="J46" s="9" t="str">
        <f>IF(SUMIFS(Sheet1!$E:$E,Sheet1!$C:$C,$A46,Sheet1!$A:$A,J$2)&lt;&gt;0,SUMIFS(Sheet1!$E:$E,Sheet1!$C:$C,$A46,Sheet1!$A:$A,J$2),"")</f>
        <v/>
      </c>
      <c r="K46" s="9" t="str">
        <f>IF(SUMIFS(Sheet1!$E:$E,Sheet1!$C:$C,$A46,Sheet1!$A:$A,K$2)&lt;&gt;0,SUMIFS(Sheet1!$E:$E,Sheet1!$C:$C,$A46,Sheet1!$A:$A,K$2),"")</f>
        <v/>
      </c>
      <c r="L46" s="9" t="str">
        <f>IF(SUMIFS(Sheet1!$E:$E,Sheet1!$C:$C,$A46,Sheet1!$A:$A,L$2)&lt;&gt;0,SUMIFS(Sheet1!$E:$E,Sheet1!$C:$C,$A46,Sheet1!$A:$A,L$2),"")</f>
        <v/>
      </c>
      <c r="M46" s="9" t="str">
        <f>IF(SUMIFS(Sheet1!$E:$E,Sheet1!$C:$C,$A46,Sheet1!$A:$A,M$2)&lt;&gt;0,SUMIFS(Sheet1!$E:$E,Sheet1!$C:$C,$A46,Sheet1!$A:$A,M$2),"")</f>
        <v/>
      </c>
      <c r="N46" s="9" t="str">
        <f>IF(SUMIFS(Sheet1!$E:$E,Sheet1!$C:$C,$A46,Sheet1!$A:$A,N$2)&lt;&gt;0,SUMIFS(Sheet1!$E:$E,Sheet1!$C:$C,$A46,Sheet1!$A:$A,N$2),"")</f>
        <v/>
      </c>
      <c r="O46" s="9" t="str">
        <f>IF(SUMIFS(Sheet1!$E:$E,Sheet1!$C:$C,$A46,Sheet1!$A:$A,O$2)&lt;&gt;0,SUMIFS(Sheet1!$E:$E,Sheet1!$C:$C,$A46,Sheet1!$A:$A,O$2),"")</f>
        <v/>
      </c>
      <c r="P46" s="9" t="str">
        <f>IF(SUMIFS(Sheet1!$E:$E,Sheet1!$C:$C,$A46,Sheet1!$A:$A,P$2)&lt;&gt;0,SUMIFS(Sheet1!$E:$E,Sheet1!$C:$C,$A46,Sheet1!$A:$A,P$2),"")</f>
        <v/>
      </c>
      <c r="Q46" s="9" t="str">
        <f>IF(SUMIFS(Sheet1!$E:$E,Sheet1!$C:$C,$A46,Sheet1!$A:$A,Q$2)&lt;&gt;0,SUMIFS(Sheet1!$E:$E,Sheet1!$C:$C,$A46,Sheet1!$A:$A,Q$2),"")</f>
        <v/>
      </c>
      <c r="R46" s="9" t="str">
        <f>IF(SUMIFS(Sheet1!$E:$E,Sheet1!$C:$C,$A46,Sheet1!$A:$A,R$2)&lt;&gt;0,SUMIFS(Sheet1!$E:$E,Sheet1!$C:$C,$A46,Sheet1!$A:$A,R$2),"")</f>
        <v/>
      </c>
      <c r="S46" s="9" t="str">
        <f>IF(SUMIFS(Sheet1!$E:$E,Sheet1!$C:$C,$A46,Sheet1!$A:$A,S$2)&lt;&gt;0,SUMIFS(Sheet1!$E:$E,Sheet1!$C:$C,$A46,Sheet1!$A:$A,S$2),"")</f>
        <v/>
      </c>
      <c r="T46" s="9" t="str">
        <f>IF(SUMIFS(Sheet1!$E:$E,Sheet1!$C:$C,$A46,Sheet1!$A:$A,T$2)&lt;&gt;0,SUMIFS(Sheet1!$E:$E,Sheet1!$C:$C,$A46,Sheet1!$A:$A,T$2),"")</f>
        <v/>
      </c>
      <c r="U46" s="9" t="str">
        <f>IF(SUMIFS(Sheet1!$E:$E,Sheet1!$C:$C,$A46,Sheet1!$A:$A,U$2)&lt;&gt;0,SUMIFS(Sheet1!$E:$E,Sheet1!$C:$C,$A46,Sheet1!$A:$A,U$2),"")</f>
        <v/>
      </c>
      <c r="V46" s="9" t="str">
        <f>IF(SUMIFS(Sheet1!$E:$E,Sheet1!$C:$C,$A46,Sheet1!$A:$A,V$2)&lt;&gt;0,SUMIFS(Sheet1!$E:$E,Sheet1!$C:$C,$A46,Sheet1!$A:$A,V$2),"")</f>
        <v/>
      </c>
      <c r="W46" s="9" t="str">
        <f>IF(SUMIFS(Sheet1!$E:$E,Sheet1!$C:$C,$A46,Sheet1!$A:$A,W$2)&lt;&gt;0,SUMIFS(Sheet1!$E:$E,Sheet1!$C:$C,$A46,Sheet1!$A:$A,W$2),"")</f>
        <v/>
      </c>
      <c r="X46" s="9" t="str">
        <f>IF(SUMIFS(Sheet1!$E:$E,Sheet1!$C:$C,$A46,Sheet1!$A:$A,X$2)&lt;&gt;0,SUMIFS(Sheet1!$E:$E,Sheet1!$C:$C,$A46,Sheet1!$A:$A,X$2),"")</f>
        <v/>
      </c>
      <c r="Y46" s="9" t="str">
        <f>IF(SUMIFS(Sheet1!$E:$E,Sheet1!$C:$C,$A46,Sheet1!$A:$A,Y$2)&lt;&gt;0,SUMIFS(Sheet1!$E:$E,Sheet1!$C:$C,$A46,Sheet1!$A:$A,Y$2),"")</f>
        <v/>
      </c>
      <c r="Z46" s="9" t="str">
        <f>IF(SUMIFS(Sheet1!$E:$E,Sheet1!$C:$C,$A46,Sheet1!$A:$A,Z$2)&lt;&gt;0,SUMIFS(Sheet1!$E:$E,Sheet1!$C:$C,$A46,Sheet1!$A:$A,Z$2),"")</f>
        <v/>
      </c>
      <c r="AA46" s="9" t="str">
        <f>IF(SUMIFS(Sheet1!$E:$E,Sheet1!$C:$C,$A46,Sheet1!$A:$A,AA$2)&lt;&gt;0,SUMIFS(Sheet1!$E:$E,Sheet1!$C:$C,$A46,Sheet1!$A:$A,AA$2),"")</f>
        <v/>
      </c>
      <c r="AB46" s="9" t="str">
        <f>IF(SUMIFS(Sheet1!$E:$E,Sheet1!$C:$C,$A46,Sheet1!$A:$A,AB$2)&lt;&gt;0,SUMIFS(Sheet1!$E:$E,Sheet1!$C:$C,$A46,Sheet1!$A:$A,AB$2),"")</f>
        <v/>
      </c>
      <c r="AC46" s="9" t="str">
        <f>IF(SUMIFS(Sheet1!$E:$E,Sheet1!$C:$C,$A46,Sheet1!$A:$A,AC$2)&lt;&gt;0,SUMIFS(Sheet1!$E:$E,Sheet1!$C:$C,$A46,Sheet1!$A:$A,AC$2),"")</f>
        <v/>
      </c>
      <c r="AD46" s="9" t="str">
        <f>IF(SUMIFS(Sheet1!$E:$E,Sheet1!$C:$C,$A46,Sheet1!$A:$A,AD$2)&lt;&gt;0,SUMIFS(Sheet1!$E:$E,Sheet1!$C:$C,$A46,Sheet1!$A:$A,AD$2),"")</f>
        <v/>
      </c>
      <c r="AE46" s="9" t="str">
        <f>IF(SUMIFS(Sheet1!$E:$E,Sheet1!$C:$C,$A46,Sheet1!$A:$A,AE$2)&lt;&gt;0,SUMIFS(Sheet1!$E:$E,Sheet1!$C:$C,$A46,Sheet1!$A:$A,AE$2),"")</f>
        <v/>
      </c>
      <c r="AF46" s="9" t="str">
        <f>IF(SUMIFS(Sheet1!$E:$E,Sheet1!$C:$C,$A46,Sheet1!$A:$A,AF$2)&lt;&gt;0,SUMIFS(Sheet1!$E:$E,Sheet1!$C:$C,$A46,Sheet1!$A:$A,AF$2),"")</f>
        <v/>
      </c>
      <c r="AG46" s="9" t="str">
        <f>IF(SUMIFS(Sheet1!$E:$E,Sheet1!$C:$C,$A46,Sheet1!$A:$A,AG$2)&lt;&gt;0,SUMIFS(Sheet1!$E:$E,Sheet1!$C:$C,$A46,Sheet1!$A:$A,AG$2),"")</f>
        <v/>
      </c>
      <c r="AH46" s="47">
        <f>SUM(Table24[[#This Row],[1]:[31]])</f>
        <v>28</v>
      </c>
    </row>
    <row r="47" spans="1:34" ht="12.75" customHeight="1">
      <c r="A47" s="24" t="str">
        <f>DSSP!A46</f>
        <v>A131</v>
      </c>
      <c r="B47" s="25" t="str">
        <f>DSSP!B46</f>
        <v>Bánh kem</v>
      </c>
      <c r="C47" s="9" t="str">
        <f>IF(SUMIFS(Sheet1!$E:$E,Sheet1!$C:$C,$A47,Sheet1!$A:$A,C$2)&lt;&gt;0,SUMIFS(Sheet1!$E:$E,Sheet1!$C:$C,$A47,Sheet1!$A:$A,C$2),"")</f>
        <v/>
      </c>
      <c r="D47" s="9" t="str">
        <f>IF(SUMIFS(Sheet1!$E:$E,Sheet1!$C:$C,$A47,Sheet1!$A:$A,D$2)&lt;&gt;0,SUMIFS(Sheet1!$E:$E,Sheet1!$C:$C,$A47,Sheet1!$A:$A,D$2),"")</f>
        <v/>
      </c>
      <c r="E47" s="9" t="str">
        <f>IF(SUMIFS(Sheet1!$E:$E,Sheet1!$C:$C,$A47,Sheet1!$A:$A,E$2)&lt;&gt;0,SUMIFS(Sheet1!$E:$E,Sheet1!$C:$C,$A47,Sheet1!$A:$A,E$2),"")</f>
        <v/>
      </c>
      <c r="F47" s="9" t="str">
        <f>IF(SUMIFS(Sheet1!$E:$E,Sheet1!$C:$C,$A47,Sheet1!$A:$A,F$2)&lt;&gt;0,SUMIFS(Sheet1!$E:$E,Sheet1!$C:$C,$A47,Sheet1!$A:$A,F$2),"")</f>
        <v/>
      </c>
      <c r="G47" s="9" t="str">
        <f>IF(SUMIFS(Sheet1!$E:$E,Sheet1!$C:$C,$A47,Sheet1!$A:$A,G$2)&lt;&gt;0,SUMIFS(Sheet1!$E:$E,Sheet1!$C:$C,$A47,Sheet1!$A:$A,G$2),"")</f>
        <v/>
      </c>
      <c r="H47" s="9" t="str">
        <f>IF(SUMIFS(Sheet1!$E:$E,Sheet1!$C:$C,$A47,Sheet1!$A:$A,H$2)&lt;&gt;0,SUMIFS(Sheet1!$E:$E,Sheet1!$C:$C,$A47,Sheet1!$A:$A,H$2),"")</f>
        <v/>
      </c>
      <c r="I47" s="9" t="str">
        <f>IF(SUMIFS(Sheet1!$E:$E,Sheet1!$C:$C,$A47,Sheet1!$A:$A,I$2)&lt;&gt;0,SUMIFS(Sheet1!$E:$E,Sheet1!$C:$C,$A47,Sheet1!$A:$A,I$2),"")</f>
        <v/>
      </c>
      <c r="J47" s="9" t="str">
        <f>IF(SUMIFS(Sheet1!$E:$E,Sheet1!$C:$C,$A47,Sheet1!$A:$A,J$2)&lt;&gt;0,SUMIFS(Sheet1!$E:$E,Sheet1!$C:$C,$A47,Sheet1!$A:$A,J$2),"")</f>
        <v/>
      </c>
      <c r="K47" s="9" t="str">
        <f>IF(SUMIFS(Sheet1!$E:$E,Sheet1!$C:$C,$A47,Sheet1!$A:$A,K$2)&lt;&gt;0,SUMIFS(Sheet1!$E:$E,Sheet1!$C:$C,$A47,Sheet1!$A:$A,K$2),"")</f>
        <v/>
      </c>
      <c r="L47" s="9" t="str">
        <f>IF(SUMIFS(Sheet1!$E:$E,Sheet1!$C:$C,$A47,Sheet1!$A:$A,L$2)&lt;&gt;0,SUMIFS(Sheet1!$E:$E,Sheet1!$C:$C,$A47,Sheet1!$A:$A,L$2),"")</f>
        <v/>
      </c>
      <c r="M47" s="9" t="str">
        <f>IF(SUMIFS(Sheet1!$E:$E,Sheet1!$C:$C,$A47,Sheet1!$A:$A,M$2)&lt;&gt;0,SUMIFS(Sheet1!$E:$E,Sheet1!$C:$C,$A47,Sheet1!$A:$A,M$2),"")</f>
        <v/>
      </c>
      <c r="N47" s="9" t="str">
        <f>IF(SUMIFS(Sheet1!$E:$E,Sheet1!$C:$C,$A47,Sheet1!$A:$A,N$2)&lt;&gt;0,SUMIFS(Sheet1!$E:$E,Sheet1!$C:$C,$A47,Sheet1!$A:$A,N$2),"")</f>
        <v/>
      </c>
      <c r="O47" s="9" t="str">
        <f>IF(SUMIFS(Sheet1!$E:$E,Sheet1!$C:$C,$A47,Sheet1!$A:$A,O$2)&lt;&gt;0,SUMIFS(Sheet1!$E:$E,Sheet1!$C:$C,$A47,Sheet1!$A:$A,O$2),"")</f>
        <v/>
      </c>
      <c r="P47" s="9" t="str">
        <f>IF(SUMIFS(Sheet1!$E:$E,Sheet1!$C:$C,$A47,Sheet1!$A:$A,P$2)&lt;&gt;0,SUMIFS(Sheet1!$E:$E,Sheet1!$C:$C,$A47,Sheet1!$A:$A,P$2),"")</f>
        <v/>
      </c>
      <c r="Q47" s="9" t="str">
        <f>IF(SUMIFS(Sheet1!$E:$E,Sheet1!$C:$C,$A47,Sheet1!$A:$A,Q$2)&lt;&gt;0,SUMIFS(Sheet1!$E:$E,Sheet1!$C:$C,$A47,Sheet1!$A:$A,Q$2),"")</f>
        <v/>
      </c>
      <c r="R47" s="9" t="str">
        <f>IF(SUMIFS(Sheet1!$E:$E,Sheet1!$C:$C,$A47,Sheet1!$A:$A,R$2)&lt;&gt;0,SUMIFS(Sheet1!$E:$E,Sheet1!$C:$C,$A47,Sheet1!$A:$A,R$2),"")</f>
        <v/>
      </c>
      <c r="S47" s="9" t="str">
        <f>IF(SUMIFS(Sheet1!$E:$E,Sheet1!$C:$C,$A47,Sheet1!$A:$A,S$2)&lt;&gt;0,SUMIFS(Sheet1!$E:$E,Sheet1!$C:$C,$A47,Sheet1!$A:$A,S$2),"")</f>
        <v/>
      </c>
      <c r="T47" s="9" t="str">
        <f>IF(SUMIFS(Sheet1!$E:$E,Sheet1!$C:$C,$A47,Sheet1!$A:$A,T$2)&lt;&gt;0,SUMIFS(Sheet1!$E:$E,Sheet1!$C:$C,$A47,Sheet1!$A:$A,T$2),"")</f>
        <v/>
      </c>
      <c r="U47" s="9" t="str">
        <f>IF(SUMIFS(Sheet1!$E:$E,Sheet1!$C:$C,$A47,Sheet1!$A:$A,U$2)&lt;&gt;0,SUMIFS(Sheet1!$E:$E,Sheet1!$C:$C,$A47,Sheet1!$A:$A,U$2),"")</f>
        <v/>
      </c>
      <c r="V47" s="9" t="str">
        <f>IF(SUMIFS(Sheet1!$E:$E,Sheet1!$C:$C,$A47,Sheet1!$A:$A,V$2)&lt;&gt;0,SUMIFS(Sheet1!$E:$E,Sheet1!$C:$C,$A47,Sheet1!$A:$A,V$2),"")</f>
        <v/>
      </c>
      <c r="W47" s="9" t="str">
        <f>IF(SUMIFS(Sheet1!$E:$E,Sheet1!$C:$C,$A47,Sheet1!$A:$A,W$2)&lt;&gt;0,SUMIFS(Sheet1!$E:$E,Sheet1!$C:$C,$A47,Sheet1!$A:$A,W$2),"")</f>
        <v/>
      </c>
      <c r="X47" s="9" t="str">
        <f>IF(SUMIFS(Sheet1!$E:$E,Sheet1!$C:$C,$A47,Sheet1!$A:$A,X$2)&lt;&gt;0,SUMIFS(Sheet1!$E:$E,Sheet1!$C:$C,$A47,Sheet1!$A:$A,X$2),"")</f>
        <v/>
      </c>
      <c r="Y47" s="9" t="str">
        <f>IF(SUMIFS(Sheet1!$E:$E,Sheet1!$C:$C,$A47,Sheet1!$A:$A,Y$2)&lt;&gt;0,SUMIFS(Sheet1!$E:$E,Sheet1!$C:$C,$A47,Sheet1!$A:$A,Y$2),"")</f>
        <v/>
      </c>
      <c r="Z47" s="9" t="str">
        <f>IF(SUMIFS(Sheet1!$E:$E,Sheet1!$C:$C,$A47,Sheet1!$A:$A,Z$2)&lt;&gt;0,SUMIFS(Sheet1!$E:$E,Sheet1!$C:$C,$A47,Sheet1!$A:$A,Z$2),"")</f>
        <v/>
      </c>
      <c r="AA47" s="9" t="str">
        <f>IF(SUMIFS(Sheet1!$E:$E,Sheet1!$C:$C,$A47,Sheet1!$A:$A,AA$2)&lt;&gt;0,SUMIFS(Sheet1!$E:$E,Sheet1!$C:$C,$A47,Sheet1!$A:$A,AA$2),"")</f>
        <v/>
      </c>
      <c r="AB47" s="9" t="str">
        <f>IF(SUMIFS(Sheet1!$E:$E,Sheet1!$C:$C,$A47,Sheet1!$A:$A,AB$2)&lt;&gt;0,SUMIFS(Sheet1!$E:$E,Sheet1!$C:$C,$A47,Sheet1!$A:$A,AB$2),"")</f>
        <v/>
      </c>
      <c r="AC47" s="9" t="str">
        <f>IF(SUMIFS(Sheet1!$E:$E,Sheet1!$C:$C,$A47,Sheet1!$A:$A,AC$2)&lt;&gt;0,SUMIFS(Sheet1!$E:$E,Sheet1!$C:$C,$A47,Sheet1!$A:$A,AC$2),"")</f>
        <v/>
      </c>
      <c r="AD47" s="9" t="str">
        <f>IF(SUMIFS(Sheet1!$E:$E,Sheet1!$C:$C,$A47,Sheet1!$A:$A,AD$2)&lt;&gt;0,SUMIFS(Sheet1!$E:$E,Sheet1!$C:$C,$A47,Sheet1!$A:$A,AD$2),"")</f>
        <v/>
      </c>
      <c r="AE47" s="9" t="str">
        <f>IF(SUMIFS(Sheet1!$E:$E,Sheet1!$C:$C,$A47,Sheet1!$A:$A,AE$2)&lt;&gt;0,SUMIFS(Sheet1!$E:$E,Sheet1!$C:$C,$A47,Sheet1!$A:$A,AE$2),"")</f>
        <v/>
      </c>
      <c r="AF47" s="9" t="str">
        <f>IF(SUMIFS(Sheet1!$E:$E,Sheet1!$C:$C,$A47,Sheet1!$A:$A,AF$2)&lt;&gt;0,SUMIFS(Sheet1!$E:$E,Sheet1!$C:$C,$A47,Sheet1!$A:$A,AF$2),"")</f>
        <v/>
      </c>
      <c r="AG47" s="9" t="str">
        <f>IF(SUMIFS(Sheet1!$E:$E,Sheet1!$C:$C,$A47,Sheet1!$A:$A,AG$2)&lt;&gt;0,SUMIFS(Sheet1!$E:$E,Sheet1!$C:$C,$A47,Sheet1!$A:$A,AG$2),"")</f>
        <v/>
      </c>
      <c r="AH47" s="47">
        <f>SUM(Table24[[#This Row],[1]:[31]])</f>
        <v>0</v>
      </c>
    </row>
    <row r="48" spans="1:34" ht="12.75" customHeight="1">
      <c r="A48" s="24" t="str">
        <f>DSSP!A47</f>
        <v>A132</v>
      </c>
      <c r="B48" s="25" t="str">
        <f>DSSP!B47</f>
        <v>Bánh cuộn</v>
      </c>
      <c r="C48" s="9" t="str">
        <f>IF(SUMIFS(Sheet1!$E:$E,Sheet1!$C:$C,$A48,Sheet1!$A:$A,C$2)&lt;&gt;0,SUMIFS(Sheet1!$E:$E,Sheet1!$C:$C,$A48,Sheet1!$A:$A,C$2),"")</f>
        <v/>
      </c>
      <c r="D48" s="9" t="str">
        <f>IF(SUMIFS(Sheet1!$E:$E,Sheet1!$C:$C,$A48,Sheet1!$A:$A,D$2)&lt;&gt;0,SUMIFS(Sheet1!$E:$E,Sheet1!$C:$C,$A48,Sheet1!$A:$A,D$2),"")</f>
        <v/>
      </c>
      <c r="E48" s="9" t="str">
        <f>IF(SUMIFS(Sheet1!$E:$E,Sheet1!$C:$C,$A48,Sheet1!$A:$A,E$2)&lt;&gt;0,SUMIFS(Sheet1!$E:$E,Sheet1!$C:$C,$A48,Sheet1!$A:$A,E$2),"")</f>
        <v/>
      </c>
      <c r="F48" s="9" t="str">
        <f>IF(SUMIFS(Sheet1!$E:$E,Sheet1!$C:$C,$A48,Sheet1!$A:$A,F$2)&lt;&gt;0,SUMIFS(Sheet1!$E:$E,Sheet1!$C:$C,$A48,Sheet1!$A:$A,F$2),"")</f>
        <v/>
      </c>
      <c r="G48" s="9" t="str">
        <f>IF(SUMIFS(Sheet1!$E:$E,Sheet1!$C:$C,$A48,Sheet1!$A:$A,G$2)&lt;&gt;0,SUMIFS(Sheet1!$E:$E,Sheet1!$C:$C,$A48,Sheet1!$A:$A,G$2),"")</f>
        <v/>
      </c>
      <c r="H48" s="9" t="str">
        <f>IF(SUMIFS(Sheet1!$E:$E,Sheet1!$C:$C,$A48,Sheet1!$A:$A,H$2)&lt;&gt;0,SUMIFS(Sheet1!$E:$E,Sheet1!$C:$C,$A48,Sheet1!$A:$A,H$2),"")</f>
        <v/>
      </c>
      <c r="I48" s="9" t="str">
        <f>IF(SUMIFS(Sheet1!$E:$E,Sheet1!$C:$C,$A48,Sheet1!$A:$A,I$2)&lt;&gt;0,SUMIFS(Sheet1!$E:$E,Sheet1!$C:$C,$A48,Sheet1!$A:$A,I$2),"")</f>
        <v/>
      </c>
      <c r="J48" s="9" t="str">
        <f>IF(SUMIFS(Sheet1!$E:$E,Sheet1!$C:$C,$A48,Sheet1!$A:$A,J$2)&lt;&gt;0,SUMIFS(Sheet1!$E:$E,Sheet1!$C:$C,$A48,Sheet1!$A:$A,J$2),"")</f>
        <v/>
      </c>
      <c r="K48" s="9" t="str">
        <f>IF(SUMIFS(Sheet1!$E:$E,Sheet1!$C:$C,$A48,Sheet1!$A:$A,K$2)&lt;&gt;0,SUMIFS(Sheet1!$E:$E,Sheet1!$C:$C,$A48,Sheet1!$A:$A,K$2),"")</f>
        <v/>
      </c>
      <c r="L48" s="9" t="str">
        <f>IF(SUMIFS(Sheet1!$E:$E,Sheet1!$C:$C,$A48,Sheet1!$A:$A,L$2)&lt;&gt;0,SUMIFS(Sheet1!$E:$E,Sheet1!$C:$C,$A48,Sheet1!$A:$A,L$2),"")</f>
        <v/>
      </c>
      <c r="M48" s="9" t="str">
        <f>IF(SUMIFS(Sheet1!$E:$E,Sheet1!$C:$C,$A48,Sheet1!$A:$A,M$2)&lt;&gt;0,SUMIFS(Sheet1!$E:$E,Sheet1!$C:$C,$A48,Sheet1!$A:$A,M$2),"")</f>
        <v/>
      </c>
      <c r="N48" s="9" t="str">
        <f>IF(SUMIFS(Sheet1!$E:$E,Sheet1!$C:$C,$A48,Sheet1!$A:$A,N$2)&lt;&gt;0,SUMIFS(Sheet1!$E:$E,Sheet1!$C:$C,$A48,Sheet1!$A:$A,N$2),"")</f>
        <v/>
      </c>
      <c r="O48" s="9" t="str">
        <f>IF(SUMIFS(Sheet1!$E:$E,Sheet1!$C:$C,$A48,Sheet1!$A:$A,O$2)&lt;&gt;0,SUMIFS(Sheet1!$E:$E,Sheet1!$C:$C,$A48,Sheet1!$A:$A,O$2),"")</f>
        <v/>
      </c>
      <c r="P48" s="9" t="str">
        <f>IF(SUMIFS(Sheet1!$E:$E,Sheet1!$C:$C,$A48,Sheet1!$A:$A,P$2)&lt;&gt;0,SUMIFS(Sheet1!$E:$E,Sheet1!$C:$C,$A48,Sheet1!$A:$A,P$2),"")</f>
        <v/>
      </c>
      <c r="Q48" s="9" t="str">
        <f>IF(SUMIFS(Sheet1!$E:$E,Sheet1!$C:$C,$A48,Sheet1!$A:$A,Q$2)&lt;&gt;0,SUMIFS(Sheet1!$E:$E,Sheet1!$C:$C,$A48,Sheet1!$A:$A,Q$2),"")</f>
        <v/>
      </c>
      <c r="R48" s="9" t="str">
        <f>IF(SUMIFS(Sheet1!$E:$E,Sheet1!$C:$C,$A48,Sheet1!$A:$A,R$2)&lt;&gt;0,SUMIFS(Sheet1!$E:$E,Sheet1!$C:$C,$A48,Sheet1!$A:$A,R$2),"")</f>
        <v/>
      </c>
      <c r="S48" s="9" t="str">
        <f>IF(SUMIFS(Sheet1!$E:$E,Sheet1!$C:$C,$A48,Sheet1!$A:$A,S$2)&lt;&gt;0,SUMIFS(Sheet1!$E:$E,Sheet1!$C:$C,$A48,Sheet1!$A:$A,S$2),"")</f>
        <v/>
      </c>
      <c r="T48" s="9" t="str">
        <f>IF(SUMIFS(Sheet1!$E:$E,Sheet1!$C:$C,$A48,Sheet1!$A:$A,T$2)&lt;&gt;0,SUMIFS(Sheet1!$E:$E,Sheet1!$C:$C,$A48,Sheet1!$A:$A,T$2),"")</f>
        <v/>
      </c>
      <c r="U48" s="9" t="str">
        <f>IF(SUMIFS(Sheet1!$E:$E,Sheet1!$C:$C,$A48,Sheet1!$A:$A,U$2)&lt;&gt;0,SUMIFS(Sheet1!$E:$E,Sheet1!$C:$C,$A48,Sheet1!$A:$A,U$2),"")</f>
        <v/>
      </c>
      <c r="V48" s="9" t="str">
        <f>IF(SUMIFS(Sheet1!$E:$E,Sheet1!$C:$C,$A48,Sheet1!$A:$A,V$2)&lt;&gt;0,SUMIFS(Sheet1!$E:$E,Sheet1!$C:$C,$A48,Sheet1!$A:$A,V$2),"")</f>
        <v/>
      </c>
      <c r="W48" s="9" t="str">
        <f>IF(SUMIFS(Sheet1!$E:$E,Sheet1!$C:$C,$A48,Sheet1!$A:$A,W$2)&lt;&gt;0,SUMIFS(Sheet1!$E:$E,Sheet1!$C:$C,$A48,Sheet1!$A:$A,W$2),"")</f>
        <v/>
      </c>
      <c r="X48" s="9" t="str">
        <f>IF(SUMIFS(Sheet1!$E:$E,Sheet1!$C:$C,$A48,Sheet1!$A:$A,X$2)&lt;&gt;0,SUMIFS(Sheet1!$E:$E,Sheet1!$C:$C,$A48,Sheet1!$A:$A,X$2),"")</f>
        <v/>
      </c>
      <c r="Y48" s="9" t="str">
        <f>IF(SUMIFS(Sheet1!$E:$E,Sheet1!$C:$C,$A48,Sheet1!$A:$A,Y$2)&lt;&gt;0,SUMIFS(Sheet1!$E:$E,Sheet1!$C:$C,$A48,Sheet1!$A:$A,Y$2),"")</f>
        <v/>
      </c>
      <c r="Z48" s="9" t="str">
        <f>IF(SUMIFS(Sheet1!$E:$E,Sheet1!$C:$C,$A48,Sheet1!$A:$A,Z$2)&lt;&gt;0,SUMIFS(Sheet1!$E:$E,Sheet1!$C:$C,$A48,Sheet1!$A:$A,Z$2),"")</f>
        <v/>
      </c>
      <c r="AA48" s="9" t="str">
        <f>IF(SUMIFS(Sheet1!$E:$E,Sheet1!$C:$C,$A48,Sheet1!$A:$A,AA$2)&lt;&gt;0,SUMIFS(Sheet1!$E:$E,Sheet1!$C:$C,$A48,Sheet1!$A:$A,AA$2),"")</f>
        <v/>
      </c>
      <c r="AB48" s="9" t="str">
        <f>IF(SUMIFS(Sheet1!$E:$E,Sheet1!$C:$C,$A48,Sheet1!$A:$A,AB$2)&lt;&gt;0,SUMIFS(Sheet1!$E:$E,Sheet1!$C:$C,$A48,Sheet1!$A:$A,AB$2),"")</f>
        <v/>
      </c>
      <c r="AC48" s="9" t="str">
        <f>IF(SUMIFS(Sheet1!$E:$E,Sheet1!$C:$C,$A48,Sheet1!$A:$A,AC$2)&lt;&gt;0,SUMIFS(Sheet1!$E:$E,Sheet1!$C:$C,$A48,Sheet1!$A:$A,AC$2),"")</f>
        <v/>
      </c>
      <c r="AD48" s="9" t="str">
        <f>IF(SUMIFS(Sheet1!$E:$E,Sheet1!$C:$C,$A48,Sheet1!$A:$A,AD$2)&lt;&gt;0,SUMIFS(Sheet1!$E:$E,Sheet1!$C:$C,$A48,Sheet1!$A:$A,AD$2),"")</f>
        <v/>
      </c>
      <c r="AE48" s="9" t="str">
        <f>IF(SUMIFS(Sheet1!$E:$E,Sheet1!$C:$C,$A48,Sheet1!$A:$A,AE$2)&lt;&gt;0,SUMIFS(Sheet1!$E:$E,Sheet1!$C:$C,$A48,Sheet1!$A:$A,AE$2),"")</f>
        <v/>
      </c>
      <c r="AF48" s="9" t="str">
        <f>IF(SUMIFS(Sheet1!$E:$E,Sheet1!$C:$C,$A48,Sheet1!$A:$A,AF$2)&lt;&gt;0,SUMIFS(Sheet1!$E:$E,Sheet1!$C:$C,$A48,Sheet1!$A:$A,AF$2),"")</f>
        <v/>
      </c>
      <c r="AG48" s="9" t="str">
        <f>IF(SUMIFS(Sheet1!$E:$E,Sheet1!$C:$C,$A48,Sheet1!$A:$A,AG$2)&lt;&gt;0,SUMIFS(Sheet1!$E:$E,Sheet1!$C:$C,$A48,Sheet1!$A:$A,AG$2),"")</f>
        <v/>
      </c>
      <c r="AH48" s="47">
        <f>SUM(Table24[[#This Row],[1]:[31]])</f>
        <v>0</v>
      </c>
    </row>
    <row r="49" spans="1:34" ht="12.75" customHeight="1">
      <c r="A49" s="24" t="str">
        <f>DSSP!A48</f>
        <v>A133</v>
      </c>
      <c r="B49" s="25" t="str">
        <f>DSSP!B48</f>
        <v>Sushi</v>
      </c>
      <c r="C49" s="9">
        <f>IF(SUMIFS(Sheet1!$E:$E,Sheet1!$C:$C,$A49,Sheet1!$A:$A,C$2)&lt;&gt;0,SUMIFS(Sheet1!$E:$E,Sheet1!$C:$C,$A49,Sheet1!$A:$A,C$2),"")</f>
        <v>30</v>
      </c>
      <c r="D49" s="9" t="str">
        <f>IF(SUMIFS(Sheet1!$E:$E,Sheet1!$C:$C,$A49,Sheet1!$A:$A,D$2)&lt;&gt;0,SUMIFS(Sheet1!$E:$E,Sheet1!$C:$C,$A49,Sheet1!$A:$A,D$2),"")</f>
        <v/>
      </c>
      <c r="E49" s="9" t="str">
        <f>IF(SUMIFS(Sheet1!$E:$E,Sheet1!$C:$C,$A49,Sheet1!$A:$A,E$2)&lt;&gt;0,SUMIFS(Sheet1!$E:$E,Sheet1!$C:$C,$A49,Sheet1!$A:$A,E$2),"")</f>
        <v/>
      </c>
      <c r="F49" s="9" t="str">
        <f>IF(SUMIFS(Sheet1!$E:$E,Sheet1!$C:$C,$A49,Sheet1!$A:$A,F$2)&lt;&gt;0,SUMIFS(Sheet1!$E:$E,Sheet1!$C:$C,$A49,Sheet1!$A:$A,F$2),"")</f>
        <v/>
      </c>
      <c r="G49" s="9" t="str">
        <f>IF(SUMIFS(Sheet1!$E:$E,Sheet1!$C:$C,$A49,Sheet1!$A:$A,G$2)&lt;&gt;0,SUMIFS(Sheet1!$E:$E,Sheet1!$C:$C,$A49,Sheet1!$A:$A,G$2),"")</f>
        <v/>
      </c>
      <c r="H49" s="9" t="str">
        <f>IF(SUMIFS(Sheet1!$E:$E,Sheet1!$C:$C,$A49,Sheet1!$A:$A,H$2)&lt;&gt;0,SUMIFS(Sheet1!$E:$E,Sheet1!$C:$C,$A49,Sheet1!$A:$A,H$2),"")</f>
        <v/>
      </c>
      <c r="I49" s="9" t="str">
        <f>IF(SUMIFS(Sheet1!$E:$E,Sheet1!$C:$C,$A49,Sheet1!$A:$A,I$2)&lt;&gt;0,SUMIFS(Sheet1!$E:$E,Sheet1!$C:$C,$A49,Sheet1!$A:$A,I$2),"")</f>
        <v/>
      </c>
      <c r="J49" s="9" t="str">
        <f>IF(SUMIFS(Sheet1!$E:$E,Sheet1!$C:$C,$A49,Sheet1!$A:$A,J$2)&lt;&gt;0,SUMIFS(Sheet1!$E:$E,Sheet1!$C:$C,$A49,Sheet1!$A:$A,J$2),"")</f>
        <v/>
      </c>
      <c r="K49" s="9" t="str">
        <f>IF(SUMIFS(Sheet1!$E:$E,Sheet1!$C:$C,$A49,Sheet1!$A:$A,K$2)&lt;&gt;0,SUMIFS(Sheet1!$E:$E,Sheet1!$C:$C,$A49,Sheet1!$A:$A,K$2),"")</f>
        <v/>
      </c>
      <c r="L49" s="9" t="str">
        <f>IF(SUMIFS(Sheet1!$E:$E,Sheet1!$C:$C,$A49,Sheet1!$A:$A,L$2)&lt;&gt;0,SUMIFS(Sheet1!$E:$E,Sheet1!$C:$C,$A49,Sheet1!$A:$A,L$2),"")</f>
        <v/>
      </c>
      <c r="M49" s="9" t="str">
        <f>IF(SUMIFS(Sheet1!$E:$E,Sheet1!$C:$C,$A49,Sheet1!$A:$A,M$2)&lt;&gt;0,SUMIFS(Sheet1!$E:$E,Sheet1!$C:$C,$A49,Sheet1!$A:$A,M$2),"")</f>
        <v/>
      </c>
      <c r="N49" s="9" t="str">
        <f>IF(SUMIFS(Sheet1!$E:$E,Sheet1!$C:$C,$A49,Sheet1!$A:$A,N$2)&lt;&gt;0,SUMIFS(Sheet1!$E:$E,Sheet1!$C:$C,$A49,Sheet1!$A:$A,N$2),"")</f>
        <v/>
      </c>
      <c r="O49" s="9" t="str">
        <f>IF(SUMIFS(Sheet1!$E:$E,Sheet1!$C:$C,$A49,Sheet1!$A:$A,O$2)&lt;&gt;0,SUMIFS(Sheet1!$E:$E,Sheet1!$C:$C,$A49,Sheet1!$A:$A,O$2),"")</f>
        <v/>
      </c>
      <c r="P49" s="9" t="str">
        <f>IF(SUMIFS(Sheet1!$E:$E,Sheet1!$C:$C,$A49,Sheet1!$A:$A,P$2)&lt;&gt;0,SUMIFS(Sheet1!$E:$E,Sheet1!$C:$C,$A49,Sheet1!$A:$A,P$2),"")</f>
        <v/>
      </c>
      <c r="Q49" s="9" t="str">
        <f>IF(SUMIFS(Sheet1!$E:$E,Sheet1!$C:$C,$A49,Sheet1!$A:$A,Q$2)&lt;&gt;0,SUMIFS(Sheet1!$E:$E,Sheet1!$C:$C,$A49,Sheet1!$A:$A,Q$2),"")</f>
        <v/>
      </c>
      <c r="R49" s="9" t="str">
        <f>IF(SUMIFS(Sheet1!$E:$E,Sheet1!$C:$C,$A49,Sheet1!$A:$A,R$2)&lt;&gt;0,SUMIFS(Sheet1!$E:$E,Sheet1!$C:$C,$A49,Sheet1!$A:$A,R$2),"")</f>
        <v/>
      </c>
      <c r="S49" s="9" t="str">
        <f>IF(SUMIFS(Sheet1!$E:$E,Sheet1!$C:$C,$A49,Sheet1!$A:$A,S$2)&lt;&gt;0,SUMIFS(Sheet1!$E:$E,Sheet1!$C:$C,$A49,Sheet1!$A:$A,S$2),"")</f>
        <v/>
      </c>
      <c r="T49" s="9" t="str">
        <f>IF(SUMIFS(Sheet1!$E:$E,Sheet1!$C:$C,$A49,Sheet1!$A:$A,T$2)&lt;&gt;0,SUMIFS(Sheet1!$E:$E,Sheet1!$C:$C,$A49,Sheet1!$A:$A,T$2),"")</f>
        <v/>
      </c>
      <c r="U49" s="9" t="str">
        <f>IF(SUMIFS(Sheet1!$E:$E,Sheet1!$C:$C,$A49,Sheet1!$A:$A,U$2)&lt;&gt;0,SUMIFS(Sheet1!$E:$E,Sheet1!$C:$C,$A49,Sheet1!$A:$A,U$2),"")</f>
        <v/>
      </c>
      <c r="V49" s="9" t="str">
        <f>IF(SUMIFS(Sheet1!$E:$E,Sheet1!$C:$C,$A49,Sheet1!$A:$A,V$2)&lt;&gt;0,SUMIFS(Sheet1!$E:$E,Sheet1!$C:$C,$A49,Sheet1!$A:$A,V$2),"")</f>
        <v/>
      </c>
      <c r="W49" s="9" t="str">
        <f>IF(SUMIFS(Sheet1!$E:$E,Sheet1!$C:$C,$A49,Sheet1!$A:$A,W$2)&lt;&gt;0,SUMIFS(Sheet1!$E:$E,Sheet1!$C:$C,$A49,Sheet1!$A:$A,W$2),"")</f>
        <v/>
      </c>
      <c r="X49" s="9" t="str">
        <f>IF(SUMIFS(Sheet1!$E:$E,Sheet1!$C:$C,$A49,Sheet1!$A:$A,X$2)&lt;&gt;0,SUMIFS(Sheet1!$E:$E,Sheet1!$C:$C,$A49,Sheet1!$A:$A,X$2),"")</f>
        <v/>
      </c>
      <c r="Y49" s="9" t="str">
        <f>IF(SUMIFS(Sheet1!$E:$E,Sheet1!$C:$C,$A49,Sheet1!$A:$A,Y$2)&lt;&gt;0,SUMIFS(Sheet1!$E:$E,Sheet1!$C:$C,$A49,Sheet1!$A:$A,Y$2),"")</f>
        <v/>
      </c>
      <c r="Z49" s="9" t="str">
        <f>IF(SUMIFS(Sheet1!$E:$E,Sheet1!$C:$C,$A49,Sheet1!$A:$A,Z$2)&lt;&gt;0,SUMIFS(Sheet1!$E:$E,Sheet1!$C:$C,$A49,Sheet1!$A:$A,Z$2),"")</f>
        <v/>
      </c>
      <c r="AA49" s="9" t="str">
        <f>IF(SUMIFS(Sheet1!$E:$E,Sheet1!$C:$C,$A49,Sheet1!$A:$A,AA$2)&lt;&gt;0,SUMIFS(Sheet1!$E:$E,Sheet1!$C:$C,$A49,Sheet1!$A:$A,AA$2),"")</f>
        <v/>
      </c>
      <c r="AB49" s="9" t="str">
        <f>IF(SUMIFS(Sheet1!$E:$E,Sheet1!$C:$C,$A49,Sheet1!$A:$A,AB$2)&lt;&gt;0,SUMIFS(Sheet1!$E:$E,Sheet1!$C:$C,$A49,Sheet1!$A:$A,AB$2),"")</f>
        <v/>
      </c>
      <c r="AC49" s="9" t="str">
        <f>IF(SUMIFS(Sheet1!$E:$E,Sheet1!$C:$C,$A49,Sheet1!$A:$A,AC$2)&lt;&gt;0,SUMIFS(Sheet1!$E:$E,Sheet1!$C:$C,$A49,Sheet1!$A:$A,AC$2),"")</f>
        <v/>
      </c>
      <c r="AD49" s="9" t="str">
        <f>IF(SUMIFS(Sheet1!$E:$E,Sheet1!$C:$C,$A49,Sheet1!$A:$A,AD$2)&lt;&gt;0,SUMIFS(Sheet1!$E:$E,Sheet1!$C:$C,$A49,Sheet1!$A:$A,AD$2),"")</f>
        <v/>
      </c>
      <c r="AE49" s="9" t="str">
        <f>IF(SUMIFS(Sheet1!$E:$E,Sheet1!$C:$C,$A49,Sheet1!$A:$A,AE$2)&lt;&gt;0,SUMIFS(Sheet1!$E:$E,Sheet1!$C:$C,$A49,Sheet1!$A:$A,AE$2),"")</f>
        <v/>
      </c>
      <c r="AF49" s="9" t="str">
        <f>IF(SUMIFS(Sheet1!$E:$E,Sheet1!$C:$C,$A49,Sheet1!$A:$A,AF$2)&lt;&gt;0,SUMIFS(Sheet1!$E:$E,Sheet1!$C:$C,$A49,Sheet1!$A:$A,AF$2),"")</f>
        <v/>
      </c>
      <c r="AG49" s="9" t="str">
        <f>IF(SUMIFS(Sheet1!$E:$E,Sheet1!$C:$C,$A49,Sheet1!$A:$A,AG$2)&lt;&gt;0,SUMIFS(Sheet1!$E:$E,Sheet1!$C:$C,$A49,Sheet1!$A:$A,AG$2),"")</f>
        <v/>
      </c>
      <c r="AH49" s="47">
        <f>SUM(Table24[[#This Row],[1]:[31]])</f>
        <v>30</v>
      </c>
    </row>
    <row r="50" spans="1:34" ht="12.75" customHeight="1">
      <c r="A50" s="24" t="str">
        <f>DSSP!A49</f>
        <v>A134</v>
      </c>
      <c r="B50" s="25" t="str">
        <f>DSSP!B49</f>
        <v>Caramen</v>
      </c>
      <c r="C50" s="9">
        <f>IF(SUMIFS(Sheet1!$E:$E,Sheet1!$C:$C,$A50,Sheet1!$A:$A,C$2)&lt;&gt;0,SUMIFS(Sheet1!$E:$E,Sheet1!$C:$C,$A50,Sheet1!$A:$A,C$2),"")</f>
        <v>18</v>
      </c>
      <c r="D50" s="9" t="str">
        <f>IF(SUMIFS(Sheet1!$E:$E,Sheet1!$C:$C,$A50,Sheet1!$A:$A,D$2)&lt;&gt;0,SUMIFS(Sheet1!$E:$E,Sheet1!$C:$C,$A50,Sheet1!$A:$A,D$2),"")</f>
        <v/>
      </c>
      <c r="E50" s="9" t="str">
        <f>IF(SUMIFS(Sheet1!$E:$E,Sheet1!$C:$C,$A50,Sheet1!$A:$A,E$2)&lt;&gt;0,SUMIFS(Sheet1!$E:$E,Sheet1!$C:$C,$A50,Sheet1!$A:$A,E$2),"")</f>
        <v/>
      </c>
      <c r="F50" s="9" t="str">
        <f>IF(SUMIFS(Sheet1!$E:$E,Sheet1!$C:$C,$A50,Sheet1!$A:$A,F$2)&lt;&gt;0,SUMIFS(Sheet1!$E:$E,Sheet1!$C:$C,$A50,Sheet1!$A:$A,F$2),"")</f>
        <v/>
      </c>
      <c r="G50" s="9" t="str">
        <f>IF(SUMIFS(Sheet1!$E:$E,Sheet1!$C:$C,$A50,Sheet1!$A:$A,G$2)&lt;&gt;0,SUMIFS(Sheet1!$E:$E,Sheet1!$C:$C,$A50,Sheet1!$A:$A,G$2),"")</f>
        <v/>
      </c>
      <c r="H50" s="9" t="str">
        <f>IF(SUMIFS(Sheet1!$E:$E,Sheet1!$C:$C,$A50,Sheet1!$A:$A,H$2)&lt;&gt;0,SUMIFS(Sheet1!$E:$E,Sheet1!$C:$C,$A50,Sheet1!$A:$A,H$2),"")</f>
        <v/>
      </c>
      <c r="I50" s="9" t="str">
        <f>IF(SUMIFS(Sheet1!$E:$E,Sheet1!$C:$C,$A50,Sheet1!$A:$A,I$2)&lt;&gt;0,SUMIFS(Sheet1!$E:$E,Sheet1!$C:$C,$A50,Sheet1!$A:$A,I$2),"")</f>
        <v/>
      </c>
      <c r="J50" s="9" t="str">
        <f>IF(SUMIFS(Sheet1!$E:$E,Sheet1!$C:$C,$A50,Sheet1!$A:$A,J$2)&lt;&gt;0,SUMIFS(Sheet1!$E:$E,Sheet1!$C:$C,$A50,Sheet1!$A:$A,J$2),"")</f>
        <v/>
      </c>
      <c r="K50" s="9" t="str">
        <f>IF(SUMIFS(Sheet1!$E:$E,Sheet1!$C:$C,$A50,Sheet1!$A:$A,K$2)&lt;&gt;0,SUMIFS(Sheet1!$E:$E,Sheet1!$C:$C,$A50,Sheet1!$A:$A,K$2),"")</f>
        <v/>
      </c>
      <c r="L50" s="9" t="str">
        <f>IF(SUMIFS(Sheet1!$E:$E,Sheet1!$C:$C,$A50,Sheet1!$A:$A,L$2)&lt;&gt;0,SUMIFS(Sheet1!$E:$E,Sheet1!$C:$C,$A50,Sheet1!$A:$A,L$2),"")</f>
        <v/>
      </c>
      <c r="M50" s="9" t="str">
        <f>IF(SUMIFS(Sheet1!$E:$E,Sheet1!$C:$C,$A50,Sheet1!$A:$A,M$2)&lt;&gt;0,SUMIFS(Sheet1!$E:$E,Sheet1!$C:$C,$A50,Sheet1!$A:$A,M$2),"")</f>
        <v/>
      </c>
      <c r="N50" s="9" t="str">
        <f>IF(SUMIFS(Sheet1!$E:$E,Sheet1!$C:$C,$A50,Sheet1!$A:$A,N$2)&lt;&gt;0,SUMIFS(Sheet1!$E:$E,Sheet1!$C:$C,$A50,Sheet1!$A:$A,N$2),"")</f>
        <v/>
      </c>
      <c r="O50" s="9" t="str">
        <f>IF(SUMIFS(Sheet1!$E:$E,Sheet1!$C:$C,$A50,Sheet1!$A:$A,O$2)&lt;&gt;0,SUMIFS(Sheet1!$E:$E,Sheet1!$C:$C,$A50,Sheet1!$A:$A,O$2),"")</f>
        <v/>
      </c>
      <c r="P50" s="9" t="str">
        <f>IF(SUMIFS(Sheet1!$E:$E,Sheet1!$C:$C,$A50,Sheet1!$A:$A,P$2)&lt;&gt;0,SUMIFS(Sheet1!$E:$E,Sheet1!$C:$C,$A50,Sheet1!$A:$A,P$2),"")</f>
        <v/>
      </c>
      <c r="Q50" s="9" t="str">
        <f>IF(SUMIFS(Sheet1!$E:$E,Sheet1!$C:$C,$A50,Sheet1!$A:$A,Q$2)&lt;&gt;0,SUMIFS(Sheet1!$E:$E,Sheet1!$C:$C,$A50,Sheet1!$A:$A,Q$2),"")</f>
        <v/>
      </c>
      <c r="R50" s="9" t="str">
        <f>IF(SUMIFS(Sheet1!$E:$E,Sheet1!$C:$C,$A50,Sheet1!$A:$A,R$2)&lt;&gt;0,SUMIFS(Sheet1!$E:$E,Sheet1!$C:$C,$A50,Sheet1!$A:$A,R$2),"")</f>
        <v/>
      </c>
      <c r="S50" s="9" t="str">
        <f>IF(SUMIFS(Sheet1!$E:$E,Sheet1!$C:$C,$A50,Sheet1!$A:$A,S$2)&lt;&gt;0,SUMIFS(Sheet1!$E:$E,Sheet1!$C:$C,$A50,Sheet1!$A:$A,S$2),"")</f>
        <v/>
      </c>
      <c r="T50" s="9" t="str">
        <f>IF(SUMIFS(Sheet1!$E:$E,Sheet1!$C:$C,$A50,Sheet1!$A:$A,T$2)&lt;&gt;0,SUMIFS(Sheet1!$E:$E,Sheet1!$C:$C,$A50,Sheet1!$A:$A,T$2),"")</f>
        <v/>
      </c>
      <c r="U50" s="9" t="str">
        <f>IF(SUMIFS(Sheet1!$E:$E,Sheet1!$C:$C,$A50,Sheet1!$A:$A,U$2)&lt;&gt;0,SUMIFS(Sheet1!$E:$E,Sheet1!$C:$C,$A50,Sheet1!$A:$A,U$2),"")</f>
        <v/>
      </c>
      <c r="V50" s="9" t="str">
        <f>IF(SUMIFS(Sheet1!$E:$E,Sheet1!$C:$C,$A50,Sheet1!$A:$A,V$2)&lt;&gt;0,SUMIFS(Sheet1!$E:$E,Sheet1!$C:$C,$A50,Sheet1!$A:$A,V$2),"")</f>
        <v/>
      </c>
      <c r="W50" s="9" t="str">
        <f>IF(SUMIFS(Sheet1!$E:$E,Sheet1!$C:$C,$A50,Sheet1!$A:$A,W$2)&lt;&gt;0,SUMIFS(Sheet1!$E:$E,Sheet1!$C:$C,$A50,Sheet1!$A:$A,W$2),"")</f>
        <v/>
      </c>
      <c r="X50" s="9" t="str">
        <f>IF(SUMIFS(Sheet1!$E:$E,Sheet1!$C:$C,$A50,Sheet1!$A:$A,X$2)&lt;&gt;0,SUMIFS(Sheet1!$E:$E,Sheet1!$C:$C,$A50,Sheet1!$A:$A,X$2),"")</f>
        <v/>
      </c>
      <c r="Y50" s="9" t="str">
        <f>IF(SUMIFS(Sheet1!$E:$E,Sheet1!$C:$C,$A50,Sheet1!$A:$A,Y$2)&lt;&gt;0,SUMIFS(Sheet1!$E:$E,Sheet1!$C:$C,$A50,Sheet1!$A:$A,Y$2),"")</f>
        <v/>
      </c>
      <c r="Z50" s="9" t="str">
        <f>IF(SUMIFS(Sheet1!$E:$E,Sheet1!$C:$C,$A50,Sheet1!$A:$A,Z$2)&lt;&gt;0,SUMIFS(Sheet1!$E:$E,Sheet1!$C:$C,$A50,Sheet1!$A:$A,Z$2),"")</f>
        <v/>
      </c>
      <c r="AA50" s="9" t="str">
        <f>IF(SUMIFS(Sheet1!$E:$E,Sheet1!$C:$C,$A50,Sheet1!$A:$A,AA$2)&lt;&gt;0,SUMIFS(Sheet1!$E:$E,Sheet1!$C:$C,$A50,Sheet1!$A:$A,AA$2),"")</f>
        <v/>
      </c>
      <c r="AB50" s="9" t="str">
        <f>IF(SUMIFS(Sheet1!$E:$E,Sheet1!$C:$C,$A50,Sheet1!$A:$A,AB$2)&lt;&gt;0,SUMIFS(Sheet1!$E:$E,Sheet1!$C:$C,$A50,Sheet1!$A:$A,AB$2),"")</f>
        <v/>
      </c>
      <c r="AC50" s="9" t="str">
        <f>IF(SUMIFS(Sheet1!$E:$E,Sheet1!$C:$C,$A50,Sheet1!$A:$A,AC$2)&lt;&gt;0,SUMIFS(Sheet1!$E:$E,Sheet1!$C:$C,$A50,Sheet1!$A:$A,AC$2),"")</f>
        <v/>
      </c>
      <c r="AD50" s="9" t="str">
        <f>IF(SUMIFS(Sheet1!$E:$E,Sheet1!$C:$C,$A50,Sheet1!$A:$A,AD$2)&lt;&gt;0,SUMIFS(Sheet1!$E:$E,Sheet1!$C:$C,$A50,Sheet1!$A:$A,AD$2),"")</f>
        <v/>
      </c>
      <c r="AE50" s="9" t="str">
        <f>IF(SUMIFS(Sheet1!$E:$E,Sheet1!$C:$C,$A50,Sheet1!$A:$A,AE$2)&lt;&gt;0,SUMIFS(Sheet1!$E:$E,Sheet1!$C:$C,$A50,Sheet1!$A:$A,AE$2),"")</f>
        <v/>
      </c>
      <c r="AF50" s="9" t="str">
        <f>IF(SUMIFS(Sheet1!$E:$E,Sheet1!$C:$C,$A50,Sheet1!$A:$A,AF$2)&lt;&gt;0,SUMIFS(Sheet1!$E:$E,Sheet1!$C:$C,$A50,Sheet1!$A:$A,AF$2),"")</f>
        <v/>
      </c>
      <c r="AG50" s="9" t="str">
        <f>IF(SUMIFS(Sheet1!$E:$E,Sheet1!$C:$C,$A50,Sheet1!$A:$A,AG$2)&lt;&gt;0,SUMIFS(Sheet1!$E:$E,Sheet1!$C:$C,$A50,Sheet1!$A:$A,AG$2),"")</f>
        <v/>
      </c>
      <c r="AH50" s="47">
        <f>SUM(Table24[[#This Row],[1]:[31]])</f>
        <v>18</v>
      </c>
    </row>
    <row r="51" spans="1:34" ht="12.75" customHeight="1">
      <c r="A51" s="24" t="str">
        <f>DSSP!A50</f>
        <v>A135</v>
      </c>
      <c r="B51" s="25" t="str">
        <f>DSSP!B50</f>
        <v>Bánh quy</v>
      </c>
      <c r="C51" s="9" t="str">
        <f>IF(SUMIFS(Sheet1!$E:$E,Sheet1!$C:$C,$A51,Sheet1!$A:$A,C$2)&lt;&gt;0,SUMIFS(Sheet1!$E:$E,Sheet1!$C:$C,$A51,Sheet1!$A:$A,C$2),"")</f>
        <v/>
      </c>
      <c r="D51" s="9" t="str">
        <f>IF(SUMIFS(Sheet1!$E:$E,Sheet1!$C:$C,$A51,Sheet1!$A:$A,D$2)&lt;&gt;0,SUMIFS(Sheet1!$E:$E,Sheet1!$C:$C,$A51,Sheet1!$A:$A,D$2),"")</f>
        <v/>
      </c>
      <c r="E51" s="9" t="str">
        <f>IF(SUMIFS(Sheet1!$E:$E,Sheet1!$C:$C,$A51,Sheet1!$A:$A,E$2)&lt;&gt;0,SUMIFS(Sheet1!$E:$E,Sheet1!$C:$C,$A51,Sheet1!$A:$A,E$2),"")</f>
        <v/>
      </c>
      <c r="F51" s="9" t="str">
        <f>IF(SUMIFS(Sheet1!$E:$E,Sheet1!$C:$C,$A51,Sheet1!$A:$A,F$2)&lt;&gt;0,SUMIFS(Sheet1!$E:$E,Sheet1!$C:$C,$A51,Sheet1!$A:$A,F$2),"")</f>
        <v/>
      </c>
      <c r="G51" s="9" t="str">
        <f>IF(SUMIFS(Sheet1!$E:$E,Sheet1!$C:$C,$A51,Sheet1!$A:$A,G$2)&lt;&gt;0,SUMIFS(Sheet1!$E:$E,Sheet1!$C:$C,$A51,Sheet1!$A:$A,G$2),"")</f>
        <v/>
      </c>
      <c r="H51" s="9" t="str">
        <f>IF(SUMIFS(Sheet1!$E:$E,Sheet1!$C:$C,$A51,Sheet1!$A:$A,H$2)&lt;&gt;0,SUMIFS(Sheet1!$E:$E,Sheet1!$C:$C,$A51,Sheet1!$A:$A,H$2),"")</f>
        <v/>
      </c>
      <c r="I51" s="9" t="str">
        <f>IF(SUMIFS(Sheet1!$E:$E,Sheet1!$C:$C,$A51,Sheet1!$A:$A,I$2)&lt;&gt;0,SUMIFS(Sheet1!$E:$E,Sheet1!$C:$C,$A51,Sheet1!$A:$A,I$2),"")</f>
        <v/>
      </c>
      <c r="J51" s="9" t="str">
        <f>IF(SUMIFS(Sheet1!$E:$E,Sheet1!$C:$C,$A51,Sheet1!$A:$A,J$2)&lt;&gt;0,SUMIFS(Sheet1!$E:$E,Sheet1!$C:$C,$A51,Sheet1!$A:$A,J$2),"")</f>
        <v/>
      </c>
      <c r="K51" s="9" t="str">
        <f>IF(SUMIFS(Sheet1!$E:$E,Sheet1!$C:$C,$A51,Sheet1!$A:$A,K$2)&lt;&gt;0,SUMIFS(Sheet1!$E:$E,Sheet1!$C:$C,$A51,Sheet1!$A:$A,K$2),"")</f>
        <v/>
      </c>
      <c r="L51" s="9" t="str">
        <f>IF(SUMIFS(Sheet1!$E:$E,Sheet1!$C:$C,$A51,Sheet1!$A:$A,L$2)&lt;&gt;0,SUMIFS(Sheet1!$E:$E,Sheet1!$C:$C,$A51,Sheet1!$A:$A,L$2),"")</f>
        <v/>
      </c>
      <c r="M51" s="9" t="str">
        <f>IF(SUMIFS(Sheet1!$E:$E,Sheet1!$C:$C,$A51,Sheet1!$A:$A,M$2)&lt;&gt;0,SUMIFS(Sheet1!$E:$E,Sheet1!$C:$C,$A51,Sheet1!$A:$A,M$2),"")</f>
        <v/>
      </c>
      <c r="N51" s="9" t="str">
        <f>IF(SUMIFS(Sheet1!$E:$E,Sheet1!$C:$C,$A51,Sheet1!$A:$A,N$2)&lt;&gt;0,SUMIFS(Sheet1!$E:$E,Sheet1!$C:$C,$A51,Sheet1!$A:$A,N$2),"")</f>
        <v/>
      </c>
      <c r="O51" s="9" t="str">
        <f>IF(SUMIFS(Sheet1!$E:$E,Sheet1!$C:$C,$A51,Sheet1!$A:$A,O$2)&lt;&gt;0,SUMIFS(Sheet1!$E:$E,Sheet1!$C:$C,$A51,Sheet1!$A:$A,O$2),"")</f>
        <v/>
      </c>
      <c r="P51" s="9" t="str">
        <f>IF(SUMIFS(Sheet1!$E:$E,Sheet1!$C:$C,$A51,Sheet1!$A:$A,P$2)&lt;&gt;0,SUMIFS(Sheet1!$E:$E,Sheet1!$C:$C,$A51,Sheet1!$A:$A,P$2),"")</f>
        <v/>
      </c>
      <c r="Q51" s="9" t="str">
        <f>IF(SUMIFS(Sheet1!$E:$E,Sheet1!$C:$C,$A51,Sheet1!$A:$A,Q$2)&lt;&gt;0,SUMIFS(Sheet1!$E:$E,Sheet1!$C:$C,$A51,Sheet1!$A:$A,Q$2),"")</f>
        <v/>
      </c>
      <c r="R51" s="9" t="str">
        <f>IF(SUMIFS(Sheet1!$E:$E,Sheet1!$C:$C,$A51,Sheet1!$A:$A,R$2)&lt;&gt;0,SUMIFS(Sheet1!$E:$E,Sheet1!$C:$C,$A51,Sheet1!$A:$A,R$2),"")</f>
        <v/>
      </c>
      <c r="S51" s="9" t="str">
        <f>IF(SUMIFS(Sheet1!$E:$E,Sheet1!$C:$C,$A51,Sheet1!$A:$A,S$2)&lt;&gt;0,SUMIFS(Sheet1!$E:$E,Sheet1!$C:$C,$A51,Sheet1!$A:$A,S$2),"")</f>
        <v/>
      </c>
      <c r="T51" s="9" t="str">
        <f>IF(SUMIFS(Sheet1!$E:$E,Sheet1!$C:$C,$A51,Sheet1!$A:$A,T$2)&lt;&gt;0,SUMIFS(Sheet1!$E:$E,Sheet1!$C:$C,$A51,Sheet1!$A:$A,T$2),"")</f>
        <v/>
      </c>
      <c r="U51" s="9" t="str">
        <f>IF(SUMIFS(Sheet1!$E:$E,Sheet1!$C:$C,$A51,Sheet1!$A:$A,U$2)&lt;&gt;0,SUMIFS(Sheet1!$E:$E,Sheet1!$C:$C,$A51,Sheet1!$A:$A,U$2),"")</f>
        <v/>
      </c>
      <c r="V51" s="9" t="str">
        <f>IF(SUMIFS(Sheet1!$E:$E,Sheet1!$C:$C,$A51,Sheet1!$A:$A,V$2)&lt;&gt;0,SUMIFS(Sheet1!$E:$E,Sheet1!$C:$C,$A51,Sheet1!$A:$A,V$2),"")</f>
        <v/>
      </c>
      <c r="W51" s="9" t="str">
        <f>IF(SUMIFS(Sheet1!$E:$E,Sheet1!$C:$C,$A51,Sheet1!$A:$A,W$2)&lt;&gt;0,SUMIFS(Sheet1!$E:$E,Sheet1!$C:$C,$A51,Sheet1!$A:$A,W$2),"")</f>
        <v/>
      </c>
      <c r="X51" s="9" t="str">
        <f>IF(SUMIFS(Sheet1!$E:$E,Sheet1!$C:$C,$A51,Sheet1!$A:$A,X$2)&lt;&gt;0,SUMIFS(Sheet1!$E:$E,Sheet1!$C:$C,$A51,Sheet1!$A:$A,X$2),"")</f>
        <v/>
      </c>
      <c r="Y51" s="9" t="str">
        <f>IF(SUMIFS(Sheet1!$E:$E,Sheet1!$C:$C,$A51,Sheet1!$A:$A,Y$2)&lt;&gt;0,SUMIFS(Sheet1!$E:$E,Sheet1!$C:$C,$A51,Sheet1!$A:$A,Y$2),"")</f>
        <v/>
      </c>
      <c r="Z51" s="9" t="str">
        <f>IF(SUMIFS(Sheet1!$E:$E,Sheet1!$C:$C,$A51,Sheet1!$A:$A,Z$2)&lt;&gt;0,SUMIFS(Sheet1!$E:$E,Sheet1!$C:$C,$A51,Sheet1!$A:$A,Z$2),"")</f>
        <v/>
      </c>
      <c r="AA51" s="9" t="str">
        <f>IF(SUMIFS(Sheet1!$E:$E,Sheet1!$C:$C,$A51,Sheet1!$A:$A,AA$2)&lt;&gt;0,SUMIFS(Sheet1!$E:$E,Sheet1!$C:$C,$A51,Sheet1!$A:$A,AA$2),"")</f>
        <v/>
      </c>
      <c r="AB51" s="9" t="str">
        <f>IF(SUMIFS(Sheet1!$E:$E,Sheet1!$C:$C,$A51,Sheet1!$A:$A,AB$2)&lt;&gt;0,SUMIFS(Sheet1!$E:$E,Sheet1!$C:$C,$A51,Sheet1!$A:$A,AB$2),"")</f>
        <v/>
      </c>
      <c r="AC51" s="9" t="str">
        <f>IF(SUMIFS(Sheet1!$E:$E,Sheet1!$C:$C,$A51,Sheet1!$A:$A,AC$2)&lt;&gt;0,SUMIFS(Sheet1!$E:$E,Sheet1!$C:$C,$A51,Sheet1!$A:$A,AC$2),"")</f>
        <v/>
      </c>
      <c r="AD51" s="9" t="str">
        <f>IF(SUMIFS(Sheet1!$E:$E,Sheet1!$C:$C,$A51,Sheet1!$A:$A,AD$2)&lt;&gt;0,SUMIFS(Sheet1!$E:$E,Sheet1!$C:$C,$A51,Sheet1!$A:$A,AD$2),"")</f>
        <v/>
      </c>
      <c r="AE51" s="9" t="str">
        <f>IF(SUMIFS(Sheet1!$E:$E,Sheet1!$C:$C,$A51,Sheet1!$A:$A,AE$2)&lt;&gt;0,SUMIFS(Sheet1!$E:$E,Sheet1!$C:$C,$A51,Sheet1!$A:$A,AE$2),"")</f>
        <v/>
      </c>
      <c r="AF51" s="9" t="str">
        <f>IF(SUMIFS(Sheet1!$E:$E,Sheet1!$C:$C,$A51,Sheet1!$A:$A,AF$2)&lt;&gt;0,SUMIFS(Sheet1!$E:$E,Sheet1!$C:$C,$A51,Sheet1!$A:$A,AF$2),"")</f>
        <v/>
      </c>
      <c r="AG51" s="9" t="str">
        <f>IF(SUMIFS(Sheet1!$E:$E,Sheet1!$C:$C,$A51,Sheet1!$A:$A,AG$2)&lt;&gt;0,SUMIFS(Sheet1!$E:$E,Sheet1!$C:$C,$A51,Sheet1!$A:$A,AG$2),"")</f>
        <v/>
      </c>
      <c r="AH51" s="47">
        <f>SUM(Table24[[#This Row],[1]:[31]])</f>
        <v>0</v>
      </c>
    </row>
    <row r="52" spans="1:34" ht="12.75" customHeight="1">
      <c r="A52" s="24" t="str">
        <f>DSSP!A51</f>
        <v>A136</v>
      </c>
      <c r="B52" s="25" t="str">
        <f>DSSP!B51</f>
        <v>Chuột</v>
      </c>
      <c r="C52" s="9" t="str">
        <f>IF(SUMIFS(Sheet1!$E:$E,Sheet1!$C:$C,$A52,Sheet1!$A:$A,C$2)&lt;&gt;0,SUMIFS(Sheet1!$E:$E,Sheet1!$C:$C,$A52,Sheet1!$A:$A,C$2),"")</f>
        <v/>
      </c>
      <c r="D52" s="9" t="str">
        <f>IF(SUMIFS(Sheet1!$E:$E,Sheet1!$C:$C,$A52,Sheet1!$A:$A,D$2)&lt;&gt;0,SUMIFS(Sheet1!$E:$E,Sheet1!$C:$C,$A52,Sheet1!$A:$A,D$2),"")</f>
        <v/>
      </c>
      <c r="E52" s="9" t="str">
        <f>IF(SUMIFS(Sheet1!$E:$E,Sheet1!$C:$C,$A52,Sheet1!$A:$A,E$2)&lt;&gt;0,SUMIFS(Sheet1!$E:$E,Sheet1!$C:$C,$A52,Sheet1!$A:$A,E$2),"")</f>
        <v/>
      </c>
      <c r="F52" s="9" t="str">
        <f>IF(SUMIFS(Sheet1!$E:$E,Sheet1!$C:$C,$A52,Sheet1!$A:$A,F$2)&lt;&gt;0,SUMIFS(Sheet1!$E:$E,Sheet1!$C:$C,$A52,Sheet1!$A:$A,F$2),"")</f>
        <v/>
      </c>
      <c r="G52" s="9" t="str">
        <f>IF(SUMIFS(Sheet1!$E:$E,Sheet1!$C:$C,$A52,Sheet1!$A:$A,G$2)&lt;&gt;0,SUMIFS(Sheet1!$E:$E,Sheet1!$C:$C,$A52,Sheet1!$A:$A,G$2),"")</f>
        <v/>
      </c>
      <c r="H52" s="9" t="str">
        <f>IF(SUMIFS(Sheet1!$E:$E,Sheet1!$C:$C,$A52,Sheet1!$A:$A,H$2)&lt;&gt;0,SUMIFS(Sheet1!$E:$E,Sheet1!$C:$C,$A52,Sheet1!$A:$A,H$2),"")</f>
        <v/>
      </c>
      <c r="I52" s="9" t="str">
        <f>IF(SUMIFS(Sheet1!$E:$E,Sheet1!$C:$C,$A52,Sheet1!$A:$A,I$2)&lt;&gt;0,SUMIFS(Sheet1!$E:$E,Sheet1!$C:$C,$A52,Sheet1!$A:$A,I$2),"")</f>
        <v/>
      </c>
      <c r="J52" s="9" t="str">
        <f>IF(SUMIFS(Sheet1!$E:$E,Sheet1!$C:$C,$A52,Sheet1!$A:$A,J$2)&lt;&gt;0,SUMIFS(Sheet1!$E:$E,Sheet1!$C:$C,$A52,Sheet1!$A:$A,J$2),"")</f>
        <v/>
      </c>
      <c r="K52" s="9" t="str">
        <f>IF(SUMIFS(Sheet1!$E:$E,Sheet1!$C:$C,$A52,Sheet1!$A:$A,K$2)&lt;&gt;0,SUMIFS(Sheet1!$E:$E,Sheet1!$C:$C,$A52,Sheet1!$A:$A,K$2),"")</f>
        <v/>
      </c>
      <c r="L52" s="9" t="str">
        <f>IF(SUMIFS(Sheet1!$E:$E,Sheet1!$C:$C,$A52,Sheet1!$A:$A,L$2)&lt;&gt;0,SUMIFS(Sheet1!$E:$E,Sheet1!$C:$C,$A52,Sheet1!$A:$A,L$2),"")</f>
        <v/>
      </c>
      <c r="M52" s="9" t="str">
        <f>IF(SUMIFS(Sheet1!$E:$E,Sheet1!$C:$C,$A52,Sheet1!$A:$A,M$2)&lt;&gt;0,SUMIFS(Sheet1!$E:$E,Sheet1!$C:$C,$A52,Sheet1!$A:$A,M$2),"")</f>
        <v/>
      </c>
      <c r="N52" s="9" t="str">
        <f>IF(SUMIFS(Sheet1!$E:$E,Sheet1!$C:$C,$A52,Sheet1!$A:$A,N$2)&lt;&gt;0,SUMIFS(Sheet1!$E:$E,Sheet1!$C:$C,$A52,Sheet1!$A:$A,N$2),"")</f>
        <v/>
      </c>
      <c r="O52" s="9" t="str">
        <f>IF(SUMIFS(Sheet1!$E:$E,Sheet1!$C:$C,$A52,Sheet1!$A:$A,O$2)&lt;&gt;0,SUMIFS(Sheet1!$E:$E,Sheet1!$C:$C,$A52,Sheet1!$A:$A,O$2),"")</f>
        <v/>
      </c>
      <c r="P52" s="9" t="str">
        <f>IF(SUMIFS(Sheet1!$E:$E,Sheet1!$C:$C,$A52,Sheet1!$A:$A,P$2)&lt;&gt;0,SUMIFS(Sheet1!$E:$E,Sheet1!$C:$C,$A52,Sheet1!$A:$A,P$2),"")</f>
        <v/>
      </c>
      <c r="Q52" s="9" t="str">
        <f>IF(SUMIFS(Sheet1!$E:$E,Sheet1!$C:$C,$A52,Sheet1!$A:$A,Q$2)&lt;&gt;0,SUMIFS(Sheet1!$E:$E,Sheet1!$C:$C,$A52,Sheet1!$A:$A,Q$2),"")</f>
        <v/>
      </c>
      <c r="R52" s="9" t="str">
        <f>IF(SUMIFS(Sheet1!$E:$E,Sheet1!$C:$C,$A52,Sheet1!$A:$A,R$2)&lt;&gt;0,SUMIFS(Sheet1!$E:$E,Sheet1!$C:$C,$A52,Sheet1!$A:$A,R$2),"")</f>
        <v/>
      </c>
      <c r="S52" s="9" t="str">
        <f>IF(SUMIFS(Sheet1!$E:$E,Sheet1!$C:$C,$A52,Sheet1!$A:$A,S$2)&lt;&gt;0,SUMIFS(Sheet1!$E:$E,Sheet1!$C:$C,$A52,Sheet1!$A:$A,S$2),"")</f>
        <v/>
      </c>
      <c r="T52" s="9" t="str">
        <f>IF(SUMIFS(Sheet1!$E:$E,Sheet1!$C:$C,$A52,Sheet1!$A:$A,T$2)&lt;&gt;0,SUMIFS(Sheet1!$E:$E,Sheet1!$C:$C,$A52,Sheet1!$A:$A,T$2),"")</f>
        <v/>
      </c>
      <c r="U52" s="9" t="str">
        <f>IF(SUMIFS(Sheet1!$E:$E,Sheet1!$C:$C,$A52,Sheet1!$A:$A,U$2)&lt;&gt;0,SUMIFS(Sheet1!$E:$E,Sheet1!$C:$C,$A52,Sheet1!$A:$A,U$2),"")</f>
        <v/>
      </c>
      <c r="V52" s="9" t="str">
        <f>IF(SUMIFS(Sheet1!$E:$E,Sheet1!$C:$C,$A52,Sheet1!$A:$A,V$2)&lt;&gt;0,SUMIFS(Sheet1!$E:$E,Sheet1!$C:$C,$A52,Sheet1!$A:$A,V$2),"")</f>
        <v/>
      </c>
      <c r="W52" s="9" t="str">
        <f>IF(SUMIFS(Sheet1!$E:$E,Sheet1!$C:$C,$A52,Sheet1!$A:$A,W$2)&lt;&gt;0,SUMIFS(Sheet1!$E:$E,Sheet1!$C:$C,$A52,Sheet1!$A:$A,W$2),"")</f>
        <v/>
      </c>
      <c r="X52" s="9" t="str">
        <f>IF(SUMIFS(Sheet1!$E:$E,Sheet1!$C:$C,$A52,Sheet1!$A:$A,X$2)&lt;&gt;0,SUMIFS(Sheet1!$E:$E,Sheet1!$C:$C,$A52,Sheet1!$A:$A,X$2),"")</f>
        <v/>
      </c>
      <c r="Y52" s="9" t="str">
        <f>IF(SUMIFS(Sheet1!$E:$E,Sheet1!$C:$C,$A52,Sheet1!$A:$A,Y$2)&lt;&gt;0,SUMIFS(Sheet1!$E:$E,Sheet1!$C:$C,$A52,Sheet1!$A:$A,Y$2),"")</f>
        <v/>
      </c>
      <c r="Z52" s="9" t="str">
        <f>IF(SUMIFS(Sheet1!$E:$E,Sheet1!$C:$C,$A52,Sheet1!$A:$A,Z$2)&lt;&gt;0,SUMIFS(Sheet1!$E:$E,Sheet1!$C:$C,$A52,Sheet1!$A:$A,Z$2),"")</f>
        <v/>
      </c>
      <c r="AA52" s="9" t="str">
        <f>IF(SUMIFS(Sheet1!$E:$E,Sheet1!$C:$C,$A52,Sheet1!$A:$A,AA$2)&lt;&gt;0,SUMIFS(Sheet1!$E:$E,Sheet1!$C:$C,$A52,Sheet1!$A:$A,AA$2),"")</f>
        <v/>
      </c>
      <c r="AB52" s="9" t="str">
        <f>IF(SUMIFS(Sheet1!$E:$E,Sheet1!$C:$C,$A52,Sheet1!$A:$A,AB$2)&lt;&gt;0,SUMIFS(Sheet1!$E:$E,Sheet1!$C:$C,$A52,Sheet1!$A:$A,AB$2),"")</f>
        <v/>
      </c>
      <c r="AC52" s="9" t="str">
        <f>IF(SUMIFS(Sheet1!$E:$E,Sheet1!$C:$C,$A52,Sheet1!$A:$A,AC$2)&lt;&gt;0,SUMIFS(Sheet1!$E:$E,Sheet1!$C:$C,$A52,Sheet1!$A:$A,AC$2),"")</f>
        <v/>
      </c>
      <c r="AD52" s="9" t="str">
        <f>IF(SUMIFS(Sheet1!$E:$E,Sheet1!$C:$C,$A52,Sheet1!$A:$A,AD$2)&lt;&gt;0,SUMIFS(Sheet1!$E:$E,Sheet1!$C:$C,$A52,Sheet1!$A:$A,AD$2),"")</f>
        <v/>
      </c>
      <c r="AE52" s="9" t="str">
        <f>IF(SUMIFS(Sheet1!$E:$E,Sheet1!$C:$C,$A52,Sheet1!$A:$A,AE$2)&lt;&gt;0,SUMIFS(Sheet1!$E:$E,Sheet1!$C:$C,$A52,Sheet1!$A:$A,AE$2),"")</f>
        <v/>
      </c>
      <c r="AF52" s="9" t="str">
        <f>IF(SUMIFS(Sheet1!$E:$E,Sheet1!$C:$C,$A52,Sheet1!$A:$A,AF$2)&lt;&gt;0,SUMIFS(Sheet1!$E:$E,Sheet1!$C:$C,$A52,Sheet1!$A:$A,AF$2),"")</f>
        <v/>
      </c>
      <c r="AG52" s="9" t="str">
        <f>IF(SUMIFS(Sheet1!$E:$E,Sheet1!$C:$C,$A52,Sheet1!$A:$A,AG$2)&lt;&gt;0,SUMIFS(Sheet1!$E:$E,Sheet1!$C:$C,$A52,Sheet1!$A:$A,AG$2),"")</f>
        <v/>
      </c>
      <c r="AH52" s="47">
        <f>SUM(Table24[[#This Row],[1]:[31]])</f>
        <v>0</v>
      </c>
    </row>
    <row r="53" spans="1:34" ht="12.75" customHeight="1">
      <c r="A53" s="24" t="str">
        <f>DSSP!A52</f>
        <v>A137</v>
      </c>
      <c r="B53" s="25" t="str">
        <f>DSSP!B52</f>
        <v>Cánh cụt</v>
      </c>
      <c r="C53" s="9">
        <f>IF(SUMIFS(Sheet1!$E:$E,Sheet1!$C:$C,$A53,Sheet1!$A:$A,C$2)&lt;&gt;0,SUMIFS(Sheet1!$E:$E,Sheet1!$C:$C,$A53,Sheet1!$A:$A,C$2),"")</f>
        <v>23</v>
      </c>
      <c r="D53" s="9" t="str">
        <f>IF(SUMIFS(Sheet1!$E:$E,Sheet1!$C:$C,$A53,Sheet1!$A:$A,D$2)&lt;&gt;0,SUMIFS(Sheet1!$E:$E,Sheet1!$C:$C,$A53,Sheet1!$A:$A,D$2),"")</f>
        <v/>
      </c>
      <c r="E53" s="9" t="str">
        <f>IF(SUMIFS(Sheet1!$E:$E,Sheet1!$C:$C,$A53,Sheet1!$A:$A,E$2)&lt;&gt;0,SUMIFS(Sheet1!$E:$E,Sheet1!$C:$C,$A53,Sheet1!$A:$A,E$2),"")</f>
        <v/>
      </c>
      <c r="F53" s="9" t="str">
        <f>IF(SUMIFS(Sheet1!$E:$E,Sheet1!$C:$C,$A53,Sheet1!$A:$A,F$2)&lt;&gt;0,SUMIFS(Sheet1!$E:$E,Sheet1!$C:$C,$A53,Sheet1!$A:$A,F$2),"")</f>
        <v/>
      </c>
      <c r="G53" s="9" t="str">
        <f>IF(SUMIFS(Sheet1!$E:$E,Sheet1!$C:$C,$A53,Sheet1!$A:$A,G$2)&lt;&gt;0,SUMIFS(Sheet1!$E:$E,Sheet1!$C:$C,$A53,Sheet1!$A:$A,G$2),"")</f>
        <v/>
      </c>
      <c r="H53" s="9" t="str">
        <f>IF(SUMIFS(Sheet1!$E:$E,Sheet1!$C:$C,$A53,Sheet1!$A:$A,H$2)&lt;&gt;0,SUMIFS(Sheet1!$E:$E,Sheet1!$C:$C,$A53,Sheet1!$A:$A,H$2),"")</f>
        <v/>
      </c>
      <c r="I53" s="9" t="str">
        <f>IF(SUMIFS(Sheet1!$E:$E,Sheet1!$C:$C,$A53,Sheet1!$A:$A,I$2)&lt;&gt;0,SUMIFS(Sheet1!$E:$E,Sheet1!$C:$C,$A53,Sheet1!$A:$A,I$2),"")</f>
        <v/>
      </c>
      <c r="J53" s="9" t="str">
        <f>IF(SUMIFS(Sheet1!$E:$E,Sheet1!$C:$C,$A53,Sheet1!$A:$A,J$2)&lt;&gt;0,SUMIFS(Sheet1!$E:$E,Sheet1!$C:$C,$A53,Sheet1!$A:$A,J$2),"")</f>
        <v/>
      </c>
      <c r="K53" s="9" t="str">
        <f>IF(SUMIFS(Sheet1!$E:$E,Sheet1!$C:$C,$A53,Sheet1!$A:$A,K$2)&lt;&gt;0,SUMIFS(Sheet1!$E:$E,Sheet1!$C:$C,$A53,Sheet1!$A:$A,K$2),"")</f>
        <v/>
      </c>
      <c r="L53" s="9" t="str">
        <f>IF(SUMIFS(Sheet1!$E:$E,Sheet1!$C:$C,$A53,Sheet1!$A:$A,L$2)&lt;&gt;0,SUMIFS(Sheet1!$E:$E,Sheet1!$C:$C,$A53,Sheet1!$A:$A,L$2),"")</f>
        <v/>
      </c>
      <c r="M53" s="9" t="str">
        <f>IF(SUMIFS(Sheet1!$E:$E,Sheet1!$C:$C,$A53,Sheet1!$A:$A,M$2)&lt;&gt;0,SUMIFS(Sheet1!$E:$E,Sheet1!$C:$C,$A53,Sheet1!$A:$A,M$2),"")</f>
        <v/>
      </c>
      <c r="N53" s="9" t="str">
        <f>IF(SUMIFS(Sheet1!$E:$E,Sheet1!$C:$C,$A53,Sheet1!$A:$A,N$2)&lt;&gt;0,SUMIFS(Sheet1!$E:$E,Sheet1!$C:$C,$A53,Sheet1!$A:$A,N$2),"")</f>
        <v/>
      </c>
      <c r="O53" s="9" t="str">
        <f>IF(SUMIFS(Sheet1!$E:$E,Sheet1!$C:$C,$A53,Sheet1!$A:$A,O$2)&lt;&gt;0,SUMIFS(Sheet1!$E:$E,Sheet1!$C:$C,$A53,Sheet1!$A:$A,O$2),"")</f>
        <v/>
      </c>
      <c r="P53" s="9" t="str">
        <f>IF(SUMIFS(Sheet1!$E:$E,Sheet1!$C:$C,$A53,Sheet1!$A:$A,P$2)&lt;&gt;0,SUMIFS(Sheet1!$E:$E,Sheet1!$C:$C,$A53,Sheet1!$A:$A,P$2),"")</f>
        <v/>
      </c>
      <c r="Q53" s="9" t="str">
        <f>IF(SUMIFS(Sheet1!$E:$E,Sheet1!$C:$C,$A53,Sheet1!$A:$A,Q$2)&lt;&gt;0,SUMIFS(Sheet1!$E:$E,Sheet1!$C:$C,$A53,Sheet1!$A:$A,Q$2),"")</f>
        <v/>
      </c>
      <c r="R53" s="9" t="str">
        <f>IF(SUMIFS(Sheet1!$E:$E,Sheet1!$C:$C,$A53,Sheet1!$A:$A,R$2)&lt;&gt;0,SUMIFS(Sheet1!$E:$E,Sheet1!$C:$C,$A53,Sheet1!$A:$A,R$2),"")</f>
        <v/>
      </c>
      <c r="S53" s="9" t="str">
        <f>IF(SUMIFS(Sheet1!$E:$E,Sheet1!$C:$C,$A53,Sheet1!$A:$A,S$2)&lt;&gt;0,SUMIFS(Sheet1!$E:$E,Sheet1!$C:$C,$A53,Sheet1!$A:$A,S$2),"")</f>
        <v/>
      </c>
      <c r="T53" s="9" t="str">
        <f>IF(SUMIFS(Sheet1!$E:$E,Sheet1!$C:$C,$A53,Sheet1!$A:$A,T$2)&lt;&gt;0,SUMIFS(Sheet1!$E:$E,Sheet1!$C:$C,$A53,Sheet1!$A:$A,T$2),"")</f>
        <v/>
      </c>
      <c r="U53" s="9" t="str">
        <f>IF(SUMIFS(Sheet1!$E:$E,Sheet1!$C:$C,$A53,Sheet1!$A:$A,U$2)&lt;&gt;0,SUMIFS(Sheet1!$E:$E,Sheet1!$C:$C,$A53,Sheet1!$A:$A,U$2),"")</f>
        <v/>
      </c>
      <c r="V53" s="9" t="str">
        <f>IF(SUMIFS(Sheet1!$E:$E,Sheet1!$C:$C,$A53,Sheet1!$A:$A,V$2)&lt;&gt;0,SUMIFS(Sheet1!$E:$E,Sheet1!$C:$C,$A53,Sheet1!$A:$A,V$2),"")</f>
        <v/>
      </c>
      <c r="W53" s="9" t="str">
        <f>IF(SUMIFS(Sheet1!$E:$E,Sheet1!$C:$C,$A53,Sheet1!$A:$A,W$2)&lt;&gt;0,SUMIFS(Sheet1!$E:$E,Sheet1!$C:$C,$A53,Sheet1!$A:$A,W$2),"")</f>
        <v/>
      </c>
      <c r="X53" s="9" t="str">
        <f>IF(SUMIFS(Sheet1!$E:$E,Sheet1!$C:$C,$A53,Sheet1!$A:$A,X$2)&lt;&gt;0,SUMIFS(Sheet1!$E:$E,Sheet1!$C:$C,$A53,Sheet1!$A:$A,X$2),"")</f>
        <v/>
      </c>
      <c r="Y53" s="9" t="str">
        <f>IF(SUMIFS(Sheet1!$E:$E,Sheet1!$C:$C,$A53,Sheet1!$A:$A,Y$2)&lt;&gt;0,SUMIFS(Sheet1!$E:$E,Sheet1!$C:$C,$A53,Sheet1!$A:$A,Y$2),"")</f>
        <v/>
      </c>
      <c r="Z53" s="9" t="str">
        <f>IF(SUMIFS(Sheet1!$E:$E,Sheet1!$C:$C,$A53,Sheet1!$A:$A,Z$2)&lt;&gt;0,SUMIFS(Sheet1!$E:$E,Sheet1!$C:$C,$A53,Sheet1!$A:$A,Z$2),"")</f>
        <v/>
      </c>
      <c r="AA53" s="9" t="str">
        <f>IF(SUMIFS(Sheet1!$E:$E,Sheet1!$C:$C,$A53,Sheet1!$A:$A,AA$2)&lt;&gt;0,SUMIFS(Sheet1!$E:$E,Sheet1!$C:$C,$A53,Sheet1!$A:$A,AA$2),"")</f>
        <v/>
      </c>
      <c r="AB53" s="9" t="str">
        <f>IF(SUMIFS(Sheet1!$E:$E,Sheet1!$C:$C,$A53,Sheet1!$A:$A,AB$2)&lt;&gt;0,SUMIFS(Sheet1!$E:$E,Sheet1!$C:$C,$A53,Sheet1!$A:$A,AB$2),"")</f>
        <v/>
      </c>
      <c r="AC53" s="9" t="str">
        <f>IF(SUMIFS(Sheet1!$E:$E,Sheet1!$C:$C,$A53,Sheet1!$A:$A,AC$2)&lt;&gt;0,SUMIFS(Sheet1!$E:$E,Sheet1!$C:$C,$A53,Sheet1!$A:$A,AC$2),"")</f>
        <v/>
      </c>
      <c r="AD53" s="9" t="str">
        <f>IF(SUMIFS(Sheet1!$E:$E,Sheet1!$C:$C,$A53,Sheet1!$A:$A,AD$2)&lt;&gt;0,SUMIFS(Sheet1!$E:$E,Sheet1!$C:$C,$A53,Sheet1!$A:$A,AD$2),"")</f>
        <v/>
      </c>
      <c r="AE53" s="9" t="str">
        <f>IF(SUMIFS(Sheet1!$E:$E,Sheet1!$C:$C,$A53,Sheet1!$A:$A,AE$2)&lt;&gt;0,SUMIFS(Sheet1!$E:$E,Sheet1!$C:$C,$A53,Sheet1!$A:$A,AE$2),"")</f>
        <v/>
      </c>
      <c r="AF53" s="9" t="str">
        <f>IF(SUMIFS(Sheet1!$E:$E,Sheet1!$C:$C,$A53,Sheet1!$A:$A,AF$2)&lt;&gt;0,SUMIFS(Sheet1!$E:$E,Sheet1!$C:$C,$A53,Sheet1!$A:$A,AF$2),"")</f>
        <v/>
      </c>
      <c r="AG53" s="9" t="str">
        <f>IF(SUMIFS(Sheet1!$E:$E,Sheet1!$C:$C,$A53,Sheet1!$A:$A,AG$2)&lt;&gt;0,SUMIFS(Sheet1!$E:$E,Sheet1!$C:$C,$A53,Sheet1!$A:$A,AG$2),"")</f>
        <v/>
      </c>
      <c r="AH53" s="47">
        <f>SUM(Table24[[#This Row],[1]:[31]])</f>
        <v>23</v>
      </c>
    </row>
    <row r="54" spans="1:34" ht="12.75" customHeight="1">
      <c r="A54" s="24" t="str">
        <f>DSSP!A53</f>
        <v>A138</v>
      </c>
      <c r="B54" s="25" t="str">
        <f>DSSP!B53</f>
        <v>Khỉ yoyo cici</v>
      </c>
      <c r="C54" s="9">
        <f>IF(SUMIFS(Sheet1!$E:$E,Sheet1!$C:$C,$A54,Sheet1!$A:$A,C$2)&lt;&gt;0,SUMIFS(Sheet1!$E:$E,Sheet1!$C:$C,$A54,Sheet1!$A:$A,C$2),"")</f>
        <v>32</v>
      </c>
      <c r="D54" s="9" t="str">
        <f>IF(SUMIFS(Sheet1!$E:$E,Sheet1!$C:$C,$A54,Sheet1!$A:$A,D$2)&lt;&gt;0,SUMIFS(Sheet1!$E:$E,Sheet1!$C:$C,$A54,Sheet1!$A:$A,D$2),"")</f>
        <v/>
      </c>
      <c r="E54" s="9" t="str">
        <f>IF(SUMIFS(Sheet1!$E:$E,Sheet1!$C:$C,$A54,Sheet1!$A:$A,E$2)&lt;&gt;0,SUMIFS(Sheet1!$E:$E,Sheet1!$C:$C,$A54,Sheet1!$A:$A,E$2),"")</f>
        <v/>
      </c>
      <c r="F54" s="9" t="str">
        <f>IF(SUMIFS(Sheet1!$E:$E,Sheet1!$C:$C,$A54,Sheet1!$A:$A,F$2)&lt;&gt;0,SUMIFS(Sheet1!$E:$E,Sheet1!$C:$C,$A54,Sheet1!$A:$A,F$2),"")</f>
        <v/>
      </c>
      <c r="G54" s="9" t="str">
        <f>IF(SUMIFS(Sheet1!$E:$E,Sheet1!$C:$C,$A54,Sheet1!$A:$A,G$2)&lt;&gt;0,SUMIFS(Sheet1!$E:$E,Sheet1!$C:$C,$A54,Sheet1!$A:$A,G$2),"")</f>
        <v/>
      </c>
      <c r="H54" s="9" t="str">
        <f>IF(SUMIFS(Sheet1!$E:$E,Sheet1!$C:$C,$A54,Sheet1!$A:$A,H$2)&lt;&gt;0,SUMIFS(Sheet1!$E:$E,Sheet1!$C:$C,$A54,Sheet1!$A:$A,H$2),"")</f>
        <v/>
      </c>
      <c r="I54" s="9" t="str">
        <f>IF(SUMIFS(Sheet1!$E:$E,Sheet1!$C:$C,$A54,Sheet1!$A:$A,I$2)&lt;&gt;0,SUMIFS(Sheet1!$E:$E,Sheet1!$C:$C,$A54,Sheet1!$A:$A,I$2),"")</f>
        <v/>
      </c>
      <c r="J54" s="9" t="str">
        <f>IF(SUMIFS(Sheet1!$E:$E,Sheet1!$C:$C,$A54,Sheet1!$A:$A,J$2)&lt;&gt;0,SUMIFS(Sheet1!$E:$E,Sheet1!$C:$C,$A54,Sheet1!$A:$A,J$2),"")</f>
        <v/>
      </c>
      <c r="K54" s="9" t="str">
        <f>IF(SUMIFS(Sheet1!$E:$E,Sheet1!$C:$C,$A54,Sheet1!$A:$A,K$2)&lt;&gt;0,SUMIFS(Sheet1!$E:$E,Sheet1!$C:$C,$A54,Sheet1!$A:$A,K$2),"")</f>
        <v/>
      </c>
      <c r="L54" s="9" t="str">
        <f>IF(SUMIFS(Sheet1!$E:$E,Sheet1!$C:$C,$A54,Sheet1!$A:$A,L$2)&lt;&gt;0,SUMIFS(Sheet1!$E:$E,Sheet1!$C:$C,$A54,Sheet1!$A:$A,L$2),"")</f>
        <v/>
      </c>
      <c r="M54" s="9" t="str">
        <f>IF(SUMIFS(Sheet1!$E:$E,Sheet1!$C:$C,$A54,Sheet1!$A:$A,M$2)&lt;&gt;0,SUMIFS(Sheet1!$E:$E,Sheet1!$C:$C,$A54,Sheet1!$A:$A,M$2),"")</f>
        <v/>
      </c>
      <c r="N54" s="9" t="str">
        <f>IF(SUMIFS(Sheet1!$E:$E,Sheet1!$C:$C,$A54,Sheet1!$A:$A,N$2)&lt;&gt;0,SUMIFS(Sheet1!$E:$E,Sheet1!$C:$C,$A54,Sheet1!$A:$A,N$2),"")</f>
        <v/>
      </c>
      <c r="O54" s="9" t="str">
        <f>IF(SUMIFS(Sheet1!$E:$E,Sheet1!$C:$C,$A54,Sheet1!$A:$A,O$2)&lt;&gt;0,SUMIFS(Sheet1!$E:$E,Sheet1!$C:$C,$A54,Sheet1!$A:$A,O$2),"")</f>
        <v/>
      </c>
      <c r="P54" s="9" t="str">
        <f>IF(SUMIFS(Sheet1!$E:$E,Sheet1!$C:$C,$A54,Sheet1!$A:$A,P$2)&lt;&gt;0,SUMIFS(Sheet1!$E:$E,Sheet1!$C:$C,$A54,Sheet1!$A:$A,P$2),"")</f>
        <v/>
      </c>
      <c r="Q54" s="9" t="str">
        <f>IF(SUMIFS(Sheet1!$E:$E,Sheet1!$C:$C,$A54,Sheet1!$A:$A,Q$2)&lt;&gt;0,SUMIFS(Sheet1!$E:$E,Sheet1!$C:$C,$A54,Sheet1!$A:$A,Q$2),"")</f>
        <v/>
      </c>
      <c r="R54" s="9" t="str">
        <f>IF(SUMIFS(Sheet1!$E:$E,Sheet1!$C:$C,$A54,Sheet1!$A:$A,R$2)&lt;&gt;0,SUMIFS(Sheet1!$E:$E,Sheet1!$C:$C,$A54,Sheet1!$A:$A,R$2),"")</f>
        <v/>
      </c>
      <c r="S54" s="9" t="str">
        <f>IF(SUMIFS(Sheet1!$E:$E,Sheet1!$C:$C,$A54,Sheet1!$A:$A,S$2)&lt;&gt;0,SUMIFS(Sheet1!$E:$E,Sheet1!$C:$C,$A54,Sheet1!$A:$A,S$2),"")</f>
        <v/>
      </c>
      <c r="T54" s="9" t="str">
        <f>IF(SUMIFS(Sheet1!$E:$E,Sheet1!$C:$C,$A54,Sheet1!$A:$A,T$2)&lt;&gt;0,SUMIFS(Sheet1!$E:$E,Sheet1!$C:$C,$A54,Sheet1!$A:$A,T$2),"")</f>
        <v/>
      </c>
      <c r="U54" s="9" t="str">
        <f>IF(SUMIFS(Sheet1!$E:$E,Sheet1!$C:$C,$A54,Sheet1!$A:$A,U$2)&lt;&gt;0,SUMIFS(Sheet1!$E:$E,Sheet1!$C:$C,$A54,Sheet1!$A:$A,U$2),"")</f>
        <v/>
      </c>
      <c r="V54" s="9" t="str">
        <f>IF(SUMIFS(Sheet1!$E:$E,Sheet1!$C:$C,$A54,Sheet1!$A:$A,V$2)&lt;&gt;0,SUMIFS(Sheet1!$E:$E,Sheet1!$C:$C,$A54,Sheet1!$A:$A,V$2),"")</f>
        <v/>
      </c>
      <c r="W54" s="9" t="str">
        <f>IF(SUMIFS(Sheet1!$E:$E,Sheet1!$C:$C,$A54,Sheet1!$A:$A,W$2)&lt;&gt;0,SUMIFS(Sheet1!$E:$E,Sheet1!$C:$C,$A54,Sheet1!$A:$A,W$2),"")</f>
        <v/>
      </c>
      <c r="X54" s="9" t="str">
        <f>IF(SUMIFS(Sheet1!$E:$E,Sheet1!$C:$C,$A54,Sheet1!$A:$A,X$2)&lt;&gt;0,SUMIFS(Sheet1!$E:$E,Sheet1!$C:$C,$A54,Sheet1!$A:$A,X$2),"")</f>
        <v/>
      </c>
      <c r="Y54" s="9" t="str">
        <f>IF(SUMIFS(Sheet1!$E:$E,Sheet1!$C:$C,$A54,Sheet1!$A:$A,Y$2)&lt;&gt;0,SUMIFS(Sheet1!$E:$E,Sheet1!$C:$C,$A54,Sheet1!$A:$A,Y$2),"")</f>
        <v/>
      </c>
      <c r="Z54" s="9" t="str">
        <f>IF(SUMIFS(Sheet1!$E:$E,Sheet1!$C:$C,$A54,Sheet1!$A:$A,Z$2)&lt;&gt;0,SUMIFS(Sheet1!$E:$E,Sheet1!$C:$C,$A54,Sheet1!$A:$A,Z$2),"")</f>
        <v/>
      </c>
      <c r="AA54" s="9" t="str">
        <f>IF(SUMIFS(Sheet1!$E:$E,Sheet1!$C:$C,$A54,Sheet1!$A:$A,AA$2)&lt;&gt;0,SUMIFS(Sheet1!$E:$E,Sheet1!$C:$C,$A54,Sheet1!$A:$A,AA$2),"")</f>
        <v/>
      </c>
      <c r="AB54" s="9" t="str">
        <f>IF(SUMIFS(Sheet1!$E:$E,Sheet1!$C:$C,$A54,Sheet1!$A:$A,AB$2)&lt;&gt;0,SUMIFS(Sheet1!$E:$E,Sheet1!$C:$C,$A54,Sheet1!$A:$A,AB$2),"")</f>
        <v/>
      </c>
      <c r="AC54" s="9" t="str">
        <f>IF(SUMIFS(Sheet1!$E:$E,Sheet1!$C:$C,$A54,Sheet1!$A:$A,AC$2)&lt;&gt;0,SUMIFS(Sheet1!$E:$E,Sheet1!$C:$C,$A54,Sheet1!$A:$A,AC$2),"")</f>
        <v/>
      </c>
      <c r="AD54" s="9" t="str">
        <f>IF(SUMIFS(Sheet1!$E:$E,Sheet1!$C:$C,$A54,Sheet1!$A:$A,AD$2)&lt;&gt;0,SUMIFS(Sheet1!$E:$E,Sheet1!$C:$C,$A54,Sheet1!$A:$A,AD$2),"")</f>
        <v/>
      </c>
      <c r="AE54" s="9" t="str">
        <f>IF(SUMIFS(Sheet1!$E:$E,Sheet1!$C:$C,$A54,Sheet1!$A:$A,AE$2)&lt;&gt;0,SUMIFS(Sheet1!$E:$E,Sheet1!$C:$C,$A54,Sheet1!$A:$A,AE$2),"")</f>
        <v/>
      </c>
      <c r="AF54" s="9" t="str">
        <f>IF(SUMIFS(Sheet1!$E:$E,Sheet1!$C:$C,$A54,Sheet1!$A:$A,AF$2)&lt;&gt;0,SUMIFS(Sheet1!$E:$E,Sheet1!$C:$C,$A54,Sheet1!$A:$A,AF$2),"")</f>
        <v/>
      </c>
      <c r="AG54" s="9" t="str">
        <f>IF(SUMIFS(Sheet1!$E:$E,Sheet1!$C:$C,$A54,Sheet1!$A:$A,AG$2)&lt;&gt;0,SUMIFS(Sheet1!$E:$E,Sheet1!$C:$C,$A54,Sheet1!$A:$A,AG$2),"")</f>
        <v/>
      </c>
      <c r="AH54" s="47">
        <f>SUM(Table24[[#This Row],[1]:[31]])</f>
        <v>32</v>
      </c>
    </row>
    <row r="55" spans="1:34" ht="12.75" customHeight="1">
      <c r="A55" s="24" t="str">
        <f>DSSP!A54</f>
        <v>A139</v>
      </c>
      <c r="B55" s="25" t="str">
        <f>DSSP!B54</f>
        <v>Cú</v>
      </c>
      <c r="C55" s="9">
        <f>IF(SUMIFS(Sheet1!$E:$E,Sheet1!$C:$C,$A55,Sheet1!$A:$A,C$2)&lt;&gt;0,SUMIFS(Sheet1!$E:$E,Sheet1!$C:$C,$A55,Sheet1!$A:$A,C$2),"")</f>
        <v>20</v>
      </c>
      <c r="D55" s="9" t="str">
        <f>IF(SUMIFS(Sheet1!$E:$E,Sheet1!$C:$C,$A55,Sheet1!$A:$A,D$2)&lt;&gt;0,SUMIFS(Sheet1!$E:$E,Sheet1!$C:$C,$A55,Sheet1!$A:$A,D$2),"")</f>
        <v/>
      </c>
      <c r="E55" s="9" t="str">
        <f>IF(SUMIFS(Sheet1!$E:$E,Sheet1!$C:$C,$A55,Sheet1!$A:$A,E$2)&lt;&gt;0,SUMIFS(Sheet1!$E:$E,Sheet1!$C:$C,$A55,Sheet1!$A:$A,E$2),"")</f>
        <v/>
      </c>
      <c r="F55" s="9" t="str">
        <f>IF(SUMIFS(Sheet1!$E:$E,Sheet1!$C:$C,$A55,Sheet1!$A:$A,F$2)&lt;&gt;0,SUMIFS(Sheet1!$E:$E,Sheet1!$C:$C,$A55,Sheet1!$A:$A,F$2),"")</f>
        <v/>
      </c>
      <c r="G55" s="9" t="str">
        <f>IF(SUMIFS(Sheet1!$E:$E,Sheet1!$C:$C,$A55,Sheet1!$A:$A,G$2)&lt;&gt;0,SUMIFS(Sheet1!$E:$E,Sheet1!$C:$C,$A55,Sheet1!$A:$A,G$2),"")</f>
        <v/>
      </c>
      <c r="H55" s="9" t="str">
        <f>IF(SUMIFS(Sheet1!$E:$E,Sheet1!$C:$C,$A55,Sheet1!$A:$A,H$2)&lt;&gt;0,SUMIFS(Sheet1!$E:$E,Sheet1!$C:$C,$A55,Sheet1!$A:$A,H$2),"")</f>
        <v/>
      </c>
      <c r="I55" s="9" t="str">
        <f>IF(SUMIFS(Sheet1!$E:$E,Sheet1!$C:$C,$A55,Sheet1!$A:$A,I$2)&lt;&gt;0,SUMIFS(Sheet1!$E:$E,Sheet1!$C:$C,$A55,Sheet1!$A:$A,I$2),"")</f>
        <v/>
      </c>
      <c r="J55" s="9" t="str">
        <f>IF(SUMIFS(Sheet1!$E:$E,Sheet1!$C:$C,$A55,Sheet1!$A:$A,J$2)&lt;&gt;0,SUMIFS(Sheet1!$E:$E,Sheet1!$C:$C,$A55,Sheet1!$A:$A,J$2),"")</f>
        <v/>
      </c>
      <c r="K55" s="9" t="str">
        <f>IF(SUMIFS(Sheet1!$E:$E,Sheet1!$C:$C,$A55,Sheet1!$A:$A,K$2)&lt;&gt;0,SUMIFS(Sheet1!$E:$E,Sheet1!$C:$C,$A55,Sheet1!$A:$A,K$2),"")</f>
        <v/>
      </c>
      <c r="L55" s="9" t="str">
        <f>IF(SUMIFS(Sheet1!$E:$E,Sheet1!$C:$C,$A55,Sheet1!$A:$A,L$2)&lt;&gt;0,SUMIFS(Sheet1!$E:$E,Sheet1!$C:$C,$A55,Sheet1!$A:$A,L$2),"")</f>
        <v/>
      </c>
      <c r="M55" s="9" t="str">
        <f>IF(SUMIFS(Sheet1!$E:$E,Sheet1!$C:$C,$A55,Sheet1!$A:$A,M$2)&lt;&gt;0,SUMIFS(Sheet1!$E:$E,Sheet1!$C:$C,$A55,Sheet1!$A:$A,M$2),"")</f>
        <v/>
      </c>
      <c r="N55" s="9" t="str">
        <f>IF(SUMIFS(Sheet1!$E:$E,Sheet1!$C:$C,$A55,Sheet1!$A:$A,N$2)&lt;&gt;0,SUMIFS(Sheet1!$E:$E,Sheet1!$C:$C,$A55,Sheet1!$A:$A,N$2),"")</f>
        <v/>
      </c>
      <c r="O55" s="9" t="str">
        <f>IF(SUMIFS(Sheet1!$E:$E,Sheet1!$C:$C,$A55,Sheet1!$A:$A,O$2)&lt;&gt;0,SUMIFS(Sheet1!$E:$E,Sheet1!$C:$C,$A55,Sheet1!$A:$A,O$2),"")</f>
        <v/>
      </c>
      <c r="P55" s="9" t="str">
        <f>IF(SUMIFS(Sheet1!$E:$E,Sheet1!$C:$C,$A55,Sheet1!$A:$A,P$2)&lt;&gt;0,SUMIFS(Sheet1!$E:$E,Sheet1!$C:$C,$A55,Sheet1!$A:$A,P$2),"")</f>
        <v/>
      </c>
      <c r="Q55" s="9" t="str">
        <f>IF(SUMIFS(Sheet1!$E:$E,Sheet1!$C:$C,$A55,Sheet1!$A:$A,Q$2)&lt;&gt;0,SUMIFS(Sheet1!$E:$E,Sheet1!$C:$C,$A55,Sheet1!$A:$A,Q$2),"")</f>
        <v/>
      </c>
      <c r="R55" s="9" t="str">
        <f>IF(SUMIFS(Sheet1!$E:$E,Sheet1!$C:$C,$A55,Sheet1!$A:$A,R$2)&lt;&gt;0,SUMIFS(Sheet1!$E:$E,Sheet1!$C:$C,$A55,Sheet1!$A:$A,R$2),"")</f>
        <v/>
      </c>
      <c r="S55" s="9" t="str">
        <f>IF(SUMIFS(Sheet1!$E:$E,Sheet1!$C:$C,$A55,Sheet1!$A:$A,S$2)&lt;&gt;0,SUMIFS(Sheet1!$E:$E,Sheet1!$C:$C,$A55,Sheet1!$A:$A,S$2),"")</f>
        <v/>
      </c>
      <c r="T55" s="9" t="str">
        <f>IF(SUMIFS(Sheet1!$E:$E,Sheet1!$C:$C,$A55,Sheet1!$A:$A,T$2)&lt;&gt;0,SUMIFS(Sheet1!$E:$E,Sheet1!$C:$C,$A55,Sheet1!$A:$A,T$2),"")</f>
        <v/>
      </c>
      <c r="U55" s="9" t="str">
        <f>IF(SUMIFS(Sheet1!$E:$E,Sheet1!$C:$C,$A55,Sheet1!$A:$A,U$2)&lt;&gt;0,SUMIFS(Sheet1!$E:$E,Sheet1!$C:$C,$A55,Sheet1!$A:$A,U$2),"")</f>
        <v/>
      </c>
      <c r="V55" s="9" t="str">
        <f>IF(SUMIFS(Sheet1!$E:$E,Sheet1!$C:$C,$A55,Sheet1!$A:$A,V$2)&lt;&gt;0,SUMIFS(Sheet1!$E:$E,Sheet1!$C:$C,$A55,Sheet1!$A:$A,V$2),"")</f>
        <v/>
      </c>
      <c r="W55" s="9" t="str">
        <f>IF(SUMIFS(Sheet1!$E:$E,Sheet1!$C:$C,$A55,Sheet1!$A:$A,W$2)&lt;&gt;0,SUMIFS(Sheet1!$E:$E,Sheet1!$C:$C,$A55,Sheet1!$A:$A,W$2),"")</f>
        <v/>
      </c>
      <c r="X55" s="9" t="str">
        <f>IF(SUMIFS(Sheet1!$E:$E,Sheet1!$C:$C,$A55,Sheet1!$A:$A,X$2)&lt;&gt;0,SUMIFS(Sheet1!$E:$E,Sheet1!$C:$C,$A55,Sheet1!$A:$A,X$2),"")</f>
        <v/>
      </c>
      <c r="Y55" s="9" t="str">
        <f>IF(SUMIFS(Sheet1!$E:$E,Sheet1!$C:$C,$A55,Sheet1!$A:$A,Y$2)&lt;&gt;0,SUMIFS(Sheet1!$E:$E,Sheet1!$C:$C,$A55,Sheet1!$A:$A,Y$2),"")</f>
        <v/>
      </c>
      <c r="Z55" s="9" t="str">
        <f>IF(SUMIFS(Sheet1!$E:$E,Sheet1!$C:$C,$A55,Sheet1!$A:$A,Z$2)&lt;&gt;0,SUMIFS(Sheet1!$E:$E,Sheet1!$C:$C,$A55,Sheet1!$A:$A,Z$2),"")</f>
        <v/>
      </c>
      <c r="AA55" s="9" t="str">
        <f>IF(SUMIFS(Sheet1!$E:$E,Sheet1!$C:$C,$A55,Sheet1!$A:$A,AA$2)&lt;&gt;0,SUMIFS(Sheet1!$E:$E,Sheet1!$C:$C,$A55,Sheet1!$A:$A,AA$2),"")</f>
        <v/>
      </c>
      <c r="AB55" s="9" t="str">
        <f>IF(SUMIFS(Sheet1!$E:$E,Sheet1!$C:$C,$A55,Sheet1!$A:$A,AB$2)&lt;&gt;0,SUMIFS(Sheet1!$E:$E,Sheet1!$C:$C,$A55,Sheet1!$A:$A,AB$2),"")</f>
        <v/>
      </c>
      <c r="AC55" s="9" t="str">
        <f>IF(SUMIFS(Sheet1!$E:$E,Sheet1!$C:$C,$A55,Sheet1!$A:$A,AC$2)&lt;&gt;0,SUMIFS(Sheet1!$E:$E,Sheet1!$C:$C,$A55,Sheet1!$A:$A,AC$2),"")</f>
        <v/>
      </c>
      <c r="AD55" s="9" t="str">
        <f>IF(SUMIFS(Sheet1!$E:$E,Sheet1!$C:$C,$A55,Sheet1!$A:$A,AD$2)&lt;&gt;0,SUMIFS(Sheet1!$E:$E,Sheet1!$C:$C,$A55,Sheet1!$A:$A,AD$2),"")</f>
        <v/>
      </c>
      <c r="AE55" s="9" t="str">
        <f>IF(SUMIFS(Sheet1!$E:$E,Sheet1!$C:$C,$A55,Sheet1!$A:$A,AE$2)&lt;&gt;0,SUMIFS(Sheet1!$E:$E,Sheet1!$C:$C,$A55,Sheet1!$A:$A,AE$2),"")</f>
        <v/>
      </c>
      <c r="AF55" s="9" t="str">
        <f>IF(SUMIFS(Sheet1!$E:$E,Sheet1!$C:$C,$A55,Sheet1!$A:$A,AF$2)&lt;&gt;0,SUMIFS(Sheet1!$E:$E,Sheet1!$C:$C,$A55,Sheet1!$A:$A,AF$2),"")</f>
        <v/>
      </c>
      <c r="AG55" s="9" t="str">
        <f>IF(SUMIFS(Sheet1!$E:$E,Sheet1!$C:$C,$A55,Sheet1!$A:$A,AG$2)&lt;&gt;0,SUMIFS(Sheet1!$E:$E,Sheet1!$C:$C,$A55,Sheet1!$A:$A,AG$2),"")</f>
        <v/>
      </c>
      <c r="AH55" s="47">
        <f>SUM(Table24[[#This Row],[1]:[31]])</f>
        <v>20</v>
      </c>
    </row>
    <row r="56" spans="1:34" ht="12.75" customHeight="1">
      <c r="A56" s="24" t="str">
        <f>DSSP!A55</f>
        <v>A140</v>
      </c>
      <c r="B56" s="25" t="str">
        <f>DSSP!B55</f>
        <v>Domokun</v>
      </c>
      <c r="C56" s="9">
        <f>IF(SUMIFS(Sheet1!$E:$E,Sheet1!$C:$C,$A56,Sheet1!$A:$A,C$2)&lt;&gt;0,SUMIFS(Sheet1!$E:$E,Sheet1!$C:$C,$A56,Sheet1!$A:$A,C$2),"")</f>
        <v>26</v>
      </c>
      <c r="D56" s="9" t="str">
        <f>IF(SUMIFS(Sheet1!$E:$E,Sheet1!$C:$C,$A56,Sheet1!$A:$A,D$2)&lt;&gt;0,SUMIFS(Sheet1!$E:$E,Sheet1!$C:$C,$A56,Sheet1!$A:$A,D$2),"")</f>
        <v/>
      </c>
      <c r="E56" s="9" t="str">
        <f>IF(SUMIFS(Sheet1!$E:$E,Sheet1!$C:$C,$A56,Sheet1!$A:$A,E$2)&lt;&gt;0,SUMIFS(Sheet1!$E:$E,Sheet1!$C:$C,$A56,Sheet1!$A:$A,E$2),"")</f>
        <v/>
      </c>
      <c r="F56" s="9" t="str">
        <f>IF(SUMIFS(Sheet1!$E:$E,Sheet1!$C:$C,$A56,Sheet1!$A:$A,F$2)&lt;&gt;0,SUMIFS(Sheet1!$E:$E,Sheet1!$C:$C,$A56,Sheet1!$A:$A,F$2),"")</f>
        <v/>
      </c>
      <c r="G56" s="9" t="str">
        <f>IF(SUMIFS(Sheet1!$E:$E,Sheet1!$C:$C,$A56,Sheet1!$A:$A,G$2)&lt;&gt;0,SUMIFS(Sheet1!$E:$E,Sheet1!$C:$C,$A56,Sheet1!$A:$A,G$2),"")</f>
        <v/>
      </c>
      <c r="H56" s="9" t="str">
        <f>IF(SUMIFS(Sheet1!$E:$E,Sheet1!$C:$C,$A56,Sheet1!$A:$A,H$2)&lt;&gt;0,SUMIFS(Sheet1!$E:$E,Sheet1!$C:$C,$A56,Sheet1!$A:$A,H$2),"")</f>
        <v/>
      </c>
      <c r="I56" s="9" t="str">
        <f>IF(SUMIFS(Sheet1!$E:$E,Sheet1!$C:$C,$A56,Sheet1!$A:$A,I$2)&lt;&gt;0,SUMIFS(Sheet1!$E:$E,Sheet1!$C:$C,$A56,Sheet1!$A:$A,I$2),"")</f>
        <v/>
      </c>
      <c r="J56" s="9" t="str">
        <f>IF(SUMIFS(Sheet1!$E:$E,Sheet1!$C:$C,$A56,Sheet1!$A:$A,J$2)&lt;&gt;0,SUMIFS(Sheet1!$E:$E,Sheet1!$C:$C,$A56,Sheet1!$A:$A,J$2),"")</f>
        <v/>
      </c>
      <c r="K56" s="9" t="str">
        <f>IF(SUMIFS(Sheet1!$E:$E,Sheet1!$C:$C,$A56,Sheet1!$A:$A,K$2)&lt;&gt;0,SUMIFS(Sheet1!$E:$E,Sheet1!$C:$C,$A56,Sheet1!$A:$A,K$2),"")</f>
        <v/>
      </c>
      <c r="L56" s="9" t="str">
        <f>IF(SUMIFS(Sheet1!$E:$E,Sheet1!$C:$C,$A56,Sheet1!$A:$A,L$2)&lt;&gt;0,SUMIFS(Sheet1!$E:$E,Sheet1!$C:$C,$A56,Sheet1!$A:$A,L$2),"")</f>
        <v/>
      </c>
      <c r="M56" s="9" t="str">
        <f>IF(SUMIFS(Sheet1!$E:$E,Sheet1!$C:$C,$A56,Sheet1!$A:$A,M$2)&lt;&gt;0,SUMIFS(Sheet1!$E:$E,Sheet1!$C:$C,$A56,Sheet1!$A:$A,M$2),"")</f>
        <v/>
      </c>
      <c r="N56" s="9" t="str">
        <f>IF(SUMIFS(Sheet1!$E:$E,Sheet1!$C:$C,$A56,Sheet1!$A:$A,N$2)&lt;&gt;0,SUMIFS(Sheet1!$E:$E,Sheet1!$C:$C,$A56,Sheet1!$A:$A,N$2),"")</f>
        <v/>
      </c>
      <c r="O56" s="9" t="str">
        <f>IF(SUMIFS(Sheet1!$E:$E,Sheet1!$C:$C,$A56,Sheet1!$A:$A,O$2)&lt;&gt;0,SUMIFS(Sheet1!$E:$E,Sheet1!$C:$C,$A56,Sheet1!$A:$A,O$2),"")</f>
        <v/>
      </c>
      <c r="P56" s="9" t="str">
        <f>IF(SUMIFS(Sheet1!$E:$E,Sheet1!$C:$C,$A56,Sheet1!$A:$A,P$2)&lt;&gt;0,SUMIFS(Sheet1!$E:$E,Sheet1!$C:$C,$A56,Sheet1!$A:$A,P$2),"")</f>
        <v/>
      </c>
      <c r="Q56" s="9" t="str">
        <f>IF(SUMIFS(Sheet1!$E:$E,Sheet1!$C:$C,$A56,Sheet1!$A:$A,Q$2)&lt;&gt;0,SUMIFS(Sheet1!$E:$E,Sheet1!$C:$C,$A56,Sheet1!$A:$A,Q$2),"")</f>
        <v/>
      </c>
      <c r="R56" s="9" t="str">
        <f>IF(SUMIFS(Sheet1!$E:$E,Sheet1!$C:$C,$A56,Sheet1!$A:$A,R$2)&lt;&gt;0,SUMIFS(Sheet1!$E:$E,Sheet1!$C:$C,$A56,Sheet1!$A:$A,R$2),"")</f>
        <v/>
      </c>
      <c r="S56" s="9" t="str">
        <f>IF(SUMIFS(Sheet1!$E:$E,Sheet1!$C:$C,$A56,Sheet1!$A:$A,S$2)&lt;&gt;0,SUMIFS(Sheet1!$E:$E,Sheet1!$C:$C,$A56,Sheet1!$A:$A,S$2),"")</f>
        <v/>
      </c>
      <c r="T56" s="9" t="str">
        <f>IF(SUMIFS(Sheet1!$E:$E,Sheet1!$C:$C,$A56,Sheet1!$A:$A,T$2)&lt;&gt;0,SUMIFS(Sheet1!$E:$E,Sheet1!$C:$C,$A56,Sheet1!$A:$A,T$2),"")</f>
        <v/>
      </c>
      <c r="U56" s="9" t="str">
        <f>IF(SUMIFS(Sheet1!$E:$E,Sheet1!$C:$C,$A56,Sheet1!$A:$A,U$2)&lt;&gt;0,SUMIFS(Sheet1!$E:$E,Sheet1!$C:$C,$A56,Sheet1!$A:$A,U$2),"")</f>
        <v/>
      </c>
      <c r="V56" s="9" t="str">
        <f>IF(SUMIFS(Sheet1!$E:$E,Sheet1!$C:$C,$A56,Sheet1!$A:$A,V$2)&lt;&gt;0,SUMIFS(Sheet1!$E:$E,Sheet1!$C:$C,$A56,Sheet1!$A:$A,V$2),"")</f>
        <v/>
      </c>
      <c r="W56" s="9" t="str">
        <f>IF(SUMIFS(Sheet1!$E:$E,Sheet1!$C:$C,$A56,Sheet1!$A:$A,W$2)&lt;&gt;0,SUMIFS(Sheet1!$E:$E,Sheet1!$C:$C,$A56,Sheet1!$A:$A,W$2),"")</f>
        <v/>
      </c>
      <c r="X56" s="9" t="str">
        <f>IF(SUMIFS(Sheet1!$E:$E,Sheet1!$C:$C,$A56,Sheet1!$A:$A,X$2)&lt;&gt;0,SUMIFS(Sheet1!$E:$E,Sheet1!$C:$C,$A56,Sheet1!$A:$A,X$2),"")</f>
        <v/>
      </c>
      <c r="Y56" s="9" t="str">
        <f>IF(SUMIFS(Sheet1!$E:$E,Sheet1!$C:$C,$A56,Sheet1!$A:$A,Y$2)&lt;&gt;0,SUMIFS(Sheet1!$E:$E,Sheet1!$C:$C,$A56,Sheet1!$A:$A,Y$2),"")</f>
        <v/>
      </c>
      <c r="Z56" s="9" t="str">
        <f>IF(SUMIFS(Sheet1!$E:$E,Sheet1!$C:$C,$A56,Sheet1!$A:$A,Z$2)&lt;&gt;0,SUMIFS(Sheet1!$E:$E,Sheet1!$C:$C,$A56,Sheet1!$A:$A,Z$2),"")</f>
        <v/>
      </c>
      <c r="AA56" s="9" t="str">
        <f>IF(SUMIFS(Sheet1!$E:$E,Sheet1!$C:$C,$A56,Sheet1!$A:$A,AA$2)&lt;&gt;0,SUMIFS(Sheet1!$E:$E,Sheet1!$C:$C,$A56,Sheet1!$A:$A,AA$2),"")</f>
        <v/>
      </c>
      <c r="AB56" s="9" t="str">
        <f>IF(SUMIFS(Sheet1!$E:$E,Sheet1!$C:$C,$A56,Sheet1!$A:$A,AB$2)&lt;&gt;0,SUMIFS(Sheet1!$E:$E,Sheet1!$C:$C,$A56,Sheet1!$A:$A,AB$2),"")</f>
        <v/>
      </c>
      <c r="AC56" s="9" t="str">
        <f>IF(SUMIFS(Sheet1!$E:$E,Sheet1!$C:$C,$A56,Sheet1!$A:$A,AC$2)&lt;&gt;0,SUMIFS(Sheet1!$E:$E,Sheet1!$C:$C,$A56,Sheet1!$A:$A,AC$2),"")</f>
        <v/>
      </c>
      <c r="AD56" s="9" t="str">
        <f>IF(SUMIFS(Sheet1!$E:$E,Sheet1!$C:$C,$A56,Sheet1!$A:$A,AD$2)&lt;&gt;0,SUMIFS(Sheet1!$E:$E,Sheet1!$C:$C,$A56,Sheet1!$A:$A,AD$2),"")</f>
        <v/>
      </c>
      <c r="AE56" s="9" t="str">
        <f>IF(SUMIFS(Sheet1!$E:$E,Sheet1!$C:$C,$A56,Sheet1!$A:$A,AE$2)&lt;&gt;0,SUMIFS(Sheet1!$E:$E,Sheet1!$C:$C,$A56,Sheet1!$A:$A,AE$2),"")</f>
        <v/>
      </c>
      <c r="AF56" s="9" t="str">
        <f>IF(SUMIFS(Sheet1!$E:$E,Sheet1!$C:$C,$A56,Sheet1!$A:$A,AF$2)&lt;&gt;0,SUMIFS(Sheet1!$E:$E,Sheet1!$C:$C,$A56,Sheet1!$A:$A,AF$2),"")</f>
        <v/>
      </c>
      <c r="AG56" s="9" t="str">
        <f>IF(SUMIFS(Sheet1!$E:$E,Sheet1!$C:$C,$A56,Sheet1!$A:$A,AG$2)&lt;&gt;0,SUMIFS(Sheet1!$E:$E,Sheet1!$C:$C,$A56,Sheet1!$A:$A,AG$2),"")</f>
        <v/>
      </c>
      <c r="AH56" s="47">
        <f>SUM(Table24[[#This Row],[1]:[31]])</f>
        <v>26</v>
      </c>
    </row>
    <row r="57" spans="1:34" ht="12.75" customHeight="1">
      <c r="A57" s="24" t="str">
        <f>DSSP!A56</f>
        <v>A141</v>
      </c>
      <c r="B57" s="25" t="str">
        <f>DSSP!B56</f>
        <v>Mèo</v>
      </c>
      <c r="C57" s="9">
        <f>IF(SUMIFS(Sheet1!$E:$E,Sheet1!$C:$C,$A57,Sheet1!$A:$A,C$2)&lt;&gt;0,SUMIFS(Sheet1!$E:$E,Sheet1!$C:$C,$A57,Sheet1!$A:$A,C$2),"")</f>
        <v>52</v>
      </c>
      <c r="D57" s="9" t="str">
        <f>IF(SUMIFS(Sheet1!$E:$E,Sheet1!$C:$C,$A57,Sheet1!$A:$A,D$2)&lt;&gt;0,SUMIFS(Sheet1!$E:$E,Sheet1!$C:$C,$A57,Sheet1!$A:$A,D$2),"")</f>
        <v/>
      </c>
      <c r="E57" s="9" t="str">
        <f>IF(SUMIFS(Sheet1!$E:$E,Sheet1!$C:$C,$A57,Sheet1!$A:$A,E$2)&lt;&gt;0,SUMIFS(Sheet1!$E:$E,Sheet1!$C:$C,$A57,Sheet1!$A:$A,E$2),"")</f>
        <v/>
      </c>
      <c r="F57" s="9" t="str">
        <f>IF(SUMIFS(Sheet1!$E:$E,Sheet1!$C:$C,$A57,Sheet1!$A:$A,F$2)&lt;&gt;0,SUMIFS(Sheet1!$E:$E,Sheet1!$C:$C,$A57,Sheet1!$A:$A,F$2),"")</f>
        <v/>
      </c>
      <c r="G57" s="9" t="str">
        <f>IF(SUMIFS(Sheet1!$E:$E,Sheet1!$C:$C,$A57,Sheet1!$A:$A,G$2)&lt;&gt;0,SUMIFS(Sheet1!$E:$E,Sheet1!$C:$C,$A57,Sheet1!$A:$A,G$2),"")</f>
        <v/>
      </c>
      <c r="H57" s="9" t="str">
        <f>IF(SUMIFS(Sheet1!$E:$E,Sheet1!$C:$C,$A57,Sheet1!$A:$A,H$2)&lt;&gt;0,SUMIFS(Sheet1!$E:$E,Sheet1!$C:$C,$A57,Sheet1!$A:$A,H$2),"")</f>
        <v/>
      </c>
      <c r="I57" s="9" t="str">
        <f>IF(SUMIFS(Sheet1!$E:$E,Sheet1!$C:$C,$A57,Sheet1!$A:$A,I$2)&lt;&gt;0,SUMIFS(Sheet1!$E:$E,Sheet1!$C:$C,$A57,Sheet1!$A:$A,I$2),"")</f>
        <v/>
      </c>
      <c r="J57" s="9" t="str">
        <f>IF(SUMIFS(Sheet1!$E:$E,Sheet1!$C:$C,$A57,Sheet1!$A:$A,J$2)&lt;&gt;0,SUMIFS(Sheet1!$E:$E,Sheet1!$C:$C,$A57,Sheet1!$A:$A,J$2),"")</f>
        <v/>
      </c>
      <c r="K57" s="9" t="str">
        <f>IF(SUMIFS(Sheet1!$E:$E,Sheet1!$C:$C,$A57,Sheet1!$A:$A,K$2)&lt;&gt;0,SUMIFS(Sheet1!$E:$E,Sheet1!$C:$C,$A57,Sheet1!$A:$A,K$2),"")</f>
        <v/>
      </c>
      <c r="L57" s="9" t="str">
        <f>IF(SUMIFS(Sheet1!$E:$E,Sheet1!$C:$C,$A57,Sheet1!$A:$A,L$2)&lt;&gt;0,SUMIFS(Sheet1!$E:$E,Sheet1!$C:$C,$A57,Sheet1!$A:$A,L$2),"")</f>
        <v/>
      </c>
      <c r="M57" s="9" t="str">
        <f>IF(SUMIFS(Sheet1!$E:$E,Sheet1!$C:$C,$A57,Sheet1!$A:$A,M$2)&lt;&gt;0,SUMIFS(Sheet1!$E:$E,Sheet1!$C:$C,$A57,Sheet1!$A:$A,M$2),"")</f>
        <v/>
      </c>
      <c r="N57" s="9" t="str">
        <f>IF(SUMIFS(Sheet1!$E:$E,Sheet1!$C:$C,$A57,Sheet1!$A:$A,N$2)&lt;&gt;0,SUMIFS(Sheet1!$E:$E,Sheet1!$C:$C,$A57,Sheet1!$A:$A,N$2),"")</f>
        <v/>
      </c>
      <c r="O57" s="9" t="str">
        <f>IF(SUMIFS(Sheet1!$E:$E,Sheet1!$C:$C,$A57,Sheet1!$A:$A,O$2)&lt;&gt;0,SUMIFS(Sheet1!$E:$E,Sheet1!$C:$C,$A57,Sheet1!$A:$A,O$2),"")</f>
        <v/>
      </c>
      <c r="P57" s="9" t="str">
        <f>IF(SUMIFS(Sheet1!$E:$E,Sheet1!$C:$C,$A57,Sheet1!$A:$A,P$2)&lt;&gt;0,SUMIFS(Sheet1!$E:$E,Sheet1!$C:$C,$A57,Sheet1!$A:$A,P$2),"")</f>
        <v/>
      </c>
      <c r="Q57" s="9" t="str">
        <f>IF(SUMIFS(Sheet1!$E:$E,Sheet1!$C:$C,$A57,Sheet1!$A:$A,Q$2)&lt;&gt;0,SUMIFS(Sheet1!$E:$E,Sheet1!$C:$C,$A57,Sheet1!$A:$A,Q$2),"")</f>
        <v/>
      </c>
      <c r="R57" s="9" t="str">
        <f>IF(SUMIFS(Sheet1!$E:$E,Sheet1!$C:$C,$A57,Sheet1!$A:$A,R$2)&lt;&gt;0,SUMIFS(Sheet1!$E:$E,Sheet1!$C:$C,$A57,Sheet1!$A:$A,R$2),"")</f>
        <v/>
      </c>
      <c r="S57" s="9" t="str">
        <f>IF(SUMIFS(Sheet1!$E:$E,Sheet1!$C:$C,$A57,Sheet1!$A:$A,S$2)&lt;&gt;0,SUMIFS(Sheet1!$E:$E,Sheet1!$C:$C,$A57,Sheet1!$A:$A,S$2),"")</f>
        <v/>
      </c>
      <c r="T57" s="9" t="str">
        <f>IF(SUMIFS(Sheet1!$E:$E,Sheet1!$C:$C,$A57,Sheet1!$A:$A,T$2)&lt;&gt;0,SUMIFS(Sheet1!$E:$E,Sheet1!$C:$C,$A57,Sheet1!$A:$A,T$2),"")</f>
        <v/>
      </c>
      <c r="U57" s="9" t="str">
        <f>IF(SUMIFS(Sheet1!$E:$E,Sheet1!$C:$C,$A57,Sheet1!$A:$A,U$2)&lt;&gt;0,SUMIFS(Sheet1!$E:$E,Sheet1!$C:$C,$A57,Sheet1!$A:$A,U$2),"")</f>
        <v/>
      </c>
      <c r="V57" s="9" t="str">
        <f>IF(SUMIFS(Sheet1!$E:$E,Sheet1!$C:$C,$A57,Sheet1!$A:$A,V$2)&lt;&gt;0,SUMIFS(Sheet1!$E:$E,Sheet1!$C:$C,$A57,Sheet1!$A:$A,V$2),"")</f>
        <v/>
      </c>
      <c r="W57" s="9" t="str">
        <f>IF(SUMIFS(Sheet1!$E:$E,Sheet1!$C:$C,$A57,Sheet1!$A:$A,W$2)&lt;&gt;0,SUMIFS(Sheet1!$E:$E,Sheet1!$C:$C,$A57,Sheet1!$A:$A,W$2),"")</f>
        <v/>
      </c>
      <c r="X57" s="9" t="str">
        <f>IF(SUMIFS(Sheet1!$E:$E,Sheet1!$C:$C,$A57,Sheet1!$A:$A,X$2)&lt;&gt;0,SUMIFS(Sheet1!$E:$E,Sheet1!$C:$C,$A57,Sheet1!$A:$A,X$2),"")</f>
        <v/>
      </c>
      <c r="Y57" s="9" t="str">
        <f>IF(SUMIFS(Sheet1!$E:$E,Sheet1!$C:$C,$A57,Sheet1!$A:$A,Y$2)&lt;&gt;0,SUMIFS(Sheet1!$E:$E,Sheet1!$C:$C,$A57,Sheet1!$A:$A,Y$2),"")</f>
        <v/>
      </c>
      <c r="Z57" s="9" t="str">
        <f>IF(SUMIFS(Sheet1!$E:$E,Sheet1!$C:$C,$A57,Sheet1!$A:$A,Z$2)&lt;&gt;0,SUMIFS(Sheet1!$E:$E,Sheet1!$C:$C,$A57,Sheet1!$A:$A,Z$2),"")</f>
        <v/>
      </c>
      <c r="AA57" s="9" t="str">
        <f>IF(SUMIFS(Sheet1!$E:$E,Sheet1!$C:$C,$A57,Sheet1!$A:$A,AA$2)&lt;&gt;0,SUMIFS(Sheet1!$E:$E,Sheet1!$C:$C,$A57,Sheet1!$A:$A,AA$2),"")</f>
        <v/>
      </c>
      <c r="AB57" s="9" t="str">
        <f>IF(SUMIFS(Sheet1!$E:$E,Sheet1!$C:$C,$A57,Sheet1!$A:$A,AB$2)&lt;&gt;0,SUMIFS(Sheet1!$E:$E,Sheet1!$C:$C,$A57,Sheet1!$A:$A,AB$2),"")</f>
        <v/>
      </c>
      <c r="AC57" s="9" t="str">
        <f>IF(SUMIFS(Sheet1!$E:$E,Sheet1!$C:$C,$A57,Sheet1!$A:$A,AC$2)&lt;&gt;0,SUMIFS(Sheet1!$E:$E,Sheet1!$C:$C,$A57,Sheet1!$A:$A,AC$2),"")</f>
        <v/>
      </c>
      <c r="AD57" s="9" t="str">
        <f>IF(SUMIFS(Sheet1!$E:$E,Sheet1!$C:$C,$A57,Sheet1!$A:$A,AD$2)&lt;&gt;0,SUMIFS(Sheet1!$E:$E,Sheet1!$C:$C,$A57,Sheet1!$A:$A,AD$2),"")</f>
        <v/>
      </c>
      <c r="AE57" s="9" t="str">
        <f>IF(SUMIFS(Sheet1!$E:$E,Sheet1!$C:$C,$A57,Sheet1!$A:$A,AE$2)&lt;&gt;0,SUMIFS(Sheet1!$E:$E,Sheet1!$C:$C,$A57,Sheet1!$A:$A,AE$2),"")</f>
        <v/>
      </c>
      <c r="AF57" s="9" t="str">
        <f>IF(SUMIFS(Sheet1!$E:$E,Sheet1!$C:$C,$A57,Sheet1!$A:$A,AF$2)&lt;&gt;0,SUMIFS(Sheet1!$E:$E,Sheet1!$C:$C,$A57,Sheet1!$A:$A,AF$2),"")</f>
        <v/>
      </c>
      <c r="AG57" s="9" t="str">
        <f>IF(SUMIFS(Sheet1!$E:$E,Sheet1!$C:$C,$A57,Sheet1!$A:$A,AG$2)&lt;&gt;0,SUMIFS(Sheet1!$E:$E,Sheet1!$C:$C,$A57,Sheet1!$A:$A,AG$2),"")</f>
        <v/>
      </c>
      <c r="AH57" s="47">
        <f>SUM(Table24[[#This Row],[1]:[31]])</f>
        <v>52</v>
      </c>
    </row>
    <row r="58" spans="1:34" ht="12.75" customHeight="1">
      <c r="A58" s="24" t="str">
        <f>DSSP!A57</f>
        <v>A142</v>
      </c>
      <c r="B58" s="25" t="str">
        <f>DSSP!B57</f>
        <v>Bọt biển</v>
      </c>
      <c r="C58" s="9">
        <f>IF(SUMIFS(Sheet1!$E:$E,Sheet1!$C:$C,$A58,Sheet1!$A:$A,C$2)&lt;&gt;0,SUMIFS(Sheet1!$E:$E,Sheet1!$C:$C,$A58,Sheet1!$A:$A,C$2),"")</f>
        <v>21</v>
      </c>
      <c r="D58" s="9" t="str">
        <f>IF(SUMIFS(Sheet1!$E:$E,Sheet1!$C:$C,$A58,Sheet1!$A:$A,D$2)&lt;&gt;0,SUMIFS(Sheet1!$E:$E,Sheet1!$C:$C,$A58,Sheet1!$A:$A,D$2),"")</f>
        <v/>
      </c>
      <c r="E58" s="9" t="str">
        <f>IF(SUMIFS(Sheet1!$E:$E,Sheet1!$C:$C,$A58,Sheet1!$A:$A,E$2)&lt;&gt;0,SUMIFS(Sheet1!$E:$E,Sheet1!$C:$C,$A58,Sheet1!$A:$A,E$2),"")</f>
        <v/>
      </c>
      <c r="F58" s="9" t="str">
        <f>IF(SUMIFS(Sheet1!$E:$E,Sheet1!$C:$C,$A58,Sheet1!$A:$A,F$2)&lt;&gt;0,SUMIFS(Sheet1!$E:$E,Sheet1!$C:$C,$A58,Sheet1!$A:$A,F$2),"")</f>
        <v/>
      </c>
      <c r="G58" s="9" t="str">
        <f>IF(SUMIFS(Sheet1!$E:$E,Sheet1!$C:$C,$A58,Sheet1!$A:$A,G$2)&lt;&gt;0,SUMIFS(Sheet1!$E:$E,Sheet1!$C:$C,$A58,Sheet1!$A:$A,G$2),"")</f>
        <v/>
      </c>
      <c r="H58" s="9" t="str">
        <f>IF(SUMIFS(Sheet1!$E:$E,Sheet1!$C:$C,$A58,Sheet1!$A:$A,H$2)&lt;&gt;0,SUMIFS(Sheet1!$E:$E,Sheet1!$C:$C,$A58,Sheet1!$A:$A,H$2),"")</f>
        <v/>
      </c>
      <c r="I58" s="9" t="str">
        <f>IF(SUMIFS(Sheet1!$E:$E,Sheet1!$C:$C,$A58,Sheet1!$A:$A,I$2)&lt;&gt;0,SUMIFS(Sheet1!$E:$E,Sheet1!$C:$C,$A58,Sheet1!$A:$A,I$2),"")</f>
        <v/>
      </c>
      <c r="J58" s="9" t="str">
        <f>IF(SUMIFS(Sheet1!$E:$E,Sheet1!$C:$C,$A58,Sheet1!$A:$A,J$2)&lt;&gt;0,SUMIFS(Sheet1!$E:$E,Sheet1!$C:$C,$A58,Sheet1!$A:$A,J$2),"")</f>
        <v/>
      </c>
      <c r="K58" s="9" t="str">
        <f>IF(SUMIFS(Sheet1!$E:$E,Sheet1!$C:$C,$A58,Sheet1!$A:$A,K$2)&lt;&gt;0,SUMIFS(Sheet1!$E:$E,Sheet1!$C:$C,$A58,Sheet1!$A:$A,K$2),"")</f>
        <v/>
      </c>
      <c r="L58" s="9" t="str">
        <f>IF(SUMIFS(Sheet1!$E:$E,Sheet1!$C:$C,$A58,Sheet1!$A:$A,L$2)&lt;&gt;0,SUMIFS(Sheet1!$E:$E,Sheet1!$C:$C,$A58,Sheet1!$A:$A,L$2),"")</f>
        <v/>
      </c>
      <c r="M58" s="9" t="str">
        <f>IF(SUMIFS(Sheet1!$E:$E,Sheet1!$C:$C,$A58,Sheet1!$A:$A,M$2)&lt;&gt;0,SUMIFS(Sheet1!$E:$E,Sheet1!$C:$C,$A58,Sheet1!$A:$A,M$2),"")</f>
        <v/>
      </c>
      <c r="N58" s="9" t="str">
        <f>IF(SUMIFS(Sheet1!$E:$E,Sheet1!$C:$C,$A58,Sheet1!$A:$A,N$2)&lt;&gt;0,SUMIFS(Sheet1!$E:$E,Sheet1!$C:$C,$A58,Sheet1!$A:$A,N$2),"")</f>
        <v/>
      </c>
      <c r="O58" s="9" t="str">
        <f>IF(SUMIFS(Sheet1!$E:$E,Sheet1!$C:$C,$A58,Sheet1!$A:$A,O$2)&lt;&gt;0,SUMIFS(Sheet1!$E:$E,Sheet1!$C:$C,$A58,Sheet1!$A:$A,O$2),"")</f>
        <v/>
      </c>
      <c r="P58" s="9" t="str">
        <f>IF(SUMIFS(Sheet1!$E:$E,Sheet1!$C:$C,$A58,Sheet1!$A:$A,P$2)&lt;&gt;0,SUMIFS(Sheet1!$E:$E,Sheet1!$C:$C,$A58,Sheet1!$A:$A,P$2),"")</f>
        <v/>
      </c>
      <c r="Q58" s="9" t="str">
        <f>IF(SUMIFS(Sheet1!$E:$E,Sheet1!$C:$C,$A58,Sheet1!$A:$A,Q$2)&lt;&gt;0,SUMIFS(Sheet1!$E:$E,Sheet1!$C:$C,$A58,Sheet1!$A:$A,Q$2),"")</f>
        <v/>
      </c>
      <c r="R58" s="9" t="str">
        <f>IF(SUMIFS(Sheet1!$E:$E,Sheet1!$C:$C,$A58,Sheet1!$A:$A,R$2)&lt;&gt;0,SUMIFS(Sheet1!$E:$E,Sheet1!$C:$C,$A58,Sheet1!$A:$A,R$2),"")</f>
        <v/>
      </c>
      <c r="S58" s="9" t="str">
        <f>IF(SUMIFS(Sheet1!$E:$E,Sheet1!$C:$C,$A58,Sheet1!$A:$A,S$2)&lt;&gt;0,SUMIFS(Sheet1!$E:$E,Sheet1!$C:$C,$A58,Sheet1!$A:$A,S$2),"")</f>
        <v/>
      </c>
      <c r="T58" s="9" t="str">
        <f>IF(SUMIFS(Sheet1!$E:$E,Sheet1!$C:$C,$A58,Sheet1!$A:$A,T$2)&lt;&gt;0,SUMIFS(Sheet1!$E:$E,Sheet1!$C:$C,$A58,Sheet1!$A:$A,T$2),"")</f>
        <v/>
      </c>
      <c r="U58" s="9" t="str">
        <f>IF(SUMIFS(Sheet1!$E:$E,Sheet1!$C:$C,$A58,Sheet1!$A:$A,U$2)&lt;&gt;0,SUMIFS(Sheet1!$E:$E,Sheet1!$C:$C,$A58,Sheet1!$A:$A,U$2),"")</f>
        <v/>
      </c>
      <c r="V58" s="9" t="str">
        <f>IF(SUMIFS(Sheet1!$E:$E,Sheet1!$C:$C,$A58,Sheet1!$A:$A,V$2)&lt;&gt;0,SUMIFS(Sheet1!$E:$E,Sheet1!$C:$C,$A58,Sheet1!$A:$A,V$2),"")</f>
        <v/>
      </c>
      <c r="W58" s="9" t="str">
        <f>IF(SUMIFS(Sheet1!$E:$E,Sheet1!$C:$C,$A58,Sheet1!$A:$A,W$2)&lt;&gt;0,SUMIFS(Sheet1!$E:$E,Sheet1!$C:$C,$A58,Sheet1!$A:$A,W$2),"")</f>
        <v/>
      </c>
      <c r="X58" s="9" t="str">
        <f>IF(SUMIFS(Sheet1!$E:$E,Sheet1!$C:$C,$A58,Sheet1!$A:$A,X$2)&lt;&gt;0,SUMIFS(Sheet1!$E:$E,Sheet1!$C:$C,$A58,Sheet1!$A:$A,X$2),"")</f>
        <v/>
      </c>
      <c r="Y58" s="9" t="str">
        <f>IF(SUMIFS(Sheet1!$E:$E,Sheet1!$C:$C,$A58,Sheet1!$A:$A,Y$2)&lt;&gt;0,SUMIFS(Sheet1!$E:$E,Sheet1!$C:$C,$A58,Sheet1!$A:$A,Y$2),"")</f>
        <v/>
      </c>
      <c r="Z58" s="9" t="str">
        <f>IF(SUMIFS(Sheet1!$E:$E,Sheet1!$C:$C,$A58,Sheet1!$A:$A,Z$2)&lt;&gt;0,SUMIFS(Sheet1!$E:$E,Sheet1!$C:$C,$A58,Sheet1!$A:$A,Z$2),"")</f>
        <v/>
      </c>
      <c r="AA58" s="9" t="str">
        <f>IF(SUMIFS(Sheet1!$E:$E,Sheet1!$C:$C,$A58,Sheet1!$A:$A,AA$2)&lt;&gt;0,SUMIFS(Sheet1!$E:$E,Sheet1!$C:$C,$A58,Sheet1!$A:$A,AA$2),"")</f>
        <v/>
      </c>
      <c r="AB58" s="9" t="str">
        <f>IF(SUMIFS(Sheet1!$E:$E,Sheet1!$C:$C,$A58,Sheet1!$A:$A,AB$2)&lt;&gt;0,SUMIFS(Sheet1!$E:$E,Sheet1!$C:$C,$A58,Sheet1!$A:$A,AB$2),"")</f>
        <v/>
      </c>
      <c r="AC58" s="9" t="str">
        <f>IF(SUMIFS(Sheet1!$E:$E,Sheet1!$C:$C,$A58,Sheet1!$A:$A,AC$2)&lt;&gt;0,SUMIFS(Sheet1!$E:$E,Sheet1!$C:$C,$A58,Sheet1!$A:$A,AC$2),"")</f>
        <v/>
      </c>
      <c r="AD58" s="9" t="str">
        <f>IF(SUMIFS(Sheet1!$E:$E,Sheet1!$C:$C,$A58,Sheet1!$A:$A,AD$2)&lt;&gt;0,SUMIFS(Sheet1!$E:$E,Sheet1!$C:$C,$A58,Sheet1!$A:$A,AD$2),"")</f>
        <v/>
      </c>
      <c r="AE58" s="9" t="str">
        <f>IF(SUMIFS(Sheet1!$E:$E,Sheet1!$C:$C,$A58,Sheet1!$A:$A,AE$2)&lt;&gt;0,SUMIFS(Sheet1!$E:$E,Sheet1!$C:$C,$A58,Sheet1!$A:$A,AE$2),"")</f>
        <v/>
      </c>
      <c r="AF58" s="9" t="str">
        <f>IF(SUMIFS(Sheet1!$E:$E,Sheet1!$C:$C,$A58,Sheet1!$A:$A,AF$2)&lt;&gt;0,SUMIFS(Sheet1!$E:$E,Sheet1!$C:$C,$A58,Sheet1!$A:$A,AF$2),"")</f>
        <v/>
      </c>
      <c r="AG58" s="9" t="str">
        <f>IF(SUMIFS(Sheet1!$E:$E,Sheet1!$C:$C,$A58,Sheet1!$A:$A,AG$2)&lt;&gt;0,SUMIFS(Sheet1!$E:$E,Sheet1!$C:$C,$A58,Sheet1!$A:$A,AG$2),"")</f>
        <v/>
      </c>
      <c r="AH58" s="47">
        <f>SUM(Table24[[#This Row],[1]:[31]])</f>
        <v>21</v>
      </c>
    </row>
    <row r="59" spans="1:34" ht="12.75" customHeight="1">
      <c r="A59" s="24" t="str">
        <f>DSSP!A58</f>
        <v>A143</v>
      </c>
      <c r="B59" s="25" t="str">
        <f>DSSP!B58</f>
        <v>Bạch Dương</v>
      </c>
      <c r="C59" s="9" t="str">
        <f>IF(SUMIFS(Sheet1!$E:$E,Sheet1!$C:$C,$A59,Sheet1!$A:$A,C$2)&lt;&gt;0,SUMIFS(Sheet1!$E:$E,Sheet1!$C:$C,$A59,Sheet1!$A:$A,C$2),"")</f>
        <v/>
      </c>
      <c r="D59" s="9" t="str">
        <f>IF(SUMIFS(Sheet1!$E:$E,Sheet1!$C:$C,$A59,Sheet1!$A:$A,D$2)&lt;&gt;0,SUMIFS(Sheet1!$E:$E,Sheet1!$C:$C,$A59,Sheet1!$A:$A,D$2),"")</f>
        <v/>
      </c>
      <c r="E59" s="9" t="str">
        <f>IF(SUMIFS(Sheet1!$E:$E,Sheet1!$C:$C,$A59,Sheet1!$A:$A,E$2)&lt;&gt;0,SUMIFS(Sheet1!$E:$E,Sheet1!$C:$C,$A59,Sheet1!$A:$A,E$2),"")</f>
        <v/>
      </c>
      <c r="F59" s="9" t="str">
        <f>IF(SUMIFS(Sheet1!$E:$E,Sheet1!$C:$C,$A59,Sheet1!$A:$A,F$2)&lt;&gt;0,SUMIFS(Sheet1!$E:$E,Sheet1!$C:$C,$A59,Sheet1!$A:$A,F$2),"")</f>
        <v/>
      </c>
      <c r="G59" s="9" t="str">
        <f>IF(SUMIFS(Sheet1!$E:$E,Sheet1!$C:$C,$A59,Sheet1!$A:$A,G$2)&lt;&gt;0,SUMIFS(Sheet1!$E:$E,Sheet1!$C:$C,$A59,Sheet1!$A:$A,G$2),"")</f>
        <v/>
      </c>
      <c r="H59" s="9" t="str">
        <f>IF(SUMIFS(Sheet1!$E:$E,Sheet1!$C:$C,$A59,Sheet1!$A:$A,H$2)&lt;&gt;0,SUMIFS(Sheet1!$E:$E,Sheet1!$C:$C,$A59,Sheet1!$A:$A,H$2),"")</f>
        <v/>
      </c>
      <c r="I59" s="9" t="str">
        <f>IF(SUMIFS(Sheet1!$E:$E,Sheet1!$C:$C,$A59,Sheet1!$A:$A,I$2)&lt;&gt;0,SUMIFS(Sheet1!$E:$E,Sheet1!$C:$C,$A59,Sheet1!$A:$A,I$2),"")</f>
        <v/>
      </c>
      <c r="J59" s="9" t="str">
        <f>IF(SUMIFS(Sheet1!$E:$E,Sheet1!$C:$C,$A59,Sheet1!$A:$A,J$2)&lt;&gt;0,SUMIFS(Sheet1!$E:$E,Sheet1!$C:$C,$A59,Sheet1!$A:$A,J$2),"")</f>
        <v/>
      </c>
      <c r="K59" s="9" t="str">
        <f>IF(SUMIFS(Sheet1!$E:$E,Sheet1!$C:$C,$A59,Sheet1!$A:$A,K$2)&lt;&gt;0,SUMIFS(Sheet1!$E:$E,Sheet1!$C:$C,$A59,Sheet1!$A:$A,K$2),"")</f>
        <v/>
      </c>
      <c r="L59" s="9" t="str">
        <f>IF(SUMIFS(Sheet1!$E:$E,Sheet1!$C:$C,$A59,Sheet1!$A:$A,L$2)&lt;&gt;0,SUMIFS(Sheet1!$E:$E,Sheet1!$C:$C,$A59,Sheet1!$A:$A,L$2),"")</f>
        <v/>
      </c>
      <c r="M59" s="9" t="str">
        <f>IF(SUMIFS(Sheet1!$E:$E,Sheet1!$C:$C,$A59,Sheet1!$A:$A,M$2)&lt;&gt;0,SUMIFS(Sheet1!$E:$E,Sheet1!$C:$C,$A59,Sheet1!$A:$A,M$2),"")</f>
        <v/>
      </c>
      <c r="N59" s="9" t="str">
        <f>IF(SUMIFS(Sheet1!$E:$E,Sheet1!$C:$C,$A59,Sheet1!$A:$A,N$2)&lt;&gt;0,SUMIFS(Sheet1!$E:$E,Sheet1!$C:$C,$A59,Sheet1!$A:$A,N$2),"")</f>
        <v/>
      </c>
      <c r="O59" s="9" t="str">
        <f>IF(SUMIFS(Sheet1!$E:$E,Sheet1!$C:$C,$A59,Sheet1!$A:$A,O$2)&lt;&gt;0,SUMIFS(Sheet1!$E:$E,Sheet1!$C:$C,$A59,Sheet1!$A:$A,O$2),"")</f>
        <v/>
      </c>
      <c r="P59" s="9" t="str">
        <f>IF(SUMIFS(Sheet1!$E:$E,Sheet1!$C:$C,$A59,Sheet1!$A:$A,P$2)&lt;&gt;0,SUMIFS(Sheet1!$E:$E,Sheet1!$C:$C,$A59,Sheet1!$A:$A,P$2),"")</f>
        <v/>
      </c>
      <c r="Q59" s="9" t="str">
        <f>IF(SUMIFS(Sheet1!$E:$E,Sheet1!$C:$C,$A59,Sheet1!$A:$A,Q$2)&lt;&gt;0,SUMIFS(Sheet1!$E:$E,Sheet1!$C:$C,$A59,Sheet1!$A:$A,Q$2),"")</f>
        <v/>
      </c>
      <c r="R59" s="9" t="str">
        <f>IF(SUMIFS(Sheet1!$E:$E,Sheet1!$C:$C,$A59,Sheet1!$A:$A,R$2)&lt;&gt;0,SUMIFS(Sheet1!$E:$E,Sheet1!$C:$C,$A59,Sheet1!$A:$A,R$2),"")</f>
        <v/>
      </c>
      <c r="S59" s="9" t="str">
        <f>IF(SUMIFS(Sheet1!$E:$E,Sheet1!$C:$C,$A59,Sheet1!$A:$A,S$2)&lt;&gt;0,SUMIFS(Sheet1!$E:$E,Sheet1!$C:$C,$A59,Sheet1!$A:$A,S$2),"")</f>
        <v/>
      </c>
      <c r="T59" s="9" t="str">
        <f>IF(SUMIFS(Sheet1!$E:$E,Sheet1!$C:$C,$A59,Sheet1!$A:$A,T$2)&lt;&gt;0,SUMIFS(Sheet1!$E:$E,Sheet1!$C:$C,$A59,Sheet1!$A:$A,T$2),"")</f>
        <v/>
      </c>
      <c r="U59" s="9" t="str">
        <f>IF(SUMIFS(Sheet1!$E:$E,Sheet1!$C:$C,$A59,Sheet1!$A:$A,U$2)&lt;&gt;0,SUMIFS(Sheet1!$E:$E,Sheet1!$C:$C,$A59,Sheet1!$A:$A,U$2),"")</f>
        <v/>
      </c>
      <c r="V59" s="9" t="str">
        <f>IF(SUMIFS(Sheet1!$E:$E,Sheet1!$C:$C,$A59,Sheet1!$A:$A,V$2)&lt;&gt;0,SUMIFS(Sheet1!$E:$E,Sheet1!$C:$C,$A59,Sheet1!$A:$A,V$2),"")</f>
        <v/>
      </c>
      <c r="W59" s="9" t="str">
        <f>IF(SUMIFS(Sheet1!$E:$E,Sheet1!$C:$C,$A59,Sheet1!$A:$A,W$2)&lt;&gt;0,SUMIFS(Sheet1!$E:$E,Sheet1!$C:$C,$A59,Sheet1!$A:$A,W$2),"")</f>
        <v/>
      </c>
      <c r="X59" s="9" t="str">
        <f>IF(SUMIFS(Sheet1!$E:$E,Sheet1!$C:$C,$A59,Sheet1!$A:$A,X$2)&lt;&gt;0,SUMIFS(Sheet1!$E:$E,Sheet1!$C:$C,$A59,Sheet1!$A:$A,X$2),"")</f>
        <v/>
      </c>
      <c r="Y59" s="9" t="str">
        <f>IF(SUMIFS(Sheet1!$E:$E,Sheet1!$C:$C,$A59,Sheet1!$A:$A,Y$2)&lt;&gt;0,SUMIFS(Sheet1!$E:$E,Sheet1!$C:$C,$A59,Sheet1!$A:$A,Y$2),"")</f>
        <v/>
      </c>
      <c r="Z59" s="9" t="str">
        <f>IF(SUMIFS(Sheet1!$E:$E,Sheet1!$C:$C,$A59,Sheet1!$A:$A,Z$2)&lt;&gt;0,SUMIFS(Sheet1!$E:$E,Sheet1!$C:$C,$A59,Sheet1!$A:$A,Z$2),"")</f>
        <v/>
      </c>
      <c r="AA59" s="9" t="str">
        <f>IF(SUMIFS(Sheet1!$E:$E,Sheet1!$C:$C,$A59,Sheet1!$A:$A,AA$2)&lt;&gt;0,SUMIFS(Sheet1!$E:$E,Sheet1!$C:$C,$A59,Sheet1!$A:$A,AA$2),"")</f>
        <v/>
      </c>
      <c r="AB59" s="9" t="str">
        <f>IF(SUMIFS(Sheet1!$E:$E,Sheet1!$C:$C,$A59,Sheet1!$A:$A,AB$2)&lt;&gt;0,SUMIFS(Sheet1!$E:$E,Sheet1!$C:$C,$A59,Sheet1!$A:$A,AB$2),"")</f>
        <v/>
      </c>
      <c r="AC59" s="9" t="str">
        <f>IF(SUMIFS(Sheet1!$E:$E,Sheet1!$C:$C,$A59,Sheet1!$A:$A,AC$2)&lt;&gt;0,SUMIFS(Sheet1!$E:$E,Sheet1!$C:$C,$A59,Sheet1!$A:$A,AC$2),"")</f>
        <v/>
      </c>
      <c r="AD59" s="9" t="str">
        <f>IF(SUMIFS(Sheet1!$E:$E,Sheet1!$C:$C,$A59,Sheet1!$A:$A,AD$2)&lt;&gt;0,SUMIFS(Sheet1!$E:$E,Sheet1!$C:$C,$A59,Sheet1!$A:$A,AD$2),"")</f>
        <v/>
      </c>
      <c r="AE59" s="9" t="str">
        <f>IF(SUMIFS(Sheet1!$E:$E,Sheet1!$C:$C,$A59,Sheet1!$A:$A,AE$2)&lt;&gt;0,SUMIFS(Sheet1!$E:$E,Sheet1!$C:$C,$A59,Sheet1!$A:$A,AE$2),"")</f>
        <v/>
      </c>
      <c r="AF59" s="9" t="str">
        <f>IF(SUMIFS(Sheet1!$E:$E,Sheet1!$C:$C,$A59,Sheet1!$A:$A,AF$2)&lt;&gt;0,SUMIFS(Sheet1!$E:$E,Sheet1!$C:$C,$A59,Sheet1!$A:$A,AF$2),"")</f>
        <v/>
      </c>
      <c r="AG59" s="9" t="str">
        <f>IF(SUMIFS(Sheet1!$E:$E,Sheet1!$C:$C,$A59,Sheet1!$A:$A,AG$2)&lt;&gt;0,SUMIFS(Sheet1!$E:$E,Sheet1!$C:$C,$A59,Sheet1!$A:$A,AG$2),"")</f>
        <v/>
      </c>
      <c r="AH59" s="47">
        <f>SUM(Table24[[#This Row],[1]:[31]])</f>
        <v>0</v>
      </c>
    </row>
    <row r="60" spans="1:34" ht="12.75" customHeight="1">
      <c r="A60" s="24" t="str">
        <f>DSSP!A59</f>
        <v>A144</v>
      </c>
      <c r="B60" s="25" t="str">
        <f>DSSP!B59</f>
        <v>Kim Ngưu</v>
      </c>
      <c r="C60" s="9" t="str">
        <f>IF(SUMIFS(Sheet1!$E:$E,Sheet1!$C:$C,$A60,Sheet1!$A:$A,C$2)&lt;&gt;0,SUMIFS(Sheet1!$E:$E,Sheet1!$C:$C,$A60,Sheet1!$A:$A,C$2),"")</f>
        <v/>
      </c>
      <c r="D60" s="9" t="str">
        <f>IF(SUMIFS(Sheet1!$E:$E,Sheet1!$C:$C,$A60,Sheet1!$A:$A,D$2)&lt;&gt;0,SUMIFS(Sheet1!$E:$E,Sheet1!$C:$C,$A60,Sheet1!$A:$A,D$2),"")</f>
        <v/>
      </c>
      <c r="E60" s="9" t="str">
        <f>IF(SUMIFS(Sheet1!$E:$E,Sheet1!$C:$C,$A60,Sheet1!$A:$A,E$2)&lt;&gt;0,SUMIFS(Sheet1!$E:$E,Sheet1!$C:$C,$A60,Sheet1!$A:$A,E$2),"")</f>
        <v/>
      </c>
      <c r="F60" s="9" t="str">
        <f>IF(SUMIFS(Sheet1!$E:$E,Sheet1!$C:$C,$A60,Sheet1!$A:$A,F$2)&lt;&gt;0,SUMIFS(Sheet1!$E:$E,Sheet1!$C:$C,$A60,Sheet1!$A:$A,F$2),"")</f>
        <v/>
      </c>
      <c r="G60" s="9" t="str">
        <f>IF(SUMIFS(Sheet1!$E:$E,Sheet1!$C:$C,$A60,Sheet1!$A:$A,G$2)&lt;&gt;0,SUMIFS(Sheet1!$E:$E,Sheet1!$C:$C,$A60,Sheet1!$A:$A,G$2),"")</f>
        <v/>
      </c>
      <c r="H60" s="9" t="str">
        <f>IF(SUMIFS(Sheet1!$E:$E,Sheet1!$C:$C,$A60,Sheet1!$A:$A,H$2)&lt;&gt;0,SUMIFS(Sheet1!$E:$E,Sheet1!$C:$C,$A60,Sheet1!$A:$A,H$2),"")</f>
        <v/>
      </c>
      <c r="I60" s="9" t="str">
        <f>IF(SUMIFS(Sheet1!$E:$E,Sheet1!$C:$C,$A60,Sheet1!$A:$A,I$2)&lt;&gt;0,SUMIFS(Sheet1!$E:$E,Sheet1!$C:$C,$A60,Sheet1!$A:$A,I$2),"")</f>
        <v/>
      </c>
      <c r="J60" s="9" t="str">
        <f>IF(SUMIFS(Sheet1!$E:$E,Sheet1!$C:$C,$A60,Sheet1!$A:$A,J$2)&lt;&gt;0,SUMIFS(Sheet1!$E:$E,Sheet1!$C:$C,$A60,Sheet1!$A:$A,J$2),"")</f>
        <v/>
      </c>
      <c r="K60" s="9" t="str">
        <f>IF(SUMIFS(Sheet1!$E:$E,Sheet1!$C:$C,$A60,Sheet1!$A:$A,K$2)&lt;&gt;0,SUMIFS(Sheet1!$E:$E,Sheet1!$C:$C,$A60,Sheet1!$A:$A,K$2),"")</f>
        <v/>
      </c>
      <c r="L60" s="9" t="str">
        <f>IF(SUMIFS(Sheet1!$E:$E,Sheet1!$C:$C,$A60,Sheet1!$A:$A,L$2)&lt;&gt;0,SUMIFS(Sheet1!$E:$E,Sheet1!$C:$C,$A60,Sheet1!$A:$A,L$2),"")</f>
        <v/>
      </c>
      <c r="M60" s="9" t="str">
        <f>IF(SUMIFS(Sheet1!$E:$E,Sheet1!$C:$C,$A60,Sheet1!$A:$A,M$2)&lt;&gt;0,SUMIFS(Sheet1!$E:$E,Sheet1!$C:$C,$A60,Sheet1!$A:$A,M$2),"")</f>
        <v/>
      </c>
      <c r="N60" s="9" t="str">
        <f>IF(SUMIFS(Sheet1!$E:$E,Sheet1!$C:$C,$A60,Sheet1!$A:$A,N$2)&lt;&gt;0,SUMIFS(Sheet1!$E:$E,Sheet1!$C:$C,$A60,Sheet1!$A:$A,N$2),"")</f>
        <v/>
      </c>
      <c r="O60" s="9" t="str">
        <f>IF(SUMIFS(Sheet1!$E:$E,Sheet1!$C:$C,$A60,Sheet1!$A:$A,O$2)&lt;&gt;0,SUMIFS(Sheet1!$E:$E,Sheet1!$C:$C,$A60,Sheet1!$A:$A,O$2),"")</f>
        <v/>
      </c>
      <c r="P60" s="9" t="str">
        <f>IF(SUMIFS(Sheet1!$E:$E,Sheet1!$C:$C,$A60,Sheet1!$A:$A,P$2)&lt;&gt;0,SUMIFS(Sheet1!$E:$E,Sheet1!$C:$C,$A60,Sheet1!$A:$A,P$2),"")</f>
        <v/>
      </c>
      <c r="Q60" s="9" t="str">
        <f>IF(SUMIFS(Sheet1!$E:$E,Sheet1!$C:$C,$A60,Sheet1!$A:$A,Q$2)&lt;&gt;0,SUMIFS(Sheet1!$E:$E,Sheet1!$C:$C,$A60,Sheet1!$A:$A,Q$2),"")</f>
        <v/>
      </c>
      <c r="R60" s="9" t="str">
        <f>IF(SUMIFS(Sheet1!$E:$E,Sheet1!$C:$C,$A60,Sheet1!$A:$A,R$2)&lt;&gt;0,SUMIFS(Sheet1!$E:$E,Sheet1!$C:$C,$A60,Sheet1!$A:$A,R$2),"")</f>
        <v/>
      </c>
      <c r="S60" s="9" t="str">
        <f>IF(SUMIFS(Sheet1!$E:$E,Sheet1!$C:$C,$A60,Sheet1!$A:$A,S$2)&lt;&gt;0,SUMIFS(Sheet1!$E:$E,Sheet1!$C:$C,$A60,Sheet1!$A:$A,S$2),"")</f>
        <v/>
      </c>
      <c r="T60" s="9" t="str">
        <f>IF(SUMIFS(Sheet1!$E:$E,Sheet1!$C:$C,$A60,Sheet1!$A:$A,T$2)&lt;&gt;0,SUMIFS(Sheet1!$E:$E,Sheet1!$C:$C,$A60,Sheet1!$A:$A,T$2),"")</f>
        <v/>
      </c>
      <c r="U60" s="9" t="str">
        <f>IF(SUMIFS(Sheet1!$E:$E,Sheet1!$C:$C,$A60,Sheet1!$A:$A,U$2)&lt;&gt;0,SUMIFS(Sheet1!$E:$E,Sheet1!$C:$C,$A60,Sheet1!$A:$A,U$2),"")</f>
        <v/>
      </c>
      <c r="V60" s="9" t="str">
        <f>IF(SUMIFS(Sheet1!$E:$E,Sheet1!$C:$C,$A60,Sheet1!$A:$A,V$2)&lt;&gt;0,SUMIFS(Sheet1!$E:$E,Sheet1!$C:$C,$A60,Sheet1!$A:$A,V$2),"")</f>
        <v/>
      </c>
      <c r="W60" s="9" t="str">
        <f>IF(SUMIFS(Sheet1!$E:$E,Sheet1!$C:$C,$A60,Sheet1!$A:$A,W$2)&lt;&gt;0,SUMIFS(Sheet1!$E:$E,Sheet1!$C:$C,$A60,Sheet1!$A:$A,W$2),"")</f>
        <v/>
      </c>
      <c r="X60" s="9" t="str">
        <f>IF(SUMIFS(Sheet1!$E:$E,Sheet1!$C:$C,$A60,Sheet1!$A:$A,X$2)&lt;&gt;0,SUMIFS(Sheet1!$E:$E,Sheet1!$C:$C,$A60,Sheet1!$A:$A,X$2),"")</f>
        <v/>
      </c>
      <c r="Y60" s="9" t="str">
        <f>IF(SUMIFS(Sheet1!$E:$E,Sheet1!$C:$C,$A60,Sheet1!$A:$A,Y$2)&lt;&gt;0,SUMIFS(Sheet1!$E:$E,Sheet1!$C:$C,$A60,Sheet1!$A:$A,Y$2),"")</f>
        <v/>
      </c>
      <c r="Z60" s="9" t="str">
        <f>IF(SUMIFS(Sheet1!$E:$E,Sheet1!$C:$C,$A60,Sheet1!$A:$A,Z$2)&lt;&gt;0,SUMIFS(Sheet1!$E:$E,Sheet1!$C:$C,$A60,Sheet1!$A:$A,Z$2),"")</f>
        <v/>
      </c>
      <c r="AA60" s="9" t="str">
        <f>IF(SUMIFS(Sheet1!$E:$E,Sheet1!$C:$C,$A60,Sheet1!$A:$A,AA$2)&lt;&gt;0,SUMIFS(Sheet1!$E:$E,Sheet1!$C:$C,$A60,Sheet1!$A:$A,AA$2),"")</f>
        <v/>
      </c>
      <c r="AB60" s="9" t="str">
        <f>IF(SUMIFS(Sheet1!$E:$E,Sheet1!$C:$C,$A60,Sheet1!$A:$A,AB$2)&lt;&gt;0,SUMIFS(Sheet1!$E:$E,Sheet1!$C:$C,$A60,Sheet1!$A:$A,AB$2),"")</f>
        <v/>
      </c>
      <c r="AC60" s="9" t="str">
        <f>IF(SUMIFS(Sheet1!$E:$E,Sheet1!$C:$C,$A60,Sheet1!$A:$A,AC$2)&lt;&gt;0,SUMIFS(Sheet1!$E:$E,Sheet1!$C:$C,$A60,Sheet1!$A:$A,AC$2),"")</f>
        <v/>
      </c>
      <c r="AD60" s="9" t="str">
        <f>IF(SUMIFS(Sheet1!$E:$E,Sheet1!$C:$C,$A60,Sheet1!$A:$A,AD$2)&lt;&gt;0,SUMIFS(Sheet1!$E:$E,Sheet1!$C:$C,$A60,Sheet1!$A:$A,AD$2),"")</f>
        <v/>
      </c>
      <c r="AE60" s="9" t="str">
        <f>IF(SUMIFS(Sheet1!$E:$E,Sheet1!$C:$C,$A60,Sheet1!$A:$A,AE$2)&lt;&gt;0,SUMIFS(Sheet1!$E:$E,Sheet1!$C:$C,$A60,Sheet1!$A:$A,AE$2),"")</f>
        <v/>
      </c>
      <c r="AF60" s="9" t="str">
        <f>IF(SUMIFS(Sheet1!$E:$E,Sheet1!$C:$C,$A60,Sheet1!$A:$A,AF$2)&lt;&gt;0,SUMIFS(Sheet1!$E:$E,Sheet1!$C:$C,$A60,Sheet1!$A:$A,AF$2),"")</f>
        <v/>
      </c>
      <c r="AG60" s="9" t="str">
        <f>IF(SUMIFS(Sheet1!$E:$E,Sheet1!$C:$C,$A60,Sheet1!$A:$A,AG$2)&lt;&gt;0,SUMIFS(Sheet1!$E:$E,Sheet1!$C:$C,$A60,Sheet1!$A:$A,AG$2),"")</f>
        <v/>
      </c>
      <c r="AH60" s="47">
        <f>SUM(Table24[[#This Row],[1]:[31]])</f>
        <v>0</v>
      </c>
    </row>
    <row r="61" spans="1:34" ht="12.75" customHeight="1">
      <c r="A61" s="24" t="str">
        <f>DSSP!A60</f>
        <v>A145</v>
      </c>
      <c r="B61" s="25" t="str">
        <f>DSSP!B60</f>
        <v>Song Tử</v>
      </c>
      <c r="C61" s="9" t="str">
        <f>IF(SUMIFS(Sheet1!$E:$E,Sheet1!$C:$C,$A61,Sheet1!$A:$A,C$2)&lt;&gt;0,SUMIFS(Sheet1!$E:$E,Sheet1!$C:$C,$A61,Sheet1!$A:$A,C$2),"")</f>
        <v/>
      </c>
      <c r="D61" s="9" t="str">
        <f>IF(SUMIFS(Sheet1!$E:$E,Sheet1!$C:$C,$A61,Sheet1!$A:$A,D$2)&lt;&gt;0,SUMIFS(Sheet1!$E:$E,Sheet1!$C:$C,$A61,Sheet1!$A:$A,D$2),"")</f>
        <v/>
      </c>
      <c r="E61" s="9" t="str">
        <f>IF(SUMIFS(Sheet1!$E:$E,Sheet1!$C:$C,$A61,Sheet1!$A:$A,E$2)&lt;&gt;0,SUMIFS(Sheet1!$E:$E,Sheet1!$C:$C,$A61,Sheet1!$A:$A,E$2),"")</f>
        <v/>
      </c>
      <c r="F61" s="9" t="str">
        <f>IF(SUMIFS(Sheet1!$E:$E,Sheet1!$C:$C,$A61,Sheet1!$A:$A,F$2)&lt;&gt;0,SUMIFS(Sheet1!$E:$E,Sheet1!$C:$C,$A61,Sheet1!$A:$A,F$2),"")</f>
        <v/>
      </c>
      <c r="G61" s="9" t="str">
        <f>IF(SUMIFS(Sheet1!$E:$E,Sheet1!$C:$C,$A61,Sheet1!$A:$A,G$2)&lt;&gt;0,SUMIFS(Sheet1!$E:$E,Sheet1!$C:$C,$A61,Sheet1!$A:$A,G$2),"")</f>
        <v/>
      </c>
      <c r="H61" s="9" t="str">
        <f>IF(SUMIFS(Sheet1!$E:$E,Sheet1!$C:$C,$A61,Sheet1!$A:$A,H$2)&lt;&gt;0,SUMIFS(Sheet1!$E:$E,Sheet1!$C:$C,$A61,Sheet1!$A:$A,H$2),"")</f>
        <v/>
      </c>
      <c r="I61" s="9" t="str">
        <f>IF(SUMIFS(Sheet1!$E:$E,Sheet1!$C:$C,$A61,Sheet1!$A:$A,I$2)&lt;&gt;0,SUMIFS(Sheet1!$E:$E,Sheet1!$C:$C,$A61,Sheet1!$A:$A,I$2),"")</f>
        <v/>
      </c>
      <c r="J61" s="9" t="str">
        <f>IF(SUMIFS(Sheet1!$E:$E,Sheet1!$C:$C,$A61,Sheet1!$A:$A,J$2)&lt;&gt;0,SUMIFS(Sheet1!$E:$E,Sheet1!$C:$C,$A61,Sheet1!$A:$A,J$2),"")</f>
        <v/>
      </c>
      <c r="K61" s="9" t="str">
        <f>IF(SUMIFS(Sheet1!$E:$E,Sheet1!$C:$C,$A61,Sheet1!$A:$A,K$2)&lt;&gt;0,SUMIFS(Sheet1!$E:$E,Sheet1!$C:$C,$A61,Sheet1!$A:$A,K$2),"")</f>
        <v/>
      </c>
      <c r="L61" s="9" t="str">
        <f>IF(SUMIFS(Sheet1!$E:$E,Sheet1!$C:$C,$A61,Sheet1!$A:$A,L$2)&lt;&gt;0,SUMIFS(Sheet1!$E:$E,Sheet1!$C:$C,$A61,Sheet1!$A:$A,L$2),"")</f>
        <v/>
      </c>
      <c r="M61" s="9" t="str">
        <f>IF(SUMIFS(Sheet1!$E:$E,Sheet1!$C:$C,$A61,Sheet1!$A:$A,M$2)&lt;&gt;0,SUMIFS(Sheet1!$E:$E,Sheet1!$C:$C,$A61,Sheet1!$A:$A,M$2),"")</f>
        <v/>
      </c>
      <c r="N61" s="9" t="str">
        <f>IF(SUMIFS(Sheet1!$E:$E,Sheet1!$C:$C,$A61,Sheet1!$A:$A,N$2)&lt;&gt;0,SUMIFS(Sheet1!$E:$E,Sheet1!$C:$C,$A61,Sheet1!$A:$A,N$2),"")</f>
        <v/>
      </c>
      <c r="O61" s="9" t="str">
        <f>IF(SUMIFS(Sheet1!$E:$E,Sheet1!$C:$C,$A61,Sheet1!$A:$A,O$2)&lt;&gt;0,SUMIFS(Sheet1!$E:$E,Sheet1!$C:$C,$A61,Sheet1!$A:$A,O$2),"")</f>
        <v/>
      </c>
      <c r="P61" s="9" t="str">
        <f>IF(SUMIFS(Sheet1!$E:$E,Sheet1!$C:$C,$A61,Sheet1!$A:$A,P$2)&lt;&gt;0,SUMIFS(Sheet1!$E:$E,Sheet1!$C:$C,$A61,Sheet1!$A:$A,P$2),"")</f>
        <v/>
      </c>
      <c r="Q61" s="9" t="str">
        <f>IF(SUMIFS(Sheet1!$E:$E,Sheet1!$C:$C,$A61,Sheet1!$A:$A,Q$2)&lt;&gt;0,SUMIFS(Sheet1!$E:$E,Sheet1!$C:$C,$A61,Sheet1!$A:$A,Q$2),"")</f>
        <v/>
      </c>
      <c r="R61" s="9" t="str">
        <f>IF(SUMIFS(Sheet1!$E:$E,Sheet1!$C:$C,$A61,Sheet1!$A:$A,R$2)&lt;&gt;0,SUMIFS(Sheet1!$E:$E,Sheet1!$C:$C,$A61,Sheet1!$A:$A,R$2),"")</f>
        <v/>
      </c>
      <c r="S61" s="9" t="str">
        <f>IF(SUMIFS(Sheet1!$E:$E,Sheet1!$C:$C,$A61,Sheet1!$A:$A,S$2)&lt;&gt;0,SUMIFS(Sheet1!$E:$E,Sheet1!$C:$C,$A61,Sheet1!$A:$A,S$2),"")</f>
        <v/>
      </c>
      <c r="T61" s="9" t="str">
        <f>IF(SUMIFS(Sheet1!$E:$E,Sheet1!$C:$C,$A61,Sheet1!$A:$A,T$2)&lt;&gt;0,SUMIFS(Sheet1!$E:$E,Sheet1!$C:$C,$A61,Sheet1!$A:$A,T$2),"")</f>
        <v/>
      </c>
      <c r="U61" s="9" t="str">
        <f>IF(SUMIFS(Sheet1!$E:$E,Sheet1!$C:$C,$A61,Sheet1!$A:$A,U$2)&lt;&gt;0,SUMIFS(Sheet1!$E:$E,Sheet1!$C:$C,$A61,Sheet1!$A:$A,U$2),"")</f>
        <v/>
      </c>
      <c r="V61" s="9" t="str">
        <f>IF(SUMIFS(Sheet1!$E:$E,Sheet1!$C:$C,$A61,Sheet1!$A:$A,V$2)&lt;&gt;0,SUMIFS(Sheet1!$E:$E,Sheet1!$C:$C,$A61,Sheet1!$A:$A,V$2),"")</f>
        <v/>
      </c>
      <c r="W61" s="9" t="str">
        <f>IF(SUMIFS(Sheet1!$E:$E,Sheet1!$C:$C,$A61,Sheet1!$A:$A,W$2)&lt;&gt;0,SUMIFS(Sheet1!$E:$E,Sheet1!$C:$C,$A61,Sheet1!$A:$A,W$2),"")</f>
        <v/>
      </c>
      <c r="X61" s="9" t="str">
        <f>IF(SUMIFS(Sheet1!$E:$E,Sheet1!$C:$C,$A61,Sheet1!$A:$A,X$2)&lt;&gt;0,SUMIFS(Sheet1!$E:$E,Sheet1!$C:$C,$A61,Sheet1!$A:$A,X$2),"")</f>
        <v/>
      </c>
      <c r="Y61" s="9" t="str">
        <f>IF(SUMIFS(Sheet1!$E:$E,Sheet1!$C:$C,$A61,Sheet1!$A:$A,Y$2)&lt;&gt;0,SUMIFS(Sheet1!$E:$E,Sheet1!$C:$C,$A61,Sheet1!$A:$A,Y$2),"")</f>
        <v/>
      </c>
      <c r="Z61" s="9" t="str">
        <f>IF(SUMIFS(Sheet1!$E:$E,Sheet1!$C:$C,$A61,Sheet1!$A:$A,Z$2)&lt;&gt;0,SUMIFS(Sheet1!$E:$E,Sheet1!$C:$C,$A61,Sheet1!$A:$A,Z$2),"")</f>
        <v/>
      </c>
      <c r="AA61" s="9" t="str">
        <f>IF(SUMIFS(Sheet1!$E:$E,Sheet1!$C:$C,$A61,Sheet1!$A:$A,AA$2)&lt;&gt;0,SUMIFS(Sheet1!$E:$E,Sheet1!$C:$C,$A61,Sheet1!$A:$A,AA$2),"")</f>
        <v/>
      </c>
      <c r="AB61" s="9" t="str">
        <f>IF(SUMIFS(Sheet1!$E:$E,Sheet1!$C:$C,$A61,Sheet1!$A:$A,AB$2)&lt;&gt;0,SUMIFS(Sheet1!$E:$E,Sheet1!$C:$C,$A61,Sheet1!$A:$A,AB$2),"")</f>
        <v/>
      </c>
      <c r="AC61" s="9" t="str">
        <f>IF(SUMIFS(Sheet1!$E:$E,Sheet1!$C:$C,$A61,Sheet1!$A:$A,AC$2)&lt;&gt;0,SUMIFS(Sheet1!$E:$E,Sheet1!$C:$C,$A61,Sheet1!$A:$A,AC$2),"")</f>
        <v/>
      </c>
      <c r="AD61" s="9" t="str">
        <f>IF(SUMIFS(Sheet1!$E:$E,Sheet1!$C:$C,$A61,Sheet1!$A:$A,AD$2)&lt;&gt;0,SUMIFS(Sheet1!$E:$E,Sheet1!$C:$C,$A61,Sheet1!$A:$A,AD$2),"")</f>
        <v/>
      </c>
      <c r="AE61" s="9" t="str">
        <f>IF(SUMIFS(Sheet1!$E:$E,Sheet1!$C:$C,$A61,Sheet1!$A:$A,AE$2)&lt;&gt;0,SUMIFS(Sheet1!$E:$E,Sheet1!$C:$C,$A61,Sheet1!$A:$A,AE$2),"")</f>
        <v/>
      </c>
      <c r="AF61" s="9" t="str">
        <f>IF(SUMIFS(Sheet1!$E:$E,Sheet1!$C:$C,$A61,Sheet1!$A:$A,AF$2)&lt;&gt;0,SUMIFS(Sheet1!$E:$E,Sheet1!$C:$C,$A61,Sheet1!$A:$A,AF$2),"")</f>
        <v/>
      </c>
      <c r="AG61" s="9" t="str">
        <f>IF(SUMIFS(Sheet1!$E:$E,Sheet1!$C:$C,$A61,Sheet1!$A:$A,AG$2)&lt;&gt;0,SUMIFS(Sheet1!$E:$E,Sheet1!$C:$C,$A61,Sheet1!$A:$A,AG$2),"")</f>
        <v/>
      </c>
      <c r="AH61" s="47">
        <f>SUM(Table24[[#This Row],[1]:[31]])</f>
        <v>0</v>
      </c>
    </row>
    <row r="62" spans="1:34" ht="12.75" customHeight="1">
      <c r="A62" s="24" t="str">
        <f>DSSP!A61</f>
        <v>A146</v>
      </c>
      <c r="B62" s="25" t="str">
        <f>DSSP!B61</f>
        <v>Cự Giải</v>
      </c>
      <c r="C62" s="9" t="str">
        <f>IF(SUMIFS(Sheet1!$E:$E,Sheet1!$C:$C,$A62,Sheet1!$A:$A,C$2)&lt;&gt;0,SUMIFS(Sheet1!$E:$E,Sheet1!$C:$C,$A62,Sheet1!$A:$A,C$2),"")</f>
        <v/>
      </c>
      <c r="D62" s="9" t="str">
        <f>IF(SUMIFS(Sheet1!$E:$E,Sheet1!$C:$C,$A62,Sheet1!$A:$A,D$2)&lt;&gt;0,SUMIFS(Sheet1!$E:$E,Sheet1!$C:$C,$A62,Sheet1!$A:$A,D$2),"")</f>
        <v/>
      </c>
      <c r="E62" s="9" t="str">
        <f>IF(SUMIFS(Sheet1!$E:$E,Sheet1!$C:$C,$A62,Sheet1!$A:$A,E$2)&lt;&gt;0,SUMIFS(Sheet1!$E:$E,Sheet1!$C:$C,$A62,Sheet1!$A:$A,E$2),"")</f>
        <v/>
      </c>
      <c r="F62" s="9" t="str">
        <f>IF(SUMIFS(Sheet1!$E:$E,Sheet1!$C:$C,$A62,Sheet1!$A:$A,F$2)&lt;&gt;0,SUMIFS(Sheet1!$E:$E,Sheet1!$C:$C,$A62,Sheet1!$A:$A,F$2),"")</f>
        <v/>
      </c>
      <c r="G62" s="9" t="str">
        <f>IF(SUMIFS(Sheet1!$E:$E,Sheet1!$C:$C,$A62,Sheet1!$A:$A,G$2)&lt;&gt;0,SUMIFS(Sheet1!$E:$E,Sheet1!$C:$C,$A62,Sheet1!$A:$A,G$2),"")</f>
        <v/>
      </c>
      <c r="H62" s="9" t="str">
        <f>IF(SUMIFS(Sheet1!$E:$E,Sheet1!$C:$C,$A62,Sheet1!$A:$A,H$2)&lt;&gt;0,SUMIFS(Sheet1!$E:$E,Sheet1!$C:$C,$A62,Sheet1!$A:$A,H$2),"")</f>
        <v/>
      </c>
      <c r="I62" s="9" t="str">
        <f>IF(SUMIFS(Sheet1!$E:$E,Sheet1!$C:$C,$A62,Sheet1!$A:$A,I$2)&lt;&gt;0,SUMIFS(Sheet1!$E:$E,Sheet1!$C:$C,$A62,Sheet1!$A:$A,I$2),"")</f>
        <v/>
      </c>
      <c r="J62" s="9" t="str">
        <f>IF(SUMIFS(Sheet1!$E:$E,Sheet1!$C:$C,$A62,Sheet1!$A:$A,J$2)&lt;&gt;0,SUMIFS(Sheet1!$E:$E,Sheet1!$C:$C,$A62,Sheet1!$A:$A,J$2),"")</f>
        <v/>
      </c>
      <c r="K62" s="9" t="str">
        <f>IF(SUMIFS(Sheet1!$E:$E,Sheet1!$C:$C,$A62,Sheet1!$A:$A,K$2)&lt;&gt;0,SUMIFS(Sheet1!$E:$E,Sheet1!$C:$C,$A62,Sheet1!$A:$A,K$2),"")</f>
        <v/>
      </c>
      <c r="L62" s="9" t="str">
        <f>IF(SUMIFS(Sheet1!$E:$E,Sheet1!$C:$C,$A62,Sheet1!$A:$A,L$2)&lt;&gt;0,SUMIFS(Sheet1!$E:$E,Sheet1!$C:$C,$A62,Sheet1!$A:$A,L$2),"")</f>
        <v/>
      </c>
      <c r="M62" s="9" t="str">
        <f>IF(SUMIFS(Sheet1!$E:$E,Sheet1!$C:$C,$A62,Sheet1!$A:$A,M$2)&lt;&gt;0,SUMIFS(Sheet1!$E:$E,Sheet1!$C:$C,$A62,Sheet1!$A:$A,M$2),"")</f>
        <v/>
      </c>
      <c r="N62" s="9" t="str">
        <f>IF(SUMIFS(Sheet1!$E:$E,Sheet1!$C:$C,$A62,Sheet1!$A:$A,N$2)&lt;&gt;0,SUMIFS(Sheet1!$E:$E,Sheet1!$C:$C,$A62,Sheet1!$A:$A,N$2),"")</f>
        <v/>
      </c>
      <c r="O62" s="9" t="str">
        <f>IF(SUMIFS(Sheet1!$E:$E,Sheet1!$C:$C,$A62,Sheet1!$A:$A,O$2)&lt;&gt;0,SUMIFS(Sheet1!$E:$E,Sheet1!$C:$C,$A62,Sheet1!$A:$A,O$2),"")</f>
        <v/>
      </c>
      <c r="P62" s="9" t="str">
        <f>IF(SUMIFS(Sheet1!$E:$E,Sheet1!$C:$C,$A62,Sheet1!$A:$A,P$2)&lt;&gt;0,SUMIFS(Sheet1!$E:$E,Sheet1!$C:$C,$A62,Sheet1!$A:$A,P$2),"")</f>
        <v/>
      </c>
      <c r="Q62" s="9" t="str">
        <f>IF(SUMIFS(Sheet1!$E:$E,Sheet1!$C:$C,$A62,Sheet1!$A:$A,Q$2)&lt;&gt;0,SUMIFS(Sheet1!$E:$E,Sheet1!$C:$C,$A62,Sheet1!$A:$A,Q$2),"")</f>
        <v/>
      </c>
      <c r="R62" s="9" t="str">
        <f>IF(SUMIFS(Sheet1!$E:$E,Sheet1!$C:$C,$A62,Sheet1!$A:$A,R$2)&lt;&gt;0,SUMIFS(Sheet1!$E:$E,Sheet1!$C:$C,$A62,Sheet1!$A:$A,R$2),"")</f>
        <v/>
      </c>
      <c r="S62" s="9" t="str">
        <f>IF(SUMIFS(Sheet1!$E:$E,Sheet1!$C:$C,$A62,Sheet1!$A:$A,S$2)&lt;&gt;0,SUMIFS(Sheet1!$E:$E,Sheet1!$C:$C,$A62,Sheet1!$A:$A,S$2),"")</f>
        <v/>
      </c>
      <c r="T62" s="9" t="str">
        <f>IF(SUMIFS(Sheet1!$E:$E,Sheet1!$C:$C,$A62,Sheet1!$A:$A,T$2)&lt;&gt;0,SUMIFS(Sheet1!$E:$E,Sheet1!$C:$C,$A62,Sheet1!$A:$A,T$2),"")</f>
        <v/>
      </c>
      <c r="U62" s="9" t="str">
        <f>IF(SUMIFS(Sheet1!$E:$E,Sheet1!$C:$C,$A62,Sheet1!$A:$A,U$2)&lt;&gt;0,SUMIFS(Sheet1!$E:$E,Sheet1!$C:$C,$A62,Sheet1!$A:$A,U$2),"")</f>
        <v/>
      </c>
      <c r="V62" s="9" t="str">
        <f>IF(SUMIFS(Sheet1!$E:$E,Sheet1!$C:$C,$A62,Sheet1!$A:$A,V$2)&lt;&gt;0,SUMIFS(Sheet1!$E:$E,Sheet1!$C:$C,$A62,Sheet1!$A:$A,V$2),"")</f>
        <v/>
      </c>
      <c r="W62" s="9" t="str">
        <f>IF(SUMIFS(Sheet1!$E:$E,Sheet1!$C:$C,$A62,Sheet1!$A:$A,W$2)&lt;&gt;0,SUMIFS(Sheet1!$E:$E,Sheet1!$C:$C,$A62,Sheet1!$A:$A,W$2),"")</f>
        <v/>
      </c>
      <c r="X62" s="9" t="str">
        <f>IF(SUMIFS(Sheet1!$E:$E,Sheet1!$C:$C,$A62,Sheet1!$A:$A,X$2)&lt;&gt;0,SUMIFS(Sheet1!$E:$E,Sheet1!$C:$C,$A62,Sheet1!$A:$A,X$2),"")</f>
        <v/>
      </c>
      <c r="Y62" s="9" t="str">
        <f>IF(SUMIFS(Sheet1!$E:$E,Sheet1!$C:$C,$A62,Sheet1!$A:$A,Y$2)&lt;&gt;0,SUMIFS(Sheet1!$E:$E,Sheet1!$C:$C,$A62,Sheet1!$A:$A,Y$2),"")</f>
        <v/>
      </c>
      <c r="Z62" s="9" t="str">
        <f>IF(SUMIFS(Sheet1!$E:$E,Sheet1!$C:$C,$A62,Sheet1!$A:$A,Z$2)&lt;&gt;0,SUMIFS(Sheet1!$E:$E,Sheet1!$C:$C,$A62,Sheet1!$A:$A,Z$2),"")</f>
        <v/>
      </c>
      <c r="AA62" s="9" t="str">
        <f>IF(SUMIFS(Sheet1!$E:$E,Sheet1!$C:$C,$A62,Sheet1!$A:$A,AA$2)&lt;&gt;0,SUMIFS(Sheet1!$E:$E,Sheet1!$C:$C,$A62,Sheet1!$A:$A,AA$2),"")</f>
        <v/>
      </c>
      <c r="AB62" s="9" t="str">
        <f>IF(SUMIFS(Sheet1!$E:$E,Sheet1!$C:$C,$A62,Sheet1!$A:$A,AB$2)&lt;&gt;0,SUMIFS(Sheet1!$E:$E,Sheet1!$C:$C,$A62,Sheet1!$A:$A,AB$2),"")</f>
        <v/>
      </c>
      <c r="AC62" s="9" t="str">
        <f>IF(SUMIFS(Sheet1!$E:$E,Sheet1!$C:$C,$A62,Sheet1!$A:$A,AC$2)&lt;&gt;0,SUMIFS(Sheet1!$E:$E,Sheet1!$C:$C,$A62,Sheet1!$A:$A,AC$2),"")</f>
        <v/>
      </c>
      <c r="AD62" s="9" t="str">
        <f>IF(SUMIFS(Sheet1!$E:$E,Sheet1!$C:$C,$A62,Sheet1!$A:$A,AD$2)&lt;&gt;0,SUMIFS(Sheet1!$E:$E,Sheet1!$C:$C,$A62,Sheet1!$A:$A,AD$2),"")</f>
        <v/>
      </c>
      <c r="AE62" s="9" t="str">
        <f>IF(SUMIFS(Sheet1!$E:$E,Sheet1!$C:$C,$A62,Sheet1!$A:$A,AE$2)&lt;&gt;0,SUMIFS(Sheet1!$E:$E,Sheet1!$C:$C,$A62,Sheet1!$A:$A,AE$2),"")</f>
        <v/>
      </c>
      <c r="AF62" s="9" t="str">
        <f>IF(SUMIFS(Sheet1!$E:$E,Sheet1!$C:$C,$A62,Sheet1!$A:$A,AF$2)&lt;&gt;0,SUMIFS(Sheet1!$E:$E,Sheet1!$C:$C,$A62,Sheet1!$A:$A,AF$2),"")</f>
        <v/>
      </c>
      <c r="AG62" s="9" t="str">
        <f>IF(SUMIFS(Sheet1!$E:$E,Sheet1!$C:$C,$A62,Sheet1!$A:$A,AG$2)&lt;&gt;0,SUMIFS(Sheet1!$E:$E,Sheet1!$C:$C,$A62,Sheet1!$A:$A,AG$2),"")</f>
        <v/>
      </c>
      <c r="AH62" s="47">
        <f>SUM(Table24[[#This Row],[1]:[31]])</f>
        <v>0</v>
      </c>
    </row>
    <row r="63" spans="1:34" ht="12.75" customHeight="1">
      <c r="A63" s="24" t="str">
        <f>DSSP!A62</f>
        <v>A147</v>
      </c>
      <c r="B63" s="25" t="str">
        <f>DSSP!B62</f>
        <v>Sư Tử</v>
      </c>
      <c r="C63" s="9" t="str">
        <f>IF(SUMIFS(Sheet1!$E:$E,Sheet1!$C:$C,$A63,Sheet1!$A:$A,C$2)&lt;&gt;0,SUMIFS(Sheet1!$E:$E,Sheet1!$C:$C,$A63,Sheet1!$A:$A,C$2),"")</f>
        <v/>
      </c>
      <c r="D63" s="9" t="str">
        <f>IF(SUMIFS(Sheet1!$E:$E,Sheet1!$C:$C,$A63,Sheet1!$A:$A,D$2)&lt;&gt;0,SUMIFS(Sheet1!$E:$E,Sheet1!$C:$C,$A63,Sheet1!$A:$A,D$2),"")</f>
        <v/>
      </c>
      <c r="E63" s="9" t="str">
        <f>IF(SUMIFS(Sheet1!$E:$E,Sheet1!$C:$C,$A63,Sheet1!$A:$A,E$2)&lt;&gt;0,SUMIFS(Sheet1!$E:$E,Sheet1!$C:$C,$A63,Sheet1!$A:$A,E$2),"")</f>
        <v/>
      </c>
      <c r="F63" s="9" t="str">
        <f>IF(SUMIFS(Sheet1!$E:$E,Sheet1!$C:$C,$A63,Sheet1!$A:$A,F$2)&lt;&gt;0,SUMIFS(Sheet1!$E:$E,Sheet1!$C:$C,$A63,Sheet1!$A:$A,F$2),"")</f>
        <v/>
      </c>
      <c r="G63" s="9" t="str">
        <f>IF(SUMIFS(Sheet1!$E:$E,Sheet1!$C:$C,$A63,Sheet1!$A:$A,G$2)&lt;&gt;0,SUMIFS(Sheet1!$E:$E,Sheet1!$C:$C,$A63,Sheet1!$A:$A,G$2),"")</f>
        <v/>
      </c>
      <c r="H63" s="9" t="str">
        <f>IF(SUMIFS(Sheet1!$E:$E,Sheet1!$C:$C,$A63,Sheet1!$A:$A,H$2)&lt;&gt;0,SUMIFS(Sheet1!$E:$E,Sheet1!$C:$C,$A63,Sheet1!$A:$A,H$2),"")</f>
        <v/>
      </c>
      <c r="I63" s="9" t="str">
        <f>IF(SUMIFS(Sheet1!$E:$E,Sheet1!$C:$C,$A63,Sheet1!$A:$A,I$2)&lt;&gt;0,SUMIFS(Sheet1!$E:$E,Sheet1!$C:$C,$A63,Sheet1!$A:$A,I$2),"")</f>
        <v/>
      </c>
      <c r="J63" s="9" t="str">
        <f>IF(SUMIFS(Sheet1!$E:$E,Sheet1!$C:$C,$A63,Sheet1!$A:$A,J$2)&lt;&gt;0,SUMIFS(Sheet1!$E:$E,Sheet1!$C:$C,$A63,Sheet1!$A:$A,J$2),"")</f>
        <v/>
      </c>
      <c r="K63" s="9" t="str">
        <f>IF(SUMIFS(Sheet1!$E:$E,Sheet1!$C:$C,$A63,Sheet1!$A:$A,K$2)&lt;&gt;0,SUMIFS(Sheet1!$E:$E,Sheet1!$C:$C,$A63,Sheet1!$A:$A,K$2),"")</f>
        <v/>
      </c>
      <c r="L63" s="9" t="str">
        <f>IF(SUMIFS(Sheet1!$E:$E,Sheet1!$C:$C,$A63,Sheet1!$A:$A,L$2)&lt;&gt;0,SUMIFS(Sheet1!$E:$E,Sheet1!$C:$C,$A63,Sheet1!$A:$A,L$2),"")</f>
        <v/>
      </c>
      <c r="M63" s="9" t="str">
        <f>IF(SUMIFS(Sheet1!$E:$E,Sheet1!$C:$C,$A63,Sheet1!$A:$A,M$2)&lt;&gt;0,SUMIFS(Sheet1!$E:$E,Sheet1!$C:$C,$A63,Sheet1!$A:$A,M$2),"")</f>
        <v/>
      </c>
      <c r="N63" s="9" t="str">
        <f>IF(SUMIFS(Sheet1!$E:$E,Sheet1!$C:$C,$A63,Sheet1!$A:$A,N$2)&lt;&gt;0,SUMIFS(Sheet1!$E:$E,Sheet1!$C:$C,$A63,Sheet1!$A:$A,N$2),"")</f>
        <v/>
      </c>
      <c r="O63" s="9" t="str">
        <f>IF(SUMIFS(Sheet1!$E:$E,Sheet1!$C:$C,$A63,Sheet1!$A:$A,O$2)&lt;&gt;0,SUMIFS(Sheet1!$E:$E,Sheet1!$C:$C,$A63,Sheet1!$A:$A,O$2),"")</f>
        <v/>
      </c>
      <c r="P63" s="9" t="str">
        <f>IF(SUMIFS(Sheet1!$E:$E,Sheet1!$C:$C,$A63,Sheet1!$A:$A,P$2)&lt;&gt;0,SUMIFS(Sheet1!$E:$E,Sheet1!$C:$C,$A63,Sheet1!$A:$A,P$2),"")</f>
        <v/>
      </c>
      <c r="Q63" s="9" t="str">
        <f>IF(SUMIFS(Sheet1!$E:$E,Sheet1!$C:$C,$A63,Sheet1!$A:$A,Q$2)&lt;&gt;0,SUMIFS(Sheet1!$E:$E,Sheet1!$C:$C,$A63,Sheet1!$A:$A,Q$2),"")</f>
        <v/>
      </c>
      <c r="R63" s="9" t="str">
        <f>IF(SUMIFS(Sheet1!$E:$E,Sheet1!$C:$C,$A63,Sheet1!$A:$A,R$2)&lt;&gt;0,SUMIFS(Sheet1!$E:$E,Sheet1!$C:$C,$A63,Sheet1!$A:$A,R$2),"")</f>
        <v/>
      </c>
      <c r="S63" s="9" t="str">
        <f>IF(SUMIFS(Sheet1!$E:$E,Sheet1!$C:$C,$A63,Sheet1!$A:$A,S$2)&lt;&gt;0,SUMIFS(Sheet1!$E:$E,Sheet1!$C:$C,$A63,Sheet1!$A:$A,S$2),"")</f>
        <v/>
      </c>
      <c r="T63" s="9" t="str">
        <f>IF(SUMIFS(Sheet1!$E:$E,Sheet1!$C:$C,$A63,Sheet1!$A:$A,T$2)&lt;&gt;0,SUMIFS(Sheet1!$E:$E,Sheet1!$C:$C,$A63,Sheet1!$A:$A,T$2),"")</f>
        <v/>
      </c>
      <c r="U63" s="9" t="str">
        <f>IF(SUMIFS(Sheet1!$E:$E,Sheet1!$C:$C,$A63,Sheet1!$A:$A,U$2)&lt;&gt;0,SUMIFS(Sheet1!$E:$E,Sheet1!$C:$C,$A63,Sheet1!$A:$A,U$2),"")</f>
        <v/>
      </c>
      <c r="V63" s="9" t="str">
        <f>IF(SUMIFS(Sheet1!$E:$E,Sheet1!$C:$C,$A63,Sheet1!$A:$A,V$2)&lt;&gt;0,SUMIFS(Sheet1!$E:$E,Sheet1!$C:$C,$A63,Sheet1!$A:$A,V$2),"")</f>
        <v/>
      </c>
      <c r="W63" s="9" t="str">
        <f>IF(SUMIFS(Sheet1!$E:$E,Sheet1!$C:$C,$A63,Sheet1!$A:$A,W$2)&lt;&gt;0,SUMIFS(Sheet1!$E:$E,Sheet1!$C:$C,$A63,Sheet1!$A:$A,W$2),"")</f>
        <v/>
      </c>
      <c r="X63" s="9" t="str">
        <f>IF(SUMIFS(Sheet1!$E:$E,Sheet1!$C:$C,$A63,Sheet1!$A:$A,X$2)&lt;&gt;0,SUMIFS(Sheet1!$E:$E,Sheet1!$C:$C,$A63,Sheet1!$A:$A,X$2),"")</f>
        <v/>
      </c>
      <c r="Y63" s="9" t="str">
        <f>IF(SUMIFS(Sheet1!$E:$E,Sheet1!$C:$C,$A63,Sheet1!$A:$A,Y$2)&lt;&gt;0,SUMIFS(Sheet1!$E:$E,Sheet1!$C:$C,$A63,Sheet1!$A:$A,Y$2),"")</f>
        <v/>
      </c>
      <c r="Z63" s="9" t="str">
        <f>IF(SUMIFS(Sheet1!$E:$E,Sheet1!$C:$C,$A63,Sheet1!$A:$A,Z$2)&lt;&gt;0,SUMIFS(Sheet1!$E:$E,Sheet1!$C:$C,$A63,Sheet1!$A:$A,Z$2),"")</f>
        <v/>
      </c>
      <c r="AA63" s="9" t="str">
        <f>IF(SUMIFS(Sheet1!$E:$E,Sheet1!$C:$C,$A63,Sheet1!$A:$A,AA$2)&lt;&gt;0,SUMIFS(Sheet1!$E:$E,Sheet1!$C:$C,$A63,Sheet1!$A:$A,AA$2),"")</f>
        <v/>
      </c>
      <c r="AB63" s="9" t="str">
        <f>IF(SUMIFS(Sheet1!$E:$E,Sheet1!$C:$C,$A63,Sheet1!$A:$A,AB$2)&lt;&gt;0,SUMIFS(Sheet1!$E:$E,Sheet1!$C:$C,$A63,Sheet1!$A:$A,AB$2),"")</f>
        <v/>
      </c>
      <c r="AC63" s="9" t="str">
        <f>IF(SUMIFS(Sheet1!$E:$E,Sheet1!$C:$C,$A63,Sheet1!$A:$A,AC$2)&lt;&gt;0,SUMIFS(Sheet1!$E:$E,Sheet1!$C:$C,$A63,Sheet1!$A:$A,AC$2),"")</f>
        <v/>
      </c>
      <c r="AD63" s="9" t="str">
        <f>IF(SUMIFS(Sheet1!$E:$E,Sheet1!$C:$C,$A63,Sheet1!$A:$A,AD$2)&lt;&gt;0,SUMIFS(Sheet1!$E:$E,Sheet1!$C:$C,$A63,Sheet1!$A:$A,AD$2),"")</f>
        <v/>
      </c>
      <c r="AE63" s="9" t="str">
        <f>IF(SUMIFS(Sheet1!$E:$E,Sheet1!$C:$C,$A63,Sheet1!$A:$A,AE$2)&lt;&gt;0,SUMIFS(Sheet1!$E:$E,Sheet1!$C:$C,$A63,Sheet1!$A:$A,AE$2),"")</f>
        <v/>
      </c>
      <c r="AF63" s="9" t="str">
        <f>IF(SUMIFS(Sheet1!$E:$E,Sheet1!$C:$C,$A63,Sheet1!$A:$A,AF$2)&lt;&gt;0,SUMIFS(Sheet1!$E:$E,Sheet1!$C:$C,$A63,Sheet1!$A:$A,AF$2),"")</f>
        <v/>
      </c>
      <c r="AG63" s="9" t="str">
        <f>IF(SUMIFS(Sheet1!$E:$E,Sheet1!$C:$C,$A63,Sheet1!$A:$A,AG$2)&lt;&gt;0,SUMIFS(Sheet1!$E:$E,Sheet1!$C:$C,$A63,Sheet1!$A:$A,AG$2),"")</f>
        <v/>
      </c>
      <c r="AH63" s="47">
        <f>SUM(Table24[[#This Row],[1]:[31]])</f>
        <v>0</v>
      </c>
    </row>
    <row r="64" spans="1:34" ht="12.75" customHeight="1">
      <c r="A64" s="24" t="str">
        <f>DSSP!A63</f>
        <v>A148</v>
      </c>
      <c r="B64" s="25" t="str">
        <f>DSSP!B63</f>
        <v xml:space="preserve">Xử Nữ </v>
      </c>
      <c r="C64" s="9" t="str">
        <f>IF(SUMIFS(Sheet1!$E:$E,Sheet1!$C:$C,$A64,Sheet1!$A:$A,C$2)&lt;&gt;0,SUMIFS(Sheet1!$E:$E,Sheet1!$C:$C,$A64,Sheet1!$A:$A,C$2),"")</f>
        <v/>
      </c>
      <c r="D64" s="9" t="str">
        <f>IF(SUMIFS(Sheet1!$E:$E,Sheet1!$C:$C,$A64,Sheet1!$A:$A,D$2)&lt;&gt;0,SUMIFS(Sheet1!$E:$E,Sheet1!$C:$C,$A64,Sheet1!$A:$A,D$2),"")</f>
        <v/>
      </c>
      <c r="E64" s="9" t="str">
        <f>IF(SUMIFS(Sheet1!$E:$E,Sheet1!$C:$C,$A64,Sheet1!$A:$A,E$2)&lt;&gt;0,SUMIFS(Sheet1!$E:$E,Sheet1!$C:$C,$A64,Sheet1!$A:$A,E$2),"")</f>
        <v/>
      </c>
      <c r="F64" s="9" t="str">
        <f>IF(SUMIFS(Sheet1!$E:$E,Sheet1!$C:$C,$A64,Sheet1!$A:$A,F$2)&lt;&gt;0,SUMIFS(Sheet1!$E:$E,Sheet1!$C:$C,$A64,Sheet1!$A:$A,F$2),"")</f>
        <v/>
      </c>
      <c r="G64" s="9" t="str">
        <f>IF(SUMIFS(Sheet1!$E:$E,Sheet1!$C:$C,$A64,Sheet1!$A:$A,G$2)&lt;&gt;0,SUMIFS(Sheet1!$E:$E,Sheet1!$C:$C,$A64,Sheet1!$A:$A,G$2),"")</f>
        <v/>
      </c>
      <c r="H64" s="9" t="str">
        <f>IF(SUMIFS(Sheet1!$E:$E,Sheet1!$C:$C,$A64,Sheet1!$A:$A,H$2)&lt;&gt;0,SUMIFS(Sheet1!$E:$E,Sheet1!$C:$C,$A64,Sheet1!$A:$A,H$2),"")</f>
        <v/>
      </c>
      <c r="I64" s="9" t="str">
        <f>IF(SUMIFS(Sheet1!$E:$E,Sheet1!$C:$C,$A64,Sheet1!$A:$A,I$2)&lt;&gt;0,SUMIFS(Sheet1!$E:$E,Sheet1!$C:$C,$A64,Sheet1!$A:$A,I$2),"")</f>
        <v/>
      </c>
      <c r="J64" s="9" t="str">
        <f>IF(SUMIFS(Sheet1!$E:$E,Sheet1!$C:$C,$A64,Sheet1!$A:$A,J$2)&lt;&gt;0,SUMIFS(Sheet1!$E:$E,Sheet1!$C:$C,$A64,Sheet1!$A:$A,J$2),"")</f>
        <v/>
      </c>
      <c r="K64" s="9" t="str">
        <f>IF(SUMIFS(Sheet1!$E:$E,Sheet1!$C:$C,$A64,Sheet1!$A:$A,K$2)&lt;&gt;0,SUMIFS(Sheet1!$E:$E,Sheet1!$C:$C,$A64,Sheet1!$A:$A,K$2),"")</f>
        <v/>
      </c>
      <c r="L64" s="9" t="str">
        <f>IF(SUMIFS(Sheet1!$E:$E,Sheet1!$C:$C,$A64,Sheet1!$A:$A,L$2)&lt;&gt;0,SUMIFS(Sheet1!$E:$E,Sheet1!$C:$C,$A64,Sheet1!$A:$A,L$2),"")</f>
        <v/>
      </c>
      <c r="M64" s="9" t="str">
        <f>IF(SUMIFS(Sheet1!$E:$E,Sheet1!$C:$C,$A64,Sheet1!$A:$A,M$2)&lt;&gt;0,SUMIFS(Sheet1!$E:$E,Sheet1!$C:$C,$A64,Sheet1!$A:$A,M$2),"")</f>
        <v/>
      </c>
      <c r="N64" s="9" t="str">
        <f>IF(SUMIFS(Sheet1!$E:$E,Sheet1!$C:$C,$A64,Sheet1!$A:$A,N$2)&lt;&gt;0,SUMIFS(Sheet1!$E:$E,Sheet1!$C:$C,$A64,Sheet1!$A:$A,N$2),"")</f>
        <v/>
      </c>
      <c r="O64" s="9" t="str">
        <f>IF(SUMIFS(Sheet1!$E:$E,Sheet1!$C:$C,$A64,Sheet1!$A:$A,O$2)&lt;&gt;0,SUMIFS(Sheet1!$E:$E,Sheet1!$C:$C,$A64,Sheet1!$A:$A,O$2),"")</f>
        <v/>
      </c>
      <c r="P64" s="9" t="str">
        <f>IF(SUMIFS(Sheet1!$E:$E,Sheet1!$C:$C,$A64,Sheet1!$A:$A,P$2)&lt;&gt;0,SUMIFS(Sheet1!$E:$E,Sheet1!$C:$C,$A64,Sheet1!$A:$A,P$2),"")</f>
        <v/>
      </c>
      <c r="Q64" s="9" t="str">
        <f>IF(SUMIFS(Sheet1!$E:$E,Sheet1!$C:$C,$A64,Sheet1!$A:$A,Q$2)&lt;&gt;0,SUMIFS(Sheet1!$E:$E,Sheet1!$C:$C,$A64,Sheet1!$A:$A,Q$2),"")</f>
        <v/>
      </c>
      <c r="R64" s="9" t="str">
        <f>IF(SUMIFS(Sheet1!$E:$E,Sheet1!$C:$C,$A64,Sheet1!$A:$A,R$2)&lt;&gt;0,SUMIFS(Sheet1!$E:$E,Sheet1!$C:$C,$A64,Sheet1!$A:$A,R$2),"")</f>
        <v/>
      </c>
      <c r="S64" s="9" t="str">
        <f>IF(SUMIFS(Sheet1!$E:$E,Sheet1!$C:$C,$A64,Sheet1!$A:$A,S$2)&lt;&gt;0,SUMIFS(Sheet1!$E:$E,Sheet1!$C:$C,$A64,Sheet1!$A:$A,S$2),"")</f>
        <v/>
      </c>
      <c r="T64" s="9" t="str">
        <f>IF(SUMIFS(Sheet1!$E:$E,Sheet1!$C:$C,$A64,Sheet1!$A:$A,T$2)&lt;&gt;0,SUMIFS(Sheet1!$E:$E,Sheet1!$C:$C,$A64,Sheet1!$A:$A,T$2),"")</f>
        <v/>
      </c>
      <c r="U64" s="9" t="str">
        <f>IF(SUMIFS(Sheet1!$E:$E,Sheet1!$C:$C,$A64,Sheet1!$A:$A,U$2)&lt;&gt;0,SUMIFS(Sheet1!$E:$E,Sheet1!$C:$C,$A64,Sheet1!$A:$A,U$2),"")</f>
        <v/>
      </c>
      <c r="V64" s="9" t="str">
        <f>IF(SUMIFS(Sheet1!$E:$E,Sheet1!$C:$C,$A64,Sheet1!$A:$A,V$2)&lt;&gt;0,SUMIFS(Sheet1!$E:$E,Sheet1!$C:$C,$A64,Sheet1!$A:$A,V$2),"")</f>
        <v/>
      </c>
      <c r="W64" s="9" t="str">
        <f>IF(SUMIFS(Sheet1!$E:$E,Sheet1!$C:$C,$A64,Sheet1!$A:$A,W$2)&lt;&gt;0,SUMIFS(Sheet1!$E:$E,Sheet1!$C:$C,$A64,Sheet1!$A:$A,W$2),"")</f>
        <v/>
      </c>
      <c r="X64" s="9" t="str">
        <f>IF(SUMIFS(Sheet1!$E:$E,Sheet1!$C:$C,$A64,Sheet1!$A:$A,X$2)&lt;&gt;0,SUMIFS(Sheet1!$E:$E,Sheet1!$C:$C,$A64,Sheet1!$A:$A,X$2),"")</f>
        <v/>
      </c>
      <c r="Y64" s="9" t="str">
        <f>IF(SUMIFS(Sheet1!$E:$E,Sheet1!$C:$C,$A64,Sheet1!$A:$A,Y$2)&lt;&gt;0,SUMIFS(Sheet1!$E:$E,Sheet1!$C:$C,$A64,Sheet1!$A:$A,Y$2),"")</f>
        <v/>
      </c>
      <c r="Z64" s="9" t="str">
        <f>IF(SUMIFS(Sheet1!$E:$E,Sheet1!$C:$C,$A64,Sheet1!$A:$A,Z$2)&lt;&gt;0,SUMIFS(Sheet1!$E:$E,Sheet1!$C:$C,$A64,Sheet1!$A:$A,Z$2),"")</f>
        <v/>
      </c>
      <c r="AA64" s="9" t="str">
        <f>IF(SUMIFS(Sheet1!$E:$E,Sheet1!$C:$C,$A64,Sheet1!$A:$A,AA$2)&lt;&gt;0,SUMIFS(Sheet1!$E:$E,Sheet1!$C:$C,$A64,Sheet1!$A:$A,AA$2),"")</f>
        <v/>
      </c>
      <c r="AB64" s="9" t="str">
        <f>IF(SUMIFS(Sheet1!$E:$E,Sheet1!$C:$C,$A64,Sheet1!$A:$A,AB$2)&lt;&gt;0,SUMIFS(Sheet1!$E:$E,Sheet1!$C:$C,$A64,Sheet1!$A:$A,AB$2),"")</f>
        <v/>
      </c>
      <c r="AC64" s="9" t="str">
        <f>IF(SUMIFS(Sheet1!$E:$E,Sheet1!$C:$C,$A64,Sheet1!$A:$A,AC$2)&lt;&gt;0,SUMIFS(Sheet1!$E:$E,Sheet1!$C:$C,$A64,Sheet1!$A:$A,AC$2),"")</f>
        <v/>
      </c>
      <c r="AD64" s="9" t="str">
        <f>IF(SUMIFS(Sheet1!$E:$E,Sheet1!$C:$C,$A64,Sheet1!$A:$A,AD$2)&lt;&gt;0,SUMIFS(Sheet1!$E:$E,Sheet1!$C:$C,$A64,Sheet1!$A:$A,AD$2),"")</f>
        <v/>
      </c>
      <c r="AE64" s="9" t="str">
        <f>IF(SUMIFS(Sheet1!$E:$E,Sheet1!$C:$C,$A64,Sheet1!$A:$A,AE$2)&lt;&gt;0,SUMIFS(Sheet1!$E:$E,Sheet1!$C:$C,$A64,Sheet1!$A:$A,AE$2),"")</f>
        <v/>
      </c>
      <c r="AF64" s="9" t="str">
        <f>IF(SUMIFS(Sheet1!$E:$E,Sheet1!$C:$C,$A64,Sheet1!$A:$A,AF$2)&lt;&gt;0,SUMIFS(Sheet1!$E:$E,Sheet1!$C:$C,$A64,Sheet1!$A:$A,AF$2),"")</f>
        <v/>
      </c>
      <c r="AG64" s="9" t="str">
        <f>IF(SUMIFS(Sheet1!$E:$E,Sheet1!$C:$C,$A64,Sheet1!$A:$A,AG$2)&lt;&gt;0,SUMIFS(Sheet1!$E:$E,Sheet1!$C:$C,$A64,Sheet1!$A:$A,AG$2),"")</f>
        <v/>
      </c>
      <c r="AH64" s="47">
        <f>SUM(Table24[[#This Row],[1]:[31]])</f>
        <v>0</v>
      </c>
    </row>
    <row r="65" spans="1:34" ht="12.75" customHeight="1">
      <c r="A65" s="24" t="str">
        <f>DSSP!A64</f>
        <v>A149</v>
      </c>
      <c r="B65" s="25" t="str">
        <f>DSSP!B64</f>
        <v>Thiên Bình</v>
      </c>
      <c r="C65" s="9" t="str">
        <f>IF(SUMIFS(Sheet1!$E:$E,Sheet1!$C:$C,$A65,Sheet1!$A:$A,C$2)&lt;&gt;0,SUMIFS(Sheet1!$E:$E,Sheet1!$C:$C,$A65,Sheet1!$A:$A,C$2),"")</f>
        <v/>
      </c>
      <c r="D65" s="9" t="str">
        <f>IF(SUMIFS(Sheet1!$E:$E,Sheet1!$C:$C,$A65,Sheet1!$A:$A,D$2)&lt;&gt;0,SUMIFS(Sheet1!$E:$E,Sheet1!$C:$C,$A65,Sheet1!$A:$A,D$2),"")</f>
        <v/>
      </c>
      <c r="E65" s="9" t="str">
        <f>IF(SUMIFS(Sheet1!$E:$E,Sheet1!$C:$C,$A65,Sheet1!$A:$A,E$2)&lt;&gt;0,SUMIFS(Sheet1!$E:$E,Sheet1!$C:$C,$A65,Sheet1!$A:$A,E$2),"")</f>
        <v/>
      </c>
      <c r="F65" s="9" t="str">
        <f>IF(SUMIFS(Sheet1!$E:$E,Sheet1!$C:$C,$A65,Sheet1!$A:$A,F$2)&lt;&gt;0,SUMIFS(Sheet1!$E:$E,Sheet1!$C:$C,$A65,Sheet1!$A:$A,F$2),"")</f>
        <v/>
      </c>
      <c r="G65" s="9" t="str">
        <f>IF(SUMIFS(Sheet1!$E:$E,Sheet1!$C:$C,$A65,Sheet1!$A:$A,G$2)&lt;&gt;0,SUMIFS(Sheet1!$E:$E,Sheet1!$C:$C,$A65,Sheet1!$A:$A,G$2),"")</f>
        <v/>
      </c>
      <c r="H65" s="9" t="str">
        <f>IF(SUMIFS(Sheet1!$E:$E,Sheet1!$C:$C,$A65,Sheet1!$A:$A,H$2)&lt;&gt;0,SUMIFS(Sheet1!$E:$E,Sheet1!$C:$C,$A65,Sheet1!$A:$A,H$2),"")</f>
        <v/>
      </c>
      <c r="I65" s="9" t="str">
        <f>IF(SUMIFS(Sheet1!$E:$E,Sheet1!$C:$C,$A65,Sheet1!$A:$A,I$2)&lt;&gt;0,SUMIFS(Sheet1!$E:$E,Sheet1!$C:$C,$A65,Sheet1!$A:$A,I$2),"")</f>
        <v/>
      </c>
      <c r="J65" s="9" t="str">
        <f>IF(SUMIFS(Sheet1!$E:$E,Sheet1!$C:$C,$A65,Sheet1!$A:$A,J$2)&lt;&gt;0,SUMIFS(Sheet1!$E:$E,Sheet1!$C:$C,$A65,Sheet1!$A:$A,J$2),"")</f>
        <v/>
      </c>
      <c r="K65" s="9" t="str">
        <f>IF(SUMIFS(Sheet1!$E:$E,Sheet1!$C:$C,$A65,Sheet1!$A:$A,K$2)&lt;&gt;0,SUMIFS(Sheet1!$E:$E,Sheet1!$C:$C,$A65,Sheet1!$A:$A,K$2),"")</f>
        <v/>
      </c>
      <c r="L65" s="9" t="str">
        <f>IF(SUMIFS(Sheet1!$E:$E,Sheet1!$C:$C,$A65,Sheet1!$A:$A,L$2)&lt;&gt;0,SUMIFS(Sheet1!$E:$E,Sheet1!$C:$C,$A65,Sheet1!$A:$A,L$2),"")</f>
        <v/>
      </c>
      <c r="M65" s="9" t="str">
        <f>IF(SUMIFS(Sheet1!$E:$E,Sheet1!$C:$C,$A65,Sheet1!$A:$A,M$2)&lt;&gt;0,SUMIFS(Sheet1!$E:$E,Sheet1!$C:$C,$A65,Sheet1!$A:$A,M$2),"")</f>
        <v/>
      </c>
      <c r="N65" s="9" t="str">
        <f>IF(SUMIFS(Sheet1!$E:$E,Sheet1!$C:$C,$A65,Sheet1!$A:$A,N$2)&lt;&gt;0,SUMIFS(Sheet1!$E:$E,Sheet1!$C:$C,$A65,Sheet1!$A:$A,N$2),"")</f>
        <v/>
      </c>
      <c r="O65" s="9" t="str">
        <f>IF(SUMIFS(Sheet1!$E:$E,Sheet1!$C:$C,$A65,Sheet1!$A:$A,O$2)&lt;&gt;0,SUMIFS(Sheet1!$E:$E,Sheet1!$C:$C,$A65,Sheet1!$A:$A,O$2),"")</f>
        <v/>
      </c>
      <c r="P65" s="9" t="str">
        <f>IF(SUMIFS(Sheet1!$E:$E,Sheet1!$C:$C,$A65,Sheet1!$A:$A,P$2)&lt;&gt;0,SUMIFS(Sheet1!$E:$E,Sheet1!$C:$C,$A65,Sheet1!$A:$A,P$2),"")</f>
        <v/>
      </c>
      <c r="Q65" s="9" t="str">
        <f>IF(SUMIFS(Sheet1!$E:$E,Sheet1!$C:$C,$A65,Sheet1!$A:$A,Q$2)&lt;&gt;0,SUMIFS(Sheet1!$E:$E,Sheet1!$C:$C,$A65,Sheet1!$A:$A,Q$2),"")</f>
        <v/>
      </c>
      <c r="R65" s="9" t="str">
        <f>IF(SUMIFS(Sheet1!$E:$E,Sheet1!$C:$C,$A65,Sheet1!$A:$A,R$2)&lt;&gt;0,SUMIFS(Sheet1!$E:$E,Sheet1!$C:$C,$A65,Sheet1!$A:$A,R$2),"")</f>
        <v/>
      </c>
      <c r="S65" s="9" t="str">
        <f>IF(SUMIFS(Sheet1!$E:$E,Sheet1!$C:$C,$A65,Sheet1!$A:$A,S$2)&lt;&gt;0,SUMIFS(Sheet1!$E:$E,Sheet1!$C:$C,$A65,Sheet1!$A:$A,S$2),"")</f>
        <v/>
      </c>
      <c r="T65" s="9" t="str">
        <f>IF(SUMIFS(Sheet1!$E:$E,Sheet1!$C:$C,$A65,Sheet1!$A:$A,T$2)&lt;&gt;0,SUMIFS(Sheet1!$E:$E,Sheet1!$C:$C,$A65,Sheet1!$A:$A,T$2),"")</f>
        <v/>
      </c>
      <c r="U65" s="9" t="str">
        <f>IF(SUMIFS(Sheet1!$E:$E,Sheet1!$C:$C,$A65,Sheet1!$A:$A,U$2)&lt;&gt;0,SUMIFS(Sheet1!$E:$E,Sheet1!$C:$C,$A65,Sheet1!$A:$A,U$2),"")</f>
        <v/>
      </c>
      <c r="V65" s="9" t="str">
        <f>IF(SUMIFS(Sheet1!$E:$E,Sheet1!$C:$C,$A65,Sheet1!$A:$A,V$2)&lt;&gt;0,SUMIFS(Sheet1!$E:$E,Sheet1!$C:$C,$A65,Sheet1!$A:$A,V$2),"")</f>
        <v/>
      </c>
      <c r="W65" s="9" t="str">
        <f>IF(SUMIFS(Sheet1!$E:$E,Sheet1!$C:$C,$A65,Sheet1!$A:$A,W$2)&lt;&gt;0,SUMIFS(Sheet1!$E:$E,Sheet1!$C:$C,$A65,Sheet1!$A:$A,W$2),"")</f>
        <v/>
      </c>
      <c r="X65" s="9" t="str">
        <f>IF(SUMIFS(Sheet1!$E:$E,Sheet1!$C:$C,$A65,Sheet1!$A:$A,X$2)&lt;&gt;0,SUMIFS(Sheet1!$E:$E,Sheet1!$C:$C,$A65,Sheet1!$A:$A,X$2),"")</f>
        <v/>
      </c>
      <c r="Y65" s="9" t="str">
        <f>IF(SUMIFS(Sheet1!$E:$E,Sheet1!$C:$C,$A65,Sheet1!$A:$A,Y$2)&lt;&gt;0,SUMIFS(Sheet1!$E:$E,Sheet1!$C:$C,$A65,Sheet1!$A:$A,Y$2),"")</f>
        <v/>
      </c>
      <c r="Z65" s="9" t="str">
        <f>IF(SUMIFS(Sheet1!$E:$E,Sheet1!$C:$C,$A65,Sheet1!$A:$A,Z$2)&lt;&gt;0,SUMIFS(Sheet1!$E:$E,Sheet1!$C:$C,$A65,Sheet1!$A:$A,Z$2),"")</f>
        <v/>
      </c>
      <c r="AA65" s="9" t="str">
        <f>IF(SUMIFS(Sheet1!$E:$E,Sheet1!$C:$C,$A65,Sheet1!$A:$A,AA$2)&lt;&gt;0,SUMIFS(Sheet1!$E:$E,Sheet1!$C:$C,$A65,Sheet1!$A:$A,AA$2),"")</f>
        <v/>
      </c>
      <c r="AB65" s="9" t="str">
        <f>IF(SUMIFS(Sheet1!$E:$E,Sheet1!$C:$C,$A65,Sheet1!$A:$A,AB$2)&lt;&gt;0,SUMIFS(Sheet1!$E:$E,Sheet1!$C:$C,$A65,Sheet1!$A:$A,AB$2),"")</f>
        <v/>
      </c>
      <c r="AC65" s="9" t="str">
        <f>IF(SUMIFS(Sheet1!$E:$E,Sheet1!$C:$C,$A65,Sheet1!$A:$A,AC$2)&lt;&gt;0,SUMIFS(Sheet1!$E:$E,Sheet1!$C:$C,$A65,Sheet1!$A:$A,AC$2),"")</f>
        <v/>
      </c>
      <c r="AD65" s="9" t="str">
        <f>IF(SUMIFS(Sheet1!$E:$E,Sheet1!$C:$C,$A65,Sheet1!$A:$A,AD$2)&lt;&gt;0,SUMIFS(Sheet1!$E:$E,Sheet1!$C:$C,$A65,Sheet1!$A:$A,AD$2),"")</f>
        <v/>
      </c>
      <c r="AE65" s="9" t="str">
        <f>IF(SUMIFS(Sheet1!$E:$E,Sheet1!$C:$C,$A65,Sheet1!$A:$A,AE$2)&lt;&gt;0,SUMIFS(Sheet1!$E:$E,Sheet1!$C:$C,$A65,Sheet1!$A:$A,AE$2),"")</f>
        <v/>
      </c>
      <c r="AF65" s="9" t="str">
        <f>IF(SUMIFS(Sheet1!$E:$E,Sheet1!$C:$C,$A65,Sheet1!$A:$A,AF$2)&lt;&gt;0,SUMIFS(Sheet1!$E:$E,Sheet1!$C:$C,$A65,Sheet1!$A:$A,AF$2),"")</f>
        <v/>
      </c>
      <c r="AG65" s="9" t="str">
        <f>IF(SUMIFS(Sheet1!$E:$E,Sheet1!$C:$C,$A65,Sheet1!$A:$A,AG$2)&lt;&gt;0,SUMIFS(Sheet1!$E:$E,Sheet1!$C:$C,$A65,Sheet1!$A:$A,AG$2),"")</f>
        <v/>
      </c>
      <c r="AH65" s="47">
        <f>SUM(Table24[[#This Row],[1]:[31]])</f>
        <v>0</v>
      </c>
    </row>
    <row r="66" spans="1:34" ht="12.75" customHeight="1">
      <c r="A66" s="24" t="str">
        <f>DSSP!A65</f>
        <v>A150</v>
      </c>
      <c r="B66" s="25" t="str">
        <f>DSSP!B65</f>
        <v>Bọ Cạp</v>
      </c>
      <c r="C66" s="9">
        <f>IF(SUMIFS(Sheet1!$E:$E,Sheet1!$C:$C,$A66,Sheet1!$A:$A,C$2)&lt;&gt;0,SUMIFS(Sheet1!$E:$E,Sheet1!$C:$C,$A66,Sheet1!$A:$A,C$2),"")</f>
        <v>1</v>
      </c>
      <c r="D66" s="9" t="str">
        <f>IF(SUMIFS(Sheet1!$E:$E,Sheet1!$C:$C,$A66,Sheet1!$A:$A,D$2)&lt;&gt;0,SUMIFS(Sheet1!$E:$E,Sheet1!$C:$C,$A66,Sheet1!$A:$A,D$2),"")</f>
        <v/>
      </c>
      <c r="E66" s="9" t="str">
        <f>IF(SUMIFS(Sheet1!$E:$E,Sheet1!$C:$C,$A66,Sheet1!$A:$A,E$2)&lt;&gt;0,SUMIFS(Sheet1!$E:$E,Sheet1!$C:$C,$A66,Sheet1!$A:$A,E$2),"")</f>
        <v/>
      </c>
      <c r="F66" s="9" t="str">
        <f>IF(SUMIFS(Sheet1!$E:$E,Sheet1!$C:$C,$A66,Sheet1!$A:$A,F$2)&lt;&gt;0,SUMIFS(Sheet1!$E:$E,Sheet1!$C:$C,$A66,Sheet1!$A:$A,F$2),"")</f>
        <v/>
      </c>
      <c r="G66" s="9" t="str">
        <f>IF(SUMIFS(Sheet1!$E:$E,Sheet1!$C:$C,$A66,Sheet1!$A:$A,G$2)&lt;&gt;0,SUMIFS(Sheet1!$E:$E,Sheet1!$C:$C,$A66,Sheet1!$A:$A,G$2),"")</f>
        <v/>
      </c>
      <c r="H66" s="9" t="str">
        <f>IF(SUMIFS(Sheet1!$E:$E,Sheet1!$C:$C,$A66,Sheet1!$A:$A,H$2)&lt;&gt;0,SUMIFS(Sheet1!$E:$E,Sheet1!$C:$C,$A66,Sheet1!$A:$A,H$2),"")</f>
        <v/>
      </c>
      <c r="I66" s="9" t="str">
        <f>IF(SUMIFS(Sheet1!$E:$E,Sheet1!$C:$C,$A66,Sheet1!$A:$A,I$2)&lt;&gt;0,SUMIFS(Sheet1!$E:$E,Sheet1!$C:$C,$A66,Sheet1!$A:$A,I$2),"")</f>
        <v/>
      </c>
      <c r="J66" s="9" t="str">
        <f>IF(SUMIFS(Sheet1!$E:$E,Sheet1!$C:$C,$A66,Sheet1!$A:$A,J$2)&lt;&gt;0,SUMIFS(Sheet1!$E:$E,Sheet1!$C:$C,$A66,Sheet1!$A:$A,J$2),"")</f>
        <v/>
      </c>
      <c r="K66" s="9" t="str">
        <f>IF(SUMIFS(Sheet1!$E:$E,Sheet1!$C:$C,$A66,Sheet1!$A:$A,K$2)&lt;&gt;0,SUMIFS(Sheet1!$E:$E,Sheet1!$C:$C,$A66,Sheet1!$A:$A,K$2),"")</f>
        <v/>
      </c>
      <c r="L66" s="9" t="str">
        <f>IF(SUMIFS(Sheet1!$E:$E,Sheet1!$C:$C,$A66,Sheet1!$A:$A,L$2)&lt;&gt;0,SUMIFS(Sheet1!$E:$E,Sheet1!$C:$C,$A66,Sheet1!$A:$A,L$2),"")</f>
        <v/>
      </c>
      <c r="M66" s="9" t="str">
        <f>IF(SUMIFS(Sheet1!$E:$E,Sheet1!$C:$C,$A66,Sheet1!$A:$A,M$2)&lt;&gt;0,SUMIFS(Sheet1!$E:$E,Sheet1!$C:$C,$A66,Sheet1!$A:$A,M$2),"")</f>
        <v/>
      </c>
      <c r="N66" s="9" t="str">
        <f>IF(SUMIFS(Sheet1!$E:$E,Sheet1!$C:$C,$A66,Sheet1!$A:$A,N$2)&lt;&gt;0,SUMIFS(Sheet1!$E:$E,Sheet1!$C:$C,$A66,Sheet1!$A:$A,N$2),"")</f>
        <v/>
      </c>
      <c r="O66" s="9" t="str">
        <f>IF(SUMIFS(Sheet1!$E:$E,Sheet1!$C:$C,$A66,Sheet1!$A:$A,O$2)&lt;&gt;0,SUMIFS(Sheet1!$E:$E,Sheet1!$C:$C,$A66,Sheet1!$A:$A,O$2),"")</f>
        <v/>
      </c>
      <c r="P66" s="9" t="str">
        <f>IF(SUMIFS(Sheet1!$E:$E,Sheet1!$C:$C,$A66,Sheet1!$A:$A,P$2)&lt;&gt;0,SUMIFS(Sheet1!$E:$E,Sheet1!$C:$C,$A66,Sheet1!$A:$A,P$2),"")</f>
        <v/>
      </c>
      <c r="Q66" s="9" t="str">
        <f>IF(SUMIFS(Sheet1!$E:$E,Sheet1!$C:$C,$A66,Sheet1!$A:$A,Q$2)&lt;&gt;0,SUMIFS(Sheet1!$E:$E,Sheet1!$C:$C,$A66,Sheet1!$A:$A,Q$2),"")</f>
        <v/>
      </c>
      <c r="R66" s="9" t="str">
        <f>IF(SUMIFS(Sheet1!$E:$E,Sheet1!$C:$C,$A66,Sheet1!$A:$A,R$2)&lt;&gt;0,SUMIFS(Sheet1!$E:$E,Sheet1!$C:$C,$A66,Sheet1!$A:$A,R$2),"")</f>
        <v/>
      </c>
      <c r="S66" s="9" t="str">
        <f>IF(SUMIFS(Sheet1!$E:$E,Sheet1!$C:$C,$A66,Sheet1!$A:$A,S$2)&lt;&gt;0,SUMIFS(Sheet1!$E:$E,Sheet1!$C:$C,$A66,Sheet1!$A:$A,S$2),"")</f>
        <v/>
      </c>
      <c r="T66" s="9" t="str">
        <f>IF(SUMIFS(Sheet1!$E:$E,Sheet1!$C:$C,$A66,Sheet1!$A:$A,T$2)&lt;&gt;0,SUMIFS(Sheet1!$E:$E,Sheet1!$C:$C,$A66,Sheet1!$A:$A,T$2),"")</f>
        <v/>
      </c>
      <c r="U66" s="9" t="str">
        <f>IF(SUMIFS(Sheet1!$E:$E,Sheet1!$C:$C,$A66,Sheet1!$A:$A,U$2)&lt;&gt;0,SUMIFS(Sheet1!$E:$E,Sheet1!$C:$C,$A66,Sheet1!$A:$A,U$2),"")</f>
        <v/>
      </c>
      <c r="V66" s="9" t="str">
        <f>IF(SUMIFS(Sheet1!$E:$E,Sheet1!$C:$C,$A66,Sheet1!$A:$A,V$2)&lt;&gt;0,SUMIFS(Sheet1!$E:$E,Sheet1!$C:$C,$A66,Sheet1!$A:$A,V$2),"")</f>
        <v/>
      </c>
      <c r="W66" s="9" t="str">
        <f>IF(SUMIFS(Sheet1!$E:$E,Sheet1!$C:$C,$A66,Sheet1!$A:$A,W$2)&lt;&gt;0,SUMIFS(Sheet1!$E:$E,Sheet1!$C:$C,$A66,Sheet1!$A:$A,W$2),"")</f>
        <v/>
      </c>
      <c r="X66" s="9" t="str">
        <f>IF(SUMIFS(Sheet1!$E:$E,Sheet1!$C:$C,$A66,Sheet1!$A:$A,X$2)&lt;&gt;0,SUMIFS(Sheet1!$E:$E,Sheet1!$C:$C,$A66,Sheet1!$A:$A,X$2),"")</f>
        <v/>
      </c>
      <c r="Y66" s="9" t="str">
        <f>IF(SUMIFS(Sheet1!$E:$E,Sheet1!$C:$C,$A66,Sheet1!$A:$A,Y$2)&lt;&gt;0,SUMIFS(Sheet1!$E:$E,Sheet1!$C:$C,$A66,Sheet1!$A:$A,Y$2),"")</f>
        <v/>
      </c>
      <c r="Z66" s="9" t="str">
        <f>IF(SUMIFS(Sheet1!$E:$E,Sheet1!$C:$C,$A66,Sheet1!$A:$A,Z$2)&lt;&gt;0,SUMIFS(Sheet1!$E:$E,Sheet1!$C:$C,$A66,Sheet1!$A:$A,Z$2),"")</f>
        <v/>
      </c>
      <c r="AA66" s="9" t="str">
        <f>IF(SUMIFS(Sheet1!$E:$E,Sheet1!$C:$C,$A66,Sheet1!$A:$A,AA$2)&lt;&gt;0,SUMIFS(Sheet1!$E:$E,Sheet1!$C:$C,$A66,Sheet1!$A:$A,AA$2),"")</f>
        <v/>
      </c>
      <c r="AB66" s="9" t="str">
        <f>IF(SUMIFS(Sheet1!$E:$E,Sheet1!$C:$C,$A66,Sheet1!$A:$A,AB$2)&lt;&gt;0,SUMIFS(Sheet1!$E:$E,Sheet1!$C:$C,$A66,Sheet1!$A:$A,AB$2),"")</f>
        <v/>
      </c>
      <c r="AC66" s="9" t="str">
        <f>IF(SUMIFS(Sheet1!$E:$E,Sheet1!$C:$C,$A66,Sheet1!$A:$A,AC$2)&lt;&gt;0,SUMIFS(Sheet1!$E:$E,Sheet1!$C:$C,$A66,Sheet1!$A:$A,AC$2),"")</f>
        <v/>
      </c>
      <c r="AD66" s="9" t="str">
        <f>IF(SUMIFS(Sheet1!$E:$E,Sheet1!$C:$C,$A66,Sheet1!$A:$A,AD$2)&lt;&gt;0,SUMIFS(Sheet1!$E:$E,Sheet1!$C:$C,$A66,Sheet1!$A:$A,AD$2),"")</f>
        <v/>
      </c>
      <c r="AE66" s="9" t="str">
        <f>IF(SUMIFS(Sheet1!$E:$E,Sheet1!$C:$C,$A66,Sheet1!$A:$A,AE$2)&lt;&gt;0,SUMIFS(Sheet1!$E:$E,Sheet1!$C:$C,$A66,Sheet1!$A:$A,AE$2),"")</f>
        <v/>
      </c>
      <c r="AF66" s="9" t="str">
        <f>IF(SUMIFS(Sheet1!$E:$E,Sheet1!$C:$C,$A66,Sheet1!$A:$A,AF$2)&lt;&gt;0,SUMIFS(Sheet1!$E:$E,Sheet1!$C:$C,$A66,Sheet1!$A:$A,AF$2),"")</f>
        <v/>
      </c>
      <c r="AG66" s="9" t="str">
        <f>IF(SUMIFS(Sheet1!$E:$E,Sheet1!$C:$C,$A66,Sheet1!$A:$A,AG$2)&lt;&gt;0,SUMIFS(Sheet1!$E:$E,Sheet1!$C:$C,$A66,Sheet1!$A:$A,AG$2),"")</f>
        <v/>
      </c>
      <c r="AH66" s="47">
        <f>SUM(Table24[[#This Row],[1]:[31]])</f>
        <v>1</v>
      </c>
    </row>
    <row r="67" spans="1:34" ht="12.75" customHeight="1">
      <c r="A67" s="24" t="str">
        <f>DSSP!A66</f>
        <v>A151</v>
      </c>
      <c r="B67" s="25" t="str">
        <f>DSSP!B66</f>
        <v>Nhân Mã</v>
      </c>
      <c r="C67" s="9" t="str">
        <f>IF(SUMIFS(Sheet1!$E:$E,Sheet1!$C:$C,$A67,Sheet1!$A:$A,C$2)&lt;&gt;0,SUMIFS(Sheet1!$E:$E,Sheet1!$C:$C,$A67,Sheet1!$A:$A,C$2),"")</f>
        <v/>
      </c>
      <c r="D67" s="9" t="str">
        <f>IF(SUMIFS(Sheet1!$E:$E,Sheet1!$C:$C,$A67,Sheet1!$A:$A,D$2)&lt;&gt;0,SUMIFS(Sheet1!$E:$E,Sheet1!$C:$C,$A67,Sheet1!$A:$A,D$2),"")</f>
        <v/>
      </c>
      <c r="E67" s="9" t="str">
        <f>IF(SUMIFS(Sheet1!$E:$E,Sheet1!$C:$C,$A67,Sheet1!$A:$A,E$2)&lt;&gt;0,SUMIFS(Sheet1!$E:$E,Sheet1!$C:$C,$A67,Sheet1!$A:$A,E$2),"")</f>
        <v/>
      </c>
      <c r="F67" s="9" t="str">
        <f>IF(SUMIFS(Sheet1!$E:$E,Sheet1!$C:$C,$A67,Sheet1!$A:$A,F$2)&lt;&gt;0,SUMIFS(Sheet1!$E:$E,Sheet1!$C:$C,$A67,Sheet1!$A:$A,F$2),"")</f>
        <v/>
      </c>
      <c r="G67" s="9" t="str">
        <f>IF(SUMIFS(Sheet1!$E:$E,Sheet1!$C:$C,$A67,Sheet1!$A:$A,G$2)&lt;&gt;0,SUMIFS(Sheet1!$E:$E,Sheet1!$C:$C,$A67,Sheet1!$A:$A,G$2),"")</f>
        <v/>
      </c>
      <c r="H67" s="9" t="str">
        <f>IF(SUMIFS(Sheet1!$E:$E,Sheet1!$C:$C,$A67,Sheet1!$A:$A,H$2)&lt;&gt;0,SUMIFS(Sheet1!$E:$E,Sheet1!$C:$C,$A67,Sheet1!$A:$A,H$2),"")</f>
        <v/>
      </c>
      <c r="I67" s="9" t="str">
        <f>IF(SUMIFS(Sheet1!$E:$E,Sheet1!$C:$C,$A67,Sheet1!$A:$A,I$2)&lt;&gt;0,SUMIFS(Sheet1!$E:$E,Sheet1!$C:$C,$A67,Sheet1!$A:$A,I$2),"")</f>
        <v/>
      </c>
      <c r="J67" s="9" t="str">
        <f>IF(SUMIFS(Sheet1!$E:$E,Sheet1!$C:$C,$A67,Sheet1!$A:$A,J$2)&lt;&gt;0,SUMIFS(Sheet1!$E:$E,Sheet1!$C:$C,$A67,Sheet1!$A:$A,J$2),"")</f>
        <v/>
      </c>
      <c r="K67" s="9" t="str">
        <f>IF(SUMIFS(Sheet1!$E:$E,Sheet1!$C:$C,$A67,Sheet1!$A:$A,K$2)&lt;&gt;0,SUMIFS(Sheet1!$E:$E,Sheet1!$C:$C,$A67,Sheet1!$A:$A,K$2),"")</f>
        <v/>
      </c>
      <c r="L67" s="9" t="str">
        <f>IF(SUMIFS(Sheet1!$E:$E,Sheet1!$C:$C,$A67,Sheet1!$A:$A,L$2)&lt;&gt;0,SUMIFS(Sheet1!$E:$E,Sheet1!$C:$C,$A67,Sheet1!$A:$A,L$2),"")</f>
        <v/>
      </c>
      <c r="M67" s="9" t="str">
        <f>IF(SUMIFS(Sheet1!$E:$E,Sheet1!$C:$C,$A67,Sheet1!$A:$A,M$2)&lt;&gt;0,SUMIFS(Sheet1!$E:$E,Sheet1!$C:$C,$A67,Sheet1!$A:$A,M$2),"")</f>
        <v/>
      </c>
      <c r="N67" s="9" t="str">
        <f>IF(SUMIFS(Sheet1!$E:$E,Sheet1!$C:$C,$A67,Sheet1!$A:$A,N$2)&lt;&gt;0,SUMIFS(Sheet1!$E:$E,Sheet1!$C:$C,$A67,Sheet1!$A:$A,N$2),"")</f>
        <v/>
      </c>
      <c r="O67" s="9" t="str">
        <f>IF(SUMIFS(Sheet1!$E:$E,Sheet1!$C:$C,$A67,Sheet1!$A:$A,O$2)&lt;&gt;0,SUMIFS(Sheet1!$E:$E,Sheet1!$C:$C,$A67,Sheet1!$A:$A,O$2),"")</f>
        <v/>
      </c>
      <c r="P67" s="9" t="str">
        <f>IF(SUMIFS(Sheet1!$E:$E,Sheet1!$C:$C,$A67,Sheet1!$A:$A,P$2)&lt;&gt;0,SUMIFS(Sheet1!$E:$E,Sheet1!$C:$C,$A67,Sheet1!$A:$A,P$2),"")</f>
        <v/>
      </c>
      <c r="Q67" s="9" t="str">
        <f>IF(SUMIFS(Sheet1!$E:$E,Sheet1!$C:$C,$A67,Sheet1!$A:$A,Q$2)&lt;&gt;0,SUMIFS(Sheet1!$E:$E,Sheet1!$C:$C,$A67,Sheet1!$A:$A,Q$2),"")</f>
        <v/>
      </c>
      <c r="R67" s="9" t="str">
        <f>IF(SUMIFS(Sheet1!$E:$E,Sheet1!$C:$C,$A67,Sheet1!$A:$A,R$2)&lt;&gt;0,SUMIFS(Sheet1!$E:$E,Sheet1!$C:$C,$A67,Sheet1!$A:$A,R$2),"")</f>
        <v/>
      </c>
      <c r="S67" s="9" t="str">
        <f>IF(SUMIFS(Sheet1!$E:$E,Sheet1!$C:$C,$A67,Sheet1!$A:$A,S$2)&lt;&gt;0,SUMIFS(Sheet1!$E:$E,Sheet1!$C:$C,$A67,Sheet1!$A:$A,S$2),"")</f>
        <v/>
      </c>
      <c r="T67" s="9" t="str">
        <f>IF(SUMIFS(Sheet1!$E:$E,Sheet1!$C:$C,$A67,Sheet1!$A:$A,T$2)&lt;&gt;0,SUMIFS(Sheet1!$E:$E,Sheet1!$C:$C,$A67,Sheet1!$A:$A,T$2),"")</f>
        <v/>
      </c>
      <c r="U67" s="9" t="str">
        <f>IF(SUMIFS(Sheet1!$E:$E,Sheet1!$C:$C,$A67,Sheet1!$A:$A,U$2)&lt;&gt;0,SUMIFS(Sheet1!$E:$E,Sheet1!$C:$C,$A67,Sheet1!$A:$A,U$2),"")</f>
        <v/>
      </c>
      <c r="V67" s="9" t="str">
        <f>IF(SUMIFS(Sheet1!$E:$E,Sheet1!$C:$C,$A67,Sheet1!$A:$A,V$2)&lt;&gt;0,SUMIFS(Sheet1!$E:$E,Sheet1!$C:$C,$A67,Sheet1!$A:$A,V$2),"")</f>
        <v/>
      </c>
      <c r="W67" s="9" t="str">
        <f>IF(SUMIFS(Sheet1!$E:$E,Sheet1!$C:$C,$A67,Sheet1!$A:$A,W$2)&lt;&gt;0,SUMIFS(Sheet1!$E:$E,Sheet1!$C:$C,$A67,Sheet1!$A:$A,W$2),"")</f>
        <v/>
      </c>
      <c r="X67" s="9" t="str">
        <f>IF(SUMIFS(Sheet1!$E:$E,Sheet1!$C:$C,$A67,Sheet1!$A:$A,X$2)&lt;&gt;0,SUMIFS(Sheet1!$E:$E,Sheet1!$C:$C,$A67,Sheet1!$A:$A,X$2),"")</f>
        <v/>
      </c>
      <c r="Y67" s="9" t="str">
        <f>IF(SUMIFS(Sheet1!$E:$E,Sheet1!$C:$C,$A67,Sheet1!$A:$A,Y$2)&lt;&gt;0,SUMIFS(Sheet1!$E:$E,Sheet1!$C:$C,$A67,Sheet1!$A:$A,Y$2),"")</f>
        <v/>
      </c>
      <c r="Z67" s="9" t="str">
        <f>IF(SUMIFS(Sheet1!$E:$E,Sheet1!$C:$C,$A67,Sheet1!$A:$A,Z$2)&lt;&gt;0,SUMIFS(Sheet1!$E:$E,Sheet1!$C:$C,$A67,Sheet1!$A:$A,Z$2),"")</f>
        <v/>
      </c>
      <c r="AA67" s="9" t="str">
        <f>IF(SUMIFS(Sheet1!$E:$E,Sheet1!$C:$C,$A67,Sheet1!$A:$A,AA$2)&lt;&gt;0,SUMIFS(Sheet1!$E:$E,Sheet1!$C:$C,$A67,Sheet1!$A:$A,AA$2),"")</f>
        <v/>
      </c>
      <c r="AB67" s="9" t="str">
        <f>IF(SUMIFS(Sheet1!$E:$E,Sheet1!$C:$C,$A67,Sheet1!$A:$A,AB$2)&lt;&gt;0,SUMIFS(Sheet1!$E:$E,Sheet1!$C:$C,$A67,Sheet1!$A:$A,AB$2),"")</f>
        <v/>
      </c>
      <c r="AC67" s="9" t="str">
        <f>IF(SUMIFS(Sheet1!$E:$E,Sheet1!$C:$C,$A67,Sheet1!$A:$A,AC$2)&lt;&gt;0,SUMIFS(Sheet1!$E:$E,Sheet1!$C:$C,$A67,Sheet1!$A:$A,AC$2),"")</f>
        <v/>
      </c>
      <c r="AD67" s="9" t="str">
        <f>IF(SUMIFS(Sheet1!$E:$E,Sheet1!$C:$C,$A67,Sheet1!$A:$A,AD$2)&lt;&gt;0,SUMIFS(Sheet1!$E:$E,Sheet1!$C:$C,$A67,Sheet1!$A:$A,AD$2),"")</f>
        <v/>
      </c>
      <c r="AE67" s="9" t="str">
        <f>IF(SUMIFS(Sheet1!$E:$E,Sheet1!$C:$C,$A67,Sheet1!$A:$A,AE$2)&lt;&gt;0,SUMIFS(Sheet1!$E:$E,Sheet1!$C:$C,$A67,Sheet1!$A:$A,AE$2),"")</f>
        <v/>
      </c>
      <c r="AF67" s="9" t="str">
        <f>IF(SUMIFS(Sheet1!$E:$E,Sheet1!$C:$C,$A67,Sheet1!$A:$A,AF$2)&lt;&gt;0,SUMIFS(Sheet1!$E:$E,Sheet1!$C:$C,$A67,Sheet1!$A:$A,AF$2),"")</f>
        <v/>
      </c>
      <c r="AG67" s="9" t="str">
        <f>IF(SUMIFS(Sheet1!$E:$E,Sheet1!$C:$C,$A67,Sheet1!$A:$A,AG$2)&lt;&gt;0,SUMIFS(Sheet1!$E:$E,Sheet1!$C:$C,$A67,Sheet1!$A:$A,AG$2),"")</f>
        <v/>
      </c>
      <c r="AH67" s="47">
        <f>SUM(Table24[[#This Row],[1]:[31]])</f>
        <v>0</v>
      </c>
    </row>
    <row r="68" spans="1:34" ht="12.75" customHeight="1">
      <c r="A68" s="24" t="str">
        <f>DSSP!A67</f>
        <v>A152</v>
      </c>
      <c r="B68" s="25" t="str">
        <f>DSSP!B67</f>
        <v>Ma Kết</v>
      </c>
      <c r="C68" s="9" t="str">
        <f>IF(SUMIFS(Sheet1!$E:$E,Sheet1!$C:$C,$A68,Sheet1!$A:$A,C$2)&lt;&gt;0,SUMIFS(Sheet1!$E:$E,Sheet1!$C:$C,$A68,Sheet1!$A:$A,C$2),"")</f>
        <v/>
      </c>
      <c r="D68" s="9" t="str">
        <f>IF(SUMIFS(Sheet1!$E:$E,Sheet1!$C:$C,$A68,Sheet1!$A:$A,D$2)&lt;&gt;0,SUMIFS(Sheet1!$E:$E,Sheet1!$C:$C,$A68,Sheet1!$A:$A,D$2),"")</f>
        <v/>
      </c>
      <c r="E68" s="9" t="str">
        <f>IF(SUMIFS(Sheet1!$E:$E,Sheet1!$C:$C,$A68,Sheet1!$A:$A,E$2)&lt;&gt;0,SUMIFS(Sheet1!$E:$E,Sheet1!$C:$C,$A68,Sheet1!$A:$A,E$2),"")</f>
        <v/>
      </c>
      <c r="F68" s="9" t="str">
        <f>IF(SUMIFS(Sheet1!$E:$E,Sheet1!$C:$C,$A68,Sheet1!$A:$A,F$2)&lt;&gt;0,SUMIFS(Sheet1!$E:$E,Sheet1!$C:$C,$A68,Sheet1!$A:$A,F$2),"")</f>
        <v/>
      </c>
      <c r="G68" s="9" t="str">
        <f>IF(SUMIFS(Sheet1!$E:$E,Sheet1!$C:$C,$A68,Sheet1!$A:$A,G$2)&lt;&gt;0,SUMIFS(Sheet1!$E:$E,Sheet1!$C:$C,$A68,Sheet1!$A:$A,G$2),"")</f>
        <v/>
      </c>
      <c r="H68" s="9" t="str">
        <f>IF(SUMIFS(Sheet1!$E:$E,Sheet1!$C:$C,$A68,Sheet1!$A:$A,H$2)&lt;&gt;0,SUMIFS(Sheet1!$E:$E,Sheet1!$C:$C,$A68,Sheet1!$A:$A,H$2),"")</f>
        <v/>
      </c>
      <c r="I68" s="9" t="str">
        <f>IF(SUMIFS(Sheet1!$E:$E,Sheet1!$C:$C,$A68,Sheet1!$A:$A,I$2)&lt;&gt;0,SUMIFS(Sheet1!$E:$E,Sheet1!$C:$C,$A68,Sheet1!$A:$A,I$2),"")</f>
        <v/>
      </c>
      <c r="J68" s="9" t="str">
        <f>IF(SUMIFS(Sheet1!$E:$E,Sheet1!$C:$C,$A68,Sheet1!$A:$A,J$2)&lt;&gt;0,SUMIFS(Sheet1!$E:$E,Sheet1!$C:$C,$A68,Sheet1!$A:$A,J$2),"")</f>
        <v/>
      </c>
      <c r="K68" s="9" t="str">
        <f>IF(SUMIFS(Sheet1!$E:$E,Sheet1!$C:$C,$A68,Sheet1!$A:$A,K$2)&lt;&gt;0,SUMIFS(Sheet1!$E:$E,Sheet1!$C:$C,$A68,Sheet1!$A:$A,K$2),"")</f>
        <v/>
      </c>
      <c r="L68" s="9" t="str">
        <f>IF(SUMIFS(Sheet1!$E:$E,Sheet1!$C:$C,$A68,Sheet1!$A:$A,L$2)&lt;&gt;0,SUMIFS(Sheet1!$E:$E,Sheet1!$C:$C,$A68,Sheet1!$A:$A,L$2),"")</f>
        <v/>
      </c>
      <c r="M68" s="9" t="str">
        <f>IF(SUMIFS(Sheet1!$E:$E,Sheet1!$C:$C,$A68,Sheet1!$A:$A,M$2)&lt;&gt;0,SUMIFS(Sheet1!$E:$E,Sheet1!$C:$C,$A68,Sheet1!$A:$A,M$2),"")</f>
        <v/>
      </c>
      <c r="N68" s="9" t="str">
        <f>IF(SUMIFS(Sheet1!$E:$E,Sheet1!$C:$C,$A68,Sheet1!$A:$A,N$2)&lt;&gt;0,SUMIFS(Sheet1!$E:$E,Sheet1!$C:$C,$A68,Sheet1!$A:$A,N$2),"")</f>
        <v/>
      </c>
      <c r="O68" s="9" t="str">
        <f>IF(SUMIFS(Sheet1!$E:$E,Sheet1!$C:$C,$A68,Sheet1!$A:$A,O$2)&lt;&gt;0,SUMIFS(Sheet1!$E:$E,Sheet1!$C:$C,$A68,Sheet1!$A:$A,O$2),"")</f>
        <v/>
      </c>
      <c r="P68" s="9" t="str">
        <f>IF(SUMIFS(Sheet1!$E:$E,Sheet1!$C:$C,$A68,Sheet1!$A:$A,P$2)&lt;&gt;0,SUMIFS(Sheet1!$E:$E,Sheet1!$C:$C,$A68,Sheet1!$A:$A,P$2),"")</f>
        <v/>
      </c>
      <c r="Q68" s="9" t="str">
        <f>IF(SUMIFS(Sheet1!$E:$E,Sheet1!$C:$C,$A68,Sheet1!$A:$A,Q$2)&lt;&gt;0,SUMIFS(Sheet1!$E:$E,Sheet1!$C:$C,$A68,Sheet1!$A:$A,Q$2),"")</f>
        <v/>
      </c>
      <c r="R68" s="9" t="str">
        <f>IF(SUMIFS(Sheet1!$E:$E,Sheet1!$C:$C,$A68,Sheet1!$A:$A,R$2)&lt;&gt;0,SUMIFS(Sheet1!$E:$E,Sheet1!$C:$C,$A68,Sheet1!$A:$A,R$2),"")</f>
        <v/>
      </c>
      <c r="S68" s="9" t="str">
        <f>IF(SUMIFS(Sheet1!$E:$E,Sheet1!$C:$C,$A68,Sheet1!$A:$A,S$2)&lt;&gt;0,SUMIFS(Sheet1!$E:$E,Sheet1!$C:$C,$A68,Sheet1!$A:$A,S$2),"")</f>
        <v/>
      </c>
      <c r="T68" s="9" t="str">
        <f>IF(SUMIFS(Sheet1!$E:$E,Sheet1!$C:$C,$A68,Sheet1!$A:$A,T$2)&lt;&gt;0,SUMIFS(Sheet1!$E:$E,Sheet1!$C:$C,$A68,Sheet1!$A:$A,T$2),"")</f>
        <v/>
      </c>
      <c r="U68" s="9" t="str">
        <f>IF(SUMIFS(Sheet1!$E:$E,Sheet1!$C:$C,$A68,Sheet1!$A:$A,U$2)&lt;&gt;0,SUMIFS(Sheet1!$E:$E,Sheet1!$C:$C,$A68,Sheet1!$A:$A,U$2),"")</f>
        <v/>
      </c>
      <c r="V68" s="9" t="str">
        <f>IF(SUMIFS(Sheet1!$E:$E,Sheet1!$C:$C,$A68,Sheet1!$A:$A,V$2)&lt;&gt;0,SUMIFS(Sheet1!$E:$E,Sheet1!$C:$C,$A68,Sheet1!$A:$A,V$2),"")</f>
        <v/>
      </c>
      <c r="W68" s="9" t="str">
        <f>IF(SUMIFS(Sheet1!$E:$E,Sheet1!$C:$C,$A68,Sheet1!$A:$A,W$2)&lt;&gt;0,SUMIFS(Sheet1!$E:$E,Sheet1!$C:$C,$A68,Sheet1!$A:$A,W$2),"")</f>
        <v/>
      </c>
      <c r="X68" s="9" t="str">
        <f>IF(SUMIFS(Sheet1!$E:$E,Sheet1!$C:$C,$A68,Sheet1!$A:$A,X$2)&lt;&gt;0,SUMIFS(Sheet1!$E:$E,Sheet1!$C:$C,$A68,Sheet1!$A:$A,X$2),"")</f>
        <v/>
      </c>
      <c r="Y68" s="9" t="str">
        <f>IF(SUMIFS(Sheet1!$E:$E,Sheet1!$C:$C,$A68,Sheet1!$A:$A,Y$2)&lt;&gt;0,SUMIFS(Sheet1!$E:$E,Sheet1!$C:$C,$A68,Sheet1!$A:$A,Y$2),"")</f>
        <v/>
      </c>
      <c r="Z68" s="9" t="str">
        <f>IF(SUMIFS(Sheet1!$E:$E,Sheet1!$C:$C,$A68,Sheet1!$A:$A,Z$2)&lt;&gt;0,SUMIFS(Sheet1!$E:$E,Sheet1!$C:$C,$A68,Sheet1!$A:$A,Z$2),"")</f>
        <v/>
      </c>
      <c r="AA68" s="9" t="str">
        <f>IF(SUMIFS(Sheet1!$E:$E,Sheet1!$C:$C,$A68,Sheet1!$A:$A,AA$2)&lt;&gt;0,SUMIFS(Sheet1!$E:$E,Sheet1!$C:$C,$A68,Sheet1!$A:$A,AA$2),"")</f>
        <v/>
      </c>
      <c r="AB68" s="9" t="str">
        <f>IF(SUMIFS(Sheet1!$E:$E,Sheet1!$C:$C,$A68,Sheet1!$A:$A,AB$2)&lt;&gt;0,SUMIFS(Sheet1!$E:$E,Sheet1!$C:$C,$A68,Sheet1!$A:$A,AB$2),"")</f>
        <v/>
      </c>
      <c r="AC68" s="9" t="str">
        <f>IF(SUMIFS(Sheet1!$E:$E,Sheet1!$C:$C,$A68,Sheet1!$A:$A,AC$2)&lt;&gt;0,SUMIFS(Sheet1!$E:$E,Sheet1!$C:$C,$A68,Sheet1!$A:$A,AC$2),"")</f>
        <v/>
      </c>
      <c r="AD68" s="9" t="str">
        <f>IF(SUMIFS(Sheet1!$E:$E,Sheet1!$C:$C,$A68,Sheet1!$A:$A,AD$2)&lt;&gt;0,SUMIFS(Sheet1!$E:$E,Sheet1!$C:$C,$A68,Sheet1!$A:$A,AD$2),"")</f>
        <v/>
      </c>
      <c r="AE68" s="9" t="str">
        <f>IF(SUMIFS(Sheet1!$E:$E,Sheet1!$C:$C,$A68,Sheet1!$A:$A,AE$2)&lt;&gt;0,SUMIFS(Sheet1!$E:$E,Sheet1!$C:$C,$A68,Sheet1!$A:$A,AE$2),"")</f>
        <v/>
      </c>
      <c r="AF68" s="9" t="str">
        <f>IF(SUMIFS(Sheet1!$E:$E,Sheet1!$C:$C,$A68,Sheet1!$A:$A,AF$2)&lt;&gt;0,SUMIFS(Sheet1!$E:$E,Sheet1!$C:$C,$A68,Sheet1!$A:$A,AF$2),"")</f>
        <v/>
      </c>
      <c r="AG68" s="9" t="str">
        <f>IF(SUMIFS(Sheet1!$E:$E,Sheet1!$C:$C,$A68,Sheet1!$A:$A,AG$2)&lt;&gt;0,SUMIFS(Sheet1!$E:$E,Sheet1!$C:$C,$A68,Sheet1!$A:$A,AG$2),"")</f>
        <v/>
      </c>
      <c r="AH68" s="47">
        <f>SUM(Table24[[#This Row],[1]:[31]])</f>
        <v>0</v>
      </c>
    </row>
    <row r="69" spans="1:34" ht="12.75" customHeight="1">
      <c r="A69" s="24" t="str">
        <f>DSSP!A68</f>
        <v>A153</v>
      </c>
      <c r="B69" s="25" t="str">
        <f>DSSP!B68</f>
        <v>Bảo Bình</v>
      </c>
      <c r="C69" s="9" t="str">
        <f>IF(SUMIFS(Sheet1!$E:$E,Sheet1!$C:$C,$A69,Sheet1!$A:$A,C$2)&lt;&gt;0,SUMIFS(Sheet1!$E:$E,Sheet1!$C:$C,$A69,Sheet1!$A:$A,C$2),"")</f>
        <v/>
      </c>
      <c r="D69" s="9" t="str">
        <f>IF(SUMIFS(Sheet1!$E:$E,Sheet1!$C:$C,$A69,Sheet1!$A:$A,D$2)&lt;&gt;0,SUMIFS(Sheet1!$E:$E,Sheet1!$C:$C,$A69,Sheet1!$A:$A,D$2),"")</f>
        <v/>
      </c>
      <c r="E69" s="9" t="str">
        <f>IF(SUMIFS(Sheet1!$E:$E,Sheet1!$C:$C,$A69,Sheet1!$A:$A,E$2)&lt;&gt;0,SUMIFS(Sheet1!$E:$E,Sheet1!$C:$C,$A69,Sheet1!$A:$A,E$2),"")</f>
        <v/>
      </c>
      <c r="F69" s="9" t="str">
        <f>IF(SUMIFS(Sheet1!$E:$E,Sheet1!$C:$C,$A69,Sheet1!$A:$A,F$2)&lt;&gt;0,SUMIFS(Sheet1!$E:$E,Sheet1!$C:$C,$A69,Sheet1!$A:$A,F$2),"")</f>
        <v/>
      </c>
      <c r="G69" s="9" t="str">
        <f>IF(SUMIFS(Sheet1!$E:$E,Sheet1!$C:$C,$A69,Sheet1!$A:$A,G$2)&lt;&gt;0,SUMIFS(Sheet1!$E:$E,Sheet1!$C:$C,$A69,Sheet1!$A:$A,G$2),"")</f>
        <v/>
      </c>
      <c r="H69" s="9" t="str">
        <f>IF(SUMIFS(Sheet1!$E:$E,Sheet1!$C:$C,$A69,Sheet1!$A:$A,H$2)&lt;&gt;0,SUMIFS(Sheet1!$E:$E,Sheet1!$C:$C,$A69,Sheet1!$A:$A,H$2),"")</f>
        <v/>
      </c>
      <c r="I69" s="9" t="str">
        <f>IF(SUMIFS(Sheet1!$E:$E,Sheet1!$C:$C,$A69,Sheet1!$A:$A,I$2)&lt;&gt;0,SUMIFS(Sheet1!$E:$E,Sheet1!$C:$C,$A69,Sheet1!$A:$A,I$2),"")</f>
        <v/>
      </c>
      <c r="J69" s="9" t="str">
        <f>IF(SUMIFS(Sheet1!$E:$E,Sheet1!$C:$C,$A69,Sheet1!$A:$A,J$2)&lt;&gt;0,SUMIFS(Sheet1!$E:$E,Sheet1!$C:$C,$A69,Sheet1!$A:$A,J$2),"")</f>
        <v/>
      </c>
      <c r="K69" s="9" t="str">
        <f>IF(SUMIFS(Sheet1!$E:$E,Sheet1!$C:$C,$A69,Sheet1!$A:$A,K$2)&lt;&gt;0,SUMIFS(Sheet1!$E:$E,Sheet1!$C:$C,$A69,Sheet1!$A:$A,K$2),"")</f>
        <v/>
      </c>
      <c r="L69" s="9" t="str">
        <f>IF(SUMIFS(Sheet1!$E:$E,Sheet1!$C:$C,$A69,Sheet1!$A:$A,L$2)&lt;&gt;0,SUMIFS(Sheet1!$E:$E,Sheet1!$C:$C,$A69,Sheet1!$A:$A,L$2),"")</f>
        <v/>
      </c>
      <c r="M69" s="9" t="str">
        <f>IF(SUMIFS(Sheet1!$E:$E,Sheet1!$C:$C,$A69,Sheet1!$A:$A,M$2)&lt;&gt;0,SUMIFS(Sheet1!$E:$E,Sheet1!$C:$C,$A69,Sheet1!$A:$A,M$2),"")</f>
        <v/>
      </c>
      <c r="N69" s="9" t="str">
        <f>IF(SUMIFS(Sheet1!$E:$E,Sheet1!$C:$C,$A69,Sheet1!$A:$A,N$2)&lt;&gt;0,SUMIFS(Sheet1!$E:$E,Sheet1!$C:$C,$A69,Sheet1!$A:$A,N$2),"")</f>
        <v/>
      </c>
      <c r="O69" s="9" t="str">
        <f>IF(SUMIFS(Sheet1!$E:$E,Sheet1!$C:$C,$A69,Sheet1!$A:$A,O$2)&lt;&gt;0,SUMIFS(Sheet1!$E:$E,Sheet1!$C:$C,$A69,Sheet1!$A:$A,O$2),"")</f>
        <v/>
      </c>
      <c r="P69" s="9" t="str">
        <f>IF(SUMIFS(Sheet1!$E:$E,Sheet1!$C:$C,$A69,Sheet1!$A:$A,P$2)&lt;&gt;0,SUMIFS(Sheet1!$E:$E,Sheet1!$C:$C,$A69,Sheet1!$A:$A,P$2),"")</f>
        <v/>
      </c>
      <c r="Q69" s="9" t="str">
        <f>IF(SUMIFS(Sheet1!$E:$E,Sheet1!$C:$C,$A69,Sheet1!$A:$A,Q$2)&lt;&gt;0,SUMIFS(Sheet1!$E:$E,Sheet1!$C:$C,$A69,Sheet1!$A:$A,Q$2),"")</f>
        <v/>
      </c>
      <c r="R69" s="9" t="str">
        <f>IF(SUMIFS(Sheet1!$E:$E,Sheet1!$C:$C,$A69,Sheet1!$A:$A,R$2)&lt;&gt;0,SUMIFS(Sheet1!$E:$E,Sheet1!$C:$C,$A69,Sheet1!$A:$A,R$2),"")</f>
        <v/>
      </c>
      <c r="S69" s="9" t="str">
        <f>IF(SUMIFS(Sheet1!$E:$E,Sheet1!$C:$C,$A69,Sheet1!$A:$A,S$2)&lt;&gt;0,SUMIFS(Sheet1!$E:$E,Sheet1!$C:$C,$A69,Sheet1!$A:$A,S$2),"")</f>
        <v/>
      </c>
      <c r="T69" s="9" t="str">
        <f>IF(SUMIFS(Sheet1!$E:$E,Sheet1!$C:$C,$A69,Sheet1!$A:$A,T$2)&lt;&gt;0,SUMIFS(Sheet1!$E:$E,Sheet1!$C:$C,$A69,Sheet1!$A:$A,T$2),"")</f>
        <v/>
      </c>
      <c r="U69" s="9" t="str">
        <f>IF(SUMIFS(Sheet1!$E:$E,Sheet1!$C:$C,$A69,Sheet1!$A:$A,U$2)&lt;&gt;0,SUMIFS(Sheet1!$E:$E,Sheet1!$C:$C,$A69,Sheet1!$A:$A,U$2),"")</f>
        <v/>
      </c>
      <c r="V69" s="9" t="str">
        <f>IF(SUMIFS(Sheet1!$E:$E,Sheet1!$C:$C,$A69,Sheet1!$A:$A,V$2)&lt;&gt;0,SUMIFS(Sheet1!$E:$E,Sheet1!$C:$C,$A69,Sheet1!$A:$A,V$2),"")</f>
        <v/>
      </c>
      <c r="W69" s="9" t="str">
        <f>IF(SUMIFS(Sheet1!$E:$E,Sheet1!$C:$C,$A69,Sheet1!$A:$A,W$2)&lt;&gt;0,SUMIFS(Sheet1!$E:$E,Sheet1!$C:$C,$A69,Sheet1!$A:$A,W$2),"")</f>
        <v/>
      </c>
      <c r="X69" s="9" t="str">
        <f>IF(SUMIFS(Sheet1!$E:$E,Sheet1!$C:$C,$A69,Sheet1!$A:$A,X$2)&lt;&gt;0,SUMIFS(Sheet1!$E:$E,Sheet1!$C:$C,$A69,Sheet1!$A:$A,X$2),"")</f>
        <v/>
      </c>
      <c r="Y69" s="9" t="str">
        <f>IF(SUMIFS(Sheet1!$E:$E,Sheet1!$C:$C,$A69,Sheet1!$A:$A,Y$2)&lt;&gt;0,SUMIFS(Sheet1!$E:$E,Sheet1!$C:$C,$A69,Sheet1!$A:$A,Y$2),"")</f>
        <v/>
      </c>
      <c r="Z69" s="9" t="str">
        <f>IF(SUMIFS(Sheet1!$E:$E,Sheet1!$C:$C,$A69,Sheet1!$A:$A,Z$2)&lt;&gt;0,SUMIFS(Sheet1!$E:$E,Sheet1!$C:$C,$A69,Sheet1!$A:$A,Z$2),"")</f>
        <v/>
      </c>
      <c r="AA69" s="9" t="str">
        <f>IF(SUMIFS(Sheet1!$E:$E,Sheet1!$C:$C,$A69,Sheet1!$A:$A,AA$2)&lt;&gt;0,SUMIFS(Sheet1!$E:$E,Sheet1!$C:$C,$A69,Sheet1!$A:$A,AA$2),"")</f>
        <v/>
      </c>
      <c r="AB69" s="9" t="str">
        <f>IF(SUMIFS(Sheet1!$E:$E,Sheet1!$C:$C,$A69,Sheet1!$A:$A,AB$2)&lt;&gt;0,SUMIFS(Sheet1!$E:$E,Sheet1!$C:$C,$A69,Sheet1!$A:$A,AB$2),"")</f>
        <v/>
      </c>
      <c r="AC69" s="9" t="str">
        <f>IF(SUMIFS(Sheet1!$E:$E,Sheet1!$C:$C,$A69,Sheet1!$A:$A,AC$2)&lt;&gt;0,SUMIFS(Sheet1!$E:$E,Sheet1!$C:$C,$A69,Sheet1!$A:$A,AC$2),"")</f>
        <v/>
      </c>
      <c r="AD69" s="9" t="str">
        <f>IF(SUMIFS(Sheet1!$E:$E,Sheet1!$C:$C,$A69,Sheet1!$A:$A,AD$2)&lt;&gt;0,SUMIFS(Sheet1!$E:$E,Sheet1!$C:$C,$A69,Sheet1!$A:$A,AD$2),"")</f>
        <v/>
      </c>
      <c r="AE69" s="9" t="str">
        <f>IF(SUMIFS(Sheet1!$E:$E,Sheet1!$C:$C,$A69,Sheet1!$A:$A,AE$2)&lt;&gt;0,SUMIFS(Sheet1!$E:$E,Sheet1!$C:$C,$A69,Sheet1!$A:$A,AE$2),"")</f>
        <v/>
      </c>
      <c r="AF69" s="9" t="str">
        <f>IF(SUMIFS(Sheet1!$E:$E,Sheet1!$C:$C,$A69,Sheet1!$A:$A,AF$2)&lt;&gt;0,SUMIFS(Sheet1!$E:$E,Sheet1!$C:$C,$A69,Sheet1!$A:$A,AF$2),"")</f>
        <v/>
      </c>
      <c r="AG69" s="9" t="str">
        <f>IF(SUMIFS(Sheet1!$E:$E,Sheet1!$C:$C,$A69,Sheet1!$A:$A,AG$2)&lt;&gt;0,SUMIFS(Sheet1!$E:$E,Sheet1!$C:$C,$A69,Sheet1!$A:$A,AG$2),"")</f>
        <v/>
      </c>
      <c r="AH69" s="47">
        <f>SUM(Table24[[#This Row],[1]:[31]])</f>
        <v>0</v>
      </c>
    </row>
    <row r="70" spans="1:34" ht="12.75" customHeight="1">
      <c r="A70" s="24" t="str">
        <f>DSSP!A69</f>
        <v>A154</v>
      </c>
      <c r="B70" s="25" t="str">
        <f>DSSP!B69</f>
        <v>Song Ngư</v>
      </c>
      <c r="C70" s="9" t="str">
        <f>IF(SUMIFS(Sheet1!$E:$E,Sheet1!$C:$C,$A70,Sheet1!$A:$A,C$2)&lt;&gt;0,SUMIFS(Sheet1!$E:$E,Sheet1!$C:$C,$A70,Sheet1!$A:$A,C$2),"")</f>
        <v/>
      </c>
      <c r="D70" s="9" t="str">
        <f>IF(SUMIFS(Sheet1!$E:$E,Sheet1!$C:$C,$A70,Sheet1!$A:$A,D$2)&lt;&gt;0,SUMIFS(Sheet1!$E:$E,Sheet1!$C:$C,$A70,Sheet1!$A:$A,D$2),"")</f>
        <v/>
      </c>
      <c r="E70" s="9" t="str">
        <f>IF(SUMIFS(Sheet1!$E:$E,Sheet1!$C:$C,$A70,Sheet1!$A:$A,E$2)&lt;&gt;0,SUMIFS(Sheet1!$E:$E,Sheet1!$C:$C,$A70,Sheet1!$A:$A,E$2),"")</f>
        <v/>
      </c>
      <c r="F70" s="9" t="str">
        <f>IF(SUMIFS(Sheet1!$E:$E,Sheet1!$C:$C,$A70,Sheet1!$A:$A,F$2)&lt;&gt;0,SUMIFS(Sheet1!$E:$E,Sheet1!$C:$C,$A70,Sheet1!$A:$A,F$2),"")</f>
        <v/>
      </c>
      <c r="G70" s="9" t="str">
        <f>IF(SUMIFS(Sheet1!$E:$E,Sheet1!$C:$C,$A70,Sheet1!$A:$A,G$2)&lt;&gt;0,SUMIFS(Sheet1!$E:$E,Sheet1!$C:$C,$A70,Sheet1!$A:$A,G$2),"")</f>
        <v/>
      </c>
      <c r="H70" s="9" t="str">
        <f>IF(SUMIFS(Sheet1!$E:$E,Sheet1!$C:$C,$A70,Sheet1!$A:$A,H$2)&lt;&gt;0,SUMIFS(Sheet1!$E:$E,Sheet1!$C:$C,$A70,Sheet1!$A:$A,H$2),"")</f>
        <v/>
      </c>
      <c r="I70" s="9" t="str">
        <f>IF(SUMIFS(Sheet1!$E:$E,Sheet1!$C:$C,$A70,Sheet1!$A:$A,I$2)&lt;&gt;0,SUMIFS(Sheet1!$E:$E,Sheet1!$C:$C,$A70,Sheet1!$A:$A,I$2),"")</f>
        <v/>
      </c>
      <c r="J70" s="9" t="str">
        <f>IF(SUMIFS(Sheet1!$E:$E,Sheet1!$C:$C,$A70,Sheet1!$A:$A,J$2)&lt;&gt;0,SUMIFS(Sheet1!$E:$E,Sheet1!$C:$C,$A70,Sheet1!$A:$A,J$2),"")</f>
        <v/>
      </c>
      <c r="K70" s="9" t="str">
        <f>IF(SUMIFS(Sheet1!$E:$E,Sheet1!$C:$C,$A70,Sheet1!$A:$A,K$2)&lt;&gt;0,SUMIFS(Sheet1!$E:$E,Sheet1!$C:$C,$A70,Sheet1!$A:$A,K$2),"")</f>
        <v/>
      </c>
      <c r="L70" s="9" t="str">
        <f>IF(SUMIFS(Sheet1!$E:$E,Sheet1!$C:$C,$A70,Sheet1!$A:$A,L$2)&lt;&gt;0,SUMIFS(Sheet1!$E:$E,Sheet1!$C:$C,$A70,Sheet1!$A:$A,L$2),"")</f>
        <v/>
      </c>
      <c r="M70" s="9" t="str">
        <f>IF(SUMIFS(Sheet1!$E:$E,Sheet1!$C:$C,$A70,Sheet1!$A:$A,M$2)&lt;&gt;0,SUMIFS(Sheet1!$E:$E,Sheet1!$C:$C,$A70,Sheet1!$A:$A,M$2),"")</f>
        <v/>
      </c>
      <c r="N70" s="9" t="str">
        <f>IF(SUMIFS(Sheet1!$E:$E,Sheet1!$C:$C,$A70,Sheet1!$A:$A,N$2)&lt;&gt;0,SUMIFS(Sheet1!$E:$E,Sheet1!$C:$C,$A70,Sheet1!$A:$A,N$2),"")</f>
        <v/>
      </c>
      <c r="O70" s="9" t="str">
        <f>IF(SUMIFS(Sheet1!$E:$E,Sheet1!$C:$C,$A70,Sheet1!$A:$A,O$2)&lt;&gt;0,SUMIFS(Sheet1!$E:$E,Sheet1!$C:$C,$A70,Sheet1!$A:$A,O$2),"")</f>
        <v/>
      </c>
      <c r="P70" s="9" t="str">
        <f>IF(SUMIFS(Sheet1!$E:$E,Sheet1!$C:$C,$A70,Sheet1!$A:$A,P$2)&lt;&gt;0,SUMIFS(Sheet1!$E:$E,Sheet1!$C:$C,$A70,Sheet1!$A:$A,P$2),"")</f>
        <v/>
      </c>
      <c r="Q70" s="9" t="str">
        <f>IF(SUMIFS(Sheet1!$E:$E,Sheet1!$C:$C,$A70,Sheet1!$A:$A,Q$2)&lt;&gt;0,SUMIFS(Sheet1!$E:$E,Sheet1!$C:$C,$A70,Sheet1!$A:$A,Q$2),"")</f>
        <v/>
      </c>
      <c r="R70" s="9" t="str">
        <f>IF(SUMIFS(Sheet1!$E:$E,Sheet1!$C:$C,$A70,Sheet1!$A:$A,R$2)&lt;&gt;0,SUMIFS(Sheet1!$E:$E,Sheet1!$C:$C,$A70,Sheet1!$A:$A,R$2),"")</f>
        <v/>
      </c>
      <c r="S70" s="9" t="str">
        <f>IF(SUMIFS(Sheet1!$E:$E,Sheet1!$C:$C,$A70,Sheet1!$A:$A,S$2)&lt;&gt;0,SUMIFS(Sheet1!$E:$E,Sheet1!$C:$C,$A70,Sheet1!$A:$A,S$2),"")</f>
        <v/>
      </c>
      <c r="T70" s="9" t="str">
        <f>IF(SUMIFS(Sheet1!$E:$E,Sheet1!$C:$C,$A70,Sheet1!$A:$A,T$2)&lt;&gt;0,SUMIFS(Sheet1!$E:$E,Sheet1!$C:$C,$A70,Sheet1!$A:$A,T$2),"")</f>
        <v/>
      </c>
      <c r="U70" s="9" t="str">
        <f>IF(SUMIFS(Sheet1!$E:$E,Sheet1!$C:$C,$A70,Sheet1!$A:$A,U$2)&lt;&gt;0,SUMIFS(Sheet1!$E:$E,Sheet1!$C:$C,$A70,Sheet1!$A:$A,U$2),"")</f>
        <v/>
      </c>
      <c r="V70" s="9" t="str">
        <f>IF(SUMIFS(Sheet1!$E:$E,Sheet1!$C:$C,$A70,Sheet1!$A:$A,V$2)&lt;&gt;0,SUMIFS(Sheet1!$E:$E,Sheet1!$C:$C,$A70,Sheet1!$A:$A,V$2),"")</f>
        <v/>
      </c>
      <c r="W70" s="9" t="str">
        <f>IF(SUMIFS(Sheet1!$E:$E,Sheet1!$C:$C,$A70,Sheet1!$A:$A,W$2)&lt;&gt;0,SUMIFS(Sheet1!$E:$E,Sheet1!$C:$C,$A70,Sheet1!$A:$A,W$2),"")</f>
        <v/>
      </c>
      <c r="X70" s="9" t="str">
        <f>IF(SUMIFS(Sheet1!$E:$E,Sheet1!$C:$C,$A70,Sheet1!$A:$A,X$2)&lt;&gt;0,SUMIFS(Sheet1!$E:$E,Sheet1!$C:$C,$A70,Sheet1!$A:$A,X$2),"")</f>
        <v/>
      </c>
      <c r="Y70" s="9" t="str">
        <f>IF(SUMIFS(Sheet1!$E:$E,Sheet1!$C:$C,$A70,Sheet1!$A:$A,Y$2)&lt;&gt;0,SUMIFS(Sheet1!$E:$E,Sheet1!$C:$C,$A70,Sheet1!$A:$A,Y$2),"")</f>
        <v/>
      </c>
      <c r="Z70" s="9" t="str">
        <f>IF(SUMIFS(Sheet1!$E:$E,Sheet1!$C:$C,$A70,Sheet1!$A:$A,Z$2)&lt;&gt;0,SUMIFS(Sheet1!$E:$E,Sheet1!$C:$C,$A70,Sheet1!$A:$A,Z$2),"")</f>
        <v/>
      </c>
      <c r="AA70" s="9" t="str">
        <f>IF(SUMIFS(Sheet1!$E:$E,Sheet1!$C:$C,$A70,Sheet1!$A:$A,AA$2)&lt;&gt;0,SUMIFS(Sheet1!$E:$E,Sheet1!$C:$C,$A70,Sheet1!$A:$A,AA$2),"")</f>
        <v/>
      </c>
      <c r="AB70" s="9" t="str">
        <f>IF(SUMIFS(Sheet1!$E:$E,Sheet1!$C:$C,$A70,Sheet1!$A:$A,AB$2)&lt;&gt;0,SUMIFS(Sheet1!$E:$E,Sheet1!$C:$C,$A70,Sheet1!$A:$A,AB$2),"")</f>
        <v/>
      </c>
      <c r="AC70" s="9" t="str">
        <f>IF(SUMIFS(Sheet1!$E:$E,Sheet1!$C:$C,$A70,Sheet1!$A:$A,AC$2)&lt;&gt;0,SUMIFS(Sheet1!$E:$E,Sheet1!$C:$C,$A70,Sheet1!$A:$A,AC$2),"")</f>
        <v/>
      </c>
      <c r="AD70" s="9" t="str">
        <f>IF(SUMIFS(Sheet1!$E:$E,Sheet1!$C:$C,$A70,Sheet1!$A:$A,AD$2)&lt;&gt;0,SUMIFS(Sheet1!$E:$E,Sheet1!$C:$C,$A70,Sheet1!$A:$A,AD$2),"")</f>
        <v/>
      </c>
      <c r="AE70" s="9" t="str">
        <f>IF(SUMIFS(Sheet1!$E:$E,Sheet1!$C:$C,$A70,Sheet1!$A:$A,AE$2)&lt;&gt;0,SUMIFS(Sheet1!$E:$E,Sheet1!$C:$C,$A70,Sheet1!$A:$A,AE$2),"")</f>
        <v/>
      </c>
      <c r="AF70" s="9" t="str">
        <f>IF(SUMIFS(Sheet1!$E:$E,Sheet1!$C:$C,$A70,Sheet1!$A:$A,AF$2)&lt;&gt;0,SUMIFS(Sheet1!$E:$E,Sheet1!$C:$C,$A70,Sheet1!$A:$A,AF$2),"")</f>
        <v/>
      </c>
      <c r="AG70" s="9" t="str">
        <f>IF(SUMIFS(Sheet1!$E:$E,Sheet1!$C:$C,$A70,Sheet1!$A:$A,AG$2)&lt;&gt;0,SUMIFS(Sheet1!$E:$E,Sheet1!$C:$C,$A70,Sheet1!$A:$A,AG$2),"")</f>
        <v/>
      </c>
      <c r="AH70" s="47">
        <f>SUM(Table24[[#This Row],[1]:[31]])</f>
        <v>0</v>
      </c>
    </row>
    <row r="71" spans="1:34" ht="12.75" customHeight="1">
      <c r="A71" s="24" t="str">
        <f>DSSP!A70</f>
        <v>A155</v>
      </c>
      <c r="B71" s="25" t="str">
        <f>DSSP!B70</f>
        <v>Phao bơi và mỏ neo</v>
      </c>
      <c r="C71" s="9">
        <f>IF(SUMIFS(Sheet1!$E:$E,Sheet1!$C:$C,$A71,Sheet1!$A:$A,C$2)&lt;&gt;0,SUMIFS(Sheet1!$E:$E,Sheet1!$C:$C,$A71,Sheet1!$A:$A,C$2),"")</f>
        <v>15</v>
      </c>
      <c r="D71" s="9" t="str">
        <f>IF(SUMIFS(Sheet1!$E:$E,Sheet1!$C:$C,$A71,Sheet1!$A:$A,D$2)&lt;&gt;0,SUMIFS(Sheet1!$E:$E,Sheet1!$C:$C,$A71,Sheet1!$A:$A,D$2),"")</f>
        <v/>
      </c>
      <c r="E71" s="9" t="str">
        <f>IF(SUMIFS(Sheet1!$E:$E,Sheet1!$C:$C,$A71,Sheet1!$A:$A,E$2)&lt;&gt;0,SUMIFS(Sheet1!$E:$E,Sheet1!$C:$C,$A71,Sheet1!$A:$A,E$2),"")</f>
        <v/>
      </c>
      <c r="F71" s="9" t="str">
        <f>IF(SUMIFS(Sheet1!$E:$E,Sheet1!$C:$C,$A71,Sheet1!$A:$A,F$2)&lt;&gt;0,SUMIFS(Sheet1!$E:$E,Sheet1!$C:$C,$A71,Sheet1!$A:$A,F$2),"")</f>
        <v/>
      </c>
      <c r="G71" s="9" t="str">
        <f>IF(SUMIFS(Sheet1!$E:$E,Sheet1!$C:$C,$A71,Sheet1!$A:$A,G$2)&lt;&gt;0,SUMIFS(Sheet1!$E:$E,Sheet1!$C:$C,$A71,Sheet1!$A:$A,G$2),"")</f>
        <v/>
      </c>
      <c r="H71" s="9" t="str">
        <f>IF(SUMIFS(Sheet1!$E:$E,Sheet1!$C:$C,$A71,Sheet1!$A:$A,H$2)&lt;&gt;0,SUMIFS(Sheet1!$E:$E,Sheet1!$C:$C,$A71,Sheet1!$A:$A,H$2),"")</f>
        <v/>
      </c>
      <c r="I71" s="9" t="str">
        <f>IF(SUMIFS(Sheet1!$E:$E,Sheet1!$C:$C,$A71,Sheet1!$A:$A,I$2)&lt;&gt;0,SUMIFS(Sheet1!$E:$E,Sheet1!$C:$C,$A71,Sheet1!$A:$A,I$2),"")</f>
        <v/>
      </c>
      <c r="J71" s="9" t="str">
        <f>IF(SUMIFS(Sheet1!$E:$E,Sheet1!$C:$C,$A71,Sheet1!$A:$A,J$2)&lt;&gt;0,SUMIFS(Sheet1!$E:$E,Sheet1!$C:$C,$A71,Sheet1!$A:$A,J$2),"")</f>
        <v/>
      </c>
      <c r="K71" s="9" t="str">
        <f>IF(SUMIFS(Sheet1!$E:$E,Sheet1!$C:$C,$A71,Sheet1!$A:$A,K$2)&lt;&gt;0,SUMIFS(Sheet1!$E:$E,Sheet1!$C:$C,$A71,Sheet1!$A:$A,K$2),"")</f>
        <v/>
      </c>
      <c r="L71" s="9" t="str">
        <f>IF(SUMIFS(Sheet1!$E:$E,Sheet1!$C:$C,$A71,Sheet1!$A:$A,L$2)&lt;&gt;0,SUMIFS(Sheet1!$E:$E,Sheet1!$C:$C,$A71,Sheet1!$A:$A,L$2),"")</f>
        <v/>
      </c>
      <c r="M71" s="9" t="str">
        <f>IF(SUMIFS(Sheet1!$E:$E,Sheet1!$C:$C,$A71,Sheet1!$A:$A,M$2)&lt;&gt;0,SUMIFS(Sheet1!$E:$E,Sheet1!$C:$C,$A71,Sheet1!$A:$A,M$2),"")</f>
        <v/>
      </c>
      <c r="N71" s="9" t="str">
        <f>IF(SUMIFS(Sheet1!$E:$E,Sheet1!$C:$C,$A71,Sheet1!$A:$A,N$2)&lt;&gt;0,SUMIFS(Sheet1!$E:$E,Sheet1!$C:$C,$A71,Sheet1!$A:$A,N$2),"")</f>
        <v/>
      </c>
      <c r="O71" s="9" t="str">
        <f>IF(SUMIFS(Sheet1!$E:$E,Sheet1!$C:$C,$A71,Sheet1!$A:$A,O$2)&lt;&gt;0,SUMIFS(Sheet1!$E:$E,Sheet1!$C:$C,$A71,Sheet1!$A:$A,O$2),"")</f>
        <v/>
      </c>
      <c r="P71" s="9" t="str">
        <f>IF(SUMIFS(Sheet1!$E:$E,Sheet1!$C:$C,$A71,Sheet1!$A:$A,P$2)&lt;&gt;0,SUMIFS(Sheet1!$E:$E,Sheet1!$C:$C,$A71,Sheet1!$A:$A,P$2),"")</f>
        <v/>
      </c>
      <c r="Q71" s="9" t="str">
        <f>IF(SUMIFS(Sheet1!$E:$E,Sheet1!$C:$C,$A71,Sheet1!$A:$A,Q$2)&lt;&gt;0,SUMIFS(Sheet1!$E:$E,Sheet1!$C:$C,$A71,Sheet1!$A:$A,Q$2),"")</f>
        <v/>
      </c>
      <c r="R71" s="9" t="str">
        <f>IF(SUMIFS(Sheet1!$E:$E,Sheet1!$C:$C,$A71,Sheet1!$A:$A,R$2)&lt;&gt;0,SUMIFS(Sheet1!$E:$E,Sheet1!$C:$C,$A71,Sheet1!$A:$A,R$2),"")</f>
        <v/>
      </c>
      <c r="S71" s="9" t="str">
        <f>IF(SUMIFS(Sheet1!$E:$E,Sheet1!$C:$C,$A71,Sheet1!$A:$A,S$2)&lt;&gt;0,SUMIFS(Sheet1!$E:$E,Sheet1!$C:$C,$A71,Sheet1!$A:$A,S$2),"")</f>
        <v/>
      </c>
      <c r="T71" s="9" t="str">
        <f>IF(SUMIFS(Sheet1!$E:$E,Sheet1!$C:$C,$A71,Sheet1!$A:$A,T$2)&lt;&gt;0,SUMIFS(Sheet1!$E:$E,Sheet1!$C:$C,$A71,Sheet1!$A:$A,T$2),"")</f>
        <v/>
      </c>
      <c r="U71" s="9" t="str">
        <f>IF(SUMIFS(Sheet1!$E:$E,Sheet1!$C:$C,$A71,Sheet1!$A:$A,U$2)&lt;&gt;0,SUMIFS(Sheet1!$E:$E,Sheet1!$C:$C,$A71,Sheet1!$A:$A,U$2),"")</f>
        <v/>
      </c>
      <c r="V71" s="9" t="str">
        <f>IF(SUMIFS(Sheet1!$E:$E,Sheet1!$C:$C,$A71,Sheet1!$A:$A,V$2)&lt;&gt;0,SUMIFS(Sheet1!$E:$E,Sheet1!$C:$C,$A71,Sheet1!$A:$A,V$2),"")</f>
        <v/>
      </c>
      <c r="W71" s="9" t="str">
        <f>IF(SUMIFS(Sheet1!$E:$E,Sheet1!$C:$C,$A71,Sheet1!$A:$A,W$2)&lt;&gt;0,SUMIFS(Sheet1!$E:$E,Sheet1!$C:$C,$A71,Sheet1!$A:$A,W$2),"")</f>
        <v/>
      </c>
      <c r="X71" s="9" t="str">
        <f>IF(SUMIFS(Sheet1!$E:$E,Sheet1!$C:$C,$A71,Sheet1!$A:$A,X$2)&lt;&gt;0,SUMIFS(Sheet1!$E:$E,Sheet1!$C:$C,$A71,Sheet1!$A:$A,X$2),"")</f>
        <v/>
      </c>
      <c r="Y71" s="9" t="str">
        <f>IF(SUMIFS(Sheet1!$E:$E,Sheet1!$C:$C,$A71,Sheet1!$A:$A,Y$2)&lt;&gt;0,SUMIFS(Sheet1!$E:$E,Sheet1!$C:$C,$A71,Sheet1!$A:$A,Y$2),"")</f>
        <v/>
      </c>
      <c r="Z71" s="9" t="str">
        <f>IF(SUMIFS(Sheet1!$E:$E,Sheet1!$C:$C,$A71,Sheet1!$A:$A,Z$2)&lt;&gt;0,SUMIFS(Sheet1!$E:$E,Sheet1!$C:$C,$A71,Sheet1!$A:$A,Z$2),"")</f>
        <v/>
      </c>
      <c r="AA71" s="9" t="str">
        <f>IF(SUMIFS(Sheet1!$E:$E,Sheet1!$C:$C,$A71,Sheet1!$A:$A,AA$2)&lt;&gt;0,SUMIFS(Sheet1!$E:$E,Sheet1!$C:$C,$A71,Sheet1!$A:$A,AA$2),"")</f>
        <v/>
      </c>
      <c r="AB71" s="9" t="str">
        <f>IF(SUMIFS(Sheet1!$E:$E,Sheet1!$C:$C,$A71,Sheet1!$A:$A,AB$2)&lt;&gt;0,SUMIFS(Sheet1!$E:$E,Sheet1!$C:$C,$A71,Sheet1!$A:$A,AB$2),"")</f>
        <v/>
      </c>
      <c r="AC71" s="9" t="str">
        <f>IF(SUMIFS(Sheet1!$E:$E,Sheet1!$C:$C,$A71,Sheet1!$A:$A,AC$2)&lt;&gt;0,SUMIFS(Sheet1!$E:$E,Sheet1!$C:$C,$A71,Sheet1!$A:$A,AC$2),"")</f>
        <v/>
      </c>
      <c r="AD71" s="9" t="str">
        <f>IF(SUMIFS(Sheet1!$E:$E,Sheet1!$C:$C,$A71,Sheet1!$A:$A,AD$2)&lt;&gt;0,SUMIFS(Sheet1!$E:$E,Sheet1!$C:$C,$A71,Sheet1!$A:$A,AD$2),"")</f>
        <v/>
      </c>
      <c r="AE71" s="9" t="str">
        <f>IF(SUMIFS(Sheet1!$E:$E,Sheet1!$C:$C,$A71,Sheet1!$A:$A,AE$2)&lt;&gt;0,SUMIFS(Sheet1!$E:$E,Sheet1!$C:$C,$A71,Sheet1!$A:$A,AE$2),"")</f>
        <v/>
      </c>
      <c r="AF71" s="9" t="str">
        <f>IF(SUMIFS(Sheet1!$E:$E,Sheet1!$C:$C,$A71,Sheet1!$A:$A,AF$2)&lt;&gt;0,SUMIFS(Sheet1!$E:$E,Sheet1!$C:$C,$A71,Sheet1!$A:$A,AF$2),"")</f>
        <v/>
      </c>
      <c r="AG71" s="9" t="str">
        <f>IF(SUMIFS(Sheet1!$E:$E,Sheet1!$C:$C,$A71,Sheet1!$A:$A,AG$2)&lt;&gt;0,SUMIFS(Sheet1!$E:$E,Sheet1!$C:$C,$A71,Sheet1!$A:$A,AG$2),"")</f>
        <v/>
      </c>
      <c r="AH71" s="47">
        <f>SUM(Table24[[#This Row],[1]:[31]])</f>
        <v>15</v>
      </c>
    </row>
    <row r="72" spans="1:34" ht="12.75" customHeight="1">
      <c r="A72" s="24" t="str">
        <f>DSSP!A71</f>
        <v>A156</v>
      </c>
      <c r="B72" s="25" t="str">
        <f>DSSP!B71</f>
        <v>Hải cẩu</v>
      </c>
      <c r="C72" s="9">
        <f>IF(SUMIFS(Sheet1!$E:$E,Sheet1!$C:$C,$A72,Sheet1!$A:$A,C$2)&lt;&gt;0,SUMIFS(Sheet1!$E:$E,Sheet1!$C:$C,$A72,Sheet1!$A:$A,C$2),"")</f>
        <v>19</v>
      </c>
      <c r="D72" s="9" t="str">
        <f>IF(SUMIFS(Sheet1!$E:$E,Sheet1!$C:$C,$A72,Sheet1!$A:$A,D$2)&lt;&gt;0,SUMIFS(Sheet1!$E:$E,Sheet1!$C:$C,$A72,Sheet1!$A:$A,D$2),"")</f>
        <v/>
      </c>
      <c r="E72" s="9" t="str">
        <f>IF(SUMIFS(Sheet1!$E:$E,Sheet1!$C:$C,$A72,Sheet1!$A:$A,E$2)&lt;&gt;0,SUMIFS(Sheet1!$E:$E,Sheet1!$C:$C,$A72,Sheet1!$A:$A,E$2),"")</f>
        <v/>
      </c>
      <c r="F72" s="9" t="str">
        <f>IF(SUMIFS(Sheet1!$E:$E,Sheet1!$C:$C,$A72,Sheet1!$A:$A,F$2)&lt;&gt;0,SUMIFS(Sheet1!$E:$E,Sheet1!$C:$C,$A72,Sheet1!$A:$A,F$2),"")</f>
        <v/>
      </c>
      <c r="G72" s="9" t="str">
        <f>IF(SUMIFS(Sheet1!$E:$E,Sheet1!$C:$C,$A72,Sheet1!$A:$A,G$2)&lt;&gt;0,SUMIFS(Sheet1!$E:$E,Sheet1!$C:$C,$A72,Sheet1!$A:$A,G$2),"")</f>
        <v/>
      </c>
      <c r="H72" s="9" t="str">
        <f>IF(SUMIFS(Sheet1!$E:$E,Sheet1!$C:$C,$A72,Sheet1!$A:$A,H$2)&lt;&gt;0,SUMIFS(Sheet1!$E:$E,Sheet1!$C:$C,$A72,Sheet1!$A:$A,H$2),"")</f>
        <v/>
      </c>
      <c r="I72" s="9" t="str">
        <f>IF(SUMIFS(Sheet1!$E:$E,Sheet1!$C:$C,$A72,Sheet1!$A:$A,I$2)&lt;&gt;0,SUMIFS(Sheet1!$E:$E,Sheet1!$C:$C,$A72,Sheet1!$A:$A,I$2),"")</f>
        <v/>
      </c>
      <c r="J72" s="9" t="str">
        <f>IF(SUMIFS(Sheet1!$E:$E,Sheet1!$C:$C,$A72,Sheet1!$A:$A,J$2)&lt;&gt;0,SUMIFS(Sheet1!$E:$E,Sheet1!$C:$C,$A72,Sheet1!$A:$A,J$2),"")</f>
        <v/>
      </c>
      <c r="K72" s="9" t="str">
        <f>IF(SUMIFS(Sheet1!$E:$E,Sheet1!$C:$C,$A72,Sheet1!$A:$A,K$2)&lt;&gt;0,SUMIFS(Sheet1!$E:$E,Sheet1!$C:$C,$A72,Sheet1!$A:$A,K$2),"")</f>
        <v/>
      </c>
      <c r="L72" s="9" t="str">
        <f>IF(SUMIFS(Sheet1!$E:$E,Sheet1!$C:$C,$A72,Sheet1!$A:$A,L$2)&lt;&gt;0,SUMIFS(Sheet1!$E:$E,Sheet1!$C:$C,$A72,Sheet1!$A:$A,L$2),"")</f>
        <v/>
      </c>
      <c r="M72" s="9" t="str">
        <f>IF(SUMIFS(Sheet1!$E:$E,Sheet1!$C:$C,$A72,Sheet1!$A:$A,M$2)&lt;&gt;0,SUMIFS(Sheet1!$E:$E,Sheet1!$C:$C,$A72,Sheet1!$A:$A,M$2),"")</f>
        <v/>
      </c>
      <c r="N72" s="9" t="str">
        <f>IF(SUMIFS(Sheet1!$E:$E,Sheet1!$C:$C,$A72,Sheet1!$A:$A,N$2)&lt;&gt;0,SUMIFS(Sheet1!$E:$E,Sheet1!$C:$C,$A72,Sheet1!$A:$A,N$2),"")</f>
        <v/>
      </c>
      <c r="O72" s="9" t="str">
        <f>IF(SUMIFS(Sheet1!$E:$E,Sheet1!$C:$C,$A72,Sheet1!$A:$A,O$2)&lt;&gt;0,SUMIFS(Sheet1!$E:$E,Sheet1!$C:$C,$A72,Sheet1!$A:$A,O$2),"")</f>
        <v/>
      </c>
      <c r="P72" s="9" t="str">
        <f>IF(SUMIFS(Sheet1!$E:$E,Sheet1!$C:$C,$A72,Sheet1!$A:$A,P$2)&lt;&gt;0,SUMIFS(Sheet1!$E:$E,Sheet1!$C:$C,$A72,Sheet1!$A:$A,P$2),"")</f>
        <v/>
      </c>
      <c r="Q72" s="9" t="str">
        <f>IF(SUMIFS(Sheet1!$E:$E,Sheet1!$C:$C,$A72,Sheet1!$A:$A,Q$2)&lt;&gt;0,SUMIFS(Sheet1!$E:$E,Sheet1!$C:$C,$A72,Sheet1!$A:$A,Q$2),"")</f>
        <v/>
      </c>
      <c r="R72" s="9" t="str">
        <f>IF(SUMIFS(Sheet1!$E:$E,Sheet1!$C:$C,$A72,Sheet1!$A:$A,R$2)&lt;&gt;0,SUMIFS(Sheet1!$E:$E,Sheet1!$C:$C,$A72,Sheet1!$A:$A,R$2),"")</f>
        <v/>
      </c>
      <c r="S72" s="9" t="str">
        <f>IF(SUMIFS(Sheet1!$E:$E,Sheet1!$C:$C,$A72,Sheet1!$A:$A,S$2)&lt;&gt;0,SUMIFS(Sheet1!$E:$E,Sheet1!$C:$C,$A72,Sheet1!$A:$A,S$2),"")</f>
        <v/>
      </c>
      <c r="T72" s="9" t="str">
        <f>IF(SUMIFS(Sheet1!$E:$E,Sheet1!$C:$C,$A72,Sheet1!$A:$A,T$2)&lt;&gt;0,SUMIFS(Sheet1!$E:$E,Sheet1!$C:$C,$A72,Sheet1!$A:$A,T$2),"")</f>
        <v/>
      </c>
      <c r="U72" s="9" t="str">
        <f>IF(SUMIFS(Sheet1!$E:$E,Sheet1!$C:$C,$A72,Sheet1!$A:$A,U$2)&lt;&gt;0,SUMIFS(Sheet1!$E:$E,Sheet1!$C:$C,$A72,Sheet1!$A:$A,U$2),"")</f>
        <v/>
      </c>
      <c r="V72" s="9" t="str">
        <f>IF(SUMIFS(Sheet1!$E:$E,Sheet1!$C:$C,$A72,Sheet1!$A:$A,V$2)&lt;&gt;0,SUMIFS(Sheet1!$E:$E,Sheet1!$C:$C,$A72,Sheet1!$A:$A,V$2),"")</f>
        <v/>
      </c>
      <c r="W72" s="9" t="str">
        <f>IF(SUMIFS(Sheet1!$E:$E,Sheet1!$C:$C,$A72,Sheet1!$A:$A,W$2)&lt;&gt;0,SUMIFS(Sheet1!$E:$E,Sheet1!$C:$C,$A72,Sheet1!$A:$A,W$2),"")</f>
        <v/>
      </c>
      <c r="X72" s="9" t="str">
        <f>IF(SUMIFS(Sheet1!$E:$E,Sheet1!$C:$C,$A72,Sheet1!$A:$A,X$2)&lt;&gt;0,SUMIFS(Sheet1!$E:$E,Sheet1!$C:$C,$A72,Sheet1!$A:$A,X$2),"")</f>
        <v/>
      </c>
      <c r="Y72" s="9" t="str">
        <f>IF(SUMIFS(Sheet1!$E:$E,Sheet1!$C:$C,$A72,Sheet1!$A:$A,Y$2)&lt;&gt;0,SUMIFS(Sheet1!$E:$E,Sheet1!$C:$C,$A72,Sheet1!$A:$A,Y$2),"")</f>
        <v/>
      </c>
      <c r="Z72" s="9" t="str">
        <f>IF(SUMIFS(Sheet1!$E:$E,Sheet1!$C:$C,$A72,Sheet1!$A:$A,Z$2)&lt;&gt;0,SUMIFS(Sheet1!$E:$E,Sheet1!$C:$C,$A72,Sheet1!$A:$A,Z$2),"")</f>
        <v/>
      </c>
      <c r="AA72" s="9" t="str">
        <f>IF(SUMIFS(Sheet1!$E:$E,Sheet1!$C:$C,$A72,Sheet1!$A:$A,AA$2)&lt;&gt;0,SUMIFS(Sheet1!$E:$E,Sheet1!$C:$C,$A72,Sheet1!$A:$A,AA$2),"")</f>
        <v/>
      </c>
      <c r="AB72" s="9" t="str">
        <f>IF(SUMIFS(Sheet1!$E:$E,Sheet1!$C:$C,$A72,Sheet1!$A:$A,AB$2)&lt;&gt;0,SUMIFS(Sheet1!$E:$E,Sheet1!$C:$C,$A72,Sheet1!$A:$A,AB$2),"")</f>
        <v/>
      </c>
      <c r="AC72" s="9" t="str">
        <f>IF(SUMIFS(Sheet1!$E:$E,Sheet1!$C:$C,$A72,Sheet1!$A:$A,AC$2)&lt;&gt;0,SUMIFS(Sheet1!$E:$E,Sheet1!$C:$C,$A72,Sheet1!$A:$A,AC$2),"")</f>
        <v/>
      </c>
      <c r="AD72" s="9" t="str">
        <f>IF(SUMIFS(Sheet1!$E:$E,Sheet1!$C:$C,$A72,Sheet1!$A:$A,AD$2)&lt;&gt;0,SUMIFS(Sheet1!$E:$E,Sheet1!$C:$C,$A72,Sheet1!$A:$A,AD$2),"")</f>
        <v/>
      </c>
      <c r="AE72" s="9" t="str">
        <f>IF(SUMIFS(Sheet1!$E:$E,Sheet1!$C:$C,$A72,Sheet1!$A:$A,AE$2)&lt;&gt;0,SUMIFS(Sheet1!$E:$E,Sheet1!$C:$C,$A72,Sheet1!$A:$A,AE$2),"")</f>
        <v/>
      </c>
      <c r="AF72" s="9" t="str">
        <f>IF(SUMIFS(Sheet1!$E:$E,Sheet1!$C:$C,$A72,Sheet1!$A:$A,AF$2)&lt;&gt;0,SUMIFS(Sheet1!$E:$E,Sheet1!$C:$C,$A72,Sheet1!$A:$A,AF$2),"")</f>
        <v/>
      </c>
      <c r="AG72" s="9" t="str">
        <f>IF(SUMIFS(Sheet1!$E:$E,Sheet1!$C:$C,$A72,Sheet1!$A:$A,AG$2)&lt;&gt;0,SUMIFS(Sheet1!$E:$E,Sheet1!$C:$C,$A72,Sheet1!$A:$A,AG$2),"")</f>
        <v/>
      </c>
      <c r="AH72" s="47">
        <f>SUM(Table24[[#This Row],[1]:[31]])</f>
        <v>19</v>
      </c>
    </row>
    <row r="73" spans="1:34" ht="12.75" customHeight="1">
      <c r="A73" s="24" t="str">
        <f>DSSP!A72</f>
        <v>A157</v>
      </c>
      <c r="B73" s="25" t="str">
        <f>DSSP!B72</f>
        <v>Cá vàng</v>
      </c>
      <c r="C73" s="9">
        <f>IF(SUMIFS(Sheet1!$E:$E,Sheet1!$C:$C,$A73,Sheet1!$A:$A,C$2)&lt;&gt;0,SUMIFS(Sheet1!$E:$E,Sheet1!$C:$C,$A73,Sheet1!$A:$A,C$2),"")</f>
        <v>8</v>
      </c>
      <c r="D73" s="9" t="str">
        <f>IF(SUMIFS(Sheet1!$E:$E,Sheet1!$C:$C,$A73,Sheet1!$A:$A,D$2)&lt;&gt;0,SUMIFS(Sheet1!$E:$E,Sheet1!$C:$C,$A73,Sheet1!$A:$A,D$2),"")</f>
        <v/>
      </c>
      <c r="E73" s="9" t="str">
        <f>IF(SUMIFS(Sheet1!$E:$E,Sheet1!$C:$C,$A73,Sheet1!$A:$A,E$2)&lt;&gt;0,SUMIFS(Sheet1!$E:$E,Sheet1!$C:$C,$A73,Sheet1!$A:$A,E$2),"")</f>
        <v/>
      </c>
      <c r="F73" s="9" t="str">
        <f>IF(SUMIFS(Sheet1!$E:$E,Sheet1!$C:$C,$A73,Sheet1!$A:$A,F$2)&lt;&gt;0,SUMIFS(Sheet1!$E:$E,Sheet1!$C:$C,$A73,Sheet1!$A:$A,F$2),"")</f>
        <v/>
      </c>
      <c r="G73" s="9" t="str">
        <f>IF(SUMIFS(Sheet1!$E:$E,Sheet1!$C:$C,$A73,Sheet1!$A:$A,G$2)&lt;&gt;0,SUMIFS(Sheet1!$E:$E,Sheet1!$C:$C,$A73,Sheet1!$A:$A,G$2),"")</f>
        <v/>
      </c>
      <c r="H73" s="9" t="str">
        <f>IF(SUMIFS(Sheet1!$E:$E,Sheet1!$C:$C,$A73,Sheet1!$A:$A,H$2)&lt;&gt;0,SUMIFS(Sheet1!$E:$E,Sheet1!$C:$C,$A73,Sheet1!$A:$A,H$2),"")</f>
        <v/>
      </c>
      <c r="I73" s="9" t="str">
        <f>IF(SUMIFS(Sheet1!$E:$E,Sheet1!$C:$C,$A73,Sheet1!$A:$A,I$2)&lt;&gt;0,SUMIFS(Sheet1!$E:$E,Sheet1!$C:$C,$A73,Sheet1!$A:$A,I$2),"")</f>
        <v/>
      </c>
      <c r="J73" s="9" t="str">
        <f>IF(SUMIFS(Sheet1!$E:$E,Sheet1!$C:$C,$A73,Sheet1!$A:$A,J$2)&lt;&gt;0,SUMIFS(Sheet1!$E:$E,Sheet1!$C:$C,$A73,Sheet1!$A:$A,J$2),"")</f>
        <v/>
      </c>
      <c r="K73" s="9" t="str">
        <f>IF(SUMIFS(Sheet1!$E:$E,Sheet1!$C:$C,$A73,Sheet1!$A:$A,K$2)&lt;&gt;0,SUMIFS(Sheet1!$E:$E,Sheet1!$C:$C,$A73,Sheet1!$A:$A,K$2),"")</f>
        <v/>
      </c>
      <c r="L73" s="9" t="str">
        <f>IF(SUMIFS(Sheet1!$E:$E,Sheet1!$C:$C,$A73,Sheet1!$A:$A,L$2)&lt;&gt;0,SUMIFS(Sheet1!$E:$E,Sheet1!$C:$C,$A73,Sheet1!$A:$A,L$2),"")</f>
        <v/>
      </c>
      <c r="M73" s="9" t="str">
        <f>IF(SUMIFS(Sheet1!$E:$E,Sheet1!$C:$C,$A73,Sheet1!$A:$A,M$2)&lt;&gt;0,SUMIFS(Sheet1!$E:$E,Sheet1!$C:$C,$A73,Sheet1!$A:$A,M$2),"")</f>
        <v/>
      </c>
      <c r="N73" s="9" t="str">
        <f>IF(SUMIFS(Sheet1!$E:$E,Sheet1!$C:$C,$A73,Sheet1!$A:$A,N$2)&lt;&gt;0,SUMIFS(Sheet1!$E:$E,Sheet1!$C:$C,$A73,Sheet1!$A:$A,N$2),"")</f>
        <v/>
      </c>
      <c r="O73" s="9" t="str">
        <f>IF(SUMIFS(Sheet1!$E:$E,Sheet1!$C:$C,$A73,Sheet1!$A:$A,O$2)&lt;&gt;0,SUMIFS(Sheet1!$E:$E,Sheet1!$C:$C,$A73,Sheet1!$A:$A,O$2),"")</f>
        <v/>
      </c>
      <c r="P73" s="9" t="str">
        <f>IF(SUMIFS(Sheet1!$E:$E,Sheet1!$C:$C,$A73,Sheet1!$A:$A,P$2)&lt;&gt;0,SUMIFS(Sheet1!$E:$E,Sheet1!$C:$C,$A73,Sheet1!$A:$A,P$2),"")</f>
        <v/>
      </c>
      <c r="Q73" s="9" t="str">
        <f>IF(SUMIFS(Sheet1!$E:$E,Sheet1!$C:$C,$A73,Sheet1!$A:$A,Q$2)&lt;&gt;0,SUMIFS(Sheet1!$E:$E,Sheet1!$C:$C,$A73,Sheet1!$A:$A,Q$2),"")</f>
        <v/>
      </c>
      <c r="R73" s="9" t="str">
        <f>IF(SUMIFS(Sheet1!$E:$E,Sheet1!$C:$C,$A73,Sheet1!$A:$A,R$2)&lt;&gt;0,SUMIFS(Sheet1!$E:$E,Sheet1!$C:$C,$A73,Sheet1!$A:$A,R$2),"")</f>
        <v/>
      </c>
      <c r="S73" s="9" t="str">
        <f>IF(SUMIFS(Sheet1!$E:$E,Sheet1!$C:$C,$A73,Sheet1!$A:$A,S$2)&lt;&gt;0,SUMIFS(Sheet1!$E:$E,Sheet1!$C:$C,$A73,Sheet1!$A:$A,S$2),"")</f>
        <v/>
      </c>
      <c r="T73" s="9" t="str">
        <f>IF(SUMIFS(Sheet1!$E:$E,Sheet1!$C:$C,$A73,Sheet1!$A:$A,T$2)&lt;&gt;0,SUMIFS(Sheet1!$E:$E,Sheet1!$C:$C,$A73,Sheet1!$A:$A,T$2),"")</f>
        <v/>
      </c>
      <c r="U73" s="9" t="str">
        <f>IF(SUMIFS(Sheet1!$E:$E,Sheet1!$C:$C,$A73,Sheet1!$A:$A,U$2)&lt;&gt;0,SUMIFS(Sheet1!$E:$E,Sheet1!$C:$C,$A73,Sheet1!$A:$A,U$2),"")</f>
        <v/>
      </c>
      <c r="V73" s="9" t="str">
        <f>IF(SUMIFS(Sheet1!$E:$E,Sheet1!$C:$C,$A73,Sheet1!$A:$A,V$2)&lt;&gt;0,SUMIFS(Sheet1!$E:$E,Sheet1!$C:$C,$A73,Sheet1!$A:$A,V$2),"")</f>
        <v/>
      </c>
      <c r="W73" s="9" t="str">
        <f>IF(SUMIFS(Sheet1!$E:$E,Sheet1!$C:$C,$A73,Sheet1!$A:$A,W$2)&lt;&gt;0,SUMIFS(Sheet1!$E:$E,Sheet1!$C:$C,$A73,Sheet1!$A:$A,W$2),"")</f>
        <v/>
      </c>
      <c r="X73" s="9" t="str">
        <f>IF(SUMIFS(Sheet1!$E:$E,Sheet1!$C:$C,$A73,Sheet1!$A:$A,X$2)&lt;&gt;0,SUMIFS(Sheet1!$E:$E,Sheet1!$C:$C,$A73,Sheet1!$A:$A,X$2),"")</f>
        <v/>
      </c>
      <c r="Y73" s="9" t="str">
        <f>IF(SUMIFS(Sheet1!$E:$E,Sheet1!$C:$C,$A73,Sheet1!$A:$A,Y$2)&lt;&gt;0,SUMIFS(Sheet1!$E:$E,Sheet1!$C:$C,$A73,Sheet1!$A:$A,Y$2),"")</f>
        <v/>
      </c>
      <c r="Z73" s="9" t="str">
        <f>IF(SUMIFS(Sheet1!$E:$E,Sheet1!$C:$C,$A73,Sheet1!$A:$A,Z$2)&lt;&gt;0,SUMIFS(Sheet1!$E:$E,Sheet1!$C:$C,$A73,Sheet1!$A:$A,Z$2),"")</f>
        <v/>
      </c>
      <c r="AA73" s="9" t="str">
        <f>IF(SUMIFS(Sheet1!$E:$E,Sheet1!$C:$C,$A73,Sheet1!$A:$A,AA$2)&lt;&gt;0,SUMIFS(Sheet1!$E:$E,Sheet1!$C:$C,$A73,Sheet1!$A:$A,AA$2),"")</f>
        <v/>
      </c>
      <c r="AB73" s="9" t="str">
        <f>IF(SUMIFS(Sheet1!$E:$E,Sheet1!$C:$C,$A73,Sheet1!$A:$A,AB$2)&lt;&gt;0,SUMIFS(Sheet1!$E:$E,Sheet1!$C:$C,$A73,Sheet1!$A:$A,AB$2),"")</f>
        <v/>
      </c>
      <c r="AC73" s="9" t="str">
        <f>IF(SUMIFS(Sheet1!$E:$E,Sheet1!$C:$C,$A73,Sheet1!$A:$A,AC$2)&lt;&gt;0,SUMIFS(Sheet1!$E:$E,Sheet1!$C:$C,$A73,Sheet1!$A:$A,AC$2),"")</f>
        <v/>
      </c>
      <c r="AD73" s="9" t="str">
        <f>IF(SUMIFS(Sheet1!$E:$E,Sheet1!$C:$C,$A73,Sheet1!$A:$A,AD$2)&lt;&gt;0,SUMIFS(Sheet1!$E:$E,Sheet1!$C:$C,$A73,Sheet1!$A:$A,AD$2),"")</f>
        <v/>
      </c>
      <c r="AE73" s="9" t="str">
        <f>IF(SUMIFS(Sheet1!$E:$E,Sheet1!$C:$C,$A73,Sheet1!$A:$A,AE$2)&lt;&gt;0,SUMIFS(Sheet1!$E:$E,Sheet1!$C:$C,$A73,Sheet1!$A:$A,AE$2),"")</f>
        <v/>
      </c>
      <c r="AF73" s="9" t="str">
        <f>IF(SUMIFS(Sheet1!$E:$E,Sheet1!$C:$C,$A73,Sheet1!$A:$A,AF$2)&lt;&gt;0,SUMIFS(Sheet1!$E:$E,Sheet1!$C:$C,$A73,Sheet1!$A:$A,AF$2),"")</f>
        <v/>
      </c>
      <c r="AG73" s="9" t="str">
        <f>IF(SUMIFS(Sheet1!$E:$E,Sheet1!$C:$C,$A73,Sheet1!$A:$A,AG$2)&lt;&gt;0,SUMIFS(Sheet1!$E:$E,Sheet1!$C:$C,$A73,Sheet1!$A:$A,AG$2),"")</f>
        <v/>
      </c>
      <c r="AH73" s="47">
        <f>SUM(Table24[[#This Row],[1]:[31]])</f>
        <v>8</v>
      </c>
    </row>
    <row r="74" spans="1:34" ht="12.75" customHeight="1">
      <c r="A74" s="24" t="str">
        <f>DSSP!A73</f>
        <v>A158</v>
      </c>
      <c r="B74" s="25" t="str">
        <f>DSSP!B73</f>
        <v>Dâu Tây</v>
      </c>
      <c r="C74" s="9">
        <f>IF(SUMIFS(Sheet1!$E:$E,Sheet1!$C:$C,$A74,Sheet1!$A:$A,C$2)&lt;&gt;0,SUMIFS(Sheet1!$E:$E,Sheet1!$C:$C,$A74,Sheet1!$A:$A,C$2),"")</f>
        <v>14</v>
      </c>
      <c r="D74" s="9" t="str">
        <f>IF(SUMIFS(Sheet1!$E:$E,Sheet1!$C:$C,$A74,Sheet1!$A:$A,D$2)&lt;&gt;0,SUMIFS(Sheet1!$E:$E,Sheet1!$C:$C,$A74,Sheet1!$A:$A,D$2),"")</f>
        <v/>
      </c>
      <c r="E74" s="9" t="str">
        <f>IF(SUMIFS(Sheet1!$E:$E,Sheet1!$C:$C,$A74,Sheet1!$A:$A,E$2)&lt;&gt;0,SUMIFS(Sheet1!$E:$E,Sheet1!$C:$C,$A74,Sheet1!$A:$A,E$2),"")</f>
        <v/>
      </c>
      <c r="F74" s="9" t="str">
        <f>IF(SUMIFS(Sheet1!$E:$E,Sheet1!$C:$C,$A74,Sheet1!$A:$A,F$2)&lt;&gt;0,SUMIFS(Sheet1!$E:$E,Sheet1!$C:$C,$A74,Sheet1!$A:$A,F$2),"")</f>
        <v/>
      </c>
      <c r="G74" s="9" t="str">
        <f>IF(SUMIFS(Sheet1!$E:$E,Sheet1!$C:$C,$A74,Sheet1!$A:$A,G$2)&lt;&gt;0,SUMIFS(Sheet1!$E:$E,Sheet1!$C:$C,$A74,Sheet1!$A:$A,G$2),"")</f>
        <v/>
      </c>
      <c r="H74" s="9" t="str">
        <f>IF(SUMIFS(Sheet1!$E:$E,Sheet1!$C:$C,$A74,Sheet1!$A:$A,H$2)&lt;&gt;0,SUMIFS(Sheet1!$E:$E,Sheet1!$C:$C,$A74,Sheet1!$A:$A,H$2),"")</f>
        <v/>
      </c>
      <c r="I74" s="9" t="str">
        <f>IF(SUMIFS(Sheet1!$E:$E,Sheet1!$C:$C,$A74,Sheet1!$A:$A,I$2)&lt;&gt;0,SUMIFS(Sheet1!$E:$E,Sheet1!$C:$C,$A74,Sheet1!$A:$A,I$2),"")</f>
        <v/>
      </c>
      <c r="J74" s="9" t="str">
        <f>IF(SUMIFS(Sheet1!$E:$E,Sheet1!$C:$C,$A74,Sheet1!$A:$A,J$2)&lt;&gt;0,SUMIFS(Sheet1!$E:$E,Sheet1!$C:$C,$A74,Sheet1!$A:$A,J$2),"")</f>
        <v/>
      </c>
      <c r="K74" s="9" t="str">
        <f>IF(SUMIFS(Sheet1!$E:$E,Sheet1!$C:$C,$A74,Sheet1!$A:$A,K$2)&lt;&gt;0,SUMIFS(Sheet1!$E:$E,Sheet1!$C:$C,$A74,Sheet1!$A:$A,K$2),"")</f>
        <v/>
      </c>
      <c r="L74" s="9" t="str">
        <f>IF(SUMIFS(Sheet1!$E:$E,Sheet1!$C:$C,$A74,Sheet1!$A:$A,L$2)&lt;&gt;0,SUMIFS(Sheet1!$E:$E,Sheet1!$C:$C,$A74,Sheet1!$A:$A,L$2),"")</f>
        <v/>
      </c>
      <c r="M74" s="9" t="str">
        <f>IF(SUMIFS(Sheet1!$E:$E,Sheet1!$C:$C,$A74,Sheet1!$A:$A,M$2)&lt;&gt;0,SUMIFS(Sheet1!$E:$E,Sheet1!$C:$C,$A74,Sheet1!$A:$A,M$2),"")</f>
        <v/>
      </c>
      <c r="N74" s="9" t="str">
        <f>IF(SUMIFS(Sheet1!$E:$E,Sheet1!$C:$C,$A74,Sheet1!$A:$A,N$2)&lt;&gt;0,SUMIFS(Sheet1!$E:$E,Sheet1!$C:$C,$A74,Sheet1!$A:$A,N$2),"")</f>
        <v/>
      </c>
      <c r="O74" s="9" t="str">
        <f>IF(SUMIFS(Sheet1!$E:$E,Sheet1!$C:$C,$A74,Sheet1!$A:$A,O$2)&lt;&gt;0,SUMIFS(Sheet1!$E:$E,Sheet1!$C:$C,$A74,Sheet1!$A:$A,O$2),"")</f>
        <v/>
      </c>
      <c r="P74" s="9" t="str">
        <f>IF(SUMIFS(Sheet1!$E:$E,Sheet1!$C:$C,$A74,Sheet1!$A:$A,P$2)&lt;&gt;0,SUMIFS(Sheet1!$E:$E,Sheet1!$C:$C,$A74,Sheet1!$A:$A,P$2),"")</f>
        <v/>
      </c>
      <c r="Q74" s="9" t="str">
        <f>IF(SUMIFS(Sheet1!$E:$E,Sheet1!$C:$C,$A74,Sheet1!$A:$A,Q$2)&lt;&gt;0,SUMIFS(Sheet1!$E:$E,Sheet1!$C:$C,$A74,Sheet1!$A:$A,Q$2),"")</f>
        <v/>
      </c>
      <c r="R74" s="9" t="str">
        <f>IF(SUMIFS(Sheet1!$E:$E,Sheet1!$C:$C,$A74,Sheet1!$A:$A,R$2)&lt;&gt;0,SUMIFS(Sheet1!$E:$E,Sheet1!$C:$C,$A74,Sheet1!$A:$A,R$2),"")</f>
        <v/>
      </c>
      <c r="S74" s="9" t="str">
        <f>IF(SUMIFS(Sheet1!$E:$E,Sheet1!$C:$C,$A74,Sheet1!$A:$A,S$2)&lt;&gt;0,SUMIFS(Sheet1!$E:$E,Sheet1!$C:$C,$A74,Sheet1!$A:$A,S$2),"")</f>
        <v/>
      </c>
      <c r="T74" s="9" t="str">
        <f>IF(SUMIFS(Sheet1!$E:$E,Sheet1!$C:$C,$A74,Sheet1!$A:$A,T$2)&lt;&gt;0,SUMIFS(Sheet1!$E:$E,Sheet1!$C:$C,$A74,Sheet1!$A:$A,T$2),"")</f>
        <v/>
      </c>
      <c r="U74" s="9" t="str">
        <f>IF(SUMIFS(Sheet1!$E:$E,Sheet1!$C:$C,$A74,Sheet1!$A:$A,U$2)&lt;&gt;0,SUMIFS(Sheet1!$E:$E,Sheet1!$C:$C,$A74,Sheet1!$A:$A,U$2),"")</f>
        <v/>
      </c>
      <c r="V74" s="9" t="str">
        <f>IF(SUMIFS(Sheet1!$E:$E,Sheet1!$C:$C,$A74,Sheet1!$A:$A,V$2)&lt;&gt;0,SUMIFS(Sheet1!$E:$E,Sheet1!$C:$C,$A74,Sheet1!$A:$A,V$2),"")</f>
        <v/>
      </c>
      <c r="W74" s="9" t="str">
        <f>IF(SUMIFS(Sheet1!$E:$E,Sheet1!$C:$C,$A74,Sheet1!$A:$A,W$2)&lt;&gt;0,SUMIFS(Sheet1!$E:$E,Sheet1!$C:$C,$A74,Sheet1!$A:$A,W$2),"")</f>
        <v/>
      </c>
      <c r="X74" s="9" t="str">
        <f>IF(SUMIFS(Sheet1!$E:$E,Sheet1!$C:$C,$A74,Sheet1!$A:$A,X$2)&lt;&gt;0,SUMIFS(Sheet1!$E:$E,Sheet1!$C:$C,$A74,Sheet1!$A:$A,X$2),"")</f>
        <v/>
      </c>
      <c r="Y74" s="9" t="str">
        <f>IF(SUMIFS(Sheet1!$E:$E,Sheet1!$C:$C,$A74,Sheet1!$A:$A,Y$2)&lt;&gt;0,SUMIFS(Sheet1!$E:$E,Sheet1!$C:$C,$A74,Sheet1!$A:$A,Y$2),"")</f>
        <v/>
      </c>
      <c r="Z74" s="9" t="str">
        <f>IF(SUMIFS(Sheet1!$E:$E,Sheet1!$C:$C,$A74,Sheet1!$A:$A,Z$2)&lt;&gt;0,SUMIFS(Sheet1!$E:$E,Sheet1!$C:$C,$A74,Sheet1!$A:$A,Z$2),"")</f>
        <v/>
      </c>
      <c r="AA74" s="9" t="str">
        <f>IF(SUMIFS(Sheet1!$E:$E,Sheet1!$C:$C,$A74,Sheet1!$A:$A,AA$2)&lt;&gt;0,SUMIFS(Sheet1!$E:$E,Sheet1!$C:$C,$A74,Sheet1!$A:$A,AA$2),"")</f>
        <v/>
      </c>
      <c r="AB74" s="9" t="str">
        <f>IF(SUMIFS(Sheet1!$E:$E,Sheet1!$C:$C,$A74,Sheet1!$A:$A,AB$2)&lt;&gt;0,SUMIFS(Sheet1!$E:$E,Sheet1!$C:$C,$A74,Sheet1!$A:$A,AB$2),"")</f>
        <v/>
      </c>
      <c r="AC74" s="9" t="str">
        <f>IF(SUMIFS(Sheet1!$E:$E,Sheet1!$C:$C,$A74,Sheet1!$A:$A,AC$2)&lt;&gt;0,SUMIFS(Sheet1!$E:$E,Sheet1!$C:$C,$A74,Sheet1!$A:$A,AC$2),"")</f>
        <v/>
      </c>
      <c r="AD74" s="9" t="str">
        <f>IF(SUMIFS(Sheet1!$E:$E,Sheet1!$C:$C,$A74,Sheet1!$A:$A,AD$2)&lt;&gt;0,SUMIFS(Sheet1!$E:$E,Sheet1!$C:$C,$A74,Sheet1!$A:$A,AD$2),"")</f>
        <v/>
      </c>
      <c r="AE74" s="9" t="str">
        <f>IF(SUMIFS(Sheet1!$E:$E,Sheet1!$C:$C,$A74,Sheet1!$A:$A,AE$2)&lt;&gt;0,SUMIFS(Sheet1!$E:$E,Sheet1!$C:$C,$A74,Sheet1!$A:$A,AE$2),"")</f>
        <v/>
      </c>
      <c r="AF74" s="9" t="str">
        <f>IF(SUMIFS(Sheet1!$E:$E,Sheet1!$C:$C,$A74,Sheet1!$A:$A,AF$2)&lt;&gt;0,SUMIFS(Sheet1!$E:$E,Sheet1!$C:$C,$A74,Sheet1!$A:$A,AF$2),"")</f>
        <v/>
      </c>
      <c r="AG74" s="9" t="str">
        <f>IF(SUMIFS(Sheet1!$E:$E,Sheet1!$C:$C,$A74,Sheet1!$A:$A,AG$2)&lt;&gt;0,SUMIFS(Sheet1!$E:$E,Sheet1!$C:$C,$A74,Sheet1!$A:$A,AG$2),"")</f>
        <v/>
      </c>
      <c r="AH74" s="47">
        <f>SUM(Table24[[#This Row],[1]:[31]])</f>
        <v>14</v>
      </c>
    </row>
    <row r="75" spans="1:34" ht="12.75" customHeight="1">
      <c r="A75" s="24" t="str">
        <f>DSSP!A74</f>
        <v>A159</v>
      </c>
      <c r="B75" s="25" t="str">
        <f>DSSP!B74</f>
        <v>Nấm rừng</v>
      </c>
      <c r="C75" s="9">
        <f>IF(SUMIFS(Sheet1!$E:$E,Sheet1!$C:$C,$A75,Sheet1!$A:$A,C$2)&lt;&gt;0,SUMIFS(Sheet1!$E:$E,Sheet1!$C:$C,$A75,Sheet1!$A:$A,C$2),"")</f>
        <v>17</v>
      </c>
      <c r="D75" s="9" t="str">
        <f>IF(SUMIFS(Sheet1!$E:$E,Sheet1!$C:$C,$A75,Sheet1!$A:$A,D$2)&lt;&gt;0,SUMIFS(Sheet1!$E:$E,Sheet1!$C:$C,$A75,Sheet1!$A:$A,D$2),"")</f>
        <v/>
      </c>
      <c r="E75" s="9" t="str">
        <f>IF(SUMIFS(Sheet1!$E:$E,Sheet1!$C:$C,$A75,Sheet1!$A:$A,E$2)&lt;&gt;0,SUMIFS(Sheet1!$E:$E,Sheet1!$C:$C,$A75,Sheet1!$A:$A,E$2),"")</f>
        <v/>
      </c>
      <c r="F75" s="9" t="str">
        <f>IF(SUMIFS(Sheet1!$E:$E,Sheet1!$C:$C,$A75,Sheet1!$A:$A,F$2)&lt;&gt;0,SUMIFS(Sheet1!$E:$E,Sheet1!$C:$C,$A75,Sheet1!$A:$A,F$2),"")</f>
        <v/>
      </c>
      <c r="G75" s="9" t="str">
        <f>IF(SUMIFS(Sheet1!$E:$E,Sheet1!$C:$C,$A75,Sheet1!$A:$A,G$2)&lt;&gt;0,SUMIFS(Sheet1!$E:$E,Sheet1!$C:$C,$A75,Sheet1!$A:$A,G$2),"")</f>
        <v/>
      </c>
      <c r="H75" s="9" t="str">
        <f>IF(SUMIFS(Sheet1!$E:$E,Sheet1!$C:$C,$A75,Sheet1!$A:$A,H$2)&lt;&gt;0,SUMIFS(Sheet1!$E:$E,Sheet1!$C:$C,$A75,Sheet1!$A:$A,H$2),"")</f>
        <v/>
      </c>
      <c r="I75" s="9" t="str">
        <f>IF(SUMIFS(Sheet1!$E:$E,Sheet1!$C:$C,$A75,Sheet1!$A:$A,I$2)&lt;&gt;0,SUMIFS(Sheet1!$E:$E,Sheet1!$C:$C,$A75,Sheet1!$A:$A,I$2),"")</f>
        <v/>
      </c>
      <c r="J75" s="9" t="str">
        <f>IF(SUMIFS(Sheet1!$E:$E,Sheet1!$C:$C,$A75,Sheet1!$A:$A,J$2)&lt;&gt;0,SUMIFS(Sheet1!$E:$E,Sheet1!$C:$C,$A75,Sheet1!$A:$A,J$2),"")</f>
        <v/>
      </c>
      <c r="K75" s="9" t="str">
        <f>IF(SUMIFS(Sheet1!$E:$E,Sheet1!$C:$C,$A75,Sheet1!$A:$A,K$2)&lt;&gt;0,SUMIFS(Sheet1!$E:$E,Sheet1!$C:$C,$A75,Sheet1!$A:$A,K$2),"")</f>
        <v/>
      </c>
      <c r="L75" s="9" t="str">
        <f>IF(SUMIFS(Sheet1!$E:$E,Sheet1!$C:$C,$A75,Sheet1!$A:$A,L$2)&lt;&gt;0,SUMIFS(Sheet1!$E:$E,Sheet1!$C:$C,$A75,Sheet1!$A:$A,L$2),"")</f>
        <v/>
      </c>
      <c r="M75" s="9" t="str">
        <f>IF(SUMIFS(Sheet1!$E:$E,Sheet1!$C:$C,$A75,Sheet1!$A:$A,M$2)&lt;&gt;0,SUMIFS(Sheet1!$E:$E,Sheet1!$C:$C,$A75,Sheet1!$A:$A,M$2),"")</f>
        <v/>
      </c>
      <c r="N75" s="9" t="str">
        <f>IF(SUMIFS(Sheet1!$E:$E,Sheet1!$C:$C,$A75,Sheet1!$A:$A,N$2)&lt;&gt;0,SUMIFS(Sheet1!$E:$E,Sheet1!$C:$C,$A75,Sheet1!$A:$A,N$2),"")</f>
        <v/>
      </c>
      <c r="O75" s="9" t="str">
        <f>IF(SUMIFS(Sheet1!$E:$E,Sheet1!$C:$C,$A75,Sheet1!$A:$A,O$2)&lt;&gt;0,SUMIFS(Sheet1!$E:$E,Sheet1!$C:$C,$A75,Sheet1!$A:$A,O$2),"")</f>
        <v/>
      </c>
      <c r="P75" s="9" t="str">
        <f>IF(SUMIFS(Sheet1!$E:$E,Sheet1!$C:$C,$A75,Sheet1!$A:$A,P$2)&lt;&gt;0,SUMIFS(Sheet1!$E:$E,Sheet1!$C:$C,$A75,Sheet1!$A:$A,P$2),"")</f>
        <v/>
      </c>
      <c r="Q75" s="9" t="str">
        <f>IF(SUMIFS(Sheet1!$E:$E,Sheet1!$C:$C,$A75,Sheet1!$A:$A,Q$2)&lt;&gt;0,SUMIFS(Sheet1!$E:$E,Sheet1!$C:$C,$A75,Sheet1!$A:$A,Q$2),"")</f>
        <v/>
      </c>
      <c r="R75" s="9" t="str">
        <f>IF(SUMIFS(Sheet1!$E:$E,Sheet1!$C:$C,$A75,Sheet1!$A:$A,R$2)&lt;&gt;0,SUMIFS(Sheet1!$E:$E,Sheet1!$C:$C,$A75,Sheet1!$A:$A,R$2),"")</f>
        <v/>
      </c>
      <c r="S75" s="9" t="str">
        <f>IF(SUMIFS(Sheet1!$E:$E,Sheet1!$C:$C,$A75,Sheet1!$A:$A,S$2)&lt;&gt;0,SUMIFS(Sheet1!$E:$E,Sheet1!$C:$C,$A75,Sheet1!$A:$A,S$2),"")</f>
        <v/>
      </c>
      <c r="T75" s="9" t="str">
        <f>IF(SUMIFS(Sheet1!$E:$E,Sheet1!$C:$C,$A75,Sheet1!$A:$A,T$2)&lt;&gt;0,SUMIFS(Sheet1!$E:$E,Sheet1!$C:$C,$A75,Sheet1!$A:$A,T$2),"")</f>
        <v/>
      </c>
      <c r="U75" s="9" t="str">
        <f>IF(SUMIFS(Sheet1!$E:$E,Sheet1!$C:$C,$A75,Sheet1!$A:$A,U$2)&lt;&gt;0,SUMIFS(Sheet1!$E:$E,Sheet1!$C:$C,$A75,Sheet1!$A:$A,U$2),"")</f>
        <v/>
      </c>
      <c r="V75" s="9" t="str">
        <f>IF(SUMIFS(Sheet1!$E:$E,Sheet1!$C:$C,$A75,Sheet1!$A:$A,V$2)&lt;&gt;0,SUMIFS(Sheet1!$E:$E,Sheet1!$C:$C,$A75,Sheet1!$A:$A,V$2),"")</f>
        <v/>
      </c>
      <c r="W75" s="9" t="str">
        <f>IF(SUMIFS(Sheet1!$E:$E,Sheet1!$C:$C,$A75,Sheet1!$A:$A,W$2)&lt;&gt;0,SUMIFS(Sheet1!$E:$E,Sheet1!$C:$C,$A75,Sheet1!$A:$A,W$2),"")</f>
        <v/>
      </c>
      <c r="X75" s="9" t="str">
        <f>IF(SUMIFS(Sheet1!$E:$E,Sheet1!$C:$C,$A75,Sheet1!$A:$A,X$2)&lt;&gt;0,SUMIFS(Sheet1!$E:$E,Sheet1!$C:$C,$A75,Sheet1!$A:$A,X$2),"")</f>
        <v/>
      </c>
      <c r="Y75" s="9" t="str">
        <f>IF(SUMIFS(Sheet1!$E:$E,Sheet1!$C:$C,$A75,Sheet1!$A:$A,Y$2)&lt;&gt;0,SUMIFS(Sheet1!$E:$E,Sheet1!$C:$C,$A75,Sheet1!$A:$A,Y$2),"")</f>
        <v/>
      </c>
      <c r="Z75" s="9" t="str">
        <f>IF(SUMIFS(Sheet1!$E:$E,Sheet1!$C:$C,$A75,Sheet1!$A:$A,Z$2)&lt;&gt;0,SUMIFS(Sheet1!$E:$E,Sheet1!$C:$C,$A75,Sheet1!$A:$A,Z$2),"")</f>
        <v/>
      </c>
      <c r="AA75" s="9" t="str">
        <f>IF(SUMIFS(Sheet1!$E:$E,Sheet1!$C:$C,$A75,Sheet1!$A:$A,AA$2)&lt;&gt;0,SUMIFS(Sheet1!$E:$E,Sheet1!$C:$C,$A75,Sheet1!$A:$A,AA$2),"")</f>
        <v/>
      </c>
      <c r="AB75" s="9" t="str">
        <f>IF(SUMIFS(Sheet1!$E:$E,Sheet1!$C:$C,$A75,Sheet1!$A:$A,AB$2)&lt;&gt;0,SUMIFS(Sheet1!$E:$E,Sheet1!$C:$C,$A75,Sheet1!$A:$A,AB$2),"")</f>
        <v/>
      </c>
      <c r="AC75" s="9" t="str">
        <f>IF(SUMIFS(Sheet1!$E:$E,Sheet1!$C:$C,$A75,Sheet1!$A:$A,AC$2)&lt;&gt;0,SUMIFS(Sheet1!$E:$E,Sheet1!$C:$C,$A75,Sheet1!$A:$A,AC$2),"")</f>
        <v/>
      </c>
      <c r="AD75" s="9" t="str">
        <f>IF(SUMIFS(Sheet1!$E:$E,Sheet1!$C:$C,$A75,Sheet1!$A:$A,AD$2)&lt;&gt;0,SUMIFS(Sheet1!$E:$E,Sheet1!$C:$C,$A75,Sheet1!$A:$A,AD$2),"")</f>
        <v/>
      </c>
      <c r="AE75" s="9" t="str">
        <f>IF(SUMIFS(Sheet1!$E:$E,Sheet1!$C:$C,$A75,Sheet1!$A:$A,AE$2)&lt;&gt;0,SUMIFS(Sheet1!$E:$E,Sheet1!$C:$C,$A75,Sheet1!$A:$A,AE$2),"")</f>
        <v/>
      </c>
      <c r="AF75" s="9" t="str">
        <f>IF(SUMIFS(Sheet1!$E:$E,Sheet1!$C:$C,$A75,Sheet1!$A:$A,AF$2)&lt;&gt;0,SUMIFS(Sheet1!$E:$E,Sheet1!$C:$C,$A75,Sheet1!$A:$A,AF$2),"")</f>
        <v/>
      </c>
      <c r="AG75" s="9" t="str">
        <f>IF(SUMIFS(Sheet1!$E:$E,Sheet1!$C:$C,$A75,Sheet1!$A:$A,AG$2)&lt;&gt;0,SUMIFS(Sheet1!$E:$E,Sheet1!$C:$C,$A75,Sheet1!$A:$A,AG$2),"")</f>
        <v/>
      </c>
      <c r="AH75" s="47">
        <f>SUM(Table24[[#This Row],[1]:[31]])</f>
        <v>17</v>
      </c>
    </row>
    <row r="76" spans="1:34" ht="12.75" customHeight="1">
      <c r="A76" s="24" t="str">
        <f>DSSP!A75</f>
        <v>A160</v>
      </c>
      <c r="B76" s="25" t="str">
        <f>DSSP!B75</f>
        <v>Đầu lâu</v>
      </c>
      <c r="C76" s="9">
        <f>IF(SUMIFS(Sheet1!$E:$E,Sheet1!$C:$C,$A76,Sheet1!$A:$A,C$2)&lt;&gt;0,SUMIFS(Sheet1!$E:$E,Sheet1!$C:$C,$A76,Sheet1!$A:$A,C$2),"")</f>
        <v>15</v>
      </c>
      <c r="D76" s="9" t="str">
        <f>IF(SUMIFS(Sheet1!$E:$E,Sheet1!$C:$C,$A76,Sheet1!$A:$A,D$2)&lt;&gt;0,SUMIFS(Sheet1!$E:$E,Sheet1!$C:$C,$A76,Sheet1!$A:$A,D$2),"")</f>
        <v/>
      </c>
      <c r="E76" s="9" t="str">
        <f>IF(SUMIFS(Sheet1!$E:$E,Sheet1!$C:$C,$A76,Sheet1!$A:$A,E$2)&lt;&gt;0,SUMIFS(Sheet1!$E:$E,Sheet1!$C:$C,$A76,Sheet1!$A:$A,E$2),"")</f>
        <v/>
      </c>
      <c r="F76" s="9" t="str">
        <f>IF(SUMIFS(Sheet1!$E:$E,Sheet1!$C:$C,$A76,Sheet1!$A:$A,F$2)&lt;&gt;0,SUMIFS(Sheet1!$E:$E,Sheet1!$C:$C,$A76,Sheet1!$A:$A,F$2),"")</f>
        <v/>
      </c>
      <c r="G76" s="9" t="str">
        <f>IF(SUMIFS(Sheet1!$E:$E,Sheet1!$C:$C,$A76,Sheet1!$A:$A,G$2)&lt;&gt;0,SUMIFS(Sheet1!$E:$E,Sheet1!$C:$C,$A76,Sheet1!$A:$A,G$2),"")</f>
        <v/>
      </c>
      <c r="H76" s="9" t="str">
        <f>IF(SUMIFS(Sheet1!$E:$E,Sheet1!$C:$C,$A76,Sheet1!$A:$A,H$2)&lt;&gt;0,SUMIFS(Sheet1!$E:$E,Sheet1!$C:$C,$A76,Sheet1!$A:$A,H$2),"")</f>
        <v/>
      </c>
      <c r="I76" s="9" t="str">
        <f>IF(SUMIFS(Sheet1!$E:$E,Sheet1!$C:$C,$A76,Sheet1!$A:$A,I$2)&lt;&gt;0,SUMIFS(Sheet1!$E:$E,Sheet1!$C:$C,$A76,Sheet1!$A:$A,I$2),"")</f>
        <v/>
      </c>
      <c r="J76" s="9" t="str">
        <f>IF(SUMIFS(Sheet1!$E:$E,Sheet1!$C:$C,$A76,Sheet1!$A:$A,J$2)&lt;&gt;0,SUMIFS(Sheet1!$E:$E,Sheet1!$C:$C,$A76,Sheet1!$A:$A,J$2),"")</f>
        <v/>
      </c>
      <c r="K76" s="9" t="str">
        <f>IF(SUMIFS(Sheet1!$E:$E,Sheet1!$C:$C,$A76,Sheet1!$A:$A,K$2)&lt;&gt;0,SUMIFS(Sheet1!$E:$E,Sheet1!$C:$C,$A76,Sheet1!$A:$A,K$2),"")</f>
        <v/>
      </c>
      <c r="L76" s="9" t="str">
        <f>IF(SUMIFS(Sheet1!$E:$E,Sheet1!$C:$C,$A76,Sheet1!$A:$A,L$2)&lt;&gt;0,SUMIFS(Sheet1!$E:$E,Sheet1!$C:$C,$A76,Sheet1!$A:$A,L$2),"")</f>
        <v/>
      </c>
      <c r="M76" s="9" t="str">
        <f>IF(SUMIFS(Sheet1!$E:$E,Sheet1!$C:$C,$A76,Sheet1!$A:$A,M$2)&lt;&gt;0,SUMIFS(Sheet1!$E:$E,Sheet1!$C:$C,$A76,Sheet1!$A:$A,M$2),"")</f>
        <v/>
      </c>
      <c r="N76" s="9" t="str">
        <f>IF(SUMIFS(Sheet1!$E:$E,Sheet1!$C:$C,$A76,Sheet1!$A:$A,N$2)&lt;&gt;0,SUMIFS(Sheet1!$E:$E,Sheet1!$C:$C,$A76,Sheet1!$A:$A,N$2),"")</f>
        <v/>
      </c>
      <c r="O76" s="9" t="str">
        <f>IF(SUMIFS(Sheet1!$E:$E,Sheet1!$C:$C,$A76,Sheet1!$A:$A,O$2)&lt;&gt;0,SUMIFS(Sheet1!$E:$E,Sheet1!$C:$C,$A76,Sheet1!$A:$A,O$2),"")</f>
        <v/>
      </c>
      <c r="P76" s="9" t="str">
        <f>IF(SUMIFS(Sheet1!$E:$E,Sheet1!$C:$C,$A76,Sheet1!$A:$A,P$2)&lt;&gt;0,SUMIFS(Sheet1!$E:$E,Sheet1!$C:$C,$A76,Sheet1!$A:$A,P$2),"")</f>
        <v/>
      </c>
      <c r="Q76" s="9" t="str">
        <f>IF(SUMIFS(Sheet1!$E:$E,Sheet1!$C:$C,$A76,Sheet1!$A:$A,Q$2)&lt;&gt;0,SUMIFS(Sheet1!$E:$E,Sheet1!$C:$C,$A76,Sheet1!$A:$A,Q$2),"")</f>
        <v/>
      </c>
      <c r="R76" s="9" t="str">
        <f>IF(SUMIFS(Sheet1!$E:$E,Sheet1!$C:$C,$A76,Sheet1!$A:$A,R$2)&lt;&gt;0,SUMIFS(Sheet1!$E:$E,Sheet1!$C:$C,$A76,Sheet1!$A:$A,R$2),"")</f>
        <v/>
      </c>
      <c r="S76" s="9" t="str">
        <f>IF(SUMIFS(Sheet1!$E:$E,Sheet1!$C:$C,$A76,Sheet1!$A:$A,S$2)&lt;&gt;0,SUMIFS(Sheet1!$E:$E,Sheet1!$C:$C,$A76,Sheet1!$A:$A,S$2),"")</f>
        <v/>
      </c>
      <c r="T76" s="9" t="str">
        <f>IF(SUMIFS(Sheet1!$E:$E,Sheet1!$C:$C,$A76,Sheet1!$A:$A,T$2)&lt;&gt;0,SUMIFS(Sheet1!$E:$E,Sheet1!$C:$C,$A76,Sheet1!$A:$A,T$2),"")</f>
        <v/>
      </c>
      <c r="U76" s="9" t="str">
        <f>IF(SUMIFS(Sheet1!$E:$E,Sheet1!$C:$C,$A76,Sheet1!$A:$A,U$2)&lt;&gt;0,SUMIFS(Sheet1!$E:$E,Sheet1!$C:$C,$A76,Sheet1!$A:$A,U$2),"")</f>
        <v/>
      </c>
      <c r="V76" s="9" t="str">
        <f>IF(SUMIFS(Sheet1!$E:$E,Sheet1!$C:$C,$A76,Sheet1!$A:$A,V$2)&lt;&gt;0,SUMIFS(Sheet1!$E:$E,Sheet1!$C:$C,$A76,Sheet1!$A:$A,V$2),"")</f>
        <v/>
      </c>
      <c r="W76" s="9" t="str">
        <f>IF(SUMIFS(Sheet1!$E:$E,Sheet1!$C:$C,$A76,Sheet1!$A:$A,W$2)&lt;&gt;0,SUMIFS(Sheet1!$E:$E,Sheet1!$C:$C,$A76,Sheet1!$A:$A,W$2),"")</f>
        <v/>
      </c>
      <c r="X76" s="9" t="str">
        <f>IF(SUMIFS(Sheet1!$E:$E,Sheet1!$C:$C,$A76,Sheet1!$A:$A,X$2)&lt;&gt;0,SUMIFS(Sheet1!$E:$E,Sheet1!$C:$C,$A76,Sheet1!$A:$A,X$2),"")</f>
        <v/>
      </c>
      <c r="Y76" s="9" t="str">
        <f>IF(SUMIFS(Sheet1!$E:$E,Sheet1!$C:$C,$A76,Sheet1!$A:$A,Y$2)&lt;&gt;0,SUMIFS(Sheet1!$E:$E,Sheet1!$C:$C,$A76,Sheet1!$A:$A,Y$2),"")</f>
        <v/>
      </c>
      <c r="Z76" s="9" t="str">
        <f>IF(SUMIFS(Sheet1!$E:$E,Sheet1!$C:$C,$A76,Sheet1!$A:$A,Z$2)&lt;&gt;0,SUMIFS(Sheet1!$E:$E,Sheet1!$C:$C,$A76,Sheet1!$A:$A,Z$2),"")</f>
        <v/>
      </c>
      <c r="AA76" s="9" t="str">
        <f>IF(SUMIFS(Sheet1!$E:$E,Sheet1!$C:$C,$A76,Sheet1!$A:$A,AA$2)&lt;&gt;0,SUMIFS(Sheet1!$E:$E,Sheet1!$C:$C,$A76,Sheet1!$A:$A,AA$2),"")</f>
        <v/>
      </c>
      <c r="AB76" s="9" t="str">
        <f>IF(SUMIFS(Sheet1!$E:$E,Sheet1!$C:$C,$A76,Sheet1!$A:$A,AB$2)&lt;&gt;0,SUMIFS(Sheet1!$E:$E,Sheet1!$C:$C,$A76,Sheet1!$A:$A,AB$2),"")</f>
        <v/>
      </c>
      <c r="AC76" s="9" t="str">
        <f>IF(SUMIFS(Sheet1!$E:$E,Sheet1!$C:$C,$A76,Sheet1!$A:$A,AC$2)&lt;&gt;0,SUMIFS(Sheet1!$E:$E,Sheet1!$C:$C,$A76,Sheet1!$A:$A,AC$2),"")</f>
        <v/>
      </c>
      <c r="AD76" s="9" t="str">
        <f>IF(SUMIFS(Sheet1!$E:$E,Sheet1!$C:$C,$A76,Sheet1!$A:$A,AD$2)&lt;&gt;0,SUMIFS(Sheet1!$E:$E,Sheet1!$C:$C,$A76,Sheet1!$A:$A,AD$2),"")</f>
        <v/>
      </c>
      <c r="AE76" s="9" t="str">
        <f>IF(SUMIFS(Sheet1!$E:$E,Sheet1!$C:$C,$A76,Sheet1!$A:$A,AE$2)&lt;&gt;0,SUMIFS(Sheet1!$E:$E,Sheet1!$C:$C,$A76,Sheet1!$A:$A,AE$2),"")</f>
        <v/>
      </c>
      <c r="AF76" s="9" t="str">
        <f>IF(SUMIFS(Sheet1!$E:$E,Sheet1!$C:$C,$A76,Sheet1!$A:$A,AF$2)&lt;&gt;0,SUMIFS(Sheet1!$E:$E,Sheet1!$C:$C,$A76,Sheet1!$A:$A,AF$2),"")</f>
        <v/>
      </c>
      <c r="AG76" s="9" t="str">
        <f>IF(SUMIFS(Sheet1!$E:$E,Sheet1!$C:$C,$A76,Sheet1!$A:$A,AG$2)&lt;&gt;0,SUMIFS(Sheet1!$E:$E,Sheet1!$C:$C,$A76,Sheet1!$A:$A,AG$2),"")</f>
        <v/>
      </c>
      <c r="AH76" s="47">
        <f>SUM(Table24[[#This Row],[1]:[31]])</f>
        <v>15</v>
      </c>
    </row>
    <row r="77" spans="1:34" ht="12.75" customHeight="1">
      <c r="A77" s="24" t="str">
        <f>DSSP!A76</f>
        <v>A161</v>
      </c>
      <c r="B77" s="25" t="str">
        <f>DSSP!B76</f>
        <v>Tuần lộc kute</v>
      </c>
      <c r="C77" s="9">
        <f>IF(SUMIFS(Sheet1!$E:$E,Sheet1!$C:$C,$A77,Sheet1!$A:$A,C$2)&lt;&gt;0,SUMIFS(Sheet1!$E:$E,Sheet1!$C:$C,$A77,Sheet1!$A:$A,C$2),"")</f>
        <v>5</v>
      </c>
      <c r="D77" s="9" t="str">
        <f>IF(SUMIFS(Sheet1!$E:$E,Sheet1!$C:$C,$A77,Sheet1!$A:$A,D$2)&lt;&gt;0,SUMIFS(Sheet1!$E:$E,Sheet1!$C:$C,$A77,Sheet1!$A:$A,D$2),"")</f>
        <v/>
      </c>
      <c r="E77" s="9" t="str">
        <f>IF(SUMIFS(Sheet1!$E:$E,Sheet1!$C:$C,$A77,Sheet1!$A:$A,E$2)&lt;&gt;0,SUMIFS(Sheet1!$E:$E,Sheet1!$C:$C,$A77,Sheet1!$A:$A,E$2),"")</f>
        <v/>
      </c>
      <c r="F77" s="9" t="str">
        <f>IF(SUMIFS(Sheet1!$E:$E,Sheet1!$C:$C,$A77,Sheet1!$A:$A,F$2)&lt;&gt;0,SUMIFS(Sheet1!$E:$E,Sheet1!$C:$C,$A77,Sheet1!$A:$A,F$2),"")</f>
        <v/>
      </c>
      <c r="G77" s="9" t="str">
        <f>IF(SUMIFS(Sheet1!$E:$E,Sheet1!$C:$C,$A77,Sheet1!$A:$A,G$2)&lt;&gt;0,SUMIFS(Sheet1!$E:$E,Sheet1!$C:$C,$A77,Sheet1!$A:$A,G$2),"")</f>
        <v/>
      </c>
      <c r="H77" s="9" t="str">
        <f>IF(SUMIFS(Sheet1!$E:$E,Sheet1!$C:$C,$A77,Sheet1!$A:$A,H$2)&lt;&gt;0,SUMIFS(Sheet1!$E:$E,Sheet1!$C:$C,$A77,Sheet1!$A:$A,H$2),"")</f>
        <v/>
      </c>
      <c r="I77" s="9" t="str">
        <f>IF(SUMIFS(Sheet1!$E:$E,Sheet1!$C:$C,$A77,Sheet1!$A:$A,I$2)&lt;&gt;0,SUMIFS(Sheet1!$E:$E,Sheet1!$C:$C,$A77,Sheet1!$A:$A,I$2),"")</f>
        <v/>
      </c>
      <c r="J77" s="9" t="str">
        <f>IF(SUMIFS(Sheet1!$E:$E,Sheet1!$C:$C,$A77,Sheet1!$A:$A,J$2)&lt;&gt;0,SUMIFS(Sheet1!$E:$E,Sheet1!$C:$C,$A77,Sheet1!$A:$A,J$2),"")</f>
        <v/>
      </c>
      <c r="K77" s="9" t="str">
        <f>IF(SUMIFS(Sheet1!$E:$E,Sheet1!$C:$C,$A77,Sheet1!$A:$A,K$2)&lt;&gt;0,SUMIFS(Sheet1!$E:$E,Sheet1!$C:$C,$A77,Sheet1!$A:$A,K$2),"")</f>
        <v/>
      </c>
      <c r="L77" s="9" t="str">
        <f>IF(SUMIFS(Sheet1!$E:$E,Sheet1!$C:$C,$A77,Sheet1!$A:$A,L$2)&lt;&gt;0,SUMIFS(Sheet1!$E:$E,Sheet1!$C:$C,$A77,Sheet1!$A:$A,L$2),"")</f>
        <v/>
      </c>
      <c r="M77" s="9" t="str">
        <f>IF(SUMIFS(Sheet1!$E:$E,Sheet1!$C:$C,$A77,Sheet1!$A:$A,M$2)&lt;&gt;0,SUMIFS(Sheet1!$E:$E,Sheet1!$C:$C,$A77,Sheet1!$A:$A,M$2),"")</f>
        <v/>
      </c>
      <c r="N77" s="9" t="str">
        <f>IF(SUMIFS(Sheet1!$E:$E,Sheet1!$C:$C,$A77,Sheet1!$A:$A,N$2)&lt;&gt;0,SUMIFS(Sheet1!$E:$E,Sheet1!$C:$C,$A77,Sheet1!$A:$A,N$2),"")</f>
        <v/>
      </c>
      <c r="O77" s="9" t="str">
        <f>IF(SUMIFS(Sheet1!$E:$E,Sheet1!$C:$C,$A77,Sheet1!$A:$A,O$2)&lt;&gt;0,SUMIFS(Sheet1!$E:$E,Sheet1!$C:$C,$A77,Sheet1!$A:$A,O$2),"")</f>
        <v/>
      </c>
      <c r="P77" s="9" t="str">
        <f>IF(SUMIFS(Sheet1!$E:$E,Sheet1!$C:$C,$A77,Sheet1!$A:$A,P$2)&lt;&gt;0,SUMIFS(Sheet1!$E:$E,Sheet1!$C:$C,$A77,Sheet1!$A:$A,P$2),"")</f>
        <v/>
      </c>
      <c r="Q77" s="9" t="str">
        <f>IF(SUMIFS(Sheet1!$E:$E,Sheet1!$C:$C,$A77,Sheet1!$A:$A,Q$2)&lt;&gt;0,SUMIFS(Sheet1!$E:$E,Sheet1!$C:$C,$A77,Sheet1!$A:$A,Q$2),"")</f>
        <v/>
      </c>
      <c r="R77" s="9" t="str">
        <f>IF(SUMIFS(Sheet1!$E:$E,Sheet1!$C:$C,$A77,Sheet1!$A:$A,R$2)&lt;&gt;0,SUMIFS(Sheet1!$E:$E,Sheet1!$C:$C,$A77,Sheet1!$A:$A,R$2),"")</f>
        <v/>
      </c>
      <c r="S77" s="9" t="str">
        <f>IF(SUMIFS(Sheet1!$E:$E,Sheet1!$C:$C,$A77,Sheet1!$A:$A,S$2)&lt;&gt;0,SUMIFS(Sheet1!$E:$E,Sheet1!$C:$C,$A77,Sheet1!$A:$A,S$2),"")</f>
        <v/>
      </c>
      <c r="T77" s="9" t="str">
        <f>IF(SUMIFS(Sheet1!$E:$E,Sheet1!$C:$C,$A77,Sheet1!$A:$A,T$2)&lt;&gt;0,SUMIFS(Sheet1!$E:$E,Sheet1!$C:$C,$A77,Sheet1!$A:$A,T$2),"")</f>
        <v/>
      </c>
      <c r="U77" s="9" t="str">
        <f>IF(SUMIFS(Sheet1!$E:$E,Sheet1!$C:$C,$A77,Sheet1!$A:$A,U$2)&lt;&gt;0,SUMIFS(Sheet1!$E:$E,Sheet1!$C:$C,$A77,Sheet1!$A:$A,U$2),"")</f>
        <v/>
      </c>
      <c r="V77" s="9" t="str">
        <f>IF(SUMIFS(Sheet1!$E:$E,Sheet1!$C:$C,$A77,Sheet1!$A:$A,V$2)&lt;&gt;0,SUMIFS(Sheet1!$E:$E,Sheet1!$C:$C,$A77,Sheet1!$A:$A,V$2),"")</f>
        <v/>
      </c>
      <c r="W77" s="9" t="str">
        <f>IF(SUMIFS(Sheet1!$E:$E,Sheet1!$C:$C,$A77,Sheet1!$A:$A,W$2)&lt;&gt;0,SUMIFS(Sheet1!$E:$E,Sheet1!$C:$C,$A77,Sheet1!$A:$A,W$2),"")</f>
        <v/>
      </c>
      <c r="X77" s="9" t="str">
        <f>IF(SUMIFS(Sheet1!$E:$E,Sheet1!$C:$C,$A77,Sheet1!$A:$A,X$2)&lt;&gt;0,SUMIFS(Sheet1!$E:$E,Sheet1!$C:$C,$A77,Sheet1!$A:$A,X$2),"")</f>
        <v/>
      </c>
      <c r="Y77" s="9" t="str">
        <f>IF(SUMIFS(Sheet1!$E:$E,Sheet1!$C:$C,$A77,Sheet1!$A:$A,Y$2)&lt;&gt;0,SUMIFS(Sheet1!$E:$E,Sheet1!$C:$C,$A77,Sheet1!$A:$A,Y$2),"")</f>
        <v/>
      </c>
      <c r="Z77" s="9" t="str">
        <f>IF(SUMIFS(Sheet1!$E:$E,Sheet1!$C:$C,$A77,Sheet1!$A:$A,Z$2)&lt;&gt;0,SUMIFS(Sheet1!$E:$E,Sheet1!$C:$C,$A77,Sheet1!$A:$A,Z$2),"")</f>
        <v/>
      </c>
      <c r="AA77" s="9" t="str">
        <f>IF(SUMIFS(Sheet1!$E:$E,Sheet1!$C:$C,$A77,Sheet1!$A:$A,AA$2)&lt;&gt;0,SUMIFS(Sheet1!$E:$E,Sheet1!$C:$C,$A77,Sheet1!$A:$A,AA$2),"")</f>
        <v/>
      </c>
      <c r="AB77" s="9" t="str">
        <f>IF(SUMIFS(Sheet1!$E:$E,Sheet1!$C:$C,$A77,Sheet1!$A:$A,AB$2)&lt;&gt;0,SUMIFS(Sheet1!$E:$E,Sheet1!$C:$C,$A77,Sheet1!$A:$A,AB$2),"")</f>
        <v/>
      </c>
      <c r="AC77" s="9" t="str">
        <f>IF(SUMIFS(Sheet1!$E:$E,Sheet1!$C:$C,$A77,Sheet1!$A:$A,AC$2)&lt;&gt;0,SUMIFS(Sheet1!$E:$E,Sheet1!$C:$C,$A77,Sheet1!$A:$A,AC$2),"")</f>
        <v/>
      </c>
      <c r="AD77" s="9" t="str">
        <f>IF(SUMIFS(Sheet1!$E:$E,Sheet1!$C:$C,$A77,Sheet1!$A:$A,AD$2)&lt;&gt;0,SUMIFS(Sheet1!$E:$E,Sheet1!$C:$C,$A77,Sheet1!$A:$A,AD$2),"")</f>
        <v/>
      </c>
      <c r="AE77" s="9" t="str">
        <f>IF(SUMIFS(Sheet1!$E:$E,Sheet1!$C:$C,$A77,Sheet1!$A:$A,AE$2)&lt;&gt;0,SUMIFS(Sheet1!$E:$E,Sheet1!$C:$C,$A77,Sheet1!$A:$A,AE$2),"")</f>
        <v/>
      </c>
      <c r="AF77" s="9" t="str">
        <f>IF(SUMIFS(Sheet1!$E:$E,Sheet1!$C:$C,$A77,Sheet1!$A:$A,AF$2)&lt;&gt;0,SUMIFS(Sheet1!$E:$E,Sheet1!$C:$C,$A77,Sheet1!$A:$A,AF$2),"")</f>
        <v/>
      </c>
      <c r="AG77" s="9" t="str">
        <f>IF(SUMIFS(Sheet1!$E:$E,Sheet1!$C:$C,$A77,Sheet1!$A:$A,AG$2)&lt;&gt;0,SUMIFS(Sheet1!$E:$E,Sheet1!$C:$C,$A77,Sheet1!$A:$A,AG$2),"")</f>
        <v/>
      </c>
      <c r="AH77" s="47">
        <f>SUM(Table24[[#This Row],[1]:[31]])</f>
        <v>5</v>
      </c>
    </row>
    <row r="78" spans="1:34" ht="12.75" customHeight="1">
      <c r="A78" s="24" t="str">
        <f>DSSP!A77</f>
        <v>A162</v>
      </c>
      <c r="B78" s="25" t="str">
        <f>DSSP!B77</f>
        <v>Bóng Noel</v>
      </c>
      <c r="C78" s="9">
        <f>IF(SUMIFS(Sheet1!$E:$E,Sheet1!$C:$C,$A78,Sheet1!$A:$A,C$2)&lt;&gt;0,SUMIFS(Sheet1!$E:$E,Sheet1!$C:$C,$A78,Sheet1!$A:$A,C$2),"")</f>
        <v>7</v>
      </c>
      <c r="D78" s="9" t="str">
        <f>IF(SUMIFS(Sheet1!$E:$E,Sheet1!$C:$C,$A78,Sheet1!$A:$A,D$2)&lt;&gt;0,SUMIFS(Sheet1!$E:$E,Sheet1!$C:$C,$A78,Sheet1!$A:$A,D$2),"")</f>
        <v/>
      </c>
      <c r="E78" s="9" t="str">
        <f>IF(SUMIFS(Sheet1!$E:$E,Sheet1!$C:$C,$A78,Sheet1!$A:$A,E$2)&lt;&gt;0,SUMIFS(Sheet1!$E:$E,Sheet1!$C:$C,$A78,Sheet1!$A:$A,E$2),"")</f>
        <v/>
      </c>
      <c r="F78" s="9" t="str">
        <f>IF(SUMIFS(Sheet1!$E:$E,Sheet1!$C:$C,$A78,Sheet1!$A:$A,F$2)&lt;&gt;0,SUMIFS(Sheet1!$E:$E,Sheet1!$C:$C,$A78,Sheet1!$A:$A,F$2),"")</f>
        <v/>
      </c>
      <c r="G78" s="9" t="str">
        <f>IF(SUMIFS(Sheet1!$E:$E,Sheet1!$C:$C,$A78,Sheet1!$A:$A,G$2)&lt;&gt;0,SUMIFS(Sheet1!$E:$E,Sheet1!$C:$C,$A78,Sheet1!$A:$A,G$2),"")</f>
        <v/>
      </c>
      <c r="H78" s="9" t="str">
        <f>IF(SUMIFS(Sheet1!$E:$E,Sheet1!$C:$C,$A78,Sheet1!$A:$A,H$2)&lt;&gt;0,SUMIFS(Sheet1!$E:$E,Sheet1!$C:$C,$A78,Sheet1!$A:$A,H$2),"")</f>
        <v/>
      </c>
      <c r="I78" s="9" t="str">
        <f>IF(SUMIFS(Sheet1!$E:$E,Sheet1!$C:$C,$A78,Sheet1!$A:$A,I$2)&lt;&gt;0,SUMIFS(Sheet1!$E:$E,Sheet1!$C:$C,$A78,Sheet1!$A:$A,I$2),"")</f>
        <v/>
      </c>
      <c r="J78" s="9" t="str">
        <f>IF(SUMIFS(Sheet1!$E:$E,Sheet1!$C:$C,$A78,Sheet1!$A:$A,J$2)&lt;&gt;0,SUMIFS(Sheet1!$E:$E,Sheet1!$C:$C,$A78,Sheet1!$A:$A,J$2),"")</f>
        <v/>
      </c>
      <c r="K78" s="9" t="str">
        <f>IF(SUMIFS(Sheet1!$E:$E,Sheet1!$C:$C,$A78,Sheet1!$A:$A,K$2)&lt;&gt;0,SUMIFS(Sheet1!$E:$E,Sheet1!$C:$C,$A78,Sheet1!$A:$A,K$2),"")</f>
        <v/>
      </c>
      <c r="L78" s="9" t="str">
        <f>IF(SUMIFS(Sheet1!$E:$E,Sheet1!$C:$C,$A78,Sheet1!$A:$A,L$2)&lt;&gt;0,SUMIFS(Sheet1!$E:$E,Sheet1!$C:$C,$A78,Sheet1!$A:$A,L$2),"")</f>
        <v/>
      </c>
      <c r="M78" s="9" t="str">
        <f>IF(SUMIFS(Sheet1!$E:$E,Sheet1!$C:$C,$A78,Sheet1!$A:$A,M$2)&lt;&gt;0,SUMIFS(Sheet1!$E:$E,Sheet1!$C:$C,$A78,Sheet1!$A:$A,M$2),"")</f>
        <v/>
      </c>
      <c r="N78" s="9" t="str">
        <f>IF(SUMIFS(Sheet1!$E:$E,Sheet1!$C:$C,$A78,Sheet1!$A:$A,N$2)&lt;&gt;0,SUMIFS(Sheet1!$E:$E,Sheet1!$C:$C,$A78,Sheet1!$A:$A,N$2),"")</f>
        <v/>
      </c>
      <c r="O78" s="9" t="str">
        <f>IF(SUMIFS(Sheet1!$E:$E,Sheet1!$C:$C,$A78,Sheet1!$A:$A,O$2)&lt;&gt;0,SUMIFS(Sheet1!$E:$E,Sheet1!$C:$C,$A78,Sheet1!$A:$A,O$2),"")</f>
        <v/>
      </c>
      <c r="P78" s="9" t="str">
        <f>IF(SUMIFS(Sheet1!$E:$E,Sheet1!$C:$C,$A78,Sheet1!$A:$A,P$2)&lt;&gt;0,SUMIFS(Sheet1!$E:$E,Sheet1!$C:$C,$A78,Sheet1!$A:$A,P$2),"")</f>
        <v/>
      </c>
      <c r="Q78" s="9" t="str">
        <f>IF(SUMIFS(Sheet1!$E:$E,Sheet1!$C:$C,$A78,Sheet1!$A:$A,Q$2)&lt;&gt;0,SUMIFS(Sheet1!$E:$E,Sheet1!$C:$C,$A78,Sheet1!$A:$A,Q$2),"")</f>
        <v/>
      </c>
      <c r="R78" s="9" t="str">
        <f>IF(SUMIFS(Sheet1!$E:$E,Sheet1!$C:$C,$A78,Sheet1!$A:$A,R$2)&lt;&gt;0,SUMIFS(Sheet1!$E:$E,Sheet1!$C:$C,$A78,Sheet1!$A:$A,R$2),"")</f>
        <v/>
      </c>
      <c r="S78" s="9" t="str">
        <f>IF(SUMIFS(Sheet1!$E:$E,Sheet1!$C:$C,$A78,Sheet1!$A:$A,S$2)&lt;&gt;0,SUMIFS(Sheet1!$E:$E,Sheet1!$C:$C,$A78,Sheet1!$A:$A,S$2),"")</f>
        <v/>
      </c>
      <c r="T78" s="9" t="str">
        <f>IF(SUMIFS(Sheet1!$E:$E,Sheet1!$C:$C,$A78,Sheet1!$A:$A,T$2)&lt;&gt;0,SUMIFS(Sheet1!$E:$E,Sheet1!$C:$C,$A78,Sheet1!$A:$A,T$2),"")</f>
        <v/>
      </c>
      <c r="U78" s="9" t="str">
        <f>IF(SUMIFS(Sheet1!$E:$E,Sheet1!$C:$C,$A78,Sheet1!$A:$A,U$2)&lt;&gt;0,SUMIFS(Sheet1!$E:$E,Sheet1!$C:$C,$A78,Sheet1!$A:$A,U$2),"")</f>
        <v/>
      </c>
      <c r="V78" s="9" t="str">
        <f>IF(SUMIFS(Sheet1!$E:$E,Sheet1!$C:$C,$A78,Sheet1!$A:$A,V$2)&lt;&gt;0,SUMIFS(Sheet1!$E:$E,Sheet1!$C:$C,$A78,Sheet1!$A:$A,V$2),"")</f>
        <v/>
      </c>
      <c r="W78" s="9" t="str">
        <f>IF(SUMIFS(Sheet1!$E:$E,Sheet1!$C:$C,$A78,Sheet1!$A:$A,W$2)&lt;&gt;0,SUMIFS(Sheet1!$E:$E,Sheet1!$C:$C,$A78,Sheet1!$A:$A,W$2),"")</f>
        <v/>
      </c>
      <c r="X78" s="9" t="str">
        <f>IF(SUMIFS(Sheet1!$E:$E,Sheet1!$C:$C,$A78,Sheet1!$A:$A,X$2)&lt;&gt;0,SUMIFS(Sheet1!$E:$E,Sheet1!$C:$C,$A78,Sheet1!$A:$A,X$2),"")</f>
        <v/>
      </c>
      <c r="Y78" s="9" t="str">
        <f>IF(SUMIFS(Sheet1!$E:$E,Sheet1!$C:$C,$A78,Sheet1!$A:$A,Y$2)&lt;&gt;0,SUMIFS(Sheet1!$E:$E,Sheet1!$C:$C,$A78,Sheet1!$A:$A,Y$2),"")</f>
        <v/>
      </c>
      <c r="Z78" s="9" t="str">
        <f>IF(SUMIFS(Sheet1!$E:$E,Sheet1!$C:$C,$A78,Sheet1!$A:$A,Z$2)&lt;&gt;0,SUMIFS(Sheet1!$E:$E,Sheet1!$C:$C,$A78,Sheet1!$A:$A,Z$2),"")</f>
        <v/>
      </c>
      <c r="AA78" s="9" t="str">
        <f>IF(SUMIFS(Sheet1!$E:$E,Sheet1!$C:$C,$A78,Sheet1!$A:$A,AA$2)&lt;&gt;0,SUMIFS(Sheet1!$E:$E,Sheet1!$C:$C,$A78,Sheet1!$A:$A,AA$2),"")</f>
        <v/>
      </c>
      <c r="AB78" s="9" t="str">
        <f>IF(SUMIFS(Sheet1!$E:$E,Sheet1!$C:$C,$A78,Sheet1!$A:$A,AB$2)&lt;&gt;0,SUMIFS(Sheet1!$E:$E,Sheet1!$C:$C,$A78,Sheet1!$A:$A,AB$2),"")</f>
        <v/>
      </c>
      <c r="AC78" s="9" t="str">
        <f>IF(SUMIFS(Sheet1!$E:$E,Sheet1!$C:$C,$A78,Sheet1!$A:$A,AC$2)&lt;&gt;0,SUMIFS(Sheet1!$E:$E,Sheet1!$C:$C,$A78,Sheet1!$A:$A,AC$2),"")</f>
        <v/>
      </c>
      <c r="AD78" s="9" t="str">
        <f>IF(SUMIFS(Sheet1!$E:$E,Sheet1!$C:$C,$A78,Sheet1!$A:$A,AD$2)&lt;&gt;0,SUMIFS(Sheet1!$E:$E,Sheet1!$C:$C,$A78,Sheet1!$A:$A,AD$2),"")</f>
        <v/>
      </c>
      <c r="AE78" s="9" t="str">
        <f>IF(SUMIFS(Sheet1!$E:$E,Sheet1!$C:$C,$A78,Sheet1!$A:$A,AE$2)&lt;&gt;0,SUMIFS(Sheet1!$E:$E,Sheet1!$C:$C,$A78,Sheet1!$A:$A,AE$2),"")</f>
        <v/>
      </c>
      <c r="AF78" s="9" t="str">
        <f>IF(SUMIFS(Sheet1!$E:$E,Sheet1!$C:$C,$A78,Sheet1!$A:$A,AF$2)&lt;&gt;0,SUMIFS(Sheet1!$E:$E,Sheet1!$C:$C,$A78,Sheet1!$A:$A,AF$2),"")</f>
        <v/>
      </c>
      <c r="AG78" s="9" t="str">
        <f>IF(SUMIFS(Sheet1!$E:$E,Sheet1!$C:$C,$A78,Sheet1!$A:$A,AG$2)&lt;&gt;0,SUMIFS(Sheet1!$E:$E,Sheet1!$C:$C,$A78,Sheet1!$A:$A,AG$2),"")</f>
        <v/>
      </c>
      <c r="AH78" s="47">
        <f>SUM(Table24[[#This Row],[1]:[31]])</f>
        <v>7</v>
      </c>
    </row>
    <row r="79" spans="1:34" ht="12.75" customHeight="1">
      <c r="A79" s="24" t="str">
        <f>DSSP!A78</f>
        <v>A163</v>
      </c>
      <c r="B79" s="25" t="str">
        <f>DSSP!B78</f>
        <v>Tuần lộc đỏ</v>
      </c>
      <c r="C79" s="9">
        <f>IF(SUMIFS(Sheet1!$E:$E,Sheet1!$C:$C,$A79,Sheet1!$A:$A,C$2)&lt;&gt;0,SUMIFS(Sheet1!$E:$E,Sheet1!$C:$C,$A79,Sheet1!$A:$A,C$2),"")</f>
        <v>2</v>
      </c>
      <c r="D79" s="9" t="str">
        <f>IF(SUMIFS(Sheet1!$E:$E,Sheet1!$C:$C,$A79,Sheet1!$A:$A,D$2)&lt;&gt;0,SUMIFS(Sheet1!$E:$E,Sheet1!$C:$C,$A79,Sheet1!$A:$A,D$2),"")</f>
        <v/>
      </c>
      <c r="E79" s="9" t="str">
        <f>IF(SUMIFS(Sheet1!$E:$E,Sheet1!$C:$C,$A79,Sheet1!$A:$A,E$2)&lt;&gt;0,SUMIFS(Sheet1!$E:$E,Sheet1!$C:$C,$A79,Sheet1!$A:$A,E$2),"")</f>
        <v/>
      </c>
      <c r="F79" s="9" t="str">
        <f>IF(SUMIFS(Sheet1!$E:$E,Sheet1!$C:$C,$A79,Sheet1!$A:$A,F$2)&lt;&gt;0,SUMIFS(Sheet1!$E:$E,Sheet1!$C:$C,$A79,Sheet1!$A:$A,F$2),"")</f>
        <v/>
      </c>
      <c r="G79" s="9" t="str">
        <f>IF(SUMIFS(Sheet1!$E:$E,Sheet1!$C:$C,$A79,Sheet1!$A:$A,G$2)&lt;&gt;0,SUMIFS(Sheet1!$E:$E,Sheet1!$C:$C,$A79,Sheet1!$A:$A,G$2),"")</f>
        <v/>
      </c>
      <c r="H79" s="9" t="str">
        <f>IF(SUMIFS(Sheet1!$E:$E,Sheet1!$C:$C,$A79,Sheet1!$A:$A,H$2)&lt;&gt;0,SUMIFS(Sheet1!$E:$E,Sheet1!$C:$C,$A79,Sheet1!$A:$A,H$2),"")</f>
        <v/>
      </c>
      <c r="I79" s="9" t="str">
        <f>IF(SUMIFS(Sheet1!$E:$E,Sheet1!$C:$C,$A79,Sheet1!$A:$A,I$2)&lt;&gt;0,SUMIFS(Sheet1!$E:$E,Sheet1!$C:$C,$A79,Sheet1!$A:$A,I$2),"")</f>
        <v/>
      </c>
      <c r="J79" s="9" t="str">
        <f>IF(SUMIFS(Sheet1!$E:$E,Sheet1!$C:$C,$A79,Sheet1!$A:$A,J$2)&lt;&gt;0,SUMIFS(Sheet1!$E:$E,Sheet1!$C:$C,$A79,Sheet1!$A:$A,J$2),"")</f>
        <v/>
      </c>
      <c r="K79" s="9" t="str">
        <f>IF(SUMIFS(Sheet1!$E:$E,Sheet1!$C:$C,$A79,Sheet1!$A:$A,K$2)&lt;&gt;0,SUMIFS(Sheet1!$E:$E,Sheet1!$C:$C,$A79,Sheet1!$A:$A,K$2),"")</f>
        <v/>
      </c>
      <c r="L79" s="9" t="str">
        <f>IF(SUMIFS(Sheet1!$E:$E,Sheet1!$C:$C,$A79,Sheet1!$A:$A,L$2)&lt;&gt;0,SUMIFS(Sheet1!$E:$E,Sheet1!$C:$C,$A79,Sheet1!$A:$A,L$2),"")</f>
        <v/>
      </c>
      <c r="M79" s="9" t="str">
        <f>IF(SUMIFS(Sheet1!$E:$E,Sheet1!$C:$C,$A79,Sheet1!$A:$A,M$2)&lt;&gt;0,SUMIFS(Sheet1!$E:$E,Sheet1!$C:$C,$A79,Sheet1!$A:$A,M$2),"")</f>
        <v/>
      </c>
      <c r="N79" s="9" t="str">
        <f>IF(SUMIFS(Sheet1!$E:$E,Sheet1!$C:$C,$A79,Sheet1!$A:$A,N$2)&lt;&gt;0,SUMIFS(Sheet1!$E:$E,Sheet1!$C:$C,$A79,Sheet1!$A:$A,N$2),"")</f>
        <v/>
      </c>
      <c r="O79" s="9" t="str">
        <f>IF(SUMIFS(Sheet1!$E:$E,Sheet1!$C:$C,$A79,Sheet1!$A:$A,O$2)&lt;&gt;0,SUMIFS(Sheet1!$E:$E,Sheet1!$C:$C,$A79,Sheet1!$A:$A,O$2),"")</f>
        <v/>
      </c>
      <c r="P79" s="9" t="str">
        <f>IF(SUMIFS(Sheet1!$E:$E,Sheet1!$C:$C,$A79,Sheet1!$A:$A,P$2)&lt;&gt;0,SUMIFS(Sheet1!$E:$E,Sheet1!$C:$C,$A79,Sheet1!$A:$A,P$2),"")</f>
        <v/>
      </c>
      <c r="Q79" s="9" t="str">
        <f>IF(SUMIFS(Sheet1!$E:$E,Sheet1!$C:$C,$A79,Sheet1!$A:$A,Q$2)&lt;&gt;0,SUMIFS(Sheet1!$E:$E,Sheet1!$C:$C,$A79,Sheet1!$A:$A,Q$2),"")</f>
        <v/>
      </c>
      <c r="R79" s="9" t="str">
        <f>IF(SUMIFS(Sheet1!$E:$E,Sheet1!$C:$C,$A79,Sheet1!$A:$A,R$2)&lt;&gt;0,SUMIFS(Sheet1!$E:$E,Sheet1!$C:$C,$A79,Sheet1!$A:$A,R$2),"")</f>
        <v/>
      </c>
      <c r="S79" s="9" t="str">
        <f>IF(SUMIFS(Sheet1!$E:$E,Sheet1!$C:$C,$A79,Sheet1!$A:$A,S$2)&lt;&gt;0,SUMIFS(Sheet1!$E:$E,Sheet1!$C:$C,$A79,Sheet1!$A:$A,S$2),"")</f>
        <v/>
      </c>
      <c r="T79" s="9" t="str">
        <f>IF(SUMIFS(Sheet1!$E:$E,Sheet1!$C:$C,$A79,Sheet1!$A:$A,T$2)&lt;&gt;0,SUMIFS(Sheet1!$E:$E,Sheet1!$C:$C,$A79,Sheet1!$A:$A,T$2),"")</f>
        <v/>
      </c>
      <c r="U79" s="9" t="str">
        <f>IF(SUMIFS(Sheet1!$E:$E,Sheet1!$C:$C,$A79,Sheet1!$A:$A,U$2)&lt;&gt;0,SUMIFS(Sheet1!$E:$E,Sheet1!$C:$C,$A79,Sheet1!$A:$A,U$2),"")</f>
        <v/>
      </c>
      <c r="V79" s="9" t="str">
        <f>IF(SUMIFS(Sheet1!$E:$E,Sheet1!$C:$C,$A79,Sheet1!$A:$A,V$2)&lt;&gt;0,SUMIFS(Sheet1!$E:$E,Sheet1!$C:$C,$A79,Sheet1!$A:$A,V$2),"")</f>
        <v/>
      </c>
      <c r="W79" s="9" t="str">
        <f>IF(SUMIFS(Sheet1!$E:$E,Sheet1!$C:$C,$A79,Sheet1!$A:$A,W$2)&lt;&gt;0,SUMIFS(Sheet1!$E:$E,Sheet1!$C:$C,$A79,Sheet1!$A:$A,W$2),"")</f>
        <v/>
      </c>
      <c r="X79" s="9" t="str">
        <f>IF(SUMIFS(Sheet1!$E:$E,Sheet1!$C:$C,$A79,Sheet1!$A:$A,X$2)&lt;&gt;0,SUMIFS(Sheet1!$E:$E,Sheet1!$C:$C,$A79,Sheet1!$A:$A,X$2),"")</f>
        <v/>
      </c>
      <c r="Y79" s="9" t="str">
        <f>IF(SUMIFS(Sheet1!$E:$E,Sheet1!$C:$C,$A79,Sheet1!$A:$A,Y$2)&lt;&gt;0,SUMIFS(Sheet1!$E:$E,Sheet1!$C:$C,$A79,Sheet1!$A:$A,Y$2),"")</f>
        <v/>
      </c>
      <c r="Z79" s="9" t="str">
        <f>IF(SUMIFS(Sheet1!$E:$E,Sheet1!$C:$C,$A79,Sheet1!$A:$A,Z$2)&lt;&gt;0,SUMIFS(Sheet1!$E:$E,Sheet1!$C:$C,$A79,Sheet1!$A:$A,Z$2),"")</f>
        <v/>
      </c>
      <c r="AA79" s="9" t="str">
        <f>IF(SUMIFS(Sheet1!$E:$E,Sheet1!$C:$C,$A79,Sheet1!$A:$A,AA$2)&lt;&gt;0,SUMIFS(Sheet1!$E:$E,Sheet1!$C:$C,$A79,Sheet1!$A:$A,AA$2),"")</f>
        <v/>
      </c>
      <c r="AB79" s="9" t="str">
        <f>IF(SUMIFS(Sheet1!$E:$E,Sheet1!$C:$C,$A79,Sheet1!$A:$A,AB$2)&lt;&gt;0,SUMIFS(Sheet1!$E:$E,Sheet1!$C:$C,$A79,Sheet1!$A:$A,AB$2),"")</f>
        <v/>
      </c>
      <c r="AC79" s="9" t="str">
        <f>IF(SUMIFS(Sheet1!$E:$E,Sheet1!$C:$C,$A79,Sheet1!$A:$A,AC$2)&lt;&gt;0,SUMIFS(Sheet1!$E:$E,Sheet1!$C:$C,$A79,Sheet1!$A:$A,AC$2),"")</f>
        <v/>
      </c>
      <c r="AD79" s="9" t="str">
        <f>IF(SUMIFS(Sheet1!$E:$E,Sheet1!$C:$C,$A79,Sheet1!$A:$A,AD$2)&lt;&gt;0,SUMIFS(Sheet1!$E:$E,Sheet1!$C:$C,$A79,Sheet1!$A:$A,AD$2),"")</f>
        <v/>
      </c>
      <c r="AE79" s="9" t="str">
        <f>IF(SUMIFS(Sheet1!$E:$E,Sheet1!$C:$C,$A79,Sheet1!$A:$A,AE$2)&lt;&gt;0,SUMIFS(Sheet1!$E:$E,Sheet1!$C:$C,$A79,Sheet1!$A:$A,AE$2),"")</f>
        <v/>
      </c>
      <c r="AF79" s="9" t="str">
        <f>IF(SUMIFS(Sheet1!$E:$E,Sheet1!$C:$C,$A79,Sheet1!$A:$A,AF$2)&lt;&gt;0,SUMIFS(Sheet1!$E:$E,Sheet1!$C:$C,$A79,Sheet1!$A:$A,AF$2),"")</f>
        <v/>
      </c>
      <c r="AG79" s="9" t="str">
        <f>IF(SUMIFS(Sheet1!$E:$E,Sheet1!$C:$C,$A79,Sheet1!$A:$A,AG$2)&lt;&gt;0,SUMIFS(Sheet1!$E:$E,Sheet1!$C:$C,$A79,Sheet1!$A:$A,AG$2),"")</f>
        <v/>
      </c>
      <c r="AH79" s="47">
        <f>SUM(Table24[[#This Row],[1]:[31]])</f>
        <v>2</v>
      </c>
    </row>
    <row r="80" spans="1:34" ht="12.75" customHeight="1">
      <c r="A80" s="24" t="str">
        <f>DSSP!A79</f>
        <v>A164</v>
      </c>
      <c r="B80" s="25" t="str">
        <f>DSSP!B79</f>
        <v>Quả cầu Noel</v>
      </c>
      <c r="C80" s="9">
        <f>IF(SUMIFS(Sheet1!$E:$E,Sheet1!$C:$C,$A80,Sheet1!$A:$A,C$2)&lt;&gt;0,SUMIFS(Sheet1!$E:$E,Sheet1!$C:$C,$A80,Sheet1!$A:$A,C$2),"")</f>
        <v>5</v>
      </c>
      <c r="D80" s="9" t="str">
        <f>IF(SUMIFS(Sheet1!$E:$E,Sheet1!$C:$C,$A80,Sheet1!$A:$A,D$2)&lt;&gt;0,SUMIFS(Sheet1!$E:$E,Sheet1!$C:$C,$A80,Sheet1!$A:$A,D$2),"")</f>
        <v/>
      </c>
      <c r="E80" s="9" t="str">
        <f>IF(SUMIFS(Sheet1!$E:$E,Sheet1!$C:$C,$A80,Sheet1!$A:$A,E$2)&lt;&gt;0,SUMIFS(Sheet1!$E:$E,Sheet1!$C:$C,$A80,Sheet1!$A:$A,E$2),"")</f>
        <v/>
      </c>
      <c r="F80" s="9" t="str">
        <f>IF(SUMIFS(Sheet1!$E:$E,Sheet1!$C:$C,$A80,Sheet1!$A:$A,F$2)&lt;&gt;0,SUMIFS(Sheet1!$E:$E,Sheet1!$C:$C,$A80,Sheet1!$A:$A,F$2),"")</f>
        <v/>
      </c>
      <c r="G80" s="9" t="str">
        <f>IF(SUMIFS(Sheet1!$E:$E,Sheet1!$C:$C,$A80,Sheet1!$A:$A,G$2)&lt;&gt;0,SUMIFS(Sheet1!$E:$E,Sheet1!$C:$C,$A80,Sheet1!$A:$A,G$2),"")</f>
        <v/>
      </c>
      <c r="H80" s="9" t="str">
        <f>IF(SUMIFS(Sheet1!$E:$E,Sheet1!$C:$C,$A80,Sheet1!$A:$A,H$2)&lt;&gt;0,SUMIFS(Sheet1!$E:$E,Sheet1!$C:$C,$A80,Sheet1!$A:$A,H$2),"")</f>
        <v/>
      </c>
      <c r="I80" s="9" t="str">
        <f>IF(SUMIFS(Sheet1!$E:$E,Sheet1!$C:$C,$A80,Sheet1!$A:$A,I$2)&lt;&gt;0,SUMIFS(Sheet1!$E:$E,Sheet1!$C:$C,$A80,Sheet1!$A:$A,I$2),"")</f>
        <v/>
      </c>
      <c r="J80" s="9" t="str">
        <f>IF(SUMIFS(Sheet1!$E:$E,Sheet1!$C:$C,$A80,Sheet1!$A:$A,J$2)&lt;&gt;0,SUMIFS(Sheet1!$E:$E,Sheet1!$C:$C,$A80,Sheet1!$A:$A,J$2),"")</f>
        <v/>
      </c>
      <c r="K80" s="9" t="str">
        <f>IF(SUMIFS(Sheet1!$E:$E,Sheet1!$C:$C,$A80,Sheet1!$A:$A,K$2)&lt;&gt;0,SUMIFS(Sheet1!$E:$E,Sheet1!$C:$C,$A80,Sheet1!$A:$A,K$2),"")</f>
        <v/>
      </c>
      <c r="L80" s="9" t="str">
        <f>IF(SUMIFS(Sheet1!$E:$E,Sheet1!$C:$C,$A80,Sheet1!$A:$A,L$2)&lt;&gt;0,SUMIFS(Sheet1!$E:$E,Sheet1!$C:$C,$A80,Sheet1!$A:$A,L$2),"")</f>
        <v/>
      </c>
      <c r="M80" s="9" t="str">
        <f>IF(SUMIFS(Sheet1!$E:$E,Sheet1!$C:$C,$A80,Sheet1!$A:$A,M$2)&lt;&gt;0,SUMIFS(Sheet1!$E:$E,Sheet1!$C:$C,$A80,Sheet1!$A:$A,M$2),"")</f>
        <v/>
      </c>
      <c r="N80" s="9" t="str">
        <f>IF(SUMIFS(Sheet1!$E:$E,Sheet1!$C:$C,$A80,Sheet1!$A:$A,N$2)&lt;&gt;0,SUMIFS(Sheet1!$E:$E,Sheet1!$C:$C,$A80,Sheet1!$A:$A,N$2),"")</f>
        <v/>
      </c>
      <c r="O80" s="9" t="str">
        <f>IF(SUMIFS(Sheet1!$E:$E,Sheet1!$C:$C,$A80,Sheet1!$A:$A,O$2)&lt;&gt;0,SUMIFS(Sheet1!$E:$E,Sheet1!$C:$C,$A80,Sheet1!$A:$A,O$2),"")</f>
        <v/>
      </c>
      <c r="P80" s="9" t="str">
        <f>IF(SUMIFS(Sheet1!$E:$E,Sheet1!$C:$C,$A80,Sheet1!$A:$A,P$2)&lt;&gt;0,SUMIFS(Sheet1!$E:$E,Sheet1!$C:$C,$A80,Sheet1!$A:$A,P$2),"")</f>
        <v/>
      </c>
      <c r="Q80" s="9" t="str">
        <f>IF(SUMIFS(Sheet1!$E:$E,Sheet1!$C:$C,$A80,Sheet1!$A:$A,Q$2)&lt;&gt;0,SUMIFS(Sheet1!$E:$E,Sheet1!$C:$C,$A80,Sheet1!$A:$A,Q$2),"")</f>
        <v/>
      </c>
      <c r="R80" s="9" t="str">
        <f>IF(SUMIFS(Sheet1!$E:$E,Sheet1!$C:$C,$A80,Sheet1!$A:$A,R$2)&lt;&gt;0,SUMIFS(Sheet1!$E:$E,Sheet1!$C:$C,$A80,Sheet1!$A:$A,R$2),"")</f>
        <v/>
      </c>
      <c r="S80" s="9" t="str">
        <f>IF(SUMIFS(Sheet1!$E:$E,Sheet1!$C:$C,$A80,Sheet1!$A:$A,S$2)&lt;&gt;0,SUMIFS(Sheet1!$E:$E,Sheet1!$C:$C,$A80,Sheet1!$A:$A,S$2),"")</f>
        <v/>
      </c>
      <c r="T80" s="9" t="str">
        <f>IF(SUMIFS(Sheet1!$E:$E,Sheet1!$C:$C,$A80,Sheet1!$A:$A,T$2)&lt;&gt;0,SUMIFS(Sheet1!$E:$E,Sheet1!$C:$C,$A80,Sheet1!$A:$A,T$2),"")</f>
        <v/>
      </c>
      <c r="U80" s="9" t="str">
        <f>IF(SUMIFS(Sheet1!$E:$E,Sheet1!$C:$C,$A80,Sheet1!$A:$A,U$2)&lt;&gt;0,SUMIFS(Sheet1!$E:$E,Sheet1!$C:$C,$A80,Sheet1!$A:$A,U$2),"")</f>
        <v/>
      </c>
      <c r="V80" s="9" t="str">
        <f>IF(SUMIFS(Sheet1!$E:$E,Sheet1!$C:$C,$A80,Sheet1!$A:$A,V$2)&lt;&gt;0,SUMIFS(Sheet1!$E:$E,Sheet1!$C:$C,$A80,Sheet1!$A:$A,V$2),"")</f>
        <v/>
      </c>
      <c r="W80" s="9" t="str">
        <f>IF(SUMIFS(Sheet1!$E:$E,Sheet1!$C:$C,$A80,Sheet1!$A:$A,W$2)&lt;&gt;0,SUMIFS(Sheet1!$E:$E,Sheet1!$C:$C,$A80,Sheet1!$A:$A,W$2),"")</f>
        <v/>
      </c>
      <c r="X80" s="9" t="str">
        <f>IF(SUMIFS(Sheet1!$E:$E,Sheet1!$C:$C,$A80,Sheet1!$A:$A,X$2)&lt;&gt;0,SUMIFS(Sheet1!$E:$E,Sheet1!$C:$C,$A80,Sheet1!$A:$A,X$2),"")</f>
        <v/>
      </c>
      <c r="Y80" s="9" t="str">
        <f>IF(SUMIFS(Sheet1!$E:$E,Sheet1!$C:$C,$A80,Sheet1!$A:$A,Y$2)&lt;&gt;0,SUMIFS(Sheet1!$E:$E,Sheet1!$C:$C,$A80,Sheet1!$A:$A,Y$2),"")</f>
        <v/>
      </c>
      <c r="Z80" s="9" t="str">
        <f>IF(SUMIFS(Sheet1!$E:$E,Sheet1!$C:$C,$A80,Sheet1!$A:$A,Z$2)&lt;&gt;0,SUMIFS(Sheet1!$E:$E,Sheet1!$C:$C,$A80,Sheet1!$A:$A,Z$2),"")</f>
        <v/>
      </c>
      <c r="AA80" s="9" t="str">
        <f>IF(SUMIFS(Sheet1!$E:$E,Sheet1!$C:$C,$A80,Sheet1!$A:$A,AA$2)&lt;&gt;0,SUMIFS(Sheet1!$E:$E,Sheet1!$C:$C,$A80,Sheet1!$A:$A,AA$2),"")</f>
        <v/>
      </c>
      <c r="AB80" s="9" t="str">
        <f>IF(SUMIFS(Sheet1!$E:$E,Sheet1!$C:$C,$A80,Sheet1!$A:$A,AB$2)&lt;&gt;0,SUMIFS(Sheet1!$E:$E,Sheet1!$C:$C,$A80,Sheet1!$A:$A,AB$2),"")</f>
        <v/>
      </c>
      <c r="AC80" s="9" t="str">
        <f>IF(SUMIFS(Sheet1!$E:$E,Sheet1!$C:$C,$A80,Sheet1!$A:$A,AC$2)&lt;&gt;0,SUMIFS(Sheet1!$E:$E,Sheet1!$C:$C,$A80,Sheet1!$A:$A,AC$2),"")</f>
        <v/>
      </c>
      <c r="AD80" s="9" t="str">
        <f>IF(SUMIFS(Sheet1!$E:$E,Sheet1!$C:$C,$A80,Sheet1!$A:$A,AD$2)&lt;&gt;0,SUMIFS(Sheet1!$E:$E,Sheet1!$C:$C,$A80,Sheet1!$A:$A,AD$2),"")</f>
        <v/>
      </c>
      <c r="AE80" s="9" t="str">
        <f>IF(SUMIFS(Sheet1!$E:$E,Sheet1!$C:$C,$A80,Sheet1!$A:$A,AE$2)&lt;&gt;0,SUMIFS(Sheet1!$E:$E,Sheet1!$C:$C,$A80,Sheet1!$A:$A,AE$2),"")</f>
        <v/>
      </c>
      <c r="AF80" s="9" t="str">
        <f>IF(SUMIFS(Sheet1!$E:$E,Sheet1!$C:$C,$A80,Sheet1!$A:$A,AF$2)&lt;&gt;0,SUMIFS(Sheet1!$E:$E,Sheet1!$C:$C,$A80,Sheet1!$A:$A,AF$2),"")</f>
        <v/>
      </c>
      <c r="AG80" s="9" t="str">
        <f>IF(SUMIFS(Sheet1!$E:$E,Sheet1!$C:$C,$A80,Sheet1!$A:$A,AG$2)&lt;&gt;0,SUMIFS(Sheet1!$E:$E,Sheet1!$C:$C,$A80,Sheet1!$A:$A,AG$2),"")</f>
        <v/>
      </c>
      <c r="AH80" s="47">
        <f>SUM(Table24[[#This Row],[1]:[31]])</f>
        <v>5</v>
      </c>
    </row>
    <row r="81" spans="1:34" ht="12.75" customHeight="1">
      <c r="A81" s="24" t="str">
        <f>DSSP!A80</f>
        <v>A165</v>
      </c>
      <c r="B81" s="25" t="str">
        <f>DSSP!B80</f>
        <v>Găng tất Noel</v>
      </c>
      <c r="C81" s="9" t="str">
        <f>IF(SUMIFS(Sheet1!$E:$E,Sheet1!$C:$C,$A81,Sheet1!$A:$A,C$2)&lt;&gt;0,SUMIFS(Sheet1!$E:$E,Sheet1!$C:$C,$A81,Sheet1!$A:$A,C$2),"")</f>
        <v/>
      </c>
      <c r="D81" s="9" t="str">
        <f>IF(SUMIFS(Sheet1!$E:$E,Sheet1!$C:$C,$A81,Sheet1!$A:$A,D$2)&lt;&gt;0,SUMIFS(Sheet1!$E:$E,Sheet1!$C:$C,$A81,Sheet1!$A:$A,D$2),"")</f>
        <v/>
      </c>
      <c r="E81" s="9" t="str">
        <f>IF(SUMIFS(Sheet1!$E:$E,Sheet1!$C:$C,$A81,Sheet1!$A:$A,E$2)&lt;&gt;0,SUMIFS(Sheet1!$E:$E,Sheet1!$C:$C,$A81,Sheet1!$A:$A,E$2),"")</f>
        <v/>
      </c>
      <c r="F81" s="9" t="str">
        <f>IF(SUMIFS(Sheet1!$E:$E,Sheet1!$C:$C,$A81,Sheet1!$A:$A,F$2)&lt;&gt;0,SUMIFS(Sheet1!$E:$E,Sheet1!$C:$C,$A81,Sheet1!$A:$A,F$2),"")</f>
        <v/>
      </c>
      <c r="G81" s="9" t="str">
        <f>IF(SUMIFS(Sheet1!$E:$E,Sheet1!$C:$C,$A81,Sheet1!$A:$A,G$2)&lt;&gt;0,SUMIFS(Sheet1!$E:$E,Sheet1!$C:$C,$A81,Sheet1!$A:$A,G$2),"")</f>
        <v/>
      </c>
      <c r="H81" s="9" t="str">
        <f>IF(SUMIFS(Sheet1!$E:$E,Sheet1!$C:$C,$A81,Sheet1!$A:$A,H$2)&lt;&gt;0,SUMIFS(Sheet1!$E:$E,Sheet1!$C:$C,$A81,Sheet1!$A:$A,H$2),"")</f>
        <v/>
      </c>
      <c r="I81" s="9" t="str">
        <f>IF(SUMIFS(Sheet1!$E:$E,Sheet1!$C:$C,$A81,Sheet1!$A:$A,I$2)&lt;&gt;0,SUMIFS(Sheet1!$E:$E,Sheet1!$C:$C,$A81,Sheet1!$A:$A,I$2),"")</f>
        <v/>
      </c>
      <c r="J81" s="9" t="str">
        <f>IF(SUMIFS(Sheet1!$E:$E,Sheet1!$C:$C,$A81,Sheet1!$A:$A,J$2)&lt;&gt;0,SUMIFS(Sheet1!$E:$E,Sheet1!$C:$C,$A81,Sheet1!$A:$A,J$2),"")</f>
        <v/>
      </c>
      <c r="K81" s="9" t="str">
        <f>IF(SUMIFS(Sheet1!$E:$E,Sheet1!$C:$C,$A81,Sheet1!$A:$A,K$2)&lt;&gt;0,SUMIFS(Sheet1!$E:$E,Sheet1!$C:$C,$A81,Sheet1!$A:$A,K$2),"")</f>
        <v/>
      </c>
      <c r="L81" s="9" t="str">
        <f>IF(SUMIFS(Sheet1!$E:$E,Sheet1!$C:$C,$A81,Sheet1!$A:$A,L$2)&lt;&gt;0,SUMIFS(Sheet1!$E:$E,Sheet1!$C:$C,$A81,Sheet1!$A:$A,L$2),"")</f>
        <v/>
      </c>
      <c r="M81" s="9" t="str">
        <f>IF(SUMIFS(Sheet1!$E:$E,Sheet1!$C:$C,$A81,Sheet1!$A:$A,M$2)&lt;&gt;0,SUMIFS(Sheet1!$E:$E,Sheet1!$C:$C,$A81,Sheet1!$A:$A,M$2),"")</f>
        <v/>
      </c>
      <c r="N81" s="9" t="str">
        <f>IF(SUMIFS(Sheet1!$E:$E,Sheet1!$C:$C,$A81,Sheet1!$A:$A,N$2)&lt;&gt;0,SUMIFS(Sheet1!$E:$E,Sheet1!$C:$C,$A81,Sheet1!$A:$A,N$2),"")</f>
        <v/>
      </c>
      <c r="O81" s="9" t="str">
        <f>IF(SUMIFS(Sheet1!$E:$E,Sheet1!$C:$C,$A81,Sheet1!$A:$A,O$2)&lt;&gt;0,SUMIFS(Sheet1!$E:$E,Sheet1!$C:$C,$A81,Sheet1!$A:$A,O$2),"")</f>
        <v/>
      </c>
      <c r="P81" s="9" t="str">
        <f>IF(SUMIFS(Sheet1!$E:$E,Sheet1!$C:$C,$A81,Sheet1!$A:$A,P$2)&lt;&gt;0,SUMIFS(Sheet1!$E:$E,Sheet1!$C:$C,$A81,Sheet1!$A:$A,P$2),"")</f>
        <v/>
      </c>
      <c r="Q81" s="9" t="str">
        <f>IF(SUMIFS(Sheet1!$E:$E,Sheet1!$C:$C,$A81,Sheet1!$A:$A,Q$2)&lt;&gt;0,SUMIFS(Sheet1!$E:$E,Sheet1!$C:$C,$A81,Sheet1!$A:$A,Q$2),"")</f>
        <v/>
      </c>
      <c r="R81" s="9" t="str">
        <f>IF(SUMIFS(Sheet1!$E:$E,Sheet1!$C:$C,$A81,Sheet1!$A:$A,R$2)&lt;&gt;0,SUMIFS(Sheet1!$E:$E,Sheet1!$C:$C,$A81,Sheet1!$A:$A,R$2),"")</f>
        <v/>
      </c>
      <c r="S81" s="9" t="str">
        <f>IF(SUMIFS(Sheet1!$E:$E,Sheet1!$C:$C,$A81,Sheet1!$A:$A,S$2)&lt;&gt;0,SUMIFS(Sheet1!$E:$E,Sheet1!$C:$C,$A81,Sheet1!$A:$A,S$2),"")</f>
        <v/>
      </c>
      <c r="T81" s="9" t="str">
        <f>IF(SUMIFS(Sheet1!$E:$E,Sheet1!$C:$C,$A81,Sheet1!$A:$A,T$2)&lt;&gt;0,SUMIFS(Sheet1!$E:$E,Sheet1!$C:$C,$A81,Sheet1!$A:$A,T$2),"")</f>
        <v/>
      </c>
      <c r="U81" s="9" t="str">
        <f>IF(SUMIFS(Sheet1!$E:$E,Sheet1!$C:$C,$A81,Sheet1!$A:$A,U$2)&lt;&gt;0,SUMIFS(Sheet1!$E:$E,Sheet1!$C:$C,$A81,Sheet1!$A:$A,U$2),"")</f>
        <v/>
      </c>
      <c r="V81" s="9" t="str">
        <f>IF(SUMIFS(Sheet1!$E:$E,Sheet1!$C:$C,$A81,Sheet1!$A:$A,V$2)&lt;&gt;0,SUMIFS(Sheet1!$E:$E,Sheet1!$C:$C,$A81,Sheet1!$A:$A,V$2),"")</f>
        <v/>
      </c>
      <c r="W81" s="9" t="str">
        <f>IF(SUMIFS(Sheet1!$E:$E,Sheet1!$C:$C,$A81,Sheet1!$A:$A,W$2)&lt;&gt;0,SUMIFS(Sheet1!$E:$E,Sheet1!$C:$C,$A81,Sheet1!$A:$A,W$2),"")</f>
        <v/>
      </c>
      <c r="X81" s="9" t="str">
        <f>IF(SUMIFS(Sheet1!$E:$E,Sheet1!$C:$C,$A81,Sheet1!$A:$A,X$2)&lt;&gt;0,SUMIFS(Sheet1!$E:$E,Sheet1!$C:$C,$A81,Sheet1!$A:$A,X$2),"")</f>
        <v/>
      </c>
      <c r="Y81" s="9" t="str">
        <f>IF(SUMIFS(Sheet1!$E:$E,Sheet1!$C:$C,$A81,Sheet1!$A:$A,Y$2)&lt;&gt;0,SUMIFS(Sheet1!$E:$E,Sheet1!$C:$C,$A81,Sheet1!$A:$A,Y$2),"")</f>
        <v/>
      </c>
      <c r="Z81" s="9" t="str">
        <f>IF(SUMIFS(Sheet1!$E:$E,Sheet1!$C:$C,$A81,Sheet1!$A:$A,Z$2)&lt;&gt;0,SUMIFS(Sheet1!$E:$E,Sheet1!$C:$C,$A81,Sheet1!$A:$A,Z$2),"")</f>
        <v/>
      </c>
      <c r="AA81" s="9" t="str">
        <f>IF(SUMIFS(Sheet1!$E:$E,Sheet1!$C:$C,$A81,Sheet1!$A:$A,AA$2)&lt;&gt;0,SUMIFS(Sheet1!$E:$E,Sheet1!$C:$C,$A81,Sheet1!$A:$A,AA$2),"")</f>
        <v/>
      </c>
      <c r="AB81" s="9" t="str">
        <f>IF(SUMIFS(Sheet1!$E:$E,Sheet1!$C:$C,$A81,Sheet1!$A:$A,AB$2)&lt;&gt;0,SUMIFS(Sheet1!$E:$E,Sheet1!$C:$C,$A81,Sheet1!$A:$A,AB$2),"")</f>
        <v/>
      </c>
      <c r="AC81" s="9" t="str">
        <f>IF(SUMIFS(Sheet1!$E:$E,Sheet1!$C:$C,$A81,Sheet1!$A:$A,AC$2)&lt;&gt;0,SUMIFS(Sheet1!$E:$E,Sheet1!$C:$C,$A81,Sheet1!$A:$A,AC$2),"")</f>
        <v/>
      </c>
      <c r="AD81" s="9" t="str">
        <f>IF(SUMIFS(Sheet1!$E:$E,Sheet1!$C:$C,$A81,Sheet1!$A:$A,AD$2)&lt;&gt;0,SUMIFS(Sheet1!$E:$E,Sheet1!$C:$C,$A81,Sheet1!$A:$A,AD$2),"")</f>
        <v/>
      </c>
      <c r="AE81" s="9" t="str">
        <f>IF(SUMIFS(Sheet1!$E:$E,Sheet1!$C:$C,$A81,Sheet1!$A:$A,AE$2)&lt;&gt;0,SUMIFS(Sheet1!$E:$E,Sheet1!$C:$C,$A81,Sheet1!$A:$A,AE$2),"")</f>
        <v/>
      </c>
      <c r="AF81" s="9" t="str">
        <f>IF(SUMIFS(Sheet1!$E:$E,Sheet1!$C:$C,$A81,Sheet1!$A:$A,AF$2)&lt;&gt;0,SUMIFS(Sheet1!$E:$E,Sheet1!$C:$C,$A81,Sheet1!$A:$A,AF$2),"")</f>
        <v/>
      </c>
      <c r="AG81" s="9" t="str">
        <f>IF(SUMIFS(Sheet1!$E:$E,Sheet1!$C:$C,$A81,Sheet1!$A:$A,AG$2)&lt;&gt;0,SUMIFS(Sheet1!$E:$E,Sheet1!$C:$C,$A81,Sheet1!$A:$A,AG$2),"")</f>
        <v/>
      </c>
      <c r="AH81" s="47">
        <f>SUM(Table24[[#This Row],[1]:[31]])</f>
        <v>0</v>
      </c>
    </row>
    <row r="82" spans="1:34" ht="12.75" customHeight="1">
      <c r="A82" s="24" t="str">
        <f>DSSP!A81</f>
        <v>A093</v>
      </c>
      <c r="B82" s="25" t="str">
        <f>DSSP!B81</f>
        <v>Cây thông</v>
      </c>
      <c r="C82" s="9" t="str">
        <f>IF(SUMIFS(Sheet1!$E:$E,Sheet1!$C:$C,$A82,Sheet1!$A:$A,C$2)&lt;&gt;0,SUMIFS(Sheet1!$E:$E,Sheet1!$C:$C,$A82,Sheet1!$A:$A,C$2),"")</f>
        <v/>
      </c>
      <c r="D82" s="9" t="str">
        <f>IF(SUMIFS(Sheet1!$E:$E,Sheet1!$C:$C,$A82,Sheet1!$A:$A,D$2)&lt;&gt;0,SUMIFS(Sheet1!$E:$E,Sheet1!$C:$C,$A82,Sheet1!$A:$A,D$2),"")</f>
        <v/>
      </c>
      <c r="E82" s="9" t="str">
        <f>IF(SUMIFS(Sheet1!$E:$E,Sheet1!$C:$C,$A82,Sheet1!$A:$A,E$2)&lt;&gt;0,SUMIFS(Sheet1!$E:$E,Sheet1!$C:$C,$A82,Sheet1!$A:$A,E$2),"")</f>
        <v/>
      </c>
      <c r="F82" s="9" t="str">
        <f>IF(SUMIFS(Sheet1!$E:$E,Sheet1!$C:$C,$A82,Sheet1!$A:$A,F$2)&lt;&gt;0,SUMIFS(Sheet1!$E:$E,Sheet1!$C:$C,$A82,Sheet1!$A:$A,F$2),"")</f>
        <v/>
      </c>
      <c r="G82" s="9" t="str">
        <f>IF(SUMIFS(Sheet1!$E:$E,Sheet1!$C:$C,$A82,Sheet1!$A:$A,G$2)&lt;&gt;0,SUMIFS(Sheet1!$E:$E,Sheet1!$C:$C,$A82,Sheet1!$A:$A,G$2),"")</f>
        <v/>
      </c>
      <c r="H82" s="9" t="str">
        <f>IF(SUMIFS(Sheet1!$E:$E,Sheet1!$C:$C,$A82,Sheet1!$A:$A,H$2)&lt;&gt;0,SUMIFS(Sheet1!$E:$E,Sheet1!$C:$C,$A82,Sheet1!$A:$A,H$2),"")</f>
        <v/>
      </c>
      <c r="I82" s="9" t="str">
        <f>IF(SUMIFS(Sheet1!$E:$E,Sheet1!$C:$C,$A82,Sheet1!$A:$A,I$2)&lt;&gt;0,SUMIFS(Sheet1!$E:$E,Sheet1!$C:$C,$A82,Sheet1!$A:$A,I$2),"")</f>
        <v/>
      </c>
      <c r="J82" s="9" t="str">
        <f>IF(SUMIFS(Sheet1!$E:$E,Sheet1!$C:$C,$A82,Sheet1!$A:$A,J$2)&lt;&gt;0,SUMIFS(Sheet1!$E:$E,Sheet1!$C:$C,$A82,Sheet1!$A:$A,J$2),"")</f>
        <v/>
      </c>
      <c r="K82" s="9" t="str">
        <f>IF(SUMIFS(Sheet1!$E:$E,Sheet1!$C:$C,$A82,Sheet1!$A:$A,K$2)&lt;&gt;0,SUMIFS(Sheet1!$E:$E,Sheet1!$C:$C,$A82,Sheet1!$A:$A,K$2),"")</f>
        <v/>
      </c>
      <c r="L82" s="9" t="str">
        <f>IF(SUMIFS(Sheet1!$E:$E,Sheet1!$C:$C,$A82,Sheet1!$A:$A,L$2)&lt;&gt;0,SUMIFS(Sheet1!$E:$E,Sheet1!$C:$C,$A82,Sheet1!$A:$A,L$2),"")</f>
        <v/>
      </c>
      <c r="M82" s="9" t="str">
        <f>IF(SUMIFS(Sheet1!$E:$E,Sheet1!$C:$C,$A82,Sheet1!$A:$A,M$2)&lt;&gt;0,SUMIFS(Sheet1!$E:$E,Sheet1!$C:$C,$A82,Sheet1!$A:$A,M$2),"")</f>
        <v/>
      </c>
      <c r="N82" s="9" t="str">
        <f>IF(SUMIFS(Sheet1!$E:$E,Sheet1!$C:$C,$A82,Sheet1!$A:$A,N$2)&lt;&gt;0,SUMIFS(Sheet1!$E:$E,Sheet1!$C:$C,$A82,Sheet1!$A:$A,N$2),"")</f>
        <v/>
      </c>
      <c r="O82" s="9" t="str">
        <f>IF(SUMIFS(Sheet1!$E:$E,Sheet1!$C:$C,$A82,Sheet1!$A:$A,O$2)&lt;&gt;0,SUMIFS(Sheet1!$E:$E,Sheet1!$C:$C,$A82,Sheet1!$A:$A,O$2),"")</f>
        <v/>
      </c>
      <c r="P82" s="9" t="str">
        <f>IF(SUMIFS(Sheet1!$E:$E,Sheet1!$C:$C,$A82,Sheet1!$A:$A,P$2)&lt;&gt;0,SUMIFS(Sheet1!$E:$E,Sheet1!$C:$C,$A82,Sheet1!$A:$A,P$2),"")</f>
        <v/>
      </c>
      <c r="Q82" s="9" t="str">
        <f>IF(SUMIFS(Sheet1!$E:$E,Sheet1!$C:$C,$A82,Sheet1!$A:$A,Q$2)&lt;&gt;0,SUMIFS(Sheet1!$E:$E,Sheet1!$C:$C,$A82,Sheet1!$A:$A,Q$2),"")</f>
        <v/>
      </c>
      <c r="R82" s="9" t="str">
        <f>IF(SUMIFS(Sheet1!$E:$E,Sheet1!$C:$C,$A82,Sheet1!$A:$A,R$2)&lt;&gt;0,SUMIFS(Sheet1!$E:$E,Sheet1!$C:$C,$A82,Sheet1!$A:$A,R$2),"")</f>
        <v/>
      </c>
      <c r="S82" s="9" t="str">
        <f>IF(SUMIFS(Sheet1!$E:$E,Sheet1!$C:$C,$A82,Sheet1!$A:$A,S$2)&lt;&gt;0,SUMIFS(Sheet1!$E:$E,Sheet1!$C:$C,$A82,Sheet1!$A:$A,S$2),"")</f>
        <v/>
      </c>
      <c r="T82" s="9" t="str">
        <f>IF(SUMIFS(Sheet1!$E:$E,Sheet1!$C:$C,$A82,Sheet1!$A:$A,T$2)&lt;&gt;0,SUMIFS(Sheet1!$E:$E,Sheet1!$C:$C,$A82,Sheet1!$A:$A,T$2),"")</f>
        <v/>
      </c>
      <c r="U82" s="9" t="str">
        <f>IF(SUMIFS(Sheet1!$E:$E,Sheet1!$C:$C,$A82,Sheet1!$A:$A,U$2)&lt;&gt;0,SUMIFS(Sheet1!$E:$E,Sheet1!$C:$C,$A82,Sheet1!$A:$A,U$2),"")</f>
        <v/>
      </c>
      <c r="V82" s="9" t="str">
        <f>IF(SUMIFS(Sheet1!$E:$E,Sheet1!$C:$C,$A82,Sheet1!$A:$A,V$2)&lt;&gt;0,SUMIFS(Sheet1!$E:$E,Sheet1!$C:$C,$A82,Sheet1!$A:$A,V$2),"")</f>
        <v/>
      </c>
      <c r="W82" s="9" t="str">
        <f>IF(SUMIFS(Sheet1!$E:$E,Sheet1!$C:$C,$A82,Sheet1!$A:$A,W$2)&lt;&gt;0,SUMIFS(Sheet1!$E:$E,Sheet1!$C:$C,$A82,Sheet1!$A:$A,W$2),"")</f>
        <v/>
      </c>
      <c r="X82" s="9" t="str">
        <f>IF(SUMIFS(Sheet1!$E:$E,Sheet1!$C:$C,$A82,Sheet1!$A:$A,X$2)&lt;&gt;0,SUMIFS(Sheet1!$E:$E,Sheet1!$C:$C,$A82,Sheet1!$A:$A,X$2),"")</f>
        <v/>
      </c>
      <c r="Y82" s="9" t="str">
        <f>IF(SUMIFS(Sheet1!$E:$E,Sheet1!$C:$C,$A82,Sheet1!$A:$A,Y$2)&lt;&gt;0,SUMIFS(Sheet1!$E:$E,Sheet1!$C:$C,$A82,Sheet1!$A:$A,Y$2),"")</f>
        <v/>
      </c>
      <c r="Z82" s="9" t="str">
        <f>IF(SUMIFS(Sheet1!$E:$E,Sheet1!$C:$C,$A82,Sheet1!$A:$A,Z$2)&lt;&gt;0,SUMIFS(Sheet1!$E:$E,Sheet1!$C:$C,$A82,Sheet1!$A:$A,Z$2),"")</f>
        <v/>
      </c>
      <c r="AA82" s="9" t="str">
        <f>IF(SUMIFS(Sheet1!$E:$E,Sheet1!$C:$C,$A82,Sheet1!$A:$A,AA$2)&lt;&gt;0,SUMIFS(Sheet1!$E:$E,Sheet1!$C:$C,$A82,Sheet1!$A:$A,AA$2),"")</f>
        <v/>
      </c>
      <c r="AB82" s="9" t="str">
        <f>IF(SUMIFS(Sheet1!$E:$E,Sheet1!$C:$C,$A82,Sheet1!$A:$A,AB$2)&lt;&gt;0,SUMIFS(Sheet1!$E:$E,Sheet1!$C:$C,$A82,Sheet1!$A:$A,AB$2),"")</f>
        <v/>
      </c>
      <c r="AC82" s="9" t="str">
        <f>IF(SUMIFS(Sheet1!$E:$E,Sheet1!$C:$C,$A82,Sheet1!$A:$A,AC$2)&lt;&gt;0,SUMIFS(Sheet1!$E:$E,Sheet1!$C:$C,$A82,Sheet1!$A:$A,AC$2),"")</f>
        <v/>
      </c>
      <c r="AD82" s="9" t="str">
        <f>IF(SUMIFS(Sheet1!$E:$E,Sheet1!$C:$C,$A82,Sheet1!$A:$A,AD$2)&lt;&gt;0,SUMIFS(Sheet1!$E:$E,Sheet1!$C:$C,$A82,Sheet1!$A:$A,AD$2),"")</f>
        <v/>
      </c>
      <c r="AE82" s="9" t="str">
        <f>IF(SUMIFS(Sheet1!$E:$E,Sheet1!$C:$C,$A82,Sheet1!$A:$A,AE$2)&lt;&gt;0,SUMIFS(Sheet1!$E:$E,Sheet1!$C:$C,$A82,Sheet1!$A:$A,AE$2),"")</f>
        <v/>
      </c>
      <c r="AF82" s="9" t="str">
        <f>IF(SUMIFS(Sheet1!$E:$E,Sheet1!$C:$C,$A82,Sheet1!$A:$A,AF$2)&lt;&gt;0,SUMIFS(Sheet1!$E:$E,Sheet1!$C:$C,$A82,Sheet1!$A:$A,AF$2),"")</f>
        <v/>
      </c>
      <c r="AG82" s="9" t="str">
        <f>IF(SUMIFS(Sheet1!$E:$E,Sheet1!$C:$C,$A82,Sheet1!$A:$A,AG$2)&lt;&gt;0,SUMIFS(Sheet1!$E:$E,Sheet1!$C:$C,$A82,Sheet1!$A:$A,AG$2),"")</f>
        <v/>
      </c>
      <c r="AH82" s="47">
        <f>SUM(Table24[[#This Row],[1]:[31]])</f>
        <v>0</v>
      </c>
    </row>
    <row r="83" spans="1:34" ht="12.75" customHeight="1">
      <c r="A83" s="24" t="str">
        <f>DSSP!A82</f>
        <v>A094</v>
      </c>
      <c r="B83" s="25" t="str">
        <f>DSSP!B82</f>
        <v>Người bánh gừng</v>
      </c>
      <c r="C83" s="9">
        <f>IF(SUMIFS(Sheet1!$E:$E,Sheet1!$C:$C,$A83,Sheet1!$A:$A,C$2)&lt;&gt;0,SUMIFS(Sheet1!$E:$E,Sheet1!$C:$C,$A83,Sheet1!$A:$A,C$2),"")</f>
        <v>5</v>
      </c>
      <c r="D83" s="9" t="str">
        <f>IF(SUMIFS(Sheet1!$E:$E,Sheet1!$C:$C,$A83,Sheet1!$A:$A,D$2)&lt;&gt;0,SUMIFS(Sheet1!$E:$E,Sheet1!$C:$C,$A83,Sheet1!$A:$A,D$2),"")</f>
        <v/>
      </c>
      <c r="E83" s="9" t="str">
        <f>IF(SUMIFS(Sheet1!$E:$E,Sheet1!$C:$C,$A83,Sheet1!$A:$A,E$2)&lt;&gt;0,SUMIFS(Sheet1!$E:$E,Sheet1!$C:$C,$A83,Sheet1!$A:$A,E$2),"")</f>
        <v/>
      </c>
      <c r="F83" s="9" t="str">
        <f>IF(SUMIFS(Sheet1!$E:$E,Sheet1!$C:$C,$A83,Sheet1!$A:$A,F$2)&lt;&gt;0,SUMIFS(Sheet1!$E:$E,Sheet1!$C:$C,$A83,Sheet1!$A:$A,F$2),"")</f>
        <v/>
      </c>
      <c r="G83" s="9" t="str">
        <f>IF(SUMIFS(Sheet1!$E:$E,Sheet1!$C:$C,$A83,Sheet1!$A:$A,G$2)&lt;&gt;0,SUMIFS(Sheet1!$E:$E,Sheet1!$C:$C,$A83,Sheet1!$A:$A,G$2),"")</f>
        <v/>
      </c>
      <c r="H83" s="9" t="str">
        <f>IF(SUMIFS(Sheet1!$E:$E,Sheet1!$C:$C,$A83,Sheet1!$A:$A,H$2)&lt;&gt;0,SUMIFS(Sheet1!$E:$E,Sheet1!$C:$C,$A83,Sheet1!$A:$A,H$2),"")</f>
        <v/>
      </c>
      <c r="I83" s="9" t="str">
        <f>IF(SUMIFS(Sheet1!$E:$E,Sheet1!$C:$C,$A83,Sheet1!$A:$A,I$2)&lt;&gt;0,SUMIFS(Sheet1!$E:$E,Sheet1!$C:$C,$A83,Sheet1!$A:$A,I$2),"")</f>
        <v/>
      </c>
      <c r="J83" s="9" t="str">
        <f>IF(SUMIFS(Sheet1!$E:$E,Sheet1!$C:$C,$A83,Sheet1!$A:$A,J$2)&lt;&gt;0,SUMIFS(Sheet1!$E:$E,Sheet1!$C:$C,$A83,Sheet1!$A:$A,J$2),"")</f>
        <v/>
      </c>
      <c r="K83" s="9" t="str">
        <f>IF(SUMIFS(Sheet1!$E:$E,Sheet1!$C:$C,$A83,Sheet1!$A:$A,K$2)&lt;&gt;0,SUMIFS(Sheet1!$E:$E,Sheet1!$C:$C,$A83,Sheet1!$A:$A,K$2),"")</f>
        <v/>
      </c>
      <c r="L83" s="9" t="str">
        <f>IF(SUMIFS(Sheet1!$E:$E,Sheet1!$C:$C,$A83,Sheet1!$A:$A,L$2)&lt;&gt;0,SUMIFS(Sheet1!$E:$E,Sheet1!$C:$C,$A83,Sheet1!$A:$A,L$2),"")</f>
        <v/>
      </c>
      <c r="M83" s="9" t="str">
        <f>IF(SUMIFS(Sheet1!$E:$E,Sheet1!$C:$C,$A83,Sheet1!$A:$A,M$2)&lt;&gt;0,SUMIFS(Sheet1!$E:$E,Sheet1!$C:$C,$A83,Sheet1!$A:$A,M$2),"")</f>
        <v/>
      </c>
      <c r="N83" s="9" t="str">
        <f>IF(SUMIFS(Sheet1!$E:$E,Sheet1!$C:$C,$A83,Sheet1!$A:$A,N$2)&lt;&gt;0,SUMIFS(Sheet1!$E:$E,Sheet1!$C:$C,$A83,Sheet1!$A:$A,N$2),"")</f>
        <v/>
      </c>
      <c r="O83" s="9" t="str">
        <f>IF(SUMIFS(Sheet1!$E:$E,Sheet1!$C:$C,$A83,Sheet1!$A:$A,O$2)&lt;&gt;0,SUMIFS(Sheet1!$E:$E,Sheet1!$C:$C,$A83,Sheet1!$A:$A,O$2),"")</f>
        <v/>
      </c>
      <c r="P83" s="9" t="str">
        <f>IF(SUMIFS(Sheet1!$E:$E,Sheet1!$C:$C,$A83,Sheet1!$A:$A,P$2)&lt;&gt;0,SUMIFS(Sheet1!$E:$E,Sheet1!$C:$C,$A83,Sheet1!$A:$A,P$2),"")</f>
        <v/>
      </c>
      <c r="Q83" s="9" t="str">
        <f>IF(SUMIFS(Sheet1!$E:$E,Sheet1!$C:$C,$A83,Sheet1!$A:$A,Q$2)&lt;&gt;0,SUMIFS(Sheet1!$E:$E,Sheet1!$C:$C,$A83,Sheet1!$A:$A,Q$2),"")</f>
        <v/>
      </c>
      <c r="R83" s="9" t="str">
        <f>IF(SUMIFS(Sheet1!$E:$E,Sheet1!$C:$C,$A83,Sheet1!$A:$A,R$2)&lt;&gt;0,SUMIFS(Sheet1!$E:$E,Sheet1!$C:$C,$A83,Sheet1!$A:$A,R$2),"")</f>
        <v/>
      </c>
      <c r="S83" s="9" t="str">
        <f>IF(SUMIFS(Sheet1!$E:$E,Sheet1!$C:$C,$A83,Sheet1!$A:$A,S$2)&lt;&gt;0,SUMIFS(Sheet1!$E:$E,Sheet1!$C:$C,$A83,Sheet1!$A:$A,S$2),"")</f>
        <v/>
      </c>
      <c r="T83" s="9" t="str">
        <f>IF(SUMIFS(Sheet1!$E:$E,Sheet1!$C:$C,$A83,Sheet1!$A:$A,T$2)&lt;&gt;0,SUMIFS(Sheet1!$E:$E,Sheet1!$C:$C,$A83,Sheet1!$A:$A,T$2),"")</f>
        <v/>
      </c>
      <c r="U83" s="9" t="str">
        <f>IF(SUMIFS(Sheet1!$E:$E,Sheet1!$C:$C,$A83,Sheet1!$A:$A,U$2)&lt;&gt;0,SUMIFS(Sheet1!$E:$E,Sheet1!$C:$C,$A83,Sheet1!$A:$A,U$2),"")</f>
        <v/>
      </c>
      <c r="V83" s="9" t="str">
        <f>IF(SUMIFS(Sheet1!$E:$E,Sheet1!$C:$C,$A83,Sheet1!$A:$A,V$2)&lt;&gt;0,SUMIFS(Sheet1!$E:$E,Sheet1!$C:$C,$A83,Sheet1!$A:$A,V$2),"")</f>
        <v/>
      </c>
      <c r="W83" s="9" t="str">
        <f>IF(SUMIFS(Sheet1!$E:$E,Sheet1!$C:$C,$A83,Sheet1!$A:$A,W$2)&lt;&gt;0,SUMIFS(Sheet1!$E:$E,Sheet1!$C:$C,$A83,Sheet1!$A:$A,W$2),"")</f>
        <v/>
      </c>
      <c r="X83" s="9" t="str">
        <f>IF(SUMIFS(Sheet1!$E:$E,Sheet1!$C:$C,$A83,Sheet1!$A:$A,X$2)&lt;&gt;0,SUMIFS(Sheet1!$E:$E,Sheet1!$C:$C,$A83,Sheet1!$A:$A,X$2),"")</f>
        <v/>
      </c>
      <c r="Y83" s="9" t="str">
        <f>IF(SUMIFS(Sheet1!$E:$E,Sheet1!$C:$C,$A83,Sheet1!$A:$A,Y$2)&lt;&gt;0,SUMIFS(Sheet1!$E:$E,Sheet1!$C:$C,$A83,Sheet1!$A:$A,Y$2),"")</f>
        <v/>
      </c>
      <c r="Z83" s="9" t="str">
        <f>IF(SUMIFS(Sheet1!$E:$E,Sheet1!$C:$C,$A83,Sheet1!$A:$A,Z$2)&lt;&gt;0,SUMIFS(Sheet1!$E:$E,Sheet1!$C:$C,$A83,Sheet1!$A:$A,Z$2),"")</f>
        <v/>
      </c>
      <c r="AA83" s="9" t="str">
        <f>IF(SUMIFS(Sheet1!$E:$E,Sheet1!$C:$C,$A83,Sheet1!$A:$A,AA$2)&lt;&gt;0,SUMIFS(Sheet1!$E:$E,Sheet1!$C:$C,$A83,Sheet1!$A:$A,AA$2),"")</f>
        <v/>
      </c>
      <c r="AB83" s="9" t="str">
        <f>IF(SUMIFS(Sheet1!$E:$E,Sheet1!$C:$C,$A83,Sheet1!$A:$A,AB$2)&lt;&gt;0,SUMIFS(Sheet1!$E:$E,Sheet1!$C:$C,$A83,Sheet1!$A:$A,AB$2),"")</f>
        <v/>
      </c>
      <c r="AC83" s="9" t="str">
        <f>IF(SUMIFS(Sheet1!$E:$E,Sheet1!$C:$C,$A83,Sheet1!$A:$A,AC$2)&lt;&gt;0,SUMIFS(Sheet1!$E:$E,Sheet1!$C:$C,$A83,Sheet1!$A:$A,AC$2),"")</f>
        <v/>
      </c>
      <c r="AD83" s="9" t="str">
        <f>IF(SUMIFS(Sheet1!$E:$E,Sheet1!$C:$C,$A83,Sheet1!$A:$A,AD$2)&lt;&gt;0,SUMIFS(Sheet1!$E:$E,Sheet1!$C:$C,$A83,Sheet1!$A:$A,AD$2),"")</f>
        <v/>
      </c>
      <c r="AE83" s="9" t="str">
        <f>IF(SUMIFS(Sheet1!$E:$E,Sheet1!$C:$C,$A83,Sheet1!$A:$A,AE$2)&lt;&gt;0,SUMIFS(Sheet1!$E:$E,Sheet1!$C:$C,$A83,Sheet1!$A:$A,AE$2),"")</f>
        <v/>
      </c>
      <c r="AF83" s="9" t="str">
        <f>IF(SUMIFS(Sheet1!$E:$E,Sheet1!$C:$C,$A83,Sheet1!$A:$A,AF$2)&lt;&gt;0,SUMIFS(Sheet1!$E:$E,Sheet1!$C:$C,$A83,Sheet1!$A:$A,AF$2),"")</f>
        <v/>
      </c>
      <c r="AG83" s="9" t="str">
        <f>IF(SUMIFS(Sheet1!$E:$E,Sheet1!$C:$C,$A83,Sheet1!$A:$A,AG$2)&lt;&gt;0,SUMIFS(Sheet1!$E:$E,Sheet1!$C:$C,$A83,Sheet1!$A:$A,AG$2),"")</f>
        <v/>
      </c>
      <c r="AH83" s="47">
        <f>SUM(Table24[[#This Row],[1]:[31]])</f>
        <v>5</v>
      </c>
    </row>
    <row r="84" spans="1:34" ht="12.75" customHeight="1">
      <c r="A84" s="24" t="str">
        <f>DSSP!A83</f>
        <v>A095</v>
      </c>
      <c r="B84" s="25" t="str">
        <f>DSSP!B83</f>
        <v>Người tuyết</v>
      </c>
      <c r="C84" s="9">
        <f>IF(SUMIFS(Sheet1!$E:$E,Sheet1!$C:$C,$A84,Sheet1!$A:$A,C$2)&lt;&gt;0,SUMIFS(Sheet1!$E:$E,Sheet1!$C:$C,$A84,Sheet1!$A:$A,C$2),"")</f>
        <v>2</v>
      </c>
      <c r="D84" s="9" t="str">
        <f>IF(SUMIFS(Sheet1!$E:$E,Sheet1!$C:$C,$A84,Sheet1!$A:$A,D$2)&lt;&gt;0,SUMIFS(Sheet1!$E:$E,Sheet1!$C:$C,$A84,Sheet1!$A:$A,D$2),"")</f>
        <v/>
      </c>
      <c r="E84" s="9" t="str">
        <f>IF(SUMIFS(Sheet1!$E:$E,Sheet1!$C:$C,$A84,Sheet1!$A:$A,E$2)&lt;&gt;0,SUMIFS(Sheet1!$E:$E,Sheet1!$C:$C,$A84,Sheet1!$A:$A,E$2),"")</f>
        <v/>
      </c>
      <c r="F84" s="9" t="str">
        <f>IF(SUMIFS(Sheet1!$E:$E,Sheet1!$C:$C,$A84,Sheet1!$A:$A,F$2)&lt;&gt;0,SUMIFS(Sheet1!$E:$E,Sheet1!$C:$C,$A84,Sheet1!$A:$A,F$2),"")</f>
        <v/>
      </c>
      <c r="G84" s="9" t="str">
        <f>IF(SUMIFS(Sheet1!$E:$E,Sheet1!$C:$C,$A84,Sheet1!$A:$A,G$2)&lt;&gt;0,SUMIFS(Sheet1!$E:$E,Sheet1!$C:$C,$A84,Sheet1!$A:$A,G$2),"")</f>
        <v/>
      </c>
      <c r="H84" s="9" t="str">
        <f>IF(SUMIFS(Sheet1!$E:$E,Sheet1!$C:$C,$A84,Sheet1!$A:$A,H$2)&lt;&gt;0,SUMIFS(Sheet1!$E:$E,Sheet1!$C:$C,$A84,Sheet1!$A:$A,H$2),"")</f>
        <v/>
      </c>
      <c r="I84" s="9" t="str">
        <f>IF(SUMIFS(Sheet1!$E:$E,Sheet1!$C:$C,$A84,Sheet1!$A:$A,I$2)&lt;&gt;0,SUMIFS(Sheet1!$E:$E,Sheet1!$C:$C,$A84,Sheet1!$A:$A,I$2),"")</f>
        <v/>
      </c>
      <c r="J84" s="9" t="str">
        <f>IF(SUMIFS(Sheet1!$E:$E,Sheet1!$C:$C,$A84,Sheet1!$A:$A,J$2)&lt;&gt;0,SUMIFS(Sheet1!$E:$E,Sheet1!$C:$C,$A84,Sheet1!$A:$A,J$2),"")</f>
        <v/>
      </c>
      <c r="K84" s="9" t="str">
        <f>IF(SUMIFS(Sheet1!$E:$E,Sheet1!$C:$C,$A84,Sheet1!$A:$A,K$2)&lt;&gt;0,SUMIFS(Sheet1!$E:$E,Sheet1!$C:$C,$A84,Sheet1!$A:$A,K$2),"")</f>
        <v/>
      </c>
      <c r="L84" s="9" t="str">
        <f>IF(SUMIFS(Sheet1!$E:$E,Sheet1!$C:$C,$A84,Sheet1!$A:$A,L$2)&lt;&gt;0,SUMIFS(Sheet1!$E:$E,Sheet1!$C:$C,$A84,Sheet1!$A:$A,L$2),"")</f>
        <v/>
      </c>
      <c r="M84" s="9" t="str">
        <f>IF(SUMIFS(Sheet1!$E:$E,Sheet1!$C:$C,$A84,Sheet1!$A:$A,M$2)&lt;&gt;0,SUMIFS(Sheet1!$E:$E,Sheet1!$C:$C,$A84,Sheet1!$A:$A,M$2),"")</f>
        <v/>
      </c>
      <c r="N84" s="9" t="str">
        <f>IF(SUMIFS(Sheet1!$E:$E,Sheet1!$C:$C,$A84,Sheet1!$A:$A,N$2)&lt;&gt;0,SUMIFS(Sheet1!$E:$E,Sheet1!$C:$C,$A84,Sheet1!$A:$A,N$2),"")</f>
        <v/>
      </c>
      <c r="O84" s="9" t="str">
        <f>IF(SUMIFS(Sheet1!$E:$E,Sheet1!$C:$C,$A84,Sheet1!$A:$A,O$2)&lt;&gt;0,SUMIFS(Sheet1!$E:$E,Sheet1!$C:$C,$A84,Sheet1!$A:$A,O$2),"")</f>
        <v/>
      </c>
      <c r="P84" s="9" t="str">
        <f>IF(SUMIFS(Sheet1!$E:$E,Sheet1!$C:$C,$A84,Sheet1!$A:$A,P$2)&lt;&gt;0,SUMIFS(Sheet1!$E:$E,Sheet1!$C:$C,$A84,Sheet1!$A:$A,P$2),"")</f>
        <v/>
      </c>
      <c r="Q84" s="9" t="str">
        <f>IF(SUMIFS(Sheet1!$E:$E,Sheet1!$C:$C,$A84,Sheet1!$A:$A,Q$2)&lt;&gt;0,SUMIFS(Sheet1!$E:$E,Sheet1!$C:$C,$A84,Sheet1!$A:$A,Q$2),"")</f>
        <v/>
      </c>
      <c r="R84" s="9" t="str">
        <f>IF(SUMIFS(Sheet1!$E:$E,Sheet1!$C:$C,$A84,Sheet1!$A:$A,R$2)&lt;&gt;0,SUMIFS(Sheet1!$E:$E,Sheet1!$C:$C,$A84,Sheet1!$A:$A,R$2),"")</f>
        <v/>
      </c>
      <c r="S84" s="9" t="str">
        <f>IF(SUMIFS(Sheet1!$E:$E,Sheet1!$C:$C,$A84,Sheet1!$A:$A,S$2)&lt;&gt;0,SUMIFS(Sheet1!$E:$E,Sheet1!$C:$C,$A84,Sheet1!$A:$A,S$2),"")</f>
        <v/>
      </c>
      <c r="T84" s="9" t="str">
        <f>IF(SUMIFS(Sheet1!$E:$E,Sheet1!$C:$C,$A84,Sheet1!$A:$A,T$2)&lt;&gt;0,SUMIFS(Sheet1!$E:$E,Sheet1!$C:$C,$A84,Sheet1!$A:$A,T$2),"")</f>
        <v/>
      </c>
      <c r="U84" s="9" t="str">
        <f>IF(SUMIFS(Sheet1!$E:$E,Sheet1!$C:$C,$A84,Sheet1!$A:$A,U$2)&lt;&gt;0,SUMIFS(Sheet1!$E:$E,Sheet1!$C:$C,$A84,Sheet1!$A:$A,U$2),"")</f>
        <v/>
      </c>
      <c r="V84" s="9" t="str">
        <f>IF(SUMIFS(Sheet1!$E:$E,Sheet1!$C:$C,$A84,Sheet1!$A:$A,V$2)&lt;&gt;0,SUMIFS(Sheet1!$E:$E,Sheet1!$C:$C,$A84,Sheet1!$A:$A,V$2),"")</f>
        <v/>
      </c>
      <c r="W84" s="9" t="str">
        <f>IF(SUMIFS(Sheet1!$E:$E,Sheet1!$C:$C,$A84,Sheet1!$A:$A,W$2)&lt;&gt;0,SUMIFS(Sheet1!$E:$E,Sheet1!$C:$C,$A84,Sheet1!$A:$A,W$2),"")</f>
        <v/>
      </c>
      <c r="X84" s="9" t="str">
        <f>IF(SUMIFS(Sheet1!$E:$E,Sheet1!$C:$C,$A84,Sheet1!$A:$A,X$2)&lt;&gt;0,SUMIFS(Sheet1!$E:$E,Sheet1!$C:$C,$A84,Sheet1!$A:$A,X$2),"")</f>
        <v/>
      </c>
      <c r="Y84" s="9" t="str">
        <f>IF(SUMIFS(Sheet1!$E:$E,Sheet1!$C:$C,$A84,Sheet1!$A:$A,Y$2)&lt;&gt;0,SUMIFS(Sheet1!$E:$E,Sheet1!$C:$C,$A84,Sheet1!$A:$A,Y$2),"")</f>
        <v/>
      </c>
      <c r="Z84" s="9" t="str">
        <f>IF(SUMIFS(Sheet1!$E:$E,Sheet1!$C:$C,$A84,Sheet1!$A:$A,Z$2)&lt;&gt;0,SUMIFS(Sheet1!$E:$E,Sheet1!$C:$C,$A84,Sheet1!$A:$A,Z$2),"")</f>
        <v/>
      </c>
      <c r="AA84" s="9" t="str">
        <f>IF(SUMIFS(Sheet1!$E:$E,Sheet1!$C:$C,$A84,Sheet1!$A:$A,AA$2)&lt;&gt;0,SUMIFS(Sheet1!$E:$E,Sheet1!$C:$C,$A84,Sheet1!$A:$A,AA$2),"")</f>
        <v/>
      </c>
      <c r="AB84" s="9" t="str">
        <f>IF(SUMIFS(Sheet1!$E:$E,Sheet1!$C:$C,$A84,Sheet1!$A:$A,AB$2)&lt;&gt;0,SUMIFS(Sheet1!$E:$E,Sheet1!$C:$C,$A84,Sheet1!$A:$A,AB$2),"")</f>
        <v/>
      </c>
      <c r="AC84" s="9" t="str">
        <f>IF(SUMIFS(Sheet1!$E:$E,Sheet1!$C:$C,$A84,Sheet1!$A:$A,AC$2)&lt;&gt;0,SUMIFS(Sheet1!$E:$E,Sheet1!$C:$C,$A84,Sheet1!$A:$A,AC$2),"")</f>
        <v/>
      </c>
      <c r="AD84" s="9" t="str">
        <f>IF(SUMIFS(Sheet1!$E:$E,Sheet1!$C:$C,$A84,Sheet1!$A:$A,AD$2)&lt;&gt;0,SUMIFS(Sheet1!$E:$E,Sheet1!$C:$C,$A84,Sheet1!$A:$A,AD$2),"")</f>
        <v/>
      </c>
      <c r="AE84" s="9" t="str">
        <f>IF(SUMIFS(Sheet1!$E:$E,Sheet1!$C:$C,$A84,Sheet1!$A:$A,AE$2)&lt;&gt;0,SUMIFS(Sheet1!$E:$E,Sheet1!$C:$C,$A84,Sheet1!$A:$A,AE$2),"")</f>
        <v/>
      </c>
      <c r="AF84" s="9" t="str">
        <f>IF(SUMIFS(Sheet1!$E:$E,Sheet1!$C:$C,$A84,Sheet1!$A:$A,AF$2)&lt;&gt;0,SUMIFS(Sheet1!$E:$E,Sheet1!$C:$C,$A84,Sheet1!$A:$A,AF$2),"")</f>
        <v/>
      </c>
      <c r="AG84" s="9" t="str">
        <f>IF(SUMIFS(Sheet1!$E:$E,Sheet1!$C:$C,$A84,Sheet1!$A:$A,AG$2)&lt;&gt;0,SUMIFS(Sheet1!$E:$E,Sheet1!$C:$C,$A84,Sheet1!$A:$A,AG$2),"")</f>
        <v/>
      </c>
      <c r="AH84" s="47">
        <f>SUM(Table24[[#This Row],[1]:[31]])</f>
        <v>2</v>
      </c>
    </row>
    <row r="85" spans="1:34" ht="12.75" customHeight="1">
      <c r="A85" s="24" t="str">
        <f>DSSP!A84</f>
        <v>A098</v>
      </c>
      <c r="B85" s="25" t="str">
        <f>DSSP!B84</f>
        <v>Kẹo que</v>
      </c>
      <c r="C85" s="9">
        <f>IF(SUMIFS(Sheet1!$E:$E,Sheet1!$C:$C,$A85,Sheet1!$A:$A,C$2)&lt;&gt;0,SUMIFS(Sheet1!$E:$E,Sheet1!$C:$C,$A85,Sheet1!$A:$A,C$2),"")</f>
        <v>10</v>
      </c>
      <c r="D85" s="9" t="str">
        <f>IF(SUMIFS(Sheet1!$E:$E,Sheet1!$C:$C,$A85,Sheet1!$A:$A,D$2)&lt;&gt;0,SUMIFS(Sheet1!$E:$E,Sheet1!$C:$C,$A85,Sheet1!$A:$A,D$2),"")</f>
        <v/>
      </c>
      <c r="E85" s="9" t="str">
        <f>IF(SUMIFS(Sheet1!$E:$E,Sheet1!$C:$C,$A85,Sheet1!$A:$A,E$2)&lt;&gt;0,SUMIFS(Sheet1!$E:$E,Sheet1!$C:$C,$A85,Sheet1!$A:$A,E$2),"")</f>
        <v/>
      </c>
      <c r="F85" s="9" t="str">
        <f>IF(SUMIFS(Sheet1!$E:$E,Sheet1!$C:$C,$A85,Sheet1!$A:$A,F$2)&lt;&gt;0,SUMIFS(Sheet1!$E:$E,Sheet1!$C:$C,$A85,Sheet1!$A:$A,F$2),"")</f>
        <v/>
      </c>
      <c r="G85" s="9" t="str">
        <f>IF(SUMIFS(Sheet1!$E:$E,Sheet1!$C:$C,$A85,Sheet1!$A:$A,G$2)&lt;&gt;0,SUMIFS(Sheet1!$E:$E,Sheet1!$C:$C,$A85,Sheet1!$A:$A,G$2),"")</f>
        <v/>
      </c>
      <c r="H85" s="9" t="str">
        <f>IF(SUMIFS(Sheet1!$E:$E,Sheet1!$C:$C,$A85,Sheet1!$A:$A,H$2)&lt;&gt;0,SUMIFS(Sheet1!$E:$E,Sheet1!$C:$C,$A85,Sheet1!$A:$A,H$2),"")</f>
        <v/>
      </c>
      <c r="I85" s="9" t="str">
        <f>IF(SUMIFS(Sheet1!$E:$E,Sheet1!$C:$C,$A85,Sheet1!$A:$A,I$2)&lt;&gt;0,SUMIFS(Sheet1!$E:$E,Sheet1!$C:$C,$A85,Sheet1!$A:$A,I$2),"")</f>
        <v/>
      </c>
      <c r="J85" s="9" t="str">
        <f>IF(SUMIFS(Sheet1!$E:$E,Sheet1!$C:$C,$A85,Sheet1!$A:$A,J$2)&lt;&gt;0,SUMIFS(Sheet1!$E:$E,Sheet1!$C:$C,$A85,Sheet1!$A:$A,J$2),"")</f>
        <v/>
      </c>
      <c r="K85" s="9" t="str">
        <f>IF(SUMIFS(Sheet1!$E:$E,Sheet1!$C:$C,$A85,Sheet1!$A:$A,K$2)&lt;&gt;0,SUMIFS(Sheet1!$E:$E,Sheet1!$C:$C,$A85,Sheet1!$A:$A,K$2),"")</f>
        <v/>
      </c>
      <c r="L85" s="9" t="str">
        <f>IF(SUMIFS(Sheet1!$E:$E,Sheet1!$C:$C,$A85,Sheet1!$A:$A,L$2)&lt;&gt;0,SUMIFS(Sheet1!$E:$E,Sheet1!$C:$C,$A85,Sheet1!$A:$A,L$2),"")</f>
        <v/>
      </c>
      <c r="M85" s="9" t="str">
        <f>IF(SUMIFS(Sheet1!$E:$E,Sheet1!$C:$C,$A85,Sheet1!$A:$A,M$2)&lt;&gt;0,SUMIFS(Sheet1!$E:$E,Sheet1!$C:$C,$A85,Sheet1!$A:$A,M$2),"")</f>
        <v/>
      </c>
      <c r="N85" s="9" t="str">
        <f>IF(SUMIFS(Sheet1!$E:$E,Sheet1!$C:$C,$A85,Sheet1!$A:$A,N$2)&lt;&gt;0,SUMIFS(Sheet1!$E:$E,Sheet1!$C:$C,$A85,Sheet1!$A:$A,N$2),"")</f>
        <v/>
      </c>
      <c r="O85" s="9" t="str">
        <f>IF(SUMIFS(Sheet1!$E:$E,Sheet1!$C:$C,$A85,Sheet1!$A:$A,O$2)&lt;&gt;0,SUMIFS(Sheet1!$E:$E,Sheet1!$C:$C,$A85,Sheet1!$A:$A,O$2),"")</f>
        <v/>
      </c>
      <c r="P85" s="9" t="str">
        <f>IF(SUMIFS(Sheet1!$E:$E,Sheet1!$C:$C,$A85,Sheet1!$A:$A,P$2)&lt;&gt;0,SUMIFS(Sheet1!$E:$E,Sheet1!$C:$C,$A85,Sheet1!$A:$A,P$2),"")</f>
        <v/>
      </c>
      <c r="Q85" s="9" t="str">
        <f>IF(SUMIFS(Sheet1!$E:$E,Sheet1!$C:$C,$A85,Sheet1!$A:$A,Q$2)&lt;&gt;0,SUMIFS(Sheet1!$E:$E,Sheet1!$C:$C,$A85,Sheet1!$A:$A,Q$2),"")</f>
        <v/>
      </c>
      <c r="R85" s="9" t="str">
        <f>IF(SUMIFS(Sheet1!$E:$E,Sheet1!$C:$C,$A85,Sheet1!$A:$A,R$2)&lt;&gt;0,SUMIFS(Sheet1!$E:$E,Sheet1!$C:$C,$A85,Sheet1!$A:$A,R$2),"")</f>
        <v/>
      </c>
      <c r="S85" s="9" t="str">
        <f>IF(SUMIFS(Sheet1!$E:$E,Sheet1!$C:$C,$A85,Sheet1!$A:$A,S$2)&lt;&gt;0,SUMIFS(Sheet1!$E:$E,Sheet1!$C:$C,$A85,Sheet1!$A:$A,S$2),"")</f>
        <v/>
      </c>
      <c r="T85" s="9" t="str">
        <f>IF(SUMIFS(Sheet1!$E:$E,Sheet1!$C:$C,$A85,Sheet1!$A:$A,T$2)&lt;&gt;0,SUMIFS(Sheet1!$E:$E,Sheet1!$C:$C,$A85,Sheet1!$A:$A,T$2),"")</f>
        <v/>
      </c>
      <c r="U85" s="9" t="str">
        <f>IF(SUMIFS(Sheet1!$E:$E,Sheet1!$C:$C,$A85,Sheet1!$A:$A,U$2)&lt;&gt;0,SUMIFS(Sheet1!$E:$E,Sheet1!$C:$C,$A85,Sheet1!$A:$A,U$2),"")</f>
        <v/>
      </c>
      <c r="V85" s="9" t="str">
        <f>IF(SUMIFS(Sheet1!$E:$E,Sheet1!$C:$C,$A85,Sheet1!$A:$A,V$2)&lt;&gt;0,SUMIFS(Sheet1!$E:$E,Sheet1!$C:$C,$A85,Sheet1!$A:$A,V$2),"")</f>
        <v/>
      </c>
      <c r="W85" s="9" t="str">
        <f>IF(SUMIFS(Sheet1!$E:$E,Sheet1!$C:$C,$A85,Sheet1!$A:$A,W$2)&lt;&gt;0,SUMIFS(Sheet1!$E:$E,Sheet1!$C:$C,$A85,Sheet1!$A:$A,W$2),"")</f>
        <v/>
      </c>
      <c r="X85" s="9" t="str">
        <f>IF(SUMIFS(Sheet1!$E:$E,Sheet1!$C:$C,$A85,Sheet1!$A:$A,X$2)&lt;&gt;0,SUMIFS(Sheet1!$E:$E,Sheet1!$C:$C,$A85,Sheet1!$A:$A,X$2),"")</f>
        <v/>
      </c>
      <c r="Y85" s="9" t="str">
        <f>IF(SUMIFS(Sheet1!$E:$E,Sheet1!$C:$C,$A85,Sheet1!$A:$A,Y$2)&lt;&gt;0,SUMIFS(Sheet1!$E:$E,Sheet1!$C:$C,$A85,Sheet1!$A:$A,Y$2),"")</f>
        <v/>
      </c>
      <c r="Z85" s="9" t="str">
        <f>IF(SUMIFS(Sheet1!$E:$E,Sheet1!$C:$C,$A85,Sheet1!$A:$A,Z$2)&lt;&gt;0,SUMIFS(Sheet1!$E:$E,Sheet1!$C:$C,$A85,Sheet1!$A:$A,Z$2),"")</f>
        <v/>
      </c>
      <c r="AA85" s="9" t="str">
        <f>IF(SUMIFS(Sheet1!$E:$E,Sheet1!$C:$C,$A85,Sheet1!$A:$A,AA$2)&lt;&gt;0,SUMIFS(Sheet1!$E:$E,Sheet1!$C:$C,$A85,Sheet1!$A:$A,AA$2),"")</f>
        <v/>
      </c>
      <c r="AB85" s="9" t="str">
        <f>IF(SUMIFS(Sheet1!$E:$E,Sheet1!$C:$C,$A85,Sheet1!$A:$A,AB$2)&lt;&gt;0,SUMIFS(Sheet1!$E:$E,Sheet1!$C:$C,$A85,Sheet1!$A:$A,AB$2),"")</f>
        <v/>
      </c>
      <c r="AC85" s="9" t="str">
        <f>IF(SUMIFS(Sheet1!$E:$E,Sheet1!$C:$C,$A85,Sheet1!$A:$A,AC$2)&lt;&gt;0,SUMIFS(Sheet1!$E:$E,Sheet1!$C:$C,$A85,Sheet1!$A:$A,AC$2),"")</f>
        <v/>
      </c>
      <c r="AD85" s="9" t="str">
        <f>IF(SUMIFS(Sheet1!$E:$E,Sheet1!$C:$C,$A85,Sheet1!$A:$A,AD$2)&lt;&gt;0,SUMIFS(Sheet1!$E:$E,Sheet1!$C:$C,$A85,Sheet1!$A:$A,AD$2),"")</f>
        <v/>
      </c>
      <c r="AE85" s="9" t="str">
        <f>IF(SUMIFS(Sheet1!$E:$E,Sheet1!$C:$C,$A85,Sheet1!$A:$A,AE$2)&lt;&gt;0,SUMIFS(Sheet1!$E:$E,Sheet1!$C:$C,$A85,Sheet1!$A:$A,AE$2),"")</f>
        <v/>
      </c>
      <c r="AF85" s="9" t="str">
        <f>IF(SUMIFS(Sheet1!$E:$E,Sheet1!$C:$C,$A85,Sheet1!$A:$A,AF$2)&lt;&gt;0,SUMIFS(Sheet1!$E:$E,Sheet1!$C:$C,$A85,Sheet1!$A:$A,AF$2),"")</f>
        <v/>
      </c>
      <c r="AG85" s="9" t="str">
        <f>IF(SUMIFS(Sheet1!$E:$E,Sheet1!$C:$C,$A85,Sheet1!$A:$A,AG$2)&lt;&gt;0,SUMIFS(Sheet1!$E:$E,Sheet1!$C:$C,$A85,Sheet1!$A:$A,AG$2),"")</f>
        <v/>
      </c>
      <c r="AH85" s="47">
        <f>SUM(Table24[[#This Row],[1]:[31]])</f>
        <v>10</v>
      </c>
    </row>
    <row r="86" spans="1:34" ht="12.75" customHeight="1">
      <c r="A86" s="24" t="str">
        <f>DSSP!A85</f>
        <v>A101</v>
      </c>
      <c r="B86" s="25" t="str">
        <f>DSSP!B85</f>
        <v>Ông già Noel</v>
      </c>
      <c r="C86" s="9">
        <f>IF(SUMIFS(Sheet1!$E:$E,Sheet1!$C:$C,$A86,Sheet1!$A:$A,C$2)&lt;&gt;0,SUMIFS(Sheet1!$E:$E,Sheet1!$C:$C,$A86,Sheet1!$A:$A,C$2),"")</f>
        <v>5</v>
      </c>
      <c r="D86" s="9" t="str">
        <f>IF(SUMIFS(Sheet1!$E:$E,Sheet1!$C:$C,$A86,Sheet1!$A:$A,D$2)&lt;&gt;0,SUMIFS(Sheet1!$E:$E,Sheet1!$C:$C,$A86,Sheet1!$A:$A,D$2),"")</f>
        <v/>
      </c>
      <c r="E86" s="9" t="str">
        <f>IF(SUMIFS(Sheet1!$E:$E,Sheet1!$C:$C,$A86,Sheet1!$A:$A,E$2)&lt;&gt;0,SUMIFS(Sheet1!$E:$E,Sheet1!$C:$C,$A86,Sheet1!$A:$A,E$2),"")</f>
        <v/>
      </c>
      <c r="F86" s="9" t="str">
        <f>IF(SUMIFS(Sheet1!$E:$E,Sheet1!$C:$C,$A86,Sheet1!$A:$A,F$2)&lt;&gt;0,SUMIFS(Sheet1!$E:$E,Sheet1!$C:$C,$A86,Sheet1!$A:$A,F$2),"")</f>
        <v/>
      </c>
      <c r="G86" s="9" t="str">
        <f>IF(SUMIFS(Sheet1!$E:$E,Sheet1!$C:$C,$A86,Sheet1!$A:$A,G$2)&lt;&gt;0,SUMIFS(Sheet1!$E:$E,Sheet1!$C:$C,$A86,Sheet1!$A:$A,G$2),"")</f>
        <v/>
      </c>
      <c r="H86" s="9" t="str">
        <f>IF(SUMIFS(Sheet1!$E:$E,Sheet1!$C:$C,$A86,Sheet1!$A:$A,H$2)&lt;&gt;0,SUMIFS(Sheet1!$E:$E,Sheet1!$C:$C,$A86,Sheet1!$A:$A,H$2),"")</f>
        <v/>
      </c>
      <c r="I86" s="9" t="str">
        <f>IF(SUMIFS(Sheet1!$E:$E,Sheet1!$C:$C,$A86,Sheet1!$A:$A,I$2)&lt;&gt;0,SUMIFS(Sheet1!$E:$E,Sheet1!$C:$C,$A86,Sheet1!$A:$A,I$2),"")</f>
        <v/>
      </c>
      <c r="J86" s="9" t="str">
        <f>IF(SUMIFS(Sheet1!$E:$E,Sheet1!$C:$C,$A86,Sheet1!$A:$A,J$2)&lt;&gt;0,SUMIFS(Sheet1!$E:$E,Sheet1!$C:$C,$A86,Sheet1!$A:$A,J$2),"")</f>
        <v/>
      </c>
      <c r="K86" s="9" t="str">
        <f>IF(SUMIFS(Sheet1!$E:$E,Sheet1!$C:$C,$A86,Sheet1!$A:$A,K$2)&lt;&gt;0,SUMIFS(Sheet1!$E:$E,Sheet1!$C:$C,$A86,Sheet1!$A:$A,K$2),"")</f>
        <v/>
      </c>
      <c r="L86" s="9" t="str">
        <f>IF(SUMIFS(Sheet1!$E:$E,Sheet1!$C:$C,$A86,Sheet1!$A:$A,L$2)&lt;&gt;0,SUMIFS(Sheet1!$E:$E,Sheet1!$C:$C,$A86,Sheet1!$A:$A,L$2),"")</f>
        <v/>
      </c>
      <c r="M86" s="9" t="str">
        <f>IF(SUMIFS(Sheet1!$E:$E,Sheet1!$C:$C,$A86,Sheet1!$A:$A,M$2)&lt;&gt;0,SUMIFS(Sheet1!$E:$E,Sheet1!$C:$C,$A86,Sheet1!$A:$A,M$2),"")</f>
        <v/>
      </c>
      <c r="N86" s="9" t="str">
        <f>IF(SUMIFS(Sheet1!$E:$E,Sheet1!$C:$C,$A86,Sheet1!$A:$A,N$2)&lt;&gt;0,SUMIFS(Sheet1!$E:$E,Sheet1!$C:$C,$A86,Sheet1!$A:$A,N$2),"")</f>
        <v/>
      </c>
      <c r="O86" s="9" t="str">
        <f>IF(SUMIFS(Sheet1!$E:$E,Sheet1!$C:$C,$A86,Sheet1!$A:$A,O$2)&lt;&gt;0,SUMIFS(Sheet1!$E:$E,Sheet1!$C:$C,$A86,Sheet1!$A:$A,O$2),"")</f>
        <v/>
      </c>
      <c r="P86" s="9" t="str">
        <f>IF(SUMIFS(Sheet1!$E:$E,Sheet1!$C:$C,$A86,Sheet1!$A:$A,P$2)&lt;&gt;0,SUMIFS(Sheet1!$E:$E,Sheet1!$C:$C,$A86,Sheet1!$A:$A,P$2),"")</f>
        <v/>
      </c>
      <c r="Q86" s="9" t="str">
        <f>IF(SUMIFS(Sheet1!$E:$E,Sheet1!$C:$C,$A86,Sheet1!$A:$A,Q$2)&lt;&gt;0,SUMIFS(Sheet1!$E:$E,Sheet1!$C:$C,$A86,Sheet1!$A:$A,Q$2),"")</f>
        <v/>
      </c>
      <c r="R86" s="9" t="str">
        <f>IF(SUMIFS(Sheet1!$E:$E,Sheet1!$C:$C,$A86,Sheet1!$A:$A,R$2)&lt;&gt;0,SUMIFS(Sheet1!$E:$E,Sheet1!$C:$C,$A86,Sheet1!$A:$A,R$2),"")</f>
        <v/>
      </c>
      <c r="S86" s="9" t="str">
        <f>IF(SUMIFS(Sheet1!$E:$E,Sheet1!$C:$C,$A86,Sheet1!$A:$A,S$2)&lt;&gt;0,SUMIFS(Sheet1!$E:$E,Sheet1!$C:$C,$A86,Sheet1!$A:$A,S$2),"")</f>
        <v/>
      </c>
      <c r="T86" s="9" t="str">
        <f>IF(SUMIFS(Sheet1!$E:$E,Sheet1!$C:$C,$A86,Sheet1!$A:$A,T$2)&lt;&gt;0,SUMIFS(Sheet1!$E:$E,Sheet1!$C:$C,$A86,Sheet1!$A:$A,T$2),"")</f>
        <v/>
      </c>
      <c r="U86" s="9" t="str">
        <f>IF(SUMIFS(Sheet1!$E:$E,Sheet1!$C:$C,$A86,Sheet1!$A:$A,U$2)&lt;&gt;0,SUMIFS(Sheet1!$E:$E,Sheet1!$C:$C,$A86,Sheet1!$A:$A,U$2),"")</f>
        <v/>
      </c>
      <c r="V86" s="9" t="str">
        <f>IF(SUMIFS(Sheet1!$E:$E,Sheet1!$C:$C,$A86,Sheet1!$A:$A,V$2)&lt;&gt;0,SUMIFS(Sheet1!$E:$E,Sheet1!$C:$C,$A86,Sheet1!$A:$A,V$2),"")</f>
        <v/>
      </c>
      <c r="W86" s="9" t="str">
        <f>IF(SUMIFS(Sheet1!$E:$E,Sheet1!$C:$C,$A86,Sheet1!$A:$A,W$2)&lt;&gt;0,SUMIFS(Sheet1!$E:$E,Sheet1!$C:$C,$A86,Sheet1!$A:$A,W$2),"")</f>
        <v/>
      </c>
      <c r="X86" s="9" t="str">
        <f>IF(SUMIFS(Sheet1!$E:$E,Sheet1!$C:$C,$A86,Sheet1!$A:$A,X$2)&lt;&gt;0,SUMIFS(Sheet1!$E:$E,Sheet1!$C:$C,$A86,Sheet1!$A:$A,X$2),"")</f>
        <v/>
      </c>
      <c r="Y86" s="9" t="str">
        <f>IF(SUMIFS(Sheet1!$E:$E,Sheet1!$C:$C,$A86,Sheet1!$A:$A,Y$2)&lt;&gt;0,SUMIFS(Sheet1!$E:$E,Sheet1!$C:$C,$A86,Sheet1!$A:$A,Y$2),"")</f>
        <v/>
      </c>
      <c r="Z86" s="9" t="str">
        <f>IF(SUMIFS(Sheet1!$E:$E,Sheet1!$C:$C,$A86,Sheet1!$A:$A,Z$2)&lt;&gt;0,SUMIFS(Sheet1!$E:$E,Sheet1!$C:$C,$A86,Sheet1!$A:$A,Z$2),"")</f>
        <v/>
      </c>
      <c r="AA86" s="9" t="str">
        <f>IF(SUMIFS(Sheet1!$E:$E,Sheet1!$C:$C,$A86,Sheet1!$A:$A,AA$2)&lt;&gt;0,SUMIFS(Sheet1!$E:$E,Sheet1!$C:$C,$A86,Sheet1!$A:$A,AA$2),"")</f>
        <v/>
      </c>
      <c r="AB86" s="9" t="str">
        <f>IF(SUMIFS(Sheet1!$E:$E,Sheet1!$C:$C,$A86,Sheet1!$A:$A,AB$2)&lt;&gt;0,SUMIFS(Sheet1!$E:$E,Sheet1!$C:$C,$A86,Sheet1!$A:$A,AB$2),"")</f>
        <v/>
      </c>
      <c r="AC86" s="9" t="str">
        <f>IF(SUMIFS(Sheet1!$E:$E,Sheet1!$C:$C,$A86,Sheet1!$A:$A,AC$2)&lt;&gt;0,SUMIFS(Sheet1!$E:$E,Sheet1!$C:$C,$A86,Sheet1!$A:$A,AC$2),"")</f>
        <v/>
      </c>
      <c r="AD86" s="9" t="str">
        <f>IF(SUMIFS(Sheet1!$E:$E,Sheet1!$C:$C,$A86,Sheet1!$A:$A,AD$2)&lt;&gt;0,SUMIFS(Sheet1!$E:$E,Sheet1!$C:$C,$A86,Sheet1!$A:$A,AD$2),"")</f>
        <v/>
      </c>
      <c r="AE86" s="9" t="str">
        <f>IF(SUMIFS(Sheet1!$E:$E,Sheet1!$C:$C,$A86,Sheet1!$A:$A,AE$2)&lt;&gt;0,SUMIFS(Sheet1!$E:$E,Sheet1!$C:$C,$A86,Sheet1!$A:$A,AE$2),"")</f>
        <v/>
      </c>
      <c r="AF86" s="9" t="str">
        <f>IF(SUMIFS(Sheet1!$E:$E,Sheet1!$C:$C,$A86,Sheet1!$A:$A,AF$2)&lt;&gt;0,SUMIFS(Sheet1!$E:$E,Sheet1!$C:$C,$A86,Sheet1!$A:$A,AF$2),"")</f>
        <v/>
      </c>
      <c r="AG86" s="9" t="str">
        <f>IF(SUMIFS(Sheet1!$E:$E,Sheet1!$C:$C,$A86,Sheet1!$A:$A,AG$2)&lt;&gt;0,SUMIFS(Sheet1!$E:$E,Sheet1!$C:$C,$A86,Sheet1!$A:$A,AG$2),"")</f>
        <v/>
      </c>
      <c r="AH86" s="47">
        <f>SUM(Table24[[#This Row],[1]:[31]])</f>
        <v>5</v>
      </c>
    </row>
    <row r="87" spans="1:34" ht="12.75" customHeight="1">
      <c r="A87" s="24" t="str">
        <f>DSSP!A86</f>
        <v>B01</v>
      </c>
      <c r="B87" s="25" t="str">
        <f>DSSP!B86</f>
        <v>Ấm trà tình yêu</v>
      </c>
      <c r="C87" s="9">
        <f>IF(SUMIFS(Sheet1!$E:$E,Sheet1!$C:$C,$A87,Sheet1!$A:$A,C$2)&lt;&gt;0,SUMIFS(Sheet1!$E:$E,Sheet1!$C:$C,$A87,Sheet1!$A:$A,C$2),"")</f>
        <v>12</v>
      </c>
      <c r="D87" s="9" t="str">
        <f>IF(SUMIFS(Sheet1!$E:$E,Sheet1!$C:$C,$A87,Sheet1!$A:$A,D$2)&lt;&gt;0,SUMIFS(Sheet1!$E:$E,Sheet1!$C:$C,$A87,Sheet1!$A:$A,D$2),"")</f>
        <v/>
      </c>
      <c r="E87" s="9" t="str">
        <f>IF(SUMIFS(Sheet1!$E:$E,Sheet1!$C:$C,$A87,Sheet1!$A:$A,E$2)&lt;&gt;0,SUMIFS(Sheet1!$E:$E,Sheet1!$C:$C,$A87,Sheet1!$A:$A,E$2),"")</f>
        <v/>
      </c>
      <c r="F87" s="9" t="str">
        <f>IF(SUMIFS(Sheet1!$E:$E,Sheet1!$C:$C,$A87,Sheet1!$A:$A,F$2)&lt;&gt;0,SUMIFS(Sheet1!$E:$E,Sheet1!$C:$C,$A87,Sheet1!$A:$A,F$2),"")</f>
        <v/>
      </c>
      <c r="G87" s="9" t="str">
        <f>IF(SUMIFS(Sheet1!$E:$E,Sheet1!$C:$C,$A87,Sheet1!$A:$A,G$2)&lt;&gt;0,SUMIFS(Sheet1!$E:$E,Sheet1!$C:$C,$A87,Sheet1!$A:$A,G$2),"")</f>
        <v/>
      </c>
      <c r="H87" s="9" t="str">
        <f>IF(SUMIFS(Sheet1!$E:$E,Sheet1!$C:$C,$A87,Sheet1!$A:$A,H$2)&lt;&gt;0,SUMIFS(Sheet1!$E:$E,Sheet1!$C:$C,$A87,Sheet1!$A:$A,H$2),"")</f>
        <v/>
      </c>
      <c r="I87" s="9" t="str">
        <f>IF(SUMIFS(Sheet1!$E:$E,Sheet1!$C:$C,$A87,Sheet1!$A:$A,I$2)&lt;&gt;0,SUMIFS(Sheet1!$E:$E,Sheet1!$C:$C,$A87,Sheet1!$A:$A,I$2),"")</f>
        <v/>
      </c>
      <c r="J87" s="9" t="str">
        <f>IF(SUMIFS(Sheet1!$E:$E,Sheet1!$C:$C,$A87,Sheet1!$A:$A,J$2)&lt;&gt;0,SUMIFS(Sheet1!$E:$E,Sheet1!$C:$C,$A87,Sheet1!$A:$A,J$2),"")</f>
        <v/>
      </c>
      <c r="K87" s="9" t="str">
        <f>IF(SUMIFS(Sheet1!$E:$E,Sheet1!$C:$C,$A87,Sheet1!$A:$A,K$2)&lt;&gt;0,SUMIFS(Sheet1!$E:$E,Sheet1!$C:$C,$A87,Sheet1!$A:$A,K$2),"")</f>
        <v/>
      </c>
      <c r="L87" s="9" t="str">
        <f>IF(SUMIFS(Sheet1!$E:$E,Sheet1!$C:$C,$A87,Sheet1!$A:$A,L$2)&lt;&gt;0,SUMIFS(Sheet1!$E:$E,Sheet1!$C:$C,$A87,Sheet1!$A:$A,L$2),"")</f>
        <v/>
      </c>
      <c r="M87" s="9" t="str">
        <f>IF(SUMIFS(Sheet1!$E:$E,Sheet1!$C:$C,$A87,Sheet1!$A:$A,M$2)&lt;&gt;0,SUMIFS(Sheet1!$E:$E,Sheet1!$C:$C,$A87,Sheet1!$A:$A,M$2),"")</f>
        <v/>
      </c>
      <c r="N87" s="9" t="str">
        <f>IF(SUMIFS(Sheet1!$E:$E,Sheet1!$C:$C,$A87,Sheet1!$A:$A,N$2)&lt;&gt;0,SUMIFS(Sheet1!$E:$E,Sheet1!$C:$C,$A87,Sheet1!$A:$A,N$2),"")</f>
        <v/>
      </c>
      <c r="O87" s="9" t="str">
        <f>IF(SUMIFS(Sheet1!$E:$E,Sheet1!$C:$C,$A87,Sheet1!$A:$A,O$2)&lt;&gt;0,SUMIFS(Sheet1!$E:$E,Sheet1!$C:$C,$A87,Sheet1!$A:$A,O$2),"")</f>
        <v/>
      </c>
      <c r="P87" s="9" t="str">
        <f>IF(SUMIFS(Sheet1!$E:$E,Sheet1!$C:$C,$A87,Sheet1!$A:$A,P$2)&lt;&gt;0,SUMIFS(Sheet1!$E:$E,Sheet1!$C:$C,$A87,Sheet1!$A:$A,P$2),"")</f>
        <v/>
      </c>
      <c r="Q87" s="9" t="str">
        <f>IF(SUMIFS(Sheet1!$E:$E,Sheet1!$C:$C,$A87,Sheet1!$A:$A,Q$2)&lt;&gt;0,SUMIFS(Sheet1!$E:$E,Sheet1!$C:$C,$A87,Sheet1!$A:$A,Q$2),"")</f>
        <v/>
      </c>
      <c r="R87" s="9" t="str">
        <f>IF(SUMIFS(Sheet1!$E:$E,Sheet1!$C:$C,$A87,Sheet1!$A:$A,R$2)&lt;&gt;0,SUMIFS(Sheet1!$E:$E,Sheet1!$C:$C,$A87,Sheet1!$A:$A,R$2),"")</f>
        <v/>
      </c>
      <c r="S87" s="9" t="str">
        <f>IF(SUMIFS(Sheet1!$E:$E,Sheet1!$C:$C,$A87,Sheet1!$A:$A,S$2)&lt;&gt;0,SUMIFS(Sheet1!$E:$E,Sheet1!$C:$C,$A87,Sheet1!$A:$A,S$2),"")</f>
        <v/>
      </c>
      <c r="T87" s="9" t="str">
        <f>IF(SUMIFS(Sheet1!$E:$E,Sheet1!$C:$C,$A87,Sheet1!$A:$A,T$2)&lt;&gt;0,SUMIFS(Sheet1!$E:$E,Sheet1!$C:$C,$A87,Sheet1!$A:$A,T$2),"")</f>
        <v/>
      </c>
      <c r="U87" s="9" t="str">
        <f>IF(SUMIFS(Sheet1!$E:$E,Sheet1!$C:$C,$A87,Sheet1!$A:$A,U$2)&lt;&gt;0,SUMIFS(Sheet1!$E:$E,Sheet1!$C:$C,$A87,Sheet1!$A:$A,U$2),"")</f>
        <v/>
      </c>
      <c r="V87" s="9" t="str">
        <f>IF(SUMIFS(Sheet1!$E:$E,Sheet1!$C:$C,$A87,Sheet1!$A:$A,V$2)&lt;&gt;0,SUMIFS(Sheet1!$E:$E,Sheet1!$C:$C,$A87,Sheet1!$A:$A,V$2),"")</f>
        <v/>
      </c>
      <c r="W87" s="9" t="str">
        <f>IF(SUMIFS(Sheet1!$E:$E,Sheet1!$C:$C,$A87,Sheet1!$A:$A,W$2)&lt;&gt;0,SUMIFS(Sheet1!$E:$E,Sheet1!$C:$C,$A87,Sheet1!$A:$A,W$2),"")</f>
        <v/>
      </c>
      <c r="X87" s="9" t="str">
        <f>IF(SUMIFS(Sheet1!$E:$E,Sheet1!$C:$C,$A87,Sheet1!$A:$A,X$2)&lt;&gt;0,SUMIFS(Sheet1!$E:$E,Sheet1!$C:$C,$A87,Sheet1!$A:$A,X$2),"")</f>
        <v/>
      </c>
      <c r="Y87" s="9" t="str">
        <f>IF(SUMIFS(Sheet1!$E:$E,Sheet1!$C:$C,$A87,Sheet1!$A:$A,Y$2)&lt;&gt;0,SUMIFS(Sheet1!$E:$E,Sheet1!$C:$C,$A87,Sheet1!$A:$A,Y$2),"")</f>
        <v/>
      </c>
      <c r="Z87" s="9" t="str">
        <f>IF(SUMIFS(Sheet1!$E:$E,Sheet1!$C:$C,$A87,Sheet1!$A:$A,Z$2)&lt;&gt;0,SUMIFS(Sheet1!$E:$E,Sheet1!$C:$C,$A87,Sheet1!$A:$A,Z$2),"")</f>
        <v/>
      </c>
      <c r="AA87" s="9" t="str">
        <f>IF(SUMIFS(Sheet1!$E:$E,Sheet1!$C:$C,$A87,Sheet1!$A:$A,AA$2)&lt;&gt;0,SUMIFS(Sheet1!$E:$E,Sheet1!$C:$C,$A87,Sheet1!$A:$A,AA$2),"")</f>
        <v/>
      </c>
      <c r="AB87" s="9" t="str">
        <f>IF(SUMIFS(Sheet1!$E:$E,Sheet1!$C:$C,$A87,Sheet1!$A:$A,AB$2)&lt;&gt;0,SUMIFS(Sheet1!$E:$E,Sheet1!$C:$C,$A87,Sheet1!$A:$A,AB$2),"")</f>
        <v/>
      </c>
      <c r="AC87" s="9" t="str">
        <f>IF(SUMIFS(Sheet1!$E:$E,Sheet1!$C:$C,$A87,Sheet1!$A:$A,AC$2)&lt;&gt;0,SUMIFS(Sheet1!$E:$E,Sheet1!$C:$C,$A87,Sheet1!$A:$A,AC$2),"")</f>
        <v/>
      </c>
      <c r="AD87" s="9" t="str">
        <f>IF(SUMIFS(Sheet1!$E:$E,Sheet1!$C:$C,$A87,Sheet1!$A:$A,AD$2)&lt;&gt;0,SUMIFS(Sheet1!$E:$E,Sheet1!$C:$C,$A87,Sheet1!$A:$A,AD$2),"")</f>
        <v/>
      </c>
      <c r="AE87" s="9" t="str">
        <f>IF(SUMIFS(Sheet1!$E:$E,Sheet1!$C:$C,$A87,Sheet1!$A:$A,AE$2)&lt;&gt;0,SUMIFS(Sheet1!$E:$E,Sheet1!$C:$C,$A87,Sheet1!$A:$A,AE$2),"")</f>
        <v/>
      </c>
      <c r="AF87" s="9" t="str">
        <f>IF(SUMIFS(Sheet1!$E:$E,Sheet1!$C:$C,$A87,Sheet1!$A:$A,AF$2)&lt;&gt;0,SUMIFS(Sheet1!$E:$E,Sheet1!$C:$C,$A87,Sheet1!$A:$A,AF$2),"")</f>
        <v/>
      </c>
      <c r="AG87" s="9" t="str">
        <f>IF(SUMIFS(Sheet1!$E:$E,Sheet1!$C:$C,$A87,Sheet1!$A:$A,AG$2)&lt;&gt;0,SUMIFS(Sheet1!$E:$E,Sheet1!$C:$C,$A87,Sheet1!$A:$A,AG$2),"")</f>
        <v/>
      </c>
      <c r="AH87" s="47">
        <f>SUM(Table24[[#This Row],[1]:[31]])</f>
        <v>12</v>
      </c>
    </row>
    <row r="88" spans="1:34" ht="12.75" customHeight="1">
      <c r="A88" s="24" t="str">
        <f>DSSP!A87</f>
        <v>B02</v>
      </c>
      <c r="B88" s="25" t="str">
        <f>DSSP!B87</f>
        <v>Lò nướng kitty</v>
      </c>
      <c r="C88" s="9" t="str">
        <f>IF(SUMIFS(Sheet1!$E:$E,Sheet1!$C:$C,$A88,Sheet1!$A:$A,C$2)&lt;&gt;0,SUMIFS(Sheet1!$E:$E,Sheet1!$C:$C,$A88,Sheet1!$A:$A,C$2),"")</f>
        <v/>
      </c>
      <c r="D88" s="9" t="str">
        <f>IF(SUMIFS(Sheet1!$E:$E,Sheet1!$C:$C,$A88,Sheet1!$A:$A,D$2)&lt;&gt;0,SUMIFS(Sheet1!$E:$E,Sheet1!$C:$C,$A88,Sheet1!$A:$A,D$2),"")</f>
        <v/>
      </c>
      <c r="E88" s="9" t="str">
        <f>IF(SUMIFS(Sheet1!$E:$E,Sheet1!$C:$C,$A88,Sheet1!$A:$A,E$2)&lt;&gt;0,SUMIFS(Sheet1!$E:$E,Sheet1!$C:$C,$A88,Sheet1!$A:$A,E$2),"")</f>
        <v/>
      </c>
      <c r="F88" s="9" t="str">
        <f>IF(SUMIFS(Sheet1!$E:$E,Sheet1!$C:$C,$A88,Sheet1!$A:$A,F$2)&lt;&gt;0,SUMIFS(Sheet1!$E:$E,Sheet1!$C:$C,$A88,Sheet1!$A:$A,F$2),"")</f>
        <v/>
      </c>
      <c r="G88" s="9" t="str">
        <f>IF(SUMIFS(Sheet1!$E:$E,Sheet1!$C:$C,$A88,Sheet1!$A:$A,G$2)&lt;&gt;0,SUMIFS(Sheet1!$E:$E,Sheet1!$C:$C,$A88,Sheet1!$A:$A,G$2),"")</f>
        <v/>
      </c>
      <c r="H88" s="9" t="str">
        <f>IF(SUMIFS(Sheet1!$E:$E,Sheet1!$C:$C,$A88,Sheet1!$A:$A,H$2)&lt;&gt;0,SUMIFS(Sheet1!$E:$E,Sheet1!$C:$C,$A88,Sheet1!$A:$A,H$2),"")</f>
        <v/>
      </c>
      <c r="I88" s="9" t="str">
        <f>IF(SUMIFS(Sheet1!$E:$E,Sheet1!$C:$C,$A88,Sheet1!$A:$A,I$2)&lt;&gt;0,SUMIFS(Sheet1!$E:$E,Sheet1!$C:$C,$A88,Sheet1!$A:$A,I$2),"")</f>
        <v/>
      </c>
      <c r="J88" s="9" t="str">
        <f>IF(SUMIFS(Sheet1!$E:$E,Sheet1!$C:$C,$A88,Sheet1!$A:$A,J$2)&lt;&gt;0,SUMIFS(Sheet1!$E:$E,Sheet1!$C:$C,$A88,Sheet1!$A:$A,J$2),"")</f>
        <v/>
      </c>
      <c r="K88" s="9" t="str">
        <f>IF(SUMIFS(Sheet1!$E:$E,Sheet1!$C:$C,$A88,Sheet1!$A:$A,K$2)&lt;&gt;0,SUMIFS(Sheet1!$E:$E,Sheet1!$C:$C,$A88,Sheet1!$A:$A,K$2),"")</f>
        <v/>
      </c>
      <c r="L88" s="9" t="str">
        <f>IF(SUMIFS(Sheet1!$E:$E,Sheet1!$C:$C,$A88,Sheet1!$A:$A,L$2)&lt;&gt;0,SUMIFS(Sheet1!$E:$E,Sheet1!$C:$C,$A88,Sheet1!$A:$A,L$2),"")</f>
        <v/>
      </c>
      <c r="M88" s="9" t="str">
        <f>IF(SUMIFS(Sheet1!$E:$E,Sheet1!$C:$C,$A88,Sheet1!$A:$A,M$2)&lt;&gt;0,SUMIFS(Sheet1!$E:$E,Sheet1!$C:$C,$A88,Sheet1!$A:$A,M$2),"")</f>
        <v/>
      </c>
      <c r="N88" s="9" t="str">
        <f>IF(SUMIFS(Sheet1!$E:$E,Sheet1!$C:$C,$A88,Sheet1!$A:$A,N$2)&lt;&gt;0,SUMIFS(Sheet1!$E:$E,Sheet1!$C:$C,$A88,Sheet1!$A:$A,N$2),"")</f>
        <v/>
      </c>
      <c r="O88" s="9" t="str">
        <f>IF(SUMIFS(Sheet1!$E:$E,Sheet1!$C:$C,$A88,Sheet1!$A:$A,O$2)&lt;&gt;0,SUMIFS(Sheet1!$E:$E,Sheet1!$C:$C,$A88,Sheet1!$A:$A,O$2),"")</f>
        <v/>
      </c>
      <c r="P88" s="9" t="str">
        <f>IF(SUMIFS(Sheet1!$E:$E,Sheet1!$C:$C,$A88,Sheet1!$A:$A,P$2)&lt;&gt;0,SUMIFS(Sheet1!$E:$E,Sheet1!$C:$C,$A88,Sheet1!$A:$A,P$2),"")</f>
        <v/>
      </c>
      <c r="Q88" s="9" t="str">
        <f>IF(SUMIFS(Sheet1!$E:$E,Sheet1!$C:$C,$A88,Sheet1!$A:$A,Q$2)&lt;&gt;0,SUMIFS(Sheet1!$E:$E,Sheet1!$C:$C,$A88,Sheet1!$A:$A,Q$2),"")</f>
        <v/>
      </c>
      <c r="R88" s="9" t="str">
        <f>IF(SUMIFS(Sheet1!$E:$E,Sheet1!$C:$C,$A88,Sheet1!$A:$A,R$2)&lt;&gt;0,SUMIFS(Sheet1!$E:$E,Sheet1!$C:$C,$A88,Sheet1!$A:$A,R$2),"")</f>
        <v/>
      </c>
      <c r="S88" s="9" t="str">
        <f>IF(SUMIFS(Sheet1!$E:$E,Sheet1!$C:$C,$A88,Sheet1!$A:$A,S$2)&lt;&gt;0,SUMIFS(Sheet1!$E:$E,Sheet1!$C:$C,$A88,Sheet1!$A:$A,S$2),"")</f>
        <v/>
      </c>
      <c r="T88" s="9" t="str">
        <f>IF(SUMIFS(Sheet1!$E:$E,Sheet1!$C:$C,$A88,Sheet1!$A:$A,T$2)&lt;&gt;0,SUMIFS(Sheet1!$E:$E,Sheet1!$C:$C,$A88,Sheet1!$A:$A,T$2),"")</f>
        <v/>
      </c>
      <c r="U88" s="9" t="str">
        <f>IF(SUMIFS(Sheet1!$E:$E,Sheet1!$C:$C,$A88,Sheet1!$A:$A,U$2)&lt;&gt;0,SUMIFS(Sheet1!$E:$E,Sheet1!$C:$C,$A88,Sheet1!$A:$A,U$2),"")</f>
        <v/>
      </c>
      <c r="V88" s="9" t="str">
        <f>IF(SUMIFS(Sheet1!$E:$E,Sheet1!$C:$C,$A88,Sheet1!$A:$A,V$2)&lt;&gt;0,SUMIFS(Sheet1!$E:$E,Sheet1!$C:$C,$A88,Sheet1!$A:$A,V$2),"")</f>
        <v/>
      </c>
      <c r="W88" s="9" t="str">
        <f>IF(SUMIFS(Sheet1!$E:$E,Sheet1!$C:$C,$A88,Sheet1!$A:$A,W$2)&lt;&gt;0,SUMIFS(Sheet1!$E:$E,Sheet1!$C:$C,$A88,Sheet1!$A:$A,W$2),"")</f>
        <v/>
      </c>
      <c r="X88" s="9" t="str">
        <f>IF(SUMIFS(Sheet1!$E:$E,Sheet1!$C:$C,$A88,Sheet1!$A:$A,X$2)&lt;&gt;0,SUMIFS(Sheet1!$E:$E,Sheet1!$C:$C,$A88,Sheet1!$A:$A,X$2),"")</f>
        <v/>
      </c>
      <c r="Y88" s="9" t="str">
        <f>IF(SUMIFS(Sheet1!$E:$E,Sheet1!$C:$C,$A88,Sheet1!$A:$A,Y$2)&lt;&gt;0,SUMIFS(Sheet1!$E:$E,Sheet1!$C:$C,$A88,Sheet1!$A:$A,Y$2),"")</f>
        <v/>
      </c>
      <c r="Z88" s="9" t="str">
        <f>IF(SUMIFS(Sheet1!$E:$E,Sheet1!$C:$C,$A88,Sheet1!$A:$A,Z$2)&lt;&gt;0,SUMIFS(Sheet1!$E:$E,Sheet1!$C:$C,$A88,Sheet1!$A:$A,Z$2),"")</f>
        <v/>
      </c>
      <c r="AA88" s="9" t="str">
        <f>IF(SUMIFS(Sheet1!$E:$E,Sheet1!$C:$C,$A88,Sheet1!$A:$A,AA$2)&lt;&gt;0,SUMIFS(Sheet1!$E:$E,Sheet1!$C:$C,$A88,Sheet1!$A:$A,AA$2),"")</f>
        <v/>
      </c>
      <c r="AB88" s="9" t="str">
        <f>IF(SUMIFS(Sheet1!$E:$E,Sheet1!$C:$C,$A88,Sheet1!$A:$A,AB$2)&lt;&gt;0,SUMIFS(Sheet1!$E:$E,Sheet1!$C:$C,$A88,Sheet1!$A:$A,AB$2),"")</f>
        <v/>
      </c>
      <c r="AC88" s="9" t="str">
        <f>IF(SUMIFS(Sheet1!$E:$E,Sheet1!$C:$C,$A88,Sheet1!$A:$A,AC$2)&lt;&gt;0,SUMIFS(Sheet1!$E:$E,Sheet1!$C:$C,$A88,Sheet1!$A:$A,AC$2),"")</f>
        <v/>
      </c>
      <c r="AD88" s="9" t="str">
        <f>IF(SUMIFS(Sheet1!$E:$E,Sheet1!$C:$C,$A88,Sheet1!$A:$A,AD$2)&lt;&gt;0,SUMIFS(Sheet1!$E:$E,Sheet1!$C:$C,$A88,Sheet1!$A:$A,AD$2),"")</f>
        <v/>
      </c>
      <c r="AE88" s="9" t="str">
        <f>IF(SUMIFS(Sheet1!$E:$E,Sheet1!$C:$C,$A88,Sheet1!$A:$A,AE$2)&lt;&gt;0,SUMIFS(Sheet1!$E:$E,Sheet1!$C:$C,$A88,Sheet1!$A:$A,AE$2),"")</f>
        <v/>
      </c>
      <c r="AF88" s="9" t="str">
        <f>IF(SUMIFS(Sheet1!$E:$E,Sheet1!$C:$C,$A88,Sheet1!$A:$A,AF$2)&lt;&gt;0,SUMIFS(Sheet1!$E:$E,Sheet1!$C:$C,$A88,Sheet1!$A:$A,AF$2),"")</f>
        <v/>
      </c>
      <c r="AG88" s="9" t="str">
        <f>IF(SUMIFS(Sheet1!$E:$E,Sheet1!$C:$C,$A88,Sheet1!$A:$A,AG$2)&lt;&gt;0,SUMIFS(Sheet1!$E:$E,Sheet1!$C:$C,$A88,Sheet1!$A:$A,AG$2),"")</f>
        <v/>
      </c>
      <c r="AH88" s="47">
        <f>SUM(Table24[[#This Row],[1]:[31]])</f>
        <v>0</v>
      </c>
    </row>
    <row r="89" spans="1:34" ht="12.75" customHeight="1">
      <c r="A89" s="24" t="str">
        <f>DSSP!A88</f>
        <v>B03</v>
      </c>
      <c r="B89" s="25" t="str">
        <f>DSSP!B88</f>
        <v>Cafe hoa quả</v>
      </c>
      <c r="C89" s="9" t="str">
        <f>IF(SUMIFS(Sheet1!$E:$E,Sheet1!$C:$C,$A89,Sheet1!$A:$A,C$2)&lt;&gt;0,SUMIFS(Sheet1!$E:$E,Sheet1!$C:$C,$A89,Sheet1!$A:$A,C$2),"")</f>
        <v/>
      </c>
      <c r="D89" s="9" t="str">
        <f>IF(SUMIFS(Sheet1!$E:$E,Sheet1!$C:$C,$A89,Sheet1!$A:$A,D$2)&lt;&gt;0,SUMIFS(Sheet1!$E:$E,Sheet1!$C:$C,$A89,Sheet1!$A:$A,D$2),"")</f>
        <v/>
      </c>
      <c r="E89" s="9" t="str">
        <f>IF(SUMIFS(Sheet1!$E:$E,Sheet1!$C:$C,$A89,Sheet1!$A:$A,E$2)&lt;&gt;0,SUMIFS(Sheet1!$E:$E,Sheet1!$C:$C,$A89,Sheet1!$A:$A,E$2),"")</f>
        <v/>
      </c>
      <c r="F89" s="9" t="str">
        <f>IF(SUMIFS(Sheet1!$E:$E,Sheet1!$C:$C,$A89,Sheet1!$A:$A,F$2)&lt;&gt;0,SUMIFS(Sheet1!$E:$E,Sheet1!$C:$C,$A89,Sheet1!$A:$A,F$2),"")</f>
        <v/>
      </c>
      <c r="G89" s="9" t="str">
        <f>IF(SUMIFS(Sheet1!$E:$E,Sheet1!$C:$C,$A89,Sheet1!$A:$A,G$2)&lt;&gt;0,SUMIFS(Sheet1!$E:$E,Sheet1!$C:$C,$A89,Sheet1!$A:$A,G$2),"")</f>
        <v/>
      </c>
      <c r="H89" s="9" t="str">
        <f>IF(SUMIFS(Sheet1!$E:$E,Sheet1!$C:$C,$A89,Sheet1!$A:$A,H$2)&lt;&gt;0,SUMIFS(Sheet1!$E:$E,Sheet1!$C:$C,$A89,Sheet1!$A:$A,H$2),"")</f>
        <v/>
      </c>
      <c r="I89" s="9" t="str">
        <f>IF(SUMIFS(Sheet1!$E:$E,Sheet1!$C:$C,$A89,Sheet1!$A:$A,I$2)&lt;&gt;0,SUMIFS(Sheet1!$E:$E,Sheet1!$C:$C,$A89,Sheet1!$A:$A,I$2),"")</f>
        <v/>
      </c>
      <c r="J89" s="9" t="str">
        <f>IF(SUMIFS(Sheet1!$E:$E,Sheet1!$C:$C,$A89,Sheet1!$A:$A,J$2)&lt;&gt;0,SUMIFS(Sheet1!$E:$E,Sheet1!$C:$C,$A89,Sheet1!$A:$A,J$2),"")</f>
        <v/>
      </c>
      <c r="K89" s="9" t="str">
        <f>IF(SUMIFS(Sheet1!$E:$E,Sheet1!$C:$C,$A89,Sheet1!$A:$A,K$2)&lt;&gt;0,SUMIFS(Sheet1!$E:$E,Sheet1!$C:$C,$A89,Sheet1!$A:$A,K$2),"")</f>
        <v/>
      </c>
      <c r="L89" s="9" t="str">
        <f>IF(SUMIFS(Sheet1!$E:$E,Sheet1!$C:$C,$A89,Sheet1!$A:$A,L$2)&lt;&gt;0,SUMIFS(Sheet1!$E:$E,Sheet1!$C:$C,$A89,Sheet1!$A:$A,L$2),"")</f>
        <v/>
      </c>
      <c r="M89" s="9" t="str">
        <f>IF(SUMIFS(Sheet1!$E:$E,Sheet1!$C:$C,$A89,Sheet1!$A:$A,M$2)&lt;&gt;0,SUMIFS(Sheet1!$E:$E,Sheet1!$C:$C,$A89,Sheet1!$A:$A,M$2),"")</f>
        <v/>
      </c>
      <c r="N89" s="9" t="str">
        <f>IF(SUMIFS(Sheet1!$E:$E,Sheet1!$C:$C,$A89,Sheet1!$A:$A,N$2)&lt;&gt;0,SUMIFS(Sheet1!$E:$E,Sheet1!$C:$C,$A89,Sheet1!$A:$A,N$2),"")</f>
        <v/>
      </c>
      <c r="O89" s="9" t="str">
        <f>IF(SUMIFS(Sheet1!$E:$E,Sheet1!$C:$C,$A89,Sheet1!$A:$A,O$2)&lt;&gt;0,SUMIFS(Sheet1!$E:$E,Sheet1!$C:$C,$A89,Sheet1!$A:$A,O$2),"")</f>
        <v/>
      </c>
      <c r="P89" s="9" t="str">
        <f>IF(SUMIFS(Sheet1!$E:$E,Sheet1!$C:$C,$A89,Sheet1!$A:$A,P$2)&lt;&gt;0,SUMIFS(Sheet1!$E:$E,Sheet1!$C:$C,$A89,Sheet1!$A:$A,P$2),"")</f>
        <v/>
      </c>
      <c r="Q89" s="9" t="str">
        <f>IF(SUMIFS(Sheet1!$E:$E,Sheet1!$C:$C,$A89,Sheet1!$A:$A,Q$2)&lt;&gt;0,SUMIFS(Sheet1!$E:$E,Sheet1!$C:$C,$A89,Sheet1!$A:$A,Q$2),"")</f>
        <v/>
      </c>
      <c r="R89" s="9" t="str">
        <f>IF(SUMIFS(Sheet1!$E:$E,Sheet1!$C:$C,$A89,Sheet1!$A:$A,R$2)&lt;&gt;0,SUMIFS(Sheet1!$E:$E,Sheet1!$C:$C,$A89,Sheet1!$A:$A,R$2),"")</f>
        <v/>
      </c>
      <c r="S89" s="9" t="str">
        <f>IF(SUMIFS(Sheet1!$E:$E,Sheet1!$C:$C,$A89,Sheet1!$A:$A,S$2)&lt;&gt;0,SUMIFS(Sheet1!$E:$E,Sheet1!$C:$C,$A89,Sheet1!$A:$A,S$2),"")</f>
        <v/>
      </c>
      <c r="T89" s="9" t="str">
        <f>IF(SUMIFS(Sheet1!$E:$E,Sheet1!$C:$C,$A89,Sheet1!$A:$A,T$2)&lt;&gt;0,SUMIFS(Sheet1!$E:$E,Sheet1!$C:$C,$A89,Sheet1!$A:$A,T$2),"")</f>
        <v/>
      </c>
      <c r="U89" s="9" t="str">
        <f>IF(SUMIFS(Sheet1!$E:$E,Sheet1!$C:$C,$A89,Sheet1!$A:$A,U$2)&lt;&gt;0,SUMIFS(Sheet1!$E:$E,Sheet1!$C:$C,$A89,Sheet1!$A:$A,U$2),"")</f>
        <v/>
      </c>
      <c r="V89" s="9" t="str">
        <f>IF(SUMIFS(Sheet1!$E:$E,Sheet1!$C:$C,$A89,Sheet1!$A:$A,V$2)&lt;&gt;0,SUMIFS(Sheet1!$E:$E,Sheet1!$C:$C,$A89,Sheet1!$A:$A,V$2),"")</f>
        <v/>
      </c>
      <c r="W89" s="9" t="str">
        <f>IF(SUMIFS(Sheet1!$E:$E,Sheet1!$C:$C,$A89,Sheet1!$A:$A,W$2)&lt;&gt;0,SUMIFS(Sheet1!$E:$E,Sheet1!$C:$C,$A89,Sheet1!$A:$A,W$2),"")</f>
        <v/>
      </c>
      <c r="X89" s="9" t="str">
        <f>IF(SUMIFS(Sheet1!$E:$E,Sheet1!$C:$C,$A89,Sheet1!$A:$A,X$2)&lt;&gt;0,SUMIFS(Sheet1!$E:$E,Sheet1!$C:$C,$A89,Sheet1!$A:$A,X$2),"")</f>
        <v/>
      </c>
      <c r="Y89" s="9" t="str">
        <f>IF(SUMIFS(Sheet1!$E:$E,Sheet1!$C:$C,$A89,Sheet1!$A:$A,Y$2)&lt;&gt;0,SUMIFS(Sheet1!$E:$E,Sheet1!$C:$C,$A89,Sheet1!$A:$A,Y$2),"")</f>
        <v/>
      </c>
      <c r="Z89" s="9" t="str">
        <f>IF(SUMIFS(Sheet1!$E:$E,Sheet1!$C:$C,$A89,Sheet1!$A:$A,Z$2)&lt;&gt;0,SUMIFS(Sheet1!$E:$E,Sheet1!$C:$C,$A89,Sheet1!$A:$A,Z$2),"")</f>
        <v/>
      </c>
      <c r="AA89" s="9" t="str">
        <f>IF(SUMIFS(Sheet1!$E:$E,Sheet1!$C:$C,$A89,Sheet1!$A:$A,AA$2)&lt;&gt;0,SUMIFS(Sheet1!$E:$E,Sheet1!$C:$C,$A89,Sheet1!$A:$A,AA$2),"")</f>
        <v/>
      </c>
      <c r="AB89" s="9" t="str">
        <f>IF(SUMIFS(Sheet1!$E:$E,Sheet1!$C:$C,$A89,Sheet1!$A:$A,AB$2)&lt;&gt;0,SUMIFS(Sheet1!$E:$E,Sheet1!$C:$C,$A89,Sheet1!$A:$A,AB$2),"")</f>
        <v/>
      </c>
      <c r="AC89" s="9" t="str">
        <f>IF(SUMIFS(Sheet1!$E:$E,Sheet1!$C:$C,$A89,Sheet1!$A:$A,AC$2)&lt;&gt;0,SUMIFS(Sheet1!$E:$E,Sheet1!$C:$C,$A89,Sheet1!$A:$A,AC$2),"")</f>
        <v/>
      </c>
      <c r="AD89" s="9" t="str">
        <f>IF(SUMIFS(Sheet1!$E:$E,Sheet1!$C:$C,$A89,Sheet1!$A:$A,AD$2)&lt;&gt;0,SUMIFS(Sheet1!$E:$E,Sheet1!$C:$C,$A89,Sheet1!$A:$A,AD$2),"")</f>
        <v/>
      </c>
      <c r="AE89" s="9" t="str">
        <f>IF(SUMIFS(Sheet1!$E:$E,Sheet1!$C:$C,$A89,Sheet1!$A:$A,AE$2)&lt;&gt;0,SUMIFS(Sheet1!$E:$E,Sheet1!$C:$C,$A89,Sheet1!$A:$A,AE$2),"")</f>
        <v/>
      </c>
      <c r="AF89" s="9" t="str">
        <f>IF(SUMIFS(Sheet1!$E:$E,Sheet1!$C:$C,$A89,Sheet1!$A:$A,AF$2)&lt;&gt;0,SUMIFS(Sheet1!$E:$E,Sheet1!$C:$C,$A89,Sheet1!$A:$A,AF$2),"")</f>
        <v/>
      </c>
      <c r="AG89" s="9" t="str">
        <f>IF(SUMIFS(Sheet1!$E:$E,Sheet1!$C:$C,$A89,Sheet1!$A:$A,AG$2)&lt;&gt;0,SUMIFS(Sheet1!$E:$E,Sheet1!$C:$C,$A89,Sheet1!$A:$A,AG$2),"")</f>
        <v/>
      </c>
      <c r="AH89" s="47">
        <f>SUM(Table24[[#This Row],[1]:[31]])</f>
        <v>0</v>
      </c>
    </row>
    <row r="90" spans="1:34" ht="12.75" customHeight="1">
      <c r="A90" s="24" t="str">
        <f>DSSP!A89</f>
        <v>B04</v>
      </c>
      <c r="B90" s="25" t="str">
        <f>DSSP!B89</f>
        <v>Fastfood</v>
      </c>
      <c r="C90" s="9">
        <f>IF(SUMIFS(Sheet1!$E:$E,Sheet1!$C:$C,$A90,Sheet1!$A:$A,C$2)&lt;&gt;0,SUMIFS(Sheet1!$E:$E,Sheet1!$C:$C,$A90,Sheet1!$A:$A,C$2),"")</f>
        <v>12</v>
      </c>
      <c r="D90" s="9" t="str">
        <f>IF(SUMIFS(Sheet1!$E:$E,Sheet1!$C:$C,$A90,Sheet1!$A:$A,D$2)&lt;&gt;0,SUMIFS(Sheet1!$E:$E,Sheet1!$C:$C,$A90,Sheet1!$A:$A,D$2),"")</f>
        <v/>
      </c>
      <c r="E90" s="9" t="str">
        <f>IF(SUMIFS(Sheet1!$E:$E,Sheet1!$C:$C,$A90,Sheet1!$A:$A,E$2)&lt;&gt;0,SUMIFS(Sheet1!$E:$E,Sheet1!$C:$C,$A90,Sheet1!$A:$A,E$2),"")</f>
        <v/>
      </c>
      <c r="F90" s="9" t="str">
        <f>IF(SUMIFS(Sheet1!$E:$E,Sheet1!$C:$C,$A90,Sheet1!$A:$A,F$2)&lt;&gt;0,SUMIFS(Sheet1!$E:$E,Sheet1!$C:$C,$A90,Sheet1!$A:$A,F$2),"")</f>
        <v/>
      </c>
      <c r="G90" s="9" t="str">
        <f>IF(SUMIFS(Sheet1!$E:$E,Sheet1!$C:$C,$A90,Sheet1!$A:$A,G$2)&lt;&gt;0,SUMIFS(Sheet1!$E:$E,Sheet1!$C:$C,$A90,Sheet1!$A:$A,G$2),"")</f>
        <v/>
      </c>
      <c r="H90" s="9" t="str">
        <f>IF(SUMIFS(Sheet1!$E:$E,Sheet1!$C:$C,$A90,Sheet1!$A:$A,H$2)&lt;&gt;0,SUMIFS(Sheet1!$E:$E,Sheet1!$C:$C,$A90,Sheet1!$A:$A,H$2),"")</f>
        <v/>
      </c>
      <c r="I90" s="9" t="str">
        <f>IF(SUMIFS(Sheet1!$E:$E,Sheet1!$C:$C,$A90,Sheet1!$A:$A,I$2)&lt;&gt;0,SUMIFS(Sheet1!$E:$E,Sheet1!$C:$C,$A90,Sheet1!$A:$A,I$2),"")</f>
        <v/>
      </c>
      <c r="J90" s="9" t="str">
        <f>IF(SUMIFS(Sheet1!$E:$E,Sheet1!$C:$C,$A90,Sheet1!$A:$A,J$2)&lt;&gt;0,SUMIFS(Sheet1!$E:$E,Sheet1!$C:$C,$A90,Sheet1!$A:$A,J$2),"")</f>
        <v/>
      </c>
      <c r="K90" s="9" t="str">
        <f>IF(SUMIFS(Sheet1!$E:$E,Sheet1!$C:$C,$A90,Sheet1!$A:$A,K$2)&lt;&gt;0,SUMIFS(Sheet1!$E:$E,Sheet1!$C:$C,$A90,Sheet1!$A:$A,K$2),"")</f>
        <v/>
      </c>
      <c r="L90" s="9" t="str">
        <f>IF(SUMIFS(Sheet1!$E:$E,Sheet1!$C:$C,$A90,Sheet1!$A:$A,L$2)&lt;&gt;0,SUMIFS(Sheet1!$E:$E,Sheet1!$C:$C,$A90,Sheet1!$A:$A,L$2),"")</f>
        <v/>
      </c>
      <c r="M90" s="9" t="str">
        <f>IF(SUMIFS(Sheet1!$E:$E,Sheet1!$C:$C,$A90,Sheet1!$A:$A,M$2)&lt;&gt;0,SUMIFS(Sheet1!$E:$E,Sheet1!$C:$C,$A90,Sheet1!$A:$A,M$2),"")</f>
        <v/>
      </c>
      <c r="N90" s="9" t="str">
        <f>IF(SUMIFS(Sheet1!$E:$E,Sheet1!$C:$C,$A90,Sheet1!$A:$A,N$2)&lt;&gt;0,SUMIFS(Sheet1!$E:$E,Sheet1!$C:$C,$A90,Sheet1!$A:$A,N$2),"")</f>
        <v/>
      </c>
      <c r="O90" s="9" t="str">
        <f>IF(SUMIFS(Sheet1!$E:$E,Sheet1!$C:$C,$A90,Sheet1!$A:$A,O$2)&lt;&gt;0,SUMIFS(Sheet1!$E:$E,Sheet1!$C:$C,$A90,Sheet1!$A:$A,O$2),"")</f>
        <v/>
      </c>
      <c r="P90" s="9" t="str">
        <f>IF(SUMIFS(Sheet1!$E:$E,Sheet1!$C:$C,$A90,Sheet1!$A:$A,P$2)&lt;&gt;0,SUMIFS(Sheet1!$E:$E,Sheet1!$C:$C,$A90,Sheet1!$A:$A,P$2),"")</f>
        <v/>
      </c>
      <c r="Q90" s="9" t="str">
        <f>IF(SUMIFS(Sheet1!$E:$E,Sheet1!$C:$C,$A90,Sheet1!$A:$A,Q$2)&lt;&gt;0,SUMIFS(Sheet1!$E:$E,Sheet1!$C:$C,$A90,Sheet1!$A:$A,Q$2),"")</f>
        <v/>
      </c>
      <c r="R90" s="9" t="str">
        <f>IF(SUMIFS(Sheet1!$E:$E,Sheet1!$C:$C,$A90,Sheet1!$A:$A,R$2)&lt;&gt;0,SUMIFS(Sheet1!$E:$E,Sheet1!$C:$C,$A90,Sheet1!$A:$A,R$2),"")</f>
        <v/>
      </c>
      <c r="S90" s="9" t="str">
        <f>IF(SUMIFS(Sheet1!$E:$E,Sheet1!$C:$C,$A90,Sheet1!$A:$A,S$2)&lt;&gt;0,SUMIFS(Sheet1!$E:$E,Sheet1!$C:$C,$A90,Sheet1!$A:$A,S$2),"")</f>
        <v/>
      </c>
      <c r="T90" s="9" t="str">
        <f>IF(SUMIFS(Sheet1!$E:$E,Sheet1!$C:$C,$A90,Sheet1!$A:$A,T$2)&lt;&gt;0,SUMIFS(Sheet1!$E:$E,Sheet1!$C:$C,$A90,Sheet1!$A:$A,T$2),"")</f>
        <v/>
      </c>
      <c r="U90" s="9" t="str">
        <f>IF(SUMIFS(Sheet1!$E:$E,Sheet1!$C:$C,$A90,Sheet1!$A:$A,U$2)&lt;&gt;0,SUMIFS(Sheet1!$E:$E,Sheet1!$C:$C,$A90,Sheet1!$A:$A,U$2),"")</f>
        <v/>
      </c>
      <c r="V90" s="9" t="str">
        <f>IF(SUMIFS(Sheet1!$E:$E,Sheet1!$C:$C,$A90,Sheet1!$A:$A,V$2)&lt;&gt;0,SUMIFS(Sheet1!$E:$E,Sheet1!$C:$C,$A90,Sheet1!$A:$A,V$2),"")</f>
        <v/>
      </c>
      <c r="W90" s="9" t="str">
        <f>IF(SUMIFS(Sheet1!$E:$E,Sheet1!$C:$C,$A90,Sheet1!$A:$A,W$2)&lt;&gt;0,SUMIFS(Sheet1!$E:$E,Sheet1!$C:$C,$A90,Sheet1!$A:$A,W$2),"")</f>
        <v/>
      </c>
      <c r="X90" s="9" t="str">
        <f>IF(SUMIFS(Sheet1!$E:$E,Sheet1!$C:$C,$A90,Sheet1!$A:$A,X$2)&lt;&gt;0,SUMIFS(Sheet1!$E:$E,Sheet1!$C:$C,$A90,Sheet1!$A:$A,X$2),"")</f>
        <v/>
      </c>
      <c r="Y90" s="9" t="str">
        <f>IF(SUMIFS(Sheet1!$E:$E,Sheet1!$C:$C,$A90,Sheet1!$A:$A,Y$2)&lt;&gt;0,SUMIFS(Sheet1!$E:$E,Sheet1!$C:$C,$A90,Sheet1!$A:$A,Y$2),"")</f>
        <v/>
      </c>
      <c r="Z90" s="9" t="str">
        <f>IF(SUMIFS(Sheet1!$E:$E,Sheet1!$C:$C,$A90,Sheet1!$A:$A,Z$2)&lt;&gt;0,SUMIFS(Sheet1!$E:$E,Sheet1!$C:$C,$A90,Sheet1!$A:$A,Z$2),"")</f>
        <v/>
      </c>
      <c r="AA90" s="9" t="str">
        <f>IF(SUMIFS(Sheet1!$E:$E,Sheet1!$C:$C,$A90,Sheet1!$A:$A,AA$2)&lt;&gt;0,SUMIFS(Sheet1!$E:$E,Sheet1!$C:$C,$A90,Sheet1!$A:$A,AA$2),"")</f>
        <v/>
      </c>
      <c r="AB90" s="9" t="str">
        <f>IF(SUMIFS(Sheet1!$E:$E,Sheet1!$C:$C,$A90,Sheet1!$A:$A,AB$2)&lt;&gt;0,SUMIFS(Sheet1!$E:$E,Sheet1!$C:$C,$A90,Sheet1!$A:$A,AB$2),"")</f>
        <v/>
      </c>
      <c r="AC90" s="9" t="str">
        <f>IF(SUMIFS(Sheet1!$E:$E,Sheet1!$C:$C,$A90,Sheet1!$A:$A,AC$2)&lt;&gt;0,SUMIFS(Sheet1!$E:$E,Sheet1!$C:$C,$A90,Sheet1!$A:$A,AC$2),"")</f>
        <v/>
      </c>
      <c r="AD90" s="9" t="str">
        <f>IF(SUMIFS(Sheet1!$E:$E,Sheet1!$C:$C,$A90,Sheet1!$A:$A,AD$2)&lt;&gt;0,SUMIFS(Sheet1!$E:$E,Sheet1!$C:$C,$A90,Sheet1!$A:$A,AD$2),"")</f>
        <v/>
      </c>
      <c r="AE90" s="9" t="str">
        <f>IF(SUMIFS(Sheet1!$E:$E,Sheet1!$C:$C,$A90,Sheet1!$A:$A,AE$2)&lt;&gt;0,SUMIFS(Sheet1!$E:$E,Sheet1!$C:$C,$A90,Sheet1!$A:$A,AE$2),"")</f>
        <v/>
      </c>
      <c r="AF90" s="9" t="str">
        <f>IF(SUMIFS(Sheet1!$E:$E,Sheet1!$C:$C,$A90,Sheet1!$A:$A,AF$2)&lt;&gt;0,SUMIFS(Sheet1!$E:$E,Sheet1!$C:$C,$A90,Sheet1!$A:$A,AF$2),"")</f>
        <v/>
      </c>
      <c r="AG90" s="9" t="str">
        <f>IF(SUMIFS(Sheet1!$E:$E,Sheet1!$C:$C,$A90,Sheet1!$A:$A,AG$2)&lt;&gt;0,SUMIFS(Sheet1!$E:$E,Sheet1!$C:$C,$A90,Sheet1!$A:$A,AG$2),"")</f>
        <v/>
      </c>
      <c r="AH90" s="47">
        <f>SUM(Table24[[#This Row],[1]:[31]])</f>
        <v>12</v>
      </c>
    </row>
    <row r="91" spans="1:34" ht="12.75" customHeight="1">
      <c r="A91" s="24" t="str">
        <f>DSSP!A90</f>
        <v>B06</v>
      </c>
      <c r="B91" s="25" t="str">
        <f>DSSP!B90</f>
        <v>Bàn cờ caro</v>
      </c>
      <c r="C91" s="21" t="str">
        <f>IF(SUMIFS(Sheet1!$E:$E,Sheet1!$C:$C,$A91,Sheet1!$A:$A,C$2)&lt;&gt;0,SUMIFS(Sheet1!$E:$E,Sheet1!$C:$C,$A91,Sheet1!$A:$A,C$2),"")</f>
        <v/>
      </c>
      <c r="D91" s="21" t="str">
        <f>IF(SUMIFS(Sheet1!$E:$E,Sheet1!$C:$C,$A91,Sheet1!$A:$A,D$2)&lt;&gt;0,SUMIFS(Sheet1!$E:$E,Sheet1!$C:$C,$A91,Sheet1!$A:$A,D$2),"")</f>
        <v/>
      </c>
      <c r="E91" s="10" t="str">
        <f>IF(SUMIFS(Sheet1!$E:$E,Sheet1!$C:$C,$A91,Sheet1!$A:$A,E$2)&lt;&gt;0,SUMIFS(Sheet1!$E:$E,Sheet1!$C:$C,$A91,Sheet1!$A:$A,E$2),"")</f>
        <v/>
      </c>
      <c r="F91" s="10" t="str">
        <f>IF(SUMIFS(Sheet1!$E:$E,Sheet1!$C:$C,$A91,Sheet1!$A:$A,F$2)&lt;&gt;0,SUMIFS(Sheet1!$E:$E,Sheet1!$C:$C,$A91,Sheet1!$A:$A,F$2),"")</f>
        <v/>
      </c>
      <c r="G91" s="10" t="str">
        <f>IF(SUMIFS(Sheet1!$E:$E,Sheet1!$C:$C,$A91,Sheet1!$A:$A,G$2)&lt;&gt;0,SUMIFS(Sheet1!$E:$E,Sheet1!$C:$C,$A91,Sheet1!$A:$A,G$2),"")</f>
        <v/>
      </c>
      <c r="H91" s="10" t="str">
        <f>IF(SUMIFS(Sheet1!$E:$E,Sheet1!$C:$C,$A91,Sheet1!$A:$A,H$2)&lt;&gt;0,SUMIFS(Sheet1!$E:$E,Sheet1!$C:$C,$A91,Sheet1!$A:$A,H$2),"")</f>
        <v/>
      </c>
      <c r="I91" s="10" t="str">
        <f>IF(SUMIFS(Sheet1!$E:$E,Sheet1!$C:$C,$A91,Sheet1!$A:$A,I$2)&lt;&gt;0,SUMIFS(Sheet1!$E:$E,Sheet1!$C:$C,$A91,Sheet1!$A:$A,I$2),"")</f>
        <v/>
      </c>
      <c r="J91" s="10" t="str">
        <f>IF(SUMIFS(Sheet1!$E:$E,Sheet1!$C:$C,$A91,Sheet1!$A:$A,J$2)&lt;&gt;0,SUMIFS(Sheet1!$E:$E,Sheet1!$C:$C,$A91,Sheet1!$A:$A,J$2),"")</f>
        <v/>
      </c>
      <c r="K91" s="10" t="str">
        <f>IF(SUMIFS(Sheet1!$E:$E,Sheet1!$C:$C,$A91,Sheet1!$A:$A,K$2)&lt;&gt;0,SUMIFS(Sheet1!$E:$E,Sheet1!$C:$C,$A91,Sheet1!$A:$A,K$2),"")</f>
        <v/>
      </c>
      <c r="L91" s="10" t="str">
        <f>IF(SUMIFS(Sheet1!$E:$E,Sheet1!$C:$C,$A91,Sheet1!$A:$A,L$2)&lt;&gt;0,SUMIFS(Sheet1!$E:$E,Sheet1!$C:$C,$A91,Sheet1!$A:$A,L$2),"")</f>
        <v/>
      </c>
      <c r="M91" s="10" t="str">
        <f>IF(SUMIFS(Sheet1!$E:$E,Sheet1!$C:$C,$A91,Sheet1!$A:$A,M$2)&lt;&gt;0,SUMIFS(Sheet1!$E:$E,Sheet1!$C:$C,$A91,Sheet1!$A:$A,M$2),"")</f>
        <v/>
      </c>
      <c r="N91" s="10" t="str">
        <f>IF(SUMIFS(Sheet1!$E:$E,Sheet1!$C:$C,$A91,Sheet1!$A:$A,N$2)&lt;&gt;0,SUMIFS(Sheet1!$E:$E,Sheet1!$C:$C,$A91,Sheet1!$A:$A,N$2),"")</f>
        <v/>
      </c>
      <c r="O91" s="10" t="str">
        <f>IF(SUMIFS(Sheet1!$E:$E,Sheet1!$C:$C,$A91,Sheet1!$A:$A,O$2)&lt;&gt;0,SUMIFS(Sheet1!$E:$E,Sheet1!$C:$C,$A91,Sheet1!$A:$A,O$2),"")</f>
        <v/>
      </c>
      <c r="P91" s="10" t="str">
        <f>IF(SUMIFS(Sheet1!$E:$E,Sheet1!$C:$C,$A91,Sheet1!$A:$A,P$2)&lt;&gt;0,SUMIFS(Sheet1!$E:$E,Sheet1!$C:$C,$A91,Sheet1!$A:$A,P$2),"")</f>
        <v/>
      </c>
      <c r="Q91" s="10" t="str">
        <f>IF(SUMIFS(Sheet1!$E:$E,Sheet1!$C:$C,$A91,Sheet1!$A:$A,Q$2)&lt;&gt;0,SUMIFS(Sheet1!$E:$E,Sheet1!$C:$C,$A91,Sheet1!$A:$A,Q$2),"")</f>
        <v/>
      </c>
      <c r="R91" s="10" t="str">
        <f>IF(SUMIFS(Sheet1!$E:$E,Sheet1!$C:$C,$A91,Sheet1!$A:$A,R$2)&lt;&gt;0,SUMIFS(Sheet1!$E:$E,Sheet1!$C:$C,$A91,Sheet1!$A:$A,R$2),"")</f>
        <v/>
      </c>
      <c r="S91" s="21" t="str">
        <f>IF(SUMIFS(Sheet1!$E:$E,Sheet1!$C:$C,$A91,Sheet1!$A:$A,S$2)&lt;&gt;0,SUMIFS(Sheet1!$E:$E,Sheet1!$C:$C,$A91,Sheet1!$A:$A,S$2),"")</f>
        <v/>
      </c>
      <c r="T91" s="10" t="str">
        <f>IF(SUMIFS(Sheet1!$E:$E,Sheet1!$C:$C,$A91,Sheet1!$A:$A,T$2)&lt;&gt;0,SUMIFS(Sheet1!$E:$E,Sheet1!$C:$C,$A91,Sheet1!$A:$A,T$2),"")</f>
        <v/>
      </c>
      <c r="U91" s="10" t="str">
        <f>IF(SUMIFS(Sheet1!$E:$E,Sheet1!$C:$C,$A91,Sheet1!$A:$A,U$2)&lt;&gt;0,SUMIFS(Sheet1!$E:$E,Sheet1!$C:$C,$A91,Sheet1!$A:$A,U$2),"")</f>
        <v/>
      </c>
      <c r="V91" s="10" t="str">
        <f>IF(SUMIFS(Sheet1!$E:$E,Sheet1!$C:$C,$A91,Sheet1!$A:$A,V$2)&lt;&gt;0,SUMIFS(Sheet1!$E:$E,Sheet1!$C:$C,$A91,Sheet1!$A:$A,V$2),"")</f>
        <v/>
      </c>
      <c r="W91" s="10" t="str">
        <f>IF(SUMIFS(Sheet1!$E:$E,Sheet1!$C:$C,$A91,Sheet1!$A:$A,W$2)&lt;&gt;0,SUMIFS(Sheet1!$E:$E,Sheet1!$C:$C,$A91,Sheet1!$A:$A,W$2),"")</f>
        <v/>
      </c>
      <c r="X91" s="10" t="str">
        <f>IF(SUMIFS(Sheet1!$E:$E,Sheet1!$C:$C,$A91,Sheet1!$A:$A,X$2)&lt;&gt;0,SUMIFS(Sheet1!$E:$E,Sheet1!$C:$C,$A91,Sheet1!$A:$A,X$2),"")</f>
        <v/>
      </c>
      <c r="Y91" s="10" t="str">
        <f>IF(SUMIFS(Sheet1!$E:$E,Sheet1!$C:$C,$A91,Sheet1!$A:$A,Y$2)&lt;&gt;0,SUMIFS(Sheet1!$E:$E,Sheet1!$C:$C,$A91,Sheet1!$A:$A,Y$2),"")</f>
        <v/>
      </c>
      <c r="Z91" s="10" t="str">
        <f>IF(SUMIFS(Sheet1!$E:$E,Sheet1!$C:$C,$A91,Sheet1!$A:$A,Z$2)&lt;&gt;0,SUMIFS(Sheet1!$E:$E,Sheet1!$C:$C,$A91,Sheet1!$A:$A,Z$2),"")</f>
        <v/>
      </c>
      <c r="AA91" s="10" t="str">
        <f>IF(SUMIFS(Sheet1!$E:$E,Sheet1!$C:$C,$A91,Sheet1!$A:$A,AA$2)&lt;&gt;0,SUMIFS(Sheet1!$E:$E,Sheet1!$C:$C,$A91,Sheet1!$A:$A,AA$2),"")</f>
        <v/>
      </c>
      <c r="AB91" s="10" t="str">
        <f>IF(SUMIFS(Sheet1!$E:$E,Sheet1!$C:$C,$A91,Sheet1!$A:$A,AB$2)&lt;&gt;0,SUMIFS(Sheet1!$E:$E,Sheet1!$C:$C,$A91,Sheet1!$A:$A,AB$2),"")</f>
        <v/>
      </c>
      <c r="AC91" s="10" t="str">
        <f>IF(SUMIFS(Sheet1!$E:$E,Sheet1!$C:$C,$A91,Sheet1!$A:$A,AC$2)&lt;&gt;0,SUMIFS(Sheet1!$E:$E,Sheet1!$C:$C,$A91,Sheet1!$A:$A,AC$2),"")</f>
        <v/>
      </c>
      <c r="AD91" s="21" t="str">
        <f>IF(SUMIFS(Sheet1!$E:$E,Sheet1!$C:$C,$A91,Sheet1!$A:$A,AD$2)&lt;&gt;0,SUMIFS(Sheet1!$E:$E,Sheet1!$C:$C,$A91,Sheet1!$A:$A,AD$2),"")</f>
        <v/>
      </c>
      <c r="AE91" s="10" t="str">
        <f>IF(SUMIFS(Sheet1!$E:$E,Sheet1!$C:$C,$A91,Sheet1!$A:$A,AE$2)&lt;&gt;0,SUMIFS(Sheet1!$E:$E,Sheet1!$C:$C,$A91,Sheet1!$A:$A,AE$2),"")</f>
        <v/>
      </c>
      <c r="AF91" s="10" t="str">
        <f>IF(SUMIFS(Sheet1!$E:$E,Sheet1!$C:$C,$A91,Sheet1!$A:$A,AF$2)&lt;&gt;0,SUMIFS(Sheet1!$E:$E,Sheet1!$C:$C,$A91,Sheet1!$A:$A,AF$2),"")</f>
        <v/>
      </c>
      <c r="AG91" s="21" t="str">
        <f>IF(SUMIFS(Sheet1!$E:$E,Sheet1!$C:$C,$A91,Sheet1!$A:$A,AG$2)&lt;&gt;0,SUMIFS(Sheet1!$E:$E,Sheet1!$C:$C,$A91,Sheet1!$A:$A,AG$2),"")</f>
        <v/>
      </c>
      <c r="AH91" s="43">
        <f>SUM(Table24[[#This Row],[1]:[31]])</f>
        <v>0</v>
      </c>
    </row>
    <row r="92" spans="1:34" ht="12.75" customHeight="1">
      <c r="A92" s="24" t="str">
        <f>DSSP!A91</f>
        <v>B07</v>
      </c>
      <c r="B92" s="25" t="str">
        <f>DSSP!B91</f>
        <v>Bánh dâu</v>
      </c>
      <c r="C92" s="9">
        <f>IF(SUMIFS(Sheet1!$E:$E,Sheet1!$C:$C,$A92,Sheet1!$A:$A,C$2)&lt;&gt;0,SUMIFS(Sheet1!$E:$E,Sheet1!$C:$C,$A92,Sheet1!$A:$A,C$2),"")</f>
        <v>18</v>
      </c>
      <c r="D92" s="9" t="str">
        <f>IF(SUMIFS(Sheet1!$E:$E,Sheet1!$C:$C,$A92,Sheet1!$A:$A,D$2)&lt;&gt;0,SUMIFS(Sheet1!$E:$E,Sheet1!$C:$C,$A92,Sheet1!$A:$A,D$2),"")</f>
        <v/>
      </c>
      <c r="E92" s="9" t="str">
        <f>IF(SUMIFS(Sheet1!$E:$E,Sheet1!$C:$C,$A92,Sheet1!$A:$A,E$2)&lt;&gt;0,SUMIFS(Sheet1!$E:$E,Sheet1!$C:$C,$A92,Sheet1!$A:$A,E$2),"")</f>
        <v/>
      </c>
      <c r="F92" s="9" t="str">
        <f>IF(SUMIFS(Sheet1!$E:$E,Sheet1!$C:$C,$A92,Sheet1!$A:$A,F$2)&lt;&gt;0,SUMIFS(Sheet1!$E:$E,Sheet1!$C:$C,$A92,Sheet1!$A:$A,F$2),"")</f>
        <v/>
      </c>
      <c r="G92" s="9" t="str">
        <f>IF(SUMIFS(Sheet1!$E:$E,Sheet1!$C:$C,$A92,Sheet1!$A:$A,G$2)&lt;&gt;0,SUMIFS(Sheet1!$E:$E,Sheet1!$C:$C,$A92,Sheet1!$A:$A,G$2),"")</f>
        <v/>
      </c>
      <c r="H92" s="9" t="str">
        <f>IF(SUMIFS(Sheet1!$E:$E,Sheet1!$C:$C,$A92,Sheet1!$A:$A,H$2)&lt;&gt;0,SUMIFS(Sheet1!$E:$E,Sheet1!$C:$C,$A92,Sheet1!$A:$A,H$2),"")</f>
        <v/>
      </c>
      <c r="I92" s="9" t="str">
        <f>IF(SUMIFS(Sheet1!$E:$E,Sheet1!$C:$C,$A92,Sheet1!$A:$A,I$2)&lt;&gt;0,SUMIFS(Sheet1!$E:$E,Sheet1!$C:$C,$A92,Sheet1!$A:$A,I$2),"")</f>
        <v/>
      </c>
      <c r="J92" s="9" t="str">
        <f>IF(SUMIFS(Sheet1!$E:$E,Sheet1!$C:$C,$A92,Sheet1!$A:$A,J$2)&lt;&gt;0,SUMIFS(Sheet1!$E:$E,Sheet1!$C:$C,$A92,Sheet1!$A:$A,J$2),"")</f>
        <v/>
      </c>
      <c r="K92" s="9" t="str">
        <f>IF(SUMIFS(Sheet1!$E:$E,Sheet1!$C:$C,$A92,Sheet1!$A:$A,K$2)&lt;&gt;0,SUMIFS(Sheet1!$E:$E,Sheet1!$C:$C,$A92,Sheet1!$A:$A,K$2),"")</f>
        <v/>
      </c>
      <c r="L92" s="9" t="str">
        <f>IF(SUMIFS(Sheet1!$E:$E,Sheet1!$C:$C,$A92,Sheet1!$A:$A,L$2)&lt;&gt;0,SUMIFS(Sheet1!$E:$E,Sheet1!$C:$C,$A92,Sheet1!$A:$A,L$2),"")</f>
        <v/>
      </c>
      <c r="M92" s="9" t="str">
        <f>IF(SUMIFS(Sheet1!$E:$E,Sheet1!$C:$C,$A92,Sheet1!$A:$A,M$2)&lt;&gt;0,SUMIFS(Sheet1!$E:$E,Sheet1!$C:$C,$A92,Sheet1!$A:$A,M$2),"")</f>
        <v/>
      </c>
      <c r="N92" s="9" t="str">
        <f>IF(SUMIFS(Sheet1!$E:$E,Sheet1!$C:$C,$A92,Sheet1!$A:$A,N$2)&lt;&gt;0,SUMIFS(Sheet1!$E:$E,Sheet1!$C:$C,$A92,Sheet1!$A:$A,N$2),"")</f>
        <v/>
      </c>
      <c r="O92" s="9" t="str">
        <f>IF(SUMIFS(Sheet1!$E:$E,Sheet1!$C:$C,$A92,Sheet1!$A:$A,O$2)&lt;&gt;0,SUMIFS(Sheet1!$E:$E,Sheet1!$C:$C,$A92,Sheet1!$A:$A,O$2),"")</f>
        <v/>
      </c>
      <c r="P92" s="9" t="str">
        <f>IF(SUMIFS(Sheet1!$E:$E,Sheet1!$C:$C,$A92,Sheet1!$A:$A,P$2)&lt;&gt;0,SUMIFS(Sheet1!$E:$E,Sheet1!$C:$C,$A92,Sheet1!$A:$A,P$2),"")</f>
        <v/>
      </c>
      <c r="Q92" s="9" t="str">
        <f>IF(SUMIFS(Sheet1!$E:$E,Sheet1!$C:$C,$A92,Sheet1!$A:$A,Q$2)&lt;&gt;0,SUMIFS(Sheet1!$E:$E,Sheet1!$C:$C,$A92,Sheet1!$A:$A,Q$2),"")</f>
        <v/>
      </c>
      <c r="R92" s="9" t="str">
        <f>IF(SUMIFS(Sheet1!$E:$E,Sheet1!$C:$C,$A92,Sheet1!$A:$A,R$2)&lt;&gt;0,SUMIFS(Sheet1!$E:$E,Sheet1!$C:$C,$A92,Sheet1!$A:$A,R$2),"")</f>
        <v/>
      </c>
      <c r="S92" s="9" t="str">
        <f>IF(SUMIFS(Sheet1!$E:$E,Sheet1!$C:$C,$A92,Sheet1!$A:$A,S$2)&lt;&gt;0,SUMIFS(Sheet1!$E:$E,Sheet1!$C:$C,$A92,Sheet1!$A:$A,S$2),"")</f>
        <v/>
      </c>
      <c r="T92" s="9" t="str">
        <f>IF(SUMIFS(Sheet1!$E:$E,Sheet1!$C:$C,$A92,Sheet1!$A:$A,T$2)&lt;&gt;0,SUMIFS(Sheet1!$E:$E,Sheet1!$C:$C,$A92,Sheet1!$A:$A,T$2),"")</f>
        <v/>
      </c>
      <c r="U92" s="9" t="str">
        <f>IF(SUMIFS(Sheet1!$E:$E,Sheet1!$C:$C,$A92,Sheet1!$A:$A,U$2)&lt;&gt;0,SUMIFS(Sheet1!$E:$E,Sheet1!$C:$C,$A92,Sheet1!$A:$A,U$2),"")</f>
        <v/>
      </c>
      <c r="V92" s="9" t="str">
        <f>IF(SUMIFS(Sheet1!$E:$E,Sheet1!$C:$C,$A92,Sheet1!$A:$A,V$2)&lt;&gt;0,SUMIFS(Sheet1!$E:$E,Sheet1!$C:$C,$A92,Sheet1!$A:$A,V$2),"")</f>
        <v/>
      </c>
      <c r="W92" s="9" t="str">
        <f>IF(SUMIFS(Sheet1!$E:$E,Sheet1!$C:$C,$A92,Sheet1!$A:$A,W$2)&lt;&gt;0,SUMIFS(Sheet1!$E:$E,Sheet1!$C:$C,$A92,Sheet1!$A:$A,W$2),"")</f>
        <v/>
      </c>
      <c r="X92" s="9" t="str">
        <f>IF(SUMIFS(Sheet1!$E:$E,Sheet1!$C:$C,$A92,Sheet1!$A:$A,X$2)&lt;&gt;0,SUMIFS(Sheet1!$E:$E,Sheet1!$C:$C,$A92,Sheet1!$A:$A,X$2),"")</f>
        <v/>
      </c>
      <c r="Y92" s="9" t="str">
        <f>IF(SUMIFS(Sheet1!$E:$E,Sheet1!$C:$C,$A92,Sheet1!$A:$A,Y$2)&lt;&gt;0,SUMIFS(Sheet1!$E:$E,Sheet1!$C:$C,$A92,Sheet1!$A:$A,Y$2),"")</f>
        <v/>
      </c>
      <c r="Z92" s="9" t="str">
        <f>IF(SUMIFS(Sheet1!$E:$E,Sheet1!$C:$C,$A92,Sheet1!$A:$A,Z$2)&lt;&gt;0,SUMIFS(Sheet1!$E:$E,Sheet1!$C:$C,$A92,Sheet1!$A:$A,Z$2),"")</f>
        <v/>
      </c>
      <c r="AA92" s="9" t="str">
        <f>IF(SUMIFS(Sheet1!$E:$E,Sheet1!$C:$C,$A92,Sheet1!$A:$A,AA$2)&lt;&gt;0,SUMIFS(Sheet1!$E:$E,Sheet1!$C:$C,$A92,Sheet1!$A:$A,AA$2),"")</f>
        <v/>
      </c>
      <c r="AB92" s="9" t="str">
        <f>IF(SUMIFS(Sheet1!$E:$E,Sheet1!$C:$C,$A92,Sheet1!$A:$A,AB$2)&lt;&gt;0,SUMIFS(Sheet1!$E:$E,Sheet1!$C:$C,$A92,Sheet1!$A:$A,AB$2),"")</f>
        <v/>
      </c>
      <c r="AC92" s="9" t="str">
        <f>IF(SUMIFS(Sheet1!$E:$E,Sheet1!$C:$C,$A92,Sheet1!$A:$A,AC$2)&lt;&gt;0,SUMIFS(Sheet1!$E:$E,Sheet1!$C:$C,$A92,Sheet1!$A:$A,AC$2),"")</f>
        <v/>
      </c>
      <c r="AD92" s="9" t="str">
        <f>IF(SUMIFS(Sheet1!$E:$E,Sheet1!$C:$C,$A92,Sheet1!$A:$A,AD$2)&lt;&gt;0,SUMIFS(Sheet1!$E:$E,Sheet1!$C:$C,$A92,Sheet1!$A:$A,AD$2),"")</f>
        <v/>
      </c>
      <c r="AE92" s="9" t="str">
        <f>IF(SUMIFS(Sheet1!$E:$E,Sheet1!$C:$C,$A92,Sheet1!$A:$A,AE$2)&lt;&gt;0,SUMIFS(Sheet1!$E:$E,Sheet1!$C:$C,$A92,Sheet1!$A:$A,AE$2),"")</f>
        <v/>
      </c>
      <c r="AF92" s="9" t="str">
        <f>IF(SUMIFS(Sheet1!$E:$E,Sheet1!$C:$C,$A92,Sheet1!$A:$A,AF$2)&lt;&gt;0,SUMIFS(Sheet1!$E:$E,Sheet1!$C:$C,$A92,Sheet1!$A:$A,AF$2),"")</f>
        <v/>
      </c>
      <c r="AG92" s="9" t="str">
        <f>IF(SUMIFS(Sheet1!$E:$E,Sheet1!$C:$C,$A92,Sheet1!$A:$A,AG$2)&lt;&gt;0,SUMIFS(Sheet1!$E:$E,Sheet1!$C:$C,$A92,Sheet1!$A:$A,AG$2),"")</f>
        <v/>
      </c>
      <c r="AH92" s="47">
        <f>SUM(Table24[[#This Row],[1]:[31]])</f>
        <v>18</v>
      </c>
    </row>
    <row r="93" spans="1:34" ht="12.75" customHeight="1">
      <c r="A93" s="24" t="str">
        <f>DSSP!A92</f>
        <v>B08</v>
      </c>
      <c r="B93" s="25" t="str">
        <f>DSSP!B92</f>
        <v>Cơm Nhật</v>
      </c>
      <c r="C93" s="9">
        <f>IF(SUMIFS(Sheet1!$E:$E,Sheet1!$C:$C,$A93,Sheet1!$A:$A,C$2)&lt;&gt;0,SUMIFS(Sheet1!$E:$E,Sheet1!$C:$C,$A93,Sheet1!$A:$A,C$2),"")</f>
        <v>7</v>
      </c>
      <c r="D93" s="9" t="str">
        <f>IF(SUMIFS(Sheet1!$E:$E,Sheet1!$C:$C,$A93,Sheet1!$A:$A,D$2)&lt;&gt;0,SUMIFS(Sheet1!$E:$E,Sheet1!$C:$C,$A93,Sheet1!$A:$A,D$2),"")</f>
        <v/>
      </c>
      <c r="E93" s="9" t="str">
        <f>IF(SUMIFS(Sheet1!$E:$E,Sheet1!$C:$C,$A93,Sheet1!$A:$A,E$2)&lt;&gt;0,SUMIFS(Sheet1!$E:$E,Sheet1!$C:$C,$A93,Sheet1!$A:$A,E$2),"")</f>
        <v/>
      </c>
      <c r="F93" s="9" t="str">
        <f>IF(SUMIFS(Sheet1!$E:$E,Sheet1!$C:$C,$A93,Sheet1!$A:$A,F$2)&lt;&gt;0,SUMIFS(Sheet1!$E:$E,Sheet1!$C:$C,$A93,Sheet1!$A:$A,F$2),"")</f>
        <v/>
      </c>
      <c r="G93" s="9" t="str">
        <f>IF(SUMIFS(Sheet1!$E:$E,Sheet1!$C:$C,$A93,Sheet1!$A:$A,G$2)&lt;&gt;0,SUMIFS(Sheet1!$E:$E,Sheet1!$C:$C,$A93,Sheet1!$A:$A,G$2),"")</f>
        <v/>
      </c>
      <c r="H93" s="9" t="str">
        <f>IF(SUMIFS(Sheet1!$E:$E,Sheet1!$C:$C,$A93,Sheet1!$A:$A,H$2)&lt;&gt;0,SUMIFS(Sheet1!$E:$E,Sheet1!$C:$C,$A93,Sheet1!$A:$A,H$2),"")</f>
        <v/>
      </c>
      <c r="I93" s="9" t="str">
        <f>IF(SUMIFS(Sheet1!$E:$E,Sheet1!$C:$C,$A93,Sheet1!$A:$A,I$2)&lt;&gt;0,SUMIFS(Sheet1!$E:$E,Sheet1!$C:$C,$A93,Sheet1!$A:$A,I$2),"")</f>
        <v/>
      </c>
      <c r="J93" s="9" t="str">
        <f>IF(SUMIFS(Sheet1!$E:$E,Sheet1!$C:$C,$A93,Sheet1!$A:$A,J$2)&lt;&gt;0,SUMIFS(Sheet1!$E:$E,Sheet1!$C:$C,$A93,Sheet1!$A:$A,J$2),"")</f>
        <v/>
      </c>
      <c r="K93" s="9" t="str">
        <f>IF(SUMIFS(Sheet1!$E:$E,Sheet1!$C:$C,$A93,Sheet1!$A:$A,K$2)&lt;&gt;0,SUMIFS(Sheet1!$E:$E,Sheet1!$C:$C,$A93,Sheet1!$A:$A,K$2),"")</f>
        <v/>
      </c>
      <c r="L93" s="9" t="str">
        <f>IF(SUMIFS(Sheet1!$E:$E,Sheet1!$C:$C,$A93,Sheet1!$A:$A,L$2)&lt;&gt;0,SUMIFS(Sheet1!$E:$E,Sheet1!$C:$C,$A93,Sheet1!$A:$A,L$2),"")</f>
        <v/>
      </c>
      <c r="M93" s="9" t="str">
        <f>IF(SUMIFS(Sheet1!$E:$E,Sheet1!$C:$C,$A93,Sheet1!$A:$A,M$2)&lt;&gt;0,SUMIFS(Sheet1!$E:$E,Sheet1!$C:$C,$A93,Sheet1!$A:$A,M$2),"")</f>
        <v/>
      </c>
      <c r="N93" s="9" t="str">
        <f>IF(SUMIFS(Sheet1!$E:$E,Sheet1!$C:$C,$A93,Sheet1!$A:$A,N$2)&lt;&gt;0,SUMIFS(Sheet1!$E:$E,Sheet1!$C:$C,$A93,Sheet1!$A:$A,N$2),"")</f>
        <v/>
      </c>
      <c r="O93" s="9" t="str">
        <f>IF(SUMIFS(Sheet1!$E:$E,Sheet1!$C:$C,$A93,Sheet1!$A:$A,O$2)&lt;&gt;0,SUMIFS(Sheet1!$E:$E,Sheet1!$C:$C,$A93,Sheet1!$A:$A,O$2),"")</f>
        <v/>
      </c>
      <c r="P93" s="9" t="str">
        <f>IF(SUMIFS(Sheet1!$E:$E,Sheet1!$C:$C,$A93,Sheet1!$A:$A,P$2)&lt;&gt;0,SUMIFS(Sheet1!$E:$E,Sheet1!$C:$C,$A93,Sheet1!$A:$A,P$2),"")</f>
        <v/>
      </c>
      <c r="Q93" s="9" t="str">
        <f>IF(SUMIFS(Sheet1!$E:$E,Sheet1!$C:$C,$A93,Sheet1!$A:$A,Q$2)&lt;&gt;0,SUMIFS(Sheet1!$E:$E,Sheet1!$C:$C,$A93,Sheet1!$A:$A,Q$2),"")</f>
        <v/>
      </c>
      <c r="R93" s="9" t="str">
        <f>IF(SUMIFS(Sheet1!$E:$E,Sheet1!$C:$C,$A93,Sheet1!$A:$A,R$2)&lt;&gt;0,SUMIFS(Sheet1!$E:$E,Sheet1!$C:$C,$A93,Sheet1!$A:$A,R$2),"")</f>
        <v/>
      </c>
      <c r="S93" s="9" t="str">
        <f>IF(SUMIFS(Sheet1!$E:$E,Sheet1!$C:$C,$A93,Sheet1!$A:$A,S$2)&lt;&gt;0,SUMIFS(Sheet1!$E:$E,Sheet1!$C:$C,$A93,Sheet1!$A:$A,S$2),"")</f>
        <v/>
      </c>
      <c r="T93" s="9" t="str">
        <f>IF(SUMIFS(Sheet1!$E:$E,Sheet1!$C:$C,$A93,Sheet1!$A:$A,T$2)&lt;&gt;0,SUMIFS(Sheet1!$E:$E,Sheet1!$C:$C,$A93,Sheet1!$A:$A,T$2),"")</f>
        <v/>
      </c>
      <c r="U93" s="9" t="str">
        <f>IF(SUMIFS(Sheet1!$E:$E,Sheet1!$C:$C,$A93,Sheet1!$A:$A,U$2)&lt;&gt;0,SUMIFS(Sheet1!$E:$E,Sheet1!$C:$C,$A93,Sheet1!$A:$A,U$2),"")</f>
        <v/>
      </c>
      <c r="V93" s="9" t="str">
        <f>IF(SUMIFS(Sheet1!$E:$E,Sheet1!$C:$C,$A93,Sheet1!$A:$A,V$2)&lt;&gt;0,SUMIFS(Sheet1!$E:$E,Sheet1!$C:$C,$A93,Sheet1!$A:$A,V$2),"")</f>
        <v/>
      </c>
      <c r="W93" s="9" t="str">
        <f>IF(SUMIFS(Sheet1!$E:$E,Sheet1!$C:$C,$A93,Sheet1!$A:$A,W$2)&lt;&gt;0,SUMIFS(Sheet1!$E:$E,Sheet1!$C:$C,$A93,Sheet1!$A:$A,W$2),"")</f>
        <v/>
      </c>
      <c r="X93" s="9" t="str">
        <f>IF(SUMIFS(Sheet1!$E:$E,Sheet1!$C:$C,$A93,Sheet1!$A:$A,X$2)&lt;&gt;0,SUMIFS(Sheet1!$E:$E,Sheet1!$C:$C,$A93,Sheet1!$A:$A,X$2),"")</f>
        <v/>
      </c>
      <c r="Y93" s="9" t="str">
        <f>IF(SUMIFS(Sheet1!$E:$E,Sheet1!$C:$C,$A93,Sheet1!$A:$A,Y$2)&lt;&gt;0,SUMIFS(Sheet1!$E:$E,Sheet1!$C:$C,$A93,Sheet1!$A:$A,Y$2),"")</f>
        <v/>
      </c>
      <c r="Z93" s="9" t="str">
        <f>IF(SUMIFS(Sheet1!$E:$E,Sheet1!$C:$C,$A93,Sheet1!$A:$A,Z$2)&lt;&gt;0,SUMIFS(Sheet1!$E:$E,Sheet1!$C:$C,$A93,Sheet1!$A:$A,Z$2),"")</f>
        <v/>
      </c>
      <c r="AA93" s="9" t="str">
        <f>IF(SUMIFS(Sheet1!$E:$E,Sheet1!$C:$C,$A93,Sheet1!$A:$A,AA$2)&lt;&gt;0,SUMIFS(Sheet1!$E:$E,Sheet1!$C:$C,$A93,Sheet1!$A:$A,AA$2),"")</f>
        <v/>
      </c>
      <c r="AB93" s="9" t="str">
        <f>IF(SUMIFS(Sheet1!$E:$E,Sheet1!$C:$C,$A93,Sheet1!$A:$A,AB$2)&lt;&gt;0,SUMIFS(Sheet1!$E:$E,Sheet1!$C:$C,$A93,Sheet1!$A:$A,AB$2),"")</f>
        <v/>
      </c>
      <c r="AC93" s="9" t="str">
        <f>IF(SUMIFS(Sheet1!$E:$E,Sheet1!$C:$C,$A93,Sheet1!$A:$A,AC$2)&lt;&gt;0,SUMIFS(Sheet1!$E:$E,Sheet1!$C:$C,$A93,Sheet1!$A:$A,AC$2),"")</f>
        <v/>
      </c>
      <c r="AD93" s="9" t="str">
        <f>IF(SUMIFS(Sheet1!$E:$E,Sheet1!$C:$C,$A93,Sheet1!$A:$A,AD$2)&lt;&gt;0,SUMIFS(Sheet1!$E:$E,Sheet1!$C:$C,$A93,Sheet1!$A:$A,AD$2),"")</f>
        <v/>
      </c>
      <c r="AE93" s="9" t="str">
        <f>IF(SUMIFS(Sheet1!$E:$E,Sheet1!$C:$C,$A93,Sheet1!$A:$A,AE$2)&lt;&gt;0,SUMIFS(Sheet1!$E:$E,Sheet1!$C:$C,$A93,Sheet1!$A:$A,AE$2),"")</f>
        <v/>
      </c>
      <c r="AF93" s="9" t="str">
        <f>IF(SUMIFS(Sheet1!$E:$E,Sheet1!$C:$C,$A93,Sheet1!$A:$A,AF$2)&lt;&gt;0,SUMIFS(Sheet1!$E:$E,Sheet1!$C:$C,$A93,Sheet1!$A:$A,AF$2),"")</f>
        <v/>
      </c>
      <c r="AG93" s="9" t="str">
        <f>IF(SUMIFS(Sheet1!$E:$E,Sheet1!$C:$C,$A93,Sheet1!$A:$A,AG$2)&lt;&gt;0,SUMIFS(Sheet1!$E:$E,Sheet1!$C:$C,$A93,Sheet1!$A:$A,AG$2),"")</f>
        <v/>
      </c>
      <c r="AH93" s="47">
        <f>SUM(Table24[[#This Row],[1]:[31]])</f>
        <v>7</v>
      </c>
    </row>
    <row r="94" spans="1:34" ht="12.75" customHeight="1">
      <c r="A94" s="24" t="str">
        <f>DSSP!A93</f>
        <v>B09</v>
      </c>
      <c r="B94" s="25" t="str">
        <f>DSSP!B93</f>
        <v>Pizza hoa quả</v>
      </c>
      <c r="C94" s="9">
        <f>IF(SUMIFS(Sheet1!$E:$E,Sheet1!$C:$C,$A94,Sheet1!$A:$A,C$2)&lt;&gt;0,SUMIFS(Sheet1!$E:$E,Sheet1!$C:$C,$A94,Sheet1!$A:$A,C$2),"")</f>
        <v>3</v>
      </c>
      <c r="D94" s="9" t="str">
        <f>IF(SUMIFS(Sheet1!$E:$E,Sheet1!$C:$C,$A94,Sheet1!$A:$A,D$2)&lt;&gt;0,SUMIFS(Sheet1!$E:$E,Sheet1!$C:$C,$A94,Sheet1!$A:$A,D$2),"")</f>
        <v/>
      </c>
      <c r="E94" s="9" t="str">
        <f>IF(SUMIFS(Sheet1!$E:$E,Sheet1!$C:$C,$A94,Sheet1!$A:$A,E$2)&lt;&gt;0,SUMIFS(Sheet1!$E:$E,Sheet1!$C:$C,$A94,Sheet1!$A:$A,E$2),"")</f>
        <v/>
      </c>
      <c r="F94" s="9" t="str">
        <f>IF(SUMIFS(Sheet1!$E:$E,Sheet1!$C:$C,$A94,Sheet1!$A:$A,F$2)&lt;&gt;0,SUMIFS(Sheet1!$E:$E,Sheet1!$C:$C,$A94,Sheet1!$A:$A,F$2),"")</f>
        <v/>
      </c>
      <c r="G94" s="9" t="str">
        <f>IF(SUMIFS(Sheet1!$E:$E,Sheet1!$C:$C,$A94,Sheet1!$A:$A,G$2)&lt;&gt;0,SUMIFS(Sheet1!$E:$E,Sheet1!$C:$C,$A94,Sheet1!$A:$A,G$2),"")</f>
        <v/>
      </c>
      <c r="H94" s="9" t="str">
        <f>IF(SUMIFS(Sheet1!$E:$E,Sheet1!$C:$C,$A94,Sheet1!$A:$A,H$2)&lt;&gt;0,SUMIFS(Sheet1!$E:$E,Sheet1!$C:$C,$A94,Sheet1!$A:$A,H$2),"")</f>
        <v/>
      </c>
      <c r="I94" s="9" t="str">
        <f>IF(SUMIFS(Sheet1!$E:$E,Sheet1!$C:$C,$A94,Sheet1!$A:$A,I$2)&lt;&gt;0,SUMIFS(Sheet1!$E:$E,Sheet1!$C:$C,$A94,Sheet1!$A:$A,I$2),"")</f>
        <v/>
      </c>
      <c r="J94" s="9" t="str">
        <f>IF(SUMIFS(Sheet1!$E:$E,Sheet1!$C:$C,$A94,Sheet1!$A:$A,J$2)&lt;&gt;0,SUMIFS(Sheet1!$E:$E,Sheet1!$C:$C,$A94,Sheet1!$A:$A,J$2),"")</f>
        <v/>
      </c>
      <c r="K94" s="9" t="str">
        <f>IF(SUMIFS(Sheet1!$E:$E,Sheet1!$C:$C,$A94,Sheet1!$A:$A,K$2)&lt;&gt;0,SUMIFS(Sheet1!$E:$E,Sheet1!$C:$C,$A94,Sheet1!$A:$A,K$2),"")</f>
        <v/>
      </c>
      <c r="L94" s="9" t="str">
        <f>IF(SUMIFS(Sheet1!$E:$E,Sheet1!$C:$C,$A94,Sheet1!$A:$A,L$2)&lt;&gt;0,SUMIFS(Sheet1!$E:$E,Sheet1!$C:$C,$A94,Sheet1!$A:$A,L$2),"")</f>
        <v/>
      </c>
      <c r="M94" s="9" t="str">
        <f>IF(SUMIFS(Sheet1!$E:$E,Sheet1!$C:$C,$A94,Sheet1!$A:$A,M$2)&lt;&gt;0,SUMIFS(Sheet1!$E:$E,Sheet1!$C:$C,$A94,Sheet1!$A:$A,M$2),"")</f>
        <v/>
      </c>
      <c r="N94" s="9" t="str">
        <f>IF(SUMIFS(Sheet1!$E:$E,Sheet1!$C:$C,$A94,Sheet1!$A:$A,N$2)&lt;&gt;0,SUMIFS(Sheet1!$E:$E,Sheet1!$C:$C,$A94,Sheet1!$A:$A,N$2),"")</f>
        <v/>
      </c>
      <c r="O94" s="9" t="str">
        <f>IF(SUMIFS(Sheet1!$E:$E,Sheet1!$C:$C,$A94,Sheet1!$A:$A,O$2)&lt;&gt;0,SUMIFS(Sheet1!$E:$E,Sheet1!$C:$C,$A94,Sheet1!$A:$A,O$2),"")</f>
        <v/>
      </c>
      <c r="P94" s="9" t="str">
        <f>IF(SUMIFS(Sheet1!$E:$E,Sheet1!$C:$C,$A94,Sheet1!$A:$A,P$2)&lt;&gt;0,SUMIFS(Sheet1!$E:$E,Sheet1!$C:$C,$A94,Sheet1!$A:$A,P$2),"")</f>
        <v/>
      </c>
      <c r="Q94" s="9" t="str">
        <f>IF(SUMIFS(Sheet1!$E:$E,Sheet1!$C:$C,$A94,Sheet1!$A:$A,Q$2)&lt;&gt;0,SUMIFS(Sheet1!$E:$E,Sheet1!$C:$C,$A94,Sheet1!$A:$A,Q$2),"")</f>
        <v/>
      </c>
      <c r="R94" s="9" t="str">
        <f>IF(SUMIFS(Sheet1!$E:$E,Sheet1!$C:$C,$A94,Sheet1!$A:$A,R$2)&lt;&gt;0,SUMIFS(Sheet1!$E:$E,Sheet1!$C:$C,$A94,Sheet1!$A:$A,R$2),"")</f>
        <v/>
      </c>
      <c r="S94" s="9" t="str">
        <f>IF(SUMIFS(Sheet1!$E:$E,Sheet1!$C:$C,$A94,Sheet1!$A:$A,S$2)&lt;&gt;0,SUMIFS(Sheet1!$E:$E,Sheet1!$C:$C,$A94,Sheet1!$A:$A,S$2),"")</f>
        <v/>
      </c>
      <c r="T94" s="9" t="str">
        <f>IF(SUMIFS(Sheet1!$E:$E,Sheet1!$C:$C,$A94,Sheet1!$A:$A,T$2)&lt;&gt;0,SUMIFS(Sheet1!$E:$E,Sheet1!$C:$C,$A94,Sheet1!$A:$A,T$2),"")</f>
        <v/>
      </c>
      <c r="U94" s="9" t="str">
        <f>IF(SUMIFS(Sheet1!$E:$E,Sheet1!$C:$C,$A94,Sheet1!$A:$A,U$2)&lt;&gt;0,SUMIFS(Sheet1!$E:$E,Sheet1!$C:$C,$A94,Sheet1!$A:$A,U$2),"")</f>
        <v/>
      </c>
      <c r="V94" s="9" t="str">
        <f>IF(SUMIFS(Sheet1!$E:$E,Sheet1!$C:$C,$A94,Sheet1!$A:$A,V$2)&lt;&gt;0,SUMIFS(Sheet1!$E:$E,Sheet1!$C:$C,$A94,Sheet1!$A:$A,V$2),"")</f>
        <v/>
      </c>
      <c r="W94" s="9" t="str">
        <f>IF(SUMIFS(Sheet1!$E:$E,Sheet1!$C:$C,$A94,Sheet1!$A:$A,W$2)&lt;&gt;0,SUMIFS(Sheet1!$E:$E,Sheet1!$C:$C,$A94,Sheet1!$A:$A,W$2),"")</f>
        <v/>
      </c>
      <c r="X94" s="9" t="str">
        <f>IF(SUMIFS(Sheet1!$E:$E,Sheet1!$C:$C,$A94,Sheet1!$A:$A,X$2)&lt;&gt;0,SUMIFS(Sheet1!$E:$E,Sheet1!$C:$C,$A94,Sheet1!$A:$A,X$2),"")</f>
        <v/>
      </c>
      <c r="Y94" s="9" t="str">
        <f>IF(SUMIFS(Sheet1!$E:$E,Sheet1!$C:$C,$A94,Sheet1!$A:$A,Y$2)&lt;&gt;0,SUMIFS(Sheet1!$E:$E,Sheet1!$C:$C,$A94,Sheet1!$A:$A,Y$2),"")</f>
        <v/>
      </c>
      <c r="Z94" s="9" t="str">
        <f>IF(SUMIFS(Sheet1!$E:$E,Sheet1!$C:$C,$A94,Sheet1!$A:$A,Z$2)&lt;&gt;0,SUMIFS(Sheet1!$E:$E,Sheet1!$C:$C,$A94,Sheet1!$A:$A,Z$2),"")</f>
        <v/>
      </c>
      <c r="AA94" s="9" t="str">
        <f>IF(SUMIFS(Sheet1!$E:$E,Sheet1!$C:$C,$A94,Sheet1!$A:$A,AA$2)&lt;&gt;0,SUMIFS(Sheet1!$E:$E,Sheet1!$C:$C,$A94,Sheet1!$A:$A,AA$2),"")</f>
        <v/>
      </c>
      <c r="AB94" s="9" t="str">
        <f>IF(SUMIFS(Sheet1!$E:$E,Sheet1!$C:$C,$A94,Sheet1!$A:$A,AB$2)&lt;&gt;0,SUMIFS(Sheet1!$E:$E,Sheet1!$C:$C,$A94,Sheet1!$A:$A,AB$2),"")</f>
        <v/>
      </c>
      <c r="AC94" s="9" t="str">
        <f>IF(SUMIFS(Sheet1!$E:$E,Sheet1!$C:$C,$A94,Sheet1!$A:$A,AC$2)&lt;&gt;0,SUMIFS(Sheet1!$E:$E,Sheet1!$C:$C,$A94,Sheet1!$A:$A,AC$2),"")</f>
        <v/>
      </c>
      <c r="AD94" s="9" t="str">
        <f>IF(SUMIFS(Sheet1!$E:$E,Sheet1!$C:$C,$A94,Sheet1!$A:$A,AD$2)&lt;&gt;0,SUMIFS(Sheet1!$E:$E,Sheet1!$C:$C,$A94,Sheet1!$A:$A,AD$2),"")</f>
        <v/>
      </c>
      <c r="AE94" s="9" t="str">
        <f>IF(SUMIFS(Sheet1!$E:$E,Sheet1!$C:$C,$A94,Sheet1!$A:$A,AE$2)&lt;&gt;0,SUMIFS(Sheet1!$E:$E,Sheet1!$C:$C,$A94,Sheet1!$A:$A,AE$2),"")</f>
        <v/>
      </c>
      <c r="AF94" s="9" t="str">
        <f>IF(SUMIFS(Sheet1!$E:$E,Sheet1!$C:$C,$A94,Sheet1!$A:$A,AF$2)&lt;&gt;0,SUMIFS(Sheet1!$E:$E,Sheet1!$C:$C,$A94,Sheet1!$A:$A,AF$2),"")</f>
        <v/>
      </c>
      <c r="AG94" s="9" t="str">
        <f>IF(SUMIFS(Sheet1!$E:$E,Sheet1!$C:$C,$A94,Sheet1!$A:$A,AG$2)&lt;&gt;0,SUMIFS(Sheet1!$E:$E,Sheet1!$C:$C,$A94,Sheet1!$A:$A,AG$2),"")</f>
        <v/>
      </c>
      <c r="AH94" s="47">
        <f>SUM(Table24[[#This Row],[1]:[31]])</f>
        <v>3</v>
      </c>
    </row>
    <row r="95" spans="1:34" ht="12.75" customHeight="1">
      <c r="A95" s="24" t="str">
        <f>DSSP!A94</f>
        <v>B10</v>
      </c>
      <c r="B95" s="25" t="str">
        <f>DSSP!B94</f>
        <v>Bánh trái cây</v>
      </c>
      <c r="C95" s="9">
        <f>IF(SUMIFS(Sheet1!$E:$E,Sheet1!$C:$C,$A95,Sheet1!$A:$A,C$2)&lt;&gt;0,SUMIFS(Sheet1!$E:$E,Sheet1!$C:$C,$A95,Sheet1!$A:$A,C$2),"")</f>
        <v>5</v>
      </c>
      <c r="D95" s="9" t="str">
        <f>IF(SUMIFS(Sheet1!$E:$E,Sheet1!$C:$C,$A95,Sheet1!$A:$A,D$2)&lt;&gt;0,SUMIFS(Sheet1!$E:$E,Sheet1!$C:$C,$A95,Sheet1!$A:$A,D$2),"")</f>
        <v/>
      </c>
      <c r="E95" s="9" t="str">
        <f>IF(SUMIFS(Sheet1!$E:$E,Sheet1!$C:$C,$A95,Sheet1!$A:$A,E$2)&lt;&gt;0,SUMIFS(Sheet1!$E:$E,Sheet1!$C:$C,$A95,Sheet1!$A:$A,E$2),"")</f>
        <v/>
      </c>
      <c r="F95" s="9" t="str">
        <f>IF(SUMIFS(Sheet1!$E:$E,Sheet1!$C:$C,$A95,Sheet1!$A:$A,F$2)&lt;&gt;0,SUMIFS(Sheet1!$E:$E,Sheet1!$C:$C,$A95,Sheet1!$A:$A,F$2),"")</f>
        <v/>
      </c>
      <c r="G95" s="9" t="str">
        <f>IF(SUMIFS(Sheet1!$E:$E,Sheet1!$C:$C,$A95,Sheet1!$A:$A,G$2)&lt;&gt;0,SUMIFS(Sheet1!$E:$E,Sheet1!$C:$C,$A95,Sheet1!$A:$A,G$2),"")</f>
        <v/>
      </c>
      <c r="H95" s="9" t="str">
        <f>IF(SUMIFS(Sheet1!$E:$E,Sheet1!$C:$C,$A95,Sheet1!$A:$A,H$2)&lt;&gt;0,SUMIFS(Sheet1!$E:$E,Sheet1!$C:$C,$A95,Sheet1!$A:$A,H$2),"")</f>
        <v/>
      </c>
      <c r="I95" s="9" t="str">
        <f>IF(SUMIFS(Sheet1!$E:$E,Sheet1!$C:$C,$A95,Sheet1!$A:$A,I$2)&lt;&gt;0,SUMIFS(Sheet1!$E:$E,Sheet1!$C:$C,$A95,Sheet1!$A:$A,I$2),"")</f>
        <v/>
      </c>
      <c r="J95" s="9" t="str">
        <f>IF(SUMIFS(Sheet1!$E:$E,Sheet1!$C:$C,$A95,Sheet1!$A:$A,J$2)&lt;&gt;0,SUMIFS(Sheet1!$E:$E,Sheet1!$C:$C,$A95,Sheet1!$A:$A,J$2),"")</f>
        <v/>
      </c>
      <c r="K95" s="9" t="str">
        <f>IF(SUMIFS(Sheet1!$E:$E,Sheet1!$C:$C,$A95,Sheet1!$A:$A,K$2)&lt;&gt;0,SUMIFS(Sheet1!$E:$E,Sheet1!$C:$C,$A95,Sheet1!$A:$A,K$2),"")</f>
        <v/>
      </c>
      <c r="L95" s="9" t="str">
        <f>IF(SUMIFS(Sheet1!$E:$E,Sheet1!$C:$C,$A95,Sheet1!$A:$A,L$2)&lt;&gt;0,SUMIFS(Sheet1!$E:$E,Sheet1!$C:$C,$A95,Sheet1!$A:$A,L$2),"")</f>
        <v/>
      </c>
      <c r="M95" s="9" t="str">
        <f>IF(SUMIFS(Sheet1!$E:$E,Sheet1!$C:$C,$A95,Sheet1!$A:$A,M$2)&lt;&gt;0,SUMIFS(Sheet1!$E:$E,Sheet1!$C:$C,$A95,Sheet1!$A:$A,M$2),"")</f>
        <v/>
      </c>
      <c r="N95" s="9" t="str">
        <f>IF(SUMIFS(Sheet1!$E:$E,Sheet1!$C:$C,$A95,Sheet1!$A:$A,N$2)&lt;&gt;0,SUMIFS(Sheet1!$E:$E,Sheet1!$C:$C,$A95,Sheet1!$A:$A,N$2),"")</f>
        <v/>
      </c>
      <c r="O95" s="9" t="str">
        <f>IF(SUMIFS(Sheet1!$E:$E,Sheet1!$C:$C,$A95,Sheet1!$A:$A,O$2)&lt;&gt;0,SUMIFS(Sheet1!$E:$E,Sheet1!$C:$C,$A95,Sheet1!$A:$A,O$2),"")</f>
        <v/>
      </c>
      <c r="P95" s="9" t="str">
        <f>IF(SUMIFS(Sheet1!$E:$E,Sheet1!$C:$C,$A95,Sheet1!$A:$A,P$2)&lt;&gt;0,SUMIFS(Sheet1!$E:$E,Sheet1!$C:$C,$A95,Sheet1!$A:$A,P$2),"")</f>
        <v/>
      </c>
      <c r="Q95" s="9" t="str">
        <f>IF(SUMIFS(Sheet1!$E:$E,Sheet1!$C:$C,$A95,Sheet1!$A:$A,Q$2)&lt;&gt;0,SUMIFS(Sheet1!$E:$E,Sheet1!$C:$C,$A95,Sheet1!$A:$A,Q$2),"")</f>
        <v/>
      </c>
      <c r="R95" s="9" t="str">
        <f>IF(SUMIFS(Sheet1!$E:$E,Sheet1!$C:$C,$A95,Sheet1!$A:$A,R$2)&lt;&gt;0,SUMIFS(Sheet1!$E:$E,Sheet1!$C:$C,$A95,Sheet1!$A:$A,R$2),"")</f>
        <v/>
      </c>
      <c r="S95" s="9" t="str">
        <f>IF(SUMIFS(Sheet1!$E:$E,Sheet1!$C:$C,$A95,Sheet1!$A:$A,S$2)&lt;&gt;0,SUMIFS(Sheet1!$E:$E,Sheet1!$C:$C,$A95,Sheet1!$A:$A,S$2),"")</f>
        <v/>
      </c>
      <c r="T95" s="9" t="str">
        <f>IF(SUMIFS(Sheet1!$E:$E,Sheet1!$C:$C,$A95,Sheet1!$A:$A,T$2)&lt;&gt;0,SUMIFS(Sheet1!$E:$E,Sheet1!$C:$C,$A95,Sheet1!$A:$A,T$2),"")</f>
        <v/>
      </c>
      <c r="U95" s="9" t="str">
        <f>IF(SUMIFS(Sheet1!$E:$E,Sheet1!$C:$C,$A95,Sheet1!$A:$A,U$2)&lt;&gt;0,SUMIFS(Sheet1!$E:$E,Sheet1!$C:$C,$A95,Sheet1!$A:$A,U$2),"")</f>
        <v/>
      </c>
      <c r="V95" s="9" t="str">
        <f>IF(SUMIFS(Sheet1!$E:$E,Sheet1!$C:$C,$A95,Sheet1!$A:$A,V$2)&lt;&gt;0,SUMIFS(Sheet1!$E:$E,Sheet1!$C:$C,$A95,Sheet1!$A:$A,V$2),"")</f>
        <v/>
      </c>
      <c r="W95" s="9" t="str">
        <f>IF(SUMIFS(Sheet1!$E:$E,Sheet1!$C:$C,$A95,Sheet1!$A:$A,W$2)&lt;&gt;0,SUMIFS(Sheet1!$E:$E,Sheet1!$C:$C,$A95,Sheet1!$A:$A,W$2),"")</f>
        <v/>
      </c>
      <c r="X95" s="9" t="str">
        <f>IF(SUMIFS(Sheet1!$E:$E,Sheet1!$C:$C,$A95,Sheet1!$A:$A,X$2)&lt;&gt;0,SUMIFS(Sheet1!$E:$E,Sheet1!$C:$C,$A95,Sheet1!$A:$A,X$2),"")</f>
        <v/>
      </c>
      <c r="Y95" s="9" t="str">
        <f>IF(SUMIFS(Sheet1!$E:$E,Sheet1!$C:$C,$A95,Sheet1!$A:$A,Y$2)&lt;&gt;0,SUMIFS(Sheet1!$E:$E,Sheet1!$C:$C,$A95,Sheet1!$A:$A,Y$2),"")</f>
        <v/>
      </c>
      <c r="Z95" s="9" t="str">
        <f>IF(SUMIFS(Sheet1!$E:$E,Sheet1!$C:$C,$A95,Sheet1!$A:$A,Z$2)&lt;&gt;0,SUMIFS(Sheet1!$E:$E,Sheet1!$C:$C,$A95,Sheet1!$A:$A,Z$2),"")</f>
        <v/>
      </c>
      <c r="AA95" s="9" t="str">
        <f>IF(SUMIFS(Sheet1!$E:$E,Sheet1!$C:$C,$A95,Sheet1!$A:$A,AA$2)&lt;&gt;0,SUMIFS(Sheet1!$E:$E,Sheet1!$C:$C,$A95,Sheet1!$A:$A,AA$2),"")</f>
        <v/>
      </c>
      <c r="AB95" s="9" t="str">
        <f>IF(SUMIFS(Sheet1!$E:$E,Sheet1!$C:$C,$A95,Sheet1!$A:$A,AB$2)&lt;&gt;0,SUMIFS(Sheet1!$E:$E,Sheet1!$C:$C,$A95,Sheet1!$A:$A,AB$2),"")</f>
        <v/>
      </c>
      <c r="AC95" s="9" t="str">
        <f>IF(SUMIFS(Sheet1!$E:$E,Sheet1!$C:$C,$A95,Sheet1!$A:$A,AC$2)&lt;&gt;0,SUMIFS(Sheet1!$E:$E,Sheet1!$C:$C,$A95,Sheet1!$A:$A,AC$2),"")</f>
        <v/>
      </c>
      <c r="AD95" s="9" t="str">
        <f>IF(SUMIFS(Sheet1!$E:$E,Sheet1!$C:$C,$A95,Sheet1!$A:$A,AD$2)&lt;&gt;0,SUMIFS(Sheet1!$E:$E,Sheet1!$C:$C,$A95,Sheet1!$A:$A,AD$2),"")</f>
        <v/>
      </c>
      <c r="AE95" s="9" t="str">
        <f>IF(SUMIFS(Sheet1!$E:$E,Sheet1!$C:$C,$A95,Sheet1!$A:$A,AE$2)&lt;&gt;0,SUMIFS(Sheet1!$E:$E,Sheet1!$C:$C,$A95,Sheet1!$A:$A,AE$2),"")</f>
        <v/>
      </c>
      <c r="AF95" s="9" t="str">
        <f>IF(SUMIFS(Sheet1!$E:$E,Sheet1!$C:$C,$A95,Sheet1!$A:$A,AF$2)&lt;&gt;0,SUMIFS(Sheet1!$E:$E,Sheet1!$C:$C,$A95,Sheet1!$A:$A,AF$2),"")</f>
        <v/>
      </c>
      <c r="AG95" s="9" t="str">
        <f>IF(SUMIFS(Sheet1!$E:$E,Sheet1!$C:$C,$A95,Sheet1!$A:$A,AG$2)&lt;&gt;0,SUMIFS(Sheet1!$E:$E,Sheet1!$C:$C,$A95,Sheet1!$A:$A,AG$2),"")</f>
        <v/>
      </c>
      <c r="AH95" s="47">
        <f>SUM(Table24[[#This Row],[1]:[31]])</f>
        <v>5</v>
      </c>
    </row>
    <row r="96" spans="1:34" ht="12.75" customHeight="1">
      <c r="A96" s="24" t="str">
        <f>DSSP!A95</f>
        <v>B11</v>
      </c>
      <c r="B96" s="25" t="str">
        <f>DSSP!B95</f>
        <v>Bánh quy</v>
      </c>
      <c r="C96" s="9">
        <f>IF(SUMIFS(Sheet1!$E:$E,Sheet1!$C:$C,$A96,Sheet1!$A:$A,C$2)&lt;&gt;0,SUMIFS(Sheet1!$E:$E,Sheet1!$C:$C,$A96,Sheet1!$A:$A,C$2),"")</f>
        <v>16</v>
      </c>
      <c r="D96" s="9" t="str">
        <f>IF(SUMIFS(Sheet1!$E:$E,Sheet1!$C:$C,$A96,Sheet1!$A:$A,D$2)&lt;&gt;0,SUMIFS(Sheet1!$E:$E,Sheet1!$C:$C,$A96,Sheet1!$A:$A,D$2),"")</f>
        <v/>
      </c>
      <c r="E96" s="9" t="str">
        <f>IF(SUMIFS(Sheet1!$E:$E,Sheet1!$C:$C,$A96,Sheet1!$A:$A,E$2)&lt;&gt;0,SUMIFS(Sheet1!$E:$E,Sheet1!$C:$C,$A96,Sheet1!$A:$A,E$2),"")</f>
        <v/>
      </c>
      <c r="F96" s="9" t="str">
        <f>IF(SUMIFS(Sheet1!$E:$E,Sheet1!$C:$C,$A96,Sheet1!$A:$A,F$2)&lt;&gt;0,SUMIFS(Sheet1!$E:$E,Sheet1!$C:$C,$A96,Sheet1!$A:$A,F$2),"")</f>
        <v/>
      </c>
      <c r="G96" s="9" t="str">
        <f>IF(SUMIFS(Sheet1!$E:$E,Sheet1!$C:$C,$A96,Sheet1!$A:$A,G$2)&lt;&gt;0,SUMIFS(Sheet1!$E:$E,Sheet1!$C:$C,$A96,Sheet1!$A:$A,G$2),"")</f>
        <v/>
      </c>
      <c r="H96" s="9" t="str">
        <f>IF(SUMIFS(Sheet1!$E:$E,Sheet1!$C:$C,$A96,Sheet1!$A:$A,H$2)&lt;&gt;0,SUMIFS(Sheet1!$E:$E,Sheet1!$C:$C,$A96,Sheet1!$A:$A,H$2),"")</f>
        <v/>
      </c>
      <c r="I96" s="9" t="str">
        <f>IF(SUMIFS(Sheet1!$E:$E,Sheet1!$C:$C,$A96,Sheet1!$A:$A,I$2)&lt;&gt;0,SUMIFS(Sheet1!$E:$E,Sheet1!$C:$C,$A96,Sheet1!$A:$A,I$2),"")</f>
        <v/>
      </c>
      <c r="J96" s="9" t="str">
        <f>IF(SUMIFS(Sheet1!$E:$E,Sheet1!$C:$C,$A96,Sheet1!$A:$A,J$2)&lt;&gt;0,SUMIFS(Sheet1!$E:$E,Sheet1!$C:$C,$A96,Sheet1!$A:$A,J$2),"")</f>
        <v/>
      </c>
      <c r="K96" s="9" t="str">
        <f>IF(SUMIFS(Sheet1!$E:$E,Sheet1!$C:$C,$A96,Sheet1!$A:$A,K$2)&lt;&gt;0,SUMIFS(Sheet1!$E:$E,Sheet1!$C:$C,$A96,Sheet1!$A:$A,K$2),"")</f>
        <v/>
      </c>
      <c r="L96" s="9" t="str">
        <f>IF(SUMIFS(Sheet1!$E:$E,Sheet1!$C:$C,$A96,Sheet1!$A:$A,L$2)&lt;&gt;0,SUMIFS(Sheet1!$E:$E,Sheet1!$C:$C,$A96,Sheet1!$A:$A,L$2),"")</f>
        <v/>
      </c>
      <c r="M96" s="9" t="str">
        <f>IF(SUMIFS(Sheet1!$E:$E,Sheet1!$C:$C,$A96,Sheet1!$A:$A,M$2)&lt;&gt;0,SUMIFS(Sheet1!$E:$E,Sheet1!$C:$C,$A96,Sheet1!$A:$A,M$2),"")</f>
        <v/>
      </c>
      <c r="N96" s="9" t="str">
        <f>IF(SUMIFS(Sheet1!$E:$E,Sheet1!$C:$C,$A96,Sheet1!$A:$A,N$2)&lt;&gt;0,SUMIFS(Sheet1!$E:$E,Sheet1!$C:$C,$A96,Sheet1!$A:$A,N$2),"")</f>
        <v/>
      </c>
      <c r="O96" s="9" t="str">
        <f>IF(SUMIFS(Sheet1!$E:$E,Sheet1!$C:$C,$A96,Sheet1!$A:$A,O$2)&lt;&gt;0,SUMIFS(Sheet1!$E:$E,Sheet1!$C:$C,$A96,Sheet1!$A:$A,O$2),"")</f>
        <v/>
      </c>
      <c r="P96" s="9" t="str">
        <f>IF(SUMIFS(Sheet1!$E:$E,Sheet1!$C:$C,$A96,Sheet1!$A:$A,P$2)&lt;&gt;0,SUMIFS(Sheet1!$E:$E,Sheet1!$C:$C,$A96,Sheet1!$A:$A,P$2),"")</f>
        <v/>
      </c>
      <c r="Q96" s="9" t="str">
        <f>IF(SUMIFS(Sheet1!$E:$E,Sheet1!$C:$C,$A96,Sheet1!$A:$A,Q$2)&lt;&gt;0,SUMIFS(Sheet1!$E:$E,Sheet1!$C:$C,$A96,Sheet1!$A:$A,Q$2),"")</f>
        <v/>
      </c>
      <c r="R96" s="9" t="str">
        <f>IF(SUMIFS(Sheet1!$E:$E,Sheet1!$C:$C,$A96,Sheet1!$A:$A,R$2)&lt;&gt;0,SUMIFS(Sheet1!$E:$E,Sheet1!$C:$C,$A96,Sheet1!$A:$A,R$2),"")</f>
        <v/>
      </c>
      <c r="S96" s="9" t="str">
        <f>IF(SUMIFS(Sheet1!$E:$E,Sheet1!$C:$C,$A96,Sheet1!$A:$A,S$2)&lt;&gt;0,SUMIFS(Sheet1!$E:$E,Sheet1!$C:$C,$A96,Sheet1!$A:$A,S$2),"")</f>
        <v/>
      </c>
      <c r="T96" s="9" t="str">
        <f>IF(SUMIFS(Sheet1!$E:$E,Sheet1!$C:$C,$A96,Sheet1!$A:$A,T$2)&lt;&gt;0,SUMIFS(Sheet1!$E:$E,Sheet1!$C:$C,$A96,Sheet1!$A:$A,T$2),"")</f>
        <v/>
      </c>
      <c r="U96" s="9" t="str">
        <f>IF(SUMIFS(Sheet1!$E:$E,Sheet1!$C:$C,$A96,Sheet1!$A:$A,U$2)&lt;&gt;0,SUMIFS(Sheet1!$E:$E,Sheet1!$C:$C,$A96,Sheet1!$A:$A,U$2),"")</f>
        <v/>
      </c>
      <c r="V96" s="9" t="str">
        <f>IF(SUMIFS(Sheet1!$E:$E,Sheet1!$C:$C,$A96,Sheet1!$A:$A,V$2)&lt;&gt;0,SUMIFS(Sheet1!$E:$E,Sheet1!$C:$C,$A96,Sheet1!$A:$A,V$2),"")</f>
        <v/>
      </c>
      <c r="W96" s="9" t="str">
        <f>IF(SUMIFS(Sheet1!$E:$E,Sheet1!$C:$C,$A96,Sheet1!$A:$A,W$2)&lt;&gt;0,SUMIFS(Sheet1!$E:$E,Sheet1!$C:$C,$A96,Sheet1!$A:$A,W$2),"")</f>
        <v/>
      </c>
      <c r="X96" s="9" t="str">
        <f>IF(SUMIFS(Sheet1!$E:$E,Sheet1!$C:$C,$A96,Sheet1!$A:$A,X$2)&lt;&gt;0,SUMIFS(Sheet1!$E:$E,Sheet1!$C:$C,$A96,Sheet1!$A:$A,X$2),"")</f>
        <v/>
      </c>
      <c r="Y96" s="9" t="str">
        <f>IF(SUMIFS(Sheet1!$E:$E,Sheet1!$C:$C,$A96,Sheet1!$A:$A,Y$2)&lt;&gt;0,SUMIFS(Sheet1!$E:$E,Sheet1!$C:$C,$A96,Sheet1!$A:$A,Y$2),"")</f>
        <v/>
      </c>
      <c r="Z96" s="9" t="str">
        <f>IF(SUMIFS(Sheet1!$E:$E,Sheet1!$C:$C,$A96,Sheet1!$A:$A,Z$2)&lt;&gt;0,SUMIFS(Sheet1!$E:$E,Sheet1!$C:$C,$A96,Sheet1!$A:$A,Z$2),"")</f>
        <v/>
      </c>
      <c r="AA96" s="9" t="str">
        <f>IF(SUMIFS(Sheet1!$E:$E,Sheet1!$C:$C,$A96,Sheet1!$A:$A,AA$2)&lt;&gt;0,SUMIFS(Sheet1!$E:$E,Sheet1!$C:$C,$A96,Sheet1!$A:$A,AA$2),"")</f>
        <v/>
      </c>
      <c r="AB96" s="9" t="str">
        <f>IF(SUMIFS(Sheet1!$E:$E,Sheet1!$C:$C,$A96,Sheet1!$A:$A,AB$2)&lt;&gt;0,SUMIFS(Sheet1!$E:$E,Sheet1!$C:$C,$A96,Sheet1!$A:$A,AB$2),"")</f>
        <v/>
      </c>
      <c r="AC96" s="9" t="str">
        <f>IF(SUMIFS(Sheet1!$E:$E,Sheet1!$C:$C,$A96,Sheet1!$A:$A,AC$2)&lt;&gt;0,SUMIFS(Sheet1!$E:$E,Sheet1!$C:$C,$A96,Sheet1!$A:$A,AC$2),"")</f>
        <v/>
      </c>
      <c r="AD96" s="9" t="str">
        <f>IF(SUMIFS(Sheet1!$E:$E,Sheet1!$C:$C,$A96,Sheet1!$A:$A,AD$2)&lt;&gt;0,SUMIFS(Sheet1!$E:$E,Sheet1!$C:$C,$A96,Sheet1!$A:$A,AD$2),"")</f>
        <v/>
      </c>
      <c r="AE96" s="9" t="str">
        <f>IF(SUMIFS(Sheet1!$E:$E,Sheet1!$C:$C,$A96,Sheet1!$A:$A,AE$2)&lt;&gt;0,SUMIFS(Sheet1!$E:$E,Sheet1!$C:$C,$A96,Sheet1!$A:$A,AE$2),"")</f>
        <v/>
      </c>
      <c r="AF96" s="9" t="str">
        <f>IF(SUMIFS(Sheet1!$E:$E,Sheet1!$C:$C,$A96,Sheet1!$A:$A,AF$2)&lt;&gt;0,SUMIFS(Sheet1!$E:$E,Sheet1!$C:$C,$A96,Sheet1!$A:$A,AF$2),"")</f>
        <v/>
      </c>
      <c r="AG96" s="9" t="str">
        <f>IF(SUMIFS(Sheet1!$E:$E,Sheet1!$C:$C,$A96,Sheet1!$A:$A,AG$2)&lt;&gt;0,SUMIFS(Sheet1!$E:$E,Sheet1!$C:$C,$A96,Sheet1!$A:$A,AG$2),"")</f>
        <v/>
      </c>
      <c r="AH96" s="47">
        <f>SUM(Table24[[#This Row],[1]:[31]])</f>
        <v>16</v>
      </c>
    </row>
    <row r="97" spans="1:34" ht="12.75" customHeight="1">
      <c r="A97" s="24" t="str">
        <f>DSSP!A96</f>
        <v>B12</v>
      </c>
      <c r="B97" s="25" t="str">
        <f>DSSP!B96</f>
        <v>Bánh chocolate</v>
      </c>
      <c r="C97" s="9" t="str">
        <f>IF(SUMIFS(Sheet1!$E:$E,Sheet1!$C:$C,$A97,Sheet1!$A:$A,C$2)&lt;&gt;0,SUMIFS(Sheet1!$E:$E,Sheet1!$C:$C,$A97,Sheet1!$A:$A,C$2),"")</f>
        <v/>
      </c>
      <c r="D97" s="9" t="str">
        <f>IF(SUMIFS(Sheet1!$E:$E,Sheet1!$C:$C,$A97,Sheet1!$A:$A,D$2)&lt;&gt;0,SUMIFS(Sheet1!$E:$E,Sheet1!$C:$C,$A97,Sheet1!$A:$A,D$2),"")</f>
        <v/>
      </c>
      <c r="E97" s="9" t="str">
        <f>IF(SUMIFS(Sheet1!$E:$E,Sheet1!$C:$C,$A97,Sheet1!$A:$A,E$2)&lt;&gt;0,SUMIFS(Sheet1!$E:$E,Sheet1!$C:$C,$A97,Sheet1!$A:$A,E$2),"")</f>
        <v/>
      </c>
      <c r="F97" s="9" t="str">
        <f>IF(SUMIFS(Sheet1!$E:$E,Sheet1!$C:$C,$A97,Sheet1!$A:$A,F$2)&lt;&gt;0,SUMIFS(Sheet1!$E:$E,Sheet1!$C:$C,$A97,Sheet1!$A:$A,F$2),"")</f>
        <v/>
      </c>
      <c r="G97" s="9" t="str">
        <f>IF(SUMIFS(Sheet1!$E:$E,Sheet1!$C:$C,$A97,Sheet1!$A:$A,G$2)&lt;&gt;0,SUMIFS(Sheet1!$E:$E,Sheet1!$C:$C,$A97,Sheet1!$A:$A,G$2),"")</f>
        <v/>
      </c>
      <c r="H97" s="9" t="str">
        <f>IF(SUMIFS(Sheet1!$E:$E,Sheet1!$C:$C,$A97,Sheet1!$A:$A,H$2)&lt;&gt;0,SUMIFS(Sheet1!$E:$E,Sheet1!$C:$C,$A97,Sheet1!$A:$A,H$2),"")</f>
        <v/>
      </c>
      <c r="I97" s="9" t="str">
        <f>IF(SUMIFS(Sheet1!$E:$E,Sheet1!$C:$C,$A97,Sheet1!$A:$A,I$2)&lt;&gt;0,SUMIFS(Sheet1!$E:$E,Sheet1!$C:$C,$A97,Sheet1!$A:$A,I$2),"")</f>
        <v/>
      </c>
      <c r="J97" s="9" t="str">
        <f>IF(SUMIFS(Sheet1!$E:$E,Sheet1!$C:$C,$A97,Sheet1!$A:$A,J$2)&lt;&gt;0,SUMIFS(Sheet1!$E:$E,Sheet1!$C:$C,$A97,Sheet1!$A:$A,J$2),"")</f>
        <v/>
      </c>
      <c r="K97" s="9" t="str">
        <f>IF(SUMIFS(Sheet1!$E:$E,Sheet1!$C:$C,$A97,Sheet1!$A:$A,K$2)&lt;&gt;0,SUMIFS(Sheet1!$E:$E,Sheet1!$C:$C,$A97,Sheet1!$A:$A,K$2),"")</f>
        <v/>
      </c>
      <c r="L97" s="9" t="str">
        <f>IF(SUMIFS(Sheet1!$E:$E,Sheet1!$C:$C,$A97,Sheet1!$A:$A,L$2)&lt;&gt;0,SUMIFS(Sheet1!$E:$E,Sheet1!$C:$C,$A97,Sheet1!$A:$A,L$2),"")</f>
        <v/>
      </c>
      <c r="M97" s="9" t="str">
        <f>IF(SUMIFS(Sheet1!$E:$E,Sheet1!$C:$C,$A97,Sheet1!$A:$A,M$2)&lt;&gt;0,SUMIFS(Sheet1!$E:$E,Sheet1!$C:$C,$A97,Sheet1!$A:$A,M$2),"")</f>
        <v/>
      </c>
      <c r="N97" s="9" t="str">
        <f>IF(SUMIFS(Sheet1!$E:$E,Sheet1!$C:$C,$A97,Sheet1!$A:$A,N$2)&lt;&gt;0,SUMIFS(Sheet1!$E:$E,Sheet1!$C:$C,$A97,Sheet1!$A:$A,N$2),"")</f>
        <v/>
      </c>
      <c r="O97" s="9" t="str">
        <f>IF(SUMIFS(Sheet1!$E:$E,Sheet1!$C:$C,$A97,Sheet1!$A:$A,O$2)&lt;&gt;0,SUMIFS(Sheet1!$E:$E,Sheet1!$C:$C,$A97,Sheet1!$A:$A,O$2),"")</f>
        <v/>
      </c>
      <c r="P97" s="9" t="str">
        <f>IF(SUMIFS(Sheet1!$E:$E,Sheet1!$C:$C,$A97,Sheet1!$A:$A,P$2)&lt;&gt;0,SUMIFS(Sheet1!$E:$E,Sheet1!$C:$C,$A97,Sheet1!$A:$A,P$2),"")</f>
        <v/>
      </c>
      <c r="Q97" s="9" t="str">
        <f>IF(SUMIFS(Sheet1!$E:$E,Sheet1!$C:$C,$A97,Sheet1!$A:$A,Q$2)&lt;&gt;0,SUMIFS(Sheet1!$E:$E,Sheet1!$C:$C,$A97,Sheet1!$A:$A,Q$2),"")</f>
        <v/>
      </c>
      <c r="R97" s="9" t="str">
        <f>IF(SUMIFS(Sheet1!$E:$E,Sheet1!$C:$C,$A97,Sheet1!$A:$A,R$2)&lt;&gt;0,SUMIFS(Sheet1!$E:$E,Sheet1!$C:$C,$A97,Sheet1!$A:$A,R$2),"")</f>
        <v/>
      </c>
      <c r="S97" s="9" t="str">
        <f>IF(SUMIFS(Sheet1!$E:$E,Sheet1!$C:$C,$A97,Sheet1!$A:$A,S$2)&lt;&gt;0,SUMIFS(Sheet1!$E:$E,Sheet1!$C:$C,$A97,Sheet1!$A:$A,S$2),"")</f>
        <v/>
      </c>
      <c r="T97" s="9" t="str">
        <f>IF(SUMIFS(Sheet1!$E:$E,Sheet1!$C:$C,$A97,Sheet1!$A:$A,T$2)&lt;&gt;0,SUMIFS(Sheet1!$E:$E,Sheet1!$C:$C,$A97,Sheet1!$A:$A,T$2),"")</f>
        <v/>
      </c>
      <c r="U97" s="9" t="str">
        <f>IF(SUMIFS(Sheet1!$E:$E,Sheet1!$C:$C,$A97,Sheet1!$A:$A,U$2)&lt;&gt;0,SUMIFS(Sheet1!$E:$E,Sheet1!$C:$C,$A97,Sheet1!$A:$A,U$2),"")</f>
        <v/>
      </c>
      <c r="V97" s="9" t="str">
        <f>IF(SUMIFS(Sheet1!$E:$E,Sheet1!$C:$C,$A97,Sheet1!$A:$A,V$2)&lt;&gt;0,SUMIFS(Sheet1!$E:$E,Sheet1!$C:$C,$A97,Sheet1!$A:$A,V$2),"")</f>
        <v/>
      </c>
      <c r="W97" s="9" t="str">
        <f>IF(SUMIFS(Sheet1!$E:$E,Sheet1!$C:$C,$A97,Sheet1!$A:$A,W$2)&lt;&gt;0,SUMIFS(Sheet1!$E:$E,Sheet1!$C:$C,$A97,Sheet1!$A:$A,W$2),"")</f>
        <v/>
      </c>
      <c r="X97" s="9" t="str">
        <f>IF(SUMIFS(Sheet1!$E:$E,Sheet1!$C:$C,$A97,Sheet1!$A:$A,X$2)&lt;&gt;0,SUMIFS(Sheet1!$E:$E,Sheet1!$C:$C,$A97,Sheet1!$A:$A,X$2),"")</f>
        <v/>
      </c>
      <c r="Y97" s="9" t="str">
        <f>IF(SUMIFS(Sheet1!$E:$E,Sheet1!$C:$C,$A97,Sheet1!$A:$A,Y$2)&lt;&gt;0,SUMIFS(Sheet1!$E:$E,Sheet1!$C:$C,$A97,Sheet1!$A:$A,Y$2),"")</f>
        <v/>
      </c>
      <c r="Z97" s="9" t="str">
        <f>IF(SUMIFS(Sheet1!$E:$E,Sheet1!$C:$C,$A97,Sheet1!$A:$A,Z$2)&lt;&gt;0,SUMIFS(Sheet1!$E:$E,Sheet1!$C:$C,$A97,Sheet1!$A:$A,Z$2),"")</f>
        <v/>
      </c>
      <c r="AA97" s="9" t="str">
        <f>IF(SUMIFS(Sheet1!$E:$E,Sheet1!$C:$C,$A97,Sheet1!$A:$A,AA$2)&lt;&gt;0,SUMIFS(Sheet1!$E:$E,Sheet1!$C:$C,$A97,Sheet1!$A:$A,AA$2),"")</f>
        <v/>
      </c>
      <c r="AB97" s="9" t="str">
        <f>IF(SUMIFS(Sheet1!$E:$E,Sheet1!$C:$C,$A97,Sheet1!$A:$A,AB$2)&lt;&gt;0,SUMIFS(Sheet1!$E:$E,Sheet1!$C:$C,$A97,Sheet1!$A:$A,AB$2),"")</f>
        <v/>
      </c>
      <c r="AC97" s="9" t="str">
        <f>IF(SUMIFS(Sheet1!$E:$E,Sheet1!$C:$C,$A97,Sheet1!$A:$A,AC$2)&lt;&gt;0,SUMIFS(Sheet1!$E:$E,Sheet1!$C:$C,$A97,Sheet1!$A:$A,AC$2),"")</f>
        <v/>
      </c>
      <c r="AD97" s="9" t="str">
        <f>IF(SUMIFS(Sheet1!$E:$E,Sheet1!$C:$C,$A97,Sheet1!$A:$A,AD$2)&lt;&gt;0,SUMIFS(Sheet1!$E:$E,Sheet1!$C:$C,$A97,Sheet1!$A:$A,AD$2),"")</f>
        <v/>
      </c>
      <c r="AE97" s="9" t="str">
        <f>IF(SUMIFS(Sheet1!$E:$E,Sheet1!$C:$C,$A97,Sheet1!$A:$A,AE$2)&lt;&gt;0,SUMIFS(Sheet1!$E:$E,Sheet1!$C:$C,$A97,Sheet1!$A:$A,AE$2),"")</f>
        <v/>
      </c>
      <c r="AF97" s="9" t="str">
        <f>IF(SUMIFS(Sheet1!$E:$E,Sheet1!$C:$C,$A97,Sheet1!$A:$A,AF$2)&lt;&gt;0,SUMIFS(Sheet1!$E:$E,Sheet1!$C:$C,$A97,Sheet1!$A:$A,AF$2),"")</f>
        <v/>
      </c>
      <c r="AG97" s="9" t="str">
        <f>IF(SUMIFS(Sheet1!$E:$E,Sheet1!$C:$C,$A97,Sheet1!$A:$A,AG$2)&lt;&gt;0,SUMIFS(Sheet1!$E:$E,Sheet1!$C:$C,$A97,Sheet1!$A:$A,AG$2),"")</f>
        <v/>
      </c>
      <c r="AH97" s="47">
        <f>SUM(Table24[[#This Row],[1]:[31]])</f>
        <v>0</v>
      </c>
    </row>
    <row r="98" spans="1:34" ht="12.75" customHeight="1">
      <c r="A98" s="24" t="str">
        <f>DSSP!A97</f>
        <v>B13</v>
      </c>
      <c r="B98" s="25" t="str">
        <f>DSSP!B97</f>
        <v>Cheese cake</v>
      </c>
      <c r="C98" s="9">
        <f>IF(SUMIFS(Sheet1!$E:$E,Sheet1!$C:$C,$A98,Sheet1!$A:$A,C$2)&lt;&gt;0,SUMIFS(Sheet1!$E:$E,Sheet1!$C:$C,$A98,Sheet1!$A:$A,C$2),"")</f>
        <v>18</v>
      </c>
      <c r="D98" s="9" t="str">
        <f>IF(SUMIFS(Sheet1!$E:$E,Sheet1!$C:$C,$A98,Sheet1!$A:$A,D$2)&lt;&gt;0,SUMIFS(Sheet1!$E:$E,Sheet1!$C:$C,$A98,Sheet1!$A:$A,D$2),"")</f>
        <v/>
      </c>
      <c r="E98" s="9" t="str">
        <f>IF(SUMIFS(Sheet1!$E:$E,Sheet1!$C:$C,$A98,Sheet1!$A:$A,E$2)&lt;&gt;0,SUMIFS(Sheet1!$E:$E,Sheet1!$C:$C,$A98,Sheet1!$A:$A,E$2),"")</f>
        <v/>
      </c>
      <c r="F98" s="9" t="str">
        <f>IF(SUMIFS(Sheet1!$E:$E,Sheet1!$C:$C,$A98,Sheet1!$A:$A,F$2)&lt;&gt;0,SUMIFS(Sheet1!$E:$E,Sheet1!$C:$C,$A98,Sheet1!$A:$A,F$2),"")</f>
        <v/>
      </c>
      <c r="G98" s="9" t="str">
        <f>IF(SUMIFS(Sheet1!$E:$E,Sheet1!$C:$C,$A98,Sheet1!$A:$A,G$2)&lt;&gt;0,SUMIFS(Sheet1!$E:$E,Sheet1!$C:$C,$A98,Sheet1!$A:$A,G$2),"")</f>
        <v/>
      </c>
      <c r="H98" s="9" t="str">
        <f>IF(SUMIFS(Sheet1!$E:$E,Sheet1!$C:$C,$A98,Sheet1!$A:$A,H$2)&lt;&gt;0,SUMIFS(Sheet1!$E:$E,Sheet1!$C:$C,$A98,Sheet1!$A:$A,H$2),"")</f>
        <v/>
      </c>
      <c r="I98" s="9" t="str">
        <f>IF(SUMIFS(Sheet1!$E:$E,Sheet1!$C:$C,$A98,Sheet1!$A:$A,I$2)&lt;&gt;0,SUMIFS(Sheet1!$E:$E,Sheet1!$C:$C,$A98,Sheet1!$A:$A,I$2),"")</f>
        <v/>
      </c>
      <c r="J98" s="9" t="str">
        <f>IF(SUMIFS(Sheet1!$E:$E,Sheet1!$C:$C,$A98,Sheet1!$A:$A,J$2)&lt;&gt;0,SUMIFS(Sheet1!$E:$E,Sheet1!$C:$C,$A98,Sheet1!$A:$A,J$2),"")</f>
        <v/>
      </c>
      <c r="K98" s="9" t="str">
        <f>IF(SUMIFS(Sheet1!$E:$E,Sheet1!$C:$C,$A98,Sheet1!$A:$A,K$2)&lt;&gt;0,SUMIFS(Sheet1!$E:$E,Sheet1!$C:$C,$A98,Sheet1!$A:$A,K$2),"")</f>
        <v/>
      </c>
      <c r="L98" s="9" t="str">
        <f>IF(SUMIFS(Sheet1!$E:$E,Sheet1!$C:$C,$A98,Sheet1!$A:$A,L$2)&lt;&gt;0,SUMIFS(Sheet1!$E:$E,Sheet1!$C:$C,$A98,Sheet1!$A:$A,L$2),"")</f>
        <v/>
      </c>
      <c r="M98" s="9" t="str">
        <f>IF(SUMIFS(Sheet1!$E:$E,Sheet1!$C:$C,$A98,Sheet1!$A:$A,M$2)&lt;&gt;0,SUMIFS(Sheet1!$E:$E,Sheet1!$C:$C,$A98,Sheet1!$A:$A,M$2),"")</f>
        <v/>
      </c>
      <c r="N98" s="9" t="str">
        <f>IF(SUMIFS(Sheet1!$E:$E,Sheet1!$C:$C,$A98,Sheet1!$A:$A,N$2)&lt;&gt;0,SUMIFS(Sheet1!$E:$E,Sheet1!$C:$C,$A98,Sheet1!$A:$A,N$2),"")</f>
        <v/>
      </c>
      <c r="O98" s="9" t="str">
        <f>IF(SUMIFS(Sheet1!$E:$E,Sheet1!$C:$C,$A98,Sheet1!$A:$A,O$2)&lt;&gt;0,SUMIFS(Sheet1!$E:$E,Sheet1!$C:$C,$A98,Sheet1!$A:$A,O$2),"")</f>
        <v/>
      </c>
      <c r="P98" s="9" t="str">
        <f>IF(SUMIFS(Sheet1!$E:$E,Sheet1!$C:$C,$A98,Sheet1!$A:$A,P$2)&lt;&gt;0,SUMIFS(Sheet1!$E:$E,Sheet1!$C:$C,$A98,Sheet1!$A:$A,P$2),"")</f>
        <v/>
      </c>
      <c r="Q98" s="9" t="str">
        <f>IF(SUMIFS(Sheet1!$E:$E,Sheet1!$C:$C,$A98,Sheet1!$A:$A,Q$2)&lt;&gt;0,SUMIFS(Sheet1!$E:$E,Sheet1!$C:$C,$A98,Sheet1!$A:$A,Q$2),"")</f>
        <v/>
      </c>
      <c r="R98" s="9" t="str">
        <f>IF(SUMIFS(Sheet1!$E:$E,Sheet1!$C:$C,$A98,Sheet1!$A:$A,R$2)&lt;&gt;0,SUMIFS(Sheet1!$E:$E,Sheet1!$C:$C,$A98,Sheet1!$A:$A,R$2),"")</f>
        <v/>
      </c>
      <c r="S98" s="9" t="str">
        <f>IF(SUMIFS(Sheet1!$E:$E,Sheet1!$C:$C,$A98,Sheet1!$A:$A,S$2)&lt;&gt;0,SUMIFS(Sheet1!$E:$E,Sheet1!$C:$C,$A98,Sheet1!$A:$A,S$2),"")</f>
        <v/>
      </c>
      <c r="T98" s="9" t="str">
        <f>IF(SUMIFS(Sheet1!$E:$E,Sheet1!$C:$C,$A98,Sheet1!$A:$A,T$2)&lt;&gt;0,SUMIFS(Sheet1!$E:$E,Sheet1!$C:$C,$A98,Sheet1!$A:$A,T$2),"")</f>
        <v/>
      </c>
      <c r="U98" s="9" t="str">
        <f>IF(SUMIFS(Sheet1!$E:$E,Sheet1!$C:$C,$A98,Sheet1!$A:$A,U$2)&lt;&gt;0,SUMIFS(Sheet1!$E:$E,Sheet1!$C:$C,$A98,Sheet1!$A:$A,U$2),"")</f>
        <v/>
      </c>
      <c r="V98" s="9" t="str">
        <f>IF(SUMIFS(Sheet1!$E:$E,Sheet1!$C:$C,$A98,Sheet1!$A:$A,V$2)&lt;&gt;0,SUMIFS(Sheet1!$E:$E,Sheet1!$C:$C,$A98,Sheet1!$A:$A,V$2),"")</f>
        <v/>
      </c>
      <c r="W98" s="9" t="str">
        <f>IF(SUMIFS(Sheet1!$E:$E,Sheet1!$C:$C,$A98,Sheet1!$A:$A,W$2)&lt;&gt;0,SUMIFS(Sheet1!$E:$E,Sheet1!$C:$C,$A98,Sheet1!$A:$A,W$2),"")</f>
        <v/>
      </c>
      <c r="X98" s="9" t="str">
        <f>IF(SUMIFS(Sheet1!$E:$E,Sheet1!$C:$C,$A98,Sheet1!$A:$A,X$2)&lt;&gt;0,SUMIFS(Sheet1!$E:$E,Sheet1!$C:$C,$A98,Sheet1!$A:$A,X$2),"")</f>
        <v/>
      </c>
      <c r="Y98" s="9" t="str">
        <f>IF(SUMIFS(Sheet1!$E:$E,Sheet1!$C:$C,$A98,Sheet1!$A:$A,Y$2)&lt;&gt;0,SUMIFS(Sheet1!$E:$E,Sheet1!$C:$C,$A98,Sheet1!$A:$A,Y$2),"")</f>
        <v/>
      </c>
      <c r="Z98" s="9" t="str">
        <f>IF(SUMIFS(Sheet1!$E:$E,Sheet1!$C:$C,$A98,Sheet1!$A:$A,Z$2)&lt;&gt;0,SUMIFS(Sheet1!$E:$E,Sheet1!$C:$C,$A98,Sheet1!$A:$A,Z$2),"")</f>
        <v/>
      </c>
      <c r="AA98" s="9" t="str">
        <f>IF(SUMIFS(Sheet1!$E:$E,Sheet1!$C:$C,$A98,Sheet1!$A:$A,AA$2)&lt;&gt;0,SUMIFS(Sheet1!$E:$E,Sheet1!$C:$C,$A98,Sheet1!$A:$A,AA$2),"")</f>
        <v/>
      </c>
      <c r="AB98" s="9" t="str">
        <f>IF(SUMIFS(Sheet1!$E:$E,Sheet1!$C:$C,$A98,Sheet1!$A:$A,AB$2)&lt;&gt;0,SUMIFS(Sheet1!$E:$E,Sheet1!$C:$C,$A98,Sheet1!$A:$A,AB$2),"")</f>
        <v/>
      </c>
      <c r="AC98" s="9" t="str">
        <f>IF(SUMIFS(Sheet1!$E:$E,Sheet1!$C:$C,$A98,Sheet1!$A:$A,AC$2)&lt;&gt;0,SUMIFS(Sheet1!$E:$E,Sheet1!$C:$C,$A98,Sheet1!$A:$A,AC$2),"")</f>
        <v/>
      </c>
      <c r="AD98" s="9" t="str">
        <f>IF(SUMIFS(Sheet1!$E:$E,Sheet1!$C:$C,$A98,Sheet1!$A:$A,AD$2)&lt;&gt;0,SUMIFS(Sheet1!$E:$E,Sheet1!$C:$C,$A98,Sheet1!$A:$A,AD$2),"")</f>
        <v/>
      </c>
      <c r="AE98" s="9" t="str">
        <f>IF(SUMIFS(Sheet1!$E:$E,Sheet1!$C:$C,$A98,Sheet1!$A:$A,AE$2)&lt;&gt;0,SUMIFS(Sheet1!$E:$E,Sheet1!$C:$C,$A98,Sheet1!$A:$A,AE$2),"")</f>
        <v/>
      </c>
      <c r="AF98" s="9" t="str">
        <f>IF(SUMIFS(Sheet1!$E:$E,Sheet1!$C:$C,$A98,Sheet1!$A:$A,AF$2)&lt;&gt;0,SUMIFS(Sheet1!$E:$E,Sheet1!$C:$C,$A98,Sheet1!$A:$A,AF$2),"")</f>
        <v/>
      </c>
      <c r="AG98" s="9" t="str">
        <f>IF(SUMIFS(Sheet1!$E:$E,Sheet1!$C:$C,$A98,Sheet1!$A:$A,AG$2)&lt;&gt;0,SUMIFS(Sheet1!$E:$E,Sheet1!$C:$C,$A98,Sheet1!$A:$A,AG$2),"")</f>
        <v/>
      </c>
      <c r="AH98" s="47">
        <f>SUM(Table24[[#This Row],[1]:[31]])</f>
        <v>18</v>
      </c>
    </row>
    <row r="99" spans="1:34" ht="12.75" customHeight="1">
      <c r="A99" s="24" t="str">
        <f>DSSP!A98</f>
        <v>B14</v>
      </c>
      <c r="B99" s="25" t="str">
        <f>DSSP!B98</f>
        <v>Tiramisu</v>
      </c>
      <c r="C99" s="9">
        <f>IF(SUMIFS(Sheet1!$E:$E,Sheet1!$C:$C,$A99,Sheet1!$A:$A,C$2)&lt;&gt;0,SUMIFS(Sheet1!$E:$E,Sheet1!$C:$C,$A99,Sheet1!$A:$A,C$2),"")</f>
        <v>21</v>
      </c>
      <c r="D99" s="9" t="str">
        <f>IF(SUMIFS(Sheet1!$E:$E,Sheet1!$C:$C,$A99,Sheet1!$A:$A,D$2)&lt;&gt;0,SUMIFS(Sheet1!$E:$E,Sheet1!$C:$C,$A99,Sheet1!$A:$A,D$2),"")</f>
        <v/>
      </c>
      <c r="E99" s="9" t="str">
        <f>IF(SUMIFS(Sheet1!$E:$E,Sheet1!$C:$C,$A99,Sheet1!$A:$A,E$2)&lt;&gt;0,SUMIFS(Sheet1!$E:$E,Sheet1!$C:$C,$A99,Sheet1!$A:$A,E$2),"")</f>
        <v/>
      </c>
      <c r="F99" s="9" t="str">
        <f>IF(SUMIFS(Sheet1!$E:$E,Sheet1!$C:$C,$A99,Sheet1!$A:$A,F$2)&lt;&gt;0,SUMIFS(Sheet1!$E:$E,Sheet1!$C:$C,$A99,Sheet1!$A:$A,F$2),"")</f>
        <v/>
      </c>
      <c r="G99" s="9" t="str">
        <f>IF(SUMIFS(Sheet1!$E:$E,Sheet1!$C:$C,$A99,Sheet1!$A:$A,G$2)&lt;&gt;0,SUMIFS(Sheet1!$E:$E,Sheet1!$C:$C,$A99,Sheet1!$A:$A,G$2),"")</f>
        <v/>
      </c>
      <c r="H99" s="9" t="str">
        <f>IF(SUMIFS(Sheet1!$E:$E,Sheet1!$C:$C,$A99,Sheet1!$A:$A,H$2)&lt;&gt;0,SUMIFS(Sheet1!$E:$E,Sheet1!$C:$C,$A99,Sheet1!$A:$A,H$2),"")</f>
        <v/>
      </c>
      <c r="I99" s="9" t="str">
        <f>IF(SUMIFS(Sheet1!$E:$E,Sheet1!$C:$C,$A99,Sheet1!$A:$A,I$2)&lt;&gt;0,SUMIFS(Sheet1!$E:$E,Sheet1!$C:$C,$A99,Sheet1!$A:$A,I$2),"")</f>
        <v/>
      </c>
      <c r="J99" s="9" t="str">
        <f>IF(SUMIFS(Sheet1!$E:$E,Sheet1!$C:$C,$A99,Sheet1!$A:$A,J$2)&lt;&gt;0,SUMIFS(Sheet1!$E:$E,Sheet1!$C:$C,$A99,Sheet1!$A:$A,J$2),"")</f>
        <v/>
      </c>
      <c r="K99" s="9" t="str">
        <f>IF(SUMIFS(Sheet1!$E:$E,Sheet1!$C:$C,$A99,Sheet1!$A:$A,K$2)&lt;&gt;0,SUMIFS(Sheet1!$E:$E,Sheet1!$C:$C,$A99,Sheet1!$A:$A,K$2),"")</f>
        <v/>
      </c>
      <c r="L99" s="9" t="str">
        <f>IF(SUMIFS(Sheet1!$E:$E,Sheet1!$C:$C,$A99,Sheet1!$A:$A,L$2)&lt;&gt;0,SUMIFS(Sheet1!$E:$E,Sheet1!$C:$C,$A99,Sheet1!$A:$A,L$2),"")</f>
        <v/>
      </c>
      <c r="M99" s="9" t="str">
        <f>IF(SUMIFS(Sheet1!$E:$E,Sheet1!$C:$C,$A99,Sheet1!$A:$A,M$2)&lt;&gt;0,SUMIFS(Sheet1!$E:$E,Sheet1!$C:$C,$A99,Sheet1!$A:$A,M$2),"")</f>
        <v/>
      </c>
      <c r="N99" s="9" t="str">
        <f>IF(SUMIFS(Sheet1!$E:$E,Sheet1!$C:$C,$A99,Sheet1!$A:$A,N$2)&lt;&gt;0,SUMIFS(Sheet1!$E:$E,Sheet1!$C:$C,$A99,Sheet1!$A:$A,N$2),"")</f>
        <v/>
      </c>
      <c r="O99" s="9" t="str">
        <f>IF(SUMIFS(Sheet1!$E:$E,Sheet1!$C:$C,$A99,Sheet1!$A:$A,O$2)&lt;&gt;0,SUMIFS(Sheet1!$E:$E,Sheet1!$C:$C,$A99,Sheet1!$A:$A,O$2),"")</f>
        <v/>
      </c>
      <c r="P99" s="9" t="str">
        <f>IF(SUMIFS(Sheet1!$E:$E,Sheet1!$C:$C,$A99,Sheet1!$A:$A,P$2)&lt;&gt;0,SUMIFS(Sheet1!$E:$E,Sheet1!$C:$C,$A99,Sheet1!$A:$A,P$2),"")</f>
        <v/>
      </c>
      <c r="Q99" s="9" t="str">
        <f>IF(SUMIFS(Sheet1!$E:$E,Sheet1!$C:$C,$A99,Sheet1!$A:$A,Q$2)&lt;&gt;0,SUMIFS(Sheet1!$E:$E,Sheet1!$C:$C,$A99,Sheet1!$A:$A,Q$2),"")</f>
        <v/>
      </c>
      <c r="R99" s="9" t="str">
        <f>IF(SUMIFS(Sheet1!$E:$E,Sheet1!$C:$C,$A99,Sheet1!$A:$A,R$2)&lt;&gt;0,SUMIFS(Sheet1!$E:$E,Sheet1!$C:$C,$A99,Sheet1!$A:$A,R$2),"")</f>
        <v/>
      </c>
      <c r="S99" s="9" t="str">
        <f>IF(SUMIFS(Sheet1!$E:$E,Sheet1!$C:$C,$A99,Sheet1!$A:$A,S$2)&lt;&gt;0,SUMIFS(Sheet1!$E:$E,Sheet1!$C:$C,$A99,Sheet1!$A:$A,S$2),"")</f>
        <v/>
      </c>
      <c r="T99" s="9" t="str">
        <f>IF(SUMIFS(Sheet1!$E:$E,Sheet1!$C:$C,$A99,Sheet1!$A:$A,T$2)&lt;&gt;0,SUMIFS(Sheet1!$E:$E,Sheet1!$C:$C,$A99,Sheet1!$A:$A,T$2),"")</f>
        <v/>
      </c>
      <c r="U99" s="9" t="str">
        <f>IF(SUMIFS(Sheet1!$E:$E,Sheet1!$C:$C,$A99,Sheet1!$A:$A,U$2)&lt;&gt;0,SUMIFS(Sheet1!$E:$E,Sheet1!$C:$C,$A99,Sheet1!$A:$A,U$2),"")</f>
        <v/>
      </c>
      <c r="V99" s="9" t="str">
        <f>IF(SUMIFS(Sheet1!$E:$E,Sheet1!$C:$C,$A99,Sheet1!$A:$A,V$2)&lt;&gt;0,SUMIFS(Sheet1!$E:$E,Sheet1!$C:$C,$A99,Sheet1!$A:$A,V$2),"")</f>
        <v/>
      </c>
      <c r="W99" s="9" t="str">
        <f>IF(SUMIFS(Sheet1!$E:$E,Sheet1!$C:$C,$A99,Sheet1!$A:$A,W$2)&lt;&gt;0,SUMIFS(Sheet1!$E:$E,Sheet1!$C:$C,$A99,Sheet1!$A:$A,W$2),"")</f>
        <v/>
      </c>
      <c r="X99" s="9" t="str">
        <f>IF(SUMIFS(Sheet1!$E:$E,Sheet1!$C:$C,$A99,Sheet1!$A:$A,X$2)&lt;&gt;0,SUMIFS(Sheet1!$E:$E,Sheet1!$C:$C,$A99,Sheet1!$A:$A,X$2),"")</f>
        <v/>
      </c>
      <c r="Y99" s="9" t="str">
        <f>IF(SUMIFS(Sheet1!$E:$E,Sheet1!$C:$C,$A99,Sheet1!$A:$A,Y$2)&lt;&gt;0,SUMIFS(Sheet1!$E:$E,Sheet1!$C:$C,$A99,Sheet1!$A:$A,Y$2),"")</f>
        <v/>
      </c>
      <c r="Z99" s="9" t="str">
        <f>IF(SUMIFS(Sheet1!$E:$E,Sheet1!$C:$C,$A99,Sheet1!$A:$A,Z$2)&lt;&gt;0,SUMIFS(Sheet1!$E:$E,Sheet1!$C:$C,$A99,Sheet1!$A:$A,Z$2),"")</f>
        <v/>
      </c>
      <c r="AA99" s="9" t="str">
        <f>IF(SUMIFS(Sheet1!$E:$E,Sheet1!$C:$C,$A99,Sheet1!$A:$A,AA$2)&lt;&gt;0,SUMIFS(Sheet1!$E:$E,Sheet1!$C:$C,$A99,Sheet1!$A:$A,AA$2),"")</f>
        <v/>
      </c>
      <c r="AB99" s="9" t="str">
        <f>IF(SUMIFS(Sheet1!$E:$E,Sheet1!$C:$C,$A99,Sheet1!$A:$A,AB$2)&lt;&gt;0,SUMIFS(Sheet1!$E:$E,Sheet1!$C:$C,$A99,Sheet1!$A:$A,AB$2),"")</f>
        <v/>
      </c>
      <c r="AC99" s="9" t="str">
        <f>IF(SUMIFS(Sheet1!$E:$E,Sheet1!$C:$C,$A99,Sheet1!$A:$A,AC$2)&lt;&gt;0,SUMIFS(Sheet1!$E:$E,Sheet1!$C:$C,$A99,Sheet1!$A:$A,AC$2),"")</f>
        <v/>
      </c>
      <c r="AD99" s="9" t="str">
        <f>IF(SUMIFS(Sheet1!$E:$E,Sheet1!$C:$C,$A99,Sheet1!$A:$A,AD$2)&lt;&gt;0,SUMIFS(Sheet1!$E:$E,Sheet1!$C:$C,$A99,Sheet1!$A:$A,AD$2),"")</f>
        <v/>
      </c>
      <c r="AE99" s="9" t="str">
        <f>IF(SUMIFS(Sheet1!$E:$E,Sheet1!$C:$C,$A99,Sheet1!$A:$A,AE$2)&lt;&gt;0,SUMIFS(Sheet1!$E:$E,Sheet1!$C:$C,$A99,Sheet1!$A:$A,AE$2),"")</f>
        <v/>
      </c>
      <c r="AF99" s="9" t="str">
        <f>IF(SUMIFS(Sheet1!$E:$E,Sheet1!$C:$C,$A99,Sheet1!$A:$A,AF$2)&lt;&gt;0,SUMIFS(Sheet1!$E:$E,Sheet1!$C:$C,$A99,Sheet1!$A:$A,AF$2),"")</f>
        <v/>
      </c>
      <c r="AG99" s="9" t="str">
        <f>IF(SUMIFS(Sheet1!$E:$E,Sheet1!$C:$C,$A99,Sheet1!$A:$A,AG$2)&lt;&gt;0,SUMIFS(Sheet1!$E:$E,Sheet1!$C:$C,$A99,Sheet1!$A:$A,AG$2),"")</f>
        <v/>
      </c>
      <c r="AH99" s="47">
        <f>SUM(Table24[[#This Row],[1]:[31]])</f>
        <v>21</v>
      </c>
    </row>
    <row r="100" spans="1:34" ht="12.75" customHeight="1">
      <c r="A100" s="24" t="str">
        <f>DSSP!A99</f>
        <v>B15</v>
      </c>
      <c r="B100" s="25" t="str">
        <f>DSSP!B99</f>
        <v>Hộp chocolate</v>
      </c>
      <c r="C100" s="9" t="str">
        <f>IF(SUMIFS(Sheet1!$E:$E,Sheet1!$C:$C,$A100,Sheet1!$A:$A,C$2)&lt;&gt;0,SUMIFS(Sheet1!$E:$E,Sheet1!$C:$C,$A100,Sheet1!$A:$A,C$2),"")</f>
        <v/>
      </c>
      <c r="D100" s="9" t="str">
        <f>IF(SUMIFS(Sheet1!$E:$E,Sheet1!$C:$C,$A100,Sheet1!$A:$A,D$2)&lt;&gt;0,SUMIFS(Sheet1!$E:$E,Sheet1!$C:$C,$A100,Sheet1!$A:$A,D$2),"")</f>
        <v/>
      </c>
      <c r="E100" s="9" t="str">
        <f>IF(SUMIFS(Sheet1!$E:$E,Sheet1!$C:$C,$A100,Sheet1!$A:$A,E$2)&lt;&gt;0,SUMIFS(Sheet1!$E:$E,Sheet1!$C:$C,$A100,Sheet1!$A:$A,E$2),"")</f>
        <v/>
      </c>
      <c r="F100" s="9" t="str">
        <f>IF(SUMIFS(Sheet1!$E:$E,Sheet1!$C:$C,$A100,Sheet1!$A:$A,F$2)&lt;&gt;0,SUMIFS(Sheet1!$E:$E,Sheet1!$C:$C,$A100,Sheet1!$A:$A,F$2),"")</f>
        <v/>
      </c>
      <c r="G100" s="9" t="str">
        <f>IF(SUMIFS(Sheet1!$E:$E,Sheet1!$C:$C,$A100,Sheet1!$A:$A,G$2)&lt;&gt;0,SUMIFS(Sheet1!$E:$E,Sheet1!$C:$C,$A100,Sheet1!$A:$A,G$2),"")</f>
        <v/>
      </c>
      <c r="H100" s="9" t="str">
        <f>IF(SUMIFS(Sheet1!$E:$E,Sheet1!$C:$C,$A100,Sheet1!$A:$A,H$2)&lt;&gt;0,SUMIFS(Sheet1!$E:$E,Sheet1!$C:$C,$A100,Sheet1!$A:$A,H$2),"")</f>
        <v/>
      </c>
      <c r="I100" s="9" t="str">
        <f>IF(SUMIFS(Sheet1!$E:$E,Sheet1!$C:$C,$A100,Sheet1!$A:$A,I$2)&lt;&gt;0,SUMIFS(Sheet1!$E:$E,Sheet1!$C:$C,$A100,Sheet1!$A:$A,I$2),"")</f>
        <v/>
      </c>
      <c r="J100" s="9" t="str">
        <f>IF(SUMIFS(Sheet1!$E:$E,Sheet1!$C:$C,$A100,Sheet1!$A:$A,J$2)&lt;&gt;0,SUMIFS(Sheet1!$E:$E,Sheet1!$C:$C,$A100,Sheet1!$A:$A,J$2),"")</f>
        <v/>
      </c>
      <c r="K100" s="9" t="str">
        <f>IF(SUMIFS(Sheet1!$E:$E,Sheet1!$C:$C,$A100,Sheet1!$A:$A,K$2)&lt;&gt;0,SUMIFS(Sheet1!$E:$E,Sheet1!$C:$C,$A100,Sheet1!$A:$A,K$2),"")</f>
        <v/>
      </c>
      <c r="L100" s="9" t="str">
        <f>IF(SUMIFS(Sheet1!$E:$E,Sheet1!$C:$C,$A100,Sheet1!$A:$A,L$2)&lt;&gt;0,SUMIFS(Sheet1!$E:$E,Sheet1!$C:$C,$A100,Sheet1!$A:$A,L$2),"")</f>
        <v/>
      </c>
      <c r="M100" s="9" t="str">
        <f>IF(SUMIFS(Sheet1!$E:$E,Sheet1!$C:$C,$A100,Sheet1!$A:$A,M$2)&lt;&gt;0,SUMIFS(Sheet1!$E:$E,Sheet1!$C:$C,$A100,Sheet1!$A:$A,M$2),"")</f>
        <v/>
      </c>
      <c r="N100" s="9" t="str">
        <f>IF(SUMIFS(Sheet1!$E:$E,Sheet1!$C:$C,$A100,Sheet1!$A:$A,N$2)&lt;&gt;0,SUMIFS(Sheet1!$E:$E,Sheet1!$C:$C,$A100,Sheet1!$A:$A,N$2),"")</f>
        <v/>
      </c>
      <c r="O100" s="9" t="str">
        <f>IF(SUMIFS(Sheet1!$E:$E,Sheet1!$C:$C,$A100,Sheet1!$A:$A,O$2)&lt;&gt;0,SUMIFS(Sheet1!$E:$E,Sheet1!$C:$C,$A100,Sheet1!$A:$A,O$2),"")</f>
        <v/>
      </c>
      <c r="P100" s="9" t="str">
        <f>IF(SUMIFS(Sheet1!$E:$E,Sheet1!$C:$C,$A100,Sheet1!$A:$A,P$2)&lt;&gt;0,SUMIFS(Sheet1!$E:$E,Sheet1!$C:$C,$A100,Sheet1!$A:$A,P$2),"")</f>
        <v/>
      </c>
      <c r="Q100" s="9" t="str">
        <f>IF(SUMIFS(Sheet1!$E:$E,Sheet1!$C:$C,$A100,Sheet1!$A:$A,Q$2)&lt;&gt;0,SUMIFS(Sheet1!$E:$E,Sheet1!$C:$C,$A100,Sheet1!$A:$A,Q$2),"")</f>
        <v/>
      </c>
      <c r="R100" s="9" t="str">
        <f>IF(SUMIFS(Sheet1!$E:$E,Sheet1!$C:$C,$A100,Sheet1!$A:$A,R$2)&lt;&gt;0,SUMIFS(Sheet1!$E:$E,Sheet1!$C:$C,$A100,Sheet1!$A:$A,R$2),"")</f>
        <v/>
      </c>
      <c r="S100" s="9" t="str">
        <f>IF(SUMIFS(Sheet1!$E:$E,Sheet1!$C:$C,$A100,Sheet1!$A:$A,S$2)&lt;&gt;0,SUMIFS(Sheet1!$E:$E,Sheet1!$C:$C,$A100,Sheet1!$A:$A,S$2),"")</f>
        <v/>
      </c>
      <c r="T100" s="9" t="str">
        <f>IF(SUMIFS(Sheet1!$E:$E,Sheet1!$C:$C,$A100,Sheet1!$A:$A,T$2)&lt;&gt;0,SUMIFS(Sheet1!$E:$E,Sheet1!$C:$C,$A100,Sheet1!$A:$A,T$2),"")</f>
        <v/>
      </c>
      <c r="U100" s="9" t="str">
        <f>IF(SUMIFS(Sheet1!$E:$E,Sheet1!$C:$C,$A100,Sheet1!$A:$A,U$2)&lt;&gt;0,SUMIFS(Sheet1!$E:$E,Sheet1!$C:$C,$A100,Sheet1!$A:$A,U$2),"")</f>
        <v/>
      </c>
      <c r="V100" s="9" t="str">
        <f>IF(SUMIFS(Sheet1!$E:$E,Sheet1!$C:$C,$A100,Sheet1!$A:$A,V$2)&lt;&gt;0,SUMIFS(Sheet1!$E:$E,Sheet1!$C:$C,$A100,Sheet1!$A:$A,V$2),"")</f>
        <v/>
      </c>
      <c r="W100" s="9" t="str">
        <f>IF(SUMIFS(Sheet1!$E:$E,Sheet1!$C:$C,$A100,Sheet1!$A:$A,W$2)&lt;&gt;0,SUMIFS(Sheet1!$E:$E,Sheet1!$C:$C,$A100,Sheet1!$A:$A,W$2),"")</f>
        <v/>
      </c>
      <c r="X100" s="9" t="str">
        <f>IF(SUMIFS(Sheet1!$E:$E,Sheet1!$C:$C,$A100,Sheet1!$A:$A,X$2)&lt;&gt;0,SUMIFS(Sheet1!$E:$E,Sheet1!$C:$C,$A100,Sheet1!$A:$A,X$2),"")</f>
        <v/>
      </c>
      <c r="Y100" s="9" t="str">
        <f>IF(SUMIFS(Sheet1!$E:$E,Sheet1!$C:$C,$A100,Sheet1!$A:$A,Y$2)&lt;&gt;0,SUMIFS(Sheet1!$E:$E,Sheet1!$C:$C,$A100,Sheet1!$A:$A,Y$2),"")</f>
        <v/>
      </c>
      <c r="Z100" s="9" t="str">
        <f>IF(SUMIFS(Sheet1!$E:$E,Sheet1!$C:$C,$A100,Sheet1!$A:$A,Z$2)&lt;&gt;0,SUMIFS(Sheet1!$E:$E,Sheet1!$C:$C,$A100,Sheet1!$A:$A,Z$2),"")</f>
        <v/>
      </c>
      <c r="AA100" s="9" t="str">
        <f>IF(SUMIFS(Sheet1!$E:$E,Sheet1!$C:$C,$A100,Sheet1!$A:$A,AA$2)&lt;&gt;0,SUMIFS(Sheet1!$E:$E,Sheet1!$C:$C,$A100,Sheet1!$A:$A,AA$2),"")</f>
        <v/>
      </c>
      <c r="AB100" s="9" t="str">
        <f>IF(SUMIFS(Sheet1!$E:$E,Sheet1!$C:$C,$A100,Sheet1!$A:$A,AB$2)&lt;&gt;0,SUMIFS(Sheet1!$E:$E,Sheet1!$C:$C,$A100,Sheet1!$A:$A,AB$2),"")</f>
        <v/>
      </c>
      <c r="AC100" s="9" t="str">
        <f>IF(SUMIFS(Sheet1!$E:$E,Sheet1!$C:$C,$A100,Sheet1!$A:$A,AC$2)&lt;&gt;0,SUMIFS(Sheet1!$E:$E,Sheet1!$C:$C,$A100,Sheet1!$A:$A,AC$2),"")</f>
        <v/>
      </c>
      <c r="AD100" s="9" t="str">
        <f>IF(SUMIFS(Sheet1!$E:$E,Sheet1!$C:$C,$A100,Sheet1!$A:$A,AD$2)&lt;&gt;0,SUMIFS(Sheet1!$E:$E,Sheet1!$C:$C,$A100,Sheet1!$A:$A,AD$2),"")</f>
        <v/>
      </c>
      <c r="AE100" s="9" t="str">
        <f>IF(SUMIFS(Sheet1!$E:$E,Sheet1!$C:$C,$A100,Sheet1!$A:$A,AE$2)&lt;&gt;0,SUMIFS(Sheet1!$E:$E,Sheet1!$C:$C,$A100,Sheet1!$A:$A,AE$2),"")</f>
        <v/>
      </c>
      <c r="AF100" s="9" t="str">
        <f>IF(SUMIFS(Sheet1!$E:$E,Sheet1!$C:$C,$A100,Sheet1!$A:$A,AF$2)&lt;&gt;0,SUMIFS(Sheet1!$E:$E,Sheet1!$C:$C,$A100,Sheet1!$A:$A,AF$2),"")</f>
        <v/>
      </c>
      <c r="AG100" s="9" t="str">
        <f>IF(SUMIFS(Sheet1!$E:$E,Sheet1!$C:$C,$A100,Sheet1!$A:$A,AG$2)&lt;&gt;0,SUMIFS(Sheet1!$E:$E,Sheet1!$C:$C,$A100,Sheet1!$A:$A,AG$2),"")</f>
        <v/>
      </c>
      <c r="AH100" s="47">
        <f>SUM(Table24[[#This Row],[1]:[31]])</f>
        <v>0</v>
      </c>
    </row>
    <row r="101" spans="1:34" ht="12.75" customHeight="1">
      <c r="A101" s="24" t="str">
        <f>DSSP!A100</f>
        <v>C01</v>
      </c>
      <c r="B101" s="25" t="str">
        <f>DSSP!B100</f>
        <v>Thiệp</v>
      </c>
      <c r="C101" s="9">
        <f>IF(SUMIFS(Sheet1!$E:$E,Sheet1!$C:$C,$A101,Sheet1!$A:$A,C$2)&lt;&gt;0,SUMIFS(Sheet1!$E:$E,Sheet1!$C:$C,$A101,Sheet1!$A:$A,C$2),"")</f>
        <v>-2</v>
      </c>
      <c r="D101" s="9" t="str">
        <f>IF(SUMIFS(Sheet1!$E:$E,Sheet1!$C:$C,$A101,Sheet1!$A:$A,D$2)&lt;&gt;0,SUMIFS(Sheet1!$E:$E,Sheet1!$C:$C,$A101,Sheet1!$A:$A,D$2),"")</f>
        <v/>
      </c>
      <c r="E101" s="9" t="str">
        <f>IF(SUMIFS(Sheet1!$E:$E,Sheet1!$C:$C,$A101,Sheet1!$A:$A,E$2)&lt;&gt;0,SUMIFS(Sheet1!$E:$E,Sheet1!$C:$C,$A101,Sheet1!$A:$A,E$2),"")</f>
        <v/>
      </c>
      <c r="F101" s="9" t="str">
        <f>IF(SUMIFS(Sheet1!$E:$E,Sheet1!$C:$C,$A101,Sheet1!$A:$A,F$2)&lt;&gt;0,SUMIFS(Sheet1!$E:$E,Sheet1!$C:$C,$A101,Sheet1!$A:$A,F$2),"")</f>
        <v/>
      </c>
      <c r="G101" s="9" t="str">
        <f>IF(SUMIFS(Sheet1!$E:$E,Sheet1!$C:$C,$A101,Sheet1!$A:$A,G$2)&lt;&gt;0,SUMIFS(Sheet1!$E:$E,Sheet1!$C:$C,$A101,Sheet1!$A:$A,G$2),"")</f>
        <v/>
      </c>
      <c r="H101" s="9" t="str">
        <f>IF(SUMIFS(Sheet1!$E:$E,Sheet1!$C:$C,$A101,Sheet1!$A:$A,H$2)&lt;&gt;0,SUMIFS(Sheet1!$E:$E,Sheet1!$C:$C,$A101,Sheet1!$A:$A,H$2),"")</f>
        <v/>
      </c>
      <c r="I101" s="9" t="str">
        <f>IF(SUMIFS(Sheet1!$E:$E,Sheet1!$C:$C,$A101,Sheet1!$A:$A,I$2)&lt;&gt;0,SUMIFS(Sheet1!$E:$E,Sheet1!$C:$C,$A101,Sheet1!$A:$A,I$2),"")</f>
        <v/>
      </c>
      <c r="J101" s="9" t="str">
        <f>IF(SUMIFS(Sheet1!$E:$E,Sheet1!$C:$C,$A101,Sheet1!$A:$A,J$2)&lt;&gt;0,SUMIFS(Sheet1!$E:$E,Sheet1!$C:$C,$A101,Sheet1!$A:$A,J$2),"")</f>
        <v/>
      </c>
      <c r="K101" s="9" t="str">
        <f>IF(SUMIFS(Sheet1!$E:$E,Sheet1!$C:$C,$A101,Sheet1!$A:$A,K$2)&lt;&gt;0,SUMIFS(Sheet1!$E:$E,Sheet1!$C:$C,$A101,Sheet1!$A:$A,K$2),"")</f>
        <v/>
      </c>
      <c r="L101" s="9" t="str">
        <f>IF(SUMIFS(Sheet1!$E:$E,Sheet1!$C:$C,$A101,Sheet1!$A:$A,L$2)&lt;&gt;0,SUMIFS(Sheet1!$E:$E,Sheet1!$C:$C,$A101,Sheet1!$A:$A,L$2),"")</f>
        <v/>
      </c>
      <c r="M101" s="9" t="str">
        <f>IF(SUMIFS(Sheet1!$E:$E,Sheet1!$C:$C,$A101,Sheet1!$A:$A,M$2)&lt;&gt;0,SUMIFS(Sheet1!$E:$E,Sheet1!$C:$C,$A101,Sheet1!$A:$A,M$2),"")</f>
        <v/>
      </c>
      <c r="N101" s="9" t="str">
        <f>IF(SUMIFS(Sheet1!$E:$E,Sheet1!$C:$C,$A101,Sheet1!$A:$A,N$2)&lt;&gt;0,SUMIFS(Sheet1!$E:$E,Sheet1!$C:$C,$A101,Sheet1!$A:$A,N$2),"")</f>
        <v/>
      </c>
      <c r="O101" s="9" t="str">
        <f>IF(SUMIFS(Sheet1!$E:$E,Sheet1!$C:$C,$A101,Sheet1!$A:$A,O$2)&lt;&gt;0,SUMIFS(Sheet1!$E:$E,Sheet1!$C:$C,$A101,Sheet1!$A:$A,O$2),"")</f>
        <v/>
      </c>
      <c r="P101" s="9" t="str">
        <f>IF(SUMIFS(Sheet1!$E:$E,Sheet1!$C:$C,$A101,Sheet1!$A:$A,P$2)&lt;&gt;0,SUMIFS(Sheet1!$E:$E,Sheet1!$C:$C,$A101,Sheet1!$A:$A,P$2),"")</f>
        <v/>
      </c>
      <c r="Q101" s="9" t="str">
        <f>IF(SUMIFS(Sheet1!$E:$E,Sheet1!$C:$C,$A101,Sheet1!$A:$A,Q$2)&lt;&gt;0,SUMIFS(Sheet1!$E:$E,Sheet1!$C:$C,$A101,Sheet1!$A:$A,Q$2),"")</f>
        <v/>
      </c>
      <c r="R101" s="9" t="str">
        <f>IF(SUMIFS(Sheet1!$E:$E,Sheet1!$C:$C,$A101,Sheet1!$A:$A,R$2)&lt;&gt;0,SUMIFS(Sheet1!$E:$E,Sheet1!$C:$C,$A101,Sheet1!$A:$A,R$2),"")</f>
        <v/>
      </c>
      <c r="S101" s="9" t="str">
        <f>IF(SUMIFS(Sheet1!$E:$E,Sheet1!$C:$C,$A101,Sheet1!$A:$A,S$2)&lt;&gt;0,SUMIFS(Sheet1!$E:$E,Sheet1!$C:$C,$A101,Sheet1!$A:$A,S$2),"")</f>
        <v/>
      </c>
      <c r="T101" s="9" t="str">
        <f>IF(SUMIFS(Sheet1!$E:$E,Sheet1!$C:$C,$A101,Sheet1!$A:$A,T$2)&lt;&gt;0,SUMIFS(Sheet1!$E:$E,Sheet1!$C:$C,$A101,Sheet1!$A:$A,T$2),"")</f>
        <v/>
      </c>
      <c r="U101" s="9" t="str">
        <f>IF(SUMIFS(Sheet1!$E:$E,Sheet1!$C:$C,$A101,Sheet1!$A:$A,U$2)&lt;&gt;0,SUMIFS(Sheet1!$E:$E,Sheet1!$C:$C,$A101,Sheet1!$A:$A,U$2),"")</f>
        <v/>
      </c>
      <c r="V101" s="9" t="str">
        <f>IF(SUMIFS(Sheet1!$E:$E,Sheet1!$C:$C,$A101,Sheet1!$A:$A,V$2)&lt;&gt;0,SUMIFS(Sheet1!$E:$E,Sheet1!$C:$C,$A101,Sheet1!$A:$A,V$2),"")</f>
        <v/>
      </c>
      <c r="W101" s="9" t="str">
        <f>IF(SUMIFS(Sheet1!$E:$E,Sheet1!$C:$C,$A101,Sheet1!$A:$A,W$2)&lt;&gt;0,SUMIFS(Sheet1!$E:$E,Sheet1!$C:$C,$A101,Sheet1!$A:$A,W$2),"")</f>
        <v/>
      </c>
      <c r="X101" s="9" t="str">
        <f>IF(SUMIFS(Sheet1!$E:$E,Sheet1!$C:$C,$A101,Sheet1!$A:$A,X$2)&lt;&gt;0,SUMIFS(Sheet1!$E:$E,Sheet1!$C:$C,$A101,Sheet1!$A:$A,X$2),"")</f>
        <v/>
      </c>
      <c r="Y101" s="9" t="str">
        <f>IF(SUMIFS(Sheet1!$E:$E,Sheet1!$C:$C,$A101,Sheet1!$A:$A,Y$2)&lt;&gt;0,SUMIFS(Sheet1!$E:$E,Sheet1!$C:$C,$A101,Sheet1!$A:$A,Y$2),"")</f>
        <v/>
      </c>
      <c r="Z101" s="9" t="str">
        <f>IF(SUMIFS(Sheet1!$E:$E,Sheet1!$C:$C,$A101,Sheet1!$A:$A,Z$2)&lt;&gt;0,SUMIFS(Sheet1!$E:$E,Sheet1!$C:$C,$A101,Sheet1!$A:$A,Z$2),"")</f>
        <v/>
      </c>
      <c r="AA101" s="9" t="str">
        <f>IF(SUMIFS(Sheet1!$E:$E,Sheet1!$C:$C,$A101,Sheet1!$A:$A,AA$2)&lt;&gt;0,SUMIFS(Sheet1!$E:$E,Sheet1!$C:$C,$A101,Sheet1!$A:$A,AA$2),"")</f>
        <v/>
      </c>
      <c r="AB101" s="9" t="str">
        <f>IF(SUMIFS(Sheet1!$E:$E,Sheet1!$C:$C,$A101,Sheet1!$A:$A,AB$2)&lt;&gt;0,SUMIFS(Sheet1!$E:$E,Sheet1!$C:$C,$A101,Sheet1!$A:$A,AB$2),"")</f>
        <v/>
      </c>
      <c r="AC101" s="9" t="str">
        <f>IF(SUMIFS(Sheet1!$E:$E,Sheet1!$C:$C,$A101,Sheet1!$A:$A,AC$2)&lt;&gt;0,SUMIFS(Sheet1!$E:$E,Sheet1!$C:$C,$A101,Sheet1!$A:$A,AC$2),"")</f>
        <v/>
      </c>
      <c r="AD101" s="9" t="str">
        <f>IF(SUMIFS(Sheet1!$E:$E,Sheet1!$C:$C,$A101,Sheet1!$A:$A,AD$2)&lt;&gt;0,SUMIFS(Sheet1!$E:$E,Sheet1!$C:$C,$A101,Sheet1!$A:$A,AD$2),"")</f>
        <v/>
      </c>
      <c r="AE101" s="9" t="str">
        <f>IF(SUMIFS(Sheet1!$E:$E,Sheet1!$C:$C,$A101,Sheet1!$A:$A,AE$2)&lt;&gt;0,SUMIFS(Sheet1!$E:$E,Sheet1!$C:$C,$A101,Sheet1!$A:$A,AE$2),"")</f>
        <v/>
      </c>
      <c r="AF101" s="9" t="str">
        <f>IF(SUMIFS(Sheet1!$E:$E,Sheet1!$C:$C,$A101,Sheet1!$A:$A,AF$2)&lt;&gt;0,SUMIFS(Sheet1!$E:$E,Sheet1!$C:$C,$A101,Sheet1!$A:$A,AF$2),"")</f>
        <v/>
      </c>
      <c r="AG101" s="9" t="str">
        <f>IF(SUMIFS(Sheet1!$E:$E,Sheet1!$C:$C,$A101,Sheet1!$A:$A,AG$2)&lt;&gt;0,SUMIFS(Sheet1!$E:$E,Sheet1!$C:$C,$A101,Sheet1!$A:$A,AG$2),"")</f>
        <v/>
      </c>
      <c r="AH101" s="47">
        <f>SUM(Table24[[#This Row],[1]:[31]])</f>
        <v>-2</v>
      </c>
    </row>
    <row r="102" spans="1:34" s="5" customFormat="1" ht="12.75" customHeight="1">
      <c r="A102" s="24" t="str">
        <f>DSSP!A101</f>
        <v>D01</v>
      </c>
      <c r="B102" s="25" t="str">
        <f>DSSP!B101</f>
        <v>Bánh kem dâu tây</v>
      </c>
      <c r="C102" s="9">
        <f>IF(SUMIFS(Sheet1!$E:$E,Sheet1!$C:$C,$A102,Sheet1!$A:$A,C$2)&lt;&gt;0,SUMIFS(Sheet1!$E:$E,Sheet1!$C:$C,$A102,Sheet1!$A:$A,C$2),"")</f>
        <v>9</v>
      </c>
      <c r="D102" s="9" t="str">
        <f>IF(SUMIFS(Sheet1!$E:$E,Sheet1!$C:$C,$A102,Sheet1!$A:$A,D$2)&lt;&gt;0,SUMIFS(Sheet1!$E:$E,Sheet1!$C:$C,$A102,Sheet1!$A:$A,D$2),"")</f>
        <v/>
      </c>
      <c r="E102" s="9" t="str">
        <f>IF(SUMIFS(Sheet1!$E:$E,Sheet1!$C:$C,$A102,Sheet1!$A:$A,E$2)&lt;&gt;0,SUMIFS(Sheet1!$E:$E,Sheet1!$C:$C,$A102,Sheet1!$A:$A,E$2),"")</f>
        <v/>
      </c>
      <c r="F102" s="9" t="str">
        <f>IF(SUMIFS(Sheet1!$E:$E,Sheet1!$C:$C,$A102,Sheet1!$A:$A,F$2)&lt;&gt;0,SUMIFS(Sheet1!$E:$E,Sheet1!$C:$C,$A102,Sheet1!$A:$A,F$2),"")</f>
        <v/>
      </c>
      <c r="G102" s="9" t="str">
        <f>IF(SUMIFS(Sheet1!$E:$E,Sheet1!$C:$C,$A102,Sheet1!$A:$A,G$2)&lt;&gt;0,SUMIFS(Sheet1!$E:$E,Sheet1!$C:$C,$A102,Sheet1!$A:$A,G$2),"")</f>
        <v/>
      </c>
      <c r="H102" s="9" t="str">
        <f>IF(SUMIFS(Sheet1!$E:$E,Sheet1!$C:$C,$A102,Sheet1!$A:$A,H$2)&lt;&gt;0,SUMIFS(Sheet1!$E:$E,Sheet1!$C:$C,$A102,Sheet1!$A:$A,H$2),"")</f>
        <v/>
      </c>
      <c r="I102" s="9" t="str">
        <f>IF(SUMIFS(Sheet1!$E:$E,Sheet1!$C:$C,$A102,Sheet1!$A:$A,I$2)&lt;&gt;0,SUMIFS(Sheet1!$E:$E,Sheet1!$C:$C,$A102,Sheet1!$A:$A,I$2),"")</f>
        <v/>
      </c>
      <c r="J102" s="9" t="str">
        <f>IF(SUMIFS(Sheet1!$E:$E,Sheet1!$C:$C,$A102,Sheet1!$A:$A,J$2)&lt;&gt;0,SUMIFS(Sheet1!$E:$E,Sheet1!$C:$C,$A102,Sheet1!$A:$A,J$2),"")</f>
        <v/>
      </c>
      <c r="K102" s="9" t="str">
        <f>IF(SUMIFS(Sheet1!$E:$E,Sheet1!$C:$C,$A102,Sheet1!$A:$A,K$2)&lt;&gt;0,SUMIFS(Sheet1!$E:$E,Sheet1!$C:$C,$A102,Sheet1!$A:$A,K$2),"")</f>
        <v/>
      </c>
      <c r="L102" s="9" t="str">
        <f>IF(SUMIFS(Sheet1!$E:$E,Sheet1!$C:$C,$A102,Sheet1!$A:$A,L$2)&lt;&gt;0,SUMIFS(Sheet1!$E:$E,Sheet1!$C:$C,$A102,Sheet1!$A:$A,L$2),"")</f>
        <v/>
      </c>
      <c r="M102" s="9" t="str">
        <f>IF(SUMIFS(Sheet1!$E:$E,Sheet1!$C:$C,$A102,Sheet1!$A:$A,M$2)&lt;&gt;0,SUMIFS(Sheet1!$E:$E,Sheet1!$C:$C,$A102,Sheet1!$A:$A,M$2),"")</f>
        <v/>
      </c>
      <c r="N102" s="9" t="str">
        <f>IF(SUMIFS(Sheet1!$E:$E,Sheet1!$C:$C,$A102,Sheet1!$A:$A,N$2)&lt;&gt;0,SUMIFS(Sheet1!$E:$E,Sheet1!$C:$C,$A102,Sheet1!$A:$A,N$2),"")</f>
        <v/>
      </c>
      <c r="O102" s="9" t="str">
        <f>IF(SUMIFS(Sheet1!$E:$E,Sheet1!$C:$C,$A102,Sheet1!$A:$A,O$2)&lt;&gt;0,SUMIFS(Sheet1!$E:$E,Sheet1!$C:$C,$A102,Sheet1!$A:$A,O$2),"")</f>
        <v/>
      </c>
      <c r="P102" s="9" t="str">
        <f>IF(SUMIFS(Sheet1!$E:$E,Sheet1!$C:$C,$A102,Sheet1!$A:$A,P$2)&lt;&gt;0,SUMIFS(Sheet1!$E:$E,Sheet1!$C:$C,$A102,Sheet1!$A:$A,P$2),"")</f>
        <v/>
      </c>
      <c r="Q102" s="9" t="str">
        <f>IF(SUMIFS(Sheet1!$E:$E,Sheet1!$C:$C,$A102,Sheet1!$A:$A,Q$2)&lt;&gt;0,SUMIFS(Sheet1!$E:$E,Sheet1!$C:$C,$A102,Sheet1!$A:$A,Q$2),"")</f>
        <v/>
      </c>
      <c r="R102" s="9" t="str">
        <f>IF(SUMIFS(Sheet1!$E:$E,Sheet1!$C:$C,$A102,Sheet1!$A:$A,R$2)&lt;&gt;0,SUMIFS(Sheet1!$E:$E,Sheet1!$C:$C,$A102,Sheet1!$A:$A,R$2),"")</f>
        <v/>
      </c>
      <c r="S102" s="9" t="str">
        <f>IF(SUMIFS(Sheet1!$E:$E,Sheet1!$C:$C,$A102,Sheet1!$A:$A,S$2)&lt;&gt;0,SUMIFS(Sheet1!$E:$E,Sheet1!$C:$C,$A102,Sheet1!$A:$A,S$2),"")</f>
        <v/>
      </c>
      <c r="T102" s="9" t="str">
        <f>IF(SUMIFS(Sheet1!$E:$E,Sheet1!$C:$C,$A102,Sheet1!$A:$A,T$2)&lt;&gt;0,SUMIFS(Sheet1!$E:$E,Sheet1!$C:$C,$A102,Sheet1!$A:$A,T$2),"")</f>
        <v/>
      </c>
      <c r="U102" s="9" t="str">
        <f>IF(SUMIFS(Sheet1!$E:$E,Sheet1!$C:$C,$A102,Sheet1!$A:$A,U$2)&lt;&gt;0,SUMIFS(Sheet1!$E:$E,Sheet1!$C:$C,$A102,Sheet1!$A:$A,U$2),"")</f>
        <v/>
      </c>
      <c r="V102" s="9" t="str">
        <f>IF(SUMIFS(Sheet1!$E:$E,Sheet1!$C:$C,$A102,Sheet1!$A:$A,V$2)&lt;&gt;0,SUMIFS(Sheet1!$E:$E,Sheet1!$C:$C,$A102,Sheet1!$A:$A,V$2),"")</f>
        <v/>
      </c>
      <c r="W102" s="9" t="str">
        <f>IF(SUMIFS(Sheet1!$E:$E,Sheet1!$C:$C,$A102,Sheet1!$A:$A,W$2)&lt;&gt;0,SUMIFS(Sheet1!$E:$E,Sheet1!$C:$C,$A102,Sheet1!$A:$A,W$2),"")</f>
        <v/>
      </c>
      <c r="X102" s="9" t="str">
        <f>IF(SUMIFS(Sheet1!$E:$E,Sheet1!$C:$C,$A102,Sheet1!$A:$A,X$2)&lt;&gt;0,SUMIFS(Sheet1!$E:$E,Sheet1!$C:$C,$A102,Sheet1!$A:$A,X$2),"")</f>
        <v/>
      </c>
      <c r="Y102" s="9" t="str">
        <f>IF(SUMIFS(Sheet1!$E:$E,Sheet1!$C:$C,$A102,Sheet1!$A:$A,Y$2)&lt;&gt;0,SUMIFS(Sheet1!$E:$E,Sheet1!$C:$C,$A102,Sheet1!$A:$A,Y$2),"")</f>
        <v/>
      </c>
      <c r="Z102" s="9" t="str">
        <f>IF(SUMIFS(Sheet1!$E:$E,Sheet1!$C:$C,$A102,Sheet1!$A:$A,Z$2)&lt;&gt;0,SUMIFS(Sheet1!$E:$E,Sheet1!$C:$C,$A102,Sheet1!$A:$A,Z$2),"")</f>
        <v/>
      </c>
      <c r="AA102" s="9" t="str">
        <f>IF(SUMIFS(Sheet1!$E:$E,Sheet1!$C:$C,$A102,Sheet1!$A:$A,AA$2)&lt;&gt;0,SUMIFS(Sheet1!$E:$E,Sheet1!$C:$C,$A102,Sheet1!$A:$A,AA$2),"")</f>
        <v/>
      </c>
      <c r="AB102" s="9" t="str">
        <f>IF(SUMIFS(Sheet1!$E:$E,Sheet1!$C:$C,$A102,Sheet1!$A:$A,AB$2)&lt;&gt;0,SUMIFS(Sheet1!$E:$E,Sheet1!$C:$C,$A102,Sheet1!$A:$A,AB$2),"")</f>
        <v/>
      </c>
      <c r="AC102" s="9" t="str">
        <f>IF(SUMIFS(Sheet1!$E:$E,Sheet1!$C:$C,$A102,Sheet1!$A:$A,AC$2)&lt;&gt;0,SUMIFS(Sheet1!$E:$E,Sheet1!$C:$C,$A102,Sheet1!$A:$A,AC$2),"")</f>
        <v/>
      </c>
      <c r="AD102" s="9" t="str">
        <f>IF(SUMIFS(Sheet1!$E:$E,Sheet1!$C:$C,$A102,Sheet1!$A:$A,AD$2)&lt;&gt;0,SUMIFS(Sheet1!$E:$E,Sheet1!$C:$C,$A102,Sheet1!$A:$A,AD$2),"")</f>
        <v/>
      </c>
      <c r="AE102" s="9" t="str">
        <f>IF(SUMIFS(Sheet1!$E:$E,Sheet1!$C:$C,$A102,Sheet1!$A:$A,AE$2)&lt;&gt;0,SUMIFS(Sheet1!$E:$E,Sheet1!$C:$C,$A102,Sheet1!$A:$A,AE$2),"")</f>
        <v/>
      </c>
      <c r="AF102" s="9" t="str">
        <f>IF(SUMIFS(Sheet1!$E:$E,Sheet1!$C:$C,$A102,Sheet1!$A:$A,AF$2)&lt;&gt;0,SUMIFS(Sheet1!$E:$E,Sheet1!$C:$C,$A102,Sheet1!$A:$A,AF$2),"")</f>
        <v/>
      </c>
      <c r="AG102" s="9" t="str">
        <f>IF(SUMIFS(Sheet1!$E:$E,Sheet1!$C:$C,$A102,Sheet1!$A:$A,AG$2)&lt;&gt;0,SUMIFS(Sheet1!$E:$E,Sheet1!$C:$C,$A102,Sheet1!$A:$A,AG$2),"")</f>
        <v/>
      </c>
      <c r="AH102" s="47">
        <f>SUM(Table24[[#This Row],[1]:[31]])</f>
        <v>9</v>
      </c>
    </row>
    <row r="103" spans="1:34" s="5" customFormat="1" ht="12.75" customHeight="1">
      <c r="A103" s="24" t="str">
        <f>DSSP!A102</f>
        <v>D03</v>
      </c>
      <c r="B103" s="25" t="str">
        <f>DSSP!B102</f>
        <v>Cupcake dâu tây</v>
      </c>
      <c r="C103" s="9">
        <f>IF(SUMIFS(Sheet1!$E:$E,Sheet1!$C:$C,$A103,Sheet1!$A:$A,C$2)&lt;&gt;0,SUMIFS(Sheet1!$E:$E,Sheet1!$C:$C,$A103,Sheet1!$A:$A,C$2),"")</f>
        <v>6</v>
      </c>
      <c r="D103" s="9" t="str">
        <f>IF(SUMIFS(Sheet1!$E:$E,Sheet1!$C:$C,$A103,Sheet1!$A:$A,D$2)&lt;&gt;0,SUMIFS(Sheet1!$E:$E,Sheet1!$C:$C,$A103,Sheet1!$A:$A,D$2),"")</f>
        <v/>
      </c>
      <c r="E103" s="9" t="str">
        <f>IF(SUMIFS(Sheet1!$E:$E,Sheet1!$C:$C,$A103,Sheet1!$A:$A,E$2)&lt;&gt;0,SUMIFS(Sheet1!$E:$E,Sheet1!$C:$C,$A103,Sheet1!$A:$A,E$2),"")</f>
        <v/>
      </c>
      <c r="F103" s="9" t="str">
        <f>IF(SUMIFS(Sheet1!$E:$E,Sheet1!$C:$C,$A103,Sheet1!$A:$A,F$2)&lt;&gt;0,SUMIFS(Sheet1!$E:$E,Sheet1!$C:$C,$A103,Sheet1!$A:$A,F$2),"")</f>
        <v/>
      </c>
      <c r="G103" s="9" t="str">
        <f>IF(SUMIFS(Sheet1!$E:$E,Sheet1!$C:$C,$A103,Sheet1!$A:$A,G$2)&lt;&gt;0,SUMIFS(Sheet1!$E:$E,Sheet1!$C:$C,$A103,Sheet1!$A:$A,G$2),"")</f>
        <v/>
      </c>
      <c r="H103" s="9" t="str">
        <f>IF(SUMIFS(Sheet1!$E:$E,Sheet1!$C:$C,$A103,Sheet1!$A:$A,H$2)&lt;&gt;0,SUMIFS(Sheet1!$E:$E,Sheet1!$C:$C,$A103,Sheet1!$A:$A,H$2),"")</f>
        <v/>
      </c>
      <c r="I103" s="9" t="str">
        <f>IF(SUMIFS(Sheet1!$E:$E,Sheet1!$C:$C,$A103,Sheet1!$A:$A,I$2)&lt;&gt;0,SUMIFS(Sheet1!$E:$E,Sheet1!$C:$C,$A103,Sheet1!$A:$A,I$2),"")</f>
        <v/>
      </c>
      <c r="J103" s="9" t="str">
        <f>IF(SUMIFS(Sheet1!$E:$E,Sheet1!$C:$C,$A103,Sheet1!$A:$A,J$2)&lt;&gt;0,SUMIFS(Sheet1!$E:$E,Sheet1!$C:$C,$A103,Sheet1!$A:$A,J$2),"")</f>
        <v/>
      </c>
      <c r="K103" s="9" t="str">
        <f>IF(SUMIFS(Sheet1!$E:$E,Sheet1!$C:$C,$A103,Sheet1!$A:$A,K$2)&lt;&gt;0,SUMIFS(Sheet1!$E:$E,Sheet1!$C:$C,$A103,Sheet1!$A:$A,K$2),"")</f>
        <v/>
      </c>
      <c r="L103" s="9" t="str">
        <f>IF(SUMIFS(Sheet1!$E:$E,Sheet1!$C:$C,$A103,Sheet1!$A:$A,L$2)&lt;&gt;0,SUMIFS(Sheet1!$E:$E,Sheet1!$C:$C,$A103,Sheet1!$A:$A,L$2),"")</f>
        <v/>
      </c>
      <c r="M103" s="9" t="str">
        <f>IF(SUMIFS(Sheet1!$E:$E,Sheet1!$C:$C,$A103,Sheet1!$A:$A,M$2)&lt;&gt;0,SUMIFS(Sheet1!$E:$E,Sheet1!$C:$C,$A103,Sheet1!$A:$A,M$2),"")</f>
        <v/>
      </c>
      <c r="N103" s="9" t="str">
        <f>IF(SUMIFS(Sheet1!$E:$E,Sheet1!$C:$C,$A103,Sheet1!$A:$A,N$2)&lt;&gt;0,SUMIFS(Sheet1!$E:$E,Sheet1!$C:$C,$A103,Sheet1!$A:$A,N$2),"")</f>
        <v/>
      </c>
      <c r="O103" s="9" t="str">
        <f>IF(SUMIFS(Sheet1!$E:$E,Sheet1!$C:$C,$A103,Sheet1!$A:$A,O$2)&lt;&gt;0,SUMIFS(Sheet1!$E:$E,Sheet1!$C:$C,$A103,Sheet1!$A:$A,O$2),"")</f>
        <v/>
      </c>
      <c r="P103" s="9" t="str">
        <f>IF(SUMIFS(Sheet1!$E:$E,Sheet1!$C:$C,$A103,Sheet1!$A:$A,P$2)&lt;&gt;0,SUMIFS(Sheet1!$E:$E,Sheet1!$C:$C,$A103,Sheet1!$A:$A,P$2),"")</f>
        <v/>
      </c>
      <c r="Q103" s="9" t="str">
        <f>IF(SUMIFS(Sheet1!$E:$E,Sheet1!$C:$C,$A103,Sheet1!$A:$A,Q$2)&lt;&gt;0,SUMIFS(Sheet1!$E:$E,Sheet1!$C:$C,$A103,Sheet1!$A:$A,Q$2),"")</f>
        <v/>
      </c>
      <c r="R103" s="9" t="str">
        <f>IF(SUMIFS(Sheet1!$E:$E,Sheet1!$C:$C,$A103,Sheet1!$A:$A,R$2)&lt;&gt;0,SUMIFS(Sheet1!$E:$E,Sheet1!$C:$C,$A103,Sheet1!$A:$A,R$2),"")</f>
        <v/>
      </c>
      <c r="S103" s="9" t="str">
        <f>IF(SUMIFS(Sheet1!$E:$E,Sheet1!$C:$C,$A103,Sheet1!$A:$A,S$2)&lt;&gt;0,SUMIFS(Sheet1!$E:$E,Sheet1!$C:$C,$A103,Sheet1!$A:$A,S$2),"")</f>
        <v/>
      </c>
      <c r="T103" s="9" t="str">
        <f>IF(SUMIFS(Sheet1!$E:$E,Sheet1!$C:$C,$A103,Sheet1!$A:$A,T$2)&lt;&gt;0,SUMIFS(Sheet1!$E:$E,Sheet1!$C:$C,$A103,Sheet1!$A:$A,T$2),"")</f>
        <v/>
      </c>
      <c r="U103" s="9" t="str">
        <f>IF(SUMIFS(Sheet1!$E:$E,Sheet1!$C:$C,$A103,Sheet1!$A:$A,U$2)&lt;&gt;0,SUMIFS(Sheet1!$E:$E,Sheet1!$C:$C,$A103,Sheet1!$A:$A,U$2),"")</f>
        <v/>
      </c>
      <c r="V103" s="9" t="str">
        <f>IF(SUMIFS(Sheet1!$E:$E,Sheet1!$C:$C,$A103,Sheet1!$A:$A,V$2)&lt;&gt;0,SUMIFS(Sheet1!$E:$E,Sheet1!$C:$C,$A103,Sheet1!$A:$A,V$2),"")</f>
        <v/>
      </c>
      <c r="W103" s="9" t="str">
        <f>IF(SUMIFS(Sheet1!$E:$E,Sheet1!$C:$C,$A103,Sheet1!$A:$A,W$2)&lt;&gt;0,SUMIFS(Sheet1!$E:$E,Sheet1!$C:$C,$A103,Sheet1!$A:$A,W$2),"")</f>
        <v/>
      </c>
      <c r="X103" s="9" t="str">
        <f>IF(SUMIFS(Sheet1!$E:$E,Sheet1!$C:$C,$A103,Sheet1!$A:$A,X$2)&lt;&gt;0,SUMIFS(Sheet1!$E:$E,Sheet1!$C:$C,$A103,Sheet1!$A:$A,X$2),"")</f>
        <v/>
      </c>
      <c r="Y103" s="9" t="str">
        <f>IF(SUMIFS(Sheet1!$E:$E,Sheet1!$C:$C,$A103,Sheet1!$A:$A,Y$2)&lt;&gt;0,SUMIFS(Sheet1!$E:$E,Sheet1!$C:$C,$A103,Sheet1!$A:$A,Y$2),"")</f>
        <v/>
      </c>
      <c r="Z103" s="9" t="str">
        <f>IF(SUMIFS(Sheet1!$E:$E,Sheet1!$C:$C,$A103,Sheet1!$A:$A,Z$2)&lt;&gt;0,SUMIFS(Sheet1!$E:$E,Sheet1!$C:$C,$A103,Sheet1!$A:$A,Z$2),"")</f>
        <v/>
      </c>
      <c r="AA103" s="9" t="str">
        <f>IF(SUMIFS(Sheet1!$E:$E,Sheet1!$C:$C,$A103,Sheet1!$A:$A,AA$2)&lt;&gt;0,SUMIFS(Sheet1!$E:$E,Sheet1!$C:$C,$A103,Sheet1!$A:$A,AA$2),"")</f>
        <v/>
      </c>
      <c r="AB103" s="9" t="str">
        <f>IF(SUMIFS(Sheet1!$E:$E,Sheet1!$C:$C,$A103,Sheet1!$A:$A,AB$2)&lt;&gt;0,SUMIFS(Sheet1!$E:$E,Sheet1!$C:$C,$A103,Sheet1!$A:$A,AB$2),"")</f>
        <v/>
      </c>
      <c r="AC103" s="9" t="str">
        <f>IF(SUMIFS(Sheet1!$E:$E,Sheet1!$C:$C,$A103,Sheet1!$A:$A,AC$2)&lt;&gt;0,SUMIFS(Sheet1!$E:$E,Sheet1!$C:$C,$A103,Sheet1!$A:$A,AC$2),"")</f>
        <v/>
      </c>
      <c r="AD103" s="9" t="str">
        <f>IF(SUMIFS(Sheet1!$E:$E,Sheet1!$C:$C,$A103,Sheet1!$A:$A,AD$2)&lt;&gt;0,SUMIFS(Sheet1!$E:$E,Sheet1!$C:$C,$A103,Sheet1!$A:$A,AD$2),"")</f>
        <v/>
      </c>
      <c r="AE103" s="9" t="str">
        <f>IF(SUMIFS(Sheet1!$E:$E,Sheet1!$C:$C,$A103,Sheet1!$A:$A,AE$2)&lt;&gt;0,SUMIFS(Sheet1!$E:$E,Sheet1!$C:$C,$A103,Sheet1!$A:$A,AE$2),"")</f>
        <v/>
      </c>
      <c r="AF103" s="9" t="str">
        <f>IF(SUMIFS(Sheet1!$E:$E,Sheet1!$C:$C,$A103,Sheet1!$A:$A,AF$2)&lt;&gt;0,SUMIFS(Sheet1!$E:$E,Sheet1!$C:$C,$A103,Sheet1!$A:$A,AF$2),"")</f>
        <v/>
      </c>
      <c r="AG103" s="9" t="str">
        <f>IF(SUMIFS(Sheet1!$E:$E,Sheet1!$C:$C,$A103,Sheet1!$A:$A,AG$2)&lt;&gt;0,SUMIFS(Sheet1!$E:$E,Sheet1!$C:$C,$A103,Sheet1!$A:$A,AG$2),"")</f>
        <v/>
      </c>
      <c r="AH103" s="47">
        <f>SUM(Table24[[#This Row],[1]:[31]])</f>
        <v>6</v>
      </c>
    </row>
    <row r="104" spans="1:34" s="5" customFormat="1" ht="12.75" customHeight="1">
      <c r="A104" s="24" t="str">
        <f>DSSP!A103</f>
        <v>D04</v>
      </c>
      <c r="B104" s="25" t="str">
        <f>DSSP!B103</f>
        <v>Bánh kem chocolate</v>
      </c>
      <c r="C104" s="9">
        <f>IF(SUMIFS(Sheet1!$E:$E,Sheet1!$C:$C,$A104,Sheet1!$A:$A,C$2)&lt;&gt;0,SUMIFS(Sheet1!$E:$E,Sheet1!$C:$C,$A104,Sheet1!$A:$A,C$2),"")</f>
        <v>7</v>
      </c>
      <c r="D104" s="9" t="str">
        <f>IF(SUMIFS(Sheet1!$E:$E,Sheet1!$C:$C,$A104,Sheet1!$A:$A,D$2)&lt;&gt;0,SUMIFS(Sheet1!$E:$E,Sheet1!$C:$C,$A104,Sheet1!$A:$A,D$2),"")</f>
        <v/>
      </c>
      <c r="E104" s="9" t="str">
        <f>IF(SUMIFS(Sheet1!$E:$E,Sheet1!$C:$C,$A104,Sheet1!$A:$A,E$2)&lt;&gt;0,SUMIFS(Sheet1!$E:$E,Sheet1!$C:$C,$A104,Sheet1!$A:$A,E$2),"")</f>
        <v/>
      </c>
      <c r="F104" s="9" t="str">
        <f>IF(SUMIFS(Sheet1!$E:$E,Sheet1!$C:$C,$A104,Sheet1!$A:$A,F$2)&lt;&gt;0,SUMIFS(Sheet1!$E:$E,Sheet1!$C:$C,$A104,Sheet1!$A:$A,F$2),"")</f>
        <v/>
      </c>
      <c r="G104" s="9" t="str">
        <f>IF(SUMIFS(Sheet1!$E:$E,Sheet1!$C:$C,$A104,Sheet1!$A:$A,G$2)&lt;&gt;0,SUMIFS(Sheet1!$E:$E,Sheet1!$C:$C,$A104,Sheet1!$A:$A,G$2),"")</f>
        <v/>
      </c>
      <c r="H104" s="9" t="str">
        <f>IF(SUMIFS(Sheet1!$E:$E,Sheet1!$C:$C,$A104,Sheet1!$A:$A,H$2)&lt;&gt;0,SUMIFS(Sheet1!$E:$E,Sheet1!$C:$C,$A104,Sheet1!$A:$A,H$2),"")</f>
        <v/>
      </c>
      <c r="I104" s="9" t="str">
        <f>IF(SUMIFS(Sheet1!$E:$E,Sheet1!$C:$C,$A104,Sheet1!$A:$A,I$2)&lt;&gt;0,SUMIFS(Sheet1!$E:$E,Sheet1!$C:$C,$A104,Sheet1!$A:$A,I$2),"")</f>
        <v/>
      </c>
      <c r="J104" s="9" t="str">
        <f>IF(SUMIFS(Sheet1!$E:$E,Sheet1!$C:$C,$A104,Sheet1!$A:$A,J$2)&lt;&gt;0,SUMIFS(Sheet1!$E:$E,Sheet1!$C:$C,$A104,Sheet1!$A:$A,J$2),"")</f>
        <v/>
      </c>
      <c r="K104" s="9" t="str">
        <f>IF(SUMIFS(Sheet1!$E:$E,Sheet1!$C:$C,$A104,Sheet1!$A:$A,K$2)&lt;&gt;0,SUMIFS(Sheet1!$E:$E,Sheet1!$C:$C,$A104,Sheet1!$A:$A,K$2),"")</f>
        <v/>
      </c>
      <c r="L104" s="9" t="str">
        <f>IF(SUMIFS(Sheet1!$E:$E,Sheet1!$C:$C,$A104,Sheet1!$A:$A,L$2)&lt;&gt;0,SUMIFS(Sheet1!$E:$E,Sheet1!$C:$C,$A104,Sheet1!$A:$A,L$2),"")</f>
        <v/>
      </c>
      <c r="M104" s="9" t="str">
        <f>IF(SUMIFS(Sheet1!$E:$E,Sheet1!$C:$C,$A104,Sheet1!$A:$A,M$2)&lt;&gt;0,SUMIFS(Sheet1!$E:$E,Sheet1!$C:$C,$A104,Sheet1!$A:$A,M$2),"")</f>
        <v/>
      </c>
      <c r="N104" s="9" t="str">
        <f>IF(SUMIFS(Sheet1!$E:$E,Sheet1!$C:$C,$A104,Sheet1!$A:$A,N$2)&lt;&gt;0,SUMIFS(Sheet1!$E:$E,Sheet1!$C:$C,$A104,Sheet1!$A:$A,N$2),"")</f>
        <v/>
      </c>
      <c r="O104" s="9" t="str">
        <f>IF(SUMIFS(Sheet1!$E:$E,Sheet1!$C:$C,$A104,Sheet1!$A:$A,O$2)&lt;&gt;0,SUMIFS(Sheet1!$E:$E,Sheet1!$C:$C,$A104,Sheet1!$A:$A,O$2),"")</f>
        <v/>
      </c>
      <c r="P104" s="9" t="str">
        <f>IF(SUMIFS(Sheet1!$E:$E,Sheet1!$C:$C,$A104,Sheet1!$A:$A,P$2)&lt;&gt;0,SUMIFS(Sheet1!$E:$E,Sheet1!$C:$C,$A104,Sheet1!$A:$A,P$2),"")</f>
        <v/>
      </c>
      <c r="Q104" s="9" t="str">
        <f>IF(SUMIFS(Sheet1!$E:$E,Sheet1!$C:$C,$A104,Sheet1!$A:$A,Q$2)&lt;&gt;0,SUMIFS(Sheet1!$E:$E,Sheet1!$C:$C,$A104,Sheet1!$A:$A,Q$2),"")</f>
        <v/>
      </c>
      <c r="R104" s="9" t="str">
        <f>IF(SUMIFS(Sheet1!$E:$E,Sheet1!$C:$C,$A104,Sheet1!$A:$A,R$2)&lt;&gt;0,SUMIFS(Sheet1!$E:$E,Sheet1!$C:$C,$A104,Sheet1!$A:$A,R$2),"")</f>
        <v/>
      </c>
      <c r="S104" s="9" t="str">
        <f>IF(SUMIFS(Sheet1!$E:$E,Sheet1!$C:$C,$A104,Sheet1!$A:$A,S$2)&lt;&gt;0,SUMIFS(Sheet1!$E:$E,Sheet1!$C:$C,$A104,Sheet1!$A:$A,S$2),"")</f>
        <v/>
      </c>
      <c r="T104" s="9" t="str">
        <f>IF(SUMIFS(Sheet1!$E:$E,Sheet1!$C:$C,$A104,Sheet1!$A:$A,T$2)&lt;&gt;0,SUMIFS(Sheet1!$E:$E,Sheet1!$C:$C,$A104,Sheet1!$A:$A,T$2),"")</f>
        <v/>
      </c>
      <c r="U104" s="9" t="str">
        <f>IF(SUMIFS(Sheet1!$E:$E,Sheet1!$C:$C,$A104,Sheet1!$A:$A,U$2)&lt;&gt;0,SUMIFS(Sheet1!$E:$E,Sheet1!$C:$C,$A104,Sheet1!$A:$A,U$2),"")</f>
        <v/>
      </c>
      <c r="V104" s="9" t="str">
        <f>IF(SUMIFS(Sheet1!$E:$E,Sheet1!$C:$C,$A104,Sheet1!$A:$A,V$2)&lt;&gt;0,SUMIFS(Sheet1!$E:$E,Sheet1!$C:$C,$A104,Sheet1!$A:$A,V$2),"")</f>
        <v/>
      </c>
      <c r="W104" s="9" t="str">
        <f>IF(SUMIFS(Sheet1!$E:$E,Sheet1!$C:$C,$A104,Sheet1!$A:$A,W$2)&lt;&gt;0,SUMIFS(Sheet1!$E:$E,Sheet1!$C:$C,$A104,Sheet1!$A:$A,W$2),"")</f>
        <v/>
      </c>
      <c r="X104" s="9" t="str">
        <f>IF(SUMIFS(Sheet1!$E:$E,Sheet1!$C:$C,$A104,Sheet1!$A:$A,X$2)&lt;&gt;0,SUMIFS(Sheet1!$E:$E,Sheet1!$C:$C,$A104,Sheet1!$A:$A,X$2),"")</f>
        <v/>
      </c>
      <c r="Y104" s="9" t="str">
        <f>IF(SUMIFS(Sheet1!$E:$E,Sheet1!$C:$C,$A104,Sheet1!$A:$A,Y$2)&lt;&gt;0,SUMIFS(Sheet1!$E:$E,Sheet1!$C:$C,$A104,Sheet1!$A:$A,Y$2),"")</f>
        <v/>
      </c>
      <c r="Z104" s="9" t="str">
        <f>IF(SUMIFS(Sheet1!$E:$E,Sheet1!$C:$C,$A104,Sheet1!$A:$A,Z$2)&lt;&gt;0,SUMIFS(Sheet1!$E:$E,Sheet1!$C:$C,$A104,Sheet1!$A:$A,Z$2),"")</f>
        <v/>
      </c>
      <c r="AA104" s="9" t="str">
        <f>IF(SUMIFS(Sheet1!$E:$E,Sheet1!$C:$C,$A104,Sheet1!$A:$A,AA$2)&lt;&gt;0,SUMIFS(Sheet1!$E:$E,Sheet1!$C:$C,$A104,Sheet1!$A:$A,AA$2),"")</f>
        <v/>
      </c>
      <c r="AB104" s="9" t="str">
        <f>IF(SUMIFS(Sheet1!$E:$E,Sheet1!$C:$C,$A104,Sheet1!$A:$A,AB$2)&lt;&gt;0,SUMIFS(Sheet1!$E:$E,Sheet1!$C:$C,$A104,Sheet1!$A:$A,AB$2),"")</f>
        <v/>
      </c>
      <c r="AC104" s="9" t="str">
        <f>IF(SUMIFS(Sheet1!$E:$E,Sheet1!$C:$C,$A104,Sheet1!$A:$A,AC$2)&lt;&gt;0,SUMIFS(Sheet1!$E:$E,Sheet1!$C:$C,$A104,Sheet1!$A:$A,AC$2),"")</f>
        <v/>
      </c>
      <c r="AD104" s="9" t="str">
        <f>IF(SUMIFS(Sheet1!$E:$E,Sheet1!$C:$C,$A104,Sheet1!$A:$A,AD$2)&lt;&gt;0,SUMIFS(Sheet1!$E:$E,Sheet1!$C:$C,$A104,Sheet1!$A:$A,AD$2),"")</f>
        <v/>
      </c>
      <c r="AE104" s="9" t="str">
        <f>IF(SUMIFS(Sheet1!$E:$E,Sheet1!$C:$C,$A104,Sheet1!$A:$A,AE$2)&lt;&gt;0,SUMIFS(Sheet1!$E:$E,Sheet1!$C:$C,$A104,Sheet1!$A:$A,AE$2),"")</f>
        <v/>
      </c>
      <c r="AF104" s="9" t="str">
        <f>IF(SUMIFS(Sheet1!$E:$E,Sheet1!$C:$C,$A104,Sheet1!$A:$A,AF$2)&lt;&gt;0,SUMIFS(Sheet1!$E:$E,Sheet1!$C:$C,$A104,Sheet1!$A:$A,AF$2),"")</f>
        <v/>
      </c>
      <c r="AG104" s="9" t="str">
        <f>IF(SUMIFS(Sheet1!$E:$E,Sheet1!$C:$C,$A104,Sheet1!$A:$A,AG$2)&lt;&gt;0,SUMIFS(Sheet1!$E:$E,Sheet1!$C:$C,$A104,Sheet1!$A:$A,AG$2),"")</f>
        <v/>
      </c>
      <c r="AH104" s="47">
        <f>SUM(Table24[[#This Row],[1]:[31]])</f>
        <v>7</v>
      </c>
    </row>
    <row r="105" spans="1:34" s="5" customFormat="1" ht="12.75" customHeight="1">
      <c r="A105" s="24" t="str">
        <f>DSSP!A104</f>
        <v>D05</v>
      </c>
      <c r="B105" s="25" t="str">
        <f>DSSP!B104</f>
        <v>Bánh kem trà xanh</v>
      </c>
      <c r="C105" s="9">
        <f>IF(SUMIFS(Sheet1!$E:$E,Sheet1!$C:$C,$A105,Sheet1!$A:$A,C$2)&lt;&gt;0,SUMIFS(Sheet1!$E:$E,Sheet1!$C:$C,$A105,Sheet1!$A:$A,C$2),"")</f>
        <v>11</v>
      </c>
      <c r="D105" s="9" t="str">
        <f>IF(SUMIFS(Sheet1!$E:$E,Sheet1!$C:$C,$A105,Sheet1!$A:$A,D$2)&lt;&gt;0,SUMIFS(Sheet1!$E:$E,Sheet1!$C:$C,$A105,Sheet1!$A:$A,D$2),"")</f>
        <v/>
      </c>
      <c r="E105" s="9" t="str">
        <f>IF(SUMIFS(Sheet1!$E:$E,Sheet1!$C:$C,$A105,Sheet1!$A:$A,E$2)&lt;&gt;0,SUMIFS(Sheet1!$E:$E,Sheet1!$C:$C,$A105,Sheet1!$A:$A,E$2),"")</f>
        <v/>
      </c>
      <c r="F105" s="9" t="str">
        <f>IF(SUMIFS(Sheet1!$E:$E,Sheet1!$C:$C,$A105,Sheet1!$A:$A,F$2)&lt;&gt;0,SUMIFS(Sheet1!$E:$E,Sheet1!$C:$C,$A105,Sheet1!$A:$A,F$2),"")</f>
        <v/>
      </c>
      <c r="G105" s="9" t="str">
        <f>IF(SUMIFS(Sheet1!$E:$E,Sheet1!$C:$C,$A105,Sheet1!$A:$A,G$2)&lt;&gt;0,SUMIFS(Sheet1!$E:$E,Sheet1!$C:$C,$A105,Sheet1!$A:$A,G$2),"")</f>
        <v/>
      </c>
      <c r="H105" s="9" t="str">
        <f>IF(SUMIFS(Sheet1!$E:$E,Sheet1!$C:$C,$A105,Sheet1!$A:$A,H$2)&lt;&gt;0,SUMIFS(Sheet1!$E:$E,Sheet1!$C:$C,$A105,Sheet1!$A:$A,H$2),"")</f>
        <v/>
      </c>
      <c r="I105" s="9" t="str">
        <f>IF(SUMIFS(Sheet1!$E:$E,Sheet1!$C:$C,$A105,Sheet1!$A:$A,I$2)&lt;&gt;0,SUMIFS(Sheet1!$E:$E,Sheet1!$C:$C,$A105,Sheet1!$A:$A,I$2),"")</f>
        <v/>
      </c>
      <c r="J105" s="9" t="str">
        <f>IF(SUMIFS(Sheet1!$E:$E,Sheet1!$C:$C,$A105,Sheet1!$A:$A,J$2)&lt;&gt;0,SUMIFS(Sheet1!$E:$E,Sheet1!$C:$C,$A105,Sheet1!$A:$A,J$2),"")</f>
        <v/>
      </c>
      <c r="K105" s="9" t="str">
        <f>IF(SUMIFS(Sheet1!$E:$E,Sheet1!$C:$C,$A105,Sheet1!$A:$A,K$2)&lt;&gt;0,SUMIFS(Sheet1!$E:$E,Sheet1!$C:$C,$A105,Sheet1!$A:$A,K$2),"")</f>
        <v/>
      </c>
      <c r="L105" s="9" t="str">
        <f>IF(SUMIFS(Sheet1!$E:$E,Sheet1!$C:$C,$A105,Sheet1!$A:$A,L$2)&lt;&gt;0,SUMIFS(Sheet1!$E:$E,Sheet1!$C:$C,$A105,Sheet1!$A:$A,L$2),"")</f>
        <v/>
      </c>
      <c r="M105" s="9" t="str">
        <f>IF(SUMIFS(Sheet1!$E:$E,Sheet1!$C:$C,$A105,Sheet1!$A:$A,M$2)&lt;&gt;0,SUMIFS(Sheet1!$E:$E,Sheet1!$C:$C,$A105,Sheet1!$A:$A,M$2),"")</f>
        <v/>
      </c>
      <c r="N105" s="9" t="str">
        <f>IF(SUMIFS(Sheet1!$E:$E,Sheet1!$C:$C,$A105,Sheet1!$A:$A,N$2)&lt;&gt;0,SUMIFS(Sheet1!$E:$E,Sheet1!$C:$C,$A105,Sheet1!$A:$A,N$2),"")</f>
        <v/>
      </c>
      <c r="O105" s="9" t="str">
        <f>IF(SUMIFS(Sheet1!$E:$E,Sheet1!$C:$C,$A105,Sheet1!$A:$A,O$2)&lt;&gt;0,SUMIFS(Sheet1!$E:$E,Sheet1!$C:$C,$A105,Sheet1!$A:$A,O$2),"")</f>
        <v/>
      </c>
      <c r="P105" s="9" t="str">
        <f>IF(SUMIFS(Sheet1!$E:$E,Sheet1!$C:$C,$A105,Sheet1!$A:$A,P$2)&lt;&gt;0,SUMIFS(Sheet1!$E:$E,Sheet1!$C:$C,$A105,Sheet1!$A:$A,P$2),"")</f>
        <v/>
      </c>
      <c r="Q105" s="9" t="str">
        <f>IF(SUMIFS(Sheet1!$E:$E,Sheet1!$C:$C,$A105,Sheet1!$A:$A,Q$2)&lt;&gt;0,SUMIFS(Sheet1!$E:$E,Sheet1!$C:$C,$A105,Sheet1!$A:$A,Q$2),"")</f>
        <v/>
      </c>
      <c r="R105" s="9" t="str">
        <f>IF(SUMIFS(Sheet1!$E:$E,Sheet1!$C:$C,$A105,Sheet1!$A:$A,R$2)&lt;&gt;0,SUMIFS(Sheet1!$E:$E,Sheet1!$C:$C,$A105,Sheet1!$A:$A,R$2),"")</f>
        <v/>
      </c>
      <c r="S105" s="9" t="str">
        <f>IF(SUMIFS(Sheet1!$E:$E,Sheet1!$C:$C,$A105,Sheet1!$A:$A,S$2)&lt;&gt;0,SUMIFS(Sheet1!$E:$E,Sheet1!$C:$C,$A105,Sheet1!$A:$A,S$2),"")</f>
        <v/>
      </c>
      <c r="T105" s="9" t="str">
        <f>IF(SUMIFS(Sheet1!$E:$E,Sheet1!$C:$C,$A105,Sheet1!$A:$A,T$2)&lt;&gt;0,SUMIFS(Sheet1!$E:$E,Sheet1!$C:$C,$A105,Sheet1!$A:$A,T$2),"")</f>
        <v/>
      </c>
      <c r="U105" s="9" t="str">
        <f>IF(SUMIFS(Sheet1!$E:$E,Sheet1!$C:$C,$A105,Sheet1!$A:$A,U$2)&lt;&gt;0,SUMIFS(Sheet1!$E:$E,Sheet1!$C:$C,$A105,Sheet1!$A:$A,U$2),"")</f>
        <v/>
      </c>
      <c r="V105" s="9" t="str">
        <f>IF(SUMIFS(Sheet1!$E:$E,Sheet1!$C:$C,$A105,Sheet1!$A:$A,V$2)&lt;&gt;0,SUMIFS(Sheet1!$E:$E,Sheet1!$C:$C,$A105,Sheet1!$A:$A,V$2),"")</f>
        <v/>
      </c>
      <c r="W105" s="9" t="str">
        <f>IF(SUMIFS(Sheet1!$E:$E,Sheet1!$C:$C,$A105,Sheet1!$A:$A,W$2)&lt;&gt;0,SUMIFS(Sheet1!$E:$E,Sheet1!$C:$C,$A105,Sheet1!$A:$A,W$2),"")</f>
        <v/>
      </c>
      <c r="X105" s="9" t="str">
        <f>IF(SUMIFS(Sheet1!$E:$E,Sheet1!$C:$C,$A105,Sheet1!$A:$A,X$2)&lt;&gt;0,SUMIFS(Sheet1!$E:$E,Sheet1!$C:$C,$A105,Sheet1!$A:$A,X$2),"")</f>
        <v/>
      </c>
      <c r="Y105" s="9" t="str">
        <f>IF(SUMIFS(Sheet1!$E:$E,Sheet1!$C:$C,$A105,Sheet1!$A:$A,Y$2)&lt;&gt;0,SUMIFS(Sheet1!$E:$E,Sheet1!$C:$C,$A105,Sheet1!$A:$A,Y$2),"")</f>
        <v/>
      </c>
      <c r="Z105" s="9" t="str">
        <f>IF(SUMIFS(Sheet1!$E:$E,Sheet1!$C:$C,$A105,Sheet1!$A:$A,Z$2)&lt;&gt;0,SUMIFS(Sheet1!$E:$E,Sheet1!$C:$C,$A105,Sheet1!$A:$A,Z$2),"")</f>
        <v/>
      </c>
      <c r="AA105" s="9" t="str">
        <f>IF(SUMIFS(Sheet1!$E:$E,Sheet1!$C:$C,$A105,Sheet1!$A:$A,AA$2)&lt;&gt;0,SUMIFS(Sheet1!$E:$E,Sheet1!$C:$C,$A105,Sheet1!$A:$A,AA$2),"")</f>
        <v/>
      </c>
      <c r="AB105" s="9" t="str">
        <f>IF(SUMIFS(Sheet1!$E:$E,Sheet1!$C:$C,$A105,Sheet1!$A:$A,AB$2)&lt;&gt;0,SUMIFS(Sheet1!$E:$E,Sheet1!$C:$C,$A105,Sheet1!$A:$A,AB$2),"")</f>
        <v/>
      </c>
      <c r="AC105" s="9" t="str">
        <f>IF(SUMIFS(Sheet1!$E:$E,Sheet1!$C:$C,$A105,Sheet1!$A:$A,AC$2)&lt;&gt;0,SUMIFS(Sheet1!$E:$E,Sheet1!$C:$C,$A105,Sheet1!$A:$A,AC$2),"")</f>
        <v/>
      </c>
      <c r="AD105" s="9" t="str">
        <f>IF(SUMIFS(Sheet1!$E:$E,Sheet1!$C:$C,$A105,Sheet1!$A:$A,AD$2)&lt;&gt;0,SUMIFS(Sheet1!$E:$E,Sheet1!$C:$C,$A105,Sheet1!$A:$A,AD$2),"")</f>
        <v/>
      </c>
      <c r="AE105" s="9" t="str">
        <f>IF(SUMIFS(Sheet1!$E:$E,Sheet1!$C:$C,$A105,Sheet1!$A:$A,AE$2)&lt;&gt;0,SUMIFS(Sheet1!$E:$E,Sheet1!$C:$C,$A105,Sheet1!$A:$A,AE$2),"")</f>
        <v/>
      </c>
      <c r="AF105" s="9" t="str">
        <f>IF(SUMIFS(Sheet1!$E:$E,Sheet1!$C:$C,$A105,Sheet1!$A:$A,AF$2)&lt;&gt;0,SUMIFS(Sheet1!$E:$E,Sheet1!$C:$C,$A105,Sheet1!$A:$A,AF$2),"")</f>
        <v/>
      </c>
      <c r="AG105" s="9" t="str">
        <f>IF(SUMIFS(Sheet1!$E:$E,Sheet1!$C:$C,$A105,Sheet1!$A:$A,AG$2)&lt;&gt;0,SUMIFS(Sheet1!$E:$E,Sheet1!$C:$C,$A105,Sheet1!$A:$A,AG$2),"")</f>
        <v/>
      </c>
      <c r="AH105" s="47">
        <f>SUM(Table24[[#This Row],[1]:[31]])</f>
        <v>11</v>
      </c>
    </row>
    <row r="106" spans="1:34" s="5" customFormat="1" ht="12.75" customHeight="1">
      <c r="A106" s="24" t="str">
        <f>DSSP!A105</f>
        <v>D06</v>
      </c>
      <c r="B106" s="25" t="str">
        <f>DSSP!B105</f>
        <v>Bánh hoa quả</v>
      </c>
      <c r="C106" s="9">
        <f>IF(SUMIFS(Sheet1!$E:$E,Sheet1!$C:$C,$A106,Sheet1!$A:$A,C$2)&lt;&gt;0,SUMIFS(Sheet1!$E:$E,Sheet1!$C:$C,$A106,Sheet1!$A:$A,C$2),"")</f>
        <v>12</v>
      </c>
      <c r="D106" s="9" t="str">
        <f>IF(SUMIFS(Sheet1!$E:$E,Sheet1!$C:$C,$A106,Sheet1!$A:$A,D$2)&lt;&gt;0,SUMIFS(Sheet1!$E:$E,Sheet1!$C:$C,$A106,Sheet1!$A:$A,D$2),"")</f>
        <v/>
      </c>
      <c r="E106" s="9" t="str">
        <f>IF(SUMIFS(Sheet1!$E:$E,Sheet1!$C:$C,$A106,Sheet1!$A:$A,E$2)&lt;&gt;0,SUMIFS(Sheet1!$E:$E,Sheet1!$C:$C,$A106,Sheet1!$A:$A,E$2),"")</f>
        <v/>
      </c>
      <c r="F106" s="9" t="str">
        <f>IF(SUMIFS(Sheet1!$E:$E,Sheet1!$C:$C,$A106,Sheet1!$A:$A,F$2)&lt;&gt;0,SUMIFS(Sheet1!$E:$E,Sheet1!$C:$C,$A106,Sheet1!$A:$A,F$2),"")</f>
        <v/>
      </c>
      <c r="G106" s="9" t="str">
        <f>IF(SUMIFS(Sheet1!$E:$E,Sheet1!$C:$C,$A106,Sheet1!$A:$A,G$2)&lt;&gt;0,SUMIFS(Sheet1!$E:$E,Sheet1!$C:$C,$A106,Sheet1!$A:$A,G$2),"")</f>
        <v/>
      </c>
      <c r="H106" s="9" t="str">
        <f>IF(SUMIFS(Sheet1!$E:$E,Sheet1!$C:$C,$A106,Sheet1!$A:$A,H$2)&lt;&gt;0,SUMIFS(Sheet1!$E:$E,Sheet1!$C:$C,$A106,Sheet1!$A:$A,H$2),"")</f>
        <v/>
      </c>
      <c r="I106" s="9" t="str">
        <f>IF(SUMIFS(Sheet1!$E:$E,Sheet1!$C:$C,$A106,Sheet1!$A:$A,I$2)&lt;&gt;0,SUMIFS(Sheet1!$E:$E,Sheet1!$C:$C,$A106,Sheet1!$A:$A,I$2),"")</f>
        <v/>
      </c>
      <c r="J106" s="9" t="str">
        <f>IF(SUMIFS(Sheet1!$E:$E,Sheet1!$C:$C,$A106,Sheet1!$A:$A,J$2)&lt;&gt;0,SUMIFS(Sheet1!$E:$E,Sheet1!$C:$C,$A106,Sheet1!$A:$A,J$2),"")</f>
        <v/>
      </c>
      <c r="K106" s="9" t="str">
        <f>IF(SUMIFS(Sheet1!$E:$E,Sheet1!$C:$C,$A106,Sheet1!$A:$A,K$2)&lt;&gt;0,SUMIFS(Sheet1!$E:$E,Sheet1!$C:$C,$A106,Sheet1!$A:$A,K$2),"")</f>
        <v/>
      </c>
      <c r="L106" s="9" t="str">
        <f>IF(SUMIFS(Sheet1!$E:$E,Sheet1!$C:$C,$A106,Sheet1!$A:$A,L$2)&lt;&gt;0,SUMIFS(Sheet1!$E:$E,Sheet1!$C:$C,$A106,Sheet1!$A:$A,L$2),"")</f>
        <v/>
      </c>
      <c r="M106" s="9" t="str">
        <f>IF(SUMIFS(Sheet1!$E:$E,Sheet1!$C:$C,$A106,Sheet1!$A:$A,M$2)&lt;&gt;0,SUMIFS(Sheet1!$E:$E,Sheet1!$C:$C,$A106,Sheet1!$A:$A,M$2),"")</f>
        <v/>
      </c>
      <c r="N106" s="9" t="str">
        <f>IF(SUMIFS(Sheet1!$E:$E,Sheet1!$C:$C,$A106,Sheet1!$A:$A,N$2)&lt;&gt;0,SUMIFS(Sheet1!$E:$E,Sheet1!$C:$C,$A106,Sheet1!$A:$A,N$2),"")</f>
        <v/>
      </c>
      <c r="O106" s="9" t="str">
        <f>IF(SUMIFS(Sheet1!$E:$E,Sheet1!$C:$C,$A106,Sheet1!$A:$A,O$2)&lt;&gt;0,SUMIFS(Sheet1!$E:$E,Sheet1!$C:$C,$A106,Sheet1!$A:$A,O$2),"")</f>
        <v/>
      </c>
      <c r="P106" s="9" t="str">
        <f>IF(SUMIFS(Sheet1!$E:$E,Sheet1!$C:$C,$A106,Sheet1!$A:$A,P$2)&lt;&gt;0,SUMIFS(Sheet1!$E:$E,Sheet1!$C:$C,$A106,Sheet1!$A:$A,P$2),"")</f>
        <v/>
      </c>
      <c r="Q106" s="9" t="str">
        <f>IF(SUMIFS(Sheet1!$E:$E,Sheet1!$C:$C,$A106,Sheet1!$A:$A,Q$2)&lt;&gt;0,SUMIFS(Sheet1!$E:$E,Sheet1!$C:$C,$A106,Sheet1!$A:$A,Q$2),"")</f>
        <v/>
      </c>
      <c r="R106" s="9" t="str">
        <f>IF(SUMIFS(Sheet1!$E:$E,Sheet1!$C:$C,$A106,Sheet1!$A:$A,R$2)&lt;&gt;0,SUMIFS(Sheet1!$E:$E,Sheet1!$C:$C,$A106,Sheet1!$A:$A,R$2),"")</f>
        <v/>
      </c>
      <c r="S106" s="9" t="str">
        <f>IF(SUMIFS(Sheet1!$E:$E,Sheet1!$C:$C,$A106,Sheet1!$A:$A,S$2)&lt;&gt;0,SUMIFS(Sheet1!$E:$E,Sheet1!$C:$C,$A106,Sheet1!$A:$A,S$2),"")</f>
        <v/>
      </c>
      <c r="T106" s="9" t="str">
        <f>IF(SUMIFS(Sheet1!$E:$E,Sheet1!$C:$C,$A106,Sheet1!$A:$A,T$2)&lt;&gt;0,SUMIFS(Sheet1!$E:$E,Sheet1!$C:$C,$A106,Sheet1!$A:$A,T$2),"")</f>
        <v/>
      </c>
      <c r="U106" s="9" t="str">
        <f>IF(SUMIFS(Sheet1!$E:$E,Sheet1!$C:$C,$A106,Sheet1!$A:$A,U$2)&lt;&gt;0,SUMIFS(Sheet1!$E:$E,Sheet1!$C:$C,$A106,Sheet1!$A:$A,U$2),"")</f>
        <v/>
      </c>
      <c r="V106" s="9" t="str">
        <f>IF(SUMIFS(Sheet1!$E:$E,Sheet1!$C:$C,$A106,Sheet1!$A:$A,V$2)&lt;&gt;0,SUMIFS(Sheet1!$E:$E,Sheet1!$C:$C,$A106,Sheet1!$A:$A,V$2),"")</f>
        <v/>
      </c>
      <c r="W106" s="9" t="str">
        <f>IF(SUMIFS(Sheet1!$E:$E,Sheet1!$C:$C,$A106,Sheet1!$A:$A,W$2)&lt;&gt;0,SUMIFS(Sheet1!$E:$E,Sheet1!$C:$C,$A106,Sheet1!$A:$A,W$2),"")</f>
        <v/>
      </c>
      <c r="X106" s="9" t="str">
        <f>IF(SUMIFS(Sheet1!$E:$E,Sheet1!$C:$C,$A106,Sheet1!$A:$A,X$2)&lt;&gt;0,SUMIFS(Sheet1!$E:$E,Sheet1!$C:$C,$A106,Sheet1!$A:$A,X$2),"")</f>
        <v/>
      </c>
      <c r="Y106" s="9" t="str">
        <f>IF(SUMIFS(Sheet1!$E:$E,Sheet1!$C:$C,$A106,Sheet1!$A:$A,Y$2)&lt;&gt;0,SUMIFS(Sheet1!$E:$E,Sheet1!$C:$C,$A106,Sheet1!$A:$A,Y$2),"")</f>
        <v/>
      </c>
      <c r="Z106" s="9" t="str">
        <f>IF(SUMIFS(Sheet1!$E:$E,Sheet1!$C:$C,$A106,Sheet1!$A:$A,Z$2)&lt;&gt;0,SUMIFS(Sheet1!$E:$E,Sheet1!$C:$C,$A106,Sheet1!$A:$A,Z$2),"")</f>
        <v/>
      </c>
      <c r="AA106" s="9" t="str">
        <f>IF(SUMIFS(Sheet1!$E:$E,Sheet1!$C:$C,$A106,Sheet1!$A:$A,AA$2)&lt;&gt;0,SUMIFS(Sheet1!$E:$E,Sheet1!$C:$C,$A106,Sheet1!$A:$A,AA$2),"")</f>
        <v/>
      </c>
      <c r="AB106" s="9" t="str">
        <f>IF(SUMIFS(Sheet1!$E:$E,Sheet1!$C:$C,$A106,Sheet1!$A:$A,AB$2)&lt;&gt;0,SUMIFS(Sheet1!$E:$E,Sheet1!$C:$C,$A106,Sheet1!$A:$A,AB$2),"")</f>
        <v/>
      </c>
      <c r="AC106" s="9" t="str">
        <f>IF(SUMIFS(Sheet1!$E:$E,Sheet1!$C:$C,$A106,Sheet1!$A:$A,AC$2)&lt;&gt;0,SUMIFS(Sheet1!$E:$E,Sheet1!$C:$C,$A106,Sheet1!$A:$A,AC$2),"")</f>
        <v/>
      </c>
      <c r="AD106" s="9" t="str">
        <f>IF(SUMIFS(Sheet1!$E:$E,Sheet1!$C:$C,$A106,Sheet1!$A:$A,AD$2)&lt;&gt;0,SUMIFS(Sheet1!$E:$E,Sheet1!$C:$C,$A106,Sheet1!$A:$A,AD$2),"")</f>
        <v/>
      </c>
      <c r="AE106" s="9" t="str">
        <f>IF(SUMIFS(Sheet1!$E:$E,Sheet1!$C:$C,$A106,Sheet1!$A:$A,AE$2)&lt;&gt;0,SUMIFS(Sheet1!$E:$E,Sheet1!$C:$C,$A106,Sheet1!$A:$A,AE$2),"")</f>
        <v/>
      </c>
      <c r="AF106" s="9" t="str">
        <f>IF(SUMIFS(Sheet1!$E:$E,Sheet1!$C:$C,$A106,Sheet1!$A:$A,AF$2)&lt;&gt;0,SUMIFS(Sheet1!$E:$E,Sheet1!$C:$C,$A106,Sheet1!$A:$A,AF$2),"")</f>
        <v/>
      </c>
      <c r="AG106" s="9" t="str">
        <f>IF(SUMIFS(Sheet1!$E:$E,Sheet1!$C:$C,$A106,Sheet1!$A:$A,AG$2)&lt;&gt;0,SUMIFS(Sheet1!$E:$E,Sheet1!$C:$C,$A106,Sheet1!$A:$A,AG$2),"")</f>
        <v/>
      </c>
      <c r="AH106" s="47">
        <f>SUM(Table24[[#This Row],[1]:[31]])</f>
        <v>12</v>
      </c>
    </row>
    <row r="107" spans="1:34" ht="12.75" customHeight="1">
      <c r="A107" s="24" t="str">
        <f>DSSP!A106</f>
        <v>R000</v>
      </c>
      <c r="B107" s="25" t="str">
        <f>DSSP!B106</f>
        <v>Rollygami làm sẵn</v>
      </c>
      <c r="C107" s="9">
        <f>IF(SUMIFS(Sheet1!$E:$E,Sheet1!$C:$C,$A107,Sheet1!$A:$A,C$2)&lt;&gt;0,SUMIFS(Sheet1!$E:$E,Sheet1!$C:$C,$A107,Sheet1!$A:$A,C$2),"")</f>
        <v>44</v>
      </c>
      <c r="D107" s="9" t="str">
        <f>IF(SUMIFS(Sheet1!$E:$E,Sheet1!$C:$C,$A107,Sheet1!$A:$A,D$2)&lt;&gt;0,SUMIFS(Sheet1!$E:$E,Sheet1!$C:$C,$A107,Sheet1!$A:$A,D$2),"")</f>
        <v/>
      </c>
      <c r="E107" s="9" t="str">
        <f>IF(SUMIFS(Sheet1!$E:$E,Sheet1!$C:$C,$A107,Sheet1!$A:$A,E$2)&lt;&gt;0,SUMIFS(Sheet1!$E:$E,Sheet1!$C:$C,$A107,Sheet1!$A:$A,E$2),"")</f>
        <v/>
      </c>
      <c r="F107" s="9" t="str">
        <f>IF(SUMIFS(Sheet1!$E:$E,Sheet1!$C:$C,$A107,Sheet1!$A:$A,F$2)&lt;&gt;0,SUMIFS(Sheet1!$E:$E,Sheet1!$C:$C,$A107,Sheet1!$A:$A,F$2),"")</f>
        <v/>
      </c>
      <c r="G107" s="9" t="str">
        <f>IF(SUMIFS(Sheet1!$E:$E,Sheet1!$C:$C,$A107,Sheet1!$A:$A,G$2)&lt;&gt;0,SUMIFS(Sheet1!$E:$E,Sheet1!$C:$C,$A107,Sheet1!$A:$A,G$2),"")</f>
        <v/>
      </c>
      <c r="H107" s="9" t="str">
        <f>IF(SUMIFS(Sheet1!$E:$E,Sheet1!$C:$C,$A107,Sheet1!$A:$A,H$2)&lt;&gt;0,SUMIFS(Sheet1!$E:$E,Sheet1!$C:$C,$A107,Sheet1!$A:$A,H$2),"")</f>
        <v/>
      </c>
      <c r="I107" s="9" t="str">
        <f>IF(SUMIFS(Sheet1!$E:$E,Sheet1!$C:$C,$A107,Sheet1!$A:$A,I$2)&lt;&gt;0,SUMIFS(Sheet1!$E:$E,Sheet1!$C:$C,$A107,Sheet1!$A:$A,I$2),"")</f>
        <v/>
      </c>
      <c r="J107" s="9" t="str">
        <f>IF(SUMIFS(Sheet1!$E:$E,Sheet1!$C:$C,$A107,Sheet1!$A:$A,J$2)&lt;&gt;0,SUMIFS(Sheet1!$E:$E,Sheet1!$C:$C,$A107,Sheet1!$A:$A,J$2),"")</f>
        <v/>
      </c>
      <c r="K107" s="9" t="str">
        <f>IF(SUMIFS(Sheet1!$E:$E,Sheet1!$C:$C,$A107,Sheet1!$A:$A,K$2)&lt;&gt;0,SUMIFS(Sheet1!$E:$E,Sheet1!$C:$C,$A107,Sheet1!$A:$A,K$2),"")</f>
        <v/>
      </c>
      <c r="L107" s="9" t="str">
        <f>IF(SUMIFS(Sheet1!$E:$E,Sheet1!$C:$C,$A107,Sheet1!$A:$A,L$2)&lt;&gt;0,SUMIFS(Sheet1!$E:$E,Sheet1!$C:$C,$A107,Sheet1!$A:$A,L$2),"")</f>
        <v/>
      </c>
      <c r="M107" s="9" t="str">
        <f>IF(SUMIFS(Sheet1!$E:$E,Sheet1!$C:$C,$A107,Sheet1!$A:$A,M$2)&lt;&gt;0,SUMIFS(Sheet1!$E:$E,Sheet1!$C:$C,$A107,Sheet1!$A:$A,M$2),"")</f>
        <v/>
      </c>
      <c r="N107" s="9" t="str">
        <f>IF(SUMIFS(Sheet1!$E:$E,Sheet1!$C:$C,$A107,Sheet1!$A:$A,N$2)&lt;&gt;0,SUMIFS(Sheet1!$E:$E,Sheet1!$C:$C,$A107,Sheet1!$A:$A,N$2),"")</f>
        <v/>
      </c>
      <c r="O107" s="9" t="str">
        <f>IF(SUMIFS(Sheet1!$E:$E,Sheet1!$C:$C,$A107,Sheet1!$A:$A,O$2)&lt;&gt;0,SUMIFS(Sheet1!$E:$E,Sheet1!$C:$C,$A107,Sheet1!$A:$A,O$2),"")</f>
        <v/>
      </c>
      <c r="P107" s="9" t="str">
        <f>IF(SUMIFS(Sheet1!$E:$E,Sheet1!$C:$C,$A107,Sheet1!$A:$A,P$2)&lt;&gt;0,SUMIFS(Sheet1!$E:$E,Sheet1!$C:$C,$A107,Sheet1!$A:$A,P$2),"")</f>
        <v/>
      </c>
      <c r="Q107" s="9" t="str">
        <f>IF(SUMIFS(Sheet1!$E:$E,Sheet1!$C:$C,$A107,Sheet1!$A:$A,Q$2)&lt;&gt;0,SUMIFS(Sheet1!$E:$E,Sheet1!$C:$C,$A107,Sheet1!$A:$A,Q$2),"")</f>
        <v/>
      </c>
      <c r="R107" s="9" t="str">
        <f>IF(SUMIFS(Sheet1!$E:$E,Sheet1!$C:$C,$A107,Sheet1!$A:$A,R$2)&lt;&gt;0,SUMIFS(Sheet1!$E:$E,Sheet1!$C:$C,$A107,Sheet1!$A:$A,R$2),"")</f>
        <v/>
      </c>
      <c r="S107" s="9" t="str">
        <f>IF(SUMIFS(Sheet1!$E:$E,Sheet1!$C:$C,$A107,Sheet1!$A:$A,S$2)&lt;&gt;0,SUMIFS(Sheet1!$E:$E,Sheet1!$C:$C,$A107,Sheet1!$A:$A,S$2),"")</f>
        <v/>
      </c>
      <c r="T107" s="9" t="str">
        <f>IF(SUMIFS(Sheet1!$E:$E,Sheet1!$C:$C,$A107,Sheet1!$A:$A,T$2)&lt;&gt;0,SUMIFS(Sheet1!$E:$E,Sheet1!$C:$C,$A107,Sheet1!$A:$A,T$2),"")</f>
        <v/>
      </c>
      <c r="U107" s="9" t="str">
        <f>IF(SUMIFS(Sheet1!$E:$E,Sheet1!$C:$C,$A107,Sheet1!$A:$A,U$2)&lt;&gt;0,SUMIFS(Sheet1!$E:$E,Sheet1!$C:$C,$A107,Sheet1!$A:$A,U$2),"")</f>
        <v/>
      </c>
      <c r="V107" s="9" t="str">
        <f>IF(SUMIFS(Sheet1!$E:$E,Sheet1!$C:$C,$A107,Sheet1!$A:$A,V$2)&lt;&gt;0,SUMIFS(Sheet1!$E:$E,Sheet1!$C:$C,$A107,Sheet1!$A:$A,V$2),"")</f>
        <v/>
      </c>
      <c r="W107" s="9" t="str">
        <f>IF(SUMIFS(Sheet1!$E:$E,Sheet1!$C:$C,$A107,Sheet1!$A:$A,W$2)&lt;&gt;0,SUMIFS(Sheet1!$E:$E,Sheet1!$C:$C,$A107,Sheet1!$A:$A,W$2),"")</f>
        <v/>
      </c>
      <c r="X107" s="9" t="str">
        <f>IF(SUMIFS(Sheet1!$E:$E,Sheet1!$C:$C,$A107,Sheet1!$A:$A,X$2)&lt;&gt;0,SUMIFS(Sheet1!$E:$E,Sheet1!$C:$C,$A107,Sheet1!$A:$A,X$2),"")</f>
        <v/>
      </c>
      <c r="Y107" s="9" t="str">
        <f>IF(SUMIFS(Sheet1!$E:$E,Sheet1!$C:$C,$A107,Sheet1!$A:$A,Y$2)&lt;&gt;0,SUMIFS(Sheet1!$E:$E,Sheet1!$C:$C,$A107,Sheet1!$A:$A,Y$2),"")</f>
        <v/>
      </c>
      <c r="Z107" s="9" t="str">
        <f>IF(SUMIFS(Sheet1!$E:$E,Sheet1!$C:$C,$A107,Sheet1!$A:$A,Z$2)&lt;&gt;0,SUMIFS(Sheet1!$E:$E,Sheet1!$C:$C,$A107,Sheet1!$A:$A,Z$2),"")</f>
        <v/>
      </c>
      <c r="AA107" s="9" t="str">
        <f>IF(SUMIFS(Sheet1!$E:$E,Sheet1!$C:$C,$A107,Sheet1!$A:$A,AA$2)&lt;&gt;0,SUMIFS(Sheet1!$E:$E,Sheet1!$C:$C,$A107,Sheet1!$A:$A,AA$2),"")</f>
        <v/>
      </c>
      <c r="AB107" s="9" t="str">
        <f>IF(SUMIFS(Sheet1!$E:$E,Sheet1!$C:$C,$A107,Sheet1!$A:$A,AB$2)&lt;&gt;0,SUMIFS(Sheet1!$E:$E,Sheet1!$C:$C,$A107,Sheet1!$A:$A,AB$2),"")</f>
        <v/>
      </c>
      <c r="AC107" s="9" t="str">
        <f>IF(SUMIFS(Sheet1!$E:$E,Sheet1!$C:$C,$A107,Sheet1!$A:$A,AC$2)&lt;&gt;0,SUMIFS(Sheet1!$E:$E,Sheet1!$C:$C,$A107,Sheet1!$A:$A,AC$2),"")</f>
        <v/>
      </c>
      <c r="AD107" s="9" t="str">
        <f>IF(SUMIFS(Sheet1!$E:$E,Sheet1!$C:$C,$A107,Sheet1!$A:$A,AD$2)&lt;&gt;0,SUMIFS(Sheet1!$E:$E,Sheet1!$C:$C,$A107,Sheet1!$A:$A,AD$2),"")</f>
        <v/>
      </c>
      <c r="AE107" s="9" t="str">
        <f>IF(SUMIFS(Sheet1!$E:$E,Sheet1!$C:$C,$A107,Sheet1!$A:$A,AE$2)&lt;&gt;0,SUMIFS(Sheet1!$E:$E,Sheet1!$C:$C,$A107,Sheet1!$A:$A,AE$2),"")</f>
        <v/>
      </c>
      <c r="AF107" s="9" t="str">
        <f>IF(SUMIFS(Sheet1!$E:$E,Sheet1!$C:$C,$A107,Sheet1!$A:$A,AF$2)&lt;&gt;0,SUMIFS(Sheet1!$E:$E,Sheet1!$C:$C,$A107,Sheet1!$A:$A,AF$2),"")</f>
        <v/>
      </c>
      <c r="AG107" s="9" t="str">
        <f>IF(SUMIFS(Sheet1!$E:$E,Sheet1!$C:$C,$A107,Sheet1!$A:$A,AG$2)&lt;&gt;0,SUMIFS(Sheet1!$E:$E,Sheet1!$C:$C,$A107,Sheet1!$A:$A,AG$2),"")</f>
        <v/>
      </c>
      <c r="AH107" s="47">
        <f>SUM(Table24[[#This Row],[1]:[31]])</f>
        <v>44</v>
      </c>
    </row>
    <row r="108" spans="1:34" ht="12.75" customHeight="1">
      <c r="A108" s="24" t="str">
        <f>DSSP!A107</f>
        <v>R001</v>
      </c>
      <c r="B108" s="25" t="str">
        <f>DSSP!B107</f>
        <v>Gà bông</v>
      </c>
      <c r="C108" s="9" t="str">
        <f>IF(SUMIFS(Sheet1!$E:$E,Sheet1!$C:$C,$A108,Sheet1!$A:$A,C$2)&lt;&gt;0,SUMIFS(Sheet1!$E:$E,Sheet1!$C:$C,$A108,Sheet1!$A:$A,C$2),"")</f>
        <v/>
      </c>
      <c r="D108" s="9" t="str">
        <f>IF(SUMIFS(Sheet1!$E:$E,Sheet1!$C:$C,$A108,Sheet1!$A:$A,D$2)&lt;&gt;0,SUMIFS(Sheet1!$E:$E,Sheet1!$C:$C,$A108,Sheet1!$A:$A,D$2),"")</f>
        <v/>
      </c>
      <c r="E108" s="9" t="str">
        <f>IF(SUMIFS(Sheet1!$E:$E,Sheet1!$C:$C,$A108,Sheet1!$A:$A,E$2)&lt;&gt;0,SUMIFS(Sheet1!$E:$E,Sheet1!$C:$C,$A108,Sheet1!$A:$A,E$2),"")</f>
        <v/>
      </c>
      <c r="F108" s="9" t="str">
        <f>IF(SUMIFS(Sheet1!$E:$E,Sheet1!$C:$C,$A108,Sheet1!$A:$A,F$2)&lt;&gt;0,SUMIFS(Sheet1!$E:$E,Sheet1!$C:$C,$A108,Sheet1!$A:$A,F$2),"")</f>
        <v/>
      </c>
      <c r="G108" s="9" t="str">
        <f>IF(SUMIFS(Sheet1!$E:$E,Sheet1!$C:$C,$A108,Sheet1!$A:$A,G$2)&lt;&gt;0,SUMIFS(Sheet1!$E:$E,Sheet1!$C:$C,$A108,Sheet1!$A:$A,G$2),"")</f>
        <v/>
      </c>
      <c r="H108" s="9" t="str">
        <f>IF(SUMIFS(Sheet1!$E:$E,Sheet1!$C:$C,$A108,Sheet1!$A:$A,H$2)&lt;&gt;0,SUMIFS(Sheet1!$E:$E,Sheet1!$C:$C,$A108,Sheet1!$A:$A,H$2),"")</f>
        <v/>
      </c>
      <c r="I108" s="9" t="str">
        <f>IF(SUMIFS(Sheet1!$E:$E,Sheet1!$C:$C,$A108,Sheet1!$A:$A,I$2)&lt;&gt;0,SUMIFS(Sheet1!$E:$E,Sheet1!$C:$C,$A108,Sheet1!$A:$A,I$2),"")</f>
        <v/>
      </c>
      <c r="J108" s="9" t="str">
        <f>IF(SUMIFS(Sheet1!$E:$E,Sheet1!$C:$C,$A108,Sheet1!$A:$A,J$2)&lt;&gt;0,SUMIFS(Sheet1!$E:$E,Sheet1!$C:$C,$A108,Sheet1!$A:$A,J$2),"")</f>
        <v/>
      </c>
      <c r="K108" s="9" t="str">
        <f>IF(SUMIFS(Sheet1!$E:$E,Sheet1!$C:$C,$A108,Sheet1!$A:$A,K$2)&lt;&gt;0,SUMIFS(Sheet1!$E:$E,Sheet1!$C:$C,$A108,Sheet1!$A:$A,K$2),"")</f>
        <v/>
      </c>
      <c r="L108" s="9" t="str">
        <f>IF(SUMIFS(Sheet1!$E:$E,Sheet1!$C:$C,$A108,Sheet1!$A:$A,L$2)&lt;&gt;0,SUMIFS(Sheet1!$E:$E,Sheet1!$C:$C,$A108,Sheet1!$A:$A,L$2),"")</f>
        <v/>
      </c>
      <c r="M108" s="9" t="str">
        <f>IF(SUMIFS(Sheet1!$E:$E,Sheet1!$C:$C,$A108,Sheet1!$A:$A,M$2)&lt;&gt;0,SUMIFS(Sheet1!$E:$E,Sheet1!$C:$C,$A108,Sheet1!$A:$A,M$2),"")</f>
        <v/>
      </c>
      <c r="N108" s="9" t="str">
        <f>IF(SUMIFS(Sheet1!$E:$E,Sheet1!$C:$C,$A108,Sheet1!$A:$A,N$2)&lt;&gt;0,SUMIFS(Sheet1!$E:$E,Sheet1!$C:$C,$A108,Sheet1!$A:$A,N$2),"")</f>
        <v/>
      </c>
      <c r="O108" s="9" t="str">
        <f>IF(SUMIFS(Sheet1!$E:$E,Sheet1!$C:$C,$A108,Sheet1!$A:$A,O$2)&lt;&gt;0,SUMIFS(Sheet1!$E:$E,Sheet1!$C:$C,$A108,Sheet1!$A:$A,O$2),"")</f>
        <v/>
      </c>
      <c r="P108" s="9" t="str">
        <f>IF(SUMIFS(Sheet1!$E:$E,Sheet1!$C:$C,$A108,Sheet1!$A:$A,P$2)&lt;&gt;0,SUMIFS(Sheet1!$E:$E,Sheet1!$C:$C,$A108,Sheet1!$A:$A,P$2),"")</f>
        <v/>
      </c>
      <c r="Q108" s="9" t="str">
        <f>IF(SUMIFS(Sheet1!$E:$E,Sheet1!$C:$C,$A108,Sheet1!$A:$A,Q$2)&lt;&gt;0,SUMIFS(Sheet1!$E:$E,Sheet1!$C:$C,$A108,Sheet1!$A:$A,Q$2),"")</f>
        <v/>
      </c>
      <c r="R108" s="9" t="str">
        <f>IF(SUMIFS(Sheet1!$E:$E,Sheet1!$C:$C,$A108,Sheet1!$A:$A,R$2)&lt;&gt;0,SUMIFS(Sheet1!$E:$E,Sheet1!$C:$C,$A108,Sheet1!$A:$A,R$2),"")</f>
        <v/>
      </c>
      <c r="S108" s="9" t="str">
        <f>IF(SUMIFS(Sheet1!$E:$E,Sheet1!$C:$C,$A108,Sheet1!$A:$A,S$2)&lt;&gt;0,SUMIFS(Sheet1!$E:$E,Sheet1!$C:$C,$A108,Sheet1!$A:$A,S$2),"")</f>
        <v/>
      </c>
      <c r="T108" s="9" t="str">
        <f>IF(SUMIFS(Sheet1!$E:$E,Sheet1!$C:$C,$A108,Sheet1!$A:$A,T$2)&lt;&gt;0,SUMIFS(Sheet1!$E:$E,Sheet1!$C:$C,$A108,Sheet1!$A:$A,T$2),"")</f>
        <v/>
      </c>
      <c r="U108" s="9" t="str">
        <f>IF(SUMIFS(Sheet1!$E:$E,Sheet1!$C:$C,$A108,Sheet1!$A:$A,U$2)&lt;&gt;0,SUMIFS(Sheet1!$E:$E,Sheet1!$C:$C,$A108,Sheet1!$A:$A,U$2),"")</f>
        <v/>
      </c>
      <c r="V108" s="9" t="str">
        <f>IF(SUMIFS(Sheet1!$E:$E,Sheet1!$C:$C,$A108,Sheet1!$A:$A,V$2)&lt;&gt;0,SUMIFS(Sheet1!$E:$E,Sheet1!$C:$C,$A108,Sheet1!$A:$A,V$2),"")</f>
        <v/>
      </c>
      <c r="W108" s="9" t="str">
        <f>IF(SUMIFS(Sheet1!$E:$E,Sheet1!$C:$C,$A108,Sheet1!$A:$A,W$2)&lt;&gt;0,SUMIFS(Sheet1!$E:$E,Sheet1!$C:$C,$A108,Sheet1!$A:$A,W$2),"")</f>
        <v/>
      </c>
      <c r="X108" s="9" t="str">
        <f>IF(SUMIFS(Sheet1!$E:$E,Sheet1!$C:$C,$A108,Sheet1!$A:$A,X$2)&lt;&gt;0,SUMIFS(Sheet1!$E:$E,Sheet1!$C:$C,$A108,Sheet1!$A:$A,X$2),"")</f>
        <v/>
      </c>
      <c r="Y108" s="9" t="str">
        <f>IF(SUMIFS(Sheet1!$E:$E,Sheet1!$C:$C,$A108,Sheet1!$A:$A,Y$2)&lt;&gt;0,SUMIFS(Sheet1!$E:$E,Sheet1!$C:$C,$A108,Sheet1!$A:$A,Y$2),"")</f>
        <v/>
      </c>
      <c r="Z108" s="9" t="str">
        <f>IF(SUMIFS(Sheet1!$E:$E,Sheet1!$C:$C,$A108,Sheet1!$A:$A,Z$2)&lt;&gt;0,SUMIFS(Sheet1!$E:$E,Sheet1!$C:$C,$A108,Sheet1!$A:$A,Z$2),"")</f>
        <v/>
      </c>
      <c r="AA108" s="9" t="str">
        <f>IF(SUMIFS(Sheet1!$E:$E,Sheet1!$C:$C,$A108,Sheet1!$A:$A,AA$2)&lt;&gt;0,SUMIFS(Sheet1!$E:$E,Sheet1!$C:$C,$A108,Sheet1!$A:$A,AA$2),"")</f>
        <v/>
      </c>
      <c r="AB108" s="9" t="str">
        <f>IF(SUMIFS(Sheet1!$E:$E,Sheet1!$C:$C,$A108,Sheet1!$A:$A,AB$2)&lt;&gt;0,SUMIFS(Sheet1!$E:$E,Sheet1!$C:$C,$A108,Sheet1!$A:$A,AB$2),"")</f>
        <v/>
      </c>
      <c r="AC108" s="9" t="str">
        <f>IF(SUMIFS(Sheet1!$E:$E,Sheet1!$C:$C,$A108,Sheet1!$A:$A,AC$2)&lt;&gt;0,SUMIFS(Sheet1!$E:$E,Sheet1!$C:$C,$A108,Sheet1!$A:$A,AC$2),"")</f>
        <v/>
      </c>
      <c r="AD108" s="9" t="str">
        <f>IF(SUMIFS(Sheet1!$E:$E,Sheet1!$C:$C,$A108,Sheet1!$A:$A,AD$2)&lt;&gt;0,SUMIFS(Sheet1!$E:$E,Sheet1!$C:$C,$A108,Sheet1!$A:$A,AD$2),"")</f>
        <v/>
      </c>
      <c r="AE108" s="9" t="str">
        <f>IF(SUMIFS(Sheet1!$E:$E,Sheet1!$C:$C,$A108,Sheet1!$A:$A,AE$2)&lt;&gt;0,SUMIFS(Sheet1!$E:$E,Sheet1!$C:$C,$A108,Sheet1!$A:$A,AE$2),"")</f>
        <v/>
      </c>
      <c r="AF108" s="9" t="str">
        <f>IF(SUMIFS(Sheet1!$E:$E,Sheet1!$C:$C,$A108,Sheet1!$A:$A,AF$2)&lt;&gt;0,SUMIFS(Sheet1!$E:$E,Sheet1!$C:$C,$A108,Sheet1!$A:$A,AF$2),"")</f>
        <v/>
      </c>
      <c r="AG108" s="9" t="str">
        <f>IF(SUMIFS(Sheet1!$E:$E,Sheet1!$C:$C,$A108,Sheet1!$A:$A,AG$2)&lt;&gt;0,SUMIFS(Sheet1!$E:$E,Sheet1!$C:$C,$A108,Sheet1!$A:$A,AG$2),"")</f>
        <v/>
      </c>
      <c r="AH108" s="47">
        <f>SUM(Table24[[#This Row],[1]:[31]])</f>
        <v>0</v>
      </c>
    </row>
    <row r="109" spans="1:34" ht="12.75" customHeight="1">
      <c r="A109" s="24" t="str">
        <f>DSSP!A108</f>
        <v>R002</v>
      </c>
      <c r="B109" s="25" t="str">
        <f>DSSP!B108</f>
        <v>Ỉn hồng</v>
      </c>
      <c r="C109" s="9" t="str">
        <f>IF(SUMIFS(Sheet1!$E:$E,Sheet1!$C:$C,$A109,Sheet1!$A:$A,C$2)&lt;&gt;0,SUMIFS(Sheet1!$E:$E,Sheet1!$C:$C,$A109,Sheet1!$A:$A,C$2),"")</f>
        <v/>
      </c>
      <c r="D109" s="9" t="str">
        <f>IF(SUMIFS(Sheet1!$E:$E,Sheet1!$C:$C,$A109,Sheet1!$A:$A,D$2)&lt;&gt;0,SUMIFS(Sheet1!$E:$E,Sheet1!$C:$C,$A109,Sheet1!$A:$A,D$2),"")</f>
        <v/>
      </c>
      <c r="E109" s="9" t="str">
        <f>IF(SUMIFS(Sheet1!$E:$E,Sheet1!$C:$C,$A109,Sheet1!$A:$A,E$2)&lt;&gt;0,SUMIFS(Sheet1!$E:$E,Sheet1!$C:$C,$A109,Sheet1!$A:$A,E$2),"")</f>
        <v/>
      </c>
      <c r="F109" s="9" t="str">
        <f>IF(SUMIFS(Sheet1!$E:$E,Sheet1!$C:$C,$A109,Sheet1!$A:$A,F$2)&lt;&gt;0,SUMIFS(Sheet1!$E:$E,Sheet1!$C:$C,$A109,Sheet1!$A:$A,F$2),"")</f>
        <v/>
      </c>
      <c r="G109" s="9" t="str">
        <f>IF(SUMIFS(Sheet1!$E:$E,Sheet1!$C:$C,$A109,Sheet1!$A:$A,G$2)&lt;&gt;0,SUMIFS(Sheet1!$E:$E,Sheet1!$C:$C,$A109,Sheet1!$A:$A,G$2),"")</f>
        <v/>
      </c>
      <c r="H109" s="9" t="str">
        <f>IF(SUMIFS(Sheet1!$E:$E,Sheet1!$C:$C,$A109,Sheet1!$A:$A,H$2)&lt;&gt;0,SUMIFS(Sheet1!$E:$E,Sheet1!$C:$C,$A109,Sheet1!$A:$A,H$2),"")</f>
        <v/>
      </c>
      <c r="I109" s="9" t="str">
        <f>IF(SUMIFS(Sheet1!$E:$E,Sheet1!$C:$C,$A109,Sheet1!$A:$A,I$2)&lt;&gt;0,SUMIFS(Sheet1!$E:$E,Sheet1!$C:$C,$A109,Sheet1!$A:$A,I$2),"")</f>
        <v/>
      </c>
      <c r="J109" s="9" t="str">
        <f>IF(SUMIFS(Sheet1!$E:$E,Sheet1!$C:$C,$A109,Sheet1!$A:$A,J$2)&lt;&gt;0,SUMIFS(Sheet1!$E:$E,Sheet1!$C:$C,$A109,Sheet1!$A:$A,J$2),"")</f>
        <v/>
      </c>
      <c r="K109" s="9" t="str">
        <f>IF(SUMIFS(Sheet1!$E:$E,Sheet1!$C:$C,$A109,Sheet1!$A:$A,K$2)&lt;&gt;0,SUMIFS(Sheet1!$E:$E,Sheet1!$C:$C,$A109,Sheet1!$A:$A,K$2),"")</f>
        <v/>
      </c>
      <c r="L109" s="9" t="str">
        <f>IF(SUMIFS(Sheet1!$E:$E,Sheet1!$C:$C,$A109,Sheet1!$A:$A,L$2)&lt;&gt;0,SUMIFS(Sheet1!$E:$E,Sheet1!$C:$C,$A109,Sheet1!$A:$A,L$2),"")</f>
        <v/>
      </c>
      <c r="M109" s="9" t="str">
        <f>IF(SUMIFS(Sheet1!$E:$E,Sheet1!$C:$C,$A109,Sheet1!$A:$A,M$2)&lt;&gt;0,SUMIFS(Sheet1!$E:$E,Sheet1!$C:$C,$A109,Sheet1!$A:$A,M$2),"")</f>
        <v/>
      </c>
      <c r="N109" s="9" t="str">
        <f>IF(SUMIFS(Sheet1!$E:$E,Sheet1!$C:$C,$A109,Sheet1!$A:$A,N$2)&lt;&gt;0,SUMIFS(Sheet1!$E:$E,Sheet1!$C:$C,$A109,Sheet1!$A:$A,N$2),"")</f>
        <v/>
      </c>
      <c r="O109" s="9" t="str">
        <f>IF(SUMIFS(Sheet1!$E:$E,Sheet1!$C:$C,$A109,Sheet1!$A:$A,O$2)&lt;&gt;0,SUMIFS(Sheet1!$E:$E,Sheet1!$C:$C,$A109,Sheet1!$A:$A,O$2),"")</f>
        <v/>
      </c>
      <c r="P109" s="9" t="str">
        <f>IF(SUMIFS(Sheet1!$E:$E,Sheet1!$C:$C,$A109,Sheet1!$A:$A,P$2)&lt;&gt;0,SUMIFS(Sheet1!$E:$E,Sheet1!$C:$C,$A109,Sheet1!$A:$A,P$2),"")</f>
        <v/>
      </c>
      <c r="Q109" s="9" t="str">
        <f>IF(SUMIFS(Sheet1!$E:$E,Sheet1!$C:$C,$A109,Sheet1!$A:$A,Q$2)&lt;&gt;0,SUMIFS(Sheet1!$E:$E,Sheet1!$C:$C,$A109,Sheet1!$A:$A,Q$2),"")</f>
        <v/>
      </c>
      <c r="R109" s="9" t="str">
        <f>IF(SUMIFS(Sheet1!$E:$E,Sheet1!$C:$C,$A109,Sheet1!$A:$A,R$2)&lt;&gt;0,SUMIFS(Sheet1!$E:$E,Sheet1!$C:$C,$A109,Sheet1!$A:$A,R$2),"")</f>
        <v/>
      </c>
      <c r="S109" s="9" t="str">
        <f>IF(SUMIFS(Sheet1!$E:$E,Sheet1!$C:$C,$A109,Sheet1!$A:$A,S$2)&lt;&gt;0,SUMIFS(Sheet1!$E:$E,Sheet1!$C:$C,$A109,Sheet1!$A:$A,S$2),"")</f>
        <v/>
      </c>
      <c r="T109" s="9" t="str">
        <f>IF(SUMIFS(Sheet1!$E:$E,Sheet1!$C:$C,$A109,Sheet1!$A:$A,T$2)&lt;&gt;0,SUMIFS(Sheet1!$E:$E,Sheet1!$C:$C,$A109,Sheet1!$A:$A,T$2),"")</f>
        <v/>
      </c>
      <c r="U109" s="9" t="str">
        <f>IF(SUMIFS(Sheet1!$E:$E,Sheet1!$C:$C,$A109,Sheet1!$A:$A,U$2)&lt;&gt;0,SUMIFS(Sheet1!$E:$E,Sheet1!$C:$C,$A109,Sheet1!$A:$A,U$2),"")</f>
        <v/>
      </c>
      <c r="V109" s="9" t="str">
        <f>IF(SUMIFS(Sheet1!$E:$E,Sheet1!$C:$C,$A109,Sheet1!$A:$A,V$2)&lt;&gt;0,SUMIFS(Sheet1!$E:$E,Sheet1!$C:$C,$A109,Sheet1!$A:$A,V$2),"")</f>
        <v/>
      </c>
      <c r="W109" s="9" t="str">
        <f>IF(SUMIFS(Sheet1!$E:$E,Sheet1!$C:$C,$A109,Sheet1!$A:$A,W$2)&lt;&gt;0,SUMIFS(Sheet1!$E:$E,Sheet1!$C:$C,$A109,Sheet1!$A:$A,W$2),"")</f>
        <v/>
      </c>
      <c r="X109" s="9" t="str">
        <f>IF(SUMIFS(Sheet1!$E:$E,Sheet1!$C:$C,$A109,Sheet1!$A:$A,X$2)&lt;&gt;0,SUMIFS(Sheet1!$E:$E,Sheet1!$C:$C,$A109,Sheet1!$A:$A,X$2),"")</f>
        <v/>
      </c>
      <c r="Y109" s="9" t="str">
        <f>IF(SUMIFS(Sheet1!$E:$E,Sheet1!$C:$C,$A109,Sheet1!$A:$A,Y$2)&lt;&gt;0,SUMIFS(Sheet1!$E:$E,Sheet1!$C:$C,$A109,Sheet1!$A:$A,Y$2),"")</f>
        <v/>
      </c>
      <c r="Z109" s="9" t="str">
        <f>IF(SUMIFS(Sheet1!$E:$E,Sheet1!$C:$C,$A109,Sheet1!$A:$A,Z$2)&lt;&gt;0,SUMIFS(Sheet1!$E:$E,Sheet1!$C:$C,$A109,Sheet1!$A:$A,Z$2),"")</f>
        <v/>
      </c>
      <c r="AA109" s="9" t="str">
        <f>IF(SUMIFS(Sheet1!$E:$E,Sheet1!$C:$C,$A109,Sheet1!$A:$A,AA$2)&lt;&gt;0,SUMIFS(Sheet1!$E:$E,Sheet1!$C:$C,$A109,Sheet1!$A:$A,AA$2),"")</f>
        <v/>
      </c>
      <c r="AB109" s="9" t="str">
        <f>IF(SUMIFS(Sheet1!$E:$E,Sheet1!$C:$C,$A109,Sheet1!$A:$A,AB$2)&lt;&gt;0,SUMIFS(Sheet1!$E:$E,Sheet1!$C:$C,$A109,Sheet1!$A:$A,AB$2),"")</f>
        <v/>
      </c>
      <c r="AC109" s="9" t="str">
        <f>IF(SUMIFS(Sheet1!$E:$E,Sheet1!$C:$C,$A109,Sheet1!$A:$A,AC$2)&lt;&gt;0,SUMIFS(Sheet1!$E:$E,Sheet1!$C:$C,$A109,Sheet1!$A:$A,AC$2),"")</f>
        <v/>
      </c>
      <c r="AD109" s="9" t="str">
        <f>IF(SUMIFS(Sheet1!$E:$E,Sheet1!$C:$C,$A109,Sheet1!$A:$A,AD$2)&lt;&gt;0,SUMIFS(Sheet1!$E:$E,Sheet1!$C:$C,$A109,Sheet1!$A:$A,AD$2),"")</f>
        <v/>
      </c>
      <c r="AE109" s="9" t="str">
        <f>IF(SUMIFS(Sheet1!$E:$E,Sheet1!$C:$C,$A109,Sheet1!$A:$A,AE$2)&lt;&gt;0,SUMIFS(Sheet1!$E:$E,Sheet1!$C:$C,$A109,Sheet1!$A:$A,AE$2),"")</f>
        <v/>
      </c>
      <c r="AF109" s="9" t="str">
        <f>IF(SUMIFS(Sheet1!$E:$E,Sheet1!$C:$C,$A109,Sheet1!$A:$A,AF$2)&lt;&gt;0,SUMIFS(Sheet1!$E:$E,Sheet1!$C:$C,$A109,Sheet1!$A:$A,AF$2),"")</f>
        <v/>
      </c>
      <c r="AG109" s="9" t="str">
        <f>IF(SUMIFS(Sheet1!$E:$E,Sheet1!$C:$C,$A109,Sheet1!$A:$A,AG$2)&lt;&gt;0,SUMIFS(Sheet1!$E:$E,Sheet1!$C:$C,$A109,Sheet1!$A:$A,AG$2),"")</f>
        <v/>
      </c>
      <c r="AH109" s="47">
        <f>SUM(Table24[[#This Row],[1]:[31]])</f>
        <v>0</v>
      </c>
    </row>
    <row r="110" spans="1:34" ht="12.75" customHeight="1">
      <c r="A110" s="24" t="str">
        <f>DSSP!A109</f>
        <v>R003</v>
      </c>
      <c r="B110" s="25" t="str">
        <f>DSSP!B109</f>
        <v>Gấu Panda</v>
      </c>
      <c r="C110" s="9">
        <f>IF(SUMIFS(Sheet1!$E:$E,Sheet1!$C:$C,$A110,Sheet1!$A:$A,C$2)&lt;&gt;0,SUMIFS(Sheet1!$E:$E,Sheet1!$C:$C,$A110,Sheet1!$A:$A,C$2),"")</f>
        <v>2</v>
      </c>
      <c r="D110" s="9" t="str">
        <f>IF(SUMIFS(Sheet1!$E:$E,Sheet1!$C:$C,$A110,Sheet1!$A:$A,D$2)&lt;&gt;0,SUMIFS(Sheet1!$E:$E,Sheet1!$C:$C,$A110,Sheet1!$A:$A,D$2),"")</f>
        <v/>
      </c>
      <c r="E110" s="9" t="str">
        <f>IF(SUMIFS(Sheet1!$E:$E,Sheet1!$C:$C,$A110,Sheet1!$A:$A,E$2)&lt;&gt;0,SUMIFS(Sheet1!$E:$E,Sheet1!$C:$C,$A110,Sheet1!$A:$A,E$2),"")</f>
        <v/>
      </c>
      <c r="F110" s="9" t="str">
        <f>IF(SUMIFS(Sheet1!$E:$E,Sheet1!$C:$C,$A110,Sheet1!$A:$A,F$2)&lt;&gt;0,SUMIFS(Sheet1!$E:$E,Sheet1!$C:$C,$A110,Sheet1!$A:$A,F$2),"")</f>
        <v/>
      </c>
      <c r="G110" s="9" t="str">
        <f>IF(SUMIFS(Sheet1!$E:$E,Sheet1!$C:$C,$A110,Sheet1!$A:$A,G$2)&lt;&gt;0,SUMIFS(Sheet1!$E:$E,Sheet1!$C:$C,$A110,Sheet1!$A:$A,G$2),"")</f>
        <v/>
      </c>
      <c r="H110" s="9" t="str">
        <f>IF(SUMIFS(Sheet1!$E:$E,Sheet1!$C:$C,$A110,Sheet1!$A:$A,H$2)&lt;&gt;0,SUMIFS(Sheet1!$E:$E,Sheet1!$C:$C,$A110,Sheet1!$A:$A,H$2),"")</f>
        <v/>
      </c>
      <c r="I110" s="9" t="str">
        <f>IF(SUMIFS(Sheet1!$E:$E,Sheet1!$C:$C,$A110,Sheet1!$A:$A,I$2)&lt;&gt;0,SUMIFS(Sheet1!$E:$E,Sheet1!$C:$C,$A110,Sheet1!$A:$A,I$2),"")</f>
        <v/>
      </c>
      <c r="J110" s="9" t="str">
        <f>IF(SUMIFS(Sheet1!$E:$E,Sheet1!$C:$C,$A110,Sheet1!$A:$A,J$2)&lt;&gt;0,SUMIFS(Sheet1!$E:$E,Sheet1!$C:$C,$A110,Sheet1!$A:$A,J$2),"")</f>
        <v/>
      </c>
      <c r="K110" s="9" t="str">
        <f>IF(SUMIFS(Sheet1!$E:$E,Sheet1!$C:$C,$A110,Sheet1!$A:$A,K$2)&lt;&gt;0,SUMIFS(Sheet1!$E:$E,Sheet1!$C:$C,$A110,Sheet1!$A:$A,K$2),"")</f>
        <v/>
      </c>
      <c r="L110" s="9" t="str">
        <f>IF(SUMIFS(Sheet1!$E:$E,Sheet1!$C:$C,$A110,Sheet1!$A:$A,L$2)&lt;&gt;0,SUMIFS(Sheet1!$E:$E,Sheet1!$C:$C,$A110,Sheet1!$A:$A,L$2),"")</f>
        <v/>
      </c>
      <c r="M110" s="9" t="str">
        <f>IF(SUMIFS(Sheet1!$E:$E,Sheet1!$C:$C,$A110,Sheet1!$A:$A,M$2)&lt;&gt;0,SUMIFS(Sheet1!$E:$E,Sheet1!$C:$C,$A110,Sheet1!$A:$A,M$2),"")</f>
        <v/>
      </c>
      <c r="N110" s="9" t="str">
        <f>IF(SUMIFS(Sheet1!$E:$E,Sheet1!$C:$C,$A110,Sheet1!$A:$A,N$2)&lt;&gt;0,SUMIFS(Sheet1!$E:$E,Sheet1!$C:$C,$A110,Sheet1!$A:$A,N$2),"")</f>
        <v/>
      </c>
      <c r="O110" s="9" t="str">
        <f>IF(SUMIFS(Sheet1!$E:$E,Sheet1!$C:$C,$A110,Sheet1!$A:$A,O$2)&lt;&gt;0,SUMIFS(Sheet1!$E:$E,Sheet1!$C:$C,$A110,Sheet1!$A:$A,O$2),"")</f>
        <v/>
      </c>
      <c r="P110" s="9" t="str">
        <f>IF(SUMIFS(Sheet1!$E:$E,Sheet1!$C:$C,$A110,Sheet1!$A:$A,P$2)&lt;&gt;0,SUMIFS(Sheet1!$E:$E,Sheet1!$C:$C,$A110,Sheet1!$A:$A,P$2),"")</f>
        <v/>
      </c>
      <c r="Q110" s="9" t="str">
        <f>IF(SUMIFS(Sheet1!$E:$E,Sheet1!$C:$C,$A110,Sheet1!$A:$A,Q$2)&lt;&gt;0,SUMIFS(Sheet1!$E:$E,Sheet1!$C:$C,$A110,Sheet1!$A:$A,Q$2),"")</f>
        <v/>
      </c>
      <c r="R110" s="9" t="str">
        <f>IF(SUMIFS(Sheet1!$E:$E,Sheet1!$C:$C,$A110,Sheet1!$A:$A,R$2)&lt;&gt;0,SUMIFS(Sheet1!$E:$E,Sheet1!$C:$C,$A110,Sheet1!$A:$A,R$2),"")</f>
        <v/>
      </c>
      <c r="S110" s="9" t="str">
        <f>IF(SUMIFS(Sheet1!$E:$E,Sheet1!$C:$C,$A110,Sheet1!$A:$A,S$2)&lt;&gt;0,SUMIFS(Sheet1!$E:$E,Sheet1!$C:$C,$A110,Sheet1!$A:$A,S$2),"")</f>
        <v/>
      </c>
      <c r="T110" s="9" t="str">
        <f>IF(SUMIFS(Sheet1!$E:$E,Sheet1!$C:$C,$A110,Sheet1!$A:$A,T$2)&lt;&gt;0,SUMIFS(Sheet1!$E:$E,Sheet1!$C:$C,$A110,Sheet1!$A:$A,T$2),"")</f>
        <v/>
      </c>
      <c r="U110" s="9" t="str">
        <f>IF(SUMIFS(Sheet1!$E:$E,Sheet1!$C:$C,$A110,Sheet1!$A:$A,U$2)&lt;&gt;0,SUMIFS(Sheet1!$E:$E,Sheet1!$C:$C,$A110,Sheet1!$A:$A,U$2),"")</f>
        <v/>
      </c>
      <c r="V110" s="9" t="str">
        <f>IF(SUMIFS(Sheet1!$E:$E,Sheet1!$C:$C,$A110,Sheet1!$A:$A,V$2)&lt;&gt;0,SUMIFS(Sheet1!$E:$E,Sheet1!$C:$C,$A110,Sheet1!$A:$A,V$2),"")</f>
        <v/>
      </c>
      <c r="W110" s="9" t="str">
        <f>IF(SUMIFS(Sheet1!$E:$E,Sheet1!$C:$C,$A110,Sheet1!$A:$A,W$2)&lt;&gt;0,SUMIFS(Sheet1!$E:$E,Sheet1!$C:$C,$A110,Sheet1!$A:$A,W$2),"")</f>
        <v/>
      </c>
      <c r="X110" s="9" t="str">
        <f>IF(SUMIFS(Sheet1!$E:$E,Sheet1!$C:$C,$A110,Sheet1!$A:$A,X$2)&lt;&gt;0,SUMIFS(Sheet1!$E:$E,Sheet1!$C:$C,$A110,Sheet1!$A:$A,X$2),"")</f>
        <v/>
      </c>
      <c r="Y110" s="9" t="str">
        <f>IF(SUMIFS(Sheet1!$E:$E,Sheet1!$C:$C,$A110,Sheet1!$A:$A,Y$2)&lt;&gt;0,SUMIFS(Sheet1!$E:$E,Sheet1!$C:$C,$A110,Sheet1!$A:$A,Y$2),"")</f>
        <v/>
      </c>
      <c r="Z110" s="9" t="str">
        <f>IF(SUMIFS(Sheet1!$E:$E,Sheet1!$C:$C,$A110,Sheet1!$A:$A,Z$2)&lt;&gt;0,SUMIFS(Sheet1!$E:$E,Sheet1!$C:$C,$A110,Sheet1!$A:$A,Z$2),"")</f>
        <v/>
      </c>
      <c r="AA110" s="9" t="str">
        <f>IF(SUMIFS(Sheet1!$E:$E,Sheet1!$C:$C,$A110,Sheet1!$A:$A,AA$2)&lt;&gt;0,SUMIFS(Sheet1!$E:$E,Sheet1!$C:$C,$A110,Sheet1!$A:$A,AA$2),"")</f>
        <v/>
      </c>
      <c r="AB110" s="9" t="str">
        <f>IF(SUMIFS(Sheet1!$E:$E,Sheet1!$C:$C,$A110,Sheet1!$A:$A,AB$2)&lt;&gt;0,SUMIFS(Sheet1!$E:$E,Sheet1!$C:$C,$A110,Sheet1!$A:$A,AB$2),"")</f>
        <v/>
      </c>
      <c r="AC110" s="9" t="str">
        <f>IF(SUMIFS(Sheet1!$E:$E,Sheet1!$C:$C,$A110,Sheet1!$A:$A,AC$2)&lt;&gt;0,SUMIFS(Sheet1!$E:$E,Sheet1!$C:$C,$A110,Sheet1!$A:$A,AC$2),"")</f>
        <v/>
      </c>
      <c r="AD110" s="9" t="str">
        <f>IF(SUMIFS(Sheet1!$E:$E,Sheet1!$C:$C,$A110,Sheet1!$A:$A,AD$2)&lt;&gt;0,SUMIFS(Sheet1!$E:$E,Sheet1!$C:$C,$A110,Sheet1!$A:$A,AD$2),"")</f>
        <v/>
      </c>
      <c r="AE110" s="9" t="str">
        <f>IF(SUMIFS(Sheet1!$E:$E,Sheet1!$C:$C,$A110,Sheet1!$A:$A,AE$2)&lt;&gt;0,SUMIFS(Sheet1!$E:$E,Sheet1!$C:$C,$A110,Sheet1!$A:$A,AE$2),"")</f>
        <v/>
      </c>
      <c r="AF110" s="9" t="str">
        <f>IF(SUMIFS(Sheet1!$E:$E,Sheet1!$C:$C,$A110,Sheet1!$A:$A,AF$2)&lt;&gt;0,SUMIFS(Sheet1!$E:$E,Sheet1!$C:$C,$A110,Sheet1!$A:$A,AF$2),"")</f>
        <v/>
      </c>
      <c r="AG110" s="9" t="str">
        <f>IF(SUMIFS(Sheet1!$E:$E,Sheet1!$C:$C,$A110,Sheet1!$A:$A,AG$2)&lt;&gt;0,SUMIFS(Sheet1!$E:$E,Sheet1!$C:$C,$A110,Sheet1!$A:$A,AG$2),"")</f>
        <v/>
      </c>
      <c r="AH110" s="47">
        <f>SUM(Table24[[#This Row],[1]:[31]])</f>
        <v>2</v>
      </c>
    </row>
    <row r="111" spans="1:34" ht="12.75" customHeight="1">
      <c r="A111" s="24" t="str">
        <f>DSSP!A110</f>
        <v>R004</v>
      </c>
      <c r="B111" s="25" t="str">
        <f>DSSP!B110</f>
        <v>Angry bird đen</v>
      </c>
      <c r="C111" s="9" t="str">
        <f>IF(SUMIFS(Sheet1!$E:$E,Sheet1!$C:$C,$A111,Sheet1!$A:$A,C$2)&lt;&gt;0,SUMIFS(Sheet1!$E:$E,Sheet1!$C:$C,$A111,Sheet1!$A:$A,C$2),"")</f>
        <v/>
      </c>
      <c r="D111" s="9" t="str">
        <f>IF(SUMIFS(Sheet1!$E:$E,Sheet1!$C:$C,$A111,Sheet1!$A:$A,D$2)&lt;&gt;0,SUMIFS(Sheet1!$E:$E,Sheet1!$C:$C,$A111,Sheet1!$A:$A,D$2),"")</f>
        <v/>
      </c>
      <c r="E111" s="9" t="str">
        <f>IF(SUMIFS(Sheet1!$E:$E,Sheet1!$C:$C,$A111,Sheet1!$A:$A,E$2)&lt;&gt;0,SUMIFS(Sheet1!$E:$E,Sheet1!$C:$C,$A111,Sheet1!$A:$A,E$2),"")</f>
        <v/>
      </c>
      <c r="F111" s="9" t="str">
        <f>IF(SUMIFS(Sheet1!$E:$E,Sheet1!$C:$C,$A111,Sheet1!$A:$A,F$2)&lt;&gt;0,SUMIFS(Sheet1!$E:$E,Sheet1!$C:$C,$A111,Sheet1!$A:$A,F$2),"")</f>
        <v/>
      </c>
      <c r="G111" s="9" t="str">
        <f>IF(SUMIFS(Sheet1!$E:$E,Sheet1!$C:$C,$A111,Sheet1!$A:$A,G$2)&lt;&gt;0,SUMIFS(Sheet1!$E:$E,Sheet1!$C:$C,$A111,Sheet1!$A:$A,G$2),"")</f>
        <v/>
      </c>
      <c r="H111" s="9" t="str">
        <f>IF(SUMIFS(Sheet1!$E:$E,Sheet1!$C:$C,$A111,Sheet1!$A:$A,H$2)&lt;&gt;0,SUMIFS(Sheet1!$E:$E,Sheet1!$C:$C,$A111,Sheet1!$A:$A,H$2),"")</f>
        <v/>
      </c>
      <c r="I111" s="9" t="str">
        <f>IF(SUMIFS(Sheet1!$E:$E,Sheet1!$C:$C,$A111,Sheet1!$A:$A,I$2)&lt;&gt;0,SUMIFS(Sheet1!$E:$E,Sheet1!$C:$C,$A111,Sheet1!$A:$A,I$2),"")</f>
        <v/>
      </c>
      <c r="J111" s="9" t="str">
        <f>IF(SUMIFS(Sheet1!$E:$E,Sheet1!$C:$C,$A111,Sheet1!$A:$A,J$2)&lt;&gt;0,SUMIFS(Sheet1!$E:$E,Sheet1!$C:$C,$A111,Sheet1!$A:$A,J$2),"")</f>
        <v/>
      </c>
      <c r="K111" s="9" t="str">
        <f>IF(SUMIFS(Sheet1!$E:$E,Sheet1!$C:$C,$A111,Sheet1!$A:$A,K$2)&lt;&gt;0,SUMIFS(Sheet1!$E:$E,Sheet1!$C:$C,$A111,Sheet1!$A:$A,K$2),"")</f>
        <v/>
      </c>
      <c r="L111" s="9" t="str">
        <f>IF(SUMIFS(Sheet1!$E:$E,Sheet1!$C:$C,$A111,Sheet1!$A:$A,L$2)&lt;&gt;0,SUMIFS(Sheet1!$E:$E,Sheet1!$C:$C,$A111,Sheet1!$A:$A,L$2),"")</f>
        <v/>
      </c>
      <c r="M111" s="9" t="str">
        <f>IF(SUMIFS(Sheet1!$E:$E,Sheet1!$C:$C,$A111,Sheet1!$A:$A,M$2)&lt;&gt;0,SUMIFS(Sheet1!$E:$E,Sheet1!$C:$C,$A111,Sheet1!$A:$A,M$2),"")</f>
        <v/>
      </c>
      <c r="N111" s="9" t="str">
        <f>IF(SUMIFS(Sheet1!$E:$E,Sheet1!$C:$C,$A111,Sheet1!$A:$A,N$2)&lt;&gt;0,SUMIFS(Sheet1!$E:$E,Sheet1!$C:$C,$A111,Sheet1!$A:$A,N$2),"")</f>
        <v/>
      </c>
      <c r="O111" s="9" t="str">
        <f>IF(SUMIFS(Sheet1!$E:$E,Sheet1!$C:$C,$A111,Sheet1!$A:$A,O$2)&lt;&gt;0,SUMIFS(Sheet1!$E:$E,Sheet1!$C:$C,$A111,Sheet1!$A:$A,O$2),"")</f>
        <v/>
      </c>
      <c r="P111" s="9" t="str">
        <f>IF(SUMIFS(Sheet1!$E:$E,Sheet1!$C:$C,$A111,Sheet1!$A:$A,P$2)&lt;&gt;0,SUMIFS(Sheet1!$E:$E,Sheet1!$C:$C,$A111,Sheet1!$A:$A,P$2),"")</f>
        <v/>
      </c>
      <c r="Q111" s="9" t="str">
        <f>IF(SUMIFS(Sheet1!$E:$E,Sheet1!$C:$C,$A111,Sheet1!$A:$A,Q$2)&lt;&gt;0,SUMIFS(Sheet1!$E:$E,Sheet1!$C:$C,$A111,Sheet1!$A:$A,Q$2),"")</f>
        <v/>
      </c>
      <c r="R111" s="9" t="str">
        <f>IF(SUMIFS(Sheet1!$E:$E,Sheet1!$C:$C,$A111,Sheet1!$A:$A,R$2)&lt;&gt;0,SUMIFS(Sheet1!$E:$E,Sheet1!$C:$C,$A111,Sheet1!$A:$A,R$2),"")</f>
        <v/>
      </c>
      <c r="S111" s="9" t="str">
        <f>IF(SUMIFS(Sheet1!$E:$E,Sheet1!$C:$C,$A111,Sheet1!$A:$A,S$2)&lt;&gt;0,SUMIFS(Sheet1!$E:$E,Sheet1!$C:$C,$A111,Sheet1!$A:$A,S$2),"")</f>
        <v/>
      </c>
      <c r="T111" s="9" t="str">
        <f>IF(SUMIFS(Sheet1!$E:$E,Sheet1!$C:$C,$A111,Sheet1!$A:$A,T$2)&lt;&gt;0,SUMIFS(Sheet1!$E:$E,Sheet1!$C:$C,$A111,Sheet1!$A:$A,T$2),"")</f>
        <v/>
      </c>
      <c r="U111" s="9" t="str">
        <f>IF(SUMIFS(Sheet1!$E:$E,Sheet1!$C:$C,$A111,Sheet1!$A:$A,U$2)&lt;&gt;0,SUMIFS(Sheet1!$E:$E,Sheet1!$C:$C,$A111,Sheet1!$A:$A,U$2),"")</f>
        <v/>
      </c>
      <c r="V111" s="9" t="str">
        <f>IF(SUMIFS(Sheet1!$E:$E,Sheet1!$C:$C,$A111,Sheet1!$A:$A,V$2)&lt;&gt;0,SUMIFS(Sheet1!$E:$E,Sheet1!$C:$C,$A111,Sheet1!$A:$A,V$2),"")</f>
        <v/>
      </c>
      <c r="W111" s="9" t="str">
        <f>IF(SUMIFS(Sheet1!$E:$E,Sheet1!$C:$C,$A111,Sheet1!$A:$A,W$2)&lt;&gt;0,SUMIFS(Sheet1!$E:$E,Sheet1!$C:$C,$A111,Sheet1!$A:$A,W$2),"")</f>
        <v/>
      </c>
      <c r="X111" s="9" t="str">
        <f>IF(SUMIFS(Sheet1!$E:$E,Sheet1!$C:$C,$A111,Sheet1!$A:$A,X$2)&lt;&gt;0,SUMIFS(Sheet1!$E:$E,Sheet1!$C:$C,$A111,Sheet1!$A:$A,X$2),"")</f>
        <v/>
      </c>
      <c r="Y111" s="9" t="str">
        <f>IF(SUMIFS(Sheet1!$E:$E,Sheet1!$C:$C,$A111,Sheet1!$A:$A,Y$2)&lt;&gt;0,SUMIFS(Sheet1!$E:$E,Sheet1!$C:$C,$A111,Sheet1!$A:$A,Y$2),"")</f>
        <v/>
      </c>
      <c r="Z111" s="9" t="str">
        <f>IF(SUMIFS(Sheet1!$E:$E,Sheet1!$C:$C,$A111,Sheet1!$A:$A,Z$2)&lt;&gt;0,SUMIFS(Sheet1!$E:$E,Sheet1!$C:$C,$A111,Sheet1!$A:$A,Z$2),"")</f>
        <v/>
      </c>
      <c r="AA111" s="9" t="str">
        <f>IF(SUMIFS(Sheet1!$E:$E,Sheet1!$C:$C,$A111,Sheet1!$A:$A,AA$2)&lt;&gt;0,SUMIFS(Sheet1!$E:$E,Sheet1!$C:$C,$A111,Sheet1!$A:$A,AA$2),"")</f>
        <v/>
      </c>
      <c r="AB111" s="9" t="str">
        <f>IF(SUMIFS(Sheet1!$E:$E,Sheet1!$C:$C,$A111,Sheet1!$A:$A,AB$2)&lt;&gt;0,SUMIFS(Sheet1!$E:$E,Sheet1!$C:$C,$A111,Sheet1!$A:$A,AB$2),"")</f>
        <v/>
      </c>
      <c r="AC111" s="9" t="str">
        <f>IF(SUMIFS(Sheet1!$E:$E,Sheet1!$C:$C,$A111,Sheet1!$A:$A,AC$2)&lt;&gt;0,SUMIFS(Sheet1!$E:$E,Sheet1!$C:$C,$A111,Sheet1!$A:$A,AC$2),"")</f>
        <v/>
      </c>
      <c r="AD111" s="9" t="str">
        <f>IF(SUMIFS(Sheet1!$E:$E,Sheet1!$C:$C,$A111,Sheet1!$A:$A,AD$2)&lt;&gt;0,SUMIFS(Sheet1!$E:$E,Sheet1!$C:$C,$A111,Sheet1!$A:$A,AD$2),"")</f>
        <v/>
      </c>
      <c r="AE111" s="9" t="str">
        <f>IF(SUMIFS(Sheet1!$E:$E,Sheet1!$C:$C,$A111,Sheet1!$A:$A,AE$2)&lt;&gt;0,SUMIFS(Sheet1!$E:$E,Sheet1!$C:$C,$A111,Sheet1!$A:$A,AE$2),"")</f>
        <v/>
      </c>
      <c r="AF111" s="9" t="str">
        <f>IF(SUMIFS(Sheet1!$E:$E,Sheet1!$C:$C,$A111,Sheet1!$A:$A,AF$2)&lt;&gt;0,SUMIFS(Sheet1!$E:$E,Sheet1!$C:$C,$A111,Sheet1!$A:$A,AF$2),"")</f>
        <v/>
      </c>
      <c r="AG111" s="9" t="str">
        <f>IF(SUMIFS(Sheet1!$E:$E,Sheet1!$C:$C,$A111,Sheet1!$A:$A,AG$2)&lt;&gt;0,SUMIFS(Sheet1!$E:$E,Sheet1!$C:$C,$A111,Sheet1!$A:$A,AG$2),"")</f>
        <v/>
      </c>
      <c r="AH111" s="47">
        <f>SUM(Table24[[#This Row],[1]:[31]])</f>
        <v>0</v>
      </c>
    </row>
    <row r="112" spans="1:34" ht="12.75" customHeight="1">
      <c r="A112" s="24" t="str">
        <f>DSSP!A111</f>
        <v>R005</v>
      </c>
      <c r="B112" s="25" t="str">
        <f>DSSP!B111</f>
        <v>Angry bird đỏ</v>
      </c>
      <c r="C112" s="9" t="str">
        <f>IF(SUMIFS(Sheet1!$E:$E,Sheet1!$C:$C,$A112,Sheet1!$A:$A,C$2)&lt;&gt;0,SUMIFS(Sheet1!$E:$E,Sheet1!$C:$C,$A112,Sheet1!$A:$A,C$2),"")</f>
        <v/>
      </c>
      <c r="D112" s="9" t="str">
        <f>IF(SUMIFS(Sheet1!$E:$E,Sheet1!$C:$C,$A112,Sheet1!$A:$A,D$2)&lt;&gt;0,SUMIFS(Sheet1!$E:$E,Sheet1!$C:$C,$A112,Sheet1!$A:$A,D$2),"")</f>
        <v/>
      </c>
      <c r="E112" s="9" t="str">
        <f>IF(SUMIFS(Sheet1!$E:$E,Sheet1!$C:$C,$A112,Sheet1!$A:$A,E$2)&lt;&gt;0,SUMIFS(Sheet1!$E:$E,Sheet1!$C:$C,$A112,Sheet1!$A:$A,E$2),"")</f>
        <v/>
      </c>
      <c r="F112" s="9" t="str">
        <f>IF(SUMIFS(Sheet1!$E:$E,Sheet1!$C:$C,$A112,Sheet1!$A:$A,F$2)&lt;&gt;0,SUMIFS(Sheet1!$E:$E,Sheet1!$C:$C,$A112,Sheet1!$A:$A,F$2),"")</f>
        <v/>
      </c>
      <c r="G112" s="9" t="str">
        <f>IF(SUMIFS(Sheet1!$E:$E,Sheet1!$C:$C,$A112,Sheet1!$A:$A,G$2)&lt;&gt;0,SUMIFS(Sheet1!$E:$E,Sheet1!$C:$C,$A112,Sheet1!$A:$A,G$2),"")</f>
        <v/>
      </c>
      <c r="H112" s="9" t="str">
        <f>IF(SUMIFS(Sheet1!$E:$E,Sheet1!$C:$C,$A112,Sheet1!$A:$A,H$2)&lt;&gt;0,SUMIFS(Sheet1!$E:$E,Sheet1!$C:$C,$A112,Sheet1!$A:$A,H$2),"")</f>
        <v/>
      </c>
      <c r="I112" s="9" t="str">
        <f>IF(SUMIFS(Sheet1!$E:$E,Sheet1!$C:$C,$A112,Sheet1!$A:$A,I$2)&lt;&gt;0,SUMIFS(Sheet1!$E:$E,Sheet1!$C:$C,$A112,Sheet1!$A:$A,I$2),"")</f>
        <v/>
      </c>
      <c r="J112" s="9" t="str">
        <f>IF(SUMIFS(Sheet1!$E:$E,Sheet1!$C:$C,$A112,Sheet1!$A:$A,J$2)&lt;&gt;0,SUMIFS(Sheet1!$E:$E,Sheet1!$C:$C,$A112,Sheet1!$A:$A,J$2),"")</f>
        <v/>
      </c>
      <c r="K112" s="9" t="str">
        <f>IF(SUMIFS(Sheet1!$E:$E,Sheet1!$C:$C,$A112,Sheet1!$A:$A,K$2)&lt;&gt;0,SUMIFS(Sheet1!$E:$E,Sheet1!$C:$C,$A112,Sheet1!$A:$A,K$2),"")</f>
        <v/>
      </c>
      <c r="L112" s="9" t="str">
        <f>IF(SUMIFS(Sheet1!$E:$E,Sheet1!$C:$C,$A112,Sheet1!$A:$A,L$2)&lt;&gt;0,SUMIFS(Sheet1!$E:$E,Sheet1!$C:$C,$A112,Sheet1!$A:$A,L$2),"")</f>
        <v/>
      </c>
      <c r="M112" s="9" t="str">
        <f>IF(SUMIFS(Sheet1!$E:$E,Sheet1!$C:$C,$A112,Sheet1!$A:$A,M$2)&lt;&gt;0,SUMIFS(Sheet1!$E:$E,Sheet1!$C:$C,$A112,Sheet1!$A:$A,M$2),"")</f>
        <v/>
      </c>
      <c r="N112" s="9" t="str">
        <f>IF(SUMIFS(Sheet1!$E:$E,Sheet1!$C:$C,$A112,Sheet1!$A:$A,N$2)&lt;&gt;0,SUMIFS(Sheet1!$E:$E,Sheet1!$C:$C,$A112,Sheet1!$A:$A,N$2),"")</f>
        <v/>
      </c>
      <c r="O112" s="9" t="str">
        <f>IF(SUMIFS(Sheet1!$E:$E,Sheet1!$C:$C,$A112,Sheet1!$A:$A,O$2)&lt;&gt;0,SUMIFS(Sheet1!$E:$E,Sheet1!$C:$C,$A112,Sheet1!$A:$A,O$2),"")</f>
        <v/>
      </c>
      <c r="P112" s="9" t="str">
        <f>IF(SUMIFS(Sheet1!$E:$E,Sheet1!$C:$C,$A112,Sheet1!$A:$A,P$2)&lt;&gt;0,SUMIFS(Sheet1!$E:$E,Sheet1!$C:$C,$A112,Sheet1!$A:$A,P$2),"")</f>
        <v/>
      </c>
      <c r="Q112" s="9" t="str">
        <f>IF(SUMIFS(Sheet1!$E:$E,Sheet1!$C:$C,$A112,Sheet1!$A:$A,Q$2)&lt;&gt;0,SUMIFS(Sheet1!$E:$E,Sheet1!$C:$C,$A112,Sheet1!$A:$A,Q$2),"")</f>
        <v/>
      </c>
      <c r="R112" s="9" t="str">
        <f>IF(SUMIFS(Sheet1!$E:$E,Sheet1!$C:$C,$A112,Sheet1!$A:$A,R$2)&lt;&gt;0,SUMIFS(Sheet1!$E:$E,Sheet1!$C:$C,$A112,Sheet1!$A:$A,R$2),"")</f>
        <v/>
      </c>
      <c r="S112" s="9" t="str">
        <f>IF(SUMIFS(Sheet1!$E:$E,Sheet1!$C:$C,$A112,Sheet1!$A:$A,S$2)&lt;&gt;0,SUMIFS(Sheet1!$E:$E,Sheet1!$C:$C,$A112,Sheet1!$A:$A,S$2),"")</f>
        <v/>
      </c>
      <c r="T112" s="9" t="str">
        <f>IF(SUMIFS(Sheet1!$E:$E,Sheet1!$C:$C,$A112,Sheet1!$A:$A,T$2)&lt;&gt;0,SUMIFS(Sheet1!$E:$E,Sheet1!$C:$C,$A112,Sheet1!$A:$A,T$2),"")</f>
        <v/>
      </c>
      <c r="U112" s="9" t="str">
        <f>IF(SUMIFS(Sheet1!$E:$E,Sheet1!$C:$C,$A112,Sheet1!$A:$A,U$2)&lt;&gt;0,SUMIFS(Sheet1!$E:$E,Sheet1!$C:$C,$A112,Sheet1!$A:$A,U$2),"")</f>
        <v/>
      </c>
      <c r="V112" s="9" t="str">
        <f>IF(SUMIFS(Sheet1!$E:$E,Sheet1!$C:$C,$A112,Sheet1!$A:$A,V$2)&lt;&gt;0,SUMIFS(Sheet1!$E:$E,Sheet1!$C:$C,$A112,Sheet1!$A:$A,V$2),"")</f>
        <v/>
      </c>
      <c r="W112" s="9" t="str">
        <f>IF(SUMIFS(Sheet1!$E:$E,Sheet1!$C:$C,$A112,Sheet1!$A:$A,W$2)&lt;&gt;0,SUMIFS(Sheet1!$E:$E,Sheet1!$C:$C,$A112,Sheet1!$A:$A,W$2),"")</f>
        <v/>
      </c>
      <c r="X112" s="9" t="str">
        <f>IF(SUMIFS(Sheet1!$E:$E,Sheet1!$C:$C,$A112,Sheet1!$A:$A,X$2)&lt;&gt;0,SUMIFS(Sheet1!$E:$E,Sheet1!$C:$C,$A112,Sheet1!$A:$A,X$2),"")</f>
        <v/>
      </c>
      <c r="Y112" s="9" t="str">
        <f>IF(SUMIFS(Sheet1!$E:$E,Sheet1!$C:$C,$A112,Sheet1!$A:$A,Y$2)&lt;&gt;0,SUMIFS(Sheet1!$E:$E,Sheet1!$C:$C,$A112,Sheet1!$A:$A,Y$2),"")</f>
        <v/>
      </c>
      <c r="Z112" s="9" t="str">
        <f>IF(SUMIFS(Sheet1!$E:$E,Sheet1!$C:$C,$A112,Sheet1!$A:$A,Z$2)&lt;&gt;0,SUMIFS(Sheet1!$E:$E,Sheet1!$C:$C,$A112,Sheet1!$A:$A,Z$2),"")</f>
        <v/>
      </c>
      <c r="AA112" s="9" t="str">
        <f>IF(SUMIFS(Sheet1!$E:$E,Sheet1!$C:$C,$A112,Sheet1!$A:$A,AA$2)&lt;&gt;0,SUMIFS(Sheet1!$E:$E,Sheet1!$C:$C,$A112,Sheet1!$A:$A,AA$2),"")</f>
        <v/>
      </c>
      <c r="AB112" s="9" t="str">
        <f>IF(SUMIFS(Sheet1!$E:$E,Sheet1!$C:$C,$A112,Sheet1!$A:$A,AB$2)&lt;&gt;0,SUMIFS(Sheet1!$E:$E,Sheet1!$C:$C,$A112,Sheet1!$A:$A,AB$2),"")</f>
        <v/>
      </c>
      <c r="AC112" s="9" t="str">
        <f>IF(SUMIFS(Sheet1!$E:$E,Sheet1!$C:$C,$A112,Sheet1!$A:$A,AC$2)&lt;&gt;0,SUMIFS(Sheet1!$E:$E,Sheet1!$C:$C,$A112,Sheet1!$A:$A,AC$2),"")</f>
        <v/>
      </c>
      <c r="AD112" s="9" t="str">
        <f>IF(SUMIFS(Sheet1!$E:$E,Sheet1!$C:$C,$A112,Sheet1!$A:$A,AD$2)&lt;&gt;0,SUMIFS(Sheet1!$E:$E,Sheet1!$C:$C,$A112,Sheet1!$A:$A,AD$2),"")</f>
        <v/>
      </c>
      <c r="AE112" s="9" t="str">
        <f>IF(SUMIFS(Sheet1!$E:$E,Sheet1!$C:$C,$A112,Sheet1!$A:$A,AE$2)&lt;&gt;0,SUMIFS(Sheet1!$E:$E,Sheet1!$C:$C,$A112,Sheet1!$A:$A,AE$2),"")</f>
        <v/>
      </c>
      <c r="AF112" s="9" t="str">
        <f>IF(SUMIFS(Sheet1!$E:$E,Sheet1!$C:$C,$A112,Sheet1!$A:$A,AF$2)&lt;&gt;0,SUMIFS(Sheet1!$E:$E,Sheet1!$C:$C,$A112,Sheet1!$A:$A,AF$2),"")</f>
        <v/>
      </c>
      <c r="AG112" s="9" t="str">
        <f>IF(SUMIFS(Sheet1!$E:$E,Sheet1!$C:$C,$A112,Sheet1!$A:$A,AG$2)&lt;&gt;0,SUMIFS(Sheet1!$E:$E,Sheet1!$C:$C,$A112,Sheet1!$A:$A,AG$2),"")</f>
        <v/>
      </c>
      <c r="AH112" s="47">
        <f>SUM(Table24[[#This Row],[1]:[31]])</f>
        <v>0</v>
      </c>
    </row>
    <row r="113" spans="1:34" ht="12.75" customHeight="1">
      <c r="A113" s="24" t="str">
        <f>DSSP!A112</f>
        <v>R006</v>
      </c>
      <c r="B113" s="25" t="str">
        <f>DSSP!B112</f>
        <v>Angry bird trắng</v>
      </c>
      <c r="C113" s="9">
        <f>IF(SUMIFS(Sheet1!$E:$E,Sheet1!$C:$C,$A113,Sheet1!$A:$A,C$2)&lt;&gt;0,SUMIFS(Sheet1!$E:$E,Sheet1!$C:$C,$A113,Sheet1!$A:$A,C$2),"")</f>
        <v>1</v>
      </c>
      <c r="D113" s="9" t="str">
        <f>IF(SUMIFS(Sheet1!$E:$E,Sheet1!$C:$C,$A113,Sheet1!$A:$A,D$2)&lt;&gt;0,SUMIFS(Sheet1!$E:$E,Sheet1!$C:$C,$A113,Sheet1!$A:$A,D$2),"")</f>
        <v/>
      </c>
      <c r="E113" s="9" t="str">
        <f>IF(SUMIFS(Sheet1!$E:$E,Sheet1!$C:$C,$A113,Sheet1!$A:$A,E$2)&lt;&gt;0,SUMIFS(Sheet1!$E:$E,Sheet1!$C:$C,$A113,Sheet1!$A:$A,E$2),"")</f>
        <v/>
      </c>
      <c r="F113" s="9" t="str">
        <f>IF(SUMIFS(Sheet1!$E:$E,Sheet1!$C:$C,$A113,Sheet1!$A:$A,F$2)&lt;&gt;0,SUMIFS(Sheet1!$E:$E,Sheet1!$C:$C,$A113,Sheet1!$A:$A,F$2),"")</f>
        <v/>
      </c>
      <c r="G113" s="9" t="str">
        <f>IF(SUMIFS(Sheet1!$E:$E,Sheet1!$C:$C,$A113,Sheet1!$A:$A,G$2)&lt;&gt;0,SUMIFS(Sheet1!$E:$E,Sheet1!$C:$C,$A113,Sheet1!$A:$A,G$2),"")</f>
        <v/>
      </c>
      <c r="H113" s="9" t="str">
        <f>IF(SUMIFS(Sheet1!$E:$E,Sheet1!$C:$C,$A113,Sheet1!$A:$A,H$2)&lt;&gt;0,SUMIFS(Sheet1!$E:$E,Sheet1!$C:$C,$A113,Sheet1!$A:$A,H$2),"")</f>
        <v/>
      </c>
      <c r="I113" s="9" t="str">
        <f>IF(SUMIFS(Sheet1!$E:$E,Sheet1!$C:$C,$A113,Sheet1!$A:$A,I$2)&lt;&gt;0,SUMIFS(Sheet1!$E:$E,Sheet1!$C:$C,$A113,Sheet1!$A:$A,I$2),"")</f>
        <v/>
      </c>
      <c r="J113" s="9" t="str">
        <f>IF(SUMIFS(Sheet1!$E:$E,Sheet1!$C:$C,$A113,Sheet1!$A:$A,J$2)&lt;&gt;0,SUMIFS(Sheet1!$E:$E,Sheet1!$C:$C,$A113,Sheet1!$A:$A,J$2),"")</f>
        <v/>
      </c>
      <c r="K113" s="9" t="str">
        <f>IF(SUMIFS(Sheet1!$E:$E,Sheet1!$C:$C,$A113,Sheet1!$A:$A,K$2)&lt;&gt;0,SUMIFS(Sheet1!$E:$E,Sheet1!$C:$C,$A113,Sheet1!$A:$A,K$2),"")</f>
        <v/>
      </c>
      <c r="L113" s="9" t="str">
        <f>IF(SUMIFS(Sheet1!$E:$E,Sheet1!$C:$C,$A113,Sheet1!$A:$A,L$2)&lt;&gt;0,SUMIFS(Sheet1!$E:$E,Sheet1!$C:$C,$A113,Sheet1!$A:$A,L$2),"")</f>
        <v/>
      </c>
      <c r="M113" s="9" t="str">
        <f>IF(SUMIFS(Sheet1!$E:$E,Sheet1!$C:$C,$A113,Sheet1!$A:$A,M$2)&lt;&gt;0,SUMIFS(Sheet1!$E:$E,Sheet1!$C:$C,$A113,Sheet1!$A:$A,M$2),"")</f>
        <v/>
      </c>
      <c r="N113" s="9" t="str">
        <f>IF(SUMIFS(Sheet1!$E:$E,Sheet1!$C:$C,$A113,Sheet1!$A:$A,N$2)&lt;&gt;0,SUMIFS(Sheet1!$E:$E,Sheet1!$C:$C,$A113,Sheet1!$A:$A,N$2),"")</f>
        <v/>
      </c>
      <c r="O113" s="9" t="str">
        <f>IF(SUMIFS(Sheet1!$E:$E,Sheet1!$C:$C,$A113,Sheet1!$A:$A,O$2)&lt;&gt;0,SUMIFS(Sheet1!$E:$E,Sheet1!$C:$C,$A113,Sheet1!$A:$A,O$2),"")</f>
        <v/>
      </c>
      <c r="P113" s="9" t="str">
        <f>IF(SUMIFS(Sheet1!$E:$E,Sheet1!$C:$C,$A113,Sheet1!$A:$A,P$2)&lt;&gt;0,SUMIFS(Sheet1!$E:$E,Sheet1!$C:$C,$A113,Sheet1!$A:$A,P$2),"")</f>
        <v/>
      </c>
      <c r="Q113" s="9" t="str">
        <f>IF(SUMIFS(Sheet1!$E:$E,Sheet1!$C:$C,$A113,Sheet1!$A:$A,Q$2)&lt;&gt;0,SUMIFS(Sheet1!$E:$E,Sheet1!$C:$C,$A113,Sheet1!$A:$A,Q$2),"")</f>
        <v/>
      </c>
      <c r="R113" s="9" t="str">
        <f>IF(SUMIFS(Sheet1!$E:$E,Sheet1!$C:$C,$A113,Sheet1!$A:$A,R$2)&lt;&gt;0,SUMIFS(Sheet1!$E:$E,Sheet1!$C:$C,$A113,Sheet1!$A:$A,R$2),"")</f>
        <v/>
      </c>
      <c r="S113" s="9" t="str">
        <f>IF(SUMIFS(Sheet1!$E:$E,Sheet1!$C:$C,$A113,Sheet1!$A:$A,S$2)&lt;&gt;0,SUMIFS(Sheet1!$E:$E,Sheet1!$C:$C,$A113,Sheet1!$A:$A,S$2),"")</f>
        <v/>
      </c>
      <c r="T113" s="9" t="str">
        <f>IF(SUMIFS(Sheet1!$E:$E,Sheet1!$C:$C,$A113,Sheet1!$A:$A,T$2)&lt;&gt;0,SUMIFS(Sheet1!$E:$E,Sheet1!$C:$C,$A113,Sheet1!$A:$A,T$2),"")</f>
        <v/>
      </c>
      <c r="U113" s="9" t="str">
        <f>IF(SUMIFS(Sheet1!$E:$E,Sheet1!$C:$C,$A113,Sheet1!$A:$A,U$2)&lt;&gt;0,SUMIFS(Sheet1!$E:$E,Sheet1!$C:$C,$A113,Sheet1!$A:$A,U$2),"")</f>
        <v/>
      </c>
      <c r="V113" s="9" t="str">
        <f>IF(SUMIFS(Sheet1!$E:$E,Sheet1!$C:$C,$A113,Sheet1!$A:$A,V$2)&lt;&gt;0,SUMIFS(Sheet1!$E:$E,Sheet1!$C:$C,$A113,Sheet1!$A:$A,V$2),"")</f>
        <v/>
      </c>
      <c r="W113" s="9" t="str">
        <f>IF(SUMIFS(Sheet1!$E:$E,Sheet1!$C:$C,$A113,Sheet1!$A:$A,W$2)&lt;&gt;0,SUMIFS(Sheet1!$E:$E,Sheet1!$C:$C,$A113,Sheet1!$A:$A,W$2),"")</f>
        <v/>
      </c>
      <c r="X113" s="9" t="str">
        <f>IF(SUMIFS(Sheet1!$E:$E,Sheet1!$C:$C,$A113,Sheet1!$A:$A,X$2)&lt;&gt;0,SUMIFS(Sheet1!$E:$E,Sheet1!$C:$C,$A113,Sheet1!$A:$A,X$2),"")</f>
        <v/>
      </c>
      <c r="Y113" s="9" t="str">
        <f>IF(SUMIFS(Sheet1!$E:$E,Sheet1!$C:$C,$A113,Sheet1!$A:$A,Y$2)&lt;&gt;0,SUMIFS(Sheet1!$E:$E,Sheet1!$C:$C,$A113,Sheet1!$A:$A,Y$2),"")</f>
        <v/>
      </c>
      <c r="Z113" s="9" t="str">
        <f>IF(SUMIFS(Sheet1!$E:$E,Sheet1!$C:$C,$A113,Sheet1!$A:$A,Z$2)&lt;&gt;0,SUMIFS(Sheet1!$E:$E,Sheet1!$C:$C,$A113,Sheet1!$A:$A,Z$2),"")</f>
        <v/>
      </c>
      <c r="AA113" s="9" t="str">
        <f>IF(SUMIFS(Sheet1!$E:$E,Sheet1!$C:$C,$A113,Sheet1!$A:$A,AA$2)&lt;&gt;0,SUMIFS(Sheet1!$E:$E,Sheet1!$C:$C,$A113,Sheet1!$A:$A,AA$2),"")</f>
        <v/>
      </c>
      <c r="AB113" s="9" t="str">
        <f>IF(SUMIFS(Sheet1!$E:$E,Sheet1!$C:$C,$A113,Sheet1!$A:$A,AB$2)&lt;&gt;0,SUMIFS(Sheet1!$E:$E,Sheet1!$C:$C,$A113,Sheet1!$A:$A,AB$2),"")</f>
        <v/>
      </c>
      <c r="AC113" s="9" t="str">
        <f>IF(SUMIFS(Sheet1!$E:$E,Sheet1!$C:$C,$A113,Sheet1!$A:$A,AC$2)&lt;&gt;0,SUMIFS(Sheet1!$E:$E,Sheet1!$C:$C,$A113,Sheet1!$A:$A,AC$2),"")</f>
        <v/>
      </c>
      <c r="AD113" s="9" t="str">
        <f>IF(SUMIFS(Sheet1!$E:$E,Sheet1!$C:$C,$A113,Sheet1!$A:$A,AD$2)&lt;&gt;0,SUMIFS(Sheet1!$E:$E,Sheet1!$C:$C,$A113,Sheet1!$A:$A,AD$2),"")</f>
        <v/>
      </c>
      <c r="AE113" s="9" t="str">
        <f>IF(SUMIFS(Sheet1!$E:$E,Sheet1!$C:$C,$A113,Sheet1!$A:$A,AE$2)&lt;&gt;0,SUMIFS(Sheet1!$E:$E,Sheet1!$C:$C,$A113,Sheet1!$A:$A,AE$2),"")</f>
        <v/>
      </c>
      <c r="AF113" s="9" t="str">
        <f>IF(SUMIFS(Sheet1!$E:$E,Sheet1!$C:$C,$A113,Sheet1!$A:$A,AF$2)&lt;&gt;0,SUMIFS(Sheet1!$E:$E,Sheet1!$C:$C,$A113,Sheet1!$A:$A,AF$2),"")</f>
        <v/>
      </c>
      <c r="AG113" s="9" t="str">
        <f>IF(SUMIFS(Sheet1!$E:$E,Sheet1!$C:$C,$A113,Sheet1!$A:$A,AG$2)&lt;&gt;0,SUMIFS(Sheet1!$E:$E,Sheet1!$C:$C,$A113,Sheet1!$A:$A,AG$2),"")</f>
        <v/>
      </c>
      <c r="AH113" s="47">
        <f>SUM(Table24[[#This Row],[1]:[31]])</f>
        <v>1</v>
      </c>
    </row>
    <row r="114" spans="1:34" ht="12.75" customHeight="1">
      <c r="A114" s="24" t="str">
        <f>DSSP!A113</f>
        <v>R007</v>
      </c>
      <c r="B114" s="25" t="str">
        <f>DSSP!B113</f>
        <v>Angry bird vàng</v>
      </c>
      <c r="C114" s="9">
        <f>IF(SUMIFS(Sheet1!$E:$E,Sheet1!$C:$C,$A114,Sheet1!$A:$A,C$2)&lt;&gt;0,SUMIFS(Sheet1!$E:$E,Sheet1!$C:$C,$A114,Sheet1!$A:$A,C$2),"")</f>
        <v>2</v>
      </c>
      <c r="D114" s="9" t="str">
        <f>IF(SUMIFS(Sheet1!$E:$E,Sheet1!$C:$C,$A114,Sheet1!$A:$A,D$2)&lt;&gt;0,SUMIFS(Sheet1!$E:$E,Sheet1!$C:$C,$A114,Sheet1!$A:$A,D$2),"")</f>
        <v/>
      </c>
      <c r="E114" s="9" t="str">
        <f>IF(SUMIFS(Sheet1!$E:$E,Sheet1!$C:$C,$A114,Sheet1!$A:$A,E$2)&lt;&gt;0,SUMIFS(Sheet1!$E:$E,Sheet1!$C:$C,$A114,Sheet1!$A:$A,E$2),"")</f>
        <v/>
      </c>
      <c r="F114" s="9" t="str">
        <f>IF(SUMIFS(Sheet1!$E:$E,Sheet1!$C:$C,$A114,Sheet1!$A:$A,F$2)&lt;&gt;0,SUMIFS(Sheet1!$E:$E,Sheet1!$C:$C,$A114,Sheet1!$A:$A,F$2),"")</f>
        <v/>
      </c>
      <c r="G114" s="9" t="str">
        <f>IF(SUMIFS(Sheet1!$E:$E,Sheet1!$C:$C,$A114,Sheet1!$A:$A,G$2)&lt;&gt;0,SUMIFS(Sheet1!$E:$E,Sheet1!$C:$C,$A114,Sheet1!$A:$A,G$2),"")</f>
        <v/>
      </c>
      <c r="H114" s="9" t="str">
        <f>IF(SUMIFS(Sheet1!$E:$E,Sheet1!$C:$C,$A114,Sheet1!$A:$A,H$2)&lt;&gt;0,SUMIFS(Sheet1!$E:$E,Sheet1!$C:$C,$A114,Sheet1!$A:$A,H$2),"")</f>
        <v/>
      </c>
      <c r="I114" s="9" t="str">
        <f>IF(SUMIFS(Sheet1!$E:$E,Sheet1!$C:$C,$A114,Sheet1!$A:$A,I$2)&lt;&gt;0,SUMIFS(Sheet1!$E:$E,Sheet1!$C:$C,$A114,Sheet1!$A:$A,I$2),"")</f>
        <v/>
      </c>
      <c r="J114" s="9" t="str">
        <f>IF(SUMIFS(Sheet1!$E:$E,Sheet1!$C:$C,$A114,Sheet1!$A:$A,J$2)&lt;&gt;0,SUMIFS(Sheet1!$E:$E,Sheet1!$C:$C,$A114,Sheet1!$A:$A,J$2),"")</f>
        <v/>
      </c>
      <c r="K114" s="9" t="str">
        <f>IF(SUMIFS(Sheet1!$E:$E,Sheet1!$C:$C,$A114,Sheet1!$A:$A,K$2)&lt;&gt;0,SUMIFS(Sheet1!$E:$E,Sheet1!$C:$C,$A114,Sheet1!$A:$A,K$2),"")</f>
        <v/>
      </c>
      <c r="L114" s="9" t="str">
        <f>IF(SUMIFS(Sheet1!$E:$E,Sheet1!$C:$C,$A114,Sheet1!$A:$A,L$2)&lt;&gt;0,SUMIFS(Sheet1!$E:$E,Sheet1!$C:$C,$A114,Sheet1!$A:$A,L$2),"")</f>
        <v/>
      </c>
      <c r="M114" s="9" t="str">
        <f>IF(SUMIFS(Sheet1!$E:$E,Sheet1!$C:$C,$A114,Sheet1!$A:$A,M$2)&lt;&gt;0,SUMIFS(Sheet1!$E:$E,Sheet1!$C:$C,$A114,Sheet1!$A:$A,M$2),"")</f>
        <v/>
      </c>
      <c r="N114" s="9" t="str">
        <f>IF(SUMIFS(Sheet1!$E:$E,Sheet1!$C:$C,$A114,Sheet1!$A:$A,N$2)&lt;&gt;0,SUMIFS(Sheet1!$E:$E,Sheet1!$C:$C,$A114,Sheet1!$A:$A,N$2),"")</f>
        <v/>
      </c>
      <c r="O114" s="9" t="str">
        <f>IF(SUMIFS(Sheet1!$E:$E,Sheet1!$C:$C,$A114,Sheet1!$A:$A,O$2)&lt;&gt;0,SUMIFS(Sheet1!$E:$E,Sheet1!$C:$C,$A114,Sheet1!$A:$A,O$2),"")</f>
        <v/>
      </c>
      <c r="P114" s="9" t="str">
        <f>IF(SUMIFS(Sheet1!$E:$E,Sheet1!$C:$C,$A114,Sheet1!$A:$A,P$2)&lt;&gt;0,SUMIFS(Sheet1!$E:$E,Sheet1!$C:$C,$A114,Sheet1!$A:$A,P$2),"")</f>
        <v/>
      </c>
      <c r="Q114" s="9" t="str">
        <f>IF(SUMIFS(Sheet1!$E:$E,Sheet1!$C:$C,$A114,Sheet1!$A:$A,Q$2)&lt;&gt;0,SUMIFS(Sheet1!$E:$E,Sheet1!$C:$C,$A114,Sheet1!$A:$A,Q$2),"")</f>
        <v/>
      </c>
      <c r="R114" s="9" t="str">
        <f>IF(SUMIFS(Sheet1!$E:$E,Sheet1!$C:$C,$A114,Sheet1!$A:$A,R$2)&lt;&gt;0,SUMIFS(Sheet1!$E:$E,Sheet1!$C:$C,$A114,Sheet1!$A:$A,R$2),"")</f>
        <v/>
      </c>
      <c r="S114" s="9" t="str">
        <f>IF(SUMIFS(Sheet1!$E:$E,Sheet1!$C:$C,$A114,Sheet1!$A:$A,S$2)&lt;&gt;0,SUMIFS(Sheet1!$E:$E,Sheet1!$C:$C,$A114,Sheet1!$A:$A,S$2),"")</f>
        <v/>
      </c>
      <c r="T114" s="9" t="str">
        <f>IF(SUMIFS(Sheet1!$E:$E,Sheet1!$C:$C,$A114,Sheet1!$A:$A,T$2)&lt;&gt;0,SUMIFS(Sheet1!$E:$E,Sheet1!$C:$C,$A114,Sheet1!$A:$A,T$2),"")</f>
        <v/>
      </c>
      <c r="U114" s="9" t="str">
        <f>IF(SUMIFS(Sheet1!$E:$E,Sheet1!$C:$C,$A114,Sheet1!$A:$A,U$2)&lt;&gt;0,SUMIFS(Sheet1!$E:$E,Sheet1!$C:$C,$A114,Sheet1!$A:$A,U$2),"")</f>
        <v/>
      </c>
      <c r="V114" s="9" t="str">
        <f>IF(SUMIFS(Sheet1!$E:$E,Sheet1!$C:$C,$A114,Sheet1!$A:$A,V$2)&lt;&gt;0,SUMIFS(Sheet1!$E:$E,Sheet1!$C:$C,$A114,Sheet1!$A:$A,V$2),"")</f>
        <v/>
      </c>
      <c r="W114" s="9" t="str">
        <f>IF(SUMIFS(Sheet1!$E:$E,Sheet1!$C:$C,$A114,Sheet1!$A:$A,W$2)&lt;&gt;0,SUMIFS(Sheet1!$E:$E,Sheet1!$C:$C,$A114,Sheet1!$A:$A,W$2),"")</f>
        <v/>
      </c>
      <c r="X114" s="9" t="str">
        <f>IF(SUMIFS(Sheet1!$E:$E,Sheet1!$C:$C,$A114,Sheet1!$A:$A,X$2)&lt;&gt;0,SUMIFS(Sheet1!$E:$E,Sheet1!$C:$C,$A114,Sheet1!$A:$A,X$2),"")</f>
        <v/>
      </c>
      <c r="Y114" s="9" t="str">
        <f>IF(SUMIFS(Sheet1!$E:$E,Sheet1!$C:$C,$A114,Sheet1!$A:$A,Y$2)&lt;&gt;0,SUMIFS(Sheet1!$E:$E,Sheet1!$C:$C,$A114,Sheet1!$A:$A,Y$2),"")</f>
        <v/>
      </c>
      <c r="Z114" s="9" t="str">
        <f>IF(SUMIFS(Sheet1!$E:$E,Sheet1!$C:$C,$A114,Sheet1!$A:$A,Z$2)&lt;&gt;0,SUMIFS(Sheet1!$E:$E,Sheet1!$C:$C,$A114,Sheet1!$A:$A,Z$2),"")</f>
        <v/>
      </c>
      <c r="AA114" s="9" t="str">
        <f>IF(SUMIFS(Sheet1!$E:$E,Sheet1!$C:$C,$A114,Sheet1!$A:$A,AA$2)&lt;&gt;0,SUMIFS(Sheet1!$E:$E,Sheet1!$C:$C,$A114,Sheet1!$A:$A,AA$2),"")</f>
        <v/>
      </c>
      <c r="AB114" s="9" t="str">
        <f>IF(SUMIFS(Sheet1!$E:$E,Sheet1!$C:$C,$A114,Sheet1!$A:$A,AB$2)&lt;&gt;0,SUMIFS(Sheet1!$E:$E,Sheet1!$C:$C,$A114,Sheet1!$A:$A,AB$2),"")</f>
        <v/>
      </c>
      <c r="AC114" s="9" t="str">
        <f>IF(SUMIFS(Sheet1!$E:$E,Sheet1!$C:$C,$A114,Sheet1!$A:$A,AC$2)&lt;&gt;0,SUMIFS(Sheet1!$E:$E,Sheet1!$C:$C,$A114,Sheet1!$A:$A,AC$2),"")</f>
        <v/>
      </c>
      <c r="AD114" s="9" t="str">
        <f>IF(SUMIFS(Sheet1!$E:$E,Sheet1!$C:$C,$A114,Sheet1!$A:$A,AD$2)&lt;&gt;0,SUMIFS(Sheet1!$E:$E,Sheet1!$C:$C,$A114,Sheet1!$A:$A,AD$2),"")</f>
        <v/>
      </c>
      <c r="AE114" s="9" t="str">
        <f>IF(SUMIFS(Sheet1!$E:$E,Sheet1!$C:$C,$A114,Sheet1!$A:$A,AE$2)&lt;&gt;0,SUMIFS(Sheet1!$E:$E,Sheet1!$C:$C,$A114,Sheet1!$A:$A,AE$2),"")</f>
        <v/>
      </c>
      <c r="AF114" s="9" t="str">
        <f>IF(SUMIFS(Sheet1!$E:$E,Sheet1!$C:$C,$A114,Sheet1!$A:$A,AF$2)&lt;&gt;0,SUMIFS(Sheet1!$E:$E,Sheet1!$C:$C,$A114,Sheet1!$A:$A,AF$2),"")</f>
        <v/>
      </c>
      <c r="AG114" s="9" t="str">
        <f>IF(SUMIFS(Sheet1!$E:$E,Sheet1!$C:$C,$A114,Sheet1!$A:$A,AG$2)&lt;&gt;0,SUMIFS(Sheet1!$E:$E,Sheet1!$C:$C,$A114,Sheet1!$A:$A,AG$2),"")</f>
        <v/>
      </c>
      <c r="AH114" s="47">
        <f>SUM(Table24[[#This Row],[1]:[31]])</f>
        <v>2</v>
      </c>
    </row>
    <row r="115" spans="1:34" ht="12.75" customHeight="1">
      <c r="A115" s="24" t="str">
        <f>DSSP!A114</f>
        <v>R008</v>
      </c>
      <c r="B115" s="25" t="str">
        <f>DSSP!B114</f>
        <v>Rùa</v>
      </c>
      <c r="C115" s="9" t="str">
        <f>IF(SUMIFS(Sheet1!$E:$E,Sheet1!$C:$C,$A115,Sheet1!$A:$A,C$2)&lt;&gt;0,SUMIFS(Sheet1!$E:$E,Sheet1!$C:$C,$A115,Sheet1!$A:$A,C$2),"")</f>
        <v/>
      </c>
      <c r="D115" s="9" t="str">
        <f>IF(SUMIFS(Sheet1!$E:$E,Sheet1!$C:$C,$A115,Sheet1!$A:$A,D$2)&lt;&gt;0,SUMIFS(Sheet1!$E:$E,Sheet1!$C:$C,$A115,Sheet1!$A:$A,D$2),"")</f>
        <v/>
      </c>
      <c r="E115" s="9" t="str">
        <f>IF(SUMIFS(Sheet1!$E:$E,Sheet1!$C:$C,$A115,Sheet1!$A:$A,E$2)&lt;&gt;0,SUMIFS(Sheet1!$E:$E,Sheet1!$C:$C,$A115,Sheet1!$A:$A,E$2),"")</f>
        <v/>
      </c>
      <c r="F115" s="9" t="str">
        <f>IF(SUMIFS(Sheet1!$E:$E,Sheet1!$C:$C,$A115,Sheet1!$A:$A,F$2)&lt;&gt;0,SUMIFS(Sheet1!$E:$E,Sheet1!$C:$C,$A115,Sheet1!$A:$A,F$2),"")</f>
        <v/>
      </c>
      <c r="G115" s="9" t="str">
        <f>IF(SUMIFS(Sheet1!$E:$E,Sheet1!$C:$C,$A115,Sheet1!$A:$A,G$2)&lt;&gt;0,SUMIFS(Sheet1!$E:$E,Sheet1!$C:$C,$A115,Sheet1!$A:$A,G$2),"")</f>
        <v/>
      </c>
      <c r="H115" s="9" t="str">
        <f>IF(SUMIFS(Sheet1!$E:$E,Sheet1!$C:$C,$A115,Sheet1!$A:$A,H$2)&lt;&gt;0,SUMIFS(Sheet1!$E:$E,Sheet1!$C:$C,$A115,Sheet1!$A:$A,H$2),"")</f>
        <v/>
      </c>
      <c r="I115" s="9" t="str">
        <f>IF(SUMIFS(Sheet1!$E:$E,Sheet1!$C:$C,$A115,Sheet1!$A:$A,I$2)&lt;&gt;0,SUMIFS(Sheet1!$E:$E,Sheet1!$C:$C,$A115,Sheet1!$A:$A,I$2),"")</f>
        <v/>
      </c>
      <c r="J115" s="9" t="str">
        <f>IF(SUMIFS(Sheet1!$E:$E,Sheet1!$C:$C,$A115,Sheet1!$A:$A,J$2)&lt;&gt;0,SUMIFS(Sheet1!$E:$E,Sheet1!$C:$C,$A115,Sheet1!$A:$A,J$2),"")</f>
        <v/>
      </c>
      <c r="K115" s="9" t="str">
        <f>IF(SUMIFS(Sheet1!$E:$E,Sheet1!$C:$C,$A115,Sheet1!$A:$A,K$2)&lt;&gt;0,SUMIFS(Sheet1!$E:$E,Sheet1!$C:$C,$A115,Sheet1!$A:$A,K$2),"")</f>
        <v/>
      </c>
      <c r="L115" s="9" t="str">
        <f>IF(SUMIFS(Sheet1!$E:$E,Sheet1!$C:$C,$A115,Sheet1!$A:$A,L$2)&lt;&gt;0,SUMIFS(Sheet1!$E:$E,Sheet1!$C:$C,$A115,Sheet1!$A:$A,L$2),"")</f>
        <v/>
      </c>
      <c r="M115" s="9" t="str">
        <f>IF(SUMIFS(Sheet1!$E:$E,Sheet1!$C:$C,$A115,Sheet1!$A:$A,M$2)&lt;&gt;0,SUMIFS(Sheet1!$E:$E,Sheet1!$C:$C,$A115,Sheet1!$A:$A,M$2),"")</f>
        <v/>
      </c>
      <c r="N115" s="9" t="str">
        <f>IF(SUMIFS(Sheet1!$E:$E,Sheet1!$C:$C,$A115,Sheet1!$A:$A,N$2)&lt;&gt;0,SUMIFS(Sheet1!$E:$E,Sheet1!$C:$C,$A115,Sheet1!$A:$A,N$2),"")</f>
        <v/>
      </c>
      <c r="O115" s="9" t="str">
        <f>IF(SUMIFS(Sheet1!$E:$E,Sheet1!$C:$C,$A115,Sheet1!$A:$A,O$2)&lt;&gt;0,SUMIFS(Sheet1!$E:$E,Sheet1!$C:$C,$A115,Sheet1!$A:$A,O$2),"")</f>
        <v/>
      </c>
      <c r="P115" s="9" t="str">
        <f>IF(SUMIFS(Sheet1!$E:$E,Sheet1!$C:$C,$A115,Sheet1!$A:$A,P$2)&lt;&gt;0,SUMIFS(Sheet1!$E:$E,Sheet1!$C:$C,$A115,Sheet1!$A:$A,P$2),"")</f>
        <v/>
      </c>
      <c r="Q115" s="9" t="str">
        <f>IF(SUMIFS(Sheet1!$E:$E,Sheet1!$C:$C,$A115,Sheet1!$A:$A,Q$2)&lt;&gt;0,SUMIFS(Sheet1!$E:$E,Sheet1!$C:$C,$A115,Sheet1!$A:$A,Q$2),"")</f>
        <v/>
      </c>
      <c r="R115" s="9" t="str">
        <f>IF(SUMIFS(Sheet1!$E:$E,Sheet1!$C:$C,$A115,Sheet1!$A:$A,R$2)&lt;&gt;0,SUMIFS(Sheet1!$E:$E,Sheet1!$C:$C,$A115,Sheet1!$A:$A,R$2),"")</f>
        <v/>
      </c>
      <c r="S115" s="9" t="str">
        <f>IF(SUMIFS(Sheet1!$E:$E,Sheet1!$C:$C,$A115,Sheet1!$A:$A,S$2)&lt;&gt;0,SUMIFS(Sheet1!$E:$E,Sheet1!$C:$C,$A115,Sheet1!$A:$A,S$2),"")</f>
        <v/>
      </c>
      <c r="T115" s="9" t="str">
        <f>IF(SUMIFS(Sheet1!$E:$E,Sheet1!$C:$C,$A115,Sheet1!$A:$A,T$2)&lt;&gt;0,SUMIFS(Sheet1!$E:$E,Sheet1!$C:$C,$A115,Sheet1!$A:$A,T$2),"")</f>
        <v/>
      </c>
      <c r="U115" s="9" t="str">
        <f>IF(SUMIFS(Sheet1!$E:$E,Sheet1!$C:$C,$A115,Sheet1!$A:$A,U$2)&lt;&gt;0,SUMIFS(Sheet1!$E:$E,Sheet1!$C:$C,$A115,Sheet1!$A:$A,U$2),"")</f>
        <v/>
      </c>
      <c r="V115" s="9" t="str">
        <f>IF(SUMIFS(Sheet1!$E:$E,Sheet1!$C:$C,$A115,Sheet1!$A:$A,V$2)&lt;&gt;0,SUMIFS(Sheet1!$E:$E,Sheet1!$C:$C,$A115,Sheet1!$A:$A,V$2),"")</f>
        <v/>
      </c>
      <c r="W115" s="9" t="str">
        <f>IF(SUMIFS(Sheet1!$E:$E,Sheet1!$C:$C,$A115,Sheet1!$A:$A,W$2)&lt;&gt;0,SUMIFS(Sheet1!$E:$E,Sheet1!$C:$C,$A115,Sheet1!$A:$A,W$2),"")</f>
        <v/>
      </c>
      <c r="X115" s="9" t="str">
        <f>IF(SUMIFS(Sheet1!$E:$E,Sheet1!$C:$C,$A115,Sheet1!$A:$A,X$2)&lt;&gt;0,SUMIFS(Sheet1!$E:$E,Sheet1!$C:$C,$A115,Sheet1!$A:$A,X$2),"")</f>
        <v/>
      </c>
      <c r="Y115" s="9" t="str">
        <f>IF(SUMIFS(Sheet1!$E:$E,Sheet1!$C:$C,$A115,Sheet1!$A:$A,Y$2)&lt;&gt;0,SUMIFS(Sheet1!$E:$E,Sheet1!$C:$C,$A115,Sheet1!$A:$A,Y$2),"")</f>
        <v/>
      </c>
      <c r="Z115" s="9" t="str">
        <f>IF(SUMIFS(Sheet1!$E:$E,Sheet1!$C:$C,$A115,Sheet1!$A:$A,Z$2)&lt;&gt;0,SUMIFS(Sheet1!$E:$E,Sheet1!$C:$C,$A115,Sheet1!$A:$A,Z$2),"")</f>
        <v/>
      </c>
      <c r="AA115" s="9" t="str">
        <f>IF(SUMIFS(Sheet1!$E:$E,Sheet1!$C:$C,$A115,Sheet1!$A:$A,AA$2)&lt;&gt;0,SUMIFS(Sheet1!$E:$E,Sheet1!$C:$C,$A115,Sheet1!$A:$A,AA$2),"")</f>
        <v/>
      </c>
      <c r="AB115" s="9" t="str">
        <f>IF(SUMIFS(Sheet1!$E:$E,Sheet1!$C:$C,$A115,Sheet1!$A:$A,AB$2)&lt;&gt;0,SUMIFS(Sheet1!$E:$E,Sheet1!$C:$C,$A115,Sheet1!$A:$A,AB$2),"")</f>
        <v/>
      </c>
      <c r="AC115" s="9" t="str">
        <f>IF(SUMIFS(Sheet1!$E:$E,Sheet1!$C:$C,$A115,Sheet1!$A:$A,AC$2)&lt;&gt;0,SUMIFS(Sheet1!$E:$E,Sheet1!$C:$C,$A115,Sheet1!$A:$A,AC$2),"")</f>
        <v/>
      </c>
      <c r="AD115" s="9" t="str">
        <f>IF(SUMIFS(Sheet1!$E:$E,Sheet1!$C:$C,$A115,Sheet1!$A:$A,AD$2)&lt;&gt;0,SUMIFS(Sheet1!$E:$E,Sheet1!$C:$C,$A115,Sheet1!$A:$A,AD$2),"")</f>
        <v/>
      </c>
      <c r="AE115" s="9" t="str">
        <f>IF(SUMIFS(Sheet1!$E:$E,Sheet1!$C:$C,$A115,Sheet1!$A:$A,AE$2)&lt;&gt;0,SUMIFS(Sheet1!$E:$E,Sheet1!$C:$C,$A115,Sheet1!$A:$A,AE$2),"")</f>
        <v/>
      </c>
      <c r="AF115" s="9" t="str">
        <f>IF(SUMIFS(Sheet1!$E:$E,Sheet1!$C:$C,$A115,Sheet1!$A:$A,AF$2)&lt;&gt;0,SUMIFS(Sheet1!$E:$E,Sheet1!$C:$C,$A115,Sheet1!$A:$A,AF$2),"")</f>
        <v/>
      </c>
      <c r="AG115" s="9" t="str">
        <f>IF(SUMIFS(Sheet1!$E:$E,Sheet1!$C:$C,$A115,Sheet1!$A:$A,AG$2)&lt;&gt;0,SUMIFS(Sheet1!$E:$E,Sheet1!$C:$C,$A115,Sheet1!$A:$A,AG$2),"")</f>
        <v/>
      </c>
      <c r="AH115" s="47">
        <f>SUM(Table24[[#This Row],[1]:[31]])</f>
        <v>0</v>
      </c>
    </row>
    <row r="116" spans="1:34" ht="12.75" customHeight="1">
      <c r="A116" s="24" t="str">
        <f>DSSP!A115</f>
        <v>VD1</v>
      </c>
      <c r="B116" s="25" t="str">
        <f>DSSP!B115</f>
        <v>Vải dạ 10x10</v>
      </c>
      <c r="C116" s="9">
        <f>IF(SUMIFS(Sheet1!$E:$E,Sheet1!$C:$C,$A116,Sheet1!$A:$A,C$2)&lt;&gt;0,SUMIFS(Sheet1!$E:$E,Sheet1!$C:$C,$A116,Sheet1!$A:$A,C$2),"")</f>
        <v>736</v>
      </c>
      <c r="D116" s="9" t="str">
        <f>IF(SUMIFS(Sheet1!$E:$E,Sheet1!$C:$C,$A116,Sheet1!$A:$A,D$2)&lt;&gt;0,SUMIFS(Sheet1!$E:$E,Sheet1!$C:$C,$A116,Sheet1!$A:$A,D$2),"")</f>
        <v/>
      </c>
      <c r="E116" s="9" t="str">
        <f>IF(SUMIFS(Sheet1!$E:$E,Sheet1!$C:$C,$A116,Sheet1!$A:$A,E$2)&lt;&gt;0,SUMIFS(Sheet1!$E:$E,Sheet1!$C:$C,$A116,Sheet1!$A:$A,E$2),"")</f>
        <v/>
      </c>
      <c r="F116" s="9" t="str">
        <f>IF(SUMIFS(Sheet1!$E:$E,Sheet1!$C:$C,$A116,Sheet1!$A:$A,F$2)&lt;&gt;0,SUMIFS(Sheet1!$E:$E,Sheet1!$C:$C,$A116,Sheet1!$A:$A,F$2),"")</f>
        <v/>
      </c>
      <c r="G116" s="9" t="str">
        <f>IF(SUMIFS(Sheet1!$E:$E,Sheet1!$C:$C,$A116,Sheet1!$A:$A,G$2)&lt;&gt;0,SUMIFS(Sheet1!$E:$E,Sheet1!$C:$C,$A116,Sheet1!$A:$A,G$2),"")</f>
        <v/>
      </c>
      <c r="H116" s="9" t="str">
        <f>IF(SUMIFS(Sheet1!$E:$E,Sheet1!$C:$C,$A116,Sheet1!$A:$A,H$2)&lt;&gt;0,SUMIFS(Sheet1!$E:$E,Sheet1!$C:$C,$A116,Sheet1!$A:$A,H$2),"")</f>
        <v/>
      </c>
      <c r="I116" s="9" t="str">
        <f>IF(SUMIFS(Sheet1!$E:$E,Sheet1!$C:$C,$A116,Sheet1!$A:$A,I$2)&lt;&gt;0,SUMIFS(Sheet1!$E:$E,Sheet1!$C:$C,$A116,Sheet1!$A:$A,I$2),"")</f>
        <v/>
      </c>
      <c r="J116" s="9" t="str">
        <f>IF(SUMIFS(Sheet1!$E:$E,Sheet1!$C:$C,$A116,Sheet1!$A:$A,J$2)&lt;&gt;0,SUMIFS(Sheet1!$E:$E,Sheet1!$C:$C,$A116,Sheet1!$A:$A,J$2),"")</f>
        <v/>
      </c>
      <c r="K116" s="9" t="str">
        <f>IF(SUMIFS(Sheet1!$E:$E,Sheet1!$C:$C,$A116,Sheet1!$A:$A,K$2)&lt;&gt;0,SUMIFS(Sheet1!$E:$E,Sheet1!$C:$C,$A116,Sheet1!$A:$A,K$2),"")</f>
        <v/>
      </c>
      <c r="L116" s="9" t="str">
        <f>IF(SUMIFS(Sheet1!$E:$E,Sheet1!$C:$C,$A116,Sheet1!$A:$A,L$2)&lt;&gt;0,SUMIFS(Sheet1!$E:$E,Sheet1!$C:$C,$A116,Sheet1!$A:$A,L$2),"")</f>
        <v/>
      </c>
      <c r="M116" s="9" t="str">
        <f>IF(SUMIFS(Sheet1!$E:$E,Sheet1!$C:$C,$A116,Sheet1!$A:$A,M$2)&lt;&gt;0,SUMIFS(Sheet1!$E:$E,Sheet1!$C:$C,$A116,Sheet1!$A:$A,M$2),"")</f>
        <v/>
      </c>
      <c r="N116" s="9" t="str">
        <f>IF(SUMIFS(Sheet1!$E:$E,Sheet1!$C:$C,$A116,Sheet1!$A:$A,N$2)&lt;&gt;0,SUMIFS(Sheet1!$E:$E,Sheet1!$C:$C,$A116,Sheet1!$A:$A,N$2),"")</f>
        <v/>
      </c>
      <c r="O116" s="9" t="str">
        <f>IF(SUMIFS(Sheet1!$E:$E,Sheet1!$C:$C,$A116,Sheet1!$A:$A,O$2)&lt;&gt;0,SUMIFS(Sheet1!$E:$E,Sheet1!$C:$C,$A116,Sheet1!$A:$A,O$2),"")</f>
        <v/>
      </c>
      <c r="P116" s="9" t="str">
        <f>IF(SUMIFS(Sheet1!$E:$E,Sheet1!$C:$C,$A116,Sheet1!$A:$A,P$2)&lt;&gt;0,SUMIFS(Sheet1!$E:$E,Sheet1!$C:$C,$A116,Sheet1!$A:$A,P$2),"")</f>
        <v/>
      </c>
      <c r="Q116" s="9" t="str">
        <f>IF(SUMIFS(Sheet1!$E:$E,Sheet1!$C:$C,$A116,Sheet1!$A:$A,Q$2)&lt;&gt;0,SUMIFS(Sheet1!$E:$E,Sheet1!$C:$C,$A116,Sheet1!$A:$A,Q$2),"")</f>
        <v/>
      </c>
      <c r="R116" s="9" t="str">
        <f>IF(SUMIFS(Sheet1!$E:$E,Sheet1!$C:$C,$A116,Sheet1!$A:$A,R$2)&lt;&gt;0,SUMIFS(Sheet1!$E:$E,Sheet1!$C:$C,$A116,Sheet1!$A:$A,R$2),"")</f>
        <v/>
      </c>
      <c r="S116" s="9" t="str">
        <f>IF(SUMIFS(Sheet1!$E:$E,Sheet1!$C:$C,$A116,Sheet1!$A:$A,S$2)&lt;&gt;0,SUMIFS(Sheet1!$E:$E,Sheet1!$C:$C,$A116,Sheet1!$A:$A,S$2),"")</f>
        <v/>
      </c>
      <c r="T116" s="9" t="str">
        <f>IF(SUMIFS(Sheet1!$E:$E,Sheet1!$C:$C,$A116,Sheet1!$A:$A,T$2)&lt;&gt;0,SUMIFS(Sheet1!$E:$E,Sheet1!$C:$C,$A116,Sheet1!$A:$A,T$2),"")</f>
        <v/>
      </c>
      <c r="U116" s="9" t="str">
        <f>IF(SUMIFS(Sheet1!$E:$E,Sheet1!$C:$C,$A116,Sheet1!$A:$A,U$2)&lt;&gt;0,SUMIFS(Sheet1!$E:$E,Sheet1!$C:$C,$A116,Sheet1!$A:$A,U$2),"")</f>
        <v/>
      </c>
      <c r="V116" s="9" t="str">
        <f>IF(SUMIFS(Sheet1!$E:$E,Sheet1!$C:$C,$A116,Sheet1!$A:$A,V$2)&lt;&gt;0,SUMIFS(Sheet1!$E:$E,Sheet1!$C:$C,$A116,Sheet1!$A:$A,V$2),"")</f>
        <v/>
      </c>
      <c r="W116" s="9" t="str">
        <f>IF(SUMIFS(Sheet1!$E:$E,Sheet1!$C:$C,$A116,Sheet1!$A:$A,W$2)&lt;&gt;0,SUMIFS(Sheet1!$E:$E,Sheet1!$C:$C,$A116,Sheet1!$A:$A,W$2),"")</f>
        <v/>
      </c>
      <c r="X116" s="9" t="str">
        <f>IF(SUMIFS(Sheet1!$E:$E,Sheet1!$C:$C,$A116,Sheet1!$A:$A,X$2)&lt;&gt;0,SUMIFS(Sheet1!$E:$E,Sheet1!$C:$C,$A116,Sheet1!$A:$A,X$2),"")</f>
        <v/>
      </c>
      <c r="Y116" s="9" t="str">
        <f>IF(SUMIFS(Sheet1!$E:$E,Sheet1!$C:$C,$A116,Sheet1!$A:$A,Y$2)&lt;&gt;0,SUMIFS(Sheet1!$E:$E,Sheet1!$C:$C,$A116,Sheet1!$A:$A,Y$2),"")</f>
        <v/>
      </c>
      <c r="Z116" s="9" t="str">
        <f>IF(SUMIFS(Sheet1!$E:$E,Sheet1!$C:$C,$A116,Sheet1!$A:$A,Z$2)&lt;&gt;0,SUMIFS(Sheet1!$E:$E,Sheet1!$C:$C,$A116,Sheet1!$A:$A,Z$2),"")</f>
        <v/>
      </c>
      <c r="AA116" s="9" t="str">
        <f>IF(SUMIFS(Sheet1!$E:$E,Sheet1!$C:$C,$A116,Sheet1!$A:$A,AA$2)&lt;&gt;0,SUMIFS(Sheet1!$E:$E,Sheet1!$C:$C,$A116,Sheet1!$A:$A,AA$2),"")</f>
        <v/>
      </c>
      <c r="AB116" s="9" t="str">
        <f>IF(SUMIFS(Sheet1!$E:$E,Sheet1!$C:$C,$A116,Sheet1!$A:$A,AB$2)&lt;&gt;0,SUMIFS(Sheet1!$E:$E,Sheet1!$C:$C,$A116,Sheet1!$A:$A,AB$2),"")</f>
        <v/>
      </c>
      <c r="AC116" s="9" t="str">
        <f>IF(SUMIFS(Sheet1!$E:$E,Sheet1!$C:$C,$A116,Sheet1!$A:$A,AC$2)&lt;&gt;0,SUMIFS(Sheet1!$E:$E,Sheet1!$C:$C,$A116,Sheet1!$A:$A,AC$2),"")</f>
        <v/>
      </c>
      <c r="AD116" s="9" t="str">
        <f>IF(SUMIFS(Sheet1!$E:$E,Sheet1!$C:$C,$A116,Sheet1!$A:$A,AD$2)&lt;&gt;0,SUMIFS(Sheet1!$E:$E,Sheet1!$C:$C,$A116,Sheet1!$A:$A,AD$2),"")</f>
        <v/>
      </c>
      <c r="AE116" s="9" t="str">
        <f>IF(SUMIFS(Sheet1!$E:$E,Sheet1!$C:$C,$A116,Sheet1!$A:$A,AE$2)&lt;&gt;0,SUMIFS(Sheet1!$E:$E,Sheet1!$C:$C,$A116,Sheet1!$A:$A,AE$2),"")</f>
        <v/>
      </c>
      <c r="AF116" s="9" t="str">
        <f>IF(SUMIFS(Sheet1!$E:$E,Sheet1!$C:$C,$A116,Sheet1!$A:$A,AF$2)&lt;&gt;0,SUMIFS(Sheet1!$E:$E,Sheet1!$C:$C,$A116,Sheet1!$A:$A,AF$2),"")</f>
        <v/>
      </c>
      <c r="AG116" s="9" t="str">
        <f>IF(SUMIFS(Sheet1!$E:$E,Sheet1!$C:$C,$A116,Sheet1!$A:$A,AG$2)&lt;&gt;0,SUMIFS(Sheet1!$E:$E,Sheet1!$C:$C,$A116,Sheet1!$A:$A,AG$2),"")</f>
        <v/>
      </c>
      <c r="AH116" s="47">
        <f>SUM(Table24[[#This Row],[1]:[31]])</f>
        <v>736</v>
      </c>
    </row>
    <row r="117" spans="1:34" ht="12.75" customHeight="1">
      <c r="A117" s="24" t="str">
        <f>DSSP!A116</f>
        <v>VD2</v>
      </c>
      <c r="B117" s="25" t="str">
        <f>DSSP!B116</f>
        <v>Vải dạ 18x18</v>
      </c>
      <c r="C117" s="9">
        <f>IF(SUMIFS(Sheet1!$E:$E,Sheet1!$C:$C,$A117,Sheet1!$A:$A,C$2)&lt;&gt;0,SUMIFS(Sheet1!$E:$E,Sheet1!$C:$C,$A117,Sheet1!$A:$A,C$2),"")</f>
        <v>422</v>
      </c>
      <c r="D117" s="9" t="str">
        <f>IF(SUMIFS(Sheet1!$E:$E,Sheet1!$C:$C,$A117,Sheet1!$A:$A,D$2)&lt;&gt;0,SUMIFS(Sheet1!$E:$E,Sheet1!$C:$C,$A117,Sheet1!$A:$A,D$2),"")</f>
        <v/>
      </c>
      <c r="E117" s="9" t="str">
        <f>IF(SUMIFS(Sheet1!$E:$E,Sheet1!$C:$C,$A117,Sheet1!$A:$A,E$2)&lt;&gt;0,SUMIFS(Sheet1!$E:$E,Sheet1!$C:$C,$A117,Sheet1!$A:$A,E$2),"")</f>
        <v/>
      </c>
      <c r="F117" s="9" t="str">
        <f>IF(SUMIFS(Sheet1!$E:$E,Sheet1!$C:$C,$A117,Sheet1!$A:$A,F$2)&lt;&gt;0,SUMIFS(Sheet1!$E:$E,Sheet1!$C:$C,$A117,Sheet1!$A:$A,F$2),"")</f>
        <v/>
      </c>
      <c r="G117" s="9" t="str">
        <f>IF(SUMIFS(Sheet1!$E:$E,Sheet1!$C:$C,$A117,Sheet1!$A:$A,G$2)&lt;&gt;0,SUMIFS(Sheet1!$E:$E,Sheet1!$C:$C,$A117,Sheet1!$A:$A,G$2),"")</f>
        <v/>
      </c>
      <c r="H117" s="9" t="str">
        <f>IF(SUMIFS(Sheet1!$E:$E,Sheet1!$C:$C,$A117,Sheet1!$A:$A,H$2)&lt;&gt;0,SUMIFS(Sheet1!$E:$E,Sheet1!$C:$C,$A117,Sheet1!$A:$A,H$2),"")</f>
        <v/>
      </c>
      <c r="I117" s="9" t="str">
        <f>IF(SUMIFS(Sheet1!$E:$E,Sheet1!$C:$C,$A117,Sheet1!$A:$A,I$2)&lt;&gt;0,SUMIFS(Sheet1!$E:$E,Sheet1!$C:$C,$A117,Sheet1!$A:$A,I$2),"")</f>
        <v/>
      </c>
      <c r="J117" s="9" t="str">
        <f>IF(SUMIFS(Sheet1!$E:$E,Sheet1!$C:$C,$A117,Sheet1!$A:$A,J$2)&lt;&gt;0,SUMIFS(Sheet1!$E:$E,Sheet1!$C:$C,$A117,Sheet1!$A:$A,J$2),"")</f>
        <v/>
      </c>
      <c r="K117" s="9" t="str">
        <f>IF(SUMIFS(Sheet1!$E:$E,Sheet1!$C:$C,$A117,Sheet1!$A:$A,K$2)&lt;&gt;0,SUMIFS(Sheet1!$E:$E,Sheet1!$C:$C,$A117,Sheet1!$A:$A,K$2),"")</f>
        <v/>
      </c>
      <c r="L117" s="9" t="str">
        <f>IF(SUMIFS(Sheet1!$E:$E,Sheet1!$C:$C,$A117,Sheet1!$A:$A,L$2)&lt;&gt;0,SUMIFS(Sheet1!$E:$E,Sheet1!$C:$C,$A117,Sheet1!$A:$A,L$2),"")</f>
        <v/>
      </c>
      <c r="M117" s="9" t="str">
        <f>IF(SUMIFS(Sheet1!$E:$E,Sheet1!$C:$C,$A117,Sheet1!$A:$A,M$2)&lt;&gt;0,SUMIFS(Sheet1!$E:$E,Sheet1!$C:$C,$A117,Sheet1!$A:$A,M$2),"")</f>
        <v/>
      </c>
      <c r="N117" s="9" t="str">
        <f>IF(SUMIFS(Sheet1!$E:$E,Sheet1!$C:$C,$A117,Sheet1!$A:$A,N$2)&lt;&gt;0,SUMIFS(Sheet1!$E:$E,Sheet1!$C:$C,$A117,Sheet1!$A:$A,N$2),"")</f>
        <v/>
      </c>
      <c r="O117" s="9" t="str">
        <f>IF(SUMIFS(Sheet1!$E:$E,Sheet1!$C:$C,$A117,Sheet1!$A:$A,O$2)&lt;&gt;0,SUMIFS(Sheet1!$E:$E,Sheet1!$C:$C,$A117,Sheet1!$A:$A,O$2),"")</f>
        <v/>
      </c>
      <c r="P117" s="9" t="str">
        <f>IF(SUMIFS(Sheet1!$E:$E,Sheet1!$C:$C,$A117,Sheet1!$A:$A,P$2)&lt;&gt;0,SUMIFS(Sheet1!$E:$E,Sheet1!$C:$C,$A117,Sheet1!$A:$A,P$2),"")</f>
        <v/>
      </c>
      <c r="Q117" s="9" t="str">
        <f>IF(SUMIFS(Sheet1!$E:$E,Sheet1!$C:$C,$A117,Sheet1!$A:$A,Q$2)&lt;&gt;0,SUMIFS(Sheet1!$E:$E,Sheet1!$C:$C,$A117,Sheet1!$A:$A,Q$2),"")</f>
        <v/>
      </c>
      <c r="R117" s="9" t="str">
        <f>IF(SUMIFS(Sheet1!$E:$E,Sheet1!$C:$C,$A117,Sheet1!$A:$A,R$2)&lt;&gt;0,SUMIFS(Sheet1!$E:$E,Sheet1!$C:$C,$A117,Sheet1!$A:$A,R$2),"")</f>
        <v/>
      </c>
      <c r="S117" s="9" t="str">
        <f>IF(SUMIFS(Sheet1!$E:$E,Sheet1!$C:$C,$A117,Sheet1!$A:$A,S$2)&lt;&gt;0,SUMIFS(Sheet1!$E:$E,Sheet1!$C:$C,$A117,Sheet1!$A:$A,S$2),"")</f>
        <v/>
      </c>
      <c r="T117" s="9" t="str">
        <f>IF(SUMIFS(Sheet1!$E:$E,Sheet1!$C:$C,$A117,Sheet1!$A:$A,T$2)&lt;&gt;0,SUMIFS(Sheet1!$E:$E,Sheet1!$C:$C,$A117,Sheet1!$A:$A,T$2),"")</f>
        <v/>
      </c>
      <c r="U117" s="9" t="str">
        <f>IF(SUMIFS(Sheet1!$E:$E,Sheet1!$C:$C,$A117,Sheet1!$A:$A,U$2)&lt;&gt;0,SUMIFS(Sheet1!$E:$E,Sheet1!$C:$C,$A117,Sheet1!$A:$A,U$2),"")</f>
        <v/>
      </c>
      <c r="V117" s="9" t="str">
        <f>IF(SUMIFS(Sheet1!$E:$E,Sheet1!$C:$C,$A117,Sheet1!$A:$A,V$2)&lt;&gt;0,SUMIFS(Sheet1!$E:$E,Sheet1!$C:$C,$A117,Sheet1!$A:$A,V$2),"")</f>
        <v/>
      </c>
      <c r="W117" s="9" t="str">
        <f>IF(SUMIFS(Sheet1!$E:$E,Sheet1!$C:$C,$A117,Sheet1!$A:$A,W$2)&lt;&gt;0,SUMIFS(Sheet1!$E:$E,Sheet1!$C:$C,$A117,Sheet1!$A:$A,W$2),"")</f>
        <v/>
      </c>
      <c r="X117" s="9" t="str">
        <f>IF(SUMIFS(Sheet1!$E:$E,Sheet1!$C:$C,$A117,Sheet1!$A:$A,X$2)&lt;&gt;0,SUMIFS(Sheet1!$E:$E,Sheet1!$C:$C,$A117,Sheet1!$A:$A,X$2),"")</f>
        <v/>
      </c>
      <c r="Y117" s="9" t="str">
        <f>IF(SUMIFS(Sheet1!$E:$E,Sheet1!$C:$C,$A117,Sheet1!$A:$A,Y$2)&lt;&gt;0,SUMIFS(Sheet1!$E:$E,Sheet1!$C:$C,$A117,Sheet1!$A:$A,Y$2),"")</f>
        <v/>
      </c>
      <c r="Z117" s="9" t="str">
        <f>IF(SUMIFS(Sheet1!$E:$E,Sheet1!$C:$C,$A117,Sheet1!$A:$A,Z$2)&lt;&gt;0,SUMIFS(Sheet1!$E:$E,Sheet1!$C:$C,$A117,Sheet1!$A:$A,Z$2),"")</f>
        <v/>
      </c>
      <c r="AA117" s="9" t="str">
        <f>IF(SUMIFS(Sheet1!$E:$E,Sheet1!$C:$C,$A117,Sheet1!$A:$A,AA$2)&lt;&gt;0,SUMIFS(Sheet1!$E:$E,Sheet1!$C:$C,$A117,Sheet1!$A:$A,AA$2),"")</f>
        <v/>
      </c>
      <c r="AB117" s="9" t="str">
        <f>IF(SUMIFS(Sheet1!$E:$E,Sheet1!$C:$C,$A117,Sheet1!$A:$A,AB$2)&lt;&gt;0,SUMIFS(Sheet1!$E:$E,Sheet1!$C:$C,$A117,Sheet1!$A:$A,AB$2),"")</f>
        <v/>
      </c>
      <c r="AC117" s="9" t="str">
        <f>IF(SUMIFS(Sheet1!$E:$E,Sheet1!$C:$C,$A117,Sheet1!$A:$A,AC$2)&lt;&gt;0,SUMIFS(Sheet1!$E:$E,Sheet1!$C:$C,$A117,Sheet1!$A:$A,AC$2),"")</f>
        <v/>
      </c>
      <c r="AD117" s="9" t="str">
        <f>IF(SUMIFS(Sheet1!$E:$E,Sheet1!$C:$C,$A117,Sheet1!$A:$A,AD$2)&lt;&gt;0,SUMIFS(Sheet1!$E:$E,Sheet1!$C:$C,$A117,Sheet1!$A:$A,AD$2),"")</f>
        <v/>
      </c>
      <c r="AE117" s="9" t="str">
        <f>IF(SUMIFS(Sheet1!$E:$E,Sheet1!$C:$C,$A117,Sheet1!$A:$A,AE$2)&lt;&gt;0,SUMIFS(Sheet1!$E:$E,Sheet1!$C:$C,$A117,Sheet1!$A:$A,AE$2),"")</f>
        <v/>
      </c>
      <c r="AF117" s="9" t="str">
        <f>IF(SUMIFS(Sheet1!$E:$E,Sheet1!$C:$C,$A117,Sheet1!$A:$A,AF$2)&lt;&gt;0,SUMIFS(Sheet1!$E:$E,Sheet1!$C:$C,$A117,Sheet1!$A:$A,AF$2),"")</f>
        <v/>
      </c>
      <c r="AG117" s="9" t="str">
        <f>IF(SUMIFS(Sheet1!$E:$E,Sheet1!$C:$C,$A117,Sheet1!$A:$A,AG$2)&lt;&gt;0,SUMIFS(Sheet1!$E:$E,Sheet1!$C:$C,$A117,Sheet1!$A:$A,AG$2),"")</f>
        <v/>
      </c>
      <c r="AH117" s="47">
        <f>SUM(Table24[[#This Row],[1]:[31]])</f>
        <v>422</v>
      </c>
    </row>
    <row r="118" spans="1:34" ht="12.75" customHeight="1">
      <c r="A118" s="24" t="str">
        <f>DSSP!A117</f>
        <v>VD3</v>
      </c>
      <c r="B118" s="25" t="str">
        <f>DSSP!B117</f>
        <v>Vải dạ 30x30</v>
      </c>
      <c r="C118" s="9">
        <f>IF(SUMIFS(Sheet1!$E:$E,Sheet1!$C:$C,$A118,Sheet1!$A:$A,C$2)&lt;&gt;0,SUMIFS(Sheet1!$E:$E,Sheet1!$C:$C,$A118,Sheet1!$A:$A,C$2),"")</f>
        <v>199</v>
      </c>
      <c r="D118" s="9" t="str">
        <f>IF(SUMIFS(Sheet1!$E:$E,Sheet1!$C:$C,$A118,Sheet1!$A:$A,D$2)&lt;&gt;0,SUMIFS(Sheet1!$E:$E,Sheet1!$C:$C,$A118,Sheet1!$A:$A,D$2),"")</f>
        <v/>
      </c>
      <c r="E118" s="9" t="str">
        <f>IF(SUMIFS(Sheet1!$E:$E,Sheet1!$C:$C,$A118,Sheet1!$A:$A,E$2)&lt;&gt;0,SUMIFS(Sheet1!$E:$E,Sheet1!$C:$C,$A118,Sheet1!$A:$A,E$2),"")</f>
        <v/>
      </c>
      <c r="F118" s="9" t="str">
        <f>IF(SUMIFS(Sheet1!$E:$E,Sheet1!$C:$C,$A118,Sheet1!$A:$A,F$2)&lt;&gt;0,SUMIFS(Sheet1!$E:$E,Sheet1!$C:$C,$A118,Sheet1!$A:$A,F$2),"")</f>
        <v/>
      </c>
      <c r="G118" s="9" t="str">
        <f>IF(SUMIFS(Sheet1!$E:$E,Sheet1!$C:$C,$A118,Sheet1!$A:$A,G$2)&lt;&gt;0,SUMIFS(Sheet1!$E:$E,Sheet1!$C:$C,$A118,Sheet1!$A:$A,G$2),"")</f>
        <v/>
      </c>
      <c r="H118" s="9" t="str">
        <f>IF(SUMIFS(Sheet1!$E:$E,Sheet1!$C:$C,$A118,Sheet1!$A:$A,H$2)&lt;&gt;0,SUMIFS(Sheet1!$E:$E,Sheet1!$C:$C,$A118,Sheet1!$A:$A,H$2),"")</f>
        <v/>
      </c>
      <c r="I118" s="9" t="str">
        <f>IF(SUMIFS(Sheet1!$E:$E,Sheet1!$C:$C,$A118,Sheet1!$A:$A,I$2)&lt;&gt;0,SUMIFS(Sheet1!$E:$E,Sheet1!$C:$C,$A118,Sheet1!$A:$A,I$2),"")</f>
        <v/>
      </c>
      <c r="J118" s="9" t="str">
        <f>IF(SUMIFS(Sheet1!$E:$E,Sheet1!$C:$C,$A118,Sheet1!$A:$A,J$2)&lt;&gt;0,SUMIFS(Sheet1!$E:$E,Sheet1!$C:$C,$A118,Sheet1!$A:$A,J$2),"")</f>
        <v/>
      </c>
      <c r="K118" s="9" t="str">
        <f>IF(SUMIFS(Sheet1!$E:$E,Sheet1!$C:$C,$A118,Sheet1!$A:$A,K$2)&lt;&gt;0,SUMIFS(Sheet1!$E:$E,Sheet1!$C:$C,$A118,Sheet1!$A:$A,K$2),"")</f>
        <v/>
      </c>
      <c r="L118" s="9" t="str">
        <f>IF(SUMIFS(Sheet1!$E:$E,Sheet1!$C:$C,$A118,Sheet1!$A:$A,L$2)&lt;&gt;0,SUMIFS(Sheet1!$E:$E,Sheet1!$C:$C,$A118,Sheet1!$A:$A,L$2),"")</f>
        <v/>
      </c>
      <c r="M118" s="9" t="str">
        <f>IF(SUMIFS(Sheet1!$E:$E,Sheet1!$C:$C,$A118,Sheet1!$A:$A,M$2)&lt;&gt;0,SUMIFS(Sheet1!$E:$E,Sheet1!$C:$C,$A118,Sheet1!$A:$A,M$2),"")</f>
        <v/>
      </c>
      <c r="N118" s="9" t="str">
        <f>IF(SUMIFS(Sheet1!$E:$E,Sheet1!$C:$C,$A118,Sheet1!$A:$A,N$2)&lt;&gt;0,SUMIFS(Sheet1!$E:$E,Sheet1!$C:$C,$A118,Sheet1!$A:$A,N$2),"")</f>
        <v/>
      </c>
      <c r="O118" s="9" t="str">
        <f>IF(SUMIFS(Sheet1!$E:$E,Sheet1!$C:$C,$A118,Sheet1!$A:$A,O$2)&lt;&gt;0,SUMIFS(Sheet1!$E:$E,Sheet1!$C:$C,$A118,Sheet1!$A:$A,O$2),"")</f>
        <v/>
      </c>
      <c r="P118" s="9" t="str">
        <f>IF(SUMIFS(Sheet1!$E:$E,Sheet1!$C:$C,$A118,Sheet1!$A:$A,P$2)&lt;&gt;0,SUMIFS(Sheet1!$E:$E,Sheet1!$C:$C,$A118,Sheet1!$A:$A,P$2),"")</f>
        <v/>
      </c>
      <c r="Q118" s="9" t="str">
        <f>IF(SUMIFS(Sheet1!$E:$E,Sheet1!$C:$C,$A118,Sheet1!$A:$A,Q$2)&lt;&gt;0,SUMIFS(Sheet1!$E:$E,Sheet1!$C:$C,$A118,Sheet1!$A:$A,Q$2),"")</f>
        <v/>
      </c>
      <c r="R118" s="9" t="str">
        <f>IF(SUMIFS(Sheet1!$E:$E,Sheet1!$C:$C,$A118,Sheet1!$A:$A,R$2)&lt;&gt;0,SUMIFS(Sheet1!$E:$E,Sheet1!$C:$C,$A118,Sheet1!$A:$A,R$2),"")</f>
        <v/>
      </c>
      <c r="S118" s="9" t="str">
        <f>IF(SUMIFS(Sheet1!$E:$E,Sheet1!$C:$C,$A118,Sheet1!$A:$A,S$2)&lt;&gt;0,SUMIFS(Sheet1!$E:$E,Sheet1!$C:$C,$A118,Sheet1!$A:$A,S$2),"")</f>
        <v/>
      </c>
      <c r="T118" s="9" t="str">
        <f>IF(SUMIFS(Sheet1!$E:$E,Sheet1!$C:$C,$A118,Sheet1!$A:$A,T$2)&lt;&gt;0,SUMIFS(Sheet1!$E:$E,Sheet1!$C:$C,$A118,Sheet1!$A:$A,T$2),"")</f>
        <v/>
      </c>
      <c r="U118" s="9" t="str">
        <f>IF(SUMIFS(Sheet1!$E:$E,Sheet1!$C:$C,$A118,Sheet1!$A:$A,U$2)&lt;&gt;0,SUMIFS(Sheet1!$E:$E,Sheet1!$C:$C,$A118,Sheet1!$A:$A,U$2),"")</f>
        <v/>
      </c>
      <c r="V118" s="9" t="str">
        <f>IF(SUMIFS(Sheet1!$E:$E,Sheet1!$C:$C,$A118,Sheet1!$A:$A,V$2)&lt;&gt;0,SUMIFS(Sheet1!$E:$E,Sheet1!$C:$C,$A118,Sheet1!$A:$A,V$2),"")</f>
        <v/>
      </c>
      <c r="W118" s="9" t="str">
        <f>IF(SUMIFS(Sheet1!$E:$E,Sheet1!$C:$C,$A118,Sheet1!$A:$A,W$2)&lt;&gt;0,SUMIFS(Sheet1!$E:$E,Sheet1!$C:$C,$A118,Sheet1!$A:$A,W$2),"")</f>
        <v/>
      </c>
      <c r="X118" s="9" t="str">
        <f>IF(SUMIFS(Sheet1!$E:$E,Sheet1!$C:$C,$A118,Sheet1!$A:$A,X$2)&lt;&gt;0,SUMIFS(Sheet1!$E:$E,Sheet1!$C:$C,$A118,Sheet1!$A:$A,X$2),"")</f>
        <v/>
      </c>
      <c r="Y118" s="9" t="str">
        <f>IF(SUMIFS(Sheet1!$E:$E,Sheet1!$C:$C,$A118,Sheet1!$A:$A,Y$2)&lt;&gt;0,SUMIFS(Sheet1!$E:$E,Sheet1!$C:$C,$A118,Sheet1!$A:$A,Y$2),"")</f>
        <v/>
      </c>
      <c r="Z118" s="9" t="str">
        <f>IF(SUMIFS(Sheet1!$E:$E,Sheet1!$C:$C,$A118,Sheet1!$A:$A,Z$2)&lt;&gt;0,SUMIFS(Sheet1!$E:$E,Sheet1!$C:$C,$A118,Sheet1!$A:$A,Z$2),"")</f>
        <v/>
      </c>
      <c r="AA118" s="9" t="str">
        <f>IF(SUMIFS(Sheet1!$E:$E,Sheet1!$C:$C,$A118,Sheet1!$A:$A,AA$2)&lt;&gt;0,SUMIFS(Sheet1!$E:$E,Sheet1!$C:$C,$A118,Sheet1!$A:$A,AA$2),"")</f>
        <v/>
      </c>
      <c r="AB118" s="9" t="str">
        <f>IF(SUMIFS(Sheet1!$E:$E,Sheet1!$C:$C,$A118,Sheet1!$A:$A,AB$2)&lt;&gt;0,SUMIFS(Sheet1!$E:$E,Sheet1!$C:$C,$A118,Sheet1!$A:$A,AB$2),"")</f>
        <v/>
      </c>
      <c r="AC118" s="9" t="str">
        <f>IF(SUMIFS(Sheet1!$E:$E,Sheet1!$C:$C,$A118,Sheet1!$A:$A,AC$2)&lt;&gt;0,SUMIFS(Sheet1!$E:$E,Sheet1!$C:$C,$A118,Sheet1!$A:$A,AC$2),"")</f>
        <v/>
      </c>
      <c r="AD118" s="9" t="str">
        <f>IF(SUMIFS(Sheet1!$E:$E,Sheet1!$C:$C,$A118,Sheet1!$A:$A,AD$2)&lt;&gt;0,SUMIFS(Sheet1!$E:$E,Sheet1!$C:$C,$A118,Sheet1!$A:$A,AD$2),"")</f>
        <v/>
      </c>
      <c r="AE118" s="9" t="str">
        <f>IF(SUMIFS(Sheet1!$E:$E,Sheet1!$C:$C,$A118,Sheet1!$A:$A,AE$2)&lt;&gt;0,SUMIFS(Sheet1!$E:$E,Sheet1!$C:$C,$A118,Sheet1!$A:$A,AE$2),"")</f>
        <v/>
      </c>
      <c r="AF118" s="9" t="str">
        <f>IF(SUMIFS(Sheet1!$E:$E,Sheet1!$C:$C,$A118,Sheet1!$A:$A,AF$2)&lt;&gt;0,SUMIFS(Sheet1!$E:$E,Sheet1!$C:$C,$A118,Sheet1!$A:$A,AF$2),"")</f>
        <v/>
      </c>
      <c r="AG118" s="9" t="str">
        <f>IF(SUMIFS(Sheet1!$E:$E,Sheet1!$C:$C,$A118,Sheet1!$A:$A,AG$2)&lt;&gt;0,SUMIFS(Sheet1!$E:$E,Sheet1!$C:$C,$A118,Sheet1!$A:$A,AG$2),"")</f>
        <v/>
      </c>
      <c r="AH118" s="47">
        <f>SUM(Table24[[#This Row],[1]:[31]])</f>
        <v>199</v>
      </c>
    </row>
    <row r="119" spans="1:34" ht="12.75" customHeight="1">
      <c r="A119" s="24" t="str">
        <f>DSSP!A118</f>
        <v>VD4</v>
      </c>
      <c r="B119" s="25" t="str">
        <f>DSSP!B118</f>
        <v>Vải dạ 45x45</v>
      </c>
      <c r="C119" s="9">
        <f>IF(SUMIFS(Sheet1!$E:$E,Sheet1!$C:$C,$A119,Sheet1!$A:$A,C$2)&lt;&gt;0,SUMIFS(Sheet1!$E:$E,Sheet1!$C:$C,$A119,Sheet1!$A:$A,C$2),"")</f>
        <v>123</v>
      </c>
      <c r="D119" s="9" t="str">
        <f>IF(SUMIFS(Sheet1!$E:$E,Sheet1!$C:$C,$A119,Sheet1!$A:$A,D$2)&lt;&gt;0,SUMIFS(Sheet1!$E:$E,Sheet1!$C:$C,$A119,Sheet1!$A:$A,D$2),"")</f>
        <v/>
      </c>
      <c r="E119" s="9" t="str">
        <f>IF(SUMIFS(Sheet1!$E:$E,Sheet1!$C:$C,$A119,Sheet1!$A:$A,E$2)&lt;&gt;0,SUMIFS(Sheet1!$E:$E,Sheet1!$C:$C,$A119,Sheet1!$A:$A,E$2),"")</f>
        <v/>
      </c>
      <c r="F119" s="9" t="str">
        <f>IF(SUMIFS(Sheet1!$E:$E,Sheet1!$C:$C,$A119,Sheet1!$A:$A,F$2)&lt;&gt;0,SUMIFS(Sheet1!$E:$E,Sheet1!$C:$C,$A119,Sheet1!$A:$A,F$2),"")</f>
        <v/>
      </c>
      <c r="G119" s="9" t="str">
        <f>IF(SUMIFS(Sheet1!$E:$E,Sheet1!$C:$C,$A119,Sheet1!$A:$A,G$2)&lt;&gt;0,SUMIFS(Sheet1!$E:$E,Sheet1!$C:$C,$A119,Sheet1!$A:$A,G$2),"")</f>
        <v/>
      </c>
      <c r="H119" s="9" t="str">
        <f>IF(SUMIFS(Sheet1!$E:$E,Sheet1!$C:$C,$A119,Sheet1!$A:$A,H$2)&lt;&gt;0,SUMIFS(Sheet1!$E:$E,Sheet1!$C:$C,$A119,Sheet1!$A:$A,H$2),"")</f>
        <v/>
      </c>
      <c r="I119" s="9" t="str">
        <f>IF(SUMIFS(Sheet1!$E:$E,Sheet1!$C:$C,$A119,Sheet1!$A:$A,I$2)&lt;&gt;0,SUMIFS(Sheet1!$E:$E,Sheet1!$C:$C,$A119,Sheet1!$A:$A,I$2),"")</f>
        <v/>
      </c>
      <c r="J119" s="9" t="str">
        <f>IF(SUMIFS(Sheet1!$E:$E,Sheet1!$C:$C,$A119,Sheet1!$A:$A,J$2)&lt;&gt;0,SUMIFS(Sheet1!$E:$E,Sheet1!$C:$C,$A119,Sheet1!$A:$A,J$2),"")</f>
        <v/>
      </c>
      <c r="K119" s="9" t="str">
        <f>IF(SUMIFS(Sheet1!$E:$E,Sheet1!$C:$C,$A119,Sheet1!$A:$A,K$2)&lt;&gt;0,SUMIFS(Sheet1!$E:$E,Sheet1!$C:$C,$A119,Sheet1!$A:$A,K$2),"")</f>
        <v/>
      </c>
      <c r="L119" s="9" t="str">
        <f>IF(SUMIFS(Sheet1!$E:$E,Sheet1!$C:$C,$A119,Sheet1!$A:$A,L$2)&lt;&gt;0,SUMIFS(Sheet1!$E:$E,Sheet1!$C:$C,$A119,Sheet1!$A:$A,L$2),"")</f>
        <v/>
      </c>
      <c r="M119" s="9" t="str">
        <f>IF(SUMIFS(Sheet1!$E:$E,Sheet1!$C:$C,$A119,Sheet1!$A:$A,M$2)&lt;&gt;0,SUMIFS(Sheet1!$E:$E,Sheet1!$C:$C,$A119,Sheet1!$A:$A,M$2),"")</f>
        <v/>
      </c>
      <c r="N119" s="9" t="str">
        <f>IF(SUMIFS(Sheet1!$E:$E,Sheet1!$C:$C,$A119,Sheet1!$A:$A,N$2)&lt;&gt;0,SUMIFS(Sheet1!$E:$E,Sheet1!$C:$C,$A119,Sheet1!$A:$A,N$2),"")</f>
        <v/>
      </c>
      <c r="O119" s="9" t="str">
        <f>IF(SUMIFS(Sheet1!$E:$E,Sheet1!$C:$C,$A119,Sheet1!$A:$A,O$2)&lt;&gt;0,SUMIFS(Sheet1!$E:$E,Sheet1!$C:$C,$A119,Sheet1!$A:$A,O$2),"")</f>
        <v/>
      </c>
      <c r="P119" s="9" t="str">
        <f>IF(SUMIFS(Sheet1!$E:$E,Sheet1!$C:$C,$A119,Sheet1!$A:$A,P$2)&lt;&gt;0,SUMIFS(Sheet1!$E:$E,Sheet1!$C:$C,$A119,Sheet1!$A:$A,P$2),"")</f>
        <v/>
      </c>
      <c r="Q119" s="9" t="str">
        <f>IF(SUMIFS(Sheet1!$E:$E,Sheet1!$C:$C,$A119,Sheet1!$A:$A,Q$2)&lt;&gt;0,SUMIFS(Sheet1!$E:$E,Sheet1!$C:$C,$A119,Sheet1!$A:$A,Q$2),"")</f>
        <v/>
      </c>
      <c r="R119" s="9" t="str">
        <f>IF(SUMIFS(Sheet1!$E:$E,Sheet1!$C:$C,$A119,Sheet1!$A:$A,R$2)&lt;&gt;0,SUMIFS(Sheet1!$E:$E,Sheet1!$C:$C,$A119,Sheet1!$A:$A,R$2),"")</f>
        <v/>
      </c>
      <c r="S119" s="9" t="str">
        <f>IF(SUMIFS(Sheet1!$E:$E,Sheet1!$C:$C,$A119,Sheet1!$A:$A,S$2)&lt;&gt;0,SUMIFS(Sheet1!$E:$E,Sheet1!$C:$C,$A119,Sheet1!$A:$A,S$2),"")</f>
        <v/>
      </c>
      <c r="T119" s="9" t="str">
        <f>IF(SUMIFS(Sheet1!$E:$E,Sheet1!$C:$C,$A119,Sheet1!$A:$A,T$2)&lt;&gt;0,SUMIFS(Sheet1!$E:$E,Sheet1!$C:$C,$A119,Sheet1!$A:$A,T$2),"")</f>
        <v/>
      </c>
      <c r="U119" s="9" t="str">
        <f>IF(SUMIFS(Sheet1!$E:$E,Sheet1!$C:$C,$A119,Sheet1!$A:$A,U$2)&lt;&gt;0,SUMIFS(Sheet1!$E:$E,Sheet1!$C:$C,$A119,Sheet1!$A:$A,U$2),"")</f>
        <v/>
      </c>
      <c r="V119" s="9" t="str">
        <f>IF(SUMIFS(Sheet1!$E:$E,Sheet1!$C:$C,$A119,Sheet1!$A:$A,V$2)&lt;&gt;0,SUMIFS(Sheet1!$E:$E,Sheet1!$C:$C,$A119,Sheet1!$A:$A,V$2),"")</f>
        <v/>
      </c>
      <c r="W119" s="9" t="str">
        <f>IF(SUMIFS(Sheet1!$E:$E,Sheet1!$C:$C,$A119,Sheet1!$A:$A,W$2)&lt;&gt;0,SUMIFS(Sheet1!$E:$E,Sheet1!$C:$C,$A119,Sheet1!$A:$A,W$2),"")</f>
        <v/>
      </c>
      <c r="X119" s="9" t="str">
        <f>IF(SUMIFS(Sheet1!$E:$E,Sheet1!$C:$C,$A119,Sheet1!$A:$A,X$2)&lt;&gt;0,SUMIFS(Sheet1!$E:$E,Sheet1!$C:$C,$A119,Sheet1!$A:$A,X$2),"")</f>
        <v/>
      </c>
      <c r="Y119" s="9" t="str">
        <f>IF(SUMIFS(Sheet1!$E:$E,Sheet1!$C:$C,$A119,Sheet1!$A:$A,Y$2)&lt;&gt;0,SUMIFS(Sheet1!$E:$E,Sheet1!$C:$C,$A119,Sheet1!$A:$A,Y$2),"")</f>
        <v/>
      </c>
      <c r="Z119" s="9" t="str">
        <f>IF(SUMIFS(Sheet1!$E:$E,Sheet1!$C:$C,$A119,Sheet1!$A:$A,Z$2)&lt;&gt;0,SUMIFS(Sheet1!$E:$E,Sheet1!$C:$C,$A119,Sheet1!$A:$A,Z$2),"")</f>
        <v/>
      </c>
      <c r="AA119" s="9" t="str">
        <f>IF(SUMIFS(Sheet1!$E:$E,Sheet1!$C:$C,$A119,Sheet1!$A:$A,AA$2)&lt;&gt;0,SUMIFS(Sheet1!$E:$E,Sheet1!$C:$C,$A119,Sheet1!$A:$A,AA$2),"")</f>
        <v/>
      </c>
      <c r="AB119" s="9" t="str">
        <f>IF(SUMIFS(Sheet1!$E:$E,Sheet1!$C:$C,$A119,Sheet1!$A:$A,AB$2)&lt;&gt;0,SUMIFS(Sheet1!$E:$E,Sheet1!$C:$C,$A119,Sheet1!$A:$A,AB$2),"")</f>
        <v/>
      </c>
      <c r="AC119" s="9" t="str">
        <f>IF(SUMIFS(Sheet1!$E:$E,Sheet1!$C:$C,$A119,Sheet1!$A:$A,AC$2)&lt;&gt;0,SUMIFS(Sheet1!$E:$E,Sheet1!$C:$C,$A119,Sheet1!$A:$A,AC$2),"")</f>
        <v/>
      </c>
      <c r="AD119" s="9" t="str">
        <f>IF(SUMIFS(Sheet1!$E:$E,Sheet1!$C:$C,$A119,Sheet1!$A:$A,AD$2)&lt;&gt;0,SUMIFS(Sheet1!$E:$E,Sheet1!$C:$C,$A119,Sheet1!$A:$A,AD$2),"")</f>
        <v/>
      </c>
      <c r="AE119" s="9" t="str">
        <f>IF(SUMIFS(Sheet1!$E:$E,Sheet1!$C:$C,$A119,Sheet1!$A:$A,AE$2)&lt;&gt;0,SUMIFS(Sheet1!$E:$E,Sheet1!$C:$C,$A119,Sheet1!$A:$A,AE$2),"")</f>
        <v/>
      </c>
      <c r="AF119" s="9" t="str">
        <f>IF(SUMIFS(Sheet1!$E:$E,Sheet1!$C:$C,$A119,Sheet1!$A:$A,AF$2)&lt;&gt;0,SUMIFS(Sheet1!$E:$E,Sheet1!$C:$C,$A119,Sheet1!$A:$A,AF$2),"")</f>
        <v/>
      </c>
      <c r="AG119" s="9" t="str">
        <f>IF(SUMIFS(Sheet1!$E:$E,Sheet1!$C:$C,$A119,Sheet1!$A:$A,AG$2)&lt;&gt;0,SUMIFS(Sheet1!$E:$E,Sheet1!$C:$C,$A119,Sheet1!$A:$A,AG$2),"")</f>
        <v/>
      </c>
      <c r="AH119" s="47">
        <f>SUM(Table24[[#This Row],[1]:[31]])</f>
        <v>123</v>
      </c>
    </row>
    <row r="120" spans="1:34" ht="12.75" customHeight="1">
      <c r="A120" s="24" t="str">
        <f>DSSP!A119</f>
        <v>VD5</v>
      </c>
      <c r="B120" s="25" t="str">
        <f>DSSP!B119</f>
        <v>Vải dạ 90x90</v>
      </c>
      <c r="C120" s="9" t="str">
        <f>IF(SUMIFS(Sheet1!$E:$E,Sheet1!$C:$C,$A120,Sheet1!$A:$A,C$2)&lt;&gt;0,SUMIFS(Sheet1!$E:$E,Sheet1!$C:$C,$A120,Sheet1!$A:$A,C$2),"")</f>
        <v/>
      </c>
      <c r="D120" s="9" t="str">
        <f>IF(SUMIFS(Sheet1!$E:$E,Sheet1!$C:$C,$A120,Sheet1!$A:$A,D$2)&lt;&gt;0,SUMIFS(Sheet1!$E:$E,Sheet1!$C:$C,$A120,Sheet1!$A:$A,D$2),"")</f>
        <v/>
      </c>
      <c r="E120" s="9" t="str">
        <f>IF(SUMIFS(Sheet1!$E:$E,Sheet1!$C:$C,$A120,Sheet1!$A:$A,E$2)&lt;&gt;0,SUMIFS(Sheet1!$E:$E,Sheet1!$C:$C,$A120,Sheet1!$A:$A,E$2),"")</f>
        <v/>
      </c>
      <c r="F120" s="9" t="str">
        <f>IF(SUMIFS(Sheet1!$E:$E,Sheet1!$C:$C,$A120,Sheet1!$A:$A,F$2)&lt;&gt;0,SUMIFS(Sheet1!$E:$E,Sheet1!$C:$C,$A120,Sheet1!$A:$A,F$2),"")</f>
        <v/>
      </c>
      <c r="G120" s="9" t="str">
        <f>IF(SUMIFS(Sheet1!$E:$E,Sheet1!$C:$C,$A120,Sheet1!$A:$A,G$2)&lt;&gt;0,SUMIFS(Sheet1!$E:$E,Sheet1!$C:$C,$A120,Sheet1!$A:$A,G$2),"")</f>
        <v/>
      </c>
      <c r="H120" s="9" t="str">
        <f>IF(SUMIFS(Sheet1!$E:$E,Sheet1!$C:$C,$A120,Sheet1!$A:$A,H$2)&lt;&gt;0,SUMIFS(Sheet1!$E:$E,Sheet1!$C:$C,$A120,Sheet1!$A:$A,H$2),"")</f>
        <v/>
      </c>
      <c r="I120" s="9" t="str">
        <f>IF(SUMIFS(Sheet1!$E:$E,Sheet1!$C:$C,$A120,Sheet1!$A:$A,I$2)&lt;&gt;0,SUMIFS(Sheet1!$E:$E,Sheet1!$C:$C,$A120,Sheet1!$A:$A,I$2),"")</f>
        <v/>
      </c>
      <c r="J120" s="9" t="str">
        <f>IF(SUMIFS(Sheet1!$E:$E,Sheet1!$C:$C,$A120,Sheet1!$A:$A,J$2)&lt;&gt;0,SUMIFS(Sheet1!$E:$E,Sheet1!$C:$C,$A120,Sheet1!$A:$A,J$2),"")</f>
        <v/>
      </c>
      <c r="K120" s="9" t="str">
        <f>IF(SUMIFS(Sheet1!$E:$E,Sheet1!$C:$C,$A120,Sheet1!$A:$A,K$2)&lt;&gt;0,SUMIFS(Sheet1!$E:$E,Sheet1!$C:$C,$A120,Sheet1!$A:$A,K$2),"")</f>
        <v/>
      </c>
      <c r="L120" s="9" t="str">
        <f>IF(SUMIFS(Sheet1!$E:$E,Sheet1!$C:$C,$A120,Sheet1!$A:$A,L$2)&lt;&gt;0,SUMIFS(Sheet1!$E:$E,Sheet1!$C:$C,$A120,Sheet1!$A:$A,L$2),"")</f>
        <v/>
      </c>
      <c r="M120" s="9" t="str">
        <f>IF(SUMIFS(Sheet1!$E:$E,Sheet1!$C:$C,$A120,Sheet1!$A:$A,M$2)&lt;&gt;0,SUMIFS(Sheet1!$E:$E,Sheet1!$C:$C,$A120,Sheet1!$A:$A,M$2),"")</f>
        <v/>
      </c>
      <c r="N120" s="9" t="str">
        <f>IF(SUMIFS(Sheet1!$E:$E,Sheet1!$C:$C,$A120,Sheet1!$A:$A,N$2)&lt;&gt;0,SUMIFS(Sheet1!$E:$E,Sheet1!$C:$C,$A120,Sheet1!$A:$A,N$2),"")</f>
        <v/>
      </c>
      <c r="O120" s="9" t="str">
        <f>IF(SUMIFS(Sheet1!$E:$E,Sheet1!$C:$C,$A120,Sheet1!$A:$A,O$2)&lt;&gt;0,SUMIFS(Sheet1!$E:$E,Sheet1!$C:$C,$A120,Sheet1!$A:$A,O$2),"")</f>
        <v/>
      </c>
      <c r="P120" s="9" t="str">
        <f>IF(SUMIFS(Sheet1!$E:$E,Sheet1!$C:$C,$A120,Sheet1!$A:$A,P$2)&lt;&gt;0,SUMIFS(Sheet1!$E:$E,Sheet1!$C:$C,$A120,Sheet1!$A:$A,P$2),"")</f>
        <v/>
      </c>
      <c r="Q120" s="9" t="str">
        <f>IF(SUMIFS(Sheet1!$E:$E,Sheet1!$C:$C,$A120,Sheet1!$A:$A,Q$2)&lt;&gt;0,SUMIFS(Sheet1!$E:$E,Sheet1!$C:$C,$A120,Sheet1!$A:$A,Q$2),"")</f>
        <v/>
      </c>
      <c r="R120" s="9" t="str">
        <f>IF(SUMIFS(Sheet1!$E:$E,Sheet1!$C:$C,$A120,Sheet1!$A:$A,R$2)&lt;&gt;0,SUMIFS(Sheet1!$E:$E,Sheet1!$C:$C,$A120,Sheet1!$A:$A,R$2),"")</f>
        <v/>
      </c>
      <c r="S120" s="9" t="str">
        <f>IF(SUMIFS(Sheet1!$E:$E,Sheet1!$C:$C,$A120,Sheet1!$A:$A,S$2)&lt;&gt;0,SUMIFS(Sheet1!$E:$E,Sheet1!$C:$C,$A120,Sheet1!$A:$A,S$2),"")</f>
        <v/>
      </c>
      <c r="T120" s="9" t="str">
        <f>IF(SUMIFS(Sheet1!$E:$E,Sheet1!$C:$C,$A120,Sheet1!$A:$A,T$2)&lt;&gt;0,SUMIFS(Sheet1!$E:$E,Sheet1!$C:$C,$A120,Sheet1!$A:$A,T$2),"")</f>
        <v/>
      </c>
      <c r="U120" s="9" t="str">
        <f>IF(SUMIFS(Sheet1!$E:$E,Sheet1!$C:$C,$A120,Sheet1!$A:$A,U$2)&lt;&gt;0,SUMIFS(Sheet1!$E:$E,Sheet1!$C:$C,$A120,Sheet1!$A:$A,U$2),"")</f>
        <v/>
      </c>
      <c r="V120" s="9" t="str">
        <f>IF(SUMIFS(Sheet1!$E:$E,Sheet1!$C:$C,$A120,Sheet1!$A:$A,V$2)&lt;&gt;0,SUMIFS(Sheet1!$E:$E,Sheet1!$C:$C,$A120,Sheet1!$A:$A,V$2),"")</f>
        <v/>
      </c>
      <c r="W120" s="9" t="str">
        <f>IF(SUMIFS(Sheet1!$E:$E,Sheet1!$C:$C,$A120,Sheet1!$A:$A,W$2)&lt;&gt;0,SUMIFS(Sheet1!$E:$E,Sheet1!$C:$C,$A120,Sheet1!$A:$A,W$2),"")</f>
        <v/>
      </c>
      <c r="X120" s="9" t="str">
        <f>IF(SUMIFS(Sheet1!$E:$E,Sheet1!$C:$C,$A120,Sheet1!$A:$A,X$2)&lt;&gt;0,SUMIFS(Sheet1!$E:$E,Sheet1!$C:$C,$A120,Sheet1!$A:$A,X$2),"")</f>
        <v/>
      </c>
      <c r="Y120" s="9" t="str">
        <f>IF(SUMIFS(Sheet1!$E:$E,Sheet1!$C:$C,$A120,Sheet1!$A:$A,Y$2)&lt;&gt;0,SUMIFS(Sheet1!$E:$E,Sheet1!$C:$C,$A120,Sheet1!$A:$A,Y$2),"")</f>
        <v/>
      </c>
      <c r="Z120" s="9" t="str">
        <f>IF(SUMIFS(Sheet1!$E:$E,Sheet1!$C:$C,$A120,Sheet1!$A:$A,Z$2)&lt;&gt;0,SUMIFS(Sheet1!$E:$E,Sheet1!$C:$C,$A120,Sheet1!$A:$A,Z$2),"")</f>
        <v/>
      </c>
      <c r="AA120" s="9" t="str">
        <f>IF(SUMIFS(Sheet1!$E:$E,Sheet1!$C:$C,$A120,Sheet1!$A:$A,AA$2)&lt;&gt;0,SUMIFS(Sheet1!$E:$E,Sheet1!$C:$C,$A120,Sheet1!$A:$A,AA$2),"")</f>
        <v/>
      </c>
      <c r="AB120" s="9" t="str">
        <f>IF(SUMIFS(Sheet1!$E:$E,Sheet1!$C:$C,$A120,Sheet1!$A:$A,AB$2)&lt;&gt;0,SUMIFS(Sheet1!$E:$E,Sheet1!$C:$C,$A120,Sheet1!$A:$A,AB$2),"")</f>
        <v/>
      </c>
      <c r="AC120" s="9" t="str">
        <f>IF(SUMIFS(Sheet1!$E:$E,Sheet1!$C:$C,$A120,Sheet1!$A:$A,AC$2)&lt;&gt;0,SUMIFS(Sheet1!$E:$E,Sheet1!$C:$C,$A120,Sheet1!$A:$A,AC$2),"")</f>
        <v/>
      </c>
      <c r="AD120" s="9" t="str">
        <f>IF(SUMIFS(Sheet1!$E:$E,Sheet1!$C:$C,$A120,Sheet1!$A:$A,AD$2)&lt;&gt;0,SUMIFS(Sheet1!$E:$E,Sheet1!$C:$C,$A120,Sheet1!$A:$A,AD$2),"")</f>
        <v/>
      </c>
      <c r="AE120" s="9" t="str">
        <f>IF(SUMIFS(Sheet1!$E:$E,Sheet1!$C:$C,$A120,Sheet1!$A:$A,AE$2)&lt;&gt;0,SUMIFS(Sheet1!$E:$E,Sheet1!$C:$C,$A120,Sheet1!$A:$A,AE$2),"")</f>
        <v/>
      </c>
      <c r="AF120" s="9" t="str">
        <f>IF(SUMIFS(Sheet1!$E:$E,Sheet1!$C:$C,$A120,Sheet1!$A:$A,AF$2)&lt;&gt;0,SUMIFS(Sheet1!$E:$E,Sheet1!$C:$C,$A120,Sheet1!$A:$A,AF$2),"")</f>
        <v/>
      </c>
      <c r="AG120" s="9" t="str">
        <f>IF(SUMIFS(Sheet1!$E:$E,Sheet1!$C:$C,$A120,Sheet1!$A:$A,AG$2)&lt;&gt;0,SUMIFS(Sheet1!$E:$E,Sheet1!$C:$C,$A120,Sheet1!$A:$A,AG$2),"")</f>
        <v/>
      </c>
      <c r="AH120" s="47">
        <f>SUM(Table24[[#This Row],[1]:[31]])</f>
        <v>0</v>
      </c>
    </row>
    <row r="121" spans="1:34" ht="12.75" customHeight="1">
      <c r="A121" s="24" t="str">
        <f>DSSP!A120</f>
        <v>VD6</v>
      </c>
      <c r="B121" s="25" t="str">
        <f>DSSP!B120</f>
        <v>Móc điện thoại</v>
      </c>
      <c r="C121" s="9">
        <f>IF(SUMIFS(Sheet1!$E:$E,Sheet1!$C:$C,$A121,Sheet1!$A:$A,C$2)&lt;&gt;0,SUMIFS(Sheet1!$E:$E,Sheet1!$C:$C,$A121,Sheet1!$A:$A,C$2),"")</f>
        <v>937</v>
      </c>
      <c r="D121" s="9" t="str">
        <f>IF(SUMIFS(Sheet1!$E:$E,Sheet1!$C:$C,$A121,Sheet1!$A:$A,D$2)&lt;&gt;0,SUMIFS(Sheet1!$E:$E,Sheet1!$C:$C,$A121,Sheet1!$A:$A,D$2),"")</f>
        <v/>
      </c>
      <c r="E121" s="9" t="str">
        <f>IF(SUMIFS(Sheet1!$E:$E,Sheet1!$C:$C,$A121,Sheet1!$A:$A,E$2)&lt;&gt;0,SUMIFS(Sheet1!$E:$E,Sheet1!$C:$C,$A121,Sheet1!$A:$A,E$2),"")</f>
        <v/>
      </c>
      <c r="F121" s="9" t="str">
        <f>IF(SUMIFS(Sheet1!$E:$E,Sheet1!$C:$C,$A121,Sheet1!$A:$A,F$2)&lt;&gt;0,SUMIFS(Sheet1!$E:$E,Sheet1!$C:$C,$A121,Sheet1!$A:$A,F$2),"")</f>
        <v/>
      </c>
      <c r="G121" s="9" t="str">
        <f>IF(SUMIFS(Sheet1!$E:$E,Sheet1!$C:$C,$A121,Sheet1!$A:$A,G$2)&lt;&gt;0,SUMIFS(Sheet1!$E:$E,Sheet1!$C:$C,$A121,Sheet1!$A:$A,G$2),"")</f>
        <v/>
      </c>
      <c r="H121" s="9" t="str">
        <f>IF(SUMIFS(Sheet1!$E:$E,Sheet1!$C:$C,$A121,Sheet1!$A:$A,H$2)&lt;&gt;0,SUMIFS(Sheet1!$E:$E,Sheet1!$C:$C,$A121,Sheet1!$A:$A,H$2),"")</f>
        <v/>
      </c>
      <c r="I121" s="9" t="str">
        <f>IF(SUMIFS(Sheet1!$E:$E,Sheet1!$C:$C,$A121,Sheet1!$A:$A,I$2)&lt;&gt;0,SUMIFS(Sheet1!$E:$E,Sheet1!$C:$C,$A121,Sheet1!$A:$A,I$2),"")</f>
        <v/>
      </c>
      <c r="J121" s="9" t="str">
        <f>IF(SUMIFS(Sheet1!$E:$E,Sheet1!$C:$C,$A121,Sheet1!$A:$A,J$2)&lt;&gt;0,SUMIFS(Sheet1!$E:$E,Sheet1!$C:$C,$A121,Sheet1!$A:$A,J$2),"")</f>
        <v/>
      </c>
      <c r="K121" s="9" t="str">
        <f>IF(SUMIFS(Sheet1!$E:$E,Sheet1!$C:$C,$A121,Sheet1!$A:$A,K$2)&lt;&gt;0,SUMIFS(Sheet1!$E:$E,Sheet1!$C:$C,$A121,Sheet1!$A:$A,K$2),"")</f>
        <v/>
      </c>
      <c r="L121" s="9" t="str">
        <f>IF(SUMIFS(Sheet1!$E:$E,Sheet1!$C:$C,$A121,Sheet1!$A:$A,L$2)&lt;&gt;0,SUMIFS(Sheet1!$E:$E,Sheet1!$C:$C,$A121,Sheet1!$A:$A,L$2),"")</f>
        <v/>
      </c>
      <c r="M121" s="9" t="str">
        <f>IF(SUMIFS(Sheet1!$E:$E,Sheet1!$C:$C,$A121,Sheet1!$A:$A,M$2)&lt;&gt;0,SUMIFS(Sheet1!$E:$E,Sheet1!$C:$C,$A121,Sheet1!$A:$A,M$2),"")</f>
        <v/>
      </c>
      <c r="N121" s="9" t="str">
        <f>IF(SUMIFS(Sheet1!$E:$E,Sheet1!$C:$C,$A121,Sheet1!$A:$A,N$2)&lt;&gt;0,SUMIFS(Sheet1!$E:$E,Sheet1!$C:$C,$A121,Sheet1!$A:$A,N$2),"")</f>
        <v/>
      </c>
      <c r="O121" s="9" t="str">
        <f>IF(SUMIFS(Sheet1!$E:$E,Sheet1!$C:$C,$A121,Sheet1!$A:$A,O$2)&lt;&gt;0,SUMIFS(Sheet1!$E:$E,Sheet1!$C:$C,$A121,Sheet1!$A:$A,O$2),"")</f>
        <v/>
      </c>
      <c r="P121" s="9" t="str">
        <f>IF(SUMIFS(Sheet1!$E:$E,Sheet1!$C:$C,$A121,Sheet1!$A:$A,P$2)&lt;&gt;0,SUMIFS(Sheet1!$E:$E,Sheet1!$C:$C,$A121,Sheet1!$A:$A,P$2),"")</f>
        <v/>
      </c>
      <c r="Q121" s="9" t="str">
        <f>IF(SUMIFS(Sheet1!$E:$E,Sheet1!$C:$C,$A121,Sheet1!$A:$A,Q$2)&lt;&gt;0,SUMIFS(Sheet1!$E:$E,Sheet1!$C:$C,$A121,Sheet1!$A:$A,Q$2),"")</f>
        <v/>
      </c>
      <c r="R121" s="9" t="str">
        <f>IF(SUMIFS(Sheet1!$E:$E,Sheet1!$C:$C,$A121,Sheet1!$A:$A,R$2)&lt;&gt;0,SUMIFS(Sheet1!$E:$E,Sheet1!$C:$C,$A121,Sheet1!$A:$A,R$2),"")</f>
        <v/>
      </c>
      <c r="S121" s="9" t="str">
        <f>IF(SUMIFS(Sheet1!$E:$E,Sheet1!$C:$C,$A121,Sheet1!$A:$A,S$2)&lt;&gt;0,SUMIFS(Sheet1!$E:$E,Sheet1!$C:$C,$A121,Sheet1!$A:$A,S$2),"")</f>
        <v/>
      </c>
      <c r="T121" s="9" t="str">
        <f>IF(SUMIFS(Sheet1!$E:$E,Sheet1!$C:$C,$A121,Sheet1!$A:$A,T$2)&lt;&gt;0,SUMIFS(Sheet1!$E:$E,Sheet1!$C:$C,$A121,Sheet1!$A:$A,T$2),"")</f>
        <v/>
      </c>
      <c r="U121" s="9" t="str">
        <f>IF(SUMIFS(Sheet1!$E:$E,Sheet1!$C:$C,$A121,Sheet1!$A:$A,U$2)&lt;&gt;0,SUMIFS(Sheet1!$E:$E,Sheet1!$C:$C,$A121,Sheet1!$A:$A,U$2),"")</f>
        <v/>
      </c>
      <c r="V121" s="9" t="str">
        <f>IF(SUMIFS(Sheet1!$E:$E,Sheet1!$C:$C,$A121,Sheet1!$A:$A,V$2)&lt;&gt;0,SUMIFS(Sheet1!$E:$E,Sheet1!$C:$C,$A121,Sheet1!$A:$A,V$2),"")</f>
        <v/>
      </c>
      <c r="W121" s="9" t="str">
        <f>IF(SUMIFS(Sheet1!$E:$E,Sheet1!$C:$C,$A121,Sheet1!$A:$A,W$2)&lt;&gt;0,SUMIFS(Sheet1!$E:$E,Sheet1!$C:$C,$A121,Sheet1!$A:$A,W$2),"")</f>
        <v/>
      </c>
      <c r="X121" s="9" t="str">
        <f>IF(SUMIFS(Sheet1!$E:$E,Sheet1!$C:$C,$A121,Sheet1!$A:$A,X$2)&lt;&gt;0,SUMIFS(Sheet1!$E:$E,Sheet1!$C:$C,$A121,Sheet1!$A:$A,X$2),"")</f>
        <v/>
      </c>
      <c r="Y121" s="9" t="str">
        <f>IF(SUMIFS(Sheet1!$E:$E,Sheet1!$C:$C,$A121,Sheet1!$A:$A,Y$2)&lt;&gt;0,SUMIFS(Sheet1!$E:$E,Sheet1!$C:$C,$A121,Sheet1!$A:$A,Y$2),"")</f>
        <v/>
      </c>
      <c r="Z121" s="9" t="str">
        <f>IF(SUMIFS(Sheet1!$E:$E,Sheet1!$C:$C,$A121,Sheet1!$A:$A,Z$2)&lt;&gt;0,SUMIFS(Sheet1!$E:$E,Sheet1!$C:$C,$A121,Sheet1!$A:$A,Z$2),"")</f>
        <v/>
      </c>
      <c r="AA121" s="9" t="str">
        <f>IF(SUMIFS(Sheet1!$E:$E,Sheet1!$C:$C,$A121,Sheet1!$A:$A,AA$2)&lt;&gt;0,SUMIFS(Sheet1!$E:$E,Sheet1!$C:$C,$A121,Sheet1!$A:$A,AA$2),"")</f>
        <v/>
      </c>
      <c r="AB121" s="9" t="str">
        <f>IF(SUMIFS(Sheet1!$E:$E,Sheet1!$C:$C,$A121,Sheet1!$A:$A,AB$2)&lt;&gt;0,SUMIFS(Sheet1!$E:$E,Sheet1!$C:$C,$A121,Sheet1!$A:$A,AB$2),"")</f>
        <v/>
      </c>
      <c r="AC121" s="9" t="str">
        <f>IF(SUMIFS(Sheet1!$E:$E,Sheet1!$C:$C,$A121,Sheet1!$A:$A,AC$2)&lt;&gt;0,SUMIFS(Sheet1!$E:$E,Sheet1!$C:$C,$A121,Sheet1!$A:$A,AC$2),"")</f>
        <v/>
      </c>
      <c r="AD121" s="9" t="str">
        <f>IF(SUMIFS(Sheet1!$E:$E,Sheet1!$C:$C,$A121,Sheet1!$A:$A,AD$2)&lt;&gt;0,SUMIFS(Sheet1!$E:$E,Sheet1!$C:$C,$A121,Sheet1!$A:$A,AD$2),"")</f>
        <v/>
      </c>
      <c r="AE121" s="9" t="str">
        <f>IF(SUMIFS(Sheet1!$E:$E,Sheet1!$C:$C,$A121,Sheet1!$A:$A,AE$2)&lt;&gt;0,SUMIFS(Sheet1!$E:$E,Sheet1!$C:$C,$A121,Sheet1!$A:$A,AE$2),"")</f>
        <v/>
      </c>
      <c r="AF121" s="9" t="str">
        <f>IF(SUMIFS(Sheet1!$E:$E,Sheet1!$C:$C,$A121,Sheet1!$A:$A,AF$2)&lt;&gt;0,SUMIFS(Sheet1!$E:$E,Sheet1!$C:$C,$A121,Sheet1!$A:$A,AF$2),"")</f>
        <v/>
      </c>
      <c r="AG121" s="9" t="str">
        <f>IF(SUMIFS(Sheet1!$E:$E,Sheet1!$C:$C,$A121,Sheet1!$A:$A,AG$2)&lt;&gt;0,SUMIFS(Sheet1!$E:$E,Sheet1!$C:$C,$A121,Sheet1!$A:$A,AG$2),"")</f>
        <v/>
      </c>
      <c r="AH121" s="47">
        <f>SUM(Table24[[#This Row],[1]:[31]])</f>
        <v>937</v>
      </c>
    </row>
    <row r="122" spans="1:34" ht="12.75" customHeight="1">
      <c r="A122" s="24" t="str">
        <f>DSSP!A121</f>
        <v>VD7</v>
      </c>
      <c r="B122" s="25" t="str">
        <f>DSSP!B121</f>
        <v>Móc khóa</v>
      </c>
      <c r="C122" s="9">
        <f>IF(SUMIFS(Sheet1!$E:$E,Sheet1!$C:$C,$A122,Sheet1!$A:$A,C$2)&lt;&gt;0,SUMIFS(Sheet1!$E:$E,Sheet1!$C:$C,$A122,Sheet1!$A:$A,C$2),"")</f>
        <v>241</v>
      </c>
      <c r="D122" s="9" t="str">
        <f>IF(SUMIFS(Sheet1!$E:$E,Sheet1!$C:$C,$A122,Sheet1!$A:$A,D$2)&lt;&gt;0,SUMIFS(Sheet1!$E:$E,Sheet1!$C:$C,$A122,Sheet1!$A:$A,D$2),"")</f>
        <v/>
      </c>
      <c r="E122" s="9" t="str">
        <f>IF(SUMIFS(Sheet1!$E:$E,Sheet1!$C:$C,$A122,Sheet1!$A:$A,E$2)&lt;&gt;0,SUMIFS(Sheet1!$E:$E,Sheet1!$C:$C,$A122,Sheet1!$A:$A,E$2),"")</f>
        <v/>
      </c>
      <c r="F122" s="9" t="str">
        <f>IF(SUMIFS(Sheet1!$E:$E,Sheet1!$C:$C,$A122,Sheet1!$A:$A,F$2)&lt;&gt;0,SUMIFS(Sheet1!$E:$E,Sheet1!$C:$C,$A122,Sheet1!$A:$A,F$2),"")</f>
        <v/>
      </c>
      <c r="G122" s="9" t="str">
        <f>IF(SUMIFS(Sheet1!$E:$E,Sheet1!$C:$C,$A122,Sheet1!$A:$A,G$2)&lt;&gt;0,SUMIFS(Sheet1!$E:$E,Sheet1!$C:$C,$A122,Sheet1!$A:$A,G$2),"")</f>
        <v/>
      </c>
      <c r="H122" s="9" t="str">
        <f>IF(SUMIFS(Sheet1!$E:$E,Sheet1!$C:$C,$A122,Sheet1!$A:$A,H$2)&lt;&gt;0,SUMIFS(Sheet1!$E:$E,Sheet1!$C:$C,$A122,Sheet1!$A:$A,H$2),"")</f>
        <v/>
      </c>
      <c r="I122" s="9" t="str">
        <f>IF(SUMIFS(Sheet1!$E:$E,Sheet1!$C:$C,$A122,Sheet1!$A:$A,I$2)&lt;&gt;0,SUMIFS(Sheet1!$E:$E,Sheet1!$C:$C,$A122,Sheet1!$A:$A,I$2),"")</f>
        <v/>
      </c>
      <c r="J122" s="9" t="str">
        <f>IF(SUMIFS(Sheet1!$E:$E,Sheet1!$C:$C,$A122,Sheet1!$A:$A,J$2)&lt;&gt;0,SUMIFS(Sheet1!$E:$E,Sheet1!$C:$C,$A122,Sheet1!$A:$A,J$2),"")</f>
        <v/>
      </c>
      <c r="K122" s="9" t="str">
        <f>IF(SUMIFS(Sheet1!$E:$E,Sheet1!$C:$C,$A122,Sheet1!$A:$A,K$2)&lt;&gt;0,SUMIFS(Sheet1!$E:$E,Sheet1!$C:$C,$A122,Sheet1!$A:$A,K$2),"")</f>
        <v/>
      </c>
      <c r="L122" s="9" t="str">
        <f>IF(SUMIFS(Sheet1!$E:$E,Sheet1!$C:$C,$A122,Sheet1!$A:$A,L$2)&lt;&gt;0,SUMIFS(Sheet1!$E:$E,Sheet1!$C:$C,$A122,Sheet1!$A:$A,L$2),"")</f>
        <v/>
      </c>
      <c r="M122" s="9" t="str">
        <f>IF(SUMIFS(Sheet1!$E:$E,Sheet1!$C:$C,$A122,Sheet1!$A:$A,M$2)&lt;&gt;0,SUMIFS(Sheet1!$E:$E,Sheet1!$C:$C,$A122,Sheet1!$A:$A,M$2),"")</f>
        <v/>
      </c>
      <c r="N122" s="9" t="str">
        <f>IF(SUMIFS(Sheet1!$E:$E,Sheet1!$C:$C,$A122,Sheet1!$A:$A,N$2)&lt;&gt;0,SUMIFS(Sheet1!$E:$E,Sheet1!$C:$C,$A122,Sheet1!$A:$A,N$2),"")</f>
        <v/>
      </c>
      <c r="O122" s="9" t="str">
        <f>IF(SUMIFS(Sheet1!$E:$E,Sheet1!$C:$C,$A122,Sheet1!$A:$A,O$2)&lt;&gt;0,SUMIFS(Sheet1!$E:$E,Sheet1!$C:$C,$A122,Sheet1!$A:$A,O$2),"")</f>
        <v/>
      </c>
      <c r="P122" s="9" t="str">
        <f>IF(SUMIFS(Sheet1!$E:$E,Sheet1!$C:$C,$A122,Sheet1!$A:$A,P$2)&lt;&gt;0,SUMIFS(Sheet1!$E:$E,Sheet1!$C:$C,$A122,Sheet1!$A:$A,P$2),"")</f>
        <v/>
      </c>
      <c r="Q122" s="9" t="str">
        <f>IF(SUMIFS(Sheet1!$E:$E,Sheet1!$C:$C,$A122,Sheet1!$A:$A,Q$2)&lt;&gt;0,SUMIFS(Sheet1!$E:$E,Sheet1!$C:$C,$A122,Sheet1!$A:$A,Q$2),"")</f>
        <v/>
      </c>
      <c r="R122" s="9" t="str">
        <f>IF(SUMIFS(Sheet1!$E:$E,Sheet1!$C:$C,$A122,Sheet1!$A:$A,R$2)&lt;&gt;0,SUMIFS(Sheet1!$E:$E,Sheet1!$C:$C,$A122,Sheet1!$A:$A,R$2),"")</f>
        <v/>
      </c>
      <c r="S122" s="9" t="str">
        <f>IF(SUMIFS(Sheet1!$E:$E,Sheet1!$C:$C,$A122,Sheet1!$A:$A,S$2)&lt;&gt;0,SUMIFS(Sheet1!$E:$E,Sheet1!$C:$C,$A122,Sheet1!$A:$A,S$2),"")</f>
        <v/>
      </c>
      <c r="T122" s="9" t="str">
        <f>IF(SUMIFS(Sheet1!$E:$E,Sheet1!$C:$C,$A122,Sheet1!$A:$A,T$2)&lt;&gt;0,SUMIFS(Sheet1!$E:$E,Sheet1!$C:$C,$A122,Sheet1!$A:$A,T$2),"")</f>
        <v/>
      </c>
      <c r="U122" s="9" t="str">
        <f>IF(SUMIFS(Sheet1!$E:$E,Sheet1!$C:$C,$A122,Sheet1!$A:$A,U$2)&lt;&gt;0,SUMIFS(Sheet1!$E:$E,Sheet1!$C:$C,$A122,Sheet1!$A:$A,U$2),"")</f>
        <v/>
      </c>
      <c r="V122" s="9" t="str">
        <f>IF(SUMIFS(Sheet1!$E:$E,Sheet1!$C:$C,$A122,Sheet1!$A:$A,V$2)&lt;&gt;0,SUMIFS(Sheet1!$E:$E,Sheet1!$C:$C,$A122,Sheet1!$A:$A,V$2),"")</f>
        <v/>
      </c>
      <c r="W122" s="9" t="str">
        <f>IF(SUMIFS(Sheet1!$E:$E,Sheet1!$C:$C,$A122,Sheet1!$A:$A,W$2)&lt;&gt;0,SUMIFS(Sheet1!$E:$E,Sheet1!$C:$C,$A122,Sheet1!$A:$A,W$2),"")</f>
        <v/>
      </c>
      <c r="X122" s="9" t="str">
        <f>IF(SUMIFS(Sheet1!$E:$E,Sheet1!$C:$C,$A122,Sheet1!$A:$A,X$2)&lt;&gt;0,SUMIFS(Sheet1!$E:$E,Sheet1!$C:$C,$A122,Sheet1!$A:$A,X$2),"")</f>
        <v/>
      </c>
      <c r="Y122" s="9" t="str">
        <f>IF(SUMIFS(Sheet1!$E:$E,Sheet1!$C:$C,$A122,Sheet1!$A:$A,Y$2)&lt;&gt;0,SUMIFS(Sheet1!$E:$E,Sheet1!$C:$C,$A122,Sheet1!$A:$A,Y$2),"")</f>
        <v/>
      </c>
      <c r="Z122" s="9" t="str">
        <f>IF(SUMIFS(Sheet1!$E:$E,Sheet1!$C:$C,$A122,Sheet1!$A:$A,Z$2)&lt;&gt;0,SUMIFS(Sheet1!$E:$E,Sheet1!$C:$C,$A122,Sheet1!$A:$A,Z$2),"")</f>
        <v/>
      </c>
      <c r="AA122" s="9" t="str">
        <f>IF(SUMIFS(Sheet1!$E:$E,Sheet1!$C:$C,$A122,Sheet1!$A:$A,AA$2)&lt;&gt;0,SUMIFS(Sheet1!$E:$E,Sheet1!$C:$C,$A122,Sheet1!$A:$A,AA$2),"")</f>
        <v/>
      </c>
      <c r="AB122" s="9" t="str">
        <f>IF(SUMIFS(Sheet1!$E:$E,Sheet1!$C:$C,$A122,Sheet1!$A:$A,AB$2)&lt;&gt;0,SUMIFS(Sheet1!$E:$E,Sheet1!$C:$C,$A122,Sheet1!$A:$A,AB$2),"")</f>
        <v/>
      </c>
      <c r="AC122" s="9" t="str">
        <f>IF(SUMIFS(Sheet1!$E:$E,Sheet1!$C:$C,$A122,Sheet1!$A:$A,AC$2)&lt;&gt;0,SUMIFS(Sheet1!$E:$E,Sheet1!$C:$C,$A122,Sheet1!$A:$A,AC$2),"")</f>
        <v/>
      </c>
      <c r="AD122" s="9" t="str">
        <f>IF(SUMIFS(Sheet1!$E:$E,Sheet1!$C:$C,$A122,Sheet1!$A:$A,AD$2)&lt;&gt;0,SUMIFS(Sheet1!$E:$E,Sheet1!$C:$C,$A122,Sheet1!$A:$A,AD$2),"")</f>
        <v/>
      </c>
      <c r="AE122" s="9" t="str">
        <f>IF(SUMIFS(Sheet1!$E:$E,Sheet1!$C:$C,$A122,Sheet1!$A:$A,AE$2)&lt;&gt;0,SUMIFS(Sheet1!$E:$E,Sheet1!$C:$C,$A122,Sheet1!$A:$A,AE$2),"")</f>
        <v/>
      </c>
      <c r="AF122" s="9" t="str">
        <f>IF(SUMIFS(Sheet1!$E:$E,Sheet1!$C:$C,$A122,Sheet1!$A:$A,AF$2)&lt;&gt;0,SUMIFS(Sheet1!$E:$E,Sheet1!$C:$C,$A122,Sheet1!$A:$A,AF$2),"")</f>
        <v/>
      </c>
      <c r="AG122" s="9" t="str">
        <f>IF(SUMIFS(Sheet1!$E:$E,Sheet1!$C:$C,$A122,Sheet1!$A:$A,AG$2)&lt;&gt;0,SUMIFS(Sheet1!$E:$E,Sheet1!$C:$C,$A122,Sheet1!$A:$A,AG$2),"")</f>
        <v/>
      </c>
      <c r="AH122" s="47">
        <f>SUM(Table24[[#This Row],[1]:[31]])</f>
        <v>241</v>
      </c>
    </row>
    <row r="123" spans="1:34" ht="12.75" customHeight="1">
      <c r="A123" s="24" t="str">
        <f>DSSP!A122</f>
        <v>VD8</v>
      </c>
      <c r="B123" s="25" t="str">
        <f>DSSP!B122</f>
        <v>Keo nến</v>
      </c>
      <c r="C123" s="9">
        <f>IF(SUMIFS(Sheet1!$E:$E,Sheet1!$C:$C,$A123,Sheet1!$A:$A,C$2)&lt;&gt;0,SUMIFS(Sheet1!$E:$E,Sheet1!$C:$C,$A123,Sheet1!$A:$A,C$2),"")</f>
        <v>305</v>
      </c>
      <c r="D123" s="9" t="str">
        <f>IF(SUMIFS(Sheet1!$E:$E,Sheet1!$C:$C,$A123,Sheet1!$A:$A,D$2)&lt;&gt;0,SUMIFS(Sheet1!$E:$E,Sheet1!$C:$C,$A123,Sheet1!$A:$A,D$2),"")</f>
        <v/>
      </c>
      <c r="E123" s="9" t="str">
        <f>IF(SUMIFS(Sheet1!$E:$E,Sheet1!$C:$C,$A123,Sheet1!$A:$A,E$2)&lt;&gt;0,SUMIFS(Sheet1!$E:$E,Sheet1!$C:$C,$A123,Sheet1!$A:$A,E$2),"")</f>
        <v/>
      </c>
      <c r="F123" s="9" t="str">
        <f>IF(SUMIFS(Sheet1!$E:$E,Sheet1!$C:$C,$A123,Sheet1!$A:$A,F$2)&lt;&gt;0,SUMIFS(Sheet1!$E:$E,Sheet1!$C:$C,$A123,Sheet1!$A:$A,F$2),"")</f>
        <v/>
      </c>
      <c r="G123" s="9" t="str">
        <f>IF(SUMIFS(Sheet1!$E:$E,Sheet1!$C:$C,$A123,Sheet1!$A:$A,G$2)&lt;&gt;0,SUMIFS(Sheet1!$E:$E,Sheet1!$C:$C,$A123,Sheet1!$A:$A,G$2),"")</f>
        <v/>
      </c>
      <c r="H123" s="9" t="str">
        <f>IF(SUMIFS(Sheet1!$E:$E,Sheet1!$C:$C,$A123,Sheet1!$A:$A,H$2)&lt;&gt;0,SUMIFS(Sheet1!$E:$E,Sheet1!$C:$C,$A123,Sheet1!$A:$A,H$2),"")</f>
        <v/>
      </c>
      <c r="I123" s="9" t="str">
        <f>IF(SUMIFS(Sheet1!$E:$E,Sheet1!$C:$C,$A123,Sheet1!$A:$A,I$2)&lt;&gt;0,SUMIFS(Sheet1!$E:$E,Sheet1!$C:$C,$A123,Sheet1!$A:$A,I$2),"")</f>
        <v/>
      </c>
      <c r="J123" s="9" t="str">
        <f>IF(SUMIFS(Sheet1!$E:$E,Sheet1!$C:$C,$A123,Sheet1!$A:$A,J$2)&lt;&gt;0,SUMIFS(Sheet1!$E:$E,Sheet1!$C:$C,$A123,Sheet1!$A:$A,J$2),"")</f>
        <v/>
      </c>
      <c r="K123" s="9" t="str">
        <f>IF(SUMIFS(Sheet1!$E:$E,Sheet1!$C:$C,$A123,Sheet1!$A:$A,K$2)&lt;&gt;0,SUMIFS(Sheet1!$E:$E,Sheet1!$C:$C,$A123,Sheet1!$A:$A,K$2),"")</f>
        <v/>
      </c>
      <c r="L123" s="9" t="str">
        <f>IF(SUMIFS(Sheet1!$E:$E,Sheet1!$C:$C,$A123,Sheet1!$A:$A,L$2)&lt;&gt;0,SUMIFS(Sheet1!$E:$E,Sheet1!$C:$C,$A123,Sheet1!$A:$A,L$2),"")</f>
        <v/>
      </c>
      <c r="M123" s="9" t="str">
        <f>IF(SUMIFS(Sheet1!$E:$E,Sheet1!$C:$C,$A123,Sheet1!$A:$A,M$2)&lt;&gt;0,SUMIFS(Sheet1!$E:$E,Sheet1!$C:$C,$A123,Sheet1!$A:$A,M$2),"")</f>
        <v/>
      </c>
      <c r="N123" s="9" t="str">
        <f>IF(SUMIFS(Sheet1!$E:$E,Sheet1!$C:$C,$A123,Sheet1!$A:$A,N$2)&lt;&gt;0,SUMIFS(Sheet1!$E:$E,Sheet1!$C:$C,$A123,Sheet1!$A:$A,N$2),"")</f>
        <v/>
      </c>
      <c r="O123" s="9" t="str">
        <f>IF(SUMIFS(Sheet1!$E:$E,Sheet1!$C:$C,$A123,Sheet1!$A:$A,O$2)&lt;&gt;0,SUMIFS(Sheet1!$E:$E,Sheet1!$C:$C,$A123,Sheet1!$A:$A,O$2),"")</f>
        <v/>
      </c>
      <c r="P123" s="9" t="str">
        <f>IF(SUMIFS(Sheet1!$E:$E,Sheet1!$C:$C,$A123,Sheet1!$A:$A,P$2)&lt;&gt;0,SUMIFS(Sheet1!$E:$E,Sheet1!$C:$C,$A123,Sheet1!$A:$A,P$2),"")</f>
        <v/>
      </c>
      <c r="Q123" s="9" t="str">
        <f>IF(SUMIFS(Sheet1!$E:$E,Sheet1!$C:$C,$A123,Sheet1!$A:$A,Q$2)&lt;&gt;0,SUMIFS(Sheet1!$E:$E,Sheet1!$C:$C,$A123,Sheet1!$A:$A,Q$2),"")</f>
        <v/>
      </c>
      <c r="R123" s="9" t="str">
        <f>IF(SUMIFS(Sheet1!$E:$E,Sheet1!$C:$C,$A123,Sheet1!$A:$A,R$2)&lt;&gt;0,SUMIFS(Sheet1!$E:$E,Sheet1!$C:$C,$A123,Sheet1!$A:$A,R$2),"")</f>
        <v/>
      </c>
      <c r="S123" s="9" t="str">
        <f>IF(SUMIFS(Sheet1!$E:$E,Sheet1!$C:$C,$A123,Sheet1!$A:$A,S$2)&lt;&gt;0,SUMIFS(Sheet1!$E:$E,Sheet1!$C:$C,$A123,Sheet1!$A:$A,S$2),"")</f>
        <v/>
      </c>
      <c r="T123" s="9" t="str">
        <f>IF(SUMIFS(Sheet1!$E:$E,Sheet1!$C:$C,$A123,Sheet1!$A:$A,T$2)&lt;&gt;0,SUMIFS(Sheet1!$E:$E,Sheet1!$C:$C,$A123,Sheet1!$A:$A,T$2),"")</f>
        <v/>
      </c>
      <c r="U123" s="9" t="str">
        <f>IF(SUMIFS(Sheet1!$E:$E,Sheet1!$C:$C,$A123,Sheet1!$A:$A,U$2)&lt;&gt;0,SUMIFS(Sheet1!$E:$E,Sheet1!$C:$C,$A123,Sheet1!$A:$A,U$2),"")</f>
        <v/>
      </c>
      <c r="V123" s="9" t="str">
        <f>IF(SUMIFS(Sheet1!$E:$E,Sheet1!$C:$C,$A123,Sheet1!$A:$A,V$2)&lt;&gt;0,SUMIFS(Sheet1!$E:$E,Sheet1!$C:$C,$A123,Sheet1!$A:$A,V$2),"")</f>
        <v/>
      </c>
      <c r="W123" s="9" t="str">
        <f>IF(SUMIFS(Sheet1!$E:$E,Sheet1!$C:$C,$A123,Sheet1!$A:$A,W$2)&lt;&gt;0,SUMIFS(Sheet1!$E:$E,Sheet1!$C:$C,$A123,Sheet1!$A:$A,W$2),"")</f>
        <v/>
      </c>
      <c r="X123" s="9" t="str">
        <f>IF(SUMIFS(Sheet1!$E:$E,Sheet1!$C:$C,$A123,Sheet1!$A:$A,X$2)&lt;&gt;0,SUMIFS(Sheet1!$E:$E,Sheet1!$C:$C,$A123,Sheet1!$A:$A,X$2),"")</f>
        <v/>
      </c>
      <c r="Y123" s="9" t="str">
        <f>IF(SUMIFS(Sheet1!$E:$E,Sheet1!$C:$C,$A123,Sheet1!$A:$A,Y$2)&lt;&gt;0,SUMIFS(Sheet1!$E:$E,Sheet1!$C:$C,$A123,Sheet1!$A:$A,Y$2),"")</f>
        <v/>
      </c>
      <c r="Z123" s="9" t="str">
        <f>IF(SUMIFS(Sheet1!$E:$E,Sheet1!$C:$C,$A123,Sheet1!$A:$A,Z$2)&lt;&gt;0,SUMIFS(Sheet1!$E:$E,Sheet1!$C:$C,$A123,Sheet1!$A:$A,Z$2),"")</f>
        <v/>
      </c>
      <c r="AA123" s="9" t="str">
        <f>IF(SUMIFS(Sheet1!$E:$E,Sheet1!$C:$C,$A123,Sheet1!$A:$A,AA$2)&lt;&gt;0,SUMIFS(Sheet1!$E:$E,Sheet1!$C:$C,$A123,Sheet1!$A:$A,AA$2),"")</f>
        <v/>
      </c>
      <c r="AB123" s="9" t="str">
        <f>IF(SUMIFS(Sheet1!$E:$E,Sheet1!$C:$C,$A123,Sheet1!$A:$A,AB$2)&lt;&gt;0,SUMIFS(Sheet1!$E:$E,Sheet1!$C:$C,$A123,Sheet1!$A:$A,AB$2),"")</f>
        <v/>
      </c>
      <c r="AC123" s="9" t="str">
        <f>IF(SUMIFS(Sheet1!$E:$E,Sheet1!$C:$C,$A123,Sheet1!$A:$A,AC$2)&lt;&gt;0,SUMIFS(Sheet1!$E:$E,Sheet1!$C:$C,$A123,Sheet1!$A:$A,AC$2),"")</f>
        <v/>
      </c>
      <c r="AD123" s="9" t="str">
        <f>IF(SUMIFS(Sheet1!$E:$E,Sheet1!$C:$C,$A123,Sheet1!$A:$A,AD$2)&lt;&gt;0,SUMIFS(Sheet1!$E:$E,Sheet1!$C:$C,$A123,Sheet1!$A:$A,AD$2),"")</f>
        <v/>
      </c>
      <c r="AE123" s="9" t="str">
        <f>IF(SUMIFS(Sheet1!$E:$E,Sheet1!$C:$C,$A123,Sheet1!$A:$A,AE$2)&lt;&gt;0,SUMIFS(Sheet1!$E:$E,Sheet1!$C:$C,$A123,Sheet1!$A:$A,AE$2),"")</f>
        <v/>
      </c>
      <c r="AF123" s="9" t="str">
        <f>IF(SUMIFS(Sheet1!$E:$E,Sheet1!$C:$C,$A123,Sheet1!$A:$A,AF$2)&lt;&gt;0,SUMIFS(Sheet1!$E:$E,Sheet1!$C:$C,$A123,Sheet1!$A:$A,AF$2),"")</f>
        <v/>
      </c>
      <c r="AG123" s="9" t="str">
        <f>IF(SUMIFS(Sheet1!$E:$E,Sheet1!$C:$C,$A123,Sheet1!$A:$A,AG$2)&lt;&gt;0,SUMIFS(Sheet1!$E:$E,Sheet1!$C:$C,$A123,Sheet1!$A:$A,AG$2),"")</f>
        <v/>
      </c>
      <c r="AH123" s="47">
        <f>SUM(Table24[[#This Row],[1]:[31]])</f>
        <v>305</v>
      </c>
    </row>
    <row r="124" spans="1:34" ht="12.75" customHeight="1">
      <c r="A124" s="24" t="str">
        <f>DSSP!A123</f>
        <v>VD9</v>
      </c>
      <c r="B124" s="25" t="str">
        <f>DSSP!B123</f>
        <v>Set chỉ</v>
      </c>
      <c r="C124" s="9">
        <f>IF(SUMIFS(Sheet1!$E:$E,Sheet1!$C:$C,$A124,Sheet1!$A:$A,C$2)&lt;&gt;0,SUMIFS(Sheet1!$E:$E,Sheet1!$C:$C,$A124,Sheet1!$A:$A,C$2),"")</f>
        <v>99</v>
      </c>
      <c r="D124" s="9" t="str">
        <f>IF(SUMIFS(Sheet1!$E:$E,Sheet1!$C:$C,$A124,Sheet1!$A:$A,D$2)&lt;&gt;0,SUMIFS(Sheet1!$E:$E,Sheet1!$C:$C,$A124,Sheet1!$A:$A,D$2),"")</f>
        <v/>
      </c>
      <c r="E124" s="9" t="str">
        <f>IF(SUMIFS(Sheet1!$E:$E,Sheet1!$C:$C,$A124,Sheet1!$A:$A,E$2)&lt;&gt;0,SUMIFS(Sheet1!$E:$E,Sheet1!$C:$C,$A124,Sheet1!$A:$A,E$2),"")</f>
        <v/>
      </c>
      <c r="F124" s="9" t="str">
        <f>IF(SUMIFS(Sheet1!$E:$E,Sheet1!$C:$C,$A124,Sheet1!$A:$A,F$2)&lt;&gt;0,SUMIFS(Sheet1!$E:$E,Sheet1!$C:$C,$A124,Sheet1!$A:$A,F$2),"")</f>
        <v/>
      </c>
      <c r="G124" s="9" t="str">
        <f>IF(SUMIFS(Sheet1!$E:$E,Sheet1!$C:$C,$A124,Sheet1!$A:$A,G$2)&lt;&gt;0,SUMIFS(Sheet1!$E:$E,Sheet1!$C:$C,$A124,Sheet1!$A:$A,G$2),"")</f>
        <v/>
      </c>
      <c r="H124" s="9" t="str">
        <f>IF(SUMIFS(Sheet1!$E:$E,Sheet1!$C:$C,$A124,Sheet1!$A:$A,H$2)&lt;&gt;0,SUMIFS(Sheet1!$E:$E,Sheet1!$C:$C,$A124,Sheet1!$A:$A,H$2),"")</f>
        <v/>
      </c>
      <c r="I124" s="9" t="str">
        <f>IF(SUMIFS(Sheet1!$E:$E,Sheet1!$C:$C,$A124,Sheet1!$A:$A,I$2)&lt;&gt;0,SUMIFS(Sheet1!$E:$E,Sheet1!$C:$C,$A124,Sheet1!$A:$A,I$2),"")</f>
        <v/>
      </c>
      <c r="J124" s="9" t="str">
        <f>IF(SUMIFS(Sheet1!$E:$E,Sheet1!$C:$C,$A124,Sheet1!$A:$A,J$2)&lt;&gt;0,SUMIFS(Sheet1!$E:$E,Sheet1!$C:$C,$A124,Sheet1!$A:$A,J$2),"")</f>
        <v/>
      </c>
      <c r="K124" s="9" t="str">
        <f>IF(SUMIFS(Sheet1!$E:$E,Sheet1!$C:$C,$A124,Sheet1!$A:$A,K$2)&lt;&gt;0,SUMIFS(Sheet1!$E:$E,Sheet1!$C:$C,$A124,Sheet1!$A:$A,K$2),"")</f>
        <v/>
      </c>
      <c r="L124" s="9" t="str">
        <f>IF(SUMIFS(Sheet1!$E:$E,Sheet1!$C:$C,$A124,Sheet1!$A:$A,L$2)&lt;&gt;0,SUMIFS(Sheet1!$E:$E,Sheet1!$C:$C,$A124,Sheet1!$A:$A,L$2),"")</f>
        <v/>
      </c>
      <c r="M124" s="9" t="str">
        <f>IF(SUMIFS(Sheet1!$E:$E,Sheet1!$C:$C,$A124,Sheet1!$A:$A,M$2)&lt;&gt;0,SUMIFS(Sheet1!$E:$E,Sheet1!$C:$C,$A124,Sheet1!$A:$A,M$2),"")</f>
        <v/>
      </c>
      <c r="N124" s="9" t="str">
        <f>IF(SUMIFS(Sheet1!$E:$E,Sheet1!$C:$C,$A124,Sheet1!$A:$A,N$2)&lt;&gt;0,SUMIFS(Sheet1!$E:$E,Sheet1!$C:$C,$A124,Sheet1!$A:$A,N$2),"")</f>
        <v/>
      </c>
      <c r="O124" s="9" t="str">
        <f>IF(SUMIFS(Sheet1!$E:$E,Sheet1!$C:$C,$A124,Sheet1!$A:$A,O$2)&lt;&gt;0,SUMIFS(Sheet1!$E:$E,Sheet1!$C:$C,$A124,Sheet1!$A:$A,O$2),"")</f>
        <v/>
      </c>
      <c r="P124" s="9" t="str">
        <f>IF(SUMIFS(Sheet1!$E:$E,Sheet1!$C:$C,$A124,Sheet1!$A:$A,P$2)&lt;&gt;0,SUMIFS(Sheet1!$E:$E,Sheet1!$C:$C,$A124,Sheet1!$A:$A,P$2),"")</f>
        <v/>
      </c>
      <c r="Q124" s="9" t="str">
        <f>IF(SUMIFS(Sheet1!$E:$E,Sheet1!$C:$C,$A124,Sheet1!$A:$A,Q$2)&lt;&gt;0,SUMIFS(Sheet1!$E:$E,Sheet1!$C:$C,$A124,Sheet1!$A:$A,Q$2),"")</f>
        <v/>
      </c>
      <c r="R124" s="9" t="str">
        <f>IF(SUMIFS(Sheet1!$E:$E,Sheet1!$C:$C,$A124,Sheet1!$A:$A,R$2)&lt;&gt;0,SUMIFS(Sheet1!$E:$E,Sheet1!$C:$C,$A124,Sheet1!$A:$A,R$2),"")</f>
        <v/>
      </c>
      <c r="S124" s="9" t="str">
        <f>IF(SUMIFS(Sheet1!$E:$E,Sheet1!$C:$C,$A124,Sheet1!$A:$A,S$2)&lt;&gt;0,SUMIFS(Sheet1!$E:$E,Sheet1!$C:$C,$A124,Sheet1!$A:$A,S$2),"")</f>
        <v/>
      </c>
      <c r="T124" s="9" t="str">
        <f>IF(SUMIFS(Sheet1!$E:$E,Sheet1!$C:$C,$A124,Sheet1!$A:$A,T$2)&lt;&gt;0,SUMIFS(Sheet1!$E:$E,Sheet1!$C:$C,$A124,Sheet1!$A:$A,T$2),"")</f>
        <v/>
      </c>
      <c r="U124" s="9" t="str">
        <f>IF(SUMIFS(Sheet1!$E:$E,Sheet1!$C:$C,$A124,Sheet1!$A:$A,U$2)&lt;&gt;0,SUMIFS(Sheet1!$E:$E,Sheet1!$C:$C,$A124,Sheet1!$A:$A,U$2),"")</f>
        <v/>
      </c>
      <c r="V124" s="9" t="str">
        <f>IF(SUMIFS(Sheet1!$E:$E,Sheet1!$C:$C,$A124,Sheet1!$A:$A,V$2)&lt;&gt;0,SUMIFS(Sheet1!$E:$E,Sheet1!$C:$C,$A124,Sheet1!$A:$A,V$2),"")</f>
        <v/>
      </c>
      <c r="W124" s="9" t="str">
        <f>IF(SUMIFS(Sheet1!$E:$E,Sheet1!$C:$C,$A124,Sheet1!$A:$A,W$2)&lt;&gt;0,SUMIFS(Sheet1!$E:$E,Sheet1!$C:$C,$A124,Sheet1!$A:$A,W$2),"")</f>
        <v/>
      </c>
      <c r="X124" s="9" t="str">
        <f>IF(SUMIFS(Sheet1!$E:$E,Sheet1!$C:$C,$A124,Sheet1!$A:$A,X$2)&lt;&gt;0,SUMIFS(Sheet1!$E:$E,Sheet1!$C:$C,$A124,Sheet1!$A:$A,X$2),"")</f>
        <v/>
      </c>
      <c r="Y124" s="9" t="str">
        <f>IF(SUMIFS(Sheet1!$E:$E,Sheet1!$C:$C,$A124,Sheet1!$A:$A,Y$2)&lt;&gt;0,SUMIFS(Sheet1!$E:$E,Sheet1!$C:$C,$A124,Sheet1!$A:$A,Y$2),"")</f>
        <v/>
      </c>
      <c r="Z124" s="9" t="str">
        <f>IF(SUMIFS(Sheet1!$E:$E,Sheet1!$C:$C,$A124,Sheet1!$A:$A,Z$2)&lt;&gt;0,SUMIFS(Sheet1!$E:$E,Sheet1!$C:$C,$A124,Sheet1!$A:$A,Z$2),"")</f>
        <v/>
      </c>
      <c r="AA124" s="9" t="str">
        <f>IF(SUMIFS(Sheet1!$E:$E,Sheet1!$C:$C,$A124,Sheet1!$A:$A,AA$2)&lt;&gt;0,SUMIFS(Sheet1!$E:$E,Sheet1!$C:$C,$A124,Sheet1!$A:$A,AA$2),"")</f>
        <v/>
      </c>
      <c r="AB124" s="9" t="str">
        <f>IF(SUMIFS(Sheet1!$E:$E,Sheet1!$C:$C,$A124,Sheet1!$A:$A,AB$2)&lt;&gt;0,SUMIFS(Sheet1!$E:$E,Sheet1!$C:$C,$A124,Sheet1!$A:$A,AB$2),"")</f>
        <v/>
      </c>
      <c r="AC124" s="9" t="str">
        <f>IF(SUMIFS(Sheet1!$E:$E,Sheet1!$C:$C,$A124,Sheet1!$A:$A,AC$2)&lt;&gt;0,SUMIFS(Sheet1!$E:$E,Sheet1!$C:$C,$A124,Sheet1!$A:$A,AC$2),"")</f>
        <v/>
      </c>
      <c r="AD124" s="9" t="str">
        <f>IF(SUMIFS(Sheet1!$E:$E,Sheet1!$C:$C,$A124,Sheet1!$A:$A,AD$2)&lt;&gt;0,SUMIFS(Sheet1!$E:$E,Sheet1!$C:$C,$A124,Sheet1!$A:$A,AD$2),"")</f>
        <v/>
      </c>
      <c r="AE124" s="9" t="str">
        <f>IF(SUMIFS(Sheet1!$E:$E,Sheet1!$C:$C,$A124,Sheet1!$A:$A,AE$2)&lt;&gt;0,SUMIFS(Sheet1!$E:$E,Sheet1!$C:$C,$A124,Sheet1!$A:$A,AE$2),"")</f>
        <v/>
      </c>
      <c r="AF124" s="9" t="str">
        <f>IF(SUMIFS(Sheet1!$E:$E,Sheet1!$C:$C,$A124,Sheet1!$A:$A,AF$2)&lt;&gt;0,SUMIFS(Sheet1!$E:$E,Sheet1!$C:$C,$A124,Sheet1!$A:$A,AF$2),"")</f>
        <v/>
      </c>
      <c r="AG124" s="9" t="str">
        <f>IF(SUMIFS(Sheet1!$E:$E,Sheet1!$C:$C,$A124,Sheet1!$A:$A,AG$2)&lt;&gt;0,SUMIFS(Sheet1!$E:$E,Sheet1!$C:$C,$A124,Sheet1!$A:$A,AG$2),"")</f>
        <v/>
      </c>
      <c r="AH124" s="47">
        <f>SUM(Table24[[#This Row],[1]:[31]])</f>
        <v>99</v>
      </c>
    </row>
    <row r="125" spans="1:34" ht="12.75" customHeight="1">
      <c r="A125" s="24" t="str">
        <f>DSSP!A124</f>
        <v>VD10</v>
      </c>
      <c r="B125" s="25" t="str">
        <f>DSSP!B124</f>
        <v>Chỉ đơn</v>
      </c>
      <c r="C125" s="9">
        <f>IF(SUMIFS(Sheet1!$E:$E,Sheet1!$C:$C,$A125,Sheet1!$A:$A,C$2)&lt;&gt;0,SUMIFS(Sheet1!$E:$E,Sheet1!$C:$C,$A125,Sheet1!$A:$A,C$2),"")</f>
        <v>88</v>
      </c>
      <c r="D125" s="9" t="str">
        <f>IF(SUMIFS(Sheet1!$E:$E,Sheet1!$C:$C,$A125,Sheet1!$A:$A,D$2)&lt;&gt;0,SUMIFS(Sheet1!$E:$E,Sheet1!$C:$C,$A125,Sheet1!$A:$A,D$2),"")</f>
        <v/>
      </c>
      <c r="E125" s="9" t="str">
        <f>IF(SUMIFS(Sheet1!$E:$E,Sheet1!$C:$C,$A125,Sheet1!$A:$A,E$2)&lt;&gt;0,SUMIFS(Sheet1!$E:$E,Sheet1!$C:$C,$A125,Sheet1!$A:$A,E$2),"")</f>
        <v/>
      </c>
      <c r="F125" s="9" t="str">
        <f>IF(SUMIFS(Sheet1!$E:$E,Sheet1!$C:$C,$A125,Sheet1!$A:$A,F$2)&lt;&gt;0,SUMIFS(Sheet1!$E:$E,Sheet1!$C:$C,$A125,Sheet1!$A:$A,F$2),"")</f>
        <v/>
      </c>
      <c r="G125" s="9" t="str">
        <f>IF(SUMIFS(Sheet1!$E:$E,Sheet1!$C:$C,$A125,Sheet1!$A:$A,G$2)&lt;&gt;0,SUMIFS(Sheet1!$E:$E,Sheet1!$C:$C,$A125,Sheet1!$A:$A,G$2),"")</f>
        <v/>
      </c>
      <c r="H125" s="9" t="str">
        <f>IF(SUMIFS(Sheet1!$E:$E,Sheet1!$C:$C,$A125,Sheet1!$A:$A,H$2)&lt;&gt;0,SUMIFS(Sheet1!$E:$E,Sheet1!$C:$C,$A125,Sheet1!$A:$A,H$2),"")</f>
        <v/>
      </c>
      <c r="I125" s="9" t="str">
        <f>IF(SUMIFS(Sheet1!$E:$E,Sheet1!$C:$C,$A125,Sheet1!$A:$A,I$2)&lt;&gt;0,SUMIFS(Sheet1!$E:$E,Sheet1!$C:$C,$A125,Sheet1!$A:$A,I$2),"")</f>
        <v/>
      </c>
      <c r="J125" s="9" t="str">
        <f>IF(SUMIFS(Sheet1!$E:$E,Sheet1!$C:$C,$A125,Sheet1!$A:$A,J$2)&lt;&gt;0,SUMIFS(Sheet1!$E:$E,Sheet1!$C:$C,$A125,Sheet1!$A:$A,J$2),"")</f>
        <v/>
      </c>
      <c r="K125" s="9" t="str">
        <f>IF(SUMIFS(Sheet1!$E:$E,Sheet1!$C:$C,$A125,Sheet1!$A:$A,K$2)&lt;&gt;0,SUMIFS(Sheet1!$E:$E,Sheet1!$C:$C,$A125,Sheet1!$A:$A,K$2),"")</f>
        <v/>
      </c>
      <c r="L125" s="9" t="str">
        <f>IF(SUMIFS(Sheet1!$E:$E,Sheet1!$C:$C,$A125,Sheet1!$A:$A,L$2)&lt;&gt;0,SUMIFS(Sheet1!$E:$E,Sheet1!$C:$C,$A125,Sheet1!$A:$A,L$2),"")</f>
        <v/>
      </c>
      <c r="M125" s="9" t="str">
        <f>IF(SUMIFS(Sheet1!$E:$E,Sheet1!$C:$C,$A125,Sheet1!$A:$A,M$2)&lt;&gt;0,SUMIFS(Sheet1!$E:$E,Sheet1!$C:$C,$A125,Sheet1!$A:$A,M$2),"")</f>
        <v/>
      </c>
      <c r="N125" s="9" t="str">
        <f>IF(SUMIFS(Sheet1!$E:$E,Sheet1!$C:$C,$A125,Sheet1!$A:$A,N$2)&lt;&gt;0,SUMIFS(Sheet1!$E:$E,Sheet1!$C:$C,$A125,Sheet1!$A:$A,N$2),"")</f>
        <v/>
      </c>
      <c r="O125" s="9" t="str">
        <f>IF(SUMIFS(Sheet1!$E:$E,Sheet1!$C:$C,$A125,Sheet1!$A:$A,O$2)&lt;&gt;0,SUMIFS(Sheet1!$E:$E,Sheet1!$C:$C,$A125,Sheet1!$A:$A,O$2),"")</f>
        <v/>
      </c>
      <c r="P125" s="9" t="str">
        <f>IF(SUMIFS(Sheet1!$E:$E,Sheet1!$C:$C,$A125,Sheet1!$A:$A,P$2)&lt;&gt;0,SUMIFS(Sheet1!$E:$E,Sheet1!$C:$C,$A125,Sheet1!$A:$A,P$2),"")</f>
        <v/>
      </c>
      <c r="Q125" s="9" t="str">
        <f>IF(SUMIFS(Sheet1!$E:$E,Sheet1!$C:$C,$A125,Sheet1!$A:$A,Q$2)&lt;&gt;0,SUMIFS(Sheet1!$E:$E,Sheet1!$C:$C,$A125,Sheet1!$A:$A,Q$2),"")</f>
        <v/>
      </c>
      <c r="R125" s="9" t="str">
        <f>IF(SUMIFS(Sheet1!$E:$E,Sheet1!$C:$C,$A125,Sheet1!$A:$A,R$2)&lt;&gt;0,SUMIFS(Sheet1!$E:$E,Sheet1!$C:$C,$A125,Sheet1!$A:$A,R$2),"")</f>
        <v/>
      </c>
      <c r="S125" s="9" t="str">
        <f>IF(SUMIFS(Sheet1!$E:$E,Sheet1!$C:$C,$A125,Sheet1!$A:$A,S$2)&lt;&gt;0,SUMIFS(Sheet1!$E:$E,Sheet1!$C:$C,$A125,Sheet1!$A:$A,S$2),"")</f>
        <v/>
      </c>
      <c r="T125" s="9" t="str">
        <f>IF(SUMIFS(Sheet1!$E:$E,Sheet1!$C:$C,$A125,Sheet1!$A:$A,T$2)&lt;&gt;0,SUMIFS(Sheet1!$E:$E,Sheet1!$C:$C,$A125,Sheet1!$A:$A,T$2),"")</f>
        <v/>
      </c>
      <c r="U125" s="9" t="str">
        <f>IF(SUMIFS(Sheet1!$E:$E,Sheet1!$C:$C,$A125,Sheet1!$A:$A,U$2)&lt;&gt;0,SUMIFS(Sheet1!$E:$E,Sheet1!$C:$C,$A125,Sheet1!$A:$A,U$2),"")</f>
        <v/>
      </c>
      <c r="V125" s="9" t="str">
        <f>IF(SUMIFS(Sheet1!$E:$E,Sheet1!$C:$C,$A125,Sheet1!$A:$A,V$2)&lt;&gt;0,SUMIFS(Sheet1!$E:$E,Sheet1!$C:$C,$A125,Sheet1!$A:$A,V$2),"")</f>
        <v/>
      </c>
      <c r="W125" s="9" t="str">
        <f>IF(SUMIFS(Sheet1!$E:$E,Sheet1!$C:$C,$A125,Sheet1!$A:$A,W$2)&lt;&gt;0,SUMIFS(Sheet1!$E:$E,Sheet1!$C:$C,$A125,Sheet1!$A:$A,W$2),"")</f>
        <v/>
      </c>
      <c r="X125" s="9" t="str">
        <f>IF(SUMIFS(Sheet1!$E:$E,Sheet1!$C:$C,$A125,Sheet1!$A:$A,X$2)&lt;&gt;0,SUMIFS(Sheet1!$E:$E,Sheet1!$C:$C,$A125,Sheet1!$A:$A,X$2),"")</f>
        <v/>
      </c>
      <c r="Y125" s="9" t="str">
        <f>IF(SUMIFS(Sheet1!$E:$E,Sheet1!$C:$C,$A125,Sheet1!$A:$A,Y$2)&lt;&gt;0,SUMIFS(Sheet1!$E:$E,Sheet1!$C:$C,$A125,Sheet1!$A:$A,Y$2),"")</f>
        <v/>
      </c>
      <c r="Z125" s="9" t="str">
        <f>IF(SUMIFS(Sheet1!$E:$E,Sheet1!$C:$C,$A125,Sheet1!$A:$A,Z$2)&lt;&gt;0,SUMIFS(Sheet1!$E:$E,Sheet1!$C:$C,$A125,Sheet1!$A:$A,Z$2),"")</f>
        <v/>
      </c>
      <c r="AA125" s="9" t="str">
        <f>IF(SUMIFS(Sheet1!$E:$E,Sheet1!$C:$C,$A125,Sheet1!$A:$A,AA$2)&lt;&gt;0,SUMIFS(Sheet1!$E:$E,Sheet1!$C:$C,$A125,Sheet1!$A:$A,AA$2),"")</f>
        <v/>
      </c>
      <c r="AB125" s="9" t="str">
        <f>IF(SUMIFS(Sheet1!$E:$E,Sheet1!$C:$C,$A125,Sheet1!$A:$A,AB$2)&lt;&gt;0,SUMIFS(Sheet1!$E:$E,Sheet1!$C:$C,$A125,Sheet1!$A:$A,AB$2),"")</f>
        <v/>
      </c>
      <c r="AC125" s="9" t="str">
        <f>IF(SUMIFS(Sheet1!$E:$E,Sheet1!$C:$C,$A125,Sheet1!$A:$A,AC$2)&lt;&gt;0,SUMIFS(Sheet1!$E:$E,Sheet1!$C:$C,$A125,Sheet1!$A:$A,AC$2),"")</f>
        <v/>
      </c>
      <c r="AD125" s="9" t="str">
        <f>IF(SUMIFS(Sheet1!$E:$E,Sheet1!$C:$C,$A125,Sheet1!$A:$A,AD$2)&lt;&gt;0,SUMIFS(Sheet1!$E:$E,Sheet1!$C:$C,$A125,Sheet1!$A:$A,AD$2),"")</f>
        <v/>
      </c>
      <c r="AE125" s="9" t="str">
        <f>IF(SUMIFS(Sheet1!$E:$E,Sheet1!$C:$C,$A125,Sheet1!$A:$A,AE$2)&lt;&gt;0,SUMIFS(Sheet1!$E:$E,Sheet1!$C:$C,$A125,Sheet1!$A:$A,AE$2),"")</f>
        <v/>
      </c>
      <c r="AF125" s="9" t="str">
        <f>IF(SUMIFS(Sheet1!$E:$E,Sheet1!$C:$C,$A125,Sheet1!$A:$A,AF$2)&lt;&gt;0,SUMIFS(Sheet1!$E:$E,Sheet1!$C:$C,$A125,Sheet1!$A:$A,AF$2),"")</f>
        <v/>
      </c>
      <c r="AG125" s="9" t="str">
        <f>IF(SUMIFS(Sheet1!$E:$E,Sheet1!$C:$C,$A125,Sheet1!$A:$A,AG$2)&lt;&gt;0,SUMIFS(Sheet1!$E:$E,Sheet1!$C:$C,$A125,Sheet1!$A:$A,AG$2),"")</f>
        <v/>
      </c>
      <c r="AH125" s="47">
        <f>SUM(Table24[[#This Row],[1]:[31]])</f>
        <v>88</v>
      </c>
    </row>
    <row r="126" spans="1:34" ht="12.75" customHeight="1">
      <c r="A126" s="24" t="str">
        <f>DSSP!A125</f>
        <v>VD11</v>
      </c>
      <c r="B126" s="25" t="str">
        <f>DSSP!B125</f>
        <v>Bông túi</v>
      </c>
      <c r="C126" s="9">
        <f>IF(SUMIFS(Sheet1!$E:$E,Sheet1!$C:$C,$A126,Sheet1!$A:$A,C$2)&lt;&gt;0,SUMIFS(Sheet1!$E:$E,Sheet1!$C:$C,$A126,Sheet1!$A:$A,C$2),"")</f>
        <v>83</v>
      </c>
      <c r="D126" s="9" t="str">
        <f>IF(SUMIFS(Sheet1!$E:$E,Sheet1!$C:$C,$A126,Sheet1!$A:$A,D$2)&lt;&gt;0,SUMIFS(Sheet1!$E:$E,Sheet1!$C:$C,$A126,Sheet1!$A:$A,D$2),"")</f>
        <v/>
      </c>
      <c r="E126" s="9" t="str">
        <f>IF(SUMIFS(Sheet1!$E:$E,Sheet1!$C:$C,$A126,Sheet1!$A:$A,E$2)&lt;&gt;0,SUMIFS(Sheet1!$E:$E,Sheet1!$C:$C,$A126,Sheet1!$A:$A,E$2),"")</f>
        <v/>
      </c>
      <c r="F126" s="9" t="str">
        <f>IF(SUMIFS(Sheet1!$E:$E,Sheet1!$C:$C,$A126,Sheet1!$A:$A,F$2)&lt;&gt;0,SUMIFS(Sheet1!$E:$E,Sheet1!$C:$C,$A126,Sheet1!$A:$A,F$2),"")</f>
        <v/>
      </c>
      <c r="G126" s="9" t="str">
        <f>IF(SUMIFS(Sheet1!$E:$E,Sheet1!$C:$C,$A126,Sheet1!$A:$A,G$2)&lt;&gt;0,SUMIFS(Sheet1!$E:$E,Sheet1!$C:$C,$A126,Sheet1!$A:$A,G$2),"")</f>
        <v/>
      </c>
      <c r="H126" s="9" t="str">
        <f>IF(SUMIFS(Sheet1!$E:$E,Sheet1!$C:$C,$A126,Sheet1!$A:$A,H$2)&lt;&gt;0,SUMIFS(Sheet1!$E:$E,Sheet1!$C:$C,$A126,Sheet1!$A:$A,H$2),"")</f>
        <v/>
      </c>
      <c r="I126" s="9" t="str">
        <f>IF(SUMIFS(Sheet1!$E:$E,Sheet1!$C:$C,$A126,Sheet1!$A:$A,I$2)&lt;&gt;0,SUMIFS(Sheet1!$E:$E,Sheet1!$C:$C,$A126,Sheet1!$A:$A,I$2),"")</f>
        <v/>
      </c>
      <c r="J126" s="9" t="str">
        <f>IF(SUMIFS(Sheet1!$E:$E,Sheet1!$C:$C,$A126,Sheet1!$A:$A,J$2)&lt;&gt;0,SUMIFS(Sheet1!$E:$E,Sheet1!$C:$C,$A126,Sheet1!$A:$A,J$2),"")</f>
        <v/>
      </c>
      <c r="K126" s="9" t="str">
        <f>IF(SUMIFS(Sheet1!$E:$E,Sheet1!$C:$C,$A126,Sheet1!$A:$A,K$2)&lt;&gt;0,SUMIFS(Sheet1!$E:$E,Sheet1!$C:$C,$A126,Sheet1!$A:$A,K$2),"")</f>
        <v/>
      </c>
      <c r="L126" s="9" t="str">
        <f>IF(SUMIFS(Sheet1!$E:$E,Sheet1!$C:$C,$A126,Sheet1!$A:$A,L$2)&lt;&gt;0,SUMIFS(Sheet1!$E:$E,Sheet1!$C:$C,$A126,Sheet1!$A:$A,L$2),"")</f>
        <v/>
      </c>
      <c r="M126" s="9" t="str">
        <f>IF(SUMIFS(Sheet1!$E:$E,Sheet1!$C:$C,$A126,Sheet1!$A:$A,M$2)&lt;&gt;0,SUMIFS(Sheet1!$E:$E,Sheet1!$C:$C,$A126,Sheet1!$A:$A,M$2),"")</f>
        <v/>
      </c>
      <c r="N126" s="9" t="str">
        <f>IF(SUMIFS(Sheet1!$E:$E,Sheet1!$C:$C,$A126,Sheet1!$A:$A,N$2)&lt;&gt;0,SUMIFS(Sheet1!$E:$E,Sheet1!$C:$C,$A126,Sheet1!$A:$A,N$2),"")</f>
        <v/>
      </c>
      <c r="O126" s="9" t="str">
        <f>IF(SUMIFS(Sheet1!$E:$E,Sheet1!$C:$C,$A126,Sheet1!$A:$A,O$2)&lt;&gt;0,SUMIFS(Sheet1!$E:$E,Sheet1!$C:$C,$A126,Sheet1!$A:$A,O$2),"")</f>
        <v/>
      </c>
      <c r="P126" s="9" t="str">
        <f>IF(SUMIFS(Sheet1!$E:$E,Sheet1!$C:$C,$A126,Sheet1!$A:$A,P$2)&lt;&gt;0,SUMIFS(Sheet1!$E:$E,Sheet1!$C:$C,$A126,Sheet1!$A:$A,P$2),"")</f>
        <v/>
      </c>
      <c r="Q126" s="9" t="str">
        <f>IF(SUMIFS(Sheet1!$E:$E,Sheet1!$C:$C,$A126,Sheet1!$A:$A,Q$2)&lt;&gt;0,SUMIFS(Sheet1!$E:$E,Sheet1!$C:$C,$A126,Sheet1!$A:$A,Q$2),"")</f>
        <v/>
      </c>
      <c r="R126" s="9" t="str">
        <f>IF(SUMIFS(Sheet1!$E:$E,Sheet1!$C:$C,$A126,Sheet1!$A:$A,R$2)&lt;&gt;0,SUMIFS(Sheet1!$E:$E,Sheet1!$C:$C,$A126,Sheet1!$A:$A,R$2),"")</f>
        <v/>
      </c>
      <c r="S126" s="9" t="str">
        <f>IF(SUMIFS(Sheet1!$E:$E,Sheet1!$C:$C,$A126,Sheet1!$A:$A,S$2)&lt;&gt;0,SUMIFS(Sheet1!$E:$E,Sheet1!$C:$C,$A126,Sheet1!$A:$A,S$2),"")</f>
        <v/>
      </c>
      <c r="T126" s="9" t="str">
        <f>IF(SUMIFS(Sheet1!$E:$E,Sheet1!$C:$C,$A126,Sheet1!$A:$A,T$2)&lt;&gt;0,SUMIFS(Sheet1!$E:$E,Sheet1!$C:$C,$A126,Sheet1!$A:$A,T$2),"")</f>
        <v/>
      </c>
      <c r="U126" s="9" t="str">
        <f>IF(SUMIFS(Sheet1!$E:$E,Sheet1!$C:$C,$A126,Sheet1!$A:$A,U$2)&lt;&gt;0,SUMIFS(Sheet1!$E:$E,Sheet1!$C:$C,$A126,Sheet1!$A:$A,U$2),"")</f>
        <v/>
      </c>
      <c r="V126" s="9" t="str">
        <f>IF(SUMIFS(Sheet1!$E:$E,Sheet1!$C:$C,$A126,Sheet1!$A:$A,V$2)&lt;&gt;0,SUMIFS(Sheet1!$E:$E,Sheet1!$C:$C,$A126,Sheet1!$A:$A,V$2),"")</f>
        <v/>
      </c>
      <c r="W126" s="9" t="str">
        <f>IF(SUMIFS(Sheet1!$E:$E,Sheet1!$C:$C,$A126,Sheet1!$A:$A,W$2)&lt;&gt;0,SUMIFS(Sheet1!$E:$E,Sheet1!$C:$C,$A126,Sheet1!$A:$A,W$2),"")</f>
        <v/>
      </c>
      <c r="X126" s="9" t="str">
        <f>IF(SUMIFS(Sheet1!$E:$E,Sheet1!$C:$C,$A126,Sheet1!$A:$A,X$2)&lt;&gt;0,SUMIFS(Sheet1!$E:$E,Sheet1!$C:$C,$A126,Sheet1!$A:$A,X$2),"")</f>
        <v/>
      </c>
      <c r="Y126" s="9" t="str">
        <f>IF(SUMIFS(Sheet1!$E:$E,Sheet1!$C:$C,$A126,Sheet1!$A:$A,Y$2)&lt;&gt;0,SUMIFS(Sheet1!$E:$E,Sheet1!$C:$C,$A126,Sheet1!$A:$A,Y$2),"")</f>
        <v/>
      </c>
      <c r="Z126" s="9" t="str">
        <f>IF(SUMIFS(Sheet1!$E:$E,Sheet1!$C:$C,$A126,Sheet1!$A:$A,Z$2)&lt;&gt;0,SUMIFS(Sheet1!$E:$E,Sheet1!$C:$C,$A126,Sheet1!$A:$A,Z$2),"")</f>
        <v/>
      </c>
      <c r="AA126" s="9" t="str">
        <f>IF(SUMIFS(Sheet1!$E:$E,Sheet1!$C:$C,$A126,Sheet1!$A:$A,AA$2)&lt;&gt;0,SUMIFS(Sheet1!$E:$E,Sheet1!$C:$C,$A126,Sheet1!$A:$A,AA$2),"")</f>
        <v/>
      </c>
      <c r="AB126" s="9" t="str">
        <f>IF(SUMIFS(Sheet1!$E:$E,Sheet1!$C:$C,$A126,Sheet1!$A:$A,AB$2)&lt;&gt;0,SUMIFS(Sheet1!$E:$E,Sheet1!$C:$C,$A126,Sheet1!$A:$A,AB$2),"")</f>
        <v/>
      </c>
      <c r="AC126" s="9" t="str">
        <f>IF(SUMIFS(Sheet1!$E:$E,Sheet1!$C:$C,$A126,Sheet1!$A:$A,AC$2)&lt;&gt;0,SUMIFS(Sheet1!$E:$E,Sheet1!$C:$C,$A126,Sheet1!$A:$A,AC$2),"")</f>
        <v/>
      </c>
      <c r="AD126" s="9" t="str">
        <f>IF(SUMIFS(Sheet1!$E:$E,Sheet1!$C:$C,$A126,Sheet1!$A:$A,AD$2)&lt;&gt;0,SUMIFS(Sheet1!$E:$E,Sheet1!$C:$C,$A126,Sheet1!$A:$A,AD$2),"")</f>
        <v/>
      </c>
      <c r="AE126" s="9" t="str">
        <f>IF(SUMIFS(Sheet1!$E:$E,Sheet1!$C:$C,$A126,Sheet1!$A:$A,AE$2)&lt;&gt;0,SUMIFS(Sheet1!$E:$E,Sheet1!$C:$C,$A126,Sheet1!$A:$A,AE$2),"")</f>
        <v/>
      </c>
      <c r="AF126" s="9" t="str">
        <f>IF(SUMIFS(Sheet1!$E:$E,Sheet1!$C:$C,$A126,Sheet1!$A:$A,AF$2)&lt;&gt;0,SUMIFS(Sheet1!$E:$E,Sheet1!$C:$C,$A126,Sheet1!$A:$A,AF$2),"")</f>
        <v/>
      </c>
      <c r="AG126" s="9" t="str">
        <f>IF(SUMIFS(Sheet1!$E:$E,Sheet1!$C:$C,$A126,Sheet1!$A:$A,AG$2)&lt;&gt;0,SUMIFS(Sheet1!$E:$E,Sheet1!$C:$C,$A126,Sheet1!$A:$A,AG$2),"")</f>
        <v/>
      </c>
      <c r="AH126" s="47">
        <f>SUM(Table24[[#This Row],[1]:[31]])</f>
        <v>83</v>
      </c>
    </row>
    <row r="127" spans="1:34" ht="12.75" customHeight="1">
      <c r="A127" s="24" t="str">
        <f>DSSP!A126</f>
        <v>VD12</v>
      </c>
      <c r="B127" s="25" t="str">
        <f>DSSP!B126</f>
        <v>Bông nửa cân</v>
      </c>
      <c r="C127" s="9" t="str">
        <f>IF(SUMIFS(Sheet1!$E:$E,Sheet1!$C:$C,$A127,Sheet1!$A:$A,C$2)&lt;&gt;0,SUMIFS(Sheet1!$E:$E,Sheet1!$C:$C,$A127,Sheet1!$A:$A,C$2),"")</f>
        <v/>
      </c>
      <c r="D127" s="9" t="str">
        <f>IF(SUMIFS(Sheet1!$E:$E,Sheet1!$C:$C,$A127,Sheet1!$A:$A,D$2)&lt;&gt;0,SUMIFS(Sheet1!$E:$E,Sheet1!$C:$C,$A127,Sheet1!$A:$A,D$2),"")</f>
        <v/>
      </c>
      <c r="E127" s="9" t="str">
        <f>IF(SUMIFS(Sheet1!$E:$E,Sheet1!$C:$C,$A127,Sheet1!$A:$A,E$2)&lt;&gt;0,SUMIFS(Sheet1!$E:$E,Sheet1!$C:$C,$A127,Sheet1!$A:$A,E$2),"")</f>
        <v/>
      </c>
      <c r="F127" s="9" t="str">
        <f>IF(SUMIFS(Sheet1!$E:$E,Sheet1!$C:$C,$A127,Sheet1!$A:$A,F$2)&lt;&gt;0,SUMIFS(Sheet1!$E:$E,Sheet1!$C:$C,$A127,Sheet1!$A:$A,F$2),"")</f>
        <v/>
      </c>
      <c r="G127" s="9" t="str">
        <f>IF(SUMIFS(Sheet1!$E:$E,Sheet1!$C:$C,$A127,Sheet1!$A:$A,G$2)&lt;&gt;0,SUMIFS(Sheet1!$E:$E,Sheet1!$C:$C,$A127,Sheet1!$A:$A,G$2),"")</f>
        <v/>
      </c>
      <c r="H127" s="9" t="str">
        <f>IF(SUMIFS(Sheet1!$E:$E,Sheet1!$C:$C,$A127,Sheet1!$A:$A,H$2)&lt;&gt;0,SUMIFS(Sheet1!$E:$E,Sheet1!$C:$C,$A127,Sheet1!$A:$A,H$2),"")</f>
        <v/>
      </c>
      <c r="I127" s="9" t="str">
        <f>IF(SUMIFS(Sheet1!$E:$E,Sheet1!$C:$C,$A127,Sheet1!$A:$A,I$2)&lt;&gt;0,SUMIFS(Sheet1!$E:$E,Sheet1!$C:$C,$A127,Sheet1!$A:$A,I$2),"")</f>
        <v/>
      </c>
      <c r="J127" s="9" t="str">
        <f>IF(SUMIFS(Sheet1!$E:$E,Sheet1!$C:$C,$A127,Sheet1!$A:$A,J$2)&lt;&gt;0,SUMIFS(Sheet1!$E:$E,Sheet1!$C:$C,$A127,Sheet1!$A:$A,J$2),"")</f>
        <v/>
      </c>
      <c r="K127" s="9" t="str">
        <f>IF(SUMIFS(Sheet1!$E:$E,Sheet1!$C:$C,$A127,Sheet1!$A:$A,K$2)&lt;&gt;0,SUMIFS(Sheet1!$E:$E,Sheet1!$C:$C,$A127,Sheet1!$A:$A,K$2),"")</f>
        <v/>
      </c>
      <c r="L127" s="9" t="str">
        <f>IF(SUMIFS(Sheet1!$E:$E,Sheet1!$C:$C,$A127,Sheet1!$A:$A,L$2)&lt;&gt;0,SUMIFS(Sheet1!$E:$E,Sheet1!$C:$C,$A127,Sheet1!$A:$A,L$2),"")</f>
        <v/>
      </c>
      <c r="M127" s="9" t="str">
        <f>IF(SUMIFS(Sheet1!$E:$E,Sheet1!$C:$C,$A127,Sheet1!$A:$A,M$2)&lt;&gt;0,SUMIFS(Sheet1!$E:$E,Sheet1!$C:$C,$A127,Sheet1!$A:$A,M$2),"")</f>
        <v/>
      </c>
      <c r="N127" s="9" t="str">
        <f>IF(SUMIFS(Sheet1!$E:$E,Sheet1!$C:$C,$A127,Sheet1!$A:$A,N$2)&lt;&gt;0,SUMIFS(Sheet1!$E:$E,Sheet1!$C:$C,$A127,Sheet1!$A:$A,N$2),"")</f>
        <v/>
      </c>
      <c r="O127" s="9" t="str">
        <f>IF(SUMIFS(Sheet1!$E:$E,Sheet1!$C:$C,$A127,Sheet1!$A:$A,O$2)&lt;&gt;0,SUMIFS(Sheet1!$E:$E,Sheet1!$C:$C,$A127,Sheet1!$A:$A,O$2),"")</f>
        <v/>
      </c>
      <c r="P127" s="9" t="str">
        <f>IF(SUMIFS(Sheet1!$E:$E,Sheet1!$C:$C,$A127,Sheet1!$A:$A,P$2)&lt;&gt;0,SUMIFS(Sheet1!$E:$E,Sheet1!$C:$C,$A127,Sheet1!$A:$A,P$2),"")</f>
        <v/>
      </c>
      <c r="Q127" s="9" t="str">
        <f>IF(SUMIFS(Sheet1!$E:$E,Sheet1!$C:$C,$A127,Sheet1!$A:$A,Q$2)&lt;&gt;0,SUMIFS(Sheet1!$E:$E,Sheet1!$C:$C,$A127,Sheet1!$A:$A,Q$2),"")</f>
        <v/>
      </c>
      <c r="R127" s="9" t="str">
        <f>IF(SUMIFS(Sheet1!$E:$E,Sheet1!$C:$C,$A127,Sheet1!$A:$A,R$2)&lt;&gt;0,SUMIFS(Sheet1!$E:$E,Sheet1!$C:$C,$A127,Sheet1!$A:$A,R$2),"")</f>
        <v/>
      </c>
      <c r="S127" s="9" t="str">
        <f>IF(SUMIFS(Sheet1!$E:$E,Sheet1!$C:$C,$A127,Sheet1!$A:$A,S$2)&lt;&gt;0,SUMIFS(Sheet1!$E:$E,Sheet1!$C:$C,$A127,Sheet1!$A:$A,S$2),"")</f>
        <v/>
      </c>
      <c r="T127" s="9" t="str">
        <f>IF(SUMIFS(Sheet1!$E:$E,Sheet1!$C:$C,$A127,Sheet1!$A:$A,T$2)&lt;&gt;0,SUMIFS(Sheet1!$E:$E,Sheet1!$C:$C,$A127,Sheet1!$A:$A,T$2),"")</f>
        <v/>
      </c>
      <c r="U127" s="9" t="str">
        <f>IF(SUMIFS(Sheet1!$E:$E,Sheet1!$C:$C,$A127,Sheet1!$A:$A,U$2)&lt;&gt;0,SUMIFS(Sheet1!$E:$E,Sheet1!$C:$C,$A127,Sheet1!$A:$A,U$2),"")</f>
        <v/>
      </c>
      <c r="V127" s="9" t="str">
        <f>IF(SUMIFS(Sheet1!$E:$E,Sheet1!$C:$C,$A127,Sheet1!$A:$A,V$2)&lt;&gt;0,SUMIFS(Sheet1!$E:$E,Sheet1!$C:$C,$A127,Sheet1!$A:$A,V$2),"")</f>
        <v/>
      </c>
      <c r="W127" s="9" t="str">
        <f>IF(SUMIFS(Sheet1!$E:$E,Sheet1!$C:$C,$A127,Sheet1!$A:$A,W$2)&lt;&gt;0,SUMIFS(Sheet1!$E:$E,Sheet1!$C:$C,$A127,Sheet1!$A:$A,W$2),"")</f>
        <v/>
      </c>
      <c r="X127" s="9" t="str">
        <f>IF(SUMIFS(Sheet1!$E:$E,Sheet1!$C:$C,$A127,Sheet1!$A:$A,X$2)&lt;&gt;0,SUMIFS(Sheet1!$E:$E,Sheet1!$C:$C,$A127,Sheet1!$A:$A,X$2),"")</f>
        <v/>
      </c>
      <c r="Y127" s="9" t="str">
        <f>IF(SUMIFS(Sheet1!$E:$E,Sheet1!$C:$C,$A127,Sheet1!$A:$A,Y$2)&lt;&gt;0,SUMIFS(Sheet1!$E:$E,Sheet1!$C:$C,$A127,Sheet1!$A:$A,Y$2),"")</f>
        <v/>
      </c>
      <c r="Z127" s="9" t="str">
        <f>IF(SUMIFS(Sheet1!$E:$E,Sheet1!$C:$C,$A127,Sheet1!$A:$A,Z$2)&lt;&gt;0,SUMIFS(Sheet1!$E:$E,Sheet1!$C:$C,$A127,Sheet1!$A:$A,Z$2),"")</f>
        <v/>
      </c>
      <c r="AA127" s="9" t="str">
        <f>IF(SUMIFS(Sheet1!$E:$E,Sheet1!$C:$C,$A127,Sheet1!$A:$A,AA$2)&lt;&gt;0,SUMIFS(Sheet1!$E:$E,Sheet1!$C:$C,$A127,Sheet1!$A:$A,AA$2),"")</f>
        <v/>
      </c>
      <c r="AB127" s="9" t="str">
        <f>IF(SUMIFS(Sheet1!$E:$E,Sheet1!$C:$C,$A127,Sheet1!$A:$A,AB$2)&lt;&gt;0,SUMIFS(Sheet1!$E:$E,Sheet1!$C:$C,$A127,Sheet1!$A:$A,AB$2),"")</f>
        <v/>
      </c>
      <c r="AC127" s="9" t="str">
        <f>IF(SUMIFS(Sheet1!$E:$E,Sheet1!$C:$C,$A127,Sheet1!$A:$A,AC$2)&lt;&gt;0,SUMIFS(Sheet1!$E:$E,Sheet1!$C:$C,$A127,Sheet1!$A:$A,AC$2),"")</f>
        <v/>
      </c>
      <c r="AD127" s="9" t="str">
        <f>IF(SUMIFS(Sheet1!$E:$E,Sheet1!$C:$C,$A127,Sheet1!$A:$A,AD$2)&lt;&gt;0,SUMIFS(Sheet1!$E:$E,Sheet1!$C:$C,$A127,Sheet1!$A:$A,AD$2),"")</f>
        <v/>
      </c>
      <c r="AE127" s="9" t="str">
        <f>IF(SUMIFS(Sheet1!$E:$E,Sheet1!$C:$C,$A127,Sheet1!$A:$A,AE$2)&lt;&gt;0,SUMIFS(Sheet1!$E:$E,Sheet1!$C:$C,$A127,Sheet1!$A:$A,AE$2),"")</f>
        <v/>
      </c>
      <c r="AF127" s="9" t="str">
        <f>IF(SUMIFS(Sheet1!$E:$E,Sheet1!$C:$C,$A127,Sheet1!$A:$A,AF$2)&lt;&gt;0,SUMIFS(Sheet1!$E:$E,Sheet1!$C:$C,$A127,Sheet1!$A:$A,AF$2),"")</f>
        <v/>
      </c>
      <c r="AG127" s="9" t="str">
        <f>IF(SUMIFS(Sheet1!$E:$E,Sheet1!$C:$C,$A127,Sheet1!$A:$A,AG$2)&lt;&gt;0,SUMIFS(Sheet1!$E:$E,Sheet1!$C:$C,$A127,Sheet1!$A:$A,AG$2),"")</f>
        <v/>
      </c>
      <c r="AH127" s="47">
        <f>SUM(Table24[[#This Row],[1]:[31]])</f>
        <v>0</v>
      </c>
    </row>
    <row r="128" spans="1:34" ht="12.75" customHeight="1">
      <c r="A128" s="24" t="str">
        <f>DSSP!A127</f>
        <v>VD13</v>
      </c>
      <c r="B128" s="25" t="str">
        <f>DSSP!B127</f>
        <v>Bông cân</v>
      </c>
      <c r="C128" s="9">
        <f>IF(SUMIFS(Sheet1!$E:$E,Sheet1!$C:$C,$A128,Sheet1!$A:$A,C$2)&lt;&gt;0,SUMIFS(Sheet1!$E:$E,Sheet1!$C:$C,$A128,Sheet1!$A:$A,C$2),"")</f>
        <v>-28</v>
      </c>
      <c r="D128" s="9" t="str">
        <f>IF(SUMIFS(Sheet1!$E:$E,Sheet1!$C:$C,$A128,Sheet1!$A:$A,D$2)&lt;&gt;0,SUMIFS(Sheet1!$E:$E,Sheet1!$C:$C,$A128,Sheet1!$A:$A,D$2),"")</f>
        <v/>
      </c>
      <c r="E128" s="9" t="str">
        <f>IF(SUMIFS(Sheet1!$E:$E,Sheet1!$C:$C,$A128,Sheet1!$A:$A,E$2)&lt;&gt;0,SUMIFS(Sheet1!$E:$E,Sheet1!$C:$C,$A128,Sheet1!$A:$A,E$2),"")</f>
        <v/>
      </c>
      <c r="F128" s="9" t="str">
        <f>IF(SUMIFS(Sheet1!$E:$E,Sheet1!$C:$C,$A128,Sheet1!$A:$A,F$2)&lt;&gt;0,SUMIFS(Sheet1!$E:$E,Sheet1!$C:$C,$A128,Sheet1!$A:$A,F$2),"")</f>
        <v/>
      </c>
      <c r="G128" s="9" t="str">
        <f>IF(SUMIFS(Sheet1!$E:$E,Sheet1!$C:$C,$A128,Sheet1!$A:$A,G$2)&lt;&gt;0,SUMIFS(Sheet1!$E:$E,Sheet1!$C:$C,$A128,Sheet1!$A:$A,G$2),"")</f>
        <v/>
      </c>
      <c r="H128" s="9" t="str">
        <f>IF(SUMIFS(Sheet1!$E:$E,Sheet1!$C:$C,$A128,Sheet1!$A:$A,H$2)&lt;&gt;0,SUMIFS(Sheet1!$E:$E,Sheet1!$C:$C,$A128,Sheet1!$A:$A,H$2),"")</f>
        <v/>
      </c>
      <c r="I128" s="9" t="str">
        <f>IF(SUMIFS(Sheet1!$E:$E,Sheet1!$C:$C,$A128,Sheet1!$A:$A,I$2)&lt;&gt;0,SUMIFS(Sheet1!$E:$E,Sheet1!$C:$C,$A128,Sheet1!$A:$A,I$2),"")</f>
        <v/>
      </c>
      <c r="J128" s="9" t="str">
        <f>IF(SUMIFS(Sheet1!$E:$E,Sheet1!$C:$C,$A128,Sheet1!$A:$A,J$2)&lt;&gt;0,SUMIFS(Sheet1!$E:$E,Sheet1!$C:$C,$A128,Sheet1!$A:$A,J$2),"")</f>
        <v/>
      </c>
      <c r="K128" s="9" t="str">
        <f>IF(SUMIFS(Sheet1!$E:$E,Sheet1!$C:$C,$A128,Sheet1!$A:$A,K$2)&lt;&gt;0,SUMIFS(Sheet1!$E:$E,Sheet1!$C:$C,$A128,Sheet1!$A:$A,K$2),"")</f>
        <v/>
      </c>
      <c r="L128" s="9" t="str">
        <f>IF(SUMIFS(Sheet1!$E:$E,Sheet1!$C:$C,$A128,Sheet1!$A:$A,L$2)&lt;&gt;0,SUMIFS(Sheet1!$E:$E,Sheet1!$C:$C,$A128,Sheet1!$A:$A,L$2),"")</f>
        <v/>
      </c>
      <c r="M128" s="9" t="str">
        <f>IF(SUMIFS(Sheet1!$E:$E,Sheet1!$C:$C,$A128,Sheet1!$A:$A,M$2)&lt;&gt;0,SUMIFS(Sheet1!$E:$E,Sheet1!$C:$C,$A128,Sheet1!$A:$A,M$2),"")</f>
        <v/>
      </c>
      <c r="N128" s="9" t="str">
        <f>IF(SUMIFS(Sheet1!$E:$E,Sheet1!$C:$C,$A128,Sheet1!$A:$A,N$2)&lt;&gt;0,SUMIFS(Sheet1!$E:$E,Sheet1!$C:$C,$A128,Sheet1!$A:$A,N$2),"")</f>
        <v/>
      </c>
      <c r="O128" s="9" t="str">
        <f>IF(SUMIFS(Sheet1!$E:$E,Sheet1!$C:$C,$A128,Sheet1!$A:$A,O$2)&lt;&gt;0,SUMIFS(Sheet1!$E:$E,Sheet1!$C:$C,$A128,Sheet1!$A:$A,O$2),"")</f>
        <v/>
      </c>
      <c r="P128" s="9" t="str">
        <f>IF(SUMIFS(Sheet1!$E:$E,Sheet1!$C:$C,$A128,Sheet1!$A:$A,P$2)&lt;&gt;0,SUMIFS(Sheet1!$E:$E,Sheet1!$C:$C,$A128,Sheet1!$A:$A,P$2),"")</f>
        <v/>
      </c>
      <c r="Q128" s="9" t="str">
        <f>IF(SUMIFS(Sheet1!$E:$E,Sheet1!$C:$C,$A128,Sheet1!$A:$A,Q$2)&lt;&gt;0,SUMIFS(Sheet1!$E:$E,Sheet1!$C:$C,$A128,Sheet1!$A:$A,Q$2),"")</f>
        <v/>
      </c>
      <c r="R128" s="9" t="str">
        <f>IF(SUMIFS(Sheet1!$E:$E,Sheet1!$C:$C,$A128,Sheet1!$A:$A,R$2)&lt;&gt;0,SUMIFS(Sheet1!$E:$E,Sheet1!$C:$C,$A128,Sheet1!$A:$A,R$2),"")</f>
        <v/>
      </c>
      <c r="S128" s="9" t="str">
        <f>IF(SUMIFS(Sheet1!$E:$E,Sheet1!$C:$C,$A128,Sheet1!$A:$A,S$2)&lt;&gt;0,SUMIFS(Sheet1!$E:$E,Sheet1!$C:$C,$A128,Sheet1!$A:$A,S$2),"")</f>
        <v/>
      </c>
      <c r="T128" s="9" t="str">
        <f>IF(SUMIFS(Sheet1!$E:$E,Sheet1!$C:$C,$A128,Sheet1!$A:$A,T$2)&lt;&gt;0,SUMIFS(Sheet1!$E:$E,Sheet1!$C:$C,$A128,Sheet1!$A:$A,T$2),"")</f>
        <v/>
      </c>
      <c r="U128" s="9" t="str">
        <f>IF(SUMIFS(Sheet1!$E:$E,Sheet1!$C:$C,$A128,Sheet1!$A:$A,U$2)&lt;&gt;0,SUMIFS(Sheet1!$E:$E,Sheet1!$C:$C,$A128,Sheet1!$A:$A,U$2),"")</f>
        <v/>
      </c>
      <c r="V128" s="9" t="str">
        <f>IF(SUMIFS(Sheet1!$E:$E,Sheet1!$C:$C,$A128,Sheet1!$A:$A,V$2)&lt;&gt;0,SUMIFS(Sheet1!$E:$E,Sheet1!$C:$C,$A128,Sheet1!$A:$A,V$2),"")</f>
        <v/>
      </c>
      <c r="W128" s="9" t="str">
        <f>IF(SUMIFS(Sheet1!$E:$E,Sheet1!$C:$C,$A128,Sheet1!$A:$A,W$2)&lt;&gt;0,SUMIFS(Sheet1!$E:$E,Sheet1!$C:$C,$A128,Sheet1!$A:$A,W$2),"")</f>
        <v/>
      </c>
      <c r="X128" s="9" t="str">
        <f>IF(SUMIFS(Sheet1!$E:$E,Sheet1!$C:$C,$A128,Sheet1!$A:$A,X$2)&lt;&gt;0,SUMIFS(Sheet1!$E:$E,Sheet1!$C:$C,$A128,Sheet1!$A:$A,X$2),"")</f>
        <v/>
      </c>
      <c r="Y128" s="9" t="str">
        <f>IF(SUMIFS(Sheet1!$E:$E,Sheet1!$C:$C,$A128,Sheet1!$A:$A,Y$2)&lt;&gt;0,SUMIFS(Sheet1!$E:$E,Sheet1!$C:$C,$A128,Sheet1!$A:$A,Y$2),"")</f>
        <v/>
      </c>
      <c r="Z128" s="9" t="str">
        <f>IF(SUMIFS(Sheet1!$E:$E,Sheet1!$C:$C,$A128,Sheet1!$A:$A,Z$2)&lt;&gt;0,SUMIFS(Sheet1!$E:$E,Sheet1!$C:$C,$A128,Sheet1!$A:$A,Z$2),"")</f>
        <v/>
      </c>
      <c r="AA128" s="9" t="str">
        <f>IF(SUMIFS(Sheet1!$E:$E,Sheet1!$C:$C,$A128,Sheet1!$A:$A,AA$2)&lt;&gt;0,SUMIFS(Sheet1!$E:$E,Sheet1!$C:$C,$A128,Sheet1!$A:$A,AA$2),"")</f>
        <v/>
      </c>
      <c r="AB128" s="9" t="str">
        <f>IF(SUMIFS(Sheet1!$E:$E,Sheet1!$C:$C,$A128,Sheet1!$A:$A,AB$2)&lt;&gt;0,SUMIFS(Sheet1!$E:$E,Sheet1!$C:$C,$A128,Sheet1!$A:$A,AB$2),"")</f>
        <v/>
      </c>
      <c r="AC128" s="9" t="str">
        <f>IF(SUMIFS(Sheet1!$E:$E,Sheet1!$C:$C,$A128,Sheet1!$A:$A,AC$2)&lt;&gt;0,SUMIFS(Sheet1!$E:$E,Sheet1!$C:$C,$A128,Sheet1!$A:$A,AC$2),"")</f>
        <v/>
      </c>
      <c r="AD128" s="9" t="str">
        <f>IF(SUMIFS(Sheet1!$E:$E,Sheet1!$C:$C,$A128,Sheet1!$A:$A,AD$2)&lt;&gt;0,SUMIFS(Sheet1!$E:$E,Sheet1!$C:$C,$A128,Sheet1!$A:$A,AD$2),"")</f>
        <v/>
      </c>
      <c r="AE128" s="9" t="str">
        <f>IF(SUMIFS(Sheet1!$E:$E,Sheet1!$C:$C,$A128,Sheet1!$A:$A,AE$2)&lt;&gt;0,SUMIFS(Sheet1!$E:$E,Sheet1!$C:$C,$A128,Sheet1!$A:$A,AE$2),"")</f>
        <v/>
      </c>
      <c r="AF128" s="9" t="str">
        <f>IF(SUMIFS(Sheet1!$E:$E,Sheet1!$C:$C,$A128,Sheet1!$A:$A,AF$2)&lt;&gt;0,SUMIFS(Sheet1!$E:$E,Sheet1!$C:$C,$A128,Sheet1!$A:$A,AF$2),"")</f>
        <v/>
      </c>
      <c r="AG128" s="9" t="str">
        <f>IF(SUMIFS(Sheet1!$E:$E,Sheet1!$C:$C,$A128,Sheet1!$A:$A,AG$2)&lt;&gt;0,SUMIFS(Sheet1!$E:$E,Sheet1!$C:$C,$A128,Sheet1!$A:$A,AG$2),"")</f>
        <v/>
      </c>
      <c r="AH128" s="47">
        <f>SUM(Table24[[#This Row],[1]:[31]])</f>
        <v>-28</v>
      </c>
    </row>
    <row r="129" spans="1:34" ht="12.75" customHeight="1">
      <c r="A129" s="24" t="str">
        <f>DSSP!A128</f>
        <v>VD14</v>
      </c>
      <c r="B129" s="25" t="str">
        <f>DSSP!B128</f>
        <v>Mắt nhựa</v>
      </c>
      <c r="C129" s="9" t="str">
        <f>IF(SUMIFS(Sheet1!$E:$E,Sheet1!$C:$C,$A129,Sheet1!$A:$A,C$2)&lt;&gt;0,SUMIFS(Sheet1!$E:$E,Sheet1!$C:$C,$A129,Sheet1!$A:$A,C$2),"")</f>
        <v/>
      </c>
      <c r="D129" s="9" t="str">
        <f>IF(SUMIFS(Sheet1!$E:$E,Sheet1!$C:$C,$A129,Sheet1!$A:$A,D$2)&lt;&gt;0,SUMIFS(Sheet1!$E:$E,Sheet1!$C:$C,$A129,Sheet1!$A:$A,D$2),"")</f>
        <v/>
      </c>
      <c r="E129" s="9" t="str">
        <f>IF(SUMIFS(Sheet1!$E:$E,Sheet1!$C:$C,$A129,Sheet1!$A:$A,E$2)&lt;&gt;0,SUMIFS(Sheet1!$E:$E,Sheet1!$C:$C,$A129,Sheet1!$A:$A,E$2),"")</f>
        <v/>
      </c>
      <c r="F129" s="9" t="str">
        <f>IF(SUMIFS(Sheet1!$E:$E,Sheet1!$C:$C,$A129,Sheet1!$A:$A,F$2)&lt;&gt;0,SUMIFS(Sheet1!$E:$E,Sheet1!$C:$C,$A129,Sheet1!$A:$A,F$2),"")</f>
        <v/>
      </c>
      <c r="G129" s="9" t="str">
        <f>IF(SUMIFS(Sheet1!$E:$E,Sheet1!$C:$C,$A129,Sheet1!$A:$A,G$2)&lt;&gt;0,SUMIFS(Sheet1!$E:$E,Sheet1!$C:$C,$A129,Sheet1!$A:$A,G$2),"")</f>
        <v/>
      </c>
      <c r="H129" s="9" t="str">
        <f>IF(SUMIFS(Sheet1!$E:$E,Sheet1!$C:$C,$A129,Sheet1!$A:$A,H$2)&lt;&gt;0,SUMIFS(Sheet1!$E:$E,Sheet1!$C:$C,$A129,Sheet1!$A:$A,H$2),"")</f>
        <v/>
      </c>
      <c r="I129" s="9" t="str">
        <f>IF(SUMIFS(Sheet1!$E:$E,Sheet1!$C:$C,$A129,Sheet1!$A:$A,I$2)&lt;&gt;0,SUMIFS(Sheet1!$E:$E,Sheet1!$C:$C,$A129,Sheet1!$A:$A,I$2),"")</f>
        <v/>
      </c>
      <c r="J129" s="9" t="str">
        <f>IF(SUMIFS(Sheet1!$E:$E,Sheet1!$C:$C,$A129,Sheet1!$A:$A,J$2)&lt;&gt;0,SUMIFS(Sheet1!$E:$E,Sheet1!$C:$C,$A129,Sheet1!$A:$A,J$2),"")</f>
        <v/>
      </c>
      <c r="K129" s="9" t="str">
        <f>IF(SUMIFS(Sheet1!$E:$E,Sheet1!$C:$C,$A129,Sheet1!$A:$A,K$2)&lt;&gt;0,SUMIFS(Sheet1!$E:$E,Sheet1!$C:$C,$A129,Sheet1!$A:$A,K$2),"")</f>
        <v/>
      </c>
      <c r="L129" s="9" t="str">
        <f>IF(SUMIFS(Sheet1!$E:$E,Sheet1!$C:$C,$A129,Sheet1!$A:$A,L$2)&lt;&gt;0,SUMIFS(Sheet1!$E:$E,Sheet1!$C:$C,$A129,Sheet1!$A:$A,L$2),"")</f>
        <v/>
      </c>
      <c r="M129" s="9" t="str">
        <f>IF(SUMIFS(Sheet1!$E:$E,Sheet1!$C:$C,$A129,Sheet1!$A:$A,M$2)&lt;&gt;0,SUMIFS(Sheet1!$E:$E,Sheet1!$C:$C,$A129,Sheet1!$A:$A,M$2),"")</f>
        <v/>
      </c>
      <c r="N129" s="9" t="str">
        <f>IF(SUMIFS(Sheet1!$E:$E,Sheet1!$C:$C,$A129,Sheet1!$A:$A,N$2)&lt;&gt;0,SUMIFS(Sheet1!$E:$E,Sheet1!$C:$C,$A129,Sheet1!$A:$A,N$2),"")</f>
        <v/>
      </c>
      <c r="O129" s="9" t="str">
        <f>IF(SUMIFS(Sheet1!$E:$E,Sheet1!$C:$C,$A129,Sheet1!$A:$A,O$2)&lt;&gt;0,SUMIFS(Sheet1!$E:$E,Sheet1!$C:$C,$A129,Sheet1!$A:$A,O$2),"")</f>
        <v/>
      </c>
      <c r="P129" s="9" t="str">
        <f>IF(SUMIFS(Sheet1!$E:$E,Sheet1!$C:$C,$A129,Sheet1!$A:$A,P$2)&lt;&gt;0,SUMIFS(Sheet1!$E:$E,Sheet1!$C:$C,$A129,Sheet1!$A:$A,P$2),"")</f>
        <v/>
      </c>
      <c r="Q129" s="9" t="str">
        <f>IF(SUMIFS(Sheet1!$E:$E,Sheet1!$C:$C,$A129,Sheet1!$A:$A,Q$2)&lt;&gt;0,SUMIFS(Sheet1!$E:$E,Sheet1!$C:$C,$A129,Sheet1!$A:$A,Q$2),"")</f>
        <v/>
      </c>
      <c r="R129" s="9" t="str">
        <f>IF(SUMIFS(Sheet1!$E:$E,Sheet1!$C:$C,$A129,Sheet1!$A:$A,R$2)&lt;&gt;0,SUMIFS(Sheet1!$E:$E,Sheet1!$C:$C,$A129,Sheet1!$A:$A,R$2),"")</f>
        <v/>
      </c>
      <c r="S129" s="9" t="str">
        <f>IF(SUMIFS(Sheet1!$E:$E,Sheet1!$C:$C,$A129,Sheet1!$A:$A,S$2)&lt;&gt;0,SUMIFS(Sheet1!$E:$E,Sheet1!$C:$C,$A129,Sheet1!$A:$A,S$2),"")</f>
        <v/>
      </c>
      <c r="T129" s="9" t="str">
        <f>IF(SUMIFS(Sheet1!$E:$E,Sheet1!$C:$C,$A129,Sheet1!$A:$A,T$2)&lt;&gt;0,SUMIFS(Sheet1!$E:$E,Sheet1!$C:$C,$A129,Sheet1!$A:$A,T$2),"")</f>
        <v/>
      </c>
      <c r="U129" s="9" t="str">
        <f>IF(SUMIFS(Sheet1!$E:$E,Sheet1!$C:$C,$A129,Sheet1!$A:$A,U$2)&lt;&gt;0,SUMIFS(Sheet1!$E:$E,Sheet1!$C:$C,$A129,Sheet1!$A:$A,U$2),"")</f>
        <v/>
      </c>
      <c r="V129" s="9" t="str">
        <f>IF(SUMIFS(Sheet1!$E:$E,Sheet1!$C:$C,$A129,Sheet1!$A:$A,V$2)&lt;&gt;0,SUMIFS(Sheet1!$E:$E,Sheet1!$C:$C,$A129,Sheet1!$A:$A,V$2),"")</f>
        <v/>
      </c>
      <c r="W129" s="9" t="str">
        <f>IF(SUMIFS(Sheet1!$E:$E,Sheet1!$C:$C,$A129,Sheet1!$A:$A,W$2)&lt;&gt;0,SUMIFS(Sheet1!$E:$E,Sheet1!$C:$C,$A129,Sheet1!$A:$A,W$2),"")</f>
        <v/>
      </c>
      <c r="X129" s="9" t="str">
        <f>IF(SUMIFS(Sheet1!$E:$E,Sheet1!$C:$C,$A129,Sheet1!$A:$A,X$2)&lt;&gt;0,SUMIFS(Sheet1!$E:$E,Sheet1!$C:$C,$A129,Sheet1!$A:$A,X$2),"")</f>
        <v/>
      </c>
      <c r="Y129" s="9" t="str">
        <f>IF(SUMIFS(Sheet1!$E:$E,Sheet1!$C:$C,$A129,Sheet1!$A:$A,Y$2)&lt;&gt;0,SUMIFS(Sheet1!$E:$E,Sheet1!$C:$C,$A129,Sheet1!$A:$A,Y$2),"")</f>
        <v/>
      </c>
      <c r="Z129" s="9" t="str">
        <f>IF(SUMIFS(Sheet1!$E:$E,Sheet1!$C:$C,$A129,Sheet1!$A:$A,Z$2)&lt;&gt;0,SUMIFS(Sheet1!$E:$E,Sheet1!$C:$C,$A129,Sheet1!$A:$A,Z$2),"")</f>
        <v/>
      </c>
      <c r="AA129" s="9" t="str">
        <f>IF(SUMIFS(Sheet1!$E:$E,Sheet1!$C:$C,$A129,Sheet1!$A:$A,AA$2)&lt;&gt;0,SUMIFS(Sheet1!$E:$E,Sheet1!$C:$C,$A129,Sheet1!$A:$A,AA$2),"")</f>
        <v/>
      </c>
      <c r="AB129" s="9" t="str">
        <f>IF(SUMIFS(Sheet1!$E:$E,Sheet1!$C:$C,$A129,Sheet1!$A:$A,AB$2)&lt;&gt;0,SUMIFS(Sheet1!$E:$E,Sheet1!$C:$C,$A129,Sheet1!$A:$A,AB$2),"")</f>
        <v/>
      </c>
      <c r="AC129" s="9" t="str">
        <f>IF(SUMIFS(Sheet1!$E:$E,Sheet1!$C:$C,$A129,Sheet1!$A:$A,AC$2)&lt;&gt;0,SUMIFS(Sheet1!$E:$E,Sheet1!$C:$C,$A129,Sheet1!$A:$A,AC$2),"")</f>
        <v/>
      </c>
      <c r="AD129" s="9" t="str">
        <f>IF(SUMIFS(Sheet1!$E:$E,Sheet1!$C:$C,$A129,Sheet1!$A:$A,AD$2)&lt;&gt;0,SUMIFS(Sheet1!$E:$E,Sheet1!$C:$C,$A129,Sheet1!$A:$A,AD$2),"")</f>
        <v/>
      </c>
      <c r="AE129" s="9" t="str">
        <f>IF(SUMIFS(Sheet1!$E:$E,Sheet1!$C:$C,$A129,Sheet1!$A:$A,AE$2)&lt;&gt;0,SUMIFS(Sheet1!$E:$E,Sheet1!$C:$C,$A129,Sheet1!$A:$A,AE$2),"")</f>
        <v/>
      </c>
      <c r="AF129" s="9" t="str">
        <f>IF(SUMIFS(Sheet1!$E:$E,Sheet1!$C:$C,$A129,Sheet1!$A:$A,AF$2)&lt;&gt;0,SUMIFS(Sheet1!$E:$E,Sheet1!$C:$C,$A129,Sheet1!$A:$A,AF$2),"")</f>
        <v/>
      </c>
      <c r="AG129" s="9" t="str">
        <f>IF(SUMIFS(Sheet1!$E:$E,Sheet1!$C:$C,$A129,Sheet1!$A:$A,AG$2)&lt;&gt;0,SUMIFS(Sheet1!$E:$E,Sheet1!$C:$C,$A129,Sheet1!$A:$A,AG$2),"")</f>
        <v/>
      </c>
      <c r="AH129" s="47">
        <f>SUM(Table24[[#This Row],[1]:[31]])</f>
        <v>0</v>
      </c>
    </row>
    <row r="130" spans="1:34" ht="12.75" customHeight="1">
      <c r="A130" s="24" t="str">
        <f>DSSP!A129</f>
        <v>VD15</v>
      </c>
      <c r="B130" s="25" t="str">
        <f>DSSP!B129</f>
        <v>Hoa tai móc ĐÔI</v>
      </c>
      <c r="C130" s="9" t="str">
        <f>IF(SUMIFS(Sheet1!$E:$E,Sheet1!$C:$C,$A130,Sheet1!$A:$A,C$2)&lt;&gt;0,SUMIFS(Sheet1!$E:$E,Sheet1!$C:$C,$A130,Sheet1!$A:$A,C$2),"")</f>
        <v/>
      </c>
      <c r="D130" s="9" t="str">
        <f>IF(SUMIFS(Sheet1!$E:$E,Sheet1!$C:$C,$A130,Sheet1!$A:$A,D$2)&lt;&gt;0,SUMIFS(Sheet1!$E:$E,Sheet1!$C:$C,$A130,Sheet1!$A:$A,D$2),"")</f>
        <v/>
      </c>
      <c r="E130" s="9" t="str">
        <f>IF(SUMIFS(Sheet1!$E:$E,Sheet1!$C:$C,$A130,Sheet1!$A:$A,E$2)&lt;&gt;0,SUMIFS(Sheet1!$E:$E,Sheet1!$C:$C,$A130,Sheet1!$A:$A,E$2),"")</f>
        <v/>
      </c>
      <c r="F130" s="9" t="str">
        <f>IF(SUMIFS(Sheet1!$E:$E,Sheet1!$C:$C,$A130,Sheet1!$A:$A,F$2)&lt;&gt;0,SUMIFS(Sheet1!$E:$E,Sheet1!$C:$C,$A130,Sheet1!$A:$A,F$2),"")</f>
        <v/>
      </c>
      <c r="G130" s="9" t="str">
        <f>IF(SUMIFS(Sheet1!$E:$E,Sheet1!$C:$C,$A130,Sheet1!$A:$A,G$2)&lt;&gt;0,SUMIFS(Sheet1!$E:$E,Sheet1!$C:$C,$A130,Sheet1!$A:$A,G$2),"")</f>
        <v/>
      </c>
      <c r="H130" s="9" t="str">
        <f>IF(SUMIFS(Sheet1!$E:$E,Sheet1!$C:$C,$A130,Sheet1!$A:$A,H$2)&lt;&gt;0,SUMIFS(Sheet1!$E:$E,Sheet1!$C:$C,$A130,Sheet1!$A:$A,H$2),"")</f>
        <v/>
      </c>
      <c r="I130" s="9" t="str">
        <f>IF(SUMIFS(Sheet1!$E:$E,Sheet1!$C:$C,$A130,Sheet1!$A:$A,I$2)&lt;&gt;0,SUMIFS(Sheet1!$E:$E,Sheet1!$C:$C,$A130,Sheet1!$A:$A,I$2),"")</f>
        <v/>
      </c>
      <c r="J130" s="9" t="str">
        <f>IF(SUMIFS(Sheet1!$E:$E,Sheet1!$C:$C,$A130,Sheet1!$A:$A,J$2)&lt;&gt;0,SUMIFS(Sheet1!$E:$E,Sheet1!$C:$C,$A130,Sheet1!$A:$A,J$2),"")</f>
        <v/>
      </c>
      <c r="K130" s="9" t="str">
        <f>IF(SUMIFS(Sheet1!$E:$E,Sheet1!$C:$C,$A130,Sheet1!$A:$A,K$2)&lt;&gt;0,SUMIFS(Sheet1!$E:$E,Sheet1!$C:$C,$A130,Sheet1!$A:$A,K$2),"")</f>
        <v/>
      </c>
      <c r="L130" s="9" t="str">
        <f>IF(SUMIFS(Sheet1!$E:$E,Sheet1!$C:$C,$A130,Sheet1!$A:$A,L$2)&lt;&gt;0,SUMIFS(Sheet1!$E:$E,Sheet1!$C:$C,$A130,Sheet1!$A:$A,L$2),"")</f>
        <v/>
      </c>
      <c r="M130" s="9" t="str">
        <f>IF(SUMIFS(Sheet1!$E:$E,Sheet1!$C:$C,$A130,Sheet1!$A:$A,M$2)&lt;&gt;0,SUMIFS(Sheet1!$E:$E,Sheet1!$C:$C,$A130,Sheet1!$A:$A,M$2),"")</f>
        <v/>
      </c>
      <c r="N130" s="9" t="str">
        <f>IF(SUMIFS(Sheet1!$E:$E,Sheet1!$C:$C,$A130,Sheet1!$A:$A,N$2)&lt;&gt;0,SUMIFS(Sheet1!$E:$E,Sheet1!$C:$C,$A130,Sheet1!$A:$A,N$2),"")</f>
        <v/>
      </c>
      <c r="O130" s="9" t="str">
        <f>IF(SUMIFS(Sheet1!$E:$E,Sheet1!$C:$C,$A130,Sheet1!$A:$A,O$2)&lt;&gt;0,SUMIFS(Sheet1!$E:$E,Sheet1!$C:$C,$A130,Sheet1!$A:$A,O$2),"")</f>
        <v/>
      </c>
      <c r="P130" s="9" t="str">
        <f>IF(SUMIFS(Sheet1!$E:$E,Sheet1!$C:$C,$A130,Sheet1!$A:$A,P$2)&lt;&gt;0,SUMIFS(Sheet1!$E:$E,Sheet1!$C:$C,$A130,Sheet1!$A:$A,P$2),"")</f>
        <v/>
      </c>
      <c r="Q130" s="9" t="str">
        <f>IF(SUMIFS(Sheet1!$E:$E,Sheet1!$C:$C,$A130,Sheet1!$A:$A,Q$2)&lt;&gt;0,SUMIFS(Sheet1!$E:$E,Sheet1!$C:$C,$A130,Sheet1!$A:$A,Q$2),"")</f>
        <v/>
      </c>
      <c r="R130" s="9" t="str">
        <f>IF(SUMIFS(Sheet1!$E:$E,Sheet1!$C:$C,$A130,Sheet1!$A:$A,R$2)&lt;&gt;0,SUMIFS(Sheet1!$E:$E,Sheet1!$C:$C,$A130,Sheet1!$A:$A,R$2),"")</f>
        <v/>
      </c>
      <c r="S130" s="9" t="str">
        <f>IF(SUMIFS(Sheet1!$E:$E,Sheet1!$C:$C,$A130,Sheet1!$A:$A,S$2)&lt;&gt;0,SUMIFS(Sheet1!$E:$E,Sheet1!$C:$C,$A130,Sheet1!$A:$A,S$2),"")</f>
        <v/>
      </c>
      <c r="T130" s="9" t="str">
        <f>IF(SUMIFS(Sheet1!$E:$E,Sheet1!$C:$C,$A130,Sheet1!$A:$A,T$2)&lt;&gt;0,SUMIFS(Sheet1!$E:$E,Sheet1!$C:$C,$A130,Sheet1!$A:$A,T$2),"")</f>
        <v/>
      </c>
      <c r="U130" s="9" t="str">
        <f>IF(SUMIFS(Sheet1!$E:$E,Sheet1!$C:$C,$A130,Sheet1!$A:$A,U$2)&lt;&gt;0,SUMIFS(Sheet1!$E:$E,Sheet1!$C:$C,$A130,Sheet1!$A:$A,U$2),"")</f>
        <v/>
      </c>
      <c r="V130" s="9" t="str">
        <f>IF(SUMIFS(Sheet1!$E:$E,Sheet1!$C:$C,$A130,Sheet1!$A:$A,V$2)&lt;&gt;0,SUMIFS(Sheet1!$E:$E,Sheet1!$C:$C,$A130,Sheet1!$A:$A,V$2),"")</f>
        <v/>
      </c>
      <c r="W130" s="9" t="str">
        <f>IF(SUMIFS(Sheet1!$E:$E,Sheet1!$C:$C,$A130,Sheet1!$A:$A,W$2)&lt;&gt;0,SUMIFS(Sheet1!$E:$E,Sheet1!$C:$C,$A130,Sheet1!$A:$A,W$2),"")</f>
        <v/>
      </c>
      <c r="X130" s="9" t="str">
        <f>IF(SUMIFS(Sheet1!$E:$E,Sheet1!$C:$C,$A130,Sheet1!$A:$A,X$2)&lt;&gt;0,SUMIFS(Sheet1!$E:$E,Sheet1!$C:$C,$A130,Sheet1!$A:$A,X$2),"")</f>
        <v/>
      </c>
      <c r="Y130" s="9" t="str">
        <f>IF(SUMIFS(Sheet1!$E:$E,Sheet1!$C:$C,$A130,Sheet1!$A:$A,Y$2)&lt;&gt;0,SUMIFS(Sheet1!$E:$E,Sheet1!$C:$C,$A130,Sheet1!$A:$A,Y$2),"")</f>
        <v/>
      </c>
      <c r="Z130" s="9" t="str">
        <f>IF(SUMIFS(Sheet1!$E:$E,Sheet1!$C:$C,$A130,Sheet1!$A:$A,Z$2)&lt;&gt;0,SUMIFS(Sheet1!$E:$E,Sheet1!$C:$C,$A130,Sheet1!$A:$A,Z$2),"")</f>
        <v/>
      </c>
      <c r="AA130" s="9" t="str">
        <f>IF(SUMIFS(Sheet1!$E:$E,Sheet1!$C:$C,$A130,Sheet1!$A:$A,AA$2)&lt;&gt;0,SUMIFS(Sheet1!$E:$E,Sheet1!$C:$C,$A130,Sheet1!$A:$A,AA$2),"")</f>
        <v/>
      </c>
      <c r="AB130" s="9" t="str">
        <f>IF(SUMIFS(Sheet1!$E:$E,Sheet1!$C:$C,$A130,Sheet1!$A:$A,AB$2)&lt;&gt;0,SUMIFS(Sheet1!$E:$E,Sheet1!$C:$C,$A130,Sheet1!$A:$A,AB$2),"")</f>
        <v/>
      </c>
      <c r="AC130" s="9" t="str">
        <f>IF(SUMIFS(Sheet1!$E:$E,Sheet1!$C:$C,$A130,Sheet1!$A:$A,AC$2)&lt;&gt;0,SUMIFS(Sheet1!$E:$E,Sheet1!$C:$C,$A130,Sheet1!$A:$A,AC$2),"")</f>
        <v/>
      </c>
      <c r="AD130" s="9" t="str">
        <f>IF(SUMIFS(Sheet1!$E:$E,Sheet1!$C:$C,$A130,Sheet1!$A:$A,AD$2)&lt;&gt;0,SUMIFS(Sheet1!$E:$E,Sheet1!$C:$C,$A130,Sheet1!$A:$A,AD$2),"")</f>
        <v/>
      </c>
      <c r="AE130" s="9" t="str">
        <f>IF(SUMIFS(Sheet1!$E:$E,Sheet1!$C:$C,$A130,Sheet1!$A:$A,AE$2)&lt;&gt;0,SUMIFS(Sheet1!$E:$E,Sheet1!$C:$C,$A130,Sheet1!$A:$A,AE$2),"")</f>
        <v/>
      </c>
      <c r="AF130" s="9" t="str">
        <f>IF(SUMIFS(Sheet1!$E:$E,Sheet1!$C:$C,$A130,Sheet1!$A:$A,AF$2)&lt;&gt;0,SUMIFS(Sheet1!$E:$E,Sheet1!$C:$C,$A130,Sheet1!$A:$A,AF$2),"")</f>
        <v/>
      </c>
      <c r="AG130" s="9" t="str">
        <f>IF(SUMIFS(Sheet1!$E:$E,Sheet1!$C:$C,$A130,Sheet1!$A:$A,AG$2)&lt;&gt;0,SUMIFS(Sheet1!$E:$E,Sheet1!$C:$C,$A130,Sheet1!$A:$A,AG$2),"")</f>
        <v/>
      </c>
      <c r="AH130" s="47">
        <f>SUM(Table24[[#This Row],[1]:[31]])</f>
        <v>0</v>
      </c>
    </row>
    <row r="131" spans="1:34" ht="12.75" customHeight="1">
      <c r="A131" s="24" t="str">
        <f>DSSP!A130</f>
        <v>VD16</v>
      </c>
      <c r="B131" s="25" t="str">
        <f>DSSP!B130</f>
        <v>Đế huy hiệu</v>
      </c>
      <c r="C131" s="9" t="str">
        <f>IF(SUMIFS(Sheet1!$E:$E,Sheet1!$C:$C,$A131,Sheet1!$A:$A,C$2)&lt;&gt;0,SUMIFS(Sheet1!$E:$E,Sheet1!$C:$C,$A131,Sheet1!$A:$A,C$2),"")</f>
        <v/>
      </c>
      <c r="D131" s="9" t="str">
        <f>IF(SUMIFS(Sheet1!$E:$E,Sheet1!$C:$C,$A131,Sheet1!$A:$A,D$2)&lt;&gt;0,SUMIFS(Sheet1!$E:$E,Sheet1!$C:$C,$A131,Sheet1!$A:$A,D$2),"")</f>
        <v/>
      </c>
      <c r="E131" s="9" t="str">
        <f>IF(SUMIFS(Sheet1!$E:$E,Sheet1!$C:$C,$A131,Sheet1!$A:$A,E$2)&lt;&gt;0,SUMIFS(Sheet1!$E:$E,Sheet1!$C:$C,$A131,Sheet1!$A:$A,E$2),"")</f>
        <v/>
      </c>
      <c r="F131" s="9" t="str">
        <f>IF(SUMIFS(Sheet1!$E:$E,Sheet1!$C:$C,$A131,Sheet1!$A:$A,F$2)&lt;&gt;0,SUMIFS(Sheet1!$E:$E,Sheet1!$C:$C,$A131,Sheet1!$A:$A,F$2),"")</f>
        <v/>
      </c>
      <c r="G131" s="9" t="str">
        <f>IF(SUMIFS(Sheet1!$E:$E,Sheet1!$C:$C,$A131,Sheet1!$A:$A,G$2)&lt;&gt;0,SUMIFS(Sheet1!$E:$E,Sheet1!$C:$C,$A131,Sheet1!$A:$A,G$2),"")</f>
        <v/>
      </c>
      <c r="H131" s="9" t="str">
        <f>IF(SUMIFS(Sheet1!$E:$E,Sheet1!$C:$C,$A131,Sheet1!$A:$A,H$2)&lt;&gt;0,SUMIFS(Sheet1!$E:$E,Sheet1!$C:$C,$A131,Sheet1!$A:$A,H$2),"")</f>
        <v/>
      </c>
      <c r="I131" s="9" t="str">
        <f>IF(SUMIFS(Sheet1!$E:$E,Sheet1!$C:$C,$A131,Sheet1!$A:$A,I$2)&lt;&gt;0,SUMIFS(Sheet1!$E:$E,Sheet1!$C:$C,$A131,Sheet1!$A:$A,I$2),"")</f>
        <v/>
      </c>
      <c r="J131" s="9" t="str">
        <f>IF(SUMIFS(Sheet1!$E:$E,Sheet1!$C:$C,$A131,Sheet1!$A:$A,J$2)&lt;&gt;0,SUMIFS(Sheet1!$E:$E,Sheet1!$C:$C,$A131,Sheet1!$A:$A,J$2),"")</f>
        <v/>
      </c>
      <c r="K131" s="9" t="str">
        <f>IF(SUMIFS(Sheet1!$E:$E,Sheet1!$C:$C,$A131,Sheet1!$A:$A,K$2)&lt;&gt;0,SUMIFS(Sheet1!$E:$E,Sheet1!$C:$C,$A131,Sheet1!$A:$A,K$2),"")</f>
        <v/>
      </c>
      <c r="L131" s="9" t="str">
        <f>IF(SUMIFS(Sheet1!$E:$E,Sheet1!$C:$C,$A131,Sheet1!$A:$A,L$2)&lt;&gt;0,SUMIFS(Sheet1!$E:$E,Sheet1!$C:$C,$A131,Sheet1!$A:$A,L$2),"")</f>
        <v/>
      </c>
      <c r="M131" s="9" t="str">
        <f>IF(SUMIFS(Sheet1!$E:$E,Sheet1!$C:$C,$A131,Sheet1!$A:$A,M$2)&lt;&gt;0,SUMIFS(Sheet1!$E:$E,Sheet1!$C:$C,$A131,Sheet1!$A:$A,M$2),"")</f>
        <v/>
      </c>
      <c r="N131" s="9" t="str">
        <f>IF(SUMIFS(Sheet1!$E:$E,Sheet1!$C:$C,$A131,Sheet1!$A:$A,N$2)&lt;&gt;0,SUMIFS(Sheet1!$E:$E,Sheet1!$C:$C,$A131,Sheet1!$A:$A,N$2),"")</f>
        <v/>
      </c>
      <c r="O131" s="9" t="str">
        <f>IF(SUMIFS(Sheet1!$E:$E,Sheet1!$C:$C,$A131,Sheet1!$A:$A,O$2)&lt;&gt;0,SUMIFS(Sheet1!$E:$E,Sheet1!$C:$C,$A131,Sheet1!$A:$A,O$2),"")</f>
        <v/>
      </c>
      <c r="P131" s="9" t="str">
        <f>IF(SUMIFS(Sheet1!$E:$E,Sheet1!$C:$C,$A131,Sheet1!$A:$A,P$2)&lt;&gt;0,SUMIFS(Sheet1!$E:$E,Sheet1!$C:$C,$A131,Sheet1!$A:$A,P$2),"")</f>
        <v/>
      </c>
      <c r="Q131" s="9" t="str">
        <f>IF(SUMIFS(Sheet1!$E:$E,Sheet1!$C:$C,$A131,Sheet1!$A:$A,Q$2)&lt;&gt;0,SUMIFS(Sheet1!$E:$E,Sheet1!$C:$C,$A131,Sheet1!$A:$A,Q$2),"")</f>
        <v/>
      </c>
      <c r="R131" s="9" t="str">
        <f>IF(SUMIFS(Sheet1!$E:$E,Sheet1!$C:$C,$A131,Sheet1!$A:$A,R$2)&lt;&gt;0,SUMIFS(Sheet1!$E:$E,Sheet1!$C:$C,$A131,Sheet1!$A:$A,R$2),"")</f>
        <v/>
      </c>
      <c r="S131" s="9" t="str">
        <f>IF(SUMIFS(Sheet1!$E:$E,Sheet1!$C:$C,$A131,Sheet1!$A:$A,S$2)&lt;&gt;0,SUMIFS(Sheet1!$E:$E,Sheet1!$C:$C,$A131,Sheet1!$A:$A,S$2),"")</f>
        <v/>
      </c>
      <c r="T131" s="9" t="str">
        <f>IF(SUMIFS(Sheet1!$E:$E,Sheet1!$C:$C,$A131,Sheet1!$A:$A,T$2)&lt;&gt;0,SUMIFS(Sheet1!$E:$E,Sheet1!$C:$C,$A131,Sheet1!$A:$A,T$2),"")</f>
        <v/>
      </c>
      <c r="U131" s="9" t="str">
        <f>IF(SUMIFS(Sheet1!$E:$E,Sheet1!$C:$C,$A131,Sheet1!$A:$A,U$2)&lt;&gt;0,SUMIFS(Sheet1!$E:$E,Sheet1!$C:$C,$A131,Sheet1!$A:$A,U$2),"")</f>
        <v/>
      </c>
      <c r="V131" s="9" t="str">
        <f>IF(SUMIFS(Sheet1!$E:$E,Sheet1!$C:$C,$A131,Sheet1!$A:$A,V$2)&lt;&gt;0,SUMIFS(Sheet1!$E:$E,Sheet1!$C:$C,$A131,Sheet1!$A:$A,V$2),"")</f>
        <v/>
      </c>
      <c r="W131" s="9" t="str">
        <f>IF(SUMIFS(Sheet1!$E:$E,Sheet1!$C:$C,$A131,Sheet1!$A:$A,W$2)&lt;&gt;0,SUMIFS(Sheet1!$E:$E,Sheet1!$C:$C,$A131,Sheet1!$A:$A,W$2),"")</f>
        <v/>
      </c>
      <c r="X131" s="9" t="str">
        <f>IF(SUMIFS(Sheet1!$E:$E,Sheet1!$C:$C,$A131,Sheet1!$A:$A,X$2)&lt;&gt;0,SUMIFS(Sheet1!$E:$E,Sheet1!$C:$C,$A131,Sheet1!$A:$A,X$2),"")</f>
        <v/>
      </c>
      <c r="Y131" s="9" t="str">
        <f>IF(SUMIFS(Sheet1!$E:$E,Sheet1!$C:$C,$A131,Sheet1!$A:$A,Y$2)&lt;&gt;0,SUMIFS(Sheet1!$E:$E,Sheet1!$C:$C,$A131,Sheet1!$A:$A,Y$2),"")</f>
        <v/>
      </c>
      <c r="Z131" s="9" t="str">
        <f>IF(SUMIFS(Sheet1!$E:$E,Sheet1!$C:$C,$A131,Sheet1!$A:$A,Z$2)&lt;&gt;0,SUMIFS(Sheet1!$E:$E,Sheet1!$C:$C,$A131,Sheet1!$A:$A,Z$2),"")</f>
        <v/>
      </c>
      <c r="AA131" s="9" t="str">
        <f>IF(SUMIFS(Sheet1!$E:$E,Sheet1!$C:$C,$A131,Sheet1!$A:$A,AA$2)&lt;&gt;0,SUMIFS(Sheet1!$E:$E,Sheet1!$C:$C,$A131,Sheet1!$A:$A,AA$2),"")</f>
        <v/>
      </c>
      <c r="AB131" s="9" t="str">
        <f>IF(SUMIFS(Sheet1!$E:$E,Sheet1!$C:$C,$A131,Sheet1!$A:$A,AB$2)&lt;&gt;0,SUMIFS(Sheet1!$E:$E,Sheet1!$C:$C,$A131,Sheet1!$A:$A,AB$2),"")</f>
        <v/>
      </c>
      <c r="AC131" s="9" t="str">
        <f>IF(SUMIFS(Sheet1!$E:$E,Sheet1!$C:$C,$A131,Sheet1!$A:$A,AC$2)&lt;&gt;0,SUMIFS(Sheet1!$E:$E,Sheet1!$C:$C,$A131,Sheet1!$A:$A,AC$2),"")</f>
        <v/>
      </c>
      <c r="AD131" s="9" t="str">
        <f>IF(SUMIFS(Sheet1!$E:$E,Sheet1!$C:$C,$A131,Sheet1!$A:$A,AD$2)&lt;&gt;0,SUMIFS(Sheet1!$E:$E,Sheet1!$C:$C,$A131,Sheet1!$A:$A,AD$2),"")</f>
        <v/>
      </c>
      <c r="AE131" s="9" t="str">
        <f>IF(SUMIFS(Sheet1!$E:$E,Sheet1!$C:$C,$A131,Sheet1!$A:$A,AE$2)&lt;&gt;0,SUMIFS(Sheet1!$E:$E,Sheet1!$C:$C,$A131,Sheet1!$A:$A,AE$2),"")</f>
        <v/>
      </c>
      <c r="AF131" s="9" t="str">
        <f>IF(SUMIFS(Sheet1!$E:$E,Sheet1!$C:$C,$A131,Sheet1!$A:$A,AF$2)&lt;&gt;0,SUMIFS(Sheet1!$E:$E,Sheet1!$C:$C,$A131,Sheet1!$A:$A,AF$2),"")</f>
        <v/>
      </c>
      <c r="AG131" s="9" t="str">
        <f>IF(SUMIFS(Sheet1!$E:$E,Sheet1!$C:$C,$A131,Sheet1!$A:$A,AG$2)&lt;&gt;0,SUMIFS(Sheet1!$E:$E,Sheet1!$C:$C,$A131,Sheet1!$A:$A,AG$2),"")</f>
        <v/>
      </c>
      <c r="AH131" s="47">
        <f>SUM(Table24[[#This Row],[1]:[31]])</f>
        <v>0</v>
      </c>
    </row>
    <row r="132" spans="1:34" ht="12.75" customHeight="1">
      <c r="A132" s="24" t="str">
        <f>DSSP!A131</f>
        <v>DS01</v>
      </c>
      <c r="B132" s="25" t="str">
        <f>DSSP!B131</f>
        <v>Đất sét Malay</v>
      </c>
      <c r="C132" s="9">
        <f>IF(SUMIFS(Sheet1!$E:$E,Sheet1!$C:$C,$A132,Sheet1!$A:$A,C$2)&lt;&gt;0,SUMIFS(Sheet1!$E:$E,Sheet1!$C:$C,$A132,Sheet1!$A:$A,C$2),"")</f>
        <v>3</v>
      </c>
      <c r="D132" s="9" t="str">
        <f>IF(SUMIFS(Sheet1!$E:$E,Sheet1!$C:$C,$A132,Sheet1!$A:$A,D$2)&lt;&gt;0,SUMIFS(Sheet1!$E:$E,Sheet1!$C:$C,$A132,Sheet1!$A:$A,D$2),"")</f>
        <v/>
      </c>
      <c r="E132" s="9" t="str">
        <f>IF(SUMIFS(Sheet1!$E:$E,Sheet1!$C:$C,$A132,Sheet1!$A:$A,E$2)&lt;&gt;0,SUMIFS(Sheet1!$E:$E,Sheet1!$C:$C,$A132,Sheet1!$A:$A,E$2),"")</f>
        <v/>
      </c>
      <c r="F132" s="9" t="str">
        <f>IF(SUMIFS(Sheet1!$E:$E,Sheet1!$C:$C,$A132,Sheet1!$A:$A,F$2)&lt;&gt;0,SUMIFS(Sheet1!$E:$E,Sheet1!$C:$C,$A132,Sheet1!$A:$A,F$2),"")</f>
        <v/>
      </c>
      <c r="G132" s="9" t="str">
        <f>IF(SUMIFS(Sheet1!$E:$E,Sheet1!$C:$C,$A132,Sheet1!$A:$A,G$2)&lt;&gt;0,SUMIFS(Sheet1!$E:$E,Sheet1!$C:$C,$A132,Sheet1!$A:$A,G$2),"")</f>
        <v/>
      </c>
      <c r="H132" s="9" t="str">
        <f>IF(SUMIFS(Sheet1!$E:$E,Sheet1!$C:$C,$A132,Sheet1!$A:$A,H$2)&lt;&gt;0,SUMIFS(Sheet1!$E:$E,Sheet1!$C:$C,$A132,Sheet1!$A:$A,H$2),"")</f>
        <v/>
      </c>
      <c r="I132" s="9" t="str">
        <f>IF(SUMIFS(Sheet1!$E:$E,Sheet1!$C:$C,$A132,Sheet1!$A:$A,I$2)&lt;&gt;0,SUMIFS(Sheet1!$E:$E,Sheet1!$C:$C,$A132,Sheet1!$A:$A,I$2),"")</f>
        <v/>
      </c>
      <c r="J132" s="9" t="str">
        <f>IF(SUMIFS(Sheet1!$E:$E,Sheet1!$C:$C,$A132,Sheet1!$A:$A,J$2)&lt;&gt;0,SUMIFS(Sheet1!$E:$E,Sheet1!$C:$C,$A132,Sheet1!$A:$A,J$2),"")</f>
        <v/>
      </c>
      <c r="K132" s="9" t="str">
        <f>IF(SUMIFS(Sheet1!$E:$E,Sheet1!$C:$C,$A132,Sheet1!$A:$A,K$2)&lt;&gt;0,SUMIFS(Sheet1!$E:$E,Sheet1!$C:$C,$A132,Sheet1!$A:$A,K$2),"")</f>
        <v/>
      </c>
      <c r="L132" s="9" t="str">
        <f>IF(SUMIFS(Sheet1!$E:$E,Sheet1!$C:$C,$A132,Sheet1!$A:$A,L$2)&lt;&gt;0,SUMIFS(Sheet1!$E:$E,Sheet1!$C:$C,$A132,Sheet1!$A:$A,L$2),"")</f>
        <v/>
      </c>
      <c r="M132" s="9" t="str">
        <f>IF(SUMIFS(Sheet1!$E:$E,Sheet1!$C:$C,$A132,Sheet1!$A:$A,M$2)&lt;&gt;0,SUMIFS(Sheet1!$E:$E,Sheet1!$C:$C,$A132,Sheet1!$A:$A,M$2),"")</f>
        <v/>
      </c>
      <c r="N132" s="9" t="str">
        <f>IF(SUMIFS(Sheet1!$E:$E,Sheet1!$C:$C,$A132,Sheet1!$A:$A,N$2)&lt;&gt;0,SUMIFS(Sheet1!$E:$E,Sheet1!$C:$C,$A132,Sheet1!$A:$A,N$2),"")</f>
        <v/>
      </c>
      <c r="O132" s="9" t="str">
        <f>IF(SUMIFS(Sheet1!$E:$E,Sheet1!$C:$C,$A132,Sheet1!$A:$A,O$2)&lt;&gt;0,SUMIFS(Sheet1!$E:$E,Sheet1!$C:$C,$A132,Sheet1!$A:$A,O$2),"")</f>
        <v/>
      </c>
      <c r="P132" s="9" t="str">
        <f>IF(SUMIFS(Sheet1!$E:$E,Sheet1!$C:$C,$A132,Sheet1!$A:$A,P$2)&lt;&gt;0,SUMIFS(Sheet1!$E:$E,Sheet1!$C:$C,$A132,Sheet1!$A:$A,P$2),"")</f>
        <v/>
      </c>
      <c r="Q132" s="9" t="str">
        <f>IF(SUMIFS(Sheet1!$E:$E,Sheet1!$C:$C,$A132,Sheet1!$A:$A,Q$2)&lt;&gt;0,SUMIFS(Sheet1!$E:$E,Sheet1!$C:$C,$A132,Sheet1!$A:$A,Q$2),"")</f>
        <v/>
      </c>
      <c r="R132" s="9" t="str">
        <f>IF(SUMIFS(Sheet1!$E:$E,Sheet1!$C:$C,$A132,Sheet1!$A:$A,R$2)&lt;&gt;0,SUMIFS(Sheet1!$E:$E,Sheet1!$C:$C,$A132,Sheet1!$A:$A,R$2),"")</f>
        <v/>
      </c>
      <c r="S132" s="9" t="str">
        <f>IF(SUMIFS(Sheet1!$E:$E,Sheet1!$C:$C,$A132,Sheet1!$A:$A,S$2)&lt;&gt;0,SUMIFS(Sheet1!$E:$E,Sheet1!$C:$C,$A132,Sheet1!$A:$A,S$2),"")</f>
        <v/>
      </c>
      <c r="T132" s="9" t="str">
        <f>IF(SUMIFS(Sheet1!$E:$E,Sheet1!$C:$C,$A132,Sheet1!$A:$A,T$2)&lt;&gt;0,SUMIFS(Sheet1!$E:$E,Sheet1!$C:$C,$A132,Sheet1!$A:$A,T$2),"")</f>
        <v/>
      </c>
      <c r="U132" s="9" t="str">
        <f>IF(SUMIFS(Sheet1!$E:$E,Sheet1!$C:$C,$A132,Sheet1!$A:$A,U$2)&lt;&gt;0,SUMIFS(Sheet1!$E:$E,Sheet1!$C:$C,$A132,Sheet1!$A:$A,U$2),"")</f>
        <v/>
      </c>
      <c r="V132" s="9" t="str">
        <f>IF(SUMIFS(Sheet1!$E:$E,Sheet1!$C:$C,$A132,Sheet1!$A:$A,V$2)&lt;&gt;0,SUMIFS(Sheet1!$E:$E,Sheet1!$C:$C,$A132,Sheet1!$A:$A,V$2),"")</f>
        <v/>
      </c>
      <c r="W132" s="9" t="str">
        <f>IF(SUMIFS(Sheet1!$E:$E,Sheet1!$C:$C,$A132,Sheet1!$A:$A,W$2)&lt;&gt;0,SUMIFS(Sheet1!$E:$E,Sheet1!$C:$C,$A132,Sheet1!$A:$A,W$2),"")</f>
        <v/>
      </c>
      <c r="X132" s="9" t="str">
        <f>IF(SUMIFS(Sheet1!$E:$E,Sheet1!$C:$C,$A132,Sheet1!$A:$A,X$2)&lt;&gt;0,SUMIFS(Sheet1!$E:$E,Sheet1!$C:$C,$A132,Sheet1!$A:$A,X$2),"")</f>
        <v/>
      </c>
      <c r="Y132" s="9" t="str">
        <f>IF(SUMIFS(Sheet1!$E:$E,Sheet1!$C:$C,$A132,Sheet1!$A:$A,Y$2)&lt;&gt;0,SUMIFS(Sheet1!$E:$E,Sheet1!$C:$C,$A132,Sheet1!$A:$A,Y$2),"")</f>
        <v/>
      </c>
      <c r="Z132" s="9" t="str">
        <f>IF(SUMIFS(Sheet1!$E:$E,Sheet1!$C:$C,$A132,Sheet1!$A:$A,Z$2)&lt;&gt;0,SUMIFS(Sheet1!$E:$E,Sheet1!$C:$C,$A132,Sheet1!$A:$A,Z$2),"")</f>
        <v/>
      </c>
      <c r="AA132" s="9" t="str">
        <f>IF(SUMIFS(Sheet1!$E:$E,Sheet1!$C:$C,$A132,Sheet1!$A:$A,AA$2)&lt;&gt;0,SUMIFS(Sheet1!$E:$E,Sheet1!$C:$C,$A132,Sheet1!$A:$A,AA$2),"")</f>
        <v/>
      </c>
      <c r="AB132" s="9" t="str">
        <f>IF(SUMIFS(Sheet1!$E:$E,Sheet1!$C:$C,$A132,Sheet1!$A:$A,AB$2)&lt;&gt;0,SUMIFS(Sheet1!$E:$E,Sheet1!$C:$C,$A132,Sheet1!$A:$A,AB$2),"")</f>
        <v/>
      </c>
      <c r="AC132" s="9" t="str">
        <f>IF(SUMIFS(Sheet1!$E:$E,Sheet1!$C:$C,$A132,Sheet1!$A:$A,AC$2)&lt;&gt;0,SUMIFS(Sheet1!$E:$E,Sheet1!$C:$C,$A132,Sheet1!$A:$A,AC$2),"")</f>
        <v/>
      </c>
      <c r="AD132" s="9" t="str">
        <f>IF(SUMIFS(Sheet1!$E:$E,Sheet1!$C:$C,$A132,Sheet1!$A:$A,AD$2)&lt;&gt;0,SUMIFS(Sheet1!$E:$E,Sheet1!$C:$C,$A132,Sheet1!$A:$A,AD$2),"")</f>
        <v/>
      </c>
      <c r="AE132" s="9" t="str">
        <f>IF(SUMIFS(Sheet1!$E:$E,Sheet1!$C:$C,$A132,Sheet1!$A:$A,AE$2)&lt;&gt;0,SUMIFS(Sheet1!$E:$E,Sheet1!$C:$C,$A132,Sheet1!$A:$A,AE$2),"")</f>
        <v/>
      </c>
      <c r="AF132" s="9" t="str">
        <f>IF(SUMIFS(Sheet1!$E:$E,Sheet1!$C:$C,$A132,Sheet1!$A:$A,AF$2)&lt;&gt;0,SUMIFS(Sheet1!$E:$E,Sheet1!$C:$C,$A132,Sheet1!$A:$A,AF$2),"")</f>
        <v/>
      </c>
      <c r="AG132" s="9" t="str">
        <f>IF(SUMIFS(Sheet1!$E:$E,Sheet1!$C:$C,$A132,Sheet1!$A:$A,AG$2)&lt;&gt;0,SUMIFS(Sheet1!$E:$E,Sheet1!$C:$C,$A132,Sheet1!$A:$A,AG$2),"")</f>
        <v/>
      </c>
      <c r="AH132" s="47">
        <f>SUM(Table24[[#This Row],[1]:[31]])</f>
        <v>3</v>
      </c>
    </row>
    <row r="133" spans="1:34" ht="12.75" customHeight="1">
      <c r="A133" s="24" t="str">
        <f>DSSP!A132</f>
        <v>DS02</v>
      </c>
      <c r="B133" s="25" t="str">
        <f>DSSP!B132</f>
        <v>Đất sét Thái</v>
      </c>
      <c r="C133" s="9">
        <f>IF(SUMIFS(Sheet1!$E:$E,Sheet1!$C:$C,$A133,Sheet1!$A:$A,C$2)&lt;&gt;0,SUMIFS(Sheet1!$E:$E,Sheet1!$C:$C,$A133,Sheet1!$A:$A,C$2),"")</f>
        <v>-1</v>
      </c>
      <c r="D133" s="9" t="str">
        <f>IF(SUMIFS(Sheet1!$E:$E,Sheet1!$C:$C,$A133,Sheet1!$A:$A,D$2)&lt;&gt;0,SUMIFS(Sheet1!$E:$E,Sheet1!$C:$C,$A133,Sheet1!$A:$A,D$2),"")</f>
        <v/>
      </c>
      <c r="E133" s="9" t="str">
        <f>IF(SUMIFS(Sheet1!$E:$E,Sheet1!$C:$C,$A133,Sheet1!$A:$A,E$2)&lt;&gt;0,SUMIFS(Sheet1!$E:$E,Sheet1!$C:$C,$A133,Sheet1!$A:$A,E$2),"")</f>
        <v/>
      </c>
      <c r="F133" s="9" t="str">
        <f>IF(SUMIFS(Sheet1!$E:$E,Sheet1!$C:$C,$A133,Sheet1!$A:$A,F$2)&lt;&gt;0,SUMIFS(Sheet1!$E:$E,Sheet1!$C:$C,$A133,Sheet1!$A:$A,F$2),"")</f>
        <v/>
      </c>
      <c r="G133" s="9" t="str">
        <f>IF(SUMIFS(Sheet1!$E:$E,Sheet1!$C:$C,$A133,Sheet1!$A:$A,G$2)&lt;&gt;0,SUMIFS(Sheet1!$E:$E,Sheet1!$C:$C,$A133,Sheet1!$A:$A,G$2),"")</f>
        <v/>
      </c>
      <c r="H133" s="9" t="str">
        <f>IF(SUMIFS(Sheet1!$E:$E,Sheet1!$C:$C,$A133,Sheet1!$A:$A,H$2)&lt;&gt;0,SUMIFS(Sheet1!$E:$E,Sheet1!$C:$C,$A133,Sheet1!$A:$A,H$2),"")</f>
        <v/>
      </c>
      <c r="I133" s="9" t="str">
        <f>IF(SUMIFS(Sheet1!$E:$E,Sheet1!$C:$C,$A133,Sheet1!$A:$A,I$2)&lt;&gt;0,SUMIFS(Sheet1!$E:$E,Sheet1!$C:$C,$A133,Sheet1!$A:$A,I$2),"")</f>
        <v/>
      </c>
      <c r="J133" s="9" t="str">
        <f>IF(SUMIFS(Sheet1!$E:$E,Sheet1!$C:$C,$A133,Sheet1!$A:$A,J$2)&lt;&gt;0,SUMIFS(Sheet1!$E:$E,Sheet1!$C:$C,$A133,Sheet1!$A:$A,J$2),"")</f>
        <v/>
      </c>
      <c r="K133" s="9" t="str">
        <f>IF(SUMIFS(Sheet1!$E:$E,Sheet1!$C:$C,$A133,Sheet1!$A:$A,K$2)&lt;&gt;0,SUMIFS(Sheet1!$E:$E,Sheet1!$C:$C,$A133,Sheet1!$A:$A,K$2),"")</f>
        <v/>
      </c>
      <c r="L133" s="9" t="str">
        <f>IF(SUMIFS(Sheet1!$E:$E,Sheet1!$C:$C,$A133,Sheet1!$A:$A,L$2)&lt;&gt;0,SUMIFS(Sheet1!$E:$E,Sheet1!$C:$C,$A133,Sheet1!$A:$A,L$2),"")</f>
        <v/>
      </c>
      <c r="M133" s="9" t="str">
        <f>IF(SUMIFS(Sheet1!$E:$E,Sheet1!$C:$C,$A133,Sheet1!$A:$A,M$2)&lt;&gt;0,SUMIFS(Sheet1!$E:$E,Sheet1!$C:$C,$A133,Sheet1!$A:$A,M$2),"")</f>
        <v/>
      </c>
      <c r="N133" s="9" t="str">
        <f>IF(SUMIFS(Sheet1!$E:$E,Sheet1!$C:$C,$A133,Sheet1!$A:$A,N$2)&lt;&gt;0,SUMIFS(Sheet1!$E:$E,Sheet1!$C:$C,$A133,Sheet1!$A:$A,N$2),"")</f>
        <v/>
      </c>
      <c r="O133" s="9" t="str">
        <f>IF(SUMIFS(Sheet1!$E:$E,Sheet1!$C:$C,$A133,Sheet1!$A:$A,O$2)&lt;&gt;0,SUMIFS(Sheet1!$E:$E,Sheet1!$C:$C,$A133,Sheet1!$A:$A,O$2),"")</f>
        <v/>
      </c>
      <c r="P133" s="9" t="str">
        <f>IF(SUMIFS(Sheet1!$E:$E,Sheet1!$C:$C,$A133,Sheet1!$A:$A,P$2)&lt;&gt;0,SUMIFS(Sheet1!$E:$E,Sheet1!$C:$C,$A133,Sheet1!$A:$A,P$2),"")</f>
        <v/>
      </c>
      <c r="Q133" s="9" t="str">
        <f>IF(SUMIFS(Sheet1!$E:$E,Sheet1!$C:$C,$A133,Sheet1!$A:$A,Q$2)&lt;&gt;0,SUMIFS(Sheet1!$E:$E,Sheet1!$C:$C,$A133,Sheet1!$A:$A,Q$2),"")</f>
        <v/>
      </c>
      <c r="R133" s="9" t="str">
        <f>IF(SUMIFS(Sheet1!$E:$E,Sheet1!$C:$C,$A133,Sheet1!$A:$A,R$2)&lt;&gt;0,SUMIFS(Sheet1!$E:$E,Sheet1!$C:$C,$A133,Sheet1!$A:$A,R$2),"")</f>
        <v/>
      </c>
      <c r="S133" s="9" t="str">
        <f>IF(SUMIFS(Sheet1!$E:$E,Sheet1!$C:$C,$A133,Sheet1!$A:$A,S$2)&lt;&gt;0,SUMIFS(Sheet1!$E:$E,Sheet1!$C:$C,$A133,Sheet1!$A:$A,S$2),"")</f>
        <v/>
      </c>
      <c r="T133" s="9" t="str">
        <f>IF(SUMIFS(Sheet1!$E:$E,Sheet1!$C:$C,$A133,Sheet1!$A:$A,T$2)&lt;&gt;0,SUMIFS(Sheet1!$E:$E,Sheet1!$C:$C,$A133,Sheet1!$A:$A,T$2),"")</f>
        <v/>
      </c>
      <c r="U133" s="9" t="str">
        <f>IF(SUMIFS(Sheet1!$E:$E,Sheet1!$C:$C,$A133,Sheet1!$A:$A,U$2)&lt;&gt;0,SUMIFS(Sheet1!$E:$E,Sheet1!$C:$C,$A133,Sheet1!$A:$A,U$2),"")</f>
        <v/>
      </c>
      <c r="V133" s="9" t="str">
        <f>IF(SUMIFS(Sheet1!$E:$E,Sheet1!$C:$C,$A133,Sheet1!$A:$A,V$2)&lt;&gt;0,SUMIFS(Sheet1!$E:$E,Sheet1!$C:$C,$A133,Sheet1!$A:$A,V$2),"")</f>
        <v/>
      </c>
      <c r="W133" s="9" t="str">
        <f>IF(SUMIFS(Sheet1!$E:$E,Sheet1!$C:$C,$A133,Sheet1!$A:$A,W$2)&lt;&gt;0,SUMIFS(Sheet1!$E:$E,Sheet1!$C:$C,$A133,Sheet1!$A:$A,W$2),"")</f>
        <v/>
      </c>
      <c r="X133" s="9" t="str">
        <f>IF(SUMIFS(Sheet1!$E:$E,Sheet1!$C:$C,$A133,Sheet1!$A:$A,X$2)&lt;&gt;0,SUMIFS(Sheet1!$E:$E,Sheet1!$C:$C,$A133,Sheet1!$A:$A,X$2),"")</f>
        <v/>
      </c>
      <c r="Y133" s="9" t="str">
        <f>IF(SUMIFS(Sheet1!$E:$E,Sheet1!$C:$C,$A133,Sheet1!$A:$A,Y$2)&lt;&gt;0,SUMIFS(Sheet1!$E:$E,Sheet1!$C:$C,$A133,Sheet1!$A:$A,Y$2),"")</f>
        <v/>
      </c>
      <c r="Z133" s="9" t="str">
        <f>IF(SUMIFS(Sheet1!$E:$E,Sheet1!$C:$C,$A133,Sheet1!$A:$A,Z$2)&lt;&gt;0,SUMIFS(Sheet1!$E:$E,Sheet1!$C:$C,$A133,Sheet1!$A:$A,Z$2),"")</f>
        <v/>
      </c>
      <c r="AA133" s="9" t="str">
        <f>IF(SUMIFS(Sheet1!$E:$E,Sheet1!$C:$C,$A133,Sheet1!$A:$A,AA$2)&lt;&gt;0,SUMIFS(Sheet1!$E:$E,Sheet1!$C:$C,$A133,Sheet1!$A:$A,AA$2),"")</f>
        <v/>
      </c>
      <c r="AB133" s="9" t="str">
        <f>IF(SUMIFS(Sheet1!$E:$E,Sheet1!$C:$C,$A133,Sheet1!$A:$A,AB$2)&lt;&gt;0,SUMIFS(Sheet1!$E:$E,Sheet1!$C:$C,$A133,Sheet1!$A:$A,AB$2),"")</f>
        <v/>
      </c>
      <c r="AC133" s="9" t="str">
        <f>IF(SUMIFS(Sheet1!$E:$E,Sheet1!$C:$C,$A133,Sheet1!$A:$A,AC$2)&lt;&gt;0,SUMIFS(Sheet1!$E:$E,Sheet1!$C:$C,$A133,Sheet1!$A:$A,AC$2),"")</f>
        <v/>
      </c>
      <c r="AD133" s="9" t="str">
        <f>IF(SUMIFS(Sheet1!$E:$E,Sheet1!$C:$C,$A133,Sheet1!$A:$A,AD$2)&lt;&gt;0,SUMIFS(Sheet1!$E:$E,Sheet1!$C:$C,$A133,Sheet1!$A:$A,AD$2),"")</f>
        <v/>
      </c>
      <c r="AE133" s="9" t="str">
        <f>IF(SUMIFS(Sheet1!$E:$E,Sheet1!$C:$C,$A133,Sheet1!$A:$A,AE$2)&lt;&gt;0,SUMIFS(Sheet1!$E:$E,Sheet1!$C:$C,$A133,Sheet1!$A:$A,AE$2),"")</f>
        <v/>
      </c>
      <c r="AF133" s="9" t="str">
        <f>IF(SUMIFS(Sheet1!$E:$E,Sheet1!$C:$C,$A133,Sheet1!$A:$A,AF$2)&lt;&gt;0,SUMIFS(Sheet1!$E:$E,Sheet1!$C:$C,$A133,Sheet1!$A:$A,AF$2),"")</f>
        <v/>
      </c>
      <c r="AG133" s="9" t="str">
        <f>IF(SUMIFS(Sheet1!$E:$E,Sheet1!$C:$C,$A133,Sheet1!$A:$A,AG$2)&lt;&gt;0,SUMIFS(Sheet1!$E:$E,Sheet1!$C:$C,$A133,Sheet1!$A:$A,AG$2),"")</f>
        <v/>
      </c>
      <c r="AH133" s="47">
        <f>SUM(Table24[[#This Row],[1]:[31]])</f>
        <v>-1</v>
      </c>
    </row>
    <row r="134" spans="1:34" ht="12.75" customHeight="1">
      <c r="A134" s="24" t="str">
        <f>DSSP!A133</f>
        <v>DS03</v>
      </c>
      <c r="B134" s="25" t="str">
        <f>DSSP!B133</f>
        <v>Đất sét Hàn Quốc</v>
      </c>
      <c r="C134" s="9">
        <f>IF(SUMIFS(Sheet1!$E:$E,Sheet1!$C:$C,$A134,Sheet1!$A:$A,C$2)&lt;&gt;0,SUMIFS(Sheet1!$E:$E,Sheet1!$C:$C,$A134,Sheet1!$A:$A,C$2),"")</f>
        <v>8</v>
      </c>
      <c r="D134" s="9" t="str">
        <f>IF(SUMIFS(Sheet1!$E:$E,Sheet1!$C:$C,$A134,Sheet1!$A:$A,D$2)&lt;&gt;0,SUMIFS(Sheet1!$E:$E,Sheet1!$C:$C,$A134,Sheet1!$A:$A,D$2),"")</f>
        <v/>
      </c>
      <c r="E134" s="9" t="str">
        <f>IF(SUMIFS(Sheet1!$E:$E,Sheet1!$C:$C,$A134,Sheet1!$A:$A,E$2)&lt;&gt;0,SUMIFS(Sheet1!$E:$E,Sheet1!$C:$C,$A134,Sheet1!$A:$A,E$2),"")</f>
        <v/>
      </c>
      <c r="F134" s="9" t="str">
        <f>IF(SUMIFS(Sheet1!$E:$E,Sheet1!$C:$C,$A134,Sheet1!$A:$A,F$2)&lt;&gt;0,SUMIFS(Sheet1!$E:$E,Sheet1!$C:$C,$A134,Sheet1!$A:$A,F$2),"")</f>
        <v/>
      </c>
      <c r="G134" s="9" t="str">
        <f>IF(SUMIFS(Sheet1!$E:$E,Sheet1!$C:$C,$A134,Sheet1!$A:$A,G$2)&lt;&gt;0,SUMIFS(Sheet1!$E:$E,Sheet1!$C:$C,$A134,Sheet1!$A:$A,G$2),"")</f>
        <v/>
      </c>
      <c r="H134" s="9" t="str">
        <f>IF(SUMIFS(Sheet1!$E:$E,Sheet1!$C:$C,$A134,Sheet1!$A:$A,H$2)&lt;&gt;0,SUMIFS(Sheet1!$E:$E,Sheet1!$C:$C,$A134,Sheet1!$A:$A,H$2),"")</f>
        <v/>
      </c>
      <c r="I134" s="9" t="str">
        <f>IF(SUMIFS(Sheet1!$E:$E,Sheet1!$C:$C,$A134,Sheet1!$A:$A,I$2)&lt;&gt;0,SUMIFS(Sheet1!$E:$E,Sheet1!$C:$C,$A134,Sheet1!$A:$A,I$2),"")</f>
        <v/>
      </c>
      <c r="J134" s="9" t="str">
        <f>IF(SUMIFS(Sheet1!$E:$E,Sheet1!$C:$C,$A134,Sheet1!$A:$A,J$2)&lt;&gt;0,SUMIFS(Sheet1!$E:$E,Sheet1!$C:$C,$A134,Sheet1!$A:$A,J$2),"")</f>
        <v/>
      </c>
      <c r="K134" s="9" t="str">
        <f>IF(SUMIFS(Sheet1!$E:$E,Sheet1!$C:$C,$A134,Sheet1!$A:$A,K$2)&lt;&gt;0,SUMIFS(Sheet1!$E:$E,Sheet1!$C:$C,$A134,Sheet1!$A:$A,K$2),"")</f>
        <v/>
      </c>
      <c r="L134" s="9" t="str">
        <f>IF(SUMIFS(Sheet1!$E:$E,Sheet1!$C:$C,$A134,Sheet1!$A:$A,L$2)&lt;&gt;0,SUMIFS(Sheet1!$E:$E,Sheet1!$C:$C,$A134,Sheet1!$A:$A,L$2),"")</f>
        <v/>
      </c>
      <c r="M134" s="9" t="str">
        <f>IF(SUMIFS(Sheet1!$E:$E,Sheet1!$C:$C,$A134,Sheet1!$A:$A,M$2)&lt;&gt;0,SUMIFS(Sheet1!$E:$E,Sheet1!$C:$C,$A134,Sheet1!$A:$A,M$2),"")</f>
        <v/>
      </c>
      <c r="N134" s="9" t="str">
        <f>IF(SUMIFS(Sheet1!$E:$E,Sheet1!$C:$C,$A134,Sheet1!$A:$A,N$2)&lt;&gt;0,SUMIFS(Sheet1!$E:$E,Sheet1!$C:$C,$A134,Sheet1!$A:$A,N$2),"")</f>
        <v/>
      </c>
      <c r="O134" s="9" t="str">
        <f>IF(SUMIFS(Sheet1!$E:$E,Sheet1!$C:$C,$A134,Sheet1!$A:$A,O$2)&lt;&gt;0,SUMIFS(Sheet1!$E:$E,Sheet1!$C:$C,$A134,Sheet1!$A:$A,O$2),"")</f>
        <v/>
      </c>
      <c r="P134" s="9" t="str">
        <f>IF(SUMIFS(Sheet1!$E:$E,Sheet1!$C:$C,$A134,Sheet1!$A:$A,P$2)&lt;&gt;0,SUMIFS(Sheet1!$E:$E,Sheet1!$C:$C,$A134,Sheet1!$A:$A,P$2),"")</f>
        <v/>
      </c>
      <c r="Q134" s="9" t="str">
        <f>IF(SUMIFS(Sheet1!$E:$E,Sheet1!$C:$C,$A134,Sheet1!$A:$A,Q$2)&lt;&gt;0,SUMIFS(Sheet1!$E:$E,Sheet1!$C:$C,$A134,Sheet1!$A:$A,Q$2),"")</f>
        <v/>
      </c>
      <c r="R134" s="9" t="str">
        <f>IF(SUMIFS(Sheet1!$E:$E,Sheet1!$C:$C,$A134,Sheet1!$A:$A,R$2)&lt;&gt;0,SUMIFS(Sheet1!$E:$E,Sheet1!$C:$C,$A134,Sheet1!$A:$A,R$2),"")</f>
        <v/>
      </c>
      <c r="S134" s="9" t="str">
        <f>IF(SUMIFS(Sheet1!$E:$E,Sheet1!$C:$C,$A134,Sheet1!$A:$A,S$2)&lt;&gt;0,SUMIFS(Sheet1!$E:$E,Sheet1!$C:$C,$A134,Sheet1!$A:$A,S$2),"")</f>
        <v/>
      </c>
      <c r="T134" s="9" t="str">
        <f>IF(SUMIFS(Sheet1!$E:$E,Sheet1!$C:$C,$A134,Sheet1!$A:$A,T$2)&lt;&gt;0,SUMIFS(Sheet1!$E:$E,Sheet1!$C:$C,$A134,Sheet1!$A:$A,T$2),"")</f>
        <v/>
      </c>
      <c r="U134" s="9" t="str">
        <f>IF(SUMIFS(Sheet1!$E:$E,Sheet1!$C:$C,$A134,Sheet1!$A:$A,U$2)&lt;&gt;0,SUMIFS(Sheet1!$E:$E,Sheet1!$C:$C,$A134,Sheet1!$A:$A,U$2),"")</f>
        <v/>
      </c>
      <c r="V134" s="9" t="str">
        <f>IF(SUMIFS(Sheet1!$E:$E,Sheet1!$C:$C,$A134,Sheet1!$A:$A,V$2)&lt;&gt;0,SUMIFS(Sheet1!$E:$E,Sheet1!$C:$C,$A134,Sheet1!$A:$A,V$2),"")</f>
        <v/>
      </c>
      <c r="W134" s="9" t="str">
        <f>IF(SUMIFS(Sheet1!$E:$E,Sheet1!$C:$C,$A134,Sheet1!$A:$A,W$2)&lt;&gt;0,SUMIFS(Sheet1!$E:$E,Sheet1!$C:$C,$A134,Sheet1!$A:$A,W$2),"")</f>
        <v/>
      </c>
      <c r="X134" s="9" t="str">
        <f>IF(SUMIFS(Sheet1!$E:$E,Sheet1!$C:$C,$A134,Sheet1!$A:$A,X$2)&lt;&gt;0,SUMIFS(Sheet1!$E:$E,Sheet1!$C:$C,$A134,Sheet1!$A:$A,X$2),"")</f>
        <v/>
      </c>
      <c r="Y134" s="9" t="str">
        <f>IF(SUMIFS(Sheet1!$E:$E,Sheet1!$C:$C,$A134,Sheet1!$A:$A,Y$2)&lt;&gt;0,SUMIFS(Sheet1!$E:$E,Sheet1!$C:$C,$A134,Sheet1!$A:$A,Y$2),"")</f>
        <v/>
      </c>
      <c r="Z134" s="9" t="str">
        <f>IF(SUMIFS(Sheet1!$E:$E,Sheet1!$C:$C,$A134,Sheet1!$A:$A,Z$2)&lt;&gt;0,SUMIFS(Sheet1!$E:$E,Sheet1!$C:$C,$A134,Sheet1!$A:$A,Z$2),"")</f>
        <v/>
      </c>
      <c r="AA134" s="9" t="str">
        <f>IF(SUMIFS(Sheet1!$E:$E,Sheet1!$C:$C,$A134,Sheet1!$A:$A,AA$2)&lt;&gt;0,SUMIFS(Sheet1!$E:$E,Sheet1!$C:$C,$A134,Sheet1!$A:$A,AA$2),"")</f>
        <v/>
      </c>
      <c r="AB134" s="9" t="str">
        <f>IF(SUMIFS(Sheet1!$E:$E,Sheet1!$C:$C,$A134,Sheet1!$A:$A,AB$2)&lt;&gt;0,SUMIFS(Sheet1!$E:$E,Sheet1!$C:$C,$A134,Sheet1!$A:$A,AB$2),"")</f>
        <v/>
      </c>
      <c r="AC134" s="9" t="str">
        <f>IF(SUMIFS(Sheet1!$E:$E,Sheet1!$C:$C,$A134,Sheet1!$A:$A,AC$2)&lt;&gt;0,SUMIFS(Sheet1!$E:$E,Sheet1!$C:$C,$A134,Sheet1!$A:$A,AC$2),"")</f>
        <v/>
      </c>
      <c r="AD134" s="9" t="str">
        <f>IF(SUMIFS(Sheet1!$E:$E,Sheet1!$C:$C,$A134,Sheet1!$A:$A,AD$2)&lt;&gt;0,SUMIFS(Sheet1!$E:$E,Sheet1!$C:$C,$A134,Sheet1!$A:$A,AD$2),"")</f>
        <v/>
      </c>
      <c r="AE134" s="9" t="str">
        <f>IF(SUMIFS(Sheet1!$E:$E,Sheet1!$C:$C,$A134,Sheet1!$A:$A,AE$2)&lt;&gt;0,SUMIFS(Sheet1!$E:$E,Sheet1!$C:$C,$A134,Sheet1!$A:$A,AE$2),"")</f>
        <v/>
      </c>
      <c r="AF134" s="9" t="str">
        <f>IF(SUMIFS(Sheet1!$E:$E,Sheet1!$C:$C,$A134,Sheet1!$A:$A,AF$2)&lt;&gt;0,SUMIFS(Sheet1!$E:$E,Sheet1!$C:$C,$A134,Sheet1!$A:$A,AF$2),"")</f>
        <v/>
      </c>
      <c r="AG134" s="9" t="str">
        <f>IF(SUMIFS(Sheet1!$E:$E,Sheet1!$C:$C,$A134,Sheet1!$A:$A,AG$2)&lt;&gt;0,SUMIFS(Sheet1!$E:$E,Sheet1!$C:$C,$A134,Sheet1!$A:$A,AG$2),"")</f>
        <v/>
      </c>
      <c r="AH134" s="47">
        <f>SUM(Table24[[#This Row],[1]:[31]])</f>
        <v>8</v>
      </c>
    </row>
    <row r="135" spans="1:34" ht="12.75" customHeight="1">
      <c r="A135" s="24" t="str">
        <f>DSSP!A134</f>
        <v>DS04</v>
      </c>
      <c r="B135" s="25" t="str">
        <f>DSSP!B134</f>
        <v>Túi khoen 10</v>
      </c>
      <c r="C135" s="9">
        <f>IF(SUMIFS(Sheet1!$E:$E,Sheet1!$C:$C,$A135,Sheet1!$A:$A,C$2)&lt;&gt;0,SUMIFS(Sheet1!$E:$E,Sheet1!$C:$C,$A135,Sheet1!$A:$A,C$2),"")</f>
        <v>19</v>
      </c>
      <c r="D135" s="9" t="str">
        <f>IF(SUMIFS(Sheet1!$E:$E,Sheet1!$C:$C,$A135,Sheet1!$A:$A,D$2)&lt;&gt;0,SUMIFS(Sheet1!$E:$E,Sheet1!$C:$C,$A135,Sheet1!$A:$A,D$2),"")</f>
        <v/>
      </c>
      <c r="E135" s="9" t="str">
        <f>IF(SUMIFS(Sheet1!$E:$E,Sheet1!$C:$C,$A135,Sheet1!$A:$A,E$2)&lt;&gt;0,SUMIFS(Sheet1!$E:$E,Sheet1!$C:$C,$A135,Sheet1!$A:$A,E$2),"")</f>
        <v/>
      </c>
      <c r="F135" s="9" t="str">
        <f>IF(SUMIFS(Sheet1!$E:$E,Sheet1!$C:$C,$A135,Sheet1!$A:$A,F$2)&lt;&gt;0,SUMIFS(Sheet1!$E:$E,Sheet1!$C:$C,$A135,Sheet1!$A:$A,F$2),"")</f>
        <v/>
      </c>
      <c r="G135" s="9" t="str">
        <f>IF(SUMIFS(Sheet1!$E:$E,Sheet1!$C:$C,$A135,Sheet1!$A:$A,G$2)&lt;&gt;0,SUMIFS(Sheet1!$E:$E,Sheet1!$C:$C,$A135,Sheet1!$A:$A,G$2),"")</f>
        <v/>
      </c>
      <c r="H135" s="9" t="str">
        <f>IF(SUMIFS(Sheet1!$E:$E,Sheet1!$C:$C,$A135,Sheet1!$A:$A,H$2)&lt;&gt;0,SUMIFS(Sheet1!$E:$E,Sheet1!$C:$C,$A135,Sheet1!$A:$A,H$2),"")</f>
        <v/>
      </c>
      <c r="I135" s="9" t="str">
        <f>IF(SUMIFS(Sheet1!$E:$E,Sheet1!$C:$C,$A135,Sheet1!$A:$A,I$2)&lt;&gt;0,SUMIFS(Sheet1!$E:$E,Sheet1!$C:$C,$A135,Sheet1!$A:$A,I$2),"")</f>
        <v/>
      </c>
      <c r="J135" s="9" t="str">
        <f>IF(SUMIFS(Sheet1!$E:$E,Sheet1!$C:$C,$A135,Sheet1!$A:$A,J$2)&lt;&gt;0,SUMIFS(Sheet1!$E:$E,Sheet1!$C:$C,$A135,Sheet1!$A:$A,J$2),"")</f>
        <v/>
      </c>
      <c r="K135" s="9" t="str">
        <f>IF(SUMIFS(Sheet1!$E:$E,Sheet1!$C:$C,$A135,Sheet1!$A:$A,K$2)&lt;&gt;0,SUMIFS(Sheet1!$E:$E,Sheet1!$C:$C,$A135,Sheet1!$A:$A,K$2),"")</f>
        <v/>
      </c>
      <c r="L135" s="9" t="str">
        <f>IF(SUMIFS(Sheet1!$E:$E,Sheet1!$C:$C,$A135,Sheet1!$A:$A,L$2)&lt;&gt;0,SUMIFS(Sheet1!$E:$E,Sheet1!$C:$C,$A135,Sheet1!$A:$A,L$2),"")</f>
        <v/>
      </c>
      <c r="M135" s="9" t="str">
        <f>IF(SUMIFS(Sheet1!$E:$E,Sheet1!$C:$C,$A135,Sheet1!$A:$A,M$2)&lt;&gt;0,SUMIFS(Sheet1!$E:$E,Sheet1!$C:$C,$A135,Sheet1!$A:$A,M$2),"")</f>
        <v/>
      </c>
      <c r="N135" s="9" t="str">
        <f>IF(SUMIFS(Sheet1!$E:$E,Sheet1!$C:$C,$A135,Sheet1!$A:$A,N$2)&lt;&gt;0,SUMIFS(Sheet1!$E:$E,Sheet1!$C:$C,$A135,Sheet1!$A:$A,N$2),"")</f>
        <v/>
      </c>
      <c r="O135" s="9" t="str">
        <f>IF(SUMIFS(Sheet1!$E:$E,Sheet1!$C:$C,$A135,Sheet1!$A:$A,O$2)&lt;&gt;0,SUMIFS(Sheet1!$E:$E,Sheet1!$C:$C,$A135,Sheet1!$A:$A,O$2),"")</f>
        <v/>
      </c>
      <c r="P135" s="9" t="str">
        <f>IF(SUMIFS(Sheet1!$E:$E,Sheet1!$C:$C,$A135,Sheet1!$A:$A,P$2)&lt;&gt;0,SUMIFS(Sheet1!$E:$E,Sheet1!$C:$C,$A135,Sheet1!$A:$A,P$2),"")</f>
        <v/>
      </c>
      <c r="Q135" s="9" t="str">
        <f>IF(SUMIFS(Sheet1!$E:$E,Sheet1!$C:$C,$A135,Sheet1!$A:$A,Q$2)&lt;&gt;0,SUMIFS(Sheet1!$E:$E,Sheet1!$C:$C,$A135,Sheet1!$A:$A,Q$2),"")</f>
        <v/>
      </c>
      <c r="R135" s="9" t="str">
        <f>IF(SUMIFS(Sheet1!$E:$E,Sheet1!$C:$C,$A135,Sheet1!$A:$A,R$2)&lt;&gt;0,SUMIFS(Sheet1!$E:$E,Sheet1!$C:$C,$A135,Sheet1!$A:$A,R$2),"")</f>
        <v/>
      </c>
      <c r="S135" s="9" t="str">
        <f>IF(SUMIFS(Sheet1!$E:$E,Sheet1!$C:$C,$A135,Sheet1!$A:$A,S$2)&lt;&gt;0,SUMIFS(Sheet1!$E:$E,Sheet1!$C:$C,$A135,Sheet1!$A:$A,S$2),"")</f>
        <v/>
      </c>
      <c r="T135" s="9" t="str">
        <f>IF(SUMIFS(Sheet1!$E:$E,Sheet1!$C:$C,$A135,Sheet1!$A:$A,T$2)&lt;&gt;0,SUMIFS(Sheet1!$E:$E,Sheet1!$C:$C,$A135,Sheet1!$A:$A,T$2),"")</f>
        <v/>
      </c>
      <c r="U135" s="9" t="str">
        <f>IF(SUMIFS(Sheet1!$E:$E,Sheet1!$C:$C,$A135,Sheet1!$A:$A,U$2)&lt;&gt;0,SUMIFS(Sheet1!$E:$E,Sheet1!$C:$C,$A135,Sheet1!$A:$A,U$2),"")</f>
        <v/>
      </c>
      <c r="V135" s="9" t="str">
        <f>IF(SUMIFS(Sheet1!$E:$E,Sheet1!$C:$C,$A135,Sheet1!$A:$A,V$2)&lt;&gt;0,SUMIFS(Sheet1!$E:$E,Sheet1!$C:$C,$A135,Sheet1!$A:$A,V$2),"")</f>
        <v/>
      </c>
      <c r="W135" s="9" t="str">
        <f>IF(SUMIFS(Sheet1!$E:$E,Sheet1!$C:$C,$A135,Sheet1!$A:$A,W$2)&lt;&gt;0,SUMIFS(Sheet1!$E:$E,Sheet1!$C:$C,$A135,Sheet1!$A:$A,W$2),"")</f>
        <v/>
      </c>
      <c r="X135" s="9" t="str">
        <f>IF(SUMIFS(Sheet1!$E:$E,Sheet1!$C:$C,$A135,Sheet1!$A:$A,X$2)&lt;&gt;0,SUMIFS(Sheet1!$E:$E,Sheet1!$C:$C,$A135,Sheet1!$A:$A,X$2),"")</f>
        <v/>
      </c>
      <c r="Y135" s="9" t="str">
        <f>IF(SUMIFS(Sheet1!$E:$E,Sheet1!$C:$C,$A135,Sheet1!$A:$A,Y$2)&lt;&gt;0,SUMIFS(Sheet1!$E:$E,Sheet1!$C:$C,$A135,Sheet1!$A:$A,Y$2),"")</f>
        <v/>
      </c>
      <c r="Z135" s="9" t="str">
        <f>IF(SUMIFS(Sheet1!$E:$E,Sheet1!$C:$C,$A135,Sheet1!$A:$A,Z$2)&lt;&gt;0,SUMIFS(Sheet1!$E:$E,Sheet1!$C:$C,$A135,Sheet1!$A:$A,Z$2),"")</f>
        <v/>
      </c>
      <c r="AA135" s="9" t="str">
        <f>IF(SUMIFS(Sheet1!$E:$E,Sheet1!$C:$C,$A135,Sheet1!$A:$A,AA$2)&lt;&gt;0,SUMIFS(Sheet1!$E:$E,Sheet1!$C:$C,$A135,Sheet1!$A:$A,AA$2),"")</f>
        <v/>
      </c>
      <c r="AB135" s="9" t="str">
        <f>IF(SUMIFS(Sheet1!$E:$E,Sheet1!$C:$C,$A135,Sheet1!$A:$A,AB$2)&lt;&gt;0,SUMIFS(Sheet1!$E:$E,Sheet1!$C:$C,$A135,Sheet1!$A:$A,AB$2),"")</f>
        <v/>
      </c>
      <c r="AC135" s="9" t="str">
        <f>IF(SUMIFS(Sheet1!$E:$E,Sheet1!$C:$C,$A135,Sheet1!$A:$A,AC$2)&lt;&gt;0,SUMIFS(Sheet1!$E:$E,Sheet1!$C:$C,$A135,Sheet1!$A:$A,AC$2),"")</f>
        <v/>
      </c>
      <c r="AD135" s="9" t="str">
        <f>IF(SUMIFS(Sheet1!$E:$E,Sheet1!$C:$C,$A135,Sheet1!$A:$A,AD$2)&lt;&gt;0,SUMIFS(Sheet1!$E:$E,Sheet1!$C:$C,$A135,Sheet1!$A:$A,AD$2),"")</f>
        <v/>
      </c>
      <c r="AE135" s="9" t="str">
        <f>IF(SUMIFS(Sheet1!$E:$E,Sheet1!$C:$C,$A135,Sheet1!$A:$A,AE$2)&lt;&gt;0,SUMIFS(Sheet1!$E:$E,Sheet1!$C:$C,$A135,Sheet1!$A:$A,AE$2),"")</f>
        <v/>
      </c>
      <c r="AF135" s="9" t="str">
        <f>IF(SUMIFS(Sheet1!$E:$E,Sheet1!$C:$C,$A135,Sheet1!$A:$A,AF$2)&lt;&gt;0,SUMIFS(Sheet1!$E:$E,Sheet1!$C:$C,$A135,Sheet1!$A:$A,AF$2),"")</f>
        <v/>
      </c>
      <c r="AG135" s="9" t="str">
        <f>IF(SUMIFS(Sheet1!$E:$E,Sheet1!$C:$C,$A135,Sheet1!$A:$A,AG$2)&lt;&gt;0,SUMIFS(Sheet1!$E:$E,Sheet1!$C:$C,$A135,Sheet1!$A:$A,AG$2),"")</f>
        <v/>
      </c>
      <c r="AH135" s="47">
        <f>SUM(Table24[[#This Row],[1]:[31]])</f>
        <v>19</v>
      </c>
    </row>
    <row r="136" spans="1:34" ht="12.75" customHeight="1">
      <c r="A136" s="24" t="str">
        <f>DSSP!A135</f>
        <v>DS05</v>
      </c>
      <c r="B136" s="25" t="str">
        <f>DSSP!B135</f>
        <v>Kem ủ</v>
      </c>
      <c r="C136" s="9">
        <f>IF(SUMIFS(Sheet1!$E:$E,Sheet1!$C:$C,$A136,Sheet1!$A:$A,C$2)&lt;&gt;0,SUMIFS(Sheet1!$E:$E,Sheet1!$C:$C,$A136,Sheet1!$A:$A,C$2),"")</f>
        <v>71</v>
      </c>
      <c r="D136" s="9" t="str">
        <f>IF(SUMIFS(Sheet1!$E:$E,Sheet1!$C:$C,$A136,Sheet1!$A:$A,D$2)&lt;&gt;0,SUMIFS(Sheet1!$E:$E,Sheet1!$C:$C,$A136,Sheet1!$A:$A,D$2),"")</f>
        <v/>
      </c>
      <c r="E136" s="9" t="str">
        <f>IF(SUMIFS(Sheet1!$E:$E,Sheet1!$C:$C,$A136,Sheet1!$A:$A,E$2)&lt;&gt;0,SUMIFS(Sheet1!$E:$E,Sheet1!$C:$C,$A136,Sheet1!$A:$A,E$2),"")</f>
        <v/>
      </c>
      <c r="F136" s="9" t="str">
        <f>IF(SUMIFS(Sheet1!$E:$E,Sheet1!$C:$C,$A136,Sheet1!$A:$A,F$2)&lt;&gt;0,SUMIFS(Sheet1!$E:$E,Sheet1!$C:$C,$A136,Sheet1!$A:$A,F$2),"")</f>
        <v/>
      </c>
      <c r="G136" s="9" t="str">
        <f>IF(SUMIFS(Sheet1!$E:$E,Sheet1!$C:$C,$A136,Sheet1!$A:$A,G$2)&lt;&gt;0,SUMIFS(Sheet1!$E:$E,Sheet1!$C:$C,$A136,Sheet1!$A:$A,G$2),"")</f>
        <v/>
      </c>
      <c r="H136" s="9" t="str">
        <f>IF(SUMIFS(Sheet1!$E:$E,Sheet1!$C:$C,$A136,Sheet1!$A:$A,H$2)&lt;&gt;0,SUMIFS(Sheet1!$E:$E,Sheet1!$C:$C,$A136,Sheet1!$A:$A,H$2),"")</f>
        <v/>
      </c>
      <c r="I136" s="9" t="str">
        <f>IF(SUMIFS(Sheet1!$E:$E,Sheet1!$C:$C,$A136,Sheet1!$A:$A,I$2)&lt;&gt;0,SUMIFS(Sheet1!$E:$E,Sheet1!$C:$C,$A136,Sheet1!$A:$A,I$2),"")</f>
        <v/>
      </c>
      <c r="J136" s="9" t="str">
        <f>IF(SUMIFS(Sheet1!$E:$E,Sheet1!$C:$C,$A136,Sheet1!$A:$A,J$2)&lt;&gt;0,SUMIFS(Sheet1!$E:$E,Sheet1!$C:$C,$A136,Sheet1!$A:$A,J$2),"")</f>
        <v/>
      </c>
      <c r="K136" s="9" t="str">
        <f>IF(SUMIFS(Sheet1!$E:$E,Sheet1!$C:$C,$A136,Sheet1!$A:$A,K$2)&lt;&gt;0,SUMIFS(Sheet1!$E:$E,Sheet1!$C:$C,$A136,Sheet1!$A:$A,K$2),"")</f>
        <v/>
      </c>
      <c r="L136" s="9" t="str">
        <f>IF(SUMIFS(Sheet1!$E:$E,Sheet1!$C:$C,$A136,Sheet1!$A:$A,L$2)&lt;&gt;0,SUMIFS(Sheet1!$E:$E,Sheet1!$C:$C,$A136,Sheet1!$A:$A,L$2),"")</f>
        <v/>
      </c>
      <c r="M136" s="9" t="str">
        <f>IF(SUMIFS(Sheet1!$E:$E,Sheet1!$C:$C,$A136,Sheet1!$A:$A,M$2)&lt;&gt;0,SUMIFS(Sheet1!$E:$E,Sheet1!$C:$C,$A136,Sheet1!$A:$A,M$2),"")</f>
        <v/>
      </c>
      <c r="N136" s="9" t="str">
        <f>IF(SUMIFS(Sheet1!$E:$E,Sheet1!$C:$C,$A136,Sheet1!$A:$A,N$2)&lt;&gt;0,SUMIFS(Sheet1!$E:$E,Sheet1!$C:$C,$A136,Sheet1!$A:$A,N$2),"")</f>
        <v/>
      </c>
      <c r="O136" s="9" t="str">
        <f>IF(SUMIFS(Sheet1!$E:$E,Sheet1!$C:$C,$A136,Sheet1!$A:$A,O$2)&lt;&gt;0,SUMIFS(Sheet1!$E:$E,Sheet1!$C:$C,$A136,Sheet1!$A:$A,O$2),"")</f>
        <v/>
      </c>
      <c r="P136" s="9" t="str">
        <f>IF(SUMIFS(Sheet1!$E:$E,Sheet1!$C:$C,$A136,Sheet1!$A:$A,P$2)&lt;&gt;0,SUMIFS(Sheet1!$E:$E,Sheet1!$C:$C,$A136,Sheet1!$A:$A,P$2),"")</f>
        <v/>
      </c>
      <c r="Q136" s="9" t="str">
        <f>IF(SUMIFS(Sheet1!$E:$E,Sheet1!$C:$C,$A136,Sheet1!$A:$A,Q$2)&lt;&gt;0,SUMIFS(Sheet1!$E:$E,Sheet1!$C:$C,$A136,Sheet1!$A:$A,Q$2),"")</f>
        <v/>
      </c>
      <c r="R136" s="9" t="str">
        <f>IF(SUMIFS(Sheet1!$E:$E,Sheet1!$C:$C,$A136,Sheet1!$A:$A,R$2)&lt;&gt;0,SUMIFS(Sheet1!$E:$E,Sheet1!$C:$C,$A136,Sheet1!$A:$A,R$2),"")</f>
        <v/>
      </c>
      <c r="S136" s="9" t="str">
        <f>IF(SUMIFS(Sheet1!$E:$E,Sheet1!$C:$C,$A136,Sheet1!$A:$A,S$2)&lt;&gt;0,SUMIFS(Sheet1!$E:$E,Sheet1!$C:$C,$A136,Sheet1!$A:$A,S$2),"")</f>
        <v/>
      </c>
      <c r="T136" s="9" t="str">
        <f>IF(SUMIFS(Sheet1!$E:$E,Sheet1!$C:$C,$A136,Sheet1!$A:$A,T$2)&lt;&gt;0,SUMIFS(Sheet1!$E:$E,Sheet1!$C:$C,$A136,Sheet1!$A:$A,T$2),"")</f>
        <v/>
      </c>
      <c r="U136" s="9" t="str">
        <f>IF(SUMIFS(Sheet1!$E:$E,Sheet1!$C:$C,$A136,Sheet1!$A:$A,U$2)&lt;&gt;0,SUMIFS(Sheet1!$E:$E,Sheet1!$C:$C,$A136,Sheet1!$A:$A,U$2),"")</f>
        <v/>
      </c>
      <c r="V136" s="9" t="str">
        <f>IF(SUMIFS(Sheet1!$E:$E,Sheet1!$C:$C,$A136,Sheet1!$A:$A,V$2)&lt;&gt;0,SUMIFS(Sheet1!$E:$E,Sheet1!$C:$C,$A136,Sheet1!$A:$A,V$2),"")</f>
        <v/>
      </c>
      <c r="W136" s="9" t="str">
        <f>IF(SUMIFS(Sheet1!$E:$E,Sheet1!$C:$C,$A136,Sheet1!$A:$A,W$2)&lt;&gt;0,SUMIFS(Sheet1!$E:$E,Sheet1!$C:$C,$A136,Sheet1!$A:$A,W$2),"")</f>
        <v/>
      </c>
      <c r="X136" s="9" t="str">
        <f>IF(SUMIFS(Sheet1!$E:$E,Sheet1!$C:$C,$A136,Sheet1!$A:$A,X$2)&lt;&gt;0,SUMIFS(Sheet1!$E:$E,Sheet1!$C:$C,$A136,Sheet1!$A:$A,X$2),"")</f>
        <v/>
      </c>
      <c r="Y136" s="9" t="str">
        <f>IF(SUMIFS(Sheet1!$E:$E,Sheet1!$C:$C,$A136,Sheet1!$A:$A,Y$2)&lt;&gt;0,SUMIFS(Sheet1!$E:$E,Sheet1!$C:$C,$A136,Sheet1!$A:$A,Y$2),"")</f>
        <v/>
      </c>
      <c r="Z136" s="9" t="str">
        <f>IF(SUMIFS(Sheet1!$E:$E,Sheet1!$C:$C,$A136,Sheet1!$A:$A,Z$2)&lt;&gt;0,SUMIFS(Sheet1!$E:$E,Sheet1!$C:$C,$A136,Sheet1!$A:$A,Z$2),"")</f>
        <v/>
      </c>
      <c r="AA136" s="9" t="str">
        <f>IF(SUMIFS(Sheet1!$E:$E,Sheet1!$C:$C,$A136,Sheet1!$A:$A,AA$2)&lt;&gt;0,SUMIFS(Sheet1!$E:$E,Sheet1!$C:$C,$A136,Sheet1!$A:$A,AA$2),"")</f>
        <v/>
      </c>
      <c r="AB136" s="9" t="str">
        <f>IF(SUMIFS(Sheet1!$E:$E,Sheet1!$C:$C,$A136,Sheet1!$A:$A,AB$2)&lt;&gt;0,SUMIFS(Sheet1!$E:$E,Sheet1!$C:$C,$A136,Sheet1!$A:$A,AB$2),"")</f>
        <v/>
      </c>
      <c r="AC136" s="9" t="str">
        <f>IF(SUMIFS(Sheet1!$E:$E,Sheet1!$C:$C,$A136,Sheet1!$A:$A,AC$2)&lt;&gt;0,SUMIFS(Sheet1!$E:$E,Sheet1!$C:$C,$A136,Sheet1!$A:$A,AC$2),"")</f>
        <v/>
      </c>
      <c r="AD136" s="9" t="str">
        <f>IF(SUMIFS(Sheet1!$E:$E,Sheet1!$C:$C,$A136,Sheet1!$A:$A,AD$2)&lt;&gt;0,SUMIFS(Sheet1!$E:$E,Sheet1!$C:$C,$A136,Sheet1!$A:$A,AD$2),"")</f>
        <v/>
      </c>
      <c r="AE136" s="9" t="str">
        <f>IF(SUMIFS(Sheet1!$E:$E,Sheet1!$C:$C,$A136,Sheet1!$A:$A,AE$2)&lt;&gt;0,SUMIFS(Sheet1!$E:$E,Sheet1!$C:$C,$A136,Sheet1!$A:$A,AE$2),"")</f>
        <v/>
      </c>
      <c r="AF136" s="9" t="str">
        <f>IF(SUMIFS(Sheet1!$E:$E,Sheet1!$C:$C,$A136,Sheet1!$A:$A,AF$2)&lt;&gt;0,SUMIFS(Sheet1!$E:$E,Sheet1!$C:$C,$A136,Sheet1!$A:$A,AF$2),"")</f>
        <v/>
      </c>
      <c r="AG136" s="9" t="str">
        <f>IF(SUMIFS(Sheet1!$E:$E,Sheet1!$C:$C,$A136,Sheet1!$A:$A,AG$2)&lt;&gt;0,SUMIFS(Sheet1!$E:$E,Sheet1!$C:$C,$A136,Sheet1!$A:$A,AG$2),"")</f>
        <v/>
      </c>
      <c r="AH136" s="47">
        <f>SUM(Table24[[#This Row],[1]:[31]])</f>
        <v>71</v>
      </c>
    </row>
    <row r="137" spans="1:34" ht="12.75" customHeight="1">
      <c r="A137" s="24" t="str">
        <f>DSSP!A136</f>
        <v>DS06</v>
      </c>
      <c r="B137" s="25" t="str">
        <f>DSSP!B136</f>
        <v>Kem mềm</v>
      </c>
      <c r="C137" s="9">
        <f>IF(SUMIFS(Sheet1!$E:$E,Sheet1!$C:$C,$A137,Sheet1!$A:$A,C$2)&lt;&gt;0,SUMIFS(Sheet1!$E:$E,Sheet1!$C:$C,$A137,Sheet1!$A:$A,C$2),"")</f>
        <v>-1</v>
      </c>
      <c r="D137" s="9" t="str">
        <f>IF(SUMIFS(Sheet1!$E:$E,Sheet1!$C:$C,$A137,Sheet1!$A:$A,D$2)&lt;&gt;0,SUMIFS(Sheet1!$E:$E,Sheet1!$C:$C,$A137,Sheet1!$A:$A,D$2),"")</f>
        <v/>
      </c>
      <c r="E137" s="9" t="str">
        <f>IF(SUMIFS(Sheet1!$E:$E,Sheet1!$C:$C,$A137,Sheet1!$A:$A,E$2)&lt;&gt;0,SUMIFS(Sheet1!$E:$E,Sheet1!$C:$C,$A137,Sheet1!$A:$A,E$2),"")</f>
        <v/>
      </c>
      <c r="F137" s="9" t="str">
        <f>IF(SUMIFS(Sheet1!$E:$E,Sheet1!$C:$C,$A137,Sheet1!$A:$A,F$2)&lt;&gt;0,SUMIFS(Sheet1!$E:$E,Sheet1!$C:$C,$A137,Sheet1!$A:$A,F$2),"")</f>
        <v/>
      </c>
      <c r="G137" s="9" t="str">
        <f>IF(SUMIFS(Sheet1!$E:$E,Sheet1!$C:$C,$A137,Sheet1!$A:$A,G$2)&lt;&gt;0,SUMIFS(Sheet1!$E:$E,Sheet1!$C:$C,$A137,Sheet1!$A:$A,G$2),"")</f>
        <v/>
      </c>
      <c r="H137" s="9" t="str">
        <f>IF(SUMIFS(Sheet1!$E:$E,Sheet1!$C:$C,$A137,Sheet1!$A:$A,H$2)&lt;&gt;0,SUMIFS(Sheet1!$E:$E,Sheet1!$C:$C,$A137,Sheet1!$A:$A,H$2),"")</f>
        <v/>
      </c>
      <c r="I137" s="9" t="str">
        <f>IF(SUMIFS(Sheet1!$E:$E,Sheet1!$C:$C,$A137,Sheet1!$A:$A,I$2)&lt;&gt;0,SUMIFS(Sheet1!$E:$E,Sheet1!$C:$C,$A137,Sheet1!$A:$A,I$2),"")</f>
        <v/>
      </c>
      <c r="J137" s="9" t="str">
        <f>IF(SUMIFS(Sheet1!$E:$E,Sheet1!$C:$C,$A137,Sheet1!$A:$A,J$2)&lt;&gt;0,SUMIFS(Sheet1!$E:$E,Sheet1!$C:$C,$A137,Sheet1!$A:$A,J$2),"")</f>
        <v/>
      </c>
      <c r="K137" s="9" t="str">
        <f>IF(SUMIFS(Sheet1!$E:$E,Sheet1!$C:$C,$A137,Sheet1!$A:$A,K$2)&lt;&gt;0,SUMIFS(Sheet1!$E:$E,Sheet1!$C:$C,$A137,Sheet1!$A:$A,K$2),"")</f>
        <v/>
      </c>
      <c r="L137" s="9" t="str">
        <f>IF(SUMIFS(Sheet1!$E:$E,Sheet1!$C:$C,$A137,Sheet1!$A:$A,L$2)&lt;&gt;0,SUMIFS(Sheet1!$E:$E,Sheet1!$C:$C,$A137,Sheet1!$A:$A,L$2),"")</f>
        <v/>
      </c>
      <c r="M137" s="9" t="str">
        <f>IF(SUMIFS(Sheet1!$E:$E,Sheet1!$C:$C,$A137,Sheet1!$A:$A,M$2)&lt;&gt;0,SUMIFS(Sheet1!$E:$E,Sheet1!$C:$C,$A137,Sheet1!$A:$A,M$2),"")</f>
        <v/>
      </c>
      <c r="N137" s="9" t="str">
        <f>IF(SUMIFS(Sheet1!$E:$E,Sheet1!$C:$C,$A137,Sheet1!$A:$A,N$2)&lt;&gt;0,SUMIFS(Sheet1!$E:$E,Sheet1!$C:$C,$A137,Sheet1!$A:$A,N$2),"")</f>
        <v/>
      </c>
      <c r="O137" s="9" t="str">
        <f>IF(SUMIFS(Sheet1!$E:$E,Sheet1!$C:$C,$A137,Sheet1!$A:$A,O$2)&lt;&gt;0,SUMIFS(Sheet1!$E:$E,Sheet1!$C:$C,$A137,Sheet1!$A:$A,O$2),"")</f>
        <v/>
      </c>
      <c r="P137" s="9" t="str">
        <f>IF(SUMIFS(Sheet1!$E:$E,Sheet1!$C:$C,$A137,Sheet1!$A:$A,P$2)&lt;&gt;0,SUMIFS(Sheet1!$E:$E,Sheet1!$C:$C,$A137,Sheet1!$A:$A,P$2),"")</f>
        <v/>
      </c>
      <c r="Q137" s="9" t="str">
        <f>IF(SUMIFS(Sheet1!$E:$E,Sheet1!$C:$C,$A137,Sheet1!$A:$A,Q$2)&lt;&gt;0,SUMIFS(Sheet1!$E:$E,Sheet1!$C:$C,$A137,Sheet1!$A:$A,Q$2),"")</f>
        <v/>
      </c>
      <c r="R137" s="9" t="str">
        <f>IF(SUMIFS(Sheet1!$E:$E,Sheet1!$C:$C,$A137,Sheet1!$A:$A,R$2)&lt;&gt;0,SUMIFS(Sheet1!$E:$E,Sheet1!$C:$C,$A137,Sheet1!$A:$A,R$2),"")</f>
        <v/>
      </c>
      <c r="S137" s="9" t="str">
        <f>IF(SUMIFS(Sheet1!$E:$E,Sheet1!$C:$C,$A137,Sheet1!$A:$A,S$2)&lt;&gt;0,SUMIFS(Sheet1!$E:$E,Sheet1!$C:$C,$A137,Sheet1!$A:$A,S$2),"")</f>
        <v/>
      </c>
      <c r="T137" s="9" t="str">
        <f>IF(SUMIFS(Sheet1!$E:$E,Sheet1!$C:$C,$A137,Sheet1!$A:$A,T$2)&lt;&gt;0,SUMIFS(Sheet1!$E:$E,Sheet1!$C:$C,$A137,Sheet1!$A:$A,T$2),"")</f>
        <v/>
      </c>
      <c r="U137" s="9" t="str">
        <f>IF(SUMIFS(Sheet1!$E:$E,Sheet1!$C:$C,$A137,Sheet1!$A:$A,U$2)&lt;&gt;0,SUMIFS(Sheet1!$E:$E,Sheet1!$C:$C,$A137,Sheet1!$A:$A,U$2),"")</f>
        <v/>
      </c>
      <c r="V137" s="9" t="str">
        <f>IF(SUMIFS(Sheet1!$E:$E,Sheet1!$C:$C,$A137,Sheet1!$A:$A,V$2)&lt;&gt;0,SUMIFS(Sheet1!$E:$E,Sheet1!$C:$C,$A137,Sheet1!$A:$A,V$2),"")</f>
        <v/>
      </c>
      <c r="W137" s="9" t="str">
        <f>IF(SUMIFS(Sheet1!$E:$E,Sheet1!$C:$C,$A137,Sheet1!$A:$A,W$2)&lt;&gt;0,SUMIFS(Sheet1!$E:$E,Sheet1!$C:$C,$A137,Sheet1!$A:$A,W$2),"")</f>
        <v/>
      </c>
      <c r="X137" s="9" t="str">
        <f>IF(SUMIFS(Sheet1!$E:$E,Sheet1!$C:$C,$A137,Sheet1!$A:$A,X$2)&lt;&gt;0,SUMIFS(Sheet1!$E:$E,Sheet1!$C:$C,$A137,Sheet1!$A:$A,X$2),"")</f>
        <v/>
      </c>
      <c r="Y137" s="9" t="str">
        <f>IF(SUMIFS(Sheet1!$E:$E,Sheet1!$C:$C,$A137,Sheet1!$A:$A,Y$2)&lt;&gt;0,SUMIFS(Sheet1!$E:$E,Sheet1!$C:$C,$A137,Sheet1!$A:$A,Y$2),"")</f>
        <v/>
      </c>
      <c r="Z137" s="9" t="str">
        <f>IF(SUMIFS(Sheet1!$E:$E,Sheet1!$C:$C,$A137,Sheet1!$A:$A,Z$2)&lt;&gt;0,SUMIFS(Sheet1!$E:$E,Sheet1!$C:$C,$A137,Sheet1!$A:$A,Z$2),"")</f>
        <v/>
      </c>
      <c r="AA137" s="9" t="str">
        <f>IF(SUMIFS(Sheet1!$E:$E,Sheet1!$C:$C,$A137,Sheet1!$A:$A,AA$2)&lt;&gt;0,SUMIFS(Sheet1!$E:$E,Sheet1!$C:$C,$A137,Sheet1!$A:$A,AA$2),"")</f>
        <v/>
      </c>
      <c r="AB137" s="9" t="str">
        <f>IF(SUMIFS(Sheet1!$E:$E,Sheet1!$C:$C,$A137,Sheet1!$A:$A,AB$2)&lt;&gt;0,SUMIFS(Sheet1!$E:$E,Sheet1!$C:$C,$A137,Sheet1!$A:$A,AB$2),"")</f>
        <v/>
      </c>
      <c r="AC137" s="9" t="str">
        <f>IF(SUMIFS(Sheet1!$E:$E,Sheet1!$C:$C,$A137,Sheet1!$A:$A,AC$2)&lt;&gt;0,SUMIFS(Sheet1!$E:$E,Sheet1!$C:$C,$A137,Sheet1!$A:$A,AC$2),"")</f>
        <v/>
      </c>
      <c r="AD137" s="9" t="str">
        <f>IF(SUMIFS(Sheet1!$E:$E,Sheet1!$C:$C,$A137,Sheet1!$A:$A,AD$2)&lt;&gt;0,SUMIFS(Sheet1!$E:$E,Sheet1!$C:$C,$A137,Sheet1!$A:$A,AD$2),"")</f>
        <v/>
      </c>
      <c r="AE137" s="9" t="str">
        <f>IF(SUMIFS(Sheet1!$E:$E,Sheet1!$C:$C,$A137,Sheet1!$A:$A,AE$2)&lt;&gt;0,SUMIFS(Sheet1!$E:$E,Sheet1!$C:$C,$A137,Sheet1!$A:$A,AE$2),"")</f>
        <v/>
      </c>
      <c r="AF137" s="9" t="str">
        <f>IF(SUMIFS(Sheet1!$E:$E,Sheet1!$C:$C,$A137,Sheet1!$A:$A,AF$2)&lt;&gt;0,SUMIFS(Sheet1!$E:$E,Sheet1!$C:$C,$A137,Sheet1!$A:$A,AF$2),"")</f>
        <v/>
      </c>
      <c r="AG137" s="9" t="str">
        <f>IF(SUMIFS(Sheet1!$E:$E,Sheet1!$C:$C,$A137,Sheet1!$A:$A,AG$2)&lt;&gt;0,SUMIFS(Sheet1!$E:$E,Sheet1!$C:$C,$A137,Sheet1!$A:$A,AG$2),"")</f>
        <v/>
      </c>
      <c r="AH137" s="47">
        <f>SUM(Table24[[#This Row],[1]:[31]])</f>
        <v>-1</v>
      </c>
    </row>
    <row r="138" spans="1:34" ht="12.75" customHeight="1">
      <c r="A138" s="24" t="str">
        <f>DSSP!A137</f>
        <v>DS07</v>
      </c>
      <c r="B138" s="25" t="str">
        <f>DSSP!B137</f>
        <v>Keo sữa</v>
      </c>
      <c r="C138" s="9">
        <f>IF(SUMIFS(Sheet1!$E:$E,Sheet1!$C:$C,$A138,Sheet1!$A:$A,C$2)&lt;&gt;0,SUMIFS(Sheet1!$E:$E,Sheet1!$C:$C,$A138,Sheet1!$A:$A,C$2),"")</f>
        <v>31</v>
      </c>
      <c r="D138" s="9" t="str">
        <f>IF(SUMIFS(Sheet1!$E:$E,Sheet1!$C:$C,$A138,Sheet1!$A:$A,D$2)&lt;&gt;0,SUMIFS(Sheet1!$E:$E,Sheet1!$C:$C,$A138,Sheet1!$A:$A,D$2),"")</f>
        <v/>
      </c>
      <c r="E138" s="9" t="str">
        <f>IF(SUMIFS(Sheet1!$E:$E,Sheet1!$C:$C,$A138,Sheet1!$A:$A,E$2)&lt;&gt;0,SUMIFS(Sheet1!$E:$E,Sheet1!$C:$C,$A138,Sheet1!$A:$A,E$2),"")</f>
        <v/>
      </c>
      <c r="F138" s="9" t="str">
        <f>IF(SUMIFS(Sheet1!$E:$E,Sheet1!$C:$C,$A138,Sheet1!$A:$A,F$2)&lt;&gt;0,SUMIFS(Sheet1!$E:$E,Sheet1!$C:$C,$A138,Sheet1!$A:$A,F$2),"")</f>
        <v/>
      </c>
      <c r="G138" s="9" t="str">
        <f>IF(SUMIFS(Sheet1!$E:$E,Sheet1!$C:$C,$A138,Sheet1!$A:$A,G$2)&lt;&gt;0,SUMIFS(Sheet1!$E:$E,Sheet1!$C:$C,$A138,Sheet1!$A:$A,G$2),"")</f>
        <v/>
      </c>
      <c r="H138" s="9" t="str">
        <f>IF(SUMIFS(Sheet1!$E:$E,Sheet1!$C:$C,$A138,Sheet1!$A:$A,H$2)&lt;&gt;0,SUMIFS(Sheet1!$E:$E,Sheet1!$C:$C,$A138,Sheet1!$A:$A,H$2),"")</f>
        <v/>
      </c>
      <c r="I138" s="9" t="str">
        <f>IF(SUMIFS(Sheet1!$E:$E,Sheet1!$C:$C,$A138,Sheet1!$A:$A,I$2)&lt;&gt;0,SUMIFS(Sheet1!$E:$E,Sheet1!$C:$C,$A138,Sheet1!$A:$A,I$2),"")</f>
        <v/>
      </c>
      <c r="J138" s="9" t="str">
        <f>IF(SUMIFS(Sheet1!$E:$E,Sheet1!$C:$C,$A138,Sheet1!$A:$A,J$2)&lt;&gt;0,SUMIFS(Sheet1!$E:$E,Sheet1!$C:$C,$A138,Sheet1!$A:$A,J$2),"")</f>
        <v/>
      </c>
      <c r="K138" s="9" t="str">
        <f>IF(SUMIFS(Sheet1!$E:$E,Sheet1!$C:$C,$A138,Sheet1!$A:$A,K$2)&lt;&gt;0,SUMIFS(Sheet1!$E:$E,Sheet1!$C:$C,$A138,Sheet1!$A:$A,K$2),"")</f>
        <v/>
      </c>
      <c r="L138" s="9" t="str">
        <f>IF(SUMIFS(Sheet1!$E:$E,Sheet1!$C:$C,$A138,Sheet1!$A:$A,L$2)&lt;&gt;0,SUMIFS(Sheet1!$E:$E,Sheet1!$C:$C,$A138,Sheet1!$A:$A,L$2),"")</f>
        <v/>
      </c>
      <c r="M138" s="9" t="str">
        <f>IF(SUMIFS(Sheet1!$E:$E,Sheet1!$C:$C,$A138,Sheet1!$A:$A,M$2)&lt;&gt;0,SUMIFS(Sheet1!$E:$E,Sheet1!$C:$C,$A138,Sheet1!$A:$A,M$2),"")</f>
        <v/>
      </c>
      <c r="N138" s="9" t="str">
        <f>IF(SUMIFS(Sheet1!$E:$E,Sheet1!$C:$C,$A138,Sheet1!$A:$A,N$2)&lt;&gt;0,SUMIFS(Sheet1!$E:$E,Sheet1!$C:$C,$A138,Sheet1!$A:$A,N$2),"")</f>
        <v/>
      </c>
      <c r="O138" s="9" t="str">
        <f>IF(SUMIFS(Sheet1!$E:$E,Sheet1!$C:$C,$A138,Sheet1!$A:$A,O$2)&lt;&gt;0,SUMIFS(Sheet1!$E:$E,Sheet1!$C:$C,$A138,Sheet1!$A:$A,O$2),"")</f>
        <v/>
      </c>
      <c r="P138" s="9" t="str">
        <f>IF(SUMIFS(Sheet1!$E:$E,Sheet1!$C:$C,$A138,Sheet1!$A:$A,P$2)&lt;&gt;0,SUMIFS(Sheet1!$E:$E,Sheet1!$C:$C,$A138,Sheet1!$A:$A,P$2),"")</f>
        <v/>
      </c>
      <c r="Q138" s="9" t="str">
        <f>IF(SUMIFS(Sheet1!$E:$E,Sheet1!$C:$C,$A138,Sheet1!$A:$A,Q$2)&lt;&gt;0,SUMIFS(Sheet1!$E:$E,Sheet1!$C:$C,$A138,Sheet1!$A:$A,Q$2),"")</f>
        <v/>
      </c>
      <c r="R138" s="9" t="str">
        <f>IF(SUMIFS(Sheet1!$E:$E,Sheet1!$C:$C,$A138,Sheet1!$A:$A,R$2)&lt;&gt;0,SUMIFS(Sheet1!$E:$E,Sheet1!$C:$C,$A138,Sheet1!$A:$A,R$2),"")</f>
        <v/>
      </c>
      <c r="S138" s="9" t="str">
        <f>IF(SUMIFS(Sheet1!$E:$E,Sheet1!$C:$C,$A138,Sheet1!$A:$A,S$2)&lt;&gt;0,SUMIFS(Sheet1!$E:$E,Sheet1!$C:$C,$A138,Sheet1!$A:$A,S$2),"")</f>
        <v/>
      </c>
      <c r="T138" s="9" t="str">
        <f>IF(SUMIFS(Sheet1!$E:$E,Sheet1!$C:$C,$A138,Sheet1!$A:$A,T$2)&lt;&gt;0,SUMIFS(Sheet1!$E:$E,Sheet1!$C:$C,$A138,Sheet1!$A:$A,T$2),"")</f>
        <v/>
      </c>
      <c r="U138" s="9" t="str">
        <f>IF(SUMIFS(Sheet1!$E:$E,Sheet1!$C:$C,$A138,Sheet1!$A:$A,U$2)&lt;&gt;0,SUMIFS(Sheet1!$E:$E,Sheet1!$C:$C,$A138,Sheet1!$A:$A,U$2),"")</f>
        <v/>
      </c>
      <c r="V138" s="9" t="str">
        <f>IF(SUMIFS(Sheet1!$E:$E,Sheet1!$C:$C,$A138,Sheet1!$A:$A,V$2)&lt;&gt;0,SUMIFS(Sheet1!$E:$E,Sheet1!$C:$C,$A138,Sheet1!$A:$A,V$2),"")</f>
        <v/>
      </c>
      <c r="W138" s="9" t="str">
        <f>IF(SUMIFS(Sheet1!$E:$E,Sheet1!$C:$C,$A138,Sheet1!$A:$A,W$2)&lt;&gt;0,SUMIFS(Sheet1!$E:$E,Sheet1!$C:$C,$A138,Sheet1!$A:$A,W$2),"")</f>
        <v/>
      </c>
      <c r="X138" s="9" t="str">
        <f>IF(SUMIFS(Sheet1!$E:$E,Sheet1!$C:$C,$A138,Sheet1!$A:$A,X$2)&lt;&gt;0,SUMIFS(Sheet1!$E:$E,Sheet1!$C:$C,$A138,Sheet1!$A:$A,X$2),"")</f>
        <v/>
      </c>
      <c r="Y138" s="9" t="str">
        <f>IF(SUMIFS(Sheet1!$E:$E,Sheet1!$C:$C,$A138,Sheet1!$A:$A,Y$2)&lt;&gt;0,SUMIFS(Sheet1!$E:$E,Sheet1!$C:$C,$A138,Sheet1!$A:$A,Y$2),"")</f>
        <v/>
      </c>
      <c r="Z138" s="9" t="str">
        <f>IF(SUMIFS(Sheet1!$E:$E,Sheet1!$C:$C,$A138,Sheet1!$A:$A,Z$2)&lt;&gt;0,SUMIFS(Sheet1!$E:$E,Sheet1!$C:$C,$A138,Sheet1!$A:$A,Z$2),"")</f>
        <v/>
      </c>
      <c r="AA138" s="9" t="str">
        <f>IF(SUMIFS(Sheet1!$E:$E,Sheet1!$C:$C,$A138,Sheet1!$A:$A,AA$2)&lt;&gt;0,SUMIFS(Sheet1!$E:$E,Sheet1!$C:$C,$A138,Sheet1!$A:$A,AA$2),"")</f>
        <v/>
      </c>
      <c r="AB138" s="9" t="str">
        <f>IF(SUMIFS(Sheet1!$E:$E,Sheet1!$C:$C,$A138,Sheet1!$A:$A,AB$2)&lt;&gt;0,SUMIFS(Sheet1!$E:$E,Sheet1!$C:$C,$A138,Sheet1!$A:$A,AB$2),"")</f>
        <v/>
      </c>
      <c r="AC138" s="9" t="str">
        <f>IF(SUMIFS(Sheet1!$E:$E,Sheet1!$C:$C,$A138,Sheet1!$A:$A,AC$2)&lt;&gt;0,SUMIFS(Sheet1!$E:$E,Sheet1!$C:$C,$A138,Sheet1!$A:$A,AC$2),"")</f>
        <v/>
      </c>
      <c r="AD138" s="9" t="str">
        <f>IF(SUMIFS(Sheet1!$E:$E,Sheet1!$C:$C,$A138,Sheet1!$A:$A,AD$2)&lt;&gt;0,SUMIFS(Sheet1!$E:$E,Sheet1!$C:$C,$A138,Sheet1!$A:$A,AD$2),"")</f>
        <v/>
      </c>
      <c r="AE138" s="9" t="str">
        <f>IF(SUMIFS(Sheet1!$E:$E,Sheet1!$C:$C,$A138,Sheet1!$A:$A,AE$2)&lt;&gt;0,SUMIFS(Sheet1!$E:$E,Sheet1!$C:$C,$A138,Sheet1!$A:$A,AE$2),"")</f>
        <v/>
      </c>
      <c r="AF138" s="9" t="str">
        <f>IF(SUMIFS(Sheet1!$E:$E,Sheet1!$C:$C,$A138,Sheet1!$A:$A,AF$2)&lt;&gt;0,SUMIFS(Sheet1!$E:$E,Sheet1!$C:$C,$A138,Sheet1!$A:$A,AF$2),"")</f>
        <v/>
      </c>
      <c r="AG138" s="9" t="str">
        <f>IF(SUMIFS(Sheet1!$E:$E,Sheet1!$C:$C,$A138,Sheet1!$A:$A,AG$2)&lt;&gt;0,SUMIFS(Sheet1!$E:$E,Sheet1!$C:$C,$A138,Sheet1!$A:$A,AG$2),"")</f>
        <v/>
      </c>
      <c r="AH138" s="47">
        <f>SUM(Table24[[#This Row],[1]:[31]])</f>
        <v>31</v>
      </c>
    </row>
    <row r="139" spans="1:34" ht="12.75" customHeight="1">
      <c r="A139" s="24" t="str">
        <f>DSSP!A138</f>
        <v>DS08</v>
      </c>
      <c r="B139" s="25" t="str">
        <f>DSSP!B138</f>
        <v>Dung dịch đất sét</v>
      </c>
      <c r="C139" s="9">
        <f>IF(SUMIFS(Sheet1!$E:$E,Sheet1!$C:$C,$A139,Sheet1!$A:$A,C$2)&lt;&gt;0,SUMIFS(Sheet1!$E:$E,Sheet1!$C:$C,$A139,Sheet1!$A:$A,C$2),"")</f>
        <v>26</v>
      </c>
      <c r="D139" s="9" t="str">
        <f>IF(SUMIFS(Sheet1!$E:$E,Sheet1!$C:$C,$A139,Sheet1!$A:$A,D$2)&lt;&gt;0,SUMIFS(Sheet1!$E:$E,Sheet1!$C:$C,$A139,Sheet1!$A:$A,D$2),"")</f>
        <v/>
      </c>
      <c r="E139" s="9" t="str">
        <f>IF(SUMIFS(Sheet1!$E:$E,Sheet1!$C:$C,$A139,Sheet1!$A:$A,E$2)&lt;&gt;0,SUMIFS(Sheet1!$E:$E,Sheet1!$C:$C,$A139,Sheet1!$A:$A,E$2),"")</f>
        <v/>
      </c>
      <c r="F139" s="9" t="str">
        <f>IF(SUMIFS(Sheet1!$E:$E,Sheet1!$C:$C,$A139,Sheet1!$A:$A,F$2)&lt;&gt;0,SUMIFS(Sheet1!$E:$E,Sheet1!$C:$C,$A139,Sheet1!$A:$A,F$2),"")</f>
        <v/>
      </c>
      <c r="G139" s="9" t="str">
        <f>IF(SUMIFS(Sheet1!$E:$E,Sheet1!$C:$C,$A139,Sheet1!$A:$A,G$2)&lt;&gt;0,SUMIFS(Sheet1!$E:$E,Sheet1!$C:$C,$A139,Sheet1!$A:$A,G$2),"")</f>
        <v/>
      </c>
      <c r="H139" s="9" t="str">
        <f>IF(SUMIFS(Sheet1!$E:$E,Sheet1!$C:$C,$A139,Sheet1!$A:$A,H$2)&lt;&gt;0,SUMIFS(Sheet1!$E:$E,Sheet1!$C:$C,$A139,Sheet1!$A:$A,H$2),"")</f>
        <v/>
      </c>
      <c r="I139" s="9" t="str">
        <f>IF(SUMIFS(Sheet1!$E:$E,Sheet1!$C:$C,$A139,Sheet1!$A:$A,I$2)&lt;&gt;0,SUMIFS(Sheet1!$E:$E,Sheet1!$C:$C,$A139,Sheet1!$A:$A,I$2),"")</f>
        <v/>
      </c>
      <c r="J139" s="9" t="str">
        <f>IF(SUMIFS(Sheet1!$E:$E,Sheet1!$C:$C,$A139,Sheet1!$A:$A,J$2)&lt;&gt;0,SUMIFS(Sheet1!$E:$E,Sheet1!$C:$C,$A139,Sheet1!$A:$A,J$2),"")</f>
        <v/>
      </c>
      <c r="K139" s="9" t="str">
        <f>IF(SUMIFS(Sheet1!$E:$E,Sheet1!$C:$C,$A139,Sheet1!$A:$A,K$2)&lt;&gt;0,SUMIFS(Sheet1!$E:$E,Sheet1!$C:$C,$A139,Sheet1!$A:$A,K$2),"")</f>
        <v/>
      </c>
      <c r="L139" s="9" t="str">
        <f>IF(SUMIFS(Sheet1!$E:$E,Sheet1!$C:$C,$A139,Sheet1!$A:$A,L$2)&lt;&gt;0,SUMIFS(Sheet1!$E:$E,Sheet1!$C:$C,$A139,Sheet1!$A:$A,L$2),"")</f>
        <v/>
      </c>
      <c r="M139" s="9" t="str">
        <f>IF(SUMIFS(Sheet1!$E:$E,Sheet1!$C:$C,$A139,Sheet1!$A:$A,M$2)&lt;&gt;0,SUMIFS(Sheet1!$E:$E,Sheet1!$C:$C,$A139,Sheet1!$A:$A,M$2),"")</f>
        <v/>
      </c>
      <c r="N139" s="9" t="str">
        <f>IF(SUMIFS(Sheet1!$E:$E,Sheet1!$C:$C,$A139,Sheet1!$A:$A,N$2)&lt;&gt;0,SUMIFS(Sheet1!$E:$E,Sheet1!$C:$C,$A139,Sheet1!$A:$A,N$2),"")</f>
        <v/>
      </c>
      <c r="O139" s="9" t="str">
        <f>IF(SUMIFS(Sheet1!$E:$E,Sheet1!$C:$C,$A139,Sheet1!$A:$A,O$2)&lt;&gt;0,SUMIFS(Sheet1!$E:$E,Sheet1!$C:$C,$A139,Sheet1!$A:$A,O$2),"")</f>
        <v/>
      </c>
      <c r="P139" s="9" t="str">
        <f>IF(SUMIFS(Sheet1!$E:$E,Sheet1!$C:$C,$A139,Sheet1!$A:$A,P$2)&lt;&gt;0,SUMIFS(Sheet1!$E:$E,Sheet1!$C:$C,$A139,Sheet1!$A:$A,P$2),"")</f>
        <v/>
      </c>
      <c r="Q139" s="9" t="str">
        <f>IF(SUMIFS(Sheet1!$E:$E,Sheet1!$C:$C,$A139,Sheet1!$A:$A,Q$2)&lt;&gt;0,SUMIFS(Sheet1!$E:$E,Sheet1!$C:$C,$A139,Sheet1!$A:$A,Q$2),"")</f>
        <v/>
      </c>
      <c r="R139" s="9" t="str">
        <f>IF(SUMIFS(Sheet1!$E:$E,Sheet1!$C:$C,$A139,Sheet1!$A:$A,R$2)&lt;&gt;0,SUMIFS(Sheet1!$E:$E,Sheet1!$C:$C,$A139,Sheet1!$A:$A,R$2),"")</f>
        <v/>
      </c>
      <c r="S139" s="9" t="str">
        <f>IF(SUMIFS(Sheet1!$E:$E,Sheet1!$C:$C,$A139,Sheet1!$A:$A,S$2)&lt;&gt;0,SUMIFS(Sheet1!$E:$E,Sheet1!$C:$C,$A139,Sheet1!$A:$A,S$2),"")</f>
        <v/>
      </c>
      <c r="T139" s="9" t="str">
        <f>IF(SUMIFS(Sheet1!$E:$E,Sheet1!$C:$C,$A139,Sheet1!$A:$A,T$2)&lt;&gt;0,SUMIFS(Sheet1!$E:$E,Sheet1!$C:$C,$A139,Sheet1!$A:$A,T$2),"")</f>
        <v/>
      </c>
      <c r="U139" s="9" t="str">
        <f>IF(SUMIFS(Sheet1!$E:$E,Sheet1!$C:$C,$A139,Sheet1!$A:$A,U$2)&lt;&gt;0,SUMIFS(Sheet1!$E:$E,Sheet1!$C:$C,$A139,Sheet1!$A:$A,U$2),"")</f>
        <v/>
      </c>
      <c r="V139" s="9" t="str">
        <f>IF(SUMIFS(Sheet1!$E:$E,Sheet1!$C:$C,$A139,Sheet1!$A:$A,V$2)&lt;&gt;0,SUMIFS(Sheet1!$E:$E,Sheet1!$C:$C,$A139,Sheet1!$A:$A,V$2),"")</f>
        <v/>
      </c>
      <c r="W139" s="9" t="str">
        <f>IF(SUMIFS(Sheet1!$E:$E,Sheet1!$C:$C,$A139,Sheet1!$A:$A,W$2)&lt;&gt;0,SUMIFS(Sheet1!$E:$E,Sheet1!$C:$C,$A139,Sheet1!$A:$A,W$2),"")</f>
        <v/>
      </c>
      <c r="X139" s="9" t="str">
        <f>IF(SUMIFS(Sheet1!$E:$E,Sheet1!$C:$C,$A139,Sheet1!$A:$A,X$2)&lt;&gt;0,SUMIFS(Sheet1!$E:$E,Sheet1!$C:$C,$A139,Sheet1!$A:$A,X$2),"")</f>
        <v/>
      </c>
      <c r="Y139" s="9" t="str">
        <f>IF(SUMIFS(Sheet1!$E:$E,Sheet1!$C:$C,$A139,Sheet1!$A:$A,Y$2)&lt;&gt;0,SUMIFS(Sheet1!$E:$E,Sheet1!$C:$C,$A139,Sheet1!$A:$A,Y$2),"")</f>
        <v/>
      </c>
      <c r="Z139" s="9" t="str">
        <f>IF(SUMIFS(Sheet1!$E:$E,Sheet1!$C:$C,$A139,Sheet1!$A:$A,Z$2)&lt;&gt;0,SUMIFS(Sheet1!$E:$E,Sheet1!$C:$C,$A139,Sheet1!$A:$A,Z$2),"")</f>
        <v/>
      </c>
      <c r="AA139" s="9" t="str">
        <f>IF(SUMIFS(Sheet1!$E:$E,Sheet1!$C:$C,$A139,Sheet1!$A:$A,AA$2)&lt;&gt;0,SUMIFS(Sheet1!$E:$E,Sheet1!$C:$C,$A139,Sheet1!$A:$A,AA$2),"")</f>
        <v/>
      </c>
      <c r="AB139" s="9" t="str">
        <f>IF(SUMIFS(Sheet1!$E:$E,Sheet1!$C:$C,$A139,Sheet1!$A:$A,AB$2)&lt;&gt;0,SUMIFS(Sheet1!$E:$E,Sheet1!$C:$C,$A139,Sheet1!$A:$A,AB$2),"")</f>
        <v/>
      </c>
      <c r="AC139" s="9" t="str">
        <f>IF(SUMIFS(Sheet1!$E:$E,Sheet1!$C:$C,$A139,Sheet1!$A:$A,AC$2)&lt;&gt;0,SUMIFS(Sheet1!$E:$E,Sheet1!$C:$C,$A139,Sheet1!$A:$A,AC$2),"")</f>
        <v/>
      </c>
      <c r="AD139" s="9" t="str">
        <f>IF(SUMIFS(Sheet1!$E:$E,Sheet1!$C:$C,$A139,Sheet1!$A:$A,AD$2)&lt;&gt;0,SUMIFS(Sheet1!$E:$E,Sheet1!$C:$C,$A139,Sheet1!$A:$A,AD$2),"")</f>
        <v/>
      </c>
      <c r="AE139" s="9" t="str">
        <f>IF(SUMIFS(Sheet1!$E:$E,Sheet1!$C:$C,$A139,Sheet1!$A:$A,AE$2)&lt;&gt;0,SUMIFS(Sheet1!$E:$E,Sheet1!$C:$C,$A139,Sheet1!$A:$A,AE$2),"")</f>
        <v/>
      </c>
      <c r="AF139" s="9" t="str">
        <f>IF(SUMIFS(Sheet1!$E:$E,Sheet1!$C:$C,$A139,Sheet1!$A:$A,AF$2)&lt;&gt;0,SUMIFS(Sheet1!$E:$E,Sheet1!$C:$C,$A139,Sheet1!$A:$A,AF$2),"")</f>
        <v/>
      </c>
      <c r="AG139" s="9" t="str">
        <f>IF(SUMIFS(Sheet1!$E:$E,Sheet1!$C:$C,$A139,Sheet1!$A:$A,AG$2)&lt;&gt;0,SUMIFS(Sheet1!$E:$E,Sheet1!$C:$C,$A139,Sheet1!$A:$A,AG$2),"")</f>
        <v/>
      </c>
      <c r="AH139" s="47">
        <f>SUM(Table24[[#This Row],[1]:[31]])</f>
        <v>26</v>
      </c>
    </row>
    <row r="140" spans="1:34" ht="12.75" customHeight="1">
      <c r="A140" s="24" t="str">
        <f>DSSP!A139</f>
        <v>DS09</v>
      </c>
      <c r="B140" s="25" t="str">
        <f>DSSP!B139</f>
        <v>Đầu tạo hình</v>
      </c>
      <c r="C140" s="9">
        <f>IF(SUMIFS(Sheet1!$E:$E,Sheet1!$C:$C,$A140,Sheet1!$A:$A,C$2)&lt;&gt;0,SUMIFS(Sheet1!$E:$E,Sheet1!$C:$C,$A140,Sheet1!$A:$A,C$2),"")</f>
        <v>27</v>
      </c>
      <c r="D140" s="9" t="str">
        <f>IF(SUMIFS(Sheet1!$E:$E,Sheet1!$C:$C,$A140,Sheet1!$A:$A,D$2)&lt;&gt;0,SUMIFS(Sheet1!$E:$E,Sheet1!$C:$C,$A140,Sheet1!$A:$A,D$2),"")</f>
        <v/>
      </c>
      <c r="E140" s="9" t="str">
        <f>IF(SUMIFS(Sheet1!$E:$E,Sheet1!$C:$C,$A140,Sheet1!$A:$A,E$2)&lt;&gt;0,SUMIFS(Sheet1!$E:$E,Sheet1!$C:$C,$A140,Sheet1!$A:$A,E$2),"")</f>
        <v/>
      </c>
      <c r="F140" s="9" t="str">
        <f>IF(SUMIFS(Sheet1!$E:$E,Sheet1!$C:$C,$A140,Sheet1!$A:$A,F$2)&lt;&gt;0,SUMIFS(Sheet1!$E:$E,Sheet1!$C:$C,$A140,Sheet1!$A:$A,F$2),"")</f>
        <v/>
      </c>
      <c r="G140" s="9" t="str">
        <f>IF(SUMIFS(Sheet1!$E:$E,Sheet1!$C:$C,$A140,Sheet1!$A:$A,G$2)&lt;&gt;0,SUMIFS(Sheet1!$E:$E,Sheet1!$C:$C,$A140,Sheet1!$A:$A,G$2),"")</f>
        <v/>
      </c>
      <c r="H140" s="9" t="str">
        <f>IF(SUMIFS(Sheet1!$E:$E,Sheet1!$C:$C,$A140,Sheet1!$A:$A,H$2)&lt;&gt;0,SUMIFS(Sheet1!$E:$E,Sheet1!$C:$C,$A140,Sheet1!$A:$A,H$2),"")</f>
        <v/>
      </c>
      <c r="I140" s="9" t="str">
        <f>IF(SUMIFS(Sheet1!$E:$E,Sheet1!$C:$C,$A140,Sheet1!$A:$A,I$2)&lt;&gt;0,SUMIFS(Sheet1!$E:$E,Sheet1!$C:$C,$A140,Sheet1!$A:$A,I$2),"")</f>
        <v/>
      </c>
      <c r="J140" s="9" t="str">
        <f>IF(SUMIFS(Sheet1!$E:$E,Sheet1!$C:$C,$A140,Sheet1!$A:$A,J$2)&lt;&gt;0,SUMIFS(Sheet1!$E:$E,Sheet1!$C:$C,$A140,Sheet1!$A:$A,J$2),"")</f>
        <v/>
      </c>
      <c r="K140" s="9" t="str">
        <f>IF(SUMIFS(Sheet1!$E:$E,Sheet1!$C:$C,$A140,Sheet1!$A:$A,K$2)&lt;&gt;0,SUMIFS(Sheet1!$E:$E,Sheet1!$C:$C,$A140,Sheet1!$A:$A,K$2),"")</f>
        <v/>
      </c>
      <c r="L140" s="9" t="str">
        <f>IF(SUMIFS(Sheet1!$E:$E,Sheet1!$C:$C,$A140,Sheet1!$A:$A,L$2)&lt;&gt;0,SUMIFS(Sheet1!$E:$E,Sheet1!$C:$C,$A140,Sheet1!$A:$A,L$2),"")</f>
        <v/>
      </c>
      <c r="M140" s="9" t="str">
        <f>IF(SUMIFS(Sheet1!$E:$E,Sheet1!$C:$C,$A140,Sheet1!$A:$A,M$2)&lt;&gt;0,SUMIFS(Sheet1!$E:$E,Sheet1!$C:$C,$A140,Sheet1!$A:$A,M$2),"")</f>
        <v/>
      </c>
      <c r="N140" s="9" t="str">
        <f>IF(SUMIFS(Sheet1!$E:$E,Sheet1!$C:$C,$A140,Sheet1!$A:$A,N$2)&lt;&gt;0,SUMIFS(Sheet1!$E:$E,Sheet1!$C:$C,$A140,Sheet1!$A:$A,N$2),"")</f>
        <v/>
      </c>
      <c r="O140" s="9" t="str">
        <f>IF(SUMIFS(Sheet1!$E:$E,Sheet1!$C:$C,$A140,Sheet1!$A:$A,O$2)&lt;&gt;0,SUMIFS(Sheet1!$E:$E,Sheet1!$C:$C,$A140,Sheet1!$A:$A,O$2),"")</f>
        <v/>
      </c>
      <c r="P140" s="9" t="str">
        <f>IF(SUMIFS(Sheet1!$E:$E,Sheet1!$C:$C,$A140,Sheet1!$A:$A,P$2)&lt;&gt;0,SUMIFS(Sheet1!$E:$E,Sheet1!$C:$C,$A140,Sheet1!$A:$A,P$2),"")</f>
        <v/>
      </c>
      <c r="Q140" s="9" t="str">
        <f>IF(SUMIFS(Sheet1!$E:$E,Sheet1!$C:$C,$A140,Sheet1!$A:$A,Q$2)&lt;&gt;0,SUMIFS(Sheet1!$E:$E,Sheet1!$C:$C,$A140,Sheet1!$A:$A,Q$2),"")</f>
        <v/>
      </c>
      <c r="R140" s="9" t="str">
        <f>IF(SUMIFS(Sheet1!$E:$E,Sheet1!$C:$C,$A140,Sheet1!$A:$A,R$2)&lt;&gt;0,SUMIFS(Sheet1!$E:$E,Sheet1!$C:$C,$A140,Sheet1!$A:$A,R$2),"")</f>
        <v/>
      </c>
      <c r="S140" s="9" t="str">
        <f>IF(SUMIFS(Sheet1!$E:$E,Sheet1!$C:$C,$A140,Sheet1!$A:$A,S$2)&lt;&gt;0,SUMIFS(Sheet1!$E:$E,Sheet1!$C:$C,$A140,Sheet1!$A:$A,S$2),"")</f>
        <v/>
      </c>
      <c r="T140" s="9" t="str">
        <f>IF(SUMIFS(Sheet1!$E:$E,Sheet1!$C:$C,$A140,Sheet1!$A:$A,T$2)&lt;&gt;0,SUMIFS(Sheet1!$E:$E,Sheet1!$C:$C,$A140,Sheet1!$A:$A,T$2),"")</f>
        <v/>
      </c>
      <c r="U140" s="9" t="str">
        <f>IF(SUMIFS(Sheet1!$E:$E,Sheet1!$C:$C,$A140,Sheet1!$A:$A,U$2)&lt;&gt;0,SUMIFS(Sheet1!$E:$E,Sheet1!$C:$C,$A140,Sheet1!$A:$A,U$2),"")</f>
        <v/>
      </c>
      <c r="V140" s="9" t="str">
        <f>IF(SUMIFS(Sheet1!$E:$E,Sheet1!$C:$C,$A140,Sheet1!$A:$A,V$2)&lt;&gt;0,SUMIFS(Sheet1!$E:$E,Sheet1!$C:$C,$A140,Sheet1!$A:$A,V$2),"")</f>
        <v/>
      </c>
      <c r="W140" s="9" t="str">
        <f>IF(SUMIFS(Sheet1!$E:$E,Sheet1!$C:$C,$A140,Sheet1!$A:$A,W$2)&lt;&gt;0,SUMIFS(Sheet1!$E:$E,Sheet1!$C:$C,$A140,Sheet1!$A:$A,W$2),"")</f>
        <v/>
      </c>
      <c r="X140" s="9" t="str">
        <f>IF(SUMIFS(Sheet1!$E:$E,Sheet1!$C:$C,$A140,Sheet1!$A:$A,X$2)&lt;&gt;0,SUMIFS(Sheet1!$E:$E,Sheet1!$C:$C,$A140,Sheet1!$A:$A,X$2),"")</f>
        <v/>
      </c>
      <c r="Y140" s="9" t="str">
        <f>IF(SUMIFS(Sheet1!$E:$E,Sheet1!$C:$C,$A140,Sheet1!$A:$A,Y$2)&lt;&gt;0,SUMIFS(Sheet1!$E:$E,Sheet1!$C:$C,$A140,Sheet1!$A:$A,Y$2),"")</f>
        <v/>
      </c>
      <c r="Z140" s="9" t="str">
        <f>IF(SUMIFS(Sheet1!$E:$E,Sheet1!$C:$C,$A140,Sheet1!$A:$A,Z$2)&lt;&gt;0,SUMIFS(Sheet1!$E:$E,Sheet1!$C:$C,$A140,Sheet1!$A:$A,Z$2),"")</f>
        <v/>
      </c>
      <c r="AA140" s="9" t="str">
        <f>IF(SUMIFS(Sheet1!$E:$E,Sheet1!$C:$C,$A140,Sheet1!$A:$A,AA$2)&lt;&gt;0,SUMIFS(Sheet1!$E:$E,Sheet1!$C:$C,$A140,Sheet1!$A:$A,AA$2),"")</f>
        <v/>
      </c>
      <c r="AB140" s="9" t="str">
        <f>IF(SUMIFS(Sheet1!$E:$E,Sheet1!$C:$C,$A140,Sheet1!$A:$A,AB$2)&lt;&gt;0,SUMIFS(Sheet1!$E:$E,Sheet1!$C:$C,$A140,Sheet1!$A:$A,AB$2),"")</f>
        <v/>
      </c>
      <c r="AC140" s="9" t="str">
        <f>IF(SUMIFS(Sheet1!$E:$E,Sheet1!$C:$C,$A140,Sheet1!$A:$A,AC$2)&lt;&gt;0,SUMIFS(Sheet1!$E:$E,Sheet1!$C:$C,$A140,Sheet1!$A:$A,AC$2),"")</f>
        <v/>
      </c>
      <c r="AD140" s="9" t="str">
        <f>IF(SUMIFS(Sheet1!$E:$E,Sheet1!$C:$C,$A140,Sheet1!$A:$A,AD$2)&lt;&gt;0,SUMIFS(Sheet1!$E:$E,Sheet1!$C:$C,$A140,Sheet1!$A:$A,AD$2),"")</f>
        <v/>
      </c>
      <c r="AE140" s="9" t="str">
        <f>IF(SUMIFS(Sheet1!$E:$E,Sheet1!$C:$C,$A140,Sheet1!$A:$A,AE$2)&lt;&gt;0,SUMIFS(Sheet1!$E:$E,Sheet1!$C:$C,$A140,Sheet1!$A:$A,AE$2),"")</f>
        <v/>
      </c>
      <c r="AF140" s="9" t="str">
        <f>IF(SUMIFS(Sheet1!$E:$E,Sheet1!$C:$C,$A140,Sheet1!$A:$A,AF$2)&lt;&gt;0,SUMIFS(Sheet1!$E:$E,Sheet1!$C:$C,$A140,Sheet1!$A:$A,AF$2),"")</f>
        <v/>
      </c>
      <c r="AG140" s="9" t="str">
        <f>IF(SUMIFS(Sheet1!$E:$E,Sheet1!$C:$C,$A140,Sheet1!$A:$A,AG$2)&lt;&gt;0,SUMIFS(Sheet1!$E:$E,Sheet1!$C:$C,$A140,Sheet1!$A:$A,AG$2),"")</f>
        <v/>
      </c>
      <c r="AH140" s="47">
        <f>SUM(Table24[[#This Row],[1]:[31]])</f>
        <v>27</v>
      </c>
    </row>
    <row r="141" spans="1:34" ht="12.75" customHeight="1">
      <c r="A141" s="24" t="str">
        <f>DSSP!A140</f>
        <v>DS10</v>
      </c>
      <c r="B141" s="25" t="str">
        <f>DSSP!B140</f>
        <v>Sơn bóng</v>
      </c>
      <c r="C141" s="9">
        <f>IF(SUMIFS(Sheet1!$E:$E,Sheet1!$C:$C,$A141,Sheet1!$A:$A,C$2)&lt;&gt;0,SUMIFS(Sheet1!$E:$E,Sheet1!$C:$C,$A141,Sheet1!$A:$A,C$2),"")</f>
        <v>13</v>
      </c>
      <c r="D141" s="9" t="str">
        <f>IF(SUMIFS(Sheet1!$E:$E,Sheet1!$C:$C,$A141,Sheet1!$A:$A,D$2)&lt;&gt;0,SUMIFS(Sheet1!$E:$E,Sheet1!$C:$C,$A141,Sheet1!$A:$A,D$2),"")</f>
        <v/>
      </c>
      <c r="E141" s="9" t="str">
        <f>IF(SUMIFS(Sheet1!$E:$E,Sheet1!$C:$C,$A141,Sheet1!$A:$A,E$2)&lt;&gt;0,SUMIFS(Sheet1!$E:$E,Sheet1!$C:$C,$A141,Sheet1!$A:$A,E$2),"")</f>
        <v/>
      </c>
      <c r="F141" s="9" t="str">
        <f>IF(SUMIFS(Sheet1!$E:$E,Sheet1!$C:$C,$A141,Sheet1!$A:$A,F$2)&lt;&gt;0,SUMIFS(Sheet1!$E:$E,Sheet1!$C:$C,$A141,Sheet1!$A:$A,F$2),"")</f>
        <v/>
      </c>
      <c r="G141" s="9" t="str">
        <f>IF(SUMIFS(Sheet1!$E:$E,Sheet1!$C:$C,$A141,Sheet1!$A:$A,G$2)&lt;&gt;0,SUMIFS(Sheet1!$E:$E,Sheet1!$C:$C,$A141,Sheet1!$A:$A,G$2),"")</f>
        <v/>
      </c>
      <c r="H141" s="9" t="str">
        <f>IF(SUMIFS(Sheet1!$E:$E,Sheet1!$C:$C,$A141,Sheet1!$A:$A,H$2)&lt;&gt;0,SUMIFS(Sheet1!$E:$E,Sheet1!$C:$C,$A141,Sheet1!$A:$A,H$2),"")</f>
        <v/>
      </c>
      <c r="I141" s="9" t="str">
        <f>IF(SUMIFS(Sheet1!$E:$E,Sheet1!$C:$C,$A141,Sheet1!$A:$A,I$2)&lt;&gt;0,SUMIFS(Sheet1!$E:$E,Sheet1!$C:$C,$A141,Sheet1!$A:$A,I$2),"")</f>
        <v/>
      </c>
      <c r="J141" s="9" t="str">
        <f>IF(SUMIFS(Sheet1!$E:$E,Sheet1!$C:$C,$A141,Sheet1!$A:$A,J$2)&lt;&gt;0,SUMIFS(Sheet1!$E:$E,Sheet1!$C:$C,$A141,Sheet1!$A:$A,J$2),"")</f>
        <v/>
      </c>
      <c r="K141" s="9" t="str">
        <f>IF(SUMIFS(Sheet1!$E:$E,Sheet1!$C:$C,$A141,Sheet1!$A:$A,K$2)&lt;&gt;0,SUMIFS(Sheet1!$E:$E,Sheet1!$C:$C,$A141,Sheet1!$A:$A,K$2),"")</f>
        <v/>
      </c>
      <c r="L141" s="9" t="str">
        <f>IF(SUMIFS(Sheet1!$E:$E,Sheet1!$C:$C,$A141,Sheet1!$A:$A,L$2)&lt;&gt;0,SUMIFS(Sheet1!$E:$E,Sheet1!$C:$C,$A141,Sheet1!$A:$A,L$2),"")</f>
        <v/>
      </c>
      <c r="M141" s="9" t="str">
        <f>IF(SUMIFS(Sheet1!$E:$E,Sheet1!$C:$C,$A141,Sheet1!$A:$A,M$2)&lt;&gt;0,SUMIFS(Sheet1!$E:$E,Sheet1!$C:$C,$A141,Sheet1!$A:$A,M$2),"")</f>
        <v/>
      </c>
      <c r="N141" s="9" t="str">
        <f>IF(SUMIFS(Sheet1!$E:$E,Sheet1!$C:$C,$A141,Sheet1!$A:$A,N$2)&lt;&gt;0,SUMIFS(Sheet1!$E:$E,Sheet1!$C:$C,$A141,Sheet1!$A:$A,N$2),"")</f>
        <v/>
      </c>
      <c r="O141" s="9" t="str">
        <f>IF(SUMIFS(Sheet1!$E:$E,Sheet1!$C:$C,$A141,Sheet1!$A:$A,O$2)&lt;&gt;0,SUMIFS(Sheet1!$E:$E,Sheet1!$C:$C,$A141,Sheet1!$A:$A,O$2),"")</f>
        <v/>
      </c>
      <c r="P141" s="9" t="str">
        <f>IF(SUMIFS(Sheet1!$E:$E,Sheet1!$C:$C,$A141,Sheet1!$A:$A,P$2)&lt;&gt;0,SUMIFS(Sheet1!$E:$E,Sheet1!$C:$C,$A141,Sheet1!$A:$A,P$2),"")</f>
        <v/>
      </c>
      <c r="Q141" s="9" t="str">
        <f>IF(SUMIFS(Sheet1!$E:$E,Sheet1!$C:$C,$A141,Sheet1!$A:$A,Q$2)&lt;&gt;0,SUMIFS(Sheet1!$E:$E,Sheet1!$C:$C,$A141,Sheet1!$A:$A,Q$2),"")</f>
        <v/>
      </c>
      <c r="R141" s="9" t="str">
        <f>IF(SUMIFS(Sheet1!$E:$E,Sheet1!$C:$C,$A141,Sheet1!$A:$A,R$2)&lt;&gt;0,SUMIFS(Sheet1!$E:$E,Sheet1!$C:$C,$A141,Sheet1!$A:$A,R$2),"")</f>
        <v/>
      </c>
      <c r="S141" s="9" t="str">
        <f>IF(SUMIFS(Sheet1!$E:$E,Sheet1!$C:$C,$A141,Sheet1!$A:$A,S$2)&lt;&gt;0,SUMIFS(Sheet1!$E:$E,Sheet1!$C:$C,$A141,Sheet1!$A:$A,S$2),"")</f>
        <v/>
      </c>
      <c r="T141" s="9" t="str">
        <f>IF(SUMIFS(Sheet1!$E:$E,Sheet1!$C:$C,$A141,Sheet1!$A:$A,T$2)&lt;&gt;0,SUMIFS(Sheet1!$E:$E,Sheet1!$C:$C,$A141,Sheet1!$A:$A,T$2),"")</f>
        <v/>
      </c>
      <c r="U141" s="9" t="str">
        <f>IF(SUMIFS(Sheet1!$E:$E,Sheet1!$C:$C,$A141,Sheet1!$A:$A,U$2)&lt;&gt;0,SUMIFS(Sheet1!$E:$E,Sheet1!$C:$C,$A141,Sheet1!$A:$A,U$2),"")</f>
        <v/>
      </c>
      <c r="V141" s="9" t="str">
        <f>IF(SUMIFS(Sheet1!$E:$E,Sheet1!$C:$C,$A141,Sheet1!$A:$A,V$2)&lt;&gt;0,SUMIFS(Sheet1!$E:$E,Sheet1!$C:$C,$A141,Sheet1!$A:$A,V$2),"")</f>
        <v/>
      </c>
      <c r="W141" s="9" t="str">
        <f>IF(SUMIFS(Sheet1!$E:$E,Sheet1!$C:$C,$A141,Sheet1!$A:$A,W$2)&lt;&gt;0,SUMIFS(Sheet1!$E:$E,Sheet1!$C:$C,$A141,Sheet1!$A:$A,W$2),"")</f>
        <v/>
      </c>
      <c r="X141" s="9" t="str">
        <f>IF(SUMIFS(Sheet1!$E:$E,Sheet1!$C:$C,$A141,Sheet1!$A:$A,X$2)&lt;&gt;0,SUMIFS(Sheet1!$E:$E,Sheet1!$C:$C,$A141,Sheet1!$A:$A,X$2),"")</f>
        <v/>
      </c>
      <c r="Y141" s="9" t="str">
        <f>IF(SUMIFS(Sheet1!$E:$E,Sheet1!$C:$C,$A141,Sheet1!$A:$A,Y$2)&lt;&gt;0,SUMIFS(Sheet1!$E:$E,Sheet1!$C:$C,$A141,Sheet1!$A:$A,Y$2),"")</f>
        <v/>
      </c>
      <c r="Z141" s="9" t="str">
        <f>IF(SUMIFS(Sheet1!$E:$E,Sheet1!$C:$C,$A141,Sheet1!$A:$A,Z$2)&lt;&gt;0,SUMIFS(Sheet1!$E:$E,Sheet1!$C:$C,$A141,Sheet1!$A:$A,Z$2),"")</f>
        <v/>
      </c>
      <c r="AA141" s="9" t="str">
        <f>IF(SUMIFS(Sheet1!$E:$E,Sheet1!$C:$C,$A141,Sheet1!$A:$A,AA$2)&lt;&gt;0,SUMIFS(Sheet1!$E:$E,Sheet1!$C:$C,$A141,Sheet1!$A:$A,AA$2),"")</f>
        <v/>
      </c>
      <c r="AB141" s="9" t="str">
        <f>IF(SUMIFS(Sheet1!$E:$E,Sheet1!$C:$C,$A141,Sheet1!$A:$A,AB$2)&lt;&gt;0,SUMIFS(Sheet1!$E:$E,Sheet1!$C:$C,$A141,Sheet1!$A:$A,AB$2),"")</f>
        <v/>
      </c>
      <c r="AC141" s="9" t="str">
        <f>IF(SUMIFS(Sheet1!$E:$E,Sheet1!$C:$C,$A141,Sheet1!$A:$A,AC$2)&lt;&gt;0,SUMIFS(Sheet1!$E:$E,Sheet1!$C:$C,$A141,Sheet1!$A:$A,AC$2),"")</f>
        <v/>
      </c>
      <c r="AD141" s="9" t="str">
        <f>IF(SUMIFS(Sheet1!$E:$E,Sheet1!$C:$C,$A141,Sheet1!$A:$A,AD$2)&lt;&gt;0,SUMIFS(Sheet1!$E:$E,Sheet1!$C:$C,$A141,Sheet1!$A:$A,AD$2),"")</f>
        <v/>
      </c>
      <c r="AE141" s="9" t="str">
        <f>IF(SUMIFS(Sheet1!$E:$E,Sheet1!$C:$C,$A141,Sheet1!$A:$A,AE$2)&lt;&gt;0,SUMIFS(Sheet1!$E:$E,Sheet1!$C:$C,$A141,Sheet1!$A:$A,AE$2),"")</f>
        <v/>
      </c>
      <c r="AF141" s="9" t="str">
        <f>IF(SUMIFS(Sheet1!$E:$E,Sheet1!$C:$C,$A141,Sheet1!$A:$A,AF$2)&lt;&gt;0,SUMIFS(Sheet1!$E:$E,Sheet1!$C:$C,$A141,Sheet1!$A:$A,AF$2),"")</f>
        <v/>
      </c>
      <c r="AG141" s="9" t="str">
        <f>IF(SUMIFS(Sheet1!$E:$E,Sheet1!$C:$C,$A141,Sheet1!$A:$A,AG$2)&lt;&gt;0,SUMIFS(Sheet1!$E:$E,Sheet1!$C:$C,$A141,Sheet1!$A:$A,AG$2),"")</f>
        <v/>
      </c>
      <c r="AH141" s="47">
        <f>SUM(Table24[[#This Row],[1]:[31]])</f>
        <v>13</v>
      </c>
    </row>
    <row r="142" spans="1:34" ht="12.75" customHeight="1">
      <c r="A142" s="24" t="str">
        <f>DSSP!A141</f>
        <v>DS11</v>
      </c>
      <c r="B142" s="25" t="str">
        <f>DSSP!B141</f>
        <v>Set màu</v>
      </c>
      <c r="C142" s="9">
        <f>IF(SUMIFS(Sheet1!$E:$E,Sheet1!$C:$C,$A142,Sheet1!$A:$A,C$2)&lt;&gt;0,SUMIFS(Sheet1!$E:$E,Sheet1!$C:$C,$A142,Sheet1!$A:$A,C$2),"")</f>
        <v>22</v>
      </c>
      <c r="D142" s="9" t="str">
        <f>IF(SUMIFS(Sheet1!$E:$E,Sheet1!$C:$C,$A142,Sheet1!$A:$A,D$2)&lt;&gt;0,SUMIFS(Sheet1!$E:$E,Sheet1!$C:$C,$A142,Sheet1!$A:$A,D$2),"")</f>
        <v/>
      </c>
      <c r="E142" s="9" t="str">
        <f>IF(SUMIFS(Sheet1!$E:$E,Sheet1!$C:$C,$A142,Sheet1!$A:$A,E$2)&lt;&gt;0,SUMIFS(Sheet1!$E:$E,Sheet1!$C:$C,$A142,Sheet1!$A:$A,E$2),"")</f>
        <v/>
      </c>
      <c r="F142" s="9" t="str">
        <f>IF(SUMIFS(Sheet1!$E:$E,Sheet1!$C:$C,$A142,Sheet1!$A:$A,F$2)&lt;&gt;0,SUMIFS(Sheet1!$E:$E,Sheet1!$C:$C,$A142,Sheet1!$A:$A,F$2),"")</f>
        <v/>
      </c>
      <c r="G142" s="9" t="str">
        <f>IF(SUMIFS(Sheet1!$E:$E,Sheet1!$C:$C,$A142,Sheet1!$A:$A,G$2)&lt;&gt;0,SUMIFS(Sheet1!$E:$E,Sheet1!$C:$C,$A142,Sheet1!$A:$A,G$2),"")</f>
        <v/>
      </c>
      <c r="H142" s="9" t="str">
        <f>IF(SUMIFS(Sheet1!$E:$E,Sheet1!$C:$C,$A142,Sheet1!$A:$A,H$2)&lt;&gt;0,SUMIFS(Sheet1!$E:$E,Sheet1!$C:$C,$A142,Sheet1!$A:$A,H$2),"")</f>
        <v/>
      </c>
      <c r="I142" s="9" t="str">
        <f>IF(SUMIFS(Sheet1!$E:$E,Sheet1!$C:$C,$A142,Sheet1!$A:$A,I$2)&lt;&gt;0,SUMIFS(Sheet1!$E:$E,Sheet1!$C:$C,$A142,Sheet1!$A:$A,I$2),"")</f>
        <v/>
      </c>
      <c r="J142" s="9" t="str">
        <f>IF(SUMIFS(Sheet1!$E:$E,Sheet1!$C:$C,$A142,Sheet1!$A:$A,J$2)&lt;&gt;0,SUMIFS(Sheet1!$E:$E,Sheet1!$C:$C,$A142,Sheet1!$A:$A,J$2),"")</f>
        <v/>
      </c>
      <c r="K142" s="9" t="str">
        <f>IF(SUMIFS(Sheet1!$E:$E,Sheet1!$C:$C,$A142,Sheet1!$A:$A,K$2)&lt;&gt;0,SUMIFS(Sheet1!$E:$E,Sheet1!$C:$C,$A142,Sheet1!$A:$A,K$2),"")</f>
        <v/>
      </c>
      <c r="L142" s="9" t="str">
        <f>IF(SUMIFS(Sheet1!$E:$E,Sheet1!$C:$C,$A142,Sheet1!$A:$A,L$2)&lt;&gt;0,SUMIFS(Sheet1!$E:$E,Sheet1!$C:$C,$A142,Sheet1!$A:$A,L$2),"")</f>
        <v/>
      </c>
      <c r="M142" s="9" t="str">
        <f>IF(SUMIFS(Sheet1!$E:$E,Sheet1!$C:$C,$A142,Sheet1!$A:$A,M$2)&lt;&gt;0,SUMIFS(Sheet1!$E:$E,Sheet1!$C:$C,$A142,Sheet1!$A:$A,M$2),"")</f>
        <v/>
      </c>
      <c r="N142" s="9" t="str">
        <f>IF(SUMIFS(Sheet1!$E:$E,Sheet1!$C:$C,$A142,Sheet1!$A:$A,N$2)&lt;&gt;0,SUMIFS(Sheet1!$E:$E,Sheet1!$C:$C,$A142,Sheet1!$A:$A,N$2),"")</f>
        <v/>
      </c>
      <c r="O142" s="9" t="str">
        <f>IF(SUMIFS(Sheet1!$E:$E,Sheet1!$C:$C,$A142,Sheet1!$A:$A,O$2)&lt;&gt;0,SUMIFS(Sheet1!$E:$E,Sheet1!$C:$C,$A142,Sheet1!$A:$A,O$2),"")</f>
        <v/>
      </c>
      <c r="P142" s="9" t="str">
        <f>IF(SUMIFS(Sheet1!$E:$E,Sheet1!$C:$C,$A142,Sheet1!$A:$A,P$2)&lt;&gt;0,SUMIFS(Sheet1!$E:$E,Sheet1!$C:$C,$A142,Sheet1!$A:$A,P$2),"")</f>
        <v/>
      </c>
      <c r="Q142" s="9" t="str">
        <f>IF(SUMIFS(Sheet1!$E:$E,Sheet1!$C:$C,$A142,Sheet1!$A:$A,Q$2)&lt;&gt;0,SUMIFS(Sheet1!$E:$E,Sheet1!$C:$C,$A142,Sheet1!$A:$A,Q$2),"")</f>
        <v/>
      </c>
      <c r="R142" s="9" t="str">
        <f>IF(SUMIFS(Sheet1!$E:$E,Sheet1!$C:$C,$A142,Sheet1!$A:$A,R$2)&lt;&gt;0,SUMIFS(Sheet1!$E:$E,Sheet1!$C:$C,$A142,Sheet1!$A:$A,R$2),"")</f>
        <v/>
      </c>
      <c r="S142" s="9" t="str">
        <f>IF(SUMIFS(Sheet1!$E:$E,Sheet1!$C:$C,$A142,Sheet1!$A:$A,S$2)&lt;&gt;0,SUMIFS(Sheet1!$E:$E,Sheet1!$C:$C,$A142,Sheet1!$A:$A,S$2),"")</f>
        <v/>
      </c>
      <c r="T142" s="9" t="str">
        <f>IF(SUMIFS(Sheet1!$E:$E,Sheet1!$C:$C,$A142,Sheet1!$A:$A,T$2)&lt;&gt;0,SUMIFS(Sheet1!$E:$E,Sheet1!$C:$C,$A142,Sheet1!$A:$A,T$2),"")</f>
        <v/>
      </c>
      <c r="U142" s="9" t="str">
        <f>IF(SUMIFS(Sheet1!$E:$E,Sheet1!$C:$C,$A142,Sheet1!$A:$A,U$2)&lt;&gt;0,SUMIFS(Sheet1!$E:$E,Sheet1!$C:$C,$A142,Sheet1!$A:$A,U$2),"")</f>
        <v/>
      </c>
      <c r="V142" s="9" t="str">
        <f>IF(SUMIFS(Sheet1!$E:$E,Sheet1!$C:$C,$A142,Sheet1!$A:$A,V$2)&lt;&gt;0,SUMIFS(Sheet1!$E:$E,Sheet1!$C:$C,$A142,Sheet1!$A:$A,V$2),"")</f>
        <v/>
      </c>
      <c r="W142" s="9" t="str">
        <f>IF(SUMIFS(Sheet1!$E:$E,Sheet1!$C:$C,$A142,Sheet1!$A:$A,W$2)&lt;&gt;0,SUMIFS(Sheet1!$E:$E,Sheet1!$C:$C,$A142,Sheet1!$A:$A,W$2),"")</f>
        <v/>
      </c>
      <c r="X142" s="9" t="str">
        <f>IF(SUMIFS(Sheet1!$E:$E,Sheet1!$C:$C,$A142,Sheet1!$A:$A,X$2)&lt;&gt;0,SUMIFS(Sheet1!$E:$E,Sheet1!$C:$C,$A142,Sheet1!$A:$A,X$2),"")</f>
        <v/>
      </c>
      <c r="Y142" s="9" t="str">
        <f>IF(SUMIFS(Sheet1!$E:$E,Sheet1!$C:$C,$A142,Sheet1!$A:$A,Y$2)&lt;&gt;0,SUMIFS(Sheet1!$E:$E,Sheet1!$C:$C,$A142,Sheet1!$A:$A,Y$2),"")</f>
        <v/>
      </c>
      <c r="Z142" s="9" t="str">
        <f>IF(SUMIFS(Sheet1!$E:$E,Sheet1!$C:$C,$A142,Sheet1!$A:$A,Z$2)&lt;&gt;0,SUMIFS(Sheet1!$E:$E,Sheet1!$C:$C,$A142,Sheet1!$A:$A,Z$2),"")</f>
        <v/>
      </c>
      <c r="AA142" s="9" t="str">
        <f>IF(SUMIFS(Sheet1!$E:$E,Sheet1!$C:$C,$A142,Sheet1!$A:$A,AA$2)&lt;&gt;0,SUMIFS(Sheet1!$E:$E,Sheet1!$C:$C,$A142,Sheet1!$A:$A,AA$2),"")</f>
        <v/>
      </c>
      <c r="AB142" s="9" t="str">
        <f>IF(SUMIFS(Sheet1!$E:$E,Sheet1!$C:$C,$A142,Sheet1!$A:$A,AB$2)&lt;&gt;0,SUMIFS(Sheet1!$E:$E,Sheet1!$C:$C,$A142,Sheet1!$A:$A,AB$2),"")</f>
        <v/>
      </c>
      <c r="AC142" s="9" t="str">
        <f>IF(SUMIFS(Sheet1!$E:$E,Sheet1!$C:$C,$A142,Sheet1!$A:$A,AC$2)&lt;&gt;0,SUMIFS(Sheet1!$E:$E,Sheet1!$C:$C,$A142,Sheet1!$A:$A,AC$2),"")</f>
        <v/>
      </c>
      <c r="AD142" s="9" t="str">
        <f>IF(SUMIFS(Sheet1!$E:$E,Sheet1!$C:$C,$A142,Sheet1!$A:$A,AD$2)&lt;&gt;0,SUMIFS(Sheet1!$E:$E,Sheet1!$C:$C,$A142,Sheet1!$A:$A,AD$2),"")</f>
        <v/>
      </c>
      <c r="AE142" s="9" t="str">
        <f>IF(SUMIFS(Sheet1!$E:$E,Sheet1!$C:$C,$A142,Sheet1!$A:$A,AE$2)&lt;&gt;0,SUMIFS(Sheet1!$E:$E,Sheet1!$C:$C,$A142,Sheet1!$A:$A,AE$2),"")</f>
        <v/>
      </c>
      <c r="AF142" s="9" t="str">
        <f>IF(SUMIFS(Sheet1!$E:$E,Sheet1!$C:$C,$A142,Sheet1!$A:$A,AF$2)&lt;&gt;0,SUMIFS(Sheet1!$E:$E,Sheet1!$C:$C,$A142,Sheet1!$A:$A,AF$2),"")</f>
        <v/>
      </c>
      <c r="AG142" s="9" t="str">
        <f>IF(SUMIFS(Sheet1!$E:$E,Sheet1!$C:$C,$A142,Sheet1!$A:$A,AG$2)&lt;&gt;0,SUMIFS(Sheet1!$E:$E,Sheet1!$C:$C,$A142,Sheet1!$A:$A,AG$2),"")</f>
        <v/>
      </c>
      <c r="AH142" s="47">
        <f>SUM(Table24[[#This Row],[1]:[31]])</f>
        <v>22</v>
      </c>
    </row>
    <row r="143" spans="1:34" ht="12.75" customHeight="1">
      <c r="A143" s="24" t="str">
        <f>DSSP!A142</f>
        <v>DS12</v>
      </c>
      <c r="B143" s="25" t="str">
        <f>DSSP!B142</f>
        <v>Bút vẽ</v>
      </c>
      <c r="C143" s="9">
        <f>IF(SUMIFS(Sheet1!$E:$E,Sheet1!$C:$C,$A143,Sheet1!$A:$A,C$2)&lt;&gt;0,SUMIFS(Sheet1!$E:$E,Sheet1!$C:$C,$A143,Sheet1!$A:$A,C$2),"")</f>
        <v>11</v>
      </c>
      <c r="D143" s="9" t="str">
        <f>IF(SUMIFS(Sheet1!$E:$E,Sheet1!$C:$C,$A143,Sheet1!$A:$A,D$2)&lt;&gt;0,SUMIFS(Sheet1!$E:$E,Sheet1!$C:$C,$A143,Sheet1!$A:$A,D$2),"")</f>
        <v/>
      </c>
      <c r="E143" s="9" t="str">
        <f>IF(SUMIFS(Sheet1!$E:$E,Sheet1!$C:$C,$A143,Sheet1!$A:$A,E$2)&lt;&gt;0,SUMIFS(Sheet1!$E:$E,Sheet1!$C:$C,$A143,Sheet1!$A:$A,E$2),"")</f>
        <v/>
      </c>
      <c r="F143" s="9" t="str">
        <f>IF(SUMIFS(Sheet1!$E:$E,Sheet1!$C:$C,$A143,Sheet1!$A:$A,F$2)&lt;&gt;0,SUMIFS(Sheet1!$E:$E,Sheet1!$C:$C,$A143,Sheet1!$A:$A,F$2),"")</f>
        <v/>
      </c>
      <c r="G143" s="9" t="str">
        <f>IF(SUMIFS(Sheet1!$E:$E,Sheet1!$C:$C,$A143,Sheet1!$A:$A,G$2)&lt;&gt;0,SUMIFS(Sheet1!$E:$E,Sheet1!$C:$C,$A143,Sheet1!$A:$A,G$2),"")</f>
        <v/>
      </c>
      <c r="H143" s="9" t="str">
        <f>IF(SUMIFS(Sheet1!$E:$E,Sheet1!$C:$C,$A143,Sheet1!$A:$A,H$2)&lt;&gt;0,SUMIFS(Sheet1!$E:$E,Sheet1!$C:$C,$A143,Sheet1!$A:$A,H$2),"")</f>
        <v/>
      </c>
      <c r="I143" s="9" t="str">
        <f>IF(SUMIFS(Sheet1!$E:$E,Sheet1!$C:$C,$A143,Sheet1!$A:$A,I$2)&lt;&gt;0,SUMIFS(Sheet1!$E:$E,Sheet1!$C:$C,$A143,Sheet1!$A:$A,I$2),"")</f>
        <v/>
      </c>
      <c r="J143" s="9" t="str">
        <f>IF(SUMIFS(Sheet1!$E:$E,Sheet1!$C:$C,$A143,Sheet1!$A:$A,J$2)&lt;&gt;0,SUMIFS(Sheet1!$E:$E,Sheet1!$C:$C,$A143,Sheet1!$A:$A,J$2),"")</f>
        <v/>
      </c>
      <c r="K143" s="9" t="str">
        <f>IF(SUMIFS(Sheet1!$E:$E,Sheet1!$C:$C,$A143,Sheet1!$A:$A,K$2)&lt;&gt;0,SUMIFS(Sheet1!$E:$E,Sheet1!$C:$C,$A143,Sheet1!$A:$A,K$2),"")</f>
        <v/>
      </c>
      <c r="L143" s="9" t="str">
        <f>IF(SUMIFS(Sheet1!$E:$E,Sheet1!$C:$C,$A143,Sheet1!$A:$A,L$2)&lt;&gt;0,SUMIFS(Sheet1!$E:$E,Sheet1!$C:$C,$A143,Sheet1!$A:$A,L$2),"")</f>
        <v/>
      </c>
      <c r="M143" s="9" t="str">
        <f>IF(SUMIFS(Sheet1!$E:$E,Sheet1!$C:$C,$A143,Sheet1!$A:$A,M$2)&lt;&gt;0,SUMIFS(Sheet1!$E:$E,Sheet1!$C:$C,$A143,Sheet1!$A:$A,M$2),"")</f>
        <v/>
      </c>
      <c r="N143" s="9" t="str">
        <f>IF(SUMIFS(Sheet1!$E:$E,Sheet1!$C:$C,$A143,Sheet1!$A:$A,N$2)&lt;&gt;0,SUMIFS(Sheet1!$E:$E,Sheet1!$C:$C,$A143,Sheet1!$A:$A,N$2),"")</f>
        <v/>
      </c>
      <c r="O143" s="9" t="str">
        <f>IF(SUMIFS(Sheet1!$E:$E,Sheet1!$C:$C,$A143,Sheet1!$A:$A,O$2)&lt;&gt;0,SUMIFS(Sheet1!$E:$E,Sheet1!$C:$C,$A143,Sheet1!$A:$A,O$2),"")</f>
        <v/>
      </c>
      <c r="P143" s="9" t="str">
        <f>IF(SUMIFS(Sheet1!$E:$E,Sheet1!$C:$C,$A143,Sheet1!$A:$A,P$2)&lt;&gt;0,SUMIFS(Sheet1!$E:$E,Sheet1!$C:$C,$A143,Sheet1!$A:$A,P$2),"")</f>
        <v/>
      </c>
      <c r="Q143" s="9" t="str">
        <f>IF(SUMIFS(Sheet1!$E:$E,Sheet1!$C:$C,$A143,Sheet1!$A:$A,Q$2)&lt;&gt;0,SUMIFS(Sheet1!$E:$E,Sheet1!$C:$C,$A143,Sheet1!$A:$A,Q$2),"")</f>
        <v/>
      </c>
      <c r="R143" s="9" t="str">
        <f>IF(SUMIFS(Sheet1!$E:$E,Sheet1!$C:$C,$A143,Sheet1!$A:$A,R$2)&lt;&gt;0,SUMIFS(Sheet1!$E:$E,Sheet1!$C:$C,$A143,Sheet1!$A:$A,R$2),"")</f>
        <v/>
      </c>
      <c r="S143" s="9" t="str">
        <f>IF(SUMIFS(Sheet1!$E:$E,Sheet1!$C:$C,$A143,Sheet1!$A:$A,S$2)&lt;&gt;0,SUMIFS(Sheet1!$E:$E,Sheet1!$C:$C,$A143,Sheet1!$A:$A,S$2),"")</f>
        <v/>
      </c>
      <c r="T143" s="9" t="str">
        <f>IF(SUMIFS(Sheet1!$E:$E,Sheet1!$C:$C,$A143,Sheet1!$A:$A,T$2)&lt;&gt;0,SUMIFS(Sheet1!$E:$E,Sheet1!$C:$C,$A143,Sheet1!$A:$A,T$2),"")</f>
        <v/>
      </c>
      <c r="U143" s="9" t="str">
        <f>IF(SUMIFS(Sheet1!$E:$E,Sheet1!$C:$C,$A143,Sheet1!$A:$A,U$2)&lt;&gt;0,SUMIFS(Sheet1!$E:$E,Sheet1!$C:$C,$A143,Sheet1!$A:$A,U$2),"")</f>
        <v/>
      </c>
      <c r="V143" s="9" t="str">
        <f>IF(SUMIFS(Sheet1!$E:$E,Sheet1!$C:$C,$A143,Sheet1!$A:$A,V$2)&lt;&gt;0,SUMIFS(Sheet1!$E:$E,Sheet1!$C:$C,$A143,Sheet1!$A:$A,V$2),"")</f>
        <v/>
      </c>
      <c r="W143" s="9" t="str">
        <f>IF(SUMIFS(Sheet1!$E:$E,Sheet1!$C:$C,$A143,Sheet1!$A:$A,W$2)&lt;&gt;0,SUMIFS(Sheet1!$E:$E,Sheet1!$C:$C,$A143,Sheet1!$A:$A,W$2),"")</f>
        <v/>
      </c>
      <c r="X143" s="9" t="str">
        <f>IF(SUMIFS(Sheet1!$E:$E,Sheet1!$C:$C,$A143,Sheet1!$A:$A,X$2)&lt;&gt;0,SUMIFS(Sheet1!$E:$E,Sheet1!$C:$C,$A143,Sheet1!$A:$A,X$2),"")</f>
        <v/>
      </c>
      <c r="Y143" s="9" t="str">
        <f>IF(SUMIFS(Sheet1!$E:$E,Sheet1!$C:$C,$A143,Sheet1!$A:$A,Y$2)&lt;&gt;0,SUMIFS(Sheet1!$E:$E,Sheet1!$C:$C,$A143,Sheet1!$A:$A,Y$2),"")</f>
        <v/>
      </c>
      <c r="Z143" s="9" t="str">
        <f>IF(SUMIFS(Sheet1!$E:$E,Sheet1!$C:$C,$A143,Sheet1!$A:$A,Z$2)&lt;&gt;0,SUMIFS(Sheet1!$E:$E,Sheet1!$C:$C,$A143,Sheet1!$A:$A,Z$2),"")</f>
        <v/>
      </c>
      <c r="AA143" s="9" t="str">
        <f>IF(SUMIFS(Sheet1!$E:$E,Sheet1!$C:$C,$A143,Sheet1!$A:$A,AA$2)&lt;&gt;0,SUMIFS(Sheet1!$E:$E,Sheet1!$C:$C,$A143,Sheet1!$A:$A,AA$2),"")</f>
        <v/>
      </c>
      <c r="AB143" s="9" t="str">
        <f>IF(SUMIFS(Sheet1!$E:$E,Sheet1!$C:$C,$A143,Sheet1!$A:$A,AB$2)&lt;&gt;0,SUMIFS(Sheet1!$E:$E,Sheet1!$C:$C,$A143,Sheet1!$A:$A,AB$2),"")</f>
        <v/>
      </c>
      <c r="AC143" s="9" t="str">
        <f>IF(SUMIFS(Sheet1!$E:$E,Sheet1!$C:$C,$A143,Sheet1!$A:$A,AC$2)&lt;&gt;0,SUMIFS(Sheet1!$E:$E,Sheet1!$C:$C,$A143,Sheet1!$A:$A,AC$2),"")</f>
        <v/>
      </c>
      <c r="AD143" s="9" t="str">
        <f>IF(SUMIFS(Sheet1!$E:$E,Sheet1!$C:$C,$A143,Sheet1!$A:$A,AD$2)&lt;&gt;0,SUMIFS(Sheet1!$E:$E,Sheet1!$C:$C,$A143,Sheet1!$A:$A,AD$2),"")</f>
        <v/>
      </c>
      <c r="AE143" s="9" t="str">
        <f>IF(SUMIFS(Sheet1!$E:$E,Sheet1!$C:$C,$A143,Sheet1!$A:$A,AE$2)&lt;&gt;0,SUMIFS(Sheet1!$E:$E,Sheet1!$C:$C,$A143,Sheet1!$A:$A,AE$2),"")</f>
        <v/>
      </c>
      <c r="AF143" s="9" t="str">
        <f>IF(SUMIFS(Sheet1!$E:$E,Sheet1!$C:$C,$A143,Sheet1!$A:$A,AF$2)&lt;&gt;0,SUMIFS(Sheet1!$E:$E,Sheet1!$C:$C,$A143,Sheet1!$A:$A,AF$2),"")</f>
        <v/>
      </c>
      <c r="AG143" s="9" t="str">
        <f>IF(SUMIFS(Sheet1!$E:$E,Sheet1!$C:$C,$A143,Sheet1!$A:$A,AG$2)&lt;&gt;0,SUMIFS(Sheet1!$E:$E,Sheet1!$C:$C,$A143,Sheet1!$A:$A,AG$2),"")</f>
        <v/>
      </c>
      <c r="AH143" s="47">
        <f>SUM(Table24[[#This Row],[1]:[31]])</f>
        <v>11</v>
      </c>
    </row>
    <row r="144" spans="1:34" ht="12.75" customHeight="1">
      <c r="A144" s="24" t="str">
        <f>DSSP!A143</f>
        <v>DS13</v>
      </c>
      <c r="B144" s="25" t="str">
        <f>DSSP!B143</f>
        <v>Đất sét hoa quả</v>
      </c>
      <c r="C144" s="9" t="str">
        <f>IF(SUMIFS(Sheet1!$E:$E,Sheet1!$C:$C,$A144,Sheet1!$A:$A,C$2)&lt;&gt;0,SUMIFS(Sheet1!$E:$E,Sheet1!$C:$C,$A144,Sheet1!$A:$A,C$2),"")</f>
        <v/>
      </c>
      <c r="D144" s="9" t="str">
        <f>IF(SUMIFS(Sheet1!$E:$E,Sheet1!$C:$C,$A144,Sheet1!$A:$A,D$2)&lt;&gt;0,SUMIFS(Sheet1!$E:$E,Sheet1!$C:$C,$A144,Sheet1!$A:$A,D$2),"")</f>
        <v/>
      </c>
      <c r="E144" s="9" t="str">
        <f>IF(SUMIFS(Sheet1!$E:$E,Sheet1!$C:$C,$A144,Sheet1!$A:$A,E$2)&lt;&gt;0,SUMIFS(Sheet1!$E:$E,Sheet1!$C:$C,$A144,Sheet1!$A:$A,E$2),"")</f>
        <v/>
      </c>
      <c r="F144" s="9" t="str">
        <f>IF(SUMIFS(Sheet1!$E:$E,Sheet1!$C:$C,$A144,Sheet1!$A:$A,F$2)&lt;&gt;0,SUMIFS(Sheet1!$E:$E,Sheet1!$C:$C,$A144,Sheet1!$A:$A,F$2),"")</f>
        <v/>
      </c>
      <c r="G144" s="9" t="str">
        <f>IF(SUMIFS(Sheet1!$E:$E,Sheet1!$C:$C,$A144,Sheet1!$A:$A,G$2)&lt;&gt;0,SUMIFS(Sheet1!$E:$E,Sheet1!$C:$C,$A144,Sheet1!$A:$A,G$2),"")</f>
        <v/>
      </c>
      <c r="H144" s="9" t="str">
        <f>IF(SUMIFS(Sheet1!$E:$E,Sheet1!$C:$C,$A144,Sheet1!$A:$A,H$2)&lt;&gt;0,SUMIFS(Sheet1!$E:$E,Sheet1!$C:$C,$A144,Sheet1!$A:$A,H$2),"")</f>
        <v/>
      </c>
      <c r="I144" s="9" t="str">
        <f>IF(SUMIFS(Sheet1!$E:$E,Sheet1!$C:$C,$A144,Sheet1!$A:$A,I$2)&lt;&gt;0,SUMIFS(Sheet1!$E:$E,Sheet1!$C:$C,$A144,Sheet1!$A:$A,I$2),"")</f>
        <v/>
      </c>
      <c r="J144" s="9" t="str">
        <f>IF(SUMIFS(Sheet1!$E:$E,Sheet1!$C:$C,$A144,Sheet1!$A:$A,J$2)&lt;&gt;0,SUMIFS(Sheet1!$E:$E,Sheet1!$C:$C,$A144,Sheet1!$A:$A,J$2),"")</f>
        <v/>
      </c>
      <c r="K144" s="9" t="str">
        <f>IF(SUMIFS(Sheet1!$E:$E,Sheet1!$C:$C,$A144,Sheet1!$A:$A,K$2)&lt;&gt;0,SUMIFS(Sheet1!$E:$E,Sheet1!$C:$C,$A144,Sheet1!$A:$A,K$2),"")</f>
        <v/>
      </c>
      <c r="L144" s="9" t="str">
        <f>IF(SUMIFS(Sheet1!$E:$E,Sheet1!$C:$C,$A144,Sheet1!$A:$A,L$2)&lt;&gt;0,SUMIFS(Sheet1!$E:$E,Sheet1!$C:$C,$A144,Sheet1!$A:$A,L$2),"")</f>
        <v/>
      </c>
      <c r="M144" s="9" t="str">
        <f>IF(SUMIFS(Sheet1!$E:$E,Sheet1!$C:$C,$A144,Sheet1!$A:$A,M$2)&lt;&gt;0,SUMIFS(Sheet1!$E:$E,Sheet1!$C:$C,$A144,Sheet1!$A:$A,M$2),"")</f>
        <v/>
      </c>
      <c r="N144" s="9" t="str">
        <f>IF(SUMIFS(Sheet1!$E:$E,Sheet1!$C:$C,$A144,Sheet1!$A:$A,N$2)&lt;&gt;0,SUMIFS(Sheet1!$E:$E,Sheet1!$C:$C,$A144,Sheet1!$A:$A,N$2),"")</f>
        <v/>
      </c>
      <c r="O144" s="9" t="str">
        <f>IF(SUMIFS(Sheet1!$E:$E,Sheet1!$C:$C,$A144,Sheet1!$A:$A,O$2)&lt;&gt;0,SUMIFS(Sheet1!$E:$E,Sheet1!$C:$C,$A144,Sheet1!$A:$A,O$2),"")</f>
        <v/>
      </c>
      <c r="P144" s="9" t="str">
        <f>IF(SUMIFS(Sheet1!$E:$E,Sheet1!$C:$C,$A144,Sheet1!$A:$A,P$2)&lt;&gt;0,SUMIFS(Sheet1!$E:$E,Sheet1!$C:$C,$A144,Sheet1!$A:$A,P$2),"")</f>
        <v/>
      </c>
      <c r="Q144" s="9" t="str">
        <f>IF(SUMIFS(Sheet1!$E:$E,Sheet1!$C:$C,$A144,Sheet1!$A:$A,Q$2)&lt;&gt;0,SUMIFS(Sheet1!$E:$E,Sheet1!$C:$C,$A144,Sheet1!$A:$A,Q$2),"")</f>
        <v/>
      </c>
      <c r="R144" s="9" t="str">
        <f>IF(SUMIFS(Sheet1!$E:$E,Sheet1!$C:$C,$A144,Sheet1!$A:$A,R$2)&lt;&gt;0,SUMIFS(Sheet1!$E:$E,Sheet1!$C:$C,$A144,Sheet1!$A:$A,R$2),"")</f>
        <v/>
      </c>
      <c r="S144" s="9" t="str">
        <f>IF(SUMIFS(Sheet1!$E:$E,Sheet1!$C:$C,$A144,Sheet1!$A:$A,S$2)&lt;&gt;0,SUMIFS(Sheet1!$E:$E,Sheet1!$C:$C,$A144,Sheet1!$A:$A,S$2),"")</f>
        <v/>
      </c>
      <c r="T144" s="9" t="str">
        <f>IF(SUMIFS(Sheet1!$E:$E,Sheet1!$C:$C,$A144,Sheet1!$A:$A,T$2)&lt;&gt;0,SUMIFS(Sheet1!$E:$E,Sheet1!$C:$C,$A144,Sheet1!$A:$A,T$2),"")</f>
        <v/>
      </c>
      <c r="U144" s="9" t="str">
        <f>IF(SUMIFS(Sheet1!$E:$E,Sheet1!$C:$C,$A144,Sheet1!$A:$A,U$2)&lt;&gt;0,SUMIFS(Sheet1!$E:$E,Sheet1!$C:$C,$A144,Sheet1!$A:$A,U$2),"")</f>
        <v/>
      </c>
      <c r="V144" s="9" t="str">
        <f>IF(SUMIFS(Sheet1!$E:$E,Sheet1!$C:$C,$A144,Sheet1!$A:$A,V$2)&lt;&gt;0,SUMIFS(Sheet1!$E:$E,Sheet1!$C:$C,$A144,Sheet1!$A:$A,V$2),"")</f>
        <v/>
      </c>
      <c r="W144" s="9" t="str">
        <f>IF(SUMIFS(Sheet1!$E:$E,Sheet1!$C:$C,$A144,Sheet1!$A:$A,W$2)&lt;&gt;0,SUMIFS(Sheet1!$E:$E,Sheet1!$C:$C,$A144,Sheet1!$A:$A,W$2),"")</f>
        <v/>
      </c>
      <c r="X144" s="9" t="str">
        <f>IF(SUMIFS(Sheet1!$E:$E,Sheet1!$C:$C,$A144,Sheet1!$A:$A,X$2)&lt;&gt;0,SUMIFS(Sheet1!$E:$E,Sheet1!$C:$C,$A144,Sheet1!$A:$A,X$2),"")</f>
        <v/>
      </c>
      <c r="Y144" s="9" t="str">
        <f>IF(SUMIFS(Sheet1!$E:$E,Sheet1!$C:$C,$A144,Sheet1!$A:$A,Y$2)&lt;&gt;0,SUMIFS(Sheet1!$E:$E,Sheet1!$C:$C,$A144,Sheet1!$A:$A,Y$2),"")</f>
        <v/>
      </c>
      <c r="Z144" s="9" t="str">
        <f>IF(SUMIFS(Sheet1!$E:$E,Sheet1!$C:$C,$A144,Sheet1!$A:$A,Z$2)&lt;&gt;0,SUMIFS(Sheet1!$E:$E,Sheet1!$C:$C,$A144,Sheet1!$A:$A,Z$2),"")</f>
        <v/>
      </c>
      <c r="AA144" s="9" t="str">
        <f>IF(SUMIFS(Sheet1!$E:$E,Sheet1!$C:$C,$A144,Sheet1!$A:$A,AA$2)&lt;&gt;0,SUMIFS(Sheet1!$E:$E,Sheet1!$C:$C,$A144,Sheet1!$A:$A,AA$2),"")</f>
        <v/>
      </c>
      <c r="AB144" s="9" t="str">
        <f>IF(SUMIFS(Sheet1!$E:$E,Sheet1!$C:$C,$A144,Sheet1!$A:$A,AB$2)&lt;&gt;0,SUMIFS(Sheet1!$E:$E,Sheet1!$C:$C,$A144,Sheet1!$A:$A,AB$2),"")</f>
        <v/>
      </c>
      <c r="AC144" s="9" t="str">
        <f>IF(SUMIFS(Sheet1!$E:$E,Sheet1!$C:$C,$A144,Sheet1!$A:$A,AC$2)&lt;&gt;0,SUMIFS(Sheet1!$E:$E,Sheet1!$C:$C,$A144,Sheet1!$A:$A,AC$2),"")</f>
        <v/>
      </c>
      <c r="AD144" s="9" t="str">
        <f>IF(SUMIFS(Sheet1!$E:$E,Sheet1!$C:$C,$A144,Sheet1!$A:$A,AD$2)&lt;&gt;0,SUMIFS(Sheet1!$E:$E,Sheet1!$C:$C,$A144,Sheet1!$A:$A,AD$2),"")</f>
        <v/>
      </c>
      <c r="AE144" s="9" t="str">
        <f>IF(SUMIFS(Sheet1!$E:$E,Sheet1!$C:$C,$A144,Sheet1!$A:$A,AE$2)&lt;&gt;0,SUMIFS(Sheet1!$E:$E,Sheet1!$C:$C,$A144,Sheet1!$A:$A,AE$2),"")</f>
        <v/>
      </c>
      <c r="AF144" s="9" t="str">
        <f>IF(SUMIFS(Sheet1!$E:$E,Sheet1!$C:$C,$A144,Sheet1!$A:$A,AF$2)&lt;&gt;0,SUMIFS(Sheet1!$E:$E,Sheet1!$C:$C,$A144,Sheet1!$A:$A,AF$2),"")</f>
        <v/>
      </c>
      <c r="AG144" s="9" t="str">
        <f>IF(SUMIFS(Sheet1!$E:$E,Sheet1!$C:$C,$A144,Sheet1!$A:$A,AG$2)&lt;&gt;0,SUMIFS(Sheet1!$E:$E,Sheet1!$C:$C,$A144,Sheet1!$A:$A,AG$2),"")</f>
        <v/>
      </c>
      <c r="AH144" s="47">
        <f>SUM(Table24[[#This Row],[1]:[31]])</f>
        <v>0</v>
      </c>
    </row>
    <row r="145" spans="1:34" ht="12.75" customHeight="1">
      <c r="A145" s="24" t="str">
        <f>DSSP!A144</f>
        <v>DS14</v>
      </c>
      <c r="B145" s="25" t="str">
        <f>DSSP!B144</f>
        <v>Đất sét hoa quả thanh</v>
      </c>
      <c r="C145" s="9">
        <f>IF(SUMIFS(Sheet1!$E:$E,Sheet1!$C:$C,$A145,Sheet1!$A:$A,C$2)&lt;&gt;0,SUMIFS(Sheet1!$E:$E,Sheet1!$C:$C,$A145,Sheet1!$A:$A,C$2),"")</f>
        <v>1</v>
      </c>
      <c r="D145" s="9" t="str">
        <f>IF(SUMIFS(Sheet1!$E:$E,Sheet1!$C:$C,$A145,Sheet1!$A:$A,D$2)&lt;&gt;0,SUMIFS(Sheet1!$E:$E,Sheet1!$C:$C,$A145,Sheet1!$A:$A,D$2),"")</f>
        <v/>
      </c>
      <c r="E145" s="9" t="str">
        <f>IF(SUMIFS(Sheet1!$E:$E,Sheet1!$C:$C,$A145,Sheet1!$A:$A,E$2)&lt;&gt;0,SUMIFS(Sheet1!$E:$E,Sheet1!$C:$C,$A145,Sheet1!$A:$A,E$2),"")</f>
        <v/>
      </c>
      <c r="F145" s="9" t="str">
        <f>IF(SUMIFS(Sheet1!$E:$E,Sheet1!$C:$C,$A145,Sheet1!$A:$A,F$2)&lt;&gt;0,SUMIFS(Sheet1!$E:$E,Sheet1!$C:$C,$A145,Sheet1!$A:$A,F$2),"")</f>
        <v/>
      </c>
      <c r="G145" s="9" t="str">
        <f>IF(SUMIFS(Sheet1!$E:$E,Sheet1!$C:$C,$A145,Sheet1!$A:$A,G$2)&lt;&gt;0,SUMIFS(Sheet1!$E:$E,Sheet1!$C:$C,$A145,Sheet1!$A:$A,G$2),"")</f>
        <v/>
      </c>
      <c r="H145" s="9" t="str">
        <f>IF(SUMIFS(Sheet1!$E:$E,Sheet1!$C:$C,$A145,Sheet1!$A:$A,H$2)&lt;&gt;0,SUMIFS(Sheet1!$E:$E,Sheet1!$C:$C,$A145,Sheet1!$A:$A,H$2),"")</f>
        <v/>
      </c>
      <c r="I145" s="9" t="str">
        <f>IF(SUMIFS(Sheet1!$E:$E,Sheet1!$C:$C,$A145,Sheet1!$A:$A,I$2)&lt;&gt;0,SUMIFS(Sheet1!$E:$E,Sheet1!$C:$C,$A145,Sheet1!$A:$A,I$2),"")</f>
        <v/>
      </c>
      <c r="J145" s="9" t="str">
        <f>IF(SUMIFS(Sheet1!$E:$E,Sheet1!$C:$C,$A145,Sheet1!$A:$A,J$2)&lt;&gt;0,SUMIFS(Sheet1!$E:$E,Sheet1!$C:$C,$A145,Sheet1!$A:$A,J$2),"")</f>
        <v/>
      </c>
      <c r="K145" s="9" t="str">
        <f>IF(SUMIFS(Sheet1!$E:$E,Sheet1!$C:$C,$A145,Sheet1!$A:$A,K$2)&lt;&gt;0,SUMIFS(Sheet1!$E:$E,Sheet1!$C:$C,$A145,Sheet1!$A:$A,K$2),"")</f>
        <v/>
      </c>
      <c r="L145" s="9" t="str">
        <f>IF(SUMIFS(Sheet1!$E:$E,Sheet1!$C:$C,$A145,Sheet1!$A:$A,L$2)&lt;&gt;0,SUMIFS(Sheet1!$E:$E,Sheet1!$C:$C,$A145,Sheet1!$A:$A,L$2),"")</f>
        <v/>
      </c>
      <c r="M145" s="9" t="str">
        <f>IF(SUMIFS(Sheet1!$E:$E,Sheet1!$C:$C,$A145,Sheet1!$A:$A,M$2)&lt;&gt;0,SUMIFS(Sheet1!$E:$E,Sheet1!$C:$C,$A145,Sheet1!$A:$A,M$2),"")</f>
        <v/>
      </c>
      <c r="N145" s="9" t="str">
        <f>IF(SUMIFS(Sheet1!$E:$E,Sheet1!$C:$C,$A145,Sheet1!$A:$A,N$2)&lt;&gt;0,SUMIFS(Sheet1!$E:$E,Sheet1!$C:$C,$A145,Sheet1!$A:$A,N$2),"")</f>
        <v/>
      </c>
      <c r="O145" s="9" t="str">
        <f>IF(SUMIFS(Sheet1!$E:$E,Sheet1!$C:$C,$A145,Sheet1!$A:$A,O$2)&lt;&gt;0,SUMIFS(Sheet1!$E:$E,Sheet1!$C:$C,$A145,Sheet1!$A:$A,O$2),"")</f>
        <v/>
      </c>
      <c r="P145" s="9" t="str">
        <f>IF(SUMIFS(Sheet1!$E:$E,Sheet1!$C:$C,$A145,Sheet1!$A:$A,P$2)&lt;&gt;0,SUMIFS(Sheet1!$E:$E,Sheet1!$C:$C,$A145,Sheet1!$A:$A,P$2),"")</f>
        <v/>
      </c>
      <c r="Q145" s="9" t="str">
        <f>IF(SUMIFS(Sheet1!$E:$E,Sheet1!$C:$C,$A145,Sheet1!$A:$A,Q$2)&lt;&gt;0,SUMIFS(Sheet1!$E:$E,Sheet1!$C:$C,$A145,Sheet1!$A:$A,Q$2),"")</f>
        <v/>
      </c>
      <c r="R145" s="9" t="str">
        <f>IF(SUMIFS(Sheet1!$E:$E,Sheet1!$C:$C,$A145,Sheet1!$A:$A,R$2)&lt;&gt;0,SUMIFS(Sheet1!$E:$E,Sheet1!$C:$C,$A145,Sheet1!$A:$A,R$2),"")</f>
        <v/>
      </c>
      <c r="S145" s="9" t="str">
        <f>IF(SUMIFS(Sheet1!$E:$E,Sheet1!$C:$C,$A145,Sheet1!$A:$A,S$2)&lt;&gt;0,SUMIFS(Sheet1!$E:$E,Sheet1!$C:$C,$A145,Sheet1!$A:$A,S$2),"")</f>
        <v/>
      </c>
      <c r="T145" s="9" t="str">
        <f>IF(SUMIFS(Sheet1!$E:$E,Sheet1!$C:$C,$A145,Sheet1!$A:$A,T$2)&lt;&gt;0,SUMIFS(Sheet1!$E:$E,Sheet1!$C:$C,$A145,Sheet1!$A:$A,T$2),"")</f>
        <v/>
      </c>
      <c r="U145" s="9" t="str">
        <f>IF(SUMIFS(Sheet1!$E:$E,Sheet1!$C:$C,$A145,Sheet1!$A:$A,U$2)&lt;&gt;0,SUMIFS(Sheet1!$E:$E,Sheet1!$C:$C,$A145,Sheet1!$A:$A,U$2),"")</f>
        <v/>
      </c>
      <c r="V145" s="9" t="str">
        <f>IF(SUMIFS(Sheet1!$E:$E,Sheet1!$C:$C,$A145,Sheet1!$A:$A,V$2)&lt;&gt;0,SUMIFS(Sheet1!$E:$E,Sheet1!$C:$C,$A145,Sheet1!$A:$A,V$2),"")</f>
        <v/>
      </c>
      <c r="W145" s="9" t="str">
        <f>IF(SUMIFS(Sheet1!$E:$E,Sheet1!$C:$C,$A145,Sheet1!$A:$A,W$2)&lt;&gt;0,SUMIFS(Sheet1!$E:$E,Sheet1!$C:$C,$A145,Sheet1!$A:$A,W$2),"")</f>
        <v/>
      </c>
      <c r="X145" s="9" t="str">
        <f>IF(SUMIFS(Sheet1!$E:$E,Sheet1!$C:$C,$A145,Sheet1!$A:$A,X$2)&lt;&gt;0,SUMIFS(Sheet1!$E:$E,Sheet1!$C:$C,$A145,Sheet1!$A:$A,X$2),"")</f>
        <v/>
      </c>
      <c r="Y145" s="9" t="str">
        <f>IF(SUMIFS(Sheet1!$E:$E,Sheet1!$C:$C,$A145,Sheet1!$A:$A,Y$2)&lt;&gt;0,SUMIFS(Sheet1!$E:$E,Sheet1!$C:$C,$A145,Sheet1!$A:$A,Y$2),"")</f>
        <v/>
      </c>
      <c r="Z145" s="9" t="str">
        <f>IF(SUMIFS(Sheet1!$E:$E,Sheet1!$C:$C,$A145,Sheet1!$A:$A,Z$2)&lt;&gt;0,SUMIFS(Sheet1!$E:$E,Sheet1!$C:$C,$A145,Sheet1!$A:$A,Z$2),"")</f>
        <v/>
      </c>
      <c r="AA145" s="9" t="str">
        <f>IF(SUMIFS(Sheet1!$E:$E,Sheet1!$C:$C,$A145,Sheet1!$A:$A,AA$2)&lt;&gt;0,SUMIFS(Sheet1!$E:$E,Sheet1!$C:$C,$A145,Sheet1!$A:$A,AA$2),"")</f>
        <v/>
      </c>
      <c r="AB145" s="9" t="str">
        <f>IF(SUMIFS(Sheet1!$E:$E,Sheet1!$C:$C,$A145,Sheet1!$A:$A,AB$2)&lt;&gt;0,SUMIFS(Sheet1!$E:$E,Sheet1!$C:$C,$A145,Sheet1!$A:$A,AB$2),"")</f>
        <v/>
      </c>
      <c r="AC145" s="9" t="str">
        <f>IF(SUMIFS(Sheet1!$E:$E,Sheet1!$C:$C,$A145,Sheet1!$A:$A,AC$2)&lt;&gt;0,SUMIFS(Sheet1!$E:$E,Sheet1!$C:$C,$A145,Sheet1!$A:$A,AC$2),"")</f>
        <v/>
      </c>
      <c r="AD145" s="9" t="str">
        <f>IF(SUMIFS(Sheet1!$E:$E,Sheet1!$C:$C,$A145,Sheet1!$A:$A,AD$2)&lt;&gt;0,SUMIFS(Sheet1!$E:$E,Sheet1!$C:$C,$A145,Sheet1!$A:$A,AD$2),"")</f>
        <v/>
      </c>
      <c r="AE145" s="9" t="str">
        <f>IF(SUMIFS(Sheet1!$E:$E,Sheet1!$C:$C,$A145,Sheet1!$A:$A,AE$2)&lt;&gt;0,SUMIFS(Sheet1!$E:$E,Sheet1!$C:$C,$A145,Sheet1!$A:$A,AE$2),"")</f>
        <v/>
      </c>
      <c r="AF145" s="9" t="str">
        <f>IF(SUMIFS(Sheet1!$E:$E,Sheet1!$C:$C,$A145,Sheet1!$A:$A,AF$2)&lt;&gt;0,SUMIFS(Sheet1!$E:$E,Sheet1!$C:$C,$A145,Sheet1!$A:$A,AF$2),"")</f>
        <v/>
      </c>
      <c r="AG145" s="9" t="str">
        <f>IF(SUMIFS(Sheet1!$E:$E,Sheet1!$C:$C,$A145,Sheet1!$A:$A,AG$2)&lt;&gt;0,SUMIFS(Sheet1!$E:$E,Sheet1!$C:$C,$A145,Sheet1!$A:$A,AG$2),"")</f>
        <v/>
      </c>
      <c r="AH145" s="47">
        <f>SUM(Table24[[#This Row],[1]:[31]])</f>
        <v>1</v>
      </c>
    </row>
    <row r="146" spans="1:34" ht="12.75" customHeight="1">
      <c r="A146" s="24" t="str">
        <f>DSSP!A145</f>
        <v>DS15</v>
      </c>
      <c r="B146" s="25" t="str">
        <f>DSSP!B145</f>
        <v>Lọ thủy tinh</v>
      </c>
      <c r="C146" s="9">
        <f>IF(SUMIFS(Sheet1!$E:$E,Sheet1!$C:$C,$A146,Sheet1!$A:$A,C$2)&lt;&gt;0,SUMIFS(Sheet1!$E:$E,Sheet1!$C:$C,$A146,Sheet1!$A:$A,C$2),"")</f>
        <v>-1</v>
      </c>
      <c r="D146" s="9" t="str">
        <f>IF(SUMIFS(Sheet1!$E:$E,Sheet1!$C:$C,$A146,Sheet1!$A:$A,D$2)&lt;&gt;0,SUMIFS(Sheet1!$E:$E,Sheet1!$C:$C,$A146,Sheet1!$A:$A,D$2),"")</f>
        <v/>
      </c>
      <c r="E146" s="9" t="str">
        <f>IF(SUMIFS(Sheet1!$E:$E,Sheet1!$C:$C,$A146,Sheet1!$A:$A,E$2)&lt;&gt;0,SUMIFS(Sheet1!$E:$E,Sheet1!$C:$C,$A146,Sheet1!$A:$A,E$2),"")</f>
        <v/>
      </c>
      <c r="F146" s="9" t="str">
        <f>IF(SUMIFS(Sheet1!$E:$E,Sheet1!$C:$C,$A146,Sheet1!$A:$A,F$2)&lt;&gt;0,SUMIFS(Sheet1!$E:$E,Sheet1!$C:$C,$A146,Sheet1!$A:$A,F$2),"")</f>
        <v/>
      </c>
      <c r="G146" s="9" t="str">
        <f>IF(SUMIFS(Sheet1!$E:$E,Sheet1!$C:$C,$A146,Sheet1!$A:$A,G$2)&lt;&gt;0,SUMIFS(Sheet1!$E:$E,Sheet1!$C:$C,$A146,Sheet1!$A:$A,G$2),"")</f>
        <v/>
      </c>
      <c r="H146" s="9" t="str">
        <f>IF(SUMIFS(Sheet1!$E:$E,Sheet1!$C:$C,$A146,Sheet1!$A:$A,H$2)&lt;&gt;0,SUMIFS(Sheet1!$E:$E,Sheet1!$C:$C,$A146,Sheet1!$A:$A,H$2),"")</f>
        <v/>
      </c>
      <c r="I146" s="9" t="str">
        <f>IF(SUMIFS(Sheet1!$E:$E,Sheet1!$C:$C,$A146,Sheet1!$A:$A,I$2)&lt;&gt;0,SUMIFS(Sheet1!$E:$E,Sheet1!$C:$C,$A146,Sheet1!$A:$A,I$2),"")</f>
        <v/>
      </c>
      <c r="J146" s="9" t="str">
        <f>IF(SUMIFS(Sheet1!$E:$E,Sheet1!$C:$C,$A146,Sheet1!$A:$A,J$2)&lt;&gt;0,SUMIFS(Sheet1!$E:$E,Sheet1!$C:$C,$A146,Sheet1!$A:$A,J$2),"")</f>
        <v/>
      </c>
      <c r="K146" s="9" t="str">
        <f>IF(SUMIFS(Sheet1!$E:$E,Sheet1!$C:$C,$A146,Sheet1!$A:$A,K$2)&lt;&gt;0,SUMIFS(Sheet1!$E:$E,Sheet1!$C:$C,$A146,Sheet1!$A:$A,K$2),"")</f>
        <v/>
      </c>
      <c r="L146" s="9" t="str">
        <f>IF(SUMIFS(Sheet1!$E:$E,Sheet1!$C:$C,$A146,Sheet1!$A:$A,L$2)&lt;&gt;0,SUMIFS(Sheet1!$E:$E,Sheet1!$C:$C,$A146,Sheet1!$A:$A,L$2),"")</f>
        <v/>
      </c>
      <c r="M146" s="9" t="str">
        <f>IF(SUMIFS(Sheet1!$E:$E,Sheet1!$C:$C,$A146,Sheet1!$A:$A,M$2)&lt;&gt;0,SUMIFS(Sheet1!$E:$E,Sheet1!$C:$C,$A146,Sheet1!$A:$A,M$2),"")</f>
        <v/>
      </c>
      <c r="N146" s="9" t="str">
        <f>IF(SUMIFS(Sheet1!$E:$E,Sheet1!$C:$C,$A146,Sheet1!$A:$A,N$2)&lt;&gt;0,SUMIFS(Sheet1!$E:$E,Sheet1!$C:$C,$A146,Sheet1!$A:$A,N$2),"")</f>
        <v/>
      </c>
      <c r="O146" s="9" t="str">
        <f>IF(SUMIFS(Sheet1!$E:$E,Sheet1!$C:$C,$A146,Sheet1!$A:$A,O$2)&lt;&gt;0,SUMIFS(Sheet1!$E:$E,Sheet1!$C:$C,$A146,Sheet1!$A:$A,O$2),"")</f>
        <v/>
      </c>
      <c r="P146" s="9" t="str">
        <f>IF(SUMIFS(Sheet1!$E:$E,Sheet1!$C:$C,$A146,Sheet1!$A:$A,P$2)&lt;&gt;0,SUMIFS(Sheet1!$E:$E,Sheet1!$C:$C,$A146,Sheet1!$A:$A,P$2),"")</f>
        <v/>
      </c>
      <c r="Q146" s="9" t="str">
        <f>IF(SUMIFS(Sheet1!$E:$E,Sheet1!$C:$C,$A146,Sheet1!$A:$A,Q$2)&lt;&gt;0,SUMIFS(Sheet1!$E:$E,Sheet1!$C:$C,$A146,Sheet1!$A:$A,Q$2),"")</f>
        <v/>
      </c>
      <c r="R146" s="9" t="str">
        <f>IF(SUMIFS(Sheet1!$E:$E,Sheet1!$C:$C,$A146,Sheet1!$A:$A,R$2)&lt;&gt;0,SUMIFS(Sheet1!$E:$E,Sheet1!$C:$C,$A146,Sheet1!$A:$A,R$2),"")</f>
        <v/>
      </c>
      <c r="S146" s="9" t="str">
        <f>IF(SUMIFS(Sheet1!$E:$E,Sheet1!$C:$C,$A146,Sheet1!$A:$A,S$2)&lt;&gt;0,SUMIFS(Sheet1!$E:$E,Sheet1!$C:$C,$A146,Sheet1!$A:$A,S$2),"")</f>
        <v/>
      </c>
      <c r="T146" s="9" t="str">
        <f>IF(SUMIFS(Sheet1!$E:$E,Sheet1!$C:$C,$A146,Sheet1!$A:$A,T$2)&lt;&gt;0,SUMIFS(Sheet1!$E:$E,Sheet1!$C:$C,$A146,Sheet1!$A:$A,T$2),"")</f>
        <v/>
      </c>
      <c r="U146" s="9" t="str">
        <f>IF(SUMIFS(Sheet1!$E:$E,Sheet1!$C:$C,$A146,Sheet1!$A:$A,U$2)&lt;&gt;0,SUMIFS(Sheet1!$E:$E,Sheet1!$C:$C,$A146,Sheet1!$A:$A,U$2),"")</f>
        <v/>
      </c>
      <c r="V146" s="9" t="str">
        <f>IF(SUMIFS(Sheet1!$E:$E,Sheet1!$C:$C,$A146,Sheet1!$A:$A,V$2)&lt;&gt;0,SUMIFS(Sheet1!$E:$E,Sheet1!$C:$C,$A146,Sheet1!$A:$A,V$2),"")</f>
        <v/>
      </c>
      <c r="W146" s="9" t="str">
        <f>IF(SUMIFS(Sheet1!$E:$E,Sheet1!$C:$C,$A146,Sheet1!$A:$A,W$2)&lt;&gt;0,SUMIFS(Sheet1!$E:$E,Sheet1!$C:$C,$A146,Sheet1!$A:$A,W$2),"")</f>
        <v/>
      </c>
      <c r="X146" s="9" t="str">
        <f>IF(SUMIFS(Sheet1!$E:$E,Sheet1!$C:$C,$A146,Sheet1!$A:$A,X$2)&lt;&gt;0,SUMIFS(Sheet1!$E:$E,Sheet1!$C:$C,$A146,Sheet1!$A:$A,X$2),"")</f>
        <v/>
      </c>
      <c r="Y146" s="9" t="str">
        <f>IF(SUMIFS(Sheet1!$E:$E,Sheet1!$C:$C,$A146,Sheet1!$A:$A,Y$2)&lt;&gt;0,SUMIFS(Sheet1!$E:$E,Sheet1!$C:$C,$A146,Sheet1!$A:$A,Y$2),"")</f>
        <v/>
      </c>
      <c r="Z146" s="9" t="str">
        <f>IF(SUMIFS(Sheet1!$E:$E,Sheet1!$C:$C,$A146,Sheet1!$A:$A,Z$2)&lt;&gt;0,SUMIFS(Sheet1!$E:$E,Sheet1!$C:$C,$A146,Sheet1!$A:$A,Z$2),"")</f>
        <v/>
      </c>
      <c r="AA146" s="9" t="str">
        <f>IF(SUMIFS(Sheet1!$E:$E,Sheet1!$C:$C,$A146,Sheet1!$A:$A,AA$2)&lt;&gt;0,SUMIFS(Sheet1!$E:$E,Sheet1!$C:$C,$A146,Sheet1!$A:$A,AA$2),"")</f>
        <v/>
      </c>
      <c r="AB146" s="9" t="str">
        <f>IF(SUMIFS(Sheet1!$E:$E,Sheet1!$C:$C,$A146,Sheet1!$A:$A,AB$2)&lt;&gt;0,SUMIFS(Sheet1!$E:$E,Sheet1!$C:$C,$A146,Sheet1!$A:$A,AB$2),"")</f>
        <v/>
      </c>
      <c r="AC146" s="9" t="str">
        <f>IF(SUMIFS(Sheet1!$E:$E,Sheet1!$C:$C,$A146,Sheet1!$A:$A,AC$2)&lt;&gt;0,SUMIFS(Sheet1!$E:$E,Sheet1!$C:$C,$A146,Sheet1!$A:$A,AC$2),"")</f>
        <v/>
      </c>
      <c r="AD146" s="9" t="str">
        <f>IF(SUMIFS(Sheet1!$E:$E,Sheet1!$C:$C,$A146,Sheet1!$A:$A,AD$2)&lt;&gt;0,SUMIFS(Sheet1!$E:$E,Sheet1!$C:$C,$A146,Sheet1!$A:$A,AD$2),"")</f>
        <v/>
      </c>
      <c r="AE146" s="9" t="str">
        <f>IF(SUMIFS(Sheet1!$E:$E,Sheet1!$C:$C,$A146,Sheet1!$A:$A,AE$2)&lt;&gt;0,SUMIFS(Sheet1!$E:$E,Sheet1!$C:$C,$A146,Sheet1!$A:$A,AE$2),"")</f>
        <v/>
      </c>
      <c r="AF146" s="9" t="str">
        <f>IF(SUMIFS(Sheet1!$E:$E,Sheet1!$C:$C,$A146,Sheet1!$A:$A,AF$2)&lt;&gt;0,SUMIFS(Sheet1!$E:$E,Sheet1!$C:$C,$A146,Sheet1!$A:$A,AF$2),"")</f>
        <v/>
      </c>
      <c r="AG146" s="9" t="str">
        <f>IF(SUMIFS(Sheet1!$E:$E,Sheet1!$C:$C,$A146,Sheet1!$A:$A,AG$2)&lt;&gt;0,SUMIFS(Sheet1!$E:$E,Sheet1!$C:$C,$A146,Sheet1!$A:$A,AG$2),"")</f>
        <v/>
      </c>
      <c r="AH146" s="47">
        <f>SUM(Table24[[#This Row],[1]:[31]])</f>
        <v>-1</v>
      </c>
    </row>
    <row r="147" spans="1:34" ht="12.75" customHeight="1">
      <c r="A147" s="24" t="str">
        <f>DSSP!A146</f>
        <v>DS16</v>
      </c>
      <c r="B147" s="25" t="str">
        <f>DSSP!B146</f>
        <v>Combo classic</v>
      </c>
      <c r="C147" s="9" t="str">
        <f>IF(SUMIFS(Sheet1!$E:$E,Sheet1!$C:$C,$A147,Sheet1!$A:$A,C$2)&lt;&gt;0,SUMIFS(Sheet1!$E:$E,Sheet1!$C:$C,$A147,Sheet1!$A:$A,C$2),"")</f>
        <v/>
      </c>
      <c r="D147" s="9" t="str">
        <f>IF(SUMIFS(Sheet1!$E:$E,Sheet1!$C:$C,$A147,Sheet1!$A:$A,D$2)&lt;&gt;0,SUMIFS(Sheet1!$E:$E,Sheet1!$C:$C,$A147,Sheet1!$A:$A,D$2),"")</f>
        <v/>
      </c>
      <c r="E147" s="9" t="str">
        <f>IF(SUMIFS(Sheet1!$E:$E,Sheet1!$C:$C,$A147,Sheet1!$A:$A,E$2)&lt;&gt;0,SUMIFS(Sheet1!$E:$E,Sheet1!$C:$C,$A147,Sheet1!$A:$A,E$2),"")</f>
        <v/>
      </c>
      <c r="F147" s="9" t="str">
        <f>IF(SUMIFS(Sheet1!$E:$E,Sheet1!$C:$C,$A147,Sheet1!$A:$A,F$2)&lt;&gt;0,SUMIFS(Sheet1!$E:$E,Sheet1!$C:$C,$A147,Sheet1!$A:$A,F$2),"")</f>
        <v/>
      </c>
      <c r="G147" s="9" t="str">
        <f>IF(SUMIFS(Sheet1!$E:$E,Sheet1!$C:$C,$A147,Sheet1!$A:$A,G$2)&lt;&gt;0,SUMIFS(Sheet1!$E:$E,Sheet1!$C:$C,$A147,Sheet1!$A:$A,G$2),"")</f>
        <v/>
      </c>
      <c r="H147" s="9" t="str">
        <f>IF(SUMIFS(Sheet1!$E:$E,Sheet1!$C:$C,$A147,Sheet1!$A:$A,H$2)&lt;&gt;0,SUMIFS(Sheet1!$E:$E,Sheet1!$C:$C,$A147,Sheet1!$A:$A,H$2),"")</f>
        <v/>
      </c>
      <c r="I147" s="9" t="str">
        <f>IF(SUMIFS(Sheet1!$E:$E,Sheet1!$C:$C,$A147,Sheet1!$A:$A,I$2)&lt;&gt;0,SUMIFS(Sheet1!$E:$E,Sheet1!$C:$C,$A147,Sheet1!$A:$A,I$2),"")</f>
        <v/>
      </c>
      <c r="J147" s="9" t="str">
        <f>IF(SUMIFS(Sheet1!$E:$E,Sheet1!$C:$C,$A147,Sheet1!$A:$A,J$2)&lt;&gt;0,SUMIFS(Sheet1!$E:$E,Sheet1!$C:$C,$A147,Sheet1!$A:$A,J$2),"")</f>
        <v/>
      </c>
      <c r="K147" s="9" t="str">
        <f>IF(SUMIFS(Sheet1!$E:$E,Sheet1!$C:$C,$A147,Sheet1!$A:$A,K$2)&lt;&gt;0,SUMIFS(Sheet1!$E:$E,Sheet1!$C:$C,$A147,Sheet1!$A:$A,K$2),"")</f>
        <v/>
      </c>
      <c r="L147" s="9" t="str">
        <f>IF(SUMIFS(Sheet1!$E:$E,Sheet1!$C:$C,$A147,Sheet1!$A:$A,L$2)&lt;&gt;0,SUMIFS(Sheet1!$E:$E,Sheet1!$C:$C,$A147,Sheet1!$A:$A,L$2),"")</f>
        <v/>
      </c>
      <c r="M147" s="9" t="str">
        <f>IF(SUMIFS(Sheet1!$E:$E,Sheet1!$C:$C,$A147,Sheet1!$A:$A,M$2)&lt;&gt;0,SUMIFS(Sheet1!$E:$E,Sheet1!$C:$C,$A147,Sheet1!$A:$A,M$2),"")</f>
        <v/>
      </c>
      <c r="N147" s="9" t="str">
        <f>IF(SUMIFS(Sheet1!$E:$E,Sheet1!$C:$C,$A147,Sheet1!$A:$A,N$2)&lt;&gt;0,SUMIFS(Sheet1!$E:$E,Sheet1!$C:$C,$A147,Sheet1!$A:$A,N$2),"")</f>
        <v/>
      </c>
      <c r="O147" s="9" t="str">
        <f>IF(SUMIFS(Sheet1!$E:$E,Sheet1!$C:$C,$A147,Sheet1!$A:$A,O$2)&lt;&gt;0,SUMIFS(Sheet1!$E:$E,Sheet1!$C:$C,$A147,Sheet1!$A:$A,O$2),"")</f>
        <v/>
      </c>
      <c r="P147" s="9" t="str">
        <f>IF(SUMIFS(Sheet1!$E:$E,Sheet1!$C:$C,$A147,Sheet1!$A:$A,P$2)&lt;&gt;0,SUMIFS(Sheet1!$E:$E,Sheet1!$C:$C,$A147,Sheet1!$A:$A,P$2),"")</f>
        <v/>
      </c>
      <c r="Q147" s="9" t="str">
        <f>IF(SUMIFS(Sheet1!$E:$E,Sheet1!$C:$C,$A147,Sheet1!$A:$A,Q$2)&lt;&gt;0,SUMIFS(Sheet1!$E:$E,Sheet1!$C:$C,$A147,Sheet1!$A:$A,Q$2),"")</f>
        <v/>
      </c>
      <c r="R147" s="9" t="str">
        <f>IF(SUMIFS(Sheet1!$E:$E,Sheet1!$C:$C,$A147,Sheet1!$A:$A,R$2)&lt;&gt;0,SUMIFS(Sheet1!$E:$E,Sheet1!$C:$C,$A147,Sheet1!$A:$A,R$2),"")</f>
        <v/>
      </c>
      <c r="S147" s="9" t="str">
        <f>IF(SUMIFS(Sheet1!$E:$E,Sheet1!$C:$C,$A147,Sheet1!$A:$A,S$2)&lt;&gt;0,SUMIFS(Sheet1!$E:$E,Sheet1!$C:$C,$A147,Sheet1!$A:$A,S$2),"")</f>
        <v/>
      </c>
      <c r="T147" s="9" t="str">
        <f>IF(SUMIFS(Sheet1!$E:$E,Sheet1!$C:$C,$A147,Sheet1!$A:$A,T$2)&lt;&gt;0,SUMIFS(Sheet1!$E:$E,Sheet1!$C:$C,$A147,Sheet1!$A:$A,T$2),"")</f>
        <v/>
      </c>
      <c r="U147" s="9" t="str">
        <f>IF(SUMIFS(Sheet1!$E:$E,Sheet1!$C:$C,$A147,Sheet1!$A:$A,U$2)&lt;&gt;0,SUMIFS(Sheet1!$E:$E,Sheet1!$C:$C,$A147,Sheet1!$A:$A,U$2),"")</f>
        <v/>
      </c>
      <c r="V147" s="9" t="str">
        <f>IF(SUMIFS(Sheet1!$E:$E,Sheet1!$C:$C,$A147,Sheet1!$A:$A,V$2)&lt;&gt;0,SUMIFS(Sheet1!$E:$E,Sheet1!$C:$C,$A147,Sheet1!$A:$A,V$2),"")</f>
        <v/>
      </c>
      <c r="W147" s="9" t="str">
        <f>IF(SUMIFS(Sheet1!$E:$E,Sheet1!$C:$C,$A147,Sheet1!$A:$A,W$2)&lt;&gt;0,SUMIFS(Sheet1!$E:$E,Sheet1!$C:$C,$A147,Sheet1!$A:$A,W$2),"")</f>
        <v/>
      </c>
      <c r="X147" s="9" t="str">
        <f>IF(SUMIFS(Sheet1!$E:$E,Sheet1!$C:$C,$A147,Sheet1!$A:$A,X$2)&lt;&gt;0,SUMIFS(Sheet1!$E:$E,Sheet1!$C:$C,$A147,Sheet1!$A:$A,X$2),"")</f>
        <v/>
      </c>
      <c r="Y147" s="9" t="str">
        <f>IF(SUMIFS(Sheet1!$E:$E,Sheet1!$C:$C,$A147,Sheet1!$A:$A,Y$2)&lt;&gt;0,SUMIFS(Sheet1!$E:$E,Sheet1!$C:$C,$A147,Sheet1!$A:$A,Y$2),"")</f>
        <v/>
      </c>
      <c r="Z147" s="9" t="str">
        <f>IF(SUMIFS(Sheet1!$E:$E,Sheet1!$C:$C,$A147,Sheet1!$A:$A,Z$2)&lt;&gt;0,SUMIFS(Sheet1!$E:$E,Sheet1!$C:$C,$A147,Sheet1!$A:$A,Z$2),"")</f>
        <v/>
      </c>
      <c r="AA147" s="9" t="str">
        <f>IF(SUMIFS(Sheet1!$E:$E,Sheet1!$C:$C,$A147,Sheet1!$A:$A,AA$2)&lt;&gt;0,SUMIFS(Sheet1!$E:$E,Sheet1!$C:$C,$A147,Sheet1!$A:$A,AA$2),"")</f>
        <v/>
      </c>
      <c r="AB147" s="9" t="str">
        <f>IF(SUMIFS(Sheet1!$E:$E,Sheet1!$C:$C,$A147,Sheet1!$A:$A,AB$2)&lt;&gt;0,SUMIFS(Sheet1!$E:$E,Sheet1!$C:$C,$A147,Sheet1!$A:$A,AB$2),"")</f>
        <v/>
      </c>
      <c r="AC147" s="9" t="str">
        <f>IF(SUMIFS(Sheet1!$E:$E,Sheet1!$C:$C,$A147,Sheet1!$A:$A,AC$2)&lt;&gt;0,SUMIFS(Sheet1!$E:$E,Sheet1!$C:$C,$A147,Sheet1!$A:$A,AC$2),"")</f>
        <v/>
      </c>
      <c r="AD147" s="9" t="str">
        <f>IF(SUMIFS(Sheet1!$E:$E,Sheet1!$C:$C,$A147,Sheet1!$A:$A,AD$2)&lt;&gt;0,SUMIFS(Sheet1!$E:$E,Sheet1!$C:$C,$A147,Sheet1!$A:$A,AD$2),"")</f>
        <v/>
      </c>
      <c r="AE147" s="9" t="str">
        <f>IF(SUMIFS(Sheet1!$E:$E,Sheet1!$C:$C,$A147,Sheet1!$A:$A,AE$2)&lt;&gt;0,SUMIFS(Sheet1!$E:$E,Sheet1!$C:$C,$A147,Sheet1!$A:$A,AE$2),"")</f>
        <v/>
      </c>
      <c r="AF147" s="9" t="str">
        <f>IF(SUMIFS(Sheet1!$E:$E,Sheet1!$C:$C,$A147,Sheet1!$A:$A,AF$2)&lt;&gt;0,SUMIFS(Sheet1!$E:$E,Sheet1!$C:$C,$A147,Sheet1!$A:$A,AF$2),"")</f>
        <v/>
      </c>
      <c r="AG147" s="9" t="str">
        <f>IF(SUMIFS(Sheet1!$E:$E,Sheet1!$C:$C,$A147,Sheet1!$A:$A,AG$2)&lt;&gt;0,SUMIFS(Sheet1!$E:$E,Sheet1!$C:$C,$A147,Sheet1!$A:$A,AG$2),"")</f>
        <v/>
      </c>
      <c r="AH147" s="47">
        <f>SUM(Table24[[#This Row],[1]:[31]])</f>
        <v>0</v>
      </c>
    </row>
    <row r="148" spans="1:34" ht="12.75" customHeight="1">
      <c r="A148" s="24" t="str">
        <f>DSSP!A147</f>
        <v>DS17</v>
      </c>
      <c r="B148" s="25" t="str">
        <f>DSSP!B147</f>
        <v>Combo bánh</v>
      </c>
      <c r="C148" s="9" t="str">
        <f>IF(SUMIFS(Sheet1!$E:$E,Sheet1!$C:$C,$A148,Sheet1!$A:$A,C$2)&lt;&gt;0,SUMIFS(Sheet1!$E:$E,Sheet1!$C:$C,$A148,Sheet1!$A:$A,C$2),"")</f>
        <v/>
      </c>
      <c r="D148" s="9" t="str">
        <f>IF(SUMIFS(Sheet1!$E:$E,Sheet1!$C:$C,$A148,Sheet1!$A:$A,D$2)&lt;&gt;0,SUMIFS(Sheet1!$E:$E,Sheet1!$C:$C,$A148,Sheet1!$A:$A,D$2),"")</f>
        <v/>
      </c>
      <c r="E148" s="9" t="str">
        <f>IF(SUMIFS(Sheet1!$E:$E,Sheet1!$C:$C,$A148,Sheet1!$A:$A,E$2)&lt;&gt;0,SUMIFS(Sheet1!$E:$E,Sheet1!$C:$C,$A148,Sheet1!$A:$A,E$2),"")</f>
        <v/>
      </c>
      <c r="F148" s="9" t="str">
        <f>IF(SUMIFS(Sheet1!$E:$E,Sheet1!$C:$C,$A148,Sheet1!$A:$A,F$2)&lt;&gt;0,SUMIFS(Sheet1!$E:$E,Sheet1!$C:$C,$A148,Sheet1!$A:$A,F$2),"")</f>
        <v/>
      </c>
      <c r="G148" s="9" t="str">
        <f>IF(SUMIFS(Sheet1!$E:$E,Sheet1!$C:$C,$A148,Sheet1!$A:$A,G$2)&lt;&gt;0,SUMIFS(Sheet1!$E:$E,Sheet1!$C:$C,$A148,Sheet1!$A:$A,G$2),"")</f>
        <v/>
      </c>
      <c r="H148" s="9" t="str">
        <f>IF(SUMIFS(Sheet1!$E:$E,Sheet1!$C:$C,$A148,Sheet1!$A:$A,H$2)&lt;&gt;0,SUMIFS(Sheet1!$E:$E,Sheet1!$C:$C,$A148,Sheet1!$A:$A,H$2),"")</f>
        <v/>
      </c>
      <c r="I148" s="9" t="str">
        <f>IF(SUMIFS(Sheet1!$E:$E,Sheet1!$C:$C,$A148,Sheet1!$A:$A,I$2)&lt;&gt;0,SUMIFS(Sheet1!$E:$E,Sheet1!$C:$C,$A148,Sheet1!$A:$A,I$2),"")</f>
        <v/>
      </c>
      <c r="J148" s="9" t="str">
        <f>IF(SUMIFS(Sheet1!$E:$E,Sheet1!$C:$C,$A148,Sheet1!$A:$A,J$2)&lt;&gt;0,SUMIFS(Sheet1!$E:$E,Sheet1!$C:$C,$A148,Sheet1!$A:$A,J$2),"")</f>
        <v/>
      </c>
      <c r="K148" s="9" t="str">
        <f>IF(SUMIFS(Sheet1!$E:$E,Sheet1!$C:$C,$A148,Sheet1!$A:$A,K$2)&lt;&gt;0,SUMIFS(Sheet1!$E:$E,Sheet1!$C:$C,$A148,Sheet1!$A:$A,K$2),"")</f>
        <v/>
      </c>
      <c r="L148" s="9" t="str">
        <f>IF(SUMIFS(Sheet1!$E:$E,Sheet1!$C:$C,$A148,Sheet1!$A:$A,L$2)&lt;&gt;0,SUMIFS(Sheet1!$E:$E,Sheet1!$C:$C,$A148,Sheet1!$A:$A,L$2),"")</f>
        <v/>
      </c>
      <c r="M148" s="9" t="str">
        <f>IF(SUMIFS(Sheet1!$E:$E,Sheet1!$C:$C,$A148,Sheet1!$A:$A,M$2)&lt;&gt;0,SUMIFS(Sheet1!$E:$E,Sheet1!$C:$C,$A148,Sheet1!$A:$A,M$2),"")</f>
        <v/>
      </c>
      <c r="N148" s="9" t="str">
        <f>IF(SUMIFS(Sheet1!$E:$E,Sheet1!$C:$C,$A148,Sheet1!$A:$A,N$2)&lt;&gt;0,SUMIFS(Sheet1!$E:$E,Sheet1!$C:$C,$A148,Sheet1!$A:$A,N$2),"")</f>
        <v/>
      </c>
      <c r="O148" s="9" t="str">
        <f>IF(SUMIFS(Sheet1!$E:$E,Sheet1!$C:$C,$A148,Sheet1!$A:$A,O$2)&lt;&gt;0,SUMIFS(Sheet1!$E:$E,Sheet1!$C:$C,$A148,Sheet1!$A:$A,O$2),"")</f>
        <v/>
      </c>
      <c r="P148" s="9" t="str">
        <f>IF(SUMIFS(Sheet1!$E:$E,Sheet1!$C:$C,$A148,Sheet1!$A:$A,P$2)&lt;&gt;0,SUMIFS(Sheet1!$E:$E,Sheet1!$C:$C,$A148,Sheet1!$A:$A,P$2),"")</f>
        <v/>
      </c>
      <c r="Q148" s="9" t="str">
        <f>IF(SUMIFS(Sheet1!$E:$E,Sheet1!$C:$C,$A148,Sheet1!$A:$A,Q$2)&lt;&gt;0,SUMIFS(Sheet1!$E:$E,Sheet1!$C:$C,$A148,Sheet1!$A:$A,Q$2),"")</f>
        <v/>
      </c>
      <c r="R148" s="9" t="str">
        <f>IF(SUMIFS(Sheet1!$E:$E,Sheet1!$C:$C,$A148,Sheet1!$A:$A,R$2)&lt;&gt;0,SUMIFS(Sheet1!$E:$E,Sheet1!$C:$C,$A148,Sheet1!$A:$A,R$2),"")</f>
        <v/>
      </c>
      <c r="S148" s="9" t="str">
        <f>IF(SUMIFS(Sheet1!$E:$E,Sheet1!$C:$C,$A148,Sheet1!$A:$A,S$2)&lt;&gt;0,SUMIFS(Sheet1!$E:$E,Sheet1!$C:$C,$A148,Sheet1!$A:$A,S$2),"")</f>
        <v/>
      </c>
      <c r="T148" s="9" t="str">
        <f>IF(SUMIFS(Sheet1!$E:$E,Sheet1!$C:$C,$A148,Sheet1!$A:$A,T$2)&lt;&gt;0,SUMIFS(Sheet1!$E:$E,Sheet1!$C:$C,$A148,Sheet1!$A:$A,T$2),"")</f>
        <v/>
      </c>
      <c r="U148" s="9" t="str">
        <f>IF(SUMIFS(Sheet1!$E:$E,Sheet1!$C:$C,$A148,Sheet1!$A:$A,U$2)&lt;&gt;0,SUMIFS(Sheet1!$E:$E,Sheet1!$C:$C,$A148,Sheet1!$A:$A,U$2),"")</f>
        <v/>
      </c>
      <c r="V148" s="9" t="str">
        <f>IF(SUMIFS(Sheet1!$E:$E,Sheet1!$C:$C,$A148,Sheet1!$A:$A,V$2)&lt;&gt;0,SUMIFS(Sheet1!$E:$E,Sheet1!$C:$C,$A148,Sheet1!$A:$A,V$2),"")</f>
        <v/>
      </c>
      <c r="W148" s="9" t="str">
        <f>IF(SUMIFS(Sheet1!$E:$E,Sheet1!$C:$C,$A148,Sheet1!$A:$A,W$2)&lt;&gt;0,SUMIFS(Sheet1!$E:$E,Sheet1!$C:$C,$A148,Sheet1!$A:$A,W$2),"")</f>
        <v/>
      </c>
      <c r="X148" s="9" t="str">
        <f>IF(SUMIFS(Sheet1!$E:$E,Sheet1!$C:$C,$A148,Sheet1!$A:$A,X$2)&lt;&gt;0,SUMIFS(Sheet1!$E:$E,Sheet1!$C:$C,$A148,Sheet1!$A:$A,X$2),"")</f>
        <v/>
      </c>
      <c r="Y148" s="9" t="str">
        <f>IF(SUMIFS(Sheet1!$E:$E,Sheet1!$C:$C,$A148,Sheet1!$A:$A,Y$2)&lt;&gt;0,SUMIFS(Sheet1!$E:$E,Sheet1!$C:$C,$A148,Sheet1!$A:$A,Y$2),"")</f>
        <v/>
      </c>
      <c r="Z148" s="9" t="str">
        <f>IF(SUMIFS(Sheet1!$E:$E,Sheet1!$C:$C,$A148,Sheet1!$A:$A,Z$2)&lt;&gt;0,SUMIFS(Sheet1!$E:$E,Sheet1!$C:$C,$A148,Sheet1!$A:$A,Z$2),"")</f>
        <v/>
      </c>
      <c r="AA148" s="9" t="str">
        <f>IF(SUMIFS(Sheet1!$E:$E,Sheet1!$C:$C,$A148,Sheet1!$A:$A,AA$2)&lt;&gt;0,SUMIFS(Sheet1!$E:$E,Sheet1!$C:$C,$A148,Sheet1!$A:$A,AA$2),"")</f>
        <v/>
      </c>
      <c r="AB148" s="9" t="str">
        <f>IF(SUMIFS(Sheet1!$E:$E,Sheet1!$C:$C,$A148,Sheet1!$A:$A,AB$2)&lt;&gt;0,SUMIFS(Sheet1!$E:$E,Sheet1!$C:$C,$A148,Sheet1!$A:$A,AB$2),"")</f>
        <v/>
      </c>
      <c r="AC148" s="9" t="str">
        <f>IF(SUMIFS(Sheet1!$E:$E,Sheet1!$C:$C,$A148,Sheet1!$A:$A,AC$2)&lt;&gt;0,SUMIFS(Sheet1!$E:$E,Sheet1!$C:$C,$A148,Sheet1!$A:$A,AC$2),"")</f>
        <v/>
      </c>
      <c r="AD148" s="9" t="str">
        <f>IF(SUMIFS(Sheet1!$E:$E,Sheet1!$C:$C,$A148,Sheet1!$A:$A,AD$2)&lt;&gt;0,SUMIFS(Sheet1!$E:$E,Sheet1!$C:$C,$A148,Sheet1!$A:$A,AD$2),"")</f>
        <v/>
      </c>
      <c r="AE148" s="9" t="str">
        <f>IF(SUMIFS(Sheet1!$E:$E,Sheet1!$C:$C,$A148,Sheet1!$A:$A,AE$2)&lt;&gt;0,SUMIFS(Sheet1!$E:$E,Sheet1!$C:$C,$A148,Sheet1!$A:$A,AE$2),"")</f>
        <v/>
      </c>
      <c r="AF148" s="9" t="str">
        <f>IF(SUMIFS(Sheet1!$E:$E,Sheet1!$C:$C,$A148,Sheet1!$A:$A,AF$2)&lt;&gt;0,SUMIFS(Sheet1!$E:$E,Sheet1!$C:$C,$A148,Sheet1!$A:$A,AF$2),"")</f>
        <v/>
      </c>
      <c r="AG148" s="9" t="str">
        <f>IF(SUMIFS(Sheet1!$E:$E,Sheet1!$C:$C,$A148,Sheet1!$A:$A,AG$2)&lt;&gt;0,SUMIFS(Sheet1!$E:$E,Sheet1!$C:$C,$A148,Sheet1!$A:$A,AG$2),"")</f>
        <v/>
      </c>
      <c r="AH148" s="47">
        <f>SUM(Table24[[#This Row],[1]:[31]])</f>
        <v>0</v>
      </c>
    </row>
    <row r="149" spans="1:34" ht="12.75" customHeight="1">
      <c r="A149" s="24" t="str">
        <f>DSSP!A148</f>
        <v>DS18</v>
      </c>
      <c r="B149" s="25" t="str">
        <f>DSSP!B148</f>
        <v>Tấm phơi</v>
      </c>
      <c r="C149" s="9">
        <f>IF(SUMIFS(Sheet1!$E:$E,Sheet1!$C:$C,$A149,Sheet1!$A:$A,C$2)&lt;&gt;0,SUMIFS(Sheet1!$E:$E,Sheet1!$C:$C,$A149,Sheet1!$A:$A,C$2),"")</f>
        <v>86</v>
      </c>
      <c r="D149" s="9" t="str">
        <f>IF(SUMIFS(Sheet1!$E:$E,Sheet1!$C:$C,$A149,Sheet1!$A:$A,D$2)&lt;&gt;0,SUMIFS(Sheet1!$E:$E,Sheet1!$C:$C,$A149,Sheet1!$A:$A,D$2),"")</f>
        <v/>
      </c>
      <c r="E149" s="9" t="str">
        <f>IF(SUMIFS(Sheet1!$E:$E,Sheet1!$C:$C,$A149,Sheet1!$A:$A,E$2)&lt;&gt;0,SUMIFS(Sheet1!$E:$E,Sheet1!$C:$C,$A149,Sheet1!$A:$A,E$2),"")</f>
        <v/>
      </c>
      <c r="F149" s="9" t="str">
        <f>IF(SUMIFS(Sheet1!$E:$E,Sheet1!$C:$C,$A149,Sheet1!$A:$A,F$2)&lt;&gt;0,SUMIFS(Sheet1!$E:$E,Sheet1!$C:$C,$A149,Sheet1!$A:$A,F$2),"")</f>
        <v/>
      </c>
      <c r="G149" s="9" t="str">
        <f>IF(SUMIFS(Sheet1!$E:$E,Sheet1!$C:$C,$A149,Sheet1!$A:$A,G$2)&lt;&gt;0,SUMIFS(Sheet1!$E:$E,Sheet1!$C:$C,$A149,Sheet1!$A:$A,G$2),"")</f>
        <v/>
      </c>
      <c r="H149" s="9" t="str">
        <f>IF(SUMIFS(Sheet1!$E:$E,Sheet1!$C:$C,$A149,Sheet1!$A:$A,H$2)&lt;&gt;0,SUMIFS(Sheet1!$E:$E,Sheet1!$C:$C,$A149,Sheet1!$A:$A,H$2),"")</f>
        <v/>
      </c>
      <c r="I149" s="9" t="str">
        <f>IF(SUMIFS(Sheet1!$E:$E,Sheet1!$C:$C,$A149,Sheet1!$A:$A,I$2)&lt;&gt;0,SUMIFS(Sheet1!$E:$E,Sheet1!$C:$C,$A149,Sheet1!$A:$A,I$2),"")</f>
        <v/>
      </c>
      <c r="J149" s="9" t="str">
        <f>IF(SUMIFS(Sheet1!$E:$E,Sheet1!$C:$C,$A149,Sheet1!$A:$A,J$2)&lt;&gt;0,SUMIFS(Sheet1!$E:$E,Sheet1!$C:$C,$A149,Sheet1!$A:$A,J$2),"")</f>
        <v/>
      </c>
      <c r="K149" s="9" t="str">
        <f>IF(SUMIFS(Sheet1!$E:$E,Sheet1!$C:$C,$A149,Sheet1!$A:$A,K$2)&lt;&gt;0,SUMIFS(Sheet1!$E:$E,Sheet1!$C:$C,$A149,Sheet1!$A:$A,K$2),"")</f>
        <v/>
      </c>
      <c r="L149" s="9" t="str">
        <f>IF(SUMIFS(Sheet1!$E:$E,Sheet1!$C:$C,$A149,Sheet1!$A:$A,L$2)&lt;&gt;0,SUMIFS(Sheet1!$E:$E,Sheet1!$C:$C,$A149,Sheet1!$A:$A,L$2),"")</f>
        <v/>
      </c>
      <c r="M149" s="9" t="str">
        <f>IF(SUMIFS(Sheet1!$E:$E,Sheet1!$C:$C,$A149,Sheet1!$A:$A,M$2)&lt;&gt;0,SUMIFS(Sheet1!$E:$E,Sheet1!$C:$C,$A149,Sheet1!$A:$A,M$2),"")</f>
        <v/>
      </c>
      <c r="N149" s="9" t="str">
        <f>IF(SUMIFS(Sheet1!$E:$E,Sheet1!$C:$C,$A149,Sheet1!$A:$A,N$2)&lt;&gt;0,SUMIFS(Sheet1!$E:$E,Sheet1!$C:$C,$A149,Sheet1!$A:$A,N$2),"")</f>
        <v/>
      </c>
      <c r="O149" s="9" t="str">
        <f>IF(SUMIFS(Sheet1!$E:$E,Sheet1!$C:$C,$A149,Sheet1!$A:$A,O$2)&lt;&gt;0,SUMIFS(Sheet1!$E:$E,Sheet1!$C:$C,$A149,Sheet1!$A:$A,O$2),"")</f>
        <v/>
      </c>
      <c r="P149" s="9" t="str">
        <f>IF(SUMIFS(Sheet1!$E:$E,Sheet1!$C:$C,$A149,Sheet1!$A:$A,P$2)&lt;&gt;0,SUMIFS(Sheet1!$E:$E,Sheet1!$C:$C,$A149,Sheet1!$A:$A,P$2),"")</f>
        <v/>
      </c>
      <c r="Q149" s="9" t="str">
        <f>IF(SUMIFS(Sheet1!$E:$E,Sheet1!$C:$C,$A149,Sheet1!$A:$A,Q$2)&lt;&gt;0,SUMIFS(Sheet1!$E:$E,Sheet1!$C:$C,$A149,Sheet1!$A:$A,Q$2),"")</f>
        <v/>
      </c>
      <c r="R149" s="9" t="str">
        <f>IF(SUMIFS(Sheet1!$E:$E,Sheet1!$C:$C,$A149,Sheet1!$A:$A,R$2)&lt;&gt;0,SUMIFS(Sheet1!$E:$E,Sheet1!$C:$C,$A149,Sheet1!$A:$A,R$2),"")</f>
        <v/>
      </c>
      <c r="S149" s="9" t="str">
        <f>IF(SUMIFS(Sheet1!$E:$E,Sheet1!$C:$C,$A149,Sheet1!$A:$A,S$2)&lt;&gt;0,SUMIFS(Sheet1!$E:$E,Sheet1!$C:$C,$A149,Sheet1!$A:$A,S$2),"")</f>
        <v/>
      </c>
      <c r="T149" s="9" t="str">
        <f>IF(SUMIFS(Sheet1!$E:$E,Sheet1!$C:$C,$A149,Sheet1!$A:$A,T$2)&lt;&gt;0,SUMIFS(Sheet1!$E:$E,Sheet1!$C:$C,$A149,Sheet1!$A:$A,T$2),"")</f>
        <v/>
      </c>
      <c r="U149" s="9" t="str">
        <f>IF(SUMIFS(Sheet1!$E:$E,Sheet1!$C:$C,$A149,Sheet1!$A:$A,U$2)&lt;&gt;0,SUMIFS(Sheet1!$E:$E,Sheet1!$C:$C,$A149,Sheet1!$A:$A,U$2),"")</f>
        <v/>
      </c>
      <c r="V149" s="9" t="str">
        <f>IF(SUMIFS(Sheet1!$E:$E,Sheet1!$C:$C,$A149,Sheet1!$A:$A,V$2)&lt;&gt;0,SUMIFS(Sheet1!$E:$E,Sheet1!$C:$C,$A149,Sheet1!$A:$A,V$2),"")</f>
        <v/>
      </c>
      <c r="W149" s="9" t="str">
        <f>IF(SUMIFS(Sheet1!$E:$E,Sheet1!$C:$C,$A149,Sheet1!$A:$A,W$2)&lt;&gt;0,SUMIFS(Sheet1!$E:$E,Sheet1!$C:$C,$A149,Sheet1!$A:$A,W$2),"")</f>
        <v/>
      </c>
      <c r="X149" s="9" t="str">
        <f>IF(SUMIFS(Sheet1!$E:$E,Sheet1!$C:$C,$A149,Sheet1!$A:$A,X$2)&lt;&gt;0,SUMIFS(Sheet1!$E:$E,Sheet1!$C:$C,$A149,Sheet1!$A:$A,X$2),"")</f>
        <v/>
      </c>
      <c r="Y149" s="9" t="str">
        <f>IF(SUMIFS(Sheet1!$E:$E,Sheet1!$C:$C,$A149,Sheet1!$A:$A,Y$2)&lt;&gt;0,SUMIFS(Sheet1!$E:$E,Sheet1!$C:$C,$A149,Sheet1!$A:$A,Y$2),"")</f>
        <v/>
      </c>
      <c r="Z149" s="9" t="str">
        <f>IF(SUMIFS(Sheet1!$E:$E,Sheet1!$C:$C,$A149,Sheet1!$A:$A,Z$2)&lt;&gt;0,SUMIFS(Sheet1!$E:$E,Sheet1!$C:$C,$A149,Sheet1!$A:$A,Z$2),"")</f>
        <v/>
      </c>
      <c r="AA149" s="9" t="str">
        <f>IF(SUMIFS(Sheet1!$E:$E,Sheet1!$C:$C,$A149,Sheet1!$A:$A,AA$2)&lt;&gt;0,SUMIFS(Sheet1!$E:$E,Sheet1!$C:$C,$A149,Sheet1!$A:$A,AA$2),"")</f>
        <v/>
      </c>
      <c r="AB149" s="9" t="str">
        <f>IF(SUMIFS(Sheet1!$E:$E,Sheet1!$C:$C,$A149,Sheet1!$A:$A,AB$2)&lt;&gt;0,SUMIFS(Sheet1!$E:$E,Sheet1!$C:$C,$A149,Sheet1!$A:$A,AB$2),"")</f>
        <v/>
      </c>
      <c r="AC149" s="9" t="str">
        <f>IF(SUMIFS(Sheet1!$E:$E,Sheet1!$C:$C,$A149,Sheet1!$A:$A,AC$2)&lt;&gt;0,SUMIFS(Sheet1!$E:$E,Sheet1!$C:$C,$A149,Sheet1!$A:$A,AC$2),"")</f>
        <v/>
      </c>
      <c r="AD149" s="9" t="str">
        <f>IF(SUMIFS(Sheet1!$E:$E,Sheet1!$C:$C,$A149,Sheet1!$A:$A,AD$2)&lt;&gt;0,SUMIFS(Sheet1!$E:$E,Sheet1!$C:$C,$A149,Sheet1!$A:$A,AD$2),"")</f>
        <v/>
      </c>
      <c r="AE149" s="9" t="str">
        <f>IF(SUMIFS(Sheet1!$E:$E,Sheet1!$C:$C,$A149,Sheet1!$A:$A,AE$2)&lt;&gt;0,SUMIFS(Sheet1!$E:$E,Sheet1!$C:$C,$A149,Sheet1!$A:$A,AE$2),"")</f>
        <v/>
      </c>
      <c r="AF149" s="9" t="str">
        <f>IF(SUMIFS(Sheet1!$E:$E,Sheet1!$C:$C,$A149,Sheet1!$A:$A,AF$2)&lt;&gt;0,SUMIFS(Sheet1!$E:$E,Sheet1!$C:$C,$A149,Sheet1!$A:$A,AF$2),"")</f>
        <v/>
      </c>
      <c r="AG149" s="9" t="str">
        <f>IF(SUMIFS(Sheet1!$E:$E,Sheet1!$C:$C,$A149,Sheet1!$A:$A,AG$2)&lt;&gt;0,SUMIFS(Sheet1!$E:$E,Sheet1!$C:$C,$A149,Sheet1!$A:$A,AG$2),"")</f>
        <v/>
      </c>
      <c r="AH149" s="47">
        <f>SUM(Table24[[#This Row],[1]:[31]])</f>
        <v>86</v>
      </c>
    </row>
    <row r="150" spans="1:34" ht="12.75" customHeight="1">
      <c r="A150" s="24" t="str">
        <f>DSSP!A149</f>
        <v>DS19</v>
      </c>
      <c r="B150" s="25" t="str">
        <f>DSSP!B149</f>
        <v>Khuôn dập chữ số</v>
      </c>
      <c r="C150" s="9" t="str">
        <f>IF(SUMIFS(Sheet1!$E:$E,Sheet1!$C:$C,$A150,Sheet1!$A:$A,C$2)&lt;&gt;0,SUMIFS(Sheet1!$E:$E,Sheet1!$C:$C,$A150,Sheet1!$A:$A,C$2),"")</f>
        <v/>
      </c>
      <c r="D150" s="9" t="str">
        <f>IF(SUMIFS(Sheet1!$E:$E,Sheet1!$C:$C,$A150,Sheet1!$A:$A,D$2)&lt;&gt;0,SUMIFS(Sheet1!$E:$E,Sheet1!$C:$C,$A150,Sheet1!$A:$A,D$2),"")</f>
        <v/>
      </c>
      <c r="E150" s="9" t="str">
        <f>IF(SUMIFS(Sheet1!$E:$E,Sheet1!$C:$C,$A150,Sheet1!$A:$A,E$2)&lt;&gt;0,SUMIFS(Sheet1!$E:$E,Sheet1!$C:$C,$A150,Sheet1!$A:$A,E$2),"")</f>
        <v/>
      </c>
      <c r="F150" s="9" t="str">
        <f>IF(SUMIFS(Sheet1!$E:$E,Sheet1!$C:$C,$A150,Sheet1!$A:$A,F$2)&lt;&gt;0,SUMIFS(Sheet1!$E:$E,Sheet1!$C:$C,$A150,Sheet1!$A:$A,F$2),"")</f>
        <v/>
      </c>
      <c r="G150" s="9" t="str">
        <f>IF(SUMIFS(Sheet1!$E:$E,Sheet1!$C:$C,$A150,Sheet1!$A:$A,G$2)&lt;&gt;0,SUMIFS(Sheet1!$E:$E,Sheet1!$C:$C,$A150,Sheet1!$A:$A,G$2),"")</f>
        <v/>
      </c>
      <c r="H150" s="9" t="str">
        <f>IF(SUMIFS(Sheet1!$E:$E,Sheet1!$C:$C,$A150,Sheet1!$A:$A,H$2)&lt;&gt;0,SUMIFS(Sheet1!$E:$E,Sheet1!$C:$C,$A150,Sheet1!$A:$A,H$2),"")</f>
        <v/>
      </c>
      <c r="I150" s="9" t="str">
        <f>IF(SUMIFS(Sheet1!$E:$E,Sheet1!$C:$C,$A150,Sheet1!$A:$A,I$2)&lt;&gt;0,SUMIFS(Sheet1!$E:$E,Sheet1!$C:$C,$A150,Sheet1!$A:$A,I$2),"")</f>
        <v/>
      </c>
      <c r="J150" s="9" t="str">
        <f>IF(SUMIFS(Sheet1!$E:$E,Sheet1!$C:$C,$A150,Sheet1!$A:$A,J$2)&lt;&gt;0,SUMIFS(Sheet1!$E:$E,Sheet1!$C:$C,$A150,Sheet1!$A:$A,J$2),"")</f>
        <v/>
      </c>
      <c r="K150" s="9" t="str">
        <f>IF(SUMIFS(Sheet1!$E:$E,Sheet1!$C:$C,$A150,Sheet1!$A:$A,K$2)&lt;&gt;0,SUMIFS(Sheet1!$E:$E,Sheet1!$C:$C,$A150,Sheet1!$A:$A,K$2),"")</f>
        <v/>
      </c>
      <c r="L150" s="9" t="str">
        <f>IF(SUMIFS(Sheet1!$E:$E,Sheet1!$C:$C,$A150,Sheet1!$A:$A,L$2)&lt;&gt;0,SUMIFS(Sheet1!$E:$E,Sheet1!$C:$C,$A150,Sheet1!$A:$A,L$2),"")</f>
        <v/>
      </c>
      <c r="M150" s="9" t="str">
        <f>IF(SUMIFS(Sheet1!$E:$E,Sheet1!$C:$C,$A150,Sheet1!$A:$A,M$2)&lt;&gt;0,SUMIFS(Sheet1!$E:$E,Sheet1!$C:$C,$A150,Sheet1!$A:$A,M$2),"")</f>
        <v/>
      </c>
      <c r="N150" s="9" t="str">
        <f>IF(SUMIFS(Sheet1!$E:$E,Sheet1!$C:$C,$A150,Sheet1!$A:$A,N$2)&lt;&gt;0,SUMIFS(Sheet1!$E:$E,Sheet1!$C:$C,$A150,Sheet1!$A:$A,N$2),"")</f>
        <v/>
      </c>
      <c r="O150" s="9" t="str">
        <f>IF(SUMIFS(Sheet1!$E:$E,Sheet1!$C:$C,$A150,Sheet1!$A:$A,O$2)&lt;&gt;0,SUMIFS(Sheet1!$E:$E,Sheet1!$C:$C,$A150,Sheet1!$A:$A,O$2),"")</f>
        <v/>
      </c>
      <c r="P150" s="9" t="str">
        <f>IF(SUMIFS(Sheet1!$E:$E,Sheet1!$C:$C,$A150,Sheet1!$A:$A,P$2)&lt;&gt;0,SUMIFS(Sheet1!$E:$E,Sheet1!$C:$C,$A150,Sheet1!$A:$A,P$2),"")</f>
        <v/>
      </c>
      <c r="Q150" s="9" t="str">
        <f>IF(SUMIFS(Sheet1!$E:$E,Sheet1!$C:$C,$A150,Sheet1!$A:$A,Q$2)&lt;&gt;0,SUMIFS(Sheet1!$E:$E,Sheet1!$C:$C,$A150,Sheet1!$A:$A,Q$2),"")</f>
        <v/>
      </c>
      <c r="R150" s="9" t="str">
        <f>IF(SUMIFS(Sheet1!$E:$E,Sheet1!$C:$C,$A150,Sheet1!$A:$A,R$2)&lt;&gt;0,SUMIFS(Sheet1!$E:$E,Sheet1!$C:$C,$A150,Sheet1!$A:$A,R$2),"")</f>
        <v/>
      </c>
      <c r="S150" s="9" t="str">
        <f>IF(SUMIFS(Sheet1!$E:$E,Sheet1!$C:$C,$A150,Sheet1!$A:$A,S$2)&lt;&gt;0,SUMIFS(Sheet1!$E:$E,Sheet1!$C:$C,$A150,Sheet1!$A:$A,S$2),"")</f>
        <v/>
      </c>
      <c r="T150" s="9" t="str">
        <f>IF(SUMIFS(Sheet1!$E:$E,Sheet1!$C:$C,$A150,Sheet1!$A:$A,T$2)&lt;&gt;0,SUMIFS(Sheet1!$E:$E,Sheet1!$C:$C,$A150,Sheet1!$A:$A,T$2),"")</f>
        <v/>
      </c>
      <c r="U150" s="9" t="str">
        <f>IF(SUMIFS(Sheet1!$E:$E,Sheet1!$C:$C,$A150,Sheet1!$A:$A,U$2)&lt;&gt;0,SUMIFS(Sheet1!$E:$E,Sheet1!$C:$C,$A150,Sheet1!$A:$A,U$2),"")</f>
        <v/>
      </c>
      <c r="V150" s="9" t="str">
        <f>IF(SUMIFS(Sheet1!$E:$E,Sheet1!$C:$C,$A150,Sheet1!$A:$A,V$2)&lt;&gt;0,SUMIFS(Sheet1!$E:$E,Sheet1!$C:$C,$A150,Sheet1!$A:$A,V$2),"")</f>
        <v/>
      </c>
      <c r="W150" s="9" t="str">
        <f>IF(SUMIFS(Sheet1!$E:$E,Sheet1!$C:$C,$A150,Sheet1!$A:$A,W$2)&lt;&gt;0,SUMIFS(Sheet1!$E:$E,Sheet1!$C:$C,$A150,Sheet1!$A:$A,W$2),"")</f>
        <v/>
      </c>
      <c r="X150" s="9" t="str">
        <f>IF(SUMIFS(Sheet1!$E:$E,Sheet1!$C:$C,$A150,Sheet1!$A:$A,X$2)&lt;&gt;0,SUMIFS(Sheet1!$E:$E,Sheet1!$C:$C,$A150,Sheet1!$A:$A,X$2),"")</f>
        <v/>
      </c>
      <c r="Y150" s="9" t="str">
        <f>IF(SUMIFS(Sheet1!$E:$E,Sheet1!$C:$C,$A150,Sheet1!$A:$A,Y$2)&lt;&gt;0,SUMIFS(Sheet1!$E:$E,Sheet1!$C:$C,$A150,Sheet1!$A:$A,Y$2),"")</f>
        <v/>
      </c>
      <c r="Z150" s="9" t="str">
        <f>IF(SUMIFS(Sheet1!$E:$E,Sheet1!$C:$C,$A150,Sheet1!$A:$A,Z$2)&lt;&gt;0,SUMIFS(Sheet1!$E:$E,Sheet1!$C:$C,$A150,Sheet1!$A:$A,Z$2),"")</f>
        <v/>
      </c>
      <c r="AA150" s="9" t="str">
        <f>IF(SUMIFS(Sheet1!$E:$E,Sheet1!$C:$C,$A150,Sheet1!$A:$A,AA$2)&lt;&gt;0,SUMIFS(Sheet1!$E:$E,Sheet1!$C:$C,$A150,Sheet1!$A:$A,AA$2),"")</f>
        <v/>
      </c>
      <c r="AB150" s="9" t="str">
        <f>IF(SUMIFS(Sheet1!$E:$E,Sheet1!$C:$C,$A150,Sheet1!$A:$A,AB$2)&lt;&gt;0,SUMIFS(Sheet1!$E:$E,Sheet1!$C:$C,$A150,Sheet1!$A:$A,AB$2),"")</f>
        <v/>
      </c>
      <c r="AC150" s="9" t="str">
        <f>IF(SUMIFS(Sheet1!$E:$E,Sheet1!$C:$C,$A150,Sheet1!$A:$A,AC$2)&lt;&gt;0,SUMIFS(Sheet1!$E:$E,Sheet1!$C:$C,$A150,Sheet1!$A:$A,AC$2),"")</f>
        <v/>
      </c>
      <c r="AD150" s="9" t="str">
        <f>IF(SUMIFS(Sheet1!$E:$E,Sheet1!$C:$C,$A150,Sheet1!$A:$A,AD$2)&lt;&gt;0,SUMIFS(Sheet1!$E:$E,Sheet1!$C:$C,$A150,Sheet1!$A:$A,AD$2),"")</f>
        <v/>
      </c>
      <c r="AE150" s="9" t="str">
        <f>IF(SUMIFS(Sheet1!$E:$E,Sheet1!$C:$C,$A150,Sheet1!$A:$A,AE$2)&lt;&gt;0,SUMIFS(Sheet1!$E:$E,Sheet1!$C:$C,$A150,Sheet1!$A:$A,AE$2),"")</f>
        <v/>
      </c>
      <c r="AF150" s="9" t="str">
        <f>IF(SUMIFS(Sheet1!$E:$E,Sheet1!$C:$C,$A150,Sheet1!$A:$A,AF$2)&lt;&gt;0,SUMIFS(Sheet1!$E:$E,Sheet1!$C:$C,$A150,Sheet1!$A:$A,AF$2),"")</f>
        <v/>
      </c>
      <c r="AG150" s="9" t="str">
        <f>IF(SUMIFS(Sheet1!$E:$E,Sheet1!$C:$C,$A150,Sheet1!$A:$A,AG$2)&lt;&gt;0,SUMIFS(Sheet1!$E:$E,Sheet1!$C:$C,$A150,Sheet1!$A:$A,AG$2),"")</f>
        <v/>
      </c>
      <c r="AH150" s="47">
        <f>SUM(Table24[[#This Row],[1]:[31]])</f>
        <v>0</v>
      </c>
    </row>
    <row r="151" spans="1:34" ht="12.75" customHeight="1">
      <c r="A151" s="24" t="str">
        <f>DSSP!A150</f>
        <v>DS20</v>
      </c>
      <c r="B151" s="25" t="str">
        <f>DSSP!B150</f>
        <v>Cây lăn</v>
      </c>
      <c r="C151" s="9">
        <f>IF(SUMIFS(Sheet1!$E:$E,Sheet1!$C:$C,$A151,Sheet1!$A:$A,C$2)&lt;&gt;0,SUMIFS(Sheet1!$E:$E,Sheet1!$C:$C,$A151,Sheet1!$A:$A,C$2),"")</f>
        <v>3</v>
      </c>
      <c r="D151" s="9" t="str">
        <f>IF(SUMIFS(Sheet1!$E:$E,Sheet1!$C:$C,$A151,Sheet1!$A:$A,D$2)&lt;&gt;0,SUMIFS(Sheet1!$E:$E,Sheet1!$C:$C,$A151,Sheet1!$A:$A,D$2),"")</f>
        <v/>
      </c>
      <c r="E151" s="9" t="str">
        <f>IF(SUMIFS(Sheet1!$E:$E,Sheet1!$C:$C,$A151,Sheet1!$A:$A,E$2)&lt;&gt;0,SUMIFS(Sheet1!$E:$E,Sheet1!$C:$C,$A151,Sheet1!$A:$A,E$2),"")</f>
        <v/>
      </c>
      <c r="F151" s="9" t="str">
        <f>IF(SUMIFS(Sheet1!$E:$E,Sheet1!$C:$C,$A151,Sheet1!$A:$A,F$2)&lt;&gt;0,SUMIFS(Sheet1!$E:$E,Sheet1!$C:$C,$A151,Sheet1!$A:$A,F$2),"")</f>
        <v/>
      </c>
      <c r="G151" s="9" t="str">
        <f>IF(SUMIFS(Sheet1!$E:$E,Sheet1!$C:$C,$A151,Sheet1!$A:$A,G$2)&lt;&gt;0,SUMIFS(Sheet1!$E:$E,Sheet1!$C:$C,$A151,Sheet1!$A:$A,G$2),"")</f>
        <v/>
      </c>
      <c r="H151" s="9" t="str">
        <f>IF(SUMIFS(Sheet1!$E:$E,Sheet1!$C:$C,$A151,Sheet1!$A:$A,H$2)&lt;&gt;0,SUMIFS(Sheet1!$E:$E,Sheet1!$C:$C,$A151,Sheet1!$A:$A,H$2),"")</f>
        <v/>
      </c>
      <c r="I151" s="9" t="str">
        <f>IF(SUMIFS(Sheet1!$E:$E,Sheet1!$C:$C,$A151,Sheet1!$A:$A,I$2)&lt;&gt;0,SUMIFS(Sheet1!$E:$E,Sheet1!$C:$C,$A151,Sheet1!$A:$A,I$2),"")</f>
        <v/>
      </c>
      <c r="J151" s="9" t="str">
        <f>IF(SUMIFS(Sheet1!$E:$E,Sheet1!$C:$C,$A151,Sheet1!$A:$A,J$2)&lt;&gt;0,SUMIFS(Sheet1!$E:$E,Sheet1!$C:$C,$A151,Sheet1!$A:$A,J$2),"")</f>
        <v/>
      </c>
      <c r="K151" s="9" t="str">
        <f>IF(SUMIFS(Sheet1!$E:$E,Sheet1!$C:$C,$A151,Sheet1!$A:$A,K$2)&lt;&gt;0,SUMIFS(Sheet1!$E:$E,Sheet1!$C:$C,$A151,Sheet1!$A:$A,K$2),"")</f>
        <v/>
      </c>
      <c r="L151" s="9" t="str">
        <f>IF(SUMIFS(Sheet1!$E:$E,Sheet1!$C:$C,$A151,Sheet1!$A:$A,L$2)&lt;&gt;0,SUMIFS(Sheet1!$E:$E,Sheet1!$C:$C,$A151,Sheet1!$A:$A,L$2),"")</f>
        <v/>
      </c>
      <c r="M151" s="9" t="str">
        <f>IF(SUMIFS(Sheet1!$E:$E,Sheet1!$C:$C,$A151,Sheet1!$A:$A,M$2)&lt;&gt;0,SUMIFS(Sheet1!$E:$E,Sheet1!$C:$C,$A151,Sheet1!$A:$A,M$2),"")</f>
        <v/>
      </c>
      <c r="N151" s="9" t="str">
        <f>IF(SUMIFS(Sheet1!$E:$E,Sheet1!$C:$C,$A151,Sheet1!$A:$A,N$2)&lt;&gt;0,SUMIFS(Sheet1!$E:$E,Sheet1!$C:$C,$A151,Sheet1!$A:$A,N$2),"")</f>
        <v/>
      </c>
      <c r="O151" s="9" t="str">
        <f>IF(SUMIFS(Sheet1!$E:$E,Sheet1!$C:$C,$A151,Sheet1!$A:$A,O$2)&lt;&gt;0,SUMIFS(Sheet1!$E:$E,Sheet1!$C:$C,$A151,Sheet1!$A:$A,O$2),"")</f>
        <v/>
      </c>
      <c r="P151" s="9" t="str">
        <f>IF(SUMIFS(Sheet1!$E:$E,Sheet1!$C:$C,$A151,Sheet1!$A:$A,P$2)&lt;&gt;0,SUMIFS(Sheet1!$E:$E,Sheet1!$C:$C,$A151,Sheet1!$A:$A,P$2),"")</f>
        <v/>
      </c>
      <c r="Q151" s="9" t="str">
        <f>IF(SUMIFS(Sheet1!$E:$E,Sheet1!$C:$C,$A151,Sheet1!$A:$A,Q$2)&lt;&gt;0,SUMIFS(Sheet1!$E:$E,Sheet1!$C:$C,$A151,Sheet1!$A:$A,Q$2),"")</f>
        <v/>
      </c>
      <c r="R151" s="9" t="str">
        <f>IF(SUMIFS(Sheet1!$E:$E,Sheet1!$C:$C,$A151,Sheet1!$A:$A,R$2)&lt;&gt;0,SUMIFS(Sheet1!$E:$E,Sheet1!$C:$C,$A151,Sheet1!$A:$A,R$2),"")</f>
        <v/>
      </c>
      <c r="S151" s="9" t="str">
        <f>IF(SUMIFS(Sheet1!$E:$E,Sheet1!$C:$C,$A151,Sheet1!$A:$A,S$2)&lt;&gt;0,SUMIFS(Sheet1!$E:$E,Sheet1!$C:$C,$A151,Sheet1!$A:$A,S$2),"")</f>
        <v/>
      </c>
      <c r="T151" s="9" t="str">
        <f>IF(SUMIFS(Sheet1!$E:$E,Sheet1!$C:$C,$A151,Sheet1!$A:$A,T$2)&lt;&gt;0,SUMIFS(Sheet1!$E:$E,Sheet1!$C:$C,$A151,Sheet1!$A:$A,T$2),"")</f>
        <v/>
      </c>
      <c r="U151" s="9" t="str">
        <f>IF(SUMIFS(Sheet1!$E:$E,Sheet1!$C:$C,$A151,Sheet1!$A:$A,U$2)&lt;&gt;0,SUMIFS(Sheet1!$E:$E,Sheet1!$C:$C,$A151,Sheet1!$A:$A,U$2),"")</f>
        <v/>
      </c>
      <c r="V151" s="9" t="str">
        <f>IF(SUMIFS(Sheet1!$E:$E,Sheet1!$C:$C,$A151,Sheet1!$A:$A,V$2)&lt;&gt;0,SUMIFS(Sheet1!$E:$E,Sheet1!$C:$C,$A151,Sheet1!$A:$A,V$2),"")</f>
        <v/>
      </c>
      <c r="W151" s="9" t="str">
        <f>IF(SUMIFS(Sheet1!$E:$E,Sheet1!$C:$C,$A151,Sheet1!$A:$A,W$2)&lt;&gt;0,SUMIFS(Sheet1!$E:$E,Sheet1!$C:$C,$A151,Sheet1!$A:$A,W$2),"")</f>
        <v/>
      </c>
      <c r="X151" s="9" t="str">
        <f>IF(SUMIFS(Sheet1!$E:$E,Sheet1!$C:$C,$A151,Sheet1!$A:$A,X$2)&lt;&gt;0,SUMIFS(Sheet1!$E:$E,Sheet1!$C:$C,$A151,Sheet1!$A:$A,X$2),"")</f>
        <v/>
      </c>
      <c r="Y151" s="9" t="str">
        <f>IF(SUMIFS(Sheet1!$E:$E,Sheet1!$C:$C,$A151,Sheet1!$A:$A,Y$2)&lt;&gt;0,SUMIFS(Sheet1!$E:$E,Sheet1!$C:$C,$A151,Sheet1!$A:$A,Y$2),"")</f>
        <v/>
      </c>
      <c r="Z151" s="9" t="str">
        <f>IF(SUMIFS(Sheet1!$E:$E,Sheet1!$C:$C,$A151,Sheet1!$A:$A,Z$2)&lt;&gt;0,SUMIFS(Sheet1!$E:$E,Sheet1!$C:$C,$A151,Sheet1!$A:$A,Z$2),"")</f>
        <v/>
      </c>
      <c r="AA151" s="9" t="str">
        <f>IF(SUMIFS(Sheet1!$E:$E,Sheet1!$C:$C,$A151,Sheet1!$A:$A,AA$2)&lt;&gt;0,SUMIFS(Sheet1!$E:$E,Sheet1!$C:$C,$A151,Sheet1!$A:$A,AA$2),"")</f>
        <v/>
      </c>
      <c r="AB151" s="9" t="str">
        <f>IF(SUMIFS(Sheet1!$E:$E,Sheet1!$C:$C,$A151,Sheet1!$A:$A,AB$2)&lt;&gt;0,SUMIFS(Sheet1!$E:$E,Sheet1!$C:$C,$A151,Sheet1!$A:$A,AB$2),"")</f>
        <v/>
      </c>
      <c r="AC151" s="9" t="str">
        <f>IF(SUMIFS(Sheet1!$E:$E,Sheet1!$C:$C,$A151,Sheet1!$A:$A,AC$2)&lt;&gt;0,SUMIFS(Sheet1!$E:$E,Sheet1!$C:$C,$A151,Sheet1!$A:$A,AC$2),"")</f>
        <v/>
      </c>
      <c r="AD151" s="9" t="str">
        <f>IF(SUMIFS(Sheet1!$E:$E,Sheet1!$C:$C,$A151,Sheet1!$A:$A,AD$2)&lt;&gt;0,SUMIFS(Sheet1!$E:$E,Sheet1!$C:$C,$A151,Sheet1!$A:$A,AD$2),"")</f>
        <v/>
      </c>
      <c r="AE151" s="9" t="str">
        <f>IF(SUMIFS(Sheet1!$E:$E,Sheet1!$C:$C,$A151,Sheet1!$A:$A,AE$2)&lt;&gt;0,SUMIFS(Sheet1!$E:$E,Sheet1!$C:$C,$A151,Sheet1!$A:$A,AE$2),"")</f>
        <v/>
      </c>
      <c r="AF151" s="9" t="str">
        <f>IF(SUMIFS(Sheet1!$E:$E,Sheet1!$C:$C,$A151,Sheet1!$A:$A,AF$2)&lt;&gt;0,SUMIFS(Sheet1!$E:$E,Sheet1!$C:$C,$A151,Sheet1!$A:$A,AF$2),"")</f>
        <v/>
      </c>
      <c r="AG151" s="9" t="str">
        <f>IF(SUMIFS(Sheet1!$E:$E,Sheet1!$C:$C,$A151,Sheet1!$A:$A,AG$2)&lt;&gt;0,SUMIFS(Sheet1!$E:$E,Sheet1!$C:$C,$A151,Sheet1!$A:$A,AG$2),"")</f>
        <v/>
      </c>
      <c r="AH151" s="47">
        <f>SUM(Table24[[#This Row],[1]:[31]])</f>
        <v>3</v>
      </c>
    </row>
    <row r="152" spans="1:34" ht="12.75" customHeight="1">
      <c r="A152" s="24" t="str">
        <f>DSSP!A151</f>
        <v>GC01</v>
      </c>
      <c r="B152" s="25" t="str">
        <f>DSSP!B151</f>
        <v>Dây cói</v>
      </c>
      <c r="C152" s="9">
        <f>IF(SUMIFS(Sheet1!$E:$E,Sheet1!$C:$C,$A152,Sheet1!$A:$A,C$2)&lt;&gt;0,SUMIFS(Sheet1!$E:$E,Sheet1!$C:$C,$A152,Sheet1!$A:$A,C$2),"")</f>
        <v>180</v>
      </c>
      <c r="D152" s="9" t="str">
        <f>IF(SUMIFS(Sheet1!$E:$E,Sheet1!$C:$C,$A152,Sheet1!$A:$A,D$2)&lt;&gt;0,SUMIFS(Sheet1!$E:$E,Sheet1!$C:$C,$A152,Sheet1!$A:$A,D$2),"")</f>
        <v/>
      </c>
      <c r="E152" s="9" t="str">
        <f>IF(SUMIFS(Sheet1!$E:$E,Sheet1!$C:$C,$A152,Sheet1!$A:$A,E$2)&lt;&gt;0,SUMIFS(Sheet1!$E:$E,Sheet1!$C:$C,$A152,Sheet1!$A:$A,E$2),"")</f>
        <v/>
      </c>
      <c r="F152" s="9" t="str">
        <f>IF(SUMIFS(Sheet1!$E:$E,Sheet1!$C:$C,$A152,Sheet1!$A:$A,F$2)&lt;&gt;0,SUMIFS(Sheet1!$E:$E,Sheet1!$C:$C,$A152,Sheet1!$A:$A,F$2),"")</f>
        <v/>
      </c>
      <c r="G152" s="9" t="str">
        <f>IF(SUMIFS(Sheet1!$E:$E,Sheet1!$C:$C,$A152,Sheet1!$A:$A,G$2)&lt;&gt;0,SUMIFS(Sheet1!$E:$E,Sheet1!$C:$C,$A152,Sheet1!$A:$A,G$2),"")</f>
        <v/>
      </c>
      <c r="H152" s="9" t="str">
        <f>IF(SUMIFS(Sheet1!$E:$E,Sheet1!$C:$C,$A152,Sheet1!$A:$A,H$2)&lt;&gt;0,SUMIFS(Sheet1!$E:$E,Sheet1!$C:$C,$A152,Sheet1!$A:$A,H$2),"")</f>
        <v/>
      </c>
      <c r="I152" s="9" t="str">
        <f>IF(SUMIFS(Sheet1!$E:$E,Sheet1!$C:$C,$A152,Sheet1!$A:$A,I$2)&lt;&gt;0,SUMIFS(Sheet1!$E:$E,Sheet1!$C:$C,$A152,Sheet1!$A:$A,I$2),"")</f>
        <v/>
      </c>
      <c r="J152" s="9" t="str">
        <f>IF(SUMIFS(Sheet1!$E:$E,Sheet1!$C:$C,$A152,Sheet1!$A:$A,J$2)&lt;&gt;0,SUMIFS(Sheet1!$E:$E,Sheet1!$C:$C,$A152,Sheet1!$A:$A,J$2),"")</f>
        <v/>
      </c>
      <c r="K152" s="9" t="str">
        <f>IF(SUMIFS(Sheet1!$E:$E,Sheet1!$C:$C,$A152,Sheet1!$A:$A,K$2)&lt;&gt;0,SUMIFS(Sheet1!$E:$E,Sheet1!$C:$C,$A152,Sheet1!$A:$A,K$2),"")</f>
        <v/>
      </c>
      <c r="L152" s="9" t="str">
        <f>IF(SUMIFS(Sheet1!$E:$E,Sheet1!$C:$C,$A152,Sheet1!$A:$A,L$2)&lt;&gt;0,SUMIFS(Sheet1!$E:$E,Sheet1!$C:$C,$A152,Sheet1!$A:$A,L$2),"")</f>
        <v/>
      </c>
      <c r="M152" s="9" t="str">
        <f>IF(SUMIFS(Sheet1!$E:$E,Sheet1!$C:$C,$A152,Sheet1!$A:$A,M$2)&lt;&gt;0,SUMIFS(Sheet1!$E:$E,Sheet1!$C:$C,$A152,Sheet1!$A:$A,M$2),"")</f>
        <v/>
      </c>
      <c r="N152" s="9" t="str">
        <f>IF(SUMIFS(Sheet1!$E:$E,Sheet1!$C:$C,$A152,Sheet1!$A:$A,N$2)&lt;&gt;0,SUMIFS(Sheet1!$E:$E,Sheet1!$C:$C,$A152,Sheet1!$A:$A,N$2),"")</f>
        <v/>
      </c>
      <c r="O152" s="9" t="str">
        <f>IF(SUMIFS(Sheet1!$E:$E,Sheet1!$C:$C,$A152,Sheet1!$A:$A,O$2)&lt;&gt;0,SUMIFS(Sheet1!$E:$E,Sheet1!$C:$C,$A152,Sheet1!$A:$A,O$2),"")</f>
        <v/>
      </c>
      <c r="P152" s="9" t="str">
        <f>IF(SUMIFS(Sheet1!$E:$E,Sheet1!$C:$C,$A152,Sheet1!$A:$A,P$2)&lt;&gt;0,SUMIFS(Sheet1!$E:$E,Sheet1!$C:$C,$A152,Sheet1!$A:$A,P$2),"")</f>
        <v/>
      </c>
      <c r="Q152" s="9" t="str">
        <f>IF(SUMIFS(Sheet1!$E:$E,Sheet1!$C:$C,$A152,Sheet1!$A:$A,Q$2)&lt;&gt;0,SUMIFS(Sheet1!$E:$E,Sheet1!$C:$C,$A152,Sheet1!$A:$A,Q$2),"")</f>
        <v/>
      </c>
      <c r="R152" s="9" t="str">
        <f>IF(SUMIFS(Sheet1!$E:$E,Sheet1!$C:$C,$A152,Sheet1!$A:$A,R$2)&lt;&gt;0,SUMIFS(Sheet1!$E:$E,Sheet1!$C:$C,$A152,Sheet1!$A:$A,R$2),"")</f>
        <v/>
      </c>
      <c r="S152" s="9" t="str">
        <f>IF(SUMIFS(Sheet1!$E:$E,Sheet1!$C:$C,$A152,Sheet1!$A:$A,S$2)&lt;&gt;0,SUMIFS(Sheet1!$E:$E,Sheet1!$C:$C,$A152,Sheet1!$A:$A,S$2),"")</f>
        <v/>
      </c>
      <c r="T152" s="9" t="str">
        <f>IF(SUMIFS(Sheet1!$E:$E,Sheet1!$C:$C,$A152,Sheet1!$A:$A,T$2)&lt;&gt;0,SUMIFS(Sheet1!$E:$E,Sheet1!$C:$C,$A152,Sheet1!$A:$A,T$2),"")</f>
        <v/>
      </c>
      <c r="U152" s="9" t="str">
        <f>IF(SUMIFS(Sheet1!$E:$E,Sheet1!$C:$C,$A152,Sheet1!$A:$A,U$2)&lt;&gt;0,SUMIFS(Sheet1!$E:$E,Sheet1!$C:$C,$A152,Sheet1!$A:$A,U$2),"")</f>
        <v/>
      </c>
      <c r="V152" s="9" t="str">
        <f>IF(SUMIFS(Sheet1!$E:$E,Sheet1!$C:$C,$A152,Sheet1!$A:$A,V$2)&lt;&gt;0,SUMIFS(Sheet1!$E:$E,Sheet1!$C:$C,$A152,Sheet1!$A:$A,V$2),"")</f>
        <v/>
      </c>
      <c r="W152" s="9" t="str">
        <f>IF(SUMIFS(Sheet1!$E:$E,Sheet1!$C:$C,$A152,Sheet1!$A:$A,W$2)&lt;&gt;0,SUMIFS(Sheet1!$E:$E,Sheet1!$C:$C,$A152,Sheet1!$A:$A,W$2),"")</f>
        <v/>
      </c>
      <c r="X152" s="9" t="str">
        <f>IF(SUMIFS(Sheet1!$E:$E,Sheet1!$C:$C,$A152,Sheet1!$A:$A,X$2)&lt;&gt;0,SUMIFS(Sheet1!$E:$E,Sheet1!$C:$C,$A152,Sheet1!$A:$A,X$2),"")</f>
        <v/>
      </c>
      <c r="Y152" s="9" t="str">
        <f>IF(SUMIFS(Sheet1!$E:$E,Sheet1!$C:$C,$A152,Sheet1!$A:$A,Y$2)&lt;&gt;0,SUMIFS(Sheet1!$E:$E,Sheet1!$C:$C,$A152,Sheet1!$A:$A,Y$2),"")</f>
        <v/>
      </c>
      <c r="Z152" s="9" t="str">
        <f>IF(SUMIFS(Sheet1!$E:$E,Sheet1!$C:$C,$A152,Sheet1!$A:$A,Z$2)&lt;&gt;0,SUMIFS(Sheet1!$E:$E,Sheet1!$C:$C,$A152,Sheet1!$A:$A,Z$2),"")</f>
        <v/>
      </c>
      <c r="AA152" s="9" t="str">
        <f>IF(SUMIFS(Sheet1!$E:$E,Sheet1!$C:$C,$A152,Sheet1!$A:$A,AA$2)&lt;&gt;0,SUMIFS(Sheet1!$E:$E,Sheet1!$C:$C,$A152,Sheet1!$A:$A,AA$2),"")</f>
        <v/>
      </c>
      <c r="AB152" s="9" t="str">
        <f>IF(SUMIFS(Sheet1!$E:$E,Sheet1!$C:$C,$A152,Sheet1!$A:$A,AB$2)&lt;&gt;0,SUMIFS(Sheet1!$E:$E,Sheet1!$C:$C,$A152,Sheet1!$A:$A,AB$2),"")</f>
        <v/>
      </c>
      <c r="AC152" s="9" t="str">
        <f>IF(SUMIFS(Sheet1!$E:$E,Sheet1!$C:$C,$A152,Sheet1!$A:$A,AC$2)&lt;&gt;0,SUMIFS(Sheet1!$E:$E,Sheet1!$C:$C,$A152,Sheet1!$A:$A,AC$2),"")</f>
        <v/>
      </c>
      <c r="AD152" s="9" t="str">
        <f>IF(SUMIFS(Sheet1!$E:$E,Sheet1!$C:$C,$A152,Sheet1!$A:$A,AD$2)&lt;&gt;0,SUMIFS(Sheet1!$E:$E,Sheet1!$C:$C,$A152,Sheet1!$A:$A,AD$2),"")</f>
        <v/>
      </c>
      <c r="AE152" s="9" t="str">
        <f>IF(SUMIFS(Sheet1!$E:$E,Sheet1!$C:$C,$A152,Sheet1!$A:$A,AE$2)&lt;&gt;0,SUMIFS(Sheet1!$E:$E,Sheet1!$C:$C,$A152,Sheet1!$A:$A,AE$2),"")</f>
        <v/>
      </c>
      <c r="AF152" s="9" t="str">
        <f>IF(SUMIFS(Sheet1!$E:$E,Sheet1!$C:$C,$A152,Sheet1!$A:$A,AF$2)&lt;&gt;0,SUMIFS(Sheet1!$E:$E,Sheet1!$C:$C,$A152,Sheet1!$A:$A,AF$2),"")</f>
        <v/>
      </c>
      <c r="AG152" s="9" t="str">
        <f>IF(SUMIFS(Sheet1!$E:$E,Sheet1!$C:$C,$A152,Sheet1!$A:$A,AG$2)&lt;&gt;0,SUMIFS(Sheet1!$E:$E,Sheet1!$C:$C,$A152,Sheet1!$A:$A,AG$2),"")</f>
        <v/>
      </c>
      <c r="AH152" s="47">
        <f>SUM(Table24[[#This Row],[1]:[31]])</f>
        <v>180</v>
      </c>
    </row>
    <row r="153" spans="1:34" ht="12.75" customHeight="1">
      <c r="A153" s="24" t="str">
        <f>DSSP!A152</f>
        <v>GC02</v>
      </c>
      <c r="B153" s="25" t="str">
        <f>DSSP!B152</f>
        <v>Dây da lộn</v>
      </c>
      <c r="C153" s="9">
        <f>IF(SUMIFS(Sheet1!$E:$E,Sheet1!$C:$C,$A153,Sheet1!$A:$A,C$2)&lt;&gt;0,SUMIFS(Sheet1!$E:$E,Sheet1!$C:$C,$A153,Sheet1!$A:$A,C$2),"")</f>
        <v>-198</v>
      </c>
      <c r="D153" s="9" t="str">
        <f>IF(SUMIFS(Sheet1!$E:$E,Sheet1!$C:$C,$A153,Sheet1!$A:$A,D$2)&lt;&gt;0,SUMIFS(Sheet1!$E:$E,Sheet1!$C:$C,$A153,Sheet1!$A:$A,D$2),"")</f>
        <v/>
      </c>
      <c r="E153" s="9" t="str">
        <f>IF(SUMIFS(Sheet1!$E:$E,Sheet1!$C:$C,$A153,Sheet1!$A:$A,E$2)&lt;&gt;0,SUMIFS(Sheet1!$E:$E,Sheet1!$C:$C,$A153,Sheet1!$A:$A,E$2),"")</f>
        <v/>
      </c>
      <c r="F153" s="9" t="str">
        <f>IF(SUMIFS(Sheet1!$E:$E,Sheet1!$C:$C,$A153,Sheet1!$A:$A,F$2)&lt;&gt;0,SUMIFS(Sheet1!$E:$E,Sheet1!$C:$C,$A153,Sheet1!$A:$A,F$2),"")</f>
        <v/>
      </c>
      <c r="G153" s="9" t="str">
        <f>IF(SUMIFS(Sheet1!$E:$E,Sheet1!$C:$C,$A153,Sheet1!$A:$A,G$2)&lt;&gt;0,SUMIFS(Sheet1!$E:$E,Sheet1!$C:$C,$A153,Sheet1!$A:$A,G$2),"")</f>
        <v/>
      </c>
      <c r="H153" s="9" t="str">
        <f>IF(SUMIFS(Sheet1!$E:$E,Sheet1!$C:$C,$A153,Sheet1!$A:$A,H$2)&lt;&gt;0,SUMIFS(Sheet1!$E:$E,Sheet1!$C:$C,$A153,Sheet1!$A:$A,H$2),"")</f>
        <v/>
      </c>
      <c r="I153" s="9" t="str">
        <f>IF(SUMIFS(Sheet1!$E:$E,Sheet1!$C:$C,$A153,Sheet1!$A:$A,I$2)&lt;&gt;0,SUMIFS(Sheet1!$E:$E,Sheet1!$C:$C,$A153,Sheet1!$A:$A,I$2),"")</f>
        <v/>
      </c>
      <c r="J153" s="9" t="str">
        <f>IF(SUMIFS(Sheet1!$E:$E,Sheet1!$C:$C,$A153,Sheet1!$A:$A,J$2)&lt;&gt;0,SUMIFS(Sheet1!$E:$E,Sheet1!$C:$C,$A153,Sheet1!$A:$A,J$2),"")</f>
        <v/>
      </c>
      <c r="K153" s="9" t="str">
        <f>IF(SUMIFS(Sheet1!$E:$E,Sheet1!$C:$C,$A153,Sheet1!$A:$A,K$2)&lt;&gt;0,SUMIFS(Sheet1!$E:$E,Sheet1!$C:$C,$A153,Sheet1!$A:$A,K$2),"")</f>
        <v/>
      </c>
      <c r="L153" s="9" t="str">
        <f>IF(SUMIFS(Sheet1!$E:$E,Sheet1!$C:$C,$A153,Sheet1!$A:$A,L$2)&lt;&gt;0,SUMIFS(Sheet1!$E:$E,Sheet1!$C:$C,$A153,Sheet1!$A:$A,L$2),"")</f>
        <v/>
      </c>
      <c r="M153" s="9" t="str">
        <f>IF(SUMIFS(Sheet1!$E:$E,Sheet1!$C:$C,$A153,Sheet1!$A:$A,M$2)&lt;&gt;0,SUMIFS(Sheet1!$E:$E,Sheet1!$C:$C,$A153,Sheet1!$A:$A,M$2),"")</f>
        <v/>
      </c>
      <c r="N153" s="9" t="str">
        <f>IF(SUMIFS(Sheet1!$E:$E,Sheet1!$C:$C,$A153,Sheet1!$A:$A,N$2)&lt;&gt;0,SUMIFS(Sheet1!$E:$E,Sheet1!$C:$C,$A153,Sheet1!$A:$A,N$2),"")</f>
        <v/>
      </c>
      <c r="O153" s="9" t="str">
        <f>IF(SUMIFS(Sheet1!$E:$E,Sheet1!$C:$C,$A153,Sheet1!$A:$A,O$2)&lt;&gt;0,SUMIFS(Sheet1!$E:$E,Sheet1!$C:$C,$A153,Sheet1!$A:$A,O$2),"")</f>
        <v/>
      </c>
      <c r="P153" s="9" t="str">
        <f>IF(SUMIFS(Sheet1!$E:$E,Sheet1!$C:$C,$A153,Sheet1!$A:$A,P$2)&lt;&gt;0,SUMIFS(Sheet1!$E:$E,Sheet1!$C:$C,$A153,Sheet1!$A:$A,P$2),"")</f>
        <v/>
      </c>
      <c r="Q153" s="9" t="str">
        <f>IF(SUMIFS(Sheet1!$E:$E,Sheet1!$C:$C,$A153,Sheet1!$A:$A,Q$2)&lt;&gt;0,SUMIFS(Sheet1!$E:$E,Sheet1!$C:$C,$A153,Sheet1!$A:$A,Q$2),"")</f>
        <v/>
      </c>
      <c r="R153" s="9" t="str">
        <f>IF(SUMIFS(Sheet1!$E:$E,Sheet1!$C:$C,$A153,Sheet1!$A:$A,R$2)&lt;&gt;0,SUMIFS(Sheet1!$E:$E,Sheet1!$C:$C,$A153,Sheet1!$A:$A,R$2),"")</f>
        <v/>
      </c>
      <c r="S153" s="9" t="str">
        <f>IF(SUMIFS(Sheet1!$E:$E,Sheet1!$C:$C,$A153,Sheet1!$A:$A,S$2)&lt;&gt;0,SUMIFS(Sheet1!$E:$E,Sheet1!$C:$C,$A153,Sheet1!$A:$A,S$2),"")</f>
        <v/>
      </c>
      <c r="T153" s="9" t="str">
        <f>IF(SUMIFS(Sheet1!$E:$E,Sheet1!$C:$C,$A153,Sheet1!$A:$A,T$2)&lt;&gt;0,SUMIFS(Sheet1!$E:$E,Sheet1!$C:$C,$A153,Sheet1!$A:$A,T$2),"")</f>
        <v/>
      </c>
      <c r="U153" s="9" t="str">
        <f>IF(SUMIFS(Sheet1!$E:$E,Sheet1!$C:$C,$A153,Sheet1!$A:$A,U$2)&lt;&gt;0,SUMIFS(Sheet1!$E:$E,Sheet1!$C:$C,$A153,Sheet1!$A:$A,U$2),"")</f>
        <v/>
      </c>
      <c r="V153" s="9" t="str">
        <f>IF(SUMIFS(Sheet1!$E:$E,Sheet1!$C:$C,$A153,Sheet1!$A:$A,V$2)&lt;&gt;0,SUMIFS(Sheet1!$E:$E,Sheet1!$C:$C,$A153,Sheet1!$A:$A,V$2),"")</f>
        <v/>
      </c>
      <c r="W153" s="9" t="str">
        <f>IF(SUMIFS(Sheet1!$E:$E,Sheet1!$C:$C,$A153,Sheet1!$A:$A,W$2)&lt;&gt;0,SUMIFS(Sheet1!$E:$E,Sheet1!$C:$C,$A153,Sheet1!$A:$A,W$2),"")</f>
        <v/>
      </c>
      <c r="X153" s="9" t="str">
        <f>IF(SUMIFS(Sheet1!$E:$E,Sheet1!$C:$C,$A153,Sheet1!$A:$A,X$2)&lt;&gt;0,SUMIFS(Sheet1!$E:$E,Sheet1!$C:$C,$A153,Sheet1!$A:$A,X$2),"")</f>
        <v/>
      </c>
      <c r="Y153" s="9" t="str">
        <f>IF(SUMIFS(Sheet1!$E:$E,Sheet1!$C:$C,$A153,Sheet1!$A:$A,Y$2)&lt;&gt;0,SUMIFS(Sheet1!$E:$E,Sheet1!$C:$C,$A153,Sheet1!$A:$A,Y$2),"")</f>
        <v/>
      </c>
      <c r="Z153" s="9" t="str">
        <f>IF(SUMIFS(Sheet1!$E:$E,Sheet1!$C:$C,$A153,Sheet1!$A:$A,Z$2)&lt;&gt;0,SUMIFS(Sheet1!$E:$E,Sheet1!$C:$C,$A153,Sheet1!$A:$A,Z$2),"")</f>
        <v/>
      </c>
      <c r="AA153" s="9" t="str">
        <f>IF(SUMIFS(Sheet1!$E:$E,Sheet1!$C:$C,$A153,Sheet1!$A:$A,AA$2)&lt;&gt;0,SUMIFS(Sheet1!$E:$E,Sheet1!$C:$C,$A153,Sheet1!$A:$A,AA$2),"")</f>
        <v/>
      </c>
      <c r="AB153" s="9" t="str">
        <f>IF(SUMIFS(Sheet1!$E:$E,Sheet1!$C:$C,$A153,Sheet1!$A:$A,AB$2)&lt;&gt;0,SUMIFS(Sheet1!$E:$E,Sheet1!$C:$C,$A153,Sheet1!$A:$A,AB$2),"")</f>
        <v/>
      </c>
      <c r="AC153" s="9" t="str">
        <f>IF(SUMIFS(Sheet1!$E:$E,Sheet1!$C:$C,$A153,Sheet1!$A:$A,AC$2)&lt;&gt;0,SUMIFS(Sheet1!$E:$E,Sheet1!$C:$C,$A153,Sheet1!$A:$A,AC$2),"")</f>
        <v/>
      </c>
      <c r="AD153" s="9" t="str">
        <f>IF(SUMIFS(Sheet1!$E:$E,Sheet1!$C:$C,$A153,Sheet1!$A:$A,AD$2)&lt;&gt;0,SUMIFS(Sheet1!$E:$E,Sheet1!$C:$C,$A153,Sheet1!$A:$A,AD$2),"")</f>
        <v/>
      </c>
      <c r="AE153" s="9" t="str">
        <f>IF(SUMIFS(Sheet1!$E:$E,Sheet1!$C:$C,$A153,Sheet1!$A:$A,AE$2)&lt;&gt;0,SUMIFS(Sheet1!$E:$E,Sheet1!$C:$C,$A153,Sheet1!$A:$A,AE$2),"")</f>
        <v/>
      </c>
      <c r="AF153" s="9" t="str">
        <f>IF(SUMIFS(Sheet1!$E:$E,Sheet1!$C:$C,$A153,Sheet1!$A:$A,AF$2)&lt;&gt;0,SUMIFS(Sheet1!$E:$E,Sheet1!$C:$C,$A153,Sheet1!$A:$A,AF$2),"")</f>
        <v/>
      </c>
      <c r="AG153" s="9" t="str">
        <f>IF(SUMIFS(Sheet1!$E:$E,Sheet1!$C:$C,$A153,Sheet1!$A:$A,AG$2)&lt;&gt;0,SUMIFS(Sheet1!$E:$E,Sheet1!$C:$C,$A153,Sheet1!$A:$A,AG$2),"")</f>
        <v/>
      </c>
      <c r="AH153" s="47">
        <f>SUM(Table24[[#This Row],[1]:[31]])</f>
        <v>-198</v>
      </c>
    </row>
    <row r="154" spans="1:34" ht="12.75" customHeight="1">
      <c r="A154" s="24" t="str">
        <f>DSSP!A153</f>
        <v>GC03</v>
      </c>
      <c r="B154" s="25" t="str">
        <f>DSSP!B153</f>
        <v>Dây xích</v>
      </c>
      <c r="C154" s="9" t="str">
        <f>IF(SUMIFS(Sheet1!$E:$E,Sheet1!$C:$C,$A154,Sheet1!$A:$A,C$2)&lt;&gt;0,SUMIFS(Sheet1!$E:$E,Sheet1!$C:$C,$A154,Sheet1!$A:$A,C$2),"")</f>
        <v/>
      </c>
      <c r="D154" s="9" t="str">
        <f>IF(SUMIFS(Sheet1!$E:$E,Sheet1!$C:$C,$A154,Sheet1!$A:$A,D$2)&lt;&gt;0,SUMIFS(Sheet1!$E:$E,Sheet1!$C:$C,$A154,Sheet1!$A:$A,D$2),"")</f>
        <v/>
      </c>
      <c r="E154" s="9" t="str">
        <f>IF(SUMIFS(Sheet1!$E:$E,Sheet1!$C:$C,$A154,Sheet1!$A:$A,E$2)&lt;&gt;0,SUMIFS(Sheet1!$E:$E,Sheet1!$C:$C,$A154,Sheet1!$A:$A,E$2),"")</f>
        <v/>
      </c>
      <c r="F154" s="9" t="str">
        <f>IF(SUMIFS(Sheet1!$E:$E,Sheet1!$C:$C,$A154,Sheet1!$A:$A,F$2)&lt;&gt;0,SUMIFS(Sheet1!$E:$E,Sheet1!$C:$C,$A154,Sheet1!$A:$A,F$2),"")</f>
        <v/>
      </c>
      <c r="G154" s="9" t="str">
        <f>IF(SUMIFS(Sheet1!$E:$E,Sheet1!$C:$C,$A154,Sheet1!$A:$A,G$2)&lt;&gt;0,SUMIFS(Sheet1!$E:$E,Sheet1!$C:$C,$A154,Sheet1!$A:$A,G$2),"")</f>
        <v/>
      </c>
      <c r="H154" s="9" t="str">
        <f>IF(SUMIFS(Sheet1!$E:$E,Sheet1!$C:$C,$A154,Sheet1!$A:$A,H$2)&lt;&gt;0,SUMIFS(Sheet1!$E:$E,Sheet1!$C:$C,$A154,Sheet1!$A:$A,H$2),"")</f>
        <v/>
      </c>
      <c r="I154" s="9" t="str">
        <f>IF(SUMIFS(Sheet1!$E:$E,Sheet1!$C:$C,$A154,Sheet1!$A:$A,I$2)&lt;&gt;0,SUMIFS(Sheet1!$E:$E,Sheet1!$C:$C,$A154,Sheet1!$A:$A,I$2),"")</f>
        <v/>
      </c>
      <c r="J154" s="9" t="str">
        <f>IF(SUMIFS(Sheet1!$E:$E,Sheet1!$C:$C,$A154,Sheet1!$A:$A,J$2)&lt;&gt;0,SUMIFS(Sheet1!$E:$E,Sheet1!$C:$C,$A154,Sheet1!$A:$A,J$2),"")</f>
        <v/>
      </c>
      <c r="K154" s="9" t="str">
        <f>IF(SUMIFS(Sheet1!$E:$E,Sheet1!$C:$C,$A154,Sheet1!$A:$A,K$2)&lt;&gt;0,SUMIFS(Sheet1!$E:$E,Sheet1!$C:$C,$A154,Sheet1!$A:$A,K$2),"")</f>
        <v/>
      </c>
      <c r="L154" s="9" t="str">
        <f>IF(SUMIFS(Sheet1!$E:$E,Sheet1!$C:$C,$A154,Sheet1!$A:$A,L$2)&lt;&gt;0,SUMIFS(Sheet1!$E:$E,Sheet1!$C:$C,$A154,Sheet1!$A:$A,L$2),"")</f>
        <v/>
      </c>
      <c r="M154" s="9" t="str">
        <f>IF(SUMIFS(Sheet1!$E:$E,Sheet1!$C:$C,$A154,Sheet1!$A:$A,M$2)&lt;&gt;0,SUMIFS(Sheet1!$E:$E,Sheet1!$C:$C,$A154,Sheet1!$A:$A,M$2),"")</f>
        <v/>
      </c>
      <c r="N154" s="9" t="str">
        <f>IF(SUMIFS(Sheet1!$E:$E,Sheet1!$C:$C,$A154,Sheet1!$A:$A,N$2)&lt;&gt;0,SUMIFS(Sheet1!$E:$E,Sheet1!$C:$C,$A154,Sheet1!$A:$A,N$2),"")</f>
        <v/>
      </c>
      <c r="O154" s="9" t="str">
        <f>IF(SUMIFS(Sheet1!$E:$E,Sheet1!$C:$C,$A154,Sheet1!$A:$A,O$2)&lt;&gt;0,SUMIFS(Sheet1!$E:$E,Sheet1!$C:$C,$A154,Sheet1!$A:$A,O$2),"")</f>
        <v/>
      </c>
      <c r="P154" s="9" t="str">
        <f>IF(SUMIFS(Sheet1!$E:$E,Sheet1!$C:$C,$A154,Sheet1!$A:$A,P$2)&lt;&gt;0,SUMIFS(Sheet1!$E:$E,Sheet1!$C:$C,$A154,Sheet1!$A:$A,P$2),"")</f>
        <v/>
      </c>
      <c r="Q154" s="9" t="str">
        <f>IF(SUMIFS(Sheet1!$E:$E,Sheet1!$C:$C,$A154,Sheet1!$A:$A,Q$2)&lt;&gt;0,SUMIFS(Sheet1!$E:$E,Sheet1!$C:$C,$A154,Sheet1!$A:$A,Q$2),"")</f>
        <v/>
      </c>
      <c r="R154" s="9" t="str">
        <f>IF(SUMIFS(Sheet1!$E:$E,Sheet1!$C:$C,$A154,Sheet1!$A:$A,R$2)&lt;&gt;0,SUMIFS(Sheet1!$E:$E,Sheet1!$C:$C,$A154,Sheet1!$A:$A,R$2),"")</f>
        <v/>
      </c>
      <c r="S154" s="9" t="str">
        <f>IF(SUMIFS(Sheet1!$E:$E,Sheet1!$C:$C,$A154,Sheet1!$A:$A,S$2)&lt;&gt;0,SUMIFS(Sheet1!$E:$E,Sheet1!$C:$C,$A154,Sheet1!$A:$A,S$2),"")</f>
        <v/>
      </c>
      <c r="T154" s="9" t="str">
        <f>IF(SUMIFS(Sheet1!$E:$E,Sheet1!$C:$C,$A154,Sheet1!$A:$A,T$2)&lt;&gt;0,SUMIFS(Sheet1!$E:$E,Sheet1!$C:$C,$A154,Sheet1!$A:$A,T$2),"")</f>
        <v/>
      </c>
      <c r="U154" s="9" t="str">
        <f>IF(SUMIFS(Sheet1!$E:$E,Sheet1!$C:$C,$A154,Sheet1!$A:$A,U$2)&lt;&gt;0,SUMIFS(Sheet1!$E:$E,Sheet1!$C:$C,$A154,Sheet1!$A:$A,U$2),"")</f>
        <v/>
      </c>
      <c r="V154" s="9" t="str">
        <f>IF(SUMIFS(Sheet1!$E:$E,Sheet1!$C:$C,$A154,Sheet1!$A:$A,V$2)&lt;&gt;0,SUMIFS(Sheet1!$E:$E,Sheet1!$C:$C,$A154,Sheet1!$A:$A,V$2),"")</f>
        <v/>
      </c>
      <c r="W154" s="9" t="str">
        <f>IF(SUMIFS(Sheet1!$E:$E,Sheet1!$C:$C,$A154,Sheet1!$A:$A,W$2)&lt;&gt;0,SUMIFS(Sheet1!$E:$E,Sheet1!$C:$C,$A154,Sheet1!$A:$A,W$2),"")</f>
        <v/>
      </c>
      <c r="X154" s="9" t="str">
        <f>IF(SUMIFS(Sheet1!$E:$E,Sheet1!$C:$C,$A154,Sheet1!$A:$A,X$2)&lt;&gt;0,SUMIFS(Sheet1!$E:$E,Sheet1!$C:$C,$A154,Sheet1!$A:$A,X$2),"")</f>
        <v/>
      </c>
      <c r="Y154" s="9" t="str">
        <f>IF(SUMIFS(Sheet1!$E:$E,Sheet1!$C:$C,$A154,Sheet1!$A:$A,Y$2)&lt;&gt;0,SUMIFS(Sheet1!$E:$E,Sheet1!$C:$C,$A154,Sheet1!$A:$A,Y$2),"")</f>
        <v/>
      </c>
      <c r="Z154" s="9" t="str">
        <f>IF(SUMIFS(Sheet1!$E:$E,Sheet1!$C:$C,$A154,Sheet1!$A:$A,Z$2)&lt;&gt;0,SUMIFS(Sheet1!$E:$E,Sheet1!$C:$C,$A154,Sheet1!$A:$A,Z$2),"")</f>
        <v/>
      </c>
      <c r="AA154" s="9" t="str">
        <f>IF(SUMIFS(Sheet1!$E:$E,Sheet1!$C:$C,$A154,Sheet1!$A:$A,AA$2)&lt;&gt;0,SUMIFS(Sheet1!$E:$E,Sheet1!$C:$C,$A154,Sheet1!$A:$A,AA$2),"")</f>
        <v/>
      </c>
      <c r="AB154" s="9" t="str">
        <f>IF(SUMIFS(Sheet1!$E:$E,Sheet1!$C:$C,$A154,Sheet1!$A:$A,AB$2)&lt;&gt;0,SUMIFS(Sheet1!$E:$E,Sheet1!$C:$C,$A154,Sheet1!$A:$A,AB$2),"")</f>
        <v/>
      </c>
      <c r="AC154" s="9" t="str">
        <f>IF(SUMIFS(Sheet1!$E:$E,Sheet1!$C:$C,$A154,Sheet1!$A:$A,AC$2)&lt;&gt;0,SUMIFS(Sheet1!$E:$E,Sheet1!$C:$C,$A154,Sheet1!$A:$A,AC$2),"")</f>
        <v/>
      </c>
      <c r="AD154" s="9" t="str">
        <f>IF(SUMIFS(Sheet1!$E:$E,Sheet1!$C:$C,$A154,Sheet1!$A:$A,AD$2)&lt;&gt;0,SUMIFS(Sheet1!$E:$E,Sheet1!$C:$C,$A154,Sheet1!$A:$A,AD$2),"")</f>
        <v/>
      </c>
      <c r="AE154" s="9" t="str">
        <f>IF(SUMIFS(Sheet1!$E:$E,Sheet1!$C:$C,$A154,Sheet1!$A:$A,AE$2)&lt;&gt;0,SUMIFS(Sheet1!$E:$E,Sheet1!$C:$C,$A154,Sheet1!$A:$A,AE$2),"")</f>
        <v/>
      </c>
      <c r="AF154" s="9" t="str">
        <f>IF(SUMIFS(Sheet1!$E:$E,Sheet1!$C:$C,$A154,Sheet1!$A:$A,AF$2)&lt;&gt;0,SUMIFS(Sheet1!$E:$E,Sheet1!$C:$C,$A154,Sheet1!$A:$A,AF$2),"")</f>
        <v/>
      </c>
      <c r="AG154" s="9" t="str">
        <f>IF(SUMIFS(Sheet1!$E:$E,Sheet1!$C:$C,$A154,Sheet1!$A:$A,AG$2)&lt;&gt;0,SUMIFS(Sheet1!$E:$E,Sheet1!$C:$C,$A154,Sheet1!$A:$A,AG$2),"")</f>
        <v/>
      </c>
      <c r="AH154" s="47">
        <f>SUM(Table24[[#This Row],[1]:[31]])</f>
        <v>0</v>
      </c>
    </row>
    <row r="155" spans="1:34" ht="12.75" customHeight="1">
      <c r="A155" s="24" t="str">
        <f>DSSP!A154</f>
        <v>GC04</v>
      </c>
      <c r="B155" s="25" t="str">
        <f>DSSP!B154</f>
        <v>Dây xích vàng</v>
      </c>
      <c r="C155" s="9" t="str">
        <f>IF(SUMIFS(Sheet1!$E:$E,Sheet1!$C:$C,$A155,Sheet1!$A:$A,C$2)&lt;&gt;0,SUMIFS(Sheet1!$E:$E,Sheet1!$C:$C,$A155,Sheet1!$A:$A,C$2),"")</f>
        <v/>
      </c>
      <c r="D155" s="9" t="str">
        <f>IF(SUMIFS(Sheet1!$E:$E,Sheet1!$C:$C,$A155,Sheet1!$A:$A,D$2)&lt;&gt;0,SUMIFS(Sheet1!$E:$E,Sheet1!$C:$C,$A155,Sheet1!$A:$A,D$2),"")</f>
        <v/>
      </c>
      <c r="E155" s="9" t="str">
        <f>IF(SUMIFS(Sheet1!$E:$E,Sheet1!$C:$C,$A155,Sheet1!$A:$A,E$2)&lt;&gt;0,SUMIFS(Sheet1!$E:$E,Sheet1!$C:$C,$A155,Sheet1!$A:$A,E$2),"")</f>
        <v/>
      </c>
      <c r="F155" s="9" t="str">
        <f>IF(SUMIFS(Sheet1!$E:$E,Sheet1!$C:$C,$A155,Sheet1!$A:$A,F$2)&lt;&gt;0,SUMIFS(Sheet1!$E:$E,Sheet1!$C:$C,$A155,Sheet1!$A:$A,F$2),"")</f>
        <v/>
      </c>
      <c r="G155" s="9" t="str">
        <f>IF(SUMIFS(Sheet1!$E:$E,Sheet1!$C:$C,$A155,Sheet1!$A:$A,G$2)&lt;&gt;0,SUMIFS(Sheet1!$E:$E,Sheet1!$C:$C,$A155,Sheet1!$A:$A,G$2),"")</f>
        <v/>
      </c>
      <c r="H155" s="9" t="str">
        <f>IF(SUMIFS(Sheet1!$E:$E,Sheet1!$C:$C,$A155,Sheet1!$A:$A,H$2)&lt;&gt;0,SUMIFS(Sheet1!$E:$E,Sheet1!$C:$C,$A155,Sheet1!$A:$A,H$2),"")</f>
        <v/>
      </c>
      <c r="I155" s="9" t="str">
        <f>IF(SUMIFS(Sheet1!$E:$E,Sheet1!$C:$C,$A155,Sheet1!$A:$A,I$2)&lt;&gt;0,SUMIFS(Sheet1!$E:$E,Sheet1!$C:$C,$A155,Sheet1!$A:$A,I$2),"")</f>
        <v/>
      </c>
      <c r="J155" s="9" t="str">
        <f>IF(SUMIFS(Sheet1!$E:$E,Sheet1!$C:$C,$A155,Sheet1!$A:$A,J$2)&lt;&gt;0,SUMIFS(Sheet1!$E:$E,Sheet1!$C:$C,$A155,Sheet1!$A:$A,J$2),"")</f>
        <v/>
      </c>
      <c r="K155" s="9" t="str">
        <f>IF(SUMIFS(Sheet1!$E:$E,Sheet1!$C:$C,$A155,Sheet1!$A:$A,K$2)&lt;&gt;0,SUMIFS(Sheet1!$E:$E,Sheet1!$C:$C,$A155,Sheet1!$A:$A,K$2),"")</f>
        <v/>
      </c>
      <c r="L155" s="9" t="str">
        <f>IF(SUMIFS(Sheet1!$E:$E,Sheet1!$C:$C,$A155,Sheet1!$A:$A,L$2)&lt;&gt;0,SUMIFS(Sheet1!$E:$E,Sheet1!$C:$C,$A155,Sheet1!$A:$A,L$2),"")</f>
        <v/>
      </c>
      <c r="M155" s="9" t="str">
        <f>IF(SUMIFS(Sheet1!$E:$E,Sheet1!$C:$C,$A155,Sheet1!$A:$A,M$2)&lt;&gt;0,SUMIFS(Sheet1!$E:$E,Sheet1!$C:$C,$A155,Sheet1!$A:$A,M$2),"")</f>
        <v/>
      </c>
      <c r="N155" s="9" t="str">
        <f>IF(SUMIFS(Sheet1!$E:$E,Sheet1!$C:$C,$A155,Sheet1!$A:$A,N$2)&lt;&gt;0,SUMIFS(Sheet1!$E:$E,Sheet1!$C:$C,$A155,Sheet1!$A:$A,N$2),"")</f>
        <v/>
      </c>
      <c r="O155" s="9" t="str">
        <f>IF(SUMIFS(Sheet1!$E:$E,Sheet1!$C:$C,$A155,Sheet1!$A:$A,O$2)&lt;&gt;0,SUMIFS(Sheet1!$E:$E,Sheet1!$C:$C,$A155,Sheet1!$A:$A,O$2),"")</f>
        <v/>
      </c>
      <c r="P155" s="9" t="str">
        <f>IF(SUMIFS(Sheet1!$E:$E,Sheet1!$C:$C,$A155,Sheet1!$A:$A,P$2)&lt;&gt;0,SUMIFS(Sheet1!$E:$E,Sheet1!$C:$C,$A155,Sheet1!$A:$A,P$2),"")</f>
        <v/>
      </c>
      <c r="Q155" s="9" t="str">
        <f>IF(SUMIFS(Sheet1!$E:$E,Sheet1!$C:$C,$A155,Sheet1!$A:$A,Q$2)&lt;&gt;0,SUMIFS(Sheet1!$E:$E,Sheet1!$C:$C,$A155,Sheet1!$A:$A,Q$2),"")</f>
        <v/>
      </c>
      <c r="R155" s="9" t="str">
        <f>IF(SUMIFS(Sheet1!$E:$E,Sheet1!$C:$C,$A155,Sheet1!$A:$A,R$2)&lt;&gt;0,SUMIFS(Sheet1!$E:$E,Sheet1!$C:$C,$A155,Sheet1!$A:$A,R$2),"")</f>
        <v/>
      </c>
      <c r="S155" s="9" t="str">
        <f>IF(SUMIFS(Sheet1!$E:$E,Sheet1!$C:$C,$A155,Sheet1!$A:$A,S$2)&lt;&gt;0,SUMIFS(Sheet1!$E:$E,Sheet1!$C:$C,$A155,Sheet1!$A:$A,S$2),"")</f>
        <v/>
      </c>
      <c r="T155" s="9" t="str">
        <f>IF(SUMIFS(Sheet1!$E:$E,Sheet1!$C:$C,$A155,Sheet1!$A:$A,T$2)&lt;&gt;0,SUMIFS(Sheet1!$E:$E,Sheet1!$C:$C,$A155,Sheet1!$A:$A,T$2),"")</f>
        <v/>
      </c>
      <c r="U155" s="9" t="str">
        <f>IF(SUMIFS(Sheet1!$E:$E,Sheet1!$C:$C,$A155,Sheet1!$A:$A,U$2)&lt;&gt;0,SUMIFS(Sheet1!$E:$E,Sheet1!$C:$C,$A155,Sheet1!$A:$A,U$2),"")</f>
        <v/>
      </c>
      <c r="V155" s="9" t="str">
        <f>IF(SUMIFS(Sheet1!$E:$E,Sheet1!$C:$C,$A155,Sheet1!$A:$A,V$2)&lt;&gt;0,SUMIFS(Sheet1!$E:$E,Sheet1!$C:$C,$A155,Sheet1!$A:$A,V$2),"")</f>
        <v/>
      </c>
      <c r="W155" s="9" t="str">
        <f>IF(SUMIFS(Sheet1!$E:$E,Sheet1!$C:$C,$A155,Sheet1!$A:$A,W$2)&lt;&gt;0,SUMIFS(Sheet1!$E:$E,Sheet1!$C:$C,$A155,Sheet1!$A:$A,W$2),"")</f>
        <v/>
      </c>
      <c r="X155" s="9" t="str">
        <f>IF(SUMIFS(Sheet1!$E:$E,Sheet1!$C:$C,$A155,Sheet1!$A:$A,X$2)&lt;&gt;0,SUMIFS(Sheet1!$E:$E,Sheet1!$C:$C,$A155,Sheet1!$A:$A,X$2),"")</f>
        <v/>
      </c>
      <c r="Y155" s="9" t="str">
        <f>IF(SUMIFS(Sheet1!$E:$E,Sheet1!$C:$C,$A155,Sheet1!$A:$A,Y$2)&lt;&gt;0,SUMIFS(Sheet1!$E:$E,Sheet1!$C:$C,$A155,Sheet1!$A:$A,Y$2),"")</f>
        <v/>
      </c>
      <c r="Z155" s="9" t="str">
        <f>IF(SUMIFS(Sheet1!$E:$E,Sheet1!$C:$C,$A155,Sheet1!$A:$A,Z$2)&lt;&gt;0,SUMIFS(Sheet1!$E:$E,Sheet1!$C:$C,$A155,Sheet1!$A:$A,Z$2),"")</f>
        <v/>
      </c>
      <c r="AA155" s="9" t="str">
        <f>IF(SUMIFS(Sheet1!$E:$E,Sheet1!$C:$C,$A155,Sheet1!$A:$A,AA$2)&lt;&gt;0,SUMIFS(Sheet1!$E:$E,Sheet1!$C:$C,$A155,Sheet1!$A:$A,AA$2),"")</f>
        <v/>
      </c>
      <c r="AB155" s="9" t="str">
        <f>IF(SUMIFS(Sheet1!$E:$E,Sheet1!$C:$C,$A155,Sheet1!$A:$A,AB$2)&lt;&gt;0,SUMIFS(Sheet1!$E:$E,Sheet1!$C:$C,$A155,Sheet1!$A:$A,AB$2),"")</f>
        <v/>
      </c>
      <c r="AC155" s="9" t="str">
        <f>IF(SUMIFS(Sheet1!$E:$E,Sheet1!$C:$C,$A155,Sheet1!$A:$A,AC$2)&lt;&gt;0,SUMIFS(Sheet1!$E:$E,Sheet1!$C:$C,$A155,Sheet1!$A:$A,AC$2),"")</f>
        <v/>
      </c>
      <c r="AD155" s="9" t="str">
        <f>IF(SUMIFS(Sheet1!$E:$E,Sheet1!$C:$C,$A155,Sheet1!$A:$A,AD$2)&lt;&gt;0,SUMIFS(Sheet1!$E:$E,Sheet1!$C:$C,$A155,Sheet1!$A:$A,AD$2),"")</f>
        <v/>
      </c>
      <c r="AE155" s="9" t="str">
        <f>IF(SUMIFS(Sheet1!$E:$E,Sheet1!$C:$C,$A155,Sheet1!$A:$A,AE$2)&lt;&gt;0,SUMIFS(Sheet1!$E:$E,Sheet1!$C:$C,$A155,Sheet1!$A:$A,AE$2),"")</f>
        <v/>
      </c>
      <c r="AF155" s="9" t="str">
        <f>IF(SUMIFS(Sheet1!$E:$E,Sheet1!$C:$C,$A155,Sheet1!$A:$A,AF$2)&lt;&gt;0,SUMIFS(Sheet1!$E:$E,Sheet1!$C:$C,$A155,Sheet1!$A:$A,AF$2),"")</f>
        <v/>
      </c>
      <c r="AG155" s="9" t="str">
        <f>IF(SUMIFS(Sheet1!$E:$E,Sheet1!$C:$C,$A155,Sheet1!$A:$A,AG$2)&lt;&gt;0,SUMIFS(Sheet1!$E:$E,Sheet1!$C:$C,$A155,Sheet1!$A:$A,AG$2),"")</f>
        <v/>
      </c>
      <c r="AH155" s="47">
        <f>SUM(Table24[[#This Row],[1]:[31]])</f>
        <v>0</v>
      </c>
    </row>
    <row r="156" spans="1:34" ht="12.75" customHeight="1">
      <c r="A156" s="24" t="str">
        <f>DSSP!A155</f>
        <v>GC05</v>
      </c>
      <c r="B156" s="25" t="str">
        <f>DSSP!B155</f>
        <v>Khoen tròn (lạng)</v>
      </c>
      <c r="C156" s="9">
        <f>IF(SUMIFS(Sheet1!$E:$E,Sheet1!$C:$C,$A156,Sheet1!$A:$A,C$2)&lt;&gt;0,SUMIFS(Sheet1!$E:$E,Sheet1!$C:$C,$A156,Sheet1!$A:$A,C$2),"")</f>
        <v>8.1999999999999993</v>
      </c>
      <c r="D156" s="9" t="str">
        <f>IF(SUMIFS(Sheet1!$E:$E,Sheet1!$C:$C,$A156,Sheet1!$A:$A,D$2)&lt;&gt;0,SUMIFS(Sheet1!$E:$E,Sheet1!$C:$C,$A156,Sheet1!$A:$A,D$2),"")</f>
        <v/>
      </c>
      <c r="E156" s="9" t="str">
        <f>IF(SUMIFS(Sheet1!$E:$E,Sheet1!$C:$C,$A156,Sheet1!$A:$A,E$2)&lt;&gt;0,SUMIFS(Sheet1!$E:$E,Sheet1!$C:$C,$A156,Sheet1!$A:$A,E$2),"")</f>
        <v/>
      </c>
      <c r="F156" s="9" t="str">
        <f>IF(SUMIFS(Sheet1!$E:$E,Sheet1!$C:$C,$A156,Sheet1!$A:$A,F$2)&lt;&gt;0,SUMIFS(Sheet1!$E:$E,Sheet1!$C:$C,$A156,Sheet1!$A:$A,F$2),"")</f>
        <v/>
      </c>
      <c r="G156" s="9" t="str">
        <f>IF(SUMIFS(Sheet1!$E:$E,Sheet1!$C:$C,$A156,Sheet1!$A:$A,G$2)&lt;&gt;0,SUMIFS(Sheet1!$E:$E,Sheet1!$C:$C,$A156,Sheet1!$A:$A,G$2),"")</f>
        <v/>
      </c>
      <c r="H156" s="9" t="str">
        <f>IF(SUMIFS(Sheet1!$E:$E,Sheet1!$C:$C,$A156,Sheet1!$A:$A,H$2)&lt;&gt;0,SUMIFS(Sheet1!$E:$E,Sheet1!$C:$C,$A156,Sheet1!$A:$A,H$2),"")</f>
        <v/>
      </c>
      <c r="I156" s="9" t="str">
        <f>IF(SUMIFS(Sheet1!$E:$E,Sheet1!$C:$C,$A156,Sheet1!$A:$A,I$2)&lt;&gt;0,SUMIFS(Sheet1!$E:$E,Sheet1!$C:$C,$A156,Sheet1!$A:$A,I$2),"")</f>
        <v/>
      </c>
      <c r="J156" s="9" t="str">
        <f>IF(SUMIFS(Sheet1!$E:$E,Sheet1!$C:$C,$A156,Sheet1!$A:$A,J$2)&lt;&gt;0,SUMIFS(Sheet1!$E:$E,Sheet1!$C:$C,$A156,Sheet1!$A:$A,J$2),"")</f>
        <v/>
      </c>
      <c r="K156" s="9" t="str">
        <f>IF(SUMIFS(Sheet1!$E:$E,Sheet1!$C:$C,$A156,Sheet1!$A:$A,K$2)&lt;&gt;0,SUMIFS(Sheet1!$E:$E,Sheet1!$C:$C,$A156,Sheet1!$A:$A,K$2),"")</f>
        <v/>
      </c>
      <c r="L156" s="9" t="str">
        <f>IF(SUMIFS(Sheet1!$E:$E,Sheet1!$C:$C,$A156,Sheet1!$A:$A,L$2)&lt;&gt;0,SUMIFS(Sheet1!$E:$E,Sheet1!$C:$C,$A156,Sheet1!$A:$A,L$2),"")</f>
        <v/>
      </c>
      <c r="M156" s="9" t="str">
        <f>IF(SUMIFS(Sheet1!$E:$E,Sheet1!$C:$C,$A156,Sheet1!$A:$A,M$2)&lt;&gt;0,SUMIFS(Sheet1!$E:$E,Sheet1!$C:$C,$A156,Sheet1!$A:$A,M$2),"")</f>
        <v/>
      </c>
      <c r="N156" s="9" t="str">
        <f>IF(SUMIFS(Sheet1!$E:$E,Sheet1!$C:$C,$A156,Sheet1!$A:$A,N$2)&lt;&gt;0,SUMIFS(Sheet1!$E:$E,Sheet1!$C:$C,$A156,Sheet1!$A:$A,N$2),"")</f>
        <v/>
      </c>
      <c r="O156" s="9" t="str">
        <f>IF(SUMIFS(Sheet1!$E:$E,Sheet1!$C:$C,$A156,Sheet1!$A:$A,O$2)&lt;&gt;0,SUMIFS(Sheet1!$E:$E,Sheet1!$C:$C,$A156,Sheet1!$A:$A,O$2),"")</f>
        <v/>
      </c>
      <c r="P156" s="9" t="str">
        <f>IF(SUMIFS(Sheet1!$E:$E,Sheet1!$C:$C,$A156,Sheet1!$A:$A,P$2)&lt;&gt;0,SUMIFS(Sheet1!$E:$E,Sheet1!$C:$C,$A156,Sheet1!$A:$A,P$2),"")</f>
        <v/>
      </c>
      <c r="Q156" s="9" t="str">
        <f>IF(SUMIFS(Sheet1!$E:$E,Sheet1!$C:$C,$A156,Sheet1!$A:$A,Q$2)&lt;&gt;0,SUMIFS(Sheet1!$E:$E,Sheet1!$C:$C,$A156,Sheet1!$A:$A,Q$2),"")</f>
        <v/>
      </c>
      <c r="R156" s="9" t="str">
        <f>IF(SUMIFS(Sheet1!$E:$E,Sheet1!$C:$C,$A156,Sheet1!$A:$A,R$2)&lt;&gt;0,SUMIFS(Sheet1!$E:$E,Sheet1!$C:$C,$A156,Sheet1!$A:$A,R$2),"")</f>
        <v/>
      </c>
      <c r="S156" s="9" t="str">
        <f>IF(SUMIFS(Sheet1!$E:$E,Sheet1!$C:$C,$A156,Sheet1!$A:$A,S$2)&lt;&gt;0,SUMIFS(Sheet1!$E:$E,Sheet1!$C:$C,$A156,Sheet1!$A:$A,S$2),"")</f>
        <v/>
      </c>
      <c r="T156" s="9" t="str">
        <f>IF(SUMIFS(Sheet1!$E:$E,Sheet1!$C:$C,$A156,Sheet1!$A:$A,T$2)&lt;&gt;0,SUMIFS(Sheet1!$E:$E,Sheet1!$C:$C,$A156,Sheet1!$A:$A,T$2),"")</f>
        <v/>
      </c>
      <c r="U156" s="9" t="str">
        <f>IF(SUMIFS(Sheet1!$E:$E,Sheet1!$C:$C,$A156,Sheet1!$A:$A,U$2)&lt;&gt;0,SUMIFS(Sheet1!$E:$E,Sheet1!$C:$C,$A156,Sheet1!$A:$A,U$2),"")</f>
        <v/>
      </c>
      <c r="V156" s="9" t="str">
        <f>IF(SUMIFS(Sheet1!$E:$E,Sheet1!$C:$C,$A156,Sheet1!$A:$A,V$2)&lt;&gt;0,SUMIFS(Sheet1!$E:$E,Sheet1!$C:$C,$A156,Sheet1!$A:$A,V$2),"")</f>
        <v/>
      </c>
      <c r="W156" s="9" t="str">
        <f>IF(SUMIFS(Sheet1!$E:$E,Sheet1!$C:$C,$A156,Sheet1!$A:$A,W$2)&lt;&gt;0,SUMIFS(Sheet1!$E:$E,Sheet1!$C:$C,$A156,Sheet1!$A:$A,W$2),"")</f>
        <v/>
      </c>
      <c r="X156" s="9" t="str">
        <f>IF(SUMIFS(Sheet1!$E:$E,Sheet1!$C:$C,$A156,Sheet1!$A:$A,X$2)&lt;&gt;0,SUMIFS(Sheet1!$E:$E,Sheet1!$C:$C,$A156,Sheet1!$A:$A,X$2),"")</f>
        <v/>
      </c>
      <c r="Y156" s="9" t="str">
        <f>IF(SUMIFS(Sheet1!$E:$E,Sheet1!$C:$C,$A156,Sheet1!$A:$A,Y$2)&lt;&gt;0,SUMIFS(Sheet1!$E:$E,Sheet1!$C:$C,$A156,Sheet1!$A:$A,Y$2),"")</f>
        <v/>
      </c>
      <c r="Z156" s="9" t="str">
        <f>IF(SUMIFS(Sheet1!$E:$E,Sheet1!$C:$C,$A156,Sheet1!$A:$A,Z$2)&lt;&gt;0,SUMIFS(Sheet1!$E:$E,Sheet1!$C:$C,$A156,Sheet1!$A:$A,Z$2),"")</f>
        <v/>
      </c>
      <c r="AA156" s="9" t="str">
        <f>IF(SUMIFS(Sheet1!$E:$E,Sheet1!$C:$C,$A156,Sheet1!$A:$A,AA$2)&lt;&gt;0,SUMIFS(Sheet1!$E:$E,Sheet1!$C:$C,$A156,Sheet1!$A:$A,AA$2),"")</f>
        <v/>
      </c>
      <c r="AB156" s="9" t="str">
        <f>IF(SUMIFS(Sheet1!$E:$E,Sheet1!$C:$C,$A156,Sheet1!$A:$A,AB$2)&lt;&gt;0,SUMIFS(Sheet1!$E:$E,Sheet1!$C:$C,$A156,Sheet1!$A:$A,AB$2),"")</f>
        <v/>
      </c>
      <c r="AC156" s="9" t="str">
        <f>IF(SUMIFS(Sheet1!$E:$E,Sheet1!$C:$C,$A156,Sheet1!$A:$A,AC$2)&lt;&gt;0,SUMIFS(Sheet1!$E:$E,Sheet1!$C:$C,$A156,Sheet1!$A:$A,AC$2),"")</f>
        <v/>
      </c>
      <c r="AD156" s="9" t="str">
        <f>IF(SUMIFS(Sheet1!$E:$E,Sheet1!$C:$C,$A156,Sheet1!$A:$A,AD$2)&lt;&gt;0,SUMIFS(Sheet1!$E:$E,Sheet1!$C:$C,$A156,Sheet1!$A:$A,AD$2),"")</f>
        <v/>
      </c>
      <c r="AE156" s="9" t="str">
        <f>IF(SUMIFS(Sheet1!$E:$E,Sheet1!$C:$C,$A156,Sheet1!$A:$A,AE$2)&lt;&gt;0,SUMIFS(Sheet1!$E:$E,Sheet1!$C:$C,$A156,Sheet1!$A:$A,AE$2),"")</f>
        <v/>
      </c>
      <c r="AF156" s="9" t="str">
        <f>IF(SUMIFS(Sheet1!$E:$E,Sheet1!$C:$C,$A156,Sheet1!$A:$A,AF$2)&lt;&gt;0,SUMIFS(Sheet1!$E:$E,Sheet1!$C:$C,$A156,Sheet1!$A:$A,AF$2),"")</f>
        <v/>
      </c>
      <c r="AG156" s="9" t="str">
        <f>IF(SUMIFS(Sheet1!$E:$E,Sheet1!$C:$C,$A156,Sheet1!$A:$A,AG$2)&lt;&gt;0,SUMIFS(Sheet1!$E:$E,Sheet1!$C:$C,$A156,Sheet1!$A:$A,AG$2),"")</f>
        <v/>
      </c>
      <c r="AH156" s="47">
        <f>SUM(Table24[[#This Row],[1]:[31]])</f>
        <v>8.1999999999999993</v>
      </c>
    </row>
    <row r="157" spans="1:34" ht="12.75" customHeight="1">
      <c r="A157" s="24" t="str">
        <f>DSSP!A156</f>
        <v>GC06</v>
      </c>
      <c r="B157" s="25" t="str">
        <f>DSSP!B156</f>
        <v>Mặt lớn</v>
      </c>
      <c r="C157" s="9" t="str">
        <f>IF(SUMIFS(Sheet1!$E:$E,Sheet1!$C:$C,$A157,Sheet1!$A:$A,C$2)&lt;&gt;0,SUMIFS(Sheet1!$E:$E,Sheet1!$C:$C,$A157,Sheet1!$A:$A,C$2),"")</f>
        <v/>
      </c>
      <c r="D157" s="9" t="str">
        <f>IF(SUMIFS(Sheet1!$E:$E,Sheet1!$C:$C,$A157,Sheet1!$A:$A,D$2)&lt;&gt;0,SUMIFS(Sheet1!$E:$E,Sheet1!$C:$C,$A157,Sheet1!$A:$A,D$2),"")</f>
        <v/>
      </c>
      <c r="E157" s="9" t="str">
        <f>IF(SUMIFS(Sheet1!$E:$E,Sheet1!$C:$C,$A157,Sheet1!$A:$A,E$2)&lt;&gt;0,SUMIFS(Sheet1!$E:$E,Sheet1!$C:$C,$A157,Sheet1!$A:$A,E$2),"")</f>
        <v/>
      </c>
      <c r="F157" s="9" t="str">
        <f>IF(SUMIFS(Sheet1!$E:$E,Sheet1!$C:$C,$A157,Sheet1!$A:$A,F$2)&lt;&gt;0,SUMIFS(Sheet1!$E:$E,Sheet1!$C:$C,$A157,Sheet1!$A:$A,F$2),"")</f>
        <v/>
      </c>
      <c r="G157" s="9" t="str">
        <f>IF(SUMIFS(Sheet1!$E:$E,Sheet1!$C:$C,$A157,Sheet1!$A:$A,G$2)&lt;&gt;0,SUMIFS(Sheet1!$E:$E,Sheet1!$C:$C,$A157,Sheet1!$A:$A,G$2),"")</f>
        <v/>
      </c>
      <c r="H157" s="9" t="str">
        <f>IF(SUMIFS(Sheet1!$E:$E,Sheet1!$C:$C,$A157,Sheet1!$A:$A,H$2)&lt;&gt;0,SUMIFS(Sheet1!$E:$E,Sheet1!$C:$C,$A157,Sheet1!$A:$A,H$2),"")</f>
        <v/>
      </c>
      <c r="I157" s="9" t="str">
        <f>IF(SUMIFS(Sheet1!$E:$E,Sheet1!$C:$C,$A157,Sheet1!$A:$A,I$2)&lt;&gt;0,SUMIFS(Sheet1!$E:$E,Sheet1!$C:$C,$A157,Sheet1!$A:$A,I$2),"")</f>
        <v/>
      </c>
      <c r="J157" s="9" t="str">
        <f>IF(SUMIFS(Sheet1!$E:$E,Sheet1!$C:$C,$A157,Sheet1!$A:$A,J$2)&lt;&gt;0,SUMIFS(Sheet1!$E:$E,Sheet1!$C:$C,$A157,Sheet1!$A:$A,J$2),"")</f>
        <v/>
      </c>
      <c r="K157" s="9" t="str">
        <f>IF(SUMIFS(Sheet1!$E:$E,Sheet1!$C:$C,$A157,Sheet1!$A:$A,K$2)&lt;&gt;0,SUMIFS(Sheet1!$E:$E,Sheet1!$C:$C,$A157,Sheet1!$A:$A,K$2),"")</f>
        <v/>
      </c>
      <c r="L157" s="9" t="str">
        <f>IF(SUMIFS(Sheet1!$E:$E,Sheet1!$C:$C,$A157,Sheet1!$A:$A,L$2)&lt;&gt;0,SUMIFS(Sheet1!$E:$E,Sheet1!$C:$C,$A157,Sheet1!$A:$A,L$2),"")</f>
        <v/>
      </c>
      <c r="M157" s="9" t="str">
        <f>IF(SUMIFS(Sheet1!$E:$E,Sheet1!$C:$C,$A157,Sheet1!$A:$A,M$2)&lt;&gt;0,SUMIFS(Sheet1!$E:$E,Sheet1!$C:$C,$A157,Sheet1!$A:$A,M$2),"")</f>
        <v/>
      </c>
      <c r="N157" s="9" t="str">
        <f>IF(SUMIFS(Sheet1!$E:$E,Sheet1!$C:$C,$A157,Sheet1!$A:$A,N$2)&lt;&gt;0,SUMIFS(Sheet1!$E:$E,Sheet1!$C:$C,$A157,Sheet1!$A:$A,N$2),"")</f>
        <v/>
      </c>
      <c r="O157" s="9" t="str">
        <f>IF(SUMIFS(Sheet1!$E:$E,Sheet1!$C:$C,$A157,Sheet1!$A:$A,O$2)&lt;&gt;0,SUMIFS(Sheet1!$E:$E,Sheet1!$C:$C,$A157,Sheet1!$A:$A,O$2),"")</f>
        <v/>
      </c>
      <c r="P157" s="9" t="str">
        <f>IF(SUMIFS(Sheet1!$E:$E,Sheet1!$C:$C,$A157,Sheet1!$A:$A,P$2)&lt;&gt;0,SUMIFS(Sheet1!$E:$E,Sheet1!$C:$C,$A157,Sheet1!$A:$A,P$2),"")</f>
        <v/>
      </c>
      <c r="Q157" s="9" t="str">
        <f>IF(SUMIFS(Sheet1!$E:$E,Sheet1!$C:$C,$A157,Sheet1!$A:$A,Q$2)&lt;&gt;0,SUMIFS(Sheet1!$E:$E,Sheet1!$C:$C,$A157,Sheet1!$A:$A,Q$2),"")</f>
        <v/>
      </c>
      <c r="R157" s="9" t="str">
        <f>IF(SUMIFS(Sheet1!$E:$E,Sheet1!$C:$C,$A157,Sheet1!$A:$A,R$2)&lt;&gt;0,SUMIFS(Sheet1!$E:$E,Sheet1!$C:$C,$A157,Sheet1!$A:$A,R$2),"")</f>
        <v/>
      </c>
      <c r="S157" s="9" t="str">
        <f>IF(SUMIFS(Sheet1!$E:$E,Sheet1!$C:$C,$A157,Sheet1!$A:$A,S$2)&lt;&gt;0,SUMIFS(Sheet1!$E:$E,Sheet1!$C:$C,$A157,Sheet1!$A:$A,S$2),"")</f>
        <v/>
      </c>
      <c r="T157" s="9" t="str">
        <f>IF(SUMIFS(Sheet1!$E:$E,Sheet1!$C:$C,$A157,Sheet1!$A:$A,T$2)&lt;&gt;0,SUMIFS(Sheet1!$E:$E,Sheet1!$C:$C,$A157,Sheet1!$A:$A,T$2),"")</f>
        <v/>
      </c>
      <c r="U157" s="9" t="str">
        <f>IF(SUMIFS(Sheet1!$E:$E,Sheet1!$C:$C,$A157,Sheet1!$A:$A,U$2)&lt;&gt;0,SUMIFS(Sheet1!$E:$E,Sheet1!$C:$C,$A157,Sheet1!$A:$A,U$2),"")</f>
        <v/>
      </c>
      <c r="V157" s="9" t="str">
        <f>IF(SUMIFS(Sheet1!$E:$E,Sheet1!$C:$C,$A157,Sheet1!$A:$A,V$2)&lt;&gt;0,SUMIFS(Sheet1!$E:$E,Sheet1!$C:$C,$A157,Sheet1!$A:$A,V$2),"")</f>
        <v/>
      </c>
      <c r="W157" s="9" t="str">
        <f>IF(SUMIFS(Sheet1!$E:$E,Sheet1!$C:$C,$A157,Sheet1!$A:$A,W$2)&lt;&gt;0,SUMIFS(Sheet1!$E:$E,Sheet1!$C:$C,$A157,Sheet1!$A:$A,W$2),"")</f>
        <v/>
      </c>
      <c r="X157" s="9" t="str">
        <f>IF(SUMIFS(Sheet1!$E:$E,Sheet1!$C:$C,$A157,Sheet1!$A:$A,X$2)&lt;&gt;0,SUMIFS(Sheet1!$E:$E,Sheet1!$C:$C,$A157,Sheet1!$A:$A,X$2),"")</f>
        <v/>
      </c>
      <c r="Y157" s="9" t="str">
        <f>IF(SUMIFS(Sheet1!$E:$E,Sheet1!$C:$C,$A157,Sheet1!$A:$A,Y$2)&lt;&gt;0,SUMIFS(Sheet1!$E:$E,Sheet1!$C:$C,$A157,Sheet1!$A:$A,Y$2),"")</f>
        <v/>
      </c>
      <c r="Z157" s="9" t="str">
        <f>IF(SUMIFS(Sheet1!$E:$E,Sheet1!$C:$C,$A157,Sheet1!$A:$A,Z$2)&lt;&gt;0,SUMIFS(Sheet1!$E:$E,Sheet1!$C:$C,$A157,Sheet1!$A:$A,Z$2),"")</f>
        <v/>
      </c>
      <c r="AA157" s="9" t="str">
        <f>IF(SUMIFS(Sheet1!$E:$E,Sheet1!$C:$C,$A157,Sheet1!$A:$A,AA$2)&lt;&gt;0,SUMIFS(Sheet1!$E:$E,Sheet1!$C:$C,$A157,Sheet1!$A:$A,AA$2),"")</f>
        <v/>
      </c>
      <c r="AB157" s="9" t="str">
        <f>IF(SUMIFS(Sheet1!$E:$E,Sheet1!$C:$C,$A157,Sheet1!$A:$A,AB$2)&lt;&gt;0,SUMIFS(Sheet1!$E:$E,Sheet1!$C:$C,$A157,Sheet1!$A:$A,AB$2),"")</f>
        <v/>
      </c>
      <c r="AC157" s="9" t="str">
        <f>IF(SUMIFS(Sheet1!$E:$E,Sheet1!$C:$C,$A157,Sheet1!$A:$A,AC$2)&lt;&gt;0,SUMIFS(Sheet1!$E:$E,Sheet1!$C:$C,$A157,Sheet1!$A:$A,AC$2),"")</f>
        <v/>
      </c>
      <c r="AD157" s="9" t="str">
        <f>IF(SUMIFS(Sheet1!$E:$E,Sheet1!$C:$C,$A157,Sheet1!$A:$A,AD$2)&lt;&gt;0,SUMIFS(Sheet1!$E:$E,Sheet1!$C:$C,$A157,Sheet1!$A:$A,AD$2),"")</f>
        <v/>
      </c>
      <c r="AE157" s="9" t="str">
        <f>IF(SUMIFS(Sheet1!$E:$E,Sheet1!$C:$C,$A157,Sheet1!$A:$A,AE$2)&lt;&gt;0,SUMIFS(Sheet1!$E:$E,Sheet1!$C:$C,$A157,Sheet1!$A:$A,AE$2),"")</f>
        <v/>
      </c>
      <c r="AF157" s="9" t="str">
        <f>IF(SUMIFS(Sheet1!$E:$E,Sheet1!$C:$C,$A157,Sheet1!$A:$A,AF$2)&lt;&gt;0,SUMIFS(Sheet1!$E:$E,Sheet1!$C:$C,$A157,Sheet1!$A:$A,AF$2),"")</f>
        <v/>
      </c>
      <c r="AG157" s="9" t="str">
        <f>IF(SUMIFS(Sheet1!$E:$E,Sheet1!$C:$C,$A157,Sheet1!$A:$A,AG$2)&lt;&gt;0,SUMIFS(Sheet1!$E:$E,Sheet1!$C:$C,$A157,Sheet1!$A:$A,AG$2),"")</f>
        <v/>
      </c>
      <c r="AH157" s="47">
        <f>SUM(Table24[[#This Row],[1]:[31]])</f>
        <v>0</v>
      </c>
    </row>
    <row r="158" spans="1:34" ht="12.75" customHeight="1">
      <c r="A158" s="24" t="str">
        <f>DSSP!A157</f>
        <v>GC07</v>
      </c>
      <c r="B158" s="25" t="str">
        <f>DSSP!B157</f>
        <v>Mặt vừa</v>
      </c>
      <c r="C158" s="9">
        <f>IF(SUMIFS(Sheet1!$E:$E,Sheet1!$C:$C,$A158,Sheet1!$A:$A,C$2)&lt;&gt;0,SUMIFS(Sheet1!$E:$E,Sheet1!$C:$C,$A158,Sheet1!$A:$A,C$2),"")</f>
        <v>-5</v>
      </c>
      <c r="D158" s="9" t="str">
        <f>IF(SUMIFS(Sheet1!$E:$E,Sheet1!$C:$C,$A158,Sheet1!$A:$A,D$2)&lt;&gt;0,SUMIFS(Sheet1!$E:$E,Sheet1!$C:$C,$A158,Sheet1!$A:$A,D$2),"")</f>
        <v/>
      </c>
      <c r="E158" s="9" t="str">
        <f>IF(SUMIFS(Sheet1!$E:$E,Sheet1!$C:$C,$A158,Sheet1!$A:$A,E$2)&lt;&gt;0,SUMIFS(Sheet1!$E:$E,Sheet1!$C:$C,$A158,Sheet1!$A:$A,E$2),"")</f>
        <v/>
      </c>
      <c r="F158" s="9" t="str">
        <f>IF(SUMIFS(Sheet1!$E:$E,Sheet1!$C:$C,$A158,Sheet1!$A:$A,F$2)&lt;&gt;0,SUMIFS(Sheet1!$E:$E,Sheet1!$C:$C,$A158,Sheet1!$A:$A,F$2),"")</f>
        <v/>
      </c>
      <c r="G158" s="9" t="str">
        <f>IF(SUMIFS(Sheet1!$E:$E,Sheet1!$C:$C,$A158,Sheet1!$A:$A,G$2)&lt;&gt;0,SUMIFS(Sheet1!$E:$E,Sheet1!$C:$C,$A158,Sheet1!$A:$A,G$2),"")</f>
        <v/>
      </c>
      <c r="H158" s="9" t="str">
        <f>IF(SUMIFS(Sheet1!$E:$E,Sheet1!$C:$C,$A158,Sheet1!$A:$A,H$2)&lt;&gt;0,SUMIFS(Sheet1!$E:$E,Sheet1!$C:$C,$A158,Sheet1!$A:$A,H$2),"")</f>
        <v/>
      </c>
      <c r="I158" s="9" t="str">
        <f>IF(SUMIFS(Sheet1!$E:$E,Sheet1!$C:$C,$A158,Sheet1!$A:$A,I$2)&lt;&gt;0,SUMIFS(Sheet1!$E:$E,Sheet1!$C:$C,$A158,Sheet1!$A:$A,I$2),"")</f>
        <v/>
      </c>
      <c r="J158" s="9" t="str">
        <f>IF(SUMIFS(Sheet1!$E:$E,Sheet1!$C:$C,$A158,Sheet1!$A:$A,J$2)&lt;&gt;0,SUMIFS(Sheet1!$E:$E,Sheet1!$C:$C,$A158,Sheet1!$A:$A,J$2),"")</f>
        <v/>
      </c>
      <c r="K158" s="9" t="str">
        <f>IF(SUMIFS(Sheet1!$E:$E,Sheet1!$C:$C,$A158,Sheet1!$A:$A,K$2)&lt;&gt;0,SUMIFS(Sheet1!$E:$E,Sheet1!$C:$C,$A158,Sheet1!$A:$A,K$2),"")</f>
        <v/>
      </c>
      <c r="L158" s="9" t="str">
        <f>IF(SUMIFS(Sheet1!$E:$E,Sheet1!$C:$C,$A158,Sheet1!$A:$A,L$2)&lt;&gt;0,SUMIFS(Sheet1!$E:$E,Sheet1!$C:$C,$A158,Sheet1!$A:$A,L$2),"")</f>
        <v/>
      </c>
      <c r="M158" s="9" t="str">
        <f>IF(SUMIFS(Sheet1!$E:$E,Sheet1!$C:$C,$A158,Sheet1!$A:$A,M$2)&lt;&gt;0,SUMIFS(Sheet1!$E:$E,Sheet1!$C:$C,$A158,Sheet1!$A:$A,M$2),"")</f>
        <v/>
      </c>
      <c r="N158" s="9" t="str">
        <f>IF(SUMIFS(Sheet1!$E:$E,Sheet1!$C:$C,$A158,Sheet1!$A:$A,N$2)&lt;&gt;0,SUMIFS(Sheet1!$E:$E,Sheet1!$C:$C,$A158,Sheet1!$A:$A,N$2),"")</f>
        <v/>
      </c>
      <c r="O158" s="9" t="str">
        <f>IF(SUMIFS(Sheet1!$E:$E,Sheet1!$C:$C,$A158,Sheet1!$A:$A,O$2)&lt;&gt;0,SUMIFS(Sheet1!$E:$E,Sheet1!$C:$C,$A158,Sheet1!$A:$A,O$2),"")</f>
        <v/>
      </c>
      <c r="P158" s="9" t="str">
        <f>IF(SUMIFS(Sheet1!$E:$E,Sheet1!$C:$C,$A158,Sheet1!$A:$A,P$2)&lt;&gt;0,SUMIFS(Sheet1!$E:$E,Sheet1!$C:$C,$A158,Sheet1!$A:$A,P$2),"")</f>
        <v/>
      </c>
      <c r="Q158" s="9" t="str">
        <f>IF(SUMIFS(Sheet1!$E:$E,Sheet1!$C:$C,$A158,Sheet1!$A:$A,Q$2)&lt;&gt;0,SUMIFS(Sheet1!$E:$E,Sheet1!$C:$C,$A158,Sheet1!$A:$A,Q$2),"")</f>
        <v/>
      </c>
      <c r="R158" s="9" t="str">
        <f>IF(SUMIFS(Sheet1!$E:$E,Sheet1!$C:$C,$A158,Sheet1!$A:$A,R$2)&lt;&gt;0,SUMIFS(Sheet1!$E:$E,Sheet1!$C:$C,$A158,Sheet1!$A:$A,R$2),"")</f>
        <v/>
      </c>
      <c r="S158" s="9" t="str">
        <f>IF(SUMIFS(Sheet1!$E:$E,Sheet1!$C:$C,$A158,Sheet1!$A:$A,S$2)&lt;&gt;0,SUMIFS(Sheet1!$E:$E,Sheet1!$C:$C,$A158,Sheet1!$A:$A,S$2),"")</f>
        <v/>
      </c>
      <c r="T158" s="9" t="str">
        <f>IF(SUMIFS(Sheet1!$E:$E,Sheet1!$C:$C,$A158,Sheet1!$A:$A,T$2)&lt;&gt;0,SUMIFS(Sheet1!$E:$E,Sheet1!$C:$C,$A158,Sheet1!$A:$A,T$2),"")</f>
        <v/>
      </c>
      <c r="U158" s="9" t="str">
        <f>IF(SUMIFS(Sheet1!$E:$E,Sheet1!$C:$C,$A158,Sheet1!$A:$A,U$2)&lt;&gt;0,SUMIFS(Sheet1!$E:$E,Sheet1!$C:$C,$A158,Sheet1!$A:$A,U$2),"")</f>
        <v/>
      </c>
      <c r="V158" s="9" t="str">
        <f>IF(SUMIFS(Sheet1!$E:$E,Sheet1!$C:$C,$A158,Sheet1!$A:$A,V$2)&lt;&gt;0,SUMIFS(Sheet1!$E:$E,Sheet1!$C:$C,$A158,Sheet1!$A:$A,V$2),"")</f>
        <v/>
      </c>
      <c r="W158" s="9" t="str">
        <f>IF(SUMIFS(Sheet1!$E:$E,Sheet1!$C:$C,$A158,Sheet1!$A:$A,W$2)&lt;&gt;0,SUMIFS(Sheet1!$E:$E,Sheet1!$C:$C,$A158,Sheet1!$A:$A,W$2),"")</f>
        <v/>
      </c>
      <c r="X158" s="9" t="str">
        <f>IF(SUMIFS(Sheet1!$E:$E,Sheet1!$C:$C,$A158,Sheet1!$A:$A,X$2)&lt;&gt;0,SUMIFS(Sheet1!$E:$E,Sheet1!$C:$C,$A158,Sheet1!$A:$A,X$2),"")</f>
        <v/>
      </c>
      <c r="Y158" s="9" t="str">
        <f>IF(SUMIFS(Sheet1!$E:$E,Sheet1!$C:$C,$A158,Sheet1!$A:$A,Y$2)&lt;&gt;0,SUMIFS(Sheet1!$E:$E,Sheet1!$C:$C,$A158,Sheet1!$A:$A,Y$2),"")</f>
        <v/>
      </c>
      <c r="Z158" s="9" t="str">
        <f>IF(SUMIFS(Sheet1!$E:$E,Sheet1!$C:$C,$A158,Sheet1!$A:$A,Z$2)&lt;&gt;0,SUMIFS(Sheet1!$E:$E,Sheet1!$C:$C,$A158,Sheet1!$A:$A,Z$2),"")</f>
        <v/>
      </c>
      <c r="AA158" s="9" t="str">
        <f>IF(SUMIFS(Sheet1!$E:$E,Sheet1!$C:$C,$A158,Sheet1!$A:$A,AA$2)&lt;&gt;0,SUMIFS(Sheet1!$E:$E,Sheet1!$C:$C,$A158,Sheet1!$A:$A,AA$2),"")</f>
        <v/>
      </c>
      <c r="AB158" s="9" t="str">
        <f>IF(SUMIFS(Sheet1!$E:$E,Sheet1!$C:$C,$A158,Sheet1!$A:$A,AB$2)&lt;&gt;0,SUMIFS(Sheet1!$E:$E,Sheet1!$C:$C,$A158,Sheet1!$A:$A,AB$2),"")</f>
        <v/>
      </c>
      <c r="AC158" s="9" t="str">
        <f>IF(SUMIFS(Sheet1!$E:$E,Sheet1!$C:$C,$A158,Sheet1!$A:$A,AC$2)&lt;&gt;0,SUMIFS(Sheet1!$E:$E,Sheet1!$C:$C,$A158,Sheet1!$A:$A,AC$2),"")</f>
        <v/>
      </c>
      <c r="AD158" s="9" t="str">
        <f>IF(SUMIFS(Sheet1!$E:$E,Sheet1!$C:$C,$A158,Sheet1!$A:$A,AD$2)&lt;&gt;0,SUMIFS(Sheet1!$E:$E,Sheet1!$C:$C,$A158,Sheet1!$A:$A,AD$2),"")</f>
        <v/>
      </c>
      <c r="AE158" s="9" t="str">
        <f>IF(SUMIFS(Sheet1!$E:$E,Sheet1!$C:$C,$A158,Sheet1!$A:$A,AE$2)&lt;&gt;0,SUMIFS(Sheet1!$E:$E,Sheet1!$C:$C,$A158,Sheet1!$A:$A,AE$2),"")</f>
        <v/>
      </c>
      <c r="AF158" s="9" t="str">
        <f>IF(SUMIFS(Sheet1!$E:$E,Sheet1!$C:$C,$A158,Sheet1!$A:$A,AF$2)&lt;&gt;0,SUMIFS(Sheet1!$E:$E,Sheet1!$C:$C,$A158,Sheet1!$A:$A,AF$2),"")</f>
        <v/>
      </c>
      <c r="AG158" s="9" t="str">
        <f>IF(SUMIFS(Sheet1!$E:$E,Sheet1!$C:$C,$A158,Sheet1!$A:$A,AG$2)&lt;&gt;0,SUMIFS(Sheet1!$E:$E,Sheet1!$C:$C,$A158,Sheet1!$A:$A,AG$2),"")</f>
        <v/>
      </c>
      <c r="AH158" s="47">
        <f>SUM(Table24[[#This Row],[1]:[31]])</f>
        <v>-5</v>
      </c>
    </row>
    <row r="159" spans="1:34" ht="12.75" customHeight="1">
      <c r="A159" s="24" t="str">
        <f>DSSP!A158</f>
        <v>GC08</v>
      </c>
      <c r="B159" s="25" t="str">
        <f>DSSP!B158</f>
        <v>Mặt nhỏ</v>
      </c>
      <c r="C159" s="9">
        <f>IF(SUMIFS(Sheet1!$E:$E,Sheet1!$C:$C,$A159,Sheet1!$A:$A,C$2)&lt;&gt;0,SUMIFS(Sheet1!$E:$E,Sheet1!$C:$C,$A159,Sheet1!$A:$A,C$2),"")</f>
        <v>-1</v>
      </c>
      <c r="D159" s="9" t="str">
        <f>IF(SUMIFS(Sheet1!$E:$E,Sheet1!$C:$C,$A159,Sheet1!$A:$A,D$2)&lt;&gt;0,SUMIFS(Sheet1!$E:$E,Sheet1!$C:$C,$A159,Sheet1!$A:$A,D$2),"")</f>
        <v/>
      </c>
      <c r="E159" s="9" t="str">
        <f>IF(SUMIFS(Sheet1!$E:$E,Sheet1!$C:$C,$A159,Sheet1!$A:$A,E$2)&lt;&gt;0,SUMIFS(Sheet1!$E:$E,Sheet1!$C:$C,$A159,Sheet1!$A:$A,E$2),"")</f>
        <v/>
      </c>
      <c r="F159" s="9" t="str">
        <f>IF(SUMIFS(Sheet1!$E:$E,Sheet1!$C:$C,$A159,Sheet1!$A:$A,F$2)&lt;&gt;0,SUMIFS(Sheet1!$E:$E,Sheet1!$C:$C,$A159,Sheet1!$A:$A,F$2),"")</f>
        <v/>
      </c>
      <c r="G159" s="9" t="str">
        <f>IF(SUMIFS(Sheet1!$E:$E,Sheet1!$C:$C,$A159,Sheet1!$A:$A,G$2)&lt;&gt;0,SUMIFS(Sheet1!$E:$E,Sheet1!$C:$C,$A159,Sheet1!$A:$A,G$2),"")</f>
        <v/>
      </c>
      <c r="H159" s="9" t="str">
        <f>IF(SUMIFS(Sheet1!$E:$E,Sheet1!$C:$C,$A159,Sheet1!$A:$A,H$2)&lt;&gt;0,SUMIFS(Sheet1!$E:$E,Sheet1!$C:$C,$A159,Sheet1!$A:$A,H$2),"")</f>
        <v/>
      </c>
      <c r="I159" s="9" t="str">
        <f>IF(SUMIFS(Sheet1!$E:$E,Sheet1!$C:$C,$A159,Sheet1!$A:$A,I$2)&lt;&gt;0,SUMIFS(Sheet1!$E:$E,Sheet1!$C:$C,$A159,Sheet1!$A:$A,I$2),"")</f>
        <v/>
      </c>
      <c r="J159" s="9" t="str">
        <f>IF(SUMIFS(Sheet1!$E:$E,Sheet1!$C:$C,$A159,Sheet1!$A:$A,J$2)&lt;&gt;0,SUMIFS(Sheet1!$E:$E,Sheet1!$C:$C,$A159,Sheet1!$A:$A,J$2),"")</f>
        <v/>
      </c>
      <c r="K159" s="9" t="str">
        <f>IF(SUMIFS(Sheet1!$E:$E,Sheet1!$C:$C,$A159,Sheet1!$A:$A,K$2)&lt;&gt;0,SUMIFS(Sheet1!$E:$E,Sheet1!$C:$C,$A159,Sheet1!$A:$A,K$2),"")</f>
        <v/>
      </c>
      <c r="L159" s="9" t="str">
        <f>IF(SUMIFS(Sheet1!$E:$E,Sheet1!$C:$C,$A159,Sheet1!$A:$A,L$2)&lt;&gt;0,SUMIFS(Sheet1!$E:$E,Sheet1!$C:$C,$A159,Sheet1!$A:$A,L$2),"")</f>
        <v/>
      </c>
      <c r="M159" s="9" t="str">
        <f>IF(SUMIFS(Sheet1!$E:$E,Sheet1!$C:$C,$A159,Sheet1!$A:$A,M$2)&lt;&gt;0,SUMIFS(Sheet1!$E:$E,Sheet1!$C:$C,$A159,Sheet1!$A:$A,M$2),"")</f>
        <v/>
      </c>
      <c r="N159" s="9" t="str">
        <f>IF(SUMIFS(Sheet1!$E:$E,Sheet1!$C:$C,$A159,Sheet1!$A:$A,N$2)&lt;&gt;0,SUMIFS(Sheet1!$E:$E,Sheet1!$C:$C,$A159,Sheet1!$A:$A,N$2),"")</f>
        <v/>
      </c>
      <c r="O159" s="9" t="str">
        <f>IF(SUMIFS(Sheet1!$E:$E,Sheet1!$C:$C,$A159,Sheet1!$A:$A,O$2)&lt;&gt;0,SUMIFS(Sheet1!$E:$E,Sheet1!$C:$C,$A159,Sheet1!$A:$A,O$2),"")</f>
        <v/>
      </c>
      <c r="P159" s="9" t="str">
        <f>IF(SUMIFS(Sheet1!$E:$E,Sheet1!$C:$C,$A159,Sheet1!$A:$A,P$2)&lt;&gt;0,SUMIFS(Sheet1!$E:$E,Sheet1!$C:$C,$A159,Sheet1!$A:$A,P$2),"")</f>
        <v/>
      </c>
      <c r="Q159" s="9" t="str">
        <f>IF(SUMIFS(Sheet1!$E:$E,Sheet1!$C:$C,$A159,Sheet1!$A:$A,Q$2)&lt;&gt;0,SUMIFS(Sheet1!$E:$E,Sheet1!$C:$C,$A159,Sheet1!$A:$A,Q$2),"")</f>
        <v/>
      </c>
      <c r="R159" s="9" t="str">
        <f>IF(SUMIFS(Sheet1!$E:$E,Sheet1!$C:$C,$A159,Sheet1!$A:$A,R$2)&lt;&gt;0,SUMIFS(Sheet1!$E:$E,Sheet1!$C:$C,$A159,Sheet1!$A:$A,R$2),"")</f>
        <v/>
      </c>
      <c r="S159" s="9" t="str">
        <f>IF(SUMIFS(Sheet1!$E:$E,Sheet1!$C:$C,$A159,Sheet1!$A:$A,S$2)&lt;&gt;0,SUMIFS(Sheet1!$E:$E,Sheet1!$C:$C,$A159,Sheet1!$A:$A,S$2),"")</f>
        <v/>
      </c>
      <c r="T159" s="9" t="str">
        <f>IF(SUMIFS(Sheet1!$E:$E,Sheet1!$C:$C,$A159,Sheet1!$A:$A,T$2)&lt;&gt;0,SUMIFS(Sheet1!$E:$E,Sheet1!$C:$C,$A159,Sheet1!$A:$A,T$2),"")</f>
        <v/>
      </c>
      <c r="U159" s="9" t="str">
        <f>IF(SUMIFS(Sheet1!$E:$E,Sheet1!$C:$C,$A159,Sheet1!$A:$A,U$2)&lt;&gt;0,SUMIFS(Sheet1!$E:$E,Sheet1!$C:$C,$A159,Sheet1!$A:$A,U$2),"")</f>
        <v/>
      </c>
      <c r="V159" s="9" t="str">
        <f>IF(SUMIFS(Sheet1!$E:$E,Sheet1!$C:$C,$A159,Sheet1!$A:$A,V$2)&lt;&gt;0,SUMIFS(Sheet1!$E:$E,Sheet1!$C:$C,$A159,Sheet1!$A:$A,V$2),"")</f>
        <v/>
      </c>
      <c r="W159" s="9" t="str">
        <f>IF(SUMIFS(Sheet1!$E:$E,Sheet1!$C:$C,$A159,Sheet1!$A:$A,W$2)&lt;&gt;0,SUMIFS(Sheet1!$E:$E,Sheet1!$C:$C,$A159,Sheet1!$A:$A,W$2),"")</f>
        <v/>
      </c>
      <c r="X159" s="9" t="str">
        <f>IF(SUMIFS(Sheet1!$E:$E,Sheet1!$C:$C,$A159,Sheet1!$A:$A,X$2)&lt;&gt;0,SUMIFS(Sheet1!$E:$E,Sheet1!$C:$C,$A159,Sheet1!$A:$A,X$2),"")</f>
        <v/>
      </c>
      <c r="Y159" s="9" t="str">
        <f>IF(SUMIFS(Sheet1!$E:$E,Sheet1!$C:$C,$A159,Sheet1!$A:$A,Y$2)&lt;&gt;0,SUMIFS(Sheet1!$E:$E,Sheet1!$C:$C,$A159,Sheet1!$A:$A,Y$2),"")</f>
        <v/>
      </c>
      <c r="Z159" s="9" t="str">
        <f>IF(SUMIFS(Sheet1!$E:$E,Sheet1!$C:$C,$A159,Sheet1!$A:$A,Z$2)&lt;&gt;0,SUMIFS(Sheet1!$E:$E,Sheet1!$C:$C,$A159,Sheet1!$A:$A,Z$2),"")</f>
        <v/>
      </c>
      <c r="AA159" s="9" t="str">
        <f>IF(SUMIFS(Sheet1!$E:$E,Sheet1!$C:$C,$A159,Sheet1!$A:$A,AA$2)&lt;&gt;0,SUMIFS(Sheet1!$E:$E,Sheet1!$C:$C,$A159,Sheet1!$A:$A,AA$2),"")</f>
        <v/>
      </c>
      <c r="AB159" s="9" t="str">
        <f>IF(SUMIFS(Sheet1!$E:$E,Sheet1!$C:$C,$A159,Sheet1!$A:$A,AB$2)&lt;&gt;0,SUMIFS(Sheet1!$E:$E,Sheet1!$C:$C,$A159,Sheet1!$A:$A,AB$2),"")</f>
        <v/>
      </c>
      <c r="AC159" s="9" t="str">
        <f>IF(SUMIFS(Sheet1!$E:$E,Sheet1!$C:$C,$A159,Sheet1!$A:$A,AC$2)&lt;&gt;0,SUMIFS(Sheet1!$E:$E,Sheet1!$C:$C,$A159,Sheet1!$A:$A,AC$2),"")</f>
        <v/>
      </c>
      <c r="AD159" s="9" t="str">
        <f>IF(SUMIFS(Sheet1!$E:$E,Sheet1!$C:$C,$A159,Sheet1!$A:$A,AD$2)&lt;&gt;0,SUMIFS(Sheet1!$E:$E,Sheet1!$C:$C,$A159,Sheet1!$A:$A,AD$2),"")</f>
        <v/>
      </c>
      <c r="AE159" s="9" t="str">
        <f>IF(SUMIFS(Sheet1!$E:$E,Sheet1!$C:$C,$A159,Sheet1!$A:$A,AE$2)&lt;&gt;0,SUMIFS(Sheet1!$E:$E,Sheet1!$C:$C,$A159,Sheet1!$A:$A,AE$2),"")</f>
        <v/>
      </c>
      <c r="AF159" s="9" t="str">
        <f>IF(SUMIFS(Sheet1!$E:$E,Sheet1!$C:$C,$A159,Sheet1!$A:$A,AF$2)&lt;&gt;0,SUMIFS(Sheet1!$E:$E,Sheet1!$C:$C,$A159,Sheet1!$A:$A,AF$2),"")</f>
        <v/>
      </c>
      <c r="AG159" s="9" t="str">
        <f>IF(SUMIFS(Sheet1!$E:$E,Sheet1!$C:$C,$A159,Sheet1!$A:$A,AG$2)&lt;&gt;0,SUMIFS(Sheet1!$E:$E,Sheet1!$C:$C,$A159,Sheet1!$A:$A,AG$2),"")</f>
        <v/>
      </c>
      <c r="AH159" s="47">
        <f>SUM(Table24[[#This Row],[1]:[31]])</f>
        <v>-1</v>
      </c>
    </row>
    <row r="160" spans="1:34" ht="12.75" customHeight="1">
      <c r="A160" s="24" t="str">
        <f>DSSP!A159</f>
        <v>GC09</v>
      </c>
      <c r="B160" s="25" t="str">
        <f>DSSP!B159</f>
        <v>Mặt cung</v>
      </c>
      <c r="C160" s="9">
        <f>IF(SUMIFS(Sheet1!$E:$E,Sheet1!$C:$C,$A160,Sheet1!$A:$A,C$2)&lt;&gt;0,SUMIFS(Sheet1!$E:$E,Sheet1!$C:$C,$A160,Sheet1!$A:$A,C$2),"")</f>
        <v>217</v>
      </c>
      <c r="D160" s="9" t="str">
        <f>IF(SUMIFS(Sheet1!$E:$E,Sheet1!$C:$C,$A160,Sheet1!$A:$A,D$2)&lt;&gt;0,SUMIFS(Sheet1!$E:$E,Sheet1!$C:$C,$A160,Sheet1!$A:$A,D$2),"")</f>
        <v/>
      </c>
      <c r="E160" s="9" t="str">
        <f>IF(SUMIFS(Sheet1!$E:$E,Sheet1!$C:$C,$A160,Sheet1!$A:$A,E$2)&lt;&gt;0,SUMIFS(Sheet1!$E:$E,Sheet1!$C:$C,$A160,Sheet1!$A:$A,E$2),"")</f>
        <v/>
      </c>
      <c r="F160" s="9" t="str">
        <f>IF(SUMIFS(Sheet1!$E:$E,Sheet1!$C:$C,$A160,Sheet1!$A:$A,F$2)&lt;&gt;0,SUMIFS(Sheet1!$E:$E,Sheet1!$C:$C,$A160,Sheet1!$A:$A,F$2),"")</f>
        <v/>
      </c>
      <c r="G160" s="9" t="str">
        <f>IF(SUMIFS(Sheet1!$E:$E,Sheet1!$C:$C,$A160,Sheet1!$A:$A,G$2)&lt;&gt;0,SUMIFS(Sheet1!$E:$E,Sheet1!$C:$C,$A160,Sheet1!$A:$A,G$2),"")</f>
        <v/>
      </c>
      <c r="H160" s="9" t="str">
        <f>IF(SUMIFS(Sheet1!$E:$E,Sheet1!$C:$C,$A160,Sheet1!$A:$A,H$2)&lt;&gt;0,SUMIFS(Sheet1!$E:$E,Sheet1!$C:$C,$A160,Sheet1!$A:$A,H$2),"")</f>
        <v/>
      </c>
      <c r="I160" s="9" t="str">
        <f>IF(SUMIFS(Sheet1!$E:$E,Sheet1!$C:$C,$A160,Sheet1!$A:$A,I$2)&lt;&gt;0,SUMIFS(Sheet1!$E:$E,Sheet1!$C:$C,$A160,Sheet1!$A:$A,I$2),"")</f>
        <v/>
      </c>
      <c r="J160" s="9" t="str">
        <f>IF(SUMIFS(Sheet1!$E:$E,Sheet1!$C:$C,$A160,Sheet1!$A:$A,J$2)&lt;&gt;0,SUMIFS(Sheet1!$E:$E,Sheet1!$C:$C,$A160,Sheet1!$A:$A,J$2),"")</f>
        <v/>
      </c>
      <c r="K160" s="9" t="str">
        <f>IF(SUMIFS(Sheet1!$E:$E,Sheet1!$C:$C,$A160,Sheet1!$A:$A,K$2)&lt;&gt;0,SUMIFS(Sheet1!$E:$E,Sheet1!$C:$C,$A160,Sheet1!$A:$A,K$2),"")</f>
        <v/>
      </c>
      <c r="L160" s="9" t="str">
        <f>IF(SUMIFS(Sheet1!$E:$E,Sheet1!$C:$C,$A160,Sheet1!$A:$A,L$2)&lt;&gt;0,SUMIFS(Sheet1!$E:$E,Sheet1!$C:$C,$A160,Sheet1!$A:$A,L$2),"")</f>
        <v/>
      </c>
      <c r="M160" s="9" t="str">
        <f>IF(SUMIFS(Sheet1!$E:$E,Sheet1!$C:$C,$A160,Sheet1!$A:$A,M$2)&lt;&gt;0,SUMIFS(Sheet1!$E:$E,Sheet1!$C:$C,$A160,Sheet1!$A:$A,M$2),"")</f>
        <v/>
      </c>
      <c r="N160" s="9" t="str">
        <f>IF(SUMIFS(Sheet1!$E:$E,Sheet1!$C:$C,$A160,Sheet1!$A:$A,N$2)&lt;&gt;0,SUMIFS(Sheet1!$E:$E,Sheet1!$C:$C,$A160,Sheet1!$A:$A,N$2),"")</f>
        <v/>
      </c>
      <c r="O160" s="9" t="str">
        <f>IF(SUMIFS(Sheet1!$E:$E,Sheet1!$C:$C,$A160,Sheet1!$A:$A,O$2)&lt;&gt;0,SUMIFS(Sheet1!$E:$E,Sheet1!$C:$C,$A160,Sheet1!$A:$A,O$2),"")</f>
        <v/>
      </c>
      <c r="P160" s="9" t="str">
        <f>IF(SUMIFS(Sheet1!$E:$E,Sheet1!$C:$C,$A160,Sheet1!$A:$A,P$2)&lt;&gt;0,SUMIFS(Sheet1!$E:$E,Sheet1!$C:$C,$A160,Sheet1!$A:$A,P$2),"")</f>
        <v/>
      </c>
      <c r="Q160" s="9" t="str">
        <f>IF(SUMIFS(Sheet1!$E:$E,Sheet1!$C:$C,$A160,Sheet1!$A:$A,Q$2)&lt;&gt;0,SUMIFS(Sheet1!$E:$E,Sheet1!$C:$C,$A160,Sheet1!$A:$A,Q$2),"")</f>
        <v/>
      </c>
      <c r="R160" s="9" t="str">
        <f>IF(SUMIFS(Sheet1!$E:$E,Sheet1!$C:$C,$A160,Sheet1!$A:$A,R$2)&lt;&gt;0,SUMIFS(Sheet1!$E:$E,Sheet1!$C:$C,$A160,Sheet1!$A:$A,R$2),"")</f>
        <v/>
      </c>
      <c r="S160" s="9" t="str">
        <f>IF(SUMIFS(Sheet1!$E:$E,Sheet1!$C:$C,$A160,Sheet1!$A:$A,S$2)&lt;&gt;0,SUMIFS(Sheet1!$E:$E,Sheet1!$C:$C,$A160,Sheet1!$A:$A,S$2),"")</f>
        <v/>
      </c>
      <c r="T160" s="9" t="str">
        <f>IF(SUMIFS(Sheet1!$E:$E,Sheet1!$C:$C,$A160,Sheet1!$A:$A,T$2)&lt;&gt;0,SUMIFS(Sheet1!$E:$E,Sheet1!$C:$C,$A160,Sheet1!$A:$A,T$2),"")</f>
        <v/>
      </c>
      <c r="U160" s="9" t="str">
        <f>IF(SUMIFS(Sheet1!$E:$E,Sheet1!$C:$C,$A160,Sheet1!$A:$A,U$2)&lt;&gt;0,SUMIFS(Sheet1!$E:$E,Sheet1!$C:$C,$A160,Sheet1!$A:$A,U$2),"")</f>
        <v/>
      </c>
      <c r="V160" s="9" t="str">
        <f>IF(SUMIFS(Sheet1!$E:$E,Sheet1!$C:$C,$A160,Sheet1!$A:$A,V$2)&lt;&gt;0,SUMIFS(Sheet1!$E:$E,Sheet1!$C:$C,$A160,Sheet1!$A:$A,V$2),"")</f>
        <v/>
      </c>
      <c r="W160" s="9" t="str">
        <f>IF(SUMIFS(Sheet1!$E:$E,Sheet1!$C:$C,$A160,Sheet1!$A:$A,W$2)&lt;&gt;0,SUMIFS(Sheet1!$E:$E,Sheet1!$C:$C,$A160,Sheet1!$A:$A,W$2),"")</f>
        <v/>
      </c>
      <c r="X160" s="9" t="str">
        <f>IF(SUMIFS(Sheet1!$E:$E,Sheet1!$C:$C,$A160,Sheet1!$A:$A,X$2)&lt;&gt;0,SUMIFS(Sheet1!$E:$E,Sheet1!$C:$C,$A160,Sheet1!$A:$A,X$2),"")</f>
        <v/>
      </c>
      <c r="Y160" s="9" t="str">
        <f>IF(SUMIFS(Sheet1!$E:$E,Sheet1!$C:$C,$A160,Sheet1!$A:$A,Y$2)&lt;&gt;0,SUMIFS(Sheet1!$E:$E,Sheet1!$C:$C,$A160,Sheet1!$A:$A,Y$2),"")</f>
        <v/>
      </c>
      <c r="Z160" s="9" t="str">
        <f>IF(SUMIFS(Sheet1!$E:$E,Sheet1!$C:$C,$A160,Sheet1!$A:$A,Z$2)&lt;&gt;0,SUMIFS(Sheet1!$E:$E,Sheet1!$C:$C,$A160,Sheet1!$A:$A,Z$2),"")</f>
        <v/>
      </c>
      <c r="AA160" s="9" t="str">
        <f>IF(SUMIFS(Sheet1!$E:$E,Sheet1!$C:$C,$A160,Sheet1!$A:$A,AA$2)&lt;&gt;0,SUMIFS(Sheet1!$E:$E,Sheet1!$C:$C,$A160,Sheet1!$A:$A,AA$2),"")</f>
        <v/>
      </c>
      <c r="AB160" s="9" t="str">
        <f>IF(SUMIFS(Sheet1!$E:$E,Sheet1!$C:$C,$A160,Sheet1!$A:$A,AB$2)&lt;&gt;0,SUMIFS(Sheet1!$E:$E,Sheet1!$C:$C,$A160,Sheet1!$A:$A,AB$2),"")</f>
        <v/>
      </c>
      <c r="AC160" s="9" t="str">
        <f>IF(SUMIFS(Sheet1!$E:$E,Sheet1!$C:$C,$A160,Sheet1!$A:$A,AC$2)&lt;&gt;0,SUMIFS(Sheet1!$E:$E,Sheet1!$C:$C,$A160,Sheet1!$A:$A,AC$2),"")</f>
        <v/>
      </c>
      <c r="AD160" s="9" t="str">
        <f>IF(SUMIFS(Sheet1!$E:$E,Sheet1!$C:$C,$A160,Sheet1!$A:$A,AD$2)&lt;&gt;0,SUMIFS(Sheet1!$E:$E,Sheet1!$C:$C,$A160,Sheet1!$A:$A,AD$2),"")</f>
        <v/>
      </c>
      <c r="AE160" s="9" t="str">
        <f>IF(SUMIFS(Sheet1!$E:$E,Sheet1!$C:$C,$A160,Sheet1!$A:$A,AE$2)&lt;&gt;0,SUMIFS(Sheet1!$E:$E,Sheet1!$C:$C,$A160,Sheet1!$A:$A,AE$2),"")</f>
        <v/>
      </c>
      <c r="AF160" s="9" t="str">
        <f>IF(SUMIFS(Sheet1!$E:$E,Sheet1!$C:$C,$A160,Sheet1!$A:$A,AF$2)&lt;&gt;0,SUMIFS(Sheet1!$E:$E,Sheet1!$C:$C,$A160,Sheet1!$A:$A,AF$2),"")</f>
        <v/>
      </c>
      <c r="AG160" s="9" t="str">
        <f>IF(SUMIFS(Sheet1!$E:$E,Sheet1!$C:$C,$A160,Sheet1!$A:$A,AG$2)&lt;&gt;0,SUMIFS(Sheet1!$E:$E,Sheet1!$C:$C,$A160,Sheet1!$A:$A,AG$2),"")</f>
        <v/>
      </c>
      <c r="AH160" s="47">
        <f>SUM(Table24[[#This Row],[1]:[31]])</f>
        <v>217</v>
      </c>
    </row>
    <row r="161" spans="1:34" ht="12.75" customHeight="1">
      <c r="A161" s="24" t="str">
        <f>DSSP!A160</f>
        <v>GC10</v>
      </c>
      <c r="B161" s="25" t="str">
        <f>DSSP!B160</f>
        <v>Bộ 12 cung</v>
      </c>
      <c r="C161" s="9" t="str">
        <f>IF(SUMIFS(Sheet1!$E:$E,Sheet1!$C:$C,$A161,Sheet1!$A:$A,C$2)&lt;&gt;0,SUMIFS(Sheet1!$E:$E,Sheet1!$C:$C,$A161,Sheet1!$A:$A,C$2),"")</f>
        <v/>
      </c>
      <c r="D161" s="9" t="str">
        <f>IF(SUMIFS(Sheet1!$E:$E,Sheet1!$C:$C,$A161,Sheet1!$A:$A,D$2)&lt;&gt;0,SUMIFS(Sheet1!$E:$E,Sheet1!$C:$C,$A161,Sheet1!$A:$A,D$2),"")</f>
        <v/>
      </c>
      <c r="E161" s="9" t="str">
        <f>IF(SUMIFS(Sheet1!$E:$E,Sheet1!$C:$C,$A161,Sheet1!$A:$A,E$2)&lt;&gt;0,SUMIFS(Sheet1!$E:$E,Sheet1!$C:$C,$A161,Sheet1!$A:$A,E$2),"")</f>
        <v/>
      </c>
      <c r="F161" s="9" t="str">
        <f>IF(SUMIFS(Sheet1!$E:$E,Sheet1!$C:$C,$A161,Sheet1!$A:$A,F$2)&lt;&gt;0,SUMIFS(Sheet1!$E:$E,Sheet1!$C:$C,$A161,Sheet1!$A:$A,F$2),"")</f>
        <v/>
      </c>
      <c r="G161" s="9" t="str">
        <f>IF(SUMIFS(Sheet1!$E:$E,Sheet1!$C:$C,$A161,Sheet1!$A:$A,G$2)&lt;&gt;0,SUMIFS(Sheet1!$E:$E,Sheet1!$C:$C,$A161,Sheet1!$A:$A,G$2),"")</f>
        <v/>
      </c>
      <c r="H161" s="9" t="str">
        <f>IF(SUMIFS(Sheet1!$E:$E,Sheet1!$C:$C,$A161,Sheet1!$A:$A,H$2)&lt;&gt;0,SUMIFS(Sheet1!$E:$E,Sheet1!$C:$C,$A161,Sheet1!$A:$A,H$2),"")</f>
        <v/>
      </c>
      <c r="I161" s="9" t="str">
        <f>IF(SUMIFS(Sheet1!$E:$E,Sheet1!$C:$C,$A161,Sheet1!$A:$A,I$2)&lt;&gt;0,SUMIFS(Sheet1!$E:$E,Sheet1!$C:$C,$A161,Sheet1!$A:$A,I$2),"")</f>
        <v/>
      </c>
      <c r="J161" s="9" t="str">
        <f>IF(SUMIFS(Sheet1!$E:$E,Sheet1!$C:$C,$A161,Sheet1!$A:$A,J$2)&lt;&gt;0,SUMIFS(Sheet1!$E:$E,Sheet1!$C:$C,$A161,Sheet1!$A:$A,J$2),"")</f>
        <v/>
      </c>
      <c r="K161" s="9" t="str">
        <f>IF(SUMIFS(Sheet1!$E:$E,Sheet1!$C:$C,$A161,Sheet1!$A:$A,K$2)&lt;&gt;0,SUMIFS(Sheet1!$E:$E,Sheet1!$C:$C,$A161,Sheet1!$A:$A,K$2),"")</f>
        <v/>
      </c>
      <c r="L161" s="9" t="str">
        <f>IF(SUMIFS(Sheet1!$E:$E,Sheet1!$C:$C,$A161,Sheet1!$A:$A,L$2)&lt;&gt;0,SUMIFS(Sheet1!$E:$E,Sheet1!$C:$C,$A161,Sheet1!$A:$A,L$2),"")</f>
        <v/>
      </c>
      <c r="M161" s="9" t="str">
        <f>IF(SUMIFS(Sheet1!$E:$E,Sheet1!$C:$C,$A161,Sheet1!$A:$A,M$2)&lt;&gt;0,SUMIFS(Sheet1!$E:$E,Sheet1!$C:$C,$A161,Sheet1!$A:$A,M$2),"")</f>
        <v/>
      </c>
      <c r="N161" s="9" t="str">
        <f>IF(SUMIFS(Sheet1!$E:$E,Sheet1!$C:$C,$A161,Sheet1!$A:$A,N$2)&lt;&gt;0,SUMIFS(Sheet1!$E:$E,Sheet1!$C:$C,$A161,Sheet1!$A:$A,N$2),"")</f>
        <v/>
      </c>
      <c r="O161" s="9" t="str">
        <f>IF(SUMIFS(Sheet1!$E:$E,Sheet1!$C:$C,$A161,Sheet1!$A:$A,O$2)&lt;&gt;0,SUMIFS(Sheet1!$E:$E,Sheet1!$C:$C,$A161,Sheet1!$A:$A,O$2),"")</f>
        <v/>
      </c>
      <c r="P161" s="9" t="str">
        <f>IF(SUMIFS(Sheet1!$E:$E,Sheet1!$C:$C,$A161,Sheet1!$A:$A,P$2)&lt;&gt;0,SUMIFS(Sheet1!$E:$E,Sheet1!$C:$C,$A161,Sheet1!$A:$A,P$2),"")</f>
        <v/>
      </c>
      <c r="Q161" s="9" t="str">
        <f>IF(SUMIFS(Sheet1!$E:$E,Sheet1!$C:$C,$A161,Sheet1!$A:$A,Q$2)&lt;&gt;0,SUMIFS(Sheet1!$E:$E,Sheet1!$C:$C,$A161,Sheet1!$A:$A,Q$2),"")</f>
        <v/>
      </c>
      <c r="R161" s="9" t="str">
        <f>IF(SUMIFS(Sheet1!$E:$E,Sheet1!$C:$C,$A161,Sheet1!$A:$A,R$2)&lt;&gt;0,SUMIFS(Sheet1!$E:$E,Sheet1!$C:$C,$A161,Sheet1!$A:$A,R$2),"")</f>
        <v/>
      </c>
      <c r="S161" s="9" t="str">
        <f>IF(SUMIFS(Sheet1!$E:$E,Sheet1!$C:$C,$A161,Sheet1!$A:$A,S$2)&lt;&gt;0,SUMIFS(Sheet1!$E:$E,Sheet1!$C:$C,$A161,Sheet1!$A:$A,S$2),"")</f>
        <v/>
      </c>
      <c r="T161" s="9" t="str">
        <f>IF(SUMIFS(Sheet1!$E:$E,Sheet1!$C:$C,$A161,Sheet1!$A:$A,T$2)&lt;&gt;0,SUMIFS(Sheet1!$E:$E,Sheet1!$C:$C,$A161,Sheet1!$A:$A,T$2),"")</f>
        <v/>
      </c>
      <c r="U161" s="9" t="str">
        <f>IF(SUMIFS(Sheet1!$E:$E,Sheet1!$C:$C,$A161,Sheet1!$A:$A,U$2)&lt;&gt;0,SUMIFS(Sheet1!$E:$E,Sheet1!$C:$C,$A161,Sheet1!$A:$A,U$2),"")</f>
        <v/>
      </c>
      <c r="V161" s="9" t="str">
        <f>IF(SUMIFS(Sheet1!$E:$E,Sheet1!$C:$C,$A161,Sheet1!$A:$A,V$2)&lt;&gt;0,SUMIFS(Sheet1!$E:$E,Sheet1!$C:$C,$A161,Sheet1!$A:$A,V$2),"")</f>
        <v/>
      </c>
      <c r="W161" s="9" t="str">
        <f>IF(SUMIFS(Sheet1!$E:$E,Sheet1!$C:$C,$A161,Sheet1!$A:$A,W$2)&lt;&gt;0,SUMIFS(Sheet1!$E:$E,Sheet1!$C:$C,$A161,Sheet1!$A:$A,W$2),"")</f>
        <v/>
      </c>
      <c r="X161" s="9" t="str">
        <f>IF(SUMIFS(Sheet1!$E:$E,Sheet1!$C:$C,$A161,Sheet1!$A:$A,X$2)&lt;&gt;0,SUMIFS(Sheet1!$E:$E,Sheet1!$C:$C,$A161,Sheet1!$A:$A,X$2),"")</f>
        <v/>
      </c>
      <c r="Y161" s="9" t="str">
        <f>IF(SUMIFS(Sheet1!$E:$E,Sheet1!$C:$C,$A161,Sheet1!$A:$A,Y$2)&lt;&gt;0,SUMIFS(Sheet1!$E:$E,Sheet1!$C:$C,$A161,Sheet1!$A:$A,Y$2),"")</f>
        <v/>
      </c>
      <c r="Z161" s="9" t="str">
        <f>IF(SUMIFS(Sheet1!$E:$E,Sheet1!$C:$C,$A161,Sheet1!$A:$A,Z$2)&lt;&gt;0,SUMIFS(Sheet1!$E:$E,Sheet1!$C:$C,$A161,Sheet1!$A:$A,Z$2),"")</f>
        <v/>
      </c>
      <c r="AA161" s="9" t="str">
        <f>IF(SUMIFS(Sheet1!$E:$E,Sheet1!$C:$C,$A161,Sheet1!$A:$A,AA$2)&lt;&gt;0,SUMIFS(Sheet1!$E:$E,Sheet1!$C:$C,$A161,Sheet1!$A:$A,AA$2),"")</f>
        <v/>
      </c>
      <c r="AB161" s="9" t="str">
        <f>IF(SUMIFS(Sheet1!$E:$E,Sheet1!$C:$C,$A161,Sheet1!$A:$A,AB$2)&lt;&gt;0,SUMIFS(Sheet1!$E:$E,Sheet1!$C:$C,$A161,Sheet1!$A:$A,AB$2),"")</f>
        <v/>
      </c>
      <c r="AC161" s="9" t="str">
        <f>IF(SUMIFS(Sheet1!$E:$E,Sheet1!$C:$C,$A161,Sheet1!$A:$A,AC$2)&lt;&gt;0,SUMIFS(Sheet1!$E:$E,Sheet1!$C:$C,$A161,Sheet1!$A:$A,AC$2),"")</f>
        <v/>
      </c>
      <c r="AD161" s="9" t="str">
        <f>IF(SUMIFS(Sheet1!$E:$E,Sheet1!$C:$C,$A161,Sheet1!$A:$A,AD$2)&lt;&gt;0,SUMIFS(Sheet1!$E:$E,Sheet1!$C:$C,$A161,Sheet1!$A:$A,AD$2),"")</f>
        <v/>
      </c>
      <c r="AE161" s="9" t="str">
        <f>IF(SUMIFS(Sheet1!$E:$E,Sheet1!$C:$C,$A161,Sheet1!$A:$A,AE$2)&lt;&gt;0,SUMIFS(Sheet1!$E:$E,Sheet1!$C:$C,$A161,Sheet1!$A:$A,AE$2),"")</f>
        <v/>
      </c>
      <c r="AF161" s="9" t="str">
        <f>IF(SUMIFS(Sheet1!$E:$E,Sheet1!$C:$C,$A161,Sheet1!$A:$A,AF$2)&lt;&gt;0,SUMIFS(Sheet1!$E:$E,Sheet1!$C:$C,$A161,Sheet1!$A:$A,AF$2),"")</f>
        <v/>
      </c>
      <c r="AG161" s="9" t="str">
        <f>IF(SUMIFS(Sheet1!$E:$E,Sheet1!$C:$C,$A161,Sheet1!$A:$A,AG$2)&lt;&gt;0,SUMIFS(Sheet1!$E:$E,Sheet1!$C:$C,$A161,Sheet1!$A:$A,AG$2),"")</f>
        <v/>
      </c>
      <c r="AH161" s="47">
        <f>SUM(Table24[[#This Row],[1]:[31]])</f>
        <v>0</v>
      </c>
    </row>
    <row r="162" spans="1:34" ht="12.75" customHeight="1">
      <c r="A162" s="24" t="str">
        <f>DSSP!A161</f>
        <v>GC11</v>
      </c>
      <c r="B162" s="25" t="str">
        <f>DSSP!B161</f>
        <v>Kẹp ngang to (số 4)</v>
      </c>
      <c r="C162" s="9" t="str">
        <f>IF(SUMIFS(Sheet1!$E:$E,Sheet1!$C:$C,$A162,Sheet1!$A:$A,C$2)&lt;&gt;0,SUMIFS(Sheet1!$E:$E,Sheet1!$C:$C,$A162,Sheet1!$A:$A,C$2),"")</f>
        <v/>
      </c>
      <c r="D162" s="9" t="str">
        <f>IF(SUMIFS(Sheet1!$E:$E,Sheet1!$C:$C,$A162,Sheet1!$A:$A,D$2)&lt;&gt;0,SUMIFS(Sheet1!$E:$E,Sheet1!$C:$C,$A162,Sheet1!$A:$A,D$2),"")</f>
        <v/>
      </c>
      <c r="E162" s="9" t="str">
        <f>IF(SUMIFS(Sheet1!$E:$E,Sheet1!$C:$C,$A162,Sheet1!$A:$A,E$2)&lt;&gt;0,SUMIFS(Sheet1!$E:$E,Sheet1!$C:$C,$A162,Sheet1!$A:$A,E$2),"")</f>
        <v/>
      </c>
      <c r="F162" s="9" t="str">
        <f>IF(SUMIFS(Sheet1!$E:$E,Sheet1!$C:$C,$A162,Sheet1!$A:$A,F$2)&lt;&gt;0,SUMIFS(Sheet1!$E:$E,Sheet1!$C:$C,$A162,Sheet1!$A:$A,F$2),"")</f>
        <v/>
      </c>
      <c r="G162" s="9" t="str">
        <f>IF(SUMIFS(Sheet1!$E:$E,Sheet1!$C:$C,$A162,Sheet1!$A:$A,G$2)&lt;&gt;0,SUMIFS(Sheet1!$E:$E,Sheet1!$C:$C,$A162,Sheet1!$A:$A,G$2),"")</f>
        <v/>
      </c>
      <c r="H162" s="9" t="str">
        <f>IF(SUMIFS(Sheet1!$E:$E,Sheet1!$C:$C,$A162,Sheet1!$A:$A,H$2)&lt;&gt;0,SUMIFS(Sheet1!$E:$E,Sheet1!$C:$C,$A162,Sheet1!$A:$A,H$2),"")</f>
        <v/>
      </c>
      <c r="I162" s="9" t="str">
        <f>IF(SUMIFS(Sheet1!$E:$E,Sheet1!$C:$C,$A162,Sheet1!$A:$A,I$2)&lt;&gt;0,SUMIFS(Sheet1!$E:$E,Sheet1!$C:$C,$A162,Sheet1!$A:$A,I$2),"")</f>
        <v/>
      </c>
      <c r="J162" s="9" t="str">
        <f>IF(SUMIFS(Sheet1!$E:$E,Sheet1!$C:$C,$A162,Sheet1!$A:$A,J$2)&lt;&gt;0,SUMIFS(Sheet1!$E:$E,Sheet1!$C:$C,$A162,Sheet1!$A:$A,J$2),"")</f>
        <v/>
      </c>
      <c r="K162" s="9" t="str">
        <f>IF(SUMIFS(Sheet1!$E:$E,Sheet1!$C:$C,$A162,Sheet1!$A:$A,K$2)&lt;&gt;0,SUMIFS(Sheet1!$E:$E,Sheet1!$C:$C,$A162,Sheet1!$A:$A,K$2),"")</f>
        <v/>
      </c>
      <c r="L162" s="9" t="str">
        <f>IF(SUMIFS(Sheet1!$E:$E,Sheet1!$C:$C,$A162,Sheet1!$A:$A,L$2)&lt;&gt;0,SUMIFS(Sheet1!$E:$E,Sheet1!$C:$C,$A162,Sheet1!$A:$A,L$2),"")</f>
        <v/>
      </c>
      <c r="M162" s="9" t="str">
        <f>IF(SUMIFS(Sheet1!$E:$E,Sheet1!$C:$C,$A162,Sheet1!$A:$A,M$2)&lt;&gt;0,SUMIFS(Sheet1!$E:$E,Sheet1!$C:$C,$A162,Sheet1!$A:$A,M$2),"")</f>
        <v/>
      </c>
      <c r="N162" s="9" t="str">
        <f>IF(SUMIFS(Sheet1!$E:$E,Sheet1!$C:$C,$A162,Sheet1!$A:$A,N$2)&lt;&gt;0,SUMIFS(Sheet1!$E:$E,Sheet1!$C:$C,$A162,Sheet1!$A:$A,N$2),"")</f>
        <v/>
      </c>
      <c r="O162" s="9" t="str">
        <f>IF(SUMIFS(Sheet1!$E:$E,Sheet1!$C:$C,$A162,Sheet1!$A:$A,O$2)&lt;&gt;0,SUMIFS(Sheet1!$E:$E,Sheet1!$C:$C,$A162,Sheet1!$A:$A,O$2),"")</f>
        <v/>
      </c>
      <c r="P162" s="9" t="str">
        <f>IF(SUMIFS(Sheet1!$E:$E,Sheet1!$C:$C,$A162,Sheet1!$A:$A,P$2)&lt;&gt;0,SUMIFS(Sheet1!$E:$E,Sheet1!$C:$C,$A162,Sheet1!$A:$A,P$2),"")</f>
        <v/>
      </c>
      <c r="Q162" s="9" t="str">
        <f>IF(SUMIFS(Sheet1!$E:$E,Sheet1!$C:$C,$A162,Sheet1!$A:$A,Q$2)&lt;&gt;0,SUMIFS(Sheet1!$E:$E,Sheet1!$C:$C,$A162,Sheet1!$A:$A,Q$2),"")</f>
        <v/>
      </c>
      <c r="R162" s="9" t="str">
        <f>IF(SUMIFS(Sheet1!$E:$E,Sheet1!$C:$C,$A162,Sheet1!$A:$A,R$2)&lt;&gt;0,SUMIFS(Sheet1!$E:$E,Sheet1!$C:$C,$A162,Sheet1!$A:$A,R$2),"")</f>
        <v/>
      </c>
      <c r="S162" s="9" t="str">
        <f>IF(SUMIFS(Sheet1!$E:$E,Sheet1!$C:$C,$A162,Sheet1!$A:$A,S$2)&lt;&gt;0,SUMIFS(Sheet1!$E:$E,Sheet1!$C:$C,$A162,Sheet1!$A:$A,S$2),"")</f>
        <v/>
      </c>
      <c r="T162" s="9" t="str">
        <f>IF(SUMIFS(Sheet1!$E:$E,Sheet1!$C:$C,$A162,Sheet1!$A:$A,T$2)&lt;&gt;0,SUMIFS(Sheet1!$E:$E,Sheet1!$C:$C,$A162,Sheet1!$A:$A,T$2),"")</f>
        <v/>
      </c>
      <c r="U162" s="9" t="str">
        <f>IF(SUMIFS(Sheet1!$E:$E,Sheet1!$C:$C,$A162,Sheet1!$A:$A,U$2)&lt;&gt;0,SUMIFS(Sheet1!$E:$E,Sheet1!$C:$C,$A162,Sheet1!$A:$A,U$2),"")</f>
        <v/>
      </c>
      <c r="V162" s="9" t="str">
        <f>IF(SUMIFS(Sheet1!$E:$E,Sheet1!$C:$C,$A162,Sheet1!$A:$A,V$2)&lt;&gt;0,SUMIFS(Sheet1!$E:$E,Sheet1!$C:$C,$A162,Sheet1!$A:$A,V$2),"")</f>
        <v/>
      </c>
      <c r="W162" s="9" t="str">
        <f>IF(SUMIFS(Sheet1!$E:$E,Sheet1!$C:$C,$A162,Sheet1!$A:$A,W$2)&lt;&gt;0,SUMIFS(Sheet1!$E:$E,Sheet1!$C:$C,$A162,Sheet1!$A:$A,W$2),"")</f>
        <v/>
      </c>
      <c r="X162" s="9" t="str">
        <f>IF(SUMIFS(Sheet1!$E:$E,Sheet1!$C:$C,$A162,Sheet1!$A:$A,X$2)&lt;&gt;0,SUMIFS(Sheet1!$E:$E,Sheet1!$C:$C,$A162,Sheet1!$A:$A,X$2),"")</f>
        <v/>
      </c>
      <c r="Y162" s="9" t="str">
        <f>IF(SUMIFS(Sheet1!$E:$E,Sheet1!$C:$C,$A162,Sheet1!$A:$A,Y$2)&lt;&gt;0,SUMIFS(Sheet1!$E:$E,Sheet1!$C:$C,$A162,Sheet1!$A:$A,Y$2),"")</f>
        <v/>
      </c>
      <c r="Z162" s="9" t="str">
        <f>IF(SUMIFS(Sheet1!$E:$E,Sheet1!$C:$C,$A162,Sheet1!$A:$A,Z$2)&lt;&gt;0,SUMIFS(Sheet1!$E:$E,Sheet1!$C:$C,$A162,Sheet1!$A:$A,Z$2),"")</f>
        <v/>
      </c>
      <c r="AA162" s="9" t="str">
        <f>IF(SUMIFS(Sheet1!$E:$E,Sheet1!$C:$C,$A162,Sheet1!$A:$A,AA$2)&lt;&gt;0,SUMIFS(Sheet1!$E:$E,Sheet1!$C:$C,$A162,Sheet1!$A:$A,AA$2),"")</f>
        <v/>
      </c>
      <c r="AB162" s="9" t="str">
        <f>IF(SUMIFS(Sheet1!$E:$E,Sheet1!$C:$C,$A162,Sheet1!$A:$A,AB$2)&lt;&gt;0,SUMIFS(Sheet1!$E:$E,Sheet1!$C:$C,$A162,Sheet1!$A:$A,AB$2),"")</f>
        <v/>
      </c>
      <c r="AC162" s="9" t="str">
        <f>IF(SUMIFS(Sheet1!$E:$E,Sheet1!$C:$C,$A162,Sheet1!$A:$A,AC$2)&lt;&gt;0,SUMIFS(Sheet1!$E:$E,Sheet1!$C:$C,$A162,Sheet1!$A:$A,AC$2),"")</f>
        <v/>
      </c>
      <c r="AD162" s="9" t="str">
        <f>IF(SUMIFS(Sheet1!$E:$E,Sheet1!$C:$C,$A162,Sheet1!$A:$A,AD$2)&lt;&gt;0,SUMIFS(Sheet1!$E:$E,Sheet1!$C:$C,$A162,Sheet1!$A:$A,AD$2),"")</f>
        <v/>
      </c>
      <c r="AE162" s="9" t="str">
        <f>IF(SUMIFS(Sheet1!$E:$E,Sheet1!$C:$C,$A162,Sheet1!$A:$A,AE$2)&lt;&gt;0,SUMIFS(Sheet1!$E:$E,Sheet1!$C:$C,$A162,Sheet1!$A:$A,AE$2),"")</f>
        <v/>
      </c>
      <c r="AF162" s="9" t="str">
        <f>IF(SUMIFS(Sheet1!$E:$E,Sheet1!$C:$C,$A162,Sheet1!$A:$A,AF$2)&lt;&gt;0,SUMIFS(Sheet1!$E:$E,Sheet1!$C:$C,$A162,Sheet1!$A:$A,AF$2),"")</f>
        <v/>
      </c>
      <c r="AG162" s="9" t="str">
        <f>IF(SUMIFS(Sheet1!$E:$E,Sheet1!$C:$C,$A162,Sheet1!$A:$A,AG$2)&lt;&gt;0,SUMIFS(Sheet1!$E:$E,Sheet1!$C:$C,$A162,Sheet1!$A:$A,AG$2),"")</f>
        <v/>
      </c>
      <c r="AH162" s="47">
        <f>SUM(Table24[[#This Row],[1]:[31]])</f>
        <v>0</v>
      </c>
    </row>
    <row r="163" spans="1:34" ht="12.75" customHeight="1">
      <c r="A163" s="24" t="str">
        <f>DSSP!A162</f>
        <v>GC12</v>
      </c>
      <c r="B163" s="25" t="str">
        <f>DSSP!B162</f>
        <v>Kẹp ngang nhỏ(số 3)</v>
      </c>
      <c r="C163" s="9" t="str">
        <f>IF(SUMIFS(Sheet1!$E:$E,Sheet1!$C:$C,$A163,Sheet1!$A:$A,C$2)&lt;&gt;0,SUMIFS(Sheet1!$E:$E,Sheet1!$C:$C,$A163,Sheet1!$A:$A,C$2),"")</f>
        <v/>
      </c>
      <c r="D163" s="9" t="str">
        <f>IF(SUMIFS(Sheet1!$E:$E,Sheet1!$C:$C,$A163,Sheet1!$A:$A,D$2)&lt;&gt;0,SUMIFS(Sheet1!$E:$E,Sheet1!$C:$C,$A163,Sheet1!$A:$A,D$2),"")</f>
        <v/>
      </c>
      <c r="E163" s="9" t="str">
        <f>IF(SUMIFS(Sheet1!$E:$E,Sheet1!$C:$C,$A163,Sheet1!$A:$A,E$2)&lt;&gt;0,SUMIFS(Sheet1!$E:$E,Sheet1!$C:$C,$A163,Sheet1!$A:$A,E$2),"")</f>
        <v/>
      </c>
      <c r="F163" s="9" t="str">
        <f>IF(SUMIFS(Sheet1!$E:$E,Sheet1!$C:$C,$A163,Sheet1!$A:$A,F$2)&lt;&gt;0,SUMIFS(Sheet1!$E:$E,Sheet1!$C:$C,$A163,Sheet1!$A:$A,F$2),"")</f>
        <v/>
      </c>
      <c r="G163" s="9" t="str">
        <f>IF(SUMIFS(Sheet1!$E:$E,Sheet1!$C:$C,$A163,Sheet1!$A:$A,G$2)&lt;&gt;0,SUMIFS(Sheet1!$E:$E,Sheet1!$C:$C,$A163,Sheet1!$A:$A,G$2),"")</f>
        <v/>
      </c>
      <c r="H163" s="9" t="str">
        <f>IF(SUMIFS(Sheet1!$E:$E,Sheet1!$C:$C,$A163,Sheet1!$A:$A,H$2)&lt;&gt;0,SUMIFS(Sheet1!$E:$E,Sheet1!$C:$C,$A163,Sheet1!$A:$A,H$2),"")</f>
        <v/>
      </c>
      <c r="I163" s="9" t="str">
        <f>IF(SUMIFS(Sheet1!$E:$E,Sheet1!$C:$C,$A163,Sheet1!$A:$A,I$2)&lt;&gt;0,SUMIFS(Sheet1!$E:$E,Sheet1!$C:$C,$A163,Sheet1!$A:$A,I$2),"")</f>
        <v/>
      </c>
      <c r="J163" s="9" t="str">
        <f>IF(SUMIFS(Sheet1!$E:$E,Sheet1!$C:$C,$A163,Sheet1!$A:$A,J$2)&lt;&gt;0,SUMIFS(Sheet1!$E:$E,Sheet1!$C:$C,$A163,Sheet1!$A:$A,J$2),"")</f>
        <v/>
      </c>
      <c r="K163" s="9" t="str">
        <f>IF(SUMIFS(Sheet1!$E:$E,Sheet1!$C:$C,$A163,Sheet1!$A:$A,K$2)&lt;&gt;0,SUMIFS(Sheet1!$E:$E,Sheet1!$C:$C,$A163,Sheet1!$A:$A,K$2),"")</f>
        <v/>
      </c>
      <c r="L163" s="9" t="str">
        <f>IF(SUMIFS(Sheet1!$E:$E,Sheet1!$C:$C,$A163,Sheet1!$A:$A,L$2)&lt;&gt;0,SUMIFS(Sheet1!$E:$E,Sheet1!$C:$C,$A163,Sheet1!$A:$A,L$2),"")</f>
        <v/>
      </c>
      <c r="M163" s="9" t="str">
        <f>IF(SUMIFS(Sheet1!$E:$E,Sheet1!$C:$C,$A163,Sheet1!$A:$A,M$2)&lt;&gt;0,SUMIFS(Sheet1!$E:$E,Sheet1!$C:$C,$A163,Sheet1!$A:$A,M$2),"")</f>
        <v/>
      </c>
      <c r="N163" s="9" t="str">
        <f>IF(SUMIFS(Sheet1!$E:$E,Sheet1!$C:$C,$A163,Sheet1!$A:$A,N$2)&lt;&gt;0,SUMIFS(Sheet1!$E:$E,Sheet1!$C:$C,$A163,Sheet1!$A:$A,N$2),"")</f>
        <v/>
      </c>
      <c r="O163" s="9" t="str">
        <f>IF(SUMIFS(Sheet1!$E:$E,Sheet1!$C:$C,$A163,Sheet1!$A:$A,O$2)&lt;&gt;0,SUMIFS(Sheet1!$E:$E,Sheet1!$C:$C,$A163,Sheet1!$A:$A,O$2),"")</f>
        <v/>
      </c>
      <c r="P163" s="9" t="str">
        <f>IF(SUMIFS(Sheet1!$E:$E,Sheet1!$C:$C,$A163,Sheet1!$A:$A,P$2)&lt;&gt;0,SUMIFS(Sheet1!$E:$E,Sheet1!$C:$C,$A163,Sheet1!$A:$A,P$2),"")</f>
        <v/>
      </c>
      <c r="Q163" s="9" t="str">
        <f>IF(SUMIFS(Sheet1!$E:$E,Sheet1!$C:$C,$A163,Sheet1!$A:$A,Q$2)&lt;&gt;0,SUMIFS(Sheet1!$E:$E,Sheet1!$C:$C,$A163,Sheet1!$A:$A,Q$2),"")</f>
        <v/>
      </c>
      <c r="R163" s="9" t="str">
        <f>IF(SUMIFS(Sheet1!$E:$E,Sheet1!$C:$C,$A163,Sheet1!$A:$A,R$2)&lt;&gt;0,SUMIFS(Sheet1!$E:$E,Sheet1!$C:$C,$A163,Sheet1!$A:$A,R$2),"")</f>
        <v/>
      </c>
      <c r="S163" s="9" t="str">
        <f>IF(SUMIFS(Sheet1!$E:$E,Sheet1!$C:$C,$A163,Sheet1!$A:$A,S$2)&lt;&gt;0,SUMIFS(Sheet1!$E:$E,Sheet1!$C:$C,$A163,Sheet1!$A:$A,S$2),"")</f>
        <v/>
      </c>
      <c r="T163" s="9" t="str">
        <f>IF(SUMIFS(Sheet1!$E:$E,Sheet1!$C:$C,$A163,Sheet1!$A:$A,T$2)&lt;&gt;0,SUMIFS(Sheet1!$E:$E,Sheet1!$C:$C,$A163,Sheet1!$A:$A,T$2),"")</f>
        <v/>
      </c>
      <c r="U163" s="9" t="str">
        <f>IF(SUMIFS(Sheet1!$E:$E,Sheet1!$C:$C,$A163,Sheet1!$A:$A,U$2)&lt;&gt;0,SUMIFS(Sheet1!$E:$E,Sheet1!$C:$C,$A163,Sheet1!$A:$A,U$2),"")</f>
        <v/>
      </c>
      <c r="V163" s="9" t="str">
        <f>IF(SUMIFS(Sheet1!$E:$E,Sheet1!$C:$C,$A163,Sheet1!$A:$A,V$2)&lt;&gt;0,SUMIFS(Sheet1!$E:$E,Sheet1!$C:$C,$A163,Sheet1!$A:$A,V$2),"")</f>
        <v/>
      </c>
      <c r="W163" s="9" t="str">
        <f>IF(SUMIFS(Sheet1!$E:$E,Sheet1!$C:$C,$A163,Sheet1!$A:$A,W$2)&lt;&gt;0,SUMIFS(Sheet1!$E:$E,Sheet1!$C:$C,$A163,Sheet1!$A:$A,W$2),"")</f>
        <v/>
      </c>
      <c r="X163" s="9" t="str">
        <f>IF(SUMIFS(Sheet1!$E:$E,Sheet1!$C:$C,$A163,Sheet1!$A:$A,X$2)&lt;&gt;0,SUMIFS(Sheet1!$E:$E,Sheet1!$C:$C,$A163,Sheet1!$A:$A,X$2),"")</f>
        <v/>
      </c>
      <c r="Y163" s="9" t="str">
        <f>IF(SUMIFS(Sheet1!$E:$E,Sheet1!$C:$C,$A163,Sheet1!$A:$A,Y$2)&lt;&gt;0,SUMIFS(Sheet1!$E:$E,Sheet1!$C:$C,$A163,Sheet1!$A:$A,Y$2),"")</f>
        <v/>
      </c>
      <c r="Z163" s="9" t="str">
        <f>IF(SUMIFS(Sheet1!$E:$E,Sheet1!$C:$C,$A163,Sheet1!$A:$A,Z$2)&lt;&gt;0,SUMIFS(Sheet1!$E:$E,Sheet1!$C:$C,$A163,Sheet1!$A:$A,Z$2),"")</f>
        <v/>
      </c>
      <c r="AA163" s="9" t="str">
        <f>IF(SUMIFS(Sheet1!$E:$E,Sheet1!$C:$C,$A163,Sheet1!$A:$A,AA$2)&lt;&gt;0,SUMIFS(Sheet1!$E:$E,Sheet1!$C:$C,$A163,Sheet1!$A:$A,AA$2),"")</f>
        <v/>
      </c>
      <c r="AB163" s="9" t="str">
        <f>IF(SUMIFS(Sheet1!$E:$E,Sheet1!$C:$C,$A163,Sheet1!$A:$A,AB$2)&lt;&gt;0,SUMIFS(Sheet1!$E:$E,Sheet1!$C:$C,$A163,Sheet1!$A:$A,AB$2),"")</f>
        <v/>
      </c>
      <c r="AC163" s="9" t="str">
        <f>IF(SUMIFS(Sheet1!$E:$E,Sheet1!$C:$C,$A163,Sheet1!$A:$A,AC$2)&lt;&gt;0,SUMIFS(Sheet1!$E:$E,Sheet1!$C:$C,$A163,Sheet1!$A:$A,AC$2),"")</f>
        <v/>
      </c>
      <c r="AD163" s="9" t="str">
        <f>IF(SUMIFS(Sheet1!$E:$E,Sheet1!$C:$C,$A163,Sheet1!$A:$A,AD$2)&lt;&gt;0,SUMIFS(Sheet1!$E:$E,Sheet1!$C:$C,$A163,Sheet1!$A:$A,AD$2),"")</f>
        <v/>
      </c>
      <c r="AE163" s="9" t="str">
        <f>IF(SUMIFS(Sheet1!$E:$E,Sheet1!$C:$C,$A163,Sheet1!$A:$A,AE$2)&lt;&gt;0,SUMIFS(Sheet1!$E:$E,Sheet1!$C:$C,$A163,Sheet1!$A:$A,AE$2),"")</f>
        <v/>
      </c>
      <c r="AF163" s="9" t="str">
        <f>IF(SUMIFS(Sheet1!$E:$E,Sheet1!$C:$C,$A163,Sheet1!$A:$A,AF$2)&lt;&gt;0,SUMIFS(Sheet1!$E:$E,Sheet1!$C:$C,$A163,Sheet1!$A:$A,AF$2),"")</f>
        <v/>
      </c>
      <c r="AG163" s="9" t="str">
        <f>IF(SUMIFS(Sheet1!$E:$E,Sheet1!$C:$C,$A163,Sheet1!$A:$A,AG$2)&lt;&gt;0,SUMIFS(Sheet1!$E:$E,Sheet1!$C:$C,$A163,Sheet1!$A:$A,AG$2),"")</f>
        <v/>
      </c>
      <c r="AH163" s="47">
        <f>SUM(Table24[[#This Row],[1]:[31]])</f>
        <v>0</v>
      </c>
    </row>
    <row r="164" spans="1:34" ht="12.75" customHeight="1">
      <c r="A164" s="24" t="str">
        <f>DSSP!A163</f>
        <v>GC21</v>
      </c>
      <c r="B164" s="25" t="str">
        <f>DSSP!B163</f>
        <v>Kem ngang vừa (số 2)</v>
      </c>
      <c r="C164" s="9" t="str">
        <f>IF(SUMIFS(Sheet1!$E:$E,Sheet1!$C:$C,$A164,Sheet1!$A:$A,C$2)&lt;&gt;0,SUMIFS(Sheet1!$E:$E,Sheet1!$C:$C,$A164,Sheet1!$A:$A,C$2),"")</f>
        <v/>
      </c>
      <c r="D164" s="9" t="str">
        <f>IF(SUMIFS(Sheet1!$E:$E,Sheet1!$C:$C,$A164,Sheet1!$A:$A,D$2)&lt;&gt;0,SUMIFS(Sheet1!$E:$E,Sheet1!$C:$C,$A164,Sheet1!$A:$A,D$2),"")</f>
        <v/>
      </c>
      <c r="E164" s="9" t="str">
        <f>IF(SUMIFS(Sheet1!$E:$E,Sheet1!$C:$C,$A164,Sheet1!$A:$A,E$2)&lt;&gt;0,SUMIFS(Sheet1!$E:$E,Sheet1!$C:$C,$A164,Sheet1!$A:$A,E$2),"")</f>
        <v/>
      </c>
      <c r="F164" s="9" t="str">
        <f>IF(SUMIFS(Sheet1!$E:$E,Sheet1!$C:$C,$A164,Sheet1!$A:$A,F$2)&lt;&gt;0,SUMIFS(Sheet1!$E:$E,Sheet1!$C:$C,$A164,Sheet1!$A:$A,F$2),"")</f>
        <v/>
      </c>
      <c r="G164" s="9" t="str">
        <f>IF(SUMIFS(Sheet1!$E:$E,Sheet1!$C:$C,$A164,Sheet1!$A:$A,G$2)&lt;&gt;0,SUMIFS(Sheet1!$E:$E,Sheet1!$C:$C,$A164,Sheet1!$A:$A,G$2),"")</f>
        <v/>
      </c>
      <c r="H164" s="9" t="str">
        <f>IF(SUMIFS(Sheet1!$E:$E,Sheet1!$C:$C,$A164,Sheet1!$A:$A,H$2)&lt;&gt;0,SUMIFS(Sheet1!$E:$E,Sheet1!$C:$C,$A164,Sheet1!$A:$A,H$2),"")</f>
        <v/>
      </c>
      <c r="I164" s="9" t="str">
        <f>IF(SUMIFS(Sheet1!$E:$E,Sheet1!$C:$C,$A164,Sheet1!$A:$A,I$2)&lt;&gt;0,SUMIFS(Sheet1!$E:$E,Sheet1!$C:$C,$A164,Sheet1!$A:$A,I$2),"")</f>
        <v/>
      </c>
      <c r="J164" s="9" t="str">
        <f>IF(SUMIFS(Sheet1!$E:$E,Sheet1!$C:$C,$A164,Sheet1!$A:$A,J$2)&lt;&gt;0,SUMIFS(Sheet1!$E:$E,Sheet1!$C:$C,$A164,Sheet1!$A:$A,J$2),"")</f>
        <v/>
      </c>
      <c r="K164" s="9" t="str">
        <f>IF(SUMIFS(Sheet1!$E:$E,Sheet1!$C:$C,$A164,Sheet1!$A:$A,K$2)&lt;&gt;0,SUMIFS(Sheet1!$E:$E,Sheet1!$C:$C,$A164,Sheet1!$A:$A,K$2),"")</f>
        <v/>
      </c>
      <c r="L164" s="9" t="str">
        <f>IF(SUMIFS(Sheet1!$E:$E,Sheet1!$C:$C,$A164,Sheet1!$A:$A,L$2)&lt;&gt;0,SUMIFS(Sheet1!$E:$E,Sheet1!$C:$C,$A164,Sheet1!$A:$A,L$2),"")</f>
        <v/>
      </c>
      <c r="M164" s="9" t="str">
        <f>IF(SUMIFS(Sheet1!$E:$E,Sheet1!$C:$C,$A164,Sheet1!$A:$A,M$2)&lt;&gt;0,SUMIFS(Sheet1!$E:$E,Sheet1!$C:$C,$A164,Sheet1!$A:$A,M$2),"")</f>
        <v/>
      </c>
      <c r="N164" s="9" t="str">
        <f>IF(SUMIFS(Sheet1!$E:$E,Sheet1!$C:$C,$A164,Sheet1!$A:$A,N$2)&lt;&gt;0,SUMIFS(Sheet1!$E:$E,Sheet1!$C:$C,$A164,Sheet1!$A:$A,N$2),"")</f>
        <v/>
      </c>
      <c r="O164" s="9" t="str">
        <f>IF(SUMIFS(Sheet1!$E:$E,Sheet1!$C:$C,$A164,Sheet1!$A:$A,O$2)&lt;&gt;0,SUMIFS(Sheet1!$E:$E,Sheet1!$C:$C,$A164,Sheet1!$A:$A,O$2),"")</f>
        <v/>
      </c>
      <c r="P164" s="9" t="str">
        <f>IF(SUMIFS(Sheet1!$E:$E,Sheet1!$C:$C,$A164,Sheet1!$A:$A,P$2)&lt;&gt;0,SUMIFS(Sheet1!$E:$E,Sheet1!$C:$C,$A164,Sheet1!$A:$A,P$2),"")</f>
        <v/>
      </c>
      <c r="Q164" s="9" t="str">
        <f>IF(SUMIFS(Sheet1!$E:$E,Sheet1!$C:$C,$A164,Sheet1!$A:$A,Q$2)&lt;&gt;0,SUMIFS(Sheet1!$E:$E,Sheet1!$C:$C,$A164,Sheet1!$A:$A,Q$2),"")</f>
        <v/>
      </c>
      <c r="R164" s="9" t="str">
        <f>IF(SUMIFS(Sheet1!$E:$E,Sheet1!$C:$C,$A164,Sheet1!$A:$A,R$2)&lt;&gt;0,SUMIFS(Sheet1!$E:$E,Sheet1!$C:$C,$A164,Sheet1!$A:$A,R$2),"")</f>
        <v/>
      </c>
      <c r="S164" s="9" t="str">
        <f>IF(SUMIFS(Sheet1!$E:$E,Sheet1!$C:$C,$A164,Sheet1!$A:$A,S$2)&lt;&gt;0,SUMIFS(Sheet1!$E:$E,Sheet1!$C:$C,$A164,Sheet1!$A:$A,S$2),"")</f>
        <v/>
      </c>
      <c r="T164" s="9" t="str">
        <f>IF(SUMIFS(Sheet1!$E:$E,Sheet1!$C:$C,$A164,Sheet1!$A:$A,T$2)&lt;&gt;0,SUMIFS(Sheet1!$E:$E,Sheet1!$C:$C,$A164,Sheet1!$A:$A,T$2),"")</f>
        <v/>
      </c>
      <c r="U164" s="9" t="str">
        <f>IF(SUMIFS(Sheet1!$E:$E,Sheet1!$C:$C,$A164,Sheet1!$A:$A,U$2)&lt;&gt;0,SUMIFS(Sheet1!$E:$E,Sheet1!$C:$C,$A164,Sheet1!$A:$A,U$2),"")</f>
        <v/>
      </c>
      <c r="V164" s="9" t="str">
        <f>IF(SUMIFS(Sheet1!$E:$E,Sheet1!$C:$C,$A164,Sheet1!$A:$A,V$2)&lt;&gt;0,SUMIFS(Sheet1!$E:$E,Sheet1!$C:$C,$A164,Sheet1!$A:$A,V$2),"")</f>
        <v/>
      </c>
      <c r="W164" s="9" t="str">
        <f>IF(SUMIFS(Sheet1!$E:$E,Sheet1!$C:$C,$A164,Sheet1!$A:$A,W$2)&lt;&gt;0,SUMIFS(Sheet1!$E:$E,Sheet1!$C:$C,$A164,Sheet1!$A:$A,W$2),"")</f>
        <v/>
      </c>
      <c r="X164" s="9" t="str">
        <f>IF(SUMIFS(Sheet1!$E:$E,Sheet1!$C:$C,$A164,Sheet1!$A:$A,X$2)&lt;&gt;0,SUMIFS(Sheet1!$E:$E,Sheet1!$C:$C,$A164,Sheet1!$A:$A,X$2),"")</f>
        <v/>
      </c>
      <c r="Y164" s="9" t="str">
        <f>IF(SUMIFS(Sheet1!$E:$E,Sheet1!$C:$C,$A164,Sheet1!$A:$A,Y$2)&lt;&gt;0,SUMIFS(Sheet1!$E:$E,Sheet1!$C:$C,$A164,Sheet1!$A:$A,Y$2),"")</f>
        <v/>
      </c>
      <c r="Z164" s="9" t="str">
        <f>IF(SUMIFS(Sheet1!$E:$E,Sheet1!$C:$C,$A164,Sheet1!$A:$A,Z$2)&lt;&gt;0,SUMIFS(Sheet1!$E:$E,Sheet1!$C:$C,$A164,Sheet1!$A:$A,Z$2),"")</f>
        <v/>
      </c>
      <c r="AA164" s="9" t="str">
        <f>IF(SUMIFS(Sheet1!$E:$E,Sheet1!$C:$C,$A164,Sheet1!$A:$A,AA$2)&lt;&gt;0,SUMIFS(Sheet1!$E:$E,Sheet1!$C:$C,$A164,Sheet1!$A:$A,AA$2),"")</f>
        <v/>
      </c>
      <c r="AB164" s="9" t="str">
        <f>IF(SUMIFS(Sheet1!$E:$E,Sheet1!$C:$C,$A164,Sheet1!$A:$A,AB$2)&lt;&gt;0,SUMIFS(Sheet1!$E:$E,Sheet1!$C:$C,$A164,Sheet1!$A:$A,AB$2),"")</f>
        <v/>
      </c>
      <c r="AC164" s="9" t="str">
        <f>IF(SUMIFS(Sheet1!$E:$E,Sheet1!$C:$C,$A164,Sheet1!$A:$A,AC$2)&lt;&gt;0,SUMIFS(Sheet1!$E:$E,Sheet1!$C:$C,$A164,Sheet1!$A:$A,AC$2),"")</f>
        <v/>
      </c>
      <c r="AD164" s="9" t="str">
        <f>IF(SUMIFS(Sheet1!$E:$E,Sheet1!$C:$C,$A164,Sheet1!$A:$A,AD$2)&lt;&gt;0,SUMIFS(Sheet1!$E:$E,Sheet1!$C:$C,$A164,Sheet1!$A:$A,AD$2),"")</f>
        <v/>
      </c>
      <c r="AE164" s="9" t="str">
        <f>IF(SUMIFS(Sheet1!$E:$E,Sheet1!$C:$C,$A164,Sheet1!$A:$A,AE$2)&lt;&gt;0,SUMIFS(Sheet1!$E:$E,Sheet1!$C:$C,$A164,Sheet1!$A:$A,AE$2),"")</f>
        <v/>
      </c>
      <c r="AF164" s="9" t="str">
        <f>IF(SUMIFS(Sheet1!$E:$E,Sheet1!$C:$C,$A164,Sheet1!$A:$A,AF$2)&lt;&gt;0,SUMIFS(Sheet1!$E:$E,Sheet1!$C:$C,$A164,Sheet1!$A:$A,AF$2),"")</f>
        <v/>
      </c>
      <c r="AG164" s="9" t="str">
        <f>IF(SUMIFS(Sheet1!$E:$E,Sheet1!$C:$C,$A164,Sheet1!$A:$A,AG$2)&lt;&gt;0,SUMIFS(Sheet1!$E:$E,Sheet1!$C:$C,$A164,Sheet1!$A:$A,AG$2),"")</f>
        <v/>
      </c>
      <c r="AH164" s="47">
        <f>SUM(Table24[[#This Row],[1]:[31]])</f>
        <v>0</v>
      </c>
    </row>
    <row r="165" spans="1:34" ht="12.75" customHeight="1">
      <c r="A165" s="24" t="str">
        <f>DSSP!A164</f>
        <v>GC13</v>
      </c>
      <c r="B165" s="25" t="str">
        <f>DSSP!B164</f>
        <v>Kẹp dọc (số 1)</v>
      </c>
      <c r="C165" s="9" t="str">
        <f>IF(SUMIFS(Sheet1!$E:$E,Sheet1!$C:$C,$A165,Sheet1!$A:$A,C$2)&lt;&gt;0,SUMIFS(Sheet1!$E:$E,Sheet1!$C:$C,$A165,Sheet1!$A:$A,C$2),"")</f>
        <v/>
      </c>
      <c r="D165" s="9" t="str">
        <f>IF(SUMIFS(Sheet1!$E:$E,Sheet1!$C:$C,$A165,Sheet1!$A:$A,D$2)&lt;&gt;0,SUMIFS(Sheet1!$E:$E,Sheet1!$C:$C,$A165,Sheet1!$A:$A,D$2),"")</f>
        <v/>
      </c>
      <c r="E165" s="9" t="str">
        <f>IF(SUMIFS(Sheet1!$E:$E,Sheet1!$C:$C,$A165,Sheet1!$A:$A,E$2)&lt;&gt;0,SUMIFS(Sheet1!$E:$E,Sheet1!$C:$C,$A165,Sheet1!$A:$A,E$2),"")</f>
        <v/>
      </c>
      <c r="F165" s="9" t="str">
        <f>IF(SUMIFS(Sheet1!$E:$E,Sheet1!$C:$C,$A165,Sheet1!$A:$A,F$2)&lt;&gt;0,SUMIFS(Sheet1!$E:$E,Sheet1!$C:$C,$A165,Sheet1!$A:$A,F$2),"")</f>
        <v/>
      </c>
      <c r="G165" s="9" t="str">
        <f>IF(SUMIFS(Sheet1!$E:$E,Sheet1!$C:$C,$A165,Sheet1!$A:$A,G$2)&lt;&gt;0,SUMIFS(Sheet1!$E:$E,Sheet1!$C:$C,$A165,Sheet1!$A:$A,G$2),"")</f>
        <v/>
      </c>
      <c r="H165" s="9" t="str">
        <f>IF(SUMIFS(Sheet1!$E:$E,Sheet1!$C:$C,$A165,Sheet1!$A:$A,H$2)&lt;&gt;0,SUMIFS(Sheet1!$E:$E,Sheet1!$C:$C,$A165,Sheet1!$A:$A,H$2),"")</f>
        <v/>
      </c>
      <c r="I165" s="9" t="str">
        <f>IF(SUMIFS(Sheet1!$E:$E,Sheet1!$C:$C,$A165,Sheet1!$A:$A,I$2)&lt;&gt;0,SUMIFS(Sheet1!$E:$E,Sheet1!$C:$C,$A165,Sheet1!$A:$A,I$2),"")</f>
        <v/>
      </c>
      <c r="J165" s="9" t="str">
        <f>IF(SUMIFS(Sheet1!$E:$E,Sheet1!$C:$C,$A165,Sheet1!$A:$A,J$2)&lt;&gt;0,SUMIFS(Sheet1!$E:$E,Sheet1!$C:$C,$A165,Sheet1!$A:$A,J$2),"")</f>
        <v/>
      </c>
      <c r="K165" s="9" t="str">
        <f>IF(SUMIFS(Sheet1!$E:$E,Sheet1!$C:$C,$A165,Sheet1!$A:$A,K$2)&lt;&gt;0,SUMIFS(Sheet1!$E:$E,Sheet1!$C:$C,$A165,Sheet1!$A:$A,K$2),"")</f>
        <v/>
      </c>
      <c r="L165" s="9" t="str">
        <f>IF(SUMIFS(Sheet1!$E:$E,Sheet1!$C:$C,$A165,Sheet1!$A:$A,L$2)&lt;&gt;0,SUMIFS(Sheet1!$E:$E,Sheet1!$C:$C,$A165,Sheet1!$A:$A,L$2),"")</f>
        <v/>
      </c>
      <c r="M165" s="9" t="str">
        <f>IF(SUMIFS(Sheet1!$E:$E,Sheet1!$C:$C,$A165,Sheet1!$A:$A,M$2)&lt;&gt;0,SUMIFS(Sheet1!$E:$E,Sheet1!$C:$C,$A165,Sheet1!$A:$A,M$2),"")</f>
        <v/>
      </c>
      <c r="N165" s="9" t="str">
        <f>IF(SUMIFS(Sheet1!$E:$E,Sheet1!$C:$C,$A165,Sheet1!$A:$A,N$2)&lt;&gt;0,SUMIFS(Sheet1!$E:$E,Sheet1!$C:$C,$A165,Sheet1!$A:$A,N$2),"")</f>
        <v/>
      </c>
      <c r="O165" s="9" t="str">
        <f>IF(SUMIFS(Sheet1!$E:$E,Sheet1!$C:$C,$A165,Sheet1!$A:$A,O$2)&lt;&gt;0,SUMIFS(Sheet1!$E:$E,Sheet1!$C:$C,$A165,Sheet1!$A:$A,O$2),"")</f>
        <v/>
      </c>
      <c r="P165" s="9" t="str">
        <f>IF(SUMIFS(Sheet1!$E:$E,Sheet1!$C:$C,$A165,Sheet1!$A:$A,P$2)&lt;&gt;0,SUMIFS(Sheet1!$E:$E,Sheet1!$C:$C,$A165,Sheet1!$A:$A,P$2),"")</f>
        <v/>
      </c>
      <c r="Q165" s="9" t="str">
        <f>IF(SUMIFS(Sheet1!$E:$E,Sheet1!$C:$C,$A165,Sheet1!$A:$A,Q$2)&lt;&gt;0,SUMIFS(Sheet1!$E:$E,Sheet1!$C:$C,$A165,Sheet1!$A:$A,Q$2),"")</f>
        <v/>
      </c>
      <c r="R165" s="9" t="str">
        <f>IF(SUMIFS(Sheet1!$E:$E,Sheet1!$C:$C,$A165,Sheet1!$A:$A,R$2)&lt;&gt;0,SUMIFS(Sheet1!$E:$E,Sheet1!$C:$C,$A165,Sheet1!$A:$A,R$2),"")</f>
        <v/>
      </c>
      <c r="S165" s="9" t="str">
        <f>IF(SUMIFS(Sheet1!$E:$E,Sheet1!$C:$C,$A165,Sheet1!$A:$A,S$2)&lt;&gt;0,SUMIFS(Sheet1!$E:$E,Sheet1!$C:$C,$A165,Sheet1!$A:$A,S$2),"")</f>
        <v/>
      </c>
      <c r="T165" s="9" t="str">
        <f>IF(SUMIFS(Sheet1!$E:$E,Sheet1!$C:$C,$A165,Sheet1!$A:$A,T$2)&lt;&gt;0,SUMIFS(Sheet1!$E:$E,Sheet1!$C:$C,$A165,Sheet1!$A:$A,T$2),"")</f>
        <v/>
      </c>
      <c r="U165" s="9" t="str">
        <f>IF(SUMIFS(Sheet1!$E:$E,Sheet1!$C:$C,$A165,Sheet1!$A:$A,U$2)&lt;&gt;0,SUMIFS(Sheet1!$E:$E,Sheet1!$C:$C,$A165,Sheet1!$A:$A,U$2),"")</f>
        <v/>
      </c>
      <c r="V165" s="9" t="str">
        <f>IF(SUMIFS(Sheet1!$E:$E,Sheet1!$C:$C,$A165,Sheet1!$A:$A,V$2)&lt;&gt;0,SUMIFS(Sheet1!$E:$E,Sheet1!$C:$C,$A165,Sheet1!$A:$A,V$2),"")</f>
        <v/>
      </c>
      <c r="W165" s="9" t="str">
        <f>IF(SUMIFS(Sheet1!$E:$E,Sheet1!$C:$C,$A165,Sheet1!$A:$A,W$2)&lt;&gt;0,SUMIFS(Sheet1!$E:$E,Sheet1!$C:$C,$A165,Sheet1!$A:$A,W$2),"")</f>
        <v/>
      </c>
      <c r="X165" s="9" t="str">
        <f>IF(SUMIFS(Sheet1!$E:$E,Sheet1!$C:$C,$A165,Sheet1!$A:$A,X$2)&lt;&gt;0,SUMIFS(Sheet1!$E:$E,Sheet1!$C:$C,$A165,Sheet1!$A:$A,X$2),"")</f>
        <v/>
      </c>
      <c r="Y165" s="9" t="str">
        <f>IF(SUMIFS(Sheet1!$E:$E,Sheet1!$C:$C,$A165,Sheet1!$A:$A,Y$2)&lt;&gt;0,SUMIFS(Sheet1!$E:$E,Sheet1!$C:$C,$A165,Sheet1!$A:$A,Y$2),"")</f>
        <v/>
      </c>
      <c r="Z165" s="9" t="str">
        <f>IF(SUMIFS(Sheet1!$E:$E,Sheet1!$C:$C,$A165,Sheet1!$A:$A,Z$2)&lt;&gt;0,SUMIFS(Sheet1!$E:$E,Sheet1!$C:$C,$A165,Sheet1!$A:$A,Z$2),"")</f>
        <v/>
      </c>
      <c r="AA165" s="9" t="str">
        <f>IF(SUMIFS(Sheet1!$E:$E,Sheet1!$C:$C,$A165,Sheet1!$A:$A,AA$2)&lt;&gt;0,SUMIFS(Sheet1!$E:$E,Sheet1!$C:$C,$A165,Sheet1!$A:$A,AA$2),"")</f>
        <v/>
      </c>
      <c r="AB165" s="9" t="str">
        <f>IF(SUMIFS(Sheet1!$E:$E,Sheet1!$C:$C,$A165,Sheet1!$A:$A,AB$2)&lt;&gt;0,SUMIFS(Sheet1!$E:$E,Sheet1!$C:$C,$A165,Sheet1!$A:$A,AB$2),"")</f>
        <v/>
      </c>
      <c r="AC165" s="9" t="str">
        <f>IF(SUMIFS(Sheet1!$E:$E,Sheet1!$C:$C,$A165,Sheet1!$A:$A,AC$2)&lt;&gt;0,SUMIFS(Sheet1!$E:$E,Sheet1!$C:$C,$A165,Sheet1!$A:$A,AC$2),"")</f>
        <v/>
      </c>
      <c r="AD165" s="9" t="str">
        <f>IF(SUMIFS(Sheet1!$E:$E,Sheet1!$C:$C,$A165,Sheet1!$A:$A,AD$2)&lt;&gt;0,SUMIFS(Sheet1!$E:$E,Sheet1!$C:$C,$A165,Sheet1!$A:$A,AD$2),"")</f>
        <v/>
      </c>
      <c r="AE165" s="9" t="str">
        <f>IF(SUMIFS(Sheet1!$E:$E,Sheet1!$C:$C,$A165,Sheet1!$A:$A,AE$2)&lt;&gt;0,SUMIFS(Sheet1!$E:$E,Sheet1!$C:$C,$A165,Sheet1!$A:$A,AE$2),"")</f>
        <v/>
      </c>
      <c r="AF165" s="9" t="str">
        <f>IF(SUMIFS(Sheet1!$E:$E,Sheet1!$C:$C,$A165,Sheet1!$A:$A,AF$2)&lt;&gt;0,SUMIFS(Sheet1!$E:$E,Sheet1!$C:$C,$A165,Sheet1!$A:$A,AF$2),"")</f>
        <v/>
      </c>
      <c r="AG165" s="9" t="str">
        <f>IF(SUMIFS(Sheet1!$E:$E,Sheet1!$C:$C,$A165,Sheet1!$A:$A,AG$2)&lt;&gt;0,SUMIFS(Sheet1!$E:$E,Sheet1!$C:$C,$A165,Sheet1!$A:$A,AG$2),"")</f>
        <v/>
      </c>
      <c r="AH165" s="47">
        <f>SUM(Table24[[#This Row],[1]:[31]])</f>
        <v>0</v>
      </c>
    </row>
    <row r="166" spans="1:34" ht="12.75" customHeight="1">
      <c r="A166" s="24" t="str">
        <f>DSSP!A165</f>
        <v>GC22</v>
      </c>
      <c r="B166" s="25" t="str">
        <f>DSSP!B165</f>
        <v>Kẹp số 5</v>
      </c>
      <c r="C166" s="9">
        <f>IF(SUMIFS(Sheet1!$E:$E,Sheet1!$C:$C,$A166,Sheet1!$A:$A,C$2)&lt;&gt;0,SUMIFS(Sheet1!$E:$E,Sheet1!$C:$C,$A166,Sheet1!$A:$A,C$2),"")</f>
        <v>72</v>
      </c>
      <c r="D166" s="9" t="str">
        <f>IF(SUMIFS(Sheet1!$E:$E,Sheet1!$C:$C,$A166,Sheet1!$A:$A,D$2)&lt;&gt;0,SUMIFS(Sheet1!$E:$E,Sheet1!$C:$C,$A166,Sheet1!$A:$A,D$2),"")</f>
        <v/>
      </c>
      <c r="E166" s="9" t="str">
        <f>IF(SUMIFS(Sheet1!$E:$E,Sheet1!$C:$C,$A166,Sheet1!$A:$A,E$2)&lt;&gt;0,SUMIFS(Sheet1!$E:$E,Sheet1!$C:$C,$A166,Sheet1!$A:$A,E$2),"")</f>
        <v/>
      </c>
      <c r="F166" s="9" t="str">
        <f>IF(SUMIFS(Sheet1!$E:$E,Sheet1!$C:$C,$A166,Sheet1!$A:$A,F$2)&lt;&gt;0,SUMIFS(Sheet1!$E:$E,Sheet1!$C:$C,$A166,Sheet1!$A:$A,F$2),"")</f>
        <v/>
      </c>
      <c r="G166" s="9" t="str">
        <f>IF(SUMIFS(Sheet1!$E:$E,Sheet1!$C:$C,$A166,Sheet1!$A:$A,G$2)&lt;&gt;0,SUMIFS(Sheet1!$E:$E,Sheet1!$C:$C,$A166,Sheet1!$A:$A,G$2),"")</f>
        <v/>
      </c>
      <c r="H166" s="9" t="str">
        <f>IF(SUMIFS(Sheet1!$E:$E,Sheet1!$C:$C,$A166,Sheet1!$A:$A,H$2)&lt;&gt;0,SUMIFS(Sheet1!$E:$E,Sheet1!$C:$C,$A166,Sheet1!$A:$A,H$2),"")</f>
        <v/>
      </c>
      <c r="I166" s="9" t="str">
        <f>IF(SUMIFS(Sheet1!$E:$E,Sheet1!$C:$C,$A166,Sheet1!$A:$A,I$2)&lt;&gt;0,SUMIFS(Sheet1!$E:$E,Sheet1!$C:$C,$A166,Sheet1!$A:$A,I$2),"")</f>
        <v/>
      </c>
      <c r="J166" s="9" t="str">
        <f>IF(SUMIFS(Sheet1!$E:$E,Sheet1!$C:$C,$A166,Sheet1!$A:$A,J$2)&lt;&gt;0,SUMIFS(Sheet1!$E:$E,Sheet1!$C:$C,$A166,Sheet1!$A:$A,J$2),"")</f>
        <v/>
      </c>
      <c r="K166" s="9" t="str">
        <f>IF(SUMIFS(Sheet1!$E:$E,Sheet1!$C:$C,$A166,Sheet1!$A:$A,K$2)&lt;&gt;0,SUMIFS(Sheet1!$E:$E,Sheet1!$C:$C,$A166,Sheet1!$A:$A,K$2),"")</f>
        <v/>
      </c>
      <c r="L166" s="9" t="str">
        <f>IF(SUMIFS(Sheet1!$E:$E,Sheet1!$C:$C,$A166,Sheet1!$A:$A,L$2)&lt;&gt;0,SUMIFS(Sheet1!$E:$E,Sheet1!$C:$C,$A166,Sheet1!$A:$A,L$2),"")</f>
        <v/>
      </c>
      <c r="M166" s="9" t="str">
        <f>IF(SUMIFS(Sheet1!$E:$E,Sheet1!$C:$C,$A166,Sheet1!$A:$A,M$2)&lt;&gt;0,SUMIFS(Sheet1!$E:$E,Sheet1!$C:$C,$A166,Sheet1!$A:$A,M$2),"")</f>
        <v/>
      </c>
      <c r="N166" s="9" t="str">
        <f>IF(SUMIFS(Sheet1!$E:$E,Sheet1!$C:$C,$A166,Sheet1!$A:$A,N$2)&lt;&gt;0,SUMIFS(Sheet1!$E:$E,Sheet1!$C:$C,$A166,Sheet1!$A:$A,N$2),"")</f>
        <v/>
      </c>
      <c r="O166" s="9" t="str">
        <f>IF(SUMIFS(Sheet1!$E:$E,Sheet1!$C:$C,$A166,Sheet1!$A:$A,O$2)&lt;&gt;0,SUMIFS(Sheet1!$E:$E,Sheet1!$C:$C,$A166,Sheet1!$A:$A,O$2),"")</f>
        <v/>
      </c>
      <c r="P166" s="9" t="str">
        <f>IF(SUMIFS(Sheet1!$E:$E,Sheet1!$C:$C,$A166,Sheet1!$A:$A,P$2)&lt;&gt;0,SUMIFS(Sheet1!$E:$E,Sheet1!$C:$C,$A166,Sheet1!$A:$A,P$2),"")</f>
        <v/>
      </c>
      <c r="Q166" s="9" t="str">
        <f>IF(SUMIFS(Sheet1!$E:$E,Sheet1!$C:$C,$A166,Sheet1!$A:$A,Q$2)&lt;&gt;0,SUMIFS(Sheet1!$E:$E,Sheet1!$C:$C,$A166,Sheet1!$A:$A,Q$2),"")</f>
        <v/>
      </c>
      <c r="R166" s="9" t="str">
        <f>IF(SUMIFS(Sheet1!$E:$E,Sheet1!$C:$C,$A166,Sheet1!$A:$A,R$2)&lt;&gt;0,SUMIFS(Sheet1!$E:$E,Sheet1!$C:$C,$A166,Sheet1!$A:$A,R$2),"")</f>
        <v/>
      </c>
      <c r="S166" s="9" t="str">
        <f>IF(SUMIFS(Sheet1!$E:$E,Sheet1!$C:$C,$A166,Sheet1!$A:$A,S$2)&lt;&gt;0,SUMIFS(Sheet1!$E:$E,Sheet1!$C:$C,$A166,Sheet1!$A:$A,S$2),"")</f>
        <v/>
      </c>
      <c r="T166" s="9" t="str">
        <f>IF(SUMIFS(Sheet1!$E:$E,Sheet1!$C:$C,$A166,Sheet1!$A:$A,T$2)&lt;&gt;0,SUMIFS(Sheet1!$E:$E,Sheet1!$C:$C,$A166,Sheet1!$A:$A,T$2),"")</f>
        <v/>
      </c>
      <c r="U166" s="9" t="str">
        <f>IF(SUMIFS(Sheet1!$E:$E,Sheet1!$C:$C,$A166,Sheet1!$A:$A,U$2)&lt;&gt;0,SUMIFS(Sheet1!$E:$E,Sheet1!$C:$C,$A166,Sheet1!$A:$A,U$2),"")</f>
        <v/>
      </c>
      <c r="V166" s="9" t="str">
        <f>IF(SUMIFS(Sheet1!$E:$E,Sheet1!$C:$C,$A166,Sheet1!$A:$A,V$2)&lt;&gt;0,SUMIFS(Sheet1!$E:$E,Sheet1!$C:$C,$A166,Sheet1!$A:$A,V$2),"")</f>
        <v/>
      </c>
      <c r="W166" s="9" t="str">
        <f>IF(SUMIFS(Sheet1!$E:$E,Sheet1!$C:$C,$A166,Sheet1!$A:$A,W$2)&lt;&gt;0,SUMIFS(Sheet1!$E:$E,Sheet1!$C:$C,$A166,Sheet1!$A:$A,W$2),"")</f>
        <v/>
      </c>
      <c r="X166" s="9" t="str">
        <f>IF(SUMIFS(Sheet1!$E:$E,Sheet1!$C:$C,$A166,Sheet1!$A:$A,X$2)&lt;&gt;0,SUMIFS(Sheet1!$E:$E,Sheet1!$C:$C,$A166,Sheet1!$A:$A,X$2),"")</f>
        <v/>
      </c>
      <c r="Y166" s="9" t="str">
        <f>IF(SUMIFS(Sheet1!$E:$E,Sheet1!$C:$C,$A166,Sheet1!$A:$A,Y$2)&lt;&gt;0,SUMIFS(Sheet1!$E:$E,Sheet1!$C:$C,$A166,Sheet1!$A:$A,Y$2),"")</f>
        <v/>
      </c>
      <c r="Z166" s="9" t="str">
        <f>IF(SUMIFS(Sheet1!$E:$E,Sheet1!$C:$C,$A166,Sheet1!$A:$A,Z$2)&lt;&gt;0,SUMIFS(Sheet1!$E:$E,Sheet1!$C:$C,$A166,Sheet1!$A:$A,Z$2),"")</f>
        <v/>
      </c>
      <c r="AA166" s="9" t="str">
        <f>IF(SUMIFS(Sheet1!$E:$E,Sheet1!$C:$C,$A166,Sheet1!$A:$A,AA$2)&lt;&gt;0,SUMIFS(Sheet1!$E:$E,Sheet1!$C:$C,$A166,Sheet1!$A:$A,AA$2),"")</f>
        <v/>
      </c>
      <c r="AB166" s="9" t="str">
        <f>IF(SUMIFS(Sheet1!$E:$E,Sheet1!$C:$C,$A166,Sheet1!$A:$A,AB$2)&lt;&gt;0,SUMIFS(Sheet1!$E:$E,Sheet1!$C:$C,$A166,Sheet1!$A:$A,AB$2),"")</f>
        <v/>
      </c>
      <c r="AC166" s="9" t="str">
        <f>IF(SUMIFS(Sheet1!$E:$E,Sheet1!$C:$C,$A166,Sheet1!$A:$A,AC$2)&lt;&gt;0,SUMIFS(Sheet1!$E:$E,Sheet1!$C:$C,$A166,Sheet1!$A:$A,AC$2),"")</f>
        <v/>
      </c>
      <c r="AD166" s="9" t="str">
        <f>IF(SUMIFS(Sheet1!$E:$E,Sheet1!$C:$C,$A166,Sheet1!$A:$A,AD$2)&lt;&gt;0,SUMIFS(Sheet1!$E:$E,Sheet1!$C:$C,$A166,Sheet1!$A:$A,AD$2),"")</f>
        <v/>
      </c>
      <c r="AE166" s="9" t="str">
        <f>IF(SUMIFS(Sheet1!$E:$E,Sheet1!$C:$C,$A166,Sheet1!$A:$A,AE$2)&lt;&gt;0,SUMIFS(Sheet1!$E:$E,Sheet1!$C:$C,$A166,Sheet1!$A:$A,AE$2),"")</f>
        <v/>
      </c>
      <c r="AF166" s="9" t="str">
        <f>IF(SUMIFS(Sheet1!$E:$E,Sheet1!$C:$C,$A166,Sheet1!$A:$A,AF$2)&lt;&gt;0,SUMIFS(Sheet1!$E:$E,Sheet1!$C:$C,$A166,Sheet1!$A:$A,AF$2),"")</f>
        <v/>
      </c>
      <c r="AG166" s="9" t="str">
        <f>IF(SUMIFS(Sheet1!$E:$E,Sheet1!$C:$C,$A166,Sheet1!$A:$A,AG$2)&lt;&gt;0,SUMIFS(Sheet1!$E:$E,Sheet1!$C:$C,$A166,Sheet1!$A:$A,AG$2),"")</f>
        <v/>
      </c>
      <c r="AH166" s="47">
        <f>SUM(Table24[[#This Row],[1]:[31]])</f>
        <v>72</v>
      </c>
    </row>
    <row r="167" spans="1:34" ht="12.75" customHeight="1">
      <c r="A167" s="24" t="str">
        <f>DSSP!A166</f>
        <v>GC14</v>
      </c>
      <c r="B167" s="25" t="str">
        <f>DSSP!B166</f>
        <v>Càng cua</v>
      </c>
      <c r="C167" s="9">
        <f>IF(SUMIFS(Sheet1!$E:$E,Sheet1!$C:$C,$A167,Sheet1!$A:$A,C$2)&lt;&gt;0,SUMIFS(Sheet1!$E:$E,Sheet1!$C:$C,$A167,Sheet1!$A:$A,C$2),"")</f>
        <v>1533</v>
      </c>
      <c r="D167" s="9" t="str">
        <f>IF(SUMIFS(Sheet1!$E:$E,Sheet1!$C:$C,$A167,Sheet1!$A:$A,D$2)&lt;&gt;0,SUMIFS(Sheet1!$E:$E,Sheet1!$C:$C,$A167,Sheet1!$A:$A,D$2),"")</f>
        <v/>
      </c>
      <c r="E167" s="9" t="str">
        <f>IF(SUMIFS(Sheet1!$E:$E,Sheet1!$C:$C,$A167,Sheet1!$A:$A,E$2)&lt;&gt;0,SUMIFS(Sheet1!$E:$E,Sheet1!$C:$C,$A167,Sheet1!$A:$A,E$2),"")</f>
        <v/>
      </c>
      <c r="F167" s="9" t="str">
        <f>IF(SUMIFS(Sheet1!$E:$E,Sheet1!$C:$C,$A167,Sheet1!$A:$A,F$2)&lt;&gt;0,SUMIFS(Sheet1!$E:$E,Sheet1!$C:$C,$A167,Sheet1!$A:$A,F$2),"")</f>
        <v/>
      </c>
      <c r="G167" s="9" t="str">
        <f>IF(SUMIFS(Sheet1!$E:$E,Sheet1!$C:$C,$A167,Sheet1!$A:$A,G$2)&lt;&gt;0,SUMIFS(Sheet1!$E:$E,Sheet1!$C:$C,$A167,Sheet1!$A:$A,G$2),"")</f>
        <v/>
      </c>
      <c r="H167" s="9" t="str">
        <f>IF(SUMIFS(Sheet1!$E:$E,Sheet1!$C:$C,$A167,Sheet1!$A:$A,H$2)&lt;&gt;0,SUMIFS(Sheet1!$E:$E,Sheet1!$C:$C,$A167,Sheet1!$A:$A,H$2),"")</f>
        <v/>
      </c>
      <c r="I167" s="9" t="str">
        <f>IF(SUMIFS(Sheet1!$E:$E,Sheet1!$C:$C,$A167,Sheet1!$A:$A,I$2)&lt;&gt;0,SUMIFS(Sheet1!$E:$E,Sheet1!$C:$C,$A167,Sheet1!$A:$A,I$2),"")</f>
        <v/>
      </c>
      <c r="J167" s="9" t="str">
        <f>IF(SUMIFS(Sheet1!$E:$E,Sheet1!$C:$C,$A167,Sheet1!$A:$A,J$2)&lt;&gt;0,SUMIFS(Sheet1!$E:$E,Sheet1!$C:$C,$A167,Sheet1!$A:$A,J$2),"")</f>
        <v/>
      </c>
      <c r="K167" s="9" t="str">
        <f>IF(SUMIFS(Sheet1!$E:$E,Sheet1!$C:$C,$A167,Sheet1!$A:$A,K$2)&lt;&gt;0,SUMIFS(Sheet1!$E:$E,Sheet1!$C:$C,$A167,Sheet1!$A:$A,K$2),"")</f>
        <v/>
      </c>
      <c r="L167" s="9" t="str">
        <f>IF(SUMIFS(Sheet1!$E:$E,Sheet1!$C:$C,$A167,Sheet1!$A:$A,L$2)&lt;&gt;0,SUMIFS(Sheet1!$E:$E,Sheet1!$C:$C,$A167,Sheet1!$A:$A,L$2),"")</f>
        <v/>
      </c>
      <c r="M167" s="9" t="str">
        <f>IF(SUMIFS(Sheet1!$E:$E,Sheet1!$C:$C,$A167,Sheet1!$A:$A,M$2)&lt;&gt;0,SUMIFS(Sheet1!$E:$E,Sheet1!$C:$C,$A167,Sheet1!$A:$A,M$2),"")</f>
        <v/>
      </c>
      <c r="N167" s="9" t="str">
        <f>IF(SUMIFS(Sheet1!$E:$E,Sheet1!$C:$C,$A167,Sheet1!$A:$A,N$2)&lt;&gt;0,SUMIFS(Sheet1!$E:$E,Sheet1!$C:$C,$A167,Sheet1!$A:$A,N$2),"")</f>
        <v/>
      </c>
      <c r="O167" s="9" t="str">
        <f>IF(SUMIFS(Sheet1!$E:$E,Sheet1!$C:$C,$A167,Sheet1!$A:$A,O$2)&lt;&gt;0,SUMIFS(Sheet1!$E:$E,Sheet1!$C:$C,$A167,Sheet1!$A:$A,O$2),"")</f>
        <v/>
      </c>
      <c r="P167" s="9" t="str">
        <f>IF(SUMIFS(Sheet1!$E:$E,Sheet1!$C:$C,$A167,Sheet1!$A:$A,P$2)&lt;&gt;0,SUMIFS(Sheet1!$E:$E,Sheet1!$C:$C,$A167,Sheet1!$A:$A,P$2),"")</f>
        <v/>
      </c>
      <c r="Q167" s="9" t="str">
        <f>IF(SUMIFS(Sheet1!$E:$E,Sheet1!$C:$C,$A167,Sheet1!$A:$A,Q$2)&lt;&gt;0,SUMIFS(Sheet1!$E:$E,Sheet1!$C:$C,$A167,Sheet1!$A:$A,Q$2),"")</f>
        <v/>
      </c>
      <c r="R167" s="9" t="str">
        <f>IF(SUMIFS(Sheet1!$E:$E,Sheet1!$C:$C,$A167,Sheet1!$A:$A,R$2)&lt;&gt;0,SUMIFS(Sheet1!$E:$E,Sheet1!$C:$C,$A167,Sheet1!$A:$A,R$2),"")</f>
        <v/>
      </c>
      <c r="S167" s="9" t="str">
        <f>IF(SUMIFS(Sheet1!$E:$E,Sheet1!$C:$C,$A167,Sheet1!$A:$A,S$2)&lt;&gt;0,SUMIFS(Sheet1!$E:$E,Sheet1!$C:$C,$A167,Sheet1!$A:$A,S$2),"")</f>
        <v/>
      </c>
      <c r="T167" s="9" t="str">
        <f>IF(SUMIFS(Sheet1!$E:$E,Sheet1!$C:$C,$A167,Sheet1!$A:$A,T$2)&lt;&gt;0,SUMIFS(Sheet1!$E:$E,Sheet1!$C:$C,$A167,Sheet1!$A:$A,T$2),"")</f>
        <v/>
      </c>
      <c r="U167" s="9" t="str">
        <f>IF(SUMIFS(Sheet1!$E:$E,Sheet1!$C:$C,$A167,Sheet1!$A:$A,U$2)&lt;&gt;0,SUMIFS(Sheet1!$E:$E,Sheet1!$C:$C,$A167,Sheet1!$A:$A,U$2),"")</f>
        <v/>
      </c>
      <c r="V167" s="9" t="str">
        <f>IF(SUMIFS(Sheet1!$E:$E,Sheet1!$C:$C,$A167,Sheet1!$A:$A,V$2)&lt;&gt;0,SUMIFS(Sheet1!$E:$E,Sheet1!$C:$C,$A167,Sheet1!$A:$A,V$2),"")</f>
        <v/>
      </c>
      <c r="W167" s="9" t="str">
        <f>IF(SUMIFS(Sheet1!$E:$E,Sheet1!$C:$C,$A167,Sheet1!$A:$A,W$2)&lt;&gt;0,SUMIFS(Sheet1!$E:$E,Sheet1!$C:$C,$A167,Sheet1!$A:$A,W$2),"")</f>
        <v/>
      </c>
      <c r="X167" s="9" t="str">
        <f>IF(SUMIFS(Sheet1!$E:$E,Sheet1!$C:$C,$A167,Sheet1!$A:$A,X$2)&lt;&gt;0,SUMIFS(Sheet1!$E:$E,Sheet1!$C:$C,$A167,Sheet1!$A:$A,X$2),"")</f>
        <v/>
      </c>
      <c r="Y167" s="9" t="str">
        <f>IF(SUMIFS(Sheet1!$E:$E,Sheet1!$C:$C,$A167,Sheet1!$A:$A,Y$2)&lt;&gt;0,SUMIFS(Sheet1!$E:$E,Sheet1!$C:$C,$A167,Sheet1!$A:$A,Y$2),"")</f>
        <v/>
      </c>
      <c r="Z167" s="9" t="str">
        <f>IF(SUMIFS(Sheet1!$E:$E,Sheet1!$C:$C,$A167,Sheet1!$A:$A,Z$2)&lt;&gt;0,SUMIFS(Sheet1!$E:$E,Sheet1!$C:$C,$A167,Sheet1!$A:$A,Z$2),"")</f>
        <v/>
      </c>
      <c r="AA167" s="9" t="str">
        <f>IF(SUMIFS(Sheet1!$E:$E,Sheet1!$C:$C,$A167,Sheet1!$A:$A,AA$2)&lt;&gt;0,SUMIFS(Sheet1!$E:$E,Sheet1!$C:$C,$A167,Sheet1!$A:$A,AA$2),"")</f>
        <v/>
      </c>
      <c r="AB167" s="9" t="str">
        <f>IF(SUMIFS(Sheet1!$E:$E,Sheet1!$C:$C,$A167,Sheet1!$A:$A,AB$2)&lt;&gt;0,SUMIFS(Sheet1!$E:$E,Sheet1!$C:$C,$A167,Sheet1!$A:$A,AB$2),"")</f>
        <v/>
      </c>
      <c r="AC167" s="9" t="str">
        <f>IF(SUMIFS(Sheet1!$E:$E,Sheet1!$C:$C,$A167,Sheet1!$A:$A,AC$2)&lt;&gt;0,SUMIFS(Sheet1!$E:$E,Sheet1!$C:$C,$A167,Sheet1!$A:$A,AC$2),"")</f>
        <v/>
      </c>
      <c r="AD167" s="9" t="str">
        <f>IF(SUMIFS(Sheet1!$E:$E,Sheet1!$C:$C,$A167,Sheet1!$A:$A,AD$2)&lt;&gt;0,SUMIFS(Sheet1!$E:$E,Sheet1!$C:$C,$A167,Sheet1!$A:$A,AD$2),"")</f>
        <v/>
      </c>
      <c r="AE167" s="9" t="str">
        <f>IF(SUMIFS(Sheet1!$E:$E,Sheet1!$C:$C,$A167,Sheet1!$A:$A,AE$2)&lt;&gt;0,SUMIFS(Sheet1!$E:$E,Sheet1!$C:$C,$A167,Sheet1!$A:$A,AE$2),"")</f>
        <v/>
      </c>
      <c r="AF167" s="9" t="str">
        <f>IF(SUMIFS(Sheet1!$E:$E,Sheet1!$C:$C,$A167,Sheet1!$A:$A,AF$2)&lt;&gt;0,SUMIFS(Sheet1!$E:$E,Sheet1!$C:$C,$A167,Sheet1!$A:$A,AF$2),"")</f>
        <v/>
      </c>
      <c r="AG167" s="9" t="str">
        <f>IF(SUMIFS(Sheet1!$E:$E,Sheet1!$C:$C,$A167,Sheet1!$A:$A,AG$2)&lt;&gt;0,SUMIFS(Sheet1!$E:$E,Sheet1!$C:$C,$A167,Sheet1!$A:$A,AG$2),"")</f>
        <v/>
      </c>
      <c r="AH167" s="47">
        <f>SUM(Table24[[#This Row],[1]:[31]])</f>
        <v>1533</v>
      </c>
    </row>
    <row r="168" spans="1:34" ht="12.75" customHeight="1">
      <c r="A168" s="24" t="str">
        <f>DSSP!A167</f>
        <v>GC15</v>
      </c>
      <c r="B168" s="25" t="str">
        <f>DSSP!B167</f>
        <v xml:space="preserve">Chuông bạc </v>
      </c>
      <c r="C168" s="9" t="str">
        <f>IF(SUMIFS(Sheet1!$E:$E,Sheet1!$C:$C,$A168,Sheet1!$A:$A,C$2)&lt;&gt;0,SUMIFS(Sheet1!$E:$E,Sheet1!$C:$C,$A168,Sheet1!$A:$A,C$2),"")</f>
        <v/>
      </c>
      <c r="D168" s="9" t="str">
        <f>IF(SUMIFS(Sheet1!$E:$E,Sheet1!$C:$C,$A168,Sheet1!$A:$A,D$2)&lt;&gt;0,SUMIFS(Sheet1!$E:$E,Sheet1!$C:$C,$A168,Sheet1!$A:$A,D$2),"")</f>
        <v/>
      </c>
      <c r="E168" s="9" t="str">
        <f>IF(SUMIFS(Sheet1!$E:$E,Sheet1!$C:$C,$A168,Sheet1!$A:$A,E$2)&lt;&gt;0,SUMIFS(Sheet1!$E:$E,Sheet1!$C:$C,$A168,Sheet1!$A:$A,E$2),"")</f>
        <v/>
      </c>
      <c r="F168" s="9" t="str">
        <f>IF(SUMIFS(Sheet1!$E:$E,Sheet1!$C:$C,$A168,Sheet1!$A:$A,F$2)&lt;&gt;0,SUMIFS(Sheet1!$E:$E,Sheet1!$C:$C,$A168,Sheet1!$A:$A,F$2),"")</f>
        <v/>
      </c>
      <c r="G168" s="9" t="str">
        <f>IF(SUMIFS(Sheet1!$E:$E,Sheet1!$C:$C,$A168,Sheet1!$A:$A,G$2)&lt;&gt;0,SUMIFS(Sheet1!$E:$E,Sheet1!$C:$C,$A168,Sheet1!$A:$A,G$2),"")</f>
        <v/>
      </c>
      <c r="H168" s="9" t="str">
        <f>IF(SUMIFS(Sheet1!$E:$E,Sheet1!$C:$C,$A168,Sheet1!$A:$A,H$2)&lt;&gt;0,SUMIFS(Sheet1!$E:$E,Sheet1!$C:$C,$A168,Sheet1!$A:$A,H$2),"")</f>
        <v/>
      </c>
      <c r="I168" s="9" t="str">
        <f>IF(SUMIFS(Sheet1!$E:$E,Sheet1!$C:$C,$A168,Sheet1!$A:$A,I$2)&lt;&gt;0,SUMIFS(Sheet1!$E:$E,Sheet1!$C:$C,$A168,Sheet1!$A:$A,I$2),"")</f>
        <v/>
      </c>
      <c r="J168" s="9" t="str">
        <f>IF(SUMIFS(Sheet1!$E:$E,Sheet1!$C:$C,$A168,Sheet1!$A:$A,J$2)&lt;&gt;0,SUMIFS(Sheet1!$E:$E,Sheet1!$C:$C,$A168,Sheet1!$A:$A,J$2),"")</f>
        <v/>
      </c>
      <c r="K168" s="9" t="str">
        <f>IF(SUMIFS(Sheet1!$E:$E,Sheet1!$C:$C,$A168,Sheet1!$A:$A,K$2)&lt;&gt;0,SUMIFS(Sheet1!$E:$E,Sheet1!$C:$C,$A168,Sheet1!$A:$A,K$2),"")</f>
        <v/>
      </c>
      <c r="L168" s="9" t="str">
        <f>IF(SUMIFS(Sheet1!$E:$E,Sheet1!$C:$C,$A168,Sheet1!$A:$A,L$2)&lt;&gt;0,SUMIFS(Sheet1!$E:$E,Sheet1!$C:$C,$A168,Sheet1!$A:$A,L$2),"")</f>
        <v/>
      </c>
      <c r="M168" s="9" t="str">
        <f>IF(SUMIFS(Sheet1!$E:$E,Sheet1!$C:$C,$A168,Sheet1!$A:$A,M$2)&lt;&gt;0,SUMIFS(Sheet1!$E:$E,Sheet1!$C:$C,$A168,Sheet1!$A:$A,M$2),"")</f>
        <v/>
      </c>
      <c r="N168" s="9" t="str">
        <f>IF(SUMIFS(Sheet1!$E:$E,Sheet1!$C:$C,$A168,Sheet1!$A:$A,N$2)&lt;&gt;0,SUMIFS(Sheet1!$E:$E,Sheet1!$C:$C,$A168,Sheet1!$A:$A,N$2),"")</f>
        <v/>
      </c>
      <c r="O168" s="9" t="str">
        <f>IF(SUMIFS(Sheet1!$E:$E,Sheet1!$C:$C,$A168,Sheet1!$A:$A,O$2)&lt;&gt;0,SUMIFS(Sheet1!$E:$E,Sheet1!$C:$C,$A168,Sheet1!$A:$A,O$2),"")</f>
        <v/>
      </c>
      <c r="P168" s="9" t="str">
        <f>IF(SUMIFS(Sheet1!$E:$E,Sheet1!$C:$C,$A168,Sheet1!$A:$A,P$2)&lt;&gt;0,SUMIFS(Sheet1!$E:$E,Sheet1!$C:$C,$A168,Sheet1!$A:$A,P$2),"")</f>
        <v/>
      </c>
      <c r="Q168" s="9" t="str">
        <f>IF(SUMIFS(Sheet1!$E:$E,Sheet1!$C:$C,$A168,Sheet1!$A:$A,Q$2)&lt;&gt;0,SUMIFS(Sheet1!$E:$E,Sheet1!$C:$C,$A168,Sheet1!$A:$A,Q$2),"")</f>
        <v/>
      </c>
      <c r="R168" s="9" t="str">
        <f>IF(SUMIFS(Sheet1!$E:$E,Sheet1!$C:$C,$A168,Sheet1!$A:$A,R$2)&lt;&gt;0,SUMIFS(Sheet1!$E:$E,Sheet1!$C:$C,$A168,Sheet1!$A:$A,R$2),"")</f>
        <v/>
      </c>
      <c r="S168" s="9" t="str">
        <f>IF(SUMIFS(Sheet1!$E:$E,Sheet1!$C:$C,$A168,Sheet1!$A:$A,S$2)&lt;&gt;0,SUMIFS(Sheet1!$E:$E,Sheet1!$C:$C,$A168,Sheet1!$A:$A,S$2),"")</f>
        <v/>
      </c>
      <c r="T168" s="9" t="str">
        <f>IF(SUMIFS(Sheet1!$E:$E,Sheet1!$C:$C,$A168,Sheet1!$A:$A,T$2)&lt;&gt;0,SUMIFS(Sheet1!$E:$E,Sheet1!$C:$C,$A168,Sheet1!$A:$A,T$2),"")</f>
        <v/>
      </c>
      <c r="U168" s="9" t="str">
        <f>IF(SUMIFS(Sheet1!$E:$E,Sheet1!$C:$C,$A168,Sheet1!$A:$A,U$2)&lt;&gt;0,SUMIFS(Sheet1!$E:$E,Sheet1!$C:$C,$A168,Sheet1!$A:$A,U$2),"")</f>
        <v/>
      </c>
      <c r="V168" s="9" t="str">
        <f>IF(SUMIFS(Sheet1!$E:$E,Sheet1!$C:$C,$A168,Sheet1!$A:$A,V$2)&lt;&gt;0,SUMIFS(Sheet1!$E:$E,Sheet1!$C:$C,$A168,Sheet1!$A:$A,V$2),"")</f>
        <v/>
      </c>
      <c r="W168" s="9" t="str">
        <f>IF(SUMIFS(Sheet1!$E:$E,Sheet1!$C:$C,$A168,Sheet1!$A:$A,W$2)&lt;&gt;0,SUMIFS(Sheet1!$E:$E,Sheet1!$C:$C,$A168,Sheet1!$A:$A,W$2),"")</f>
        <v/>
      </c>
      <c r="X168" s="9" t="str">
        <f>IF(SUMIFS(Sheet1!$E:$E,Sheet1!$C:$C,$A168,Sheet1!$A:$A,X$2)&lt;&gt;0,SUMIFS(Sheet1!$E:$E,Sheet1!$C:$C,$A168,Sheet1!$A:$A,X$2),"")</f>
        <v/>
      </c>
      <c r="Y168" s="9" t="str">
        <f>IF(SUMIFS(Sheet1!$E:$E,Sheet1!$C:$C,$A168,Sheet1!$A:$A,Y$2)&lt;&gt;0,SUMIFS(Sheet1!$E:$E,Sheet1!$C:$C,$A168,Sheet1!$A:$A,Y$2),"")</f>
        <v/>
      </c>
      <c r="Z168" s="9" t="str">
        <f>IF(SUMIFS(Sheet1!$E:$E,Sheet1!$C:$C,$A168,Sheet1!$A:$A,Z$2)&lt;&gt;0,SUMIFS(Sheet1!$E:$E,Sheet1!$C:$C,$A168,Sheet1!$A:$A,Z$2),"")</f>
        <v/>
      </c>
      <c r="AA168" s="9" t="str">
        <f>IF(SUMIFS(Sheet1!$E:$E,Sheet1!$C:$C,$A168,Sheet1!$A:$A,AA$2)&lt;&gt;0,SUMIFS(Sheet1!$E:$E,Sheet1!$C:$C,$A168,Sheet1!$A:$A,AA$2),"")</f>
        <v/>
      </c>
      <c r="AB168" s="9" t="str">
        <f>IF(SUMIFS(Sheet1!$E:$E,Sheet1!$C:$C,$A168,Sheet1!$A:$A,AB$2)&lt;&gt;0,SUMIFS(Sheet1!$E:$E,Sheet1!$C:$C,$A168,Sheet1!$A:$A,AB$2),"")</f>
        <v/>
      </c>
      <c r="AC168" s="9" t="str">
        <f>IF(SUMIFS(Sheet1!$E:$E,Sheet1!$C:$C,$A168,Sheet1!$A:$A,AC$2)&lt;&gt;0,SUMIFS(Sheet1!$E:$E,Sheet1!$C:$C,$A168,Sheet1!$A:$A,AC$2),"")</f>
        <v/>
      </c>
      <c r="AD168" s="9" t="str">
        <f>IF(SUMIFS(Sheet1!$E:$E,Sheet1!$C:$C,$A168,Sheet1!$A:$A,AD$2)&lt;&gt;0,SUMIFS(Sheet1!$E:$E,Sheet1!$C:$C,$A168,Sheet1!$A:$A,AD$2),"")</f>
        <v/>
      </c>
      <c r="AE168" s="9" t="str">
        <f>IF(SUMIFS(Sheet1!$E:$E,Sheet1!$C:$C,$A168,Sheet1!$A:$A,AE$2)&lt;&gt;0,SUMIFS(Sheet1!$E:$E,Sheet1!$C:$C,$A168,Sheet1!$A:$A,AE$2),"")</f>
        <v/>
      </c>
      <c r="AF168" s="9" t="str">
        <f>IF(SUMIFS(Sheet1!$E:$E,Sheet1!$C:$C,$A168,Sheet1!$A:$A,AF$2)&lt;&gt;0,SUMIFS(Sheet1!$E:$E,Sheet1!$C:$C,$A168,Sheet1!$A:$A,AF$2),"")</f>
        <v/>
      </c>
      <c r="AG168" s="9" t="str">
        <f>IF(SUMIFS(Sheet1!$E:$E,Sheet1!$C:$C,$A168,Sheet1!$A:$A,AG$2)&lt;&gt;0,SUMIFS(Sheet1!$E:$E,Sheet1!$C:$C,$A168,Sheet1!$A:$A,AG$2),"")</f>
        <v/>
      </c>
      <c r="AH168" s="47">
        <f>SUM(Table24[[#This Row],[1]:[31]])</f>
        <v>0</v>
      </c>
    </row>
    <row r="169" spans="1:34" ht="12.75" customHeight="1">
      <c r="A169" s="24" t="str">
        <f>DSSP!A168</f>
        <v>GC16</v>
      </c>
      <c r="B169" s="25" t="str">
        <f>DSSP!B168</f>
        <v>Chuông giả cổ</v>
      </c>
      <c r="C169" s="9" t="str">
        <f>IF(SUMIFS(Sheet1!$E:$E,Sheet1!$C:$C,$A169,Sheet1!$A:$A,C$2)&lt;&gt;0,SUMIFS(Sheet1!$E:$E,Sheet1!$C:$C,$A169,Sheet1!$A:$A,C$2),"")</f>
        <v/>
      </c>
      <c r="D169" s="9" t="str">
        <f>IF(SUMIFS(Sheet1!$E:$E,Sheet1!$C:$C,$A169,Sheet1!$A:$A,D$2)&lt;&gt;0,SUMIFS(Sheet1!$E:$E,Sheet1!$C:$C,$A169,Sheet1!$A:$A,D$2),"")</f>
        <v/>
      </c>
      <c r="E169" s="9" t="str">
        <f>IF(SUMIFS(Sheet1!$E:$E,Sheet1!$C:$C,$A169,Sheet1!$A:$A,E$2)&lt;&gt;0,SUMIFS(Sheet1!$E:$E,Sheet1!$C:$C,$A169,Sheet1!$A:$A,E$2),"")</f>
        <v/>
      </c>
      <c r="F169" s="9" t="str">
        <f>IF(SUMIFS(Sheet1!$E:$E,Sheet1!$C:$C,$A169,Sheet1!$A:$A,F$2)&lt;&gt;0,SUMIFS(Sheet1!$E:$E,Sheet1!$C:$C,$A169,Sheet1!$A:$A,F$2),"")</f>
        <v/>
      </c>
      <c r="G169" s="9" t="str">
        <f>IF(SUMIFS(Sheet1!$E:$E,Sheet1!$C:$C,$A169,Sheet1!$A:$A,G$2)&lt;&gt;0,SUMIFS(Sheet1!$E:$E,Sheet1!$C:$C,$A169,Sheet1!$A:$A,G$2),"")</f>
        <v/>
      </c>
      <c r="H169" s="9" t="str">
        <f>IF(SUMIFS(Sheet1!$E:$E,Sheet1!$C:$C,$A169,Sheet1!$A:$A,H$2)&lt;&gt;0,SUMIFS(Sheet1!$E:$E,Sheet1!$C:$C,$A169,Sheet1!$A:$A,H$2),"")</f>
        <v/>
      </c>
      <c r="I169" s="9" t="str">
        <f>IF(SUMIFS(Sheet1!$E:$E,Sheet1!$C:$C,$A169,Sheet1!$A:$A,I$2)&lt;&gt;0,SUMIFS(Sheet1!$E:$E,Sheet1!$C:$C,$A169,Sheet1!$A:$A,I$2),"")</f>
        <v/>
      </c>
      <c r="J169" s="9" t="str">
        <f>IF(SUMIFS(Sheet1!$E:$E,Sheet1!$C:$C,$A169,Sheet1!$A:$A,J$2)&lt;&gt;0,SUMIFS(Sheet1!$E:$E,Sheet1!$C:$C,$A169,Sheet1!$A:$A,J$2),"")</f>
        <v/>
      </c>
      <c r="K169" s="9" t="str">
        <f>IF(SUMIFS(Sheet1!$E:$E,Sheet1!$C:$C,$A169,Sheet1!$A:$A,K$2)&lt;&gt;0,SUMIFS(Sheet1!$E:$E,Sheet1!$C:$C,$A169,Sheet1!$A:$A,K$2),"")</f>
        <v/>
      </c>
      <c r="L169" s="9" t="str">
        <f>IF(SUMIFS(Sheet1!$E:$E,Sheet1!$C:$C,$A169,Sheet1!$A:$A,L$2)&lt;&gt;0,SUMIFS(Sheet1!$E:$E,Sheet1!$C:$C,$A169,Sheet1!$A:$A,L$2),"")</f>
        <v/>
      </c>
      <c r="M169" s="9" t="str">
        <f>IF(SUMIFS(Sheet1!$E:$E,Sheet1!$C:$C,$A169,Sheet1!$A:$A,M$2)&lt;&gt;0,SUMIFS(Sheet1!$E:$E,Sheet1!$C:$C,$A169,Sheet1!$A:$A,M$2),"")</f>
        <v/>
      </c>
      <c r="N169" s="9" t="str">
        <f>IF(SUMIFS(Sheet1!$E:$E,Sheet1!$C:$C,$A169,Sheet1!$A:$A,N$2)&lt;&gt;0,SUMIFS(Sheet1!$E:$E,Sheet1!$C:$C,$A169,Sheet1!$A:$A,N$2),"")</f>
        <v/>
      </c>
      <c r="O169" s="9" t="str">
        <f>IF(SUMIFS(Sheet1!$E:$E,Sheet1!$C:$C,$A169,Sheet1!$A:$A,O$2)&lt;&gt;0,SUMIFS(Sheet1!$E:$E,Sheet1!$C:$C,$A169,Sheet1!$A:$A,O$2),"")</f>
        <v/>
      </c>
      <c r="P169" s="9" t="str">
        <f>IF(SUMIFS(Sheet1!$E:$E,Sheet1!$C:$C,$A169,Sheet1!$A:$A,P$2)&lt;&gt;0,SUMIFS(Sheet1!$E:$E,Sheet1!$C:$C,$A169,Sheet1!$A:$A,P$2),"")</f>
        <v/>
      </c>
      <c r="Q169" s="9" t="str">
        <f>IF(SUMIFS(Sheet1!$E:$E,Sheet1!$C:$C,$A169,Sheet1!$A:$A,Q$2)&lt;&gt;0,SUMIFS(Sheet1!$E:$E,Sheet1!$C:$C,$A169,Sheet1!$A:$A,Q$2),"")</f>
        <v/>
      </c>
      <c r="R169" s="9" t="str">
        <f>IF(SUMIFS(Sheet1!$E:$E,Sheet1!$C:$C,$A169,Sheet1!$A:$A,R$2)&lt;&gt;0,SUMIFS(Sheet1!$E:$E,Sheet1!$C:$C,$A169,Sheet1!$A:$A,R$2),"")</f>
        <v/>
      </c>
      <c r="S169" s="9" t="str">
        <f>IF(SUMIFS(Sheet1!$E:$E,Sheet1!$C:$C,$A169,Sheet1!$A:$A,S$2)&lt;&gt;0,SUMIFS(Sheet1!$E:$E,Sheet1!$C:$C,$A169,Sheet1!$A:$A,S$2),"")</f>
        <v/>
      </c>
      <c r="T169" s="9" t="str">
        <f>IF(SUMIFS(Sheet1!$E:$E,Sheet1!$C:$C,$A169,Sheet1!$A:$A,T$2)&lt;&gt;0,SUMIFS(Sheet1!$E:$E,Sheet1!$C:$C,$A169,Sheet1!$A:$A,T$2),"")</f>
        <v/>
      </c>
      <c r="U169" s="9" t="str">
        <f>IF(SUMIFS(Sheet1!$E:$E,Sheet1!$C:$C,$A169,Sheet1!$A:$A,U$2)&lt;&gt;0,SUMIFS(Sheet1!$E:$E,Sheet1!$C:$C,$A169,Sheet1!$A:$A,U$2),"")</f>
        <v/>
      </c>
      <c r="V169" s="9" t="str">
        <f>IF(SUMIFS(Sheet1!$E:$E,Sheet1!$C:$C,$A169,Sheet1!$A:$A,V$2)&lt;&gt;0,SUMIFS(Sheet1!$E:$E,Sheet1!$C:$C,$A169,Sheet1!$A:$A,V$2),"")</f>
        <v/>
      </c>
      <c r="W169" s="9" t="str">
        <f>IF(SUMIFS(Sheet1!$E:$E,Sheet1!$C:$C,$A169,Sheet1!$A:$A,W$2)&lt;&gt;0,SUMIFS(Sheet1!$E:$E,Sheet1!$C:$C,$A169,Sheet1!$A:$A,W$2),"")</f>
        <v/>
      </c>
      <c r="X169" s="9" t="str">
        <f>IF(SUMIFS(Sheet1!$E:$E,Sheet1!$C:$C,$A169,Sheet1!$A:$A,X$2)&lt;&gt;0,SUMIFS(Sheet1!$E:$E,Sheet1!$C:$C,$A169,Sheet1!$A:$A,X$2),"")</f>
        <v/>
      </c>
      <c r="Y169" s="9" t="str">
        <f>IF(SUMIFS(Sheet1!$E:$E,Sheet1!$C:$C,$A169,Sheet1!$A:$A,Y$2)&lt;&gt;0,SUMIFS(Sheet1!$E:$E,Sheet1!$C:$C,$A169,Sheet1!$A:$A,Y$2),"")</f>
        <v/>
      </c>
      <c r="Z169" s="9" t="str">
        <f>IF(SUMIFS(Sheet1!$E:$E,Sheet1!$C:$C,$A169,Sheet1!$A:$A,Z$2)&lt;&gt;0,SUMIFS(Sheet1!$E:$E,Sheet1!$C:$C,$A169,Sheet1!$A:$A,Z$2),"")</f>
        <v/>
      </c>
      <c r="AA169" s="9" t="str">
        <f>IF(SUMIFS(Sheet1!$E:$E,Sheet1!$C:$C,$A169,Sheet1!$A:$A,AA$2)&lt;&gt;0,SUMIFS(Sheet1!$E:$E,Sheet1!$C:$C,$A169,Sheet1!$A:$A,AA$2),"")</f>
        <v/>
      </c>
      <c r="AB169" s="9" t="str">
        <f>IF(SUMIFS(Sheet1!$E:$E,Sheet1!$C:$C,$A169,Sheet1!$A:$A,AB$2)&lt;&gt;0,SUMIFS(Sheet1!$E:$E,Sheet1!$C:$C,$A169,Sheet1!$A:$A,AB$2),"")</f>
        <v/>
      </c>
      <c r="AC169" s="9" t="str">
        <f>IF(SUMIFS(Sheet1!$E:$E,Sheet1!$C:$C,$A169,Sheet1!$A:$A,AC$2)&lt;&gt;0,SUMIFS(Sheet1!$E:$E,Sheet1!$C:$C,$A169,Sheet1!$A:$A,AC$2),"")</f>
        <v/>
      </c>
      <c r="AD169" s="9" t="str">
        <f>IF(SUMIFS(Sheet1!$E:$E,Sheet1!$C:$C,$A169,Sheet1!$A:$A,AD$2)&lt;&gt;0,SUMIFS(Sheet1!$E:$E,Sheet1!$C:$C,$A169,Sheet1!$A:$A,AD$2),"")</f>
        <v/>
      </c>
      <c r="AE169" s="9" t="str">
        <f>IF(SUMIFS(Sheet1!$E:$E,Sheet1!$C:$C,$A169,Sheet1!$A:$A,AE$2)&lt;&gt;0,SUMIFS(Sheet1!$E:$E,Sheet1!$C:$C,$A169,Sheet1!$A:$A,AE$2),"")</f>
        <v/>
      </c>
      <c r="AF169" s="9" t="str">
        <f>IF(SUMIFS(Sheet1!$E:$E,Sheet1!$C:$C,$A169,Sheet1!$A:$A,AF$2)&lt;&gt;0,SUMIFS(Sheet1!$E:$E,Sheet1!$C:$C,$A169,Sheet1!$A:$A,AF$2),"")</f>
        <v/>
      </c>
      <c r="AG169" s="9" t="str">
        <f>IF(SUMIFS(Sheet1!$E:$E,Sheet1!$C:$C,$A169,Sheet1!$A:$A,AG$2)&lt;&gt;0,SUMIFS(Sheet1!$E:$E,Sheet1!$C:$C,$A169,Sheet1!$A:$A,AG$2),"")</f>
        <v/>
      </c>
      <c r="AH169" s="47">
        <f>SUM(Table24[[#This Row],[1]:[31]])</f>
        <v>0</v>
      </c>
    </row>
    <row r="170" spans="1:34" ht="12.75" customHeight="1">
      <c r="A170" s="24" t="str">
        <f>DSSP!A169</f>
        <v>GC17</v>
      </c>
      <c r="B170" s="25" t="str">
        <f>DSSP!B169</f>
        <v>Móc điện thoại giả cổ</v>
      </c>
      <c r="C170" s="9" t="str">
        <f>IF(SUMIFS(Sheet1!$E:$E,Sheet1!$C:$C,$A170,Sheet1!$A:$A,C$2)&lt;&gt;0,SUMIFS(Sheet1!$E:$E,Sheet1!$C:$C,$A170,Sheet1!$A:$A,C$2),"")</f>
        <v/>
      </c>
      <c r="D170" s="9" t="str">
        <f>IF(SUMIFS(Sheet1!$E:$E,Sheet1!$C:$C,$A170,Sheet1!$A:$A,D$2)&lt;&gt;0,SUMIFS(Sheet1!$E:$E,Sheet1!$C:$C,$A170,Sheet1!$A:$A,D$2),"")</f>
        <v/>
      </c>
      <c r="E170" s="9" t="str">
        <f>IF(SUMIFS(Sheet1!$E:$E,Sheet1!$C:$C,$A170,Sheet1!$A:$A,E$2)&lt;&gt;0,SUMIFS(Sheet1!$E:$E,Sheet1!$C:$C,$A170,Sheet1!$A:$A,E$2),"")</f>
        <v/>
      </c>
      <c r="F170" s="9" t="str">
        <f>IF(SUMIFS(Sheet1!$E:$E,Sheet1!$C:$C,$A170,Sheet1!$A:$A,F$2)&lt;&gt;0,SUMIFS(Sheet1!$E:$E,Sheet1!$C:$C,$A170,Sheet1!$A:$A,F$2),"")</f>
        <v/>
      </c>
      <c r="G170" s="9" t="str">
        <f>IF(SUMIFS(Sheet1!$E:$E,Sheet1!$C:$C,$A170,Sheet1!$A:$A,G$2)&lt;&gt;0,SUMIFS(Sheet1!$E:$E,Sheet1!$C:$C,$A170,Sheet1!$A:$A,G$2),"")</f>
        <v/>
      </c>
      <c r="H170" s="9" t="str">
        <f>IF(SUMIFS(Sheet1!$E:$E,Sheet1!$C:$C,$A170,Sheet1!$A:$A,H$2)&lt;&gt;0,SUMIFS(Sheet1!$E:$E,Sheet1!$C:$C,$A170,Sheet1!$A:$A,H$2),"")</f>
        <v/>
      </c>
      <c r="I170" s="9" t="str">
        <f>IF(SUMIFS(Sheet1!$E:$E,Sheet1!$C:$C,$A170,Sheet1!$A:$A,I$2)&lt;&gt;0,SUMIFS(Sheet1!$E:$E,Sheet1!$C:$C,$A170,Sheet1!$A:$A,I$2),"")</f>
        <v/>
      </c>
      <c r="J170" s="9" t="str">
        <f>IF(SUMIFS(Sheet1!$E:$E,Sheet1!$C:$C,$A170,Sheet1!$A:$A,J$2)&lt;&gt;0,SUMIFS(Sheet1!$E:$E,Sheet1!$C:$C,$A170,Sheet1!$A:$A,J$2),"")</f>
        <v/>
      </c>
      <c r="K170" s="9" t="str">
        <f>IF(SUMIFS(Sheet1!$E:$E,Sheet1!$C:$C,$A170,Sheet1!$A:$A,K$2)&lt;&gt;0,SUMIFS(Sheet1!$E:$E,Sheet1!$C:$C,$A170,Sheet1!$A:$A,K$2),"")</f>
        <v/>
      </c>
      <c r="L170" s="9" t="str">
        <f>IF(SUMIFS(Sheet1!$E:$E,Sheet1!$C:$C,$A170,Sheet1!$A:$A,L$2)&lt;&gt;0,SUMIFS(Sheet1!$E:$E,Sheet1!$C:$C,$A170,Sheet1!$A:$A,L$2),"")</f>
        <v/>
      </c>
      <c r="M170" s="9" t="str">
        <f>IF(SUMIFS(Sheet1!$E:$E,Sheet1!$C:$C,$A170,Sheet1!$A:$A,M$2)&lt;&gt;0,SUMIFS(Sheet1!$E:$E,Sheet1!$C:$C,$A170,Sheet1!$A:$A,M$2),"")</f>
        <v/>
      </c>
      <c r="N170" s="9" t="str">
        <f>IF(SUMIFS(Sheet1!$E:$E,Sheet1!$C:$C,$A170,Sheet1!$A:$A,N$2)&lt;&gt;0,SUMIFS(Sheet1!$E:$E,Sheet1!$C:$C,$A170,Sheet1!$A:$A,N$2),"")</f>
        <v/>
      </c>
      <c r="O170" s="9" t="str">
        <f>IF(SUMIFS(Sheet1!$E:$E,Sheet1!$C:$C,$A170,Sheet1!$A:$A,O$2)&lt;&gt;0,SUMIFS(Sheet1!$E:$E,Sheet1!$C:$C,$A170,Sheet1!$A:$A,O$2),"")</f>
        <v/>
      </c>
      <c r="P170" s="9" t="str">
        <f>IF(SUMIFS(Sheet1!$E:$E,Sheet1!$C:$C,$A170,Sheet1!$A:$A,P$2)&lt;&gt;0,SUMIFS(Sheet1!$E:$E,Sheet1!$C:$C,$A170,Sheet1!$A:$A,P$2),"")</f>
        <v/>
      </c>
      <c r="Q170" s="9" t="str">
        <f>IF(SUMIFS(Sheet1!$E:$E,Sheet1!$C:$C,$A170,Sheet1!$A:$A,Q$2)&lt;&gt;0,SUMIFS(Sheet1!$E:$E,Sheet1!$C:$C,$A170,Sheet1!$A:$A,Q$2),"")</f>
        <v/>
      </c>
      <c r="R170" s="9" t="str">
        <f>IF(SUMIFS(Sheet1!$E:$E,Sheet1!$C:$C,$A170,Sheet1!$A:$A,R$2)&lt;&gt;0,SUMIFS(Sheet1!$E:$E,Sheet1!$C:$C,$A170,Sheet1!$A:$A,R$2),"")</f>
        <v/>
      </c>
      <c r="S170" s="9" t="str">
        <f>IF(SUMIFS(Sheet1!$E:$E,Sheet1!$C:$C,$A170,Sheet1!$A:$A,S$2)&lt;&gt;0,SUMIFS(Sheet1!$E:$E,Sheet1!$C:$C,$A170,Sheet1!$A:$A,S$2),"")</f>
        <v/>
      </c>
      <c r="T170" s="9" t="str">
        <f>IF(SUMIFS(Sheet1!$E:$E,Sheet1!$C:$C,$A170,Sheet1!$A:$A,T$2)&lt;&gt;0,SUMIFS(Sheet1!$E:$E,Sheet1!$C:$C,$A170,Sheet1!$A:$A,T$2),"")</f>
        <v/>
      </c>
      <c r="U170" s="9" t="str">
        <f>IF(SUMIFS(Sheet1!$E:$E,Sheet1!$C:$C,$A170,Sheet1!$A:$A,U$2)&lt;&gt;0,SUMIFS(Sheet1!$E:$E,Sheet1!$C:$C,$A170,Sheet1!$A:$A,U$2),"")</f>
        <v/>
      </c>
      <c r="V170" s="9" t="str">
        <f>IF(SUMIFS(Sheet1!$E:$E,Sheet1!$C:$C,$A170,Sheet1!$A:$A,V$2)&lt;&gt;0,SUMIFS(Sheet1!$E:$E,Sheet1!$C:$C,$A170,Sheet1!$A:$A,V$2),"")</f>
        <v/>
      </c>
      <c r="W170" s="9" t="str">
        <f>IF(SUMIFS(Sheet1!$E:$E,Sheet1!$C:$C,$A170,Sheet1!$A:$A,W$2)&lt;&gt;0,SUMIFS(Sheet1!$E:$E,Sheet1!$C:$C,$A170,Sheet1!$A:$A,W$2),"")</f>
        <v/>
      </c>
      <c r="X170" s="9" t="str">
        <f>IF(SUMIFS(Sheet1!$E:$E,Sheet1!$C:$C,$A170,Sheet1!$A:$A,X$2)&lt;&gt;0,SUMIFS(Sheet1!$E:$E,Sheet1!$C:$C,$A170,Sheet1!$A:$A,X$2),"")</f>
        <v/>
      </c>
      <c r="Y170" s="9" t="str">
        <f>IF(SUMIFS(Sheet1!$E:$E,Sheet1!$C:$C,$A170,Sheet1!$A:$A,Y$2)&lt;&gt;0,SUMIFS(Sheet1!$E:$E,Sheet1!$C:$C,$A170,Sheet1!$A:$A,Y$2),"")</f>
        <v/>
      </c>
      <c r="Z170" s="9" t="str">
        <f>IF(SUMIFS(Sheet1!$E:$E,Sheet1!$C:$C,$A170,Sheet1!$A:$A,Z$2)&lt;&gt;0,SUMIFS(Sheet1!$E:$E,Sheet1!$C:$C,$A170,Sheet1!$A:$A,Z$2),"")</f>
        <v/>
      </c>
      <c r="AA170" s="9" t="str">
        <f>IF(SUMIFS(Sheet1!$E:$E,Sheet1!$C:$C,$A170,Sheet1!$A:$A,AA$2)&lt;&gt;0,SUMIFS(Sheet1!$E:$E,Sheet1!$C:$C,$A170,Sheet1!$A:$A,AA$2),"")</f>
        <v/>
      </c>
      <c r="AB170" s="9" t="str">
        <f>IF(SUMIFS(Sheet1!$E:$E,Sheet1!$C:$C,$A170,Sheet1!$A:$A,AB$2)&lt;&gt;0,SUMIFS(Sheet1!$E:$E,Sheet1!$C:$C,$A170,Sheet1!$A:$A,AB$2),"")</f>
        <v/>
      </c>
      <c r="AC170" s="9" t="str">
        <f>IF(SUMIFS(Sheet1!$E:$E,Sheet1!$C:$C,$A170,Sheet1!$A:$A,AC$2)&lt;&gt;0,SUMIFS(Sheet1!$E:$E,Sheet1!$C:$C,$A170,Sheet1!$A:$A,AC$2),"")</f>
        <v/>
      </c>
      <c r="AD170" s="9" t="str">
        <f>IF(SUMIFS(Sheet1!$E:$E,Sheet1!$C:$C,$A170,Sheet1!$A:$A,AD$2)&lt;&gt;0,SUMIFS(Sheet1!$E:$E,Sheet1!$C:$C,$A170,Sheet1!$A:$A,AD$2),"")</f>
        <v/>
      </c>
      <c r="AE170" s="9" t="str">
        <f>IF(SUMIFS(Sheet1!$E:$E,Sheet1!$C:$C,$A170,Sheet1!$A:$A,AE$2)&lt;&gt;0,SUMIFS(Sheet1!$E:$E,Sheet1!$C:$C,$A170,Sheet1!$A:$A,AE$2),"")</f>
        <v/>
      </c>
      <c r="AF170" s="9" t="str">
        <f>IF(SUMIFS(Sheet1!$E:$E,Sheet1!$C:$C,$A170,Sheet1!$A:$A,AF$2)&lt;&gt;0,SUMIFS(Sheet1!$E:$E,Sheet1!$C:$C,$A170,Sheet1!$A:$A,AF$2),"")</f>
        <v/>
      </c>
      <c r="AG170" s="9" t="str">
        <f>IF(SUMIFS(Sheet1!$E:$E,Sheet1!$C:$C,$A170,Sheet1!$A:$A,AG$2)&lt;&gt;0,SUMIFS(Sheet1!$E:$E,Sheet1!$C:$C,$A170,Sheet1!$A:$A,AG$2),"")</f>
        <v/>
      </c>
      <c r="AH170" s="47">
        <f>SUM(Table24[[#This Row],[1]:[31]])</f>
        <v>0</v>
      </c>
    </row>
    <row r="171" spans="1:34" ht="12.75" customHeight="1">
      <c r="A171" s="24" t="str">
        <f>DSSP!A170</f>
        <v>GC18</v>
      </c>
      <c r="B171" s="25" t="str">
        <f>DSSP!B170</f>
        <v>Đinh tán</v>
      </c>
      <c r="C171" s="9" t="str">
        <f>IF(SUMIFS(Sheet1!$E:$E,Sheet1!$C:$C,$A171,Sheet1!$A:$A,C$2)&lt;&gt;0,SUMIFS(Sheet1!$E:$E,Sheet1!$C:$C,$A171,Sheet1!$A:$A,C$2),"")</f>
        <v/>
      </c>
      <c r="D171" s="9" t="str">
        <f>IF(SUMIFS(Sheet1!$E:$E,Sheet1!$C:$C,$A171,Sheet1!$A:$A,D$2)&lt;&gt;0,SUMIFS(Sheet1!$E:$E,Sheet1!$C:$C,$A171,Sheet1!$A:$A,D$2),"")</f>
        <v/>
      </c>
      <c r="E171" s="9" t="str">
        <f>IF(SUMIFS(Sheet1!$E:$E,Sheet1!$C:$C,$A171,Sheet1!$A:$A,E$2)&lt;&gt;0,SUMIFS(Sheet1!$E:$E,Sheet1!$C:$C,$A171,Sheet1!$A:$A,E$2),"")</f>
        <v/>
      </c>
      <c r="F171" s="9" t="str">
        <f>IF(SUMIFS(Sheet1!$E:$E,Sheet1!$C:$C,$A171,Sheet1!$A:$A,F$2)&lt;&gt;0,SUMIFS(Sheet1!$E:$E,Sheet1!$C:$C,$A171,Sheet1!$A:$A,F$2),"")</f>
        <v/>
      </c>
      <c r="G171" s="9" t="str">
        <f>IF(SUMIFS(Sheet1!$E:$E,Sheet1!$C:$C,$A171,Sheet1!$A:$A,G$2)&lt;&gt;0,SUMIFS(Sheet1!$E:$E,Sheet1!$C:$C,$A171,Sheet1!$A:$A,G$2),"")</f>
        <v/>
      </c>
      <c r="H171" s="9" t="str">
        <f>IF(SUMIFS(Sheet1!$E:$E,Sheet1!$C:$C,$A171,Sheet1!$A:$A,H$2)&lt;&gt;0,SUMIFS(Sheet1!$E:$E,Sheet1!$C:$C,$A171,Sheet1!$A:$A,H$2),"")</f>
        <v/>
      </c>
      <c r="I171" s="9" t="str">
        <f>IF(SUMIFS(Sheet1!$E:$E,Sheet1!$C:$C,$A171,Sheet1!$A:$A,I$2)&lt;&gt;0,SUMIFS(Sheet1!$E:$E,Sheet1!$C:$C,$A171,Sheet1!$A:$A,I$2),"")</f>
        <v/>
      </c>
      <c r="J171" s="9" t="str">
        <f>IF(SUMIFS(Sheet1!$E:$E,Sheet1!$C:$C,$A171,Sheet1!$A:$A,J$2)&lt;&gt;0,SUMIFS(Sheet1!$E:$E,Sheet1!$C:$C,$A171,Sheet1!$A:$A,J$2),"")</f>
        <v/>
      </c>
      <c r="K171" s="9" t="str">
        <f>IF(SUMIFS(Sheet1!$E:$E,Sheet1!$C:$C,$A171,Sheet1!$A:$A,K$2)&lt;&gt;0,SUMIFS(Sheet1!$E:$E,Sheet1!$C:$C,$A171,Sheet1!$A:$A,K$2),"")</f>
        <v/>
      </c>
      <c r="L171" s="9" t="str">
        <f>IF(SUMIFS(Sheet1!$E:$E,Sheet1!$C:$C,$A171,Sheet1!$A:$A,L$2)&lt;&gt;0,SUMIFS(Sheet1!$E:$E,Sheet1!$C:$C,$A171,Sheet1!$A:$A,L$2),"")</f>
        <v/>
      </c>
      <c r="M171" s="9" t="str">
        <f>IF(SUMIFS(Sheet1!$E:$E,Sheet1!$C:$C,$A171,Sheet1!$A:$A,M$2)&lt;&gt;0,SUMIFS(Sheet1!$E:$E,Sheet1!$C:$C,$A171,Sheet1!$A:$A,M$2),"")</f>
        <v/>
      </c>
      <c r="N171" s="9" t="str">
        <f>IF(SUMIFS(Sheet1!$E:$E,Sheet1!$C:$C,$A171,Sheet1!$A:$A,N$2)&lt;&gt;0,SUMIFS(Sheet1!$E:$E,Sheet1!$C:$C,$A171,Sheet1!$A:$A,N$2),"")</f>
        <v/>
      </c>
      <c r="O171" s="9" t="str">
        <f>IF(SUMIFS(Sheet1!$E:$E,Sheet1!$C:$C,$A171,Sheet1!$A:$A,O$2)&lt;&gt;0,SUMIFS(Sheet1!$E:$E,Sheet1!$C:$C,$A171,Sheet1!$A:$A,O$2),"")</f>
        <v/>
      </c>
      <c r="P171" s="9" t="str">
        <f>IF(SUMIFS(Sheet1!$E:$E,Sheet1!$C:$C,$A171,Sheet1!$A:$A,P$2)&lt;&gt;0,SUMIFS(Sheet1!$E:$E,Sheet1!$C:$C,$A171,Sheet1!$A:$A,P$2),"")</f>
        <v/>
      </c>
      <c r="Q171" s="9" t="str">
        <f>IF(SUMIFS(Sheet1!$E:$E,Sheet1!$C:$C,$A171,Sheet1!$A:$A,Q$2)&lt;&gt;0,SUMIFS(Sheet1!$E:$E,Sheet1!$C:$C,$A171,Sheet1!$A:$A,Q$2),"")</f>
        <v/>
      </c>
      <c r="R171" s="9" t="str">
        <f>IF(SUMIFS(Sheet1!$E:$E,Sheet1!$C:$C,$A171,Sheet1!$A:$A,R$2)&lt;&gt;0,SUMIFS(Sheet1!$E:$E,Sheet1!$C:$C,$A171,Sheet1!$A:$A,R$2),"")</f>
        <v/>
      </c>
      <c r="S171" s="9" t="str">
        <f>IF(SUMIFS(Sheet1!$E:$E,Sheet1!$C:$C,$A171,Sheet1!$A:$A,S$2)&lt;&gt;0,SUMIFS(Sheet1!$E:$E,Sheet1!$C:$C,$A171,Sheet1!$A:$A,S$2),"")</f>
        <v/>
      </c>
      <c r="T171" s="9" t="str">
        <f>IF(SUMIFS(Sheet1!$E:$E,Sheet1!$C:$C,$A171,Sheet1!$A:$A,T$2)&lt;&gt;0,SUMIFS(Sheet1!$E:$E,Sheet1!$C:$C,$A171,Sheet1!$A:$A,T$2),"")</f>
        <v/>
      </c>
      <c r="U171" s="9" t="str">
        <f>IF(SUMIFS(Sheet1!$E:$E,Sheet1!$C:$C,$A171,Sheet1!$A:$A,U$2)&lt;&gt;0,SUMIFS(Sheet1!$E:$E,Sheet1!$C:$C,$A171,Sheet1!$A:$A,U$2),"")</f>
        <v/>
      </c>
      <c r="V171" s="9" t="str">
        <f>IF(SUMIFS(Sheet1!$E:$E,Sheet1!$C:$C,$A171,Sheet1!$A:$A,V$2)&lt;&gt;0,SUMIFS(Sheet1!$E:$E,Sheet1!$C:$C,$A171,Sheet1!$A:$A,V$2),"")</f>
        <v/>
      </c>
      <c r="W171" s="9" t="str">
        <f>IF(SUMIFS(Sheet1!$E:$E,Sheet1!$C:$C,$A171,Sheet1!$A:$A,W$2)&lt;&gt;0,SUMIFS(Sheet1!$E:$E,Sheet1!$C:$C,$A171,Sheet1!$A:$A,W$2),"")</f>
        <v/>
      </c>
      <c r="X171" s="9" t="str">
        <f>IF(SUMIFS(Sheet1!$E:$E,Sheet1!$C:$C,$A171,Sheet1!$A:$A,X$2)&lt;&gt;0,SUMIFS(Sheet1!$E:$E,Sheet1!$C:$C,$A171,Sheet1!$A:$A,X$2),"")</f>
        <v/>
      </c>
      <c r="Y171" s="9" t="str">
        <f>IF(SUMIFS(Sheet1!$E:$E,Sheet1!$C:$C,$A171,Sheet1!$A:$A,Y$2)&lt;&gt;0,SUMIFS(Sheet1!$E:$E,Sheet1!$C:$C,$A171,Sheet1!$A:$A,Y$2),"")</f>
        <v/>
      </c>
      <c r="Z171" s="9" t="str">
        <f>IF(SUMIFS(Sheet1!$E:$E,Sheet1!$C:$C,$A171,Sheet1!$A:$A,Z$2)&lt;&gt;0,SUMIFS(Sheet1!$E:$E,Sheet1!$C:$C,$A171,Sheet1!$A:$A,Z$2),"")</f>
        <v/>
      </c>
      <c r="AA171" s="9" t="str">
        <f>IF(SUMIFS(Sheet1!$E:$E,Sheet1!$C:$C,$A171,Sheet1!$A:$A,AA$2)&lt;&gt;0,SUMIFS(Sheet1!$E:$E,Sheet1!$C:$C,$A171,Sheet1!$A:$A,AA$2),"")</f>
        <v/>
      </c>
      <c r="AB171" s="9" t="str">
        <f>IF(SUMIFS(Sheet1!$E:$E,Sheet1!$C:$C,$A171,Sheet1!$A:$A,AB$2)&lt;&gt;0,SUMIFS(Sheet1!$E:$E,Sheet1!$C:$C,$A171,Sheet1!$A:$A,AB$2),"")</f>
        <v/>
      </c>
      <c r="AC171" s="9" t="str">
        <f>IF(SUMIFS(Sheet1!$E:$E,Sheet1!$C:$C,$A171,Sheet1!$A:$A,AC$2)&lt;&gt;0,SUMIFS(Sheet1!$E:$E,Sheet1!$C:$C,$A171,Sheet1!$A:$A,AC$2),"")</f>
        <v/>
      </c>
      <c r="AD171" s="9" t="str">
        <f>IF(SUMIFS(Sheet1!$E:$E,Sheet1!$C:$C,$A171,Sheet1!$A:$A,AD$2)&lt;&gt;0,SUMIFS(Sheet1!$E:$E,Sheet1!$C:$C,$A171,Sheet1!$A:$A,AD$2),"")</f>
        <v/>
      </c>
      <c r="AE171" s="9" t="str">
        <f>IF(SUMIFS(Sheet1!$E:$E,Sheet1!$C:$C,$A171,Sheet1!$A:$A,AE$2)&lt;&gt;0,SUMIFS(Sheet1!$E:$E,Sheet1!$C:$C,$A171,Sheet1!$A:$A,AE$2),"")</f>
        <v/>
      </c>
      <c r="AF171" s="9" t="str">
        <f>IF(SUMIFS(Sheet1!$E:$E,Sheet1!$C:$C,$A171,Sheet1!$A:$A,AF$2)&lt;&gt;0,SUMIFS(Sheet1!$E:$E,Sheet1!$C:$C,$A171,Sheet1!$A:$A,AF$2),"")</f>
        <v/>
      </c>
      <c r="AG171" s="9" t="str">
        <f>IF(SUMIFS(Sheet1!$E:$E,Sheet1!$C:$C,$A171,Sheet1!$A:$A,AG$2)&lt;&gt;0,SUMIFS(Sheet1!$E:$E,Sheet1!$C:$C,$A171,Sheet1!$A:$A,AG$2),"")</f>
        <v/>
      </c>
      <c r="AH171" s="47">
        <f>SUM(Table24[[#This Row],[1]:[31]])</f>
        <v>0</v>
      </c>
    </row>
    <row r="172" spans="1:34" ht="12.75" customHeight="1">
      <c r="A172" s="24" t="str">
        <f>DSSP!A171</f>
        <v>GC19</v>
      </c>
      <c r="B172" s="25" t="str">
        <f>DSSP!B171</f>
        <v>Mặt chữ</v>
      </c>
      <c r="C172" s="9">
        <f>IF(SUMIFS(Sheet1!$E:$E,Sheet1!$C:$C,$A172,Sheet1!$A:$A,C$2)&lt;&gt;0,SUMIFS(Sheet1!$E:$E,Sheet1!$C:$C,$A172,Sheet1!$A:$A,C$2),"")</f>
        <v>1242</v>
      </c>
      <c r="D172" s="9" t="str">
        <f>IF(SUMIFS(Sheet1!$E:$E,Sheet1!$C:$C,$A172,Sheet1!$A:$A,D$2)&lt;&gt;0,SUMIFS(Sheet1!$E:$E,Sheet1!$C:$C,$A172,Sheet1!$A:$A,D$2),"")</f>
        <v/>
      </c>
      <c r="E172" s="9" t="str">
        <f>IF(SUMIFS(Sheet1!$E:$E,Sheet1!$C:$C,$A172,Sheet1!$A:$A,E$2)&lt;&gt;0,SUMIFS(Sheet1!$E:$E,Sheet1!$C:$C,$A172,Sheet1!$A:$A,E$2),"")</f>
        <v/>
      </c>
      <c r="F172" s="9" t="str">
        <f>IF(SUMIFS(Sheet1!$E:$E,Sheet1!$C:$C,$A172,Sheet1!$A:$A,F$2)&lt;&gt;0,SUMIFS(Sheet1!$E:$E,Sheet1!$C:$C,$A172,Sheet1!$A:$A,F$2),"")</f>
        <v/>
      </c>
      <c r="G172" s="9" t="str">
        <f>IF(SUMIFS(Sheet1!$E:$E,Sheet1!$C:$C,$A172,Sheet1!$A:$A,G$2)&lt;&gt;0,SUMIFS(Sheet1!$E:$E,Sheet1!$C:$C,$A172,Sheet1!$A:$A,G$2),"")</f>
        <v/>
      </c>
      <c r="H172" s="9" t="str">
        <f>IF(SUMIFS(Sheet1!$E:$E,Sheet1!$C:$C,$A172,Sheet1!$A:$A,H$2)&lt;&gt;0,SUMIFS(Sheet1!$E:$E,Sheet1!$C:$C,$A172,Sheet1!$A:$A,H$2),"")</f>
        <v/>
      </c>
      <c r="I172" s="9" t="str">
        <f>IF(SUMIFS(Sheet1!$E:$E,Sheet1!$C:$C,$A172,Sheet1!$A:$A,I$2)&lt;&gt;0,SUMIFS(Sheet1!$E:$E,Sheet1!$C:$C,$A172,Sheet1!$A:$A,I$2),"")</f>
        <v/>
      </c>
      <c r="J172" s="9" t="str">
        <f>IF(SUMIFS(Sheet1!$E:$E,Sheet1!$C:$C,$A172,Sheet1!$A:$A,J$2)&lt;&gt;0,SUMIFS(Sheet1!$E:$E,Sheet1!$C:$C,$A172,Sheet1!$A:$A,J$2),"")</f>
        <v/>
      </c>
      <c r="K172" s="9" t="str">
        <f>IF(SUMIFS(Sheet1!$E:$E,Sheet1!$C:$C,$A172,Sheet1!$A:$A,K$2)&lt;&gt;0,SUMIFS(Sheet1!$E:$E,Sheet1!$C:$C,$A172,Sheet1!$A:$A,K$2),"")</f>
        <v/>
      </c>
      <c r="L172" s="9" t="str">
        <f>IF(SUMIFS(Sheet1!$E:$E,Sheet1!$C:$C,$A172,Sheet1!$A:$A,L$2)&lt;&gt;0,SUMIFS(Sheet1!$E:$E,Sheet1!$C:$C,$A172,Sheet1!$A:$A,L$2),"")</f>
        <v/>
      </c>
      <c r="M172" s="9" t="str">
        <f>IF(SUMIFS(Sheet1!$E:$E,Sheet1!$C:$C,$A172,Sheet1!$A:$A,M$2)&lt;&gt;0,SUMIFS(Sheet1!$E:$E,Sheet1!$C:$C,$A172,Sheet1!$A:$A,M$2),"")</f>
        <v/>
      </c>
      <c r="N172" s="9" t="str">
        <f>IF(SUMIFS(Sheet1!$E:$E,Sheet1!$C:$C,$A172,Sheet1!$A:$A,N$2)&lt;&gt;0,SUMIFS(Sheet1!$E:$E,Sheet1!$C:$C,$A172,Sheet1!$A:$A,N$2),"")</f>
        <v/>
      </c>
      <c r="O172" s="9" t="str">
        <f>IF(SUMIFS(Sheet1!$E:$E,Sheet1!$C:$C,$A172,Sheet1!$A:$A,O$2)&lt;&gt;0,SUMIFS(Sheet1!$E:$E,Sheet1!$C:$C,$A172,Sheet1!$A:$A,O$2),"")</f>
        <v/>
      </c>
      <c r="P172" s="9" t="str">
        <f>IF(SUMIFS(Sheet1!$E:$E,Sheet1!$C:$C,$A172,Sheet1!$A:$A,P$2)&lt;&gt;0,SUMIFS(Sheet1!$E:$E,Sheet1!$C:$C,$A172,Sheet1!$A:$A,P$2),"")</f>
        <v/>
      </c>
      <c r="Q172" s="9" t="str">
        <f>IF(SUMIFS(Sheet1!$E:$E,Sheet1!$C:$C,$A172,Sheet1!$A:$A,Q$2)&lt;&gt;0,SUMIFS(Sheet1!$E:$E,Sheet1!$C:$C,$A172,Sheet1!$A:$A,Q$2),"")</f>
        <v/>
      </c>
      <c r="R172" s="9" t="str">
        <f>IF(SUMIFS(Sheet1!$E:$E,Sheet1!$C:$C,$A172,Sheet1!$A:$A,R$2)&lt;&gt;0,SUMIFS(Sheet1!$E:$E,Sheet1!$C:$C,$A172,Sheet1!$A:$A,R$2),"")</f>
        <v/>
      </c>
      <c r="S172" s="9" t="str">
        <f>IF(SUMIFS(Sheet1!$E:$E,Sheet1!$C:$C,$A172,Sheet1!$A:$A,S$2)&lt;&gt;0,SUMIFS(Sheet1!$E:$E,Sheet1!$C:$C,$A172,Sheet1!$A:$A,S$2),"")</f>
        <v/>
      </c>
      <c r="T172" s="9" t="str">
        <f>IF(SUMIFS(Sheet1!$E:$E,Sheet1!$C:$C,$A172,Sheet1!$A:$A,T$2)&lt;&gt;0,SUMIFS(Sheet1!$E:$E,Sheet1!$C:$C,$A172,Sheet1!$A:$A,T$2),"")</f>
        <v/>
      </c>
      <c r="U172" s="9" t="str">
        <f>IF(SUMIFS(Sheet1!$E:$E,Sheet1!$C:$C,$A172,Sheet1!$A:$A,U$2)&lt;&gt;0,SUMIFS(Sheet1!$E:$E,Sheet1!$C:$C,$A172,Sheet1!$A:$A,U$2),"")</f>
        <v/>
      </c>
      <c r="V172" s="9" t="str">
        <f>IF(SUMIFS(Sheet1!$E:$E,Sheet1!$C:$C,$A172,Sheet1!$A:$A,V$2)&lt;&gt;0,SUMIFS(Sheet1!$E:$E,Sheet1!$C:$C,$A172,Sheet1!$A:$A,V$2),"")</f>
        <v/>
      </c>
      <c r="W172" s="9" t="str">
        <f>IF(SUMIFS(Sheet1!$E:$E,Sheet1!$C:$C,$A172,Sheet1!$A:$A,W$2)&lt;&gt;0,SUMIFS(Sheet1!$E:$E,Sheet1!$C:$C,$A172,Sheet1!$A:$A,W$2),"")</f>
        <v/>
      </c>
      <c r="X172" s="9" t="str">
        <f>IF(SUMIFS(Sheet1!$E:$E,Sheet1!$C:$C,$A172,Sheet1!$A:$A,X$2)&lt;&gt;0,SUMIFS(Sheet1!$E:$E,Sheet1!$C:$C,$A172,Sheet1!$A:$A,X$2),"")</f>
        <v/>
      </c>
      <c r="Y172" s="9" t="str">
        <f>IF(SUMIFS(Sheet1!$E:$E,Sheet1!$C:$C,$A172,Sheet1!$A:$A,Y$2)&lt;&gt;0,SUMIFS(Sheet1!$E:$E,Sheet1!$C:$C,$A172,Sheet1!$A:$A,Y$2),"")</f>
        <v/>
      </c>
      <c r="Z172" s="9" t="str">
        <f>IF(SUMIFS(Sheet1!$E:$E,Sheet1!$C:$C,$A172,Sheet1!$A:$A,Z$2)&lt;&gt;0,SUMIFS(Sheet1!$E:$E,Sheet1!$C:$C,$A172,Sheet1!$A:$A,Z$2),"")</f>
        <v/>
      </c>
      <c r="AA172" s="9" t="str">
        <f>IF(SUMIFS(Sheet1!$E:$E,Sheet1!$C:$C,$A172,Sheet1!$A:$A,AA$2)&lt;&gt;0,SUMIFS(Sheet1!$E:$E,Sheet1!$C:$C,$A172,Sheet1!$A:$A,AA$2),"")</f>
        <v/>
      </c>
      <c r="AB172" s="9" t="str">
        <f>IF(SUMIFS(Sheet1!$E:$E,Sheet1!$C:$C,$A172,Sheet1!$A:$A,AB$2)&lt;&gt;0,SUMIFS(Sheet1!$E:$E,Sheet1!$C:$C,$A172,Sheet1!$A:$A,AB$2),"")</f>
        <v/>
      </c>
      <c r="AC172" s="9" t="str">
        <f>IF(SUMIFS(Sheet1!$E:$E,Sheet1!$C:$C,$A172,Sheet1!$A:$A,AC$2)&lt;&gt;0,SUMIFS(Sheet1!$E:$E,Sheet1!$C:$C,$A172,Sheet1!$A:$A,AC$2),"")</f>
        <v/>
      </c>
      <c r="AD172" s="9" t="str">
        <f>IF(SUMIFS(Sheet1!$E:$E,Sheet1!$C:$C,$A172,Sheet1!$A:$A,AD$2)&lt;&gt;0,SUMIFS(Sheet1!$E:$E,Sheet1!$C:$C,$A172,Sheet1!$A:$A,AD$2),"")</f>
        <v/>
      </c>
      <c r="AE172" s="9" t="str">
        <f>IF(SUMIFS(Sheet1!$E:$E,Sheet1!$C:$C,$A172,Sheet1!$A:$A,AE$2)&lt;&gt;0,SUMIFS(Sheet1!$E:$E,Sheet1!$C:$C,$A172,Sheet1!$A:$A,AE$2),"")</f>
        <v/>
      </c>
      <c r="AF172" s="9" t="str">
        <f>IF(SUMIFS(Sheet1!$E:$E,Sheet1!$C:$C,$A172,Sheet1!$A:$A,AF$2)&lt;&gt;0,SUMIFS(Sheet1!$E:$E,Sheet1!$C:$C,$A172,Sheet1!$A:$A,AF$2),"")</f>
        <v/>
      </c>
      <c r="AG172" s="9" t="str">
        <f>IF(SUMIFS(Sheet1!$E:$E,Sheet1!$C:$C,$A172,Sheet1!$A:$A,AG$2)&lt;&gt;0,SUMIFS(Sheet1!$E:$E,Sheet1!$C:$C,$A172,Sheet1!$A:$A,AG$2),"")</f>
        <v/>
      </c>
      <c r="AH172" s="47">
        <f>SUM(Table24[[#This Row],[1]:[31]])</f>
        <v>1242</v>
      </c>
    </row>
    <row r="173" spans="1:34" ht="12.75" customHeight="1">
      <c r="A173" s="24" t="str">
        <f>DSSP!A172</f>
        <v>GC20</v>
      </c>
      <c r="B173" s="25" t="str">
        <f>DSSP!B172</f>
        <v>Mặt số</v>
      </c>
      <c r="C173" s="9">
        <f>IF(SUMIFS(Sheet1!$E:$E,Sheet1!$C:$C,$A173,Sheet1!$A:$A,C$2)&lt;&gt;0,SUMIFS(Sheet1!$E:$E,Sheet1!$C:$C,$A173,Sheet1!$A:$A,C$2),"")</f>
        <v>325</v>
      </c>
      <c r="D173" s="9" t="str">
        <f>IF(SUMIFS(Sheet1!$E:$E,Sheet1!$C:$C,$A173,Sheet1!$A:$A,D$2)&lt;&gt;0,SUMIFS(Sheet1!$E:$E,Sheet1!$C:$C,$A173,Sheet1!$A:$A,D$2),"")</f>
        <v/>
      </c>
      <c r="E173" s="9" t="str">
        <f>IF(SUMIFS(Sheet1!$E:$E,Sheet1!$C:$C,$A173,Sheet1!$A:$A,E$2)&lt;&gt;0,SUMIFS(Sheet1!$E:$E,Sheet1!$C:$C,$A173,Sheet1!$A:$A,E$2),"")</f>
        <v/>
      </c>
      <c r="F173" s="9" t="str">
        <f>IF(SUMIFS(Sheet1!$E:$E,Sheet1!$C:$C,$A173,Sheet1!$A:$A,F$2)&lt;&gt;0,SUMIFS(Sheet1!$E:$E,Sheet1!$C:$C,$A173,Sheet1!$A:$A,F$2),"")</f>
        <v/>
      </c>
      <c r="G173" s="9" t="str">
        <f>IF(SUMIFS(Sheet1!$E:$E,Sheet1!$C:$C,$A173,Sheet1!$A:$A,G$2)&lt;&gt;0,SUMIFS(Sheet1!$E:$E,Sheet1!$C:$C,$A173,Sheet1!$A:$A,G$2),"")</f>
        <v/>
      </c>
      <c r="H173" s="9" t="str">
        <f>IF(SUMIFS(Sheet1!$E:$E,Sheet1!$C:$C,$A173,Sheet1!$A:$A,H$2)&lt;&gt;0,SUMIFS(Sheet1!$E:$E,Sheet1!$C:$C,$A173,Sheet1!$A:$A,H$2),"")</f>
        <v/>
      </c>
      <c r="I173" s="9" t="str">
        <f>IF(SUMIFS(Sheet1!$E:$E,Sheet1!$C:$C,$A173,Sheet1!$A:$A,I$2)&lt;&gt;0,SUMIFS(Sheet1!$E:$E,Sheet1!$C:$C,$A173,Sheet1!$A:$A,I$2),"")</f>
        <v/>
      </c>
      <c r="J173" s="9" t="str">
        <f>IF(SUMIFS(Sheet1!$E:$E,Sheet1!$C:$C,$A173,Sheet1!$A:$A,J$2)&lt;&gt;0,SUMIFS(Sheet1!$E:$E,Sheet1!$C:$C,$A173,Sheet1!$A:$A,J$2),"")</f>
        <v/>
      </c>
      <c r="K173" s="9" t="str">
        <f>IF(SUMIFS(Sheet1!$E:$E,Sheet1!$C:$C,$A173,Sheet1!$A:$A,K$2)&lt;&gt;0,SUMIFS(Sheet1!$E:$E,Sheet1!$C:$C,$A173,Sheet1!$A:$A,K$2),"")</f>
        <v/>
      </c>
      <c r="L173" s="9" t="str">
        <f>IF(SUMIFS(Sheet1!$E:$E,Sheet1!$C:$C,$A173,Sheet1!$A:$A,L$2)&lt;&gt;0,SUMIFS(Sheet1!$E:$E,Sheet1!$C:$C,$A173,Sheet1!$A:$A,L$2),"")</f>
        <v/>
      </c>
      <c r="M173" s="9" t="str">
        <f>IF(SUMIFS(Sheet1!$E:$E,Sheet1!$C:$C,$A173,Sheet1!$A:$A,M$2)&lt;&gt;0,SUMIFS(Sheet1!$E:$E,Sheet1!$C:$C,$A173,Sheet1!$A:$A,M$2),"")</f>
        <v/>
      </c>
      <c r="N173" s="9" t="str">
        <f>IF(SUMIFS(Sheet1!$E:$E,Sheet1!$C:$C,$A173,Sheet1!$A:$A,N$2)&lt;&gt;0,SUMIFS(Sheet1!$E:$E,Sheet1!$C:$C,$A173,Sheet1!$A:$A,N$2),"")</f>
        <v/>
      </c>
      <c r="O173" s="9" t="str">
        <f>IF(SUMIFS(Sheet1!$E:$E,Sheet1!$C:$C,$A173,Sheet1!$A:$A,O$2)&lt;&gt;0,SUMIFS(Sheet1!$E:$E,Sheet1!$C:$C,$A173,Sheet1!$A:$A,O$2),"")</f>
        <v/>
      </c>
      <c r="P173" s="9" t="str">
        <f>IF(SUMIFS(Sheet1!$E:$E,Sheet1!$C:$C,$A173,Sheet1!$A:$A,P$2)&lt;&gt;0,SUMIFS(Sheet1!$E:$E,Sheet1!$C:$C,$A173,Sheet1!$A:$A,P$2),"")</f>
        <v/>
      </c>
      <c r="Q173" s="9" t="str">
        <f>IF(SUMIFS(Sheet1!$E:$E,Sheet1!$C:$C,$A173,Sheet1!$A:$A,Q$2)&lt;&gt;0,SUMIFS(Sheet1!$E:$E,Sheet1!$C:$C,$A173,Sheet1!$A:$A,Q$2),"")</f>
        <v/>
      </c>
      <c r="R173" s="9" t="str">
        <f>IF(SUMIFS(Sheet1!$E:$E,Sheet1!$C:$C,$A173,Sheet1!$A:$A,R$2)&lt;&gt;0,SUMIFS(Sheet1!$E:$E,Sheet1!$C:$C,$A173,Sheet1!$A:$A,R$2),"")</f>
        <v/>
      </c>
      <c r="S173" s="9" t="str">
        <f>IF(SUMIFS(Sheet1!$E:$E,Sheet1!$C:$C,$A173,Sheet1!$A:$A,S$2)&lt;&gt;0,SUMIFS(Sheet1!$E:$E,Sheet1!$C:$C,$A173,Sheet1!$A:$A,S$2),"")</f>
        <v/>
      </c>
      <c r="T173" s="9" t="str">
        <f>IF(SUMIFS(Sheet1!$E:$E,Sheet1!$C:$C,$A173,Sheet1!$A:$A,T$2)&lt;&gt;0,SUMIFS(Sheet1!$E:$E,Sheet1!$C:$C,$A173,Sheet1!$A:$A,T$2),"")</f>
        <v/>
      </c>
      <c r="U173" s="9" t="str">
        <f>IF(SUMIFS(Sheet1!$E:$E,Sheet1!$C:$C,$A173,Sheet1!$A:$A,U$2)&lt;&gt;0,SUMIFS(Sheet1!$E:$E,Sheet1!$C:$C,$A173,Sheet1!$A:$A,U$2),"")</f>
        <v/>
      </c>
      <c r="V173" s="9" t="str">
        <f>IF(SUMIFS(Sheet1!$E:$E,Sheet1!$C:$C,$A173,Sheet1!$A:$A,V$2)&lt;&gt;0,SUMIFS(Sheet1!$E:$E,Sheet1!$C:$C,$A173,Sheet1!$A:$A,V$2),"")</f>
        <v/>
      </c>
      <c r="W173" s="9" t="str">
        <f>IF(SUMIFS(Sheet1!$E:$E,Sheet1!$C:$C,$A173,Sheet1!$A:$A,W$2)&lt;&gt;0,SUMIFS(Sheet1!$E:$E,Sheet1!$C:$C,$A173,Sheet1!$A:$A,W$2),"")</f>
        <v/>
      </c>
      <c r="X173" s="9" t="str">
        <f>IF(SUMIFS(Sheet1!$E:$E,Sheet1!$C:$C,$A173,Sheet1!$A:$A,X$2)&lt;&gt;0,SUMIFS(Sheet1!$E:$E,Sheet1!$C:$C,$A173,Sheet1!$A:$A,X$2),"")</f>
        <v/>
      </c>
      <c r="Y173" s="9" t="str">
        <f>IF(SUMIFS(Sheet1!$E:$E,Sheet1!$C:$C,$A173,Sheet1!$A:$A,Y$2)&lt;&gt;0,SUMIFS(Sheet1!$E:$E,Sheet1!$C:$C,$A173,Sheet1!$A:$A,Y$2),"")</f>
        <v/>
      </c>
      <c r="Z173" s="9" t="str">
        <f>IF(SUMIFS(Sheet1!$E:$E,Sheet1!$C:$C,$A173,Sheet1!$A:$A,Z$2)&lt;&gt;0,SUMIFS(Sheet1!$E:$E,Sheet1!$C:$C,$A173,Sheet1!$A:$A,Z$2),"")</f>
        <v/>
      </c>
      <c r="AA173" s="9" t="str">
        <f>IF(SUMIFS(Sheet1!$E:$E,Sheet1!$C:$C,$A173,Sheet1!$A:$A,AA$2)&lt;&gt;0,SUMIFS(Sheet1!$E:$E,Sheet1!$C:$C,$A173,Sheet1!$A:$A,AA$2),"")</f>
        <v/>
      </c>
      <c r="AB173" s="9" t="str">
        <f>IF(SUMIFS(Sheet1!$E:$E,Sheet1!$C:$C,$A173,Sheet1!$A:$A,AB$2)&lt;&gt;0,SUMIFS(Sheet1!$E:$E,Sheet1!$C:$C,$A173,Sheet1!$A:$A,AB$2),"")</f>
        <v/>
      </c>
      <c r="AC173" s="9" t="str">
        <f>IF(SUMIFS(Sheet1!$E:$E,Sheet1!$C:$C,$A173,Sheet1!$A:$A,AC$2)&lt;&gt;0,SUMIFS(Sheet1!$E:$E,Sheet1!$C:$C,$A173,Sheet1!$A:$A,AC$2),"")</f>
        <v/>
      </c>
      <c r="AD173" s="9" t="str">
        <f>IF(SUMIFS(Sheet1!$E:$E,Sheet1!$C:$C,$A173,Sheet1!$A:$A,AD$2)&lt;&gt;0,SUMIFS(Sheet1!$E:$E,Sheet1!$C:$C,$A173,Sheet1!$A:$A,AD$2),"")</f>
        <v/>
      </c>
      <c r="AE173" s="9" t="str">
        <f>IF(SUMIFS(Sheet1!$E:$E,Sheet1!$C:$C,$A173,Sheet1!$A:$A,AE$2)&lt;&gt;0,SUMIFS(Sheet1!$E:$E,Sheet1!$C:$C,$A173,Sheet1!$A:$A,AE$2),"")</f>
        <v/>
      </c>
      <c r="AF173" s="9" t="str">
        <f>IF(SUMIFS(Sheet1!$E:$E,Sheet1!$C:$C,$A173,Sheet1!$A:$A,AF$2)&lt;&gt;0,SUMIFS(Sheet1!$E:$E,Sheet1!$C:$C,$A173,Sheet1!$A:$A,AF$2),"")</f>
        <v/>
      </c>
      <c r="AG173" s="9" t="str">
        <f>IF(SUMIFS(Sheet1!$E:$E,Sheet1!$C:$C,$A173,Sheet1!$A:$A,AG$2)&lt;&gt;0,SUMIFS(Sheet1!$E:$E,Sheet1!$C:$C,$A173,Sheet1!$A:$A,AG$2),"")</f>
        <v/>
      </c>
      <c r="AH173" s="47">
        <f>SUM(Table24[[#This Row],[1]:[31]])</f>
        <v>325</v>
      </c>
    </row>
    <row r="174" spans="1:34" ht="12.75" customHeight="1">
      <c r="A174" s="24" t="str">
        <f>DSSP!A173</f>
        <v>GC23</v>
      </c>
      <c r="B174" s="25" t="str">
        <f>DSSP!B173</f>
        <v>Bộ 26 chữ</v>
      </c>
      <c r="C174" s="9" t="str">
        <f>IF(SUMIFS(Sheet1!$E:$E,Sheet1!$C:$C,$A174,Sheet1!$A:$A,C$2)&lt;&gt;0,SUMIFS(Sheet1!$E:$E,Sheet1!$C:$C,$A174,Sheet1!$A:$A,C$2),"")</f>
        <v/>
      </c>
      <c r="D174" s="9" t="str">
        <f>IF(SUMIFS(Sheet1!$E:$E,Sheet1!$C:$C,$A174,Sheet1!$A:$A,D$2)&lt;&gt;0,SUMIFS(Sheet1!$E:$E,Sheet1!$C:$C,$A174,Sheet1!$A:$A,D$2),"")</f>
        <v/>
      </c>
      <c r="E174" s="9" t="str">
        <f>IF(SUMIFS(Sheet1!$E:$E,Sheet1!$C:$C,$A174,Sheet1!$A:$A,E$2)&lt;&gt;0,SUMIFS(Sheet1!$E:$E,Sheet1!$C:$C,$A174,Sheet1!$A:$A,E$2),"")</f>
        <v/>
      </c>
      <c r="F174" s="9" t="str">
        <f>IF(SUMIFS(Sheet1!$E:$E,Sheet1!$C:$C,$A174,Sheet1!$A:$A,F$2)&lt;&gt;0,SUMIFS(Sheet1!$E:$E,Sheet1!$C:$C,$A174,Sheet1!$A:$A,F$2),"")</f>
        <v/>
      </c>
      <c r="G174" s="9" t="str">
        <f>IF(SUMIFS(Sheet1!$E:$E,Sheet1!$C:$C,$A174,Sheet1!$A:$A,G$2)&lt;&gt;0,SUMIFS(Sheet1!$E:$E,Sheet1!$C:$C,$A174,Sheet1!$A:$A,G$2),"")</f>
        <v/>
      </c>
      <c r="H174" s="9" t="str">
        <f>IF(SUMIFS(Sheet1!$E:$E,Sheet1!$C:$C,$A174,Sheet1!$A:$A,H$2)&lt;&gt;0,SUMIFS(Sheet1!$E:$E,Sheet1!$C:$C,$A174,Sheet1!$A:$A,H$2),"")</f>
        <v/>
      </c>
      <c r="I174" s="9" t="str">
        <f>IF(SUMIFS(Sheet1!$E:$E,Sheet1!$C:$C,$A174,Sheet1!$A:$A,I$2)&lt;&gt;0,SUMIFS(Sheet1!$E:$E,Sheet1!$C:$C,$A174,Sheet1!$A:$A,I$2),"")</f>
        <v/>
      </c>
      <c r="J174" s="9" t="str">
        <f>IF(SUMIFS(Sheet1!$E:$E,Sheet1!$C:$C,$A174,Sheet1!$A:$A,J$2)&lt;&gt;0,SUMIFS(Sheet1!$E:$E,Sheet1!$C:$C,$A174,Sheet1!$A:$A,J$2),"")</f>
        <v/>
      </c>
      <c r="K174" s="9" t="str">
        <f>IF(SUMIFS(Sheet1!$E:$E,Sheet1!$C:$C,$A174,Sheet1!$A:$A,K$2)&lt;&gt;0,SUMIFS(Sheet1!$E:$E,Sheet1!$C:$C,$A174,Sheet1!$A:$A,K$2),"")</f>
        <v/>
      </c>
      <c r="L174" s="9" t="str">
        <f>IF(SUMIFS(Sheet1!$E:$E,Sheet1!$C:$C,$A174,Sheet1!$A:$A,L$2)&lt;&gt;0,SUMIFS(Sheet1!$E:$E,Sheet1!$C:$C,$A174,Sheet1!$A:$A,L$2),"")</f>
        <v/>
      </c>
      <c r="M174" s="9" t="str">
        <f>IF(SUMIFS(Sheet1!$E:$E,Sheet1!$C:$C,$A174,Sheet1!$A:$A,M$2)&lt;&gt;0,SUMIFS(Sheet1!$E:$E,Sheet1!$C:$C,$A174,Sheet1!$A:$A,M$2),"")</f>
        <v/>
      </c>
      <c r="N174" s="9" t="str">
        <f>IF(SUMIFS(Sheet1!$E:$E,Sheet1!$C:$C,$A174,Sheet1!$A:$A,N$2)&lt;&gt;0,SUMIFS(Sheet1!$E:$E,Sheet1!$C:$C,$A174,Sheet1!$A:$A,N$2),"")</f>
        <v/>
      </c>
      <c r="O174" s="9" t="str">
        <f>IF(SUMIFS(Sheet1!$E:$E,Sheet1!$C:$C,$A174,Sheet1!$A:$A,O$2)&lt;&gt;0,SUMIFS(Sheet1!$E:$E,Sheet1!$C:$C,$A174,Sheet1!$A:$A,O$2),"")</f>
        <v/>
      </c>
      <c r="P174" s="9" t="str">
        <f>IF(SUMIFS(Sheet1!$E:$E,Sheet1!$C:$C,$A174,Sheet1!$A:$A,P$2)&lt;&gt;0,SUMIFS(Sheet1!$E:$E,Sheet1!$C:$C,$A174,Sheet1!$A:$A,P$2),"")</f>
        <v/>
      </c>
      <c r="Q174" s="9" t="str">
        <f>IF(SUMIFS(Sheet1!$E:$E,Sheet1!$C:$C,$A174,Sheet1!$A:$A,Q$2)&lt;&gt;0,SUMIFS(Sheet1!$E:$E,Sheet1!$C:$C,$A174,Sheet1!$A:$A,Q$2),"")</f>
        <v/>
      </c>
      <c r="R174" s="9" t="str">
        <f>IF(SUMIFS(Sheet1!$E:$E,Sheet1!$C:$C,$A174,Sheet1!$A:$A,R$2)&lt;&gt;0,SUMIFS(Sheet1!$E:$E,Sheet1!$C:$C,$A174,Sheet1!$A:$A,R$2),"")</f>
        <v/>
      </c>
      <c r="S174" s="9" t="str">
        <f>IF(SUMIFS(Sheet1!$E:$E,Sheet1!$C:$C,$A174,Sheet1!$A:$A,S$2)&lt;&gt;0,SUMIFS(Sheet1!$E:$E,Sheet1!$C:$C,$A174,Sheet1!$A:$A,S$2),"")</f>
        <v/>
      </c>
      <c r="T174" s="9" t="str">
        <f>IF(SUMIFS(Sheet1!$E:$E,Sheet1!$C:$C,$A174,Sheet1!$A:$A,T$2)&lt;&gt;0,SUMIFS(Sheet1!$E:$E,Sheet1!$C:$C,$A174,Sheet1!$A:$A,T$2),"")</f>
        <v/>
      </c>
      <c r="U174" s="9" t="str">
        <f>IF(SUMIFS(Sheet1!$E:$E,Sheet1!$C:$C,$A174,Sheet1!$A:$A,U$2)&lt;&gt;0,SUMIFS(Sheet1!$E:$E,Sheet1!$C:$C,$A174,Sheet1!$A:$A,U$2),"")</f>
        <v/>
      </c>
      <c r="V174" s="9" t="str">
        <f>IF(SUMIFS(Sheet1!$E:$E,Sheet1!$C:$C,$A174,Sheet1!$A:$A,V$2)&lt;&gt;0,SUMIFS(Sheet1!$E:$E,Sheet1!$C:$C,$A174,Sheet1!$A:$A,V$2),"")</f>
        <v/>
      </c>
      <c r="W174" s="9" t="str">
        <f>IF(SUMIFS(Sheet1!$E:$E,Sheet1!$C:$C,$A174,Sheet1!$A:$A,W$2)&lt;&gt;0,SUMIFS(Sheet1!$E:$E,Sheet1!$C:$C,$A174,Sheet1!$A:$A,W$2),"")</f>
        <v/>
      </c>
      <c r="X174" s="9" t="str">
        <f>IF(SUMIFS(Sheet1!$E:$E,Sheet1!$C:$C,$A174,Sheet1!$A:$A,X$2)&lt;&gt;0,SUMIFS(Sheet1!$E:$E,Sheet1!$C:$C,$A174,Sheet1!$A:$A,X$2),"")</f>
        <v/>
      </c>
      <c r="Y174" s="9" t="str">
        <f>IF(SUMIFS(Sheet1!$E:$E,Sheet1!$C:$C,$A174,Sheet1!$A:$A,Y$2)&lt;&gt;0,SUMIFS(Sheet1!$E:$E,Sheet1!$C:$C,$A174,Sheet1!$A:$A,Y$2),"")</f>
        <v/>
      </c>
      <c r="Z174" s="9" t="str">
        <f>IF(SUMIFS(Sheet1!$E:$E,Sheet1!$C:$C,$A174,Sheet1!$A:$A,Z$2)&lt;&gt;0,SUMIFS(Sheet1!$E:$E,Sheet1!$C:$C,$A174,Sheet1!$A:$A,Z$2),"")</f>
        <v/>
      </c>
      <c r="AA174" s="9" t="str">
        <f>IF(SUMIFS(Sheet1!$E:$E,Sheet1!$C:$C,$A174,Sheet1!$A:$A,AA$2)&lt;&gt;0,SUMIFS(Sheet1!$E:$E,Sheet1!$C:$C,$A174,Sheet1!$A:$A,AA$2),"")</f>
        <v/>
      </c>
      <c r="AB174" s="9" t="str">
        <f>IF(SUMIFS(Sheet1!$E:$E,Sheet1!$C:$C,$A174,Sheet1!$A:$A,AB$2)&lt;&gt;0,SUMIFS(Sheet1!$E:$E,Sheet1!$C:$C,$A174,Sheet1!$A:$A,AB$2),"")</f>
        <v/>
      </c>
      <c r="AC174" s="9" t="str">
        <f>IF(SUMIFS(Sheet1!$E:$E,Sheet1!$C:$C,$A174,Sheet1!$A:$A,AC$2)&lt;&gt;0,SUMIFS(Sheet1!$E:$E,Sheet1!$C:$C,$A174,Sheet1!$A:$A,AC$2),"")</f>
        <v/>
      </c>
      <c r="AD174" s="9" t="str">
        <f>IF(SUMIFS(Sheet1!$E:$E,Sheet1!$C:$C,$A174,Sheet1!$A:$A,AD$2)&lt;&gt;0,SUMIFS(Sheet1!$E:$E,Sheet1!$C:$C,$A174,Sheet1!$A:$A,AD$2),"")</f>
        <v/>
      </c>
      <c r="AE174" s="9" t="str">
        <f>IF(SUMIFS(Sheet1!$E:$E,Sheet1!$C:$C,$A174,Sheet1!$A:$A,AE$2)&lt;&gt;0,SUMIFS(Sheet1!$E:$E,Sheet1!$C:$C,$A174,Sheet1!$A:$A,AE$2),"")</f>
        <v/>
      </c>
      <c r="AF174" s="9" t="str">
        <f>IF(SUMIFS(Sheet1!$E:$E,Sheet1!$C:$C,$A174,Sheet1!$A:$A,AF$2)&lt;&gt;0,SUMIFS(Sheet1!$E:$E,Sheet1!$C:$C,$A174,Sheet1!$A:$A,AF$2),"")</f>
        <v/>
      </c>
      <c r="AG174" s="9" t="str">
        <f>IF(SUMIFS(Sheet1!$E:$E,Sheet1!$C:$C,$A174,Sheet1!$A:$A,AG$2)&lt;&gt;0,SUMIFS(Sheet1!$E:$E,Sheet1!$C:$C,$A174,Sheet1!$A:$A,AG$2),"")</f>
        <v/>
      </c>
      <c r="AH174" s="47">
        <f>SUM(Table24[[#This Row],[1]:[31]])</f>
        <v>0</v>
      </c>
    </row>
    <row r="175" spans="1:34" ht="12.75" customHeight="1">
      <c r="A175" s="24" t="str">
        <f>DSSP!A174</f>
        <v>GC24</v>
      </c>
      <c r="B175" s="25" t="str">
        <f>DSSP!B174</f>
        <v>Bộ 10 số</v>
      </c>
      <c r="C175" s="9" t="str">
        <f>IF(SUMIFS(Sheet1!$E:$E,Sheet1!$C:$C,$A175,Sheet1!$A:$A,C$2)&lt;&gt;0,SUMIFS(Sheet1!$E:$E,Sheet1!$C:$C,$A175,Sheet1!$A:$A,C$2),"")</f>
        <v/>
      </c>
      <c r="D175" s="9" t="str">
        <f>IF(SUMIFS(Sheet1!$E:$E,Sheet1!$C:$C,$A175,Sheet1!$A:$A,D$2)&lt;&gt;0,SUMIFS(Sheet1!$E:$E,Sheet1!$C:$C,$A175,Sheet1!$A:$A,D$2),"")</f>
        <v/>
      </c>
      <c r="E175" s="9" t="str">
        <f>IF(SUMIFS(Sheet1!$E:$E,Sheet1!$C:$C,$A175,Sheet1!$A:$A,E$2)&lt;&gt;0,SUMIFS(Sheet1!$E:$E,Sheet1!$C:$C,$A175,Sheet1!$A:$A,E$2),"")</f>
        <v/>
      </c>
      <c r="F175" s="9" t="str">
        <f>IF(SUMIFS(Sheet1!$E:$E,Sheet1!$C:$C,$A175,Sheet1!$A:$A,F$2)&lt;&gt;0,SUMIFS(Sheet1!$E:$E,Sheet1!$C:$C,$A175,Sheet1!$A:$A,F$2),"")</f>
        <v/>
      </c>
      <c r="G175" s="9" t="str">
        <f>IF(SUMIFS(Sheet1!$E:$E,Sheet1!$C:$C,$A175,Sheet1!$A:$A,G$2)&lt;&gt;0,SUMIFS(Sheet1!$E:$E,Sheet1!$C:$C,$A175,Sheet1!$A:$A,G$2),"")</f>
        <v/>
      </c>
      <c r="H175" s="9" t="str">
        <f>IF(SUMIFS(Sheet1!$E:$E,Sheet1!$C:$C,$A175,Sheet1!$A:$A,H$2)&lt;&gt;0,SUMIFS(Sheet1!$E:$E,Sheet1!$C:$C,$A175,Sheet1!$A:$A,H$2),"")</f>
        <v/>
      </c>
      <c r="I175" s="9" t="str">
        <f>IF(SUMIFS(Sheet1!$E:$E,Sheet1!$C:$C,$A175,Sheet1!$A:$A,I$2)&lt;&gt;0,SUMIFS(Sheet1!$E:$E,Sheet1!$C:$C,$A175,Sheet1!$A:$A,I$2),"")</f>
        <v/>
      </c>
      <c r="J175" s="9" t="str">
        <f>IF(SUMIFS(Sheet1!$E:$E,Sheet1!$C:$C,$A175,Sheet1!$A:$A,J$2)&lt;&gt;0,SUMIFS(Sheet1!$E:$E,Sheet1!$C:$C,$A175,Sheet1!$A:$A,J$2),"")</f>
        <v/>
      </c>
      <c r="K175" s="9" t="str">
        <f>IF(SUMIFS(Sheet1!$E:$E,Sheet1!$C:$C,$A175,Sheet1!$A:$A,K$2)&lt;&gt;0,SUMIFS(Sheet1!$E:$E,Sheet1!$C:$C,$A175,Sheet1!$A:$A,K$2),"")</f>
        <v/>
      </c>
      <c r="L175" s="9" t="str">
        <f>IF(SUMIFS(Sheet1!$E:$E,Sheet1!$C:$C,$A175,Sheet1!$A:$A,L$2)&lt;&gt;0,SUMIFS(Sheet1!$E:$E,Sheet1!$C:$C,$A175,Sheet1!$A:$A,L$2),"")</f>
        <v/>
      </c>
      <c r="M175" s="9" t="str">
        <f>IF(SUMIFS(Sheet1!$E:$E,Sheet1!$C:$C,$A175,Sheet1!$A:$A,M$2)&lt;&gt;0,SUMIFS(Sheet1!$E:$E,Sheet1!$C:$C,$A175,Sheet1!$A:$A,M$2),"")</f>
        <v/>
      </c>
      <c r="N175" s="9" t="str">
        <f>IF(SUMIFS(Sheet1!$E:$E,Sheet1!$C:$C,$A175,Sheet1!$A:$A,N$2)&lt;&gt;0,SUMIFS(Sheet1!$E:$E,Sheet1!$C:$C,$A175,Sheet1!$A:$A,N$2),"")</f>
        <v/>
      </c>
      <c r="O175" s="9" t="str">
        <f>IF(SUMIFS(Sheet1!$E:$E,Sheet1!$C:$C,$A175,Sheet1!$A:$A,O$2)&lt;&gt;0,SUMIFS(Sheet1!$E:$E,Sheet1!$C:$C,$A175,Sheet1!$A:$A,O$2),"")</f>
        <v/>
      </c>
      <c r="P175" s="9" t="str">
        <f>IF(SUMIFS(Sheet1!$E:$E,Sheet1!$C:$C,$A175,Sheet1!$A:$A,P$2)&lt;&gt;0,SUMIFS(Sheet1!$E:$E,Sheet1!$C:$C,$A175,Sheet1!$A:$A,P$2),"")</f>
        <v/>
      </c>
      <c r="Q175" s="9" t="str">
        <f>IF(SUMIFS(Sheet1!$E:$E,Sheet1!$C:$C,$A175,Sheet1!$A:$A,Q$2)&lt;&gt;0,SUMIFS(Sheet1!$E:$E,Sheet1!$C:$C,$A175,Sheet1!$A:$A,Q$2),"")</f>
        <v/>
      </c>
      <c r="R175" s="9" t="str">
        <f>IF(SUMIFS(Sheet1!$E:$E,Sheet1!$C:$C,$A175,Sheet1!$A:$A,R$2)&lt;&gt;0,SUMIFS(Sheet1!$E:$E,Sheet1!$C:$C,$A175,Sheet1!$A:$A,R$2),"")</f>
        <v/>
      </c>
      <c r="S175" s="9" t="str">
        <f>IF(SUMIFS(Sheet1!$E:$E,Sheet1!$C:$C,$A175,Sheet1!$A:$A,S$2)&lt;&gt;0,SUMIFS(Sheet1!$E:$E,Sheet1!$C:$C,$A175,Sheet1!$A:$A,S$2),"")</f>
        <v/>
      </c>
      <c r="T175" s="9" t="str">
        <f>IF(SUMIFS(Sheet1!$E:$E,Sheet1!$C:$C,$A175,Sheet1!$A:$A,T$2)&lt;&gt;0,SUMIFS(Sheet1!$E:$E,Sheet1!$C:$C,$A175,Sheet1!$A:$A,T$2),"")</f>
        <v/>
      </c>
      <c r="U175" s="9" t="str">
        <f>IF(SUMIFS(Sheet1!$E:$E,Sheet1!$C:$C,$A175,Sheet1!$A:$A,U$2)&lt;&gt;0,SUMIFS(Sheet1!$E:$E,Sheet1!$C:$C,$A175,Sheet1!$A:$A,U$2),"")</f>
        <v/>
      </c>
      <c r="V175" s="9" t="str">
        <f>IF(SUMIFS(Sheet1!$E:$E,Sheet1!$C:$C,$A175,Sheet1!$A:$A,V$2)&lt;&gt;0,SUMIFS(Sheet1!$E:$E,Sheet1!$C:$C,$A175,Sheet1!$A:$A,V$2),"")</f>
        <v/>
      </c>
      <c r="W175" s="9" t="str">
        <f>IF(SUMIFS(Sheet1!$E:$E,Sheet1!$C:$C,$A175,Sheet1!$A:$A,W$2)&lt;&gt;0,SUMIFS(Sheet1!$E:$E,Sheet1!$C:$C,$A175,Sheet1!$A:$A,W$2),"")</f>
        <v/>
      </c>
      <c r="X175" s="9" t="str">
        <f>IF(SUMIFS(Sheet1!$E:$E,Sheet1!$C:$C,$A175,Sheet1!$A:$A,X$2)&lt;&gt;0,SUMIFS(Sheet1!$E:$E,Sheet1!$C:$C,$A175,Sheet1!$A:$A,X$2),"")</f>
        <v/>
      </c>
      <c r="Y175" s="9" t="str">
        <f>IF(SUMIFS(Sheet1!$E:$E,Sheet1!$C:$C,$A175,Sheet1!$A:$A,Y$2)&lt;&gt;0,SUMIFS(Sheet1!$E:$E,Sheet1!$C:$C,$A175,Sheet1!$A:$A,Y$2),"")</f>
        <v/>
      </c>
      <c r="Z175" s="9" t="str">
        <f>IF(SUMIFS(Sheet1!$E:$E,Sheet1!$C:$C,$A175,Sheet1!$A:$A,Z$2)&lt;&gt;0,SUMIFS(Sheet1!$E:$E,Sheet1!$C:$C,$A175,Sheet1!$A:$A,Z$2),"")</f>
        <v/>
      </c>
      <c r="AA175" s="9" t="str">
        <f>IF(SUMIFS(Sheet1!$E:$E,Sheet1!$C:$C,$A175,Sheet1!$A:$A,AA$2)&lt;&gt;0,SUMIFS(Sheet1!$E:$E,Sheet1!$C:$C,$A175,Sheet1!$A:$A,AA$2),"")</f>
        <v/>
      </c>
      <c r="AB175" s="9" t="str">
        <f>IF(SUMIFS(Sheet1!$E:$E,Sheet1!$C:$C,$A175,Sheet1!$A:$A,AB$2)&lt;&gt;0,SUMIFS(Sheet1!$E:$E,Sheet1!$C:$C,$A175,Sheet1!$A:$A,AB$2),"")</f>
        <v/>
      </c>
      <c r="AC175" s="9" t="str">
        <f>IF(SUMIFS(Sheet1!$E:$E,Sheet1!$C:$C,$A175,Sheet1!$A:$A,AC$2)&lt;&gt;0,SUMIFS(Sheet1!$E:$E,Sheet1!$C:$C,$A175,Sheet1!$A:$A,AC$2),"")</f>
        <v/>
      </c>
      <c r="AD175" s="9" t="str">
        <f>IF(SUMIFS(Sheet1!$E:$E,Sheet1!$C:$C,$A175,Sheet1!$A:$A,AD$2)&lt;&gt;0,SUMIFS(Sheet1!$E:$E,Sheet1!$C:$C,$A175,Sheet1!$A:$A,AD$2),"")</f>
        <v/>
      </c>
      <c r="AE175" s="9" t="str">
        <f>IF(SUMIFS(Sheet1!$E:$E,Sheet1!$C:$C,$A175,Sheet1!$A:$A,AE$2)&lt;&gt;0,SUMIFS(Sheet1!$E:$E,Sheet1!$C:$C,$A175,Sheet1!$A:$A,AE$2),"")</f>
        <v/>
      </c>
      <c r="AF175" s="9" t="str">
        <f>IF(SUMIFS(Sheet1!$E:$E,Sheet1!$C:$C,$A175,Sheet1!$A:$A,AF$2)&lt;&gt;0,SUMIFS(Sheet1!$E:$E,Sheet1!$C:$C,$A175,Sheet1!$A:$A,AF$2),"")</f>
        <v/>
      </c>
      <c r="AG175" s="9" t="str">
        <f>IF(SUMIFS(Sheet1!$E:$E,Sheet1!$C:$C,$A175,Sheet1!$A:$A,AG$2)&lt;&gt;0,SUMIFS(Sheet1!$E:$E,Sheet1!$C:$C,$A175,Sheet1!$A:$A,AG$2),"")</f>
        <v/>
      </c>
      <c r="AH175" s="47">
        <f>SUM(Table24[[#This Row],[1]:[31]])</f>
        <v>0</v>
      </c>
    </row>
    <row r="176" spans="1:34" ht="12.75" customHeight="1">
      <c r="A176" s="24" t="str">
        <f>DSSP!A175</f>
        <v>GC25</v>
      </c>
      <c r="B176" s="25" t="str">
        <f>DSSP!B175</f>
        <v>Mặt BCS</v>
      </c>
      <c r="C176" s="9">
        <f>IF(SUMIFS(Sheet1!$E:$E,Sheet1!$C:$C,$A176,Sheet1!$A:$A,C$2)&lt;&gt;0,SUMIFS(Sheet1!$E:$E,Sheet1!$C:$C,$A176,Sheet1!$A:$A,C$2),"")</f>
        <v>161</v>
      </c>
      <c r="D176" s="9" t="str">
        <f>IF(SUMIFS(Sheet1!$E:$E,Sheet1!$C:$C,$A176,Sheet1!$A:$A,D$2)&lt;&gt;0,SUMIFS(Sheet1!$E:$E,Sheet1!$C:$C,$A176,Sheet1!$A:$A,D$2),"")</f>
        <v/>
      </c>
      <c r="E176" s="9" t="str">
        <f>IF(SUMIFS(Sheet1!$E:$E,Sheet1!$C:$C,$A176,Sheet1!$A:$A,E$2)&lt;&gt;0,SUMIFS(Sheet1!$E:$E,Sheet1!$C:$C,$A176,Sheet1!$A:$A,E$2),"")</f>
        <v/>
      </c>
      <c r="F176" s="9" t="str">
        <f>IF(SUMIFS(Sheet1!$E:$E,Sheet1!$C:$C,$A176,Sheet1!$A:$A,F$2)&lt;&gt;0,SUMIFS(Sheet1!$E:$E,Sheet1!$C:$C,$A176,Sheet1!$A:$A,F$2),"")</f>
        <v/>
      </c>
      <c r="G176" s="9" t="str">
        <f>IF(SUMIFS(Sheet1!$E:$E,Sheet1!$C:$C,$A176,Sheet1!$A:$A,G$2)&lt;&gt;0,SUMIFS(Sheet1!$E:$E,Sheet1!$C:$C,$A176,Sheet1!$A:$A,G$2),"")</f>
        <v/>
      </c>
      <c r="H176" s="9" t="str">
        <f>IF(SUMIFS(Sheet1!$E:$E,Sheet1!$C:$C,$A176,Sheet1!$A:$A,H$2)&lt;&gt;0,SUMIFS(Sheet1!$E:$E,Sheet1!$C:$C,$A176,Sheet1!$A:$A,H$2),"")</f>
        <v/>
      </c>
      <c r="I176" s="9" t="str">
        <f>IF(SUMIFS(Sheet1!$E:$E,Sheet1!$C:$C,$A176,Sheet1!$A:$A,I$2)&lt;&gt;0,SUMIFS(Sheet1!$E:$E,Sheet1!$C:$C,$A176,Sheet1!$A:$A,I$2),"")</f>
        <v/>
      </c>
      <c r="J176" s="9" t="str">
        <f>IF(SUMIFS(Sheet1!$E:$E,Sheet1!$C:$C,$A176,Sheet1!$A:$A,J$2)&lt;&gt;0,SUMIFS(Sheet1!$E:$E,Sheet1!$C:$C,$A176,Sheet1!$A:$A,J$2),"")</f>
        <v/>
      </c>
      <c r="K176" s="9" t="str">
        <f>IF(SUMIFS(Sheet1!$E:$E,Sheet1!$C:$C,$A176,Sheet1!$A:$A,K$2)&lt;&gt;0,SUMIFS(Sheet1!$E:$E,Sheet1!$C:$C,$A176,Sheet1!$A:$A,K$2),"")</f>
        <v/>
      </c>
      <c r="L176" s="9" t="str">
        <f>IF(SUMIFS(Sheet1!$E:$E,Sheet1!$C:$C,$A176,Sheet1!$A:$A,L$2)&lt;&gt;0,SUMIFS(Sheet1!$E:$E,Sheet1!$C:$C,$A176,Sheet1!$A:$A,L$2),"")</f>
        <v/>
      </c>
      <c r="M176" s="9" t="str">
        <f>IF(SUMIFS(Sheet1!$E:$E,Sheet1!$C:$C,$A176,Sheet1!$A:$A,M$2)&lt;&gt;0,SUMIFS(Sheet1!$E:$E,Sheet1!$C:$C,$A176,Sheet1!$A:$A,M$2),"")</f>
        <v/>
      </c>
      <c r="N176" s="9" t="str">
        <f>IF(SUMIFS(Sheet1!$E:$E,Sheet1!$C:$C,$A176,Sheet1!$A:$A,N$2)&lt;&gt;0,SUMIFS(Sheet1!$E:$E,Sheet1!$C:$C,$A176,Sheet1!$A:$A,N$2),"")</f>
        <v/>
      </c>
      <c r="O176" s="9" t="str">
        <f>IF(SUMIFS(Sheet1!$E:$E,Sheet1!$C:$C,$A176,Sheet1!$A:$A,O$2)&lt;&gt;0,SUMIFS(Sheet1!$E:$E,Sheet1!$C:$C,$A176,Sheet1!$A:$A,O$2),"")</f>
        <v/>
      </c>
      <c r="P176" s="9" t="str">
        <f>IF(SUMIFS(Sheet1!$E:$E,Sheet1!$C:$C,$A176,Sheet1!$A:$A,P$2)&lt;&gt;0,SUMIFS(Sheet1!$E:$E,Sheet1!$C:$C,$A176,Sheet1!$A:$A,P$2),"")</f>
        <v/>
      </c>
      <c r="Q176" s="9" t="str">
        <f>IF(SUMIFS(Sheet1!$E:$E,Sheet1!$C:$C,$A176,Sheet1!$A:$A,Q$2)&lt;&gt;0,SUMIFS(Sheet1!$E:$E,Sheet1!$C:$C,$A176,Sheet1!$A:$A,Q$2),"")</f>
        <v/>
      </c>
      <c r="R176" s="9" t="str">
        <f>IF(SUMIFS(Sheet1!$E:$E,Sheet1!$C:$C,$A176,Sheet1!$A:$A,R$2)&lt;&gt;0,SUMIFS(Sheet1!$E:$E,Sheet1!$C:$C,$A176,Sheet1!$A:$A,R$2),"")</f>
        <v/>
      </c>
      <c r="S176" s="9" t="str">
        <f>IF(SUMIFS(Sheet1!$E:$E,Sheet1!$C:$C,$A176,Sheet1!$A:$A,S$2)&lt;&gt;0,SUMIFS(Sheet1!$E:$E,Sheet1!$C:$C,$A176,Sheet1!$A:$A,S$2),"")</f>
        <v/>
      </c>
      <c r="T176" s="9" t="str">
        <f>IF(SUMIFS(Sheet1!$E:$E,Sheet1!$C:$C,$A176,Sheet1!$A:$A,T$2)&lt;&gt;0,SUMIFS(Sheet1!$E:$E,Sheet1!$C:$C,$A176,Sheet1!$A:$A,T$2),"")</f>
        <v/>
      </c>
      <c r="U176" s="9" t="str">
        <f>IF(SUMIFS(Sheet1!$E:$E,Sheet1!$C:$C,$A176,Sheet1!$A:$A,U$2)&lt;&gt;0,SUMIFS(Sheet1!$E:$E,Sheet1!$C:$C,$A176,Sheet1!$A:$A,U$2),"")</f>
        <v/>
      </c>
      <c r="V176" s="9" t="str">
        <f>IF(SUMIFS(Sheet1!$E:$E,Sheet1!$C:$C,$A176,Sheet1!$A:$A,V$2)&lt;&gt;0,SUMIFS(Sheet1!$E:$E,Sheet1!$C:$C,$A176,Sheet1!$A:$A,V$2),"")</f>
        <v/>
      </c>
      <c r="W176" s="9" t="str">
        <f>IF(SUMIFS(Sheet1!$E:$E,Sheet1!$C:$C,$A176,Sheet1!$A:$A,W$2)&lt;&gt;0,SUMIFS(Sheet1!$E:$E,Sheet1!$C:$C,$A176,Sheet1!$A:$A,W$2),"")</f>
        <v/>
      </c>
      <c r="X176" s="9" t="str">
        <f>IF(SUMIFS(Sheet1!$E:$E,Sheet1!$C:$C,$A176,Sheet1!$A:$A,X$2)&lt;&gt;0,SUMIFS(Sheet1!$E:$E,Sheet1!$C:$C,$A176,Sheet1!$A:$A,X$2),"")</f>
        <v/>
      </c>
      <c r="Y176" s="9" t="str">
        <f>IF(SUMIFS(Sheet1!$E:$E,Sheet1!$C:$C,$A176,Sheet1!$A:$A,Y$2)&lt;&gt;0,SUMIFS(Sheet1!$E:$E,Sheet1!$C:$C,$A176,Sheet1!$A:$A,Y$2),"")</f>
        <v/>
      </c>
      <c r="Z176" s="9" t="str">
        <f>IF(SUMIFS(Sheet1!$E:$E,Sheet1!$C:$C,$A176,Sheet1!$A:$A,Z$2)&lt;&gt;0,SUMIFS(Sheet1!$E:$E,Sheet1!$C:$C,$A176,Sheet1!$A:$A,Z$2),"")</f>
        <v/>
      </c>
      <c r="AA176" s="9" t="str">
        <f>IF(SUMIFS(Sheet1!$E:$E,Sheet1!$C:$C,$A176,Sheet1!$A:$A,AA$2)&lt;&gt;0,SUMIFS(Sheet1!$E:$E,Sheet1!$C:$C,$A176,Sheet1!$A:$A,AA$2),"")</f>
        <v/>
      </c>
      <c r="AB176" s="9" t="str">
        <f>IF(SUMIFS(Sheet1!$E:$E,Sheet1!$C:$C,$A176,Sheet1!$A:$A,AB$2)&lt;&gt;0,SUMIFS(Sheet1!$E:$E,Sheet1!$C:$C,$A176,Sheet1!$A:$A,AB$2),"")</f>
        <v/>
      </c>
      <c r="AC176" s="9" t="str">
        <f>IF(SUMIFS(Sheet1!$E:$E,Sheet1!$C:$C,$A176,Sheet1!$A:$A,AC$2)&lt;&gt;0,SUMIFS(Sheet1!$E:$E,Sheet1!$C:$C,$A176,Sheet1!$A:$A,AC$2),"")</f>
        <v/>
      </c>
      <c r="AD176" s="9" t="str">
        <f>IF(SUMIFS(Sheet1!$E:$E,Sheet1!$C:$C,$A176,Sheet1!$A:$A,AD$2)&lt;&gt;0,SUMIFS(Sheet1!$E:$E,Sheet1!$C:$C,$A176,Sheet1!$A:$A,AD$2),"")</f>
        <v/>
      </c>
      <c r="AE176" s="9" t="str">
        <f>IF(SUMIFS(Sheet1!$E:$E,Sheet1!$C:$C,$A176,Sheet1!$A:$A,AE$2)&lt;&gt;0,SUMIFS(Sheet1!$E:$E,Sheet1!$C:$C,$A176,Sheet1!$A:$A,AE$2),"")</f>
        <v/>
      </c>
      <c r="AF176" s="9" t="str">
        <f>IF(SUMIFS(Sheet1!$E:$E,Sheet1!$C:$C,$A176,Sheet1!$A:$A,AF$2)&lt;&gt;0,SUMIFS(Sheet1!$E:$E,Sheet1!$C:$C,$A176,Sheet1!$A:$A,AF$2),"")</f>
        <v/>
      </c>
      <c r="AG176" s="9" t="str">
        <f>IF(SUMIFS(Sheet1!$E:$E,Sheet1!$C:$C,$A176,Sheet1!$A:$A,AG$2)&lt;&gt;0,SUMIFS(Sheet1!$E:$E,Sheet1!$C:$C,$A176,Sheet1!$A:$A,AG$2),"")</f>
        <v/>
      </c>
      <c r="AH176" s="47">
        <f>SUM(Table24[[#This Row],[1]:[31]])</f>
        <v>161</v>
      </c>
    </row>
    <row r="177" spans="1:34" ht="12.75" customHeight="1">
      <c r="A177" s="24" t="str">
        <f>DSSP!A176</f>
        <v>GC101</v>
      </c>
      <c r="B177" s="25" t="str">
        <f>DSSP!B176</f>
        <v>Bông tuyết</v>
      </c>
      <c r="C177" s="9" t="str">
        <f>IF(SUMIFS(Sheet1!$E:$E,Sheet1!$C:$C,$A177,Sheet1!$A:$A,C$2)&lt;&gt;0,SUMIFS(Sheet1!$E:$E,Sheet1!$C:$C,$A177,Sheet1!$A:$A,C$2),"")</f>
        <v/>
      </c>
      <c r="D177" s="9" t="str">
        <f>IF(SUMIFS(Sheet1!$E:$E,Sheet1!$C:$C,$A177,Sheet1!$A:$A,D$2)&lt;&gt;0,SUMIFS(Sheet1!$E:$E,Sheet1!$C:$C,$A177,Sheet1!$A:$A,D$2),"")</f>
        <v/>
      </c>
      <c r="E177" s="9" t="str">
        <f>IF(SUMIFS(Sheet1!$E:$E,Sheet1!$C:$C,$A177,Sheet1!$A:$A,E$2)&lt;&gt;0,SUMIFS(Sheet1!$E:$E,Sheet1!$C:$C,$A177,Sheet1!$A:$A,E$2),"")</f>
        <v/>
      </c>
      <c r="F177" s="9" t="str">
        <f>IF(SUMIFS(Sheet1!$E:$E,Sheet1!$C:$C,$A177,Sheet1!$A:$A,F$2)&lt;&gt;0,SUMIFS(Sheet1!$E:$E,Sheet1!$C:$C,$A177,Sheet1!$A:$A,F$2),"")</f>
        <v/>
      </c>
      <c r="G177" s="9" t="str">
        <f>IF(SUMIFS(Sheet1!$E:$E,Sheet1!$C:$C,$A177,Sheet1!$A:$A,G$2)&lt;&gt;0,SUMIFS(Sheet1!$E:$E,Sheet1!$C:$C,$A177,Sheet1!$A:$A,G$2),"")</f>
        <v/>
      </c>
      <c r="H177" s="9" t="str">
        <f>IF(SUMIFS(Sheet1!$E:$E,Sheet1!$C:$C,$A177,Sheet1!$A:$A,H$2)&lt;&gt;0,SUMIFS(Sheet1!$E:$E,Sheet1!$C:$C,$A177,Sheet1!$A:$A,H$2),"")</f>
        <v/>
      </c>
      <c r="I177" s="9" t="str">
        <f>IF(SUMIFS(Sheet1!$E:$E,Sheet1!$C:$C,$A177,Sheet1!$A:$A,I$2)&lt;&gt;0,SUMIFS(Sheet1!$E:$E,Sheet1!$C:$C,$A177,Sheet1!$A:$A,I$2),"")</f>
        <v/>
      </c>
      <c r="J177" s="9" t="str">
        <f>IF(SUMIFS(Sheet1!$E:$E,Sheet1!$C:$C,$A177,Sheet1!$A:$A,J$2)&lt;&gt;0,SUMIFS(Sheet1!$E:$E,Sheet1!$C:$C,$A177,Sheet1!$A:$A,J$2),"")</f>
        <v/>
      </c>
      <c r="K177" s="9" t="str">
        <f>IF(SUMIFS(Sheet1!$E:$E,Sheet1!$C:$C,$A177,Sheet1!$A:$A,K$2)&lt;&gt;0,SUMIFS(Sheet1!$E:$E,Sheet1!$C:$C,$A177,Sheet1!$A:$A,K$2),"")</f>
        <v/>
      </c>
      <c r="L177" s="9" t="str">
        <f>IF(SUMIFS(Sheet1!$E:$E,Sheet1!$C:$C,$A177,Sheet1!$A:$A,L$2)&lt;&gt;0,SUMIFS(Sheet1!$E:$E,Sheet1!$C:$C,$A177,Sheet1!$A:$A,L$2),"")</f>
        <v/>
      </c>
      <c r="M177" s="9" t="str">
        <f>IF(SUMIFS(Sheet1!$E:$E,Sheet1!$C:$C,$A177,Sheet1!$A:$A,M$2)&lt;&gt;0,SUMIFS(Sheet1!$E:$E,Sheet1!$C:$C,$A177,Sheet1!$A:$A,M$2),"")</f>
        <v/>
      </c>
      <c r="N177" s="9" t="str">
        <f>IF(SUMIFS(Sheet1!$E:$E,Sheet1!$C:$C,$A177,Sheet1!$A:$A,N$2)&lt;&gt;0,SUMIFS(Sheet1!$E:$E,Sheet1!$C:$C,$A177,Sheet1!$A:$A,N$2),"")</f>
        <v/>
      </c>
      <c r="O177" s="9" t="str">
        <f>IF(SUMIFS(Sheet1!$E:$E,Sheet1!$C:$C,$A177,Sheet1!$A:$A,O$2)&lt;&gt;0,SUMIFS(Sheet1!$E:$E,Sheet1!$C:$C,$A177,Sheet1!$A:$A,O$2),"")</f>
        <v/>
      </c>
      <c r="P177" s="9" t="str">
        <f>IF(SUMIFS(Sheet1!$E:$E,Sheet1!$C:$C,$A177,Sheet1!$A:$A,P$2)&lt;&gt;0,SUMIFS(Sheet1!$E:$E,Sheet1!$C:$C,$A177,Sheet1!$A:$A,P$2),"")</f>
        <v/>
      </c>
      <c r="Q177" s="9" t="str">
        <f>IF(SUMIFS(Sheet1!$E:$E,Sheet1!$C:$C,$A177,Sheet1!$A:$A,Q$2)&lt;&gt;0,SUMIFS(Sheet1!$E:$E,Sheet1!$C:$C,$A177,Sheet1!$A:$A,Q$2),"")</f>
        <v/>
      </c>
      <c r="R177" s="9" t="str">
        <f>IF(SUMIFS(Sheet1!$E:$E,Sheet1!$C:$C,$A177,Sheet1!$A:$A,R$2)&lt;&gt;0,SUMIFS(Sheet1!$E:$E,Sheet1!$C:$C,$A177,Sheet1!$A:$A,R$2),"")</f>
        <v/>
      </c>
      <c r="S177" s="9" t="str">
        <f>IF(SUMIFS(Sheet1!$E:$E,Sheet1!$C:$C,$A177,Sheet1!$A:$A,S$2)&lt;&gt;0,SUMIFS(Sheet1!$E:$E,Sheet1!$C:$C,$A177,Sheet1!$A:$A,S$2),"")</f>
        <v/>
      </c>
      <c r="T177" s="9" t="str">
        <f>IF(SUMIFS(Sheet1!$E:$E,Sheet1!$C:$C,$A177,Sheet1!$A:$A,T$2)&lt;&gt;0,SUMIFS(Sheet1!$E:$E,Sheet1!$C:$C,$A177,Sheet1!$A:$A,T$2),"")</f>
        <v/>
      </c>
      <c r="U177" s="9" t="str">
        <f>IF(SUMIFS(Sheet1!$E:$E,Sheet1!$C:$C,$A177,Sheet1!$A:$A,U$2)&lt;&gt;0,SUMIFS(Sheet1!$E:$E,Sheet1!$C:$C,$A177,Sheet1!$A:$A,U$2),"")</f>
        <v/>
      </c>
      <c r="V177" s="9" t="str">
        <f>IF(SUMIFS(Sheet1!$E:$E,Sheet1!$C:$C,$A177,Sheet1!$A:$A,V$2)&lt;&gt;0,SUMIFS(Sheet1!$E:$E,Sheet1!$C:$C,$A177,Sheet1!$A:$A,V$2),"")</f>
        <v/>
      </c>
      <c r="W177" s="9" t="str">
        <f>IF(SUMIFS(Sheet1!$E:$E,Sheet1!$C:$C,$A177,Sheet1!$A:$A,W$2)&lt;&gt;0,SUMIFS(Sheet1!$E:$E,Sheet1!$C:$C,$A177,Sheet1!$A:$A,W$2),"")</f>
        <v/>
      </c>
      <c r="X177" s="9" t="str">
        <f>IF(SUMIFS(Sheet1!$E:$E,Sheet1!$C:$C,$A177,Sheet1!$A:$A,X$2)&lt;&gt;0,SUMIFS(Sheet1!$E:$E,Sheet1!$C:$C,$A177,Sheet1!$A:$A,X$2),"")</f>
        <v/>
      </c>
      <c r="Y177" s="9" t="str">
        <f>IF(SUMIFS(Sheet1!$E:$E,Sheet1!$C:$C,$A177,Sheet1!$A:$A,Y$2)&lt;&gt;0,SUMIFS(Sheet1!$E:$E,Sheet1!$C:$C,$A177,Sheet1!$A:$A,Y$2),"")</f>
        <v/>
      </c>
      <c r="Z177" s="9" t="str">
        <f>IF(SUMIFS(Sheet1!$E:$E,Sheet1!$C:$C,$A177,Sheet1!$A:$A,Z$2)&lt;&gt;0,SUMIFS(Sheet1!$E:$E,Sheet1!$C:$C,$A177,Sheet1!$A:$A,Z$2),"")</f>
        <v/>
      </c>
      <c r="AA177" s="9" t="str">
        <f>IF(SUMIFS(Sheet1!$E:$E,Sheet1!$C:$C,$A177,Sheet1!$A:$A,AA$2)&lt;&gt;0,SUMIFS(Sheet1!$E:$E,Sheet1!$C:$C,$A177,Sheet1!$A:$A,AA$2),"")</f>
        <v/>
      </c>
      <c r="AB177" s="9" t="str">
        <f>IF(SUMIFS(Sheet1!$E:$E,Sheet1!$C:$C,$A177,Sheet1!$A:$A,AB$2)&lt;&gt;0,SUMIFS(Sheet1!$E:$E,Sheet1!$C:$C,$A177,Sheet1!$A:$A,AB$2),"")</f>
        <v/>
      </c>
      <c r="AC177" s="9" t="str">
        <f>IF(SUMIFS(Sheet1!$E:$E,Sheet1!$C:$C,$A177,Sheet1!$A:$A,AC$2)&lt;&gt;0,SUMIFS(Sheet1!$E:$E,Sheet1!$C:$C,$A177,Sheet1!$A:$A,AC$2),"")</f>
        <v/>
      </c>
      <c r="AD177" s="9" t="str">
        <f>IF(SUMIFS(Sheet1!$E:$E,Sheet1!$C:$C,$A177,Sheet1!$A:$A,AD$2)&lt;&gt;0,SUMIFS(Sheet1!$E:$E,Sheet1!$C:$C,$A177,Sheet1!$A:$A,AD$2),"")</f>
        <v/>
      </c>
      <c r="AE177" s="9" t="str">
        <f>IF(SUMIFS(Sheet1!$E:$E,Sheet1!$C:$C,$A177,Sheet1!$A:$A,AE$2)&lt;&gt;0,SUMIFS(Sheet1!$E:$E,Sheet1!$C:$C,$A177,Sheet1!$A:$A,AE$2),"")</f>
        <v/>
      </c>
      <c r="AF177" s="9" t="str">
        <f>IF(SUMIFS(Sheet1!$E:$E,Sheet1!$C:$C,$A177,Sheet1!$A:$A,AF$2)&lt;&gt;0,SUMIFS(Sheet1!$E:$E,Sheet1!$C:$C,$A177,Sheet1!$A:$A,AF$2),"")</f>
        <v/>
      </c>
      <c r="AG177" s="9" t="str">
        <f>IF(SUMIFS(Sheet1!$E:$E,Sheet1!$C:$C,$A177,Sheet1!$A:$A,AG$2)&lt;&gt;0,SUMIFS(Sheet1!$E:$E,Sheet1!$C:$C,$A177,Sheet1!$A:$A,AG$2),"")</f>
        <v/>
      </c>
      <c r="AH177" s="47">
        <f>SUM(Table24[[#This Row],[1]:[31]])</f>
        <v>0</v>
      </c>
    </row>
    <row r="178" spans="1:34" ht="12.75" customHeight="1">
      <c r="A178" s="24" t="str">
        <f>DSSP!A177</f>
        <v>GC102</v>
      </c>
      <c r="B178" s="25" t="str">
        <f>DSSP!B177</f>
        <v>Chùm chìa khoá</v>
      </c>
      <c r="C178" s="9" t="str">
        <f>IF(SUMIFS(Sheet1!$E:$E,Sheet1!$C:$C,$A178,Sheet1!$A:$A,C$2)&lt;&gt;0,SUMIFS(Sheet1!$E:$E,Sheet1!$C:$C,$A178,Sheet1!$A:$A,C$2),"")</f>
        <v/>
      </c>
      <c r="D178" s="9" t="str">
        <f>IF(SUMIFS(Sheet1!$E:$E,Sheet1!$C:$C,$A178,Sheet1!$A:$A,D$2)&lt;&gt;0,SUMIFS(Sheet1!$E:$E,Sheet1!$C:$C,$A178,Sheet1!$A:$A,D$2),"")</f>
        <v/>
      </c>
      <c r="E178" s="9" t="str">
        <f>IF(SUMIFS(Sheet1!$E:$E,Sheet1!$C:$C,$A178,Sheet1!$A:$A,E$2)&lt;&gt;0,SUMIFS(Sheet1!$E:$E,Sheet1!$C:$C,$A178,Sheet1!$A:$A,E$2),"")</f>
        <v/>
      </c>
      <c r="F178" s="9" t="str">
        <f>IF(SUMIFS(Sheet1!$E:$E,Sheet1!$C:$C,$A178,Sheet1!$A:$A,F$2)&lt;&gt;0,SUMIFS(Sheet1!$E:$E,Sheet1!$C:$C,$A178,Sheet1!$A:$A,F$2),"")</f>
        <v/>
      </c>
      <c r="G178" s="9" t="str">
        <f>IF(SUMIFS(Sheet1!$E:$E,Sheet1!$C:$C,$A178,Sheet1!$A:$A,G$2)&lt;&gt;0,SUMIFS(Sheet1!$E:$E,Sheet1!$C:$C,$A178,Sheet1!$A:$A,G$2),"")</f>
        <v/>
      </c>
      <c r="H178" s="9" t="str">
        <f>IF(SUMIFS(Sheet1!$E:$E,Sheet1!$C:$C,$A178,Sheet1!$A:$A,H$2)&lt;&gt;0,SUMIFS(Sheet1!$E:$E,Sheet1!$C:$C,$A178,Sheet1!$A:$A,H$2),"")</f>
        <v/>
      </c>
      <c r="I178" s="9" t="str">
        <f>IF(SUMIFS(Sheet1!$E:$E,Sheet1!$C:$C,$A178,Sheet1!$A:$A,I$2)&lt;&gt;0,SUMIFS(Sheet1!$E:$E,Sheet1!$C:$C,$A178,Sheet1!$A:$A,I$2),"")</f>
        <v/>
      </c>
      <c r="J178" s="9" t="str">
        <f>IF(SUMIFS(Sheet1!$E:$E,Sheet1!$C:$C,$A178,Sheet1!$A:$A,J$2)&lt;&gt;0,SUMIFS(Sheet1!$E:$E,Sheet1!$C:$C,$A178,Sheet1!$A:$A,J$2),"")</f>
        <v/>
      </c>
      <c r="K178" s="9" t="str">
        <f>IF(SUMIFS(Sheet1!$E:$E,Sheet1!$C:$C,$A178,Sheet1!$A:$A,K$2)&lt;&gt;0,SUMIFS(Sheet1!$E:$E,Sheet1!$C:$C,$A178,Sheet1!$A:$A,K$2),"")</f>
        <v/>
      </c>
      <c r="L178" s="9" t="str">
        <f>IF(SUMIFS(Sheet1!$E:$E,Sheet1!$C:$C,$A178,Sheet1!$A:$A,L$2)&lt;&gt;0,SUMIFS(Sheet1!$E:$E,Sheet1!$C:$C,$A178,Sheet1!$A:$A,L$2),"")</f>
        <v/>
      </c>
      <c r="M178" s="9" t="str">
        <f>IF(SUMIFS(Sheet1!$E:$E,Sheet1!$C:$C,$A178,Sheet1!$A:$A,M$2)&lt;&gt;0,SUMIFS(Sheet1!$E:$E,Sheet1!$C:$C,$A178,Sheet1!$A:$A,M$2),"")</f>
        <v/>
      </c>
      <c r="N178" s="9" t="str">
        <f>IF(SUMIFS(Sheet1!$E:$E,Sheet1!$C:$C,$A178,Sheet1!$A:$A,N$2)&lt;&gt;0,SUMIFS(Sheet1!$E:$E,Sheet1!$C:$C,$A178,Sheet1!$A:$A,N$2),"")</f>
        <v/>
      </c>
      <c r="O178" s="9" t="str">
        <f>IF(SUMIFS(Sheet1!$E:$E,Sheet1!$C:$C,$A178,Sheet1!$A:$A,O$2)&lt;&gt;0,SUMIFS(Sheet1!$E:$E,Sheet1!$C:$C,$A178,Sheet1!$A:$A,O$2),"")</f>
        <v/>
      </c>
      <c r="P178" s="9" t="str">
        <f>IF(SUMIFS(Sheet1!$E:$E,Sheet1!$C:$C,$A178,Sheet1!$A:$A,P$2)&lt;&gt;0,SUMIFS(Sheet1!$E:$E,Sheet1!$C:$C,$A178,Sheet1!$A:$A,P$2),"")</f>
        <v/>
      </c>
      <c r="Q178" s="9" t="str">
        <f>IF(SUMIFS(Sheet1!$E:$E,Sheet1!$C:$C,$A178,Sheet1!$A:$A,Q$2)&lt;&gt;0,SUMIFS(Sheet1!$E:$E,Sheet1!$C:$C,$A178,Sheet1!$A:$A,Q$2),"")</f>
        <v/>
      </c>
      <c r="R178" s="9" t="str">
        <f>IF(SUMIFS(Sheet1!$E:$E,Sheet1!$C:$C,$A178,Sheet1!$A:$A,R$2)&lt;&gt;0,SUMIFS(Sheet1!$E:$E,Sheet1!$C:$C,$A178,Sheet1!$A:$A,R$2),"")</f>
        <v/>
      </c>
      <c r="S178" s="9" t="str">
        <f>IF(SUMIFS(Sheet1!$E:$E,Sheet1!$C:$C,$A178,Sheet1!$A:$A,S$2)&lt;&gt;0,SUMIFS(Sheet1!$E:$E,Sheet1!$C:$C,$A178,Sheet1!$A:$A,S$2),"")</f>
        <v/>
      </c>
      <c r="T178" s="9" t="str">
        <f>IF(SUMIFS(Sheet1!$E:$E,Sheet1!$C:$C,$A178,Sheet1!$A:$A,T$2)&lt;&gt;0,SUMIFS(Sheet1!$E:$E,Sheet1!$C:$C,$A178,Sheet1!$A:$A,T$2),"")</f>
        <v/>
      </c>
      <c r="U178" s="9" t="str">
        <f>IF(SUMIFS(Sheet1!$E:$E,Sheet1!$C:$C,$A178,Sheet1!$A:$A,U$2)&lt;&gt;0,SUMIFS(Sheet1!$E:$E,Sheet1!$C:$C,$A178,Sheet1!$A:$A,U$2),"")</f>
        <v/>
      </c>
      <c r="V178" s="9" t="str">
        <f>IF(SUMIFS(Sheet1!$E:$E,Sheet1!$C:$C,$A178,Sheet1!$A:$A,V$2)&lt;&gt;0,SUMIFS(Sheet1!$E:$E,Sheet1!$C:$C,$A178,Sheet1!$A:$A,V$2),"")</f>
        <v/>
      </c>
      <c r="W178" s="9" t="str">
        <f>IF(SUMIFS(Sheet1!$E:$E,Sheet1!$C:$C,$A178,Sheet1!$A:$A,W$2)&lt;&gt;0,SUMIFS(Sheet1!$E:$E,Sheet1!$C:$C,$A178,Sheet1!$A:$A,W$2),"")</f>
        <v/>
      </c>
      <c r="X178" s="9" t="str">
        <f>IF(SUMIFS(Sheet1!$E:$E,Sheet1!$C:$C,$A178,Sheet1!$A:$A,X$2)&lt;&gt;0,SUMIFS(Sheet1!$E:$E,Sheet1!$C:$C,$A178,Sheet1!$A:$A,X$2),"")</f>
        <v/>
      </c>
      <c r="Y178" s="9" t="str">
        <f>IF(SUMIFS(Sheet1!$E:$E,Sheet1!$C:$C,$A178,Sheet1!$A:$A,Y$2)&lt;&gt;0,SUMIFS(Sheet1!$E:$E,Sheet1!$C:$C,$A178,Sheet1!$A:$A,Y$2),"")</f>
        <v/>
      </c>
      <c r="Z178" s="9" t="str">
        <f>IF(SUMIFS(Sheet1!$E:$E,Sheet1!$C:$C,$A178,Sheet1!$A:$A,Z$2)&lt;&gt;0,SUMIFS(Sheet1!$E:$E,Sheet1!$C:$C,$A178,Sheet1!$A:$A,Z$2),"")</f>
        <v/>
      </c>
      <c r="AA178" s="9" t="str">
        <f>IF(SUMIFS(Sheet1!$E:$E,Sheet1!$C:$C,$A178,Sheet1!$A:$A,AA$2)&lt;&gt;0,SUMIFS(Sheet1!$E:$E,Sheet1!$C:$C,$A178,Sheet1!$A:$A,AA$2),"")</f>
        <v/>
      </c>
      <c r="AB178" s="9" t="str">
        <f>IF(SUMIFS(Sheet1!$E:$E,Sheet1!$C:$C,$A178,Sheet1!$A:$A,AB$2)&lt;&gt;0,SUMIFS(Sheet1!$E:$E,Sheet1!$C:$C,$A178,Sheet1!$A:$A,AB$2),"")</f>
        <v/>
      </c>
      <c r="AC178" s="9" t="str">
        <f>IF(SUMIFS(Sheet1!$E:$E,Sheet1!$C:$C,$A178,Sheet1!$A:$A,AC$2)&lt;&gt;0,SUMIFS(Sheet1!$E:$E,Sheet1!$C:$C,$A178,Sheet1!$A:$A,AC$2),"")</f>
        <v/>
      </c>
      <c r="AD178" s="9" t="str">
        <f>IF(SUMIFS(Sheet1!$E:$E,Sheet1!$C:$C,$A178,Sheet1!$A:$A,AD$2)&lt;&gt;0,SUMIFS(Sheet1!$E:$E,Sheet1!$C:$C,$A178,Sheet1!$A:$A,AD$2),"")</f>
        <v/>
      </c>
      <c r="AE178" s="9" t="str">
        <f>IF(SUMIFS(Sheet1!$E:$E,Sheet1!$C:$C,$A178,Sheet1!$A:$A,AE$2)&lt;&gt;0,SUMIFS(Sheet1!$E:$E,Sheet1!$C:$C,$A178,Sheet1!$A:$A,AE$2),"")</f>
        <v/>
      </c>
      <c r="AF178" s="9" t="str">
        <f>IF(SUMIFS(Sheet1!$E:$E,Sheet1!$C:$C,$A178,Sheet1!$A:$A,AF$2)&lt;&gt;0,SUMIFS(Sheet1!$E:$E,Sheet1!$C:$C,$A178,Sheet1!$A:$A,AF$2),"")</f>
        <v/>
      </c>
      <c r="AG178" s="9" t="str">
        <f>IF(SUMIFS(Sheet1!$E:$E,Sheet1!$C:$C,$A178,Sheet1!$A:$A,AG$2)&lt;&gt;0,SUMIFS(Sheet1!$E:$E,Sheet1!$C:$C,$A178,Sheet1!$A:$A,AG$2),"")</f>
        <v/>
      </c>
      <c r="AH178" s="47">
        <f>SUM(Table24[[#This Row],[1]:[31]])</f>
        <v>0</v>
      </c>
    </row>
    <row r="179" spans="1:34" ht="12.75" customHeight="1">
      <c r="A179" s="24" t="str">
        <f>DSSP!A178</f>
        <v>GC103</v>
      </c>
      <c r="B179" s="25" t="str">
        <f>DSSP!B178</f>
        <v>Chìa khoá</v>
      </c>
      <c r="C179" s="9">
        <f>IF(SUMIFS(Sheet1!$E:$E,Sheet1!$C:$C,$A179,Sheet1!$A:$A,C$2)&lt;&gt;0,SUMIFS(Sheet1!$E:$E,Sheet1!$C:$C,$A179,Sheet1!$A:$A,C$2),"")</f>
        <v>2</v>
      </c>
      <c r="D179" s="9" t="str">
        <f>IF(SUMIFS(Sheet1!$E:$E,Sheet1!$C:$C,$A179,Sheet1!$A:$A,D$2)&lt;&gt;0,SUMIFS(Sheet1!$E:$E,Sheet1!$C:$C,$A179,Sheet1!$A:$A,D$2),"")</f>
        <v/>
      </c>
      <c r="E179" s="9" t="str">
        <f>IF(SUMIFS(Sheet1!$E:$E,Sheet1!$C:$C,$A179,Sheet1!$A:$A,E$2)&lt;&gt;0,SUMIFS(Sheet1!$E:$E,Sheet1!$C:$C,$A179,Sheet1!$A:$A,E$2),"")</f>
        <v/>
      </c>
      <c r="F179" s="9" t="str">
        <f>IF(SUMIFS(Sheet1!$E:$E,Sheet1!$C:$C,$A179,Sheet1!$A:$A,F$2)&lt;&gt;0,SUMIFS(Sheet1!$E:$E,Sheet1!$C:$C,$A179,Sheet1!$A:$A,F$2),"")</f>
        <v/>
      </c>
      <c r="G179" s="9" t="str">
        <f>IF(SUMIFS(Sheet1!$E:$E,Sheet1!$C:$C,$A179,Sheet1!$A:$A,G$2)&lt;&gt;0,SUMIFS(Sheet1!$E:$E,Sheet1!$C:$C,$A179,Sheet1!$A:$A,G$2),"")</f>
        <v/>
      </c>
      <c r="H179" s="9" t="str">
        <f>IF(SUMIFS(Sheet1!$E:$E,Sheet1!$C:$C,$A179,Sheet1!$A:$A,H$2)&lt;&gt;0,SUMIFS(Sheet1!$E:$E,Sheet1!$C:$C,$A179,Sheet1!$A:$A,H$2),"")</f>
        <v/>
      </c>
      <c r="I179" s="9" t="str">
        <f>IF(SUMIFS(Sheet1!$E:$E,Sheet1!$C:$C,$A179,Sheet1!$A:$A,I$2)&lt;&gt;0,SUMIFS(Sheet1!$E:$E,Sheet1!$C:$C,$A179,Sheet1!$A:$A,I$2),"")</f>
        <v/>
      </c>
      <c r="J179" s="9" t="str">
        <f>IF(SUMIFS(Sheet1!$E:$E,Sheet1!$C:$C,$A179,Sheet1!$A:$A,J$2)&lt;&gt;0,SUMIFS(Sheet1!$E:$E,Sheet1!$C:$C,$A179,Sheet1!$A:$A,J$2),"")</f>
        <v/>
      </c>
      <c r="K179" s="9" t="str">
        <f>IF(SUMIFS(Sheet1!$E:$E,Sheet1!$C:$C,$A179,Sheet1!$A:$A,K$2)&lt;&gt;0,SUMIFS(Sheet1!$E:$E,Sheet1!$C:$C,$A179,Sheet1!$A:$A,K$2),"")</f>
        <v/>
      </c>
      <c r="L179" s="9" t="str">
        <f>IF(SUMIFS(Sheet1!$E:$E,Sheet1!$C:$C,$A179,Sheet1!$A:$A,L$2)&lt;&gt;0,SUMIFS(Sheet1!$E:$E,Sheet1!$C:$C,$A179,Sheet1!$A:$A,L$2),"")</f>
        <v/>
      </c>
      <c r="M179" s="9" t="str">
        <f>IF(SUMIFS(Sheet1!$E:$E,Sheet1!$C:$C,$A179,Sheet1!$A:$A,M$2)&lt;&gt;0,SUMIFS(Sheet1!$E:$E,Sheet1!$C:$C,$A179,Sheet1!$A:$A,M$2),"")</f>
        <v/>
      </c>
      <c r="N179" s="9" t="str">
        <f>IF(SUMIFS(Sheet1!$E:$E,Sheet1!$C:$C,$A179,Sheet1!$A:$A,N$2)&lt;&gt;0,SUMIFS(Sheet1!$E:$E,Sheet1!$C:$C,$A179,Sheet1!$A:$A,N$2),"")</f>
        <v/>
      </c>
      <c r="O179" s="9" t="str">
        <f>IF(SUMIFS(Sheet1!$E:$E,Sheet1!$C:$C,$A179,Sheet1!$A:$A,O$2)&lt;&gt;0,SUMIFS(Sheet1!$E:$E,Sheet1!$C:$C,$A179,Sheet1!$A:$A,O$2),"")</f>
        <v/>
      </c>
      <c r="P179" s="9" t="str">
        <f>IF(SUMIFS(Sheet1!$E:$E,Sheet1!$C:$C,$A179,Sheet1!$A:$A,P$2)&lt;&gt;0,SUMIFS(Sheet1!$E:$E,Sheet1!$C:$C,$A179,Sheet1!$A:$A,P$2),"")</f>
        <v/>
      </c>
      <c r="Q179" s="9" t="str">
        <f>IF(SUMIFS(Sheet1!$E:$E,Sheet1!$C:$C,$A179,Sheet1!$A:$A,Q$2)&lt;&gt;0,SUMIFS(Sheet1!$E:$E,Sheet1!$C:$C,$A179,Sheet1!$A:$A,Q$2),"")</f>
        <v/>
      </c>
      <c r="R179" s="9" t="str">
        <f>IF(SUMIFS(Sheet1!$E:$E,Sheet1!$C:$C,$A179,Sheet1!$A:$A,R$2)&lt;&gt;0,SUMIFS(Sheet1!$E:$E,Sheet1!$C:$C,$A179,Sheet1!$A:$A,R$2),"")</f>
        <v/>
      </c>
      <c r="S179" s="9" t="str">
        <f>IF(SUMIFS(Sheet1!$E:$E,Sheet1!$C:$C,$A179,Sheet1!$A:$A,S$2)&lt;&gt;0,SUMIFS(Sheet1!$E:$E,Sheet1!$C:$C,$A179,Sheet1!$A:$A,S$2),"")</f>
        <v/>
      </c>
      <c r="T179" s="9" t="str">
        <f>IF(SUMIFS(Sheet1!$E:$E,Sheet1!$C:$C,$A179,Sheet1!$A:$A,T$2)&lt;&gt;0,SUMIFS(Sheet1!$E:$E,Sheet1!$C:$C,$A179,Sheet1!$A:$A,T$2),"")</f>
        <v/>
      </c>
      <c r="U179" s="9" t="str">
        <f>IF(SUMIFS(Sheet1!$E:$E,Sheet1!$C:$C,$A179,Sheet1!$A:$A,U$2)&lt;&gt;0,SUMIFS(Sheet1!$E:$E,Sheet1!$C:$C,$A179,Sheet1!$A:$A,U$2),"")</f>
        <v/>
      </c>
      <c r="V179" s="9" t="str">
        <f>IF(SUMIFS(Sheet1!$E:$E,Sheet1!$C:$C,$A179,Sheet1!$A:$A,V$2)&lt;&gt;0,SUMIFS(Sheet1!$E:$E,Sheet1!$C:$C,$A179,Sheet1!$A:$A,V$2),"")</f>
        <v/>
      </c>
      <c r="W179" s="9" t="str">
        <f>IF(SUMIFS(Sheet1!$E:$E,Sheet1!$C:$C,$A179,Sheet1!$A:$A,W$2)&lt;&gt;0,SUMIFS(Sheet1!$E:$E,Sheet1!$C:$C,$A179,Sheet1!$A:$A,W$2),"")</f>
        <v/>
      </c>
      <c r="X179" s="9" t="str">
        <f>IF(SUMIFS(Sheet1!$E:$E,Sheet1!$C:$C,$A179,Sheet1!$A:$A,X$2)&lt;&gt;0,SUMIFS(Sheet1!$E:$E,Sheet1!$C:$C,$A179,Sheet1!$A:$A,X$2),"")</f>
        <v/>
      </c>
      <c r="Y179" s="9" t="str">
        <f>IF(SUMIFS(Sheet1!$E:$E,Sheet1!$C:$C,$A179,Sheet1!$A:$A,Y$2)&lt;&gt;0,SUMIFS(Sheet1!$E:$E,Sheet1!$C:$C,$A179,Sheet1!$A:$A,Y$2),"")</f>
        <v/>
      </c>
      <c r="Z179" s="9" t="str">
        <f>IF(SUMIFS(Sheet1!$E:$E,Sheet1!$C:$C,$A179,Sheet1!$A:$A,Z$2)&lt;&gt;0,SUMIFS(Sheet1!$E:$E,Sheet1!$C:$C,$A179,Sheet1!$A:$A,Z$2),"")</f>
        <v/>
      </c>
      <c r="AA179" s="9" t="str">
        <f>IF(SUMIFS(Sheet1!$E:$E,Sheet1!$C:$C,$A179,Sheet1!$A:$A,AA$2)&lt;&gt;0,SUMIFS(Sheet1!$E:$E,Sheet1!$C:$C,$A179,Sheet1!$A:$A,AA$2),"")</f>
        <v/>
      </c>
      <c r="AB179" s="9" t="str">
        <f>IF(SUMIFS(Sheet1!$E:$E,Sheet1!$C:$C,$A179,Sheet1!$A:$A,AB$2)&lt;&gt;0,SUMIFS(Sheet1!$E:$E,Sheet1!$C:$C,$A179,Sheet1!$A:$A,AB$2),"")</f>
        <v/>
      </c>
      <c r="AC179" s="9" t="str">
        <f>IF(SUMIFS(Sheet1!$E:$E,Sheet1!$C:$C,$A179,Sheet1!$A:$A,AC$2)&lt;&gt;0,SUMIFS(Sheet1!$E:$E,Sheet1!$C:$C,$A179,Sheet1!$A:$A,AC$2),"")</f>
        <v/>
      </c>
      <c r="AD179" s="9" t="str">
        <f>IF(SUMIFS(Sheet1!$E:$E,Sheet1!$C:$C,$A179,Sheet1!$A:$A,AD$2)&lt;&gt;0,SUMIFS(Sheet1!$E:$E,Sheet1!$C:$C,$A179,Sheet1!$A:$A,AD$2),"")</f>
        <v/>
      </c>
      <c r="AE179" s="9" t="str">
        <f>IF(SUMIFS(Sheet1!$E:$E,Sheet1!$C:$C,$A179,Sheet1!$A:$A,AE$2)&lt;&gt;0,SUMIFS(Sheet1!$E:$E,Sheet1!$C:$C,$A179,Sheet1!$A:$A,AE$2),"")</f>
        <v/>
      </c>
      <c r="AF179" s="9" t="str">
        <f>IF(SUMIFS(Sheet1!$E:$E,Sheet1!$C:$C,$A179,Sheet1!$A:$A,AF$2)&lt;&gt;0,SUMIFS(Sheet1!$E:$E,Sheet1!$C:$C,$A179,Sheet1!$A:$A,AF$2),"")</f>
        <v/>
      </c>
      <c r="AG179" s="9" t="str">
        <f>IF(SUMIFS(Sheet1!$E:$E,Sheet1!$C:$C,$A179,Sheet1!$A:$A,AG$2)&lt;&gt;0,SUMIFS(Sheet1!$E:$E,Sheet1!$C:$C,$A179,Sheet1!$A:$A,AG$2),"")</f>
        <v/>
      </c>
      <c r="AH179" s="47">
        <f>SUM(Table24[[#This Row],[1]:[31]])</f>
        <v>2</v>
      </c>
    </row>
    <row r="180" spans="1:34" ht="12.75" customHeight="1">
      <c r="A180" s="24" t="str">
        <f>DSSP!A179</f>
        <v>GC104</v>
      </c>
      <c r="B180" s="25" t="str">
        <f>DSSP!B179</f>
        <v>Ổ khoá</v>
      </c>
      <c r="C180" s="9" t="str">
        <f>IF(SUMIFS(Sheet1!$E:$E,Sheet1!$C:$C,$A180,Sheet1!$A:$A,C$2)&lt;&gt;0,SUMIFS(Sheet1!$E:$E,Sheet1!$C:$C,$A180,Sheet1!$A:$A,C$2),"")</f>
        <v/>
      </c>
      <c r="D180" s="9" t="str">
        <f>IF(SUMIFS(Sheet1!$E:$E,Sheet1!$C:$C,$A180,Sheet1!$A:$A,D$2)&lt;&gt;0,SUMIFS(Sheet1!$E:$E,Sheet1!$C:$C,$A180,Sheet1!$A:$A,D$2),"")</f>
        <v/>
      </c>
      <c r="E180" s="9" t="str">
        <f>IF(SUMIFS(Sheet1!$E:$E,Sheet1!$C:$C,$A180,Sheet1!$A:$A,E$2)&lt;&gt;0,SUMIFS(Sheet1!$E:$E,Sheet1!$C:$C,$A180,Sheet1!$A:$A,E$2),"")</f>
        <v/>
      </c>
      <c r="F180" s="9" t="str">
        <f>IF(SUMIFS(Sheet1!$E:$E,Sheet1!$C:$C,$A180,Sheet1!$A:$A,F$2)&lt;&gt;0,SUMIFS(Sheet1!$E:$E,Sheet1!$C:$C,$A180,Sheet1!$A:$A,F$2),"")</f>
        <v/>
      </c>
      <c r="G180" s="9" t="str">
        <f>IF(SUMIFS(Sheet1!$E:$E,Sheet1!$C:$C,$A180,Sheet1!$A:$A,G$2)&lt;&gt;0,SUMIFS(Sheet1!$E:$E,Sheet1!$C:$C,$A180,Sheet1!$A:$A,G$2),"")</f>
        <v/>
      </c>
      <c r="H180" s="9" t="str">
        <f>IF(SUMIFS(Sheet1!$E:$E,Sheet1!$C:$C,$A180,Sheet1!$A:$A,H$2)&lt;&gt;0,SUMIFS(Sheet1!$E:$E,Sheet1!$C:$C,$A180,Sheet1!$A:$A,H$2),"")</f>
        <v/>
      </c>
      <c r="I180" s="9" t="str">
        <f>IF(SUMIFS(Sheet1!$E:$E,Sheet1!$C:$C,$A180,Sheet1!$A:$A,I$2)&lt;&gt;0,SUMIFS(Sheet1!$E:$E,Sheet1!$C:$C,$A180,Sheet1!$A:$A,I$2),"")</f>
        <v/>
      </c>
      <c r="J180" s="9" t="str">
        <f>IF(SUMIFS(Sheet1!$E:$E,Sheet1!$C:$C,$A180,Sheet1!$A:$A,J$2)&lt;&gt;0,SUMIFS(Sheet1!$E:$E,Sheet1!$C:$C,$A180,Sheet1!$A:$A,J$2),"")</f>
        <v/>
      </c>
      <c r="K180" s="9" t="str">
        <f>IF(SUMIFS(Sheet1!$E:$E,Sheet1!$C:$C,$A180,Sheet1!$A:$A,K$2)&lt;&gt;0,SUMIFS(Sheet1!$E:$E,Sheet1!$C:$C,$A180,Sheet1!$A:$A,K$2),"")</f>
        <v/>
      </c>
      <c r="L180" s="9" t="str">
        <f>IF(SUMIFS(Sheet1!$E:$E,Sheet1!$C:$C,$A180,Sheet1!$A:$A,L$2)&lt;&gt;0,SUMIFS(Sheet1!$E:$E,Sheet1!$C:$C,$A180,Sheet1!$A:$A,L$2),"")</f>
        <v/>
      </c>
      <c r="M180" s="9" t="str">
        <f>IF(SUMIFS(Sheet1!$E:$E,Sheet1!$C:$C,$A180,Sheet1!$A:$A,M$2)&lt;&gt;0,SUMIFS(Sheet1!$E:$E,Sheet1!$C:$C,$A180,Sheet1!$A:$A,M$2),"")</f>
        <v/>
      </c>
      <c r="N180" s="9" t="str">
        <f>IF(SUMIFS(Sheet1!$E:$E,Sheet1!$C:$C,$A180,Sheet1!$A:$A,N$2)&lt;&gt;0,SUMIFS(Sheet1!$E:$E,Sheet1!$C:$C,$A180,Sheet1!$A:$A,N$2),"")</f>
        <v/>
      </c>
      <c r="O180" s="9" t="str">
        <f>IF(SUMIFS(Sheet1!$E:$E,Sheet1!$C:$C,$A180,Sheet1!$A:$A,O$2)&lt;&gt;0,SUMIFS(Sheet1!$E:$E,Sheet1!$C:$C,$A180,Sheet1!$A:$A,O$2),"")</f>
        <v/>
      </c>
      <c r="P180" s="9" t="str">
        <f>IF(SUMIFS(Sheet1!$E:$E,Sheet1!$C:$C,$A180,Sheet1!$A:$A,P$2)&lt;&gt;0,SUMIFS(Sheet1!$E:$E,Sheet1!$C:$C,$A180,Sheet1!$A:$A,P$2),"")</f>
        <v/>
      </c>
      <c r="Q180" s="9" t="str">
        <f>IF(SUMIFS(Sheet1!$E:$E,Sheet1!$C:$C,$A180,Sheet1!$A:$A,Q$2)&lt;&gt;0,SUMIFS(Sheet1!$E:$E,Sheet1!$C:$C,$A180,Sheet1!$A:$A,Q$2),"")</f>
        <v/>
      </c>
      <c r="R180" s="9" t="str">
        <f>IF(SUMIFS(Sheet1!$E:$E,Sheet1!$C:$C,$A180,Sheet1!$A:$A,R$2)&lt;&gt;0,SUMIFS(Sheet1!$E:$E,Sheet1!$C:$C,$A180,Sheet1!$A:$A,R$2),"")</f>
        <v/>
      </c>
      <c r="S180" s="9" t="str">
        <f>IF(SUMIFS(Sheet1!$E:$E,Sheet1!$C:$C,$A180,Sheet1!$A:$A,S$2)&lt;&gt;0,SUMIFS(Sheet1!$E:$E,Sheet1!$C:$C,$A180,Sheet1!$A:$A,S$2),"")</f>
        <v/>
      </c>
      <c r="T180" s="9" t="str">
        <f>IF(SUMIFS(Sheet1!$E:$E,Sheet1!$C:$C,$A180,Sheet1!$A:$A,T$2)&lt;&gt;0,SUMIFS(Sheet1!$E:$E,Sheet1!$C:$C,$A180,Sheet1!$A:$A,T$2),"")</f>
        <v/>
      </c>
      <c r="U180" s="9" t="str">
        <f>IF(SUMIFS(Sheet1!$E:$E,Sheet1!$C:$C,$A180,Sheet1!$A:$A,U$2)&lt;&gt;0,SUMIFS(Sheet1!$E:$E,Sheet1!$C:$C,$A180,Sheet1!$A:$A,U$2),"")</f>
        <v/>
      </c>
      <c r="V180" s="9" t="str">
        <f>IF(SUMIFS(Sheet1!$E:$E,Sheet1!$C:$C,$A180,Sheet1!$A:$A,V$2)&lt;&gt;0,SUMIFS(Sheet1!$E:$E,Sheet1!$C:$C,$A180,Sheet1!$A:$A,V$2),"")</f>
        <v/>
      </c>
      <c r="W180" s="9" t="str">
        <f>IF(SUMIFS(Sheet1!$E:$E,Sheet1!$C:$C,$A180,Sheet1!$A:$A,W$2)&lt;&gt;0,SUMIFS(Sheet1!$E:$E,Sheet1!$C:$C,$A180,Sheet1!$A:$A,W$2),"")</f>
        <v/>
      </c>
      <c r="X180" s="9" t="str">
        <f>IF(SUMIFS(Sheet1!$E:$E,Sheet1!$C:$C,$A180,Sheet1!$A:$A,X$2)&lt;&gt;0,SUMIFS(Sheet1!$E:$E,Sheet1!$C:$C,$A180,Sheet1!$A:$A,X$2),"")</f>
        <v/>
      </c>
      <c r="Y180" s="9" t="str">
        <f>IF(SUMIFS(Sheet1!$E:$E,Sheet1!$C:$C,$A180,Sheet1!$A:$A,Y$2)&lt;&gt;0,SUMIFS(Sheet1!$E:$E,Sheet1!$C:$C,$A180,Sheet1!$A:$A,Y$2),"")</f>
        <v/>
      </c>
      <c r="Z180" s="9" t="str">
        <f>IF(SUMIFS(Sheet1!$E:$E,Sheet1!$C:$C,$A180,Sheet1!$A:$A,Z$2)&lt;&gt;0,SUMIFS(Sheet1!$E:$E,Sheet1!$C:$C,$A180,Sheet1!$A:$A,Z$2),"")</f>
        <v/>
      </c>
      <c r="AA180" s="9" t="str">
        <f>IF(SUMIFS(Sheet1!$E:$E,Sheet1!$C:$C,$A180,Sheet1!$A:$A,AA$2)&lt;&gt;0,SUMIFS(Sheet1!$E:$E,Sheet1!$C:$C,$A180,Sheet1!$A:$A,AA$2),"")</f>
        <v/>
      </c>
      <c r="AB180" s="9" t="str">
        <f>IF(SUMIFS(Sheet1!$E:$E,Sheet1!$C:$C,$A180,Sheet1!$A:$A,AB$2)&lt;&gt;0,SUMIFS(Sheet1!$E:$E,Sheet1!$C:$C,$A180,Sheet1!$A:$A,AB$2),"")</f>
        <v/>
      </c>
      <c r="AC180" s="9" t="str">
        <f>IF(SUMIFS(Sheet1!$E:$E,Sheet1!$C:$C,$A180,Sheet1!$A:$A,AC$2)&lt;&gt;0,SUMIFS(Sheet1!$E:$E,Sheet1!$C:$C,$A180,Sheet1!$A:$A,AC$2),"")</f>
        <v/>
      </c>
      <c r="AD180" s="9" t="str">
        <f>IF(SUMIFS(Sheet1!$E:$E,Sheet1!$C:$C,$A180,Sheet1!$A:$A,AD$2)&lt;&gt;0,SUMIFS(Sheet1!$E:$E,Sheet1!$C:$C,$A180,Sheet1!$A:$A,AD$2),"")</f>
        <v/>
      </c>
      <c r="AE180" s="9" t="str">
        <f>IF(SUMIFS(Sheet1!$E:$E,Sheet1!$C:$C,$A180,Sheet1!$A:$A,AE$2)&lt;&gt;0,SUMIFS(Sheet1!$E:$E,Sheet1!$C:$C,$A180,Sheet1!$A:$A,AE$2),"")</f>
        <v/>
      </c>
      <c r="AF180" s="9" t="str">
        <f>IF(SUMIFS(Sheet1!$E:$E,Sheet1!$C:$C,$A180,Sheet1!$A:$A,AF$2)&lt;&gt;0,SUMIFS(Sheet1!$E:$E,Sheet1!$C:$C,$A180,Sheet1!$A:$A,AF$2),"")</f>
        <v/>
      </c>
      <c r="AG180" s="9" t="str">
        <f>IF(SUMIFS(Sheet1!$E:$E,Sheet1!$C:$C,$A180,Sheet1!$A:$A,AG$2)&lt;&gt;0,SUMIFS(Sheet1!$E:$E,Sheet1!$C:$C,$A180,Sheet1!$A:$A,AG$2),"")</f>
        <v/>
      </c>
      <c r="AH180" s="47">
        <f>SUM(Table24[[#This Row],[1]:[31]])</f>
        <v>0</v>
      </c>
    </row>
    <row r="181" spans="1:34" ht="12.75" customHeight="1">
      <c r="A181" s="24" t="str">
        <f>DSSP!A180</f>
        <v>GC105</v>
      </c>
      <c r="B181" s="25" t="str">
        <f>DSSP!B180</f>
        <v>Nhẫn cú</v>
      </c>
      <c r="C181" s="9" t="str">
        <f>IF(SUMIFS(Sheet1!$E:$E,Sheet1!$C:$C,$A181,Sheet1!$A:$A,C$2)&lt;&gt;0,SUMIFS(Sheet1!$E:$E,Sheet1!$C:$C,$A181,Sheet1!$A:$A,C$2),"")</f>
        <v/>
      </c>
      <c r="D181" s="9" t="str">
        <f>IF(SUMIFS(Sheet1!$E:$E,Sheet1!$C:$C,$A181,Sheet1!$A:$A,D$2)&lt;&gt;0,SUMIFS(Sheet1!$E:$E,Sheet1!$C:$C,$A181,Sheet1!$A:$A,D$2),"")</f>
        <v/>
      </c>
      <c r="E181" s="9" t="str">
        <f>IF(SUMIFS(Sheet1!$E:$E,Sheet1!$C:$C,$A181,Sheet1!$A:$A,E$2)&lt;&gt;0,SUMIFS(Sheet1!$E:$E,Sheet1!$C:$C,$A181,Sheet1!$A:$A,E$2),"")</f>
        <v/>
      </c>
      <c r="F181" s="9" t="str">
        <f>IF(SUMIFS(Sheet1!$E:$E,Sheet1!$C:$C,$A181,Sheet1!$A:$A,F$2)&lt;&gt;0,SUMIFS(Sheet1!$E:$E,Sheet1!$C:$C,$A181,Sheet1!$A:$A,F$2),"")</f>
        <v/>
      </c>
      <c r="G181" s="9" t="str">
        <f>IF(SUMIFS(Sheet1!$E:$E,Sheet1!$C:$C,$A181,Sheet1!$A:$A,G$2)&lt;&gt;0,SUMIFS(Sheet1!$E:$E,Sheet1!$C:$C,$A181,Sheet1!$A:$A,G$2),"")</f>
        <v/>
      </c>
      <c r="H181" s="9" t="str">
        <f>IF(SUMIFS(Sheet1!$E:$E,Sheet1!$C:$C,$A181,Sheet1!$A:$A,H$2)&lt;&gt;0,SUMIFS(Sheet1!$E:$E,Sheet1!$C:$C,$A181,Sheet1!$A:$A,H$2),"")</f>
        <v/>
      </c>
      <c r="I181" s="9" t="str">
        <f>IF(SUMIFS(Sheet1!$E:$E,Sheet1!$C:$C,$A181,Sheet1!$A:$A,I$2)&lt;&gt;0,SUMIFS(Sheet1!$E:$E,Sheet1!$C:$C,$A181,Sheet1!$A:$A,I$2),"")</f>
        <v/>
      </c>
      <c r="J181" s="9" t="str">
        <f>IF(SUMIFS(Sheet1!$E:$E,Sheet1!$C:$C,$A181,Sheet1!$A:$A,J$2)&lt;&gt;0,SUMIFS(Sheet1!$E:$E,Sheet1!$C:$C,$A181,Sheet1!$A:$A,J$2),"")</f>
        <v/>
      </c>
      <c r="K181" s="9" t="str">
        <f>IF(SUMIFS(Sheet1!$E:$E,Sheet1!$C:$C,$A181,Sheet1!$A:$A,K$2)&lt;&gt;0,SUMIFS(Sheet1!$E:$E,Sheet1!$C:$C,$A181,Sheet1!$A:$A,K$2),"")</f>
        <v/>
      </c>
      <c r="L181" s="9" t="str">
        <f>IF(SUMIFS(Sheet1!$E:$E,Sheet1!$C:$C,$A181,Sheet1!$A:$A,L$2)&lt;&gt;0,SUMIFS(Sheet1!$E:$E,Sheet1!$C:$C,$A181,Sheet1!$A:$A,L$2),"")</f>
        <v/>
      </c>
      <c r="M181" s="9" t="str">
        <f>IF(SUMIFS(Sheet1!$E:$E,Sheet1!$C:$C,$A181,Sheet1!$A:$A,M$2)&lt;&gt;0,SUMIFS(Sheet1!$E:$E,Sheet1!$C:$C,$A181,Sheet1!$A:$A,M$2),"")</f>
        <v/>
      </c>
      <c r="N181" s="9" t="str">
        <f>IF(SUMIFS(Sheet1!$E:$E,Sheet1!$C:$C,$A181,Sheet1!$A:$A,N$2)&lt;&gt;0,SUMIFS(Sheet1!$E:$E,Sheet1!$C:$C,$A181,Sheet1!$A:$A,N$2),"")</f>
        <v/>
      </c>
      <c r="O181" s="9" t="str">
        <f>IF(SUMIFS(Sheet1!$E:$E,Sheet1!$C:$C,$A181,Sheet1!$A:$A,O$2)&lt;&gt;0,SUMIFS(Sheet1!$E:$E,Sheet1!$C:$C,$A181,Sheet1!$A:$A,O$2),"")</f>
        <v/>
      </c>
      <c r="P181" s="9" t="str">
        <f>IF(SUMIFS(Sheet1!$E:$E,Sheet1!$C:$C,$A181,Sheet1!$A:$A,P$2)&lt;&gt;0,SUMIFS(Sheet1!$E:$E,Sheet1!$C:$C,$A181,Sheet1!$A:$A,P$2),"")</f>
        <v/>
      </c>
      <c r="Q181" s="9" t="str">
        <f>IF(SUMIFS(Sheet1!$E:$E,Sheet1!$C:$C,$A181,Sheet1!$A:$A,Q$2)&lt;&gt;0,SUMIFS(Sheet1!$E:$E,Sheet1!$C:$C,$A181,Sheet1!$A:$A,Q$2),"")</f>
        <v/>
      </c>
      <c r="R181" s="9" t="str">
        <f>IF(SUMIFS(Sheet1!$E:$E,Sheet1!$C:$C,$A181,Sheet1!$A:$A,R$2)&lt;&gt;0,SUMIFS(Sheet1!$E:$E,Sheet1!$C:$C,$A181,Sheet1!$A:$A,R$2),"")</f>
        <v/>
      </c>
      <c r="S181" s="9" t="str">
        <f>IF(SUMIFS(Sheet1!$E:$E,Sheet1!$C:$C,$A181,Sheet1!$A:$A,S$2)&lt;&gt;0,SUMIFS(Sheet1!$E:$E,Sheet1!$C:$C,$A181,Sheet1!$A:$A,S$2),"")</f>
        <v/>
      </c>
      <c r="T181" s="9" t="str">
        <f>IF(SUMIFS(Sheet1!$E:$E,Sheet1!$C:$C,$A181,Sheet1!$A:$A,T$2)&lt;&gt;0,SUMIFS(Sheet1!$E:$E,Sheet1!$C:$C,$A181,Sheet1!$A:$A,T$2),"")</f>
        <v/>
      </c>
      <c r="U181" s="9" t="str">
        <f>IF(SUMIFS(Sheet1!$E:$E,Sheet1!$C:$C,$A181,Sheet1!$A:$A,U$2)&lt;&gt;0,SUMIFS(Sheet1!$E:$E,Sheet1!$C:$C,$A181,Sheet1!$A:$A,U$2),"")</f>
        <v/>
      </c>
      <c r="V181" s="9" t="str">
        <f>IF(SUMIFS(Sheet1!$E:$E,Sheet1!$C:$C,$A181,Sheet1!$A:$A,V$2)&lt;&gt;0,SUMIFS(Sheet1!$E:$E,Sheet1!$C:$C,$A181,Sheet1!$A:$A,V$2),"")</f>
        <v/>
      </c>
      <c r="W181" s="9" t="str">
        <f>IF(SUMIFS(Sheet1!$E:$E,Sheet1!$C:$C,$A181,Sheet1!$A:$A,W$2)&lt;&gt;0,SUMIFS(Sheet1!$E:$E,Sheet1!$C:$C,$A181,Sheet1!$A:$A,W$2),"")</f>
        <v/>
      </c>
      <c r="X181" s="9" t="str">
        <f>IF(SUMIFS(Sheet1!$E:$E,Sheet1!$C:$C,$A181,Sheet1!$A:$A,X$2)&lt;&gt;0,SUMIFS(Sheet1!$E:$E,Sheet1!$C:$C,$A181,Sheet1!$A:$A,X$2),"")</f>
        <v/>
      </c>
      <c r="Y181" s="9" t="str">
        <f>IF(SUMIFS(Sheet1!$E:$E,Sheet1!$C:$C,$A181,Sheet1!$A:$A,Y$2)&lt;&gt;0,SUMIFS(Sheet1!$E:$E,Sheet1!$C:$C,$A181,Sheet1!$A:$A,Y$2),"")</f>
        <v/>
      </c>
      <c r="Z181" s="9" t="str">
        <f>IF(SUMIFS(Sheet1!$E:$E,Sheet1!$C:$C,$A181,Sheet1!$A:$A,Z$2)&lt;&gt;0,SUMIFS(Sheet1!$E:$E,Sheet1!$C:$C,$A181,Sheet1!$A:$A,Z$2),"")</f>
        <v/>
      </c>
      <c r="AA181" s="9" t="str">
        <f>IF(SUMIFS(Sheet1!$E:$E,Sheet1!$C:$C,$A181,Sheet1!$A:$A,AA$2)&lt;&gt;0,SUMIFS(Sheet1!$E:$E,Sheet1!$C:$C,$A181,Sheet1!$A:$A,AA$2),"")</f>
        <v/>
      </c>
      <c r="AB181" s="9" t="str">
        <f>IF(SUMIFS(Sheet1!$E:$E,Sheet1!$C:$C,$A181,Sheet1!$A:$A,AB$2)&lt;&gt;0,SUMIFS(Sheet1!$E:$E,Sheet1!$C:$C,$A181,Sheet1!$A:$A,AB$2),"")</f>
        <v/>
      </c>
      <c r="AC181" s="9" t="str">
        <f>IF(SUMIFS(Sheet1!$E:$E,Sheet1!$C:$C,$A181,Sheet1!$A:$A,AC$2)&lt;&gt;0,SUMIFS(Sheet1!$E:$E,Sheet1!$C:$C,$A181,Sheet1!$A:$A,AC$2),"")</f>
        <v/>
      </c>
      <c r="AD181" s="9" t="str">
        <f>IF(SUMIFS(Sheet1!$E:$E,Sheet1!$C:$C,$A181,Sheet1!$A:$A,AD$2)&lt;&gt;0,SUMIFS(Sheet1!$E:$E,Sheet1!$C:$C,$A181,Sheet1!$A:$A,AD$2),"")</f>
        <v/>
      </c>
      <c r="AE181" s="9" t="str">
        <f>IF(SUMIFS(Sheet1!$E:$E,Sheet1!$C:$C,$A181,Sheet1!$A:$A,AE$2)&lt;&gt;0,SUMIFS(Sheet1!$E:$E,Sheet1!$C:$C,$A181,Sheet1!$A:$A,AE$2),"")</f>
        <v/>
      </c>
      <c r="AF181" s="9" t="str">
        <f>IF(SUMIFS(Sheet1!$E:$E,Sheet1!$C:$C,$A181,Sheet1!$A:$A,AF$2)&lt;&gt;0,SUMIFS(Sheet1!$E:$E,Sheet1!$C:$C,$A181,Sheet1!$A:$A,AF$2),"")</f>
        <v/>
      </c>
      <c r="AG181" s="9" t="str">
        <f>IF(SUMIFS(Sheet1!$E:$E,Sheet1!$C:$C,$A181,Sheet1!$A:$A,AG$2)&lt;&gt;0,SUMIFS(Sheet1!$E:$E,Sheet1!$C:$C,$A181,Sheet1!$A:$A,AG$2),"")</f>
        <v/>
      </c>
      <c r="AH181" s="47">
        <f>SUM(Table24[[#This Row],[1]:[31]])</f>
        <v>0</v>
      </c>
    </row>
    <row r="182" spans="1:34" ht="12.75" customHeight="1">
      <c r="A182" s="24" t="str">
        <f>DSSP!A181</f>
        <v>GC106</v>
      </c>
      <c r="B182" s="25" t="str">
        <f>DSSP!B181</f>
        <v>Đôi cú trái tim</v>
      </c>
      <c r="C182" s="9" t="str">
        <f>IF(SUMIFS(Sheet1!$E:$E,Sheet1!$C:$C,$A182,Sheet1!$A:$A,C$2)&lt;&gt;0,SUMIFS(Sheet1!$E:$E,Sheet1!$C:$C,$A182,Sheet1!$A:$A,C$2),"")</f>
        <v/>
      </c>
      <c r="D182" s="9" t="str">
        <f>IF(SUMIFS(Sheet1!$E:$E,Sheet1!$C:$C,$A182,Sheet1!$A:$A,D$2)&lt;&gt;0,SUMIFS(Sheet1!$E:$E,Sheet1!$C:$C,$A182,Sheet1!$A:$A,D$2),"")</f>
        <v/>
      </c>
      <c r="E182" s="9" t="str">
        <f>IF(SUMIFS(Sheet1!$E:$E,Sheet1!$C:$C,$A182,Sheet1!$A:$A,E$2)&lt;&gt;0,SUMIFS(Sheet1!$E:$E,Sheet1!$C:$C,$A182,Sheet1!$A:$A,E$2),"")</f>
        <v/>
      </c>
      <c r="F182" s="9" t="str">
        <f>IF(SUMIFS(Sheet1!$E:$E,Sheet1!$C:$C,$A182,Sheet1!$A:$A,F$2)&lt;&gt;0,SUMIFS(Sheet1!$E:$E,Sheet1!$C:$C,$A182,Sheet1!$A:$A,F$2),"")</f>
        <v/>
      </c>
      <c r="G182" s="9" t="str">
        <f>IF(SUMIFS(Sheet1!$E:$E,Sheet1!$C:$C,$A182,Sheet1!$A:$A,G$2)&lt;&gt;0,SUMIFS(Sheet1!$E:$E,Sheet1!$C:$C,$A182,Sheet1!$A:$A,G$2),"")</f>
        <v/>
      </c>
      <c r="H182" s="9" t="str">
        <f>IF(SUMIFS(Sheet1!$E:$E,Sheet1!$C:$C,$A182,Sheet1!$A:$A,H$2)&lt;&gt;0,SUMIFS(Sheet1!$E:$E,Sheet1!$C:$C,$A182,Sheet1!$A:$A,H$2),"")</f>
        <v/>
      </c>
      <c r="I182" s="9" t="str">
        <f>IF(SUMIFS(Sheet1!$E:$E,Sheet1!$C:$C,$A182,Sheet1!$A:$A,I$2)&lt;&gt;0,SUMIFS(Sheet1!$E:$E,Sheet1!$C:$C,$A182,Sheet1!$A:$A,I$2),"")</f>
        <v/>
      </c>
      <c r="J182" s="9" t="str">
        <f>IF(SUMIFS(Sheet1!$E:$E,Sheet1!$C:$C,$A182,Sheet1!$A:$A,J$2)&lt;&gt;0,SUMIFS(Sheet1!$E:$E,Sheet1!$C:$C,$A182,Sheet1!$A:$A,J$2),"")</f>
        <v/>
      </c>
      <c r="K182" s="9" t="str">
        <f>IF(SUMIFS(Sheet1!$E:$E,Sheet1!$C:$C,$A182,Sheet1!$A:$A,K$2)&lt;&gt;0,SUMIFS(Sheet1!$E:$E,Sheet1!$C:$C,$A182,Sheet1!$A:$A,K$2),"")</f>
        <v/>
      </c>
      <c r="L182" s="9" t="str">
        <f>IF(SUMIFS(Sheet1!$E:$E,Sheet1!$C:$C,$A182,Sheet1!$A:$A,L$2)&lt;&gt;0,SUMIFS(Sheet1!$E:$E,Sheet1!$C:$C,$A182,Sheet1!$A:$A,L$2),"")</f>
        <v/>
      </c>
      <c r="M182" s="9" t="str">
        <f>IF(SUMIFS(Sheet1!$E:$E,Sheet1!$C:$C,$A182,Sheet1!$A:$A,M$2)&lt;&gt;0,SUMIFS(Sheet1!$E:$E,Sheet1!$C:$C,$A182,Sheet1!$A:$A,M$2),"")</f>
        <v/>
      </c>
      <c r="N182" s="9" t="str">
        <f>IF(SUMIFS(Sheet1!$E:$E,Sheet1!$C:$C,$A182,Sheet1!$A:$A,N$2)&lt;&gt;0,SUMIFS(Sheet1!$E:$E,Sheet1!$C:$C,$A182,Sheet1!$A:$A,N$2),"")</f>
        <v/>
      </c>
      <c r="O182" s="9" t="str">
        <f>IF(SUMIFS(Sheet1!$E:$E,Sheet1!$C:$C,$A182,Sheet1!$A:$A,O$2)&lt;&gt;0,SUMIFS(Sheet1!$E:$E,Sheet1!$C:$C,$A182,Sheet1!$A:$A,O$2),"")</f>
        <v/>
      </c>
      <c r="P182" s="9" t="str">
        <f>IF(SUMIFS(Sheet1!$E:$E,Sheet1!$C:$C,$A182,Sheet1!$A:$A,P$2)&lt;&gt;0,SUMIFS(Sheet1!$E:$E,Sheet1!$C:$C,$A182,Sheet1!$A:$A,P$2),"")</f>
        <v/>
      </c>
      <c r="Q182" s="9" t="str">
        <f>IF(SUMIFS(Sheet1!$E:$E,Sheet1!$C:$C,$A182,Sheet1!$A:$A,Q$2)&lt;&gt;0,SUMIFS(Sheet1!$E:$E,Sheet1!$C:$C,$A182,Sheet1!$A:$A,Q$2),"")</f>
        <v/>
      </c>
      <c r="R182" s="9" t="str">
        <f>IF(SUMIFS(Sheet1!$E:$E,Sheet1!$C:$C,$A182,Sheet1!$A:$A,R$2)&lt;&gt;0,SUMIFS(Sheet1!$E:$E,Sheet1!$C:$C,$A182,Sheet1!$A:$A,R$2),"")</f>
        <v/>
      </c>
      <c r="S182" s="9" t="str">
        <f>IF(SUMIFS(Sheet1!$E:$E,Sheet1!$C:$C,$A182,Sheet1!$A:$A,S$2)&lt;&gt;0,SUMIFS(Sheet1!$E:$E,Sheet1!$C:$C,$A182,Sheet1!$A:$A,S$2),"")</f>
        <v/>
      </c>
      <c r="T182" s="9" t="str">
        <f>IF(SUMIFS(Sheet1!$E:$E,Sheet1!$C:$C,$A182,Sheet1!$A:$A,T$2)&lt;&gt;0,SUMIFS(Sheet1!$E:$E,Sheet1!$C:$C,$A182,Sheet1!$A:$A,T$2),"")</f>
        <v/>
      </c>
      <c r="U182" s="9" t="str">
        <f>IF(SUMIFS(Sheet1!$E:$E,Sheet1!$C:$C,$A182,Sheet1!$A:$A,U$2)&lt;&gt;0,SUMIFS(Sheet1!$E:$E,Sheet1!$C:$C,$A182,Sheet1!$A:$A,U$2),"")</f>
        <v/>
      </c>
      <c r="V182" s="9" t="str">
        <f>IF(SUMIFS(Sheet1!$E:$E,Sheet1!$C:$C,$A182,Sheet1!$A:$A,V$2)&lt;&gt;0,SUMIFS(Sheet1!$E:$E,Sheet1!$C:$C,$A182,Sheet1!$A:$A,V$2),"")</f>
        <v/>
      </c>
      <c r="W182" s="9" t="str">
        <f>IF(SUMIFS(Sheet1!$E:$E,Sheet1!$C:$C,$A182,Sheet1!$A:$A,W$2)&lt;&gt;0,SUMIFS(Sheet1!$E:$E,Sheet1!$C:$C,$A182,Sheet1!$A:$A,W$2),"")</f>
        <v/>
      </c>
      <c r="X182" s="9" t="str">
        <f>IF(SUMIFS(Sheet1!$E:$E,Sheet1!$C:$C,$A182,Sheet1!$A:$A,X$2)&lt;&gt;0,SUMIFS(Sheet1!$E:$E,Sheet1!$C:$C,$A182,Sheet1!$A:$A,X$2),"")</f>
        <v/>
      </c>
      <c r="Y182" s="9" t="str">
        <f>IF(SUMIFS(Sheet1!$E:$E,Sheet1!$C:$C,$A182,Sheet1!$A:$A,Y$2)&lt;&gt;0,SUMIFS(Sheet1!$E:$E,Sheet1!$C:$C,$A182,Sheet1!$A:$A,Y$2),"")</f>
        <v/>
      </c>
      <c r="Z182" s="9" t="str">
        <f>IF(SUMIFS(Sheet1!$E:$E,Sheet1!$C:$C,$A182,Sheet1!$A:$A,Z$2)&lt;&gt;0,SUMIFS(Sheet1!$E:$E,Sheet1!$C:$C,$A182,Sheet1!$A:$A,Z$2),"")</f>
        <v/>
      </c>
      <c r="AA182" s="9" t="str">
        <f>IF(SUMIFS(Sheet1!$E:$E,Sheet1!$C:$C,$A182,Sheet1!$A:$A,AA$2)&lt;&gt;0,SUMIFS(Sheet1!$E:$E,Sheet1!$C:$C,$A182,Sheet1!$A:$A,AA$2),"")</f>
        <v/>
      </c>
      <c r="AB182" s="9" t="str">
        <f>IF(SUMIFS(Sheet1!$E:$E,Sheet1!$C:$C,$A182,Sheet1!$A:$A,AB$2)&lt;&gt;0,SUMIFS(Sheet1!$E:$E,Sheet1!$C:$C,$A182,Sheet1!$A:$A,AB$2),"")</f>
        <v/>
      </c>
      <c r="AC182" s="9" t="str">
        <f>IF(SUMIFS(Sheet1!$E:$E,Sheet1!$C:$C,$A182,Sheet1!$A:$A,AC$2)&lt;&gt;0,SUMIFS(Sheet1!$E:$E,Sheet1!$C:$C,$A182,Sheet1!$A:$A,AC$2),"")</f>
        <v/>
      </c>
      <c r="AD182" s="9" t="str">
        <f>IF(SUMIFS(Sheet1!$E:$E,Sheet1!$C:$C,$A182,Sheet1!$A:$A,AD$2)&lt;&gt;0,SUMIFS(Sheet1!$E:$E,Sheet1!$C:$C,$A182,Sheet1!$A:$A,AD$2),"")</f>
        <v/>
      </c>
      <c r="AE182" s="9" t="str">
        <f>IF(SUMIFS(Sheet1!$E:$E,Sheet1!$C:$C,$A182,Sheet1!$A:$A,AE$2)&lt;&gt;0,SUMIFS(Sheet1!$E:$E,Sheet1!$C:$C,$A182,Sheet1!$A:$A,AE$2),"")</f>
        <v/>
      </c>
      <c r="AF182" s="9" t="str">
        <f>IF(SUMIFS(Sheet1!$E:$E,Sheet1!$C:$C,$A182,Sheet1!$A:$A,AF$2)&lt;&gt;0,SUMIFS(Sheet1!$E:$E,Sheet1!$C:$C,$A182,Sheet1!$A:$A,AF$2),"")</f>
        <v/>
      </c>
      <c r="AG182" s="9" t="str">
        <f>IF(SUMIFS(Sheet1!$E:$E,Sheet1!$C:$C,$A182,Sheet1!$A:$A,AG$2)&lt;&gt;0,SUMIFS(Sheet1!$E:$E,Sheet1!$C:$C,$A182,Sheet1!$A:$A,AG$2),"")</f>
        <v/>
      </c>
      <c r="AH182" s="47">
        <f>SUM(Table24[[#This Row],[1]:[31]])</f>
        <v>0</v>
      </c>
    </row>
    <row r="183" spans="1:34" ht="12.75" customHeight="1">
      <c r="A183" s="24" t="str">
        <f>DSSP!A182</f>
        <v>GC107</v>
      </c>
      <c r="B183" s="25" t="str">
        <f>DSSP!B182</f>
        <v>Mặt giả cổ mỏ neo</v>
      </c>
      <c r="C183" s="9" t="str">
        <f>IF(SUMIFS(Sheet1!$E:$E,Sheet1!$C:$C,$A183,Sheet1!$A:$A,C$2)&lt;&gt;0,SUMIFS(Sheet1!$E:$E,Sheet1!$C:$C,$A183,Sheet1!$A:$A,C$2),"")</f>
        <v/>
      </c>
      <c r="D183" s="9" t="str">
        <f>IF(SUMIFS(Sheet1!$E:$E,Sheet1!$C:$C,$A183,Sheet1!$A:$A,D$2)&lt;&gt;0,SUMIFS(Sheet1!$E:$E,Sheet1!$C:$C,$A183,Sheet1!$A:$A,D$2),"")</f>
        <v/>
      </c>
      <c r="E183" s="9" t="str">
        <f>IF(SUMIFS(Sheet1!$E:$E,Sheet1!$C:$C,$A183,Sheet1!$A:$A,E$2)&lt;&gt;0,SUMIFS(Sheet1!$E:$E,Sheet1!$C:$C,$A183,Sheet1!$A:$A,E$2),"")</f>
        <v/>
      </c>
      <c r="F183" s="9" t="str">
        <f>IF(SUMIFS(Sheet1!$E:$E,Sheet1!$C:$C,$A183,Sheet1!$A:$A,F$2)&lt;&gt;0,SUMIFS(Sheet1!$E:$E,Sheet1!$C:$C,$A183,Sheet1!$A:$A,F$2),"")</f>
        <v/>
      </c>
      <c r="G183" s="9" t="str">
        <f>IF(SUMIFS(Sheet1!$E:$E,Sheet1!$C:$C,$A183,Sheet1!$A:$A,G$2)&lt;&gt;0,SUMIFS(Sheet1!$E:$E,Sheet1!$C:$C,$A183,Sheet1!$A:$A,G$2),"")</f>
        <v/>
      </c>
      <c r="H183" s="9" t="str">
        <f>IF(SUMIFS(Sheet1!$E:$E,Sheet1!$C:$C,$A183,Sheet1!$A:$A,H$2)&lt;&gt;0,SUMIFS(Sheet1!$E:$E,Sheet1!$C:$C,$A183,Sheet1!$A:$A,H$2),"")</f>
        <v/>
      </c>
      <c r="I183" s="9" t="str">
        <f>IF(SUMIFS(Sheet1!$E:$E,Sheet1!$C:$C,$A183,Sheet1!$A:$A,I$2)&lt;&gt;0,SUMIFS(Sheet1!$E:$E,Sheet1!$C:$C,$A183,Sheet1!$A:$A,I$2),"")</f>
        <v/>
      </c>
      <c r="J183" s="9" t="str">
        <f>IF(SUMIFS(Sheet1!$E:$E,Sheet1!$C:$C,$A183,Sheet1!$A:$A,J$2)&lt;&gt;0,SUMIFS(Sheet1!$E:$E,Sheet1!$C:$C,$A183,Sheet1!$A:$A,J$2),"")</f>
        <v/>
      </c>
      <c r="K183" s="9" t="str">
        <f>IF(SUMIFS(Sheet1!$E:$E,Sheet1!$C:$C,$A183,Sheet1!$A:$A,K$2)&lt;&gt;0,SUMIFS(Sheet1!$E:$E,Sheet1!$C:$C,$A183,Sheet1!$A:$A,K$2),"")</f>
        <v/>
      </c>
      <c r="L183" s="9" t="str">
        <f>IF(SUMIFS(Sheet1!$E:$E,Sheet1!$C:$C,$A183,Sheet1!$A:$A,L$2)&lt;&gt;0,SUMIFS(Sheet1!$E:$E,Sheet1!$C:$C,$A183,Sheet1!$A:$A,L$2),"")</f>
        <v/>
      </c>
      <c r="M183" s="9" t="str">
        <f>IF(SUMIFS(Sheet1!$E:$E,Sheet1!$C:$C,$A183,Sheet1!$A:$A,M$2)&lt;&gt;0,SUMIFS(Sheet1!$E:$E,Sheet1!$C:$C,$A183,Sheet1!$A:$A,M$2),"")</f>
        <v/>
      </c>
      <c r="N183" s="9" t="str">
        <f>IF(SUMIFS(Sheet1!$E:$E,Sheet1!$C:$C,$A183,Sheet1!$A:$A,N$2)&lt;&gt;0,SUMIFS(Sheet1!$E:$E,Sheet1!$C:$C,$A183,Sheet1!$A:$A,N$2),"")</f>
        <v/>
      </c>
      <c r="O183" s="9" t="str">
        <f>IF(SUMIFS(Sheet1!$E:$E,Sheet1!$C:$C,$A183,Sheet1!$A:$A,O$2)&lt;&gt;0,SUMIFS(Sheet1!$E:$E,Sheet1!$C:$C,$A183,Sheet1!$A:$A,O$2),"")</f>
        <v/>
      </c>
      <c r="P183" s="9" t="str">
        <f>IF(SUMIFS(Sheet1!$E:$E,Sheet1!$C:$C,$A183,Sheet1!$A:$A,P$2)&lt;&gt;0,SUMIFS(Sheet1!$E:$E,Sheet1!$C:$C,$A183,Sheet1!$A:$A,P$2),"")</f>
        <v/>
      </c>
      <c r="Q183" s="9" t="str">
        <f>IF(SUMIFS(Sheet1!$E:$E,Sheet1!$C:$C,$A183,Sheet1!$A:$A,Q$2)&lt;&gt;0,SUMIFS(Sheet1!$E:$E,Sheet1!$C:$C,$A183,Sheet1!$A:$A,Q$2),"")</f>
        <v/>
      </c>
      <c r="R183" s="9" t="str">
        <f>IF(SUMIFS(Sheet1!$E:$E,Sheet1!$C:$C,$A183,Sheet1!$A:$A,R$2)&lt;&gt;0,SUMIFS(Sheet1!$E:$E,Sheet1!$C:$C,$A183,Sheet1!$A:$A,R$2),"")</f>
        <v/>
      </c>
      <c r="S183" s="9" t="str">
        <f>IF(SUMIFS(Sheet1!$E:$E,Sheet1!$C:$C,$A183,Sheet1!$A:$A,S$2)&lt;&gt;0,SUMIFS(Sheet1!$E:$E,Sheet1!$C:$C,$A183,Sheet1!$A:$A,S$2),"")</f>
        <v/>
      </c>
      <c r="T183" s="9" t="str">
        <f>IF(SUMIFS(Sheet1!$E:$E,Sheet1!$C:$C,$A183,Sheet1!$A:$A,T$2)&lt;&gt;0,SUMIFS(Sheet1!$E:$E,Sheet1!$C:$C,$A183,Sheet1!$A:$A,T$2),"")</f>
        <v/>
      </c>
      <c r="U183" s="9" t="str">
        <f>IF(SUMIFS(Sheet1!$E:$E,Sheet1!$C:$C,$A183,Sheet1!$A:$A,U$2)&lt;&gt;0,SUMIFS(Sheet1!$E:$E,Sheet1!$C:$C,$A183,Sheet1!$A:$A,U$2),"")</f>
        <v/>
      </c>
      <c r="V183" s="9" t="str">
        <f>IF(SUMIFS(Sheet1!$E:$E,Sheet1!$C:$C,$A183,Sheet1!$A:$A,V$2)&lt;&gt;0,SUMIFS(Sheet1!$E:$E,Sheet1!$C:$C,$A183,Sheet1!$A:$A,V$2),"")</f>
        <v/>
      </c>
      <c r="W183" s="9" t="str">
        <f>IF(SUMIFS(Sheet1!$E:$E,Sheet1!$C:$C,$A183,Sheet1!$A:$A,W$2)&lt;&gt;0,SUMIFS(Sheet1!$E:$E,Sheet1!$C:$C,$A183,Sheet1!$A:$A,W$2),"")</f>
        <v/>
      </c>
      <c r="X183" s="9" t="str">
        <f>IF(SUMIFS(Sheet1!$E:$E,Sheet1!$C:$C,$A183,Sheet1!$A:$A,X$2)&lt;&gt;0,SUMIFS(Sheet1!$E:$E,Sheet1!$C:$C,$A183,Sheet1!$A:$A,X$2),"")</f>
        <v/>
      </c>
      <c r="Y183" s="9" t="str">
        <f>IF(SUMIFS(Sheet1!$E:$E,Sheet1!$C:$C,$A183,Sheet1!$A:$A,Y$2)&lt;&gt;0,SUMIFS(Sheet1!$E:$E,Sheet1!$C:$C,$A183,Sheet1!$A:$A,Y$2),"")</f>
        <v/>
      </c>
      <c r="Z183" s="9" t="str">
        <f>IF(SUMIFS(Sheet1!$E:$E,Sheet1!$C:$C,$A183,Sheet1!$A:$A,Z$2)&lt;&gt;0,SUMIFS(Sheet1!$E:$E,Sheet1!$C:$C,$A183,Sheet1!$A:$A,Z$2),"")</f>
        <v/>
      </c>
      <c r="AA183" s="9" t="str">
        <f>IF(SUMIFS(Sheet1!$E:$E,Sheet1!$C:$C,$A183,Sheet1!$A:$A,AA$2)&lt;&gt;0,SUMIFS(Sheet1!$E:$E,Sheet1!$C:$C,$A183,Sheet1!$A:$A,AA$2),"")</f>
        <v/>
      </c>
      <c r="AB183" s="9" t="str">
        <f>IF(SUMIFS(Sheet1!$E:$E,Sheet1!$C:$C,$A183,Sheet1!$A:$A,AB$2)&lt;&gt;0,SUMIFS(Sheet1!$E:$E,Sheet1!$C:$C,$A183,Sheet1!$A:$A,AB$2),"")</f>
        <v/>
      </c>
      <c r="AC183" s="9" t="str">
        <f>IF(SUMIFS(Sheet1!$E:$E,Sheet1!$C:$C,$A183,Sheet1!$A:$A,AC$2)&lt;&gt;0,SUMIFS(Sheet1!$E:$E,Sheet1!$C:$C,$A183,Sheet1!$A:$A,AC$2),"")</f>
        <v/>
      </c>
      <c r="AD183" s="9" t="str">
        <f>IF(SUMIFS(Sheet1!$E:$E,Sheet1!$C:$C,$A183,Sheet1!$A:$A,AD$2)&lt;&gt;0,SUMIFS(Sheet1!$E:$E,Sheet1!$C:$C,$A183,Sheet1!$A:$A,AD$2),"")</f>
        <v/>
      </c>
      <c r="AE183" s="9" t="str">
        <f>IF(SUMIFS(Sheet1!$E:$E,Sheet1!$C:$C,$A183,Sheet1!$A:$A,AE$2)&lt;&gt;0,SUMIFS(Sheet1!$E:$E,Sheet1!$C:$C,$A183,Sheet1!$A:$A,AE$2),"")</f>
        <v/>
      </c>
      <c r="AF183" s="9" t="str">
        <f>IF(SUMIFS(Sheet1!$E:$E,Sheet1!$C:$C,$A183,Sheet1!$A:$A,AF$2)&lt;&gt;0,SUMIFS(Sheet1!$E:$E,Sheet1!$C:$C,$A183,Sheet1!$A:$A,AF$2),"")</f>
        <v/>
      </c>
      <c r="AG183" s="9" t="str">
        <f>IF(SUMIFS(Sheet1!$E:$E,Sheet1!$C:$C,$A183,Sheet1!$A:$A,AG$2)&lt;&gt;0,SUMIFS(Sheet1!$E:$E,Sheet1!$C:$C,$A183,Sheet1!$A:$A,AG$2),"")</f>
        <v/>
      </c>
      <c r="AH183" s="47">
        <f>SUM(Table24[[#This Row],[1]:[31]])</f>
        <v>0</v>
      </c>
    </row>
    <row r="184" spans="1:34" ht="12.75" customHeight="1">
      <c r="A184" s="24" t="str">
        <f>DSSP!A183</f>
        <v>GC108</v>
      </c>
      <c r="B184" s="25" t="str">
        <f>DSSP!B183</f>
        <v>Mặt giả cổ mèo</v>
      </c>
      <c r="C184" s="9" t="str">
        <f>IF(SUMIFS(Sheet1!$E:$E,Sheet1!$C:$C,$A184,Sheet1!$A:$A,C$2)&lt;&gt;0,SUMIFS(Sheet1!$E:$E,Sheet1!$C:$C,$A184,Sheet1!$A:$A,C$2),"")</f>
        <v/>
      </c>
      <c r="D184" s="9" t="str">
        <f>IF(SUMIFS(Sheet1!$E:$E,Sheet1!$C:$C,$A184,Sheet1!$A:$A,D$2)&lt;&gt;0,SUMIFS(Sheet1!$E:$E,Sheet1!$C:$C,$A184,Sheet1!$A:$A,D$2),"")</f>
        <v/>
      </c>
      <c r="E184" s="9" t="str">
        <f>IF(SUMIFS(Sheet1!$E:$E,Sheet1!$C:$C,$A184,Sheet1!$A:$A,E$2)&lt;&gt;0,SUMIFS(Sheet1!$E:$E,Sheet1!$C:$C,$A184,Sheet1!$A:$A,E$2),"")</f>
        <v/>
      </c>
      <c r="F184" s="9" t="str">
        <f>IF(SUMIFS(Sheet1!$E:$E,Sheet1!$C:$C,$A184,Sheet1!$A:$A,F$2)&lt;&gt;0,SUMIFS(Sheet1!$E:$E,Sheet1!$C:$C,$A184,Sheet1!$A:$A,F$2),"")</f>
        <v/>
      </c>
      <c r="G184" s="9" t="str">
        <f>IF(SUMIFS(Sheet1!$E:$E,Sheet1!$C:$C,$A184,Sheet1!$A:$A,G$2)&lt;&gt;0,SUMIFS(Sheet1!$E:$E,Sheet1!$C:$C,$A184,Sheet1!$A:$A,G$2),"")</f>
        <v/>
      </c>
      <c r="H184" s="9" t="str">
        <f>IF(SUMIFS(Sheet1!$E:$E,Sheet1!$C:$C,$A184,Sheet1!$A:$A,H$2)&lt;&gt;0,SUMIFS(Sheet1!$E:$E,Sheet1!$C:$C,$A184,Sheet1!$A:$A,H$2),"")</f>
        <v/>
      </c>
      <c r="I184" s="9" t="str">
        <f>IF(SUMIFS(Sheet1!$E:$E,Sheet1!$C:$C,$A184,Sheet1!$A:$A,I$2)&lt;&gt;0,SUMIFS(Sheet1!$E:$E,Sheet1!$C:$C,$A184,Sheet1!$A:$A,I$2),"")</f>
        <v/>
      </c>
      <c r="J184" s="9" t="str">
        <f>IF(SUMIFS(Sheet1!$E:$E,Sheet1!$C:$C,$A184,Sheet1!$A:$A,J$2)&lt;&gt;0,SUMIFS(Sheet1!$E:$E,Sheet1!$C:$C,$A184,Sheet1!$A:$A,J$2),"")</f>
        <v/>
      </c>
      <c r="K184" s="9" t="str">
        <f>IF(SUMIFS(Sheet1!$E:$E,Sheet1!$C:$C,$A184,Sheet1!$A:$A,K$2)&lt;&gt;0,SUMIFS(Sheet1!$E:$E,Sheet1!$C:$C,$A184,Sheet1!$A:$A,K$2),"")</f>
        <v/>
      </c>
      <c r="L184" s="9" t="str">
        <f>IF(SUMIFS(Sheet1!$E:$E,Sheet1!$C:$C,$A184,Sheet1!$A:$A,L$2)&lt;&gt;0,SUMIFS(Sheet1!$E:$E,Sheet1!$C:$C,$A184,Sheet1!$A:$A,L$2),"")</f>
        <v/>
      </c>
      <c r="M184" s="9" t="str">
        <f>IF(SUMIFS(Sheet1!$E:$E,Sheet1!$C:$C,$A184,Sheet1!$A:$A,M$2)&lt;&gt;0,SUMIFS(Sheet1!$E:$E,Sheet1!$C:$C,$A184,Sheet1!$A:$A,M$2),"")</f>
        <v/>
      </c>
      <c r="N184" s="9" t="str">
        <f>IF(SUMIFS(Sheet1!$E:$E,Sheet1!$C:$C,$A184,Sheet1!$A:$A,N$2)&lt;&gt;0,SUMIFS(Sheet1!$E:$E,Sheet1!$C:$C,$A184,Sheet1!$A:$A,N$2),"")</f>
        <v/>
      </c>
      <c r="O184" s="9" t="str">
        <f>IF(SUMIFS(Sheet1!$E:$E,Sheet1!$C:$C,$A184,Sheet1!$A:$A,O$2)&lt;&gt;0,SUMIFS(Sheet1!$E:$E,Sheet1!$C:$C,$A184,Sheet1!$A:$A,O$2),"")</f>
        <v/>
      </c>
      <c r="P184" s="9" t="str">
        <f>IF(SUMIFS(Sheet1!$E:$E,Sheet1!$C:$C,$A184,Sheet1!$A:$A,P$2)&lt;&gt;0,SUMIFS(Sheet1!$E:$E,Sheet1!$C:$C,$A184,Sheet1!$A:$A,P$2),"")</f>
        <v/>
      </c>
      <c r="Q184" s="9" t="str">
        <f>IF(SUMIFS(Sheet1!$E:$E,Sheet1!$C:$C,$A184,Sheet1!$A:$A,Q$2)&lt;&gt;0,SUMIFS(Sheet1!$E:$E,Sheet1!$C:$C,$A184,Sheet1!$A:$A,Q$2),"")</f>
        <v/>
      </c>
      <c r="R184" s="9" t="str">
        <f>IF(SUMIFS(Sheet1!$E:$E,Sheet1!$C:$C,$A184,Sheet1!$A:$A,R$2)&lt;&gt;0,SUMIFS(Sheet1!$E:$E,Sheet1!$C:$C,$A184,Sheet1!$A:$A,R$2),"")</f>
        <v/>
      </c>
      <c r="S184" s="9" t="str">
        <f>IF(SUMIFS(Sheet1!$E:$E,Sheet1!$C:$C,$A184,Sheet1!$A:$A,S$2)&lt;&gt;0,SUMIFS(Sheet1!$E:$E,Sheet1!$C:$C,$A184,Sheet1!$A:$A,S$2),"")</f>
        <v/>
      </c>
      <c r="T184" s="9" t="str">
        <f>IF(SUMIFS(Sheet1!$E:$E,Sheet1!$C:$C,$A184,Sheet1!$A:$A,T$2)&lt;&gt;0,SUMIFS(Sheet1!$E:$E,Sheet1!$C:$C,$A184,Sheet1!$A:$A,T$2),"")</f>
        <v/>
      </c>
      <c r="U184" s="9" t="str">
        <f>IF(SUMIFS(Sheet1!$E:$E,Sheet1!$C:$C,$A184,Sheet1!$A:$A,U$2)&lt;&gt;0,SUMIFS(Sheet1!$E:$E,Sheet1!$C:$C,$A184,Sheet1!$A:$A,U$2),"")</f>
        <v/>
      </c>
      <c r="V184" s="9" t="str">
        <f>IF(SUMIFS(Sheet1!$E:$E,Sheet1!$C:$C,$A184,Sheet1!$A:$A,V$2)&lt;&gt;0,SUMIFS(Sheet1!$E:$E,Sheet1!$C:$C,$A184,Sheet1!$A:$A,V$2),"")</f>
        <v/>
      </c>
      <c r="W184" s="9" t="str">
        <f>IF(SUMIFS(Sheet1!$E:$E,Sheet1!$C:$C,$A184,Sheet1!$A:$A,W$2)&lt;&gt;0,SUMIFS(Sheet1!$E:$E,Sheet1!$C:$C,$A184,Sheet1!$A:$A,W$2),"")</f>
        <v/>
      </c>
      <c r="X184" s="9" t="str">
        <f>IF(SUMIFS(Sheet1!$E:$E,Sheet1!$C:$C,$A184,Sheet1!$A:$A,X$2)&lt;&gt;0,SUMIFS(Sheet1!$E:$E,Sheet1!$C:$C,$A184,Sheet1!$A:$A,X$2),"")</f>
        <v/>
      </c>
      <c r="Y184" s="9" t="str">
        <f>IF(SUMIFS(Sheet1!$E:$E,Sheet1!$C:$C,$A184,Sheet1!$A:$A,Y$2)&lt;&gt;0,SUMIFS(Sheet1!$E:$E,Sheet1!$C:$C,$A184,Sheet1!$A:$A,Y$2),"")</f>
        <v/>
      </c>
      <c r="Z184" s="9" t="str">
        <f>IF(SUMIFS(Sheet1!$E:$E,Sheet1!$C:$C,$A184,Sheet1!$A:$A,Z$2)&lt;&gt;0,SUMIFS(Sheet1!$E:$E,Sheet1!$C:$C,$A184,Sheet1!$A:$A,Z$2),"")</f>
        <v/>
      </c>
      <c r="AA184" s="9" t="str">
        <f>IF(SUMIFS(Sheet1!$E:$E,Sheet1!$C:$C,$A184,Sheet1!$A:$A,AA$2)&lt;&gt;0,SUMIFS(Sheet1!$E:$E,Sheet1!$C:$C,$A184,Sheet1!$A:$A,AA$2),"")</f>
        <v/>
      </c>
      <c r="AB184" s="9" t="str">
        <f>IF(SUMIFS(Sheet1!$E:$E,Sheet1!$C:$C,$A184,Sheet1!$A:$A,AB$2)&lt;&gt;0,SUMIFS(Sheet1!$E:$E,Sheet1!$C:$C,$A184,Sheet1!$A:$A,AB$2),"")</f>
        <v/>
      </c>
      <c r="AC184" s="9" t="str">
        <f>IF(SUMIFS(Sheet1!$E:$E,Sheet1!$C:$C,$A184,Sheet1!$A:$A,AC$2)&lt;&gt;0,SUMIFS(Sheet1!$E:$E,Sheet1!$C:$C,$A184,Sheet1!$A:$A,AC$2),"")</f>
        <v/>
      </c>
      <c r="AD184" s="9" t="str">
        <f>IF(SUMIFS(Sheet1!$E:$E,Sheet1!$C:$C,$A184,Sheet1!$A:$A,AD$2)&lt;&gt;0,SUMIFS(Sheet1!$E:$E,Sheet1!$C:$C,$A184,Sheet1!$A:$A,AD$2),"")</f>
        <v/>
      </c>
      <c r="AE184" s="9" t="str">
        <f>IF(SUMIFS(Sheet1!$E:$E,Sheet1!$C:$C,$A184,Sheet1!$A:$A,AE$2)&lt;&gt;0,SUMIFS(Sheet1!$E:$E,Sheet1!$C:$C,$A184,Sheet1!$A:$A,AE$2),"")</f>
        <v/>
      </c>
      <c r="AF184" s="9" t="str">
        <f>IF(SUMIFS(Sheet1!$E:$E,Sheet1!$C:$C,$A184,Sheet1!$A:$A,AF$2)&lt;&gt;0,SUMIFS(Sheet1!$E:$E,Sheet1!$C:$C,$A184,Sheet1!$A:$A,AF$2),"")</f>
        <v/>
      </c>
      <c r="AG184" s="9" t="str">
        <f>IF(SUMIFS(Sheet1!$E:$E,Sheet1!$C:$C,$A184,Sheet1!$A:$A,AG$2)&lt;&gt;0,SUMIFS(Sheet1!$E:$E,Sheet1!$C:$C,$A184,Sheet1!$A:$A,AG$2),"")</f>
        <v/>
      </c>
      <c r="AH184" s="47">
        <f>SUM(Table24[[#This Row],[1]:[31]])</f>
        <v>0</v>
      </c>
    </row>
    <row r="185" spans="1:34" ht="12.75" customHeight="1">
      <c r="A185" s="24" t="str">
        <f>DSSP!A184</f>
        <v>GC109</v>
      </c>
      <c r="B185" s="25" t="str">
        <f>DSSP!B184</f>
        <v>Đèn dầu thần</v>
      </c>
      <c r="C185" s="9">
        <f>IF(SUMIFS(Sheet1!$E:$E,Sheet1!$C:$C,$A185,Sheet1!$A:$A,C$2)&lt;&gt;0,SUMIFS(Sheet1!$E:$E,Sheet1!$C:$C,$A185,Sheet1!$A:$A,C$2),"")</f>
        <v>14</v>
      </c>
      <c r="D185" s="9" t="str">
        <f>IF(SUMIFS(Sheet1!$E:$E,Sheet1!$C:$C,$A185,Sheet1!$A:$A,D$2)&lt;&gt;0,SUMIFS(Sheet1!$E:$E,Sheet1!$C:$C,$A185,Sheet1!$A:$A,D$2),"")</f>
        <v/>
      </c>
      <c r="E185" s="9" t="str">
        <f>IF(SUMIFS(Sheet1!$E:$E,Sheet1!$C:$C,$A185,Sheet1!$A:$A,E$2)&lt;&gt;0,SUMIFS(Sheet1!$E:$E,Sheet1!$C:$C,$A185,Sheet1!$A:$A,E$2),"")</f>
        <v/>
      </c>
      <c r="F185" s="9" t="str">
        <f>IF(SUMIFS(Sheet1!$E:$E,Sheet1!$C:$C,$A185,Sheet1!$A:$A,F$2)&lt;&gt;0,SUMIFS(Sheet1!$E:$E,Sheet1!$C:$C,$A185,Sheet1!$A:$A,F$2),"")</f>
        <v/>
      </c>
      <c r="G185" s="9" t="str">
        <f>IF(SUMIFS(Sheet1!$E:$E,Sheet1!$C:$C,$A185,Sheet1!$A:$A,G$2)&lt;&gt;0,SUMIFS(Sheet1!$E:$E,Sheet1!$C:$C,$A185,Sheet1!$A:$A,G$2),"")</f>
        <v/>
      </c>
      <c r="H185" s="9" t="str">
        <f>IF(SUMIFS(Sheet1!$E:$E,Sheet1!$C:$C,$A185,Sheet1!$A:$A,H$2)&lt;&gt;0,SUMIFS(Sheet1!$E:$E,Sheet1!$C:$C,$A185,Sheet1!$A:$A,H$2),"")</f>
        <v/>
      </c>
      <c r="I185" s="9" t="str">
        <f>IF(SUMIFS(Sheet1!$E:$E,Sheet1!$C:$C,$A185,Sheet1!$A:$A,I$2)&lt;&gt;0,SUMIFS(Sheet1!$E:$E,Sheet1!$C:$C,$A185,Sheet1!$A:$A,I$2),"")</f>
        <v/>
      </c>
      <c r="J185" s="9" t="str">
        <f>IF(SUMIFS(Sheet1!$E:$E,Sheet1!$C:$C,$A185,Sheet1!$A:$A,J$2)&lt;&gt;0,SUMIFS(Sheet1!$E:$E,Sheet1!$C:$C,$A185,Sheet1!$A:$A,J$2),"")</f>
        <v/>
      </c>
      <c r="K185" s="9" t="str">
        <f>IF(SUMIFS(Sheet1!$E:$E,Sheet1!$C:$C,$A185,Sheet1!$A:$A,K$2)&lt;&gt;0,SUMIFS(Sheet1!$E:$E,Sheet1!$C:$C,$A185,Sheet1!$A:$A,K$2),"")</f>
        <v/>
      </c>
      <c r="L185" s="9" t="str">
        <f>IF(SUMIFS(Sheet1!$E:$E,Sheet1!$C:$C,$A185,Sheet1!$A:$A,L$2)&lt;&gt;0,SUMIFS(Sheet1!$E:$E,Sheet1!$C:$C,$A185,Sheet1!$A:$A,L$2),"")</f>
        <v/>
      </c>
      <c r="M185" s="9" t="str">
        <f>IF(SUMIFS(Sheet1!$E:$E,Sheet1!$C:$C,$A185,Sheet1!$A:$A,M$2)&lt;&gt;0,SUMIFS(Sheet1!$E:$E,Sheet1!$C:$C,$A185,Sheet1!$A:$A,M$2),"")</f>
        <v/>
      </c>
      <c r="N185" s="9" t="str">
        <f>IF(SUMIFS(Sheet1!$E:$E,Sheet1!$C:$C,$A185,Sheet1!$A:$A,N$2)&lt;&gt;0,SUMIFS(Sheet1!$E:$E,Sheet1!$C:$C,$A185,Sheet1!$A:$A,N$2),"")</f>
        <v/>
      </c>
      <c r="O185" s="9" t="str">
        <f>IF(SUMIFS(Sheet1!$E:$E,Sheet1!$C:$C,$A185,Sheet1!$A:$A,O$2)&lt;&gt;0,SUMIFS(Sheet1!$E:$E,Sheet1!$C:$C,$A185,Sheet1!$A:$A,O$2),"")</f>
        <v/>
      </c>
      <c r="P185" s="9" t="str">
        <f>IF(SUMIFS(Sheet1!$E:$E,Sheet1!$C:$C,$A185,Sheet1!$A:$A,P$2)&lt;&gt;0,SUMIFS(Sheet1!$E:$E,Sheet1!$C:$C,$A185,Sheet1!$A:$A,P$2),"")</f>
        <v/>
      </c>
      <c r="Q185" s="9" t="str">
        <f>IF(SUMIFS(Sheet1!$E:$E,Sheet1!$C:$C,$A185,Sheet1!$A:$A,Q$2)&lt;&gt;0,SUMIFS(Sheet1!$E:$E,Sheet1!$C:$C,$A185,Sheet1!$A:$A,Q$2),"")</f>
        <v/>
      </c>
      <c r="R185" s="9" t="str">
        <f>IF(SUMIFS(Sheet1!$E:$E,Sheet1!$C:$C,$A185,Sheet1!$A:$A,R$2)&lt;&gt;0,SUMIFS(Sheet1!$E:$E,Sheet1!$C:$C,$A185,Sheet1!$A:$A,R$2),"")</f>
        <v/>
      </c>
      <c r="S185" s="9" t="str">
        <f>IF(SUMIFS(Sheet1!$E:$E,Sheet1!$C:$C,$A185,Sheet1!$A:$A,S$2)&lt;&gt;0,SUMIFS(Sheet1!$E:$E,Sheet1!$C:$C,$A185,Sheet1!$A:$A,S$2),"")</f>
        <v/>
      </c>
      <c r="T185" s="9" t="str">
        <f>IF(SUMIFS(Sheet1!$E:$E,Sheet1!$C:$C,$A185,Sheet1!$A:$A,T$2)&lt;&gt;0,SUMIFS(Sheet1!$E:$E,Sheet1!$C:$C,$A185,Sheet1!$A:$A,T$2),"")</f>
        <v/>
      </c>
      <c r="U185" s="9" t="str">
        <f>IF(SUMIFS(Sheet1!$E:$E,Sheet1!$C:$C,$A185,Sheet1!$A:$A,U$2)&lt;&gt;0,SUMIFS(Sheet1!$E:$E,Sheet1!$C:$C,$A185,Sheet1!$A:$A,U$2),"")</f>
        <v/>
      </c>
      <c r="V185" s="9" t="str">
        <f>IF(SUMIFS(Sheet1!$E:$E,Sheet1!$C:$C,$A185,Sheet1!$A:$A,V$2)&lt;&gt;0,SUMIFS(Sheet1!$E:$E,Sheet1!$C:$C,$A185,Sheet1!$A:$A,V$2),"")</f>
        <v/>
      </c>
      <c r="W185" s="9" t="str">
        <f>IF(SUMIFS(Sheet1!$E:$E,Sheet1!$C:$C,$A185,Sheet1!$A:$A,W$2)&lt;&gt;0,SUMIFS(Sheet1!$E:$E,Sheet1!$C:$C,$A185,Sheet1!$A:$A,W$2),"")</f>
        <v/>
      </c>
      <c r="X185" s="9" t="str">
        <f>IF(SUMIFS(Sheet1!$E:$E,Sheet1!$C:$C,$A185,Sheet1!$A:$A,X$2)&lt;&gt;0,SUMIFS(Sheet1!$E:$E,Sheet1!$C:$C,$A185,Sheet1!$A:$A,X$2),"")</f>
        <v/>
      </c>
      <c r="Y185" s="9" t="str">
        <f>IF(SUMIFS(Sheet1!$E:$E,Sheet1!$C:$C,$A185,Sheet1!$A:$A,Y$2)&lt;&gt;0,SUMIFS(Sheet1!$E:$E,Sheet1!$C:$C,$A185,Sheet1!$A:$A,Y$2),"")</f>
        <v/>
      </c>
      <c r="Z185" s="9" t="str">
        <f>IF(SUMIFS(Sheet1!$E:$E,Sheet1!$C:$C,$A185,Sheet1!$A:$A,Z$2)&lt;&gt;0,SUMIFS(Sheet1!$E:$E,Sheet1!$C:$C,$A185,Sheet1!$A:$A,Z$2),"")</f>
        <v/>
      </c>
      <c r="AA185" s="9" t="str">
        <f>IF(SUMIFS(Sheet1!$E:$E,Sheet1!$C:$C,$A185,Sheet1!$A:$A,AA$2)&lt;&gt;0,SUMIFS(Sheet1!$E:$E,Sheet1!$C:$C,$A185,Sheet1!$A:$A,AA$2),"")</f>
        <v/>
      </c>
      <c r="AB185" s="9" t="str">
        <f>IF(SUMIFS(Sheet1!$E:$E,Sheet1!$C:$C,$A185,Sheet1!$A:$A,AB$2)&lt;&gt;0,SUMIFS(Sheet1!$E:$E,Sheet1!$C:$C,$A185,Sheet1!$A:$A,AB$2),"")</f>
        <v/>
      </c>
      <c r="AC185" s="9" t="str">
        <f>IF(SUMIFS(Sheet1!$E:$E,Sheet1!$C:$C,$A185,Sheet1!$A:$A,AC$2)&lt;&gt;0,SUMIFS(Sheet1!$E:$E,Sheet1!$C:$C,$A185,Sheet1!$A:$A,AC$2),"")</f>
        <v/>
      </c>
      <c r="AD185" s="9" t="str">
        <f>IF(SUMIFS(Sheet1!$E:$E,Sheet1!$C:$C,$A185,Sheet1!$A:$A,AD$2)&lt;&gt;0,SUMIFS(Sheet1!$E:$E,Sheet1!$C:$C,$A185,Sheet1!$A:$A,AD$2),"")</f>
        <v/>
      </c>
      <c r="AE185" s="9" t="str">
        <f>IF(SUMIFS(Sheet1!$E:$E,Sheet1!$C:$C,$A185,Sheet1!$A:$A,AE$2)&lt;&gt;0,SUMIFS(Sheet1!$E:$E,Sheet1!$C:$C,$A185,Sheet1!$A:$A,AE$2),"")</f>
        <v/>
      </c>
      <c r="AF185" s="9" t="str">
        <f>IF(SUMIFS(Sheet1!$E:$E,Sheet1!$C:$C,$A185,Sheet1!$A:$A,AF$2)&lt;&gt;0,SUMIFS(Sheet1!$E:$E,Sheet1!$C:$C,$A185,Sheet1!$A:$A,AF$2),"")</f>
        <v/>
      </c>
      <c r="AG185" s="9" t="str">
        <f>IF(SUMIFS(Sheet1!$E:$E,Sheet1!$C:$C,$A185,Sheet1!$A:$A,AG$2)&lt;&gt;0,SUMIFS(Sheet1!$E:$E,Sheet1!$C:$C,$A185,Sheet1!$A:$A,AG$2),"")</f>
        <v/>
      </c>
      <c r="AH185" s="47">
        <f>SUM(Table24[[#This Row],[1]:[31]])</f>
        <v>14</v>
      </c>
    </row>
    <row r="186" spans="1:34" ht="12.75" customHeight="1">
      <c r="A186" s="24" t="str">
        <f>DSSP!A185</f>
        <v>GC110</v>
      </c>
      <c r="B186" s="25" t="str">
        <f>DSSP!B185</f>
        <v>Máy ảnh cổ</v>
      </c>
      <c r="C186" s="9">
        <f>IF(SUMIFS(Sheet1!$E:$E,Sheet1!$C:$C,$A186,Sheet1!$A:$A,C$2)&lt;&gt;0,SUMIFS(Sheet1!$E:$E,Sheet1!$C:$C,$A186,Sheet1!$A:$A,C$2),"")</f>
        <v>93</v>
      </c>
      <c r="D186" s="9" t="str">
        <f>IF(SUMIFS(Sheet1!$E:$E,Sheet1!$C:$C,$A186,Sheet1!$A:$A,D$2)&lt;&gt;0,SUMIFS(Sheet1!$E:$E,Sheet1!$C:$C,$A186,Sheet1!$A:$A,D$2),"")</f>
        <v/>
      </c>
      <c r="E186" s="9" t="str">
        <f>IF(SUMIFS(Sheet1!$E:$E,Sheet1!$C:$C,$A186,Sheet1!$A:$A,E$2)&lt;&gt;0,SUMIFS(Sheet1!$E:$E,Sheet1!$C:$C,$A186,Sheet1!$A:$A,E$2),"")</f>
        <v/>
      </c>
      <c r="F186" s="9" t="str">
        <f>IF(SUMIFS(Sheet1!$E:$E,Sheet1!$C:$C,$A186,Sheet1!$A:$A,F$2)&lt;&gt;0,SUMIFS(Sheet1!$E:$E,Sheet1!$C:$C,$A186,Sheet1!$A:$A,F$2),"")</f>
        <v/>
      </c>
      <c r="G186" s="9" t="str">
        <f>IF(SUMIFS(Sheet1!$E:$E,Sheet1!$C:$C,$A186,Sheet1!$A:$A,G$2)&lt;&gt;0,SUMIFS(Sheet1!$E:$E,Sheet1!$C:$C,$A186,Sheet1!$A:$A,G$2),"")</f>
        <v/>
      </c>
      <c r="H186" s="9" t="str">
        <f>IF(SUMIFS(Sheet1!$E:$E,Sheet1!$C:$C,$A186,Sheet1!$A:$A,H$2)&lt;&gt;0,SUMIFS(Sheet1!$E:$E,Sheet1!$C:$C,$A186,Sheet1!$A:$A,H$2),"")</f>
        <v/>
      </c>
      <c r="I186" s="9" t="str">
        <f>IF(SUMIFS(Sheet1!$E:$E,Sheet1!$C:$C,$A186,Sheet1!$A:$A,I$2)&lt;&gt;0,SUMIFS(Sheet1!$E:$E,Sheet1!$C:$C,$A186,Sheet1!$A:$A,I$2),"")</f>
        <v/>
      </c>
      <c r="J186" s="9" t="str">
        <f>IF(SUMIFS(Sheet1!$E:$E,Sheet1!$C:$C,$A186,Sheet1!$A:$A,J$2)&lt;&gt;0,SUMIFS(Sheet1!$E:$E,Sheet1!$C:$C,$A186,Sheet1!$A:$A,J$2),"")</f>
        <v/>
      </c>
      <c r="K186" s="9" t="str">
        <f>IF(SUMIFS(Sheet1!$E:$E,Sheet1!$C:$C,$A186,Sheet1!$A:$A,K$2)&lt;&gt;0,SUMIFS(Sheet1!$E:$E,Sheet1!$C:$C,$A186,Sheet1!$A:$A,K$2),"")</f>
        <v/>
      </c>
      <c r="L186" s="9" t="str">
        <f>IF(SUMIFS(Sheet1!$E:$E,Sheet1!$C:$C,$A186,Sheet1!$A:$A,L$2)&lt;&gt;0,SUMIFS(Sheet1!$E:$E,Sheet1!$C:$C,$A186,Sheet1!$A:$A,L$2),"")</f>
        <v/>
      </c>
      <c r="M186" s="9" t="str">
        <f>IF(SUMIFS(Sheet1!$E:$E,Sheet1!$C:$C,$A186,Sheet1!$A:$A,M$2)&lt;&gt;0,SUMIFS(Sheet1!$E:$E,Sheet1!$C:$C,$A186,Sheet1!$A:$A,M$2),"")</f>
        <v/>
      </c>
      <c r="N186" s="9" t="str">
        <f>IF(SUMIFS(Sheet1!$E:$E,Sheet1!$C:$C,$A186,Sheet1!$A:$A,N$2)&lt;&gt;0,SUMIFS(Sheet1!$E:$E,Sheet1!$C:$C,$A186,Sheet1!$A:$A,N$2),"")</f>
        <v/>
      </c>
      <c r="O186" s="9" t="str">
        <f>IF(SUMIFS(Sheet1!$E:$E,Sheet1!$C:$C,$A186,Sheet1!$A:$A,O$2)&lt;&gt;0,SUMIFS(Sheet1!$E:$E,Sheet1!$C:$C,$A186,Sheet1!$A:$A,O$2),"")</f>
        <v/>
      </c>
      <c r="P186" s="9" t="str">
        <f>IF(SUMIFS(Sheet1!$E:$E,Sheet1!$C:$C,$A186,Sheet1!$A:$A,P$2)&lt;&gt;0,SUMIFS(Sheet1!$E:$E,Sheet1!$C:$C,$A186,Sheet1!$A:$A,P$2),"")</f>
        <v/>
      </c>
      <c r="Q186" s="9" t="str">
        <f>IF(SUMIFS(Sheet1!$E:$E,Sheet1!$C:$C,$A186,Sheet1!$A:$A,Q$2)&lt;&gt;0,SUMIFS(Sheet1!$E:$E,Sheet1!$C:$C,$A186,Sheet1!$A:$A,Q$2),"")</f>
        <v/>
      </c>
      <c r="R186" s="9" t="str">
        <f>IF(SUMIFS(Sheet1!$E:$E,Sheet1!$C:$C,$A186,Sheet1!$A:$A,R$2)&lt;&gt;0,SUMIFS(Sheet1!$E:$E,Sheet1!$C:$C,$A186,Sheet1!$A:$A,R$2),"")</f>
        <v/>
      </c>
      <c r="S186" s="9" t="str">
        <f>IF(SUMIFS(Sheet1!$E:$E,Sheet1!$C:$C,$A186,Sheet1!$A:$A,S$2)&lt;&gt;0,SUMIFS(Sheet1!$E:$E,Sheet1!$C:$C,$A186,Sheet1!$A:$A,S$2),"")</f>
        <v/>
      </c>
      <c r="T186" s="9" t="str">
        <f>IF(SUMIFS(Sheet1!$E:$E,Sheet1!$C:$C,$A186,Sheet1!$A:$A,T$2)&lt;&gt;0,SUMIFS(Sheet1!$E:$E,Sheet1!$C:$C,$A186,Sheet1!$A:$A,T$2),"")</f>
        <v/>
      </c>
      <c r="U186" s="9" t="str">
        <f>IF(SUMIFS(Sheet1!$E:$E,Sheet1!$C:$C,$A186,Sheet1!$A:$A,U$2)&lt;&gt;0,SUMIFS(Sheet1!$E:$E,Sheet1!$C:$C,$A186,Sheet1!$A:$A,U$2),"")</f>
        <v/>
      </c>
      <c r="V186" s="9" t="str">
        <f>IF(SUMIFS(Sheet1!$E:$E,Sheet1!$C:$C,$A186,Sheet1!$A:$A,V$2)&lt;&gt;0,SUMIFS(Sheet1!$E:$E,Sheet1!$C:$C,$A186,Sheet1!$A:$A,V$2),"")</f>
        <v/>
      </c>
      <c r="W186" s="9" t="str">
        <f>IF(SUMIFS(Sheet1!$E:$E,Sheet1!$C:$C,$A186,Sheet1!$A:$A,W$2)&lt;&gt;0,SUMIFS(Sheet1!$E:$E,Sheet1!$C:$C,$A186,Sheet1!$A:$A,W$2),"")</f>
        <v/>
      </c>
      <c r="X186" s="9" t="str">
        <f>IF(SUMIFS(Sheet1!$E:$E,Sheet1!$C:$C,$A186,Sheet1!$A:$A,X$2)&lt;&gt;0,SUMIFS(Sheet1!$E:$E,Sheet1!$C:$C,$A186,Sheet1!$A:$A,X$2),"")</f>
        <v/>
      </c>
      <c r="Y186" s="9" t="str">
        <f>IF(SUMIFS(Sheet1!$E:$E,Sheet1!$C:$C,$A186,Sheet1!$A:$A,Y$2)&lt;&gt;0,SUMIFS(Sheet1!$E:$E,Sheet1!$C:$C,$A186,Sheet1!$A:$A,Y$2),"")</f>
        <v/>
      </c>
      <c r="Z186" s="9" t="str">
        <f>IF(SUMIFS(Sheet1!$E:$E,Sheet1!$C:$C,$A186,Sheet1!$A:$A,Z$2)&lt;&gt;0,SUMIFS(Sheet1!$E:$E,Sheet1!$C:$C,$A186,Sheet1!$A:$A,Z$2),"")</f>
        <v/>
      </c>
      <c r="AA186" s="9" t="str">
        <f>IF(SUMIFS(Sheet1!$E:$E,Sheet1!$C:$C,$A186,Sheet1!$A:$A,AA$2)&lt;&gt;0,SUMIFS(Sheet1!$E:$E,Sheet1!$C:$C,$A186,Sheet1!$A:$A,AA$2),"")</f>
        <v/>
      </c>
      <c r="AB186" s="9" t="str">
        <f>IF(SUMIFS(Sheet1!$E:$E,Sheet1!$C:$C,$A186,Sheet1!$A:$A,AB$2)&lt;&gt;0,SUMIFS(Sheet1!$E:$E,Sheet1!$C:$C,$A186,Sheet1!$A:$A,AB$2),"")</f>
        <v/>
      </c>
      <c r="AC186" s="9" t="str">
        <f>IF(SUMIFS(Sheet1!$E:$E,Sheet1!$C:$C,$A186,Sheet1!$A:$A,AC$2)&lt;&gt;0,SUMIFS(Sheet1!$E:$E,Sheet1!$C:$C,$A186,Sheet1!$A:$A,AC$2),"")</f>
        <v/>
      </c>
      <c r="AD186" s="9" t="str">
        <f>IF(SUMIFS(Sheet1!$E:$E,Sheet1!$C:$C,$A186,Sheet1!$A:$A,AD$2)&lt;&gt;0,SUMIFS(Sheet1!$E:$E,Sheet1!$C:$C,$A186,Sheet1!$A:$A,AD$2),"")</f>
        <v/>
      </c>
      <c r="AE186" s="9" t="str">
        <f>IF(SUMIFS(Sheet1!$E:$E,Sheet1!$C:$C,$A186,Sheet1!$A:$A,AE$2)&lt;&gt;0,SUMIFS(Sheet1!$E:$E,Sheet1!$C:$C,$A186,Sheet1!$A:$A,AE$2),"")</f>
        <v/>
      </c>
      <c r="AF186" s="9" t="str">
        <f>IF(SUMIFS(Sheet1!$E:$E,Sheet1!$C:$C,$A186,Sheet1!$A:$A,AF$2)&lt;&gt;0,SUMIFS(Sheet1!$E:$E,Sheet1!$C:$C,$A186,Sheet1!$A:$A,AF$2),"")</f>
        <v/>
      </c>
      <c r="AG186" s="9" t="str">
        <f>IF(SUMIFS(Sheet1!$E:$E,Sheet1!$C:$C,$A186,Sheet1!$A:$A,AG$2)&lt;&gt;0,SUMIFS(Sheet1!$E:$E,Sheet1!$C:$C,$A186,Sheet1!$A:$A,AG$2),"")</f>
        <v/>
      </c>
      <c r="AH186" s="47">
        <f>SUM(Table24[[#This Row],[1]:[31]])</f>
        <v>93</v>
      </c>
    </row>
    <row r="187" spans="1:34" ht="12.75" customHeight="1">
      <c r="A187" s="24" t="str">
        <f>DSSP!A186</f>
        <v>GC111</v>
      </c>
      <c r="B187" s="25" t="str">
        <f>DSSP!B186</f>
        <v>Máy ảnh hiện đại</v>
      </c>
      <c r="C187" s="9" t="str">
        <f>IF(SUMIFS(Sheet1!$E:$E,Sheet1!$C:$C,$A187,Sheet1!$A:$A,C$2)&lt;&gt;0,SUMIFS(Sheet1!$E:$E,Sheet1!$C:$C,$A187,Sheet1!$A:$A,C$2),"")</f>
        <v/>
      </c>
      <c r="D187" s="9" t="str">
        <f>IF(SUMIFS(Sheet1!$E:$E,Sheet1!$C:$C,$A187,Sheet1!$A:$A,D$2)&lt;&gt;0,SUMIFS(Sheet1!$E:$E,Sheet1!$C:$C,$A187,Sheet1!$A:$A,D$2),"")</f>
        <v/>
      </c>
      <c r="E187" s="9" t="str">
        <f>IF(SUMIFS(Sheet1!$E:$E,Sheet1!$C:$C,$A187,Sheet1!$A:$A,E$2)&lt;&gt;0,SUMIFS(Sheet1!$E:$E,Sheet1!$C:$C,$A187,Sheet1!$A:$A,E$2),"")</f>
        <v/>
      </c>
      <c r="F187" s="9" t="str">
        <f>IF(SUMIFS(Sheet1!$E:$E,Sheet1!$C:$C,$A187,Sheet1!$A:$A,F$2)&lt;&gt;0,SUMIFS(Sheet1!$E:$E,Sheet1!$C:$C,$A187,Sheet1!$A:$A,F$2),"")</f>
        <v/>
      </c>
      <c r="G187" s="9" t="str">
        <f>IF(SUMIFS(Sheet1!$E:$E,Sheet1!$C:$C,$A187,Sheet1!$A:$A,G$2)&lt;&gt;0,SUMIFS(Sheet1!$E:$E,Sheet1!$C:$C,$A187,Sheet1!$A:$A,G$2),"")</f>
        <v/>
      </c>
      <c r="H187" s="9" t="str">
        <f>IF(SUMIFS(Sheet1!$E:$E,Sheet1!$C:$C,$A187,Sheet1!$A:$A,H$2)&lt;&gt;0,SUMIFS(Sheet1!$E:$E,Sheet1!$C:$C,$A187,Sheet1!$A:$A,H$2),"")</f>
        <v/>
      </c>
      <c r="I187" s="9" t="str">
        <f>IF(SUMIFS(Sheet1!$E:$E,Sheet1!$C:$C,$A187,Sheet1!$A:$A,I$2)&lt;&gt;0,SUMIFS(Sheet1!$E:$E,Sheet1!$C:$C,$A187,Sheet1!$A:$A,I$2),"")</f>
        <v/>
      </c>
      <c r="J187" s="9" t="str">
        <f>IF(SUMIFS(Sheet1!$E:$E,Sheet1!$C:$C,$A187,Sheet1!$A:$A,J$2)&lt;&gt;0,SUMIFS(Sheet1!$E:$E,Sheet1!$C:$C,$A187,Sheet1!$A:$A,J$2),"")</f>
        <v/>
      </c>
      <c r="K187" s="9" t="str">
        <f>IF(SUMIFS(Sheet1!$E:$E,Sheet1!$C:$C,$A187,Sheet1!$A:$A,K$2)&lt;&gt;0,SUMIFS(Sheet1!$E:$E,Sheet1!$C:$C,$A187,Sheet1!$A:$A,K$2),"")</f>
        <v/>
      </c>
      <c r="L187" s="9" t="str">
        <f>IF(SUMIFS(Sheet1!$E:$E,Sheet1!$C:$C,$A187,Sheet1!$A:$A,L$2)&lt;&gt;0,SUMIFS(Sheet1!$E:$E,Sheet1!$C:$C,$A187,Sheet1!$A:$A,L$2),"")</f>
        <v/>
      </c>
      <c r="M187" s="9" t="str">
        <f>IF(SUMIFS(Sheet1!$E:$E,Sheet1!$C:$C,$A187,Sheet1!$A:$A,M$2)&lt;&gt;0,SUMIFS(Sheet1!$E:$E,Sheet1!$C:$C,$A187,Sheet1!$A:$A,M$2),"")</f>
        <v/>
      </c>
      <c r="N187" s="9" t="str">
        <f>IF(SUMIFS(Sheet1!$E:$E,Sheet1!$C:$C,$A187,Sheet1!$A:$A,N$2)&lt;&gt;0,SUMIFS(Sheet1!$E:$E,Sheet1!$C:$C,$A187,Sheet1!$A:$A,N$2),"")</f>
        <v/>
      </c>
      <c r="O187" s="9" t="str">
        <f>IF(SUMIFS(Sheet1!$E:$E,Sheet1!$C:$C,$A187,Sheet1!$A:$A,O$2)&lt;&gt;0,SUMIFS(Sheet1!$E:$E,Sheet1!$C:$C,$A187,Sheet1!$A:$A,O$2),"")</f>
        <v/>
      </c>
      <c r="P187" s="9" t="str">
        <f>IF(SUMIFS(Sheet1!$E:$E,Sheet1!$C:$C,$A187,Sheet1!$A:$A,P$2)&lt;&gt;0,SUMIFS(Sheet1!$E:$E,Sheet1!$C:$C,$A187,Sheet1!$A:$A,P$2),"")</f>
        <v/>
      </c>
      <c r="Q187" s="9" t="str">
        <f>IF(SUMIFS(Sheet1!$E:$E,Sheet1!$C:$C,$A187,Sheet1!$A:$A,Q$2)&lt;&gt;0,SUMIFS(Sheet1!$E:$E,Sheet1!$C:$C,$A187,Sheet1!$A:$A,Q$2),"")</f>
        <v/>
      </c>
      <c r="R187" s="9" t="str">
        <f>IF(SUMIFS(Sheet1!$E:$E,Sheet1!$C:$C,$A187,Sheet1!$A:$A,R$2)&lt;&gt;0,SUMIFS(Sheet1!$E:$E,Sheet1!$C:$C,$A187,Sheet1!$A:$A,R$2),"")</f>
        <v/>
      </c>
      <c r="S187" s="9" t="str">
        <f>IF(SUMIFS(Sheet1!$E:$E,Sheet1!$C:$C,$A187,Sheet1!$A:$A,S$2)&lt;&gt;0,SUMIFS(Sheet1!$E:$E,Sheet1!$C:$C,$A187,Sheet1!$A:$A,S$2),"")</f>
        <v/>
      </c>
      <c r="T187" s="9" t="str">
        <f>IF(SUMIFS(Sheet1!$E:$E,Sheet1!$C:$C,$A187,Sheet1!$A:$A,T$2)&lt;&gt;0,SUMIFS(Sheet1!$E:$E,Sheet1!$C:$C,$A187,Sheet1!$A:$A,T$2),"")</f>
        <v/>
      </c>
      <c r="U187" s="9" t="str">
        <f>IF(SUMIFS(Sheet1!$E:$E,Sheet1!$C:$C,$A187,Sheet1!$A:$A,U$2)&lt;&gt;0,SUMIFS(Sheet1!$E:$E,Sheet1!$C:$C,$A187,Sheet1!$A:$A,U$2),"")</f>
        <v/>
      </c>
      <c r="V187" s="9" t="str">
        <f>IF(SUMIFS(Sheet1!$E:$E,Sheet1!$C:$C,$A187,Sheet1!$A:$A,V$2)&lt;&gt;0,SUMIFS(Sheet1!$E:$E,Sheet1!$C:$C,$A187,Sheet1!$A:$A,V$2),"")</f>
        <v/>
      </c>
      <c r="W187" s="9" t="str">
        <f>IF(SUMIFS(Sheet1!$E:$E,Sheet1!$C:$C,$A187,Sheet1!$A:$A,W$2)&lt;&gt;0,SUMIFS(Sheet1!$E:$E,Sheet1!$C:$C,$A187,Sheet1!$A:$A,W$2),"")</f>
        <v/>
      </c>
      <c r="X187" s="9" t="str">
        <f>IF(SUMIFS(Sheet1!$E:$E,Sheet1!$C:$C,$A187,Sheet1!$A:$A,X$2)&lt;&gt;0,SUMIFS(Sheet1!$E:$E,Sheet1!$C:$C,$A187,Sheet1!$A:$A,X$2),"")</f>
        <v/>
      </c>
      <c r="Y187" s="9" t="str">
        <f>IF(SUMIFS(Sheet1!$E:$E,Sheet1!$C:$C,$A187,Sheet1!$A:$A,Y$2)&lt;&gt;0,SUMIFS(Sheet1!$E:$E,Sheet1!$C:$C,$A187,Sheet1!$A:$A,Y$2),"")</f>
        <v/>
      </c>
      <c r="Z187" s="9" t="str">
        <f>IF(SUMIFS(Sheet1!$E:$E,Sheet1!$C:$C,$A187,Sheet1!$A:$A,Z$2)&lt;&gt;0,SUMIFS(Sheet1!$E:$E,Sheet1!$C:$C,$A187,Sheet1!$A:$A,Z$2),"")</f>
        <v/>
      </c>
      <c r="AA187" s="9" t="str">
        <f>IF(SUMIFS(Sheet1!$E:$E,Sheet1!$C:$C,$A187,Sheet1!$A:$A,AA$2)&lt;&gt;0,SUMIFS(Sheet1!$E:$E,Sheet1!$C:$C,$A187,Sheet1!$A:$A,AA$2),"")</f>
        <v/>
      </c>
      <c r="AB187" s="9" t="str">
        <f>IF(SUMIFS(Sheet1!$E:$E,Sheet1!$C:$C,$A187,Sheet1!$A:$A,AB$2)&lt;&gt;0,SUMIFS(Sheet1!$E:$E,Sheet1!$C:$C,$A187,Sheet1!$A:$A,AB$2),"")</f>
        <v/>
      </c>
      <c r="AC187" s="9" t="str">
        <f>IF(SUMIFS(Sheet1!$E:$E,Sheet1!$C:$C,$A187,Sheet1!$A:$A,AC$2)&lt;&gt;0,SUMIFS(Sheet1!$E:$E,Sheet1!$C:$C,$A187,Sheet1!$A:$A,AC$2),"")</f>
        <v/>
      </c>
      <c r="AD187" s="9" t="str">
        <f>IF(SUMIFS(Sheet1!$E:$E,Sheet1!$C:$C,$A187,Sheet1!$A:$A,AD$2)&lt;&gt;0,SUMIFS(Sheet1!$E:$E,Sheet1!$C:$C,$A187,Sheet1!$A:$A,AD$2),"")</f>
        <v/>
      </c>
      <c r="AE187" s="9" t="str">
        <f>IF(SUMIFS(Sheet1!$E:$E,Sheet1!$C:$C,$A187,Sheet1!$A:$A,AE$2)&lt;&gt;0,SUMIFS(Sheet1!$E:$E,Sheet1!$C:$C,$A187,Sheet1!$A:$A,AE$2),"")</f>
        <v/>
      </c>
      <c r="AF187" s="9" t="str">
        <f>IF(SUMIFS(Sheet1!$E:$E,Sheet1!$C:$C,$A187,Sheet1!$A:$A,AF$2)&lt;&gt;0,SUMIFS(Sheet1!$E:$E,Sheet1!$C:$C,$A187,Sheet1!$A:$A,AF$2),"")</f>
        <v/>
      </c>
      <c r="AG187" s="9" t="str">
        <f>IF(SUMIFS(Sheet1!$E:$E,Sheet1!$C:$C,$A187,Sheet1!$A:$A,AG$2)&lt;&gt;0,SUMIFS(Sheet1!$E:$E,Sheet1!$C:$C,$A187,Sheet1!$A:$A,AG$2),"")</f>
        <v/>
      </c>
      <c r="AH187" s="47">
        <f>SUM(Table24[[#This Row],[1]:[31]])</f>
        <v>0</v>
      </c>
    </row>
    <row r="188" spans="1:34" ht="12.75" customHeight="1">
      <c r="A188" s="24" t="str">
        <f>DSSP!A187</f>
        <v>GC112</v>
      </c>
      <c r="B188" s="25" t="str">
        <f>DSSP!B187</f>
        <v>Giày Converse</v>
      </c>
      <c r="C188" s="9" t="str">
        <f>IF(SUMIFS(Sheet1!$E:$E,Sheet1!$C:$C,$A188,Sheet1!$A:$A,C$2)&lt;&gt;0,SUMIFS(Sheet1!$E:$E,Sheet1!$C:$C,$A188,Sheet1!$A:$A,C$2),"")</f>
        <v/>
      </c>
      <c r="D188" s="9" t="str">
        <f>IF(SUMIFS(Sheet1!$E:$E,Sheet1!$C:$C,$A188,Sheet1!$A:$A,D$2)&lt;&gt;0,SUMIFS(Sheet1!$E:$E,Sheet1!$C:$C,$A188,Sheet1!$A:$A,D$2),"")</f>
        <v/>
      </c>
      <c r="E188" s="9" t="str">
        <f>IF(SUMIFS(Sheet1!$E:$E,Sheet1!$C:$C,$A188,Sheet1!$A:$A,E$2)&lt;&gt;0,SUMIFS(Sheet1!$E:$E,Sheet1!$C:$C,$A188,Sheet1!$A:$A,E$2),"")</f>
        <v/>
      </c>
      <c r="F188" s="9" t="str">
        <f>IF(SUMIFS(Sheet1!$E:$E,Sheet1!$C:$C,$A188,Sheet1!$A:$A,F$2)&lt;&gt;0,SUMIFS(Sheet1!$E:$E,Sheet1!$C:$C,$A188,Sheet1!$A:$A,F$2),"")</f>
        <v/>
      </c>
      <c r="G188" s="9" t="str">
        <f>IF(SUMIFS(Sheet1!$E:$E,Sheet1!$C:$C,$A188,Sheet1!$A:$A,G$2)&lt;&gt;0,SUMIFS(Sheet1!$E:$E,Sheet1!$C:$C,$A188,Sheet1!$A:$A,G$2),"")</f>
        <v/>
      </c>
      <c r="H188" s="9" t="str">
        <f>IF(SUMIFS(Sheet1!$E:$E,Sheet1!$C:$C,$A188,Sheet1!$A:$A,H$2)&lt;&gt;0,SUMIFS(Sheet1!$E:$E,Sheet1!$C:$C,$A188,Sheet1!$A:$A,H$2),"")</f>
        <v/>
      </c>
      <c r="I188" s="9" t="str">
        <f>IF(SUMIFS(Sheet1!$E:$E,Sheet1!$C:$C,$A188,Sheet1!$A:$A,I$2)&lt;&gt;0,SUMIFS(Sheet1!$E:$E,Sheet1!$C:$C,$A188,Sheet1!$A:$A,I$2),"")</f>
        <v/>
      </c>
      <c r="J188" s="9" t="str">
        <f>IF(SUMIFS(Sheet1!$E:$E,Sheet1!$C:$C,$A188,Sheet1!$A:$A,J$2)&lt;&gt;0,SUMIFS(Sheet1!$E:$E,Sheet1!$C:$C,$A188,Sheet1!$A:$A,J$2),"")</f>
        <v/>
      </c>
      <c r="K188" s="9" t="str">
        <f>IF(SUMIFS(Sheet1!$E:$E,Sheet1!$C:$C,$A188,Sheet1!$A:$A,K$2)&lt;&gt;0,SUMIFS(Sheet1!$E:$E,Sheet1!$C:$C,$A188,Sheet1!$A:$A,K$2),"")</f>
        <v/>
      </c>
      <c r="L188" s="9" t="str">
        <f>IF(SUMIFS(Sheet1!$E:$E,Sheet1!$C:$C,$A188,Sheet1!$A:$A,L$2)&lt;&gt;0,SUMIFS(Sheet1!$E:$E,Sheet1!$C:$C,$A188,Sheet1!$A:$A,L$2),"")</f>
        <v/>
      </c>
      <c r="M188" s="9" t="str">
        <f>IF(SUMIFS(Sheet1!$E:$E,Sheet1!$C:$C,$A188,Sheet1!$A:$A,M$2)&lt;&gt;0,SUMIFS(Sheet1!$E:$E,Sheet1!$C:$C,$A188,Sheet1!$A:$A,M$2),"")</f>
        <v/>
      </c>
      <c r="N188" s="9" t="str">
        <f>IF(SUMIFS(Sheet1!$E:$E,Sheet1!$C:$C,$A188,Sheet1!$A:$A,N$2)&lt;&gt;0,SUMIFS(Sheet1!$E:$E,Sheet1!$C:$C,$A188,Sheet1!$A:$A,N$2),"")</f>
        <v/>
      </c>
      <c r="O188" s="9" t="str">
        <f>IF(SUMIFS(Sheet1!$E:$E,Sheet1!$C:$C,$A188,Sheet1!$A:$A,O$2)&lt;&gt;0,SUMIFS(Sheet1!$E:$E,Sheet1!$C:$C,$A188,Sheet1!$A:$A,O$2),"")</f>
        <v/>
      </c>
      <c r="P188" s="9" t="str">
        <f>IF(SUMIFS(Sheet1!$E:$E,Sheet1!$C:$C,$A188,Sheet1!$A:$A,P$2)&lt;&gt;0,SUMIFS(Sheet1!$E:$E,Sheet1!$C:$C,$A188,Sheet1!$A:$A,P$2),"")</f>
        <v/>
      </c>
      <c r="Q188" s="9" t="str">
        <f>IF(SUMIFS(Sheet1!$E:$E,Sheet1!$C:$C,$A188,Sheet1!$A:$A,Q$2)&lt;&gt;0,SUMIFS(Sheet1!$E:$E,Sheet1!$C:$C,$A188,Sheet1!$A:$A,Q$2),"")</f>
        <v/>
      </c>
      <c r="R188" s="9" t="str">
        <f>IF(SUMIFS(Sheet1!$E:$E,Sheet1!$C:$C,$A188,Sheet1!$A:$A,R$2)&lt;&gt;0,SUMIFS(Sheet1!$E:$E,Sheet1!$C:$C,$A188,Sheet1!$A:$A,R$2),"")</f>
        <v/>
      </c>
      <c r="S188" s="9" t="str">
        <f>IF(SUMIFS(Sheet1!$E:$E,Sheet1!$C:$C,$A188,Sheet1!$A:$A,S$2)&lt;&gt;0,SUMIFS(Sheet1!$E:$E,Sheet1!$C:$C,$A188,Sheet1!$A:$A,S$2),"")</f>
        <v/>
      </c>
      <c r="T188" s="9" t="str">
        <f>IF(SUMIFS(Sheet1!$E:$E,Sheet1!$C:$C,$A188,Sheet1!$A:$A,T$2)&lt;&gt;0,SUMIFS(Sheet1!$E:$E,Sheet1!$C:$C,$A188,Sheet1!$A:$A,T$2),"")</f>
        <v/>
      </c>
      <c r="U188" s="9" t="str">
        <f>IF(SUMIFS(Sheet1!$E:$E,Sheet1!$C:$C,$A188,Sheet1!$A:$A,U$2)&lt;&gt;0,SUMIFS(Sheet1!$E:$E,Sheet1!$C:$C,$A188,Sheet1!$A:$A,U$2),"")</f>
        <v/>
      </c>
      <c r="V188" s="9" t="str">
        <f>IF(SUMIFS(Sheet1!$E:$E,Sheet1!$C:$C,$A188,Sheet1!$A:$A,V$2)&lt;&gt;0,SUMIFS(Sheet1!$E:$E,Sheet1!$C:$C,$A188,Sheet1!$A:$A,V$2),"")</f>
        <v/>
      </c>
      <c r="W188" s="9" t="str">
        <f>IF(SUMIFS(Sheet1!$E:$E,Sheet1!$C:$C,$A188,Sheet1!$A:$A,W$2)&lt;&gt;0,SUMIFS(Sheet1!$E:$E,Sheet1!$C:$C,$A188,Sheet1!$A:$A,W$2),"")</f>
        <v/>
      </c>
      <c r="X188" s="9" t="str">
        <f>IF(SUMIFS(Sheet1!$E:$E,Sheet1!$C:$C,$A188,Sheet1!$A:$A,X$2)&lt;&gt;0,SUMIFS(Sheet1!$E:$E,Sheet1!$C:$C,$A188,Sheet1!$A:$A,X$2),"")</f>
        <v/>
      </c>
      <c r="Y188" s="9" t="str">
        <f>IF(SUMIFS(Sheet1!$E:$E,Sheet1!$C:$C,$A188,Sheet1!$A:$A,Y$2)&lt;&gt;0,SUMIFS(Sheet1!$E:$E,Sheet1!$C:$C,$A188,Sheet1!$A:$A,Y$2),"")</f>
        <v/>
      </c>
      <c r="Z188" s="9" t="str">
        <f>IF(SUMIFS(Sheet1!$E:$E,Sheet1!$C:$C,$A188,Sheet1!$A:$A,Z$2)&lt;&gt;0,SUMIFS(Sheet1!$E:$E,Sheet1!$C:$C,$A188,Sheet1!$A:$A,Z$2),"")</f>
        <v/>
      </c>
      <c r="AA188" s="9" t="str">
        <f>IF(SUMIFS(Sheet1!$E:$E,Sheet1!$C:$C,$A188,Sheet1!$A:$A,AA$2)&lt;&gt;0,SUMIFS(Sheet1!$E:$E,Sheet1!$C:$C,$A188,Sheet1!$A:$A,AA$2),"")</f>
        <v/>
      </c>
      <c r="AB188" s="9" t="str">
        <f>IF(SUMIFS(Sheet1!$E:$E,Sheet1!$C:$C,$A188,Sheet1!$A:$A,AB$2)&lt;&gt;0,SUMIFS(Sheet1!$E:$E,Sheet1!$C:$C,$A188,Sheet1!$A:$A,AB$2),"")</f>
        <v/>
      </c>
      <c r="AC188" s="9" t="str">
        <f>IF(SUMIFS(Sheet1!$E:$E,Sheet1!$C:$C,$A188,Sheet1!$A:$A,AC$2)&lt;&gt;0,SUMIFS(Sheet1!$E:$E,Sheet1!$C:$C,$A188,Sheet1!$A:$A,AC$2),"")</f>
        <v/>
      </c>
      <c r="AD188" s="9" t="str">
        <f>IF(SUMIFS(Sheet1!$E:$E,Sheet1!$C:$C,$A188,Sheet1!$A:$A,AD$2)&lt;&gt;0,SUMIFS(Sheet1!$E:$E,Sheet1!$C:$C,$A188,Sheet1!$A:$A,AD$2),"")</f>
        <v/>
      </c>
      <c r="AE188" s="9" t="str">
        <f>IF(SUMIFS(Sheet1!$E:$E,Sheet1!$C:$C,$A188,Sheet1!$A:$A,AE$2)&lt;&gt;0,SUMIFS(Sheet1!$E:$E,Sheet1!$C:$C,$A188,Sheet1!$A:$A,AE$2),"")</f>
        <v/>
      </c>
      <c r="AF188" s="9" t="str">
        <f>IF(SUMIFS(Sheet1!$E:$E,Sheet1!$C:$C,$A188,Sheet1!$A:$A,AF$2)&lt;&gt;0,SUMIFS(Sheet1!$E:$E,Sheet1!$C:$C,$A188,Sheet1!$A:$A,AF$2),"")</f>
        <v/>
      </c>
      <c r="AG188" s="9" t="str">
        <f>IF(SUMIFS(Sheet1!$E:$E,Sheet1!$C:$C,$A188,Sheet1!$A:$A,AG$2)&lt;&gt;0,SUMIFS(Sheet1!$E:$E,Sheet1!$C:$C,$A188,Sheet1!$A:$A,AG$2),"")</f>
        <v/>
      </c>
      <c r="AH188" s="47">
        <f>SUM(Table24[[#This Row],[1]:[31]])</f>
        <v>0</v>
      </c>
    </row>
    <row r="189" spans="1:34" ht="12.75" customHeight="1">
      <c r="A189" s="24" t="str">
        <f>DSSP!A188</f>
        <v>GC113</v>
      </c>
      <c r="B189" s="25" t="str">
        <f>DSSP!B188</f>
        <v>Bánh Happy Birthday</v>
      </c>
      <c r="C189" s="9" t="str">
        <f>IF(SUMIFS(Sheet1!$E:$E,Sheet1!$C:$C,$A189,Sheet1!$A:$A,C$2)&lt;&gt;0,SUMIFS(Sheet1!$E:$E,Sheet1!$C:$C,$A189,Sheet1!$A:$A,C$2),"")</f>
        <v/>
      </c>
      <c r="D189" s="9" t="str">
        <f>IF(SUMIFS(Sheet1!$E:$E,Sheet1!$C:$C,$A189,Sheet1!$A:$A,D$2)&lt;&gt;0,SUMIFS(Sheet1!$E:$E,Sheet1!$C:$C,$A189,Sheet1!$A:$A,D$2),"")</f>
        <v/>
      </c>
      <c r="E189" s="9" t="str">
        <f>IF(SUMIFS(Sheet1!$E:$E,Sheet1!$C:$C,$A189,Sheet1!$A:$A,E$2)&lt;&gt;0,SUMIFS(Sheet1!$E:$E,Sheet1!$C:$C,$A189,Sheet1!$A:$A,E$2),"")</f>
        <v/>
      </c>
      <c r="F189" s="9" t="str">
        <f>IF(SUMIFS(Sheet1!$E:$E,Sheet1!$C:$C,$A189,Sheet1!$A:$A,F$2)&lt;&gt;0,SUMIFS(Sheet1!$E:$E,Sheet1!$C:$C,$A189,Sheet1!$A:$A,F$2),"")</f>
        <v/>
      </c>
      <c r="G189" s="9" t="str">
        <f>IF(SUMIFS(Sheet1!$E:$E,Sheet1!$C:$C,$A189,Sheet1!$A:$A,G$2)&lt;&gt;0,SUMIFS(Sheet1!$E:$E,Sheet1!$C:$C,$A189,Sheet1!$A:$A,G$2),"")</f>
        <v/>
      </c>
      <c r="H189" s="9" t="str">
        <f>IF(SUMIFS(Sheet1!$E:$E,Sheet1!$C:$C,$A189,Sheet1!$A:$A,H$2)&lt;&gt;0,SUMIFS(Sheet1!$E:$E,Sheet1!$C:$C,$A189,Sheet1!$A:$A,H$2),"")</f>
        <v/>
      </c>
      <c r="I189" s="9" t="str">
        <f>IF(SUMIFS(Sheet1!$E:$E,Sheet1!$C:$C,$A189,Sheet1!$A:$A,I$2)&lt;&gt;0,SUMIFS(Sheet1!$E:$E,Sheet1!$C:$C,$A189,Sheet1!$A:$A,I$2),"")</f>
        <v/>
      </c>
      <c r="J189" s="9" t="str">
        <f>IF(SUMIFS(Sheet1!$E:$E,Sheet1!$C:$C,$A189,Sheet1!$A:$A,J$2)&lt;&gt;0,SUMIFS(Sheet1!$E:$E,Sheet1!$C:$C,$A189,Sheet1!$A:$A,J$2),"")</f>
        <v/>
      </c>
      <c r="K189" s="9" t="str">
        <f>IF(SUMIFS(Sheet1!$E:$E,Sheet1!$C:$C,$A189,Sheet1!$A:$A,K$2)&lt;&gt;0,SUMIFS(Sheet1!$E:$E,Sheet1!$C:$C,$A189,Sheet1!$A:$A,K$2),"")</f>
        <v/>
      </c>
      <c r="L189" s="9" t="str">
        <f>IF(SUMIFS(Sheet1!$E:$E,Sheet1!$C:$C,$A189,Sheet1!$A:$A,L$2)&lt;&gt;0,SUMIFS(Sheet1!$E:$E,Sheet1!$C:$C,$A189,Sheet1!$A:$A,L$2),"")</f>
        <v/>
      </c>
      <c r="M189" s="9" t="str">
        <f>IF(SUMIFS(Sheet1!$E:$E,Sheet1!$C:$C,$A189,Sheet1!$A:$A,M$2)&lt;&gt;0,SUMIFS(Sheet1!$E:$E,Sheet1!$C:$C,$A189,Sheet1!$A:$A,M$2),"")</f>
        <v/>
      </c>
      <c r="N189" s="9" t="str">
        <f>IF(SUMIFS(Sheet1!$E:$E,Sheet1!$C:$C,$A189,Sheet1!$A:$A,N$2)&lt;&gt;0,SUMIFS(Sheet1!$E:$E,Sheet1!$C:$C,$A189,Sheet1!$A:$A,N$2),"")</f>
        <v/>
      </c>
      <c r="O189" s="9" t="str">
        <f>IF(SUMIFS(Sheet1!$E:$E,Sheet1!$C:$C,$A189,Sheet1!$A:$A,O$2)&lt;&gt;0,SUMIFS(Sheet1!$E:$E,Sheet1!$C:$C,$A189,Sheet1!$A:$A,O$2),"")</f>
        <v/>
      </c>
      <c r="P189" s="9" t="str">
        <f>IF(SUMIFS(Sheet1!$E:$E,Sheet1!$C:$C,$A189,Sheet1!$A:$A,P$2)&lt;&gt;0,SUMIFS(Sheet1!$E:$E,Sheet1!$C:$C,$A189,Sheet1!$A:$A,P$2),"")</f>
        <v/>
      </c>
      <c r="Q189" s="9" t="str">
        <f>IF(SUMIFS(Sheet1!$E:$E,Sheet1!$C:$C,$A189,Sheet1!$A:$A,Q$2)&lt;&gt;0,SUMIFS(Sheet1!$E:$E,Sheet1!$C:$C,$A189,Sheet1!$A:$A,Q$2),"")</f>
        <v/>
      </c>
      <c r="R189" s="9" t="str">
        <f>IF(SUMIFS(Sheet1!$E:$E,Sheet1!$C:$C,$A189,Sheet1!$A:$A,R$2)&lt;&gt;0,SUMIFS(Sheet1!$E:$E,Sheet1!$C:$C,$A189,Sheet1!$A:$A,R$2),"")</f>
        <v/>
      </c>
      <c r="S189" s="9" t="str">
        <f>IF(SUMIFS(Sheet1!$E:$E,Sheet1!$C:$C,$A189,Sheet1!$A:$A,S$2)&lt;&gt;0,SUMIFS(Sheet1!$E:$E,Sheet1!$C:$C,$A189,Sheet1!$A:$A,S$2),"")</f>
        <v/>
      </c>
      <c r="T189" s="9" t="str">
        <f>IF(SUMIFS(Sheet1!$E:$E,Sheet1!$C:$C,$A189,Sheet1!$A:$A,T$2)&lt;&gt;0,SUMIFS(Sheet1!$E:$E,Sheet1!$C:$C,$A189,Sheet1!$A:$A,T$2),"")</f>
        <v/>
      </c>
      <c r="U189" s="9" t="str">
        <f>IF(SUMIFS(Sheet1!$E:$E,Sheet1!$C:$C,$A189,Sheet1!$A:$A,U$2)&lt;&gt;0,SUMIFS(Sheet1!$E:$E,Sheet1!$C:$C,$A189,Sheet1!$A:$A,U$2),"")</f>
        <v/>
      </c>
      <c r="V189" s="9" t="str">
        <f>IF(SUMIFS(Sheet1!$E:$E,Sheet1!$C:$C,$A189,Sheet1!$A:$A,V$2)&lt;&gt;0,SUMIFS(Sheet1!$E:$E,Sheet1!$C:$C,$A189,Sheet1!$A:$A,V$2),"")</f>
        <v/>
      </c>
      <c r="W189" s="9" t="str">
        <f>IF(SUMIFS(Sheet1!$E:$E,Sheet1!$C:$C,$A189,Sheet1!$A:$A,W$2)&lt;&gt;0,SUMIFS(Sheet1!$E:$E,Sheet1!$C:$C,$A189,Sheet1!$A:$A,W$2),"")</f>
        <v/>
      </c>
      <c r="X189" s="9" t="str">
        <f>IF(SUMIFS(Sheet1!$E:$E,Sheet1!$C:$C,$A189,Sheet1!$A:$A,X$2)&lt;&gt;0,SUMIFS(Sheet1!$E:$E,Sheet1!$C:$C,$A189,Sheet1!$A:$A,X$2),"")</f>
        <v/>
      </c>
      <c r="Y189" s="9" t="str">
        <f>IF(SUMIFS(Sheet1!$E:$E,Sheet1!$C:$C,$A189,Sheet1!$A:$A,Y$2)&lt;&gt;0,SUMIFS(Sheet1!$E:$E,Sheet1!$C:$C,$A189,Sheet1!$A:$A,Y$2),"")</f>
        <v/>
      </c>
      <c r="Z189" s="9" t="str">
        <f>IF(SUMIFS(Sheet1!$E:$E,Sheet1!$C:$C,$A189,Sheet1!$A:$A,Z$2)&lt;&gt;0,SUMIFS(Sheet1!$E:$E,Sheet1!$C:$C,$A189,Sheet1!$A:$A,Z$2),"")</f>
        <v/>
      </c>
      <c r="AA189" s="9" t="str">
        <f>IF(SUMIFS(Sheet1!$E:$E,Sheet1!$C:$C,$A189,Sheet1!$A:$A,AA$2)&lt;&gt;0,SUMIFS(Sheet1!$E:$E,Sheet1!$C:$C,$A189,Sheet1!$A:$A,AA$2),"")</f>
        <v/>
      </c>
      <c r="AB189" s="9" t="str">
        <f>IF(SUMIFS(Sheet1!$E:$E,Sheet1!$C:$C,$A189,Sheet1!$A:$A,AB$2)&lt;&gt;0,SUMIFS(Sheet1!$E:$E,Sheet1!$C:$C,$A189,Sheet1!$A:$A,AB$2),"")</f>
        <v/>
      </c>
      <c r="AC189" s="9" t="str">
        <f>IF(SUMIFS(Sheet1!$E:$E,Sheet1!$C:$C,$A189,Sheet1!$A:$A,AC$2)&lt;&gt;0,SUMIFS(Sheet1!$E:$E,Sheet1!$C:$C,$A189,Sheet1!$A:$A,AC$2),"")</f>
        <v/>
      </c>
      <c r="AD189" s="9" t="str">
        <f>IF(SUMIFS(Sheet1!$E:$E,Sheet1!$C:$C,$A189,Sheet1!$A:$A,AD$2)&lt;&gt;0,SUMIFS(Sheet1!$E:$E,Sheet1!$C:$C,$A189,Sheet1!$A:$A,AD$2),"")</f>
        <v/>
      </c>
      <c r="AE189" s="9" t="str">
        <f>IF(SUMIFS(Sheet1!$E:$E,Sheet1!$C:$C,$A189,Sheet1!$A:$A,AE$2)&lt;&gt;0,SUMIFS(Sheet1!$E:$E,Sheet1!$C:$C,$A189,Sheet1!$A:$A,AE$2),"")</f>
        <v/>
      </c>
      <c r="AF189" s="9" t="str">
        <f>IF(SUMIFS(Sheet1!$E:$E,Sheet1!$C:$C,$A189,Sheet1!$A:$A,AF$2)&lt;&gt;0,SUMIFS(Sheet1!$E:$E,Sheet1!$C:$C,$A189,Sheet1!$A:$A,AF$2),"")</f>
        <v/>
      </c>
      <c r="AG189" s="9" t="str">
        <f>IF(SUMIFS(Sheet1!$E:$E,Sheet1!$C:$C,$A189,Sheet1!$A:$A,AG$2)&lt;&gt;0,SUMIFS(Sheet1!$E:$E,Sheet1!$C:$C,$A189,Sheet1!$A:$A,AG$2),"")</f>
        <v/>
      </c>
      <c r="AH189" s="47">
        <f>SUM(Table24[[#This Row],[1]:[31]])</f>
        <v>0</v>
      </c>
    </row>
    <row r="190" spans="1:34" ht="12.75" customHeight="1">
      <c r="A190" s="24" t="str">
        <f>DSSP!A189</f>
        <v>GC114</v>
      </c>
      <c r="B190" s="25" t="str">
        <f>DSSP!B189</f>
        <v>Chữ Love</v>
      </c>
      <c r="C190" s="9" t="str">
        <f>IF(SUMIFS(Sheet1!$E:$E,Sheet1!$C:$C,$A190,Sheet1!$A:$A,C$2)&lt;&gt;0,SUMIFS(Sheet1!$E:$E,Sheet1!$C:$C,$A190,Sheet1!$A:$A,C$2),"")</f>
        <v/>
      </c>
      <c r="D190" s="9" t="str">
        <f>IF(SUMIFS(Sheet1!$E:$E,Sheet1!$C:$C,$A190,Sheet1!$A:$A,D$2)&lt;&gt;0,SUMIFS(Sheet1!$E:$E,Sheet1!$C:$C,$A190,Sheet1!$A:$A,D$2),"")</f>
        <v/>
      </c>
      <c r="E190" s="9" t="str">
        <f>IF(SUMIFS(Sheet1!$E:$E,Sheet1!$C:$C,$A190,Sheet1!$A:$A,E$2)&lt;&gt;0,SUMIFS(Sheet1!$E:$E,Sheet1!$C:$C,$A190,Sheet1!$A:$A,E$2),"")</f>
        <v/>
      </c>
      <c r="F190" s="9" t="str">
        <f>IF(SUMIFS(Sheet1!$E:$E,Sheet1!$C:$C,$A190,Sheet1!$A:$A,F$2)&lt;&gt;0,SUMIFS(Sheet1!$E:$E,Sheet1!$C:$C,$A190,Sheet1!$A:$A,F$2),"")</f>
        <v/>
      </c>
      <c r="G190" s="9" t="str">
        <f>IF(SUMIFS(Sheet1!$E:$E,Sheet1!$C:$C,$A190,Sheet1!$A:$A,G$2)&lt;&gt;0,SUMIFS(Sheet1!$E:$E,Sheet1!$C:$C,$A190,Sheet1!$A:$A,G$2),"")</f>
        <v/>
      </c>
      <c r="H190" s="9" t="str">
        <f>IF(SUMIFS(Sheet1!$E:$E,Sheet1!$C:$C,$A190,Sheet1!$A:$A,H$2)&lt;&gt;0,SUMIFS(Sheet1!$E:$E,Sheet1!$C:$C,$A190,Sheet1!$A:$A,H$2),"")</f>
        <v/>
      </c>
      <c r="I190" s="9" t="str">
        <f>IF(SUMIFS(Sheet1!$E:$E,Sheet1!$C:$C,$A190,Sheet1!$A:$A,I$2)&lt;&gt;0,SUMIFS(Sheet1!$E:$E,Sheet1!$C:$C,$A190,Sheet1!$A:$A,I$2),"")</f>
        <v/>
      </c>
      <c r="J190" s="9" t="str">
        <f>IF(SUMIFS(Sheet1!$E:$E,Sheet1!$C:$C,$A190,Sheet1!$A:$A,J$2)&lt;&gt;0,SUMIFS(Sheet1!$E:$E,Sheet1!$C:$C,$A190,Sheet1!$A:$A,J$2),"")</f>
        <v/>
      </c>
      <c r="K190" s="9" t="str">
        <f>IF(SUMIFS(Sheet1!$E:$E,Sheet1!$C:$C,$A190,Sheet1!$A:$A,K$2)&lt;&gt;0,SUMIFS(Sheet1!$E:$E,Sheet1!$C:$C,$A190,Sheet1!$A:$A,K$2),"")</f>
        <v/>
      </c>
      <c r="L190" s="9" t="str">
        <f>IF(SUMIFS(Sheet1!$E:$E,Sheet1!$C:$C,$A190,Sheet1!$A:$A,L$2)&lt;&gt;0,SUMIFS(Sheet1!$E:$E,Sheet1!$C:$C,$A190,Sheet1!$A:$A,L$2),"")</f>
        <v/>
      </c>
      <c r="M190" s="9" t="str">
        <f>IF(SUMIFS(Sheet1!$E:$E,Sheet1!$C:$C,$A190,Sheet1!$A:$A,M$2)&lt;&gt;0,SUMIFS(Sheet1!$E:$E,Sheet1!$C:$C,$A190,Sheet1!$A:$A,M$2),"")</f>
        <v/>
      </c>
      <c r="N190" s="9" t="str">
        <f>IF(SUMIFS(Sheet1!$E:$E,Sheet1!$C:$C,$A190,Sheet1!$A:$A,N$2)&lt;&gt;0,SUMIFS(Sheet1!$E:$E,Sheet1!$C:$C,$A190,Sheet1!$A:$A,N$2),"")</f>
        <v/>
      </c>
      <c r="O190" s="9" t="str">
        <f>IF(SUMIFS(Sheet1!$E:$E,Sheet1!$C:$C,$A190,Sheet1!$A:$A,O$2)&lt;&gt;0,SUMIFS(Sheet1!$E:$E,Sheet1!$C:$C,$A190,Sheet1!$A:$A,O$2),"")</f>
        <v/>
      </c>
      <c r="P190" s="9" t="str">
        <f>IF(SUMIFS(Sheet1!$E:$E,Sheet1!$C:$C,$A190,Sheet1!$A:$A,P$2)&lt;&gt;0,SUMIFS(Sheet1!$E:$E,Sheet1!$C:$C,$A190,Sheet1!$A:$A,P$2),"")</f>
        <v/>
      </c>
      <c r="Q190" s="9" t="str">
        <f>IF(SUMIFS(Sheet1!$E:$E,Sheet1!$C:$C,$A190,Sheet1!$A:$A,Q$2)&lt;&gt;0,SUMIFS(Sheet1!$E:$E,Sheet1!$C:$C,$A190,Sheet1!$A:$A,Q$2),"")</f>
        <v/>
      </c>
      <c r="R190" s="9" t="str">
        <f>IF(SUMIFS(Sheet1!$E:$E,Sheet1!$C:$C,$A190,Sheet1!$A:$A,R$2)&lt;&gt;0,SUMIFS(Sheet1!$E:$E,Sheet1!$C:$C,$A190,Sheet1!$A:$A,R$2),"")</f>
        <v/>
      </c>
      <c r="S190" s="9" t="str">
        <f>IF(SUMIFS(Sheet1!$E:$E,Sheet1!$C:$C,$A190,Sheet1!$A:$A,S$2)&lt;&gt;0,SUMIFS(Sheet1!$E:$E,Sheet1!$C:$C,$A190,Sheet1!$A:$A,S$2),"")</f>
        <v/>
      </c>
      <c r="T190" s="9" t="str">
        <f>IF(SUMIFS(Sheet1!$E:$E,Sheet1!$C:$C,$A190,Sheet1!$A:$A,T$2)&lt;&gt;0,SUMIFS(Sheet1!$E:$E,Sheet1!$C:$C,$A190,Sheet1!$A:$A,T$2),"")</f>
        <v/>
      </c>
      <c r="U190" s="9" t="str">
        <f>IF(SUMIFS(Sheet1!$E:$E,Sheet1!$C:$C,$A190,Sheet1!$A:$A,U$2)&lt;&gt;0,SUMIFS(Sheet1!$E:$E,Sheet1!$C:$C,$A190,Sheet1!$A:$A,U$2),"")</f>
        <v/>
      </c>
      <c r="V190" s="9" t="str">
        <f>IF(SUMIFS(Sheet1!$E:$E,Sheet1!$C:$C,$A190,Sheet1!$A:$A,V$2)&lt;&gt;0,SUMIFS(Sheet1!$E:$E,Sheet1!$C:$C,$A190,Sheet1!$A:$A,V$2),"")</f>
        <v/>
      </c>
      <c r="W190" s="9" t="str">
        <f>IF(SUMIFS(Sheet1!$E:$E,Sheet1!$C:$C,$A190,Sheet1!$A:$A,W$2)&lt;&gt;0,SUMIFS(Sheet1!$E:$E,Sheet1!$C:$C,$A190,Sheet1!$A:$A,W$2),"")</f>
        <v/>
      </c>
      <c r="X190" s="9" t="str">
        <f>IF(SUMIFS(Sheet1!$E:$E,Sheet1!$C:$C,$A190,Sheet1!$A:$A,X$2)&lt;&gt;0,SUMIFS(Sheet1!$E:$E,Sheet1!$C:$C,$A190,Sheet1!$A:$A,X$2),"")</f>
        <v/>
      </c>
      <c r="Y190" s="9" t="str">
        <f>IF(SUMIFS(Sheet1!$E:$E,Sheet1!$C:$C,$A190,Sheet1!$A:$A,Y$2)&lt;&gt;0,SUMIFS(Sheet1!$E:$E,Sheet1!$C:$C,$A190,Sheet1!$A:$A,Y$2),"")</f>
        <v/>
      </c>
      <c r="Z190" s="9" t="str">
        <f>IF(SUMIFS(Sheet1!$E:$E,Sheet1!$C:$C,$A190,Sheet1!$A:$A,Z$2)&lt;&gt;0,SUMIFS(Sheet1!$E:$E,Sheet1!$C:$C,$A190,Sheet1!$A:$A,Z$2),"")</f>
        <v/>
      </c>
      <c r="AA190" s="9" t="str">
        <f>IF(SUMIFS(Sheet1!$E:$E,Sheet1!$C:$C,$A190,Sheet1!$A:$A,AA$2)&lt;&gt;0,SUMIFS(Sheet1!$E:$E,Sheet1!$C:$C,$A190,Sheet1!$A:$A,AA$2),"")</f>
        <v/>
      </c>
      <c r="AB190" s="9" t="str">
        <f>IF(SUMIFS(Sheet1!$E:$E,Sheet1!$C:$C,$A190,Sheet1!$A:$A,AB$2)&lt;&gt;0,SUMIFS(Sheet1!$E:$E,Sheet1!$C:$C,$A190,Sheet1!$A:$A,AB$2),"")</f>
        <v/>
      </c>
      <c r="AC190" s="9" t="str">
        <f>IF(SUMIFS(Sheet1!$E:$E,Sheet1!$C:$C,$A190,Sheet1!$A:$A,AC$2)&lt;&gt;0,SUMIFS(Sheet1!$E:$E,Sheet1!$C:$C,$A190,Sheet1!$A:$A,AC$2),"")</f>
        <v/>
      </c>
      <c r="AD190" s="9" t="str">
        <f>IF(SUMIFS(Sheet1!$E:$E,Sheet1!$C:$C,$A190,Sheet1!$A:$A,AD$2)&lt;&gt;0,SUMIFS(Sheet1!$E:$E,Sheet1!$C:$C,$A190,Sheet1!$A:$A,AD$2),"")</f>
        <v/>
      </c>
      <c r="AE190" s="9" t="str">
        <f>IF(SUMIFS(Sheet1!$E:$E,Sheet1!$C:$C,$A190,Sheet1!$A:$A,AE$2)&lt;&gt;0,SUMIFS(Sheet1!$E:$E,Sheet1!$C:$C,$A190,Sheet1!$A:$A,AE$2),"")</f>
        <v/>
      </c>
      <c r="AF190" s="9" t="str">
        <f>IF(SUMIFS(Sheet1!$E:$E,Sheet1!$C:$C,$A190,Sheet1!$A:$A,AF$2)&lt;&gt;0,SUMIFS(Sheet1!$E:$E,Sheet1!$C:$C,$A190,Sheet1!$A:$A,AF$2),"")</f>
        <v/>
      </c>
      <c r="AG190" s="9" t="str">
        <f>IF(SUMIFS(Sheet1!$E:$E,Sheet1!$C:$C,$A190,Sheet1!$A:$A,AG$2)&lt;&gt;0,SUMIFS(Sheet1!$E:$E,Sheet1!$C:$C,$A190,Sheet1!$A:$A,AG$2),"")</f>
        <v/>
      </c>
      <c r="AH190" s="47">
        <f>SUM(Table24[[#This Row],[1]:[31]])</f>
        <v>0</v>
      </c>
    </row>
    <row r="191" spans="1:34" ht="12.75" customHeight="1">
      <c r="A191" s="24" t="str">
        <f>DSSP!A190</f>
        <v>GC115</v>
      </c>
      <c r="B191" s="25" t="str">
        <f>DSSP!B190</f>
        <v>Chó con</v>
      </c>
      <c r="C191" s="9" t="str">
        <f>IF(SUMIFS(Sheet1!$E:$E,Sheet1!$C:$C,$A191,Sheet1!$A:$A,C$2)&lt;&gt;0,SUMIFS(Sheet1!$E:$E,Sheet1!$C:$C,$A191,Sheet1!$A:$A,C$2),"")</f>
        <v/>
      </c>
      <c r="D191" s="9" t="str">
        <f>IF(SUMIFS(Sheet1!$E:$E,Sheet1!$C:$C,$A191,Sheet1!$A:$A,D$2)&lt;&gt;0,SUMIFS(Sheet1!$E:$E,Sheet1!$C:$C,$A191,Sheet1!$A:$A,D$2),"")</f>
        <v/>
      </c>
      <c r="E191" s="9" t="str">
        <f>IF(SUMIFS(Sheet1!$E:$E,Sheet1!$C:$C,$A191,Sheet1!$A:$A,E$2)&lt;&gt;0,SUMIFS(Sheet1!$E:$E,Sheet1!$C:$C,$A191,Sheet1!$A:$A,E$2),"")</f>
        <v/>
      </c>
      <c r="F191" s="9" t="str">
        <f>IF(SUMIFS(Sheet1!$E:$E,Sheet1!$C:$C,$A191,Sheet1!$A:$A,F$2)&lt;&gt;0,SUMIFS(Sheet1!$E:$E,Sheet1!$C:$C,$A191,Sheet1!$A:$A,F$2),"")</f>
        <v/>
      </c>
      <c r="G191" s="9" t="str">
        <f>IF(SUMIFS(Sheet1!$E:$E,Sheet1!$C:$C,$A191,Sheet1!$A:$A,G$2)&lt;&gt;0,SUMIFS(Sheet1!$E:$E,Sheet1!$C:$C,$A191,Sheet1!$A:$A,G$2),"")</f>
        <v/>
      </c>
      <c r="H191" s="9" t="str">
        <f>IF(SUMIFS(Sheet1!$E:$E,Sheet1!$C:$C,$A191,Sheet1!$A:$A,H$2)&lt;&gt;0,SUMIFS(Sheet1!$E:$E,Sheet1!$C:$C,$A191,Sheet1!$A:$A,H$2),"")</f>
        <v/>
      </c>
      <c r="I191" s="9" t="str">
        <f>IF(SUMIFS(Sheet1!$E:$E,Sheet1!$C:$C,$A191,Sheet1!$A:$A,I$2)&lt;&gt;0,SUMIFS(Sheet1!$E:$E,Sheet1!$C:$C,$A191,Sheet1!$A:$A,I$2),"")</f>
        <v/>
      </c>
      <c r="J191" s="9" t="str">
        <f>IF(SUMIFS(Sheet1!$E:$E,Sheet1!$C:$C,$A191,Sheet1!$A:$A,J$2)&lt;&gt;0,SUMIFS(Sheet1!$E:$E,Sheet1!$C:$C,$A191,Sheet1!$A:$A,J$2),"")</f>
        <v/>
      </c>
      <c r="K191" s="9" t="str">
        <f>IF(SUMIFS(Sheet1!$E:$E,Sheet1!$C:$C,$A191,Sheet1!$A:$A,K$2)&lt;&gt;0,SUMIFS(Sheet1!$E:$E,Sheet1!$C:$C,$A191,Sheet1!$A:$A,K$2),"")</f>
        <v/>
      </c>
      <c r="L191" s="9" t="str">
        <f>IF(SUMIFS(Sheet1!$E:$E,Sheet1!$C:$C,$A191,Sheet1!$A:$A,L$2)&lt;&gt;0,SUMIFS(Sheet1!$E:$E,Sheet1!$C:$C,$A191,Sheet1!$A:$A,L$2),"")</f>
        <v/>
      </c>
      <c r="M191" s="9" t="str">
        <f>IF(SUMIFS(Sheet1!$E:$E,Sheet1!$C:$C,$A191,Sheet1!$A:$A,M$2)&lt;&gt;0,SUMIFS(Sheet1!$E:$E,Sheet1!$C:$C,$A191,Sheet1!$A:$A,M$2),"")</f>
        <v/>
      </c>
      <c r="N191" s="9" t="str">
        <f>IF(SUMIFS(Sheet1!$E:$E,Sheet1!$C:$C,$A191,Sheet1!$A:$A,N$2)&lt;&gt;0,SUMIFS(Sheet1!$E:$E,Sheet1!$C:$C,$A191,Sheet1!$A:$A,N$2),"")</f>
        <v/>
      </c>
      <c r="O191" s="9" t="str">
        <f>IF(SUMIFS(Sheet1!$E:$E,Sheet1!$C:$C,$A191,Sheet1!$A:$A,O$2)&lt;&gt;0,SUMIFS(Sheet1!$E:$E,Sheet1!$C:$C,$A191,Sheet1!$A:$A,O$2),"")</f>
        <v/>
      </c>
      <c r="P191" s="9" t="str">
        <f>IF(SUMIFS(Sheet1!$E:$E,Sheet1!$C:$C,$A191,Sheet1!$A:$A,P$2)&lt;&gt;0,SUMIFS(Sheet1!$E:$E,Sheet1!$C:$C,$A191,Sheet1!$A:$A,P$2),"")</f>
        <v/>
      </c>
      <c r="Q191" s="9" t="str">
        <f>IF(SUMIFS(Sheet1!$E:$E,Sheet1!$C:$C,$A191,Sheet1!$A:$A,Q$2)&lt;&gt;0,SUMIFS(Sheet1!$E:$E,Sheet1!$C:$C,$A191,Sheet1!$A:$A,Q$2),"")</f>
        <v/>
      </c>
      <c r="R191" s="9" t="str">
        <f>IF(SUMIFS(Sheet1!$E:$E,Sheet1!$C:$C,$A191,Sheet1!$A:$A,R$2)&lt;&gt;0,SUMIFS(Sheet1!$E:$E,Sheet1!$C:$C,$A191,Sheet1!$A:$A,R$2),"")</f>
        <v/>
      </c>
      <c r="S191" s="9" t="str">
        <f>IF(SUMIFS(Sheet1!$E:$E,Sheet1!$C:$C,$A191,Sheet1!$A:$A,S$2)&lt;&gt;0,SUMIFS(Sheet1!$E:$E,Sheet1!$C:$C,$A191,Sheet1!$A:$A,S$2),"")</f>
        <v/>
      </c>
      <c r="T191" s="9" t="str">
        <f>IF(SUMIFS(Sheet1!$E:$E,Sheet1!$C:$C,$A191,Sheet1!$A:$A,T$2)&lt;&gt;0,SUMIFS(Sheet1!$E:$E,Sheet1!$C:$C,$A191,Sheet1!$A:$A,T$2),"")</f>
        <v/>
      </c>
      <c r="U191" s="9" t="str">
        <f>IF(SUMIFS(Sheet1!$E:$E,Sheet1!$C:$C,$A191,Sheet1!$A:$A,U$2)&lt;&gt;0,SUMIFS(Sheet1!$E:$E,Sheet1!$C:$C,$A191,Sheet1!$A:$A,U$2),"")</f>
        <v/>
      </c>
      <c r="V191" s="9" t="str">
        <f>IF(SUMIFS(Sheet1!$E:$E,Sheet1!$C:$C,$A191,Sheet1!$A:$A,V$2)&lt;&gt;0,SUMIFS(Sheet1!$E:$E,Sheet1!$C:$C,$A191,Sheet1!$A:$A,V$2),"")</f>
        <v/>
      </c>
      <c r="W191" s="9" t="str">
        <f>IF(SUMIFS(Sheet1!$E:$E,Sheet1!$C:$C,$A191,Sheet1!$A:$A,W$2)&lt;&gt;0,SUMIFS(Sheet1!$E:$E,Sheet1!$C:$C,$A191,Sheet1!$A:$A,W$2),"")</f>
        <v/>
      </c>
      <c r="X191" s="9" t="str">
        <f>IF(SUMIFS(Sheet1!$E:$E,Sheet1!$C:$C,$A191,Sheet1!$A:$A,X$2)&lt;&gt;0,SUMIFS(Sheet1!$E:$E,Sheet1!$C:$C,$A191,Sheet1!$A:$A,X$2),"")</f>
        <v/>
      </c>
      <c r="Y191" s="9" t="str">
        <f>IF(SUMIFS(Sheet1!$E:$E,Sheet1!$C:$C,$A191,Sheet1!$A:$A,Y$2)&lt;&gt;0,SUMIFS(Sheet1!$E:$E,Sheet1!$C:$C,$A191,Sheet1!$A:$A,Y$2),"")</f>
        <v/>
      </c>
      <c r="Z191" s="9" t="str">
        <f>IF(SUMIFS(Sheet1!$E:$E,Sheet1!$C:$C,$A191,Sheet1!$A:$A,Z$2)&lt;&gt;0,SUMIFS(Sheet1!$E:$E,Sheet1!$C:$C,$A191,Sheet1!$A:$A,Z$2),"")</f>
        <v/>
      </c>
      <c r="AA191" s="9" t="str">
        <f>IF(SUMIFS(Sheet1!$E:$E,Sheet1!$C:$C,$A191,Sheet1!$A:$A,AA$2)&lt;&gt;0,SUMIFS(Sheet1!$E:$E,Sheet1!$C:$C,$A191,Sheet1!$A:$A,AA$2),"")</f>
        <v/>
      </c>
      <c r="AB191" s="9" t="str">
        <f>IF(SUMIFS(Sheet1!$E:$E,Sheet1!$C:$C,$A191,Sheet1!$A:$A,AB$2)&lt;&gt;0,SUMIFS(Sheet1!$E:$E,Sheet1!$C:$C,$A191,Sheet1!$A:$A,AB$2),"")</f>
        <v/>
      </c>
      <c r="AC191" s="9" t="str">
        <f>IF(SUMIFS(Sheet1!$E:$E,Sheet1!$C:$C,$A191,Sheet1!$A:$A,AC$2)&lt;&gt;0,SUMIFS(Sheet1!$E:$E,Sheet1!$C:$C,$A191,Sheet1!$A:$A,AC$2),"")</f>
        <v/>
      </c>
      <c r="AD191" s="9" t="str">
        <f>IF(SUMIFS(Sheet1!$E:$E,Sheet1!$C:$C,$A191,Sheet1!$A:$A,AD$2)&lt;&gt;0,SUMIFS(Sheet1!$E:$E,Sheet1!$C:$C,$A191,Sheet1!$A:$A,AD$2),"")</f>
        <v/>
      </c>
      <c r="AE191" s="9" t="str">
        <f>IF(SUMIFS(Sheet1!$E:$E,Sheet1!$C:$C,$A191,Sheet1!$A:$A,AE$2)&lt;&gt;0,SUMIFS(Sheet1!$E:$E,Sheet1!$C:$C,$A191,Sheet1!$A:$A,AE$2),"")</f>
        <v/>
      </c>
      <c r="AF191" s="9" t="str">
        <f>IF(SUMIFS(Sheet1!$E:$E,Sheet1!$C:$C,$A191,Sheet1!$A:$A,AF$2)&lt;&gt;0,SUMIFS(Sheet1!$E:$E,Sheet1!$C:$C,$A191,Sheet1!$A:$A,AF$2),"")</f>
        <v/>
      </c>
      <c r="AG191" s="9" t="str">
        <f>IF(SUMIFS(Sheet1!$E:$E,Sheet1!$C:$C,$A191,Sheet1!$A:$A,AG$2)&lt;&gt;0,SUMIFS(Sheet1!$E:$E,Sheet1!$C:$C,$A191,Sheet1!$A:$A,AG$2),"")</f>
        <v/>
      </c>
      <c r="AH191" s="47">
        <f>SUM(Table24[[#This Row],[1]:[31]])</f>
        <v>0</v>
      </c>
    </row>
    <row r="192" spans="1:34" ht="12.75" customHeight="1">
      <c r="A192" s="24" t="str">
        <f>DSSP!A191</f>
        <v>GC116</v>
      </c>
      <c r="B192" s="25" t="str">
        <f>DSSP!B191</f>
        <v>Cỏ bốn lá nhỏ</v>
      </c>
      <c r="C192" s="9" t="str">
        <f>IF(SUMIFS(Sheet1!$E:$E,Sheet1!$C:$C,$A192,Sheet1!$A:$A,C$2)&lt;&gt;0,SUMIFS(Sheet1!$E:$E,Sheet1!$C:$C,$A192,Sheet1!$A:$A,C$2),"")</f>
        <v/>
      </c>
      <c r="D192" s="9" t="str">
        <f>IF(SUMIFS(Sheet1!$E:$E,Sheet1!$C:$C,$A192,Sheet1!$A:$A,D$2)&lt;&gt;0,SUMIFS(Sheet1!$E:$E,Sheet1!$C:$C,$A192,Sheet1!$A:$A,D$2),"")</f>
        <v/>
      </c>
      <c r="E192" s="9" t="str">
        <f>IF(SUMIFS(Sheet1!$E:$E,Sheet1!$C:$C,$A192,Sheet1!$A:$A,E$2)&lt;&gt;0,SUMIFS(Sheet1!$E:$E,Sheet1!$C:$C,$A192,Sheet1!$A:$A,E$2),"")</f>
        <v/>
      </c>
      <c r="F192" s="9" t="str">
        <f>IF(SUMIFS(Sheet1!$E:$E,Sheet1!$C:$C,$A192,Sheet1!$A:$A,F$2)&lt;&gt;0,SUMIFS(Sheet1!$E:$E,Sheet1!$C:$C,$A192,Sheet1!$A:$A,F$2),"")</f>
        <v/>
      </c>
      <c r="G192" s="9" t="str">
        <f>IF(SUMIFS(Sheet1!$E:$E,Sheet1!$C:$C,$A192,Sheet1!$A:$A,G$2)&lt;&gt;0,SUMIFS(Sheet1!$E:$E,Sheet1!$C:$C,$A192,Sheet1!$A:$A,G$2),"")</f>
        <v/>
      </c>
      <c r="H192" s="9" t="str">
        <f>IF(SUMIFS(Sheet1!$E:$E,Sheet1!$C:$C,$A192,Sheet1!$A:$A,H$2)&lt;&gt;0,SUMIFS(Sheet1!$E:$E,Sheet1!$C:$C,$A192,Sheet1!$A:$A,H$2),"")</f>
        <v/>
      </c>
      <c r="I192" s="9" t="str">
        <f>IF(SUMIFS(Sheet1!$E:$E,Sheet1!$C:$C,$A192,Sheet1!$A:$A,I$2)&lt;&gt;0,SUMIFS(Sheet1!$E:$E,Sheet1!$C:$C,$A192,Sheet1!$A:$A,I$2),"")</f>
        <v/>
      </c>
      <c r="J192" s="9" t="str">
        <f>IF(SUMIFS(Sheet1!$E:$E,Sheet1!$C:$C,$A192,Sheet1!$A:$A,J$2)&lt;&gt;0,SUMIFS(Sheet1!$E:$E,Sheet1!$C:$C,$A192,Sheet1!$A:$A,J$2),"")</f>
        <v/>
      </c>
      <c r="K192" s="9" t="str">
        <f>IF(SUMIFS(Sheet1!$E:$E,Sheet1!$C:$C,$A192,Sheet1!$A:$A,K$2)&lt;&gt;0,SUMIFS(Sheet1!$E:$E,Sheet1!$C:$C,$A192,Sheet1!$A:$A,K$2),"")</f>
        <v/>
      </c>
      <c r="L192" s="9" t="str">
        <f>IF(SUMIFS(Sheet1!$E:$E,Sheet1!$C:$C,$A192,Sheet1!$A:$A,L$2)&lt;&gt;0,SUMIFS(Sheet1!$E:$E,Sheet1!$C:$C,$A192,Sheet1!$A:$A,L$2),"")</f>
        <v/>
      </c>
      <c r="M192" s="9" t="str">
        <f>IF(SUMIFS(Sheet1!$E:$E,Sheet1!$C:$C,$A192,Sheet1!$A:$A,M$2)&lt;&gt;0,SUMIFS(Sheet1!$E:$E,Sheet1!$C:$C,$A192,Sheet1!$A:$A,M$2),"")</f>
        <v/>
      </c>
      <c r="N192" s="9" t="str">
        <f>IF(SUMIFS(Sheet1!$E:$E,Sheet1!$C:$C,$A192,Sheet1!$A:$A,N$2)&lt;&gt;0,SUMIFS(Sheet1!$E:$E,Sheet1!$C:$C,$A192,Sheet1!$A:$A,N$2),"")</f>
        <v/>
      </c>
      <c r="O192" s="9" t="str">
        <f>IF(SUMIFS(Sheet1!$E:$E,Sheet1!$C:$C,$A192,Sheet1!$A:$A,O$2)&lt;&gt;0,SUMIFS(Sheet1!$E:$E,Sheet1!$C:$C,$A192,Sheet1!$A:$A,O$2),"")</f>
        <v/>
      </c>
      <c r="P192" s="9" t="str">
        <f>IF(SUMIFS(Sheet1!$E:$E,Sheet1!$C:$C,$A192,Sheet1!$A:$A,P$2)&lt;&gt;0,SUMIFS(Sheet1!$E:$E,Sheet1!$C:$C,$A192,Sheet1!$A:$A,P$2),"")</f>
        <v/>
      </c>
      <c r="Q192" s="9" t="str">
        <f>IF(SUMIFS(Sheet1!$E:$E,Sheet1!$C:$C,$A192,Sheet1!$A:$A,Q$2)&lt;&gt;0,SUMIFS(Sheet1!$E:$E,Sheet1!$C:$C,$A192,Sheet1!$A:$A,Q$2),"")</f>
        <v/>
      </c>
      <c r="R192" s="9" t="str">
        <f>IF(SUMIFS(Sheet1!$E:$E,Sheet1!$C:$C,$A192,Sheet1!$A:$A,R$2)&lt;&gt;0,SUMIFS(Sheet1!$E:$E,Sheet1!$C:$C,$A192,Sheet1!$A:$A,R$2),"")</f>
        <v/>
      </c>
      <c r="S192" s="9" t="str">
        <f>IF(SUMIFS(Sheet1!$E:$E,Sheet1!$C:$C,$A192,Sheet1!$A:$A,S$2)&lt;&gt;0,SUMIFS(Sheet1!$E:$E,Sheet1!$C:$C,$A192,Sheet1!$A:$A,S$2),"")</f>
        <v/>
      </c>
      <c r="T192" s="9" t="str">
        <f>IF(SUMIFS(Sheet1!$E:$E,Sheet1!$C:$C,$A192,Sheet1!$A:$A,T$2)&lt;&gt;0,SUMIFS(Sheet1!$E:$E,Sheet1!$C:$C,$A192,Sheet1!$A:$A,T$2),"")</f>
        <v/>
      </c>
      <c r="U192" s="9" t="str">
        <f>IF(SUMIFS(Sheet1!$E:$E,Sheet1!$C:$C,$A192,Sheet1!$A:$A,U$2)&lt;&gt;0,SUMIFS(Sheet1!$E:$E,Sheet1!$C:$C,$A192,Sheet1!$A:$A,U$2),"")</f>
        <v/>
      </c>
      <c r="V192" s="9" t="str">
        <f>IF(SUMIFS(Sheet1!$E:$E,Sheet1!$C:$C,$A192,Sheet1!$A:$A,V$2)&lt;&gt;0,SUMIFS(Sheet1!$E:$E,Sheet1!$C:$C,$A192,Sheet1!$A:$A,V$2),"")</f>
        <v/>
      </c>
      <c r="W192" s="9" t="str">
        <f>IF(SUMIFS(Sheet1!$E:$E,Sheet1!$C:$C,$A192,Sheet1!$A:$A,W$2)&lt;&gt;0,SUMIFS(Sheet1!$E:$E,Sheet1!$C:$C,$A192,Sheet1!$A:$A,W$2),"")</f>
        <v/>
      </c>
      <c r="X192" s="9" t="str">
        <f>IF(SUMIFS(Sheet1!$E:$E,Sheet1!$C:$C,$A192,Sheet1!$A:$A,X$2)&lt;&gt;0,SUMIFS(Sheet1!$E:$E,Sheet1!$C:$C,$A192,Sheet1!$A:$A,X$2),"")</f>
        <v/>
      </c>
      <c r="Y192" s="9" t="str">
        <f>IF(SUMIFS(Sheet1!$E:$E,Sheet1!$C:$C,$A192,Sheet1!$A:$A,Y$2)&lt;&gt;0,SUMIFS(Sheet1!$E:$E,Sheet1!$C:$C,$A192,Sheet1!$A:$A,Y$2),"")</f>
        <v/>
      </c>
      <c r="Z192" s="9" t="str">
        <f>IF(SUMIFS(Sheet1!$E:$E,Sheet1!$C:$C,$A192,Sheet1!$A:$A,Z$2)&lt;&gt;0,SUMIFS(Sheet1!$E:$E,Sheet1!$C:$C,$A192,Sheet1!$A:$A,Z$2),"")</f>
        <v/>
      </c>
      <c r="AA192" s="9" t="str">
        <f>IF(SUMIFS(Sheet1!$E:$E,Sheet1!$C:$C,$A192,Sheet1!$A:$A,AA$2)&lt;&gt;0,SUMIFS(Sheet1!$E:$E,Sheet1!$C:$C,$A192,Sheet1!$A:$A,AA$2),"")</f>
        <v/>
      </c>
      <c r="AB192" s="9" t="str">
        <f>IF(SUMIFS(Sheet1!$E:$E,Sheet1!$C:$C,$A192,Sheet1!$A:$A,AB$2)&lt;&gt;0,SUMIFS(Sheet1!$E:$E,Sheet1!$C:$C,$A192,Sheet1!$A:$A,AB$2),"")</f>
        <v/>
      </c>
      <c r="AC192" s="9" t="str">
        <f>IF(SUMIFS(Sheet1!$E:$E,Sheet1!$C:$C,$A192,Sheet1!$A:$A,AC$2)&lt;&gt;0,SUMIFS(Sheet1!$E:$E,Sheet1!$C:$C,$A192,Sheet1!$A:$A,AC$2),"")</f>
        <v/>
      </c>
      <c r="AD192" s="9" t="str">
        <f>IF(SUMIFS(Sheet1!$E:$E,Sheet1!$C:$C,$A192,Sheet1!$A:$A,AD$2)&lt;&gt;0,SUMIFS(Sheet1!$E:$E,Sheet1!$C:$C,$A192,Sheet1!$A:$A,AD$2),"")</f>
        <v/>
      </c>
      <c r="AE192" s="9" t="str">
        <f>IF(SUMIFS(Sheet1!$E:$E,Sheet1!$C:$C,$A192,Sheet1!$A:$A,AE$2)&lt;&gt;0,SUMIFS(Sheet1!$E:$E,Sheet1!$C:$C,$A192,Sheet1!$A:$A,AE$2),"")</f>
        <v/>
      </c>
      <c r="AF192" s="9" t="str">
        <f>IF(SUMIFS(Sheet1!$E:$E,Sheet1!$C:$C,$A192,Sheet1!$A:$A,AF$2)&lt;&gt;0,SUMIFS(Sheet1!$E:$E,Sheet1!$C:$C,$A192,Sheet1!$A:$A,AF$2),"")</f>
        <v/>
      </c>
      <c r="AG192" s="9" t="str">
        <f>IF(SUMIFS(Sheet1!$E:$E,Sheet1!$C:$C,$A192,Sheet1!$A:$A,AG$2)&lt;&gt;0,SUMIFS(Sheet1!$E:$E,Sheet1!$C:$C,$A192,Sheet1!$A:$A,AG$2),"")</f>
        <v/>
      </c>
      <c r="AH192" s="47">
        <f>SUM(Table24[[#This Row],[1]:[31]])</f>
        <v>0</v>
      </c>
    </row>
    <row r="193" spans="1:34" ht="12.75" customHeight="1">
      <c r="A193" s="24" t="str">
        <f>DSSP!A192</f>
        <v>GC117</v>
      </c>
      <c r="B193" s="25" t="str">
        <f>DSSP!B192</f>
        <v>Cây nhiều lá</v>
      </c>
      <c r="C193" s="9" t="str">
        <f>IF(SUMIFS(Sheet1!$E:$E,Sheet1!$C:$C,$A193,Sheet1!$A:$A,C$2)&lt;&gt;0,SUMIFS(Sheet1!$E:$E,Sheet1!$C:$C,$A193,Sheet1!$A:$A,C$2),"")</f>
        <v/>
      </c>
      <c r="D193" s="9" t="str">
        <f>IF(SUMIFS(Sheet1!$E:$E,Sheet1!$C:$C,$A193,Sheet1!$A:$A,D$2)&lt;&gt;0,SUMIFS(Sheet1!$E:$E,Sheet1!$C:$C,$A193,Sheet1!$A:$A,D$2),"")</f>
        <v/>
      </c>
      <c r="E193" s="9" t="str">
        <f>IF(SUMIFS(Sheet1!$E:$E,Sheet1!$C:$C,$A193,Sheet1!$A:$A,E$2)&lt;&gt;0,SUMIFS(Sheet1!$E:$E,Sheet1!$C:$C,$A193,Sheet1!$A:$A,E$2),"")</f>
        <v/>
      </c>
      <c r="F193" s="9" t="str">
        <f>IF(SUMIFS(Sheet1!$E:$E,Sheet1!$C:$C,$A193,Sheet1!$A:$A,F$2)&lt;&gt;0,SUMIFS(Sheet1!$E:$E,Sheet1!$C:$C,$A193,Sheet1!$A:$A,F$2),"")</f>
        <v/>
      </c>
      <c r="G193" s="9" t="str">
        <f>IF(SUMIFS(Sheet1!$E:$E,Sheet1!$C:$C,$A193,Sheet1!$A:$A,G$2)&lt;&gt;0,SUMIFS(Sheet1!$E:$E,Sheet1!$C:$C,$A193,Sheet1!$A:$A,G$2),"")</f>
        <v/>
      </c>
      <c r="H193" s="9" t="str">
        <f>IF(SUMIFS(Sheet1!$E:$E,Sheet1!$C:$C,$A193,Sheet1!$A:$A,H$2)&lt;&gt;0,SUMIFS(Sheet1!$E:$E,Sheet1!$C:$C,$A193,Sheet1!$A:$A,H$2),"")</f>
        <v/>
      </c>
      <c r="I193" s="9" t="str">
        <f>IF(SUMIFS(Sheet1!$E:$E,Sheet1!$C:$C,$A193,Sheet1!$A:$A,I$2)&lt;&gt;0,SUMIFS(Sheet1!$E:$E,Sheet1!$C:$C,$A193,Sheet1!$A:$A,I$2),"")</f>
        <v/>
      </c>
      <c r="J193" s="9" t="str">
        <f>IF(SUMIFS(Sheet1!$E:$E,Sheet1!$C:$C,$A193,Sheet1!$A:$A,J$2)&lt;&gt;0,SUMIFS(Sheet1!$E:$E,Sheet1!$C:$C,$A193,Sheet1!$A:$A,J$2),"")</f>
        <v/>
      </c>
      <c r="K193" s="9" t="str">
        <f>IF(SUMIFS(Sheet1!$E:$E,Sheet1!$C:$C,$A193,Sheet1!$A:$A,K$2)&lt;&gt;0,SUMIFS(Sheet1!$E:$E,Sheet1!$C:$C,$A193,Sheet1!$A:$A,K$2),"")</f>
        <v/>
      </c>
      <c r="L193" s="9" t="str">
        <f>IF(SUMIFS(Sheet1!$E:$E,Sheet1!$C:$C,$A193,Sheet1!$A:$A,L$2)&lt;&gt;0,SUMIFS(Sheet1!$E:$E,Sheet1!$C:$C,$A193,Sheet1!$A:$A,L$2),"")</f>
        <v/>
      </c>
      <c r="M193" s="9" t="str">
        <f>IF(SUMIFS(Sheet1!$E:$E,Sheet1!$C:$C,$A193,Sheet1!$A:$A,M$2)&lt;&gt;0,SUMIFS(Sheet1!$E:$E,Sheet1!$C:$C,$A193,Sheet1!$A:$A,M$2),"")</f>
        <v/>
      </c>
      <c r="N193" s="9" t="str">
        <f>IF(SUMIFS(Sheet1!$E:$E,Sheet1!$C:$C,$A193,Sheet1!$A:$A,N$2)&lt;&gt;0,SUMIFS(Sheet1!$E:$E,Sheet1!$C:$C,$A193,Sheet1!$A:$A,N$2),"")</f>
        <v/>
      </c>
      <c r="O193" s="9" t="str">
        <f>IF(SUMIFS(Sheet1!$E:$E,Sheet1!$C:$C,$A193,Sheet1!$A:$A,O$2)&lt;&gt;0,SUMIFS(Sheet1!$E:$E,Sheet1!$C:$C,$A193,Sheet1!$A:$A,O$2),"")</f>
        <v/>
      </c>
      <c r="P193" s="9" t="str">
        <f>IF(SUMIFS(Sheet1!$E:$E,Sheet1!$C:$C,$A193,Sheet1!$A:$A,P$2)&lt;&gt;0,SUMIFS(Sheet1!$E:$E,Sheet1!$C:$C,$A193,Sheet1!$A:$A,P$2),"")</f>
        <v/>
      </c>
      <c r="Q193" s="9" t="str">
        <f>IF(SUMIFS(Sheet1!$E:$E,Sheet1!$C:$C,$A193,Sheet1!$A:$A,Q$2)&lt;&gt;0,SUMIFS(Sheet1!$E:$E,Sheet1!$C:$C,$A193,Sheet1!$A:$A,Q$2),"")</f>
        <v/>
      </c>
      <c r="R193" s="9" t="str">
        <f>IF(SUMIFS(Sheet1!$E:$E,Sheet1!$C:$C,$A193,Sheet1!$A:$A,R$2)&lt;&gt;0,SUMIFS(Sheet1!$E:$E,Sheet1!$C:$C,$A193,Sheet1!$A:$A,R$2),"")</f>
        <v/>
      </c>
      <c r="S193" s="9" t="str">
        <f>IF(SUMIFS(Sheet1!$E:$E,Sheet1!$C:$C,$A193,Sheet1!$A:$A,S$2)&lt;&gt;0,SUMIFS(Sheet1!$E:$E,Sheet1!$C:$C,$A193,Sheet1!$A:$A,S$2),"")</f>
        <v/>
      </c>
      <c r="T193" s="9" t="str">
        <f>IF(SUMIFS(Sheet1!$E:$E,Sheet1!$C:$C,$A193,Sheet1!$A:$A,T$2)&lt;&gt;0,SUMIFS(Sheet1!$E:$E,Sheet1!$C:$C,$A193,Sheet1!$A:$A,T$2),"")</f>
        <v/>
      </c>
      <c r="U193" s="9" t="str">
        <f>IF(SUMIFS(Sheet1!$E:$E,Sheet1!$C:$C,$A193,Sheet1!$A:$A,U$2)&lt;&gt;0,SUMIFS(Sheet1!$E:$E,Sheet1!$C:$C,$A193,Sheet1!$A:$A,U$2),"")</f>
        <v/>
      </c>
      <c r="V193" s="9" t="str">
        <f>IF(SUMIFS(Sheet1!$E:$E,Sheet1!$C:$C,$A193,Sheet1!$A:$A,V$2)&lt;&gt;0,SUMIFS(Sheet1!$E:$E,Sheet1!$C:$C,$A193,Sheet1!$A:$A,V$2),"")</f>
        <v/>
      </c>
      <c r="W193" s="9" t="str">
        <f>IF(SUMIFS(Sheet1!$E:$E,Sheet1!$C:$C,$A193,Sheet1!$A:$A,W$2)&lt;&gt;0,SUMIFS(Sheet1!$E:$E,Sheet1!$C:$C,$A193,Sheet1!$A:$A,W$2),"")</f>
        <v/>
      </c>
      <c r="X193" s="9" t="str">
        <f>IF(SUMIFS(Sheet1!$E:$E,Sheet1!$C:$C,$A193,Sheet1!$A:$A,X$2)&lt;&gt;0,SUMIFS(Sheet1!$E:$E,Sheet1!$C:$C,$A193,Sheet1!$A:$A,X$2),"")</f>
        <v/>
      </c>
      <c r="Y193" s="9" t="str">
        <f>IF(SUMIFS(Sheet1!$E:$E,Sheet1!$C:$C,$A193,Sheet1!$A:$A,Y$2)&lt;&gt;0,SUMIFS(Sheet1!$E:$E,Sheet1!$C:$C,$A193,Sheet1!$A:$A,Y$2),"")</f>
        <v/>
      </c>
      <c r="Z193" s="9" t="str">
        <f>IF(SUMIFS(Sheet1!$E:$E,Sheet1!$C:$C,$A193,Sheet1!$A:$A,Z$2)&lt;&gt;0,SUMIFS(Sheet1!$E:$E,Sheet1!$C:$C,$A193,Sheet1!$A:$A,Z$2),"")</f>
        <v/>
      </c>
      <c r="AA193" s="9" t="str">
        <f>IF(SUMIFS(Sheet1!$E:$E,Sheet1!$C:$C,$A193,Sheet1!$A:$A,AA$2)&lt;&gt;0,SUMIFS(Sheet1!$E:$E,Sheet1!$C:$C,$A193,Sheet1!$A:$A,AA$2),"")</f>
        <v/>
      </c>
      <c r="AB193" s="9" t="str">
        <f>IF(SUMIFS(Sheet1!$E:$E,Sheet1!$C:$C,$A193,Sheet1!$A:$A,AB$2)&lt;&gt;0,SUMIFS(Sheet1!$E:$E,Sheet1!$C:$C,$A193,Sheet1!$A:$A,AB$2),"")</f>
        <v/>
      </c>
      <c r="AC193" s="9" t="str">
        <f>IF(SUMIFS(Sheet1!$E:$E,Sheet1!$C:$C,$A193,Sheet1!$A:$A,AC$2)&lt;&gt;0,SUMIFS(Sheet1!$E:$E,Sheet1!$C:$C,$A193,Sheet1!$A:$A,AC$2),"")</f>
        <v/>
      </c>
      <c r="AD193" s="9" t="str">
        <f>IF(SUMIFS(Sheet1!$E:$E,Sheet1!$C:$C,$A193,Sheet1!$A:$A,AD$2)&lt;&gt;0,SUMIFS(Sheet1!$E:$E,Sheet1!$C:$C,$A193,Sheet1!$A:$A,AD$2),"")</f>
        <v/>
      </c>
      <c r="AE193" s="9" t="str">
        <f>IF(SUMIFS(Sheet1!$E:$E,Sheet1!$C:$C,$A193,Sheet1!$A:$A,AE$2)&lt;&gt;0,SUMIFS(Sheet1!$E:$E,Sheet1!$C:$C,$A193,Sheet1!$A:$A,AE$2),"")</f>
        <v/>
      </c>
      <c r="AF193" s="9" t="str">
        <f>IF(SUMIFS(Sheet1!$E:$E,Sheet1!$C:$C,$A193,Sheet1!$A:$A,AF$2)&lt;&gt;0,SUMIFS(Sheet1!$E:$E,Sheet1!$C:$C,$A193,Sheet1!$A:$A,AF$2),"")</f>
        <v/>
      </c>
      <c r="AG193" s="9" t="str">
        <f>IF(SUMIFS(Sheet1!$E:$E,Sheet1!$C:$C,$A193,Sheet1!$A:$A,AG$2)&lt;&gt;0,SUMIFS(Sheet1!$E:$E,Sheet1!$C:$C,$A193,Sheet1!$A:$A,AG$2),"")</f>
        <v/>
      </c>
      <c r="AH193" s="47">
        <f>SUM(Table24[[#This Row],[1]:[31]])</f>
        <v>0</v>
      </c>
    </row>
    <row r="194" spans="1:34" ht="12.75" customHeight="1">
      <c r="A194" s="24" t="str">
        <f>DSSP!A193</f>
        <v>GC118</v>
      </c>
      <c r="B194" s="25" t="str">
        <f>DSSP!B193</f>
        <v>Cánh bướm</v>
      </c>
      <c r="C194" s="9" t="str">
        <f>IF(SUMIFS(Sheet1!$E:$E,Sheet1!$C:$C,$A194,Sheet1!$A:$A,C$2)&lt;&gt;0,SUMIFS(Sheet1!$E:$E,Sheet1!$C:$C,$A194,Sheet1!$A:$A,C$2),"")</f>
        <v/>
      </c>
      <c r="D194" s="9" t="str">
        <f>IF(SUMIFS(Sheet1!$E:$E,Sheet1!$C:$C,$A194,Sheet1!$A:$A,D$2)&lt;&gt;0,SUMIFS(Sheet1!$E:$E,Sheet1!$C:$C,$A194,Sheet1!$A:$A,D$2),"")</f>
        <v/>
      </c>
      <c r="E194" s="9" t="str">
        <f>IF(SUMIFS(Sheet1!$E:$E,Sheet1!$C:$C,$A194,Sheet1!$A:$A,E$2)&lt;&gt;0,SUMIFS(Sheet1!$E:$E,Sheet1!$C:$C,$A194,Sheet1!$A:$A,E$2),"")</f>
        <v/>
      </c>
      <c r="F194" s="9" t="str">
        <f>IF(SUMIFS(Sheet1!$E:$E,Sheet1!$C:$C,$A194,Sheet1!$A:$A,F$2)&lt;&gt;0,SUMIFS(Sheet1!$E:$E,Sheet1!$C:$C,$A194,Sheet1!$A:$A,F$2),"")</f>
        <v/>
      </c>
      <c r="G194" s="9" t="str">
        <f>IF(SUMIFS(Sheet1!$E:$E,Sheet1!$C:$C,$A194,Sheet1!$A:$A,G$2)&lt;&gt;0,SUMIFS(Sheet1!$E:$E,Sheet1!$C:$C,$A194,Sheet1!$A:$A,G$2),"")</f>
        <v/>
      </c>
      <c r="H194" s="9" t="str">
        <f>IF(SUMIFS(Sheet1!$E:$E,Sheet1!$C:$C,$A194,Sheet1!$A:$A,H$2)&lt;&gt;0,SUMIFS(Sheet1!$E:$E,Sheet1!$C:$C,$A194,Sheet1!$A:$A,H$2),"")</f>
        <v/>
      </c>
      <c r="I194" s="9" t="str">
        <f>IF(SUMIFS(Sheet1!$E:$E,Sheet1!$C:$C,$A194,Sheet1!$A:$A,I$2)&lt;&gt;0,SUMIFS(Sheet1!$E:$E,Sheet1!$C:$C,$A194,Sheet1!$A:$A,I$2),"")</f>
        <v/>
      </c>
      <c r="J194" s="9" t="str">
        <f>IF(SUMIFS(Sheet1!$E:$E,Sheet1!$C:$C,$A194,Sheet1!$A:$A,J$2)&lt;&gt;0,SUMIFS(Sheet1!$E:$E,Sheet1!$C:$C,$A194,Sheet1!$A:$A,J$2),"")</f>
        <v/>
      </c>
      <c r="K194" s="9" t="str">
        <f>IF(SUMIFS(Sheet1!$E:$E,Sheet1!$C:$C,$A194,Sheet1!$A:$A,K$2)&lt;&gt;0,SUMIFS(Sheet1!$E:$E,Sheet1!$C:$C,$A194,Sheet1!$A:$A,K$2),"")</f>
        <v/>
      </c>
      <c r="L194" s="9" t="str">
        <f>IF(SUMIFS(Sheet1!$E:$E,Sheet1!$C:$C,$A194,Sheet1!$A:$A,L$2)&lt;&gt;0,SUMIFS(Sheet1!$E:$E,Sheet1!$C:$C,$A194,Sheet1!$A:$A,L$2),"")</f>
        <v/>
      </c>
      <c r="M194" s="9" t="str">
        <f>IF(SUMIFS(Sheet1!$E:$E,Sheet1!$C:$C,$A194,Sheet1!$A:$A,M$2)&lt;&gt;0,SUMIFS(Sheet1!$E:$E,Sheet1!$C:$C,$A194,Sheet1!$A:$A,M$2),"")</f>
        <v/>
      </c>
      <c r="N194" s="9" t="str">
        <f>IF(SUMIFS(Sheet1!$E:$E,Sheet1!$C:$C,$A194,Sheet1!$A:$A,N$2)&lt;&gt;0,SUMIFS(Sheet1!$E:$E,Sheet1!$C:$C,$A194,Sheet1!$A:$A,N$2),"")</f>
        <v/>
      </c>
      <c r="O194" s="9" t="str">
        <f>IF(SUMIFS(Sheet1!$E:$E,Sheet1!$C:$C,$A194,Sheet1!$A:$A,O$2)&lt;&gt;0,SUMIFS(Sheet1!$E:$E,Sheet1!$C:$C,$A194,Sheet1!$A:$A,O$2),"")</f>
        <v/>
      </c>
      <c r="P194" s="9" t="str">
        <f>IF(SUMIFS(Sheet1!$E:$E,Sheet1!$C:$C,$A194,Sheet1!$A:$A,P$2)&lt;&gt;0,SUMIFS(Sheet1!$E:$E,Sheet1!$C:$C,$A194,Sheet1!$A:$A,P$2),"")</f>
        <v/>
      </c>
      <c r="Q194" s="9" t="str">
        <f>IF(SUMIFS(Sheet1!$E:$E,Sheet1!$C:$C,$A194,Sheet1!$A:$A,Q$2)&lt;&gt;0,SUMIFS(Sheet1!$E:$E,Sheet1!$C:$C,$A194,Sheet1!$A:$A,Q$2),"")</f>
        <v/>
      </c>
      <c r="R194" s="9" t="str">
        <f>IF(SUMIFS(Sheet1!$E:$E,Sheet1!$C:$C,$A194,Sheet1!$A:$A,R$2)&lt;&gt;0,SUMIFS(Sheet1!$E:$E,Sheet1!$C:$C,$A194,Sheet1!$A:$A,R$2),"")</f>
        <v/>
      </c>
      <c r="S194" s="9" t="str">
        <f>IF(SUMIFS(Sheet1!$E:$E,Sheet1!$C:$C,$A194,Sheet1!$A:$A,S$2)&lt;&gt;0,SUMIFS(Sheet1!$E:$E,Sheet1!$C:$C,$A194,Sheet1!$A:$A,S$2),"")</f>
        <v/>
      </c>
      <c r="T194" s="9" t="str">
        <f>IF(SUMIFS(Sheet1!$E:$E,Sheet1!$C:$C,$A194,Sheet1!$A:$A,T$2)&lt;&gt;0,SUMIFS(Sheet1!$E:$E,Sheet1!$C:$C,$A194,Sheet1!$A:$A,T$2),"")</f>
        <v/>
      </c>
      <c r="U194" s="9" t="str">
        <f>IF(SUMIFS(Sheet1!$E:$E,Sheet1!$C:$C,$A194,Sheet1!$A:$A,U$2)&lt;&gt;0,SUMIFS(Sheet1!$E:$E,Sheet1!$C:$C,$A194,Sheet1!$A:$A,U$2),"")</f>
        <v/>
      </c>
      <c r="V194" s="9" t="str">
        <f>IF(SUMIFS(Sheet1!$E:$E,Sheet1!$C:$C,$A194,Sheet1!$A:$A,V$2)&lt;&gt;0,SUMIFS(Sheet1!$E:$E,Sheet1!$C:$C,$A194,Sheet1!$A:$A,V$2),"")</f>
        <v/>
      </c>
      <c r="W194" s="9" t="str">
        <f>IF(SUMIFS(Sheet1!$E:$E,Sheet1!$C:$C,$A194,Sheet1!$A:$A,W$2)&lt;&gt;0,SUMIFS(Sheet1!$E:$E,Sheet1!$C:$C,$A194,Sheet1!$A:$A,W$2),"")</f>
        <v/>
      </c>
      <c r="X194" s="9" t="str">
        <f>IF(SUMIFS(Sheet1!$E:$E,Sheet1!$C:$C,$A194,Sheet1!$A:$A,X$2)&lt;&gt;0,SUMIFS(Sheet1!$E:$E,Sheet1!$C:$C,$A194,Sheet1!$A:$A,X$2),"")</f>
        <v/>
      </c>
      <c r="Y194" s="9" t="str">
        <f>IF(SUMIFS(Sheet1!$E:$E,Sheet1!$C:$C,$A194,Sheet1!$A:$A,Y$2)&lt;&gt;0,SUMIFS(Sheet1!$E:$E,Sheet1!$C:$C,$A194,Sheet1!$A:$A,Y$2),"")</f>
        <v/>
      </c>
      <c r="Z194" s="9" t="str">
        <f>IF(SUMIFS(Sheet1!$E:$E,Sheet1!$C:$C,$A194,Sheet1!$A:$A,Z$2)&lt;&gt;0,SUMIFS(Sheet1!$E:$E,Sheet1!$C:$C,$A194,Sheet1!$A:$A,Z$2),"")</f>
        <v/>
      </c>
      <c r="AA194" s="9" t="str">
        <f>IF(SUMIFS(Sheet1!$E:$E,Sheet1!$C:$C,$A194,Sheet1!$A:$A,AA$2)&lt;&gt;0,SUMIFS(Sheet1!$E:$E,Sheet1!$C:$C,$A194,Sheet1!$A:$A,AA$2),"")</f>
        <v/>
      </c>
      <c r="AB194" s="9" t="str">
        <f>IF(SUMIFS(Sheet1!$E:$E,Sheet1!$C:$C,$A194,Sheet1!$A:$A,AB$2)&lt;&gt;0,SUMIFS(Sheet1!$E:$E,Sheet1!$C:$C,$A194,Sheet1!$A:$A,AB$2),"")</f>
        <v/>
      </c>
      <c r="AC194" s="9" t="str">
        <f>IF(SUMIFS(Sheet1!$E:$E,Sheet1!$C:$C,$A194,Sheet1!$A:$A,AC$2)&lt;&gt;0,SUMIFS(Sheet1!$E:$E,Sheet1!$C:$C,$A194,Sheet1!$A:$A,AC$2),"")</f>
        <v/>
      </c>
      <c r="AD194" s="9" t="str">
        <f>IF(SUMIFS(Sheet1!$E:$E,Sheet1!$C:$C,$A194,Sheet1!$A:$A,AD$2)&lt;&gt;0,SUMIFS(Sheet1!$E:$E,Sheet1!$C:$C,$A194,Sheet1!$A:$A,AD$2),"")</f>
        <v/>
      </c>
      <c r="AE194" s="9" t="str">
        <f>IF(SUMIFS(Sheet1!$E:$E,Sheet1!$C:$C,$A194,Sheet1!$A:$A,AE$2)&lt;&gt;0,SUMIFS(Sheet1!$E:$E,Sheet1!$C:$C,$A194,Sheet1!$A:$A,AE$2),"")</f>
        <v/>
      </c>
      <c r="AF194" s="9" t="str">
        <f>IF(SUMIFS(Sheet1!$E:$E,Sheet1!$C:$C,$A194,Sheet1!$A:$A,AF$2)&lt;&gt;0,SUMIFS(Sheet1!$E:$E,Sheet1!$C:$C,$A194,Sheet1!$A:$A,AF$2),"")</f>
        <v/>
      </c>
      <c r="AG194" s="9" t="str">
        <f>IF(SUMIFS(Sheet1!$E:$E,Sheet1!$C:$C,$A194,Sheet1!$A:$A,AG$2)&lt;&gt;0,SUMIFS(Sheet1!$E:$E,Sheet1!$C:$C,$A194,Sheet1!$A:$A,AG$2),"")</f>
        <v/>
      </c>
      <c r="AH194" s="47">
        <f>SUM(Table24[[#This Row],[1]:[31]])</f>
        <v>0</v>
      </c>
    </row>
    <row r="195" spans="1:34" ht="12.75" customHeight="1">
      <c r="A195" s="24" t="str">
        <f>DSSP!A194</f>
        <v>GC119</v>
      </c>
      <c r="B195" s="25" t="str">
        <f>DSSP!B194</f>
        <v>Ngôi sao nhỏ</v>
      </c>
      <c r="C195" s="9" t="str">
        <f>IF(SUMIFS(Sheet1!$E:$E,Sheet1!$C:$C,$A195,Sheet1!$A:$A,C$2)&lt;&gt;0,SUMIFS(Sheet1!$E:$E,Sheet1!$C:$C,$A195,Sheet1!$A:$A,C$2),"")</f>
        <v/>
      </c>
      <c r="D195" s="9" t="str">
        <f>IF(SUMIFS(Sheet1!$E:$E,Sheet1!$C:$C,$A195,Sheet1!$A:$A,D$2)&lt;&gt;0,SUMIFS(Sheet1!$E:$E,Sheet1!$C:$C,$A195,Sheet1!$A:$A,D$2),"")</f>
        <v/>
      </c>
      <c r="E195" s="9" t="str">
        <f>IF(SUMIFS(Sheet1!$E:$E,Sheet1!$C:$C,$A195,Sheet1!$A:$A,E$2)&lt;&gt;0,SUMIFS(Sheet1!$E:$E,Sheet1!$C:$C,$A195,Sheet1!$A:$A,E$2),"")</f>
        <v/>
      </c>
      <c r="F195" s="9" t="str">
        <f>IF(SUMIFS(Sheet1!$E:$E,Sheet1!$C:$C,$A195,Sheet1!$A:$A,F$2)&lt;&gt;0,SUMIFS(Sheet1!$E:$E,Sheet1!$C:$C,$A195,Sheet1!$A:$A,F$2),"")</f>
        <v/>
      </c>
      <c r="G195" s="9" t="str">
        <f>IF(SUMIFS(Sheet1!$E:$E,Sheet1!$C:$C,$A195,Sheet1!$A:$A,G$2)&lt;&gt;0,SUMIFS(Sheet1!$E:$E,Sheet1!$C:$C,$A195,Sheet1!$A:$A,G$2),"")</f>
        <v/>
      </c>
      <c r="H195" s="9" t="str">
        <f>IF(SUMIFS(Sheet1!$E:$E,Sheet1!$C:$C,$A195,Sheet1!$A:$A,H$2)&lt;&gt;0,SUMIFS(Sheet1!$E:$E,Sheet1!$C:$C,$A195,Sheet1!$A:$A,H$2),"")</f>
        <v/>
      </c>
      <c r="I195" s="9" t="str">
        <f>IF(SUMIFS(Sheet1!$E:$E,Sheet1!$C:$C,$A195,Sheet1!$A:$A,I$2)&lt;&gt;0,SUMIFS(Sheet1!$E:$E,Sheet1!$C:$C,$A195,Sheet1!$A:$A,I$2),"")</f>
        <v/>
      </c>
      <c r="J195" s="9" t="str">
        <f>IF(SUMIFS(Sheet1!$E:$E,Sheet1!$C:$C,$A195,Sheet1!$A:$A,J$2)&lt;&gt;0,SUMIFS(Sheet1!$E:$E,Sheet1!$C:$C,$A195,Sheet1!$A:$A,J$2),"")</f>
        <v/>
      </c>
      <c r="K195" s="9" t="str">
        <f>IF(SUMIFS(Sheet1!$E:$E,Sheet1!$C:$C,$A195,Sheet1!$A:$A,K$2)&lt;&gt;0,SUMIFS(Sheet1!$E:$E,Sheet1!$C:$C,$A195,Sheet1!$A:$A,K$2),"")</f>
        <v/>
      </c>
      <c r="L195" s="9" t="str">
        <f>IF(SUMIFS(Sheet1!$E:$E,Sheet1!$C:$C,$A195,Sheet1!$A:$A,L$2)&lt;&gt;0,SUMIFS(Sheet1!$E:$E,Sheet1!$C:$C,$A195,Sheet1!$A:$A,L$2),"")</f>
        <v/>
      </c>
      <c r="M195" s="9" t="str">
        <f>IF(SUMIFS(Sheet1!$E:$E,Sheet1!$C:$C,$A195,Sheet1!$A:$A,M$2)&lt;&gt;0,SUMIFS(Sheet1!$E:$E,Sheet1!$C:$C,$A195,Sheet1!$A:$A,M$2),"")</f>
        <v/>
      </c>
      <c r="N195" s="9" t="str">
        <f>IF(SUMIFS(Sheet1!$E:$E,Sheet1!$C:$C,$A195,Sheet1!$A:$A,N$2)&lt;&gt;0,SUMIFS(Sheet1!$E:$E,Sheet1!$C:$C,$A195,Sheet1!$A:$A,N$2),"")</f>
        <v/>
      </c>
      <c r="O195" s="9" t="str">
        <f>IF(SUMIFS(Sheet1!$E:$E,Sheet1!$C:$C,$A195,Sheet1!$A:$A,O$2)&lt;&gt;0,SUMIFS(Sheet1!$E:$E,Sheet1!$C:$C,$A195,Sheet1!$A:$A,O$2),"")</f>
        <v/>
      </c>
      <c r="P195" s="9" t="str">
        <f>IF(SUMIFS(Sheet1!$E:$E,Sheet1!$C:$C,$A195,Sheet1!$A:$A,P$2)&lt;&gt;0,SUMIFS(Sheet1!$E:$E,Sheet1!$C:$C,$A195,Sheet1!$A:$A,P$2),"")</f>
        <v/>
      </c>
      <c r="Q195" s="9" t="str">
        <f>IF(SUMIFS(Sheet1!$E:$E,Sheet1!$C:$C,$A195,Sheet1!$A:$A,Q$2)&lt;&gt;0,SUMIFS(Sheet1!$E:$E,Sheet1!$C:$C,$A195,Sheet1!$A:$A,Q$2),"")</f>
        <v/>
      </c>
      <c r="R195" s="9" t="str">
        <f>IF(SUMIFS(Sheet1!$E:$E,Sheet1!$C:$C,$A195,Sheet1!$A:$A,R$2)&lt;&gt;0,SUMIFS(Sheet1!$E:$E,Sheet1!$C:$C,$A195,Sheet1!$A:$A,R$2),"")</f>
        <v/>
      </c>
      <c r="S195" s="9" t="str">
        <f>IF(SUMIFS(Sheet1!$E:$E,Sheet1!$C:$C,$A195,Sheet1!$A:$A,S$2)&lt;&gt;0,SUMIFS(Sheet1!$E:$E,Sheet1!$C:$C,$A195,Sheet1!$A:$A,S$2),"")</f>
        <v/>
      </c>
      <c r="T195" s="9" t="str">
        <f>IF(SUMIFS(Sheet1!$E:$E,Sheet1!$C:$C,$A195,Sheet1!$A:$A,T$2)&lt;&gt;0,SUMIFS(Sheet1!$E:$E,Sheet1!$C:$C,$A195,Sheet1!$A:$A,T$2),"")</f>
        <v/>
      </c>
      <c r="U195" s="9" t="str">
        <f>IF(SUMIFS(Sheet1!$E:$E,Sheet1!$C:$C,$A195,Sheet1!$A:$A,U$2)&lt;&gt;0,SUMIFS(Sheet1!$E:$E,Sheet1!$C:$C,$A195,Sheet1!$A:$A,U$2),"")</f>
        <v/>
      </c>
      <c r="V195" s="9" t="str">
        <f>IF(SUMIFS(Sheet1!$E:$E,Sheet1!$C:$C,$A195,Sheet1!$A:$A,V$2)&lt;&gt;0,SUMIFS(Sheet1!$E:$E,Sheet1!$C:$C,$A195,Sheet1!$A:$A,V$2),"")</f>
        <v/>
      </c>
      <c r="W195" s="9" t="str">
        <f>IF(SUMIFS(Sheet1!$E:$E,Sheet1!$C:$C,$A195,Sheet1!$A:$A,W$2)&lt;&gt;0,SUMIFS(Sheet1!$E:$E,Sheet1!$C:$C,$A195,Sheet1!$A:$A,W$2),"")</f>
        <v/>
      </c>
      <c r="X195" s="9" t="str">
        <f>IF(SUMIFS(Sheet1!$E:$E,Sheet1!$C:$C,$A195,Sheet1!$A:$A,X$2)&lt;&gt;0,SUMIFS(Sheet1!$E:$E,Sheet1!$C:$C,$A195,Sheet1!$A:$A,X$2),"")</f>
        <v/>
      </c>
      <c r="Y195" s="9" t="str">
        <f>IF(SUMIFS(Sheet1!$E:$E,Sheet1!$C:$C,$A195,Sheet1!$A:$A,Y$2)&lt;&gt;0,SUMIFS(Sheet1!$E:$E,Sheet1!$C:$C,$A195,Sheet1!$A:$A,Y$2),"")</f>
        <v/>
      </c>
      <c r="Z195" s="9" t="str">
        <f>IF(SUMIFS(Sheet1!$E:$E,Sheet1!$C:$C,$A195,Sheet1!$A:$A,Z$2)&lt;&gt;0,SUMIFS(Sheet1!$E:$E,Sheet1!$C:$C,$A195,Sheet1!$A:$A,Z$2),"")</f>
        <v/>
      </c>
      <c r="AA195" s="9" t="str">
        <f>IF(SUMIFS(Sheet1!$E:$E,Sheet1!$C:$C,$A195,Sheet1!$A:$A,AA$2)&lt;&gt;0,SUMIFS(Sheet1!$E:$E,Sheet1!$C:$C,$A195,Sheet1!$A:$A,AA$2),"")</f>
        <v/>
      </c>
      <c r="AB195" s="9" t="str">
        <f>IF(SUMIFS(Sheet1!$E:$E,Sheet1!$C:$C,$A195,Sheet1!$A:$A,AB$2)&lt;&gt;0,SUMIFS(Sheet1!$E:$E,Sheet1!$C:$C,$A195,Sheet1!$A:$A,AB$2),"")</f>
        <v/>
      </c>
      <c r="AC195" s="9" t="str">
        <f>IF(SUMIFS(Sheet1!$E:$E,Sheet1!$C:$C,$A195,Sheet1!$A:$A,AC$2)&lt;&gt;0,SUMIFS(Sheet1!$E:$E,Sheet1!$C:$C,$A195,Sheet1!$A:$A,AC$2),"")</f>
        <v/>
      </c>
      <c r="AD195" s="9" t="str">
        <f>IF(SUMIFS(Sheet1!$E:$E,Sheet1!$C:$C,$A195,Sheet1!$A:$A,AD$2)&lt;&gt;0,SUMIFS(Sheet1!$E:$E,Sheet1!$C:$C,$A195,Sheet1!$A:$A,AD$2),"")</f>
        <v/>
      </c>
      <c r="AE195" s="9" t="str">
        <f>IF(SUMIFS(Sheet1!$E:$E,Sheet1!$C:$C,$A195,Sheet1!$A:$A,AE$2)&lt;&gt;0,SUMIFS(Sheet1!$E:$E,Sheet1!$C:$C,$A195,Sheet1!$A:$A,AE$2),"")</f>
        <v/>
      </c>
      <c r="AF195" s="9" t="str">
        <f>IF(SUMIFS(Sheet1!$E:$E,Sheet1!$C:$C,$A195,Sheet1!$A:$A,AF$2)&lt;&gt;0,SUMIFS(Sheet1!$E:$E,Sheet1!$C:$C,$A195,Sheet1!$A:$A,AF$2),"")</f>
        <v/>
      </c>
      <c r="AG195" s="9" t="str">
        <f>IF(SUMIFS(Sheet1!$E:$E,Sheet1!$C:$C,$A195,Sheet1!$A:$A,AG$2)&lt;&gt;0,SUMIFS(Sheet1!$E:$E,Sheet1!$C:$C,$A195,Sheet1!$A:$A,AG$2),"")</f>
        <v/>
      </c>
      <c r="AH195" s="47">
        <f>SUM(Table24[[#This Row],[1]:[31]])</f>
        <v>0</v>
      </c>
    </row>
    <row r="196" spans="1:34" ht="12.75" customHeight="1">
      <c r="A196" s="24" t="str">
        <f>DSSP!A195</f>
        <v>GC120</v>
      </c>
      <c r="B196" s="25" t="str">
        <f>DSSP!B195</f>
        <v>Ngôi sao nổi</v>
      </c>
      <c r="C196" s="9">
        <f>IF(SUMIFS(Sheet1!$E:$E,Sheet1!$C:$C,$A196,Sheet1!$A:$A,C$2)&lt;&gt;0,SUMIFS(Sheet1!$E:$E,Sheet1!$C:$C,$A196,Sheet1!$A:$A,C$2),"")</f>
        <v>103</v>
      </c>
      <c r="D196" s="9" t="str">
        <f>IF(SUMIFS(Sheet1!$E:$E,Sheet1!$C:$C,$A196,Sheet1!$A:$A,D$2)&lt;&gt;0,SUMIFS(Sheet1!$E:$E,Sheet1!$C:$C,$A196,Sheet1!$A:$A,D$2),"")</f>
        <v/>
      </c>
      <c r="E196" s="9" t="str">
        <f>IF(SUMIFS(Sheet1!$E:$E,Sheet1!$C:$C,$A196,Sheet1!$A:$A,E$2)&lt;&gt;0,SUMIFS(Sheet1!$E:$E,Sheet1!$C:$C,$A196,Sheet1!$A:$A,E$2),"")</f>
        <v/>
      </c>
      <c r="F196" s="9" t="str">
        <f>IF(SUMIFS(Sheet1!$E:$E,Sheet1!$C:$C,$A196,Sheet1!$A:$A,F$2)&lt;&gt;0,SUMIFS(Sheet1!$E:$E,Sheet1!$C:$C,$A196,Sheet1!$A:$A,F$2),"")</f>
        <v/>
      </c>
      <c r="G196" s="9" t="str">
        <f>IF(SUMIFS(Sheet1!$E:$E,Sheet1!$C:$C,$A196,Sheet1!$A:$A,G$2)&lt;&gt;0,SUMIFS(Sheet1!$E:$E,Sheet1!$C:$C,$A196,Sheet1!$A:$A,G$2),"")</f>
        <v/>
      </c>
      <c r="H196" s="9" t="str">
        <f>IF(SUMIFS(Sheet1!$E:$E,Sheet1!$C:$C,$A196,Sheet1!$A:$A,H$2)&lt;&gt;0,SUMIFS(Sheet1!$E:$E,Sheet1!$C:$C,$A196,Sheet1!$A:$A,H$2),"")</f>
        <v/>
      </c>
      <c r="I196" s="9" t="str">
        <f>IF(SUMIFS(Sheet1!$E:$E,Sheet1!$C:$C,$A196,Sheet1!$A:$A,I$2)&lt;&gt;0,SUMIFS(Sheet1!$E:$E,Sheet1!$C:$C,$A196,Sheet1!$A:$A,I$2),"")</f>
        <v/>
      </c>
      <c r="J196" s="9" t="str">
        <f>IF(SUMIFS(Sheet1!$E:$E,Sheet1!$C:$C,$A196,Sheet1!$A:$A,J$2)&lt;&gt;0,SUMIFS(Sheet1!$E:$E,Sheet1!$C:$C,$A196,Sheet1!$A:$A,J$2),"")</f>
        <v/>
      </c>
      <c r="K196" s="9" t="str">
        <f>IF(SUMIFS(Sheet1!$E:$E,Sheet1!$C:$C,$A196,Sheet1!$A:$A,K$2)&lt;&gt;0,SUMIFS(Sheet1!$E:$E,Sheet1!$C:$C,$A196,Sheet1!$A:$A,K$2),"")</f>
        <v/>
      </c>
      <c r="L196" s="9" t="str">
        <f>IF(SUMIFS(Sheet1!$E:$E,Sheet1!$C:$C,$A196,Sheet1!$A:$A,L$2)&lt;&gt;0,SUMIFS(Sheet1!$E:$E,Sheet1!$C:$C,$A196,Sheet1!$A:$A,L$2),"")</f>
        <v/>
      </c>
      <c r="M196" s="9" t="str">
        <f>IF(SUMIFS(Sheet1!$E:$E,Sheet1!$C:$C,$A196,Sheet1!$A:$A,M$2)&lt;&gt;0,SUMIFS(Sheet1!$E:$E,Sheet1!$C:$C,$A196,Sheet1!$A:$A,M$2),"")</f>
        <v/>
      </c>
      <c r="N196" s="9" t="str">
        <f>IF(SUMIFS(Sheet1!$E:$E,Sheet1!$C:$C,$A196,Sheet1!$A:$A,N$2)&lt;&gt;0,SUMIFS(Sheet1!$E:$E,Sheet1!$C:$C,$A196,Sheet1!$A:$A,N$2),"")</f>
        <v/>
      </c>
      <c r="O196" s="9" t="str">
        <f>IF(SUMIFS(Sheet1!$E:$E,Sheet1!$C:$C,$A196,Sheet1!$A:$A,O$2)&lt;&gt;0,SUMIFS(Sheet1!$E:$E,Sheet1!$C:$C,$A196,Sheet1!$A:$A,O$2),"")</f>
        <v/>
      </c>
      <c r="P196" s="9" t="str">
        <f>IF(SUMIFS(Sheet1!$E:$E,Sheet1!$C:$C,$A196,Sheet1!$A:$A,P$2)&lt;&gt;0,SUMIFS(Sheet1!$E:$E,Sheet1!$C:$C,$A196,Sheet1!$A:$A,P$2),"")</f>
        <v/>
      </c>
      <c r="Q196" s="9" t="str">
        <f>IF(SUMIFS(Sheet1!$E:$E,Sheet1!$C:$C,$A196,Sheet1!$A:$A,Q$2)&lt;&gt;0,SUMIFS(Sheet1!$E:$E,Sheet1!$C:$C,$A196,Sheet1!$A:$A,Q$2),"")</f>
        <v/>
      </c>
      <c r="R196" s="9" t="str">
        <f>IF(SUMIFS(Sheet1!$E:$E,Sheet1!$C:$C,$A196,Sheet1!$A:$A,R$2)&lt;&gt;0,SUMIFS(Sheet1!$E:$E,Sheet1!$C:$C,$A196,Sheet1!$A:$A,R$2),"")</f>
        <v/>
      </c>
      <c r="S196" s="9" t="str">
        <f>IF(SUMIFS(Sheet1!$E:$E,Sheet1!$C:$C,$A196,Sheet1!$A:$A,S$2)&lt;&gt;0,SUMIFS(Sheet1!$E:$E,Sheet1!$C:$C,$A196,Sheet1!$A:$A,S$2),"")</f>
        <v/>
      </c>
      <c r="T196" s="9" t="str">
        <f>IF(SUMIFS(Sheet1!$E:$E,Sheet1!$C:$C,$A196,Sheet1!$A:$A,T$2)&lt;&gt;0,SUMIFS(Sheet1!$E:$E,Sheet1!$C:$C,$A196,Sheet1!$A:$A,T$2),"")</f>
        <v/>
      </c>
      <c r="U196" s="9" t="str">
        <f>IF(SUMIFS(Sheet1!$E:$E,Sheet1!$C:$C,$A196,Sheet1!$A:$A,U$2)&lt;&gt;0,SUMIFS(Sheet1!$E:$E,Sheet1!$C:$C,$A196,Sheet1!$A:$A,U$2),"")</f>
        <v/>
      </c>
      <c r="V196" s="9" t="str">
        <f>IF(SUMIFS(Sheet1!$E:$E,Sheet1!$C:$C,$A196,Sheet1!$A:$A,V$2)&lt;&gt;0,SUMIFS(Sheet1!$E:$E,Sheet1!$C:$C,$A196,Sheet1!$A:$A,V$2),"")</f>
        <v/>
      </c>
      <c r="W196" s="9" t="str">
        <f>IF(SUMIFS(Sheet1!$E:$E,Sheet1!$C:$C,$A196,Sheet1!$A:$A,W$2)&lt;&gt;0,SUMIFS(Sheet1!$E:$E,Sheet1!$C:$C,$A196,Sheet1!$A:$A,W$2),"")</f>
        <v/>
      </c>
      <c r="X196" s="9" t="str">
        <f>IF(SUMIFS(Sheet1!$E:$E,Sheet1!$C:$C,$A196,Sheet1!$A:$A,X$2)&lt;&gt;0,SUMIFS(Sheet1!$E:$E,Sheet1!$C:$C,$A196,Sheet1!$A:$A,X$2),"")</f>
        <v/>
      </c>
      <c r="Y196" s="9" t="str">
        <f>IF(SUMIFS(Sheet1!$E:$E,Sheet1!$C:$C,$A196,Sheet1!$A:$A,Y$2)&lt;&gt;0,SUMIFS(Sheet1!$E:$E,Sheet1!$C:$C,$A196,Sheet1!$A:$A,Y$2),"")</f>
        <v/>
      </c>
      <c r="Z196" s="9" t="str">
        <f>IF(SUMIFS(Sheet1!$E:$E,Sheet1!$C:$C,$A196,Sheet1!$A:$A,Z$2)&lt;&gt;0,SUMIFS(Sheet1!$E:$E,Sheet1!$C:$C,$A196,Sheet1!$A:$A,Z$2),"")</f>
        <v/>
      </c>
      <c r="AA196" s="9" t="str">
        <f>IF(SUMIFS(Sheet1!$E:$E,Sheet1!$C:$C,$A196,Sheet1!$A:$A,AA$2)&lt;&gt;0,SUMIFS(Sheet1!$E:$E,Sheet1!$C:$C,$A196,Sheet1!$A:$A,AA$2),"")</f>
        <v/>
      </c>
      <c r="AB196" s="9" t="str">
        <f>IF(SUMIFS(Sheet1!$E:$E,Sheet1!$C:$C,$A196,Sheet1!$A:$A,AB$2)&lt;&gt;0,SUMIFS(Sheet1!$E:$E,Sheet1!$C:$C,$A196,Sheet1!$A:$A,AB$2),"")</f>
        <v/>
      </c>
      <c r="AC196" s="9" t="str">
        <f>IF(SUMIFS(Sheet1!$E:$E,Sheet1!$C:$C,$A196,Sheet1!$A:$A,AC$2)&lt;&gt;0,SUMIFS(Sheet1!$E:$E,Sheet1!$C:$C,$A196,Sheet1!$A:$A,AC$2),"")</f>
        <v/>
      </c>
      <c r="AD196" s="9" t="str">
        <f>IF(SUMIFS(Sheet1!$E:$E,Sheet1!$C:$C,$A196,Sheet1!$A:$A,AD$2)&lt;&gt;0,SUMIFS(Sheet1!$E:$E,Sheet1!$C:$C,$A196,Sheet1!$A:$A,AD$2),"")</f>
        <v/>
      </c>
      <c r="AE196" s="9" t="str">
        <f>IF(SUMIFS(Sheet1!$E:$E,Sheet1!$C:$C,$A196,Sheet1!$A:$A,AE$2)&lt;&gt;0,SUMIFS(Sheet1!$E:$E,Sheet1!$C:$C,$A196,Sheet1!$A:$A,AE$2),"")</f>
        <v/>
      </c>
      <c r="AF196" s="9" t="str">
        <f>IF(SUMIFS(Sheet1!$E:$E,Sheet1!$C:$C,$A196,Sheet1!$A:$A,AF$2)&lt;&gt;0,SUMIFS(Sheet1!$E:$E,Sheet1!$C:$C,$A196,Sheet1!$A:$A,AF$2),"")</f>
        <v/>
      </c>
      <c r="AG196" s="9" t="str">
        <f>IF(SUMIFS(Sheet1!$E:$E,Sheet1!$C:$C,$A196,Sheet1!$A:$A,AG$2)&lt;&gt;0,SUMIFS(Sheet1!$E:$E,Sheet1!$C:$C,$A196,Sheet1!$A:$A,AG$2),"")</f>
        <v/>
      </c>
      <c r="AH196" s="47">
        <f>SUM(Table24[[#This Row],[1]:[31]])</f>
        <v>103</v>
      </c>
    </row>
    <row r="197" spans="1:34" ht="12.75" customHeight="1">
      <c r="A197" s="24" t="str">
        <f>DSSP!A196</f>
        <v>GC121</v>
      </c>
      <c r="B197" s="25" t="str">
        <f>DSSP!B196</f>
        <v>Cánh thiên thần</v>
      </c>
      <c r="C197" s="9" t="str">
        <f>IF(SUMIFS(Sheet1!$E:$E,Sheet1!$C:$C,$A197,Sheet1!$A:$A,C$2)&lt;&gt;0,SUMIFS(Sheet1!$E:$E,Sheet1!$C:$C,$A197,Sheet1!$A:$A,C$2),"")</f>
        <v/>
      </c>
      <c r="D197" s="9" t="str">
        <f>IF(SUMIFS(Sheet1!$E:$E,Sheet1!$C:$C,$A197,Sheet1!$A:$A,D$2)&lt;&gt;0,SUMIFS(Sheet1!$E:$E,Sheet1!$C:$C,$A197,Sheet1!$A:$A,D$2),"")</f>
        <v/>
      </c>
      <c r="E197" s="9" t="str">
        <f>IF(SUMIFS(Sheet1!$E:$E,Sheet1!$C:$C,$A197,Sheet1!$A:$A,E$2)&lt;&gt;0,SUMIFS(Sheet1!$E:$E,Sheet1!$C:$C,$A197,Sheet1!$A:$A,E$2),"")</f>
        <v/>
      </c>
      <c r="F197" s="9" t="str">
        <f>IF(SUMIFS(Sheet1!$E:$E,Sheet1!$C:$C,$A197,Sheet1!$A:$A,F$2)&lt;&gt;0,SUMIFS(Sheet1!$E:$E,Sheet1!$C:$C,$A197,Sheet1!$A:$A,F$2),"")</f>
        <v/>
      </c>
      <c r="G197" s="9" t="str">
        <f>IF(SUMIFS(Sheet1!$E:$E,Sheet1!$C:$C,$A197,Sheet1!$A:$A,G$2)&lt;&gt;0,SUMIFS(Sheet1!$E:$E,Sheet1!$C:$C,$A197,Sheet1!$A:$A,G$2),"")</f>
        <v/>
      </c>
      <c r="H197" s="9" t="str">
        <f>IF(SUMIFS(Sheet1!$E:$E,Sheet1!$C:$C,$A197,Sheet1!$A:$A,H$2)&lt;&gt;0,SUMIFS(Sheet1!$E:$E,Sheet1!$C:$C,$A197,Sheet1!$A:$A,H$2),"")</f>
        <v/>
      </c>
      <c r="I197" s="9" t="str">
        <f>IF(SUMIFS(Sheet1!$E:$E,Sheet1!$C:$C,$A197,Sheet1!$A:$A,I$2)&lt;&gt;0,SUMIFS(Sheet1!$E:$E,Sheet1!$C:$C,$A197,Sheet1!$A:$A,I$2),"")</f>
        <v/>
      </c>
      <c r="J197" s="9" t="str">
        <f>IF(SUMIFS(Sheet1!$E:$E,Sheet1!$C:$C,$A197,Sheet1!$A:$A,J$2)&lt;&gt;0,SUMIFS(Sheet1!$E:$E,Sheet1!$C:$C,$A197,Sheet1!$A:$A,J$2),"")</f>
        <v/>
      </c>
      <c r="K197" s="9" t="str">
        <f>IF(SUMIFS(Sheet1!$E:$E,Sheet1!$C:$C,$A197,Sheet1!$A:$A,K$2)&lt;&gt;0,SUMIFS(Sheet1!$E:$E,Sheet1!$C:$C,$A197,Sheet1!$A:$A,K$2),"")</f>
        <v/>
      </c>
      <c r="L197" s="9" t="str">
        <f>IF(SUMIFS(Sheet1!$E:$E,Sheet1!$C:$C,$A197,Sheet1!$A:$A,L$2)&lt;&gt;0,SUMIFS(Sheet1!$E:$E,Sheet1!$C:$C,$A197,Sheet1!$A:$A,L$2),"")</f>
        <v/>
      </c>
      <c r="M197" s="9" t="str">
        <f>IF(SUMIFS(Sheet1!$E:$E,Sheet1!$C:$C,$A197,Sheet1!$A:$A,M$2)&lt;&gt;0,SUMIFS(Sheet1!$E:$E,Sheet1!$C:$C,$A197,Sheet1!$A:$A,M$2),"")</f>
        <v/>
      </c>
      <c r="N197" s="9" t="str">
        <f>IF(SUMIFS(Sheet1!$E:$E,Sheet1!$C:$C,$A197,Sheet1!$A:$A,N$2)&lt;&gt;0,SUMIFS(Sheet1!$E:$E,Sheet1!$C:$C,$A197,Sheet1!$A:$A,N$2),"")</f>
        <v/>
      </c>
      <c r="O197" s="9" t="str">
        <f>IF(SUMIFS(Sheet1!$E:$E,Sheet1!$C:$C,$A197,Sheet1!$A:$A,O$2)&lt;&gt;0,SUMIFS(Sheet1!$E:$E,Sheet1!$C:$C,$A197,Sheet1!$A:$A,O$2),"")</f>
        <v/>
      </c>
      <c r="P197" s="9" t="str">
        <f>IF(SUMIFS(Sheet1!$E:$E,Sheet1!$C:$C,$A197,Sheet1!$A:$A,P$2)&lt;&gt;0,SUMIFS(Sheet1!$E:$E,Sheet1!$C:$C,$A197,Sheet1!$A:$A,P$2),"")</f>
        <v/>
      </c>
      <c r="Q197" s="9" t="str">
        <f>IF(SUMIFS(Sheet1!$E:$E,Sheet1!$C:$C,$A197,Sheet1!$A:$A,Q$2)&lt;&gt;0,SUMIFS(Sheet1!$E:$E,Sheet1!$C:$C,$A197,Sheet1!$A:$A,Q$2),"")</f>
        <v/>
      </c>
      <c r="R197" s="9" t="str">
        <f>IF(SUMIFS(Sheet1!$E:$E,Sheet1!$C:$C,$A197,Sheet1!$A:$A,R$2)&lt;&gt;0,SUMIFS(Sheet1!$E:$E,Sheet1!$C:$C,$A197,Sheet1!$A:$A,R$2),"")</f>
        <v/>
      </c>
      <c r="S197" s="9" t="str">
        <f>IF(SUMIFS(Sheet1!$E:$E,Sheet1!$C:$C,$A197,Sheet1!$A:$A,S$2)&lt;&gt;0,SUMIFS(Sheet1!$E:$E,Sheet1!$C:$C,$A197,Sheet1!$A:$A,S$2),"")</f>
        <v/>
      </c>
      <c r="T197" s="9" t="str">
        <f>IF(SUMIFS(Sheet1!$E:$E,Sheet1!$C:$C,$A197,Sheet1!$A:$A,T$2)&lt;&gt;0,SUMIFS(Sheet1!$E:$E,Sheet1!$C:$C,$A197,Sheet1!$A:$A,T$2),"")</f>
        <v/>
      </c>
      <c r="U197" s="9" t="str">
        <f>IF(SUMIFS(Sheet1!$E:$E,Sheet1!$C:$C,$A197,Sheet1!$A:$A,U$2)&lt;&gt;0,SUMIFS(Sheet1!$E:$E,Sheet1!$C:$C,$A197,Sheet1!$A:$A,U$2),"")</f>
        <v/>
      </c>
      <c r="V197" s="9" t="str">
        <f>IF(SUMIFS(Sheet1!$E:$E,Sheet1!$C:$C,$A197,Sheet1!$A:$A,V$2)&lt;&gt;0,SUMIFS(Sheet1!$E:$E,Sheet1!$C:$C,$A197,Sheet1!$A:$A,V$2),"")</f>
        <v/>
      </c>
      <c r="W197" s="9" t="str">
        <f>IF(SUMIFS(Sheet1!$E:$E,Sheet1!$C:$C,$A197,Sheet1!$A:$A,W$2)&lt;&gt;0,SUMIFS(Sheet1!$E:$E,Sheet1!$C:$C,$A197,Sheet1!$A:$A,W$2),"")</f>
        <v/>
      </c>
      <c r="X197" s="9" t="str">
        <f>IF(SUMIFS(Sheet1!$E:$E,Sheet1!$C:$C,$A197,Sheet1!$A:$A,X$2)&lt;&gt;0,SUMIFS(Sheet1!$E:$E,Sheet1!$C:$C,$A197,Sheet1!$A:$A,X$2),"")</f>
        <v/>
      </c>
      <c r="Y197" s="9" t="str">
        <f>IF(SUMIFS(Sheet1!$E:$E,Sheet1!$C:$C,$A197,Sheet1!$A:$A,Y$2)&lt;&gt;0,SUMIFS(Sheet1!$E:$E,Sheet1!$C:$C,$A197,Sheet1!$A:$A,Y$2),"")</f>
        <v/>
      </c>
      <c r="Z197" s="9" t="str">
        <f>IF(SUMIFS(Sheet1!$E:$E,Sheet1!$C:$C,$A197,Sheet1!$A:$A,Z$2)&lt;&gt;0,SUMIFS(Sheet1!$E:$E,Sheet1!$C:$C,$A197,Sheet1!$A:$A,Z$2),"")</f>
        <v/>
      </c>
      <c r="AA197" s="9" t="str">
        <f>IF(SUMIFS(Sheet1!$E:$E,Sheet1!$C:$C,$A197,Sheet1!$A:$A,AA$2)&lt;&gt;0,SUMIFS(Sheet1!$E:$E,Sheet1!$C:$C,$A197,Sheet1!$A:$A,AA$2),"")</f>
        <v/>
      </c>
      <c r="AB197" s="9" t="str">
        <f>IF(SUMIFS(Sheet1!$E:$E,Sheet1!$C:$C,$A197,Sheet1!$A:$A,AB$2)&lt;&gt;0,SUMIFS(Sheet1!$E:$E,Sheet1!$C:$C,$A197,Sheet1!$A:$A,AB$2),"")</f>
        <v/>
      </c>
      <c r="AC197" s="9" t="str">
        <f>IF(SUMIFS(Sheet1!$E:$E,Sheet1!$C:$C,$A197,Sheet1!$A:$A,AC$2)&lt;&gt;0,SUMIFS(Sheet1!$E:$E,Sheet1!$C:$C,$A197,Sheet1!$A:$A,AC$2),"")</f>
        <v/>
      </c>
      <c r="AD197" s="9" t="str">
        <f>IF(SUMIFS(Sheet1!$E:$E,Sheet1!$C:$C,$A197,Sheet1!$A:$A,AD$2)&lt;&gt;0,SUMIFS(Sheet1!$E:$E,Sheet1!$C:$C,$A197,Sheet1!$A:$A,AD$2),"")</f>
        <v/>
      </c>
      <c r="AE197" s="9" t="str">
        <f>IF(SUMIFS(Sheet1!$E:$E,Sheet1!$C:$C,$A197,Sheet1!$A:$A,AE$2)&lt;&gt;0,SUMIFS(Sheet1!$E:$E,Sheet1!$C:$C,$A197,Sheet1!$A:$A,AE$2),"")</f>
        <v/>
      </c>
      <c r="AF197" s="9" t="str">
        <f>IF(SUMIFS(Sheet1!$E:$E,Sheet1!$C:$C,$A197,Sheet1!$A:$A,AF$2)&lt;&gt;0,SUMIFS(Sheet1!$E:$E,Sheet1!$C:$C,$A197,Sheet1!$A:$A,AF$2),"")</f>
        <v/>
      </c>
      <c r="AG197" s="9" t="str">
        <f>IF(SUMIFS(Sheet1!$E:$E,Sheet1!$C:$C,$A197,Sheet1!$A:$A,AG$2)&lt;&gt;0,SUMIFS(Sheet1!$E:$E,Sheet1!$C:$C,$A197,Sheet1!$A:$A,AG$2),"")</f>
        <v/>
      </c>
      <c r="AH197" s="47">
        <f>SUM(Table24[[#This Row],[1]:[31]])</f>
        <v>0</v>
      </c>
    </row>
    <row r="198" spans="1:34" ht="12.75" customHeight="1">
      <c r="A198" s="24" t="str">
        <f>DSSP!A197</f>
        <v>GC122</v>
      </c>
      <c r="B198" s="25" t="str">
        <f>DSSP!B197</f>
        <v>Thư trái tim</v>
      </c>
      <c r="C198" s="9">
        <f>IF(SUMIFS(Sheet1!$E:$E,Sheet1!$C:$C,$A198,Sheet1!$A:$A,C$2)&lt;&gt;0,SUMIFS(Sheet1!$E:$E,Sheet1!$C:$C,$A198,Sheet1!$A:$A,C$2),"")</f>
        <v>43</v>
      </c>
      <c r="D198" s="9" t="str">
        <f>IF(SUMIFS(Sheet1!$E:$E,Sheet1!$C:$C,$A198,Sheet1!$A:$A,D$2)&lt;&gt;0,SUMIFS(Sheet1!$E:$E,Sheet1!$C:$C,$A198,Sheet1!$A:$A,D$2),"")</f>
        <v/>
      </c>
      <c r="E198" s="9" t="str">
        <f>IF(SUMIFS(Sheet1!$E:$E,Sheet1!$C:$C,$A198,Sheet1!$A:$A,E$2)&lt;&gt;0,SUMIFS(Sheet1!$E:$E,Sheet1!$C:$C,$A198,Sheet1!$A:$A,E$2),"")</f>
        <v/>
      </c>
      <c r="F198" s="9" t="str">
        <f>IF(SUMIFS(Sheet1!$E:$E,Sheet1!$C:$C,$A198,Sheet1!$A:$A,F$2)&lt;&gt;0,SUMIFS(Sheet1!$E:$E,Sheet1!$C:$C,$A198,Sheet1!$A:$A,F$2),"")</f>
        <v/>
      </c>
      <c r="G198" s="9" t="str">
        <f>IF(SUMIFS(Sheet1!$E:$E,Sheet1!$C:$C,$A198,Sheet1!$A:$A,G$2)&lt;&gt;0,SUMIFS(Sheet1!$E:$E,Sheet1!$C:$C,$A198,Sheet1!$A:$A,G$2),"")</f>
        <v/>
      </c>
      <c r="H198" s="9" t="str">
        <f>IF(SUMIFS(Sheet1!$E:$E,Sheet1!$C:$C,$A198,Sheet1!$A:$A,H$2)&lt;&gt;0,SUMIFS(Sheet1!$E:$E,Sheet1!$C:$C,$A198,Sheet1!$A:$A,H$2),"")</f>
        <v/>
      </c>
      <c r="I198" s="9" t="str">
        <f>IF(SUMIFS(Sheet1!$E:$E,Sheet1!$C:$C,$A198,Sheet1!$A:$A,I$2)&lt;&gt;0,SUMIFS(Sheet1!$E:$E,Sheet1!$C:$C,$A198,Sheet1!$A:$A,I$2),"")</f>
        <v/>
      </c>
      <c r="J198" s="9" t="str">
        <f>IF(SUMIFS(Sheet1!$E:$E,Sheet1!$C:$C,$A198,Sheet1!$A:$A,J$2)&lt;&gt;0,SUMIFS(Sheet1!$E:$E,Sheet1!$C:$C,$A198,Sheet1!$A:$A,J$2),"")</f>
        <v/>
      </c>
      <c r="K198" s="9" t="str">
        <f>IF(SUMIFS(Sheet1!$E:$E,Sheet1!$C:$C,$A198,Sheet1!$A:$A,K$2)&lt;&gt;0,SUMIFS(Sheet1!$E:$E,Sheet1!$C:$C,$A198,Sheet1!$A:$A,K$2),"")</f>
        <v/>
      </c>
      <c r="L198" s="9" t="str">
        <f>IF(SUMIFS(Sheet1!$E:$E,Sheet1!$C:$C,$A198,Sheet1!$A:$A,L$2)&lt;&gt;0,SUMIFS(Sheet1!$E:$E,Sheet1!$C:$C,$A198,Sheet1!$A:$A,L$2),"")</f>
        <v/>
      </c>
      <c r="M198" s="9" t="str">
        <f>IF(SUMIFS(Sheet1!$E:$E,Sheet1!$C:$C,$A198,Sheet1!$A:$A,M$2)&lt;&gt;0,SUMIFS(Sheet1!$E:$E,Sheet1!$C:$C,$A198,Sheet1!$A:$A,M$2),"")</f>
        <v/>
      </c>
      <c r="N198" s="9" t="str">
        <f>IF(SUMIFS(Sheet1!$E:$E,Sheet1!$C:$C,$A198,Sheet1!$A:$A,N$2)&lt;&gt;0,SUMIFS(Sheet1!$E:$E,Sheet1!$C:$C,$A198,Sheet1!$A:$A,N$2),"")</f>
        <v/>
      </c>
      <c r="O198" s="9" t="str">
        <f>IF(SUMIFS(Sheet1!$E:$E,Sheet1!$C:$C,$A198,Sheet1!$A:$A,O$2)&lt;&gt;0,SUMIFS(Sheet1!$E:$E,Sheet1!$C:$C,$A198,Sheet1!$A:$A,O$2),"")</f>
        <v/>
      </c>
      <c r="P198" s="9" t="str">
        <f>IF(SUMIFS(Sheet1!$E:$E,Sheet1!$C:$C,$A198,Sheet1!$A:$A,P$2)&lt;&gt;0,SUMIFS(Sheet1!$E:$E,Sheet1!$C:$C,$A198,Sheet1!$A:$A,P$2),"")</f>
        <v/>
      </c>
      <c r="Q198" s="9" t="str">
        <f>IF(SUMIFS(Sheet1!$E:$E,Sheet1!$C:$C,$A198,Sheet1!$A:$A,Q$2)&lt;&gt;0,SUMIFS(Sheet1!$E:$E,Sheet1!$C:$C,$A198,Sheet1!$A:$A,Q$2),"")</f>
        <v/>
      </c>
      <c r="R198" s="9" t="str">
        <f>IF(SUMIFS(Sheet1!$E:$E,Sheet1!$C:$C,$A198,Sheet1!$A:$A,R$2)&lt;&gt;0,SUMIFS(Sheet1!$E:$E,Sheet1!$C:$C,$A198,Sheet1!$A:$A,R$2),"")</f>
        <v/>
      </c>
      <c r="S198" s="9" t="str">
        <f>IF(SUMIFS(Sheet1!$E:$E,Sheet1!$C:$C,$A198,Sheet1!$A:$A,S$2)&lt;&gt;0,SUMIFS(Sheet1!$E:$E,Sheet1!$C:$C,$A198,Sheet1!$A:$A,S$2),"")</f>
        <v/>
      </c>
      <c r="T198" s="9" t="str">
        <f>IF(SUMIFS(Sheet1!$E:$E,Sheet1!$C:$C,$A198,Sheet1!$A:$A,T$2)&lt;&gt;0,SUMIFS(Sheet1!$E:$E,Sheet1!$C:$C,$A198,Sheet1!$A:$A,T$2),"")</f>
        <v/>
      </c>
      <c r="U198" s="9" t="str">
        <f>IF(SUMIFS(Sheet1!$E:$E,Sheet1!$C:$C,$A198,Sheet1!$A:$A,U$2)&lt;&gt;0,SUMIFS(Sheet1!$E:$E,Sheet1!$C:$C,$A198,Sheet1!$A:$A,U$2),"")</f>
        <v/>
      </c>
      <c r="V198" s="9" t="str">
        <f>IF(SUMIFS(Sheet1!$E:$E,Sheet1!$C:$C,$A198,Sheet1!$A:$A,V$2)&lt;&gt;0,SUMIFS(Sheet1!$E:$E,Sheet1!$C:$C,$A198,Sheet1!$A:$A,V$2),"")</f>
        <v/>
      </c>
      <c r="W198" s="9" t="str">
        <f>IF(SUMIFS(Sheet1!$E:$E,Sheet1!$C:$C,$A198,Sheet1!$A:$A,W$2)&lt;&gt;0,SUMIFS(Sheet1!$E:$E,Sheet1!$C:$C,$A198,Sheet1!$A:$A,W$2),"")</f>
        <v/>
      </c>
      <c r="X198" s="9" t="str">
        <f>IF(SUMIFS(Sheet1!$E:$E,Sheet1!$C:$C,$A198,Sheet1!$A:$A,X$2)&lt;&gt;0,SUMIFS(Sheet1!$E:$E,Sheet1!$C:$C,$A198,Sheet1!$A:$A,X$2),"")</f>
        <v/>
      </c>
      <c r="Y198" s="9" t="str">
        <f>IF(SUMIFS(Sheet1!$E:$E,Sheet1!$C:$C,$A198,Sheet1!$A:$A,Y$2)&lt;&gt;0,SUMIFS(Sheet1!$E:$E,Sheet1!$C:$C,$A198,Sheet1!$A:$A,Y$2),"")</f>
        <v/>
      </c>
      <c r="Z198" s="9" t="str">
        <f>IF(SUMIFS(Sheet1!$E:$E,Sheet1!$C:$C,$A198,Sheet1!$A:$A,Z$2)&lt;&gt;0,SUMIFS(Sheet1!$E:$E,Sheet1!$C:$C,$A198,Sheet1!$A:$A,Z$2),"")</f>
        <v/>
      </c>
      <c r="AA198" s="9" t="str">
        <f>IF(SUMIFS(Sheet1!$E:$E,Sheet1!$C:$C,$A198,Sheet1!$A:$A,AA$2)&lt;&gt;0,SUMIFS(Sheet1!$E:$E,Sheet1!$C:$C,$A198,Sheet1!$A:$A,AA$2),"")</f>
        <v/>
      </c>
      <c r="AB198" s="9" t="str">
        <f>IF(SUMIFS(Sheet1!$E:$E,Sheet1!$C:$C,$A198,Sheet1!$A:$A,AB$2)&lt;&gt;0,SUMIFS(Sheet1!$E:$E,Sheet1!$C:$C,$A198,Sheet1!$A:$A,AB$2),"")</f>
        <v/>
      </c>
      <c r="AC198" s="9" t="str">
        <f>IF(SUMIFS(Sheet1!$E:$E,Sheet1!$C:$C,$A198,Sheet1!$A:$A,AC$2)&lt;&gt;0,SUMIFS(Sheet1!$E:$E,Sheet1!$C:$C,$A198,Sheet1!$A:$A,AC$2),"")</f>
        <v/>
      </c>
      <c r="AD198" s="9" t="str">
        <f>IF(SUMIFS(Sheet1!$E:$E,Sheet1!$C:$C,$A198,Sheet1!$A:$A,AD$2)&lt;&gt;0,SUMIFS(Sheet1!$E:$E,Sheet1!$C:$C,$A198,Sheet1!$A:$A,AD$2),"")</f>
        <v/>
      </c>
      <c r="AE198" s="9" t="str">
        <f>IF(SUMIFS(Sheet1!$E:$E,Sheet1!$C:$C,$A198,Sheet1!$A:$A,AE$2)&lt;&gt;0,SUMIFS(Sheet1!$E:$E,Sheet1!$C:$C,$A198,Sheet1!$A:$A,AE$2),"")</f>
        <v/>
      </c>
      <c r="AF198" s="9" t="str">
        <f>IF(SUMIFS(Sheet1!$E:$E,Sheet1!$C:$C,$A198,Sheet1!$A:$A,AF$2)&lt;&gt;0,SUMIFS(Sheet1!$E:$E,Sheet1!$C:$C,$A198,Sheet1!$A:$A,AF$2),"")</f>
        <v/>
      </c>
      <c r="AG198" s="9" t="str">
        <f>IF(SUMIFS(Sheet1!$E:$E,Sheet1!$C:$C,$A198,Sheet1!$A:$A,AG$2)&lt;&gt;0,SUMIFS(Sheet1!$E:$E,Sheet1!$C:$C,$A198,Sheet1!$A:$A,AG$2),"")</f>
        <v/>
      </c>
      <c r="AH198" s="47">
        <f>SUM(Table24[[#This Row],[1]:[31]])</f>
        <v>43</v>
      </c>
    </row>
    <row r="199" spans="1:34" ht="12.75" customHeight="1">
      <c r="A199" s="24" t="str">
        <f>DSSP!A198</f>
        <v>GC123</v>
      </c>
      <c r="B199" s="25" t="str">
        <f>DSSP!B198</f>
        <v>Hai chú chim</v>
      </c>
      <c r="C199" s="9" t="str">
        <f>IF(SUMIFS(Sheet1!$E:$E,Sheet1!$C:$C,$A199,Sheet1!$A:$A,C$2)&lt;&gt;0,SUMIFS(Sheet1!$E:$E,Sheet1!$C:$C,$A199,Sheet1!$A:$A,C$2),"")</f>
        <v/>
      </c>
      <c r="D199" s="9" t="str">
        <f>IF(SUMIFS(Sheet1!$E:$E,Sheet1!$C:$C,$A199,Sheet1!$A:$A,D$2)&lt;&gt;0,SUMIFS(Sheet1!$E:$E,Sheet1!$C:$C,$A199,Sheet1!$A:$A,D$2),"")</f>
        <v/>
      </c>
      <c r="E199" s="9" t="str">
        <f>IF(SUMIFS(Sheet1!$E:$E,Sheet1!$C:$C,$A199,Sheet1!$A:$A,E$2)&lt;&gt;0,SUMIFS(Sheet1!$E:$E,Sheet1!$C:$C,$A199,Sheet1!$A:$A,E$2),"")</f>
        <v/>
      </c>
      <c r="F199" s="9" t="str">
        <f>IF(SUMIFS(Sheet1!$E:$E,Sheet1!$C:$C,$A199,Sheet1!$A:$A,F$2)&lt;&gt;0,SUMIFS(Sheet1!$E:$E,Sheet1!$C:$C,$A199,Sheet1!$A:$A,F$2),"")</f>
        <v/>
      </c>
      <c r="G199" s="9" t="str">
        <f>IF(SUMIFS(Sheet1!$E:$E,Sheet1!$C:$C,$A199,Sheet1!$A:$A,G$2)&lt;&gt;0,SUMIFS(Sheet1!$E:$E,Sheet1!$C:$C,$A199,Sheet1!$A:$A,G$2),"")</f>
        <v/>
      </c>
      <c r="H199" s="9" t="str">
        <f>IF(SUMIFS(Sheet1!$E:$E,Sheet1!$C:$C,$A199,Sheet1!$A:$A,H$2)&lt;&gt;0,SUMIFS(Sheet1!$E:$E,Sheet1!$C:$C,$A199,Sheet1!$A:$A,H$2),"")</f>
        <v/>
      </c>
      <c r="I199" s="9" t="str">
        <f>IF(SUMIFS(Sheet1!$E:$E,Sheet1!$C:$C,$A199,Sheet1!$A:$A,I$2)&lt;&gt;0,SUMIFS(Sheet1!$E:$E,Sheet1!$C:$C,$A199,Sheet1!$A:$A,I$2),"")</f>
        <v/>
      </c>
      <c r="J199" s="9" t="str">
        <f>IF(SUMIFS(Sheet1!$E:$E,Sheet1!$C:$C,$A199,Sheet1!$A:$A,J$2)&lt;&gt;0,SUMIFS(Sheet1!$E:$E,Sheet1!$C:$C,$A199,Sheet1!$A:$A,J$2),"")</f>
        <v/>
      </c>
      <c r="K199" s="9" t="str">
        <f>IF(SUMIFS(Sheet1!$E:$E,Sheet1!$C:$C,$A199,Sheet1!$A:$A,K$2)&lt;&gt;0,SUMIFS(Sheet1!$E:$E,Sheet1!$C:$C,$A199,Sheet1!$A:$A,K$2),"")</f>
        <v/>
      </c>
      <c r="L199" s="9" t="str">
        <f>IF(SUMIFS(Sheet1!$E:$E,Sheet1!$C:$C,$A199,Sheet1!$A:$A,L$2)&lt;&gt;0,SUMIFS(Sheet1!$E:$E,Sheet1!$C:$C,$A199,Sheet1!$A:$A,L$2),"")</f>
        <v/>
      </c>
      <c r="M199" s="9" t="str">
        <f>IF(SUMIFS(Sheet1!$E:$E,Sheet1!$C:$C,$A199,Sheet1!$A:$A,M$2)&lt;&gt;0,SUMIFS(Sheet1!$E:$E,Sheet1!$C:$C,$A199,Sheet1!$A:$A,M$2),"")</f>
        <v/>
      </c>
      <c r="N199" s="9" t="str">
        <f>IF(SUMIFS(Sheet1!$E:$E,Sheet1!$C:$C,$A199,Sheet1!$A:$A,N$2)&lt;&gt;0,SUMIFS(Sheet1!$E:$E,Sheet1!$C:$C,$A199,Sheet1!$A:$A,N$2),"")</f>
        <v/>
      </c>
      <c r="O199" s="9" t="str">
        <f>IF(SUMIFS(Sheet1!$E:$E,Sheet1!$C:$C,$A199,Sheet1!$A:$A,O$2)&lt;&gt;0,SUMIFS(Sheet1!$E:$E,Sheet1!$C:$C,$A199,Sheet1!$A:$A,O$2),"")</f>
        <v/>
      </c>
      <c r="P199" s="9" t="str">
        <f>IF(SUMIFS(Sheet1!$E:$E,Sheet1!$C:$C,$A199,Sheet1!$A:$A,P$2)&lt;&gt;0,SUMIFS(Sheet1!$E:$E,Sheet1!$C:$C,$A199,Sheet1!$A:$A,P$2),"")</f>
        <v/>
      </c>
      <c r="Q199" s="9" t="str">
        <f>IF(SUMIFS(Sheet1!$E:$E,Sheet1!$C:$C,$A199,Sheet1!$A:$A,Q$2)&lt;&gt;0,SUMIFS(Sheet1!$E:$E,Sheet1!$C:$C,$A199,Sheet1!$A:$A,Q$2),"")</f>
        <v/>
      </c>
      <c r="R199" s="9" t="str">
        <f>IF(SUMIFS(Sheet1!$E:$E,Sheet1!$C:$C,$A199,Sheet1!$A:$A,R$2)&lt;&gt;0,SUMIFS(Sheet1!$E:$E,Sheet1!$C:$C,$A199,Sheet1!$A:$A,R$2),"")</f>
        <v/>
      </c>
      <c r="S199" s="9" t="str">
        <f>IF(SUMIFS(Sheet1!$E:$E,Sheet1!$C:$C,$A199,Sheet1!$A:$A,S$2)&lt;&gt;0,SUMIFS(Sheet1!$E:$E,Sheet1!$C:$C,$A199,Sheet1!$A:$A,S$2),"")</f>
        <v/>
      </c>
      <c r="T199" s="9" t="str">
        <f>IF(SUMIFS(Sheet1!$E:$E,Sheet1!$C:$C,$A199,Sheet1!$A:$A,T$2)&lt;&gt;0,SUMIFS(Sheet1!$E:$E,Sheet1!$C:$C,$A199,Sheet1!$A:$A,T$2),"")</f>
        <v/>
      </c>
      <c r="U199" s="9" t="str">
        <f>IF(SUMIFS(Sheet1!$E:$E,Sheet1!$C:$C,$A199,Sheet1!$A:$A,U$2)&lt;&gt;0,SUMIFS(Sheet1!$E:$E,Sheet1!$C:$C,$A199,Sheet1!$A:$A,U$2),"")</f>
        <v/>
      </c>
      <c r="V199" s="9" t="str">
        <f>IF(SUMIFS(Sheet1!$E:$E,Sheet1!$C:$C,$A199,Sheet1!$A:$A,V$2)&lt;&gt;0,SUMIFS(Sheet1!$E:$E,Sheet1!$C:$C,$A199,Sheet1!$A:$A,V$2),"")</f>
        <v/>
      </c>
      <c r="W199" s="9" t="str">
        <f>IF(SUMIFS(Sheet1!$E:$E,Sheet1!$C:$C,$A199,Sheet1!$A:$A,W$2)&lt;&gt;0,SUMIFS(Sheet1!$E:$E,Sheet1!$C:$C,$A199,Sheet1!$A:$A,W$2),"")</f>
        <v/>
      </c>
      <c r="X199" s="9" t="str">
        <f>IF(SUMIFS(Sheet1!$E:$E,Sheet1!$C:$C,$A199,Sheet1!$A:$A,X$2)&lt;&gt;0,SUMIFS(Sheet1!$E:$E,Sheet1!$C:$C,$A199,Sheet1!$A:$A,X$2),"")</f>
        <v/>
      </c>
      <c r="Y199" s="9" t="str">
        <f>IF(SUMIFS(Sheet1!$E:$E,Sheet1!$C:$C,$A199,Sheet1!$A:$A,Y$2)&lt;&gt;0,SUMIFS(Sheet1!$E:$E,Sheet1!$C:$C,$A199,Sheet1!$A:$A,Y$2),"")</f>
        <v/>
      </c>
      <c r="Z199" s="9" t="str">
        <f>IF(SUMIFS(Sheet1!$E:$E,Sheet1!$C:$C,$A199,Sheet1!$A:$A,Z$2)&lt;&gt;0,SUMIFS(Sheet1!$E:$E,Sheet1!$C:$C,$A199,Sheet1!$A:$A,Z$2),"")</f>
        <v/>
      </c>
      <c r="AA199" s="9" t="str">
        <f>IF(SUMIFS(Sheet1!$E:$E,Sheet1!$C:$C,$A199,Sheet1!$A:$A,AA$2)&lt;&gt;0,SUMIFS(Sheet1!$E:$E,Sheet1!$C:$C,$A199,Sheet1!$A:$A,AA$2),"")</f>
        <v/>
      </c>
      <c r="AB199" s="9" t="str">
        <f>IF(SUMIFS(Sheet1!$E:$E,Sheet1!$C:$C,$A199,Sheet1!$A:$A,AB$2)&lt;&gt;0,SUMIFS(Sheet1!$E:$E,Sheet1!$C:$C,$A199,Sheet1!$A:$A,AB$2),"")</f>
        <v/>
      </c>
      <c r="AC199" s="9" t="str">
        <f>IF(SUMIFS(Sheet1!$E:$E,Sheet1!$C:$C,$A199,Sheet1!$A:$A,AC$2)&lt;&gt;0,SUMIFS(Sheet1!$E:$E,Sheet1!$C:$C,$A199,Sheet1!$A:$A,AC$2),"")</f>
        <v/>
      </c>
      <c r="AD199" s="9" t="str">
        <f>IF(SUMIFS(Sheet1!$E:$E,Sheet1!$C:$C,$A199,Sheet1!$A:$A,AD$2)&lt;&gt;0,SUMIFS(Sheet1!$E:$E,Sheet1!$C:$C,$A199,Sheet1!$A:$A,AD$2),"")</f>
        <v/>
      </c>
      <c r="AE199" s="9" t="str">
        <f>IF(SUMIFS(Sheet1!$E:$E,Sheet1!$C:$C,$A199,Sheet1!$A:$A,AE$2)&lt;&gt;0,SUMIFS(Sheet1!$E:$E,Sheet1!$C:$C,$A199,Sheet1!$A:$A,AE$2),"")</f>
        <v/>
      </c>
      <c r="AF199" s="9" t="str">
        <f>IF(SUMIFS(Sheet1!$E:$E,Sheet1!$C:$C,$A199,Sheet1!$A:$A,AF$2)&lt;&gt;0,SUMIFS(Sheet1!$E:$E,Sheet1!$C:$C,$A199,Sheet1!$A:$A,AF$2),"")</f>
        <v/>
      </c>
      <c r="AG199" s="9" t="str">
        <f>IF(SUMIFS(Sheet1!$E:$E,Sheet1!$C:$C,$A199,Sheet1!$A:$A,AG$2)&lt;&gt;0,SUMIFS(Sheet1!$E:$E,Sheet1!$C:$C,$A199,Sheet1!$A:$A,AG$2),"")</f>
        <v/>
      </c>
      <c r="AH199" s="47">
        <f>SUM(Table24[[#This Row],[1]:[31]])</f>
        <v>0</v>
      </c>
    </row>
    <row r="200" spans="1:34" ht="12.75" customHeight="1">
      <c r="A200" s="24" t="str">
        <f>DSSP!A199</f>
        <v>GC124</v>
      </c>
      <c r="B200" s="25" t="str">
        <f>DSSP!B199</f>
        <v>Tháp Eiffel mini</v>
      </c>
      <c r="C200" s="9" t="str">
        <f>IF(SUMIFS(Sheet1!$E:$E,Sheet1!$C:$C,$A200,Sheet1!$A:$A,C$2)&lt;&gt;0,SUMIFS(Sheet1!$E:$E,Sheet1!$C:$C,$A200,Sheet1!$A:$A,C$2),"")</f>
        <v/>
      </c>
      <c r="D200" s="9" t="str">
        <f>IF(SUMIFS(Sheet1!$E:$E,Sheet1!$C:$C,$A200,Sheet1!$A:$A,D$2)&lt;&gt;0,SUMIFS(Sheet1!$E:$E,Sheet1!$C:$C,$A200,Sheet1!$A:$A,D$2),"")</f>
        <v/>
      </c>
      <c r="E200" s="9" t="str">
        <f>IF(SUMIFS(Sheet1!$E:$E,Sheet1!$C:$C,$A200,Sheet1!$A:$A,E$2)&lt;&gt;0,SUMIFS(Sheet1!$E:$E,Sheet1!$C:$C,$A200,Sheet1!$A:$A,E$2),"")</f>
        <v/>
      </c>
      <c r="F200" s="9" t="str">
        <f>IF(SUMIFS(Sheet1!$E:$E,Sheet1!$C:$C,$A200,Sheet1!$A:$A,F$2)&lt;&gt;0,SUMIFS(Sheet1!$E:$E,Sheet1!$C:$C,$A200,Sheet1!$A:$A,F$2),"")</f>
        <v/>
      </c>
      <c r="G200" s="9" t="str">
        <f>IF(SUMIFS(Sheet1!$E:$E,Sheet1!$C:$C,$A200,Sheet1!$A:$A,G$2)&lt;&gt;0,SUMIFS(Sheet1!$E:$E,Sheet1!$C:$C,$A200,Sheet1!$A:$A,G$2),"")</f>
        <v/>
      </c>
      <c r="H200" s="9" t="str">
        <f>IF(SUMIFS(Sheet1!$E:$E,Sheet1!$C:$C,$A200,Sheet1!$A:$A,H$2)&lt;&gt;0,SUMIFS(Sheet1!$E:$E,Sheet1!$C:$C,$A200,Sheet1!$A:$A,H$2),"")</f>
        <v/>
      </c>
      <c r="I200" s="9" t="str">
        <f>IF(SUMIFS(Sheet1!$E:$E,Sheet1!$C:$C,$A200,Sheet1!$A:$A,I$2)&lt;&gt;0,SUMIFS(Sheet1!$E:$E,Sheet1!$C:$C,$A200,Sheet1!$A:$A,I$2),"")</f>
        <v/>
      </c>
      <c r="J200" s="9" t="str">
        <f>IF(SUMIFS(Sheet1!$E:$E,Sheet1!$C:$C,$A200,Sheet1!$A:$A,J$2)&lt;&gt;0,SUMIFS(Sheet1!$E:$E,Sheet1!$C:$C,$A200,Sheet1!$A:$A,J$2),"")</f>
        <v/>
      </c>
      <c r="K200" s="9" t="str">
        <f>IF(SUMIFS(Sheet1!$E:$E,Sheet1!$C:$C,$A200,Sheet1!$A:$A,K$2)&lt;&gt;0,SUMIFS(Sheet1!$E:$E,Sheet1!$C:$C,$A200,Sheet1!$A:$A,K$2),"")</f>
        <v/>
      </c>
      <c r="L200" s="9" t="str">
        <f>IF(SUMIFS(Sheet1!$E:$E,Sheet1!$C:$C,$A200,Sheet1!$A:$A,L$2)&lt;&gt;0,SUMIFS(Sheet1!$E:$E,Sheet1!$C:$C,$A200,Sheet1!$A:$A,L$2),"")</f>
        <v/>
      </c>
      <c r="M200" s="9" t="str">
        <f>IF(SUMIFS(Sheet1!$E:$E,Sheet1!$C:$C,$A200,Sheet1!$A:$A,M$2)&lt;&gt;0,SUMIFS(Sheet1!$E:$E,Sheet1!$C:$C,$A200,Sheet1!$A:$A,M$2),"")</f>
        <v/>
      </c>
      <c r="N200" s="9" t="str">
        <f>IF(SUMIFS(Sheet1!$E:$E,Sheet1!$C:$C,$A200,Sheet1!$A:$A,N$2)&lt;&gt;0,SUMIFS(Sheet1!$E:$E,Sheet1!$C:$C,$A200,Sheet1!$A:$A,N$2),"")</f>
        <v/>
      </c>
      <c r="O200" s="9" t="str">
        <f>IF(SUMIFS(Sheet1!$E:$E,Sheet1!$C:$C,$A200,Sheet1!$A:$A,O$2)&lt;&gt;0,SUMIFS(Sheet1!$E:$E,Sheet1!$C:$C,$A200,Sheet1!$A:$A,O$2),"")</f>
        <v/>
      </c>
      <c r="P200" s="9" t="str">
        <f>IF(SUMIFS(Sheet1!$E:$E,Sheet1!$C:$C,$A200,Sheet1!$A:$A,P$2)&lt;&gt;0,SUMIFS(Sheet1!$E:$E,Sheet1!$C:$C,$A200,Sheet1!$A:$A,P$2),"")</f>
        <v/>
      </c>
      <c r="Q200" s="9" t="str">
        <f>IF(SUMIFS(Sheet1!$E:$E,Sheet1!$C:$C,$A200,Sheet1!$A:$A,Q$2)&lt;&gt;0,SUMIFS(Sheet1!$E:$E,Sheet1!$C:$C,$A200,Sheet1!$A:$A,Q$2),"")</f>
        <v/>
      </c>
      <c r="R200" s="9" t="str">
        <f>IF(SUMIFS(Sheet1!$E:$E,Sheet1!$C:$C,$A200,Sheet1!$A:$A,R$2)&lt;&gt;0,SUMIFS(Sheet1!$E:$E,Sheet1!$C:$C,$A200,Sheet1!$A:$A,R$2),"")</f>
        <v/>
      </c>
      <c r="S200" s="9" t="str">
        <f>IF(SUMIFS(Sheet1!$E:$E,Sheet1!$C:$C,$A200,Sheet1!$A:$A,S$2)&lt;&gt;0,SUMIFS(Sheet1!$E:$E,Sheet1!$C:$C,$A200,Sheet1!$A:$A,S$2),"")</f>
        <v/>
      </c>
      <c r="T200" s="9" t="str">
        <f>IF(SUMIFS(Sheet1!$E:$E,Sheet1!$C:$C,$A200,Sheet1!$A:$A,T$2)&lt;&gt;0,SUMIFS(Sheet1!$E:$E,Sheet1!$C:$C,$A200,Sheet1!$A:$A,T$2),"")</f>
        <v/>
      </c>
      <c r="U200" s="9" t="str">
        <f>IF(SUMIFS(Sheet1!$E:$E,Sheet1!$C:$C,$A200,Sheet1!$A:$A,U$2)&lt;&gt;0,SUMIFS(Sheet1!$E:$E,Sheet1!$C:$C,$A200,Sheet1!$A:$A,U$2),"")</f>
        <v/>
      </c>
      <c r="V200" s="9" t="str">
        <f>IF(SUMIFS(Sheet1!$E:$E,Sheet1!$C:$C,$A200,Sheet1!$A:$A,V$2)&lt;&gt;0,SUMIFS(Sheet1!$E:$E,Sheet1!$C:$C,$A200,Sheet1!$A:$A,V$2),"")</f>
        <v/>
      </c>
      <c r="W200" s="9" t="str">
        <f>IF(SUMIFS(Sheet1!$E:$E,Sheet1!$C:$C,$A200,Sheet1!$A:$A,W$2)&lt;&gt;0,SUMIFS(Sheet1!$E:$E,Sheet1!$C:$C,$A200,Sheet1!$A:$A,W$2),"")</f>
        <v/>
      </c>
      <c r="X200" s="9" t="str">
        <f>IF(SUMIFS(Sheet1!$E:$E,Sheet1!$C:$C,$A200,Sheet1!$A:$A,X$2)&lt;&gt;0,SUMIFS(Sheet1!$E:$E,Sheet1!$C:$C,$A200,Sheet1!$A:$A,X$2),"")</f>
        <v/>
      </c>
      <c r="Y200" s="9" t="str">
        <f>IF(SUMIFS(Sheet1!$E:$E,Sheet1!$C:$C,$A200,Sheet1!$A:$A,Y$2)&lt;&gt;0,SUMIFS(Sheet1!$E:$E,Sheet1!$C:$C,$A200,Sheet1!$A:$A,Y$2),"")</f>
        <v/>
      </c>
      <c r="Z200" s="9" t="str">
        <f>IF(SUMIFS(Sheet1!$E:$E,Sheet1!$C:$C,$A200,Sheet1!$A:$A,Z$2)&lt;&gt;0,SUMIFS(Sheet1!$E:$E,Sheet1!$C:$C,$A200,Sheet1!$A:$A,Z$2),"")</f>
        <v/>
      </c>
      <c r="AA200" s="9" t="str">
        <f>IF(SUMIFS(Sheet1!$E:$E,Sheet1!$C:$C,$A200,Sheet1!$A:$A,AA$2)&lt;&gt;0,SUMIFS(Sheet1!$E:$E,Sheet1!$C:$C,$A200,Sheet1!$A:$A,AA$2),"")</f>
        <v/>
      </c>
      <c r="AB200" s="9" t="str">
        <f>IF(SUMIFS(Sheet1!$E:$E,Sheet1!$C:$C,$A200,Sheet1!$A:$A,AB$2)&lt;&gt;0,SUMIFS(Sheet1!$E:$E,Sheet1!$C:$C,$A200,Sheet1!$A:$A,AB$2),"")</f>
        <v/>
      </c>
      <c r="AC200" s="9" t="str">
        <f>IF(SUMIFS(Sheet1!$E:$E,Sheet1!$C:$C,$A200,Sheet1!$A:$A,AC$2)&lt;&gt;0,SUMIFS(Sheet1!$E:$E,Sheet1!$C:$C,$A200,Sheet1!$A:$A,AC$2),"")</f>
        <v/>
      </c>
      <c r="AD200" s="9" t="str">
        <f>IF(SUMIFS(Sheet1!$E:$E,Sheet1!$C:$C,$A200,Sheet1!$A:$A,AD$2)&lt;&gt;0,SUMIFS(Sheet1!$E:$E,Sheet1!$C:$C,$A200,Sheet1!$A:$A,AD$2),"")</f>
        <v/>
      </c>
      <c r="AE200" s="9" t="str">
        <f>IF(SUMIFS(Sheet1!$E:$E,Sheet1!$C:$C,$A200,Sheet1!$A:$A,AE$2)&lt;&gt;0,SUMIFS(Sheet1!$E:$E,Sheet1!$C:$C,$A200,Sheet1!$A:$A,AE$2),"")</f>
        <v/>
      </c>
      <c r="AF200" s="9" t="str">
        <f>IF(SUMIFS(Sheet1!$E:$E,Sheet1!$C:$C,$A200,Sheet1!$A:$A,AF$2)&lt;&gt;0,SUMIFS(Sheet1!$E:$E,Sheet1!$C:$C,$A200,Sheet1!$A:$A,AF$2),"")</f>
        <v/>
      </c>
      <c r="AG200" s="9" t="str">
        <f>IF(SUMIFS(Sheet1!$E:$E,Sheet1!$C:$C,$A200,Sheet1!$A:$A,AG$2)&lt;&gt;0,SUMIFS(Sheet1!$E:$E,Sheet1!$C:$C,$A200,Sheet1!$A:$A,AG$2),"")</f>
        <v/>
      </c>
      <c r="AH200" s="47">
        <f>SUM(Table24[[#This Row],[1]:[31]])</f>
        <v>0</v>
      </c>
    </row>
    <row r="201" spans="1:34" ht="12.75" customHeight="1">
      <c r="A201" s="24" t="str">
        <f>DSSP!A200</f>
        <v>GC125</v>
      </c>
      <c r="B201" s="25" t="str">
        <f>DSSP!B200</f>
        <v>Thỏ con tai dài</v>
      </c>
      <c r="C201" s="9">
        <f>IF(SUMIFS(Sheet1!$E:$E,Sheet1!$C:$C,$A201,Sheet1!$A:$A,C$2)&lt;&gt;0,SUMIFS(Sheet1!$E:$E,Sheet1!$C:$C,$A201,Sheet1!$A:$A,C$2),"")</f>
        <v>22</v>
      </c>
      <c r="D201" s="9" t="str">
        <f>IF(SUMIFS(Sheet1!$E:$E,Sheet1!$C:$C,$A201,Sheet1!$A:$A,D$2)&lt;&gt;0,SUMIFS(Sheet1!$E:$E,Sheet1!$C:$C,$A201,Sheet1!$A:$A,D$2),"")</f>
        <v/>
      </c>
      <c r="E201" s="9" t="str">
        <f>IF(SUMIFS(Sheet1!$E:$E,Sheet1!$C:$C,$A201,Sheet1!$A:$A,E$2)&lt;&gt;0,SUMIFS(Sheet1!$E:$E,Sheet1!$C:$C,$A201,Sheet1!$A:$A,E$2),"")</f>
        <v/>
      </c>
      <c r="F201" s="9" t="str">
        <f>IF(SUMIFS(Sheet1!$E:$E,Sheet1!$C:$C,$A201,Sheet1!$A:$A,F$2)&lt;&gt;0,SUMIFS(Sheet1!$E:$E,Sheet1!$C:$C,$A201,Sheet1!$A:$A,F$2),"")</f>
        <v/>
      </c>
      <c r="G201" s="9" t="str">
        <f>IF(SUMIFS(Sheet1!$E:$E,Sheet1!$C:$C,$A201,Sheet1!$A:$A,G$2)&lt;&gt;0,SUMIFS(Sheet1!$E:$E,Sheet1!$C:$C,$A201,Sheet1!$A:$A,G$2),"")</f>
        <v/>
      </c>
      <c r="H201" s="9" t="str">
        <f>IF(SUMIFS(Sheet1!$E:$E,Sheet1!$C:$C,$A201,Sheet1!$A:$A,H$2)&lt;&gt;0,SUMIFS(Sheet1!$E:$E,Sheet1!$C:$C,$A201,Sheet1!$A:$A,H$2),"")</f>
        <v/>
      </c>
      <c r="I201" s="9" t="str">
        <f>IF(SUMIFS(Sheet1!$E:$E,Sheet1!$C:$C,$A201,Sheet1!$A:$A,I$2)&lt;&gt;0,SUMIFS(Sheet1!$E:$E,Sheet1!$C:$C,$A201,Sheet1!$A:$A,I$2),"")</f>
        <v/>
      </c>
      <c r="J201" s="9" t="str">
        <f>IF(SUMIFS(Sheet1!$E:$E,Sheet1!$C:$C,$A201,Sheet1!$A:$A,J$2)&lt;&gt;0,SUMIFS(Sheet1!$E:$E,Sheet1!$C:$C,$A201,Sheet1!$A:$A,J$2),"")</f>
        <v/>
      </c>
      <c r="K201" s="9" t="str">
        <f>IF(SUMIFS(Sheet1!$E:$E,Sheet1!$C:$C,$A201,Sheet1!$A:$A,K$2)&lt;&gt;0,SUMIFS(Sheet1!$E:$E,Sheet1!$C:$C,$A201,Sheet1!$A:$A,K$2),"")</f>
        <v/>
      </c>
      <c r="L201" s="9" t="str">
        <f>IF(SUMIFS(Sheet1!$E:$E,Sheet1!$C:$C,$A201,Sheet1!$A:$A,L$2)&lt;&gt;0,SUMIFS(Sheet1!$E:$E,Sheet1!$C:$C,$A201,Sheet1!$A:$A,L$2),"")</f>
        <v/>
      </c>
      <c r="M201" s="9" t="str">
        <f>IF(SUMIFS(Sheet1!$E:$E,Sheet1!$C:$C,$A201,Sheet1!$A:$A,M$2)&lt;&gt;0,SUMIFS(Sheet1!$E:$E,Sheet1!$C:$C,$A201,Sheet1!$A:$A,M$2),"")</f>
        <v/>
      </c>
      <c r="N201" s="9" t="str">
        <f>IF(SUMIFS(Sheet1!$E:$E,Sheet1!$C:$C,$A201,Sheet1!$A:$A,N$2)&lt;&gt;0,SUMIFS(Sheet1!$E:$E,Sheet1!$C:$C,$A201,Sheet1!$A:$A,N$2),"")</f>
        <v/>
      </c>
      <c r="O201" s="9" t="str">
        <f>IF(SUMIFS(Sheet1!$E:$E,Sheet1!$C:$C,$A201,Sheet1!$A:$A,O$2)&lt;&gt;0,SUMIFS(Sheet1!$E:$E,Sheet1!$C:$C,$A201,Sheet1!$A:$A,O$2),"")</f>
        <v/>
      </c>
      <c r="P201" s="9" t="str">
        <f>IF(SUMIFS(Sheet1!$E:$E,Sheet1!$C:$C,$A201,Sheet1!$A:$A,P$2)&lt;&gt;0,SUMIFS(Sheet1!$E:$E,Sheet1!$C:$C,$A201,Sheet1!$A:$A,P$2),"")</f>
        <v/>
      </c>
      <c r="Q201" s="9" t="str">
        <f>IF(SUMIFS(Sheet1!$E:$E,Sheet1!$C:$C,$A201,Sheet1!$A:$A,Q$2)&lt;&gt;0,SUMIFS(Sheet1!$E:$E,Sheet1!$C:$C,$A201,Sheet1!$A:$A,Q$2),"")</f>
        <v/>
      </c>
      <c r="R201" s="9" t="str">
        <f>IF(SUMIFS(Sheet1!$E:$E,Sheet1!$C:$C,$A201,Sheet1!$A:$A,R$2)&lt;&gt;0,SUMIFS(Sheet1!$E:$E,Sheet1!$C:$C,$A201,Sheet1!$A:$A,R$2),"")</f>
        <v/>
      </c>
      <c r="S201" s="9" t="str">
        <f>IF(SUMIFS(Sheet1!$E:$E,Sheet1!$C:$C,$A201,Sheet1!$A:$A,S$2)&lt;&gt;0,SUMIFS(Sheet1!$E:$E,Sheet1!$C:$C,$A201,Sheet1!$A:$A,S$2),"")</f>
        <v/>
      </c>
      <c r="T201" s="9" t="str">
        <f>IF(SUMIFS(Sheet1!$E:$E,Sheet1!$C:$C,$A201,Sheet1!$A:$A,T$2)&lt;&gt;0,SUMIFS(Sheet1!$E:$E,Sheet1!$C:$C,$A201,Sheet1!$A:$A,T$2),"")</f>
        <v/>
      </c>
      <c r="U201" s="9" t="str">
        <f>IF(SUMIFS(Sheet1!$E:$E,Sheet1!$C:$C,$A201,Sheet1!$A:$A,U$2)&lt;&gt;0,SUMIFS(Sheet1!$E:$E,Sheet1!$C:$C,$A201,Sheet1!$A:$A,U$2),"")</f>
        <v/>
      </c>
      <c r="V201" s="9" t="str">
        <f>IF(SUMIFS(Sheet1!$E:$E,Sheet1!$C:$C,$A201,Sheet1!$A:$A,V$2)&lt;&gt;0,SUMIFS(Sheet1!$E:$E,Sheet1!$C:$C,$A201,Sheet1!$A:$A,V$2),"")</f>
        <v/>
      </c>
      <c r="W201" s="9" t="str">
        <f>IF(SUMIFS(Sheet1!$E:$E,Sheet1!$C:$C,$A201,Sheet1!$A:$A,W$2)&lt;&gt;0,SUMIFS(Sheet1!$E:$E,Sheet1!$C:$C,$A201,Sheet1!$A:$A,W$2),"")</f>
        <v/>
      </c>
      <c r="X201" s="9" t="str">
        <f>IF(SUMIFS(Sheet1!$E:$E,Sheet1!$C:$C,$A201,Sheet1!$A:$A,X$2)&lt;&gt;0,SUMIFS(Sheet1!$E:$E,Sheet1!$C:$C,$A201,Sheet1!$A:$A,X$2),"")</f>
        <v/>
      </c>
      <c r="Y201" s="9" t="str">
        <f>IF(SUMIFS(Sheet1!$E:$E,Sheet1!$C:$C,$A201,Sheet1!$A:$A,Y$2)&lt;&gt;0,SUMIFS(Sheet1!$E:$E,Sheet1!$C:$C,$A201,Sheet1!$A:$A,Y$2),"")</f>
        <v/>
      </c>
      <c r="Z201" s="9" t="str">
        <f>IF(SUMIFS(Sheet1!$E:$E,Sheet1!$C:$C,$A201,Sheet1!$A:$A,Z$2)&lt;&gt;0,SUMIFS(Sheet1!$E:$E,Sheet1!$C:$C,$A201,Sheet1!$A:$A,Z$2),"")</f>
        <v/>
      </c>
      <c r="AA201" s="9" t="str">
        <f>IF(SUMIFS(Sheet1!$E:$E,Sheet1!$C:$C,$A201,Sheet1!$A:$A,AA$2)&lt;&gt;0,SUMIFS(Sheet1!$E:$E,Sheet1!$C:$C,$A201,Sheet1!$A:$A,AA$2),"")</f>
        <v/>
      </c>
      <c r="AB201" s="9" t="str">
        <f>IF(SUMIFS(Sheet1!$E:$E,Sheet1!$C:$C,$A201,Sheet1!$A:$A,AB$2)&lt;&gt;0,SUMIFS(Sheet1!$E:$E,Sheet1!$C:$C,$A201,Sheet1!$A:$A,AB$2),"")</f>
        <v/>
      </c>
      <c r="AC201" s="9" t="str">
        <f>IF(SUMIFS(Sheet1!$E:$E,Sheet1!$C:$C,$A201,Sheet1!$A:$A,AC$2)&lt;&gt;0,SUMIFS(Sheet1!$E:$E,Sheet1!$C:$C,$A201,Sheet1!$A:$A,AC$2),"")</f>
        <v/>
      </c>
      <c r="AD201" s="9" t="str">
        <f>IF(SUMIFS(Sheet1!$E:$E,Sheet1!$C:$C,$A201,Sheet1!$A:$A,AD$2)&lt;&gt;0,SUMIFS(Sheet1!$E:$E,Sheet1!$C:$C,$A201,Sheet1!$A:$A,AD$2),"")</f>
        <v/>
      </c>
      <c r="AE201" s="9" t="str">
        <f>IF(SUMIFS(Sheet1!$E:$E,Sheet1!$C:$C,$A201,Sheet1!$A:$A,AE$2)&lt;&gt;0,SUMIFS(Sheet1!$E:$E,Sheet1!$C:$C,$A201,Sheet1!$A:$A,AE$2),"")</f>
        <v/>
      </c>
      <c r="AF201" s="9" t="str">
        <f>IF(SUMIFS(Sheet1!$E:$E,Sheet1!$C:$C,$A201,Sheet1!$A:$A,AF$2)&lt;&gt;0,SUMIFS(Sheet1!$E:$E,Sheet1!$C:$C,$A201,Sheet1!$A:$A,AF$2),"")</f>
        <v/>
      </c>
      <c r="AG201" s="9" t="str">
        <f>IF(SUMIFS(Sheet1!$E:$E,Sheet1!$C:$C,$A201,Sheet1!$A:$A,AG$2)&lt;&gt;0,SUMIFS(Sheet1!$E:$E,Sheet1!$C:$C,$A201,Sheet1!$A:$A,AG$2),"")</f>
        <v/>
      </c>
      <c r="AH201" s="47">
        <f>SUM(Table24[[#This Row],[1]:[31]])</f>
        <v>22</v>
      </c>
    </row>
    <row r="202" spans="1:34" ht="12.75" customHeight="1">
      <c r="A202" s="24" t="str">
        <f>DSSP!A201</f>
        <v>GC126</v>
      </c>
      <c r="B202" s="25" t="str">
        <f>DSSP!B201</f>
        <v>Móc có hoa văn</v>
      </c>
      <c r="C202" s="9" t="str">
        <f>IF(SUMIFS(Sheet1!$E:$E,Sheet1!$C:$C,$A202,Sheet1!$A:$A,C$2)&lt;&gt;0,SUMIFS(Sheet1!$E:$E,Sheet1!$C:$C,$A202,Sheet1!$A:$A,C$2),"")</f>
        <v/>
      </c>
      <c r="D202" s="9" t="str">
        <f>IF(SUMIFS(Sheet1!$E:$E,Sheet1!$C:$C,$A202,Sheet1!$A:$A,D$2)&lt;&gt;0,SUMIFS(Sheet1!$E:$E,Sheet1!$C:$C,$A202,Sheet1!$A:$A,D$2),"")</f>
        <v/>
      </c>
      <c r="E202" s="9" t="str">
        <f>IF(SUMIFS(Sheet1!$E:$E,Sheet1!$C:$C,$A202,Sheet1!$A:$A,E$2)&lt;&gt;0,SUMIFS(Sheet1!$E:$E,Sheet1!$C:$C,$A202,Sheet1!$A:$A,E$2),"")</f>
        <v/>
      </c>
      <c r="F202" s="9" t="str">
        <f>IF(SUMIFS(Sheet1!$E:$E,Sheet1!$C:$C,$A202,Sheet1!$A:$A,F$2)&lt;&gt;0,SUMIFS(Sheet1!$E:$E,Sheet1!$C:$C,$A202,Sheet1!$A:$A,F$2),"")</f>
        <v/>
      </c>
      <c r="G202" s="9" t="str">
        <f>IF(SUMIFS(Sheet1!$E:$E,Sheet1!$C:$C,$A202,Sheet1!$A:$A,G$2)&lt;&gt;0,SUMIFS(Sheet1!$E:$E,Sheet1!$C:$C,$A202,Sheet1!$A:$A,G$2),"")</f>
        <v/>
      </c>
      <c r="H202" s="9" t="str">
        <f>IF(SUMIFS(Sheet1!$E:$E,Sheet1!$C:$C,$A202,Sheet1!$A:$A,H$2)&lt;&gt;0,SUMIFS(Sheet1!$E:$E,Sheet1!$C:$C,$A202,Sheet1!$A:$A,H$2),"")</f>
        <v/>
      </c>
      <c r="I202" s="9" t="str">
        <f>IF(SUMIFS(Sheet1!$E:$E,Sheet1!$C:$C,$A202,Sheet1!$A:$A,I$2)&lt;&gt;0,SUMIFS(Sheet1!$E:$E,Sheet1!$C:$C,$A202,Sheet1!$A:$A,I$2),"")</f>
        <v/>
      </c>
      <c r="J202" s="9" t="str">
        <f>IF(SUMIFS(Sheet1!$E:$E,Sheet1!$C:$C,$A202,Sheet1!$A:$A,J$2)&lt;&gt;0,SUMIFS(Sheet1!$E:$E,Sheet1!$C:$C,$A202,Sheet1!$A:$A,J$2),"")</f>
        <v/>
      </c>
      <c r="K202" s="9" t="str">
        <f>IF(SUMIFS(Sheet1!$E:$E,Sheet1!$C:$C,$A202,Sheet1!$A:$A,K$2)&lt;&gt;0,SUMIFS(Sheet1!$E:$E,Sheet1!$C:$C,$A202,Sheet1!$A:$A,K$2),"")</f>
        <v/>
      </c>
      <c r="L202" s="9" t="str">
        <f>IF(SUMIFS(Sheet1!$E:$E,Sheet1!$C:$C,$A202,Sheet1!$A:$A,L$2)&lt;&gt;0,SUMIFS(Sheet1!$E:$E,Sheet1!$C:$C,$A202,Sheet1!$A:$A,L$2),"")</f>
        <v/>
      </c>
      <c r="M202" s="9" t="str">
        <f>IF(SUMIFS(Sheet1!$E:$E,Sheet1!$C:$C,$A202,Sheet1!$A:$A,M$2)&lt;&gt;0,SUMIFS(Sheet1!$E:$E,Sheet1!$C:$C,$A202,Sheet1!$A:$A,M$2),"")</f>
        <v/>
      </c>
      <c r="N202" s="9" t="str">
        <f>IF(SUMIFS(Sheet1!$E:$E,Sheet1!$C:$C,$A202,Sheet1!$A:$A,N$2)&lt;&gt;0,SUMIFS(Sheet1!$E:$E,Sheet1!$C:$C,$A202,Sheet1!$A:$A,N$2),"")</f>
        <v/>
      </c>
      <c r="O202" s="9" t="str">
        <f>IF(SUMIFS(Sheet1!$E:$E,Sheet1!$C:$C,$A202,Sheet1!$A:$A,O$2)&lt;&gt;0,SUMIFS(Sheet1!$E:$E,Sheet1!$C:$C,$A202,Sheet1!$A:$A,O$2),"")</f>
        <v/>
      </c>
      <c r="P202" s="9" t="str">
        <f>IF(SUMIFS(Sheet1!$E:$E,Sheet1!$C:$C,$A202,Sheet1!$A:$A,P$2)&lt;&gt;0,SUMIFS(Sheet1!$E:$E,Sheet1!$C:$C,$A202,Sheet1!$A:$A,P$2),"")</f>
        <v/>
      </c>
      <c r="Q202" s="9" t="str">
        <f>IF(SUMIFS(Sheet1!$E:$E,Sheet1!$C:$C,$A202,Sheet1!$A:$A,Q$2)&lt;&gt;0,SUMIFS(Sheet1!$E:$E,Sheet1!$C:$C,$A202,Sheet1!$A:$A,Q$2),"")</f>
        <v/>
      </c>
      <c r="R202" s="9" t="str">
        <f>IF(SUMIFS(Sheet1!$E:$E,Sheet1!$C:$C,$A202,Sheet1!$A:$A,R$2)&lt;&gt;0,SUMIFS(Sheet1!$E:$E,Sheet1!$C:$C,$A202,Sheet1!$A:$A,R$2),"")</f>
        <v/>
      </c>
      <c r="S202" s="9" t="str">
        <f>IF(SUMIFS(Sheet1!$E:$E,Sheet1!$C:$C,$A202,Sheet1!$A:$A,S$2)&lt;&gt;0,SUMIFS(Sheet1!$E:$E,Sheet1!$C:$C,$A202,Sheet1!$A:$A,S$2),"")</f>
        <v/>
      </c>
      <c r="T202" s="9" t="str">
        <f>IF(SUMIFS(Sheet1!$E:$E,Sheet1!$C:$C,$A202,Sheet1!$A:$A,T$2)&lt;&gt;0,SUMIFS(Sheet1!$E:$E,Sheet1!$C:$C,$A202,Sheet1!$A:$A,T$2),"")</f>
        <v/>
      </c>
      <c r="U202" s="9" t="str">
        <f>IF(SUMIFS(Sheet1!$E:$E,Sheet1!$C:$C,$A202,Sheet1!$A:$A,U$2)&lt;&gt;0,SUMIFS(Sheet1!$E:$E,Sheet1!$C:$C,$A202,Sheet1!$A:$A,U$2),"")</f>
        <v/>
      </c>
      <c r="V202" s="9" t="str">
        <f>IF(SUMIFS(Sheet1!$E:$E,Sheet1!$C:$C,$A202,Sheet1!$A:$A,V$2)&lt;&gt;0,SUMIFS(Sheet1!$E:$E,Sheet1!$C:$C,$A202,Sheet1!$A:$A,V$2),"")</f>
        <v/>
      </c>
      <c r="W202" s="9" t="str">
        <f>IF(SUMIFS(Sheet1!$E:$E,Sheet1!$C:$C,$A202,Sheet1!$A:$A,W$2)&lt;&gt;0,SUMIFS(Sheet1!$E:$E,Sheet1!$C:$C,$A202,Sheet1!$A:$A,W$2),"")</f>
        <v/>
      </c>
      <c r="X202" s="9" t="str">
        <f>IF(SUMIFS(Sheet1!$E:$E,Sheet1!$C:$C,$A202,Sheet1!$A:$A,X$2)&lt;&gt;0,SUMIFS(Sheet1!$E:$E,Sheet1!$C:$C,$A202,Sheet1!$A:$A,X$2),"")</f>
        <v/>
      </c>
      <c r="Y202" s="9" t="str">
        <f>IF(SUMIFS(Sheet1!$E:$E,Sheet1!$C:$C,$A202,Sheet1!$A:$A,Y$2)&lt;&gt;0,SUMIFS(Sheet1!$E:$E,Sheet1!$C:$C,$A202,Sheet1!$A:$A,Y$2),"")</f>
        <v/>
      </c>
      <c r="Z202" s="9" t="str">
        <f>IF(SUMIFS(Sheet1!$E:$E,Sheet1!$C:$C,$A202,Sheet1!$A:$A,Z$2)&lt;&gt;0,SUMIFS(Sheet1!$E:$E,Sheet1!$C:$C,$A202,Sheet1!$A:$A,Z$2),"")</f>
        <v/>
      </c>
      <c r="AA202" s="9" t="str">
        <f>IF(SUMIFS(Sheet1!$E:$E,Sheet1!$C:$C,$A202,Sheet1!$A:$A,AA$2)&lt;&gt;0,SUMIFS(Sheet1!$E:$E,Sheet1!$C:$C,$A202,Sheet1!$A:$A,AA$2),"")</f>
        <v/>
      </c>
      <c r="AB202" s="9" t="str">
        <f>IF(SUMIFS(Sheet1!$E:$E,Sheet1!$C:$C,$A202,Sheet1!$A:$A,AB$2)&lt;&gt;0,SUMIFS(Sheet1!$E:$E,Sheet1!$C:$C,$A202,Sheet1!$A:$A,AB$2),"")</f>
        <v/>
      </c>
      <c r="AC202" s="9" t="str">
        <f>IF(SUMIFS(Sheet1!$E:$E,Sheet1!$C:$C,$A202,Sheet1!$A:$A,AC$2)&lt;&gt;0,SUMIFS(Sheet1!$E:$E,Sheet1!$C:$C,$A202,Sheet1!$A:$A,AC$2),"")</f>
        <v/>
      </c>
      <c r="AD202" s="9" t="str">
        <f>IF(SUMIFS(Sheet1!$E:$E,Sheet1!$C:$C,$A202,Sheet1!$A:$A,AD$2)&lt;&gt;0,SUMIFS(Sheet1!$E:$E,Sheet1!$C:$C,$A202,Sheet1!$A:$A,AD$2),"")</f>
        <v/>
      </c>
      <c r="AE202" s="9" t="str">
        <f>IF(SUMIFS(Sheet1!$E:$E,Sheet1!$C:$C,$A202,Sheet1!$A:$A,AE$2)&lt;&gt;0,SUMIFS(Sheet1!$E:$E,Sheet1!$C:$C,$A202,Sheet1!$A:$A,AE$2),"")</f>
        <v/>
      </c>
      <c r="AF202" s="9" t="str">
        <f>IF(SUMIFS(Sheet1!$E:$E,Sheet1!$C:$C,$A202,Sheet1!$A:$A,AF$2)&lt;&gt;0,SUMIFS(Sheet1!$E:$E,Sheet1!$C:$C,$A202,Sheet1!$A:$A,AF$2),"")</f>
        <v/>
      </c>
      <c r="AG202" s="9" t="str">
        <f>IF(SUMIFS(Sheet1!$E:$E,Sheet1!$C:$C,$A202,Sheet1!$A:$A,AG$2)&lt;&gt;0,SUMIFS(Sheet1!$E:$E,Sheet1!$C:$C,$A202,Sheet1!$A:$A,AG$2),"")</f>
        <v/>
      </c>
      <c r="AH202" s="47">
        <f>SUM(Table24[[#This Row],[1]:[31]])</f>
        <v>0</v>
      </c>
    </row>
    <row r="203" spans="1:34" ht="12.75" customHeight="1">
      <c r="A203" s="24" t="str">
        <f>DSSP!A202</f>
        <v>GC127</v>
      </c>
      <c r="B203" s="25" t="str">
        <f>DSSP!B202</f>
        <v>Ghế tiểu thư mini</v>
      </c>
      <c r="C203" s="9">
        <f>IF(SUMIFS(Sheet1!$E:$E,Sheet1!$C:$C,$A203,Sheet1!$A:$A,C$2)&lt;&gt;0,SUMIFS(Sheet1!$E:$E,Sheet1!$C:$C,$A203,Sheet1!$A:$A,C$2),"")</f>
        <v>28</v>
      </c>
      <c r="D203" s="9" t="str">
        <f>IF(SUMIFS(Sheet1!$E:$E,Sheet1!$C:$C,$A203,Sheet1!$A:$A,D$2)&lt;&gt;0,SUMIFS(Sheet1!$E:$E,Sheet1!$C:$C,$A203,Sheet1!$A:$A,D$2),"")</f>
        <v/>
      </c>
      <c r="E203" s="9" t="str">
        <f>IF(SUMIFS(Sheet1!$E:$E,Sheet1!$C:$C,$A203,Sheet1!$A:$A,E$2)&lt;&gt;0,SUMIFS(Sheet1!$E:$E,Sheet1!$C:$C,$A203,Sheet1!$A:$A,E$2),"")</f>
        <v/>
      </c>
      <c r="F203" s="9" t="str">
        <f>IF(SUMIFS(Sheet1!$E:$E,Sheet1!$C:$C,$A203,Sheet1!$A:$A,F$2)&lt;&gt;0,SUMIFS(Sheet1!$E:$E,Sheet1!$C:$C,$A203,Sheet1!$A:$A,F$2),"")</f>
        <v/>
      </c>
      <c r="G203" s="9" t="str">
        <f>IF(SUMIFS(Sheet1!$E:$E,Sheet1!$C:$C,$A203,Sheet1!$A:$A,G$2)&lt;&gt;0,SUMIFS(Sheet1!$E:$E,Sheet1!$C:$C,$A203,Sheet1!$A:$A,G$2),"")</f>
        <v/>
      </c>
      <c r="H203" s="9" t="str">
        <f>IF(SUMIFS(Sheet1!$E:$E,Sheet1!$C:$C,$A203,Sheet1!$A:$A,H$2)&lt;&gt;0,SUMIFS(Sheet1!$E:$E,Sheet1!$C:$C,$A203,Sheet1!$A:$A,H$2),"")</f>
        <v/>
      </c>
      <c r="I203" s="9" t="str">
        <f>IF(SUMIFS(Sheet1!$E:$E,Sheet1!$C:$C,$A203,Sheet1!$A:$A,I$2)&lt;&gt;0,SUMIFS(Sheet1!$E:$E,Sheet1!$C:$C,$A203,Sheet1!$A:$A,I$2),"")</f>
        <v/>
      </c>
      <c r="J203" s="9" t="str">
        <f>IF(SUMIFS(Sheet1!$E:$E,Sheet1!$C:$C,$A203,Sheet1!$A:$A,J$2)&lt;&gt;0,SUMIFS(Sheet1!$E:$E,Sheet1!$C:$C,$A203,Sheet1!$A:$A,J$2),"")</f>
        <v/>
      </c>
      <c r="K203" s="9" t="str">
        <f>IF(SUMIFS(Sheet1!$E:$E,Sheet1!$C:$C,$A203,Sheet1!$A:$A,K$2)&lt;&gt;0,SUMIFS(Sheet1!$E:$E,Sheet1!$C:$C,$A203,Sheet1!$A:$A,K$2),"")</f>
        <v/>
      </c>
      <c r="L203" s="9" t="str">
        <f>IF(SUMIFS(Sheet1!$E:$E,Sheet1!$C:$C,$A203,Sheet1!$A:$A,L$2)&lt;&gt;0,SUMIFS(Sheet1!$E:$E,Sheet1!$C:$C,$A203,Sheet1!$A:$A,L$2),"")</f>
        <v/>
      </c>
      <c r="M203" s="9" t="str">
        <f>IF(SUMIFS(Sheet1!$E:$E,Sheet1!$C:$C,$A203,Sheet1!$A:$A,M$2)&lt;&gt;0,SUMIFS(Sheet1!$E:$E,Sheet1!$C:$C,$A203,Sheet1!$A:$A,M$2),"")</f>
        <v/>
      </c>
      <c r="N203" s="9" t="str">
        <f>IF(SUMIFS(Sheet1!$E:$E,Sheet1!$C:$C,$A203,Sheet1!$A:$A,N$2)&lt;&gt;0,SUMIFS(Sheet1!$E:$E,Sheet1!$C:$C,$A203,Sheet1!$A:$A,N$2),"")</f>
        <v/>
      </c>
      <c r="O203" s="9" t="str">
        <f>IF(SUMIFS(Sheet1!$E:$E,Sheet1!$C:$C,$A203,Sheet1!$A:$A,O$2)&lt;&gt;0,SUMIFS(Sheet1!$E:$E,Sheet1!$C:$C,$A203,Sheet1!$A:$A,O$2),"")</f>
        <v/>
      </c>
      <c r="P203" s="9" t="str">
        <f>IF(SUMIFS(Sheet1!$E:$E,Sheet1!$C:$C,$A203,Sheet1!$A:$A,P$2)&lt;&gt;0,SUMIFS(Sheet1!$E:$E,Sheet1!$C:$C,$A203,Sheet1!$A:$A,P$2),"")</f>
        <v/>
      </c>
      <c r="Q203" s="9" t="str">
        <f>IF(SUMIFS(Sheet1!$E:$E,Sheet1!$C:$C,$A203,Sheet1!$A:$A,Q$2)&lt;&gt;0,SUMIFS(Sheet1!$E:$E,Sheet1!$C:$C,$A203,Sheet1!$A:$A,Q$2),"")</f>
        <v/>
      </c>
      <c r="R203" s="9" t="str">
        <f>IF(SUMIFS(Sheet1!$E:$E,Sheet1!$C:$C,$A203,Sheet1!$A:$A,R$2)&lt;&gt;0,SUMIFS(Sheet1!$E:$E,Sheet1!$C:$C,$A203,Sheet1!$A:$A,R$2),"")</f>
        <v/>
      </c>
      <c r="S203" s="9" t="str">
        <f>IF(SUMIFS(Sheet1!$E:$E,Sheet1!$C:$C,$A203,Sheet1!$A:$A,S$2)&lt;&gt;0,SUMIFS(Sheet1!$E:$E,Sheet1!$C:$C,$A203,Sheet1!$A:$A,S$2),"")</f>
        <v/>
      </c>
      <c r="T203" s="9" t="str">
        <f>IF(SUMIFS(Sheet1!$E:$E,Sheet1!$C:$C,$A203,Sheet1!$A:$A,T$2)&lt;&gt;0,SUMIFS(Sheet1!$E:$E,Sheet1!$C:$C,$A203,Sheet1!$A:$A,T$2),"")</f>
        <v/>
      </c>
      <c r="U203" s="9" t="str">
        <f>IF(SUMIFS(Sheet1!$E:$E,Sheet1!$C:$C,$A203,Sheet1!$A:$A,U$2)&lt;&gt;0,SUMIFS(Sheet1!$E:$E,Sheet1!$C:$C,$A203,Sheet1!$A:$A,U$2),"")</f>
        <v/>
      </c>
      <c r="V203" s="9" t="str">
        <f>IF(SUMIFS(Sheet1!$E:$E,Sheet1!$C:$C,$A203,Sheet1!$A:$A,V$2)&lt;&gt;0,SUMIFS(Sheet1!$E:$E,Sheet1!$C:$C,$A203,Sheet1!$A:$A,V$2),"")</f>
        <v/>
      </c>
      <c r="W203" s="9" t="str">
        <f>IF(SUMIFS(Sheet1!$E:$E,Sheet1!$C:$C,$A203,Sheet1!$A:$A,W$2)&lt;&gt;0,SUMIFS(Sheet1!$E:$E,Sheet1!$C:$C,$A203,Sheet1!$A:$A,W$2),"")</f>
        <v/>
      </c>
      <c r="X203" s="9" t="str">
        <f>IF(SUMIFS(Sheet1!$E:$E,Sheet1!$C:$C,$A203,Sheet1!$A:$A,X$2)&lt;&gt;0,SUMIFS(Sheet1!$E:$E,Sheet1!$C:$C,$A203,Sheet1!$A:$A,X$2),"")</f>
        <v/>
      </c>
      <c r="Y203" s="9" t="str">
        <f>IF(SUMIFS(Sheet1!$E:$E,Sheet1!$C:$C,$A203,Sheet1!$A:$A,Y$2)&lt;&gt;0,SUMIFS(Sheet1!$E:$E,Sheet1!$C:$C,$A203,Sheet1!$A:$A,Y$2),"")</f>
        <v/>
      </c>
      <c r="Z203" s="9" t="str">
        <f>IF(SUMIFS(Sheet1!$E:$E,Sheet1!$C:$C,$A203,Sheet1!$A:$A,Z$2)&lt;&gt;0,SUMIFS(Sheet1!$E:$E,Sheet1!$C:$C,$A203,Sheet1!$A:$A,Z$2),"")</f>
        <v/>
      </c>
      <c r="AA203" s="9" t="str">
        <f>IF(SUMIFS(Sheet1!$E:$E,Sheet1!$C:$C,$A203,Sheet1!$A:$A,AA$2)&lt;&gt;0,SUMIFS(Sheet1!$E:$E,Sheet1!$C:$C,$A203,Sheet1!$A:$A,AA$2),"")</f>
        <v/>
      </c>
      <c r="AB203" s="9" t="str">
        <f>IF(SUMIFS(Sheet1!$E:$E,Sheet1!$C:$C,$A203,Sheet1!$A:$A,AB$2)&lt;&gt;0,SUMIFS(Sheet1!$E:$E,Sheet1!$C:$C,$A203,Sheet1!$A:$A,AB$2),"")</f>
        <v/>
      </c>
      <c r="AC203" s="9" t="str">
        <f>IF(SUMIFS(Sheet1!$E:$E,Sheet1!$C:$C,$A203,Sheet1!$A:$A,AC$2)&lt;&gt;0,SUMIFS(Sheet1!$E:$E,Sheet1!$C:$C,$A203,Sheet1!$A:$A,AC$2),"")</f>
        <v/>
      </c>
      <c r="AD203" s="9" t="str">
        <f>IF(SUMIFS(Sheet1!$E:$E,Sheet1!$C:$C,$A203,Sheet1!$A:$A,AD$2)&lt;&gt;0,SUMIFS(Sheet1!$E:$E,Sheet1!$C:$C,$A203,Sheet1!$A:$A,AD$2),"")</f>
        <v/>
      </c>
      <c r="AE203" s="9" t="str">
        <f>IF(SUMIFS(Sheet1!$E:$E,Sheet1!$C:$C,$A203,Sheet1!$A:$A,AE$2)&lt;&gt;0,SUMIFS(Sheet1!$E:$E,Sheet1!$C:$C,$A203,Sheet1!$A:$A,AE$2),"")</f>
        <v/>
      </c>
      <c r="AF203" s="9" t="str">
        <f>IF(SUMIFS(Sheet1!$E:$E,Sheet1!$C:$C,$A203,Sheet1!$A:$A,AF$2)&lt;&gt;0,SUMIFS(Sheet1!$E:$E,Sheet1!$C:$C,$A203,Sheet1!$A:$A,AF$2),"")</f>
        <v/>
      </c>
      <c r="AG203" s="9" t="str">
        <f>IF(SUMIFS(Sheet1!$E:$E,Sheet1!$C:$C,$A203,Sheet1!$A:$A,AG$2)&lt;&gt;0,SUMIFS(Sheet1!$E:$E,Sheet1!$C:$C,$A203,Sheet1!$A:$A,AG$2),"")</f>
        <v/>
      </c>
      <c r="AH203" s="47">
        <f>SUM(Table24[[#This Row],[1]:[31]])</f>
        <v>28</v>
      </c>
    </row>
    <row r="204" spans="1:34" ht="12.75" customHeight="1">
      <c r="A204" s="24" t="str">
        <f>DSSP!A203</f>
        <v>GC128</v>
      </c>
      <c r="B204" s="25" t="str">
        <f>DSSP!B203</f>
        <v>Love heart</v>
      </c>
      <c r="C204" s="9" t="str">
        <f>IF(SUMIFS(Sheet1!$E:$E,Sheet1!$C:$C,$A204,Sheet1!$A:$A,C$2)&lt;&gt;0,SUMIFS(Sheet1!$E:$E,Sheet1!$C:$C,$A204,Sheet1!$A:$A,C$2),"")</f>
        <v/>
      </c>
      <c r="D204" s="9" t="str">
        <f>IF(SUMIFS(Sheet1!$E:$E,Sheet1!$C:$C,$A204,Sheet1!$A:$A,D$2)&lt;&gt;0,SUMIFS(Sheet1!$E:$E,Sheet1!$C:$C,$A204,Sheet1!$A:$A,D$2),"")</f>
        <v/>
      </c>
      <c r="E204" s="9" t="str">
        <f>IF(SUMIFS(Sheet1!$E:$E,Sheet1!$C:$C,$A204,Sheet1!$A:$A,E$2)&lt;&gt;0,SUMIFS(Sheet1!$E:$E,Sheet1!$C:$C,$A204,Sheet1!$A:$A,E$2),"")</f>
        <v/>
      </c>
      <c r="F204" s="9" t="str">
        <f>IF(SUMIFS(Sheet1!$E:$E,Sheet1!$C:$C,$A204,Sheet1!$A:$A,F$2)&lt;&gt;0,SUMIFS(Sheet1!$E:$E,Sheet1!$C:$C,$A204,Sheet1!$A:$A,F$2),"")</f>
        <v/>
      </c>
      <c r="G204" s="9" t="str">
        <f>IF(SUMIFS(Sheet1!$E:$E,Sheet1!$C:$C,$A204,Sheet1!$A:$A,G$2)&lt;&gt;0,SUMIFS(Sheet1!$E:$E,Sheet1!$C:$C,$A204,Sheet1!$A:$A,G$2),"")</f>
        <v/>
      </c>
      <c r="H204" s="9" t="str">
        <f>IF(SUMIFS(Sheet1!$E:$E,Sheet1!$C:$C,$A204,Sheet1!$A:$A,H$2)&lt;&gt;0,SUMIFS(Sheet1!$E:$E,Sheet1!$C:$C,$A204,Sheet1!$A:$A,H$2),"")</f>
        <v/>
      </c>
      <c r="I204" s="9" t="str">
        <f>IF(SUMIFS(Sheet1!$E:$E,Sheet1!$C:$C,$A204,Sheet1!$A:$A,I$2)&lt;&gt;0,SUMIFS(Sheet1!$E:$E,Sheet1!$C:$C,$A204,Sheet1!$A:$A,I$2),"")</f>
        <v/>
      </c>
      <c r="J204" s="9" t="str">
        <f>IF(SUMIFS(Sheet1!$E:$E,Sheet1!$C:$C,$A204,Sheet1!$A:$A,J$2)&lt;&gt;0,SUMIFS(Sheet1!$E:$E,Sheet1!$C:$C,$A204,Sheet1!$A:$A,J$2),"")</f>
        <v/>
      </c>
      <c r="K204" s="9" t="str">
        <f>IF(SUMIFS(Sheet1!$E:$E,Sheet1!$C:$C,$A204,Sheet1!$A:$A,K$2)&lt;&gt;0,SUMIFS(Sheet1!$E:$E,Sheet1!$C:$C,$A204,Sheet1!$A:$A,K$2),"")</f>
        <v/>
      </c>
      <c r="L204" s="9" t="str">
        <f>IF(SUMIFS(Sheet1!$E:$E,Sheet1!$C:$C,$A204,Sheet1!$A:$A,L$2)&lt;&gt;0,SUMIFS(Sheet1!$E:$E,Sheet1!$C:$C,$A204,Sheet1!$A:$A,L$2),"")</f>
        <v/>
      </c>
      <c r="M204" s="9" t="str">
        <f>IF(SUMIFS(Sheet1!$E:$E,Sheet1!$C:$C,$A204,Sheet1!$A:$A,M$2)&lt;&gt;0,SUMIFS(Sheet1!$E:$E,Sheet1!$C:$C,$A204,Sheet1!$A:$A,M$2),"")</f>
        <v/>
      </c>
      <c r="N204" s="9" t="str">
        <f>IF(SUMIFS(Sheet1!$E:$E,Sheet1!$C:$C,$A204,Sheet1!$A:$A,N$2)&lt;&gt;0,SUMIFS(Sheet1!$E:$E,Sheet1!$C:$C,$A204,Sheet1!$A:$A,N$2),"")</f>
        <v/>
      </c>
      <c r="O204" s="9" t="str">
        <f>IF(SUMIFS(Sheet1!$E:$E,Sheet1!$C:$C,$A204,Sheet1!$A:$A,O$2)&lt;&gt;0,SUMIFS(Sheet1!$E:$E,Sheet1!$C:$C,$A204,Sheet1!$A:$A,O$2),"")</f>
        <v/>
      </c>
      <c r="P204" s="9" t="str">
        <f>IF(SUMIFS(Sheet1!$E:$E,Sheet1!$C:$C,$A204,Sheet1!$A:$A,P$2)&lt;&gt;0,SUMIFS(Sheet1!$E:$E,Sheet1!$C:$C,$A204,Sheet1!$A:$A,P$2),"")</f>
        <v/>
      </c>
      <c r="Q204" s="9" t="str">
        <f>IF(SUMIFS(Sheet1!$E:$E,Sheet1!$C:$C,$A204,Sheet1!$A:$A,Q$2)&lt;&gt;0,SUMIFS(Sheet1!$E:$E,Sheet1!$C:$C,$A204,Sheet1!$A:$A,Q$2),"")</f>
        <v/>
      </c>
      <c r="R204" s="9" t="str">
        <f>IF(SUMIFS(Sheet1!$E:$E,Sheet1!$C:$C,$A204,Sheet1!$A:$A,R$2)&lt;&gt;0,SUMIFS(Sheet1!$E:$E,Sheet1!$C:$C,$A204,Sheet1!$A:$A,R$2),"")</f>
        <v/>
      </c>
      <c r="S204" s="9" t="str">
        <f>IF(SUMIFS(Sheet1!$E:$E,Sheet1!$C:$C,$A204,Sheet1!$A:$A,S$2)&lt;&gt;0,SUMIFS(Sheet1!$E:$E,Sheet1!$C:$C,$A204,Sheet1!$A:$A,S$2),"")</f>
        <v/>
      </c>
      <c r="T204" s="9" t="str">
        <f>IF(SUMIFS(Sheet1!$E:$E,Sheet1!$C:$C,$A204,Sheet1!$A:$A,T$2)&lt;&gt;0,SUMIFS(Sheet1!$E:$E,Sheet1!$C:$C,$A204,Sheet1!$A:$A,T$2),"")</f>
        <v/>
      </c>
      <c r="U204" s="9" t="str">
        <f>IF(SUMIFS(Sheet1!$E:$E,Sheet1!$C:$C,$A204,Sheet1!$A:$A,U$2)&lt;&gt;0,SUMIFS(Sheet1!$E:$E,Sheet1!$C:$C,$A204,Sheet1!$A:$A,U$2),"")</f>
        <v/>
      </c>
      <c r="V204" s="9" t="str">
        <f>IF(SUMIFS(Sheet1!$E:$E,Sheet1!$C:$C,$A204,Sheet1!$A:$A,V$2)&lt;&gt;0,SUMIFS(Sheet1!$E:$E,Sheet1!$C:$C,$A204,Sheet1!$A:$A,V$2),"")</f>
        <v/>
      </c>
      <c r="W204" s="9" t="str">
        <f>IF(SUMIFS(Sheet1!$E:$E,Sheet1!$C:$C,$A204,Sheet1!$A:$A,W$2)&lt;&gt;0,SUMIFS(Sheet1!$E:$E,Sheet1!$C:$C,$A204,Sheet1!$A:$A,W$2),"")</f>
        <v/>
      </c>
      <c r="X204" s="9" t="str">
        <f>IF(SUMIFS(Sheet1!$E:$E,Sheet1!$C:$C,$A204,Sheet1!$A:$A,X$2)&lt;&gt;0,SUMIFS(Sheet1!$E:$E,Sheet1!$C:$C,$A204,Sheet1!$A:$A,X$2),"")</f>
        <v/>
      </c>
      <c r="Y204" s="9" t="str">
        <f>IF(SUMIFS(Sheet1!$E:$E,Sheet1!$C:$C,$A204,Sheet1!$A:$A,Y$2)&lt;&gt;0,SUMIFS(Sheet1!$E:$E,Sheet1!$C:$C,$A204,Sheet1!$A:$A,Y$2),"")</f>
        <v/>
      </c>
      <c r="Z204" s="9" t="str">
        <f>IF(SUMIFS(Sheet1!$E:$E,Sheet1!$C:$C,$A204,Sheet1!$A:$A,Z$2)&lt;&gt;0,SUMIFS(Sheet1!$E:$E,Sheet1!$C:$C,$A204,Sheet1!$A:$A,Z$2),"")</f>
        <v/>
      </c>
      <c r="AA204" s="9" t="str">
        <f>IF(SUMIFS(Sheet1!$E:$E,Sheet1!$C:$C,$A204,Sheet1!$A:$A,AA$2)&lt;&gt;0,SUMIFS(Sheet1!$E:$E,Sheet1!$C:$C,$A204,Sheet1!$A:$A,AA$2),"")</f>
        <v/>
      </c>
      <c r="AB204" s="9" t="str">
        <f>IF(SUMIFS(Sheet1!$E:$E,Sheet1!$C:$C,$A204,Sheet1!$A:$A,AB$2)&lt;&gt;0,SUMIFS(Sheet1!$E:$E,Sheet1!$C:$C,$A204,Sheet1!$A:$A,AB$2),"")</f>
        <v/>
      </c>
      <c r="AC204" s="9" t="str">
        <f>IF(SUMIFS(Sheet1!$E:$E,Sheet1!$C:$C,$A204,Sheet1!$A:$A,AC$2)&lt;&gt;0,SUMIFS(Sheet1!$E:$E,Sheet1!$C:$C,$A204,Sheet1!$A:$A,AC$2),"")</f>
        <v/>
      </c>
      <c r="AD204" s="9" t="str">
        <f>IF(SUMIFS(Sheet1!$E:$E,Sheet1!$C:$C,$A204,Sheet1!$A:$A,AD$2)&lt;&gt;0,SUMIFS(Sheet1!$E:$E,Sheet1!$C:$C,$A204,Sheet1!$A:$A,AD$2),"")</f>
        <v/>
      </c>
      <c r="AE204" s="9" t="str">
        <f>IF(SUMIFS(Sheet1!$E:$E,Sheet1!$C:$C,$A204,Sheet1!$A:$A,AE$2)&lt;&gt;0,SUMIFS(Sheet1!$E:$E,Sheet1!$C:$C,$A204,Sheet1!$A:$A,AE$2),"")</f>
        <v/>
      </c>
      <c r="AF204" s="9" t="str">
        <f>IF(SUMIFS(Sheet1!$E:$E,Sheet1!$C:$C,$A204,Sheet1!$A:$A,AF$2)&lt;&gt;0,SUMIFS(Sheet1!$E:$E,Sheet1!$C:$C,$A204,Sheet1!$A:$A,AF$2),"")</f>
        <v/>
      </c>
      <c r="AG204" s="9" t="str">
        <f>IF(SUMIFS(Sheet1!$E:$E,Sheet1!$C:$C,$A204,Sheet1!$A:$A,AG$2)&lt;&gt;0,SUMIFS(Sheet1!$E:$E,Sheet1!$C:$C,$A204,Sheet1!$A:$A,AG$2),"")</f>
        <v/>
      </c>
      <c r="AH204" s="47">
        <f>SUM(Table24[[#This Row],[1]:[31]])</f>
        <v>0</v>
      </c>
    </row>
    <row r="205" spans="1:34" ht="12.75" customHeight="1">
      <c r="A205" s="24" t="str">
        <f>DSSP!A204</f>
        <v>GC129</v>
      </c>
      <c r="B205" s="25" t="str">
        <f>DSSP!B204</f>
        <v>Vespa mini</v>
      </c>
      <c r="C205" s="9">
        <f>IF(SUMIFS(Sheet1!$E:$E,Sheet1!$C:$C,$A205,Sheet1!$A:$A,C$2)&lt;&gt;0,SUMIFS(Sheet1!$E:$E,Sheet1!$C:$C,$A205,Sheet1!$A:$A,C$2),"")</f>
        <v>84</v>
      </c>
      <c r="D205" s="9" t="str">
        <f>IF(SUMIFS(Sheet1!$E:$E,Sheet1!$C:$C,$A205,Sheet1!$A:$A,D$2)&lt;&gt;0,SUMIFS(Sheet1!$E:$E,Sheet1!$C:$C,$A205,Sheet1!$A:$A,D$2),"")</f>
        <v/>
      </c>
      <c r="E205" s="9" t="str">
        <f>IF(SUMIFS(Sheet1!$E:$E,Sheet1!$C:$C,$A205,Sheet1!$A:$A,E$2)&lt;&gt;0,SUMIFS(Sheet1!$E:$E,Sheet1!$C:$C,$A205,Sheet1!$A:$A,E$2),"")</f>
        <v/>
      </c>
      <c r="F205" s="9" t="str">
        <f>IF(SUMIFS(Sheet1!$E:$E,Sheet1!$C:$C,$A205,Sheet1!$A:$A,F$2)&lt;&gt;0,SUMIFS(Sheet1!$E:$E,Sheet1!$C:$C,$A205,Sheet1!$A:$A,F$2),"")</f>
        <v/>
      </c>
      <c r="G205" s="9" t="str">
        <f>IF(SUMIFS(Sheet1!$E:$E,Sheet1!$C:$C,$A205,Sheet1!$A:$A,G$2)&lt;&gt;0,SUMIFS(Sheet1!$E:$E,Sheet1!$C:$C,$A205,Sheet1!$A:$A,G$2),"")</f>
        <v/>
      </c>
      <c r="H205" s="9" t="str">
        <f>IF(SUMIFS(Sheet1!$E:$E,Sheet1!$C:$C,$A205,Sheet1!$A:$A,H$2)&lt;&gt;0,SUMIFS(Sheet1!$E:$E,Sheet1!$C:$C,$A205,Sheet1!$A:$A,H$2),"")</f>
        <v/>
      </c>
      <c r="I205" s="9" t="str">
        <f>IF(SUMIFS(Sheet1!$E:$E,Sheet1!$C:$C,$A205,Sheet1!$A:$A,I$2)&lt;&gt;0,SUMIFS(Sheet1!$E:$E,Sheet1!$C:$C,$A205,Sheet1!$A:$A,I$2),"")</f>
        <v/>
      </c>
      <c r="J205" s="9" t="str">
        <f>IF(SUMIFS(Sheet1!$E:$E,Sheet1!$C:$C,$A205,Sheet1!$A:$A,J$2)&lt;&gt;0,SUMIFS(Sheet1!$E:$E,Sheet1!$C:$C,$A205,Sheet1!$A:$A,J$2),"")</f>
        <v/>
      </c>
      <c r="K205" s="9" t="str">
        <f>IF(SUMIFS(Sheet1!$E:$E,Sheet1!$C:$C,$A205,Sheet1!$A:$A,K$2)&lt;&gt;0,SUMIFS(Sheet1!$E:$E,Sheet1!$C:$C,$A205,Sheet1!$A:$A,K$2),"")</f>
        <v/>
      </c>
      <c r="L205" s="9" t="str">
        <f>IF(SUMIFS(Sheet1!$E:$E,Sheet1!$C:$C,$A205,Sheet1!$A:$A,L$2)&lt;&gt;0,SUMIFS(Sheet1!$E:$E,Sheet1!$C:$C,$A205,Sheet1!$A:$A,L$2),"")</f>
        <v/>
      </c>
      <c r="M205" s="9" t="str">
        <f>IF(SUMIFS(Sheet1!$E:$E,Sheet1!$C:$C,$A205,Sheet1!$A:$A,M$2)&lt;&gt;0,SUMIFS(Sheet1!$E:$E,Sheet1!$C:$C,$A205,Sheet1!$A:$A,M$2),"")</f>
        <v/>
      </c>
      <c r="N205" s="9" t="str">
        <f>IF(SUMIFS(Sheet1!$E:$E,Sheet1!$C:$C,$A205,Sheet1!$A:$A,N$2)&lt;&gt;0,SUMIFS(Sheet1!$E:$E,Sheet1!$C:$C,$A205,Sheet1!$A:$A,N$2),"")</f>
        <v/>
      </c>
      <c r="O205" s="9" t="str">
        <f>IF(SUMIFS(Sheet1!$E:$E,Sheet1!$C:$C,$A205,Sheet1!$A:$A,O$2)&lt;&gt;0,SUMIFS(Sheet1!$E:$E,Sheet1!$C:$C,$A205,Sheet1!$A:$A,O$2),"")</f>
        <v/>
      </c>
      <c r="P205" s="9" t="str">
        <f>IF(SUMIFS(Sheet1!$E:$E,Sheet1!$C:$C,$A205,Sheet1!$A:$A,P$2)&lt;&gt;0,SUMIFS(Sheet1!$E:$E,Sheet1!$C:$C,$A205,Sheet1!$A:$A,P$2),"")</f>
        <v/>
      </c>
      <c r="Q205" s="9" t="str">
        <f>IF(SUMIFS(Sheet1!$E:$E,Sheet1!$C:$C,$A205,Sheet1!$A:$A,Q$2)&lt;&gt;0,SUMIFS(Sheet1!$E:$E,Sheet1!$C:$C,$A205,Sheet1!$A:$A,Q$2),"")</f>
        <v/>
      </c>
      <c r="R205" s="9" t="str">
        <f>IF(SUMIFS(Sheet1!$E:$E,Sheet1!$C:$C,$A205,Sheet1!$A:$A,R$2)&lt;&gt;0,SUMIFS(Sheet1!$E:$E,Sheet1!$C:$C,$A205,Sheet1!$A:$A,R$2),"")</f>
        <v/>
      </c>
      <c r="S205" s="9" t="str">
        <f>IF(SUMIFS(Sheet1!$E:$E,Sheet1!$C:$C,$A205,Sheet1!$A:$A,S$2)&lt;&gt;0,SUMIFS(Sheet1!$E:$E,Sheet1!$C:$C,$A205,Sheet1!$A:$A,S$2),"")</f>
        <v/>
      </c>
      <c r="T205" s="9" t="str">
        <f>IF(SUMIFS(Sheet1!$E:$E,Sheet1!$C:$C,$A205,Sheet1!$A:$A,T$2)&lt;&gt;0,SUMIFS(Sheet1!$E:$E,Sheet1!$C:$C,$A205,Sheet1!$A:$A,T$2),"")</f>
        <v/>
      </c>
      <c r="U205" s="9" t="str">
        <f>IF(SUMIFS(Sheet1!$E:$E,Sheet1!$C:$C,$A205,Sheet1!$A:$A,U$2)&lt;&gt;0,SUMIFS(Sheet1!$E:$E,Sheet1!$C:$C,$A205,Sheet1!$A:$A,U$2),"")</f>
        <v/>
      </c>
      <c r="V205" s="9" t="str">
        <f>IF(SUMIFS(Sheet1!$E:$E,Sheet1!$C:$C,$A205,Sheet1!$A:$A,V$2)&lt;&gt;0,SUMIFS(Sheet1!$E:$E,Sheet1!$C:$C,$A205,Sheet1!$A:$A,V$2),"")</f>
        <v/>
      </c>
      <c r="W205" s="9" t="str">
        <f>IF(SUMIFS(Sheet1!$E:$E,Sheet1!$C:$C,$A205,Sheet1!$A:$A,W$2)&lt;&gt;0,SUMIFS(Sheet1!$E:$E,Sheet1!$C:$C,$A205,Sheet1!$A:$A,W$2),"")</f>
        <v/>
      </c>
      <c r="X205" s="9" t="str">
        <f>IF(SUMIFS(Sheet1!$E:$E,Sheet1!$C:$C,$A205,Sheet1!$A:$A,X$2)&lt;&gt;0,SUMIFS(Sheet1!$E:$E,Sheet1!$C:$C,$A205,Sheet1!$A:$A,X$2),"")</f>
        <v/>
      </c>
      <c r="Y205" s="9" t="str">
        <f>IF(SUMIFS(Sheet1!$E:$E,Sheet1!$C:$C,$A205,Sheet1!$A:$A,Y$2)&lt;&gt;0,SUMIFS(Sheet1!$E:$E,Sheet1!$C:$C,$A205,Sheet1!$A:$A,Y$2),"")</f>
        <v/>
      </c>
      <c r="Z205" s="9" t="str">
        <f>IF(SUMIFS(Sheet1!$E:$E,Sheet1!$C:$C,$A205,Sheet1!$A:$A,Z$2)&lt;&gt;0,SUMIFS(Sheet1!$E:$E,Sheet1!$C:$C,$A205,Sheet1!$A:$A,Z$2),"")</f>
        <v/>
      </c>
      <c r="AA205" s="9" t="str">
        <f>IF(SUMIFS(Sheet1!$E:$E,Sheet1!$C:$C,$A205,Sheet1!$A:$A,AA$2)&lt;&gt;0,SUMIFS(Sheet1!$E:$E,Sheet1!$C:$C,$A205,Sheet1!$A:$A,AA$2),"")</f>
        <v/>
      </c>
      <c r="AB205" s="9" t="str">
        <f>IF(SUMIFS(Sheet1!$E:$E,Sheet1!$C:$C,$A205,Sheet1!$A:$A,AB$2)&lt;&gt;0,SUMIFS(Sheet1!$E:$E,Sheet1!$C:$C,$A205,Sheet1!$A:$A,AB$2),"")</f>
        <v/>
      </c>
      <c r="AC205" s="9" t="str">
        <f>IF(SUMIFS(Sheet1!$E:$E,Sheet1!$C:$C,$A205,Sheet1!$A:$A,AC$2)&lt;&gt;0,SUMIFS(Sheet1!$E:$E,Sheet1!$C:$C,$A205,Sheet1!$A:$A,AC$2),"")</f>
        <v/>
      </c>
      <c r="AD205" s="9" t="str">
        <f>IF(SUMIFS(Sheet1!$E:$E,Sheet1!$C:$C,$A205,Sheet1!$A:$A,AD$2)&lt;&gt;0,SUMIFS(Sheet1!$E:$E,Sheet1!$C:$C,$A205,Sheet1!$A:$A,AD$2),"")</f>
        <v/>
      </c>
      <c r="AE205" s="9" t="str">
        <f>IF(SUMIFS(Sheet1!$E:$E,Sheet1!$C:$C,$A205,Sheet1!$A:$A,AE$2)&lt;&gt;0,SUMIFS(Sheet1!$E:$E,Sheet1!$C:$C,$A205,Sheet1!$A:$A,AE$2),"")</f>
        <v/>
      </c>
      <c r="AF205" s="9" t="str">
        <f>IF(SUMIFS(Sheet1!$E:$E,Sheet1!$C:$C,$A205,Sheet1!$A:$A,AF$2)&lt;&gt;0,SUMIFS(Sheet1!$E:$E,Sheet1!$C:$C,$A205,Sheet1!$A:$A,AF$2),"")</f>
        <v/>
      </c>
      <c r="AG205" s="9" t="str">
        <f>IF(SUMIFS(Sheet1!$E:$E,Sheet1!$C:$C,$A205,Sheet1!$A:$A,AG$2)&lt;&gt;0,SUMIFS(Sheet1!$E:$E,Sheet1!$C:$C,$A205,Sheet1!$A:$A,AG$2),"")</f>
        <v/>
      </c>
      <c r="AH205" s="47">
        <f>SUM(Table24[[#This Row],[1]:[31]])</f>
        <v>84</v>
      </c>
    </row>
    <row r="206" spans="1:34" ht="12.75" customHeight="1">
      <c r="A206" s="24" t="str">
        <f>DSSP!A205</f>
        <v>GC130</v>
      </c>
      <c r="B206" s="25" t="str">
        <f>DSSP!B205</f>
        <v>Trái tim có cánh</v>
      </c>
      <c r="C206" s="9" t="str">
        <f>IF(SUMIFS(Sheet1!$E:$E,Sheet1!$C:$C,$A206,Sheet1!$A:$A,C$2)&lt;&gt;0,SUMIFS(Sheet1!$E:$E,Sheet1!$C:$C,$A206,Sheet1!$A:$A,C$2),"")</f>
        <v/>
      </c>
      <c r="D206" s="9" t="str">
        <f>IF(SUMIFS(Sheet1!$E:$E,Sheet1!$C:$C,$A206,Sheet1!$A:$A,D$2)&lt;&gt;0,SUMIFS(Sheet1!$E:$E,Sheet1!$C:$C,$A206,Sheet1!$A:$A,D$2),"")</f>
        <v/>
      </c>
      <c r="E206" s="9" t="str">
        <f>IF(SUMIFS(Sheet1!$E:$E,Sheet1!$C:$C,$A206,Sheet1!$A:$A,E$2)&lt;&gt;0,SUMIFS(Sheet1!$E:$E,Sheet1!$C:$C,$A206,Sheet1!$A:$A,E$2),"")</f>
        <v/>
      </c>
      <c r="F206" s="9" t="str">
        <f>IF(SUMIFS(Sheet1!$E:$E,Sheet1!$C:$C,$A206,Sheet1!$A:$A,F$2)&lt;&gt;0,SUMIFS(Sheet1!$E:$E,Sheet1!$C:$C,$A206,Sheet1!$A:$A,F$2),"")</f>
        <v/>
      </c>
      <c r="G206" s="9" t="str">
        <f>IF(SUMIFS(Sheet1!$E:$E,Sheet1!$C:$C,$A206,Sheet1!$A:$A,G$2)&lt;&gt;0,SUMIFS(Sheet1!$E:$E,Sheet1!$C:$C,$A206,Sheet1!$A:$A,G$2),"")</f>
        <v/>
      </c>
      <c r="H206" s="9" t="str">
        <f>IF(SUMIFS(Sheet1!$E:$E,Sheet1!$C:$C,$A206,Sheet1!$A:$A,H$2)&lt;&gt;0,SUMIFS(Sheet1!$E:$E,Sheet1!$C:$C,$A206,Sheet1!$A:$A,H$2),"")</f>
        <v/>
      </c>
      <c r="I206" s="9" t="str">
        <f>IF(SUMIFS(Sheet1!$E:$E,Sheet1!$C:$C,$A206,Sheet1!$A:$A,I$2)&lt;&gt;0,SUMIFS(Sheet1!$E:$E,Sheet1!$C:$C,$A206,Sheet1!$A:$A,I$2),"")</f>
        <v/>
      </c>
      <c r="J206" s="9" t="str">
        <f>IF(SUMIFS(Sheet1!$E:$E,Sheet1!$C:$C,$A206,Sheet1!$A:$A,J$2)&lt;&gt;0,SUMIFS(Sheet1!$E:$E,Sheet1!$C:$C,$A206,Sheet1!$A:$A,J$2),"")</f>
        <v/>
      </c>
      <c r="K206" s="9" t="str">
        <f>IF(SUMIFS(Sheet1!$E:$E,Sheet1!$C:$C,$A206,Sheet1!$A:$A,K$2)&lt;&gt;0,SUMIFS(Sheet1!$E:$E,Sheet1!$C:$C,$A206,Sheet1!$A:$A,K$2),"")</f>
        <v/>
      </c>
      <c r="L206" s="9" t="str">
        <f>IF(SUMIFS(Sheet1!$E:$E,Sheet1!$C:$C,$A206,Sheet1!$A:$A,L$2)&lt;&gt;0,SUMIFS(Sheet1!$E:$E,Sheet1!$C:$C,$A206,Sheet1!$A:$A,L$2),"")</f>
        <v/>
      </c>
      <c r="M206" s="9" t="str">
        <f>IF(SUMIFS(Sheet1!$E:$E,Sheet1!$C:$C,$A206,Sheet1!$A:$A,M$2)&lt;&gt;0,SUMIFS(Sheet1!$E:$E,Sheet1!$C:$C,$A206,Sheet1!$A:$A,M$2),"")</f>
        <v/>
      </c>
      <c r="N206" s="9" t="str">
        <f>IF(SUMIFS(Sheet1!$E:$E,Sheet1!$C:$C,$A206,Sheet1!$A:$A,N$2)&lt;&gt;0,SUMIFS(Sheet1!$E:$E,Sheet1!$C:$C,$A206,Sheet1!$A:$A,N$2),"")</f>
        <v/>
      </c>
      <c r="O206" s="9" t="str">
        <f>IF(SUMIFS(Sheet1!$E:$E,Sheet1!$C:$C,$A206,Sheet1!$A:$A,O$2)&lt;&gt;0,SUMIFS(Sheet1!$E:$E,Sheet1!$C:$C,$A206,Sheet1!$A:$A,O$2),"")</f>
        <v/>
      </c>
      <c r="P206" s="9" t="str">
        <f>IF(SUMIFS(Sheet1!$E:$E,Sheet1!$C:$C,$A206,Sheet1!$A:$A,P$2)&lt;&gt;0,SUMIFS(Sheet1!$E:$E,Sheet1!$C:$C,$A206,Sheet1!$A:$A,P$2),"")</f>
        <v/>
      </c>
      <c r="Q206" s="9" t="str">
        <f>IF(SUMIFS(Sheet1!$E:$E,Sheet1!$C:$C,$A206,Sheet1!$A:$A,Q$2)&lt;&gt;0,SUMIFS(Sheet1!$E:$E,Sheet1!$C:$C,$A206,Sheet1!$A:$A,Q$2),"")</f>
        <v/>
      </c>
      <c r="R206" s="9" t="str">
        <f>IF(SUMIFS(Sheet1!$E:$E,Sheet1!$C:$C,$A206,Sheet1!$A:$A,R$2)&lt;&gt;0,SUMIFS(Sheet1!$E:$E,Sheet1!$C:$C,$A206,Sheet1!$A:$A,R$2),"")</f>
        <v/>
      </c>
      <c r="S206" s="9" t="str">
        <f>IF(SUMIFS(Sheet1!$E:$E,Sheet1!$C:$C,$A206,Sheet1!$A:$A,S$2)&lt;&gt;0,SUMIFS(Sheet1!$E:$E,Sheet1!$C:$C,$A206,Sheet1!$A:$A,S$2),"")</f>
        <v/>
      </c>
      <c r="T206" s="9" t="str">
        <f>IF(SUMIFS(Sheet1!$E:$E,Sheet1!$C:$C,$A206,Sheet1!$A:$A,T$2)&lt;&gt;0,SUMIFS(Sheet1!$E:$E,Sheet1!$C:$C,$A206,Sheet1!$A:$A,T$2),"")</f>
        <v/>
      </c>
      <c r="U206" s="9" t="str">
        <f>IF(SUMIFS(Sheet1!$E:$E,Sheet1!$C:$C,$A206,Sheet1!$A:$A,U$2)&lt;&gt;0,SUMIFS(Sheet1!$E:$E,Sheet1!$C:$C,$A206,Sheet1!$A:$A,U$2),"")</f>
        <v/>
      </c>
      <c r="V206" s="9" t="str">
        <f>IF(SUMIFS(Sheet1!$E:$E,Sheet1!$C:$C,$A206,Sheet1!$A:$A,V$2)&lt;&gt;0,SUMIFS(Sheet1!$E:$E,Sheet1!$C:$C,$A206,Sheet1!$A:$A,V$2),"")</f>
        <v/>
      </c>
      <c r="W206" s="9" t="str">
        <f>IF(SUMIFS(Sheet1!$E:$E,Sheet1!$C:$C,$A206,Sheet1!$A:$A,W$2)&lt;&gt;0,SUMIFS(Sheet1!$E:$E,Sheet1!$C:$C,$A206,Sheet1!$A:$A,W$2),"")</f>
        <v/>
      </c>
      <c r="X206" s="9" t="str">
        <f>IF(SUMIFS(Sheet1!$E:$E,Sheet1!$C:$C,$A206,Sheet1!$A:$A,X$2)&lt;&gt;0,SUMIFS(Sheet1!$E:$E,Sheet1!$C:$C,$A206,Sheet1!$A:$A,X$2),"")</f>
        <v/>
      </c>
      <c r="Y206" s="9" t="str">
        <f>IF(SUMIFS(Sheet1!$E:$E,Sheet1!$C:$C,$A206,Sheet1!$A:$A,Y$2)&lt;&gt;0,SUMIFS(Sheet1!$E:$E,Sheet1!$C:$C,$A206,Sheet1!$A:$A,Y$2),"")</f>
        <v/>
      </c>
      <c r="Z206" s="9" t="str">
        <f>IF(SUMIFS(Sheet1!$E:$E,Sheet1!$C:$C,$A206,Sheet1!$A:$A,Z$2)&lt;&gt;0,SUMIFS(Sheet1!$E:$E,Sheet1!$C:$C,$A206,Sheet1!$A:$A,Z$2),"")</f>
        <v/>
      </c>
      <c r="AA206" s="9" t="str">
        <f>IF(SUMIFS(Sheet1!$E:$E,Sheet1!$C:$C,$A206,Sheet1!$A:$A,AA$2)&lt;&gt;0,SUMIFS(Sheet1!$E:$E,Sheet1!$C:$C,$A206,Sheet1!$A:$A,AA$2),"")</f>
        <v/>
      </c>
      <c r="AB206" s="9" t="str">
        <f>IF(SUMIFS(Sheet1!$E:$E,Sheet1!$C:$C,$A206,Sheet1!$A:$A,AB$2)&lt;&gt;0,SUMIFS(Sheet1!$E:$E,Sheet1!$C:$C,$A206,Sheet1!$A:$A,AB$2),"")</f>
        <v/>
      </c>
      <c r="AC206" s="9" t="str">
        <f>IF(SUMIFS(Sheet1!$E:$E,Sheet1!$C:$C,$A206,Sheet1!$A:$A,AC$2)&lt;&gt;0,SUMIFS(Sheet1!$E:$E,Sheet1!$C:$C,$A206,Sheet1!$A:$A,AC$2),"")</f>
        <v/>
      </c>
      <c r="AD206" s="9" t="str">
        <f>IF(SUMIFS(Sheet1!$E:$E,Sheet1!$C:$C,$A206,Sheet1!$A:$A,AD$2)&lt;&gt;0,SUMIFS(Sheet1!$E:$E,Sheet1!$C:$C,$A206,Sheet1!$A:$A,AD$2),"")</f>
        <v/>
      </c>
      <c r="AE206" s="9" t="str">
        <f>IF(SUMIFS(Sheet1!$E:$E,Sheet1!$C:$C,$A206,Sheet1!$A:$A,AE$2)&lt;&gt;0,SUMIFS(Sheet1!$E:$E,Sheet1!$C:$C,$A206,Sheet1!$A:$A,AE$2),"")</f>
        <v/>
      </c>
      <c r="AF206" s="9" t="str">
        <f>IF(SUMIFS(Sheet1!$E:$E,Sheet1!$C:$C,$A206,Sheet1!$A:$A,AF$2)&lt;&gt;0,SUMIFS(Sheet1!$E:$E,Sheet1!$C:$C,$A206,Sheet1!$A:$A,AF$2),"")</f>
        <v/>
      </c>
      <c r="AG206" s="9" t="str">
        <f>IF(SUMIFS(Sheet1!$E:$E,Sheet1!$C:$C,$A206,Sheet1!$A:$A,AG$2)&lt;&gt;0,SUMIFS(Sheet1!$E:$E,Sheet1!$C:$C,$A206,Sheet1!$A:$A,AG$2),"")</f>
        <v/>
      </c>
      <c r="AH206" s="47">
        <f>SUM(Table24[[#This Row],[1]:[31]])</f>
        <v>0</v>
      </c>
    </row>
    <row r="207" spans="1:34" ht="12.75" customHeight="1">
      <c r="A207" s="24" t="str">
        <f>DSSP!A206</f>
        <v>GC131</v>
      </c>
      <c r="B207" s="25" t="str">
        <f>DSSP!B206</f>
        <v>Mề đay chữ ovan</v>
      </c>
      <c r="C207" s="9">
        <f>IF(SUMIFS(Sheet1!$E:$E,Sheet1!$C:$C,$A207,Sheet1!$A:$A,C$2)&lt;&gt;0,SUMIFS(Sheet1!$E:$E,Sheet1!$C:$C,$A207,Sheet1!$A:$A,C$2),"")</f>
        <v>9</v>
      </c>
      <c r="D207" s="9" t="str">
        <f>IF(SUMIFS(Sheet1!$E:$E,Sheet1!$C:$C,$A207,Sheet1!$A:$A,D$2)&lt;&gt;0,SUMIFS(Sheet1!$E:$E,Sheet1!$C:$C,$A207,Sheet1!$A:$A,D$2),"")</f>
        <v/>
      </c>
      <c r="E207" s="9" t="str">
        <f>IF(SUMIFS(Sheet1!$E:$E,Sheet1!$C:$C,$A207,Sheet1!$A:$A,E$2)&lt;&gt;0,SUMIFS(Sheet1!$E:$E,Sheet1!$C:$C,$A207,Sheet1!$A:$A,E$2),"")</f>
        <v/>
      </c>
      <c r="F207" s="9" t="str">
        <f>IF(SUMIFS(Sheet1!$E:$E,Sheet1!$C:$C,$A207,Sheet1!$A:$A,F$2)&lt;&gt;0,SUMIFS(Sheet1!$E:$E,Sheet1!$C:$C,$A207,Sheet1!$A:$A,F$2),"")</f>
        <v/>
      </c>
      <c r="G207" s="9" t="str">
        <f>IF(SUMIFS(Sheet1!$E:$E,Sheet1!$C:$C,$A207,Sheet1!$A:$A,G$2)&lt;&gt;0,SUMIFS(Sheet1!$E:$E,Sheet1!$C:$C,$A207,Sheet1!$A:$A,G$2),"")</f>
        <v/>
      </c>
      <c r="H207" s="9" t="str">
        <f>IF(SUMIFS(Sheet1!$E:$E,Sheet1!$C:$C,$A207,Sheet1!$A:$A,H$2)&lt;&gt;0,SUMIFS(Sheet1!$E:$E,Sheet1!$C:$C,$A207,Sheet1!$A:$A,H$2),"")</f>
        <v/>
      </c>
      <c r="I207" s="9" t="str">
        <f>IF(SUMIFS(Sheet1!$E:$E,Sheet1!$C:$C,$A207,Sheet1!$A:$A,I$2)&lt;&gt;0,SUMIFS(Sheet1!$E:$E,Sheet1!$C:$C,$A207,Sheet1!$A:$A,I$2),"")</f>
        <v/>
      </c>
      <c r="J207" s="9" t="str">
        <f>IF(SUMIFS(Sheet1!$E:$E,Sheet1!$C:$C,$A207,Sheet1!$A:$A,J$2)&lt;&gt;0,SUMIFS(Sheet1!$E:$E,Sheet1!$C:$C,$A207,Sheet1!$A:$A,J$2),"")</f>
        <v/>
      </c>
      <c r="K207" s="9" t="str">
        <f>IF(SUMIFS(Sheet1!$E:$E,Sheet1!$C:$C,$A207,Sheet1!$A:$A,K$2)&lt;&gt;0,SUMIFS(Sheet1!$E:$E,Sheet1!$C:$C,$A207,Sheet1!$A:$A,K$2),"")</f>
        <v/>
      </c>
      <c r="L207" s="9" t="str">
        <f>IF(SUMIFS(Sheet1!$E:$E,Sheet1!$C:$C,$A207,Sheet1!$A:$A,L$2)&lt;&gt;0,SUMIFS(Sheet1!$E:$E,Sheet1!$C:$C,$A207,Sheet1!$A:$A,L$2),"")</f>
        <v/>
      </c>
      <c r="M207" s="9" t="str">
        <f>IF(SUMIFS(Sheet1!$E:$E,Sheet1!$C:$C,$A207,Sheet1!$A:$A,M$2)&lt;&gt;0,SUMIFS(Sheet1!$E:$E,Sheet1!$C:$C,$A207,Sheet1!$A:$A,M$2),"")</f>
        <v/>
      </c>
      <c r="N207" s="9" t="str">
        <f>IF(SUMIFS(Sheet1!$E:$E,Sheet1!$C:$C,$A207,Sheet1!$A:$A,N$2)&lt;&gt;0,SUMIFS(Sheet1!$E:$E,Sheet1!$C:$C,$A207,Sheet1!$A:$A,N$2),"")</f>
        <v/>
      </c>
      <c r="O207" s="9" t="str">
        <f>IF(SUMIFS(Sheet1!$E:$E,Sheet1!$C:$C,$A207,Sheet1!$A:$A,O$2)&lt;&gt;0,SUMIFS(Sheet1!$E:$E,Sheet1!$C:$C,$A207,Sheet1!$A:$A,O$2),"")</f>
        <v/>
      </c>
      <c r="P207" s="9" t="str">
        <f>IF(SUMIFS(Sheet1!$E:$E,Sheet1!$C:$C,$A207,Sheet1!$A:$A,P$2)&lt;&gt;0,SUMIFS(Sheet1!$E:$E,Sheet1!$C:$C,$A207,Sheet1!$A:$A,P$2),"")</f>
        <v/>
      </c>
      <c r="Q207" s="9" t="str">
        <f>IF(SUMIFS(Sheet1!$E:$E,Sheet1!$C:$C,$A207,Sheet1!$A:$A,Q$2)&lt;&gt;0,SUMIFS(Sheet1!$E:$E,Sheet1!$C:$C,$A207,Sheet1!$A:$A,Q$2),"")</f>
        <v/>
      </c>
      <c r="R207" s="9" t="str">
        <f>IF(SUMIFS(Sheet1!$E:$E,Sheet1!$C:$C,$A207,Sheet1!$A:$A,R$2)&lt;&gt;0,SUMIFS(Sheet1!$E:$E,Sheet1!$C:$C,$A207,Sheet1!$A:$A,R$2),"")</f>
        <v/>
      </c>
      <c r="S207" s="9" t="str">
        <f>IF(SUMIFS(Sheet1!$E:$E,Sheet1!$C:$C,$A207,Sheet1!$A:$A,S$2)&lt;&gt;0,SUMIFS(Sheet1!$E:$E,Sheet1!$C:$C,$A207,Sheet1!$A:$A,S$2),"")</f>
        <v/>
      </c>
      <c r="T207" s="9" t="str">
        <f>IF(SUMIFS(Sheet1!$E:$E,Sheet1!$C:$C,$A207,Sheet1!$A:$A,T$2)&lt;&gt;0,SUMIFS(Sheet1!$E:$E,Sheet1!$C:$C,$A207,Sheet1!$A:$A,T$2),"")</f>
        <v/>
      </c>
      <c r="U207" s="9" t="str">
        <f>IF(SUMIFS(Sheet1!$E:$E,Sheet1!$C:$C,$A207,Sheet1!$A:$A,U$2)&lt;&gt;0,SUMIFS(Sheet1!$E:$E,Sheet1!$C:$C,$A207,Sheet1!$A:$A,U$2),"")</f>
        <v/>
      </c>
      <c r="V207" s="9" t="str">
        <f>IF(SUMIFS(Sheet1!$E:$E,Sheet1!$C:$C,$A207,Sheet1!$A:$A,V$2)&lt;&gt;0,SUMIFS(Sheet1!$E:$E,Sheet1!$C:$C,$A207,Sheet1!$A:$A,V$2),"")</f>
        <v/>
      </c>
      <c r="W207" s="9" t="str">
        <f>IF(SUMIFS(Sheet1!$E:$E,Sheet1!$C:$C,$A207,Sheet1!$A:$A,W$2)&lt;&gt;0,SUMIFS(Sheet1!$E:$E,Sheet1!$C:$C,$A207,Sheet1!$A:$A,W$2),"")</f>
        <v/>
      </c>
      <c r="X207" s="9" t="str">
        <f>IF(SUMIFS(Sheet1!$E:$E,Sheet1!$C:$C,$A207,Sheet1!$A:$A,X$2)&lt;&gt;0,SUMIFS(Sheet1!$E:$E,Sheet1!$C:$C,$A207,Sheet1!$A:$A,X$2),"")</f>
        <v/>
      </c>
      <c r="Y207" s="9" t="str">
        <f>IF(SUMIFS(Sheet1!$E:$E,Sheet1!$C:$C,$A207,Sheet1!$A:$A,Y$2)&lt;&gt;0,SUMIFS(Sheet1!$E:$E,Sheet1!$C:$C,$A207,Sheet1!$A:$A,Y$2),"")</f>
        <v/>
      </c>
      <c r="Z207" s="9" t="str">
        <f>IF(SUMIFS(Sheet1!$E:$E,Sheet1!$C:$C,$A207,Sheet1!$A:$A,Z$2)&lt;&gt;0,SUMIFS(Sheet1!$E:$E,Sheet1!$C:$C,$A207,Sheet1!$A:$A,Z$2),"")</f>
        <v/>
      </c>
      <c r="AA207" s="9" t="str">
        <f>IF(SUMIFS(Sheet1!$E:$E,Sheet1!$C:$C,$A207,Sheet1!$A:$A,AA$2)&lt;&gt;0,SUMIFS(Sheet1!$E:$E,Sheet1!$C:$C,$A207,Sheet1!$A:$A,AA$2),"")</f>
        <v/>
      </c>
      <c r="AB207" s="9" t="str">
        <f>IF(SUMIFS(Sheet1!$E:$E,Sheet1!$C:$C,$A207,Sheet1!$A:$A,AB$2)&lt;&gt;0,SUMIFS(Sheet1!$E:$E,Sheet1!$C:$C,$A207,Sheet1!$A:$A,AB$2),"")</f>
        <v/>
      </c>
      <c r="AC207" s="9" t="str">
        <f>IF(SUMIFS(Sheet1!$E:$E,Sheet1!$C:$C,$A207,Sheet1!$A:$A,AC$2)&lt;&gt;0,SUMIFS(Sheet1!$E:$E,Sheet1!$C:$C,$A207,Sheet1!$A:$A,AC$2),"")</f>
        <v/>
      </c>
      <c r="AD207" s="9" t="str">
        <f>IF(SUMIFS(Sheet1!$E:$E,Sheet1!$C:$C,$A207,Sheet1!$A:$A,AD$2)&lt;&gt;0,SUMIFS(Sheet1!$E:$E,Sheet1!$C:$C,$A207,Sheet1!$A:$A,AD$2),"")</f>
        <v/>
      </c>
      <c r="AE207" s="9" t="str">
        <f>IF(SUMIFS(Sheet1!$E:$E,Sheet1!$C:$C,$A207,Sheet1!$A:$A,AE$2)&lt;&gt;0,SUMIFS(Sheet1!$E:$E,Sheet1!$C:$C,$A207,Sheet1!$A:$A,AE$2),"")</f>
        <v/>
      </c>
      <c r="AF207" s="9" t="str">
        <f>IF(SUMIFS(Sheet1!$E:$E,Sheet1!$C:$C,$A207,Sheet1!$A:$A,AF$2)&lt;&gt;0,SUMIFS(Sheet1!$E:$E,Sheet1!$C:$C,$A207,Sheet1!$A:$A,AF$2),"")</f>
        <v/>
      </c>
      <c r="AG207" s="9" t="str">
        <f>IF(SUMIFS(Sheet1!$E:$E,Sheet1!$C:$C,$A207,Sheet1!$A:$A,AG$2)&lt;&gt;0,SUMIFS(Sheet1!$E:$E,Sheet1!$C:$C,$A207,Sheet1!$A:$A,AG$2),"")</f>
        <v/>
      </c>
      <c r="AH207" s="47">
        <f>SUM(Table24[[#This Row],[1]:[31]])</f>
        <v>9</v>
      </c>
    </row>
    <row r="208" spans="1:34" ht="12.75" customHeight="1">
      <c r="A208" s="24" t="str">
        <f>DSSP!A207</f>
        <v>GC132</v>
      </c>
      <c r="B208" s="25" t="str">
        <f>DSSP!B207</f>
        <v>Trái tim cách điệu</v>
      </c>
      <c r="C208" s="9">
        <f>IF(SUMIFS(Sheet1!$E:$E,Sheet1!$C:$C,$A208,Sheet1!$A:$A,C$2)&lt;&gt;0,SUMIFS(Sheet1!$E:$E,Sheet1!$C:$C,$A208,Sheet1!$A:$A,C$2),"")</f>
        <v>8</v>
      </c>
      <c r="D208" s="9" t="str">
        <f>IF(SUMIFS(Sheet1!$E:$E,Sheet1!$C:$C,$A208,Sheet1!$A:$A,D$2)&lt;&gt;0,SUMIFS(Sheet1!$E:$E,Sheet1!$C:$C,$A208,Sheet1!$A:$A,D$2),"")</f>
        <v/>
      </c>
      <c r="E208" s="9" t="str">
        <f>IF(SUMIFS(Sheet1!$E:$E,Sheet1!$C:$C,$A208,Sheet1!$A:$A,E$2)&lt;&gt;0,SUMIFS(Sheet1!$E:$E,Sheet1!$C:$C,$A208,Sheet1!$A:$A,E$2),"")</f>
        <v/>
      </c>
      <c r="F208" s="9" t="str">
        <f>IF(SUMIFS(Sheet1!$E:$E,Sheet1!$C:$C,$A208,Sheet1!$A:$A,F$2)&lt;&gt;0,SUMIFS(Sheet1!$E:$E,Sheet1!$C:$C,$A208,Sheet1!$A:$A,F$2),"")</f>
        <v/>
      </c>
      <c r="G208" s="9" t="str">
        <f>IF(SUMIFS(Sheet1!$E:$E,Sheet1!$C:$C,$A208,Sheet1!$A:$A,G$2)&lt;&gt;0,SUMIFS(Sheet1!$E:$E,Sheet1!$C:$C,$A208,Sheet1!$A:$A,G$2),"")</f>
        <v/>
      </c>
      <c r="H208" s="9" t="str">
        <f>IF(SUMIFS(Sheet1!$E:$E,Sheet1!$C:$C,$A208,Sheet1!$A:$A,H$2)&lt;&gt;0,SUMIFS(Sheet1!$E:$E,Sheet1!$C:$C,$A208,Sheet1!$A:$A,H$2),"")</f>
        <v/>
      </c>
      <c r="I208" s="9" t="str">
        <f>IF(SUMIFS(Sheet1!$E:$E,Sheet1!$C:$C,$A208,Sheet1!$A:$A,I$2)&lt;&gt;0,SUMIFS(Sheet1!$E:$E,Sheet1!$C:$C,$A208,Sheet1!$A:$A,I$2),"")</f>
        <v/>
      </c>
      <c r="J208" s="9" t="str">
        <f>IF(SUMIFS(Sheet1!$E:$E,Sheet1!$C:$C,$A208,Sheet1!$A:$A,J$2)&lt;&gt;0,SUMIFS(Sheet1!$E:$E,Sheet1!$C:$C,$A208,Sheet1!$A:$A,J$2),"")</f>
        <v/>
      </c>
      <c r="K208" s="9" t="str">
        <f>IF(SUMIFS(Sheet1!$E:$E,Sheet1!$C:$C,$A208,Sheet1!$A:$A,K$2)&lt;&gt;0,SUMIFS(Sheet1!$E:$E,Sheet1!$C:$C,$A208,Sheet1!$A:$A,K$2),"")</f>
        <v/>
      </c>
      <c r="L208" s="9" t="str">
        <f>IF(SUMIFS(Sheet1!$E:$E,Sheet1!$C:$C,$A208,Sheet1!$A:$A,L$2)&lt;&gt;0,SUMIFS(Sheet1!$E:$E,Sheet1!$C:$C,$A208,Sheet1!$A:$A,L$2),"")</f>
        <v/>
      </c>
      <c r="M208" s="9" t="str">
        <f>IF(SUMIFS(Sheet1!$E:$E,Sheet1!$C:$C,$A208,Sheet1!$A:$A,M$2)&lt;&gt;0,SUMIFS(Sheet1!$E:$E,Sheet1!$C:$C,$A208,Sheet1!$A:$A,M$2),"")</f>
        <v/>
      </c>
      <c r="N208" s="9" t="str">
        <f>IF(SUMIFS(Sheet1!$E:$E,Sheet1!$C:$C,$A208,Sheet1!$A:$A,N$2)&lt;&gt;0,SUMIFS(Sheet1!$E:$E,Sheet1!$C:$C,$A208,Sheet1!$A:$A,N$2),"")</f>
        <v/>
      </c>
      <c r="O208" s="9" t="str">
        <f>IF(SUMIFS(Sheet1!$E:$E,Sheet1!$C:$C,$A208,Sheet1!$A:$A,O$2)&lt;&gt;0,SUMIFS(Sheet1!$E:$E,Sheet1!$C:$C,$A208,Sheet1!$A:$A,O$2),"")</f>
        <v/>
      </c>
      <c r="P208" s="9" t="str">
        <f>IF(SUMIFS(Sheet1!$E:$E,Sheet1!$C:$C,$A208,Sheet1!$A:$A,P$2)&lt;&gt;0,SUMIFS(Sheet1!$E:$E,Sheet1!$C:$C,$A208,Sheet1!$A:$A,P$2),"")</f>
        <v/>
      </c>
      <c r="Q208" s="9" t="str">
        <f>IF(SUMIFS(Sheet1!$E:$E,Sheet1!$C:$C,$A208,Sheet1!$A:$A,Q$2)&lt;&gt;0,SUMIFS(Sheet1!$E:$E,Sheet1!$C:$C,$A208,Sheet1!$A:$A,Q$2),"")</f>
        <v/>
      </c>
      <c r="R208" s="9" t="str">
        <f>IF(SUMIFS(Sheet1!$E:$E,Sheet1!$C:$C,$A208,Sheet1!$A:$A,R$2)&lt;&gt;0,SUMIFS(Sheet1!$E:$E,Sheet1!$C:$C,$A208,Sheet1!$A:$A,R$2),"")</f>
        <v/>
      </c>
      <c r="S208" s="9" t="str">
        <f>IF(SUMIFS(Sheet1!$E:$E,Sheet1!$C:$C,$A208,Sheet1!$A:$A,S$2)&lt;&gt;0,SUMIFS(Sheet1!$E:$E,Sheet1!$C:$C,$A208,Sheet1!$A:$A,S$2),"")</f>
        <v/>
      </c>
      <c r="T208" s="9" t="str">
        <f>IF(SUMIFS(Sheet1!$E:$E,Sheet1!$C:$C,$A208,Sheet1!$A:$A,T$2)&lt;&gt;0,SUMIFS(Sheet1!$E:$E,Sheet1!$C:$C,$A208,Sheet1!$A:$A,T$2),"")</f>
        <v/>
      </c>
      <c r="U208" s="9" t="str">
        <f>IF(SUMIFS(Sheet1!$E:$E,Sheet1!$C:$C,$A208,Sheet1!$A:$A,U$2)&lt;&gt;0,SUMIFS(Sheet1!$E:$E,Sheet1!$C:$C,$A208,Sheet1!$A:$A,U$2),"")</f>
        <v/>
      </c>
      <c r="V208" s="9" t="str">
        <f>IF(SUMIFS(Sheet1!$E:$E,Sheet1!$C:$C,$A208,Sheet1!$A:$A,V$2)&lt;&gt;0,SUMIFS(Sheet1!$E:$E,Sheet1!$C:$C,$A208,Sheet1!$A:$A,V$2),"")</f>
        <v/>
      </c>
      <c r="W208" s="9" t="str">
        <f>IF(SUMIFS(Sheet1!$E:$E,Sheet1!$C:$C,$A208,Sheet1!$A:$A,W$2)&lt;&gt;0,SUMIFS(Sheet1!$E:$E,Sheet1!$C:$C,$A208,Sheet1!$A:$A,W$2),"")</f>
        <v/>
      </c>
      <c r="X208" s="9" t="str">
        <f>IF(SUMIFS(Sheet1!$E:$E,Sheet1!$C:$C,$A208,Sheet1!$A:$A,X$2)&lt;&gt;0,SUMIFS(Sheet1!$E:$E,Sheet1!$C:$C,$A208,Sheet1!$A:$A,X$2),"")</f>
        <v/>
      </c>
      <c r="Y208" s="9" t="str">
        <f>IF(SUMIFS(Sheet1!$E:$E,Sheet1!$C:$C,$A208,Sheet1!$A:$A,Y$2)&lt;&gt;0,SUMIFS(Sheet1!$E:$E,Sheet1!$C:$C,$A208,Sheet1!$A:$A,Y$2),"")</f>
        <v/>
      </c>
      <c r="Z208" s="9" t="str">
        <f>IF(SUMIFS(Sheet1!$E:$E,Sheet1!$C:$C,$A208,Sheet1!$A:$A,Z$2)&lt;&gt;0,SUMIFS(Sheet1!$E:$E,Sheet1!$C:$C,$A208,Sheet1!$A:$A,Z$2),"")</f>
        <v/>
      </c>
      <c r="AA208" s="9" t="str">
        <f>IF(SUMIFS(Sheet1!$E:$E,Sheet1!$C:$C,$A208,Sheet1!$A:$A,AA$2)&lt;&gt;0,SUMIFS(Sheet1!$E:$E,Sheet1!$C:$C,$A208,Sheet1!$A:$A,AA$2),"")</f>
        <v/>
      </c>
      <c r="AB208" s="9" t="str">
        <f>IF(SUMIFS(Sheet1!$E:$E,Sheet1!$C:$C,$A208,Sheet1!$A:$A,AB$2)&lt;&gt;0,SUMIFS(Sheet1!$E:$E,Sheet1!$C:$C,$A208,Sheet1!$A:$A,AB$2),"")</f>
        <v/>
      </c>
      <c r="AC208" s="9" t="str">
        <f>IF(SUMIFS(Sheet1!$E:$E,Sheet1!$C:$C,$A208,Sheet1!$A:$A,AC$2)&lt;&gt;0,SUMIFS(Sheet1!$E:$E,Sheet1!$C:$C,$A208,Sheet1!$A:$A,AC$2),"")</f>
        <v/>
      </c>
      <c r="AD208" s="9" t="str">
        <f>IF(SUMIFS(Sheet1!$E:$E,Sheet1!$C:$C,$A208,Sheet1!$A:$A,AD$2)&lt;&gt;0,SUMIFS(Sheet1!$E:$E,Sheet1!$C:$C,$A208,Sheet1!$A:$A,AD$2),"")</f>
        <v/>
      </c>
      <c r="AE208" s="9" t="str">
        <f>IF(SUMIFS(Sheet1!$E:$E,Sheet1!$C:$C,$A208,Sheet1!$A:$A,AE$2)&lt;&gt;0,SUMIFS(Sheet1!$E:$E,Sheet1!$C:$C,$A208,Sheet1!$A:$A,AE$2),"")</f>
        <v/>
      </c>
      <c r="AF208" s="9" t="str">
        <f>IF(SUMIFS(Sheet1!$E:$E,Sheet1!$C:$C,$A208,Sheet1!$A:$A,AF$2)&lt;&gt;0,SUMIFS(Sheet1!$E:$E,Sheet1!$C:$C,$A208,Sheet1!$A:$A,AF$2),"")</f>
        <v/>
      </c>
      <c r="AG208" s="9" t="str">
        <f>IF(SUMIFS(Sheet1!$E:$E,Sheet1!$C:$C,$A208,Sheet1!$A:$A,AG$2)&lt;&gt;0,SUMIFS(Sheet1!$E:$E,Sheet1!$C:$C,$A208,Sheet1!$A:$A,AG$2),"")</f>
        <v/>
      </c>
      <c r="AH208" s="47">
        <f>SUM(Table24[[#This Row],[1]:[31]])</f>
        <v>8</v>
      </c>
    </row>
    <row r="209" spans="1:34" ht="12.75" customHeight="1">
      <c r="A209" s="24" t="str">
        <f>DSSP!A208</f>
        <v>GC133</v>
      </c>
      <c r="B209" s="25" t="str">
        <f>DSSP!B208</f>
        <v>Chìa khóa hoa</v>
      </c>
      <c r="C209" s="9">
        <f>IF(SUMIFS(Sheet1!$E:$E,Sheet1!$C:$C,$A209,Sheet1!$A:$A,C$2)&lt;&gt;0,SUMIFS(Sheet1!$E:$E,Sheet1!$C:$C,$A209,Sheet1!$A:$A,C$2),"")</f>
        <v>10</v>
      </c>
      <c r="D209" s="9" t="str">
        <f>IF(SUMIFS(Sheet1!$E:$E,Sheet1!$C:$C,$A209,Sheet1!$A:$A,D$2)&lt;&gt;0,SUMIFS(Sheet1!$E:$E,Sheet1!$C:$C,$A209,Sheet1!$A:$A,D$2),"")</f>
        <v/>
      </c>
      <c r="E209" s="9" t="str">
        <f>IF(SUMIFS(Sheet1!$E:$E,Sheet1!$C:$C,$A209,Sheet1!$A:$A,E$2)&lt;&gt;0,SUMIFS(Sheet1!$E:$E,Sheet1!$C:$C,$A209,Sheet1!$A:$A,E$2),"")</f>
        <v/>
      </c>
      <c r="F209" s="9" t="str">
        <f>IF(SUMIFS(Sheet1!$E:$E,Sheet1!$C:$C,$A209,Sheet1!$A:$A,F$2)&lt;&gt;0,SUMIFS(Sheet1!$E:$E,Sheet1!$C:$C,$A209,Sheet1!$A:$A,F$2),"")</f>
        <v/>
      </c>
      <c r="G209" s="9" t="str">
        <f>IF(SUMIFS(Sheet1!$E:$E,Sheet1!$C:$C,$A209,Sheet1!$A:$A,G$2)&lt;&gt;0,SUMIFS(Sheet1!$E:$E,Sheet1!$C:$C,$A209,Sheet1!$A:$A,G$2),"")</f>
        <v/>
      </c>
      <c r="H209" s="9" t="str">
        <f>IF(SUMIFS(Sheet1!$E:$E,Sheet1!$C:$C,$A209,Sheet1!$A:$A,H$2)&lt;&gt;0,SUMIFS(Sheet1!$E:$E,Sheet1!$C:$C,$A209,Sheet1!$A:$A,H$2),"")</f>
        <v/>
      </c>
      <c r="I209" s="9" t="str">
        <f>IF(SUMIFS(Sheet1!$E:$E,Sheet1!$C:$C,$A209,Sheet1!$A:$A,I$2)&lt;&gt;0,SUMIFS(Sheet1!$E:$E,Sheet1!$C:$C,$A209,Sheet1!$A:$A,I$2),"")</f>
        <v/>
      </c>
      <c r="J209" s="9" t="str">
        <f>IF(SUMIFS(Sheet1!$E:$E,Sheet1!$C:$C,$A209,Sheet1!$A:$A,J$2)&lt;&gt;0,SUMIFS(Sheet1!$E:$E,Sheet1!$C:$C,$A209,Sheet1!$A:$A,J$2),"")</f>
        <v/>
      </c>
      <c r="K209" s="9" t="str">
        <f>IF(SUMIFS(Sheet1!$E:$E,Sheet1!$C:$C,$A209,Sheet1!$A:$A,K$2)&lt;&gt;0,SUMIFS(Sheet1!$E:$E,Sheet1!$C:$C,$A209,Sheet1!$A:$A,K$2),"")</f>
        <v/>
      </c>
      <c r="L209" s="9" t="str">
        <f>IF(SUMIFS(Sheet1!$E:$E,Sheet1!$C:$C,$A209,Sheet1!$A:$A,L$2)&lt;&gt;0,SUMIFS(Sheet1!$E:$E,Sheet1!$C:$C,$A209,Sheet1!$A:$A,L$2),"")</f>
        <v/>
      </c>
      <c r="M209" s="9" t="str">
        <f>IF(SUMIFS(Sheet1!$E:$E,Sheet1!$C:$C,$A209,Sheet1!$A:$A,M$2)&lt;&gt;0,SUMIFS(Sheet1!$E:$E,Sheet1!$C:$C,$A209,Sheet1!$A:$A,M$2),"")</f>
        <v/>
      </c>
      <c r="N209" s="9" t="str">
        <f>IF(SUMIFS(Sheet1!$E:$E,Sheet1!$C:$C,$A209,Sheet1!$A:$A,N$2)&lt;&gt;0,SUMIFS(Sheet1!$E:$E,Sheet1!$C:$C,$A209,Sheet1!$A:$A,N$2),"")</f>
        <v/>
      </c>
      <c r="O209" s="9" t="str">
        <f>IF(SUMIFS(Sheet1!$E:$E,Sheet1!$C:$C,$A209,Sheet1!$A:$A,O$2)&lt;&gt;0,SUMIFS(Sheet1!$E:$E,Sheet1!$C:$C,$A209,Sheet1!$A:$A,O$2),"")</f>
        <v/>
      </c>
      <c r="P209" s="9" t="str">
        <f>IF(SUMIFS(Sheet1!$E:$E,Sheet1!$C:$C,$A209,Sheet1!$A:$A,P$2)&lt;&gt;0,SUMIFS(Sheet1!$E:$E,Sheet1!$C:$C,$A209,Sheet1!$A:$A,P$2),"")</f>
        <v/>
      </c>
      <c r="Q209" s="9" t="str">
        <f>IF(SUMIFS(Sheet1!$E:$E,Sheet1!$C:$C,$A209,Sheet1!$A:$A,Q$2)&lt;&gt;0,SUMIFS(Sheet1!$E:$E,Sheet1!$C:$C,$A209,Sheet1!$A:$A,Q$2),"")</f>
        <v/>
      </c>
      <c r="R209" s="9" t="str">
        <f>IF(SUMIFS(Sheet1!$E:$E,Sheet1!$C:$C,$A209,Sheet1!$A:$A,R$2)&lt;&gt;0,SUMIFS(Sheet1!$E:$E,Sheet1!$C:$C,$A209,Sheet1!$A:$A,R$2),"")</f>
        <v/>
      </c>
      <c r="S209" s="9" t="str">
        <f>IF(SUMIFS(Sheet1!$E:$E,Sheet1!$C:$C,$A209,Sheet1!$A:$A,S$2)&lt;&gt;0,SUMIFS(Sheet1!$E:$E,Sheet1!$C:$C,$A209,Sheet1!$A:$A,S$2),"")</f>
        <v/>
      </c>
      <c r="T209" s="9" t="str">
        <f>IF(SUMIFS(Sheet1!$E:$E,Sheet1!$C:$C,$A209,Sheet1!$A:$A,T$2)&lt;&gt;0,SUMIFS(Sheet1!$E:$E,Sheet1!$C:$C,$A209,Sheet1!$A:$A,T$2),"")</f>
        <v/>
      </c>
      <c r="U209" s="9" t="str">
        <f>IF(SUMIFS(Sheet1!$E:$E,Sheet1!$C:$C,$A209,Sheet1!$A:$A,U$2)&lt;&gt;0,SUMIFS(Sheet1!$E:$E,Sheet1!$C:$C,$A209,Sheet1!$A:$A,U$2),"")</f>
        <v/>
      </c>
      <c r="V209" s="9" t="str">
        <f>IF(SUMIFS(Sheet1!$E:$E,Sheet1!$C:$C,$A209,Sheet1!$A:$A,V$2)&lt;&gt;0,SUMIFS(Sheet1!$E:$E,Sheet1!$C:$C,$A209,Sheet1!$A:$A,V$2),"")</f>
        <v/>
      </c>
      <c r="W209" s="9" t="str">
        <f>IF(SUMIFS(Sheet1!$E:$E,Sheet1!$C:$C,$A209,Sheet1!$A:$A,W$2)&lt;&gt;0,SUMIFS(Sheet1!$E:$E,Sheet1!$C:$C,$A209,Sheet1!$A:$A,W$2),"")</f>
        <v/>
      </c>
      <c r="X209" s="9" t="str">
        <f>IF(SUMIFS(Sheet1!$E:$E,Sheet1!$C:$C,$A209,Sheet1!$A:$A,X$2)&lt;&gt;0,SUMIFS(Sheet1!$E:$E,Sheet1!$C:$C,$A209,Sheet1!$A:$A,X$2),"")</f>
        <v/>
      </c>
      <c r="Y209" s="9" t="str">
        <f>IF(SUMIFS(Sheet1!$E:$E,Sheet1!$C:$C,$A209,Sheet1!$A:$A,Y$2)&lt;&gt;0,SUMIFS(Sheet1!$E:$E,Sheet1!$C:$C,$A209,Sheet1!$A:$A,Y$2),"")</f>
        <v/>
      </c>
      <c r="Z209" s="9" t="str">
        <f>IF(SUMIFS(Sheet1!$E:$E,Sheet1!$C:$C,$A209,Sheet1!$A:$A,Z$2)&lt;&gt;0,SUMIFS(Sheet1!$E:$E,Sheet1!$C:$C,$A209,Sheet1!$A:$A,Z$2),"")</f>
        <v/>
      </c>
      <c r="AA209" s="9" t="str">
        <f>IF(SUMIFS(Sheet1!$E:$E,Sheet1!$C:$C,$A209,Sheet1!$A:$A,AA$2)&lt;&gt;0,SUMIFS(Sheet1!$E:$E,Sheet1!$C:$C,$A209,Sheet1!$A:$A,AA$2),"")</f>
        <v/>
      </c>
      <c r="AB209" s="9" t="str">
        <f>IF(SUMIFS(Sheet1!$E:$E,Sheet1!$C:$C,$A209,Sheet1!$A:$A,AB$2)&lt;&gt;0,SUMIFS(Sheet1!$E:$E,Sheet1!$C:$C,$A209,Sheet1!$A:$A,AB$2),"")</f>
        <v/>
      </c>
      <c r="AC209" s="9" t="str">
        <f>IF(SUMIFS(Sheet1!$E:$E,Sheet1!$C:$C,$A209,Sheet1!$A:$A,AC$2)&lt;&gt;0,SUMIFS(Sheet1!$E:$E,Sheet1!$C:$C,$A209,Sheet1!$A:$A,AC$2),"")</f>
        <v/>
      </c>
      <c r="AD209" s="9" t="str">
        <f>IF(SUMIFS(Sheet1!$E:$E,Sheet1!$C:$C,$A209,Sheet1!$A:$A,AD$2)&lt;&gt;0,SUMIFS(Sheet1!$E:$E,Sheet1!$C:$C,$A209,Sheet1!$A:$A,AD$2),"")</f>
        <v/>
      </c>
      <c r="AE209" s="9" t="str">
        <f>IF(SUMIFS(Sheet1!$E:$E,Sheet1!$C:$C,$A209,Sheet1!$A:$A,AE$2)&lt;&gt;0,SUMIFS(Sheet1!$E:$E,Sheet1!$C:$C,$A209,Sheet1!$A:$A,AE$2),"")</f>
        <v/>
      </c>
      <c r="AF209" s="9" t="str">
        <f>IF(SUMIFS(Sheet1!$E:$E,Sheet1!$C:$C,$A209,Sheet1!$A:$A,AF$2)&lt;&gt;0,SUMIFS(Sheet1!$E:$E,Sheet1!$C:$C,$A209,Sheet1!$A:$A,AF$2),"")</f>
        <v/>
      </c>
      <c r="AG209" s="9" t="str">
        <f>IF(SUMIFS(Sheet1!$E:$E,Sheet1!$C:$C,$A209,Sheet1!$A:$A,AG$2)&lt;&gt;0,SUMIFS(Sheet1!$E:$E,Sheet1!$C:$C,$A209,Sheet1!$A:$A,AG$2),"")</f>
        <v/>
      </c>
      <c r="AH209" s="47">
        <f>SUM(Table24[[#This Row],[1]:[31]])</f>
        <v>10</v>
      </c>
    </row>
    <row r="210" spans="1:34" ht="12.75" customHeight="1">
      <c r="A210" s="24" t="str">
        <f>DSSP!A209</f>
        <v>GC134</v>
      </c>
      <c r="B210" s="25" t="str">
        <f>DSSP!B209</f>
        <v>Cỏ 4 lá</v>
      </c>
      <c r="C210" s="9">
        <f>IF(SUMIFS(Sheet1!$E:$E,Sheet1!$C:$C,$A210,Sheet1!$A:$A,C$2)&lt;&gt;0,SUMIFS(Sheet1!$E:$E,Sheet1!$C:$C,$A210,Sheet1!$A:$A,C$2),"")</f>
        <v>1</v>
      </c>
      <c r="D210" s="9" t="str">
        <f>IF(SUMIFS(Sheet1!$E:$E,Sheet1!$C:$C,$A210,Sheet1!$A:$A,D$2)&lt;&gt;0,SUMIFS(Sheet1!$E:$E,Sheet1!$C:$C,$A210,Sheet1!$A:$A,D$2),"")</f>
        <v/>
      </c>
      <c r="E210" s="9" t="str">
        <f>IF(SUMIFS(Sheet1!$E:$E,Sheet1!$C:$C,$A210,Sheet1!$A:$A,E$2)&lt;&gt;0,SUMIFS(Sheet1!$E:$E,Sheet1!$C:$C,$A210,Sheet1!$A:$A,E$2),"")</f>
        <v/>
      </c>
      <c r="F210" s="9" t="str">
        <f>IF(SUMIFS(Sheet1!$E:$E,Sheet1!$C:$C,$A210,Sheet1!$A:$A,F$2)&lt;&gt;0,SUMIFS(Sheet1!$E:$E,Sheet1!$C:$C,$A210,Sheet1!$A:$A,F$2),"")</f>
        <v/>
      </c>
      <c r="G210" s="9" t="str">
        <f>IF(SUMIFS(Sheet1!$E:$E,Sheet1!$C:$C,$A210,Sheet1!$A:$A,G$2)&lt;&gt;0,SUMIFS(Sheet1!$E:$E,Sheet1!$C:$C,$A210,Sheet1!$A:$A,G$2),"")</f>
        <v/>
      </c>
      <c r="H210" s="9" t="str">
        <f>IF(SUMIFS(Sheet1!$E:$E,Sheet1!$C:$C,$A210,Sheet1!$A:$A,H$2)&lt;&gt;0,SUMIFS(Sheet1!$E:$E,Sheet1!$C:$C,$A210,Sheet1!$A:$A,H$2),"")</f>
        <v/>
      </c>
      <c r="I210" s="9" t="str">
        <f>IF(SUMIFS(Sheet1!$E:$E,Sheet1!$C:$C,$A210,Sheet1!$A:$A,I$2)&lt;&gt;0,SUMIFS(Sheet1!$E:$E,Sheet1!$C:$C,$A210,Sheet1!$A:$A,I$2),"")</f>
        <v/>
      </c>
      <c r="J210" s="9" t="str">
        <f>IF(SUMIFS(Sheet1!$E:$E,Sheet1!$C:$C,$A210,Sheet1!$A:$A,J$2)&lt;&gt;0,SUMIFS(Sheet1!$E:$E,Sheet1!$C:$C,$A210,Sheet1!$A:$A,J$2),"")</f>
        <v/>
      </c>
      <c r="K210" s="9" t="str">
        <f>IF(SUMIFS(Sheet1!$E:$E,Sheet1!$C:$C,$A210,Sheet1!$A:$A,K$2)&lt;&gt;0,SUMIFS(Sheet1!$E:$E,Sheet1!$C:$C,$A210,Sheet1!$A:$A,K$2),"")</f>
        <v/>
      </c>
      <c r="L210" s="9" t="str">
        <f>IF(SUMIFS(Sheet1!$E:$E,Sheet1!$C:$C,$A210,Sheet1!$A:$A,L$2)&lt;&gt;0,SUMIFS(Sheet1!$E:$E,Sheet1!$C:$C,$A210,Sheet1!$A:$A,L$2),"")</f>
        <v/>
      </c>
      <c r="M210" s="9" t="str">
        <f>IF(SUMIFS(Sheet1!$E:$E,Sheet1!$C:$C,$A210,Sheet1!$A:$A,M$2)&lt;&gt;0,SUMIFS(Sheet1!$E:$E,Sheet1!$C:$C,$A210,Sheet1!$A:$A,M$2),"")</f>
        <v/>
      </c>
      <c r="N210" s="9" t="str">
        <f>IF(SUMIFS(Sheet1!$E:$E,Sheet1!$C:$C,$A210,Sheet1!$A:$A,N$2)&lt;&gt;0,SUMIFS(Sheet1!$E:$E,Sheet1!$C:$C,$A210,Sheet1!$A:$A,N$2),"")</f>
        <v/>
      </c>
      <c r="O210" s="9" t="str">
        <f>IF(SUMIFS(Sheet1!$E:$E,Sheet1!$C:$C,$A210,Sheet1!$A:$A,O$2)&lt;&gt;0,SUMIFS(Sheet1!$E:$E,Sheet1!$C:$C,$A210,Sheet1!$A:$A,O$2),"")</f>
        <v/>
      </c>
      <c r="P210" s="9" t="str">
        <f>IF(SUMIFS(Sheet1!$E:$E,Sheet1!$C:$C,$A210,Sheet1!$A:$A,P$2)&lt;&gt;0,SUMIFS(Sheet1!$E:$E,Sheet1!$C:$C,$A210,Sheet1!$A:$A,P$2),"")</f>
        <v/>
      </c>
      <c r="Q210" s="9" t="str">
        <f>IF(SUMIFS(Sheet1!$E:$E,Sheet1!$C:$C,$A210,Sheet1!$A:$A,Q$2)&lt;&gt;0,SUMIFS(Sheet1!$E:$E,Sheet1!$C:$C,$A210,Sheet1!$A:$A,Q$2),"")</f>
        <v/>
      </c>
      <c r="R210" s="9" t="str">
        <f>IF(SUMIFS(Sheet1!$E:$E,Sheet1!$C:$C,$A210,Sheet1!$A:$A,R$2)&lt;&gt;0,SUMIFS(Sheet1!$E:$E,Sheet1!$C:$C,$A210,Sheet1!$A:$A,R$2),"")</f>
        <v/>
      </c>
      <c r="S210" s="9" t="str">
        <f>IF(SUMIFS(Sheet1!$E:$E,Sheet1!$C:$C,$A210,Sheet1!$A:$A,S$2)&lt;&gt;0,SUMIFS(Sheet1!$E:$E,Sheet1!$C:$C,$A210,Sheet1!$A:$A,S$2),"")</f>
        <v/>
      </c>
      <c r="T210" s="9" t="str">
        <f>IF(SUMIFS(Sheet1!$E:$E,Sheet1!$C:$C,$A210,Sheet1!$A:$A,T$2)&lt;&gt;0,SUMIFS(Sheet1!$E:$E,Sheet1!$C:$C,$A210,Sheet1!$A:$A,T$2),"")</f>
        <v/>
      </c>
      <c r="U210" s="9" t="str">
        <f>IF(SUMIFS(Sheet1!$E:$E,Sheet1!$C:$C,$A210,Sheet1!$A:$A,U$2)&lt;&gt;0,SUMIFS(Sheet1!$E:$E,Sheet1!$C:$C,$A210,Sheet1!$A:$A,U$2),"")</f>
        <v/>
      </c>
      <c r="V210" s="9" t="str">
        <f>IF(SUMIFS(Sheet1!$E:$E,Sheet1!$C:$C,$A210,Sheet1!$A:$A,V$2)&lt;&gt;0,SUMIFS(Sheet1!$E:$E,Sheet1!$C:$C,$A210,Sheet1!$A:$A,V$2),"")</f>
        <v/>
      </c>
      <c r="W210" s="9" t="str">
        <f>IF(SUMIFS(Sheet1!$E:$E,Sheet1!$C:$C,$A210,Sheet1!$A:$A,W$2)&lt;&gt;0,SUMIFS(Sheet1!$E:$E,Sheet1!$C:$C,$A210,Sheet1!$A:$A,W$2),"")</f>
        <v/>
      </c>
      <c r="X210" s="9" t="str">
        <f>IF(SUMIFS(Sheet1!$E:$E,Sheet1!$C:$C,$A210,Sheet1!$A:$A,X$2)&lt;&gt;0,SUMIFS(Sheet1!$E:$E,Sheet1!$C:$C,$A210,Sheet1!$A:$A,X$2),"")</f>
        <v/>
      </c>
      <c r="Y210" s="9" t="str">
        <f>IF(SUMIFS(Sheet1!$E:$E,Sheet1!$C:$C,$A210,Sheet1!$A:$A,Y$2)&lt;&gt;0,SUMIFS(Sheet1!$E:$E,Sheet1!$C:$C,$A210,Sheet1!$A:$A,Y$2),"")</f>
        <v/>
      </c>
      <c r="Z210" s="9" t="str">
        <f>IF(SUMIFS(Sheet1!$E:$E,Sheet1!$C:$C,$A210,Sheet1!$A:$A,Z$2)&lt;&gt;0,SUMIFS(Sheet1!$E:$E,Sheet1!$C:$C,$A210,Sheet1!$A:$A,Z$2),"")</f>
        <v/>
      </c>
      <c r="AA210" s="9" t="str">
        <f>IF(SUMIFS(Sheet1!$E:$E,Sheet1!$C:$C,$A210,Sheet1!$A:$A,AA$2)&lt;&gt;0,SUMIFS(Sheet1!$E:$E,Sheet1!$C:$C,$A210,Sheet1!$A:$A,AA$2),"")</f>
        <v/>
      </c>
      <c r="AB210" s="9" t="str">
        <f>IF(SUMIFS(Sheet1!$E:$E,Sheet1!$C:$C,$A210,Sheet1!$A:$A,AB$2)&lt;&gt;0,SUMIFS(Sheet1!$E:$E,Sheet1!$C:$C,$A210,Sheet1!$A:$A,AB$2),"")</f>
        <v/>
      </c>
      <c r="AC210" s="9" t="str">
        <f>IF(SUMIFS(Sheet1!$E:$E,Sheet1!$C:$C,$A210,Sheet1!$A:$A,AC$2)&lt;&gt;0,SUMIFS(Sheet1!$E:$E,Sheet1!$C:$C,$A210,Sheet1!$A:$A,AC$2),"")</f>
        <v/>
      </c>
      <c r="AD210" s="9" t="str">
        <f>IF(SUMIFS(Sheet1!$E:$E,Sheet1!$C:$C,$A210,Sheet1!$A:$A,AD$2)&lt;&gt;0,SUMIFS(Sheet1!$E:$E,Sheet1!$C:$C,$A210,Sheet1!$A:$A,AD$2),"")</f>
        <v/>
      </c>
      <c r="AE210" s="9" t="str">
        <f>IF(SUMIFS(Sheet1!$E:$E,Sheet1!$C:$C,$A210,Sheet1!$A:$A,AE$2)&lt;&gt;0,SUMIFS(Sheet1!$E:$E,Sheet1!$C:$C,$A210,Sheet1!$A:$A,AE$2),"")</f>
        <v/>
      </c>
      <c r="AF210" s="9" t="str">
        <f>IF(SUMIFS(Sheet1!$E:$E,Sheet1!$C:$C,$A210,Sheet1!$A:$A,AF$2)&lt;&gt;0,SUMIFS(Sheet1!$E:$E,Sheet1!$C:$C,$A210,Sheet1!$A:$A,AF$2),"")</f>
        <v/>
      </c>
      <c r="AG210" s="9" t="str">
        <f>IF(SUMIFS(Sheet1!$E:$E,Sheet1!$C:$C,$A210,Sheet1!$A:$A,AG$2)&lt;&gt;0,SUMIFS(Sheet1!$E:$E,Sheet1!$C:$C,$A210,Sheet1!$A:$A,AG$2),"")</f>
        <v/>
      </c>
      <c r="AH210" s="47">
        <f>SUM(Table24[[#This Row],[1]:[31]])</f>
        <v>1</v>
      </c>
    </row>
    <row r="211" spans="1:34" ht="12.75" customHeight="1">
      <c r="A211" s="24" t="str">
        <f>DSSP!A210</f>
        <v>GC135</v>
      </c>
      <c r="B211" s="25" t="str">
        <f>DSSP!B210</f>
        <v>Đôi cánh</v>
      </c>
      <c r="C211" s="9">
        <f>IF(SUMIFS(Sheet1!$E:$E,Sheet1!$C:$C,$A211,Sheet1!$A:$A,C$2)&lt;&gt;0,SUMIFS(Sheet1!$E:$E,Sheet1!$C:$C,$A211,Sheet1!$A:$A,C$2),"")</f>
        <v>3</v>
      </c>
      <c r="D211" s="9" t="str">
        <f>IF(SUMIFS(Sheet1!$E:$E,Sheet1!$C:$C,$A211,Sheet1!$A:$A,D$2)&lt;&gt;0,SUMIFS(Sheet1!$E:$E,Sheet1!$C:$C,$A211,Sheet1!$A:$A,D$2),"")</f>
        <v/>
      </c>
      <c r="E211" s="9" t="str">
        <f>IF(SUMIFS(Sheet1!$E:$E,Sheet1!$C:$C,$A211,Sheet1!$A:$A,E$2)&lt;&gt;0,SUMIFS(Sheet1!$E:$E,Sheet1!$C:$C,$A211,Sheet1!$A:$A,E$2),"")</f>
        <v/>
      </c>
      <c r="F211" s="9" t="str">
        <f>IF(SUMIFS(Sheet1!$E:$E,Sheet1!$C:$C,$A211,Sheet1!$A:$A,F$2)&lt;&gt;0,SUMIFS(Sheet1!$E:$E,Sheet1!$C:$C,$A211,Sheet1!$A:$A,F$2),"")</f>
        <v/>
      </c>
      <c r="G211" s="9" t="str">
        <f>IF(SUMIFS(Sheet1!$E:$E,Sheet1!$C:$C,$A211,Sheet1!$A:$A,G$2)&lt;&gt;0,SUMIFS(Sheet1!$E:$E,Sheet1!$C:$C,$A211,Sheet1!$A:$A,G$2),"")</f>
        <v/>
      </c>
      <c r="H211" s="9" t="str">
        <f>IF(SUMIFS(Sheet1!$E:$E,Sheet1!$C:$C,$A211,Sheet1!$A:$A,H$2)&lt;&gt;0,SUMIFS(Sheet1!$E:$E,Sheet1!$C:$C,$A211,Sheet1!$A:$A,H$2),"")</f>
        <v/>
      </c>
      <c r="I211" s="9" t="str">
        <f>IF(SUMIFS(Sheet1!$E:$E,Sheet1!$C:$C,$A211,Sheet1!$A:$A,I$2)&lt;&gt;0,SUMIFS(Sheet1!$E:$E,Sheet1!$C:$C,$A211,Sheet1!$A:$A,I$2),"")</f>
        <v/>
      </c>
      <c r="J211" s="9" t="str">
        <f>IF(SUMIFS(Sheet1!$E:$E,Sheet1!$C:$C,$A211,Sheet1!$A:$A,J$2)&lt;&gt;0,SUMIFS(Sheet1!$E:$E,Sheet1!$C:$C,$A211,Sheet1!$A:$A,J$2),"")</f>
        <v/>
      </c>
      <c r="K211" s="9" t="str">
        <f>IF(SUMIFS(Sheet1!$E:$E,Sheet1!$C:$C,$A211,Sheet1!$A:$A,K$2)&lt;&gt;0,SUMIFS(Sheet1!$E:$E,Sheet1!$C:$C,$A211,Sheet1!$A:$A,K$2),"")</f>
        <v/>
      </c>
      <c r="L211" s="9" t="str">
        <f>IF(SUMIFS(Sheet1!$E:$E,Sheet1!$C:$C,$A211,Sheet1!$A:$A,L$2)&lt;&gt;0,SUMIFS(Sheet1!$E:$E,Sheet1!$C:$C,$A211,Sheet1!$A:$A,L$2),"")</f>
        <v/>
      </c>
      <c r="M211" s="9" t="str">
        <f>IF(SUMIFS(Sheet1!$E:$E,Sheet1!$C:$C,$A211,Sheet1!$A:$A,M$2)&lt;&gt;0,SUMIFS(Sheet1!$E:$E,Sheet1!$C:$C,$A211,Sheet1!$A:$A,M$2),"")</f>
        <v/>
      </c>
      <c r="N211" s="9" t="str">
        <f>IF(SUMIFS(Sheet1!$E:$E,Sheet1!$C:$C,$A211,Sheet1!$A:$A,N$2)&lt;&gt;0,SUMIFS(Sheet1!$E:$E,Sheet1!$C:$C,$A211,Sheet1!$A:$A,N$2),"")</f>
        <v/>
      </c>
      <c r="O211" s="9" t="str">
        <f>IF(SUMIFS(Sheet1!$E:$E,Sheet1!$C:$C,$A211,Sheet1!$A:$A,O$2)&lt;&gt;0,SUMIFS(Sheet1!$E:$E,Sheet1!$C:$C,$A211,Sheet1!$A:$A,O$2),"")</f>
        <v/>
      </c>
      <c r="P211" s="9" t="str">
        <f>IF(SUMIFS(Sheet1!$E:$E,Sheet1!$C:$C,$A211,Sheet1!$A:$A,P$2)&lt;&gt;0,SUMIFS(Sheet1!$E:$E,Sheet1!$C:$C,$A211,Sheet1!$A:$A,P$2),"")</f>
        <v/>
      </c>
      <c r="Q211" s="9" t="str">
        <f>IF(SUMIFS(Sheet1!$E:$E,Sheet1!$C:$C,$A211,Sheet1!$A:$A,Q$2)&lt;&gt;0,SUMIFS(Sheet1!$E:$E,Sheet1!$C:$C,$A211,Sheet1!$A:$A,Q$2),"")</f>
        <v/>
      </c>
      <c r="R211" s="9" t="str">
        <f>IF(SUMIFS(Sheet1!$E:$E,Sheet1!$C:$C,$A211,Sheet1!$A:$A,R$2)&lt;&gt;0,SUMIFS(Sheet1!$E:$E,Sheet1!$C:$C,$A211,Sheet1!$A:$A,R$2),"")</f>
        <v/>
      </c>
      <c r="S211" s="9" t="str">
        <f>IF(SUMIFS(Sheet1!$E:$E,Sheet1!$C:$C,$A211,Sheet1!$A:$A,S$2)&lt;&gt;0,SUMIFS(Sheet1!$E:$E,Sheet1!$C:$C,$A211,Sheet1!$A:$A,S$2),"")</f>
        <v/>
      </c>
      <c r="T211" s="9" t="str">
        <f>IF(SUMIFS(Sheet1!$E:$E,Sheet1!$C:$C,$A211,Sheet1!$A:$A,T$2)&lt;&gt;0,SUMIFS(Sheet1!$E:$E,Sheet1!$C:$C,$A211,Sheet1!$A:$A,T$2),"")</f>
        <v/>
      </c>
      <c r="U211" s="9" t="str">
        <f>IF(SUMIFS(Sheet1!$E:$E,Sheet1!$C:$C,$A211,Sheet1!$A:$A,U$2)&lt;&gt;0,SUMIFS(Sheet1!$E:$E,Sheet1!$C:$C,$A211,Sheet1!$A:$A,U$2),"")</f>
        <v/>
      </c>
      <c r="V211" s="9" t="str">
        <f>IF(SUMIFS(Sheet1!$E:$E,Sheet1!$C:$C,$A211,Sheet1!$A:$A,V$2)&lt;&gt;0,SUMIFS(Sheet1!$E:$E,Sheet1!$C:$C,$A211,Sheet1!$A:$A,V$2),"")</f>
        <v/>
      </c>
      <c r="W211" s="9" t="str">
        <f>IF(SUMIFS(Sheet1!$E:$E,Sheet1!$C:$C,$A211,Sheet1!$A:$A,W$2)&lt;&gt;0,SUMIFS(Sheet1!$E:$E,Sheet1!$C:$C,$A211,Sheet1!$A:$A,W$2),"")</f>
        <v/>
      </c>
      <c r="X211" s="9" t="str">
        <f>IF(SUMIFS(Sheet1!$E:$E,Sheet1!$C:$C,$A211,Sheet1!$A:$A,X$2)&lt;&gt;0,SUMIFS(Sheet1!$E:$E,Sheet1!$C:$C,$A211,Sheet1!$A:$A,X$2),"")</f>
        <v/>
      </c>
      <c r="Y211" s="9" t="str">
        <f>IF(SUMIFS(Sheet1!$E:$E,Sheet1!$C:$C,$A211,Sheet1!$A:$A,Y$2)&lt;&gt;0,SUMIFS(Sheet1!$E:$E,Sheet1!$C:$C,$A211,Sheet1!$A:$A,Y$2),"")</f>
        <v/>
      </c>
      <c r="Z211" s="9" t="str">
        <f>IF(SUMIFS(Sheet1!$E:$E,Sheet1!$C:$C,$A211,Sheet1!$A:$A,Z$2)&lt;&gt;0,SUMIFS(Sheet1!$E:$E,Sheet1!$C:$C,$A211,Sheet1!$A:$A,Z$2),"")</f>
        <v/>
      </c>
      <c r="AA211" s="9" t="str">
        <f>IF(SUMIFS(Sheet1!$E:$E,Sheet1!$C:$C,$A211,Sheet1!$A:$A,AA$2)&lt;&gt;0,SUMIFS(Sheet1!$E:$E,Sheet1!$C:$C,$A211,Sheet1!$A:$A,AA$2),"")</f>
        <v/>
      </c>
      <c r="AB211" s="9" t="str">
        <f>IF(SUMIFS(Sheet1!$E:$E,Sheet1!$C:$C,$A211,Sheet1!$A:$A,AB$2)&lt;&gt;0,SUMIFS(Sheet1!$E:$E,Sheet1!$C:$C,$A211,Sheet1!$A:$A,AB$2),"")</f>
        <v/>
      </c>
      <c r="AC211" s="9" t="str">
        <f>IF(SUMIFS(Sheet1!$E:$E,Sheet1!$C:$C,$A211,Sheet1!$A:$A,AC$2)&lt;&gt;0,SUMIFS(Sheet1!$E:$E,Sheet1!$C:$C,$A211,Sheet1!$A:$A,AC$2),"")</f>
        <v/>
      </c>
      <c r="AD211" s="9" t="str">
        <f>IF(SUMIFS(Sheet1!$E:$E,Sheet1!$C:$C,$A211,Sheet1!$A:$A,AD$2)&lt;&gt;0,SUMIFS(Sheet1!$E:$E,Sheet1!$C:$C,$A211,Sheet1!$A:$A,AD$2),"")</f>
        <v/>
      </c>
      <c r="AE211" s="9" t="str">
        <f>IF(SUMIFS(Sheet1!$E:$E,Sheet1!$C:$C,$A211,Sheet1!$A:$A,AE$2)&lt;&gt;0,SUMIFS(Sheet1!$E:$E,Sheet1!$C:$C,$A211,Sheet1!$A:$A,AE$2),"")</f>
        <v/>
      </c>
      <c r="AF211" s="9" t="str">
        <f>IF(SUMIFS(Sheet1!$E:$E,Sheet1!$C:$C,$A211,Sheet1!$A:$A,AF$2)&lt;&gt;0,SUMIFS(Sheet1!$E:$E,Sheet1!$C:$C,$A211,Sheet1!$A:$A,AF$2),"")</f>
        <v/>
      </c>
      <c r="AG211" s="9" t="str">
        <f>IF(SUMIFS(Sheet1!$E:$E,Sheet1!$C:$C,$A211,Sheet1!$A:$A,AG$2)&lt;&gt;0,SUMIFS(Sheet1!$E:$E,Sheet1!$C:$C,$A211,Sheet1!$A:$A,AG$2),"")</f>
        <v/>
      </c>
      <c r="AH211" s="47">
        <f>SUM(Table24[[#This Row],[1]:[31]])</f>
        <v>3</v>
      </c>
    </row>
    <row r="212" spans="1:34" ht="12.75" customHeight="1">
      <c r="A212" s="24" t="str">
        <f>DSSP!A211</f>
        <v>GC136</v>
      </c>
      <c r="B212" s="25" t="str">
        <f>DSSP!B211</f>
        <v>Ấm trà</v>
      </c>
      <c r="C212" s="9">
        <f>IF(SUMIFS(Sheet1!$E:$E,Sheet1!$C:$C,$A212,Sheet1!$A:$A,C$2)&lt;&gt;0,SUMIFS(Sheet1!$E:$E,Sheet1!$C:$C,$A212,Sheet1!$A:$A,C$2),"")</f>
        <v>38</v>
      </c>
      <c r="D212" s="9" t="str">
        <f>IF(SUMIFS(Sheet1!$E:$E,Sheet1!$C:$C,$A212,Sheet1!$A:$A,D$2)&lt;&gt;0,SUMIFS(Sheet1!$E:$E,Sheet1!$C:$C,$A212,Sheet1!$A:$A,D$2),"")</f>
        <v/>
      </c>
      <c r="E212" s="9" t="str">
        <f>IF(SUMIFS(Sheet1!$E:$E,Sheet1!$C:$C,$A212,Sheet1!$A:$A,E$2)&lt;&gt;0,SUMIFS(Sheet1!$E:$E,Sheet1!$C:$C,$A212,Sheet1!$A:$A,E$2),"")</f>
        <v/>
      </c>
      <c r="F212" s="9" t="str">
        <f>IF(SUMIFS(Sheet1!$E:$E,Sheet1!$C:$C,$A212,Sheet1!$A:$A,F$2)&lt;&gt;0,SUMIFS(Sheet1!$E:$E,Sheet1!$C:$C,$A212,Sheet1!$A:$A,F$2),"")</f>
        <v/>
      </c>
      <c r="G212" s="9" t="str">
        <f>IF(SUMIFS(Sheet1!$E:$E,Sheet1!$C:$C,$A212,Sheet1!$A:$A,G$2)&lt;&gt;0,SUMIFS(Sheet1!$E:$E,Sheet1!$C:$C,$A212,Sheet1!$A:$A,G$2),"")</f>
        <v/>
      </c>
      <c r="H212" s="9" t="str">
        <f>IF(SUMIFS(Sheet1!$E:$E,Sheet1!$C:$C,$A212,Sheet1!$A:$A,H$2)&lt;&gt;0,SUMIFS(Sheet1!$E:$E,Sheet1!$C:$C,$A212,Sheet1!$A:$A,H$2),"")</f>
        <v/>
      </c>
      <c r="I212" s="9" t="str">
        <f>IF(SUMIFS(Sheet1!$E:$E,Sheet1!$C:$C,$A212,Sheet1!$A:$A,I$2)&lt;&gt;0,SUMIFS(Sheet1!$E:$E,Sheet1!$C:$C,$A212,Sheet1!$A:$A,I$2),"")</f>
        <v/>
      </c>
      <c r="J212" s="9" t="str">
        <f>IF(SUMIFS(Sheet1!$E:$E,Sheet1!$C:$C,$A212,Sheet1!$A:$A,J$2)&lt;&gt;0,SUMIFS(Sheet1!$E:$E,Sheet1!$C:$C,$A212,Sheet1!$A:$A,J$2),"")</f>
        <v/>
      </c>
      <c r="K212" s="9" t="str">
        <f>IF(SUMIFS(Sheet1!$E:$E,Sheet1!$C:$C,$A212,Sheet1!$A:$A,K$2)&lt;&gt;0,SUMIFS(Sheet1!$E:$E,Sheet1!$C:$C,$A212,Sheet1!$A:$A,K$2),"")</f>
        <v/>
      </c>
      <c r="L212" s="9" t="str">
        <f>IF(SUMIFS(Sheet1!$E:$E,Sheet1!$C:$C,$A212,Sheet1!$A:$A,L$2)&lt;&gt;0,SUMIFS(Sheet1!$E:$E,Sheet1!$C:$C,$A212,Sheet1!$A:$A,L$2),"")</f>
        <v/>
      </c>
      <c r="M212" s="9" t="str">
        <f>IF(SUMIFS(Sheet1!$E:$E,Sheet1!$C:$C,$A212,Sheet1!$A:$A,M$2)&lt;&gt;0,SUMIFS(Sheet1!$E:$E,Sheet1!$C:$C,$A212,Sheet1!$A:$A,M$2),"")</f>
        <v/>
      </c>
      <c r="N212" s="9" t="str">
        <f>IF(SUMIFS(Sheet1!$E:$E,Sheet1!$C:$C,$A212,Sheet1!$A:$A,N$2)&lt;&gt;0,SUMIFS(Sheet1!$E:$E,Sheet1!$C:$C,$A212,Sheet1!$A:$A,N$2),"")</f>
        <v/>
      </c>
      <c r="O212" s="9" t="str">
        <f>IF(SUMIFS(Sheet1!$E:$E,Sheet1!$C:$C,$A212,Sheet1!$A:$A,O$2)&lt;&gt;0,SUMIFS(Sheet1!$E:$E,Sheet1!$C:$C,$A212,Sheet1!$A:$A,O$2),"")</f>
        <v/>
      </c>
      <c r="P212" s="9" t="str">
        <f>IF(SUMIFS(Sheet1!$E:$E,Sheet1!$C:$C,$A212,Sheet1!$A:$A,P$2)&lt;&gt;0,SUMIFS(Sheet1!$E:$E,Sheet1!$C:$C,$A212,Sheet1!$A:$A,P$2),"")</f>
        <v/>
      </c>
      <c r="Q212" s="9" t="str">
        <f>IF(SUMIFS(Sheet1!$E:$E,Sheet1!$C:$C,$A212,Sheet1!$A:$A,Q$2)&lt;&gt;0,SUMIFS(Sheet1!$E:$E,Sheet1!$C:$C,$A212,Sheet1!$A:$A,Q$2),"")</f>
        <v/>
      </c>
      <c r="R212" s="9" t="str">
        <f>IF(SUMIFS(Sheet1!$E:$E,Sheet1!$C:$C,$A212,Sheet1!$A:$A,R$2)&lt;&gt;0,SUMIFS(Sheet1!$E:$E,Sheet1!$C:$C,$A212,Sheet1!$A:$A,R$2),"")</f>
        <v/>
      </c>
      <c r="S212" s="9" t="str">
        <f>IF(SUMIFS(Sheet1!$E:$E,Sheet1!$C:$C,$A212,Sheet1!$A:$A,S$2)&lt;&gt;0,SUMIFS(Sheet1!$E:$E,Sheet1!$C:$C,$A212,Sheet1!$A:$A,S$2),"")</f>
        <v/>
      </c>
      <c r="T212" s="9" t="str">
        <f>IF(SUMIFS(Sheet1!$E:$E,Sheet1!$C:$C,$A212,Sheet1!$A:$A,T$2)&lt;&gt;0,SUMIFS(Sheet1!$E:$E,Sheet1!$C:$C,$A212,Sheet1!$A:$A,T$2),"")</f>
        <v/>
      </c>
      <c r="U212" s="9" t="str">
        <f>IF(SUMIFS(Sheet1!$E:$E,Sheet1!$C:$C,$A212,Sheet1!$A:$A,U$2)&lt;&gt;0,SUMIFS(Sheet1!$E:$E,Sheet1!$C:$C,$A212,Sheet1!$A:$A,U$2),"")</f>
        <v/>
      </c>
      <c r="V212" s="9" t="str">
        <f>IF(SUMIFS(Sheet1!$E:$E,Sheet1!$C:$C,$A212,Sheet1!$A:$A,V$2)&lt;&gt;0,SUMIFS(Sheet1!$E:$E,Sheet1!$C:$C,$A212,Sheet1!$A:$A,V$2),"")</f>
        <v/>
      </c>
      <c r="W212" s="9" t="str">
        <f>IF(SUMIFS(Sheet1!$E:$E,Sheet1!$C:$C,$A212,Sheet1!$A:$A,W$2)&lt;&gt;0,SUMIFS(Sheet1!$E:$E,Sheet1!$C:$C,$A212,Sheet1!$A:$A,W$2),"")</f>
        <v/>
      </c>
      <c r="X212" s="9" t="str">
        <f>IF(SUMIFS(Sheet1!$E:$E,Sheet1!$C:$C,$A212,Sheet1!$A:$A,X$2)&lt;&gt;0,SUMIFS(Sheet1!$E:$E,Sheet1!$C:$C,$A212,Sheet1!$A:$A,X$2),"")</f>
        <v/>
      </c>
      <c r="Y212" s="9" t="str">
        <f>IF(SUMIFS(Sheet1!$E:$E,Sheet1!$C:$C,$A212,Sheet1!$A:$A,Y$2)&lt;&gt;0,SUMIFS(Sheet1!$E:$E,Sheet1!$C:$C,$A212,Sheet1!$A:$A,Y$2),"")</f>
        <v/>
      </c>
      <c r="Z212" s="9" t="str">
        <f>IF(SUMIFS(Sheet1!$E:$E,Sheet1!$C:$C,$A212,Sheet1!$A:$A,Z$2)&lt;&gt;0,SUMIFS(Sheet1!$E:$E,Sheet1!$C:$C,$A212,Sheet1!$A:$A,Z$2),"")</f>
        <v/>
      </c>
      <c r="AA212" s="9" t="str">
        <f>IF(SUMIFS(Sheet1!$E:$E,Sheet1!$C:$C,$A212,Sheet1!$A:$A,AA$2)&lt;&gt;0,SUMIFS(Sheet1!$E:$E,Sheet1!$C:$C,$A212,Sheet1!$A:$A,AA$2),"")</f>
        <v/>
      </c>
      <c r="AB212" s="9" t="str">
        <f>IF(SUMIFS(Sheet1!$E:$E,Sheet1!$C:$C,$A212,Sheet1!$A:$A,AB$2)&lt;&gt;0,SUMIFS(Sheet1!$E:$E,Sheet1!$C:$C,$A212,Sheet1!$A:$A,AB$2),"")</f>
        <v/>
      </c>
      <c r="AC212" s="9" t="str">
        <f>IF(SUMIFS(Sheet1!$E:$E,Sheet1!$C:$C,$A212,Sheet1!$A:$A,AC$2)&lt;&gt;0,SUMIFS(Sheet1!$E:$E,Sheet1!$C:$C,$A212,Sheet1!$A:$A,AC$2),"")</f>
        <v/>
      </c>
      <c r="AD212" s="9" t="str">
        <f>IF(SUMIFS(Sheet1!$E:$E,Sheet1!$C:$C,$A212,Sheet1!$A:$A,AD$2)&lt;&gt;0,SUMIFS(Sheet1!$E:$E,Sheet1!$C:$C,$A212,Sheet1!$A:$A,AD$2),"")</f>
        <v/>
      </c>
      <c r="AE212" s="9" t="str">
        <f>IF(SUMIFS(Sheet1!$E:$E,Sheet1!$C:$C,$A212,Sheet1!$A:$A,AE$2)&lt;&gt;0,SUMIFS(Sheet1!$E:$E,Sheet1!$C:$C,$A212,Sheet1!$A:$A,AE$2),"")</f>
        <v/>
      </c>
      <c r="AF212" s="9" t="str">
        <f>IF(SUMIFS(Sheet1!$E:$E,Sheet1!$C:$C,$A212,Sheet1!$A:$A,AF$2)&lt;&gt;0,SUMIFS(Sheet1!$E:$E,Sheet1!$C:$C,$A212,Sheet1!$A:$A,AF$2),"")</f>
        <v/>
      </c>
      <c r="AG212" s="9" t="str">
        <f>IF(SUMIFS(Sheet1!$E:$E,Sheet1!$C:$C,$A212,Sheet1!$A:$A,AG$2)&lt;&gt;0,SUMIFS(Sheet1!$E:$E,Sheet1!$C:$C,$A212,Sheet1!$A:$A,AG$2),"")</f>
        <v/>
      </c>
      <c r="AH212" s="47">
        <f>SUM(Table24[[#This Row],[1]:[31]])</f>
        <v>38</v>
      </c>
    </row>
    <row r="213" spans="1:34" ht="12.75" customHeight="1">
      <c r="A213" s="24" t="str">
        <f>DSSP!A212</f>
        <v>GC137</v>
      </c>
      <c r="B213" s="25" t="str">
        <f>DSSP!B212</f>
        <v>Chìa khoá đôi</v>
      </c>
      <c r="C213" s="9">
        <f>IF(SUMIFS(Sheet1!$E:$E,Sheet1!$C:$C,$A213,Sheet1!$A:$A,C$2)&lt;&gt;0,SUMIFS(Sheet1!$E:$E,Sheet1!$C:$C,$A213,Sheet1!$A:$A,C$2),"")</f>
        <v>71</v>
      </c>
      <c r="D213" s="9" t="str">
        <f>IF(SUMIFS(Sheet1!$E:$E,Sheet1!$C:$C,$A213,Sheet1!$A:$A,D$2)&lt;&gt;0,SUMIFS(Sheet1!$E:$E,Sheet1!$C:$C,$A213,Sheet1!$A:$A,D$2),"")</f>
        <v/>
      </c>
      <c r="E213" s="9" t="str">
        <f>IF(SUMIFS(Sheet1!$E:$E,Sheet1!$C:$C,$A213,Sheet1!$A:$A,E$2)&lt;&gt;0,SUMIFS(Sheet1!$E:$E,Sheet1!$C:$C,$A213,Sheet1!$A:$A,E$2),"")</f>
        <v/>
      </c>
      <c r="F213" s="9" t="str">
        <f>IF(SUMIFS(Sheet1!$E:$E,Sheet1!$C:$C,$A213,Sheet1!$A:$A,F$2)&lt;&gt;0,SUMIFS(Sheet1!$E:$E,Sheet1!$C:$C,$A213,Sheet1!$A:$A,F$2),"")</f>
        <v/>
      </c>
      <c r="G213" s="9" t="str">
        <f>IF(SUMIFS(Sheet1!$E:$E,Sheet1!$C:$C,$A213,Sheet1!$A:$A,G$2)&lt;&gt;0,SUMIFS(Sheet1!$E:$E,Sheet1!$C:$C,$A213,Sheet1!$A:$A,G$2),"")</f>
        <v/>
      </c>
      <c r="H213" s="9" t="str">
        <f>IF(SUMIFS(Sheet1!$E:$E,Sheet1!$C:$C,$A213,Sheet1!$A:$A,H$2)&lt;&gt;0,SUMIFS(Sheet1!$E:$E,Sheet1!$C:$C,$A213,Sheet1!$A:$A,H$2),"")</f>
        <v/>
      </c>
      <c r="I213" s="9" t="str">
        <f>IF(SUMIFS(Sheet1!$E:$E,Sheet1!$C:$C,$A213,Sheet1!$A:$A,I$2)&lt;&gt;0,SUMIFS(Sheet1!$E:$E,Sheet1!$C:$C,$A213,Sheet1!$A:$A,I$2),"")</f>
        <v/>
      </c>
      <c r="J213" s="9" t="str">
        <f>IF(SUMIFS(Sheet1!$E:$E,Sheet1!$C:$C,$A213,Sheet1!$A:$A,J$2)&lt;&gt;0,SUMIFS(Sheet1!$E:$E,Sheet1!$C:$C,$A213,Sheet1!$A:$A,J$2),"")</f>
        <v/>
      </c>
      <c r="K213" s="9" t="str">
        <f>IF(SUMIFS(Sheet1!$E:$E,Sheet1!$C:$C,$A213,Sheet1!$A:$A,K$2)&lt;&gt;0,SUMIFS(Sheet1!$E:$E,Sheet1!$C:$C,$A213,Sheet1!$A:$A,K$2),"")</f>
        <v/>
      </c>
      <c r="L213" s="9" t="str">
        <f>IF(SUMIFS(Sheet1!$E:$E,Sheet1!$C:$C,$A213,Sheet1!$A:$A,L$2)&lt;&gt;0,SUMIFS(Sheet1!$E:$E,Sheet1!$C:$C,$A213,Sheet1!$A:$A,L$2),"")</f>
        <v/>
      </c>
      <c r="M213" s="9" t="str">
        <f>IF(SUMIFS(Sheet1!$E:$E,Sheet1!$C:$C,$A213,Sheet1!$A:$A,M$2)&lt;&gt;0,SUMIFS(Sheet1!$E:$E,Sheet1!$C:$C,$A213,Sheet1!$A:$A,M$2),"")</f>
        <v/>
      </c>
      <c r="N213" s="9" t="str">
        <f>IF(SUMIFS(Sheet1!$E:$E,Sheet1!$C:$C,$A213,Sheet1!$A:$A,N$2)&lt;&gt;0,SUMIFS(Sheet1!$E:$E,Sheet1!$C:$C,$A213,Sheet1!$A:$A,N$2),"")</f>
        <v/>
      </c>
      <c r="O213" s="9" t="str">
        <f>IF(SUMIFS(Sheet1!$E:$E,Sheet1!$C:$C,$A213,Sheet1!$A:$A,O$2)&lt;&gt;0,SUMIFS(Sheet1!$E:$E,Sheet1!$C:$C,$A213,Sheet1!$A:$A,O$2),"")</f>
        <v/>
      </c>
      <c r="P213" s="9" t="str">
        <f>IF(SUMIFS(Sheet1!$E:$E,Sheet1!$C:$C,$A213,Sheet1!$A:$A,P$2)&lt;&gt;0,SUMIFS(Sheet1!$E:$E,Sheet1!$C:$C,$A213,Sheet1!$A:$A,P$2),"")</f>
        <v/>
      </c>
      <c r="Q213" s="9" t="str">
        <f>IF(SUMIFS(Sheet1!$E:$E,Sheet1!$C:$C,$A213,Sheet1!$A:$A,Q$2)&lt;&gt;0,SUMIFS(Sheet1!$E:$E,Sheet1!$C:$C,$A213,Sheet1!$A:$A,Q$2),"")</f>
        <v/>
      </c>
      <c r="R213" s="9" t="str">
        <f>IF(SUMIFS(Sheet1!$E:$E,Sheet1!$C:$C,$A213,Sheet1!$A:$A,R$2)&lt;&gt;0,SUMIFS(Sheet1!$E:$E,Sheet1!$C:$C,$A213,Sheet1!$A:$A,R$2),"")</f>
        <v/>
      </c>
      <c r="S213" s="9" t="str">
        <f>IF(SUMIFS(Sheet1!$E:$E,Sheet1!$C:$C,$A213,Sheet1!$A:$A,S$2)&lt;&gt;0,SUMIFS(Sheet1!$E:$E,Sheet1!$C:$C,$A213,Sheet1!$A:$A,S$2),"")</f>
        <v/>
      </c>
      <c r="T213" s="9" t="str">
        <f>IF(SUMIFS(Sheet1!$E:$E,Sheet1!$C:$C,$A213,Sheet1!$A:$A,T$2)&lt;&gt;0,SUMIFS(Sheet1!$E:$E,Sheet1!$C:$C,$A213,Sheet1!$A:$A,T$2),"")</f>
        <v/>
      </c>
      <c r="U213" s="9" t="str">
        <f>IF(SUMIFS(Sheet1!$E:$E,Sheet1!$C:$C,$A213,Sheet1!$A:$A,U$2)&lt;&gt;0,SUMIFS(Sheet1!$E:$E,Sheet1!$C:$C,$A213,Sheet1!$A:$A,U$2),"")</f>
        <v/>
      </c>
      <c r="V213" s="9" t="str">
        <f>IF(SUMIFS(Sheet1!$E:$E,Sheet1!$C:$C,$A213,Sheet1!$A:$A,V$2)&lt;&gt;0,SUMIFS(Sheet1!$E:$E,Sheet1!$C:$C,$A213,Sheet1!$A:$A,V$2),"")</f>
        <v/>
      </c>
      <c r="W213" s="9" t="str">
        <f>IF(SUMIFS(Sheet1!$E:$E,Sheet1!$C:$C,$A213,Sheet1!$A:$A,W$2)&lt;&gt;0,SUMIFS(Sheet1!$E:$E,Sheet1!$C:$C,$A213,Sheet1!$A:$A,W$2),"")</f>
        <v/>
      </c>
      <c r="X213" s="9" t="str">
        <f>IF(SUMIFS(Sheet1!$E:$E,Sheet1!$C:$C,$A213,Sheet1!$A:$A,X$2)&lt;&gt;0,SUMIFS(Sheet1!$E:$E,Sheet1!$C:$C,$A213,Sheet1!$A:$A,X$2),"")</f>
        <v/>
      </c>
      <c r="Y213" s="9" t="str">
        <f>IF(SUMIFS(Sheet1!$E:$E,Sheet1!$C:$C,$A213,Sheet1!$A:$A,Y$2)&lt;&gt;0,SUMIFS(Sheet1!$E:$E,Sheet1!$C:$C,$A213,Sheet1!$A:$A,Y$2),"")</f>
        <v/>
      </c>
      <c r="Z213" s="9" t="str">
        <f>IF(SUMIFS(Sheet1!$E:$E,Sheet1!$C:$C,$A213,Sheet1!$A:$A,Z$2)&lt;&gt;0,SUMIFS(Sheet1!$E:$E,Sheet1!$C:$C,$A213,Sheet1!$A:$A,Z$2),"")</f>
        <v/>
      </c>
      <c r="AA213" s="9" t="str">
        <f>IF(SUMIFS(Sheet1!$E:$E,Sheet1!$C:$C,$A213,Sheet1!$A:$A,AA$2)&lt;&gt;0,SUMIFS(Sheet1!$E:$E,Sheet1!$C:$C,$A213,Sheet1!$A:$A,AA$2),"")</f>
        <v/>
      </c>
      <c r="AB213" s="9" t="str">
        <f>IF(SUMIFS(Sheet1!$E:$E,Sheet1!$C:$C,$A213,Sheet1!$A:$A,AB$2)&lt;&gt;0,SUMIFS(Sheet1!$E:$E,Sheet1!$C:$C,$A213,Sheet1!$A:$A,AB$2),"")</f>
        <v/>
      </c>
      <c r="AC213" s="9" t="str">
        <f>IF(SUMIFS(Sheet1!$E:$E,Sheet1!$C:$C,$A213,Sheet1!$A:$A,AC$2)&lt;&gt;0,SUMIFS(Sheet1!$E:$E,Sheet1!$C:$C,$A213,Sheet1!$A:$A,AC$2),"")</f>
        <v/>
      </c>
      <c r="AD213" s="9" t="str">
        <f>IF(SUMIFS(Sheet1!$E:$E,Sheet1!$C:$C,$A213,Sheet1!$A:$A,AD$2)&lt;&gt;0,SUMIFS(Sheet1!$E:$E,Sheet1!$C:$C,$A213,Sheet1!$A:$A,AD$2),"")</f>
        <v/>
      </c>
      <c r="AE213" s="9" t="str">
        <f>IF(SUMIFS(Sheet1!$E:$E,Sheet1!$C:$C,$A213,Sheet1!$A:$A,AE$2)&lt;&gt;0,SUMIFS(Sheet1!$E:$E,Sheet1!$C:$C,$A213,Sheet1!$A:$A,AE$2),"")</f>
        <v/>
      </c>
      <c r="AF213" s="9" t="str">
        <f>IF(SUMIFS(Sheet1!$E:$E,Sheet1!$C:$C,$A213,Sheet1!$A:$A,AF$2)&lt;&gt;0,SUMIFS(Sheet1!$E:$E,Sheet1!$C:$C,$A213,Sheet1!$A:$A,AF$2),"")</f>
        <v/>
      </c>
      <c r="AG213" s="9" t="str">
        <f>IF(SUMIFS(Sheet1!$E:$E,Sheet1!$C:$C,$A213,Sheet1!$A:$A,AG$2)&lt;&gt;0,SUMIFS(Sheet1!$E:$E,Sheet1!$C:$C,$A213,Sheet1!$A:$A,AG$2),"")</f>
        <v/>
      </c>
      <c r="AH213" s="47">
        <f>SUM(Table24[[#This Row],[1]:[31]])</f>
        <v>71</v>
      </c>
    </row>
    <row r="214" spans="1:34" ht="12.75" customHeight="1">
      <c r="A214" s="24" t="str">
        <f>DSSP!A213</f>
        <v>GC138</v>
      </c>
      <c r="B214" s="25" t="str">
        <f>DSSP!B213</f>
        <v>Vòng tròn peace</v>
      </c>
      <c r="C214" s="9">
        <f>IF(SUMIFS(Sheet1!$E:$E,Sheet1!$C:$C,$A214,Sheet1!$A:$A,C$2)&lt;&gt;0,SUMIFS(Sheet1!$E:$E,Sheet1!$C:$C,$A214,Sheet1!$A:$A,C$2),"")</f>
        <v>10</v>
      </c>
      <c r="D214" s="9" t="str">
        <f>IF(SUMIFS(Sheet1!$E:$E,Sheet1!$C:$C,$A214,Sheet1!$A:$A,D$2)&lt;&gt;0,SUMIFS(Sheet1!$E:$E,Sheet1!$C:$C,$A214,Sheet1!$A:$A,D$2),"")</f>
        <v/>
      </c>
      <c r="E214" s="9" t="str">
        <f>IF(SUMIFS(Sheet1!$E:$E,Sheet1!$C:$C,$A214,Sheet1!$A:$A,E$2)&lt;&gt;0,SUMIFS(Sheet1!$E:$E,Sheet1!$C:$C,$A214,Sheet1!$A:$A,E$2),"")</f>
        <v/>
      </c>
      <c r="F214" s="9" t="str">
        <f>IF(SUMIFS(Sheet1!$E:$E,Sheet1!$C:$C,$A214,Sheet1!$A:$A,F$2)&lt;&gt;0,SUMIFS(Sheet1!$E:$E,Sheet1!$C:$C,$A214,Sheet1!$A:$A,F$2),"")</f>
        <v/>
      </c>
      <c r="G214" s="9" t="str">
        <f>IF(SUMIFS(Sheet1!$E:$E,Sheet1!$C:$C,$A214,Sheet1!$A:$A,G$2)&lt;&gt;0,SUMIFS(Sheet1!$E:$E,Sheet1!$C:$C,$A214,Sheet1!$A:$A,G$2),"")</f>
        <v/>
      </c>
      <c r="H214" s="9" t="str">
        <f>IF(SUMIFS(Sheet1!$E:$E,Sheet1!$C:$C,$A214,Sheet1!$A:$A,H$2)&lt;&gt;0,SUMIFS(Sheet1!$E:$E,Sheet1!$C:$C,$A214,Sheet1!$A:$A,H$2),"")</f>
        <v/>
      </c>
      <c r="I214" s="9" t="str">
        <f>IF(SUMIFS(Sheet1!$E:$E,Sheet1!$C:$C,$A214,Sheet1!$A:$A,I$2)&lt;&gt;0,SUMIFS(Sheet1!$E:$E,Sheet1!$C:$C,$A214,Sheet1!$A:$A,I$2),"")</f>
        <v/>
      </c>
      <c r="J214" s="9" t="str">
        <f>IF(SUMIFS(Sheet1!$E:$E,Sheet1!$C:$C,$A214,Sheet1!$A:$A,J$2)&lt;&gt;0,SUMIFS(Sheet1!$E:$E,Sheet1!$C:$C,$A214,Sheet1!$A:$A,J$2),"")</f>
        <v/>
      </c>
      <c r="K214" s="9" t="str">
        <f>IF(SUMIFS(Sheet1!$E:$E,Sheet1!$C:$C,$A214,Sheet1!$A:$A,K$2)&lt;&gt;0,SUMIFS(Sheet1!$E:$E,Sheet1!$C:$C,$A214,Sheet1!$A:$A,K$2),"")</f>
        <v/>
      </c>
      <c r="L214" s="9" t="str">
        <f>IF(SUMIFS(Sheet1!$E:$E,Sheet1!$C:$C,$A214,Sheet1!$A:$A,L$2)&lt;&gt;0,SUMIFS(Sheet1!$E:$E,Sheet1!$C:$C,$A214,Sheet1!$A:$A,L$2),"")</f>
        <v/>
      </c>
      <c r="M214" s="9" t="str">
        <f>IF(SUMIFS(Sheet1!$E:$E,Sheet1!$C:$C,$A214,Sheet1!$A:$A,M$2)&lt;&gt;0,SUMIFS(Sheet1!$E:$E,Sheet1!$C:$C,$A214,Sheet1!$A:$A,M$2),"")</f>
        <v/>
      </c>
      <c r="N214" s="9" t="str">
        <f>IF(SUMIFS(Sheet1!$E:$E,Sheet1!$C:$C,$A214,Sheet1!$A:$A,N$2)&lt;&gt;0,SUMIFS(Sheet1!$E:$E,Sheet1!$C:$C,$A214,Sheet1!$A:$A,N$2),"")</f>
        <v/>
      </c>
      <c r="O214" s="9" t="str">
        <f>IF(SUMIFS(Sheet1!$E:$E,Sheet1!$C:$C,$A214,Sheet1!$A:$A,O$2)&lt;&gt;0,SUMIFS(Sheet1!$E:$E,Sheet1!$C:$C,$A214,Sheet1!$A:$A,O$2),"")</f>
        <v/>
      </c>
      <c r="P214" s="9" t="str">
        <f>IF(SUMIFS(Sheet1!$E:$E,Sheet1!$C:$C,$A214,Sheet1!$A:$A,P$2)&lt;&gt;0,SUMIFS(Sheet1!$E:$E,Sheet1!$C:$C,$A214,Sheet1!$A:$A,P$2),"")</f>
        <v/>
      </c>
      <c r="Q214" s="9" t="str">
        <f>IF(SUMIFS(Sheet1!$E:$E,Sheet1!$C:$C,$A214,Sheet1!$A:$A,Q$2)&lt;&gt;0,SUMIFS(Sheet1!$E:$E,Sheet1!$C:$C,$A214,Sheet1!$A:$A,Q$2),"")</f>
        <v/>
      </c>
      <c r="R214" s="9" t="str">
        <f>IF(SUMIFS(Sheet1!$E:$E,Sheet1!$C:$C,$A214,Sheet1!$A:$A,R$2)&lt;&gt;0,SUMIFS(Sheet1!$E:$E,Sheet1!$C:$C,$A214,Sheet1!$A:$A,R$2),"")</f>
        <v/>
      </c>
      <c r="S214" s="9" t="str">
        <f>IF(SUMIFS(Sheet1!$E:$E,Sheet1!$C:$C,$A214,Sheet1!$A:$A,S$2)&lt;&gt;0,SUMIFS(Sheet1!$E:$E,Sheet1!$C:$C,$A214,Sheet1!$A:$A,S$2),"")</f>
        <v/>
      </c>
      <c r="T214" s="9" t="str">
        <f>IF(SUMIFS(Sheet1!$E:$E,Sheet1!$C:$C,$A214,Sheet1!$A:$A,T$2)&lt;&gt;0,SUMIFS(Sheet1!$E:$E,Sheet1!$C:$C,$A214,Sheet1!$A:$A,T$2),"")</f>
        <v/>
      </c>
      <c r="U214" s="9" t="str">
        <f>IF(SUMIFS(Sheet1!$E:$E,Sheet1!$C:$C,$A214,Sheet1!$A:$A,U$2)&lt;&gt;0,SUMIFS(Sheet1!$E:$E,Sheet1!$C:$C,$A214,Sheet1!$A:$A,U$2),"")</f>
        <v/>
      </c>
      <c r="V214" s="9" t="str">
        <f>IF(SUMIFS(Sheet1!$E:$E,Sheet1!$C:$C,$A214,Sheet1!$A:$A,V$2)&lt;&gt;0,SUMIFS(Sheet1!$E:$E,Sheet1!$C:$C,$A214,Sheet1!$A:$A,V$2),"")</f>
        <v/>
      </c>
      <c r="W214" s="9" t="str">
        <f>IF(SUMIFS(Sheet1!$E:$E,Sheet1!$C:$C,$A214,Sheet1!$A:$A,W$2)&lt;&gt;0,SUMIFS(Sheet1!$E:$E,Sheet1!$C:$C,$A214,Sheet1!$A:$A,W$2),"")</f>
        <v/>
      </c>
      <c r="X214" s="9" t="str">
        <f>IF(SUMIFS(Sheet1!$E:$E,Sheet1!$C:$C,$A214,Sheet1!$A:$A,X$2)&lt;&gt;0,SUMIFS(Sheet1!$E:$E,Sheet1!$C:$C,$A214,Sheet1!$A:$A,X$2),"")</f>
        <v/>
      </c>
      <c r="Y214" s="9" t="str">
        <f>IF(SUMIFS(Sheet1!$E:$E,Sheet1!$C:$C,$A214,Sheet1!$A:$A,Y$2)&lt;&gt;0,SUMIFS(Sheet1!$E:$E,Sheet1!$C:$C,$A214,Sheet1!$A:$A,Y$2),"")</f>
        <v/>
      </c>
      <c r="Z214" s="9" t="str">
        <f>IF(SUMIFS(Sheet1!$E:$E,Sheet1!$C:$C,$A214,Sheet1!$A:$A,Z$2)&lt;&gt;0,SUMIFS(Sheet1!$E:$E,Sheet1!$C:$C,$A214,Sheet1!$A:$A,Z$2),"")</f>
        <v/>
      </c>
      <c r="AA214" s="9" t="str">
        <f>IF(SUMIFS(Sheet1!$E:$E,Sheet1!$C:$C,$A214,Sheet1!$A:$A,AA$2)&lt;&gt;0,SUMIFS(Sheet1!$E:$E,Sheet1!$C:$C,$A214,Sheet1!$A:$A,AA$2),"")</f>
        <v/>
      </c>
      <c r="AB214" s="9" t="str">
        <f>IF(SUMIFS(Sheet1!$E:$E,Sheet1!$C:$C,$A214,Sheet1!$A:$A,AB$2)&lt;&gt;0,SUMIFS(Sheet1!$E:$E,Sheet1!$C:$C,$A214,Sheet1!$A:$A,AB$2),"")</f>
        <v/>
      </c>
      <c r="AC214" s="9" t="str">
        <f>IF(SUMIFS(Sheet1!$E:$E,Sheet1!$C:$C,$A214,Sheet1!$A:$A,AC$2)&lt;&gt;0,SUMIFS(Sheet1!$E:$E,Sheet1!$C:$C,$A214,Sheet1!$A:$A,AC$2),"")</f>
        <v/>
      </c>
      <c r="AD214" s="9" t="str">
        <f>IF(SUMIFS(Sheet1!$E:$E,Sheet1!$C:$C,$A214,Sheet1!$A:$A,AD$2)&lt;&gt;0,SUMIFS(Sheet1!$E:$E,Sheet1!$C:$C,$A214,Sheet1!$A:$A,AD$2),"")</f>
        <v/>
      </c>
      <c r="AE214" s="9" t="str">
        <f>IF(SUMIFS(Sheet1!$E:$E,Sheet1!$C:$C,$A214,Sheet1!$A:$A,AE$2)&lt;&gt;0,SUMIFS(Sheet1!$E:$E,Sheet1!$C:$C,$A214,Sheet1!$A:$A,AE$2),"")</f>
        <v/>
      </c>
      <c r="AF214" s="9" t="str">
        <f>IF(SUMIFS(Sheet1!$E:$E,Sheet1!$C:$C,$A214,Sheet1!$A:$A,AF$2)&lt;&gt;0,SUMIFS(Sheet1!$E:$E,Sheet1!$C:$C,$A214,Sheet1!$A:$A,AF$2),"")</f>
        <v/>
      </c>
      <c r="AG214" s="9" t="str">
        <f>IF(SUMIFS(Sheet1!$E:$E,Sheet1!$C:$C,$A214,Sheet1!$A:$A,AG$2)&lt;&gt;0,SUMIFS(Sheet1!$E:$E,Sheet1!$C:$C,$A214,Sheet1!$A:$A,AG$2),"")</f>
        <v/>
      </c>
      <c r="AH214" s="47">
        <f>SUM(Table24[[#This Row],[1]:[31]])</f>
        <v>10</v>
      </c>
    </row>
    <row r="215" spans="1:34" ht="12.75" customHeight="1">
      <c r="A215" s="24" t="str">
        <f>DSSP!A214</f>
        <v>GC139</v>
      </c>
      <c r="B215" s="25" t="str">
        <f>DSSP!B214</f>
        <v>Be proud</v>
      </c>
      <c r="C215" s="9" t="str">
        <f>IF(SUMIFS(Sheet1!$E:$E,Sheet1!$C:$C,$A215,Sheet1!$A:$A,C$2)&lt;&gt;0,SUMIFS(Sheet1!$E:$E,Sheet1!$C:$C,$A215,Sheet1!$A:$A,C$2),"")</f>
        <v/>
      </c>
      <c r="D215" s="9" t="str">
        <f>IF(SUMIFS(Sheet1!$E:$E,Sheet1!$C:$C,$A215,Sheet1!$A:$A,D$2)&lt;&gt;0,SUMIFS(Sheet1!$E:$E,Sheet1!$C:$C,$A215,Sheet1!$A:$A,D$2),"")</f>
        <v/>
      </c>
      <c r="E215" s="9" t="str">
        <f>IF(SUMIFS(Sheet1!$E:$E,Sheet1!$C:$C,$A215,Sheet1!$A:$A,E$2)&lt;&gt;0,SUMIFS(Sheet1!$E:$E,Sheet1!$C:$C,$A215,Sheet1!$A:$A,E$2),"")</f>
        <v/>
      </c>
      <c r="F215" s="9" t="str">
        <f>IF(SUMIFS(Sheet1!$E:$E,Sheet1!$C:$C,$A215,Sheet1!$A:$A,F$2)&lt;&gt;0,SUMIFS(Sheet1!$E:$E,Sheet1!$C:$C,$A215,Sheet1!$A:$A,F$2),"")</f>
        <v/>
      </c>
      <c r="G215" s="9" t="str">
        <f>IF(SUMIFS(Sheet1!$E:$E,Sheet1!$C:$C,$A215,Sheet1!$A:$A,G$2)&lt;&gt;0,SUMIFS(Sheet1!$E:$E,Sheet1!$C:$C,$A215,Sheet1!$A:$A,G$2),"")</f>
        <v/>
      </c>
      <c r="H215" s="9" t="str">
        <f>IF(SUMIFS(Sheet1!$E:$E,Sheet1!$C:$C,$A215,Sheet1!$A:$A,H$2)&lt;&gt;0,SUMIFS(Sheet1!$E:$E,Sheet1!$C:$C,$A215,Sheet1!$A:$A,H$2),"")</f>
        <v/>
      </c>
      <c r="I215" s="9" t="str">
        <f>IF(SUMIFS(Sheet1!$E:$E,Sheet1!$C:$C,$A215,Sheet1!$A:$A,I$2)&lt;&gt;0,SUMIFS(Sheet1!$E:$E,Sheet1!$C:$C,$A215,Sheet1!$A:$A,I$2),"")</f>
        <v/>
      </c>
      <c r="J215" s="9" t="str">
        <f>IF(SUMIFS(Sheet1!$E:$E,Sheet1!$C:$C,$A215,Sheet1!$A:$A,J$2)&lt;&gt;0,SUMIFS(Sheet1!$E:$E,Sheet1!$C:$C,$A215,Sheet1!$A:$A,J$2),"")</f>
        <v/>
      </c>
      <c r="K215" s="9" t="str">
        <f>IF(SUMIFS(Sheet1!$E:$E,Sheet1!$C:$C,$A215,Sheet1!$A:$A,K$2)&lt;&gt;0,SUMIFS(Sheet1!$E:$E,Sheet1!$C:$C,$A215,Sheet1!$A:$A,K$2),"")</f>
        <v/>
      </c>
      <c r="L215" s="9" t="str">
        <f>IF(SUMIFS(Sheet1!$E:$E,Sheet1!$C:$C,$A215,Sheet1!$A:$A,L$2)&lt;&gt;0,SUMIFS(Sheet1!$E:$E,Sheet1!$C:$C,$A215,Sheet1!$A:$A,L$2),"")</f>
        <v/>
      </c>
      <c r="M215" s="9" t="str">
        <f>IF(SUMIFS(Sheet1!$E:$E,Sheet1!$C:$C,$A215,Sheet1!$A:$A,M$2)&lt;&gt;0,SUMIFS(Sheet1!$E:$E,Sheet1!$C:$C,$A215,Sheet1!$A:$A,M$2),"")</f>
        <v/>
      </c>
      <c r="N215" s="9" t="str">
        <f>IF(SUMIFS(Sheet1!$E:$E,Sheet1!$C:$C,$A215,Sheet1!$A:$A,N$2)&lt;&gt;0,SUMIFS(Sheet1!$E:$E,Sheet1!$C:$C,$A215,Sheet1!$A:$A,N$2),"")</f>
        <v/>
      </c>
      <c r="O215" s="9" t="str">
        <f>IF(SUMIFS(Sheet1!$E:$E,Sheet1!$C:$C,$A215,Sheet1!$A:$A,O$2)&lt;&gt;0,SUMIFS(Sheet1!$E:$E,Sheet1!$C:$C,$A215,Sheet1!$A:$A,O$2),"")</f>
        <v/>
      </c>
      <c r="P215" s="9" t="str">
        <f>IF(SUMIFS(Sheet1!$E:$E,Sheet1!$C:$C,$A215,Sheet1!$A:$A,P$2)&lt;&gt;0,SUMIFS(Sheet1!$E:$E,Sheet1!$C:$C,$A215,Sheet1!$A:$A,P$2),"")</f>
        <v/>
      </c>
      <c r="Q215" s="9" t="str">
        <f>IF(SUMIFS(Sheet1!$E:$E,Sheet1!$C:$C,$A215,Sheet1!$A:$A,Q$2)&lt;&gt;0,SUMIFS(Sheet1!$E:$E,Sheet1!$C:$C,$A215,Sheet1!$A:$A,Q$2),"")</f>
        <v/>
      </c>
      <c r="R215" s="9" t="str">
        <f>IF(SUMIFS(Sheet1!$E:$E,Sheet1!$C:$C,$A215,Sheet1!$A:$A,R$2)&lt;&gt;0,SUMIFS(Sheet1!$E:$E,Sheet1!$C:$C,$A215,Sheet1!$A:$A,R$2),"")</f>
        <v/>
      </c>
      <c r="S215" s="9" t="str">
        <f>IF(SUMIFS(Sheet1!$E:$E,Sheet1!$C:$C,$A215,Sheet1!$A:$A,S$2)&lt;&gt;0,SUMIFS(Sheet1!$E:$E,Sheet1!$C:$C,$A215,Sheet1!$A:$A,S$2),"")</f>
        <v/>
      </c>
      <c r="T215" s="9" t="str">
        <f>IF(SUMIFS(Sheet1!$E:$E,Sheet1!$C:$C,$A215,Sheet1!$A:$A,T$2)&lt;&gt;0,SUMIFS(Sheet1!$E:$E,Sheet1!$C:$C,$A215,Sheet1!$A:$A,T$2),"")</f>
        <v/>
      </c>
      <c r="U215" s="9" t="str">
        <f>IF(SUMIFS(Sheet1!$E:$E,Sheet1!$C:$C,$A215,Sheet1!$A:$A,U$2)&lt;&gt;0,SUMIFS(Sheet1!$E:$E,Sheet1!$C:$C,$A215,Sheet1!$A:$A,U$2),"")</f>
        <v/>
      </c>
      <c r="V215" s="9" t="str">
        <f>IF(SUMIFS(Sheet1!$E:$E,Sheet1!$C:$C,$A215,Sheet1!$A:$A,V$2)&lt;&gt;0,SUMIFS(Sheet1!$E:$E,Sheet1!$C:$C,$A215,Sheet1!$A:$A,V$2),"")</f>
        <v/>
      </c>
      <c r="W215" s="9" t="str">
        <f>IF(SUMIFS(Sheet1!$E:$E,Sheet1!$C:$C,$A215,Sheet1!$A:$A,W$2)&lt;&gt;0,SUMIFS(Sheet1!$E:$E,Sheet1!$C:$C,$A215,Sheet1!$A:$A,W$2),"")</f>
        <v/>
      </c>
      <c r="X215" s="9" t="str">
        <f>IF(SUMIFS(Sheet1!$E:$E,Sheet1!$C:$C,$A215,Sheet1!$A:$A,X$2)&lt;&gt;0,SUMIFS(Sheet1!$E:$E,Sheet1!$C:$C,$A215,Sheet1!$A:$A,X$2),"")</f>
        <v/>
      </c>
      <c r="Y215" s="9" t="str">
        <f>IF(SUMIFS(Sheet1!$E:$E,Sheet1!$C:$C,$A215,Sheet1!$A:$A,Y$2)&lt;&gt;0,SUMIFS(Sheet1!$E:$E,Sheet1!$C:$C,$A215,Sheet1!$A:$A,Y$2),"")</f>
        <v/>
      </c>
      <c r="Z215" s="9" t="str">
        <f>IF(SUMIFS(Sheet1!$E:$E,Sheet1!$C:$C,$A215,Sheet1!$A:$A,Z$2)&lt;&gt;0,SUMIFS(Sheet1!$E:$E,Sheet1!$C:$C,$A215,Sheet1!$A:$A,Z$2),"")</f>
        <v/>
      </c>
      <c r="AA215" s="9" t="str">
        <f>IF(SUMIFS(Sheet1!$E:$E,Sheet1!$C:$C,$A215,Sheet1!$A:$A,AA$2)&lt;&gt;0,SUMIFS(Sheet1!$E:$E,Sheet1!$C:$C,$A215,Sheet1!$A:$A,AA$2),"")</f>
        <v/>
      </c>
      <c r="AB215" s="9" t="str">
        <f>IF(SUMIFS(Sheet1!$E:$E,Sheet1!$C:$C,$A215,Sheet1!$A:$A,AB$2)&lt;&gt;0,SUMIFS(Sheet1!$E:$E,Sheet1!$C:$C,$A215,Sheet1!$A:$A,AB$2),"")</f>
        <v/>
      </c>
      <c r="AC215" s="9" t="str">
        <f>IF(SUMIFS(Sheet1!$E:$E,Sheet1!$C:$C,$A215,Sheet1!$A:$A,AC$2)&lt;&gt;0,SUMIFS(Sheet1!$E:$E,Sheet1!$C:$C,$A215,Sheet1!$A:$A,AC$2),"")</f>
        <v/>
      </c>
      <c r="AD215" s="9" t="str">
        <f>IF(SUMIFS(Sheet1!$E:$E,Sheet1!$C:$C,$A215,Sheet1!$A:$A,AD$2)&lt;&gt;0,SUMIFS(Sheet1!$E:$E,Sheet1!$C:$C,$A215,Sheet1!$A:$A,AD$2),"")</f>
        <v/>
      </c>
      <c r="AE215" s="9" t="str">
        <f>IF(SUMIFS(Sheet1!$E:$E,Sheet1!$C:$C,$A215,Sheet1!$A:$A,AE$2)&lt;&gt;0,SUMIFS(Sheet1!$E:$E,Sheet1!$C:$C,$A215,Sheet1!$A:$A,AE$2),"")</f>
        <v/>
      </c>
      <c r="AF215" s="9" t="str">
        <f>IF(SUMIFS(Sheet1!$E:$E,Sheet1!$C:$C,$A215,Sheet1!$A:$A,AF$2)&lt;&gt;0,SUMIFS(Sheet1!$E:$E,Sheet1!$C:$C,$A215,Sheet1!$A:$A,AF$2),"")</f>
        <v/>
      </c>
      <c r="AG215" s="9" t="str">
        <f>IF(SUMIFS(Sheet1!$E:$E,Sheet1!$C:$C,$A215,Sheet1!$A:$A,AG$2)&lt;&gt;0,SUMIFS(Sheet1!$E:$E,Sheet1!$C:$C,$A215,Sheet1!$A:$A,AG$2),"")</f>
        <v/>
      </c>
      <c r="AH215" s="47">
        <f>SUM(Table24[[#This Row],[1]:[31]])</f>
        <v>0</v>
      </c>
    </row>
    <row r="216" spans="1:34" ht="12.75" customHeight="1">
      <c r="A216" s="24" t="str">
        <f>DSSP!A215</f>
        <v>GC140</v>
      </c>
      <c r="B216" s="25" t="str">
        <f>DSSP!B215</f>
        <v>Vòng tròn 3 lá đeo cổ</v>
      </c>
      <c r="C216" s="9">
        <f>IF(SUMIFS(Sheet1!$E:$E,Sheet1!$C:$C,$A216,Sheet1!$A:$A,C$2)&lt;&gt;0,SUMIFS(Sheet1!$E:$E,Sheet1!$C:$C,$A216,Sheet1!$A:$A,C$2),"")</f>
        <v>20</v>
      </c>
      <c r="D216" s="9" t="str">
        <f>IF(SUMIFS(Sheet1!$E:$E,Sheet1!$C:$C,$A216,Sheet1!$A:$A,D$2)&lt;&gt;0,SUMIFS(Sheet1!$E:$E,Sheet1!$C:$C,$A216,Sheet1!$A:$A,D$2),"")</f>
        <v/>
      </c>
      <c r="E216" s="9" t="str">
        <f>IF(SUMIFS(Sheet1!$E:$E,Sheet1!$C:$C,$A216,Sheet1!$A:$A,E$2)&lt;&gt;0,SUMIFS(Sheet1!$E:$E,Sheet1!$C:$C,$A216,Sheet1!$A:$A,E$2),"")</f>
        <v/>
      </c>
      <c r="F216" s="9" t="str">
        <f>IF(SUMIFS(Sheet1!$E:$E,Sheet1!$C:$C,$A216,Sheet1!$A:$A,F$2)&lt;&gt;0,SUMIFS(Sheet1!$E:$E,Sheet1!$C:$C,$A216,Sheet1!$A:$A,F$2),"")</f>
        <v/>
      </c>
      <c r="G216" s="9" t="str">
        <f>IF(SUMIFS(Sheet1!$E:$E,Sheet1!$C:$C,$A216,Sheet1!$A:$A,G$2)&lt;&gt;0,SUMIFS(Sheet1!$E:$E,Sheet1!$C:$C,$A216,Sheet1!$A:$A,G$2),"")</f>
        <v/>
      </c>
      <c r="H216" s="9" t="str">
        <f>IF(SUMIFS(Sheet1!$E:$E,Sheet1!$C:$C,$A216,Sheet1!$A:$A,H$2)&lt;&gt;0,SUMIFS(Sheet1!$E:$E,Sheet1!$C:$C,$A216,Sheet1!$A:$A,H$2),"")</f>
        <v/>
      </c>
      <c r="I216" s="9" t="str">
        <f>IF(SUMIFS(Sheet1!$E:$E,Sheet1!$C:$C,$A216,Sheet1!$A:$A,I$2)&lt;&gt;0,SUMIFS(Sheet1!$E:$E,Sheet1!$C:$C,$A216,Sheet1!$A:$A,I$2),"")</f>
        <v/>
      </c>
      <c r="J216" s="9" t="str">
        <f>IF(SUMIFS(Sheet1!$E:$E,Sheet1!$C:$C,$A216,Sheet1!$A:$A,J$2)&lt;&gt;0,SUMIFS(Sheet1!$E:$E,Sheet1!$C:$C,$A216,Sheet1!$A:$A,J$2),"")</f>
        <v/>
      </c>
      <c r="K216" s="9" t="str">
        <f>IF(SUMIFS(Sheet1!$E:$E,Sheet1!$C:$C,$A216,Sheet1!$A:$A,K$2)&lt;&gt;0,SUMIFS(Sheet1!$E:$E,Sheet1!$C:$C,$A216,Sheet1!$A:$A,K$2),"")</f>
        <v/>
      </c>
      <c r="L216" s="9" t="str">
        <f>IF(SUMIFS(Sheet1!$E:$E,Sheet1!$C:$C,$A216,Sheet1!$A:$A,L$2)&lt;&gt;0,SUMIFS(Sheet1!$E:$E,Sheet1!$C:$C,$A216,Sheet1!$A:$A,L$2),"")</f>
        <v/>
      </c>
      <c r="M216" s="9" t="str">
        <f>IF(SUMIFS(Sheet1!$E:$E,Sheet1!$C:$C,$A216,Sheet1!$A:$A,M$2)&lt;&gt;0,SUMIFS(Sheet1!$E:$E,Sheet1!$C:$C,$A216,Sheet1!$A:$A,M$2),"")</f>
        <v/>
      </c>
      <c r="N216" s="9" t="str">
        <f>IF(SUMIFS(Sheet1!$E:$E,Sheet1!$C:$C,$A216,Sheet1!$A:$A,N$2)&lt;&gt;0,SUMIFS(Sheet1!$E:$E,Sheet1!$C:$C,$A216,Sheet1!$A:$A,N$2),"")</f>
        <v/>
      </c>
      <c r="O216" s="9" t="str">
        <f>IF(SUMIFS(Sheet1!$E:$E,Sheet1!$C:$C,$A216,Sheet1!$A:$A,O$2)&lt;&gt;0,SUMIFS(Sheet1!$E:$E,Sheet1!$C:$C,$A216,Sheet1!$A:$A,O$2),"")</f>
        <v/>
      </c>
      <c r="P216" s="9" t="str">
        <f>IF(SUMIFS(Sheet1!$E:$E,Sheet1!$C:$C,$A216,Sheet1!$A:$A,P$2)&lt;&gt;0,SUMIFS(Sheet1!$E:$E,Sheet1!$C:$C,$A216,Sheet1!$A:$A,P$2),"")</f>
        <v/>
      </c>
      <c r="Q216" s="9" t="str">
        <f>IF(SUMIFS(Sheet1!$E:$E,Sheet1!$C:$C,$A216,Sheet1!$A:$A,Q$2)&lt;&gt;0,SUMIFS(Sheet1!$E:$E,Sheet1!$C:$C,$A216,Sheet1!$A:$A,Q$2),"")</f>
        <v/>
      </c>
      <c r="R216" s="9" t="str">
        <f>IF(SUMIFS(Sheet1!$E:$E,Sheet1!$C:$C,$A216,Sheet1!$A:$A,R$2)&lt;&gt;0,SUMIFS(Sheet1!$E:$E,Sheet1!$C:$C,$A216,Sheet1!$A:$A,R$2),"")</f>
        <v/>
      </c>
      <c r="S216" s="9" t="str">
        <f>IF(SUMIFS(Sheet1!$E:$E,Sheet1!$C:$C,$A216,Sheet1!$A:$A,S$2)&lt;&gt;0,SUMIFS(Sheet1!$E:$E,Sheet1!$C:$C,$A216,Sheet1!$A:$A,S$2),"")</f>
        <v/>
      </c>
      <c r="T216" s="9" t="str">
        <f>IF(SUMIFS(Sheet1!$E:$E,Sheet1!$C:$C,$A216,Sheet1!$A:$A,T$2)&lt;&gt;0,SUMIFS(Sheet1!$E:$E,Sheet1!$C:$C,$A216,Sheet1!$A:$A,T$2),"")</f>
        <v/>
      </c>
      <c r="U216" s="9" t="str">
        <f>IF(SUMIFS(Sheet1!$E:$E,Sheet1!$C:$C,$A216,Sheet1!$A:$A,U$2)&lt;&gt;0,SUMIFS(Sheet1!$E:$E,Sheet1!$C:$C,$A216,Sheet1!$A:$A,U$2),"")</f>
        <v/>
      </c>
      <c r="V216" s="9" t="str">
        <f>IF(SUMIFS(Sheet1!$E:$E,Sheet1!$C:$C,$A216,Sheet1!$A:$A,V$2)&lt;&gt;0,SUMIFS(Sheet1!$E:$E,Sheet1!$C:$C,$A216,Sheet1!$A:$A,V$2),"")</f>
        <v/>
      </c>
      <c r="W216" s="9" t="str">
        <f>IF(SUMIFS(Sheet1!$E:$E,Sheet1!$C:$C,$A216,Sheet1!$A:$A,W$2)&lt;&gt;0,SUMIFS(Sheet1!$E:$E,Sheet1!$C:$C,$A216,Sheet1!$A:$A,W$2),"")</f>
        <v/>
      </c>
      <c r="X216" s="9" t="str">
        <f>IF(SUMIFS(Sheet1!$E:$E,Sheet1!$C:$C,$A216,Sheet1!$A:$A,X$2)&lt;&gt;0,SUMIFS(Sheet1!$E:$E,Sheet1!$C:$C,$A216,Sheet1!$A:$A,X$2),"")</f>
        <v/>
      </c>
      <c r="Y216" s="9" t="str">
        <f>IF(SUMIFS(Sheet1!$E:$E,Sheet1!$C:$C,$A216,Sheet1!$A:$A,Y$2)&lt;&gt;0,SUMIFS(Sheet1!$E:$E,Sheet1!$C:$C,$A216,Sheet1!$A:$A,Y$2),"")</f>
        <v/>
      </c>
      <c r="Z216" s="9" t="str">
        <f>IF(SUMIFS(Sheet1!$E:$E,Sheet1!$C:$C,$A216,Sheet1!$A:$A,Z$2)&lt;&gt;0,SUMIFS(Sheet1!$E:$E,Sheet1!$C:$C,$A216,Sheet1!$A:$A,Z$2),"")</f>
        <v/>
      </c>
      <c r="AA216" s="9" t="str">
        <f>IF(SUMIFS(Sheet1!$E:$E,Sheet1!$C:$C,$A216,Sheet1!$A:$A,AA$2)&lt;&gt;0,SUMIFS(Sheet1!$E:$E,Sheet1!$C:$C,$A216,Sheet1!$A:$A,AA$2),"")</f>
        <v/>
      </c>
      <c r="AB216" s="9" t="str">
        <f>IF(SUMIFS(Sheet1!$E:$E,Sheet1!$C:$C,$A216,Sheet1!$A:$A,AB$2)&lt;&gt;0,SUMIFS(Sheet1!$E:$E,Sheet1!$C:$C,$A216,Sheet1!$A:$A,AB$2),"")</f>
        <v/>
      </c>
      <c r="AC216" s="9" t="str">
        <f>IF(SUMIFS(Sheet1!$E:$E,Sheet1!$C:$C,$A216,Sheet1!$A:$A,AC$2)&lt;&gt;0,SUMIFS(Sheet1!$E:$E,Sheet1!$C:$C,$A216,Sheet1!$A:$A,AC$2),"")</f>
        <v/>
      </c>
      <c r="AD216" s="9" t="str">
        <f>IF(SUMIFS(Sheet1!$E:$E,Sheet1!$C:$C,$A216,Sheet1!$A:$A,AD$2)&lt;&gt;0,SUMIFS(Sheet1!$E:$E,Sheet1!$C:$C,$A216,Sheet1!$A:$A,AD$2),"")</f>
        <v/>
      </c>
      <c r="AE216" s="9" t="str">
        <f>IF(SUMIFS(Sheet1!$E:$E,Sheet1!$C:$C,$A216,Sheet1!$A:$A,AE$2)&lt;&gt;0,SUMIFS(Sheet1!$E:$E,Sheet1!$C:$C,$A216,Sheet1!$A:$A,AE$2),"")</f>
        <v/>
      </c>
      <c r="AF216" s="9" t="str">
        <f>IF(SUMIFS(Sheet1!$E:$E,Sheet1!$C:$C,$A216,Sheet1!$A:$A,AF$2)&lt;&gt;0,SUMIFS(Sheet1!$E:$E,Sheet1!$C:$C,$A216,Sheet1!$A:$A,AF$2),"")</f>
        <v/>
      </c>
      <c r="AG216" s="9" t="str">
        <f>IF(SUMIFS(Sheet1!$E:$E,Sheet1!$C:$C,$A216,Sheet1!$A:$A,AG$2)&lt;&gt;0,SUMIFS(Sheet1!$E:$E,Sheet1!$C:$C,$A216,Sheet1!$A:$A,AG$2),"")</f>
        <v/>
      </c>
      <c r="AH216" s="47">
        <f>SUM(Table24[[#This Row],[1]:[31]])</f>
        <v>20</v>
      </c>
    </row>
    <row r="217" spans="1:34" ht="12.75" customHeight="1">
      <c r="A217" s="24" t="str">
        <f>DSSP!A216</f>
        <v>GC141</v>
      </c>
      <c r="B217" s="25" t="str">
        <f>DSSP!B216</f>
        <v>Tháp eiffel 1 mặt</v>
      </c>
      <c r="C217" s="9" t="str">
        <f>IF(SUMIFS(Sheet1!$E:$E,Sheet1!$C:$C,$A217,Sheet1!$A:$A,C$2)&lt;&gt;0,SUMIFS(Sheet1!$E:$E,Sheet1!$C:$C,$A217,Sheet1!$A:$A,C$2),"")</f>
        <v/>
      </c>
      <c r="D217" s="9" t="str">
        <f>IF(SUMIFS(Sheet1!$E:$E,Sheet1!$C:$C,$A217,Sheet1!$A:$A,D$2)&lt;&gt;0,SUMIFS(Sheet1!$E:$E,Sheet1!$C:$C,$A217,Sheet1!$A:$A,D$2),"")</f>
        <v/>
      </c>
      <c r="E217" s="9" t="str">
        <f>IF(SUMIFS(Sheet1!$E:$E,Sheet1!$C:$C,$A217,Sheet1!$A:$A,E$2)&lt;&gt;0,SUMIFS(Sheet1!$E:$E,Sheet1!$C:$C,$A217,Sheet1!$A:$A,E$2),"")</f>
        <v/>
      </c>
      <c r="F217" s="9" t="str">
        <f>IF(SUMIFS(Sheet1!$E:$E,Sheet1!$C:$C,$A217,Sheet1!$A:$A,F$2)&lt;&gt;0,SUMIFS(Sheet1!$E:$E,Sheet1!$C:$C,$A217,Sheet1!$A:$A,F$2),"")</f>
        <v/>
      </c>
      <c r="G217" s="9" t="str">
        <f>IF(SUMIFS(Sheet1!$E:$E,Sheet1!$C:$C,$A217,Sheet1!$A:$A,G$2)&lt;&gt;0,SUMIFS(Sheet1!$E:$E,Sheet1!$C:$C,$A217,Sheet1!$A:$A,G$2),"")</f>
        <v/>
      </c>
      <c r="H217" s="9" t="str">
        <f>IF(SUMIFS(Sheet1!$E:$E,Sheet1!$C:$C,$A217,Sheet1!$A:$A,H$2)&lt;&gt;0,SUMIFS(Sheet1!$E:$E,Sheet1!$C:$C,$A217,Sheet1!$A:$A,H$2),"")</f>
        <v/>
      </c>
      <c r="I217" s="9" t="str">
        <f>IF(SUMIFS(Sheet1!$E:$E,Sheet1!$C:$C,$A217,Sheet1!$A:$A,I$2)&lt;&gt;0,SUMIFS(Sheet1!$E:$E,Sheet1!$C:$C,$A217,Sheet1!$A:$A,I$2),"")</f>
        <v/>
      </c>
      <c r="J217" s="9" t="str">
        <f>IF(SUMIFS(Sheet1!$E:$E,Sheet1!$C:$C,$A217,Sheet1!$A:$A,J$2)&lt;&gt;0,SUMIFS(Sheet1!$E:$E,Sheet1!$C:$C,$A217,Sheet1!$A:$A,J$2),"")</f>
        <v/>
      </c>
      <c r="K217" s="9" t="str">
        <f>IF(SUMIFS(Sheet1!$E:$E,Sheet1!$C:$C,$A217,Sheet1!$A:$A,K$2)&lt;&gt;0,SUMIFS(Sheet1!$E:$E,Sheet1!$C:$C,$A217,Sheet1!$A:$A,K$2),"")</f>
        <v/>
      </c>
      <c r="L217" s="9" t="str">
        <f>IF(SUMIFS(Sheet1!$E:$E,Sheet1!$C:$C,$A217,Sheet1!$A:$A,L$2)&lt;&gt;0,SUMIFS(Sheet1!$E:$E,Sheet1!$C:$C,$A217,Sheet1!$A:$A,L$2),"")</f>
        <v/>
      </c>
      <c r="M217" s="9" t="str">
        <f>IF(SUMIFS(Sheet1!$E:$E,Sheet1!$C:$C,$A217,Sheet1!$A:$A,M$2)&lt;&gt;0,SUMIFS(Sheet1!$E:$E,Sheet1!$C:$C,$A217,Sheet1!$A:$A,M$2),"")</f>
        <v/>
      </c>
      <c r="N217" s="9" t="str">
        <f>IF(SUMIFS(Sheet1!$E:$E,Sheet1!$C:$C,$A217,Sheet1!$A:$A,N$2)&lt;&gt;0,SUMIFS(Sheet1!$E:$E,Sheet1!$C:$C,$A217,Sheet1!$A:$A,N$2),"")</f>
        <v/>
      </c>
      <c r="O217" s="9" t="str">
        <f>IF(SUMIFS(Sheet1!$E:$E,Sheet1!$C:$C,$A217,Sheet1!$A:$A,O$2)&lt;&gt;0,SUMIFS(Sheet1!$E:$E,Sheet1!$C:$C,$A217,Sheet1!$A:$A,O$2),"")</f>
        <v/>
      </c>
      <c r="P217" s="9" t="str">
        <f>IF(SUMIFS(Sheet1!$E:$E,Sheet1!$C:$C,$A217,Sheet1!$A:$A,P$2)&lt;&gt;0,SUMIFS(Sheet1!$E:$E,Sheet1!$C:$C,$A217,Sheet1!$A:$A,P$2),"")</f>
        <v/>
      </c>
      <c r="Q217" s="9" t="str">
        <f>IF(SUMIFS(Sheet1!$E:$E,Sheet1!$C:$C,$A217,Sheet1!$A:$A,Q$2)&lt;&gt;0,SUMIFS(Sheet1!$E:$E,Sheet1!$C:$C,$A217,Sheet1!$A:$A,Q$2),"")</f>
        <v/>
      </c>
      <c r="R217" s="9" t="str">
        <f>IF(SUMIFS(Sheet1!$E:$E,Sheet1!$C:$C,$A217,Sheet1!$A:$A,R$2)&lt;&gt;0,SUMIFS(Sheet1!$E:$E,Sheet1!$C:$C,$A217,Sheet1!$A:$A,R$2),"")</f>
        <v/>
      </c>
      <c r="S217" s="9" t="str">
        <f>IF(SUMIFS(Sheet1!$E:$E,Sheet1!$C:$C,$A217,Sheet1!$A:$A,S$2)&lt;&gt;0,SUMIFS(Sheet1!$E:$E,Sheet1!$C:$C,$A217,Sheet1!$A:$A,S$2),"")</f>
        <v/>
      </c>
      <c r="T217" s="9" t="str">
        <f>IF(SUMIFS(Sheet1!$E:$E,Sheet1!$C:$C,$A217,Sheet1!$A:$A,T$2)&lt;&gt;0,SUMIFS(Sheet1!$E:$E,Sheet1!$C:$C,$A217,Sheet1!$A:$A,T$2),"")</f>
        <v/>
      </c>
      <c r="U217" s="9" t="str">
        <f>IF(SUMIFS(Sheet1!$E:$E,Sheet1!$C:$C,$A217,Sheet1!$A:$A,U$2)&lt;&gt;0,SUMIFS(Sheet1!$E:$E,Sheet1!$C:$C,$A217,Sheet1!$A:$A,U$2),"")</f>
        <v/>
      </c>
      <c r="V217" s="9" t="str">
        <f>IF(SUMIFS(Sheet1!$E:$E,Sheet1!$C:$C,$A217,Sheet1!$A:$A,V$2)&lt;&gt;0,SUMIFS(Sheet1!$E:$E,Sheet1!$C:$C,$A217,Sheet1!$A:$A,V$2),"")</f>
        <v/>
      </c>
      <c r="W217" s="9" t="str">
        <f>IF(SUMIFS(Sheet1!$E:$E,Sheet1!$C:$C,$A217,Sheet1!$A:$A,W$2)&lt;&gt;0,SUMIFS(Sheet1!$E:$E,Sheet1!$C:$C,$A217,Sheet1!$A:$A,W$2),"")</f>
        <v/>
      </c>
      <c r="X217" s="9" t="str">
        <f>IF(SUMIFS(Sheet1!$E:$E,Sheet1!$C:$C,$A217,Sheet1!$A:$A,X$2)&lt;&gt;0,SUMIFS(Sheet1!$E:$E,Sheet1!$C:$C,$A217,Sheet1!$A:$A,X$2),"")</f>
        <v/>
      </c>
      <c r="Y217" s="9" t="str">
        <f>IF(SUMIFS(Sheet1!$E:$E,Sheet1!$C:$C,$A217,Sheet1!$A:$A,Y$2)&lt;&gt;0,SUMIFS(Sheet1!$E:$E,Sheet1!$C:$C,$A217,Sheet1!$A:$A,Y$2),"")</f>
        <v/>
      </c>
      <c r="Z217" s="9" t="str">
        <f>IF(SUMIFS(Sheet1!$E:$E,Sheet1!$C:$C,$A217,Sheet1!$A:$A,Z$2)&lt;&gt;0,SUMIFS(Sheet1!$E:$E,Sheet1!$C:$C,$A217,Sheet1!$A:$A,Z$2),"")</f>
        <v/>
      </c>
      <c r="AA217" s="9" t="str">
        <f>IF(SUMIFS(Sheet1!$E:$E,Sheet1!$C:$C,$A217,Sheet1!$A:$A,AA$2)&lt;&gt;0,SUMIFS(Sheet1!$E:$E,Sheet1!$C:$C,$A217,Sheet1!$A:$A,AA$2),"")</f>
        <v/>
      </c>
      <c r="AB217" s="9" t="str">
        <f>IF(SUMIFS(Sheet1!$E:$E,Sheet1!$C:$C,$A217,Sheet1!$A:$A,AB$2)&lt;&gt;0,SUMIFS(Sheet1!$E:$E,Sheet1!$C:$C,$A217,Sheet1!$A:$A,AB$2),"")</f>
        <v/>
      </c>
      <c r="AC217" s="9" t="str">
        <f>IF(SUMIFS(Sheet1!$E:$E,Sheet1!$C:$C,$A217,Sheet1!$A:$A,AC$2)&lt;&gt;0,SUMIFS(Sheet1!$E:$E,Sheet1!$C:$C,$A217,Sheet1!$A:$A,AC$2),"")</f>
        <v/>
      </c>
      <c r="AD217" s="9" t="str">
        <f>IF(SUMIFS(Sheet1!$E:$E,Sheet1!$C:$C,$A217,Sheet1!$A:$A,AD$2)&lt;&gt;0,SUMIFS(Sheet1!$E:$E,Sheet1!$C:$C,$A217,Sheet1!$A:$A,AD$2),"")</f>
        <v/>
      </c>
      <c r="AE217" s="9" t="str">
        <f>IF(SUMIFS(Sheet1!$E:$E,Sheet1!$C:$C,$A217,Sheet1!$A:$A,AE$2)&lt;&gt;0,SUMIFS(Sheet1!$E:$E,Sheet1!$C:$C,$A217,Sheet1!$A:$A,AE$2),"")</f>
        <v/>
      </c>
      <c r="AF217" s="9" t="str">
        <f>IF(SUMIFS(Sheet1!$E:$E,Sheet1!$C:$C,$A217,Sheet1!$A:$A,AF$2)&lt;&gt;0,SUMIFS(Sheet1!$E:$E,Sheet1!$C:$C,$A217,Sheet1!$A:$A,AF$2),"")</f>
        <v/>
      </c>
      <c r="AG217" s="9" t="str">
        <f>IF(SUMIFS(Sheet1!$E:$E,Sheet1!$C:$C,$A217,Sheet1!$A:$A,AG$2)&lt;&gt;0,SUMIFS(Sheet1!$E:$E,Sheet1!$C:$C,$A217,Sheet1!$A:$A,AG$2),"")</f>
        <v/>
      </c>
      <c r="AH217" s="47">
        <f>SUM(Table24[[#This Row],[1]:[31]])</f>
        <v>0</v>
      </c>
    </row>
    <row r="218" spans="1:34" ht="12.75" customHeight="1">
      <c r="A218" s="24" t="str">
        <f>DSSP!A217</f>
        <v>GC142</v>
      </c>
      <c r="B218" s="25" t="str">
        <f>DSSP!B217</f>
        <v>Bánh lái</v>
      </c>
      <c r="C218" s="9">
        <f>IF(SUMIFS(Sheet1!$E:$E,Sheet1!$C:$C,$A218,Sheet1!$A:$A,C$2)&lt;&gt;0,SUMIFS(Sheet1!$E:$E,Sheet1!$C:$C,$A218,Sheet1!$A:$A,C$2),"")</f>
        <v>26</v>
      </c>
      <c r="D218" s="9" t="str">
        <f>IF(SUMIFS(Sheet1!$E:$E,Sheet1!$C:$C,$A218,Sheet1!$A:$A,D$2)&lt;&gt;0,SUMIFS(Sheet1!$E:$E,Sheet1!$C:$C,$A218,Sheet1!$A:$A,D$2),"")</f>
        <v/>
      </c>
      <c r="E218" s="9" t="str">
        <f>IF(SUMIFS(Sheet1!$E:$E,Sheet1!$C:$C,$A218,Sheet1!$A:$A,E$2)&lt;&gt;0,SUMIFS(Sheet1!$E:$E,Sheet1!$C:$C,$A218,Sheet1!$A:$A,E$2),"")</f>
        <v/>
      </c>
      <c r="F218" s="9" t="str">
        <f>IF(SUMIFS(Sheet1!$E:$E,Sheet1!$C:$C,$A218,Sheet1!$A:$A,F$2)&lt;&gt;0,SUMIFS(Sheet1!$E:$E,Sheet1!$C:$C,$A218,Sheet1!$A:$A,F$2),"")</f>
        <v/>
      </c>
      <c r="G218" s="9" t="str">
        <f>IF(SUMIFS(Sheet1!$E:$E,Sheet1!$C:$C,$A218,Sheet1!$A:$A,G$2)&lt;&gt;0,SUMIFS(Sheet1!$E:$E,Sheet1!$C:$C,$A218,Sheet1!$A:$A,G$2),"")</f>
        <v/>
      </c>
      <c r="H218" s="9" t="str">
        <f>IF(SUMIFS(Sheet1!$E:$E,Sheet1!$C:$C,$A218,Sheet1!$A:$A,H$2)&lt;&gt;0,SUMIFS(Sheet1!$E:$E,Sheet1!$C:$C,$A218,Sheet1!$A:$A,H$2),"")</f>
        <v/>
      </c>
      <c r="I218" s="9" t="str">
        <f>IF(SUMIFS(Sheet1!$E:$E,Sheet1!$C:$C,$A218,Sheet1!$A:$A,I$2)&lt;&gt;0,SUMIFS(Sheet1!$E:$E,Sheet1!$C:$C,$A218,Sheet1!$A:$A,I$2),"")</f>
        <v/>
      </c>
      <c r="J218" s="9" t="str">
        <f>IF(SUMIFS(Sheet1!$E:$E,Sheet1!$C:$C,$A218,Sheet1!$A:$A,J$2)&lt;&gt;0,SUMIFS(Sheet1!$E:$E,Sheet1!$C:$C,$A218,Sheet1!$A:$A,J$2),"")</f>
        <v/>
      </c>
      <c r="K218" s="9" t="str">
        <f>IF(SUMIFS(Sheet1!$E:$E,Sheet1!$C:$C,$A218,Sheet1!$A:$A,K$2)&lt;&gt;0,SUMIFS(Sheet1!$E:$E,Sheet1!$C:$C,$A218,Sheet1!$A:$A,K$2),"")</f>
        <v/>
      </c>
      <c r="L218" s="9" t="str">
        <f>IF(SUMIFS(Sheet1!$E:$E,Sheet1!$C:$C,$A218,Sheet1!$A:$A,L$2)&lt;&gt;0,SUMIFS(Sheet1!$E:$E,Sheet1!$C:$C,$A218,Sheet1!$A:$A,L$2),"")</f>
        <v/>
      </c>
      <c r="M218" s="9" t="str">
        <f>IF(SUMIFS(Sheet1!$E:$E,Sheet1!$C:$C,$A218,Sheet1!$A:$A,M$2)&lt;&gt;0,SUMIFS(Sheet1!$E:$E,Sheet1!$C:$C,$A218,Sheet1!$A:$A,M$2),"")</f>
        <v/>
      </c>
      <c r="N218" s="9" t="str">
        <f>IF(SUMIFS(Sheet1!$E:$E,Sheet1!$C:$C,$A218,Sheet1!$A:$A,N$2)&lt;&gt;0,SUMIFS(Sheet1!$E:$E,Sheet1!$C:$C,$A218,Sheet1!$A:$A,N$2),"")</f>
        <v/>
      </c>
      <c r="O218" s="9" t="str">
        <f>IF(SUMIFS(Sheet1!$E:$E,Sheet1!$C:$C,$A218,Sheet1!$A:$A,O$2)&lt;&gt;0,SUMIFS(Sheet1!$E:$E,Sheet1!$C:$C,$A218,Sheet1!$A:$A,O$2),"")</f>
        <v/>
      </c>
      <c r="P218" s="9" t="str">
        <f>IF(SUMIFS(Sheet1!$E:$E,Sheet1!$C:$C,$A218,Sheet1!$A:$A,P$2)&lt;&gt;0,SUMIFS(Sheet1!$E:$E,Sheet1!$C:$C,$A218,Sheet1!$A:$A,P$2),"")</f>
        <v/>
      </c>
      <c r="Q218" s="9" t="str">
        <f>IF(SUMIFS(Sheet1!$E:$E,Sheet1!$C:$C,$A218,Sheet1!$A:$A,Q$2)&lt;&gt;0,SUMIFS(Sheet1!$E:$E,Sheet1!$C:$C,$A218,Sheet1!$A:$A,Q$2),"")</f>
        <v/>
      </c>
      <c r="R218" s="9" t="str">
        <f>IF(SUMIFS(Sheet1!$E:$E,Sheet1!$C:$C,$A218,Sheet1!$A:$A,R$2)&lt;&gt;0,SUMIFS(Sheet1!$E:$E,Sheet1!$C:$C,$A218,Sheet1!$A:$A,R$2),"")</f>
        <v/>
      </c>
      <c r="S218" s="9" t="str">
        <f>IF(SUMIFS(Sheet1!$E:$E,Sheet1!$C:$C,$A218,Sheet1!$A:$A,S$2)&lt;&gt;0,SUMIFS(Sheet1!$E:$E,Sheet1!$C:$C,$A218,Sheet1!$A:$A,S$2),"")</f>
        <v/>
      </c>
      <c r="T218" s="9" t="str">
        <f>IF(SUMIFS(Sheet1!$E:$E,Sheet1!$C:$C,$A218,Sheet1!$A:$A,T$2)&lt;&gt;0,SUMIFS(Sheet1!$E:$E,Sheet1!$C:$C,$A218,Sheet1!$A:$A,T$2),"")</f>
        <v/>
      </c>
      <c r="U218" s="9" t="str">
        <f>IF(SUMIFS(Sheet1!$E:$E,Sheet1!$C:$C,$A218,Sheet1!$A:$A,U$2)&lt;&gt;0,SUMIFS(Sheet1!$E:$E,Sheet1!$C:$C,$A218,Sheet1!$A:$A,U$2),"")</f>
        <v/>
      </c>
      <c r="V218" s="9" t="str">
        <f>IF(SUMIFS(Sheet1!$E:$E,Sheet1!$C:$C,$A218,Sheet1!$A:$A,V$2)&lt;&gt;0,SUMIFS(Sheet1!$E:$E,Sheet1!$C:$C,$A218,Sheet1!$A:$A,V$2),"")</f>
        <v/>
      </c>
      <c r="W218" s="9" t="str">
        <f>IF(SUMIFS(Sheet1!$E:$E,Sheet1!$C:$C,$A218,Sheet1!$A:$A,W$2)&lt;&gt;0,SUMIFS(Sheet1!$E:$E,Sheet1!$C:$C,$A218,Sheet1!$A:$A,W$2),"")</f>
        <v/>
      </c>
      <c r="X218" s="9" t="str">
        <f>IF(SUMIFS(Sheet1!$E:$E,Sheet1!$C:$C,$A218,Sheet1!$A:$A,X$2)&lt;&gt;0,SUMIFS(Sheet1!$E:$E,Sheet1!$C:$C,$A218,Sheet1!$A:$A,X$2),"")</f>
        <v/>
      </c>
      <c r="Y218" s="9" t="str">
        <f>IF(SUMIFS(Sheet1!$E:$E,Sheet1!$C:$C,$A218,Sheet1!$A:$A,Y$2)&lt;&gt;0,SUMIFS(Sheet1!$E:$E,Sheet1!$C:$C,$A218,Sheet1!$A:$A,Y$2),"")</f>
        <v/>
      </c>
      <c r="Z218" s="9" t="str">
        <f>IF(SUMIFS(Sheet1!$E:$E,Sheet1!$C:$C,$A218,Sheet1!$A:$A,Z$2)&lt;&gt;0,SUMIFS(Sheet1!$E:$E,Sheet1!$C:$C,$A218,Sheet1!$A:$A,Z$2),"")</f>
        <v/>
      </c>
      <c r="AA218" s="9" t="str">
        <f>IF(SUMIFS(Sheet1!$E:$E,Sheet1!$C:$C,$A218,Sheet1!$A:$A,AA$2)&lt;&gt;0,SUMIFS(Sheet1!$E:$E,Sheet1!$C:$C,$A218,Sheet1!$A:$A,AA$2),"")</f>
        <v/>
      </c>
      <c r="AB218" s="9" t="str">
        <f>IF(SUMIFS(Sheet1!$E:$E,Sheet1!$C:$C,$A218,Sheet1!$A:$A,AB$2)&lt;&gt;0,SUMIFS(Sheet1!$E:$E,Sheet1!$C:$C,$A218,Sheet1!$A:$A,AB$2),"")</f>
        <v/>
      </c>
      <c r="AC218" s="9" t="str">
        <f>IF(SUMIFS(Sheet1!$E:$E,Sheet1!$C:$C,$A218,Sheet1!$A:$A,AC$2)&lt;&gt;0,SUMIFS(Sheet1!$E:$E,Sheet1!$C:$C,$A218,Sheet1!$A:$A,AC$2),"")</f>
        <v/>
      </c>
      <c r="AD218" s="9" t="str">
        <f>IF(SUMIFS(Sheet1!$E:$E,Sheet1!$C:$C,$A218,Sheet1!$A:$A,AD$2)&lt;&gt;0,SUMIFS(Sheet1!$E:$E,Sheet1!$C:$C,$A218,Sheet1!$A:$A,AD$2),"")</f>
        <v/>
      </c>
      <c r="AE218" s="9" t="str">
        <f>IF(SUMIFS(Sheet1!$E:$E,Sheet1!$C:$C,$A218,Sheet1!$A:$A,AE$2)&lt;&gt;0,SUMIFS(Sheet1!$E:$E,Sheet1!$C:$C,$A218,Sheet1!$A:$A,AE$2),"")</f>
        <v/>
      </c>
      <c r="AF218" s="9" t="str">
        <f>IF(SUMIFS(Sheet1!$E:$E,Sheet1!$C:$C,$A218,Sheet1!$A:$A,AF$2)&lt;&gt;0,SUMIFS(Sheet1!$E:$E,Sheet1!$C:$C,$A218,Sheet1!$A:$A,AF$2),"")</f>
        <v/>
      </c>
      <c r="AG218" s="9" t="str">
        <f>IF(SUMIFS(Sheet1!$E:$E,Sheet1!$C:$C,$A218,Sheet1!$A:$A,AG$2)&lt;&gt;0,SUMIFS(Sheet1!$E:$E,Sheet1!$C:$C,$A218,Sheet1!$A:$A,AG$2),"")</f>
        <v/>
      </c>
      <c r="AH218" s="47">
        <f>SUM(Table24[[#This Row],[1]:[31]])</f>
        <v>26</v>
      </c>
    </row>
    <row r="219" spans="1:34" ht="12.75" customHeight="1">
      <c r="A219" s="24" t="str">
        <f>DSSP!A218</f>
        <v>GC143</v>
      </c>
      <c r="B219" s="25" t="str">
        <f>DSSP!B218</f>
        <v>Mỏ neo cách điệu</v>
      </c>
      <c r="C219" s="9">
        <f>IF(SUMIFS(Sheet1!$E:$E,Sheet1!$C:$C,$A219,Sheet1!$A:$A,C$2)&lt;&gt;0,SUMIFS(Sheet1!$E:$E,Sheet1!$C:$C,$A219,Sheet1!$A:$A,C$2),"")</f>
        <v>41</v>
      </c>
      <c r="D219" s="9" t="str">
        <f>IF(SUMIFS(Sheet1!$E:$E,Sheet1!$C:$C,$A219,Sheet1!$A:$A,D$2)&lt;&gt;0,SUMIFS(Sheet1!$E:$E,Sheet1!$C:$C,$A219,Sheet1!$A:$A,D$2),"")</f>
        <v/>
      </c>
      <c r="E219" s="9" t="str">
        <f>IF(SUMIFS(Sheet1!$E:$E,Sheet1!$C:$C,$A219,Sheet1!$A:$A,E$2)&lt;&gt;0,SUMIFS(Sheet1!$E:$E,Sheet1!$C:$C,$A219,Sheet1!$A:$A,E$2),"")</f>
        <v/>
      </c>
      <c r="F219" s="9" t="str">
        <f>IF(SUMIFS(Sheet1!$E:$E,Sheet1!$C:$C,$A219,Sheet1!$A:$A,F$2)&lt;&gt;0,SUMIFS(Sheet1!$E:$E,Sheet1!$C:$C,$A219,Sheet1!$A:$A,F$2),"")</f>
        <v/>
      </c>
      <c r="G219" s="9" t="str">
        <f>IF(SUMIFS(Sheet1!$E:$E,Sheet1!$C:$C,$A219,Sheet1!$A:$A,G$2)&lt;&gt;0,SUMIFS(Sheet1!$E:$E,Sheet1!$C:$C,$A219,Sheet1!$A:$A,G$2),"")</f>
        <v/>
      </c>
      <c r="H219" s="9" t="str">
        <f>IF(SUMIFS(Sheet1!$E:$E,Sheet1!$C:$C,$A219,Sheet1!$A:$A,H$2)&lt;&gt;0,SUMIFS(Sheet1!$E:$E,Sheet1!$C:$C,$A219,Sheet1!$A:$A,H$2),"")</f>
        <v/>
      </c>
      <c r="I219" s="9" t="str">
        <f>IF(SUMIFS(Sheet1!$E:$E,Sheet1!$C:$C,$A219,Sheet1!$A:$A,I$2)&lt;&gt;0,SUMIFS(Sheet1!$E:$E,Sheet1!$C:$C,$A219,Sheet1!$A:$A,I$2),"")</f>
        <v/>
      </c>
      <c r="J219" s="9" t="str">
        <f>IF(SUMIFS(Sheet1!$E:$E,Sheet1!$C:$C,$A219,Sheet1!$A:$A,J$2)&lt;&gt;0,SUMIFS(Sheet1!$E:$E,Sheet1!$C:$C,$A219,Sheet1!$A:$A,J$2),"")</f>
        <v/>
      </c>
      <c r="K219" s="9" t="str">
        <f>IF(SUMIFS(Sheet1!$E:$E,Sheet1!$C:$C,$A219,Sheet1!$A:$A,K$2)&lt;&gt;0,SUMIFS(Sheet1!$E:$E,Sheet1!$C:$C,$A219,Sheet1!$A:$A,K$2),"")</f>
        <v/>
      </c>
      <c r="L219" s="9" t="str">
        <f>IF(SUMIFS(Sheet1!$E:$E,Sheet1!$C:$C,$A219,Sheet1!$A:$A,L$2)&lt;&gt;0,SUMIFS(Sheet1!$E:$E,Sheet1!$C:$C,$A219,Sheet1!$A:$A,L$2),"")</f>
        <v/>
      </c>
      <c r="M219" s="9" t="str">
        <f>IF(SUMIFS(Sheet1!$E:$E,Sheet1!$C:$C,$A219,Sheet1!$A:$A,M$2)&lt;&gt;0,SUMIFS(Sheet1!$E:$E,Sheet1!$C:$C,$A219,Sheet1!$A:$A,M$2),"")</f>
        <v/>
      </c>
      <c r="N219" s="9" t="str">
        <f>IF(SUMIFS(Sheet1!$E:$E,Sheet1!$C:$C,$A219,Sheet1!$A:$A,N$2)&lt;&gt;0,SUMIFS(Sheet1!$E:$E,Sheet1!$C:$C,$A219,Sheet1!$A:$A,N$2),"")</f>
        <v/>
      </c>
      <c r="O219" s="9" t="str">
        <f>IF(SUMIFS(Sheet1!$E:$E,Sheet1!$C:$C,$A219,Sheet1!$A:$A,O$2)&lt;&gt;0,SUMIFS(Sheet1!$E:$E,Sheet1!$C:$C,$A219,Sheet1!$A:$A,O$2),"")</f>
        <v/>
      </c>
      <c r="P219" s="9" t="str">
        <f>IF(SUMIFS(Sheet1!$E:$E,Sheet1!$C:$C,$A219,Sheet1!$A:$A,P$2)&lt;&gt;0,SUMIFS(Sheet1!$E:$E,Sheet1!$C:$C,$A219,Sheet1!$A:$A,P$2),"")</f>
        <v/>
      </c>
      <c r="Q219" s="9" t="str">
        <f>IF(SUMIFS(Sheet1!$E:$E,Sheet1!$C:$C,$A219,Sheet1!$A:$A,Q$2)&lt;&gt;0,SUMIFS(Sheet1!$E:$E,Sheet1!$C:$C,$A219,Sheet1!$A:$A,Q$2),"")</f>
        <v/>
      </c>
      <c r="R219" s="9" t="str">
        <f>IF(SUMIFS(Sheet1!$E:$E,Sheet1!$C:$C,$A219,Sheet1!$A:$A,R$2)&lt;&gt;0,SUMIFS(Sheet1!$E:$E,Sheet1!$C:$C,$A219,Sheet1!$A:$A,R$2),"")</f>
        <v/>
      </c>
      <c r="S219" s="9" t="str">
        <f>IF(SUMIFS(Sheet1!$E:$E,Sheet1!$C:$C,$A219,Sheet1!$A:$A,S$2)&lt;&gt;0,SUMIFS(Sheet1!$E:$E,Sheet1!$C:$C,$A219,Sheet1!$A:$A,S$2),"")</f>
        <v/>
      </c>
      <c r="T219" s="9" t="str">
        <f>IF(SUMIFS(Sheet1!$E:$E,Sheet1!$C:$C,$A219,Sheet1!$A:$A,T$2)&lt;&gt;0,SUMIFS(Sheet1!$E:$E,Sheet1!$C:$C,$A219,Sheet1!$A:$A,T$2),"")</f>
        <v/>
      </c>
      <c r="U219" s="9" t="str">
        <f>IF(SUMIFS(Sheet1!$E:$E,Sheet1!$C:$C,$A219,Sheet1!$A:$A,U$2)&lt;&gt;0,SUMIFS(Sheet1!$E:$E,Sheet1!$C:$C,$A219,Sheet1!$A:$A,U$2),"")</f>
        <v/>
      </c>
      <c r="V219" s="9" t="str">
        <f>IF(SUMIFS(Sheet1!$E:$E,Sheet1!$C:$C,$A219,Sheet1!$A:$A,V$2)&lt;&gt;0,SUMIFS(Sheet1!$E:$E,Sheet1!$C:$C,$A219,Sheet1!$A:$A,V$2),"")</f>
        <v/>
      </c>
      <c r="W219" s="9" t="str">
        <f>IF(SUMIFS(Sheet1!$E:$E,Sheet1!$C:$C,$A219,Sheet1!$A:$A,W$2)&lt;&gt;0,SUMIFS(Sheet1!$E:$E,Sheet1!$C:$C,$A219,Sheet1!$A:$A,W$2),"")</f>
        <v/>
      </c>
      <c r="X219" s="9" t="str">
        <f>IF(SUMIFS(Sheet1!$E:$E,Sheet1!$C:$C,$A219,Sheet1!$A:$A,X$2)&lt;&gt;0,SUMIFS(Sheet1!$E:$E,Sheet1!$C:$C,$A219,Sheet1!$A:$A,X$2),"")</f>
        <v/>
      </c>
      <c r="Y219" s="9" t="str">
        <f>IF(SUMIFS(Sheet1!$E:$E,Sheet1!$C:$C,$A219,Sheet1!$A:$A,Y$2)&lt;&gt;0,SUMIFS(Sheet1!$E:$E,Sheet1!$C:$C,$A219,Sheet1!$A:$A,Y$2),"")</f>
        <v/>
      </c>
      <c r="Z219" s="9" t="str">
        <f>IF(SUMIFS(Sheet1!$E:$E,Sheet1!$C:$C,$A219,Sheet1!$A:$A,Z$2)&lt;&gt;0,SUMIFS(Sheet1!$E:$E,Sheet1!$C:$C,$A219,Sheet1!$A:$A,Z$2),"")</f>
        <v/>
      </c>
      <c r="AA219" s="9" t="str">
        <f>IF(SUMIFS(Sheet1!$E:$E,Sheet1!$C:$C,$A219,Sheet1!$A:$A,AA$2)&lt;&gt;0,SUMIFS(Sheet1!$E:$E,Sheet1!$C:$C,$A219,Sheet1!$A:$A,AA$2),"")</f>
        <v/>
      </c>
      <c r="AB219" s="9" t="str">
        <f>IF(SUMIFS(Sheet1!$E:$E,Sheet1!$C:$C,$A219,Sheet1!$A:$A,AB$2)&lt;&gt;0,SUMIFS(Sheet1!$E:$E,Sheet1!$C:$C,$A219,Sheet1!$A:$A,AB$2),"")</f>
        <v/>
      </c>
      <c r="AC219" s="9" t="str">
        <f>IF(SUMIFS(Sheet1!$E:$E,Sheet1!$C:$C,$A219,Sheet1!$A:$A,AC$2)&lt;&gt;0,SUMIFS(Sheet1!$E:$E,Sheet1!$C:$C,$A219,Sheet1!$A:$A,AC$2),"")</f>
        <v/>
      </c>
      <c r="AD219" s="9" t="str">
        <f>IF(SUMIFS(Sheet1!$E:$E,Sheet1!$C:$C,$A219,Sheet1!$A:$A,AD$2)&lt;&gt;0,SUMIFS(Sheet1!$E:$E,Sheet1!$C:$C,$A219,Sheet1!$A:$A,AD$2),"")</f>
        <v/>
      </c>
      <c r="AE219" s="9" t="str">
        <f>IF(SUMIFS(Sheet1!$E:$E,Sheet1!$C:$C,$A219,Sheet1!$A:$A,AE$2)&lt;&gt;0,SUMIFS(Sheet1!$E:$E,Sheet1!$C:$C,$A219,Sheet1!$A:$A,AE$2),"")</f>
        <v/>
      </c>
      <c r="AF219" s="9" t="str">
        <f>IF(SUMIFS(Sheet1!$E:$E,Sheet1!$C:$C,$A219,Sheet1!$A:$A,AF$2)&lt;&gt;0,SUMIFS(Sheet1!$E:$E,Sheet1!$C:$C,$A219,Sheet1!$A:$A,AF$2),"")</f>
        <v/>
      </c>
      <c r="AG219" s="9" t="str">
        <f>IF(SUMIFS(Sheet1!$E:$E,Sheet1!$C:$C,$A219,Sheet1!$A:$A,AG$2)&lt;&gt;0,SUMIFS(Sheet1!$E:$E,Sheet1!$C:$C,$A219,Sheet1!$A:$A,AG$2),"")</f>
        <v/>
      </c>
      <c r="AH219" s="47">
        <f>SUM(Table24[[#This Row],[1]:[31]])</f>
        <v>41</v>
      </c>
    </row>
    <row r="220" spans="1:34" ht="12.75" customHeight="1">
      <c r="A220" s="24" t="str">
        <f>DSSP!A219</f>
        <v>GC144</v>
      </c>
      <c r="B220" s="25" t="str">
        <f>DSSP!B219</f>
        <v>Vương miện</v>
      </c>
      <c r="C220" s="9" t="str">
        <f>IF(SUMIFS(Sheet1!$E:$E,Sheet1!$C:$C,$A220,Sheet1!$A:$A,C$2)&lt;&gt;0,SUMIFS(Sheet1!$E:$E,Sheet1!$C:$C,$A220,Sheet1!$A:$A,C$2),"")</f>
        <v/>
      </c>
      <c r="D220" s="9" t="str">
        <f>IF(SUMIFS(Sheet1!$E:$E,Sheet1!$C:$C,$A220,Sheet1!$A:$A,D$2)&lt;&gt;0,SUMIFS(Sheet1!$E:$E,Sheet1!$C:$C,$A220,Sheet1!$A:$A,D$2),"")</f>
        <v/>
      </c>
      <c r="E220" s="9" t="str">
        <f>IF(SUMIFS(Sheet1!$E:$E,Sheet1!$C:$C,$A220,Sheet1!$A:$A,E$2)&lt;&gt;0,SUMIFS(Sheet1!$E:$E,Sheet1!$C:$C,$A220,Sheet1!$A:$A,E$2),"")</f>
        <v/>
      </c>
      <c r="F220" s="9" t="str">
        <f>IF(SUMIFS(Sheet1!$E:$E,Sheet1!$C:$C,$A220,Sheet1!$A:$A,F$2)&lt;&gt;0,SUMIFS(Sheet1!$E:$E,Sheet1!$C:$C,$A220,Sheet1!$A:$A,F$2),"")</f>
        <v/>
      </c>
      <c r="G220" s="9" t="str">
        <f>IF(SUMIFS(Sheet1!$E:$E,Sheet1!$C:$C,$A220,Sheet1!$A:$A,G$2)&lt;&gt;0,SUMIFS(Sheet1!$E:$E,Sheet1!$C:$C,$A220,Sheet1!$A:$A,G$2),"")</f>
        <v/>
      </c>
      <c r="H220" s="9" t="str">
        <f>IF(SUMIFS(Sheet1!$E:$E,Sheet1!$C:$C,$A220,Sheet1!$A:$A,H$2)&lt;&gt;0,SUMIFS(Sheet1!$E:$E,Sheet1!$C:$C,$A220,Sheet1!$A:$A,H$2),"")</f>
        <v/>
      </c>
      <c r="I220" s="9" t="str">
        <f>IF(SUMIFS(Sheet1!$E:$E,Sheet1!$C:$C,$A220,Sheet1!$A:$A,I$2)&lt;&gt;0,SUMIFS(Sheet1!$E:$E,Sheet1!$C:$C,$A220,Sheet1!$A:$A,I$2),"")</f>
        <v/>
      </c>
      <c r="J220" s="9" t="str">
        <f>IF(SUMIFS(Sheet1!$E:$E,Sheet1!$C:$C,$A220,Sheet1!$A:$A,J$2)&lt;&gt;0,SUMIFS(Sheet1!$E:$E,Sheet1!$C:$C,$A220,Sheet1!$A:$A,J$2),"")</f>
        <v/>
      </c>
      <c r="K220" s="9" t="str">
        <f>IF(SUMIFS(Sheet1!$E:$E,Sheet1!$C:$C,$A220,Sheet1!$A:$A,K$2)&lt;&gt;0,SUMIFS(Sheet1!$E:$E,Sheet1!$C:$C,$A220,Sheet1!$A:$A,K$2),"")</f>
        <v/>
      </c>
      <c r="L220" s="9" t="str">
        <f>IF(SUMIFS(Sheet1!$E:$E,Sheet1!$C:$C,$A220,Sheet1!$A:$A,L$2)&lt;&gt;0,SUMIFS(Sheet1!$E:$E,Sheet1!$C:$C,$A220,Sheet1!$A:$A,L$2),"")</f>
        <v/>
      </c>
      <c r="M220" s="9" t="str">
        <f>IF(SUMIFS(Sheet1!$E:$E,Sheet1!$C:$C,$A220,Sheet1!$A:$A,M$2)&lt;&gt;0,SUMIFS(Sheet1!$E:$E,Sheet1!$C:$C,$A220,Sheet1!$A:$A,M$2),"")</f>
        <v/>
      </c>
      <c r="N220" s="9" t="str">
        <f>IF(SUMIFS(Sheet1!$E:$E,Sheet1!$C:$C,$A220,Sheet1!$A:$A,N$2)&lt;&gt;0,SUMIFS(Sheet1!$E:$E,Sheet1!$C:$C,$A220,Sheet1!$A:$A,N$2),"")</f>
        <v/>
      </c>
      <c r="O220" s="9" t="str">
        <f>IF(SUMIFS(Sheet1!$E:$E,Sheet1!$C:$C,$A220,Sheet1!$A:$A,O$2)&lt;&gt;0,SUMIFS(Sheet1!$E:$E,Sheet1!$C:$C,$A220,Sheet1!$A:$A,O$2),"")</f>
        <v/>
      </c>
      <c r="P220" s="9" t="str">
        <f>IF(SUMIFS(Sheet1!$E:$E,Sheet1!$C:$C,$A220,Sheet1!$A:$A,P$2)&lt;&gt;0,SUMIFS(Sheet1!$E:$E,Sheet1!$C:$C,$A220,Sheet1!$A:$A,P$2),"")</f>
        <v/>
      </c>
      <c r="Q220" s="9" t="str">
        <f>IF(SUMIFS(Sheet1!$E:$E,Sheet1!$C:$C,$A220,Sheet1!$A:$A,Q$2)&lt;&gt;0,SUMIFS(Sheet1!$E:$E,Sheet1!$C:$C,$A220,Sheet1!$A:$A,Q$2),"")</f>
        <v/>
      </c>
      <c r="R220" s="9" t="str">
        <f>IF(SUMIFS(Sheet1!$E:$E,Sheet1!$C:$C,$A220,Sheet1!$A:$A,R$2)&lt;&gt;0,SUMIFS(Sheet1!$E:$E,Sheet1!$C:$C,$A220,Sheet1!$A:$A,R$2),"")</f>
        <v/>
      </c>
      <c r="S220" s="9" t="str">
        <f>IF(SUMIFS(Sheet1!$E:$E,Sheet1!$C:$C,$A220,Sheet1!$A:$A,S$2)&lt;&gt;0,SUMIFS(Sheet1!$E:$E,Sheet1!$C:$C,$A220,Sheet1!$A:$A,S$2),"")</f>
        <v/>
      </c>
      <c r="T220" s="9" t="str">
        <f>IF(SUMIFS(Sheet1!$E:$E,Sheet1!$C:$C,$A220,Sheet1!$A:$A,T$2)&lt;&gt;0,SUMIFS(Sheet1!$E:$E,Sheet1!$C:$C,$A220,Sheet1!$A:$A,T$2),"")</f>
        <v/>
      </c>
      <c r="U220" s="9" t="str">
        <f>IF(SUMIFS(Sheet1!$E:$E,Sheet1!$C:$C,$A220,Sheet1!$A:$A,U$2)&lt;&gt;0,SUMIFS(Sheet1!$E:$E,Sheet1!$C:$C,$A220,Sheet1!$A:$A,U$2),"")</f>
        <v/>
      </c>
      <c r="V220" s="9" t="str">
        <f>IF(SUMIFS(Sheet1!$E:$E,Sheet1!$C:$C,$A220,Sheet1!$A:$A,V$2)&lt;&gt;0,SUMIFS(Sheet1!$E:$E,Sheet1!$C:$C,$A220,Sheet1!$A:$A,V$2),"")</f>
        <v/>
      </c>
      <c r="W220" s="9" t="str">
        <f>IF(SUMIFS(Sheet1!$E:$E,Sheet1!$C:$C,$A220,Sheet1!$A:$A,W$2)&lt;&gt;0,SUMIFS(Sheet1!$E:$E,Sheet1!$C:$C,$A220,Sheet1!$A:$A,W$2),"")</f>
        <v/>
      </c>
      <c r="X220" s="9" t="str">
        <f>IF(SUMIFS(Sheet1!$E:$E,Sheet1!$C:$C,$A220,Sheet1!$A:$A,X$2)&lt;&gt;0,SUMIFS(Sheet1!$E:$E,Sheet1!$C:$C,$A220,Sheet1!$A:$A,X$2),"")</f>
        <v/>
      </c>
      <c r="Y220" s="9" t="str">
        <f>IF(SUMIFS(Sheet1!$E:$E,Sheet1!$C:$C,$A220,Sheet1!$A:$A,Y$2)&lt;&gt;0,SUMIFS(Sheet1!$E:$E,Sheet1!$C:$C,$A220,Sheet1!$A:$A,Y$2),"")</f>
        <v/>
      </c>
      <c r="Z220" s="9" t="str">
        <f>IF(SUMIFS(Sheet1!$E:$E,Sheet1!$C:$C,$A220,Sheet1!$A:$A,Z$2)&lt;&gt;0,SUMIFS(Sheet1!$E:$E,Sheet1!$C:$C,$A220,Sheet1!$A:$A,Z$2),"")</f>
        <v/>
      </c>
      <c r="AA220" s="9" t="str">
        <f>IF(SUMIFS(Sheet1!$E:$E,Sheet1!$C:$C,$A220,Sheet1!$A:$A,AA$2)&lt;&gt;0,SUMIFS(Sheet1!$E:$E,Sheet1!$C:$C,$A220,Sheet1!$A:$A,AA$2),"")</f>
        <v/>
      </c>
      <c r="AB220" s="9" t="str">
        <f>IF(SUMIFS(Sheet1!$E:$E,Sheet1!$C:$C,$A220,Sheet1!$A:$A,AB$2)&lt;&gt;0,SUMIFS(Sheet1!$E:$E,Sheet1!$C:$C,$A220,Sheet1!$A:$A,AB$2),"")</f>
        <v/>
      </c>
      <c r="AC220" s="9" t="str">
        <f>IF(SUMIFS(Sheet1!$E:$E,Sheet1!$C:$C,$A220,Sheet1!$A:$A,AC$2)&lt;&gt;0,SUMIFS(Sheet1!$E:$E,Sheet1!$C:$C,$A220,Sheet1!$A:$A,AC$2),"")</f>
        <v/>
      </c>
      <c r="AD220" s="9" t="str">
        <f>IF(SUMIFS(Sheet1!$E:$E,Sheet1!$C:$C,$A220,Sheet1!$A:$A,AD$2)&lt;&gt;0,SUMIFS(Sheet1!$E:$E,Sheet1!$C:$C,$A220,Sheet1!$A:$A,AD$2),"")</f>
        <v/>
      </c>
      <c r="AE220" s="9" t="str">
        <f>IF(SUMIFS(Sheet1!$E:$E,Sheet1!$C:$C,$A220,Sheet1!$A:$A,AE$2)&lt;&gt;0,SUMIFS(Sheet1!$E:$E,Sheet1!$C:$C,$A220,Sheet1!$A:$A,AE$2),"")</f>
        <v/>
      </c>
      <c r="AF220" s="9" t="str">
        <f>IF(SUMIFS(Sheet1!$E:$E,Sheet1!$C:$C,$A220,Sheet1!$A:$A,AF$2)&lt;&gt;0,SUMIFS(Sheet1!$E:$E,Sheet1!$C:$C,$A220,Sheet1!$A:$A,AF$2),"")</f>
        <v/>
      </c>
      <c r="AG220" s="9" t="str">
        <f>IF(SUMIFS(Sheet1!$E:$E,Sheet1!$C:$C,$A220,Sheet1!$A:$A,AG$2)&lt;&gt;0,SUMIFS(Sheet1!$E:$E,Sheet1!$C:$C,$A220,Sheet1!$A:$A,AG$2),"")</f>
        <v/>
      </c>
      <c r="AH220" s="47">
        <f>SUM(Table24[[#This Row],[1]:[31]])</f>
        <v>0</v>
      </c>
    </row>
    <row r="221" spans="1:34" ht="12.75" customHeight="1">
      <c r="A221" s="24" t="str">
        <f>DSSP!A220</f>
        <v>GC145</v>
      </c>
      <c r="B221" s="25" t="str">
        <f>DSSP!B220</f>
        <v>Cú đặc có cành cây</v>
      </c>
      <c r="C221" s="9">
        <f>IF(SUMIFS(Sheet1!$E:$E,Sheet1!$C:$C,$A221,Sheet1!$A:$A,C$2)&lt;&gt;0,SUMIFS(Sheet1!$E:$E,Sheet1!$C:$C,$A221,Sheet1!$A:$A,C$2),"")</f>
        <v>65</v>
      </c>
      <c r="D221" s="9" t="str">
        <f>IF(SUMIFS(Sheet1!$E:$E,Sheet1!$C:$C,$A221,Sheet1!$A:$A,D$2)&lt;&gt;0,SUMIFS(Sheet1!$E:$E,Sheet1!$C:$C,$A221,Sheet1!$A:$A,D$2),"")</f>
        <v/>
      </c>
      <c r="E221" s="9" t="str">
        <f>IF(SUMIFS(Sheet1!$E:$E,Sheet1!$C:$C,$A221,Sheet1!$A:$A,E$2)&lt;&gt;0,SUMIFS(Sheet1!$E:$E,Sheet1!$C:$C,$A221,Sheet1!$A:$A,E$2),"")</f>
        <v/>
      </c>
      <c r="F221" s="9" t="str">
        <f>IF(SUMIFS(Sheet1!$E:$E,Sheet1!$C:$C,$A221,Sheet1!$A:$A,F$2)&lt;&gt;0,SUMIFS(Sheet1!$E:$E,Sheet1!$C:$C,$A221,Sheet1!$A:$A,F$2),"")</f>
        <v/>
      </c>
      <c r="G221" s="9" t="str">
        <f>IF(SUMIFS(Sheet1!$E:$E,Sheet1!$C:$C,$A221,Sheet1!$A:$A,G$2)&lt;&gt;0,SUMIFS(Sheet1!$E:$E,Sheet1!$C:$C,$A221,Sheet1!$A:$A,G$2),"")</f>
        <v/>
      </c>
      <c r="H221" s="9" t="str">
        <f>IF(SUMIFS(Sheet1!$E:$E,Sheet1!$C:$C,$A221,Sheet1!$A:$A,H$2)&lt;&gt;0,SUMIFS(Sheet1!$E:$E,Sheet1!$C:$C,$A221,Sheet1!$A:$A,H$2),"")</f>
        <v/>
      </c>
      <c r="I221" s="9" t="str">
        <f>IF(SUMIFS(Sheet1!$E:$E,Sheet1!$C:$C,$A221,Sheet1!$A:$A,I$2)&lt;&gt;0,SUMIFS(Sheet1!$E:$E,Sheet1!$C:$C,$A221,Sheet1!$A:$A,I$2),"")</f>
        <v/>
      </c>
      <c r="J221" s="9" t="str">
        <f>IF(SUMIFS(Sheet1!$E:$E,Sheet1!$C:$C,$A221,Sheet1!$A:$A,J$2)&lt;&gt;0,SUMIFS(Sheet1!$E:$E,Sheet1!$C:$C,$A221,Sheet1!$A:$A,J$2),"")</f>
        <v/>
      </c>
      <c r="K221" s="9" t="str">
        <f>IF(SUMIFS(Sheet1!$E:$E,Sheet1!$C:$C,$A221,Sheet1!$A:$A,K$2)&lt;&gt;0,SUMIFS(Sheet1!$E:$E,Sheet1!$C:$C,$A221,Sheet1!$A:$A,K$2),"")</f>
        <v/>
      </c>
      <c r="L221" s="9" t="str">
        <f>IF(SUMIFS(Sheet1!$E:$E,Sheet1!$C:$C,$A221,Sheet1!$A:$A,L$2)&lt;&gt;0,SUMIFS(Sheet1!$E:$E,Sheet1!$C:$C,$A221,Sheet1!$A:$A,L$2),"")</f>
        <v/>
      </c>
      <c r="M221" s="9" t="str">
        <f>IF(SUMIFS(Sheet1!$E:$E,Sheet1!$C:$C,$A221,Sheet1!$A:$A,M$2)&lt;&gt;0,SUMIFS(Sheet1!$E:$E,Sheet1!$C:$C,$A221,Sheet1!$A:$A,M$2),"")</f>
        <v/>
      </c>
      <c r="N221" s="9" t="str">
        <f>IF(SUMIFS(Sheet1!$E:$E,Sheet1!$C:$C,$A221,Sheet1!$A:$A,N$2)&lt;&gt;0,SUMIFS(Sheet1!$E:$E,Sheet1!$C:$C,$A221,Sheet1!$A:$A,N$2),"")</f>
        <v/>
      </c>
      <c r="O221" s="9" t="str">
        <f>IF(SUMIFS(Sheet1!$E:$E,Sheet1!$C:$C,$A221,Sheet1!$A:$A,O$2)&lt;&gt;0,SUMIFS(Sheet1!$E:$E,Sheet1!$C:$C,$A221,Sheet1!$A:$A,O$2),"")</f>
        <v/>
      </c>
      <c r="P221" s="9" t="str">
        <f>IF(SUMIFS(Sheet1!$E:$E,Sheet1!$C:$C,$A221,Sheet1!$A:$A,P$2)&lt;&gt;0,SUMIFS(Sheet1!$E:$E,Sheet1!$C:$C,$A221,Sheet1!$A:$A,P$2),"")</f>
        <v/>
      </c>
      <c r="Q221" s="9" t="str">
        <f>IF(SUMIFS(Sheet1!$E:$E,Sheet1!$C:$C,$A221,Sheet1!$A:$A,Q$2)&lt;&gt;0,SUMIFS(Sheet1!$E:$E,Sheet1!$C:$C,$A221,Sheet1!$A:$A,Q$2),"")</f>
        <v/>
      </c>
      <c r="R221" s="9" t="str">
        <f>IF(SUMIFS(Sheet1!$E:$E,Sheet1!$C:$C,$A221,Sheet1!$A:$A,R$2)&lt;&gt;0,SUMIFS(Sheet1!$E:$E,Sheet1!$C:$C,$A221,Sheet1!$A:$A,R$2),"")</f>
        <v/>
      </c>
      <c r="S221" s="9" t="str">
        <f>IF(SUMIFS(Sheet1!$E:$E,Sheet1!$C:$C,$A221,Sheet1!$A:$A,S$2)&lt;&gt;0,SUMIFS(Sheet1!$E:$E,Sheet1!$C:$C,$A221,Sheet1!$A:$A,S$2),"")</f>
        <v/>
      </c>
      <c r="T221" s="9" t="str">
        <f>IF(SUMIFS(Sheet1!$E:$E,Sheet1!$C:$C,$A221,Sheet1!$A:$A,T$2)&lt;&gt;0,SUMIFS(Sheet1!$E:$E,Sheet1!$C:$C,$A221,Sheet1!$A:$A,T$2),"")</f>
        <v/>
      </c>
      <c r="U221" s="9" t="str">
        <f>IF(SUMIFS(Sheet1!$E:$E,Sheet1!$C:$C,$A221,Sheet1!$A:$A,U$2)&lt;&gt;0,SUMIFS(Sheet1!$E:$E,Sheet1!$C:$C,$A221,Sheet1!$A:$A,U$2),"")</f>
        <v/>
      </c>
      <c r="V221" s="9" t="str">
        <f>IF(SUMIFS(Sheet1!$E:$E,Sheet1!$C:$C,$A221,Sheet1!$A:$A,V$2)&lt;&gt;0,SUMIFS(Sheet1!$E:$E,Sheet1!$C:$C,$A221,Sheet1!$A:$A,V$2),"")</f>
        <v/>
      </c>
      <c r="W221" s="9" t="str">
        <f>IF(SUMIFS(Sheet1!$E:$E,Sheet1!$C:$C,$A221,Sheet1!$A:$A,W$2)&lt;&gt;0,SUMIFS(Sheet1!$E:$E,Sheet1!$C:$C,$A221,Sheet1!$A:$A,W$2),"")</f>
        <v/>
      </c>
      <c r="X221" s="9" t="str">
        <f>IF(SUMIFS(Sheet1!$E:$E,Sheet1!$C:$C,$A221,Sheet1!$A:$A,X$2)&lt;&gt;0,SUMIFS(Sheet1!$E:$E,Sheet1!$C:$C,$A221,Sheet1!$A:$A,X$2),"")</f>
        <v/>
      </c>
      <c r="Y221" s="9" t="str">
        <f>IF(SUMIFS(Sheet1!$E:$E,Sheet1!$C:$C,$A221,Sheet1!$A:$A,Y$2)&lt;&gt;0,SUMIFS(Sheet1!$E:$E,Sheet1!$C:$C,$A221,Sheet1!$A:$A,Y$2),"")</f>
        <v/>
      </c>
      <c r="Z221" s="9" t="str">
        <f>IF(SUMIFS(Sheet1!$E:$E,Sheet1!$C:$C,$A221,Sheet1!$A:$A,Z$2)&lt;&gt;0,SUMIFS(Sheet1!$E:$E,Sheet1!$C:$C,$A221,Sheet1!$A:$A,Z$2),"")</f>
        <v/>
      </c>
      <c r="AA221" s="9" t="str">
        <f>IF(SUMIFS(Sheet1!$E:$E,Sheet1!$C:$C,$A221,Sheet1!$A:$A,AA$2)&lt;&gt;0,SUMIFS(Sheet1!$E:$E,Sheet1!$C:$C,$A221,Sheet1!$A:$A,AA$2),"")</f>
        <v/>
      </c>
      <c r="AB221" s="9" t="str">
        <f>IF(SUMIFS(Sheet1!$E:$E,Sheet1!$C:$C,$A221,Sheet1!$A:$A,AB$2)&lt;&gt;0,SUMIFS(Sheet1!$E:$E,Sheet1!$C:$C,$A221,Sheet1!$A:$A,AB$2),"")</f>
        <v/>
      </c>
      <c r="AC221" s="9" t="str">
        <f>IF(SUMIFS(Sheet1!$E:$E,Sheet1!$C:$C,$A221,Sheet1!$A:$A,AC$2)&lt;&gt;0,SUMIFS(Sheet1!$E:$E,Sheet1!$C:$C,$A221,Sheet1!$A:$A,AC$2),"")</f>
        <v/>
      </c>
      <c r="AD221" s="9" t="str">
        <f>IF(SUMIFS(Sheet1!$E:$E,Sheet1!$C:$C,$A221,Sheet1!$A:$A,AD$2)&lt;&gt;0,SUMIFS(Sheet1!$E:$E,Sheet1!$C:$C,$A221,Sheet1!$A:$A,AD$2),"")</f>
        <v/>
      </c>
      <c r="AE221" s="9" t="str">
        <f>IF(SUMIFS(Sheet1!$E:$E,Sheet1!$C:$C,$A221,Sheet1!$A:$A,AE$2)&lt;&gt;0,SUMIFS(Sheet1!$E:$E,Sheet1!$C:$C,$A221,Sheet1!$A:$A,AE$2),"")</f>
        <v/>
      </c>
      <c r="AF221" s="9" t="str">
        <f>IF(SUMIFS(Sheet1!$E:$E,Sheet1!$C:$C,$A221,Sheet1!$A:$A,AF$2)&lt;&gt;0,SUMIFS(Sheet1!$E:$E,Sheet1!$C:$C,$A221,Sheet1!$A:$A,AF$2),"")</f>
        <v/>
      </c>
      <c r="AG221" s="9" t="str">
        <f>IF(SUMIFS(Sheet1!$E:$E,Sheet1!$C:$C,$A221,Sheet1!$A:$A,AG$2)&lt;&gt;0,SUMIFS(Sheet1!$E:$E,Sheet1!$C:$C,$A221,Sheet1!$A:$A,AG$2),"")</f>
        <v/>
      </c>
      <c r="AH221" s="47">
        <f>SUM(Table24[[#This Row],[1]:[31]])</f>
        <v>65</v>
      </c>
    </row>
    <row r="222" spans="1:34" ht="12.75" customHeight="1">
      <c r="A222" s="24" t="str">
        <f>DSSP!A221</f>
        <v>GC146</v>
      </c>
      <c r="B222" s="25" t="str">
        <f>DSSP!B221</f>
        <v>Cú đặc xòe cánh</v>
      </c>
      <c r="C222" s="9">
        <f>IF(SUMIFS(Sheet1!$E:$E,Sheet1!$C:$C,$A222,Sheet1!$A:$A,C$2)&lt;&gt;0,SUMIFS(Sheet1!$E:$E,Sheet1!$C:$C,$A222,Sheet1!$A:$A,C$2),"")</f>
        <v>56</v>
      </c>
      <c r="D222" s="9" t="str">
        <f>IF(SUMIFS(Sheet1!$E:$E,Sheet1!$C:$C,$A222,Sheet1!$A:$A,D$2)&lt;&gt;0,SUMIFS(Sheet1!$E:$E,Sheet1!$C:$C,$A222,Sheet1!$A:$A,D$2),"")</f>
        <v/>
      </c>
      <c r="E222" s="9" t="str">
        <f>IF(SUMIFS(Sheet1!$E:$E,Sheet1!$C:$C,$A222,Sheet1!$A:$A,E$2)&lt;&gt;0,SUMIFS(Sheet1!$E:$E,Sheet1!$C:$C,$A222,Sheet1!$A:$A,E$2),"")</f>
        <v/>
      </c>
      <c r="F222" s="9" t="str">
        <f>IF(SUMIFS(Sheet1!$E:$E,Sheet1!$C:$C,$A222,Sheet1!$A:$A,F$2)&lt;&gt;0,SUMIFS(Sheet1!$E:$E,Sheet1!$C:$C,$A222,Sheet1!$A:$A,F$2),"")</f>
        <v/>
      </c>
      <c r="G222" s="9" t="str">
        <f>IF(SUMIFS(Sheet1!$E:$E,Sheet1!$C:$C,$A222,Sheet1!$A:$A,G$2)&lt;&gt;0,SUMIFS(Sheet1!$E:$E,Sheet1!$C:$C,$A222,Sheet1!$A:$A,G$2),"")</f>
        <v/>
      </c>
      <c r="H222" s="9" t="str">
        <f>IF(SUMIFS(Sheet1!$E:$E,Sheet1!$C:$C,$A222,Sheet1!$A:$A,H$2)&lt;&gt;0,SUMIFS(Sheet1!$E:$E,Sheet1!$C:$C,$A222,Sheet1!$A:$A,H$2),"")</f>
        <v/>
      </c>
      <c r="I222" s="9" t="str">
        <f>IF(SUMIFS(Sheet1!$E:$E,Sheet1!$C:$C,$A222,Sheet1!$A:$A,I$2)&lt;&gt;0,SUMIFS(Sheet1!$E:$E,Sheet1!$C:$C,$A222,Sheet1!$A:$A,I$2),"")</f>
        <v/>
      </c>
      <c r="J222" s="9" t="str">
        <f>IF(SUMIFS(Sheet1!$E:$E,Sheet1!$C:$C,$A222,Sheet1!$A:$A,J$2)&lt;&gt;0,SUMIFS(Sheet1!$E:$E,Sheet1!$C:$C,$A222,Sheet1!$A:$A,J$2),"")</f>
        <v/>
      </c>
      <c r="K222" s="9" t="str">
        <f>IF(SUMIFS(Sheet1!$E:$E,Sheet1!$C:$C,$A222,Sheet1!$A:$A,K$2)&lt;&gt;0,SUMIFS(Sheet1!$E:$E,Sheet1!$C:$C,$A222,Sheet1!$A:$A,K$2),"")</f>
        <v/>
      </c>
      <c r="L222" s="9" t="str">
        <f>IF(SUMIFS(Sheet1!$E:$E,Sheet1!$C:$C,$A222,Sheet1!$A:$A,L$2)&lt;&gt;0,SUMIFS(Sheet1!$E:$E,Sheet1!$C:$C,$A222,Sheet1!$A:$A,L$2),"")</f>
        <v/>
      </c>
      <c r="M222" s="9" t="str">
        <f>IF(SUMIFS(Sheet1!$E:$E,Sheet1!$C:$C,$A222,Sheet1!$A:$A,M$2)&lt;&gt;0,SUMIFS(Sheet1!$E:$E,Sheet1!$C:$C,$A222,Sheet1!$A:$A,M$2),"")</f>
        <v/>
      </c>
      <c r="N222" s="9" t="str">
        <f>IF(SUMIFS(Sheet1!$E:$E,Sheet1!$C:$C,$A222,Sheet1!$A:$A,N$2)&lt;&gt;0,SUMIFS(Sheet1!$E:$E,Sheet1!$C:$C,$A222,Sheet1!$A:$A,N$2),"")</f>
        <v/>
      </c>
      <c r="O222" s="9" t="str">
        <f>IF(SUMIFS(Sheet1!$E:$E,Sheet1!$C:$C,$A222,Sheet1!$A:$A,O$2)&lt;&gt;0,SUMIFS(Sheet1!$E:$E,Sheet1!$C:$C,$A222,Sheet1!$A:$A,O$2),"")</f>
        <v/>
      </c>
      <c r="P222" s="9" t="str">
        <f>IF(SUMIFS(Sheet1!$E:$E,Sheet1!$C:$C,$A222,Sheet1!$A:$A,P$2)&lt;&gt;0,SUMIFS(Sheet1!$E:$E,Sheet1!$C:$C,$A222,Sheet1!$A:$A,P$2),"")</f>
        <v/>
      </c>
      <c r="Q222" s="9" t="str">
        <f>IF(SUMIFS(Sheet1!$E:$E,Sheet1!$C:$C,$A222,Sheet1!$A:$A,Q$2)&lt;&gt;0,SUMIFS(Sheet1!$E:$E,Sheet1!$C:$C,$A222,Sheet1!$A:$A,Q$2),"")</f>
        <v/>
      </c>
      <c r="R222" s="9" t="str">
        <f>IF(SUMIFS(Sheet1!$E:$E,Sheet1!$C:$C,$A222,Sheet1!$A:$A,R$2)&lt;&gt;0,SUMIFS(Sheet1!$E:$E,Sheet1!$C:$C,$A222,Sheet1!$A:$A,R$2),"")</f>
        <v/>
      </c>
      <c r="S222" s="9" t="str">
        <f>IF(SUMIFS(Sheet1!$E:$E,Sheet1!$C:$C,$A222,Sheet1!$A:$A,S$2)&lt;&gt;0,SUMIFS(Sheet1!$E:$E,Sheet1!$C:$C,$A222,Sheet1!$A:$A,S$2),"")</f>
        <v/>
      </c>
      <c r="T222" s="9" t="str">
        <f>IF(SUMIFS(Sheet1!$E:$E,Sheet1!$C:$C,$A222,Sheet1!$A:$A,T$2)&lt;&gt;0,SUMIFS(Sheet1!$E:$E,Sheet1!$C:$C,$A222,Sheet1!$A:$A,T$2),"")</f>
        <v/>
      </c>
      <c r="U222" s="9" t="str">
        <f>IF(SUMIFS(Sheet1!$E:$E,Sheet1!$C:$C,$A222,Sheet1!$A:$A,U$2)&lt;&gt;0,SUMIFS(Sheet1!$E:$E,Sheet1!$C:$C,$A222,Sheet1!$A:$A,U$2),"")</f>
        <v/>
      </c>
      <c r="V222" s="9" t="str">
        <f>IF(SUMIFS(Sheet1!$E:$E,Sheet1!$C:$C,$A222,Sheet1!$A:$A,V$2)&lt;&gt;0,SUMIFS(Sheet1!$E:$E,Sheet1!$C:$C,$A222,Sheet1!$A:$A,V$2),"")</f>
        <v/>
      </c>
      <c r="W222" s="9" t="str">
        <f>IF(SUMIFS(Sheet1!$E:$E,Sheet1!$C:$C,$A222,Sheet1!$A:$A,W$2)&lt;&gt;0,SUMIFS(Sheet1!$E:$E,Sheet1!$C:$C,$A222,Sheet1!$A:$A,W$2),"")</f>
        <v/>
      </c>
      <c r="X222" s="9" t="str">
        <f>IF(SUMIFS(Sheet1!$E:$E,Sheet1!$C:$C,$A222,Sheet1!$A:$A,X$2)&lt;&gt;0,SUMIFS(Sheet1!$E:$E,Sheet1!$C:$C,$A222,Sheet1!$A:$A,X$2),"")</f>
        <v/>
      </c>
      <c r="Y222" s="9" t="str">
        <f>IF(SUMIFS(Sheet1!$E:$E,Sheet1!$C:$C,$A222,Sheet1!$A:$A,Y$2)&lt;&gt;0,SUMIFS(Sheet1!$E:$E,Sheet1!$C:$C,$A222,Sheet1!$A:$A,Y$2),"")</f>
        <v/>
      </c>
      <c r="Z222" s="9" t="str">
        <f>IF(SUMIFS(Sheet1!$E:$E,Sheet1!$C:$C,$A222,Sheet1!$A:$A,Z$2)&lt;&gt;0,SUMIFS(Sheet1!$E:$E,Sheet1!$C:$C,$A222,Sheet1!$A:$A,Z$2),"")</f>
        <v/>
      </c>
      <c r="AA222" s="9" t="str">
        <f>IF(SUMIFS(Sheet1!$E:$E,Sheet1!$C:$C,$A222,Sheet1!$A:$A,AA$2)&lt;&gt;0,SUMIFS(Sheet1!$E:$E,Sheet1!$C:$C,$A222,Sheet1!$A:$A,AA$2),"")</f>
        <v/>
      </c>
      <c r="AB222" s="9" t="str">
        <f>IF(SUMIFS(Sheet1!$E:$E,Sheet1!$C:$C,$A222,Sheet1!$A:$A,AB$2)&lt;&gt;0,SUMIFS(Sheet1!$E:$E,Sheet1!$C:$C,$A222,Sheet1!$A:$A,AB$2),"")</f>
        <v/>
      </c>
      <c r="AC222" s="9" t="str">
        <f>IF(SUMIFS(Sheet1!$E:$E,Sheet1!$C:$C,$A222,Sheet1!$A:$A,AC$2)&lt;&gt;0,SUMIFS(Sheet1!$E:$E,Sheet1!$C:$C,$A222,Sheet1!$A:$A,AC$2),"")</f>
        <v/>
      </c>
      <c r="AD222" s="9" t="str">
        <f>IF(SUMIFS(Sheet1!$E:$E,Sheet1!$C:$C,$A222,Sheet1!$A:$A,AD$2)&lt;&gt;0,SUMIFS(Sheet1!$E:$E,Sheet1!$C:$C,$A222,Sheet1!$A:$A,AD$2),"")</f>
        <v/>
      </c>
      <c r="AE222" s="9" t="str">
        <f>IF(SUMIFS(Sheet1!$E:$E,Sheet1!$C:$C,$A222,Sheet1!$A:$A,AE$2)&lt;&gt;0,SUMIFS(Sheet1!$E:$E,Sheet1!$C:$C,$A222,Sheet1!$A:$A,AE$2),"")</f>
        <v/>
      </c>
      <c r="AF222" s="9" t="str">
        <f>IF(SUMIFS(Sheet1!$E:$E,Sheet1!$C:$C,$A222,Sheet1!$A:$A,AF$2)&lt;&gt;0,SUMIFS(Sheet1!$E:$E,Sheet1!$C:$C,$A222,Sheet1!$A:$A,AF$2),"")</f>
        <v/>
      </c>
      <c r="AG222" s="9" t="str">
        <f>IF(SUMIFS(Sheet1!$E:$E,Sheet1!$C:$C,$A222,Sheet1!$A:$A,AG$2)&lt;&gt;0,SUMIFS(Sheet1!$E:$E,Sheet1!$C:$C,$A222,Sheet1!$A:$A,AG$2),"")</f>
        <v/>
      </c>
      <c r="AH222" s="47">
        <f>SUM(Table24[[#This Row],[1]:[31]])</f>
        <v>56</v>
      </c>
    </row>
    <row r="223" spans="1:34" ht="12.75" customHeight="1">
      <c r="A223" s="24" t="str">
        <f>DSSP!A222</f>
        <v>GC147</v>
      </c>
      <c r="B223" s="25" t="str">
        <f>DSSP!B222</f>
        <v>Cú đặc mắt tròn</v>
      </c>
      <c r="C223" s="9">
        <f>IF(SUMIFS(Sheet1!$E:$E,Sheet1!$C:$C,$A223,Sheet1!$A:$A,C$2)&lt;&gt;0,SUMIFS(Sheet1!$E:$E,Sheet1!$C:$C,$A223,Sheet1!$A:$A,C$2),"")</f>
        <v>63</v>
      </c>
      <c r="D223" s="9" t="str">
        <f>IF(SUMIFS(Sheet1!$E:$E,Sheet1!$C:$C,$A223,Sheet1!$A:$A,D$2)&lt;&gt;0,SUMIFS(Sheet1!$E:$E,Sheet1!$C:$C,$A223,Sheet1!$A:$A,D$2),"")</f>
        <v/>
      </c>
      <c r="E223" s="9" t="str">
        <f>IF(SUMIFS(Sheet1!$E:$E,Sheet1!$C:$C,$A223,Sheet1!$A:$A,E$2)&lt;&gt;0,SUMIFS(Sheet1!$E:$E,Sheet1!$C:$C,$A223,Sheet1!$A:$A,E$2),"")</f>
        <v/>
      </c>
      <c r="F223" s="9" t="str">
        <f>IF(SUMIFS(Sheet1!$E:$E,Sheet1!$C:$C,$A223,Sheet1!$A:$A,F$2)&lt;&gt;0,SUMIFS(Sheet1!$E:$E,Sheet1!$C:$C,$A223,Sheet1!$A:$A,F$2),"")</f>
        <v/>
      </c>
      <c r="G223" s="9" t="str">
        <f>IF(SUMIFS(Sheet1!$E:$E,Sheet1!$C:$C,$A223,Sheet1!$A:$A,G$2)&lt;&gt;0,SUMIFS(Sheet1!$E:$E,Sheet1!$C:$C,$A223,Sheet1!$A:$A,G$2),"")</f>
        <v/>
      </c>
      <c r="H223" s="9" t="str">
        <f>IF(SUMIFS(Sheet1!$E:$E,Sheet1!$C:$C,$A223,Sheet1!$A:$A,H$2)&lt;&gt;0,SUMIFS(Sheet1!$E:$E,Sheet1!$C:$C,$A223,Sheet1!$A:$A,H$2),"")</f>
        <v/>
      </c>
      <c r="I223" s="9" t="str">
        <f>IF(SUMIFS(Sheet1!$E:$E,Sheet1!$C:$C,$A223,Sheet1!$A:$A,I$2)&lt;&gt;0,SUMIFS(Sheet1!$E:$E,Sheet1!$C:$C,$A223,Sheet1!$A:$A,I$2),"")</f>
        <v/>
      </c>
      <c r="J223" s="9" t="str">
        <f>IF(SUMIFS(Sheet1!$E:$E,Sheet1!$C:$C,$A223,Sheet1!$A:$A,J$2)&lt;&gt;0,SUMIFS(Sheet1!$E:$E,Sheet1!$C:$C,$A223,Sheet1!$A:$A,J$2),"")</f>
        <v/>
      </c>
      <c r="K223" s="9" t="str">
        <f>IF(SUMIFS(Sheet1!$E:$E,Sheet1!$C:$C,$A223,Sheet1!$A:$A,K$2)&lt;&gt;0,SUMIFS(Sheet1!$E:$E,Sheet1!$C:$C,$A223,Sheet1!$A:$A,K$2),"")</f>
        <v/>
      </c>
      <c r="L223" s="9" t="str">
        <f>IF(SUMIFS(Sheet1!$E:$E,Sheet1!$C:$C,$A223,Sheet1!$A:$A,L$2)&lt;&gt;0,SUMIFS(Sheet1!$E:$E,Sheet1!$C:$C,$A223,Sheet1!$A:$A,L$2),"")</f>
        <v/>
      </c>
      <c r="M223" s="9" t="str">
        <f>IF(SUMIFS(Sheet1!$E:$E,Sheet1!$C:$C,$A223,Sheet1!$A:$A,M$2)&lt;&gt;0,SUMIFS(Sheet1!$E:$E,Sheet1!$C:$C,$A223,Sheet1!$A:$A,M$2),"")</f>
        <v/>
      </c>
      <c r="N223" s="9" t="str">
        <f>IF(SUMIFS(Sheet1!$E:$E,Sheet1!$C:$C,$A223,Sheet1!$A:$A,N$2)&lt;&gt;0,SUMIFS(Sheet1!$E:$E,Sheet1!$C:$C,$A223,Sheet1!$A:$A,N$2),"")</f>
        <v/>
      </c>
      <c r="O223" s="9" t="str">
        <f>IF(SUMIFS(Sheet1!$E:$E,Sheet1!$C:$C,$A223,Sheet1!$A:$A,O$2)&lt;&gt;0,SUMIFS(Sheet1!$E:$E,Sheet1!$C:$C,$A223,Sheet1!$A:$A,O$2),"")</f>
        <v/>
      </c>
      <c r="P223" s="9" t="str">
        <f>IF(SUMIFS(Sheet1!$E:$E,Sheet1!$C:$C,$A223,Sheet1!$A:$A,P$2)&lt;&gt;0,SUMIFS(Sheet1!$E:$E,Sheet1!$C:$C,$A223,Sheet1!$A:$A,P$2),"")</f>
        <v/>
      </c>
      <c r="Q223" s="9" t="str">
        <f>IF(SUMIFS(Sheet1!$E:$E,Sheet1!$C:$C,$A223,Sheet1!$A:$A,Q$2)&lt;&gt;0,SUMIFS(Sheet1!$E:$E,Sheet1!$C:$C,$A223,Sheet1!$A:$A,Q$2),"")</f>
        <v/>
      </c>
      <c r="R223" s="9" t="str">
        <f>IF(SUMIFS(Sheet1!$E:$E,Sheet1!$C:$C,$A223,Sheet1!$A:$A,R$2)&lt;&gt;0,SUMIFS(Sheet1!$E:$E,Sheet1!$C:$C,$A223,Sheet1!$A:$A,R$2),"")</f>
        <v/>
      </c>
      <c r="S223" s="9" t="str">
        <f>IF(SUMIFS(Sheet1!$E:$E,Sheet1!$C:$C,$A223,Sheet1!$A:$A,S$2)&lt;&gt;0,SUMIFS(Sheet1!$E:$E,Sheet1!$C:$C,$A223,Sheet1!$A:$A,S$2),"")</f>
        <v/>
      </c>
      <c r="T223" s="9" t="str">
        <f>IF(SUMIFS(Sheet1!$E:$E,Sheet1!$C:$C,$A223,Sheet1!$A:$A,T$2)&lt;&gt;0,SUMIFS(Sheet1!$E:$E,Sheet1!$C:$C,$A223,Sheet1!$A:$A,T$2),"")</f>
        <v/>
      </c>
      <c r="U223" s="9" t="str">
        <f>IF(SUMIFS(Sheet1!$E:$E,Sheet1!$C:$C,$A223,Sheet1!$A:$A,U$2)&lt;&gt;0,SUMIFS(Sheet1!$E:$E,Sheet1!$C:$C,$A223,Sheet1!$A:$A,U$2),"")</f>
        <v/>
      </c>
      <c r="V223" s="9" t="str">
        <f>IF(SUMIFS(Sheet1!$E:$E,Sheet1!$C:$C,$A223,Sheet1!$A:$A,V$2)&lt;&gt;0,SUMIFS(Sheet1!$E:$E,Sheet1!$C:$C,$A223,Sheet1!$A:$A,V$2),"")</f>
        <v/>
      </c>
      <c r="W223" s="9" t="str">
        <f>IF(SUMIFS(Sheet1!$E:$E,Sheet1!$C:$C,$A223,Sheet1!$A:$A,W$2)&lt;&gt;0,SUMIFS(Sheet1!$E:$E,Sheet1!$C:$C,$A223,Sheet1!$A:$A,W$2),"")</f>
        <v/>
      </c>
      <c r="X223" s="9" t="str">
        <f>IF(SUMIFS(Sheet1!$E:$E,Sheet1!$C:$C,$A223,Sheet1!$A:$A,X$2)&lt;&gt;0,SUMIFS(Sheet1!$E:$E,Sheet1!$C:$C,$A223,Sheet1!$A:$A,X$2),"")</f>
        <v/>
      </c>
      <c r="Y223" s="9" t="str">
        <f>IF(SUMIFS(Sheet1!$E:$E,Sheet1!$C:$C,$A223,Sheet1!$A:$A,Y$2)&lt;&gt;0,SUMIFS(Sheet1!$E:$E,Sheet1!$C:$C,$A223,Sheet1!$A:$A,Y$2),"")</f>
        <v/>
      </c>
      <c r="Z223" s="9" t="str">
        <f>IF(SUMIFS(Sheet1!$E:$E,Sheet1!$C:$C,$A223,Sheet1!$A:$A,Z$2)&lt;&gt;0,SUMIFS(Sheet1!$E:$E,Sheet1!$C:$C,$A223,Sheet1!$A:$A,Z$2),"")</f>
        <v/>
      </c>
      <c r="AA223" s="9" t="str">
        <f>IF(SUMIFS(Sheet1!$E:$E,Sheet1!$C:$C,$A223,Sheet1!$A:$A,AA$2)&lt;&gt;0,SUMIFS(Sheet1!$E:$E,Sheet1!$C:$C,$A223,Sheet1!$A:$A,AA$2),"")</f>
        <v/>
      </c>
      <c r="AB223" s="9" t="str">
        <f>IF(SUMIFS(Sheet1!$E:$E,Sheet1!$C:$C,$A223,Sheet1!$A:$A,AB$2)&lt;&gt;0,SUMIFS(Sheet1!$E:$E,Sheet1!$C:$C,$A223,Sheet1!$A:$A,AB$2),"")</f>
        <v/>
      </c>
      <c r="AC223" s="9" t="str">
        <f>IF(SUMIFS(Sheet1!$E:$E,Sheet1!$C:$C,$A223,Sheet1!$A:$A,AC$2)&lt;&gt;0,SUMIFS(Sheet1!$E:$E,Sheet1!$C:$C,$A223,Sheet1!$A:$A,AC$2),"")</f>
        <v/>
      </c>
      <c r="AD223" s="9" t="str">
        <f>IF(SUMIFS(Sheet1!$E:$E,Sheet1!$C:$C,$A223,Sheet1!$A:$A,AD$2)&lt;&gt;0,SUMIFS(Sheet1!$E:$E,Sheet1!$C:$C,$A223,Sheet1!$A:$A,AD$2),"")</f>
        <v/>
      </c>
      <c r="AE223" s="9" t="str">
        <f>IF(SUMIFS(Sheet1!$E:$E,Sheet1!$C:$C,$A223,Sheet1!$A:$A,AE$2)&lt;&gt;0,SUMIFS(Sheet1!$E:$E,Sheet1!$C:$C,$A223,Sheet1!$A:$A,AE$2),"")</f>
        <v/>
      </c>
      <c r="AF223" s="9" t="str">
        <f>IF(SUMIFS(Sheet1!$E:$E,Sheet1!$C:$C,$A223,Sheet1!$A:$A,AF$2)&lt;&gt;0,SUMIFS(Sheet1!$E:$E,Sheet1!$C:$C,$A223,Sheet1!$A:$A,AF$2),"")</f>
        <v/>
      </c>
      <c r="AG223" s="9" t="str">
        <f>IF(SUMIFS(Sheet1!$E:$E,Sheet1!$C:$C,$A223,Sheet1!$A:$A,AG$2)&lt;&gt;0,SUMIFS(Sheet1!$E:$E,Sheet1!$C:$C,$A223,Sheet1!$A:$A,AG$2),"")</f>
        <v/>
      </c>
      <c r="AH223" s="47">
        <f>SUM(Table24[[#This Row],[1]:[31]])</f>
        <v>63</v>
      </c>
    </row>
    <row r="224" spans="1:34" ht="12.75" customHeight="1">
      <c r="A224" s="24" t="str">
        <f>DSSP!A223</f>
        <v>GC148</v>
      </c>
      <c r="B224" s="25" t="str">
        <f>DSSP!B223</f>
        <v>Ô dài 1 mặt</v>
      </c>
      <c r="C224" s="9">
        <f>IF(SUMIFS(Sheet1!$E:$E,Sheet1!$C:$C,$A224,Sheet1!$A:$A,C$2)&lt;&gt;0,SUMIFS(Sheet1!$E:$E,Sheet1!$C:$C,$A224,Sheet1!$A:$A,C$2),"")</f>
        <v>32</v>
      </c>
      <c r="D224" s="9" t="str">
        <f>IF(SUMIFS(Sheet1!$E:$E,Sheet1!$C:$C,$A224,Sheet1!$A:$A,D$2)&lt;&gt;0,SUMIFS(Sheet1!$E:$E,Sheet1!$C:$C,$A224,Sheet1!$A:$A,D$2),"")</f>
        <v/>
      </c>
      <c r="E224" s="9" t="str">
        <f>IF(SUMIFS(Sheet1!$E:$E,Sheet1!$C:$C,$A224,Sheet1!$A:$A,E$2)&lt;&gt;0,SUMIFS(Sheet1!$E:$E,Sheet1!$C:$C,$A224,Sheet1!$A:$A,E$2),"")</f>
        <v/>
      </c>
      <c r="F224" s="9" t="str">
        <f>IF(SUMIFS(Sheet1!$E:$E,Sheet1!$C:$C,$A224,Sheet1!$A:$A,F$2)&lt;&gt;0,SUMIFS(Sheet1!$E:$E,Sheet1!$C:$C,$A224,Sheet1!$A:$A,F$2),"")</f>
        <v/>
      </c>
      <c r="G224" s="9" t="str">
        <f>IF(SUMIFS(Sheet1!$E:$E,Sheet1!$C:$C,$A224,Sheet1!$A:$A,G$2)&lt;&gt;0,SUMIFS(Sheet1!$E:$E,Sheet1!$C:$C,$A224,Sheet1!$A:$A,G$2),"")</f>
        <v/>
      </c>
      <c r="H224" s="9" t="str">
        <f>IF(SUMIFS(Sheet1!$E:$E,Sheet1!$C:$C,$A224,Sheet1!$A:$A,H$2)&lt;&gt;0,SUMIFS(Sheet1!$E:$E,Sheet1!$C:$C,$A224,Sheet1!$A:$A,H$2),"")</f>
        <v/>
      </c>
      <c r="I224" s="9" t="str">
        <f>IF(SUMIFS(Sheet1!$E:$E,Sheet1!$C:$C,$A224,Sheet1!$A:$A,I$2)&lt;&gt;0,SUMIFS(Sheet1!$E:$E,Sheet1!$C:$C,$A224,Sheet1!$A:$A,I$2),"")</f>
        <v/>
      </c>
      <c r="J224" s="9" t="str">
        <f>IF(SUMIFS(Sheet1!$E:$E,Sheet1!$C:$C,$A224,Sheet1!$A:$A,J$2)&lt;&gt;0,SUMIFS(Sheet1!$E:$E,Sheet1!$C:$C,$A224,Sheet1!$A:$A,J$2),"")</f>
        <v/>
      </c>
      <c r="K224" s="9" t="str">
        <f>IF(SUMIFS(Sheet1!$E:$E,Sheet1!$C:$C,$A224,Sheet1!$A:$A,K$2)&lt;&gt;0,SUMIFS(Sheet1!$E:$E,Sheet1!$C:$C,$A224,Sheet1!$A:$A,K$2),"")</f>
        <v/>
      </c>
      <c r="L224" s="9" t="str">
        <f>IF(SUMIFS(Sheet1!$E:$E,Sheet1!$C:$C,$A224,Sheet1!$A:$A,L$2)&lt;&gt;0,SUMIFS(Sheet1!$E:$E,Sheet1!$C:$C,$A224,Sheet1!$A:$A,L$2),"")</f>
        <v/>
      </c>
      <c r="M224" s="9" t="str">
        <f>IF(SUMIFS(Sheet1!$E:$E,Sheet1!$C:$C,$A224,Sheet1!$A:$A,M$2)&lt;&gt;0,SUMIFS(Sheet1!$E:$E,Sheet1!$C:$C,$A224,Sheet1!$A:$A,M$2),"")</f>
        <v/>
      </c>
      <c r="N224" s="9" t="str">
        <f>IF(SUMIFS(Sheet1!$E:$E,Sheet1!$C:$C,$A224,Sheet1!$A:$A,N$2)&lt;&gt;0,SUMIFS(Sheet1!$E:$E,Sheet1!$C:$C,$A224,Sheet1!$A:$A,N$2),"")</f>
        <v/>
      </c>
      <c r="O224" s="9" t="str">
        <f>IF(SUMIFS(Sheet1!$E:$E,Sheet1!$C:$C,$A224,Sheet1!$A:$A,O$2)&lt;&gt;0,SUMIFS(Sheet1!$E:$E,Sheet1!$C:$C,$A224,Sheet1!$A:$A,O$2),"")</f>
        <v/>
      </c>
      <c r="P224" s="9" t="str">
        <f>IF(SUMIFS(Sheet1!$E:$E,Sheet1!$C:$C,$A224,Sheet1!$A:$A,P$2)&lt;&gt;0,SUMIFS(Sheet1!$E:$E,Sheet1!$C:$C,$A224,Sheet1!$A:$A,P$2),"")</f>
        <v/>
      </c>
      <c r="Q224" s="9" t="str">
        <f>IF(SUMIFS(Sheet1!$E:$E,Sheet1!$C:$C,$A224,Sheet1!$A:$A,Q$2)&lt;&gt;0,SUMIFS(Sheet1!$E:$E,Sheet1!$C:$C,$A224,Sheet1!$A:$A,Q$2),"")</f>
        <v/>
      </c>
      <c r="R224" s="9" t="str">
        <f>IF(SUMIFS(Sheet1!$E:$E,Sheet1!$C:$C,$A224,Sheet1!$A:$A,R$2)&lt;&gt;0,SUMIFS(Sheet1!$E:$E,Sheet1!$C:$C,$A224,Sheet1!$A:$A,R$2),"")</f>
        <v/>
      </c>
      <c r="S224" s="9" t="str">
        <f>IF(SUMIFS(Sheet1!$E:$E,Sheet1!$C:$C,$A224,Sheet1!$A:$A,S$2)&lt;&gt;0,SUMIFS(Sheet1!$E:$E,Sheet1!$C:$C,$A224,Sheet1!$A:$A,S$2),"")</f>
        <v/>
      </c>
      <c r="T224" s="9" t="str">
        <f>IF(SUMIFS(Sheet1!$E:$E,Sheet1!$C:$C,$A224,Sheet1!$A:$A,T$2)&lt;&gt;0,SUMIFS(Sheet1!$E:$E,Sheet1!$C:$C,$A224,Sheet1!$A:$A,T$2),"")</f>
        <v/>
      </c>
      <c r="U224" s="9" t="str">
        <f>IF(SUMIFS(Sheet1!$E:$E,Sheet1!$C:$C,$A224,Sheet1!$A:$A,U$2)&lt;&gt;0,SUMIFS(Sheet1!$E:$E,Sheet1!$C:$C,$A224,Sheet1!$A:$A,U$2),"")</f>
        <v/>
      </c>
      <c r="V224" s="9" t="str">
        <f>IF(SUMIFS(Sheet1!$E:$E,Sheet1!$C:$C,$A224,Sheet1!$A:$A,V$2)&lt;&gt;0,SUMIFS(Sheet1!$E:$E,Sheet1!$C:$C,$A224,Sheet1!$A:$A,V$2),"")</f>
        <v/>
      </c>
      <c r="W224" s="9" t="str">
        <f>IF(SUMIFS(Sheet1!$E:$E,Sheet1!$C:$C,$A224,Sheet1!$A:$A,W$2)&lt;&gt;0,SUMIFS(Sheet1!$E:$E,Sheet1!$C:$C,$A224,Sheet1!$A:$A,W$2),"")</f>
        <v/>
      </c>
      <c r="X224" s="9" t="str">
        <f>IF(SUMIFS(Sheet1!$E:$E,Sheet1!$C:$C,$A224,Sheet1!$A:$A,X$2)&lt;&gt;0,SUMIFS(Sheet1!$E:$E,Sheet1!$C:$C,$A224,Sheet1!$A:$A,X$2),"")</f>
        <v/>
      </c>
      <c r="Y224" s="9" t="str">
        <f>IF(SUMIFS(Sheet1!$E:$E,Sheet1!$C:$C,$A224,Sheet1!$A:$A,Y$2)&lt;&gt;0,SUMIFS(Sheet1!$E:$E,Sheet1!$C:$C,$A224,Sheet1!$A:$A,Y$2),"")</f>
        <v/>
      </c>
      <c r="Z224" s="9" t="str">
        <f>IF(SUMIFS(Sheet1!$E:$E,Sheet1!$C:$C,$A224,Sheet1!$A:$A,Z$2)&lt;&gt;0,SUMIFS(Sheet1!$E:$E,Sheet1!$C:$C,$A224,Sheet1!$A:$A,Z$2),"")</f>
        <v/>
      </c>
      <c r="AA224" s="9" t="str">
        <f>IF(SUMIFS(Sheet1!$E:$E,Sheet1!$C:$C,$A224,Sheet1!$A:$A,AA$2)&lt;&gt;0,SUMIFS(Sheet1!$E:$E,Sheet1!$C:$C,$A224,Sheet1!$A:$A,AA$2),"")</f>
        <v/>
      </c>
      <c r="AB224" s="9" t="str">
        <f>IF(SUMIFS(Sheet1!$E:$E,Sheet1!$C:$C,$A224,Sheet1!$A:$A,AB$2)&lt;&gt;0,SUMIFS(Sheet1!$E:$E,Sheet1!$C:$C,$A224,Sheet1!$A:$A,AB$2),"")</f>
        <v/>
      </c>
      <c r="AC224" s="9" t="str">
        <f>IF(SUMIFS(Sheet1!$E:$E,Sheet1!$C:$C,$A224,Sheet1!$A:$A,AC$2)&lt;&gt;0,SUMIFS(Sheet1!$E:$E,Sheet1!$C:$C,$A224,Sheet1!$A:$A,AC$2),"")</f>
        <v/>
      </c>
      <c r="AD224" s="9" t="str">
        <f>IF(SUMIFS(Sheet1!$E:$E,Sheet1!$C:$C,$A224,Sheet1!$A:$A,AD$2)&lt;&gt;0,SUMIFS(Sheet1!$E:$E,Sheet1!$C:$C,$A224,Sheet1!$A:$A,AD$2),"")</f>
        <v/>
      </c>
      <c r="AE224" s="9" t="str">
        <f>IF(SUMIFS(Sheet1!$E:$E,Sheet1!$C:$C,$A224,Sheet1!$A:$A,AE$2)&lt;&gt;0,SUMIFS(Sheet1!$E:$E,Sheet1!$C:$C,$A224,Sheet1!$A:$A,AE$2),"")</f>
        <v/>
      </c>
      <c r="AF224" s="9" t="str">
        <f>IF(SUMIFS(Sheet1!$E:$E,Sheet1!$C:$C,$A224,Sheet1!$A:$A,AF$2)&lt;&gt;0,SUMIFS(Sheet1!$E:$E,Sheet1!$C:$C,$A224,Sheet1!$A:$A,AF$2),"")</f>
        <v/>
      </c>
      <c r="AG224" s="9" t="str">
        <f>IF(SUMIFS(Sheet1!$E:$E,Sheet1!$C:$C,$A224,Sheet1!$A:$A,AG$2)&lt;&gt;0,SUMIFS(Sheet1!$E:$E,Sheet1!$C:$C,$A224,Sheet1!$A:$A,AG$2),"")</f>
        <v/>
      </c>
      <c r="AH224" s="47">
        <f>SUM(Table24[[#This Row],[1]:[31]])</f>
        <v>32</v>
      </c>
    </row>
    <row r="225" spans="1:34" ht="12.75" customHeight="1">
      <c r="A225" s="24" t="str">
        <f>DSSP!A224</f>
        <v>GC149</v>
      </c>
      <c r="B225" s="25" t="str">
        <f>DSSP!B224</f>
        <v>Ô ngắn</v>
      </c>
      <c r="C225" s="9">
        <f>IF(SUMIFS(Sheet1!$E:$E,Sheet1!$C:$C,$A225,Sheet1!$A:$A,C$2)&lt;&gt;0,SUMIFS(Sheet1!$E:$E,Sheet1!$C:$C,$A225,Sheet1!$A:$A,C$2),"")</f>
        <v>35</v>
      </c>
      <c r="D225" s="9" t="str">
        <f>IF(SUMIFS(Sheet1!$E:$E,Sheet1!$C:$C,$A225,Sheet1!$A:$A,D$2)&lt;&gt;0,SUMIFS(Sheet1!$E:$E,Sheet1!$C:$C,$A225,Sheet1!$A:$A,D$2),"")</f>
        <v/>
      </c>
      <c r="E225" s="9" t="str">
        <f>IF(SUMIFS(Sheet1!$E:$E,Sheet1!$C:$C,$A225,Sheet1!$A:$A,E$2)&lt;&gt;0,SUMIFS(Sheet1!$E:$E,Sheet1!$C:$C,$A225,Sheet1!$A:$A,E$2),"")</f>
        <v/>
      </c>
      <c r="F225" s="9" t="str">
        <f>IF(SUMIFS(Sheet1!$E:$E,Sheet1!$C:$C,$A225,Sheet1!$A:$A,F$2)&lt;&gt;0,SUMIFS(Sheet1!$E:$E,Sheet1!$C:$C,$A225,Sheet1!$A:$A,F$2),"")</f>
        <v/>
      </c>
      <c r="G225" s="9" t="str">
        <f>IF(SUMIFS(Sheet1!$E:$E,Sheet1!$C:$C,$A225,Sheet1!$A:$A,G$2)&lt;&gt;0,SUMIFS(Sheet1!$E:$E,Sheet1!$C:$C,$A225,Sheet1!$A:$A,G$2),"")</f>
        <v/>
      </c>
      <c r="H225" s="9" t="str">
        <f>IF(SUMIFS(Sheet1!$E:$E,Sheet1!$C:$C,$A225,Sheet1!$A:$A,H$2)&lt;&gt;0,SUMIFS(Sheet1!$E:$E,Sheet1!$C:$C,$A225,Sheet1!$A:$A,H$2),"")</f>
        <v/>
      </c>
      <c r="I225" s="9" t="str">
        <f>IF(SUMIFS(Sheet1!$E:$E,Sheet1!$C:$C,$A225,Sheet1!$A:$A,I$2)&lt;&gt;0,SUMIFS(Sheet1!$E:$E,Sheet1!$C:$C,$A225,Sheet1!$A:$A,I$2),"")</f>
        <v/>
      </c>
      <c r="J225" s="9" t="str">
        <f>IF(SUMIFS(Sheet1!$E:$E,Sheet1!$C:$C,$A225,Sheet1!$A:$A,J$2)&lt;&gt;0,SUMIFS(Sheet1!$E:$E,Sheet1!$C:$C,$A225,Sheet1!$A:$A,J$2),"")</f>
        <v/>
      </c>
      <c r="K225" s="9" t="str">
        <f>IF(SUMIFS(Sheet1!$E:$E,Sheet1!$C:$C,$A225,Sheet1!$A:$A,K$2)&lt;&gt;0,SUMIFS(Sheet1!$E:$E,Sheet1!$C:$C,$A225,Sheet1!$A:$A,K$2),"")</f>
        <v/>
      </c>
      <c r="L225" s="9" t="str">
        <f>IF(SUMIFS(Sheet1!$E:$E,Sheet1!$C:$C,$A225,Sheet1!$A:$A,L$2)&lt;&gt;0,SUMIFS(Sheet1!$E:$E,Sheet1!$C:$C,$A225,Sheet1!$A:$A,L$2),"")</f>
        <v/>
      </c>
      <c r="M225" s="9" t="str">
        <f>IF(SUMIFS(Sheet1!$E:$E,Sheet1!$C:$C,$A225,Sheet1!$A:$A,M$2)&lt;&gt;0,SUMIFS(Sheet1!$E:$E,Sheet1!$C:$C,$A225,Sheet1!$A:$A,M$2),"")</f>
        <v/>
      </c>
      <c r="N225" s="9" t="str">
        <f>IF(SUMIFS(Sheet1!$E:$E,Sheet1!$C:$C,$A225,Sheet1!$A:$A,N$2)&lt;&gt;0,SUMIFS(Sheet1!$E:$E,Sheet1!$C:$C,$A225,Sheet1!$A:$A,N$2),"")</f>
        <v/>
      </c>
      <c r="O225" s="9" t="str">
        <f>IF(SUMIFS(Sheet1!$E:$E,Sheet1!$C:$C,$A225,Sheet1!$A:$A,O$2)&lt;&gt;0,SUMIFS(Sheet1!$E:$E,Sheet1!$C:$C,$A225,Sheet1!$A:$A,O$2),"")</f>
        <v/>
      </c>
      <c r="P225" s="9" t="str">
        <f>IF(SUMIFS(Sheet1!$E:$E,Sheet1!$C:$C,$A225,Sheet1!$A:$A,P$2)&lt;&gt;0,SUMIFS(Sheet1!$E:$E,Sheet1!$C:$C,$A225,Sheet1!$A:$A,P$2),"")</f>
        <v/>
      </c>
      <c r="Q225" s="9" t="str">
        <f>IF(SUMIFS(Sheet1!$E:$E,Sheet1!$C:$C,$A225,Sheet1!$A:$A,Q$2)&lt;&gt;0,SUMIFS(Sheet1!$E:$E,Sheet1!$C:$C,$A225,Sheet1!$A:$A,Q$2),"")</f>
        <v/>
      </c>
      <c r="R225" s="9" t="str">
        <f>IF(SUMIFS(Sheet1!$E:$E,Sheet1!$C:$C,$A225,Sheet1!$A:$A,R$2)&lt;&gt;0,SUMIFS(Sheet1!$E:$E,Sheet1!$C:$C,$A225,Sheet1!$A:$A,R$2),"")</f>
        <v/>
      </c>
      <c r="S225" s="9" t="str">
        <f>IF(SUMIFS(Sheet1!$E:$E,Sheet1!$C:$C,$A225,Sheet1!$A:$A,S$2)&lt;&gt;0,SUMIFS(Sheet1!$E:$E,Sheet1!$C:$C,$A225,Sheet1!$A:$A,S$2),"")</f>
        <v/>
      </c>
      <c r="T225" s="9" t="str">
        <f>IF(SUMIFS(Sheet1!$E:$E,Sheet1!$C:$C,$A225,Sheet1!$A:$A,T$2)&lt;&gt;0,SUMIFS(Sheet1!$E:$E,Sheet1!$C:$C,$A225,Sheet1!$A:$A,T$2),"")</f>
        <v/>
      </c>
      <c r="U225" s="9" t="str">
        <f>IF(SUMIFS(Sheet1!$E:$E,Sheet1!$C:$C,$A225,Sheet1!$A:$A,U$2)&lt;&gt;0,SUMIFS(Sheet1!$E:$E,Sheet1!$C:$C,$A225,Sheet1!$A:$A,U$2),"")</f>
        <v/>
      </c>
      <c r="V225" s="9" t="str">
        <f>IF(SUMIFS(Sheet1!$E:$E,Sheet1!$C:$C,$A225,Sheet1!$A:$A,V$2)&lt;&gt;0,SUMIFS(Sheet1!$E:$E,Sheet1!$C:$C,$A225,Sheet1!$A:$A,V$2),"")</f>
        <v/>
      </c>
      <c r="W225" s="9" t="str">
        <f>IF(SUMIFS(Sheet1!$E:$E,Sheet1!$C:$C,$A225,Sheet1!$A:$A,W$2)&lt;&gt;0,SUMIFS(Sheet1!$E:$E,Sheet1!$C:$C,$A225,Sheet1!$A:$A,W$2),"")</f>
        <v/>
      </c>
      <c r="X225" s="9" t="str">
        <f>IF(SUMIFS(Sheet1!$E:$E,Sheet1!$C:$C,$A225,Sheet1!$A:$A,X$2)&lt;&gt;0,SUMIFS(Sheet1!$E:$E,Sheet1!$C:$C,$A225,Sheet1!$A:$A,X$2),"")</f>
        <v/>
      </c>
      <c r="Y225" s="9" t="str">
        <f>IF(SUMIFS(Sheet1!$E:$E,Sheet1!$C:$C,$A225,Sheet1!$A:$A,Y$2)&lt;&gt;0,SUMIFS(Sheet1!$E:$E,Sheet1!$C:$C,$A225,Sheet1!$A:$A,Y$2),"")</f>
        <v/>
      </c>
      <c r="Z225" s="9" t="str">
        <f>IF(SUMIFS(Sheet1!$E:$E,Sheet1!$C:$C,$A225,Sheet1!$A:$A,Z$2)&lt;&gt;0,SUMIFS(Sheet1!$E:$E,Sheet1!$C:$C,$A225,Sheet1!$A:$A,Z$2),"")</f>
        <v/>
      </c>
      <c r="AA225" s="9" t="str">
        <f>IF(SUMIFS(Sheet1!$E:$E,Sheet1!$C:$C,$A225,Sheet1!$A:$A,AA$2)&lt;&gt;0,SUMIFS(Sheet1!$E:$E,Sheet1!$C:$C,$A225,Sheet1!$A:$A,AA$2),"")</f>
        <v/>
      </c>
      <c r="AB225" s="9" t="str">
        <f>IF(SUMIFS(Sheet1!$E:$E,Sheet1!$C:$C,$A225,Sheet1!$A:$A,AB$2)&lt;&gt;0,SUMIFS(Sheet1!$E:$E,Sheet1!$C:$C,$A225,Sheet1!$A:$A,AB$2),"")</f>
        <v/>
      </c>
      <c r="AC225" s="9" t="str">
        <f>IF(SUMIFS(Sheet1!$E:$E,Sheet1!$C:$C,$A225,Sheet1!$A:$A,AC$2)&lt;&gt;0,SUMIFS(Sheet1!$E:$E,Sheet1!$C:$C,$A225,Sheet1!$A:$A,AC$2),"")</f>
        <v/>
      </c>
      <c r="AD225" s="9" t="str">
        <f>IF(SUMIFS(Sheet1!$E:$E,Sheet1!$C:$C,$A225,Sheet1!$A:$A,AD$2)&lt;&gt;0,SUMIFS(Sheet1!$E:$E,Sheet1!$C:$C,$A225,Sheet1!$A:$A,AD$2),"")</f>
        <v/>
      </c>
      <c r="AE225" s="9" t="str">
        <f>IF(SUMIFS(Sheet1!$E:$E,Sheet1!$C:$C,$A225,Sheet1!$A:$A,AE$2)&lt;&gt;0,SUMIFS(Sheet1!$E:$E,Sheet1!$C:$C,$A225,Sheet1!$A:$A,AE$2),"")</f>
        <v/>
      </c>
      <c r="AF225" s="9" t="str">
        <f>IF(SUMIFS(Sheet1!$E:$E,Sheet1!$C:$C,$A225,Sheet1!$A:$A,AF$2)&lt;&gt;0,SUMIFS(Sheet1!$E:$E,Sheet1!$C:$C,$A225,Sheet1!$A:$A,AF$2),"")</f>
        <v/>
      </c>
      <c r="AG225" s="9" t="str">
        <f>IF(SUMIFS(Sheet1!$E:$E,Sheet1!$C:$C,$A225,Sheet1!$A:$A,AG$2)&lt;&gt;0,SUMIFS(Sheet1!$E:$E,Sheet1!$C:$C,$A225,Sheet1!$A:$A,AG$2),"")</f>
        <v/>
      </c>
      <c r="AH225" s="47">
        <f>SUM(Table24[[#This Row],[1]:[31]])</f>
        <v>35</v>
      </c>
    </row>
    <row r="226" spans="1:34" ht="12.75" customHeight="1">
      <c r="A226" s="24" t="str">
        <f>DSSP!A225</f>
        <v>GC150</v>
      </c>
      <c r="B226" s="25" t="str">
        <f>DSSP!B225</f>
        <v>Lược</v>
      </c>
      <c r="C226" s="9">
        <f>IF(SUMIFS(Sheet1!$E:$E,Sheet1!$C:$C,$A226,Sheet1!$A:$A,C$2)&lt;&gt;0,SUMIFS(Sheet1!$E:$E,Sheet1!$C:$C,$A226,Sheet1!$A:$A,C$2),"")</f>
        <v>17</v>
      </c>
      <c r="D226" s="9" t="str">
        <f>IF(SUMIFS(Sheet1!$E:$E,Sheet1!$C:$C,$A226,Sheet1!$A:$A,D$2)&lt;&gt;0,SUMIFS(Sheet1!$E:$E,Sheet1!$C:$C,$A226,Sheet1!$A:$A,D$2),"")</f>
        <v/>
      </c>
      <c r="E226" s="9" t="str">
        <f>IF(SUMIFS(Sheet1!$E:$E,Sheet1!$C:$C,$A226,Sheet1!$A:$A,E$2)&lt;&gt;0,SUMIFS(Sheet1!$E:$E,Sheet1!$C:$C,$A226,Sheet1!$A:$A,E$2),"")</f>
        <v/>
      </c>
      <c r="F226" s="9" t="str">
        <f>IF(SUMIFS(Sheet1!$E:$E,Sheet1!$C:$C,$A226,Sheet1!$A:$A,F$2)&lt;&gt;0,SUMIFS(Sheet1!$E:$E,Sheet1!$C:$C,$A226,Sheet1!$A:$A,F$2),"")</f>
        <v/>
      </c>
      <c r="G226" s="9" t="str">
        <f>IF(SUMIFS(Sheet1!$E:$E,Sheet1!$C:$C,$A226,Sheet1!$A:$A,G$2)&lt;&gt;0,SUMIFS(Sheet1!$E:$E,Sheet1!$C:$C,$A226,Sheet1!$A:$A,G$2),"")</f>
        <v/>
      </c>
      <c r="H226" s="9" t="str">
        <f>IF(SUMIFS(Sheet1!$E:$E,Sheet1!$C:$C,$A226,Sheet1!$A:$A,H$2)&lt;&gt;0,SUMIFS(Sheet1!$E:$E,Sheet1!$C:$C,$A226,Sheet1!$A:$A,H$2),"")</f>
        <v/>
      </c>
      <c r="I226" s="9" t="str">
        <f>IF(SUMIFS(Sheet1!$E:$E,Sheet1!$C:$C,$A226,Sheet1!$A:$A,I$2)&lt;&gt;0,SUMIFS(Sheet1!$E:$E,Sheet1!$C:$C,$A226,Sheet1!$A:$A,I$2),"")</f>
        <v/>
      </c>
      <c r="J226" s="9" t="str">
        <f>IF(SUMIFS(Sheet1!$E:$E,Sheet1!$C:$C,$A226,Sheet1!$A:$A,J$2)&lt;&gt;0,SUMIFS(Sheet1!$E:$E,Sheet1!$C:$C,$A226,Sheet1!$A:$A,J$2),"")</f>
        <v/>
      </c>
      <c r="K226" s="9" t="str">
        <f>IF(SUMIFS(Sheet1!$E:$E,Sheet1!$C:$C,$A226,Sheet1!$A:$A,K$2)&lt;&gt;0,SUMIFS(Sheet1!$E:$E,Sheet1!$C:$C,$A226,Sheet1!$A:$A,K$2),"")</f>
        <v/>
      </c>
      <c r="L226" s="9" t="str">
        <f>IF(SUMIFS(Sheet1!$E:$E,Sheet1!$C:$C,$A226,Sheet1!$A:$A,L$2)&lt;&gt;0,SUMIFS(Sheet1!$E:$E,Sheet1!$C:$C,$A226,Sheet1!$A:$A,L$2),"")</f>
        <v/>
      </c>
      <c r="M226" s="9" t="str">
        <f>IF(SUMIFS(Sheet1!$E:$E,Sheet1!$C:$C,$A226,Sheet1!$A:$A,M$2)&lt;&gt;0,SUMIFS(Sheet1!$E:$E,Sheet1!$C:$C,$A226,Sheet1!$A:$A,M$2),"")</f>
        <v/>
      </c>
      <c r="N226" s="9" t="str">
        <f>IF(SUMIFS(Sheet1!$E:$E,Sheet1!$C:$C,$A226,Sheet1!$A:$A,N$2)&lt;&gt;0,SUMIFS(Sheet1!$E:$E,Sheet1!$C:$C,$A226,Sheet1!$A:$A,N$2),"")</f>
        <v/>
      </c>
      <c r="O226" s="9" t="str">
        <f>IF(SUMIFS(Sheet1!$E:$E,Sheet1!$C:$C,$A226,Sheet1!$A:$A,O$2)&lt;&gt;0,SUMIFS(Sheet1!$E:$E,Sheet1!$C:$C,$A226,Sheet1!$A:$A,O$2),"")</f>
        <v/>
      </c>
      <c r="P226" s="9" t="str">
        <f>IF(SUMIFS(Sheet1!$E:$E,Sheet1!$C:$C,$A226,Sheet1!$A:$A,P$2)&lt;&gt;0,SUMIFS(Sheet1!$E:$E,Sheet1!$C:$C,$A226,Sheet1!$A:$A,P$2),"")</f>
        <v/>
      </c>
      <c r="Q226" s="9" t="str">
        <f>IF(SUMIFS(Sheet1!$E:$E,Sheet1!$C:$C,$A226,Sheet1!$A:$A,Q$2)&lt;&gt;0,SUMIFS(Sheet1!$E:$E,Sheet1!$C:$C,$A226,Sheet1!$A:$A,Q$2),"")</f>
        <v/>
      </c>
      <c r="R226" s="9" t="str">
        <f>IF(SUMIFS(Sheet1!$E:$E,Sheet1!$C:$C,$A226,Sheet1!$A:$A,R$2)&lt;&gt;0,SUMIFS(Sheet1!$E:$E,Sheet1!$C:$C,$A226,Sheet1!$A:$A,R$2),"")</f>
        <v/>
      </c>
      <c r="S226" s="9" t="str">
        <f>IF(SUMIFS(Sheet1!$E:$E,Sheet1!$C:$C,$A226,Sheet1!$A:$A,S$2)&lt;&gt;0,SUMIFS(Sheet1!$E:$E,Sheet1!$C:$C,$A226,Sheet1!$A:$A,S$2),"")</f>
        <v/>
      </c>
      <c r="T226" s="9" t="str">
        <f>IF(SUMIFS(Sheet1!$E:$E,Sheet1!$C:$C,$A226,Sheet1!$A:$A,T$2)&lt;&gt;0,SUMIFS(Sheet1!$E:$E,Sheet1!$C:$C,$A226,Sheet1!$A:$A,T$2),"")</f>
        <v/>
      </c>
      <c r="U226" s="9" t="str">
        <f>IF(SUMIFS(Sheet1!$E:$E,Sheet1!$C:$C,$A226,Sheet1!$A:$A,U$2)&lt;&gt;0,SUMIFS(Sheet1!$E:$E,Sheet1!$C:$C,$A226,Sheet1!$A:$A,U$2),"")</f>
        <v/>
      </c>
      <c r="V226" s="9" t="str">
        <f>IF(SUMIFS(Sheet1!$E:$E,Sheet1!$C:$C,$A226,Sheet1!$A:$A,V$2)&lt;&gt;0,SUMIFS(Sheet1!$E:$E,Sheet1!$C:$C,$A226,Sheet1!$A:$A,V$2),"")</f>
        <v/>
      </c>
      <c r="W226" s="9" t="str">
        <f>IF(SUMIFS(Sheet1!$E:$E,Sheet1!$C:$C,$A226,Sheet1!$A:$A,W$2)&lt;&gt;0,SUMIFS(Sheet1!$E:$E,Sheet1!$C:$C,$A226,Sheet1!$A:$A,W$2),"")</f>
        <v/>
      </c>
      <c r="X226" s="9" t="str">
        <f>IF(SUMIFS(Sheet1!$E:$E,Sheet1!$C:$C,$A226,Sheet1!$A:$A,X$2)&lt;&gt;0,SUMIFS(Sheet1!$E:$E,Sheet1!$C:$C,$A226,Sheet1!$A:$A,X$2),"")</f>
        <v/>
      </c>
      <c r="Y226" s="9" t="str">
        <f>IF(SUMIFS(Sheet1!$E:$E,Sheet1!$C:$C,$A226,Sheet1!$A:$A,Y$2)&lt;&gt;0,SUMIFS(Sheet1!$E:$E,Sheet1!$C:$C,$A226,Sheet1!$A:$A,Y$2),"")</f>
        <v/>
      </c>
      <c r="Z226" s="9" t="str">
        <f>IF(SUMIFS(Sheet1!$E:$E,Sheet1!$C:$C,$A226,Sheet1!$A:$A,Z$2)&lt;&gt;0,SUMIFS(Sheet1!$E:$E,Sheet1!$C:$C,$A226,Sheet1!$A:$A,Z$2),"")</f>
        <v/>
      </c>
      <c r="AA226" s="9" t="str">
        <f>IF(SUMIFS(Sheet1!$E:$E,Sheet1!$C:$C,$A226,Sheet1!$A:$A,AA$2)&lt;&gt;0,SUMIFS(Sheet1!$E:$E,Sheet1!$C:$C,$A226,Sheet1!$A:$A,AA$2),"")</f>
        <v/>
      </c>
      <c r="AB226" s="9" t="str">
        <f>IF(SUMIFS(Sheet1!$E:$E,Sheet1!$C:$C,$A226,Sheet1!$A:$A,AB$2)&lt;&gt;0,SUMIFS(Sheet1!$E:$E,Sheet1!$C:$C,$A226,Sheet1!$A:$A,AB$2),"")</f>
        <v/>
      </c>
      <c r="AC226" s="9" t="str">
        <f>IF(SUMIFS(Sheet1!$E:$E,Sheet1!$C:$C,$A226,Sheet1!$A:$A,AC$2)&lt;&gt;0,SUMIFS(Sheet1!$E:$E,Sheet1!$C:$C,$A226,Sheet1!$A:$A,AC$2),"")</f>
        <v/>
      </c>
      <c r="AD226" s="9" t="str">
        <f>IF(SUMIFS(Sheet1!$E:$E,Sheet1!$C:$C,$A226,Sheet1!$A:$A,AD$2)&lt;&gt;0,SUMIFS(Sheet1!$E:$E,Sheet1!$C:$C,$A226,Sheet1!$A:$A,AD$2),"")</f>
        <v/>
      </c>
      <c r="AE226" s="9" t="str">
        <f>IF(SUMIFS(Sheet1!$E:$E,Sheet1!$C:$C,$A226,Sheet1!$A:$A,AE$2)&lt;&gt;0,SUMIFS(Sheet1!$E:$E,Sheet1!$C:$C,$A226,Sheet1!$A:$A,AE$2),"")</f>
        <v/>
      </c>
      <c r="AF226" s="9" t="str">
        <f>IF(SUMIFS(Sheet1!$E:$E,Sheet1!$C:$C,$A226,Sheet1!$A:$A,AF$2)&lt;&gt;0,SUMIFS(Sheet1!$E:$E,Sheet1!$C:$C,$A226,Sheet1!$A:$A,AF$2),"")</f>
        <v/>
      </c>
      <c r="AG226" s="9" t="str">
        <f>IF(SUMIFS(Sheet1!$E:$E,Sheet1!$C:$C,$A226,Sheet1!$A:$A,AG$2)&lt;&gt;0,SUMIFS(Sheet1!$E:$E,Sheet1!$C:$C,$A226,Sheet1!$A:$A,AG$2),"")</f>
        <v/>
      </c>
      <c r="AH226" s="47">
        <f>SUM(Table24[[#This Row],[1]:[31]])</f>
        <v>17</v>
      </c>
    </row>
    <row r="227" spans="1:34" ht="12.75" customHeight="1">
      <c r="A227" s="24" t="str">
        <f>DSSP!A226</f>
        <v>GC151</v>
      </c>
      <c r="B227" s="25" t="str">
        <f>DSSP!B226</f>
        <v>Quạt</v>
      </c>
      <c r="C227" s="9">
        <f>IF(SUMIFS(Sheet1!$E:$E,Sheet1!$C:$C,$A227,Sheet1!$A:$A,C$2)&lt;&gt;0,SUMIFS(Sheet1!$E:$E,Sheet1!$C:$C,$A227,Sheet1!$A:$A,C$2),"")</f>
        <v>9</v>
      </c>
      <c r="D227" s="9" t="str">
        <f>IF(SUMIFS(Sheet1!$E:$E,Sheet1!$C:$C,$A227,Sheet1!$A:$A,D$2)&lt;&gt;0,SUMIFS(Sheet1!$E:$E,Sheet1!$C:$C,$A227,Sheet1!$A:$A,D$2),"")</f>
        <v/>
      </c>
      <c r="E227" s="9" t="str">
        <f>IF(SUMIFS(Sheet1!$E:$E,Sheet1!$C:$C,$A227,Sheet1!$A:$A,E$2)&lt;&gt;0,SUMIFS(Sheet1!$E:$E,Sheet1!$C:$C,$A227,Sheet1!$A:$A,E$2),"")</f>
        <v/>
      </c>
      <c r="F227" s="9" t="str">
        <f>IF(SUMIFS(Sheet1!$E:$E,Sheet1!$C:$C,$A227,Sheet1!$A:$A,F$2)&lt;&gt;0,SUMIFS(Sheet1!$E:$E,Sheet1!$C:$C,$A227,Sheet1!$A:$A,F$2),"")</f>
        <v/>
      </c>
      <c r="G227" s="9" t="str">
        <f>IF(SUMIFS(Sheet1!$E:$E,Sheet1!$C:$C,$A227,Sheet1!$A:$A,G$2)&lt;&gt;0,SUMIFS(Sheet1!$E:$E,Sheet1!$C:$C,$A227,Sheet1!$A:$A,G$2),"")</f>
        <v/>
      </c>
      <c r="H227" s="9" t="str">
        <f>IF(SUMIFS(Sheet1!$E:$E,Sheet1!$C:$C,$A227,Sheet1!$A:$A,H$2)&lt;&gt;0,SUMIFS(Sheet1!$E:$E,Sheet1!$C:$C,$A227,Sheet1!$A:$A,H$2),"")</f>
        <v/>
      </c>
      <c r="I227" s="9" t="str">
        <f>IF(SUMIFS(Sheet1!$E:$E,Sheet1!$C:$C,$A227,Sheet1!$A:$A,I$2)&lt;&gt;0,SUMIFS(Sheet1!$E:$E,Sheet1!$C:$C,$A227,Sheet1!$A:$A,I$2),"")</f>
        <v/>
      </c>
      <c r="J227" s="9" t="str">
        <f>IF(SUMIFS(Sheet1!$E:$E,Sheet1!$C:$C,$A227,Sheet1!$A:$A,J$2)&lt;&gt;0,SUMIFS(Sheet1!$E:$E,Sheet1!$C:$C,$A227,Sheet1!$A:$A,J$2),"")</f>
        <v/>
      </c>
      <c r="K227" s="9" t="str">
        <f>IF(SUMIFS(Sheet1!$E:$E,Sheet1!$C:$C,$A227,Sheet1!$A:$A,K$2)&lt;&gt;0,SUMIFS(Sheet1!$E:$E,Sheet1!$C:$C,$A227,Sheet1!$A:$A,K$2),"")</f>
        <v/>
      </c>
      <c r="L227" s="9" t="str">
        <f>IF(SUMIFS(Sheet1!$E:$E,Sheet1!$C:$C,$A227,Sheet1!$A:$A,L$2)&lt;&gt;0,SUMIFS(Sheet1!$E:$E,Sheet1!$C:$C,$A227,Sheet1!$A:$A,L$2),"")</f>
        <v/>
      </c>
      <c r="M227" s="9" t="str">
        <f>IF(SUMIFS(Sheet1!$E:$E,Sheet1!$C:$C,$A227,Sheet1!$A:$A,M$2)&lt;&gt;0,SUMIFS(Sheet1!$E:$E,Sheet1!$C:$C,$A227,Sheet1!$A:$A,M$2),"")</f>
        <v/>
      </c>
      <c r="N227" s="9" t="str">
        <f>IF(SUMIFS(Sheet1!$E:$E,Sheet1!$C:$C,$A227,Sheet1!$A:$A,N$2)&lt;&gt;0,SUMIFS(Sheet1!$E:$E,Sheet1!$C:$C,$A227,Sheet1!$A:$A,N$2),"")</f>
        <v/>
      </c>
      <c r="O227" s="9" t="str">
        <f>IF(SUMIFS(Sheet1!$E:$E,Sheet1!$C:$C,$A227,Sheet1!$A:$A,O$2)&lt;&gt;0,SUMIFS(Sheet1!$E:$E,Sheet1!$C:$C,$A227,Sheet1!$A:$A,O$2),"")</f>
        <v/>
      </c>
      <c r="P227" s="9" t="str">
        <f>IF(SUMIFS(Sheet1!$E:$E,Sheet1!$C:$C,$A227,Sheet1!$A:$A,P$2)&lt;&gt;0,SUMIFS(Sheet1!$E:$E,Sheet1!$C:$C,$A227,Sheet1!$A:$A,P$2),"")</f>
        <v/>
      </c>
      <c r="Q227" s="9" t="str">
        <f>IF(SUMIFS(Sheet1!$E:$E,Sheet1!$C:$C,$A227,Sheet1!$A:$A,Q$2)&lt;&gt;0,SUMIFS(Sheet1!$E:$E,Sheet1!$C:$C,$A227,Sheet1!$A:$A,Q$2),"")</f>
        <v/>
      </c>
      <c r="R227" s="9" t="str">
        <f>IF(SUMIFS(Sheet1!$E:$E,Sheet1!$C:$C,$A227,Sheet1!$A:$A,R$2)&lt;&gt;0,SUMIFS(Sheet1!$E:$E,Sheet1!$C:$C,$A227,Sheet1!$A:$A,R$2),"")</f>
        <v/>
      </c>
      <c r="S227" s="9" t="str">
        <f>IF(SUMIFS(Sheet1!$E:$E,Sheet1!$C:$C,$A227,Sheet1!$A:$A,S$2)&lt;&gt;0,SUMIFS(Sheet1!$E:$E,Sheet1!$C:$C,$A227,Sheet1!$A:$A,S$2),"")</f>
        <v/>
      </c>
      <c r="T227" s="9" t="str">
        <f>IF(SUMIFS(Sheet1!$E:$E,Sheet1!$C:$C,$A227,Sheet1!$A:$A,T$2)&lt;&gt;0,SUMIFS(Sheet1!$E:$E,Sheet1!$C:$C,$A227,Sheet1!$A:$A,T$2),"")</f>
        <v/>
      </c>
      <c r="U227" s="9" t="str">
        <f>IF(SUMIFS(Sheet1!$E:$E,Sheet1!$C:$C,$A227,Sheet1!$A:$A,U$2)&lt;&gt;0,SUMIFS(Sheet1!$E:$E,Sheet1!$C:$C,$A227,Sheet1!$A:$A,U$2),"")</f>
        <v/>
      </c>
      <c r="V227" s="9" t="str">
        <f>IF(SUMIFS(Sheet1!$E:$E,Sheet1!$C:$C,$A227,Sheet1!$A:$A,V$2)&lt;&gt;0,SUMIFS(Sheet1!$E:$E,Sheet1!$C:$C,$A227,Sheet1!$A:$A,V$2),"")</f>
        <v/>
      </c>
      <c r="W227" s="9" t="str">
        <f>IF(SUMIFS(Sheet1!$E:$E,Sheet1!$C:$C,$A227,Sheet1!$A:$A,W$2)&lt;&gt;0,SUMIFS(Sheet1!$E:$E,Sheet1!$C:$C,$A227,Sheet1!$A:$A,W$2),"")</f>
        <v/>
      </c>
      <c r="X227" s="9" t="str">
        <f>IF(SUMIFS(Sheet1!$E:$E,Sheet1!$C:$C,$A227,Sheet1!$A:$A,X$2)&lt;&gt;0,SUMIFS(Sheet1!$E:$E,Sheet1!$C:$C,$A227,Sheet1!$A:$A,X$2),"")</f>
        <v/>
      </c>
      <c r="Y227" s="9" t="str">
        <f>IF(SUMIFS(Sheet1!$E:$E,Sheet1!$C:$C,$A227,Sheet1!$A:$A,Y$2)&lt;&gt;0,SUMIFS(Sheet1!$E:$E,Sheet1!$C:$C,$A227,Sheet1!$A:$A,Y$2),"")</f>
        <v/>
      </c>
      <c r="Z227" s="9" t="str">
        <f>IF(SUMIFS(Sheet1!$E:$E,Sheet1!$C:$C,$A227,Sheet1!$A:$A,Z$2)&lt;&gt;0,SUMIFS(Sheet1!$E:$E,Sheet1!$C:$C,$A227,Sheet1!$A:$A,Z$2),"")</f>
        <v/>
      </c>
      <c r="AA227" s="9" t="str">
        <f>IF(SUMIFS(Sheet1!$E:$E,Sheet1!$C:$C,$A227,Sheet1!$A:$A,AA$2)&lt;&gt;0,SUMIFS(Sheet1!$E:$E,Sheet1!$C:$C,$A227,Sheet1!$A:$A,AA$2),"")</f>
        <v/>
      </c>
      <c r="AB227" s="9" t="str">
        <f>IF(SUMIFS(Sheet1!$E:$E,Sheet1!$C:$C,$A227,Sheet1!$A:$A,AB$2)&lt;&gt;0,SUMIFS(Sheet1!$E:$E,Sheet1!$C:$C,$A227,Sheet1!$A:$A,AB$2),"")</f>
        <v/>
      </c>
      <c r="AC227" s="9" t="str">
        <f>IF(SUMIFS(Sheet1!$E:$E,Sheet1!$C:$C,$A227,Sheet1!$A:$A,AC$2)&lt;&gt;0,SUMIFS(Sheet1!$E:$E,Sheet1!$C:$C,$A227,Sheet1!$A:$A,AC$2),"")</f>
        <v/>
      </c>
      <c r="AD227" s="9" t="str">
        <f>IF(SUMIFS(Sheet1!$E:$E,Sheet1!$C:$C,$A227,Sheet1!$A:$A,AD$2)&lt;&gt;0,SUMIFS(Sheet1!$E:$E,Sheet1!$C:$C,$A227,Sheet1!$A:$A,AD$2),"")</f>
        <v/>
      </c>
      <c r="AE227" s="9" t="str">
        <f>IF(SUMIFS(Sheet1!$E:$E,Sheet1!$C:$C,$A227,Sheet1!$A:$A,AE$2)&lt;&gt;0,SUMIFS(Sheet1!$E:$E,Sheet1!$C:$C,$A227,Sheet1!$A:$A,AE$2),"")</f>
        <v/>
      </c>
      <c r="AF227" s="9" t="str">
        <f>IF(SUMIFS(Sheet1!$E:$E,Sheet1!$C:$C,$A227,Sheet1!$A:$A,AF$2)&lt;&gt;0,SUMIFS(Sheet1!$E:$E,Sheet1!$C:$C,$A227,Sheet1!$A:$A,AF$2),"")</f>
        <v/>
      </c>
      <c r="AG227" s="9" t="str">
        <f>IF(SUMIFS(Sheet1!$E:$E,Sheet1!$C:$C,$A227,Sheet1!$A:$A,AG$2)&lt;&gt;0,SUMIFS(Sheet1!$E:$E,Sheet1!$C:$C,$A227,Sheet1!$A:$A,AG$2),"")</f>
        <v/>
      </c>
      <c r="AH227" s="47">
        <f>SUM(Table24[[#This Row],[1]:[31]])</f>
        <v>9</v>
      </c>
    </row>
    <row r="228" spans="1:34" ht="12.75" customHeight="1">
      <c r="A228" s="24" t="str">
        <f>DSSP!A227</f>
        <v>GC152</v>
      </c>
      <c r="B228" s="25" t="str">
        <f>DSSP!B227</f>
        <v>Điện thoại bàn</v>
      </c>
      <c r="C228" s="9">
        <f>IF(SUMIFS(Sheet1!$E:$E,Sheet1!$C:$C,$A228,Sheet1!$A:$A,C$2)&lt;&gt;0,SUMIFS(Sheet1!$E:$E,Sheet1!$C:$C,$A228,Sheet1!$A:$A,C$2),"")</f>
        <v>56</v>
      </c>
      <c r="D228" s="9" t="str">
        <f>IF(SUMIFS(Sheet1!$E:$E,Sheet1!$C:$C,$A228,Sheet1!$A:$A,D$2)&lt;&gt;0,SUMIFS(Sheet1!$E:$E,Sheet1!$C:$C,$A228,Sheet1!$A:$A,D$2),"")</f>
        <v/>
      </c>
      <c r="E228" s="9" t="str">
        <f>IF(SUMIFS(Sheet1!$E:$E,Sheet1!$C:$C,$A228,Sheet1!$A:$A,E$2)&lt;&gt;0,SUMIFS(Sheet1!$E:$E,Sheet1!$C:$C,$A228,Sheet1!$A:$A,E$2),"")</f>
        <v/>
      </c>
      <c r="F228" s="9" t="str">
        <f>IF(SUMIFS(Sheet1!$E:$E,Sheet1!$C:$C,$A228,Sheet1!$A:$A,F$2)&lt;&gt;0,SUMIFS(Sheet1!$E:$E,Sheet1!$C:$C,$A228,Sheet1!$A:$A,F$2),"")</f>
        <v/>
      </c>
      <c r="G228" s="9" t="str">
        <f>IF(SUMIFS(Sheet1!$E:$E,Sheet1!$C:$C,$A228,Sheet1!$A:$A,G$2)&lt;&gt;0,SUMIFS(Sheet1!$E:$E,Sheet1!$C:$C,$A228,Sheet1!$A:$A,G$2),"")</f>
        <v/>
      </c>
      <c r="H228" s="9" t="str">
        <f>IF(SUMIFS(Sheet1!$E:$E,Sheet1!$C:$C,$A228,Sheet1!$A:$A,H$2)&lt;&gt;0,SUMIFS(Sheet1!$E:$E,Sheet1!$C:$C,$A228,Sheet1!$A:$A,H$2),"")</f>
        <v/>
      </c>
      <c r="I228" s="9" t="str">
        <f>IF(SUMIFS(Sheet1!$E:$E,Sheet1!$C:$C,$A228,Sheet1!$A:$A,I$2)&lt;&gt;0,SUMIFS(Sheet1!$E:$E,Sheet1!$C:$C,$A228,Sheet1!$A:$A,I$2),"")</f>
        <v/>
      </c>
      <c r="J228" s="9" t="str">
        <f>IF(SUMIFS(Sheet1!$E:$E,Sheet1!$C:$C,$A228,Sheet1!$A:$A,J$2)&lt;&gt;0,SUMIFS(Sheet1!$E:$E,Sheet1!$C:$C,$A228,Sheet1!$A:$A,J$2),"")</f>
        <v/>
      </c>
      <c r="K228" s="9" t="str">
        <f>IF(SUMIFS(Sheet1!$E:$E,Sheet1!$C:$C,$A228,Sheet1!$A:$A,K$2)&lt;&gt;0,SUMIFS(Sheet1!$E:$E,Sheet1!$C:$C,$A228,Sheet1!$A:$A,K$2),"")</f>
        <v/>
      </c>
      <c r="L228" s="9" t="str">
        <f>IF(SUMIFS(Sheet1!$E:$E,Sheet1!$C:$C,$A228,Sheet1!$A:$A,L$2)&lt;&gt;0,SUMIFS(Sheet1!$E:$E,Sheet1!$C:$C,$A228,Sheet1!$A:$A,L$2),"")</f>
        <v/>
      </c>
      <c r="M228" s="9" t="str">
        <f>IF(SUMIFS(Sheet1!$E:$E,Sheet1!$C:$C,$A228,Sheet1!$A:$A,M$2)&lt;&gt;0,SUMIFS(Sheet1!$E:$E,Sheet1!$C:$C,$A228,Sheet1!$A:$A,M$2),"")</f>
        <v/>
      </c>
      <c r="N228" s="9" t="str">
        <f>IF(SUMIFS(Sheet1!$E:$E,Sheet1!$C:$C,$A228,Sheet1!$A:$A,N$2)&lt;&gt;0,SUMIFS(Sheet1!$E:$E,Sheet1!$C:$C,$A228,Sheet1!$A:$A,N$2),"")</f>
        <v/>
      </c>
      <c r="O228" s="9" t="str">
        <f>IF(SUMIFS(Sheet1!$E:$E,Sheet1!$C:$C,$A228,Sheet1!$A:$A,O$2)&lt;&gt;0,SUMIFS(Sheet1!$E:$E,Sheet1!$C:$C,$A228,Sheet1!$A:$A,O$2),"")</f>
        <v/>
      </c>
      <c r="P228" s="9" t="str">
        <f>IF(SUMIFS(Sheet1!$E:$E,Sheet1!$C:$C,$A228,Sheet1!$A:$A,P$2)&lt;&gt;0,SUMIFS(Sheet1!$E:$E,Sheet1!$C:$C,$A228,Sheet1!$A:$A,P$2),"")</f>
        <v/>
      </c>
      <c r="Q228" s="9" t="str">
        <f>IF(SUMIFS(Sheet1!$E:$E,Sheet1!$C:$C,$A228,Sheet1!$A:$A,Q$2)&lt;&gt;0,SUMIFS(Sheet1!$E:$E,Sheet1!$C:$C,$A228,Sheet1!$A:$A,Q$2),"")</f>
        <v/>
      </c>
      <c r="R228" s="9" t="str">
        <f>IF(SUMIFS(Sheet1!$E:$E,Sheet1!$C:$C,$A228,Sheet1!$A:$A,R$2)&lt;&gt;0,SUMIFS(Sheet1!$E:$E,Sheet1!$C:$C,$A228,Sheet1!$A:$A,R$2),"")</f>
        <v/>
      </c>
      <c r="S228" s="9" t="str">
        <f>IF(SUMIFS(Sheet1!$E:$E,Sheet1!$C:$C,$A228,Sheet1!$A:$A,S$2)&lt;&gt;0,SUMIFS(Sheet1!$E:$E,Sheet1!$C:$C,$A228,Sheet1!$A:$A,S$2),"")</f>
        <v/>
      </c>
      <c r="T228" s="9" t="str">
        <f>IF(SUMIFS(Sheet1!$E:$E,Sheet1!$C:$C,$A228,Sheet1!$A:$A,T$2)&lt;&gt;0,SUMIFS(Sheet1!$E:$E,Sheet1!$C:$C,$A228,Sheet1!$A:$A,T$2),"")</f>
        <v/>
      </c>
      <c r="U228" s="9" t="str">
        <f>IF(SUMIFS(Sheet1!$E:$E,Sheet1!$C:$C,$A228,Sheet1!$A:$A,U$2)&lt;&gt;0,SUMIFS(Sheet1!$E:$E,Sheet1!$C:$C,$A228,Sheet1!$A:$A,U$2),"")</f>
        <v/>
      </c>
      <c r="V228" s="9" t="str">
        <f>IF(SUMIFS(Sheet1!$E:$E,Sheet1!$C:$C,$A228,Sheet1!$A:$A,V$2)&lt;&gt;0,SUMIFS(Sheet1!$E:$E,Sheet1!$C:$C,$A228,Sheet1!$A:$A,V$2),"")</f>
        <v/>
      </c>
      <c r="W228" s="9" t="str">
        <f>IF(SUMIFS(Sheet1!$E:$E,Sheet1!$C:$C,$A228,Sheet1!$A:$A,W$2)&lt;&gt;0,SUMIFS(Sheet1!$E:$E,Sheet1!$C:$C,$A228,Sheet1!$A:$A,W$2),"")</f>
        <v/>
      </c>
      <c r="X228" s="9" t="str">
        <f>IF(SUMIFS(Sheet1!$E:$E,Sheet1!$C:$C,$A228,Sheet1!$A:$A,X$2)&lt;&gt;0,SUMIFS(Sheet1!$E:$E,Sheet1!$C:$C,$A228,Sheet1!$A:$A,X$2),"")</f>
        <v/>
      </c>
      <c r="Y228" s="9" t="str">
        <f>IF(SUMIFS(Sheet1!$E:$E,Sheet1!$C:$C,$A228,Sheet1!$A:$A,Y$2)&lt;&gt;0,SUMIFS(Sheet1!$E:$E,Sheet1!$C:$C,$A228,Sheet1!$A:$A,Y$2),"")</f>
        <v/>
      </c>
      <c r="Z228" s="9" t="str">
        <f>IF(SUMIFS(Sheet1!$E:$E,Sheet1!$C:$C,$A228,Sheet1!$A:$A,Z$2)&lt;&gt;0,SUMIFS(Sheet1!$E:$E,Sheet1!$C:$C,$A228,Sheet1!$A:$A,Z$2),"")</f>
        <v/>
      </c>
      <c r="AA228" s="9" t="str">
        <f>IF(SUMIFS(Sheet1!$E:$E,Sheet1!$C:$C,$A228,Sheet1!$A:$A,AA$2)&lt;&gt;0,SUMIFS(Sheet1!$E:$E,Sheet1!$C:$C,$A228,Sheet1!$A:$A,AA$2),"")</f>
        <v/>
      </c>
      <c r="AB228" s="9" t="str">
        <f>IF(SUMIFS(Sheet1!$E:$E,Sheet1!$C:$C,$A228,Sheet1!$A:$A,AB$2)&lt;&gt;0,SUMIFS(Sheet1!$E:$E,Sheet1!$C:$C,$A228,Sheet1!$A:$A,AB$2),"")</f>
        <v/>
      </c>
      <c r="AC228" s="9" t="str">
        <f>IF(SUMIFS(Sheet1!$E:$E,Sheet1!$C:$C,$A228,Sheet1!$A:$A,AC$2)&lt;&gt;0,SUMIFS(Sheet1!$E:$E,Sheet1!$C:$C,$A228,Sheet1!$A:$A,AC$2),"")</f>
        <v/>
      </c>
      <c r="AD228" s="9" t="str">
        <f>IF(SUMIFS(Sheet1!$E:$E,Sheet1!$C:$C,$A228,Sheet1!$A:$A,AD$2)&lt;&gt;0,SUMIFS(Sheet1!$E:$E,Sheet1!$C:$C,$A228,Sheet1!$A:$A,AD$2),"")</f>
        <v/>
      </c>
      <c r="AE228" s="9" t="str">
        <f>IF(SUMIFS(Sheet1!$E:$E,Sheet1!$C:$C,$A228,Sheet1!$A:$A,AE$2)&lt;&gt;0,SUMIFS(Sheet1!$E:$E,Sheet1!$C:$C,$A228,Sheet1!$A:$A,AE$2),"")</f>
        <v/>
      </c>
      <c r="AF228" s="9" t="str">
        <f>IF(SUMIFS(Sheet1!$E:$E,Sheet1!$C:$C,$A228,Sheet1!$A:$A,AF$2)&lt;&gt;0,SUMIFS(Sheet1!$E:$E,Sheet1!$C:$C,$A228,Sheet1!$A:$A,AF$2),"")</f>
        <v/>
      </c>
      <c r="AG228" s="9" t="str">
        <f>IF(SUMIFS(Sheet1!$E:$E,Sheet1!$C:$C,$A228,Sheet1!$A:$A,AG$2)&lt;&gt;0,SUMIFS(Sheet1!$E:$E,Sheet1!$C:$C,$A228,Sheet1!$A:$A,AG$2),"")</f>
        <v/>
      </c>
      <c r="AH228" s="47">
        <f>SUM(Table24[[#This Row],[1]:[31]])</f>
        <v>56</v>
      </c>
    </row>
    <row r="229" spans="1:34" ht="12.75" customHeight="1">
      <c r="A229" s="24" t="str">
        <f>DSSP!A228</f>
        <v>GC153</v>
      </c>
      <c r="B229" s="25" t="str">
        <f>DSSP!B228</f>
        <v>Nấm</v>
      </c>
      <c r="C229" s="9">
        <f>IF(SUMIFS(Sheet1!$E:$E,Sheet1!$C:$C,$A229,Sheet1!$A:$A,C$2)&lt;&gt;0,SUMIFS(Sheet1!$E:$E,Sheet1!$C:$C,$A229,Sheet1!$A:$A,C$2),"")</f>
        <v>26</v>
      </c>
      <c r="D229" s="9" t="str">
        <f>IF(SUMIFS(Sheet1!$E:$E,Sheet1!$C:$C,$A229,Sheet1!$A:$A,D$2)&lt;&gt;0,SUMIFS(Sheet1!$E:$E,Sheet1!$C:$C,$A229,Sheet1!$A:$A,D$2),"")</f>
        <v/>
      </c>
      <c r="E229" s="9" t="str">
        <f>IF(SUMIFS(Sheet1!$E:$E,Sheet1!$C:$C,$A229,Sheet1!$A:$A,E$2)&lt;&gt;0,SUMIFS(Sheet1!$E:$E,Sheet1!$C:$C,$A229,Sheet1!$A:$A,E$2),"")</f>
        <v/>
      </c>
      <c r="F229" s="9" t="str">
        <f>IF(SUMIFS(Sheet1!$E:$E,Sheet1!$C:$C,$A229,Sheet1!$A:$A,F$2)&lt;&gt;0,SUMIFS(Sheet1!$E:$E,Sheet1!$C:$C,$A229,Sheet1!$A:$A,F$2),"")</f>
        <v/>
      </c>
      <c r="G229" s="9" t="str">
        <f>IF(SUMIFS(Sheet1!$E:$E,Sheet1!$C:$C,$A229,Sheet1!$A:$A,G$2)&lt;&gt;0,SUMIFS(Sheet1!$E:$E,Sheet1!$C:$C,$A229,Sheet1!$A:$A,G$2),"")</f>
        <v/>
      </c>
      <c r="H229" s="9" t="str">
        <f>IF(SUMIFS(Sheet1!$E:$E,Sheet1!$C:$C,$A229,Sheet1!$A:$A,H$2)&lt;&gt;0,SUMIFS(Sheet1!$E:$E,Sheet1!$C:$C,$A229,Sheet1!$A:$A,H$2),"")</f>
        <v/>
      </c>
      <c r="I229" s="9" t="str">
        <f>IF(SUMIFS(Sheet1!$E:$E,Sheet1!$C:$C,$A229,Sheet1!$A:$A,I$2)&lt;&gt;0,SUMIFS(Sheet1!$E:$E,Sheet1!$C:$C,$A229,Sheet1!$A:$A,I$2),"")</f>
        <v/>
      </c>
      <c r="J229" s="9" t="str">
        <f>IF(SUMIFS(Sheet1!$E:$E,Sheet1!$C:$C,$A229,Sheet1!$A:$A,J$2)&lt;&gt;0,SUMIFS(Sheet1!$E:$E,Sheet1!$C:$C,$A229,Sheet1!$A:$A,J$2),"")</f>
        <v/>
      </c>
      <c r="K229" s="9" t="str">
        <f>IF(SUMIFS(Sheet1!$E:$E,Sheet1!$C:$C,$A229,Sheet1!$A:$A,K$2)&lt;&gt;0,SUMIFS(Sheet1!$E:$E,Sheet1!$C:$C,$A229,Sheet1!$A:$A,K$2),"")</f>
        <v/>
      </c>
      <c r="L229" s="9" t="str">
        <f>IF(SUMIFS(Sheet1!$E:$E,Sheet1!$C:$C,$A229,Sheet1!$A:$A,L$2)&lt;&gt;0,SUMIFS(Sheet1!$E:$E,Sheet1!$C:$C,$A229,Sheet1!$A:$A,L$2),"")</f>
        <v/>
      </c>
      <c r="M229" s="9" t="str">
        <f>IF(SUMIFS(Sheet1!$E:$E,Sheet1!$C:$C,$A229,Sheet1!$A:$A,M$2)&lt;&gt;0,SUMIFS(Sheet1!$E:$E,Sheet1!$C:$C,$A229,Sheet1!$A:$A,M$2),"")</f>
        <v/>
      </c>
      <c r="N229" s="9" t="str">
        <f>IF(SUMIFS(Sheet1!$E:$E,Sheet1!$C:$C,$A229,Sheet1!$A:$A,N$2)&lt;&gt;0,SUMIFS(Sheet1!$E:$E,Sheet1!$C:$C,$A229,Sheet1!$A:$A,N$2),"")</f>
        <v/>
      </c>
      <c r="O229" s="9" t="str">
        <f>IF(SUMIFS(Sheet1!$E:$E,Sheet1!$C:$C,$A229,Sheet1!$A:$A,O$2)&lt;&gt;0,SUMIFS(Sheet1!$E:$E,Sheet1!$C:$C,$A229,Sheet1!$A:$A,O$2),"")</f>
        <v/>
      </c>
      <c r="P229" s="9" t="str">
        <f>IF(SUMIFS(Sheet1!$E:$E,Sheet1!$C:$C,$A229,Sheet1!$A:$A,P$2)&lt;&gt;0,SUMIFS(Sheet1!$E:$E,Sheet1!$C:$C,$A229,Sheet1!$A:$A,P$2),"")</f>
        <v/>
      </c>
      <c r="Q229" s="9" t="str">
        <f>IF(SUMIFS(Sheet1!$E:$E,Sheet1!$C:$C,$A229,Sheet1!$A:$A,Q$2)&lt;&gt;0,SUMIFS(Sheet1!$E:$E,Sheet1!$C:$C,$A229,Sheet1!$A:$A,Q$2),"")</f>
        <v/>
      </c>
      <c r="R229" s="9" t="str">
        <f>IF(SUMIFS(Sheet1!$E:$E,Sheet1!$C:$C,$A229,Sheet1!$A:$A,R$2)&lt;&gt;0,SUMIFS(Sheet1!$E:$E,Sheet1!$C:$C,$A229,Sheet1!$A:$A,R$2),"")</f>
        <v/>
      </c>
      <c r="S229" s="9" t="str">
        <f>IF(SUMIFS(Sheet1!$E:$E,Sheet1!$C:$C,$A229,Sheet1!$A:$A,S$2)&lt;&gt;0,SUMIFS(Sheet1!$E:$E,Sheet1!$C:$C,$A229,Sheet1!$A:$A,S$2),"")</f>
        <v/>
      </c>
      <c r="T229" s="9" t="str">
        <f>IF(SUMIFS(Sheet1!$E:$E,Sheet1!$C:$C,$A229,Sheet1!$A:$A,T$2)&lt;&gt;0,SUMIFS(Sheet1!$E:$E,Sheet1!$C:$C,$A229,Sheet1!$A:$A,T$2),"")</f>
        <v/>
      </c>
      <c r="U229" s="9" t="str">
        <f>IF(SUMIFS(Sheet1!$E:$E,Sheet1!$C:$C,$A229,Sheet1!$A:$A,U$2)&lt;&gt;0,SUMIFS(Sheet1!$E:$E,Sheet1!$C:$C,$A229,Sheet1!$A:$A,U$2),"")</f>
        <v/>
      </c>
      <c r="V229" s="9" t="str">
        <f>IF(SUMIFS(Sheet1!$E:$E,Sheet1!$C:$C,$A229,Sheet1!$A:$A,V$2)&lt;&gt;0,SUMIFS(Sheet1!$E:$E,Sheet1!$C:$C,$A229,Sheet1!$A:$A,V$2),"")</f>
        <v/>
      </c>
      <c r="W229" s="9" t="str">
        <f>IF(SUMIFS(Sheet1!$E:$E,Sheet1!$C:$C,$A229,Sheet1!$A:$A,W$2)&lt;&gt;0,SUMIFS(Sheet1!$E:$E,Sheet1!$C:$C,$A229,Sheet1!$A:$A,W$2),"")</f>
        <v/>
      </c>
      <c r="X229" s="9" t="str">
        <f>IF(SUMIFS(Sheet1!$E:$E,Sheet1!$C:$C,$A229,Sheet1!$A:$A,X$2)&lt;&gt;0,SUMIFS(Sheet1!$E:$E,Sheet1!$C:$C,$A229,Sheet1!$A:$A,X$2),"")</f>
        <v/>
      </c>
      <c r="Y229" s="9" t="str">
        <f>IF(SUMIFS(Sheet1!$E:$E,Sheet1!$C:$C,$A229,Sheet1!$A:$A,Y$2)&lt;&gt;0,SUMIFS(Sheet1!$E:$E,Sheet1!$C:$C,$A229,Sheet1!$A:$A,Y$2),"")</f>
        <v/>
      </c>
      <c r="Z229" s="9" t="str">
        <f>IF(SUMIFS(Sheet1!$E:$E,Sheet1!$C:$C,$A229,Sheet1!$A:$A,Z$2)&lt;&gt;0,SUMIFS(Sheet1!$E:$E,Sheet1!$C:$C,$A229,Sheet1!$A:$A,Z$2),"")</f>
        <v/>
      </c>
      <c r="AA229" s="9" t="str">
        <f>IF(SUMIFS(Sheet1!$E:$E,Sheet1!$C:$C,$A229,Sheet1!$A:$A,AA$2)&lt;&gt;0,SUMIFS(Sheet1!$E:$E,Sheet1!$C:$C,$A229,Sheet1!$A:$A,AA$2),"")</f>
        <v/>
      </c>
      <c r="AB229" s="9" t="str">
        <f>IF(SUMIFS(Sheet1!$E:$E,Sheet1!$C:$C,$A229,Sheet1!$A:$A,AB$2)&lt;&gt;0,SUMIFS(Sheet1!$E:$E,Sheet1!$C:$C,$A229,Sheet1!$A:$A,AB$2),"")</f>
        <v/>
      </c>
      <c r="AC229" s="9" t="str">
        <f>IF(SUMIFS(Sheet1!$E:$E,Sheet1!$C:$C,$A229,Sheet1!$A:$A,AC$2)&lt;&gt;0,SUMIFS(Sheet1!$E:$E,Sheet1!$C:$C,$A229,Sheet1!$A:$A,AC$2),"")</f>
        <v/>
      </c>
      <c r="AD229" s="9" t="str">
        <f>IF(SUMIFS(Sheet1!$E:$E,Sheet1!$C:$C,$A229,Sheet1!$A:$A,AD$2)&lt;&gt;0,SUMIFS(Sheet1!$E:$E,Sheet1!$C:$C,$A229,Sheet1!$A:$A,AD$2),"")</f>
        <v/>
      </c>
      <c r="AE229" s="9" t="str">
        <f>IF(SUMIFS(Sheet1!$E:$E,Sheet1!$C:$C,$A229,Sheet1!$A:$A,AE$2)&lt;&gt;0,SUMIFS(Sheet1!$E:$E,Sheet1!$C:$C,$A229,Sheet1!$A:$A,AE$2),"")</f>
        <v/>
      </c>
      <c r="AF229" s="9" t="str">
        <f>IF(SUMIFS(Sheet1!$E:$E,Sheet1!$C:$C,$A229,Sheet1!$A:$A,AF$2)&lt;&gt;0,SUMIFS(Sheet1!$E:$E,Sheet1!$C:$C,$A229,Sheet1!$A:$A,AF$2),"")</f>
        <v/>
      </c>
      <c r="AG229" s="9" t="str">
        <f>IF(SUMIFS(Sheet1!$E:$E,Sheet1!$C:$C,$A229,Sheet1!$A:$A,AG$2)&lt;&gt;0,SUMIFS(Sheet1!$E:$E,Sheet1!$C:$C,$A229,Sheet1!$A:$A,AG$2),"")</f>
        <v/>
      </c>
      <c r="AH229" s="47">
        <f>SUM(Table24[[#This Row],[1]:[31]])</f>
        <v>26</v>
      </c>
    </row>
    <row r="230" spans="1:34" ht="12.75" customHeight="1">
      <c r="A230" s="24" t="str">
        <f>DSSP!A229</f>
        <v>GC154</v>
      </c>
      <c r="B230" s="25" t="str">
        <f>DSSP!B229</f>
        <v>Mặt người tròn mắt sao mắt tròn</v>
      </c>
      <c r="C230" s="9">
        <f>IF(SUMIFS(Sheet1!$E:$E,Sheet1!$C:$C,$A230,Sheet1!$A:$A,C$2)&lt;&gt;0,SUMIFS(Sheet1!$E:$E,Sheet1!$C:$C,$A230,Sheet1!$A:$A,C$2),"")</f>
        <v>5</v>
      </c>
      <c r="D230" s="9" t="str">
        <f>IF(SUMIFS(Sheet1!$E:$E,Sheet1!$C:$C,$A230,Sheet1!$A:$A,D$2)&lt;&gt;0,SUMIFS(Sheet1!$E:$E,Sheet1!$C:$C,$A230,Sheet1!$A:$A,D$2),"")</f>
        <v/>
      </c>
      <c r="E230" s="9" t="str">
        <f>IF(SUMIFS(Sheet1!$E:$E,Sheet1!$C:$C,$A230,Sheet1!$A:$A,E$2)&lt;&gt;0,SUMIFS(Sheet1!$E:$E,Sheet1!$C:$C,$A230,Sheet1!$A:$A,E$2),"")</f>
        <v/>
      </c>
      <c r="F230" s="9" t="str">
        <f>IF(SUMIFS(Sheet1!$E:$E,Sheet1!$C:$C,$A230,Sheet1!$A:$A,F$2)&lt;&gt;0,SUMIFS(Sheet1!$E:$E,Sheet1!$C:$C,$A230,Sheet1!$A:$A,F$2),"")</f>
        <v/>
      </c>
      <c r="G230" s="9" t="str">
        <f>IF(SUMIFS(Sheet1!$E:$E,Sheet1!$C:$C,$A230,Sheet1!$A:$A,G$2)&lt;&gt;0,SUMIFS(Sheet1!$E:$E,Sheet1!$C:$C,$A230,Sheet1!$A:$A,G$2),"")</f>
        <v/>
      </c>
      <c r="H230" s="9" t="str">
        <f>IF(SUMIFS(Sheet1!$E:$E,Sheet1!$C:$C,$A230,Sheet1!$A:$A,H$2)&lt;&gt;0,SUMIFS(Sheet1!$E:$E,Sheet1!$C:$C,$A230,Sheet1!$A:$A,H$2),"")</f>
        <v/>
      </c>
      <c r="I230" s="9" t="str">
        <f>IF(SUMIFS(Sheet1!$E:$E,Sheet1!$C:$C,$A230,Sheet1!$A:$A,I$2)&lt;&gt;0,SUMIFS(Sheet1!$E:$E,Sheet1!$C:$C,$A230,Sheet1!$A:$A,I$2),"")</f>
        <v/>
      </c>
      <c r="J230" s="9" t="str">
        <f>IF(SUMIFS(Sheet1!$E:$E,Sheet1!$C:$C,$A230,Sheet1!$A:$A,J$2)&lt;&gt;0,SUMIFS(Sheet1!$E:$E,Sheet1!$C:$C,$A230,Sheet1!$A:$A,J$2),"")</f>
        <v/>
      </c>
      <c r="K230" s="9" t="str">
        <f>IF(SUMIFS(Sheet1!$E:$E,Sheet1!$C:$C,$A230,Sheet1!$A:$A,K$2)&lt;&gt;0,SUMIFS(Sheet1!$E:$E,Sheet1!$C:$C,$A230,Sheet1!$A:$A,K$2),"")</f>
        <v/>
      </c>
      <c r="L230" s="9" t="str">
        <f>IF(SUMIFS(Sheet1!$E:$E,Sheet1!$C:$C,$A230,Sheet1!$A:$A,L$2)&lt;&gt;0,SUMIFS(Sheet1!$E:$E,Sheet1!$C:$C,$A230,Sheet1!$A:$A,L$2),"")</f>
        <v/>
      </c>
      <c r="M230" s="9" t="str">
        <f>IF(SUMIFS(Sheet1!$E:$E,Sheet1!$C:$C,$A230,Sheet1!$A:$A,M$2)&lt;&gt;0,SUMIFS(Sheet1!$E:$E,Sheet1!$C:$C,$A230,Sheet1!$A:$A,M$2),"")</f>
        <v/>
      </c>
      <c r="N230" s="9" t="str">
        <f>IF(SUMIFS(Sheet1!$E:$E,Sheet1!$C:$C,$A230,Sheet1!$A:$A,N$2)&lt;&gt;0,SUMIFS(Sheet1!$E:$E,Sheet1!$C:$C,$A230,Sheet1!$A:$A,N$2),"")</f>
        <v/>
      </c>
      <c r="O230" s="9" t="str">
        <f>IF(SUMIFS(Sheet1!$E:$E,Sheet1!$C:$C,$A230,Sheet1!$A:$A,O$2)&lt;&gt;0,SUMIFS(Sheet1!$E:$E,Sheet1!$C:$C,$A230,Sheet1!$A:$A,O$2),"")</f>
        <v/>
      </c>
      <c r="P230" s="9" t="str">
        <f>IF(SUMIFS(Sheet1!$E:$E,Sheet1!$C:$C,$A230,Sheet1!$A:$A,P$2)&lt;&gt;0,SUMIFS(Sheet1!$E:$E,Sheet1!$C:$C,$A230,Sheet1!$A:$A,P$2),"")</f>
        <v/>
      </c>
      <c r="Q230" s="9" t="str">
        <f>IF(SUMIFS(Sheet1!$E:$E,Sheet1!$C:$C,$A230,Sheet1!$A:$A,Q$2)&lt;&gt;0,SUMIFS(Sheet1!$E:$E,Sheet1!$C:$C,$A230,Sheet1!$A:$A,Q$2),"")</f>
        <v/>
      </c>
      <c r="R230" s="9" t="str">
        <f>IF(SUMIFS(Sheet1!$E:$E,Sheet1!$C:$C,$A230,Sheet1!$A:$A,R$2)&lt;&gt;0,SUMIFS(Sheet1!$E:$E,Sheet1!$C:$C,$A230,Sheet1!$A:$A,R$2),"")</f>
        <v/>
      </c>
      <c r="S230" s="9" t="str">
        <f>IF(SUMIFS(Sheet1!$E:$E,Sheet1!$C:$C,$A230,Sheet1!$A:$A,S$2)&lt;&gt;0,SUMIFS(Sheet1!$E:$E,Sheet1!$C:$C,$A230,Sheet1!$A:$A,S$2),"")</f>
        <v/>
      </c>
      <c r="T230" s="9" t="str">
        <f>IF(SUMIFS(Sheet1!$E:$E,Sheet1!$C:$C,$A230,Sheet1!$A:$A,T$2)&lt;&gt;0,SUMIFS(Sheet1!$E:$E,Sheet1!$C:$C,$A230,Sheet1!$A:$A,T$2),"")</f>
        <v/>
      </c>
      <c r="U230" s="9" t="str">
        <f>IF(SUMIFS(Sheet1!$E:$E,Sheet1!$C:$C,$A230,Sheet1!$A:$A,U$2)&lt;&gt;0,SUMIFS(Sheet1!$E:$E,Sheet1!$C:$C,$A230,Sheet1!$A:$A,U$2),"")</f>
        <v/>
      </c>
      <c r="V230" s="9" t="str">
        <f>IF(SUMIFS(Sheet1!$E:$E,Sheet1!$C:$C,$A230,Sheet1!$A:$A,V$2)&lt;&gt;0,SUMIFS(Sheet1!$E:$E,Sheet1!$C:$C,$A230,Sheet1!$A:$A,V$2),"")</f>
        <v/>
      </c>
      <c r="W230" s="9" t="str">
        <f>IF(SUMIFS(Sheet1!$E:$E,Sheet1!$C:$C,$A230,Sheet1!$A:$A,W$2)&lt;&gt;0,SUMIFS(Sheet1!$E:$E,Sheet1!$C:$C,$A230,Sheet1!$A:$A,W$2),"")</f>
        <v/>
      </c>
      <c r="X230" s="9" t="str">
        <f>IF(SUMIFS(Sheet1!$E:$E,Sheet1!$C:$C,$A230,Sheet1!$A:$A,X$2)&lt;&gt;0,SUMIFS(Sheet1!$E:$E,Sheet1!$C:$C,$A230,Sheet1!$A:$A,X$2),"")</f>
        <v/>
      </c>
      <c r="Y230" s="9" t="str">
        <f>IF(SUMIFS(Sheet1!$E:$E,Sheet1!$C:$C,$A230,Sheet1!$A:$A,Y$2)&lt;&gt;0,SUMIFS(Sheet1!$E:$E,Sheet1!$C:$C,$A230,Sheet1!$A:$A,Y$2),"")</f>
        <v/>
      </c>
      <c r="Z230" s="9" t="str">
        <f>IF(SUMIFS(Sheet1!$E:$E,Sheet1!$C:$C,$A230,Sheet1!$A:$A,Z$2)&lt;&gt;0,SUMIFS(Sheet1!$E:$E,Sheet1!$C:$C,$A230,Sheet1!$A:$A,Z$2),"")</f>
        <v/>
      </c>
      <c r="AA230" s="9" t="str">
        <f>IF(SUMIFS(Sheet1!$E:$E,Sheet1!$C:$C,$A230,Sheet1!$A:$A,AA$2)&lt;&gt;0,SUMIFS(Sheet1!$E:$E,Sheet1!$C:$C,$A230,Sheet1!$A:$A,AA$2),"")</f>
        <v/>
      </c>
      <c r="AB230" s="9" t="str">
        <f>IF(SUMIFS(Sheet1!$E:$E,Sheet1!$C:$C,$A230,Sheet1!$A:$A,AB$2)&lt;&gt;0,SUMIFS(Sheet1!$E:$E,Sheet1!$C:$C,$A230,Sheet1!$A:$A,AB$2),"")</f>
        <v/>
      </c>
      <c r="AC230" s="9" t="str">
        <f>IF(SUMIFS(Sheet1!$E:$E,Sheet1!$C:$C,$A230,Sheet1!$A:$A,AC$2)&lt;&gt;0,SUMIFS(Sheet1!$E:$E,Sheet1!$C:$C,$A230,Sheet1!$A:$A,AC$2),"")</f>
        <v/>
      </c>
      <c r="AD230" s="9" t="str">
        <f>IF(SUMIFS(Sheet1!$E:$E,Sheet1!$C:$C,$A230,Sheet1!$A:$A,AD$2)&lt;&gt;0,SUMIFS(Sheet1!$E:$E,Sheet1!$C:$C,$A230,Sheet1!$A:$A,AD$2),"")</f>
        <v/>
      </c>
      <c r="AE230" s="9" t="str">
        <f>IF(SUMIFS(Sheet1!$E:$E,Sheet1!$C:$C,$A230,Sheet1!$A:$A,AE$2)&lt;&gt;0,SUMIFS(Sheet1!$E:$E,Sheet1!$C:$C,$A230,Sheet1!$A:$A,AE$2),"")</f>
        <v/>
      </c>
      <c r="AF230" s="9" t="str">
        <f>IF(SUMIFS(Sheet1!$E:$E,Sheet1!$C:$C,$A230,Sheet1!$A:$A,AF$2)&lt;&gt;0,SUMIFS(Sheet1!$E:$E,Sheet1!$C:$C,$A230,Sheet1!$A:$A,AF$2),"")</f>
        <v/>
      </c>
      <c r="AG230" s="9" t="str">
        <f>IF(SUMIFS(Sheet1!$E:$E,Sheet1!$C:$C,$A230,Sheet1!$A:$A,AG$2)&lt;&gt;0,SUMIFS(Sheet1!$E:$E,Sheet1!$C:$C,$A230,Sheet1!$A:$A,AG$2),"")</f>
        <v/>
      </c>
      <c r="AH230" s="47">
        <f>SUM(Table24[[#This Row],[1]:[31]])</f>
        <v>5</v>
      </c>
    </row>
    <row r="231" spans="1:34" ht="12.75" customHeight="1">
      <c r="A231" s="24" t="str">
        <f>DSSP!A230</f>
        <v>GC155</v>
      </c>
      <c r="B231" s="25" t="str">
        <f>DSSP!B230</f>
        <v>Thỏ nhắm mắt</v>
      </c>
      <c r="C231" s="9">
        <f>IF(SUMIFS(Sheet1!$E:$E,Sheet1!$C:$C,$A231,Sheet1!$A:$A,C$2)&lt;&gt;0,SUMIFS(Sheet1!$E:$E,Sheet1!$C:$C,$A231,Sheet1!$A:$A,C$2),"")</f>
        <v>6</v>
      </c>
      <c r="D231" s="9" t="str">
        <f>IF(SUMIFS(Sheet1!$E:$E,Sheet1!$C:$C,$A231,Sheet1!$A:$A,D$2)&lt;&gt;0,SUMIFS(Sheet1!$E:$E,Sheet1!$C:$C,$A231,Sheet1!$A:$A,D$2),"")</f>
        <v/>
      </c>
      <c r="E231" s="9" t="str">
        <f>IF(SUMIFS(Sheet1!$E:$E,Sheet1!$C:$C,$A231,Sheet1!$A:$A,E$2)&lt;&gt;0,SUMIFS(Sheet1!$E:$E,Sheet1!$C:$C,$A231,Sheet1!$A:$A,E$2),"")</f>
        <v/>
      </c>
      <c r="F231" s="9" t="str">
        <f>IF(SUMIFS(Sheet1!$E:$E,Sheet1!$C:$C,$A231,Sheet1!$A:$A,F$2)&lt;&gt;0,SUMIFS(Sheet1!$E:$E,Sheet1!$C:$C,$A231,Sheet1!$A:$A,F$2),"")</f>
        <v/>
      </c>
      <c r="G231" s="9" t="str">
        <f>IF(SUMIFS(Sheet1!$E:$E,Sheet1!$C:$C,$A231,Sheet1!$A:$A,G$2)&lt;&gt;0,SUMIFS(Sheet1!$E:$E,Sheet1!$C:$C,$A231,Sheet1!$A:$A,G$2),"")</f>
        <v/>
      </c>
      <c r="H231" s="9" t="str">
        <f>IF(SUMIFS(Sheet1!$E:$E,Sheet1!$C:$C,$A231,Sheet1!$A:$A,H$2)&lt;&gt;0,SUMIFS(Sheet1!$E:$E,Sheet1!$C:$C,$A231,Sheet1!$A:$A,H$2),"")</f>
        <v/>
      </c>
      <c r="I231" s="9" t="str">
        <f>IF(SUMIFS(Sheet1!$E:$E,Sheet1!$C:$C,$A231,Sheet1!$A:$A,I$2)&lt;&gt;0,SUMIFS(Sheet1!$E:$E,Sheet1!$C:$C,$A231,Sheet1!$A:$A,I$2),"")</f>
        <v/>
      </c>
      <c r="J231" s="9" t="str">
        <f>IF(SUMIFS(Sheet1!$E:$E,Sheet1!$C:$C,$A231,Sheet1!$A:$A,J$2)&lt;&gt;0,SUMIFS(Sheet1!$E:$E,Sheet1!$C:$C,$A231,Sheet1!$A:$A,J$2),"")</f>
        <v/>
      </c>
      <c r="K231" s="9" t="str">
        <f>IF(SUMIFS(Sheet1!$E:$E,Sheet1!$C:$C,$A231,Sheet1!$A:$A,K$2)&lt;&gt;0,SUMIFS(Sheet1!$E:$E,Sheet1!$C:$C,$A231,Sheet1!$A:$A,K$2),"")</f>
        <v/>
      </c>
      <c r="L231" s="9" t="str">
        <f>IF(SUMIFS(Sheet1!$E:$E,Sheet1!$C:$C,$A231,Sheet1!$A:$A,L$2)&lt;&gt;0,SUMIFS(Sheet1!$E:$E,Sheet1!$C:$C,$A231,Sheet1!$A:$A,L$2),"")</f>
        <v/>
      </c>
      <c r="M231" s="9" t="str">
        <f>IF(SUMIFS(Sheet1!$E:$E,Sheet1!$C:$C,$A231,Sheet1!$A:$A,M$2)&lt;&gt;0,SUMIFS(Sheet1!$E:$E,Sheet1!$C:$C,$A231,Sheet1!$A:$A,M$2),"")</f>
        <v/>
      </c>
      <c r="N231" s="9" t="str">
        <f>IF(SUMIFS(Sheet1!$E:$E,Sheet1!$C:$C,$A231,Sheet1!$A:$A,N$2)&lt;&gt;0,SUMIFS(Sheet1!$E:$E,Sheet1!$C:$C,$A231,Sheet1!$A:$A,N$2),"")</f>
        <v/>
      </c>
      <c r="O231" s="9" t="str">
        <f>IF(SUMIFS(Sheet1!$E:$E,Sheet1!$C:$C,$A231,Sheet1!$A:$A,O$2)&lt;&gt;0,SUMIFS(Sheet1!$E:$E,Sheet1!$C:$C,$A231,Sheet1!$A:$A,O$2),"")</f>
        <v/>
      </c>
      <c r="P231" s="9" t="str">
        <f>IF(SUMIFS(Sheet1!$E:$E,Sheet1!$C:$C,$A231,Sheet1!$A:$A,P$2)&lt;&gt;0,SUMIFS(Sheet1!$E:$E,Sheet1!$C:$C,$A231,Sheet1!$A:$A,P$2),"")</f>
        <v/>
      </c>
      <c r="Q231" s="9" t="str">
        <f>IF(SUMIFS(Sheet1!$E:$E,Sheet1!$C:$C,$A231,Sheet1!$A:$A,Q$2)&lt;&gt;0,SUMIFS(Sheet1!$E:$E,Sheet1!$C:$C,$A231,Sheet1!$A:$A,Q$2),"")</f>
        <v/>
      </c>
      <c r="R231" s="9" t="str">
        <f>IF(SUMIFS(Sheet1!$E:$E,Sheet1!$C:$C,$A231,Sheet1!$A:$A,R$2)&lt;&gt;0,SUMIFS(Sheet1!$E:$E,Sheet1!$C:$C,$A231,Sheet1!$A:$A,R$2),"")</f>
        <v/>
      </c>
      <c r="S231" s="9" t="str">
        <f>IF(SUMIFS(Sheet1!$E:$E,Sheet1!$C:$C,$A231,Sheet1!$A:$A,S$2)&lt;&gt;0,SUMIFS(Sheet1!$E:$E,Sheet1!$C:$C,$A231,Sheet1!$A:$A,S$2),"")</f>
        <v/>
      </c>
      <c r="T231" s="9" t="str">
        <f>IF(SUMIFS(Sheet1!$E:$E,Sheet1!$C:$C,$A231,Sheet1!$A:$A,T$2)&lt;&gt;0,SUMIFS(Sheet1!$E:$E,Sheet1!$C:$C,$A231,Sheet1!$A:$A,T$2),"")</f>
        <v/>
      </c>
      <c r="U231" s="9" t="str">
        <f>IF(SUMIFS(Sheet1!$E:$E,Sheet1!$C:$C,$A231,Sheet1!$A:$A,U$2)&lt;&gt;0,SUMIFS(Sheet1!$E:$E,Sheet1!$C:$C,$A231,Sheet1!$A:$A,U$2),"")</f>
        <v/>
      </c>
      <c r="V231" s="9" t="str">
        <f>IF(SUMIFS(Sheet1!$E:$E,Sheet1!$C:$C,$A231,Sheet1!$A:$A,V$2)&lt;&gt;0,SUMIFS(Sheet1!$E:$E,Sheet1!$C:$C,$A231,Sheet1!$A:$A,V$2),"")</f>
        <v/>
      </c>
      <c r="W231" s="9" t="str">
        <f>IF(SUMIFS(Sheet1!$E:$E,Sheet1!$C:$C,$A231,Sheet1!$A:$A,W$2)&lt;&gt;0,SUMIFS(Sheet1!$E:$E,Sheet1!$C:$C,$A231,Sheet1!$A:$A,W$2),"")</f>
        <v/>
      </c>
      <c r="X231" s="9" t="str">
        <f>IF(SUMIFS(Sheet1!$E:$E,Sheet1!$C:$C,$A231,Sheet1!$A:$A,X$2)&lt;&gt;0,SUMIFS(Sheet1!$E:$E,Sheet1!$C:$C,$A231,Sheet1!$A:$A,X$2),"")</f>
        <v/>
      </c>
      <c r="Y231" s="9" t="str">
        <f>IF(SUMIFS(Sheet1!$E:$E,Sheet1!$C:$C,$A231,Sheet1!$A:$A,Y$2)&lt;&gt;0,SUMIFS(Sheet1!$E:$E,Sheet1!$C:$C,$A231,Sheet1!$A:$A,Y$2),"")</f>
        <v/>
      </c>
      <c r="Z231" s="9" t="str">
        <f>IF(SUMIFS(Sheet1!$E:$E,Sheet1!$C:$C,$A231,Sheet1!$A:$A,Z$2)&lt;&gt;0,SUMIFS(Sheet1!$E:$E,Sheet1!$C:$C,$A231,Sheet1!$A:$A,Z$2),"")</f>
        <v/>
      </c>
      <c r="AA231" s="9" t="str">
        <f>IF(SUMIFS(Sheet1!$E:$E,Sheet1!$C:$C,$A231,Sheet1!$A:$A,AA$2)&lt;&gt;0,SUMIFS(Sheet1!$E:$E,Sheet1!$C:$C,$A231,Sheet1!$A:$A,AA$2),"")</f>
        <v/>
      </c>
      <c r="AB231" s="9" t="str">
        <f>IF(SUMIFS(Sheet1!$E:$E,Sheet1!$C:$C,$A231,Sheet1!$A:$A,AB$2)&lt;&gt;0,SUMIFS(Sheet1!$E:$E,Sheet1!$C:$C,$A231,Sheet1!$A:$A,AB$2),"")</f>
        <v/>
      </c>
      <c r="AC231" s="9" t="str">
        <f>IF(SUMIFS(Sheet1!$E:$E,Sheet1!$C:$C,$A231,Sheet1!$A:$A,AC$2)&lt;&gt;0,SUMIFS(Sheet1!$E:$E,Sheet1!$C:$C,$A231,Sheet1!$A:$A,AC$2),"")</f>
        <v/>
      </c>
      <c r="AD231" s="9" t="str">
        <f>IF(SUMIFS(Sheet1!$E:$E,Sheet1!$C:$C,$A231,Sheet1!$A:$A,AD$2)&lt;&gt;0,SUMIFS(Sheet1!$E:$E,Sheet1!$C:$C,$A231,Sheet1!$A:$A,AD$2),"")</f>
        <v/>
      </c>
      <c r="AE231" s="9" t="str">
        <f>IF(SUMIFS(Sheet1!$E:$E,Sheet1!$C:$C,$A231,Sheet1!$A:$A,AE$2)&lt;&gt;0,SUMIFS(Sheet1!$E:$E,Sheet1!$C:$C,$A231,Sheet1!$A:$A,AE$2),"")</f>
        <v/>
      </c>
      <c r="AF231" s="9" t="str">
        <f>IF(SUMIFS(Sheet1!$E:$E,Sheet1!$C:$C,$A231,Sheet1!$A:$A,AF$2)&lt;&gt;0,SUMIFS(Sheet1!$E:$E,Sheet1!$C:$C,$A231,Sheet1!$A:$A,AF$2),"")</f>
        <v/>
      </c>
      <c r="AG231" s="9" t="str">
        <f>IF(SUMIFS(Sheet1!$E:$E,Sheet1!$C:$C,$A231,Sheet1!$A:$A,AG$2)&lt;&gt;0,SUMIFS(Sheet1!$E:$E,Sheet1!$C:$C,$A231,Sheet1!$A:$A,AG$2),"")</f>
        <v/>
      </c>
      <c r="AH231" s="47">
        <f>SUM(Table24[[#This Row],[1]:[31]])</f>
        <v>6</v>
      </c>
    </row>
    <row r="232" spans="1:34" ht="12.75" customHeight="1">
      <c r="A232" s="24" t="str">
        <f>DSSP!A231</f>
        <v>GC156</v>
      </c>
      <c r="B232" s="25" t="str">
        <f>DSSP!B231</f>
        <v>Tàu hỏa</v>
      </c>
      <c r="C232" s="9">
        <f>IF(SUMIFS(Sheet1!$E:$E,Sheet1!$C:$C,$A232,Sheet1!$A:$A,C$2)&lt;&gt;0,SUMIFS(Sheet1!$E:$E,Sheet1!$C:$C,$A232,Sheet1!$A:$A,C$2),"")</f>
        <v>19</v>
      </c>
      <c r="D232" s="9" t="str">
        <f>IF(SUMIFS(Sheet1!$E:$E,Sheet1!$C:$C,$A232,Sheet1!$A:$A,D$2)&lt;&gt;0,SUMIFS(Sheet1!$E:$E,Sheet1!$C:$C,$A232,Sheet1!$A:$A,D$2),"")</f>
        <v/>
      </c>
      <c r="E232" s="9" t="str">
        <f>IF(SUMIFS(Sheet1!$E:$E,Sheet1!$C:$C,$A232,Sheet1!$A:$A,E$2)&lt;&gt;0,SUMIFS(Sheet1!$E:$E,Sheet1!$C:$C,$A232,Sheet1!$A:$A,E$2),"")</f>
        <v/>
      </c>
      <c r="F232" s="9" t="str">
        <f>IF(SUMIFS(Sheet1!$E:$E,Sheet1!$C:$C,$A232,Sheet1!$A:$A,F$2)&lt;&gt;0,SUMIFS(Sheet1!$E:$E,Sheet1!$C:$C,$A232,Sheet1!$A:$A,F$2),"")</f>
        <v/>
      </c>
      <c r="G232" s="9" t="str">
        <f>IF(SUMIFS(Sheet1!$E:$E,Sheet1!$C:$C,$A232,Sheet1!$A:$A,G$2)&lt;&gt;0,SUMIFS(Sheet1!$E:$E,Sheet1!$C:$C,$A232,Sheet1!$A:$A,G$2),"")</f>
        <v/>
      </c>
      <c r="H232" s="9" t="str">
        <f>IF(SUMIFS(Sheet1!$E:$E,Sheet1!$C:$C,$A232,Sheet1!$A:$A,H$2)&lt;&gt;0,SUMIFS(Sheet1!$E:$E,Sheet1!$C:$C,$A232,Sheet1!$A:$A,H$2),"")</f>
        <v/>
      </c>
      <c r="I232" s="9" t="str">
        <f>IF(SUMIFS(Sheet1!$E:$E,Sheet1!$C:$C,$A232,Sheet1!$A:$A,I$2)&lt;&gt;0,SUMIFS(Sheet1!$E:$E,Sheet1!$C:$C,$A232,Sheet1!$A:$A,I$2),"")</f>
        <v/>
      </c>
      <c r="J232" s="9" t="str">
        <f>IF(SUMIFS(Sheet1!$E:$E,Sheet1!$C:$C,$A232,Sheet1!$A:$A,J$2)&lt;&gt;0,SUMIFS(Sheet1!$E:$E,Sheet1!$C:$C,$A232,Sheet1!$A:$A,J$2),"")</f>
        <v/>
      </c>
      <c r="K232" s="9" t="str">
        <f>IF(SUMIFS(Sheet1!$E:$E,Sheet1!$C:$C,$A232,Sheet1!$A:$A,K$2)&lt;&gt;0,SUMIFS(Sheet1!$E:$E,Sheet1!$C:$C,$A232,Sheet1!$A:$A,K$2),"")</f>
        <v/>
      </c>
      <c r="L232" s="9" t="str">
        <f>IF(SUMIFS(Sheet1!$E:$E,Sheet1!$C:$C,$A232,Sheet1!$A:$A,L$2)&lt;&gt;0,SUMIFS(Sheet1!$E:$E,Sheet1!$C:$C,$A232,Sheet1!$A:$A,L$2),"")</f>
        <v/>
      </c>
      <c r="M232" s="9" t="str">
        <f>IF(SUMIFS(Sheet1!$E:$E,Sheet1!$C:$C,$A232,Sheet1!$A:$A,M$2)&lt;&gt;0,SUMIFS(Sheet1!$E:$E,Sheet1!$C:$C,$A232,Sheet1!$A:$A,M$2),"")</f>
        <v/>
      </c>
      <c r="N232" s="9" t="str">
        <f>IF(SUMIFS(Sheet1!$E:$E,Sheet1!$C:$C,$A232,Sheet1!$A:$A,N$2)&lt;&gt;0,SUMIFS(Sheet1!$E:$E,Sheet1!$C:$C,$A232,Sheet1!$A:$A,N$2),"")</f>
        <v/>
      </c>
      <c r="O232" s="9" t="str">
        <f>IF(SUMIFS(Sheet1!$E:$E,Sheet1!$C:$C,$A232,Sheet1!$A:$A,O$2)&lt;&gt;0,SUMIFS(Sheet1!$E:$E,Sheet1!$C:$C,$A232,Sheet1!$A:$A,O$2),"")</f>
        <v/>
      </c>
      <c r="P232" s="9" t="str">
        <f>IF(SUMIFS(Sheet1!$E:$E,Sheet1!$C:$C,$A232,Sheet1!$A:$A,P$2)&lt;&gt;0,SUMIFS(Sheet1!$E:$E,Sheet1!$C:$C,$A232,Sheet1!$A:$A,P$2),"")</f>
        <v/>
      </c>
      <c r="Q232" s="9" t="str">
        <f>IF(SUMIFS(Sheet1!$E:$E,Sheet1!$C:$C,$A232,Sheet1!$A:$A,Q$2)&lt;&gt;0,SUMIFS(Sheet1!$E:$E,Sheet1!$C:$C,$A232,Sheet1!$A:$A,Q$2),"")</f>
        <v/>
      </c>
      <c r="R232" s="9" t="str">
        <f>IF(SUMIFS(Sheet1!$E:$E,Sheet1!$C:$C,$A232,Sheet1!$A:$A,R$2)&lt;&gt;0,SUMIFS(Sheet1!$E:$E,Sheet1!$C:$C,$A232,Sheet1!$A:$A,R$2),"")</f>
        <v/>
      </c>
      <c r="S232" s="9" t="str">
        <f>IF(SUMIFS(Sheet1!$E:$E,Sheet1!$C:$C,$A232,Sheet1!$A:$A,S$2)&lt;&gt;0,SUMIFS(Sheet1!$E:$E,Sheet1!$C:$C,$A232,Sheet1!$A:$A,S$2),"")</f>
        <v/>
      </c>
      <c r="T232" s="9" t="str">
        <f>IF(SUMIFS(Sheet1!$E:$E,Sheet1!$C:$C,$A232,Sheet1!$A:$A,T$2)&lt;&gt;0,SUMIFS(Sheet1!$E:$E,Sheet1!$C:$C,$A232,Sheet1!$A:$A,T$2),"")</f>
        <v/>
      </c>
      <c r="U232" s="9" t="str">
        <f>IF(SUMIFS(Sheet1!$E:$E,Sheet1!$C:$C,$A232,Sheet1!$A:$A,U$2)&lt;&gt;0,SUMIFS(Sheet1!$E:$E,Sheet1!$C:$C,$A232,Sheet1!$A:$A,U$2),"")</f>
        <v/>
      </c>
      <c r="V232" s="9" t="str">
        <f>IF(SUMIFS(Sheet1!$E:$E,Sheet1!$C:$C,$A232,Sheet1!$A:$A,V$2)&lt;&gt;0,SUMIFS(Sheet1!$E:$E,Sheet1!$C:$C,$A232,Sheet1!$A:$A,V$2),"")</f>
        <v/>
      </c>
      <c r="W232" s="9" t="str">
        <f>IF(SUMIFS(Sheet1!$E:$E,Sheet1!$C:$C,$A232,Sheet1!$A:$A,W$2)&lt;&gt;0,SUMIFS(Sheet1!$E:$E,Sheet1!$C:$C,$A232,Sheet1!$A:$A,W$2),"")</f>
        <v/>
      </c>
      <c r="X232" s="9" t="str">
        <f>IF(SUMIFS(Sheet1!$E:$E,Sheet1!$C:$C,$A232,Sheet1!$A:$A,X$2)&lt;&gt;0,SUMIFS(Sheet1!$E:$E,Sheet1!$C:$C,$A232,Sheet1!$A:$A,X$2),"")</f>
        <v/>
      </c>
      <c r="Y232" s="9" t="str">
        <f>IF(SUMIFS(Sheet1!$E:$E,Sheet1!$C:$C,$A232,Sheet1!$A:$A,Y$2)&lt;&gt;0,SUMIFS(Sheet1!$E:$E,Sheet1!$C:$C,$A232,Sheet1!$A:$A,Y$2),"")</f>
        <v/>
      </c>
      <c r="Z232" s="9" t="str">
        <f>IF(SUMIFS(Sheet1!$E:$E,Sheet1!$C:$C,$A232,Sheet1!$A:$A,Z$2)&lt;&gt;0,SUMIFS(Sheet1!$E:$E,Sheet1!$C:$C,$A232,Sheet1!$A:$A,Z$2),"")</f>
        <v/>
      </c>
      <c r="AA232" s="9" t="str">
        <f>IF(SUMIFS(Sheet1!$E:$E,Sheet1!$C:$C,$A232,Sheet1!$A:$A,AA$2)&lt;&gt;0,SUMIFS(Sheet1!$E:$E,Sheet1!$C:$C,$A232,Sheet1!$A:$A,AA$2),"")</f>
        <v/>
      </c>
      <c r="AB232" s="9" t="str">
        <f>IF(SUMIFS(Sheet1!$E:$E,Sheet1!$C:$C,$A232,Sheet1!$A:$A,AB$2)&lt;&gt;0,SUMIFS(Sheet1!$E:$E,Sheet1!$C:$C,$A232,Sheet1!$A:$A,AB$2),"")</f>
        <v/>
      </c>
      <c r="AC232" s="9" t="str">
        <f>IF(SUMIFS(Sheet1!$E:$E,Sheet1!$C:$C,$A232,Sheet1!$A:$A,AC$2)&lt;&gt;0,SUMIFS(Sheet1!$E:$E,Sheet1!$C:$C,$A232,Sheet1!$A:$A,AC$2),"")</f>
        <v/>
      </c>
      <c r="AD232" s="9" t="str">
        <f>IF(SUMIFS(Sheet1!$E:$E,Sheet1!$C:$C,$A232,Sheet1!$A:$A,AD$2)&lt;&gt;0,SUMIFS(Sheet1!$E:$E,Sheet1!$C:$C,$A232,Sheet1!$A:$A,AD$2),"")</f>
        <v/>
      </c>
      <c r="AE232" s="9" t="str">
        <f>IF(SUMIFS(Sheet1!$E:$E,Sheet1!$C:$C,$A232,Sheet1!$A:$A,AE$2)&lt;&gt;0,SUMIFS(Sheet1!$E:$E,Sheet1!$C:$C,$A232,Sheet1!$A:$A,AE$2),"")</f>
        <v/>
      </c>
      <c r="AF232" s="9" t="str">
        <f>IF(SUMIFS(Sheet1!$E:$E,Sheet1!$C:$C,$A232,Sheet1!$A:$A,AF$2)&lt;&gt;0,SUMIFS(Sheet1!$E:$E,Sheet1!$C:$C,$A232,Sheet1!$A:$A,AF$2),"")</f>
        <v/>
      </c>
      <c r="AG232" s="9" t="str">
        <f>IF(SUMIFS(Sheet1!$E:$E,Sheet1!$C:$C,$A232,Sheet1!$A:$A,AG$2)&lt;&gt;0,SUMIFS(Sheet1!$E:$E,Sheet1!$C:$C,$A232,Sheet1!$A:$A,AG$2),"")</f>
        <v/>
      </c>
      <c r="AH232" s="47">
        <f>SUM(Table24[[#This Row],[1]:[31]])</f>
        <v>19</v>
      </c>
    </row>
    <row r="233" spans="1:34" ht="12.75" customHeight="1">
      <c r="A233" s="24" t="str">
        <f>DSSP!A232</f>
        <v>GC157</v>
      </c>
      <c r="B233" s="25" t="str">
        <f>DSSP!B232</f>
        <v>Cánh chim</v>
      </c>
      <c r="C233" s="9">
        <f>IF(SUMIFS(Sheet1!$E:$E,Sheet1!$C:$C,$A233,Sheet1!$A:$A,C$2)&lt;&gt;0,SUMIFS(Sheet1!$E:$E,Sheet1!$C:$C,$A233,Sheet1!$A:$A,C$2),"")</f>
        <v>52</v>
      </c>
      <c r="D233" s="9" t="str">
        <f>IF(SUMIFS(Sheet1!$E:$E,Sheet1!$C:$C,$A233,Sheet1!$A:$A,D$2)&lt;&gt;0,SUMIFS(Sheet1!$E:$E,Sheet1!$C:$C,$A233,Sheet1!$A:$A,D$2),"")</f>
        <v/>
      </c>
      <c r="E233" s="9" t="str">
        <f>IF(SUMIFS(Sheet1!$E:$E,Sheet1!$C:$C,$A233,Sheet1!$A:$A,E$2)&lt;&gt;0,SUMIFS(Sheet1!$E:$E,Sheet1!$C:$C,$A233,Sheet1!$A:$A,E$2),"")</f>
        <v/>
      </c>
      <c r="F233" s="9" t="str">
        <f>IF(SUMIFS(Sheet1!$E:$E,Sheet1!$C:$C,$A233,Sheet1!$A:$A,F$2)&lt;&gt;0,SUMIFS(Sheet1!$E:$E,Sheet1!$C:$C,$A233,Sheet1!$A:$A,F$2),"")</f>
        <v/>
      </c>
      <c r="G233" s="9" t="str">
        <f>IF(SUMIFS(Sheet1!$E:$E,Sheet1!$C:$C,$A233,Sheet1!$A:$A,G$2)&lt;&gt;0,SUMIFS(Sheet1!$E:$E,Sheet1!$C:$C,$A233,Sheet1!$A:$A,G$2),"")</f>
        <v/>
      </c>
      <c r="H233" s="9" t="str">
        <f>IF(SUMIFS(Sheet1!$E:$E,Sheet1!$C:$C,$A233,Sheet1!$A:$A,H$2)&lt;&gt;0,SUMIFS(Sheet1!$E:$E,Sheet1!$C:$C,$A233,Sheet1!$A:$A,H$2),"")</f>
        <v/>
      </c>
      <c r="I233" s="9" t="str">
        <f>IF(SUMIFS(Sheet1!$E:$E,Sheet1!$C:$C,$A233,Sheet1!$A:$A,I$2)&lt;&gt;0,SUMIFS(Sheet1!$E:$E,Sheet1!$C:$C,$A233,Sheet1!$A:$A,I$2),"")</f>
        <v/>
      </c>
      <c r="J233" s="9" t="str">
        <f>IF(SUMIFS(Sheet1!$E:$E,Sheet1!$C:$C,$A233,Sheet1!$A:$A,J$2)&lt;&gt;0,SUMIFS(Sheet1!$E:$E,Sheet1!$C:$C,$A233,Sheet1!$A:$A,J$2),"")</f>
        <v/>
      </c>
      <c r="K233" s="9" t="str">
        <f>IF(SUMIFS(Sheet1!$E:$E,Sheet1!$C:$C,$A233,Sheet1!$A:$A,K$2)&lt;&gt;0,SUMIFS(Sheet1!$E:$E,Sheet1!$C:$C,$A233,Sheet1!$A:$A,K$2),"")</f>
        <v/>
      </c>
      <c r="L233" s="9" t="str">
        <f>IF(SUMIFS(Sheet1!$E:$E,Sheet1!$C:$C,$A233,Sheet1!$A:$A,L$2)&lt;&gt;0,SUMIFS(Sheet1!$E:$E,Sheet1!$C:$C,$A233,Sheet1!$A:$A,L$2),"")</f>
        <v/>
      </c>
      <c r="M233" s="9" t="str">
        <f>IF(SUMIFS(Sheet1!$E:$E,Sheet1!$C:$C,$A233,Sheet1!$A:$A,M$2)&lt;&gt;0,SUMIFS(Sheet1!$E:$E,Sheet1!$C:$C,$A233,Sheet1!$A:$A,M$2),"")</f>
        <v/>
      </c>
      <c r="N233" s="9" t="str">
        <f>IF(SUMIFS(Sheet1!$E:$E,Sheet1!$C:$C,$A233,Sheet1!$A:$A,N$2)&lt;&gt;0,SUMIFS(Sheet1!$E:$E,Sheet1!$C:$C,$A233,Sheet1!$A:$A,N$2),"")</f>
        <v/>
      </c>
      <c r="O233" s="9" t="str">
        <f>IF(SUMIFS(Sheet1!$E:$E,Sheet1!$C:$C,$A233,Sheet1!$A:$A,O$2)&lt;&gt;0,SUMIFS(Sheet1!$E:$E,Sheet1!$C:$C,$A233,Sheet1!$A:$A,O$2),"")</f>
        <v/>
      </c>
      <c r="P233" s="9" t="str">
        <f>IF(SUMIFS(Sheet1!$E:$E,Sheet1!$C:$C,$A233,Sheet1!$A:$A,P$2)&lt;&gt;0,SUMIFS(Sheet1!$E:$E,Sheet1!$C:$C,$A233,Sheet1!$A:$A,P$2),"")</f>
        <v/>
      </c>
      <c r="Q233" s="9" t="str">
        <f>IF(SUMIFS(Sheet1!$E:$E,Sheet1!$C:$C,$A233,Sheet1!$A:$A,Q$2)&lt;&gt;0,SUMIFS(Sheet1!$E:$E,Sheet1!$C:$C,$A233,Sheet1!$A:$A,Q$2),"")</f>
        <v/>
      </c>
      <c r="R233" s="9" t="str">
        <f>IF(SUMIFS(Sheet1!$E:$E,Sheet1!$C:$C,$A233,Sheet1!$A:$A,R$2)&lt;&gt;0,SUMIFS(Sheet1!$E:$E,Sheet1!$C:$C,$A233,Sheet1!$A:$A,R$2),"")</f>
        <v/>
      </c>
      <c r="S233" s="9" t="str">
        <f>IF(SUMIFS(Sheet1!$E:$E,Sheet1!$C:$C,$A233,Sheet1!$A:$A,S$2)&lt;&gt;0,SUMIFS(Sheet1!$E:$E,Sheet1!$C:$C,$A233,Sheet1!$A:$A,S$2),"")</f>
        <v/>
      </c>
      <c r="T233" s="9" t="str">
        <f>IF(SUMIFS(Sheet1!$E:$E,Sheet1!$C:$C,$A233,Sheet1!$A:$A,T$2)&lt;&gt;0,SUMIFS(Sheet1!$E:$E,Sheet1!$C:$C,$A233,Sheet1!$A:$A,T$2),"")</f>
        <v/>
      </c>
      <c r="U233" s="9" t="str">
        <f>IF(SUMIFS(Sheet1!$E:$E,Sheet1!$C:$C,$A233,Sheet1!$A:$A,U$2)&lt;&gt;0,SUMIFS(Sheet1!$E:$E,Sheet1!$C:$C,$A233,Sheet1!$A:$A,U$2),"")</f>
        <v/>
      </c>
      <c r="V233" s="9" t="str">
        <f>IF(SUMIFS(Sheet1!$E:$E,Sheet1!$C:$C,$A233,Sheet1!$A:$A,V$2)&lt;&gt;0,SUMIFS(Sheet1!$E:$E,Sheet1!$C:$C,$A233,Sheet1!$A:$A,V$2),"")</f>
        <v/>
      </c>
      <c r="W233" s="9" t="str">
        <f>IF(SUMIFS(Sheet1!$E:$E,Sheet1!$C:$C,$A233,Sheet1!$A:$A,W$2)&lt;&gt;0,SUMIFS(Sheet1!$E:$E,Sheet1!$C:$C,$A233,Sheet1!$A:$A,W$2),"")</f>
        <v/>
      </c>
      <c r="X233" s="9" t="str">
        <f>IF(SUMIFS(Sheet1!$E:$E,Sheet1!$C:$C,$A233,Sheet1!$A:$A,X$2)&lt;&gt;0,SUMIFS(Sheet1!$E:$E,Sheet1!$C:$C,$A233,Sheet1!$A:$A,X$2),"")</f>
        <v/>
      </c>
      <c r="Y233" s="9" t="str">
        <f>IF(SUMIFS(Sheet1!$E:$E,Sheet1!$C:$C,$A233,Sheet1!$A:$A,Y$2)&lt;&gt;0,SUMIFS(Sheet1!$E:$E,Sheet1!$C:$C,$A233,Sheet1!$A:$A,Y$2),"")</f>
        <v/>
      </c>
      <c r="Z233" s="9" t="str">
        <f>IF(SUMIFS(Sheet1!$E:$E,Sheet1!$C:$C,$A233,Sheet1!$A:$A,Z$2)&lt;&gt;0,SUMIFS(Sheet1!$E:$E,Sheet1!$C:$C,$A233,Sheet1!$A:$A,Z$2),"")</f>
        <v/>
      </c>
      <c r="AA233" s="9" t="str">
        <f>IF(SUMIFS(Sheet1!$E:$E,Sheet1!$C:$C,$A233,Sheet1!$A:$A,AA$2)&lt;&gt;0,SUMIFS(Sheet1!$E:$E,Sheet1!$C:$C,$A233,Sheet1!$A:$A,AA$2),"")</f>
        <v/>
      </c>
      <c r="AB233" s="9" t="str">
        <f>IF(SUMIFS(Sheet1!$E:$E,Sheet1!$C:$C,$A233,Sheet1!$A:$A,AB$2)&lt;&gt;0,SUMIFS(Sheet1!$E:$E,Sheet1!$C:$C,$A233,Sheet1!$A:$A,AB$2),"")</f>
        <v/>
      </c>
      <c r="AC233" s="9" t="str">
        <f>IF(SUMIFS(Sheet1!$E:$E,Sheet1!$C:$C,$A233,Sheet1!$A:$A,AC$2)&lt;&gt;0,SUMIFS(Sheet1!$E:$E,Sheet1!$C:$C,$A233,Sheet1!$A:$A,AC$2),"")</f>
        <v/>
      </c>
      <c r="AD233" s="9" t="str">
        <f>IF(SUMIFS(Sheet1!$E:$E,Sheet1!$C:$C,$A233,Sheet1!$A:$A,AD$2)&lt;&gt;0,SUMIFS(Sheet1!$E:$E,Sheet1!$C:$C,$A233,Sheet1!$A:$A,AD$2),"")</f>
        <v/>
      </c>
      <c r="AE233" s="9" t="str">
        <f>IF(SUMIFS(Sheet1!$E:$E,Sheet1!$C:$C,$A233,Sheet1!$A:$A,AE$2)&lt;&gt;0,SUMIFS(Sheet1!$E:$E,Sheet1!$C:$C,$A233,Sheet1!$A:$A,AE$2),"")</f>
        <v/>
      </c>
      <c r="AF233" s="9" t="str">
        <f>IF(SUMIFS(Sheet1!$E:$E,Sheet1!$C:$C,$A233,Sheet1!$A:$A,AF$2)&lt;&gt;0,SUMIFS(Sheet1!$E:$E,Sheet1!$C:$C,$A233,Sheet1!$A:$A,AF$2),"")</f>
        <v/>
      </c>
      <c r="AG233" s="9" t="str">
        <f>IF(SUMIFS(Sheet1!$E:$E,Sheet1!$C:$C,$A233,Sheet1!$A:$A,AG$2)&lt;&gt;0,SUMIFS(Sheet1!$E:$E,Sheet1!$C:$C,$A233,Sheet1!$A:$A,AG$2),"")</f>
        <v/>
      </c>
      <c r="AH233" s="47">
        <f>SUM(Table24[[#This Row],[1]:[31]])</f>
        <v>52</v>
      </c>
    </row>
    <row r="234" spans="1:34" ht="12.75" customHeight="1">
      <c r="A234" s="24" t="str">
        <f>DSSP!A233</f>
        <v>GC158</v>
      </c>
      <c r="B234" s="25" t="str">
        <f>DSSP!B233</f>
        <v>Sao 1 mặt có vân</v>
      </c>
      <c r="C234" s="9">
        <f>IF(SUMIFS(Sheet1!$E:$E,Sheet1!$C:$C,$A234,Sheet1!$A:$A,C$2)&lt;&gt;0,SUMIFS(Sheet1!$E:$E,Sheet1!$C:$C,$A234,Sheet1!$A:$A,C$2),"")</f>
        <v>3</v>
      </c>
      <c r="D234" s="9" t="str">
        <f>IF(SUMIFS(Sheet1!$E:$E,Sheet1!$C:$C,$A234,Sheet1!$A:$A,D$2)&lt;&gt;0,SUMIFS(Sheet1!$E:$E,Sheet1!$C:$C,$A234,Sheet1!$A:$A,D$2),"")</f>
        <v/>
      </c>
      <c r="E234" s="9" t="str">
        <f>IF(SUMIFS(Sheet1!$E:$E,Sheet1!$C:$C,$A234,Sheet1!$A:$A,E$2)&lt;&gt;0,SUMIFS(Sheet1!$E:$E,Sheet1!$C:$C,$A234,Sheet1!$A:$A,E$2),"")</f>
        <v/>
      </c>
      <c r="F234" s="9" t="str">
        <f>IF(SUMIFS(Sheet1!$E:$E,Sheet1!$C:$C,$A234,Sheet1!$A:$A,F$2)&lt;&gt;0,SUMIFS(Sheet1!$E:$E,Sheet1!$C:$C,$A234,Sheet1!$A:$A,F$2),"")</f>
        <v/>
      </c>
      <c r="G234" s="9" t="str">
        <f>IF(SUMIFS(Sheet1!$E:$E,Sheet1!$C:$C,$A234,Sheet1!$A:$A,G$2)&lt;&gt;0,SUMIFS(Sheet1!$E:$E,Sheet1!$C:$C,$A234,Sheet1!$A:$A,G$2),"")</f>
        <v/>
      </c>
      <c r="H234" s="9" t="str">
        <f>IF(SUMIFS(Sheet1!$E:$E,Sheet1!$C:$C,$A234,Sheet1!$A:$A,H$2)&lt;&gt;0,SUMIFS(Sheet1!$E:$E,Sheet1!$C:$C,$A234,Sheet1!$A:$A,H$2),"")</f>
        <v/>
      </c>
      <c r="I234" s="9" t="str">
        <f>IF(SUMIFS(Sheet1!$E:$E,Sheet1!$C:$C,$A234,Sheet1!$A:$A,I$2)&lt;&gt;0,SUMIFS(Sheet1!$E:$E,Sheet1!$C:$C,$A234,Sheet1!$A:$A,I$2),"")</f>
        <v/>
      </c>
      <c r="J234" s="9" t="str">
        <f>IF(SUMIFS(Sheet1!$E:$E,Sheet1!$C:$C,$A234,Sheet1!$A:$A,J$2)&lt;&gt;0,SUMIFS(Sheet1!$E:$E,Sheet1!$C:$C,$A234,Sheet1!$A:$A,J$2),"")</f>
        <v/>
      </c>
      <c r="K234" s="9" t="str">
        <f>IF(SUMIFS(Sheet1!$E:$E,Sheet1!$C:$C,$A234,Sheet1!$A:$A,K$2)&lt;&gt;0,SUMIFS(Sheet1!$E:$E,Sheet1!$C:$C,$A234,Sheet1!$A:$A,K$2),"")</f>
        <v/>
      </c>
      <c r="L234" s="9" t="str">
        <f>IF(SUMIFS(Sheet1!$E:$E,Sheet1!$C:$C,$A234,Sheet1!$A:$A,L$2)&lt;&gt;0,SUMIFS(Sheet1!$E:$E,Sheet1!$C:$C,$A234,Sheet1!$A:$A,L$2),"")</f>
        <v/>
      </c>
      <c r="M234" s="9" t="str">
        <f>IF(SUMIFS(Sheet1!$E:$E,Sheet1!$C:$C,$A234,Sheet1!$A:$A,M$2)&lt;&gt;0,SUMIFS(Sheet1!$E:$E,Sheet1!$C:$C,$A234,Sheet1!$A:$A,M$2),"")</f>
        <v/>
      </c>
      <c r="N234" s="9" t="str">
        <f>IF(SUMIFS(Sheet1!$E:$E,Sheet1!$C:$C,$A234,Sheet1!$A:$A,N$2)&lt;&gt;0,SUMIFS(Sheet1!$E:$E,Sheet1!$C:$C,$A234,Sheet1!$A:$A,N$2),"")</f>
        <v/>
      </c>
      <c r="O234" s="9" t="str">
        <f>IF(SUMIFS(Sheet1!$E:$E,Sheet1!$C:$C,$A234,Sheet1!$A:$A,O$2)&lt;&gt;0,SUMIFS(Sheet1!$E:$E,Sheet1!$C:$C,$A234,Sheet1!$A:$A,O$2),"")</f>
        <v/>
      </c>
      <c r="P234" s="9" t="str">
        <f>IF(SUMIFS(Sheet1!$E:$E,Sheet1!$C:$C,$A234,Sheet1!$A:$A,P$2)&lt;&gt;0,SUMIFS(Sheet1!$E:$E,Sheet1!$C:$C,$A234,Sheet1!$A:$A,P$2),"")</f>
        <v/>
      </c>
      <c r="Q234" s="9" t="str">
        <f>IF(SUMIFS(Sheet1!$E:$E,Sheet1!$C:$C,$A234,Sheet1!$A:$A,Q$2)&lt;&gt;0,SUMIFS(Sheet1!$E:$E,Sheet1!$C:$C,$A234,Sheet1!$A:$A,Q$2),"")</f>
        <v/>
      </c>
      <c r="R234" s="9" t="str">
        <f>IF(SUMIFS(Sheet1!$E:$E,Sheet1!$C:$C,$A234,Sheet1!$A:$A,R$2)&lt;&gt;0,SUMIFS(Sheet1!$E:$E,Sheet1!$C:$C,$A234,Sheet1!$A:$A,R$2),"")</f>
        <v/>
      </c>
      <c r="S234" s="9" t="str">
        <f>IF(SUMIFS(Sheet1!$E:$E,Sheet1!$C:$C,$A234,Sheet1!$A:$A,S$2)&lt;&gt;0,SUMIFS(Sheet1!$E:$E,Sheet1!$C:$C,$A234,Sheet1!$A:$A,S$2),"")</f>
        <v/>
      </c>
      <c r="T234" s="9" t="str">
        <f>IF(SUMIFS(Sheet1!$E:$E,Sheet1!$C:$C,$A234,Sheet1!$A:$A,T$2)&lt;&gt;0,SUMIFS(Sheet1!$E:$E,Sheet1!$C:$C,$A234,Sheet1!$A:$A,T$2),"")</f>
        <v/>
      </c>
      <c r="U234" s="9" t="str">
        <f>IF(SUMIFS(Sheet1!$E:$E,Sheet1!$C:$C,$A234,Sheet1!$A:$A,U$2)&lt;&gt;0,SUMIFS(Sheet1!$E:$E,Sheet1!$C:$C,$A234,Sheet1!$A:$A,U$2),"")</f>
        <v/>
      </c>
      <c r="V234" s="9" t="str">
        <f>IF(SUMIFS(Sheet1!$E:$E,Sheet1!$C:$C,$A234,Sheet1!$A:$A,V$2)&lt;&gt;0,SUMIFS(Sheet1!$E:$E,Sheet1!$C:$C,$A234,Sheet1!$A:$A,V$2),"")</f>
        <v/>
      </c>
      <c r="W234" s="9" t="str">
        <f>IF(SUMIFS(Sheet1!$E:$E,Sheet1!$C:$C,$A234,Sheet1!$A:$A,W$2)&lt;&gt;0,SUMIFS(Sheet1!$E:$E,Sheet1!$C:$C,$A234,Sheet1!$A:$A,W$2),"")</f>
        <v/>
      </c>
      <c r="X234" s="9" t="str">
        <f>IF(SUMIFS(Sheet1!$E:$E,Sheet1!$C:$C,$A234,Sheet1!$A:$A,X$2)&lt;&gt;0,SUMIFS(Sheet1!$E:$E,Sheet1!$C:$C,$A234,Sheet1!$A:$A,X$2),"")</f>
        <v/>
      </c>
      <c r="Y234" s="9" t="str">
        <f>IF(SUMIFS(Sheet1!$E:$E,Sheet1!$C:$C,$A234,Sheet1!$A:$A,Y$2)&lt;&gt;0,SUMIFS(Sheet1!$E:$E,Sheet1!$C:$C,$A234,Sheet1!$A:$A,Y$2),"")</f>
        <v/>
      </c>
      <c r="Z234" s="9" t="str">
        <f>IF(SUMIFS(Sheet1!$E:$E,Sheet1!$C:$C,$A234,Sheet1!$A:$A,Z$2)&lt;&gt;0,SUMIFS(Sheet1!$E:$E,Sheet1!$C:$C,$A234,Sheet1!$A:$A,Z$2),"")</f>
        <v/>
      </c>
      <c r="AA234" s="9" t="str">
        <f>IF(SUMIFS(Sheet1!$E:$E,Sheet1!$C:$C,$A234,Sheet1!$A:$A,AA$2)&lt;&gt;0,SUMIFS(Sheet1!$E:$E,Sheet1!$C:$C,$A234,Sheet1!$A:$A,AA$2),"")</f>
        <v/>
      </c>
      <c r="AB234" s="9" t="str">
        <f>IF(SUMIFS(Sheet1!$E:$E,Sheet1!$C:$C,$A234,Sheet1!$A:$A,AB$2)&lt;&gt;0,SUMIFS(Sheet1!$E:$E,Sheet1!$C:$C,$A234,Sheet1!$A:$A,AB$2),"")</f>
        <v/>
      </c>
      <c r="AC234" s="9" t="str">
        <f>IF(SUMIFS(Sheet1!$E:$E,Sheet1!$C:$C,$A234,Sheet1!$A:$A,AC$2)&lt;&gt;0,SUMIFS(Sheet1!$E:$E,Sheet1!$C:$C,$A234,Sheet1!$A:$A,AC$2),"")</f>
        <v/>
      </c>
      <c r="AD234" s="9" t="str">
        <f>IF(SUMIFS(Sheet1!$E:$E,Sheet1!$C:$C,$A234,Sheet1!$A:$A,AD$2)&lt;&gt;0,SUMIFS(Sheet1!$E:$E,Sheet1!$C:$C,$A234,Sheet1!$A:$A,AD$2),"")</f>
        <v/>
      </c>
      <c r="AE234" s="9" t="str">
        <f>IF(SUMIFS(Sheet1!$E:$E,Sheet1!$C:$C,$A234,Sheet1!$A:$A,AE$2)&lt;&gt;0,SUMIFS(Sheet1!$E:$E,Sheet1!$C:$C,$A234,Sheet1!$A:$A,AE$2),"")</f>
        <v/>
      </c>
      <c r="AF234" s="9" t="str">
        <f>IF(SUMIFS(Sheet1!$E:$E,Sheet1!$C:$C,$A234,Sheet1!$A:$A,AF$2)&lt;&gt;0,SUMIFS(Sheet1!$E:$E,Sheet1!$C:$C,$A234,Sheet1!$A:$A,AF$2),"")</f>
        <v/>
      </c>
      <c r="AG234" s="9" t="str">
        <f>IF(SUMIFS(Sheet1!$E:$E,Sheet1!$C:$C,$A234,Sheet1!$A:$A,AG$2)&lt;&gt;0,SUMIFS(Sheet1!$E:$E,Sheet1!$C:$C,$A234,Sheet1!$A:$A,AG$2),"")</f>
        <v/>
      </c>
      <c r="AH234" s="47">
        <f>SUM(Table24[[#This Row],[1]:[31]])</f>
        <v>3</v>
      </c>
    </row>
    <row r="235" spans="1:34" ht="12.75" customHeight="1">
      <c r="A235" s="24" t="str">
        <f>DSSP!A234</f>
        <v>GC159</v>
      </c>
      <c r="B235" s="25" t="str">
        <f>DSSP!B234</f>
        <v>Trái tim Thank u nhỏ</v>
      </c>
      <c r="C235" s="9">
        <f>IF(SUMIFS(Sheet1!$E:$E,Sheet1!$C:$C,$A235,Sheet1!$A:$A,C$2)&lt;&gt;0,SUMIFS(Sheet1!$E:$E,Sheet1!$C:$C,$A235,Sheet1!$A:$A,C$2),"")</f>
        <v>2</v>
      </c>
      <c r="D235" s="9" t="str">
        <f>IF(SUMIFS(Sheet1!$E:$E,Sheet1!$C:$C,$A235,Sheet1!$A:$A,D$2)&lt;&gt;0,SUMIFS(Sheet1!$E:$E,Sheet1!$C:$C,$A235,Sheet1!$A:$A,D$2),"")</f>
        <v/>
      </c>
      <c r="E235" s="9" t="str">
        <f>IF(SUMIFS(Sheet1!$E:$E,Sheet1!$C:$C,$A235,Sheet1!$A:$A,E$2)&lt;&gt;0,SUMIFS(Sheet1!$E:$E,Sheet1!$C:$C,$A235,Sheet1!$A:$A,E$2),"")</f>
        <v/>
      </c>
      <c r="F235" s="9" t="str">
        <f>IF(SUMIFS(Sheet1!$E:$E,Sheet1!$C:$C,$A235,Sheet1!$A:$A,F$2)&lt;&gt;0,SUMIFS(Sheet1!$E:$E,Sheet1!$C:$C,$A235,Sheet1!$A:$A,F$2),"")</f>
        <v/>
      </c>
      <c r="G235" s="9" t="str">
        <f>IF(SUMIFS(Sheet1!$E:$E,Sheet1!$C:$C,$A235,Sheet1!$A:$A,G$2)&lt;&gt;0,SUMIFS(Sheet1!$E:$E,Sheet1!$C:$C,$A235,Sheet1!$A:$A,G$2),"")</f>
        <v/>
      </c>
      <c r="H235" s="9" t="str">
        <f>IF(SUMIFS(Sheet1!$E:$E,Sheet1!$C:$C,$A235,Sheet1!$A:$A,H$2)&lt;&gt;0,SUMIFS(Sheet1!$E:$E,Sheet1!$C:$C,$A235,Sheet1!$A:$A,H$2),"")</f>
        <v/>
      </c>
      <c r="I235" s="9" t="str">
        <f>IF(SUMIFS(Sheet1!$E:$E,Sheet1!$C:$C,$A235,Sheet1!$A:$A,I$2)&lt;&gt;0,SUMIFS(Sheet1!$E:$E,Sheet1!$C:$C,$A235,Sheet1!$A:$A,I$2),"")</f>
        <v/>
      </c>
      <c r="J235" s="9" t="str">
        <f>IF(SUMIFS(Sheet1!$E:$E,Sheet1!$C:$C,$A235,Sheet1!$A:$A,J$2)&lt;&gt;0,SUMIFS(Sheet1!$E:$E,Sheet1!$C:$C,$A235,Sheet1!$A:$A,J$2),"")</f>
        <v/>
      </c>
      <c r="K235" s="9" t="str">
        <f>IF(SUMIFS(Sheet1!$E:$E,Sheet1!$C:$C,$A235,Sheet1!$A:$A,K$2)&lt;&gt;0,SUMIFS(Sheet1!$E:$E,Sheet1!$C:$C,$A235,Sheet1!$A:$A,K$2),"")</f>
        <v/>
      </c>
      <c r="L235" s="9" t="str">
        <f>IF(SUMIFS(Sheet1!$E:$E,Sheet1!$C:$C,$A235,Sheet1!$A:$A,L$2)&lt;&gt;0,SUMIFS(Sheet1!$E:$E,Sheet1!$C:$C,$A235,Sheet1!$A:$A,L$2),"")</f>
        <v/>
      </c>
      <c r="M235" s="9" t="str">
        <f>IF(SUMIFS(Sheet1!$E:$E,Sheet1!$C:$C,$A235,Sheet1!$A:$A,M$2)&lt;&gt;0,SUMIFS(Sheet1!$E:$E,Sheet1!$C:$C,$A235,Sheet1!$A:$A,M$2),"")</f>
        <v/>
      </c>
      <c r="N235" s="9" t="str">
        <f>IF(SUMIFS(Sheet1!$E:$E,Sheet1!$C:$C,$A235,Sheet1!$A:$A,N$2)&lt;&gt;0,SUMIFS(Sheet1!$E:$E,Sheet1!$C:$C,$A235,Sheet1!$A:$A,N$2),"")</f>
        <v/>
      </c>
      <c r="O235" s="9" t="str">
        <f>IF(SUMIFS(Sheet1!$E:$E,Sheet1!$C:$C,$A235,Sheet1!$A:$A,O$2)&lt;&gt;0,SUMIFS(Sheet1!$E:$E,Sheet1!$C:$C,$A235,Sheet1!$A:$A,O$2),"")</f>
        <v/>
      </c>
      <c r="P235" s="9" t="str">
        <f>IF(SUMIFS(Sheet1!$E:$E,Sheet1!$C:$C,$A235,Sheet1!$A:$A,P$2)&lt;&gt;0,SUMIFS(Sheet1!$E:$E,Sheet1!$C:$C,$A235,Sheet1!$A:$A,P$2),"")</f>
        <v/>
      </c>
      <c r="Q235" s="9" t="str">
        <f>IF(SUMIFS(Sheet1!$E:$E,Sheet1!$C:$C,$A235,Sheet1!$A:$A,Q$2)&lt;&gt;0,SUMIFS(Sheet1!$E:$E,Sheet1!$C:$C,$A235,Sheet1!$A:$A,Q$2),"")</f>
        <v/>
      </c>
      <c r="R235" s="9" t="str">
        <f>IF(SUMIFS(Sheet1!$E:$E,Sheet1!$C:$C,$A235,Sheet1!$A:$A,R$2)&lt;&gt;0,SUMIFS(Sheet1!$E:$E,Sheet1!$C:$C,$A235,Sheet1!$A:$A,R$2),"")</f>
        <v/>
      </c>
      <c r="S235" s="9" t="str">
        <f>IF(SUMIFS(Sheet1!$E:$E,Sheet1!$C:$C,$A235,Sheet1!$A:$A,S$2)&lt;&gt;0,SUMIFS(Sheet1!$E:$E,Sheet1!$C:$C,$A235,Sheet1!$A:$A,S$2),"")</f>
        <v/>
      </c>
      <c r="T235" s="9" t="str">
        <f>IF(SUMIFS(Sheet1!$E:$E,Sheet1!$C:$C,$A235,Sheet1!$A:$A,T$2)&lt;&gt;0,SUMIFS(Sheet1!$E:$E,Sheet1!$C:$C,$A235,Sheet1!$A:$A,T$2),"")</f>
        <v/>
      </c>
      <c r="U235" s="9" t="str">
        <f>IF(SUMIFS(Sheet1!$E:$E,Sheet1!$C:$C,$A235,Sheet1!$A:$A,U$2)&lt;&gt;0,SUMIFS(Sheet1!$E:$E,Sheet1!$C:$C,$A235,Sheet1!$A:$A,U$2),"")</f>
        <v/>
      </c>
      <c r="V235" s="9" t="str">
        <f>IF(SUMIFS(Sheet1!$E:$E,Sheet1!$C:$C,$A235,Sheet1!$A:$A,V$2)&lt;&gt;0,SUMIFS(Sheet1!$E:$E,Sheet1!$C:$C,$A235,Sheet1!$A:$A,V$2),"")</f>
        <v/>
      </c>
      <c r="W235" s="9" t="str">
        <f>IF(SUMIFS(Sheet1!$E:$E,Sheet1!$C:$C,$A235,Sheet1!$A:$A,W$2)&lt;&gt;0,SUMIFS(Sheet1!$E:$E,Sheet1!$C:$C,$A235,Sheet1!$A:$A,W$2),"")</f>
        <v/>
      </c>
      <c r="X235" s="9" t="str">
        <f>IF(SUMIFS(Sheet1!$E:$E,Sheet1!$C:$C,$A235,Sheet1!$A:$A,X$2)&lt;&gt;0,SUMIFS(Sheet1!$E:$E,Sheet1!$C:$C,$A235,Sheet1!$A:$A,X$2),"")</f>
        <v/>
      </c>
      <c r="Y235" s="9" t="str">
        <f>IF(SUMIFS(Sheet1!$E:$E,Sheet1!$C:$C,$A235,Sheet1!$A:$A,Y$2)&lt;&gt;0,SUMIFS(Sheet1!$E:$E,Sheet1!$C:$C,$A235,Sheet1!$A:$A,Y$2),"")</f>
        <v/>
      </c>
      <c r="Z235" s="9" t="str">
        <f>IF(SUMIFS(Sheet1!$E:$E,Sheet1!$C:$C,$A235,Sheet1!$A:$A,Z$2)&lt;&gt;0,SUMIFS(Sheet1!$E:$E,Sheet1!$C:$C,$A235,Sheet1!$A:$A,Z$2),"")</f>
        <v/>
      </c>
      <c r="AA235" s="9" t="str">
        <f>IF(SUMIFS(Sheet1!$E:$E,Sheet1!$C:$C,$A235,Sheet1!$A:$A,AA$2)&lt;&gt;0,SUMIFS(Sheet1!$E:$E,Sheet1!$C:$C,$A235,Sheet1!$A:$A,AA$2),"")</f>
        <v/>
      </c>
      <c r="AB235" s="9" t="str">
        <f>IF(SUMIFS(Sheet1!$E:$E,Sheet1!$C:$C,$A235,Sheet1!$A:$A,AB$2)&lt;&gt;0,SUMIFS(Sheet1!$E:$E,Sheet1!$C:$C,$A235,Sheet1!$A:$A,AB$2),"")</f>
        <v/>
      </c>
      <c r="AC235" s="9" t="str">
        <f>IF(SUMIFS(Sheet1!$E:$E,Sheet1!$C:$C,$A235,Sheet1!$A:$A,AC$2)&lt;&gt;0,SUMIFS(Sheet1!$E:$E,Sheet1!$C:$C,$A235,Sheet1!$A:$A,AC$2),"")</f>
        <v/>
      </c>
      <c r="AD235" s="9" t="str">
        <f>IF(SUMIFS(Sheet1!$E:$E,Sheet1!$C:$C,$A235,Sheet1!$A:$A,AD$2)&lt;&gt;0,SUMIFS(Sheet1!$E:$E,Sheet1!$C:$C,$A235,Sheet1!$A:$A,AD$2),"")</f>
        <v/>
      </c>
      <c r="AE235" s="9" t="str">
        <f>IF(SUMIFS(Sheet1!$E:$E,Sheet1!$C:$C,$A235,Sheet1!$A:$A,AE$2)&lt;&gt;0,SUMIFS(Sheet1!$E:$E,Sheet1!$C:$C,$A235,Sheet1!$A:$A,AE$2),"")</f>
        <v/>
      </c>
      <c r="AF235" s="9" t="str">
        <f>IF(SUMIFS(Sheet1!$E:$E,Sheet1!$C:$C,$A235,Sheet1!$A:$A,AF$2)&lt;&gt;0,SUMIFS(Sheet1!$E:$E,Sheet1!$C:$C,$A235,Sheet1!$A:$A,AF$2),"")</f>
        <v/>
      </c>
      <c r="AG235" s="9" t="str">
        <f>IF(SUMIFS(Sheet1!$E:$E,Sheet1!$C:$C,$A235,Sheet1!$A:$A,AG$2)&lt;&gt;0,SUMIFS(Sheet1!$E:$E,Sheet1!$C:$C,$A235,Sheet1!$A:$A,AG$2),"")</f>
        <v/>
      </c>
      <c r="AH235" s="47">
        <f>SUM(Table24[[#This Row],[1]:[31]])</f>
        <v>2</v>
      </c>
    </row>
    <row r="236" spans="1:34" ht="12.75" customHeight="1">
      <c r="A236" s="24" t="str">
        <f>DSSP!A235</f>
        <v>GC160</v>
      </c>
      <c r="B236" s="25" t="str">
        <f>DSSP!B235</f>
        <v>Ovan made with love</v>
      </c>
      <c r="C236" s="9">
        <f>IF(SUMIFS(Sheet1!$E:$E,Sheet1!$C:$C,$A236,Sheet1!$A:$A,C$2)&lt;&gt;0,SUMIFS(Sheet1!$E:$E,Sheet1!$C:$C,$A236,Sheet1!$A:$A,C$2),"")</f>
        <v>1</v>
      </c>
      <c r="D236" s="9" t="str">
        <f>IF(SUMIFS(Sheet1!$E:$E,Sheet1!$C:$C,$A236,Sheet1!$A:$A,D$2)&lt;&gt;0,SUMIFS(Sheet1!$E:$E,Sheet1!$C:$C,$A236,Sheet1!$A:$A,D$2),"")</f>
        <v/>
      </c>
      <c r="E236" s="9" t="str">
        <f>IF(SUMIFS(Sheet1!$E:$E,Sheet1!$C:$C,$A236,Sheet1!$A:$A,E$2)&lt;&gt;0,SUMIFS(Sheet1!$E:$E,Sheet1!$C:$C,$A236,Sheet1!$A:$A,E$2),"")</f>
        <v/>
      </c>
      <c r="F236" s="9" t="str">
        <f>IF(SUMIFS(Sheet1!$E:$E,Sheet1!$C:$C,$A236,Sheet1!$A:$A,F$2)&lt;&gt;0,SUMIFS(Sheet1!$E:$E,Sheet1!$C:$C,$A236,Sheet1!$A:$A,F$2),"")</f>
        <v/>
      </c>
      <c r="G236" s="9" t="str">
        <f>IF(SUMIFS(Sheet1!$E:$E,Sheet1!$C:$C,$A236,Sheet1!$A:$A,G$2)&lt;&gt;0,SUMIFS(Sheet1!$E:$E,Sheet1!$C:$C,$A236,Sheet1!$A:$A,G$2),"")</f>
        <v/>
      </c>
      <c r="H236" s="9" t="str">
        <f>IF(SUMIFS(Sheet1!$E:$E,Sheet1!$C:$C,$A236,Sheet1!$A:$A,H$2)&lt;&gt;0,SUMIFS(Sheet1!$E:$E,Sheet1!$C:$C,$A236,Sheet1!$A:$A,H$2),"")</f>
        <v/>
      </c>
      <c r="I236" s="9" t="str">
        <f>IF(SUMIFS(Sheet1!$E:$E,Sheet1!$C:$C,$A236,Sheet1!$A:$A,I$2)&lt;&gt;0,SUMIFS(Sheet1!$E:$E,Sheet1!$C:$C,$A236,Sheet1!$A:$A,I$2),"")</f>
        <v/>
      </c>
      <c r="J236" s="9" t="str">
        <f>IF(SUMIFS(Sheet1!$E:$E,Sheet1!$C:$C,$A236,Sheet1!$A:$A,J$2)&lt;&gt;0,SUMIFS(Sheet1!$E:$E,Sheet1!$C:$C,$A236,Sheet1!$A:$A,J$2),"")</f>
        <v/>
      </c>
      <c r="K236" s="9" t="str">
        <f>IF(SUMIFS(Sheet1!$E:$E,Sheet1!$C:$C,$A236,Sheet1!$A:$A,K$2)&lt;&gt;0,SUMIFS(Sheet1!$E:$E,Sheet1!$C:$C,$A236,Sheet1!$A:$A,K$2),"")</f>
        <v/>
      </c>
      <c r="L236" s="9" t="str">
        <f>IF(SUMIFS(Sheet1!$E:$E,Sheet1!$C:$C,$A236,Sheet1!$A:$A,L$2)&lt;&gt;0,SUMIFS(Sheet1!$E:$E,Sheet1!$C:$C,$A236,Sheet1!$A:$A,L$2),"")</f>
        <v/>
      </c>
      <c r="M236" s="9" t="str">
        <f>IF(SUMIFS(Sheet1!$E:$E,Sheet1!$C:$C,$A236,Sheet1!$A:$A,M$2)&lt;&gt;0,SUMIFS(Sheet1!$E:$E,Sheet1!$C:$C,$A236,Sheet1!$A:$A,M$2),"")</f>
        <v/>
      </c>
      <c r="N236" s="9" t="str">
        <f>IF(SUMIFS(Sheet1!$E:$E,Sheet1!$C:$C,$A236,Sheet1!$A:$A,N$2)&lt;&gt;0,SUMIFS(Sheet1!$E:$E,Sheet1!$C:$C,$A236,Sheet1!$A:$A,N$2),"")</f>
        <v/>
      </c>
      <c r="O236" s="9" t="str">
        <f>IF(SUMIFS(Sheet1!$E:$E,Sheet1!$C:$C,$A236,Sheet1!$A:$A,O$2)&lt;&gt;0,SUMIFS(Sheet1!$E:$E,Sheet1!$C:$C,$A236,Sheet1!$A:$A,O$2),"")</f>
        <v/>
      </c>
      <c r="P236" s="9" t="str">
        <f>IF(SUMIFS(Sheet1!$E:$E,Sheet1!$C:$C,$A236,Sheet1!$A:$A,P$2)&lt;&gt;0,SUMIFS(Sheet1!$E:$E,Sheet1!$C:$C,$A236,Sheet1!$A:$A,P$2),"")</f>
        <v/>
      </c>
      <c r="Q236" s="9" t="str">
        <f>IF(SUMIFS(Sheet1!$E:$E,Sheet1!$C:$C,$A236,Sheet1!$A:$A,Q$2)&lt;&gt;0,SUMIFS(Sheet1!$E:$E,Sheet1!$C:$C,$A236,Sheet1!$A:$A,Q$2),"")</f>
        <v/>
      </c>
      <c r="R236" s="9" t="str">
        <f>IF(SUMIFS(Sheet1!$E:$E,Sheet1!$C:$C,$A236,Sheet1!$A:$A,R$2)&lt;&gt;0,SUMIFS(Sheet1!$E:$E,Sheet1!$C:$C,$A236,Sheet1!$A:$A,R$2),"")</f>
        <v/>
      </c>
      <c r="S236" s="9" t="str">
        <f>IF(SUMIFS(Sheet1!$E:$E,Sheet1!$C:$C,$A236,Sheet1!$A:$A,S$2)&lt;&gt;0,SUMIFS(Sheet1!$E:$E,Sheet1!$C:$C,$A236,Sheet1!$A:$A,S$2),"")</f>
        <v/>
      </c>
      <c r="T236" s="9" t="str">
        <f>IF(SUMIFS(Sheet1!$E:$E,Sheet1!$C:$C,$A236,Sheet1!$A:$A,T$2)&lt;&gt;0,SUMIFS(Sheet1!$E:$E,Sheet1!$C:$C,$A236,Sheet1!$A:$A,T$2),"")</f>
        <v/>
      </c>
      <c r="U236" s="9" t="str">
        <f>IF(SUMIFS(Sheet1!$E:$E,Sheet1!$C:$C,$A236,Sheet1!$A:$A,U$2)&lt;&gt;0,SUMIFS(Sheet1!$E:$E,Sheet1!$C:$C,$A236,Sheet1!$A:$A,U$2),"")</f>
        <v/>
      </c>
      <c r="V236" s="9" t="str">
        <f>IF(SUMIFS(Sheet1!$E:$E,Sheet1!$C:$C,$A236,Sheet1!$A:$A,V$2)&lt;&gt;0,SUMIFS(Sheet1!$E:$E,Sheet1!$C:$C,$A236,Sheet1!$A:$A,V$2),"")</f>
        <v/>
      </c>
      <c r="W236" s="9" t="str">
        <f>IF(SUMIFS(Sheet1!$E:$E,Sheet1!$C:$C,$A236,Sheet1!$A:$A,W$2)&lt;&gt;0,SUMIFS(Sheet1!$E:$E,Sheet1!$C:$C,$A236,Sheet1!$A:$A,W$2),"")</f>
        <v/>
      </c>
      <c r="X236" s="9" t="str">
        <f>IF(SUMIFS(Sheet1!$E:$E,Sheet1!$C:$C,$A236,Sheet1!$A:$A,X$2)&lt;&gt;0,SUMIFS(Sheet1!$E:$E,Sheet1!$C:$C,$A236,Sheet1!$A:$A,X$2),"")</f>
        <v/>
      </c>
      <c r="Y236" s="9" t="str">
        <f>IF(SUMIFS(Sheet1!$E:$E,Sheet1!$C:$C,$A236,Sheet1!$A:$A,Y$2)&lt;&gt;0,SUMIFS(Sheet1!$E:$E,Sheet1!$C:$C,$A236,Sheet1!$A:$A,Y$2),"")</f>
        <v/>
      </c>
      <c r="Z236" s="9" t="str">
        <f>IF(SUMIFS(Sheet1!$E:$E,Sheet1!$C:$C,$A236,Sheet1!$A:$A,Z$2)&lt;&gt;0,SUMIFS(Sheet1!$E:$E,Sheet1!$C:$C,$A236,Sheet1!$A:$A,Z$2),"")</f>
        <v/>
      </c>
      <c r="AA236" s="9" t="str">
        <f>IF(SUMIFS(Sheet1!$E:$E,Sheet1!$C:$C,$A236,Sheet1!$A:$A,AA$2)&lt;&gt;0,SUMIFS(Sheet1!$E:$E,Sheet1!$C:$C,$A236,Sheet1!$A:$A,AA$2),"")</f>
        <v/>
      </c>
      <c r="AB236" s="9" t="str">
        <f>IF(SUMIFS(Sheet1!$E:$E,Sheet1!$C:$C,$A236,Sheet1!$A:$A,AB$2)&lt;&gt;0,SUMIFS(Sheet1!$E:$E,Sheet1!$C:$C,$A236,Sheet1!$A:$A,AB$2),"")</f>
        <v/>
      </c>
      <c r="AC236" s="9" t="str">
        <f>IF(SUMIFS(Sheet1!$E:$E,Sheet1!$C:$C,$A236,Sheet1!$A:$A,AC$2)&lt;&gt;0,SUMIFS(Sheet1!$E:$E,Sheet1!$C:$C,$A236,Sheet1!$A:$A,AC$2),"")</f>
        <v/>
      </c>
      <c r="AD236" s="9" t="str">
        <f>IF(SUMIFS(Sheet1!$E:$E,Sheet1!$C:$C,$A236,Sheet1!$A:$A,AD$2)&lt;&gt;0,SUMIFS(Sheet1!$E:$E,Sheet1!$C:$C,$A236,Sheet1!$A:$A,AD$2),"")</f>
        <v/>
      </c>
      <c r="AE236" s="9" t="str">
        <f>IF(SUMIFS(Sheet1!$E:$E,Sheet1!$C:$C,$A236,Sheet1!$A:$A,AE$2)&lt;&gt;0,SUMIFS(Sheet1!$E:$E,Sheet1!$C:$C,$A236,Sheet1!$A:$A,AE$2),"")</f>
        <v/>
      </c>
      <c r="AF236" s="9" t="str">
        <f>IF(SUMIFS(Sheet1!$E:$E,Sheet1!$C:$C,$A236,Sheet1!$A:$A,AF$2)&lt;&gt;0,SUMIFS(Sheet1!$E:$E,Sheet1!$C:$C,$A236,Sheet1!$A:$A,AF$2),"")</f>
        <v/>
      </c>
      <c r="AG236" s="9" t="str">
        <f>IF(SUMIFS(Sheet1!$E:$E,Sheet1!$C:$C,$A236,Sheet1!$A:$A,AG$2)&lt;&gt;0,SUMIFS(Sheet1!$E:$E,Sheet1!$C:$C,$A236,Sheet1!$A:$A,AG$2),"")</f>
        <v/>
      </c>
      <c r="AH236" s="47">
        <f>SUM(Table24[[#This Row],[1]:[31]])</f>
        <v>1</v>
      </c>
    </row>
    <row r="237" spans="1:34" ht="12.75" customHeight="1">
      <c r="A237" s="24" t="str">
        <f>DSSP!A236</f>
        <v>GC161</v>
      </c>
      <c r="B237" s="25" t="str">
        <f>DSSP!B236</f>
        <v>Sao mặt cười nhỏ</v>
      </c>
      <c r="C237" s="9" t="str">
        <f>IF(SUMIFS(Sheet1!$E:$E,Sheet1!$C:$C,$A237,Sheet1!$A:$A,C$2)&lt;&gt;0,SUMIFS(Sheet1!$E:$E,Sheet1!$C:$C,$A237,Sheet1!$A:$A,C$2),"")</f>
        <v/>
      </c>
      <c r="D237" s="9" t="str">
        <f>IF(SUMIFS(Sheet1!$E:$E,Sheet1!$C:$C,$A237,Sheet1!$A:$A,D$2)&lt;&gt;0,SUMIFS(Sheet1!$E:$E,Sheet1!$C:$C,$A237,Sheet1!$A:$A,D$2),"")</f>
        <v/>
      </c>
      <c r="E237" s="9" t="str">
        <f>IF(SUMIFS(Sheet1!$E:$E,Sheet1!$C:$C,$A237,Sheet1!$A:$A,E$2)&lt;&gt;0,SUMIFS(Sheet1!$E:$E,Sheet1!$C:$C,$A237,Sheet1!$A:$A,E$2),"")</f>
        <v/>
      </c>
      <c r="F237" s="9" t="str">
        <f>IF(SUMIFS(Sheet1!$E:$E,Sheet1!$C:$C,$A237,Sheet1!$A:$A,F$2)&lt;&gt;0,SUMIFS(Sheet1!$E:$E,Sheet1!$C:$C,$A237,Sheet1!$A:$A,F$2),"")</f>
        <v/>
      </c>
      <c r="G237" s="9" t="str">
        <f>IF(SUMIFS(Sheet1!$E:$E,Sheet1!$C:$C,$A237,Sheet1!$A:$A,G$2)&lt;&gt;0,SUMIFS(Sheet1!$E:$E,Sheet1!$C:$C,$A237,Sheet1!$A:$A,G$2),"")</f>
        <v/>
      </c>
      <c r="H237" s="9" t="str">
        <f>IF(SUMIFS(Sheet1!$E:$E,Sheet1!$C:$C,$A237,Sheet1!$A:$A,H$2)&lt;&gt;0,SUMIFS(Sheet1!$E:$E,Sheet1!$C:$C,$A237,Sheet1!$A:$A,H$2),"")</f>
        <v/>
      </c>
      <c r="I237" s="9" t="str">
        <f>IF(SUMIFS(Sheet1!$E:$E,Sheet1!$C:$C,$A237,Sheet1!$A:$A,I$2)&lt;&gt;0,SUMIFS(Sheet1!$E:$E,Sheet1!$C:$C,$A237,Sheet1!$A:$A,I$2),"")</f>
        <v/>
      </c>
      <c r="J237" s="9" t="str">
        <f>IF(SUMIFS(Sheet1!$E:$E,Sheet1!$C:$C,$A237,Sheet1!$A:$A,J$2)&lt;&gt;0,SUMIFS(Sheet1!$E:$E,Sheet1!$C:$C,$A237,Sheet1!$A:$A,J$2),"")</f>
        <v/>
      </c>
      <c r="K237" s="9" t="str">
        <f>IF(SUMIFS(Sheet1!$E:$E,Sheet1!$C:$C,$A237,Sheet1!$A:$A,K$2)&lt;&gt;0,SUMIFS(Sheet1!$E:$E,Sheet1!$C:$C,$A237,Sheet1!$A:$A,K$2),"")</f>
        <v/>
      </c>
      <c r="L237" s="9" t="str">
        <f>IF(SUMIFS(Sheet1!$E:$E,Sheet1!$C:$C,$A237,Sheet1!$A:$A,L$2)&lt;&gt;0,SUMIFS(Sheet1!$E:$E,Sheet1!$C:$C,$A237,Sheet1!$A:$A,L$2),"")</f>
        <v/>
      </c>
      <c r="M237" s="9" t="str">
        <f>IF(SUMIFS(Sheet1!$E:$E,Sheet1!$C:$C,$A237,Sheet1!$A:$A,M$2)&lt;&gt;0,SUMIFS(Sheet1!$E:$E,Sheet1!$C:$C,$A237,Sheet1!$A:$A,M$2),"")</f>
        <v/>
      </c>
      <c r="N237" s="9" t="str">
        <f>IF(SUMIFS(Sheet1!$E:$E,Sheet1!$C:$C,$A237,Sheet1!$A:$A,N$2)&lt;&gt;0,SUMIFS(Sheet1!$E:$E,Sheet1!$C:$C,$A237,Sheet1!$A:$A,N$2),"")</f>
        <v/>
      </c>
      <c r="O237" s="9" t="str">
        <f>IF(SUMIFS(Sheet1!$E:$E,Sheet1!$C:$C,$A237,Sheet1!$A:$A,O$2)&lt;&gt;0,SUMIFS(Sheet1!$E:$E,Sheet1!$C:$C,$A237,Sheet1!$A:$A,O$2),"")</f>
        <v/>
      </c>
      <c r="P237" s="9" t="str">
        <f>IF(SUMIFS(Sheet1!$E:$E,Sheet1!$C:$C,$A237,Sheet1!$A:$A,P$2)&lt;&gt;0,SUMIFS(Sheet1!$E:$E,Sheet1!$C:$C,$A237,Sheet1!$A:$A,P$2),"")</f>
        <v/>
      </c>
      <c r="Q237" s="9" t="str">
        <f>IF(SUMIFS(Sheet1!$E:$E,Sheet1!$C:$C,$A237,Sheet1!$A:$A,Q$2)&lt;&gt;0,SUMIFS(Sheet1!$E:$E,Sheet1!$C:$C,$A237,Sheet1!$A:$A,Q$2),"")</f>
        <v/>
      </c>
      <c r="R237" s="9" t="str">
        <f>IF(SUMIFS(Sheet1!$E:$E,Sheet1!$C:$C,$A237,Sheet1!$A:$A,R$2)&lt;&gt;0,SUMIFS(Sheet1!$E:$E,Sheet1!$C:$C,$A237,Sheet1!$A:$A,R$2),"")</f>
        <v/>
      </c>
      <c r="S237" s="9" t="str">
        <f>IF(SUMIFS(Sheet1!$E:$E,Sheet1!$C:$C,$A237,Sheet1!$A:$A,S$2)&lt;&gt;0,SUMIFS(Sheet1!$E:$E,Sheet1!$C:$C,$A237,Sheet1!$A:$A,S$2),"")</f>
        <v/>
      </c>
      <c r="T237" s="9" t="str">
        <f>IF(SUMIFS(Sheet1!$E:$E,Sheet1!$C:$C,$A237,Sheet1!$A:$A,T$2)&lt;&gt;0,SUMIFS(Sheet1!$E:$E,Sheet1!$C:$C,$A237,Sheet1!$A:$A,T$2),"")</f>
        <v/>
      </c>
      <c r="U237" s="9" t="str">
        <f>IF(SUMIFS(Sheet1!$E:$E,Sheet1!$C:$C,$A237,Sheet1!$A:$A,U$2)&lt;&gt;0,SUMIFS(Sheet1!$E:$E,Sheet1!$C:$C,$A237,Sheet1!$A:$A,U$2),"")</f>
        <v/>
      </c>
      <c r="V237" s="9" t="str">
        <f>IF(SUMIFS(Sheet1!$E:$E,Sheet1!$C:$C,$A237,Sheet1!$A:$A,V$2)&lt;&gt;0,SUMIFS(Sheet1!$E:$E,Sheet1!$C:$C,$A237,Sheet1!$A:$A,V$2),"")</f>
        <v/>
      </c>
      <c r="W237" s="9" t="str">
        <f>IF(SUMIFS(Sheet1!$E:$E,Sheet1!$C:$C,$A237,Sheet1!$A:$A,W$2)&lt;&gt;0,SUMIFS(Sheet1!$E:$E,Sheet1!$C:$C,$A237,Sheet1!$A:$A,W$2),"")</f>
        <v/>
      </c>
      <c r="X237" s="9" t="str">
        <f>IF(SUMIFS(Sheet1!$E:$E,Sheet1!$C:$C,$A237,Sheet1!$A:$A,X$2)&lt;&gt;0,SUMIFS(Sheet1!$E:$E,Sheet1!$C:$C,$A237,Sheet1!$A:$A,X$2),"")</f>
        <v/>
      </c>
      <c r="Y237" s="9" t="str">
        <f>IF(SUMIFS(Sheet1!$E:$E,Sheet1!$C:$C,$A237,Sheet1!$A:$A,Y$2)&lt;&gt;0,SUMIFS(Sheet1!$E:$E,Sheet1!$C:$C,$A237,Sheet1!$A:$A,Y$2),"")</f>
        <v/>
      </c>
      <c r="Z237" s="9" t="str">
        <f>IF(SUMIFS(Sheet1!$E:$E,Sheet1!$C:$C,$A237,Sheet1!$A:$A,Z$2)&lt;&gt;0,SUMIFS(Sheet1!$E:$E,Sheet1!$C:$C,$A237,Sheet1!$A:$A,Z$2),"")</f>
        <v/>
      </c>
      <c r="AA237" s="9" t="str">
        <f>IF(SUMIFS(Sheet1!$E:$E,Sheet1!$C:$C,$A237,Sheet1!$A:$A,AA$2)&lt;&gt;0,SUMIFS(Sheet1!$E:$E,Sheet1!$C:$C,$A237,Sheet1!$A:$A,AA$2),"")</f>
        <v/>
      </c>
      <c r="AB237" s="9" t="str">
        <f>IF(SUMIFS(Sheet1!$E:$E,Sheet1!$C:$C,$A237,Sheet1!$A:$A,AB$2)&lt;&gt;0,SUMIFS(Sheet1!$E:$E,Sheet1!$C:$C,$A237,Sheet1!$A:$A,AB$2),"")</f>
        <v/>
      </c>
      <c r="AC237" s="9" t="str">
        <f>IF(SUMIFS(Sheet1!$E:$E,Sheet1!$C:$C,$A237,Sheet1!$A:$A,AC$2)&lt;&gt;0,SUMIFS(Sheet1!$E:$E,Sheet1!$C:$C,$A237,Sheet1!$A:$A,AC$2),"")</f>
        <v/>
      </c>
      <c r="AD237" s="9" t="str">
        <f>IF(SUMIFS(Sheet1!$E:$E,Sheet1!$C:$C,$A237,Sheet1!$A:$A,AD$2)&lt;&gt;0,SUMIFS(Sheet1!$E:$E,Sheet1!$C:$C,$A237,Sheet1!$A:$A,AD$2),"")</f>
        <v/>
      </c>
      <c r="AE237" s="9" t="str">
        <f>IF(SUMIFS(Sheet1!$E:$E,Sheet1!$C:$C,$A237,Sheet1!$A:$A,AE$2)&lt;&gt;0,SUMIFS(Sheet1!$E:$E,Sheet1!$C:$C,$A237,Sheet1!$A:$A,AE$2),"")</f>
        <v/>
      </c>
      <c r="AF237" s="9" t="str">
        <f>IF(SUMIFS(Sheet1!$E:$E,Sheet1!$C:$C,$A237,Sheet1!$A:$A,AF$2)&lt;&gt;0,SUMIFS(Sheet1!$E:$E,Sheet1!$C:$C,$A237,Sheet1!$A:$A,AF$2),"")</f>
        <v/>
      </c>
      <c r="AG237" s="9" t="str">
        <f>IF(SUMIFS(Sheet1!$E:$E,Sheet1!$C:$C,$A237,Sheet1!$A:$A,AG$2)&lt;&gt;0,SUMIFS(Sheet1!$E:$E,Sheet1!$C:$C,$A237,Sheet1!$A:$A,AG$2),"")</f>
        <v/>
      </c>
      <c r="AH237" s="47">
        <f>SUM(Table24[[#This Row],[1]:[31]])</f>
        <v>0</v>
      </c>
    </row>
    <row r="238" spans="1:34" ht="12.75" customHeight="1">
      <c r="A238" s="24" t="str">
        <f>DSSP!A237</f>
        <v>GC162</v>
      </c>
      <c r="B238" s="25" t="str">
        <f>DSSP!B237</f>
        <v>Tháp Eiffel trong tranh</v>
      </c>
      <c r="C238" s="9">
        <f>IF(SUMIFS(Sheet1!$E:$E,Sheet1!$C:$C,$A238,Sheet1!$A:$A,C$2)&lt;&gt;0,SUMIFS(Sheet1!$E:$E,Sheet1!$C:$C,$A238,Sheet1!$A:$A,C$2),"")</f>
        <v>32</v>
      </c>
      <c r="D238" s="9" t="str">
        <f>IF(SUMIFS(Sheet1!$E:$E,Sheet1!$C:$C,$A238,Sheet1!$A:$A,D$2)&lt;&gt;0,SUMIFS(Sheet1!$E:$E,Sheet1!$C:$C,$A238,Sheet1!$A:$A,D$2),"")</f>
        <v/>
      </c>
      <c r="E238" s="9" t="str">
        <f>IF(SUMIFS(Sheet1!$E:$E,Sheet1!$C:$C,$A238,Sheet1!$A:$A,E$2)&lt;&gt;0,SUMIFS(Sheet1!$E:$E,Sheet1!$C:$C,$A238,Sheet1!$A:$A,E$2),"")</f>
        <v/>
      </c>
      <c r="F238" s="9" t="str">
        <f>IF(SUMIFS(Sheet1!$E:$E,Sheet1!$C:$C,$A238,Sheet1!$A:$A,F$2)&lt;&gt;0,SUMIFS(Sheet1!$E:$E,Sheet1!$C:$C,$A238,Sheet1!$A:$A,F$2),"")</f>
        <v/>
      </c>
      <c r="G238" s="9" t="str">
        <f>IF(SUMIFS(Sheet1!$E:$E,Sheet1!$C:$C,$A238,Sheet1!$A:$A,G$2)&lt;&gt;0,SUMIFS(Sheet1!$E:$E,Sheet1!$C:$C,$A238,Sheet1!$A:$A,G$2),"")</f>
        <v/>
      </c>
      <c r="H238" s="9" t="str">
        <f>IF(SUMIFS(Sheet1!$E:$E,Sheet1!$C:$C,$A238,Sheet1!$A:$A,H$2)&lt;&gt;0,SUMIFS(Sheet1!$E:$E,Sheet1!$C:$C,$A238,Sheet1!$A:$A,H$2),"")</f>
        <v/>
      </c>
      <c r="I238" s="9" t="str">
        <f>IF(SUMIFS(Sheet1!$E:$E,Sheet1!$C:$C,$A238,Sheet1!$A:$A,I$2)&lt;&gt;0,SUMIFS(Sheet1!$E:$E,Sheet1!$C:$C,$A238,Sheet1!$A:$A,I$2),"")</f>
        <v/>
      </c>
      <c r="J238" s="9" t="str">
        <f>IF(SUMIFS(Sheet1!$E:$E,Sheet1!$C:$C,$A238,Sheet1!$A:$A,J$2)&lt;&gt;0,SUMIFS(Sheet1!$E:$E,Sheet1!$C:$C,$A238,Sheet1!$A:$A,J$2),"")</f>
        <v/>
      </c>
      <c r="K238" s="9" t="str">
        <f>IF(SUMIFS(Sheet1!$E:$E,Sheet1!$C:$C,$A238,Sheet1!$A:$A,K$2)&lt;&gt;0,SUMIFS(Sheet1!$E:$E,Sheet1!$C:$C,$A238,Sheet1!$A:$A,K$2),"")</f>
        <v/>
      </c>
      <c r="L238" s="9" t="str">
        <f>IF(SUMIFS(Sheet1!$E:$E,Sheet1!$C:$C,$A238,Sheet1!$A:$A,L$2)&lt;&gt;0,SUMIFS(Sheet1!$E:$E,Sheet1!$C:$C,$A238,Sheet1!$A:$A,L$2),"")</f>
        <v/>
      </c>
      <c r="M238" s="9" t="str">
        <f>IF(SUMIFS(Sheet1!$E:$E,Sheet1!$C:$C,$A238,Sheet1!$A:$A,M$2)&lt;&gt;0,SUMIFS(Sheet1!$E:$E,Sheet1!$C:$C,$A238,Sheet1!$A:$A,M$2),"")</f>
        <v/>
      </c>
      <c r="N238" s="9" t="str">
        <f>IF(SUMIFS(Sheet1!$E:$E,Sheet1!$C:$C,$A238,Sheet1!$A:$A,N$2)&lt;&gt;0,SUMIFS(Sheet1!$E:$E,Sheet1!$C:$C,$A238,Sheet1!$A:$A,N$2),"")</f>
        <v/>
      </c>
      <c r="O238" s="9" t="str">
        <f>IF(SUMIFS(Sheet1!$E:$E,Sheet1!$C:$C,$A238,Sheet1!$A:$A,O$2)&lt;&gt;0,SUMIFS(Sheet1!$E:$E,Sheet1!$C:$C,$A238,Sheet1!$A:$A,O$2),"")</f>
        <v/>
      </c>
      <c r="P238" s="9" t="str">
        <f>IF(SUMIFS(Sheet1!$E:$E,Sheet1!$C:$C,$A238,Sheet1!$A:$A,P$2)&lt;&gt;0,SUMIFS(Sheet1!$E:$E,Sheet1!$C:$C,$A238,Sheet1!$A:$A,P$2),"")</f>
        <v/>
      </c>
      <c r="Q238" s="9" t="str">
        <f>IF(SUMIFS(Sheet1!$E:$E,Sheet1!$C:$C,$A238,Sheet1!$A:$A,Q$2)&lt;&gt;0,SUMIFS(Sheet1!$E:$E,Sheet1!$C:$C,$A238,Sheet1!$A:$A,Q$2),"")</f>
        <v/>
      </c>
      <c r="R238" s="9" t="str">
        <f>IF(SUMIFS(Sheet1!$E:$E,Sheet1!$C:$C,$A238,Sheet1!$A:$A,R$2)&lt;&gt;0,SUMIFS(Sheet1!$E:$E,Sheet1!$C:$C,$A238,Sheet1!$A:$A,R$2),"")</f>
        <v/>
      </c>
      <c r="S238" s="9" t="str">
        <f>IF(SUMIFS(Sheet1!$E:$E,Sheet1!$C:$C,$A238,Sheet1!$A:$A,S$2)&lt;&gt;0,SUMIFS(Sheet1!$E:$E,Sheet1!$C:$C,$A238,Sheet1!$A:$A,S$2),"")</f>
        <v/>
      </c>
      <c r="T238" s="9" t="str">
        <f>IF(SUMIFS(Sheet1!$E:$E,Sheet1!$C:$C,$A238,Sheet1!$A:$A,T$2)&lt;&gt;0,SUMIFS(Sheet1!$E:$E,Sheet1!$C:$C,$A238,Sheet1!$A:$A,T$2),"")</f>
        <v/>
      </c>
      <c r="U238" s="9" t="str">
        <f>IF(SUMIFS(Sheet1!$E:$E,Sheet1!$C:$C,$A238,Sheet1!$A:$A,U$2)&lt;&gt;0,SUMIFS(Sheet1!$E:$E,Sheet1!$C:$C,$A238,Sheet1!$A:$A,U$2),"")</f>
        <v/>
      </c>
      <c r="V238" s="9" t="str">
        <f>IF(SUMIFS(Sheet1!$E:$E,Sheet1!$C:$C,$A238,Sheet1!$A:$A,V$2)&lt;&gt;0,SUMIFS(Sheet1!$E:$E,Sheet1!$C:$C,$A238,Sheet1!$A:$A,V$2),"")</f>
        <v/>
      </c>
      <c r="W238" s="9" t="str">
        <f>IF(SUMIFS(Sheet1!$E:$E,Sheet1!$C:$C,$A238,Sheet1!$A:$A,W$2)&lt;&gt;0,SUMIFS(Sheet1!$E:$E,Sheet1!$C:$C,$A238,Sheet1!$A:$A,W$2),"")</f>
        <v/>
      </c>
      <c r="X238" s="9" t="str">
        <f>IF(SUMIFS(Sheet1!$E:$E,Sheet1!$C:$C,$A238,Sheet1!$A:$A,X$2)&lt;&gt;0,SUMIFS(Sheet1!$E:$E,Sheet1!$C:$C,$A238,Sheet1!$A:$A,X$2),"")</f>
        <v/>
      </c>
      <c r="Y238" s="9" t="str">
        <f>IF(SUMIFS(Sheet1!$E:$E,Sheet1!$C:$C,$A238,Sheet1!$A:$A,Y$2)&lt;&gt;0,SUMIFS(Sheet1!$E:$E,Sheet1!$C:$C,$A238,Sheet1!$A:$A,Y$2),"")</f>
        <v/>
      </c>
      <c r="Z238" s="9" t="str">
        <f>IF(SUMIFS(Sheet1!$E:$E,Sheet1!$C:$C,$A238,Sheet1!$A:$A,Z$2)&lt;&gt;0,SUMIFS(Sheet1!$E:$E,Sheet1!$C:$C,$A238,Sheet1!$A:$A,Z$2),"")</f>
        <v/>
      </c>
      <c r="AA238" s="9" t="str">
        <f>IF(SUMIFS(Sheet1!$E:$E,Sheet1!$C:$C,$A238,Sheet1!$A:$A,AA$2)&lt;&gt;0,SUMIFS(Sheet1!$E:$E,Sheet1!$C:$C,$A238,Sheet1!$A:$A,AA$2),"")</f>
        <v/>
      </c>
      <c r="AB238" s="9" t="str">
        <f>IF(SUMIFS(Sheet1!$E:$E,Sheet1!$C:$C,$A238,Sheet1!$A:$A,AB$2)&lt;&gt;0,SUMIFS(Sheet1!$E:$E,Sheet1!$C:$C,$A238,Sheet1!$A:$A,AB$2),"")</f>
        <v/>
      </c>
      <c r="AC238" s="9" t="str">
        <f>IF(SUMIFS(Sheet1!$E:$E,Sheet1!$C:$C,$A238,Sheet1!$A:$A,AC$2)&lt;&gt;0,SUMIFS(Sheet1!$E:$E,Sheet1!$C:$C,$A238,Sheet1!$A:$A,AC$2),"")</f>
        <v/>
      </c>
      <c r="AD238" s="9" t="str">
        <f>IF(SUMIFS(Sheet1!$E:$E,Sheet1!$C:$C,$A238,Sheet1!$A:$A,AD$2)&lt;&gt;0,SUMIFS(Sheet1!$E:$E,Sheet1!$C:$C,$A238,Sheet1!$A:$A,AD$2),"")</f>
        <v/>
      </c>
      <c r="AE238" s="9" t="str">
        <f>IF(SUMIFS(Sheet1!$E:$E,Sheet1!$C:$C,$A238,Sheet1!$A:$A,AE$2)&lt;&gt;0,SUMIFS(Sheet1!$E:$E,Sheet1!$C:$C,$A238,Sheet1!$A:$A,AE$2),"")</f>
        <v/>
      </c>
      <c r="AF238" s="9" t="str">
        <f>IF(SUMIFS(Sheet1!$E:$E,Sheet1!$C:$C,$A238,Sheet1!$A:$A,AF$2)&lt;&gt;0,SUMIFS(Sheet1!$E:$E,Sheet1!$C:$C,$A238,Sheet1!$A:$A,AF$2),"")</f>
        <v/>
      </c>
      <c r="AG238" s="9" t="str">
        <f>IF(SUMIFS(Sheet1!$E:$E,Sheet1!$C:$C,$A238,Sheet1!$A:$A,AG$2)&lt;&gt;0,SUMIFS(Sheet1!$E:$E,Sheet1!$C:$C,$A238,Sheet1!$A:$A,AG$2),"")</f>
        <v/>
      </c>
      <c r="AH238" s="47">
        <f>SUM(Table24[[#This Row],[1]:[31]])</f>
        <v>32</v>
      </c>
    </row>
    <row r="239" spans="1:34" ht="12.75" customHeight="1">
      <c r="A239" s="24" t="str">
        <f>DSSP!A238</f>
        <v>GC163</v>
      </c>
      <c r="B239" s="25" t="str">
        <f>DSSP!B238</f>
        <v>Cỏ bốn lá viền nhỏ xinh</v>
      </c>
      <c r="C239" s="9">
        <f>IF(SUMIFS(Sheet1!$E:$E,Sheet1!$C:$C,$A239,Sheet1!$A:$A,C$2)&lt;&gt;0,SUMIFS(Sheet1!$E:$E,Sheet1!$C:$C,$A239,Sheet1!$A:$A,C$2),"")</f>
        <v>82</v>
      </c>
      <c r="D239" s="9" t="str">
        <f>IF(SUMIFS(Sheet1!$E:$E,Sheet1!$C:$C,$A239,Sheet1!$A:$A,D$2)&lt;&gt;0,SUMIFS(Sheet1!$E:$E,Sheet1!$C:$C,$A239,Sheet1!$A:$A,D$2),"")</f>
        <v/>
      </c>
      <c r="E239" s="9" t="str">
        <f>IF(SUMIFS(Sheet1!$E:$E,Sheet1!$C:$C,$A239,Sheet1!$A:$A,E$2)&lt;&gt;0,SUMIFS(Sheet1!$E:$E,Sheet1!$C:$C,$A239,Sheet1!$A:$A,E$2),"")</f>
        <v/>
      </c>
      <c r="F239" s="9" t="str">
        <f>IF(SUMIFS(Sheet1!$E:$E,Sheet1!$C:$C,$A239,Sheet1!$A:$A,F$2)&lt;&gt;0,SUMIFS(Sheet1!$E:$E,Sheet1!$C:$C,$A239,Sheet1!$A:$A,F$2),"")</f>
        <v/>
      </c>
      <c r="G239" s="9" t="str">
        <f>IF(SUMIFS(Sheet1!$E:$E,Sheet1!$C:$C,$A239,Sheet1!$A:$A,G$2)&lt;&gt;0,SUMIFS(Sheet1!$E:$E,Sheet1!$C:$C,$A239,Sheet1!$A:$A,G$2),"")</f>
        <v/>
      </c>
      <c r="H239" s="9" t="str">
        <f>IF(SUMIFS(Sheet1!$E:$E,Sheet1!$C:$C,$A239,Sheet1!$A:$A,H$2)&lt;&gt;0,SUMIFS(Sheet1!$E:$E,Sheet1!$C:$C,$A239,Sheet1!$A:$A,H$2),"")</f>
        <v/>
      </c>
      <c r="I239" s="9" t="str">
        <f>IF(SUMIFS(Sheet1!$E:$E,Sheet1!$C:$C,$A239,Sheet1!$A:$A,I$2)&lt;&gt;0,SUMIFS(Sheet1!$E:$E,Sheet1!$C:$C,$A239,Sheet1!$A:$A,I$2),"")</f>
        <v/>
      </c>
      <c r="J239" s="9" t="str">
        <f>IF(SUMIFS(Sheet1!$E:$E,Sheet1!$C:$C,$A239,Sheet1!$A:$A,J$2)&lt;&gt;0,SUMIFS(Sheet1!$E:$E,Sheet1!$C:$C,$A239,Sheet1!$A:$A,J$2),"")</f>
        <v/>
      </c>
      <c r="K239" s="9" t="str">
        <f>IF(SUMIFS(Sheet1!$E:$E,Sheet1!$C:$C,$A239,Sheet1!$A:$A,K$2)&lt;&gt;0,SUMIFS(Sheet1!$E:$E,Sheet1!$C:$C,$A239,Sheet1!$A:$A,K$2),"")</f>
        <v/>
      </c>
      <c r="L239" s="9" t="str">
        <f>IF(SUMIFS(Sheet1!$E:$E,Sheet1!$C:$C,$A239,Sheet1!$A:$A,L$2)&lt;&gt;0,SUMIFS(Sheet1!$E:$E,Sheet1!$C:$C,$A239,Sheet1!$A:$A,L$2),"")</f>
        <v/>
      </c>
      <c r="M239" s="9" t="str">
        <f>IF(SUMIFS(Sheet1!$E:$E,Sheet1!$C:$C,$A239,Sheet1!$A:$A,M$2)&lt;&gt;0,SUMIFS(Sheet1!$E:$E,Sheet1!$C:$C,$A239,Sheet1!$A:$A,M$2),"")</f>
        <v/>
      </c>
      <c r="N239" s="9" t="str">
        <f>IF(SUMIFS(Sheet1!$E:$E,Sheet1!$C:$C,$A239,Sheet1!$A:$A,N$2)&lt;&gt;0,SUMIFS(Sheet1!$E:$E,Sheet1!$C:$C,$A239,Sheet1!$A:$A,N$2),"")</f>
        <v/>
      </c>
      <c r="O239" s="9" t="str">
        <f>IF(SUMIFS(Sheet1!$E:$E,Sheet1!$C:$C,$A239,Sheet1!$A:$A,O$2)&lt;&gt;0,SUMIFS(Sheet1!$E:$E,Sheet1!$C:$C,$A239,Sheet1!$A:$A,O$2),"")</f>
        <v/>
      </c>
      <c r="P239" s="9" t="str">
        <f>IF(SUMIFS(Sheet1!$E:$E,Sheet1!$C:$C,$A239,Sheet1!$A:$A,P$2)&lt;&gt;0,SUMIFS(Sheet1!$E:$E,Sheet1!$C:$C,$A239,Sheet1!$A:$A,P$2),"")</f>
        <v/>
      </c>
      <c r="Q239" s="9" t="str">
        <f>IF(SUMIFS(Sheet1!$E:$E,Sheet1!$C:$C,$A239,Sheet1!$A:$A,Q$2)&lt;&gt;0,SUMIFS(Sheet1!$E:$E,Sheet1!$C:$C,$A239,Sheet1!$A:$A,Q$2),"")</f>
        <v/>
      </c>
      <c r="R239" s="9" t="str">
        <f>IF(SUMIFS(Sheet1!$E:$E,Sheet1!$C:$C,$A239,Sheet1!$A:$A,R$2)&lt;&gt;0,SUMIFS(Sheet1!$E:$E,Sheet1!$C:$C,$A239,Sheet1!$A:$A,R$2),"")</f>
        <v/>
      </c>
      <c r="S239" s="9" t="str">
        <f>IF(SUMIFS(Sheet1!$E:$E,Sheet1!$C:$C,$A239,Sheet1!$A:$A,S$2)&lt;&gt;0,SUMIFS(Sheet1!$E:$E,Sheet1!$C:$C,$A239,Sheet1!$A:$A,S$2),"")</f>
        <v/>
      </c>
      <c r="T239" s="9" t="str">
        <f>IF(SUMIFS(Sheet1!$E:$E,Sheet1!$C:$C,$A239,Sheet1!$A:$A,T$2)&lt;&gt;0,SUMIFS(Sheet1!$E:$E,Sheet1!$C:$C,$A239,Sheet1!$A:$A,T$2),"")</f>
        <v/>
      </c>
      <c r="U239" s="9" t="str">
        <f>IF(SUMIFS(Sheet1!$E:$E,Sheet1!$C:$C,$A239,Sheet1!$A:$A,U$2)&lt;&gt;0,SUMIFS(Sheet1!$E:$E,Sheet1!$C:$C,$A239,Sheet1!$A:$A,U$2),"")</f>
        <v/>
      </c>
      <c r="V239" s="9" t="str">
        <f>IF(SUMIFS(Sheet1!$E:$E,Sheet1!$C:$C,$A239,Sheet1!$A:$A,V$2)&lt;&gt;0,SUMIFS(Sheet1!$E:$E,Sheet1!$C:$C,$A239,Sheet1!$A:$A,V$2),"")</f>
        <v/>
      </c>
      <c r="W239" s="9" t="str">
        <f>IF(SUMIFS(Sheet1!$E:$E,Sheet1!$C:$C,$A239,Sheet1!$A:$A,W$2)&lt;&gt;0,SUMIFS(Sheet1!$E:$E,Sheet1!$C:$C,$A239,Sheet1!$A:$A,W$2),"")</f>
        <v/>
      </c>
      <c r="X239" s="9" t="str">
        <f>IF(SUMIFS(Sheet1!$E:$E,Sheet1!$C:$C,$A239,Sheet1!$A:$A,X$2)&lt;&gt;0,SUMIFS(Sheet1!$E:$E,Sheet1!$C:$C,$A239,Sheet1!$A:$A,X$2),"")</f>
        <v/>
      </c>
      <c r="Y239" s="9" t="str">
        <f>IF(SUMIFS(Sheet1!$E:$E,Sheet1!$C:$C,$A239,Sheet1!$A:$A,Y$2)&lt;&gt;0,SUMIFS(Sheet1!$E:$E,Sheet1!$C:$C,$A239,Sheet1!$A:$A,Y$2),"")</f>
        <v/>
      </c>
      <c r="Z239" s="9" t="str">
        <f>IF(SUMIFS(Sheet1!$E:$E,Sheet1!$C:$C,$A239,Sheet1!$A:$A,Z$2)&lt;&gt;0,SUMIFS(Sheet1!$E:$E,Sheet1!$C:$C,$A239,Sheet1!$A:$A,Z$2),"")</f>
        <v/>
      </c>
      <c r="AA239" s="9" t="str">
        <f>IF(SUMIFS(Sheet1!$E:$E,Sheet1!$C:$C,$A239,Sheet1!$A:$A,AA$2)&lt;&gt;0,SUMIFS(Sheet1!$E:$E,Sheet1!$C:$C,$A239,Sheet1!$A:$A,AA$2),"")</f>
        <v/>
      </c>
      <c r="AB239" s="9" t="str">
        <f>IF(SUMIFS(Sheet1!$E:$E,Sheet1!$C:$C,$A239,Sheet1!$A:$A,AB$2)&lt;&gt;0,SUMIFS(Sheet1!$E:$E,Sheet1!$C:$C,$A239,Sheet1!$A:$A,AB$2),"")</f>
        <v/>
      </c>
      <c r="AC239" s="9" t="str">
        <f>IF(SUMIFS(Sheet1!$E:$E,Sheet1!$C:$C,$A239,Sheet1!$A:$A,AC$2)&lt;&gt;0,SUMIFS(Sheet1!$E:$E,Sheet1!$C:$C,$A239,Sheet1!$A:$A,AC$2),"")</f>
        <v/>
      </c>
      <c r="AD239" s="9" t="str">
        <f>IF(SUMIFS(Sheet1!$E:$E,Sheet1!$C:$C,$A239,Sheet1!$A:$A,AD$2)&lt;&gt;0,SUMIFS(Sheet1!$E:$E,Sheet1!$C:$C,$A239,Sheet1!$A:$A,AD$2),"")</f>
        <v/>
      </c>
      <c r="AE239" s="9" t="str">
        <f>IF(SUMIFS(Sheet1!$E:$E,Sheet1!$C:$C,$A239,Sheet1!$A:$A,AE$2)&lt;&gt;0,SUMIFS(Sheet1!$E:$E,Sheet1!$C:$C,$A239,Sheet1!$A:$A,AE$2),"")</f>
        <v/>
      </c>
      <c r="AF239" s="9" t="str">
        <f>IF(SUMIFS(Sheet1!$E:$E,Sheet1!$C:$C,$A239,Sheet1!$A:$A,AF$2)&lt;&gt;0,SUMIFS(Sheet1!$E:$E,Sheet1!$C:$C,$A239,Sheet1!$A:$A,AF$2),"")</f>
        <v/>
      </c>
      <c r="AG239" s="9" t="str">
        <f>IF(SUMIFS(Sheet1!$E:$E,Sheet1!$C:$C,$A239,Sheet1!$A:$A,AG$2)&lt;&gt;0,SUMIFS(Sheet1!$E:$E,Sheet1!$C:$C,$A239,Sheet1!$A:$A,AG$2),"")</f>
        <v/>
      </c>
      <c r="AH239" s="47">
        <f>SUM(Table24[[#This Row],[1]:[31]])</f>
        <v>82</v>
      </c>
    </row>
    <row r="240" spans="1:34" ht="12.75" customHeight="1">
      <c r="A240" s="24" t="str">
        <f>DSSP!A239</f>
        <v>GC164</v>
      </c>
      <c r="B240" s="25" t="str">
        <f>DSSP!B239</f>
        <v>Đồng hồ báo thức</v>
      </c>
      <c r="C240" s="9">
        <f>IF(SUMIFS(Sheet1!$E:$E,Sheet1!$C:$C,$A240,Sheet1!$A:$A,C$2)&lt;&gt;0,SUMIFS(Sheet1!$E:$E,Sheet1!$C:$C,$A240,Sheet1!$A:$A,C$2),"")</f>
        <v>36</v>
      </c>
      <c r="D240" s="9" t="str">
        <f>IF(SUMIFS(Sheet1!$E:$E,Sheet1!$C:$C,$A240,Sheet1!$A:$A,D$2)&lt;&gt;0,SUMIFS(Sheet1!$E:$E,Sheet1!$C:$C,$A240,Sheet1!$A:$A,D$2),"")</f>
        <v/>
      </c>
      <c r="E240" s="9" t="str">
        <f>IF(SUMIFS(Sheet1!$E:$E,Sheet1!$C:$C,$A240,Sheet1!$A:$A,E$2)&lt;&gt;0,SUMIFS(Sheet1!$E:$E,Sheet1!$C:$C,$A240,Sheet1!$A:$A,E$2),"")</f>
        <v/>
      </c>
      <c r="F240" s="9" t="str">
        <f>IF(SUMIFS(Sheet1!$E:$E,Sheet1!$C:$C,$A240,Sheet1!$A:$A,F$2)&lt;&gt;0,SUMIFS(Sheet1!$E:$E,Sheet1!$C:$C,$A240,Sheet1!$A:$A,F$2),"")</f>
        <v/>
      </c>
      <c r="G240" s="9" t="str">
        <f>IF(SUMIFS(Sheet1!$E:$E,Sheet1!$C:$C,$A240,Sheet1!$A:$A,G$2)&lt;&gt;0,SUMIFS(Sheet1!$E:$E,Sheet1!$C:$C,$A240,Sheet1!$A:$A,G$2),"")</f>
        <v/>
      </c>
      <c r="H240" s="9" t="str">
        <f>IF(SUMIFS(Sheet1!$E:$E,Sheet1!$C:$C,$A240,Sheet1!$A:$A,H$2)&lt;&gt;0,SUMIFS(Sheet1!$E:$E,Sheet1!$C:$C,$A240,Sheet1!$A:$A,H$2),"")</f>
        <v/>
      </c>
      <c r="I240" s="9" t="str">
        <f>IF(SUMIFS(Sheet1!$E:$E,Sheet1!$C:$C,$A240,Sheet1!$A:$A,I$2)&lt;&gt;0,SUMIFS(Sheet1!$E:$E,Sheet1!$C:$C,$A240,Sheet1!$A:$A,I$2),"")</f>
        <v/>
      </c>
      <c r="J240" s="9" t="str">
        <f>IF(SUMIFS(Sheet1!$E:$E,Sheet1!$C:$C,$A240,Sheet1!$A:$A,J$2)&lt;&gt;0,SUMIFS(Sheet1!$E:$E,Sheet1!$C:$C,$A240,Sheet1!$A:$A,J$2),"")</f>
        <v/>
      </c>
      <c r="K240" s="9" t="str">
        <f>IF(SUMIFS(Sheet1!$E:$E,Sheet1!$C:$C,$A240,Sheet1!$A:$A,K$2)&lt;&gt;0,SUMIFS(Sheet1!$E:$E,Sheet1!$C:$C,$A240,Sheet1!$A:$A,K$2),"")</f>
        <v/>
      </c>
      <c r="L240" s="9" t="str">
        <f>IF(SUMIFS(Sheet1!$E:$E,Sheet1!$C:$C,$A240,Sheet1!$A:$A,L$2)&lt;&gt;0,SUMIFS(Sheet1!$E:$E,Sheet1!$C:$C,$A240,Sheet1!$A:$A,L$2),"")</f>
        <v/>
      </c>
      <c r="M240" s="9" t="str">
        <f>IF(SUMIFS(Sheet1!$E:$E,Sheet1!$C:$C,$A240,Sheet1!$A:$A,M$2)&lt;&gt;0,SUMIFS(Sheet1!$E:$E,Sheet1!$C:$C,$A240,Sheet1!$A:$A,M$2),"")</f>
        <v/>
      </c>
      <c r="N240" s="9" t="str">
        <f>IF(SUMIFS(Sheet1!$E:$E,Sheet1!$C:$C,$A240,Sheet1!$A:$A,N$2)&lt;&gt;0,SUMIFS(Sheet1!$E:$E,Sheet1!$C:$C,$A240,Sheet1!$A:$A,N$2),"")</f>
        <v/>
      </c>
      <c r="O240" s="9" t="str">
        <f>IF(SUMIFS(Sheet1!$E:$E,Sheet1!$C:$C,$A240,Sheet1!$A:$A,O$2)&lt;&gt;0,SUMIFS(Sheet1!$E:$E,Sheet1!$C:$C,$A240,Sheet1!$A:$A,O$2),"")</f>
        <v/>
      </c>
      <c r="P240" s="9" t="str">
        <f>IF(SUMIFS(Sheet1!$E:$E,Sheet1!$C:$C,$A240,Sheet1!$A:$A,P$2)&lt;&gt;0,SUMIFS(Sheet1!$E:$E,Sheet1!$C:$C,$A240,Sheet1!$A:$A,P$2),"")</f>
        <v/>
      </c>
      <c r="Q240" s="9" t="str">
        <f>IF(SUMIFS(Sheet1!$E:$E,Sheet1!$C:$C,$A240,Sheet1!$A:$A,Q$2)&lt;&gt;0,SUMIFS(Sheet1!$E:$E,Sheet1!$C:$C,$A240,Sheet1!$A:$A,Q$2),"")</f>
        <v/>
      </c>
      <c r="R240" s="9" t="str">
        <f>IF(SUMIFS(Sheet1!$E:$E,Sheet1!$C:$C,$A240,Sheet1!$A:$A,R$2)&lt;&gt;0,SUMIFS(Sheet1!$E:$E,Sheet1!$C:$C,$A240,Sheet1!$A:$A,R$2),"")</f>
        <v/>
      </c>
      <c r="S240" s="9" t="str">
        <f>IF(SUMIFS(Sheet1!$E:$E,Sheet1!$C:$C,$A240,Sheet1!$A:$A,S$2)&lt;&gt;0,SUMIFS(Sheet1!$E:$E,Sheet1!$C:$C,$A240,Sheet1!$A:$A,S$2),"")</f>
        <v/>
      </c>
      <c r="T240" s="9" t="str">
        <f>IF(SUMIFS(Sheet1!$E:$E,Sheet1!$C:$C,$A240,Sheet1!$A:$A,T$2)&lt;&gt;0,SUMIFS(Sheet1!$E:$E,Sheet1!$C:$C,$A240,Sheet1!$A:$A,T$2),"")</f>
        <v/>
      </c>
      <c r="U240" s="9" t="str">
        <f>IF(SUMIFS(Sheet1!$E:$E,Sheet1!$C:$C,$A240,Sheet1!$A:$A,U$2)&lt;&gt;0,SUMIFS(Sheet1!$E:$E,Sheet1!$C:$C,$A240,Sheet1!$A:$A,U$2),"")</f>
        <v/>
      </c>
      <c r="V240" s="9" t="str">
        <f>IF(SUMIFS(Sheet1!$E:$E,Sheet1!$C:$C,$A240,Sheet1!$A:$A,V$2)&lt;&gt;0,SUMIFS(Sheet1!$E:$E,Sheet1!$C:$C,$A240,Sheet1!$A:$A,V$2),"")</f>
        <v/>
      </c>
      <c r="W240" s="9" t="str">
        <f>IF(SUMIFS(Sheet1!$E:$E,Sheet1!$C:$C,$A240,Sheet1!$A:$A,W$2)&lt;&gt;0,SUMIFS(Sheet1!$E:$E,Sheet1!$C:$C,$A240,Sheet1!$A:$A,W$2),"")</f>
        <v/>
      </c>
      <c r="X240" s="9" t="str">
        <f>IF(SUMIFS(Sheet1!$E:$E,Sheet1!$C:$C,$A240,Sheet1!$A:$A,X$2)&lt;&gt;0,SUMIFS(Sheet1!$E:$E,Sheet1!$C:$C,$A240,Sheet1!$A:$A,X$2),"")</f>
        <v/>
      </c>
      <c r="Y240" s="9" t="str">
        <f>IF(SUMIFS(Sheet1!$E:$E,Sheet1!$C:$C,$A240,Sheet1!$A:$A,Y$2)&lt;&gt;0,SUMIFS(Sheet1!$E:$E,Sheet1!$C:$C,$A240,Sheet1!$A:$A,Y$2),"")</f>
        <v/>
      </c>
      <c r="Z240" s="9" t="str">
        <f>IF(SUMIFS(Sheet1!$E:$E,Sheet1!$C:$C,$A240,Sheet1!$A:$A,Z$2)&lt;&gt;0,SUMIFS(Sheet1!$E:$E,Sheet1!$C:$C,$A240,Sheet1!$A:$A,Z$2),"")</f>
        <v/>
      </c>
      <c r="AA240" s="9" t="str">
        <f>IF(SUMIFS(Sheet1!$E:$E,Sheet1!$C:$C,$A240,Sheet1!$A:$A,AA$2)&lt;&gt;0,SUMIFS(Sheet1!$E:$E,Sheet1!$C:$C,$A240,Sheet1!$A:$A,AA$2),"")</f>
        <v/>
      </c>
      <c r="AB240" s="9" t="str">
        <f>IF(SUMIFS(Sheet1!$E:$E,Sheet1!$C:$C,$A240,Sheet1!$A:$A,AB$2)&lt;&gt;0,SUMIFS(Sheet1!$E:$E,Sheet1!$C:$C,$A240,Sheet1!$A:$A,AB$2),"")</f>
        <v/>
      </c>
      <c r="AC240" s="9" t="str">
        <f>IF(SUMIFS(Sheet1!$E:$E,Sheet1!$C:$C,$A240,Sheet1!$A:$A,AC$2)&lt;&gt;0,SUMIFS(Sheet1!$E:$E,Sheet1!$C:$C,$A240,Sheet1!$A:$A,AC$2),"")</f>
        <v/>
      </c>
      <c r="AD240" s="9" t="str">
        <f>IF(SUMIFS(Sheet1!$E:$E,Sheet1!$C:$C,$A240,Sheet1!$A:$A,AD$2)&lt;&gt;0,SUMIFS(Sheet1!$E:$E,Sheet1!$C:$C,$A240,Sheet1!$A:$A,AD$2),"")</f>
        <v/>
      </c>
      <c r="AE240" s="9" t="str">
        <f>IF(SUMIFS(Sheet1!$E:$E,Sheet1!$C:$C,$A240,Sheet1!$A:$A,AE$2)&lt;&gt;0,SUMIFS(Sheet1!$E:$E,Sheet1!$C:$C,$A240,Sheet1!$A:$A,AE$2),"")</f>
        <v/>
      </c>
      <c r="AF240" s="9" t="str">
        <f>IF(SUMIFS(Sheet1!$E:$E,Sheet1!$C:$C,$A240,Sheet1!$A:$A,AF$2)&lt;&gt;0,SUMIFS(Sheet1!$E:$E,Sheet1!$C:$C,$A240,Sheet1!$A:$A,AF$2),"")</f>
        <v/>
      </c>
      <c r="AG240" s="9" t="str">
        <f>IF(SUMIFS(Sheet1!$E:$E,Sheet1!$C:$C,$A240,Sheet1!$A:$A,AG$2)&lt;&gt;0,SUMIFS(Sheet1!$E:$E,Sheet1!$C:$C,$A240,Sheet1!$A:$A,AG$2),"")</f>
        <v/>
      </c>
      <c r="AH240" s="47">
        <f>SUM(Table24[[#This Row],[1]:[31]])</f>
        <v>36</v>
      </c>
    </row>
    <row r="241" spans="1:34" ht="12.75" customHeight="1">
      <c r="A241" s="24" t="str">
        <f>DSSP!A240</f>
        <v>GC165</v>
      </c>
      <c r="B241" s="25" t="str">
        <f>DSSP!B240</f>
        <v>Đồng hồ quả lắc</v>
      </c>
      <c r="C241" s="9">
        <f>IF(SUMIFS(Sheet1!$E:$E,Sheet1!$C:$C,$A241,Sheet1!$A:$A,C$2)&lt;&gt;0,SUMIFS(Sheet1!$E:$E,Sheet1!$C:$C,$A241,Sheet1!$A:$A,C$2),"")</f>
        <v>2</v>
      </c>
      <c r="D241" s="9" t="str">
        <f>IF(SUMIFS(Sheet1!$E:$E,Sheet1!$C:$C,$A241,Sheet1!$A:$A,D$2)&lt;&gt;0,SUMIFS(Sheet1!$E:$E,Sheet1!$C:$C,$A241,Sheet1!$A:$A,D$2),"")</f>
        <v/>
      </c>
      <c r="E241" s="9" t="str">
        <f>IF(SUMIFS(Sheet1!$E:$E,Sheet1!$C:$C,$A241,Sheet1!$A:$A,E$2)&lt;&gt;0,SUMIFS(Sheet1!$E:$E,Sheet1!$C:$C,$A241,Sheet1!$A:$A,E$2),"")</f>
        <v/>
      </c>
      <c r="F241" s="9" t="str">
        <f>IF(SUMIFS(Sheet1!$E:$E,Sheet1!$C:$C,$A241,Sheet1!$A:$A,F$2)&lt;&gt;0,SUMIFS(Sheet1!$E:$E,Sheet1!$C:$C,$A241,Sheet1!$A:$A,F$2),"")</f>
        <v/>
      </c>
      <c r="G241" s="9" t="str">
        <f>IF(SUMIFS(Sheet1!$E:$E,Sheet1!$C:$C,$A241,Sheet1!$A:$A,G$2)&lt;&gt;0,SUMIFS(Sheet1!$E:$E,Sheet1!$C:$C,$A241,Sheet1!$A:$A,G$2),"")</f>
        <v/>
      </c>
      <c r="H241" s="9" t="str">
        <f>IF(SUMIFS(Sheet1!$E:$E,Sheet1!$C:$C,$A241,Sheet1!$A:$A,H$2)&lt;&gt;0,SUMIFS(Sheet1!$E:$E,Sheet1!$C:$C,$A241,Sheet1!$A:$A,H$2),"")</f>
        <v/>
      </c>
      <c r="I241" s="9" t="str">
        <f>IF(SUMIFS(Sheet1!$E:$E,Sheet1!$C:$C,$A241,Sheet1!$A:$A,I$2)&lt;&gt;0,SUMIFS(Sheet1!$E:$E,Sheet1!$C:$C,$A241,Sheet1!$A:$A,I$2),"")</f>
        <v/>
      </c>
      <c r="J241" s="9" t="str">
        <f>IF(SUMIFS(Sheet1!$E:$E,Sheet1!$C:$C,$A241,Sheet1!$A:$A,J$2)&lt;&gt;0,SUMIFS(Sheet1!$E:$E,Sheet1!$C:$C,$A241,Sheet1!$A:$A,J$2),"")</f>
        <v/>
      </c>
      <c r="K241" s="9" t="str">
        <f>IF(SUMIFS(Sheet1!$E:$E,Sheet1!$C:$C,$A241,Sheet1!$A:$A,K$2)&lt;&gt;0,SUMIFS(Sheet1!$E:$E,Sheet1!$C:$C,$A241,Sheet1!$A:$A,K$2),"")</f>
        <v/>
      </c>
      <c r="L241" s="9" t="str">
        <f>IF(SUMIFS(Sheet1!$E:$E,Sheet1!$C:$C,$A241,Sheet1!$A:$A,L$2)&lt;&gt;0,SUMIFS(Sheet1!$E:$E,Sheet1!$C:$C,$A241,Sheet1!$A:$A,L$2),"")</f>
        <v/>
      </c>
      <c r="M241" s="9" t="str">
        <f>IF(SUMIFS(Sheet1!$E:$E,Sheet1!$C:$C,$A241,Sheet1!$A:$A,M$2)&lt;&gt;0,SUMIFS(Sheet1!$E:$E,Sheet1!$C:$C,$A241,Sheet1!$A:$A,M$2),"")</f>
        <v/>
      </c>
      <c r="N241" s="9" t="str">
        <f>IF(SUMIFS(Sheet1!$E:$E,Sheet1!$C:$C,$A241,Sheet1!$A:$A,N$2)&lt;&gt;0,SUMIFS(Sheet1!$E:$E,Sheet1!$C:$C,$A241,Sheet1!$A:$A,N$2),"")</f>
        <v/>
      </c>
      <c r="O241" s="9" t="str">
        <f>IF(SUMIFS(Sheet1!$E:$E,Sheet1!$C:$C,$A241,Sheet1!$A:$A,O$2)&lt;&gt;0,SUMIFS(Sheet1!$E:$E,Sheet1!$C:$C,$A241,Sheet1!$A:$A,O$2),"")</f>
        <v/>
      </c>
      <c r="P241" s="9" t="str">
        <f>IF(SUMIFS(Sheet1!$E:$E,Sheet1!$C:$C,$A241,Sheet1!$A:$A,P$2)&lt;&gt;0,SUMIFS(Sheet1!$E:$E,Sheet1!$C:$C,$A241,Sheet1!$A:$A,P$2),"")</f>
        <v/>
      </c>
      <c r="Q241" s="9" t="str">
        <f>IF(SUMIFS(Sheet1!$E:$E,Sheet1!$C:$C,$A241,Sheet1!$A:$A,Q$2)&lt;&gt;0,SUMIFS(Sheet1!$E:$E,Sheet1!$C:$C,$A241,Sheet1!$A:$A,Q$2),"")</f>
        <v/>
      </c>
      <c r="R241" s="9" t="str">
        <f>IF(SUMIFS(Sheet1!$E:$E,Sheet1!$C:$C,$A241,Sheet1!$A:$A,R$2)&lt;&gt;0,SUMIFS(Sheet1!$E:$E,Sheet1!$C:$C,$A241,Sheet1!$A:$A,R$2),"")</f>
        <v/>
      </c>
      <c r="S241" s="9" t="str">
        <f>IF(SUMIFS(Sheet1!$E:$E,Sheet1!$C:$C,$A241,Sheet1!$A:$A,S$2)&lt;&gt;0,SUMIFS(Sheet1!$E:$E,Sheet1!$C:$C,$A241,Sheet1!$A:$A,S$2),"")</f>
        <v/>
      </c>
      <c r="T241" s="9" t="str">
        <f>IF(SUMIFS(Sheet1!$E:$E,Sheet1!$C:$C,$A241,Sheet1!$A:$A,T$2)&lt;&gt;0,SUMIFS(Sheet1!$E:$E,Sheet1!$C:$C,$A241,Sheet1!$A:$A,T$2),"")</f>
        <v/>
      </c>
      <c r="U241" s="9" t="str">
        <f>IF(SUMIFS(Sheet1!$E:$E,Sheet1!$C:$C,$A241,Sheet1!$A:$A,U$2)&lt;&gt;0,SUMIFS(Sheet1!$E:$E,Sheet1!$C:$C,$A241,Sheet1!$A:$A,U$2),"")</f>
        <v/>
      </c>
      <c r="V241" s="9" t="str">
        <f>IF(SUMIFS(Sheet1!$E:$E,Sheet1!$C:$C,$A241,Sheet1!$A:$A,V$2)&lt;&gt;0,SUMIFS(Sheet1!$E:$E,Sheet1!$C:$C,$A241,Sheet1!$A:$A,V$2),"")</f>
        <v/>
      </c>
      <c r="W241" s="9" t="str">
        <f>IF(SUMIFS(Sheet1!$E:$E,Sheet1!$C:$C,$A241,Sheet1!$A:$A,W$2)&lt;&gt;0,SUMIFS(Sheet1!$E:$E,Sheet1!$C:$C,$A241,Sheet1!$A:$A,W$2),"")</f>
        <v/>
      </c>
      <c r="X241" s="9" t="str">
        <f>IF(SUMIFS(Sheet1!$E:$E,Sheet1!$C:$C,$A241,Sheet1!$A:$A,X$2)&lt;&gt;0,SUMIFS(Sheet1!$E:$E,Sheet1!$C:$C,$A241,Sheet1!$A:$A,X$2),"")</f>
        <v/>
      </c>
      <c r="Y241" s="9" t="str">
        <f>IF(SUMIFS(Sheet1!$E:$E,Sheet1!$C:$C,$A241,Sheet1!$A:$A,Y$2)&lt;&gt;0,SUMIFS(Sheet1!$E:$E,Sheet1!$C:$C,$A241,Sheet1!$A:$A,Y$2),"")</f>
        <v/>
      </c>
      <c r="Z241" s="9" t="str">
        <f>IF(SUMIFS(Sheet1!$E:$E,Sheet1!$C:$C,$A241,Sheet1!$A:$A,Z$2)&lt;&gt;0,SUMIFS(Sheet1!$E:$E,Sheet1!$C:$C,$A241,Sheet1!$A:$A,Z$2),"")</f>
        <v/>
      </c>
      <c r="AA241" s="9" t="str">
        <f>IF(SUMIFS(Sheet1!$E:$E,Sheet1!$C:$C,$A241,Sheet1!$A:$A,AA$2)&lt;&gt;0,SUMIFS(Sheet1!$E:$E,Sheet1!$C:$C,$A241,Sheet1!$A:$A,AA$2),"")</f>
        <v/>
      </c>
      <c r="AB241" s="9" t="str">
        <f>IF(SUMIFS(Sheet1!$E:$E,Sheet1!$C:$C,$A241,Sheet1!$A:$A,AB$2)&lt;&gt;0,SUMIFS(Sheet1!$E:$E,Sheet1!$C:$C,$A241,Sheet1!$A:$A,AB$2),"")</f>
        <v/>
      </c>
      <c r="AC241" s="9" t="str">
        <f>IF(SUMIFS(Sheet1!$E:$E,Sheet1!$C:$C,$A241,Sheet1!$A:$A,AC$2)&lt;&gt;0,SUMIFS(Sheet1!$E:$E,Sheet1!$C:$C,$A241,Sheet1!$A:$A,AC$2),"")</f>
        <v/>
      </c>
      <c r="AD241" s="9" t="str">
        <f>IF(SUMIFS(Sheet1!$E:$E,Sheet1!$C:$C,$A241,Sheet1!$A:$A,AD$2)&lt;&gt;0,SUMIFS(Sheet1!$E:$E,Sheet1!$C:$C,$A241,Sheet1!$A:$A,AD$2),"")</f>
        <v/>
      </c>
      <c r="AE241" s="9" t="str">
        <f>IF(SUMIFS(Sheet1!$E:$E,Sheet1!$C:$C,$A241,Sheet1!$A:$A,AE$2)&lt;&gt;0,SUMIFS(Sheet1!$E:$E,Sheet1!$C:$C,$A241,Sheet1!$A:$A,AE$2),"")</f>
        <v/>
      </c>
      <c r="AF241" s="9" t="str">
        <f>IF(SUMIFS(Sheet1!$E:$E,Sheet1!$C:$C,$A241,Sheet1!$A:$A,AF$2)&lt;&gt;0,SUMIFS(Sheet1!$E:$E,Sheet1!$C:$C,$A241,Sheet1!$A:$A,AF$2),"")</f>
        <v/>
      </c>
      <c r="AG241" s="9" t="str">
        <f>IF(SUMIFS(Sheet1!$E:$E,Sheet1!$C:$C,$A241,Sheet1!$A:$A,AG$2)&lt;&gt;0,SUMIFS(Sheet1!$E:$E,Sheet1!$C:$C,$A241,Sheet1!$A:$A,AG$2),"")</f>
        <v/>
      </c>
      <c r="AH241" s="47">
        <f>SUM(Table24[[#This Row],[1]:[31]])</f>
        <v>2</v>
      </c>
    </row>
    <row r="242" spans="1:34" ht="12.75" customHeight="1">
      <c r="A242" s="24" t="str">
        <f>DSSP!A241</f>
        <v>GC166</v>
      </c>
      <c r="B242" s="25" t="str">
        <f>DSSP!B241</f>
        <v>Trái tim có cánh chim</v>
      </c>
      <c r="C242" s="9" t="str">
        <f>IF(SUMIFS(Sheet1!$E:$E,Sheet1!$C:$C,$A242,Sheet1!$A:$A,C$2)&lt;&gt;0,SUMIFS(Sheet1!$E:$E,Sheet1!$C:$C,$A242,Sheet1!$A:$A,C$2),"")</f>
        <v/>
      </c>
      <c r="D242" s="9" t="str">
        <f>IF(SUMIFS(Sheet1!$E:$E,Sheet1!$C:$C,$A242,Sheet1!$A:$A,D$2)&lt;&gt;0,SUMIFS(Sheet1!$E:$E,Sheet1!$C:$C,$A242,Sheet1!$A:$A,D$2),"")</f>
        <v/>
      </c>
      <c r="E242" s="9" t="str">
        <f>IF(SUMIFS(Sheet1!$E:$E,Sheet1!$C:$C,$A242,Sheet1!$A:$A,E$2)&lt;&gt;0,SUMIFS(Sheet1!$E:$E,Sheet1!$C:$C,$A242,Sheet1!$A:$A,E$2),"")</f>
        <v/>
      </c>
      <c r="F242" s="9" t="str">
        <f>IF(SUMIFS(Sheet1!$E:$E,Sheet1!$C:$C,$A242,Sheet1!$A:$A,F$2)&lt;&gt;0,SUMIFS(Sheet1!$E:$E,Sheet1!$C:$C,$A242,Sheet1!$A:$A,F$2),"")</f>
        <v/>
      </c>
      <c r="G242" s="9" t="str">
        <f>IF(SUMIFS(Sheet1!$E:$E,Sheet1!$C:$C,$A242,Sheet1!$A:$A,G$2)&lt;&gt;0,SUMIFS(Sheet1!$E:$E,Sheet1!$C:$C,$A242,Sheet1!$A:$A,G$2),"")</f>
        <v/>
      </c>
      <c r="H242" s="9" t="str">
        <f>IF(SUMIFS(Sheet1!$E:$E,Sheet1!$C:$C,$A242,Sheet1!$A:$A,H$2)&lt;&gt;0,SUMIFS(Sheet1!$E:$E,Sheet1!$C:$C,$A242,Sheet1!$A:$A,H$2),"")</f>
        <v/>
      </c>
      <c r="I242" s="9" t="str">
        <f>IF(SUMIFS(Sheet1!$E:$E,Sheet1!$C:$C,$A242,Sheet1!$A:$A,I$2)&lt;&gt;0,SUMIFS(Sheet1!$E:$E,Sheet1!$C:$C,$A242,Sheet1!$A:$A,I$2),"")</f>
        <v/>
      </c>
      <c r="J242" s="9" t="str">
        <f>IF(SUMIFS(Sheet1!$E:$E,Sheet1!$C:$C,$A242,Sheet1!$A:$A,J$2)&lt;&gt;0,SUMIFS(Sheet1!$E:$E,Sheet1!$C:$C,$A242,Sheet1!$A:$A,J$2),"")</f>
        <v/>
      </c>
      <c r="K242" s="9" t="str">
        <f>IF(SUMIFS(Sheet1!$E:$E,Sheet1!$C:$C,$A242,Sheet1!$A:$A,K$2)&lt;&gt;0,SUMIFS(Sheet1!$E:$E,Sheet1!$C:$C,$A242,Sheet1!$A:$A,K$2),"")</f>
        <v/>
      </c>
      <c r="L242" s="9" t="str">
        <f>IF(SUMIFS(Sheet1!$E:$E,Sheet1!$C:$C,$A242,Sheet1!$A:$A,L$2)&lt;&gt;0,SUMIFS(Sheet1!$E:$E,Sheet1!$C:$C,$A242,Sheet1!$A:$A,L$2),"")</f>
        <v/>
      </c>
      <c r="M242" s="9" t="str">
        <f>IF(SUMIFS(Sheet1!$E:$E,Sheet1!$C:$C,$A242,Sheet1!$A:$A,M$2)&lt;&gt;0,SUMIFS(Sheet1!$E:$E,Sheet1!$C:$C,$A242,Sheet1!$A:$A,M$2),"")</f>
        <v/>
      </c>
      <c r="N242" s="9" t="str">
        <f>IF(SUMIFS(Sheet1!$E:$E,Sheet1!$C:$C,$A242,Sheet1!$A:$A,N$2)&lt;&gt;0,SUMIFS(Sheet1!$E:$E,Sheet1!$C:$C,$A242,Sheet1!$A:$A,N$2),"")</f>
        <v/>
      </c>
      <c r="O242" s="9" t="str">
        <f>IF(SUMIFS(Sheet1!$E:$E,Sheet1!$C:$C,$A242,Sheet1!$A:$A,O$2)&lt;&gt;0,SUMIFS(Sheet1!$E:$E,Sheet1!$C:$C,$A242,Sheet1!$A:$A,O$2),"")</f>
        <v/>
      </c>
      <c r="P242" s="9" t="str">
        <f>IF(SUMIFS(Sheet1!$E:$E,Sheet1!$C:$C,$A242,Sheet1!$A:$A,P$2)&lt;&gt;0,SUMIFS(Sheet1!$E:$E,Sheet1!$C:$C,$A242,Sheet1!$A:$A,P$2),"")</f>
        <v/>
      </c>
      <c r="Q242" s="9" t="str">
        <f>IF(SUMIFS(Sheet1!$E:$E,Sheet1!$C:$C,$A242,Sheet1!$A:$A,Q$2)&lt;&gt;0,SUMIFS(Sheet1!$E:$E,Sheet1!$C:$C,$A242,Sheet1!$A:$A,Q$2),"")</f>
        <v/>
      </c>
      <c r="R242" s="9" t="str">
        <f>IF(SUMIFS(Sheet1!$E:$E,Sheet1!$C:$C,$A242,Sheet1!$A:$A,R$2)&lt;&gt;0,SUMIFS(Sheet1!$E:$E,Sheet1!$C:$C,$A242,Sheet1!$A:$A,R$2),"")</f>
        <v/>
      </c>
      <c r="S242" s="9" t="str">
        <f>IF(SUMIFS(Sheet1!$E:$E,Sheet1!$C:$C,$A242,Sheet1!$A:$A,S$2)&lt;&gt;0,SUMIFS(Sheet1!$E:$E,Sheet1!$C:$C,$A242,Sheet1!$A:$A,S$2),"")</f>
        <v/>
      </c>
      <c r="T242" s="9" t="str">
        <f>IF(SUMIFS(Sheet1!$E:$E,Sheet1!$C:$C,$A242,Sheet1!$A:$A,T$2)&lt;&gt;0,SUMIFS(Sheet1!$E:$E,Sheet1!$C:$C,$A242,Sheet1!$A:$A,T$2),"")</f>
        <v/>
      </c>
      <c r="U242" s="9" t="str">
        <f>IF(SUMIFS(Sheet1!$E:$E,Sheet1!$C:$C,$A242,Sheet1!$A:$A,U$2)&lt;&gt;0,SUMIFS(Sheet1!$E:$E,Sheet1!$C:$C,$A242,Sheet1!$A:$A,U$2),"")</f>
        <v/>
      </c>
      <c r="V242" s="9" t="str">
        <f>IF(SUMIFS(Sheet1!$E:$E,Sheet1!$C:$C,$A242,Sheet1!$A:$A,V$2)&lt;&gt;0,SUMIFS(Sheet1!$E:$E,Sheet1!$C:$C,$A242,Sheet1!$A:$A,V$2),"")</f>
        <v/>
      </c>
      <c r="W242" s="9" t="str">
        <f>IF(SUMIFS(Sheet1!$E:$E,Sheet1!$C:$C,$A242,Sheet1!$A:$A,W$2)&lt;&gt;0,SUMIFS(Sheet1!$E:$E,Sheet1!$C:$C,$A242,Sheet1!$A:$A,W$2),"")</f>
        <v/>
      </c>
      <c r="X242" s="9" t="str">
        <f>IF(SUMIFS(Sheet1!$E:$E,Sheet1!$C:$C,$A242,Sheet1!$A:$A,X$2)&lt;&gt;0,SUMIFS(Sheet1!$E:$E,Sheet1!$C:$C,$A242,Sheet1!$A:$A,X$2),"")</f>
        <v/>
      </c>
      <c r="Y242" s="9" t="str">
        <f>IF(SUMIFS(Sheet1!$E:$E,Sheet1!$C:$C,$A242,Sheet1!$A:$A,Y$2)&lt;&gt;0,SUMIFS(Sheet1!$E:$E,Sheet1!$C:$C,$A242,Sheet1!$A:$A,Y$2),"")</f>
        <v/>
      </c>
      <c r="Z242" s="9" t="str">
        <f>IF(SUMIFS(Sheet1!$E:$E,Sheet1!$C:$C,$A242,Sheet1!$A:$A,Z$2)&lt;&gt;0,SUMIFS(Sheet1!$E:$E,Sheet1!$C:$C,$A242,Sheet1!$A:$A,Z$2),"")</f>
        <v/>
      </c>
      <c r="AA242" s="9" t="str">
        <f>IF(SUMIFS(Sheet1!$E:$E,Sheet1!$C:$C,$A242,Sheet1!$A:$A,AA$2)&lt;&gt;0,SUMIFS(Sheet1!$E:$E,Sheet1!$C:$C,$A242,Sheet1!$A:$A,AA$2),"")</f>
        <v/>
      </c>
      <c r="AB242" s="9" t="str">
        <f>IF(SUMIFS(Sheet1!$E:$E,Sheet1!$C:$C,$A242,Sheet1!$A:$A,AB$2)&lt;&gt;0,SUMIFS(Sheet1!$E:$E,Sheet1!$C:$C,$A242,Sheet1!$A:$A,AB$2),"")</f>
        <v/>
      </c>
      <c r="AC242" s="9" t="str">
        <f>IF(SUMIFS(Sheet1!$E:$E,Sheet1!$C:$C,$A242,Sheet1!$A:$A,AC$2)&lt;&gt;0,SUMIFS(Sheet1!$E:$E,Sheet1!$C:$C,$A242,Sheet1!$A:$A,AC$2),"")</f>
        <v/>
      </c>
      <c r="AD242" s="9" t="str">
        <f>IF(SUMIFS(Sheet1!$E:$E,Sheet1!$C:$C,$A242,Sheet1!$A:$A,AD$2)&lt;&gt;0,SUMIFS(Sheet1!$E:$E,Sheet1!$C:$C,$A242,Sheet1!$A:$A,AD$2),"")</f>
        <v/>
      </c>
      <c r="AE242" s="9" t="str">
        <f>IF(SUMIFS(Sheet1!$E:$E,Sheet1!$C:$C,$A242,Sheet1!$A:$A,AE$2)&lt;&gt;0,SUMIFS(Sheet1!$E:$E,Sheet1!$C:$C,$A242,Sheet1!$A:$A,AE$2),"")</f>
        <v/>
      </c>
      <c r="AF242" s="9" t="str">
        <f>IF(SUMIFS(Sheet1!$E:$E,Sheet1!$C:$C,$A242,Sheet1!$A:$A,AF$2)&lt;&gt;0,SUMIFS(Sheet1!$E:$E,Sheet1!$C:$C,$A242,Sheet1!$A:$A,AF$2),"")</f>
        <v/>
      </c>
      <c r="AG242" s="9" t="str">
        <f>IF(SUMIFS(Sheet1!$E:$E,Sheet1!$C:$C,$A242,Sheet1!$A:$A,AG$2)&lt;&gt;0,SUMIFS(Sheet1!$E:$E,Sheet1!$C:$C,$A242,Sheet1!$A:$A,AG$2),"")</f>
        <v/>
      </c>
      <c r="AH242" s="47">
        <f>SUM(Table24[[#This Row],[1]:[31]])</f>
        <v>0</v>
      </c>
    </row>
    <row r="243" spans="1:34" ht="12.75" customHeight="1">
      <c r="A243" s="24" t="str">
        <f>DSSP!A242</f>
        <v>GC167</v>
      </c>
      <c r="B243" s="25" t="str">
        <f>DSSP!B242</f>
        <v>Cánh chim rỗng</v>
      </c>
      <c r="C243" s="9">
        <f>IF(SUMIFS(Sheet1!$E:$E,Sheet1!$C:$C,$A243,Sheet1!$A:$A,C$2)&lt;&gt;0,SUMIFS(Sheet1!$E:$E,Sheet1!$C:$C,$A243,Sheet1!$A:$A,C$2),"")</f>
        <v>80</v>
      </c>
      <c r="D243" s="9" t="str">
        <f>IF(SUMIFS(Sheet1!$E:$E,Sheet1!$C:$C,$A243,Sheet1!$A:$A,D$2)&lt;&gt;0,SUMIFS(Sheet1!$E:$E,Sheet1!$C:$C,$A243,Sheet1!$A:$A,D$2),"")</f>
        <v/>
      </c>
      <c r="E243" s="9" t="str">
        <f>IF(SUMIFS(Sheet1!$E:$E,Sheet1!$C:$C,$A243,Sheet1!$A:$A,E$2)&lt;&gt;0,SUMIFS(Sheet1!$E:$E,Sheet1!$C:$C,$A243,Sheet1!$A:$A,E$2),"")</f>
        <v/>
      </c>
      <c r="F243" s="9" t="str">
        <f>IF(SUMIFS(Sheet1!$E:$E,Sheet1!$C:$C,$A243,Sheet1!$A:$A,F$2)&lt;&gt;0,SUMIFS(Sheet1!$E:$E,Sheet1!$C:$C,$A243,Sheet1!$A:$A,F$2),"")</f>
        <v/>
      </c>
      <c r="G243" s="9" t="str">
        <f>IF(SUMIFS(Sheet1!$E:$E,Sheet1!$C:$C,$A243,Sheet1!$A:$A,G$2)&lt;&gt;0,SUMIFS(Sheet1!$E:$E,Sheet1!$C:$C,$A243,Sheet1!$A:$A,G$2),"")</f>
        <v/>
      </c>
      <c r="H243" s="9" t="str">
        <f>IF(SUMIFS(Sheet1!$E:$E,Sheet1!$C:$C,$A243,Sheet1!$A:$A,H$2)&lt;&gt;0,SUMIFS(Sheet1!$E:$E,Sheet1!$C:$C,$A243,Sheet1!$A:$A,H$2),"")</f>
        <v/>
      </c>
      <c r="I243" s="9" t="str">
        <f>IF(SUMIFS(Sheet1!$E:$E,Sheet1!$C:$C,$A243,Sheet1!$A:$A,I$2)&lt;&gt;0,SUMIFS(Sheet1!$E:$E,Sheet1!$C:$C,$A243,Sheet1!$A:$A,I$2),"")</f>
        <v/>
      </c>
      <c r="J243" s="9" t="str">
        <f>IF(SUMIFS(Sheet1!$E:$E,Sheet1!$C:$C,$A243,Sheet1!$A:$A,J$2)&lt;&gt;0,SUMIFS(Sheet1!$E:$E,Sheet1!$C:$C,$A243,Sheet1!$A:$A,J$2),"")</f>
        <v/>
      </c>
      <c r="K243" s="9" t="str">
        <f>IF(SUMIFS(Sheet1!$E:$E,Sheet1!$C:$C,$A243,Sheet1!$A:$A,K$2)&lt;&gt;0,SUMIFS(Sheet1!$E:$E,Sheet1!$C:$C,$A243,Sheet1!$A:$A,K$2),"")</f>
        <v/>
      </c>
      <c r="L243" s="9" t="str">
        <f>IF(SUMIFS(Sheet1!$E:$E,Sheet1!$C:$C,$A243,Sheet1!$A:$A,L$2)&lt;&gt;0,SUMIFS(Sheet1!$E:$E,Sheet1!$C:$C,$A243,Sheet1!$A:$A,L$2),"")</f>
        <v/>
      </c>
      <c r="M243" s="9" t="str">
        <f>IF(SUMIFS(Sheet1!$E:$E,Sheet1!$C:$C,$A243,Sheet1!$A:$A,M$2)&lt;&gt;0,SUMIFS(Sheet1!$E:$E,Sheet1!$C:$C,$A243,Sheet1!$A:$A,M$2),"")</f>
        <v/>
      </c>
      <c r="N243" s="9" t="str">
        <f>IF(SUMIFS(Sheet1!$E:$E,Sheet1!$C:$C,$A243,Sheet1!$A:$A,N$2)&lt;&gt;0,SUMIFS(Sheet1!$E:$E,Sheet1!$C:$C,$A243,Sheet1!$A:$A,N$2),"")</f>
        <v/>
      </c>
      <c r="O243" s="9" t="str">
        <f>IF(SUMIFS(Sheet1!$E:$E,Sheet1!$C:$C,$A243,Sheet1!$A:$A,O$2)&lt;&gt;0,SUMIFS(Sheet1!$E:$E,Sheet1!$C:$C,$A243,Sheet1!$A:$A,O$2),"")</f>
        <v/>
      </c>
      <c r="P243" s="9" t="str">
        <f>IF(SUMIFS(Sheet1!$E:$E,Sheet1!$C:$C,$A243,Sheet1!$A:$A,P$2)&lt;&gt;0,SUMIFS(Sheet1!$E:$E,Sheet1!$C:$C,$A243,Sheet1!$A:$A,P$2),"")</f>
        <v/>
      </c>
      <c r="Q243" s="9" t="str">
        <f>IF(SUMIFS(Sheet1!$E:$E,Sheet1!$C:$C,$A243,Sheet1!$A:$A,Q$2)&lt;&gt;0,SUMIFS(Sheet1!$E:$E,Sheet1!$C:$C,$A243,Sheet1!$A:$A,Q$2),"")</f>
        <v/>
      </c>
      <c r="R243" s="9" t="str">
        <f>IF(SUMIFS(Sheet1!$E:$E,Sheet1!$C:$C,$A243,Sheet1!$A:$A,R$2)&lt;&gt;0,SUMIFS(Sheet1!$E:$E,Sheet1!$C:$C,$A243,Sheet1!$A:$A,R$2),"")</f>
        <v/>
      </c>
      <c r="S243" s="9" t="str">
        <f>IF(SUMIFS(Sheet1!$E:$E,Sheet1!$C:$C,$A243,Sheet1!$A:$A,S$2)&lt;&gt;0,SUMIFS(Sheet1!$E:$E,Sheet1!$C:$C,$A243,Sheet1!$A:$A,S$2),"")</f>
        <v/>
      </c>
      <c r="T243" s="9" t="str">
        <f>IF(SUMIFS(Sheet1!$E:$E,Sheet1!$C:$C,$A243,Sheet1!$A:$A,T$2)&lt;&gt;0,SUMIFS(Sheet1!$E:$E,Sheet1!$C:$C,$A243,Sheet1!$A:$A,T$2),"")</f>
        <v/>
      </c>
      <c r="U243" s="9" t="str">
        <f>IF(SUMIFS(Sheet1!$E:$E,Sheet1!$C:$C,$A243,Sheet1!$A:$A,U$2)&lt;&gt;0,SUMIFS(Sheet1!$E:$E,Sheet1!$C:$C,$A243,Sheet1!$A:$A,U$2),"")</f>
        <v/>
      </c>
      <c r="V243" s="9" t="str">
        <f>IF(SUMIFS(Sheet1!$E:$E,Sheet1!$C:$C,$A243,Sheet1!$A:$A,V$2)&lt;&gt;0,SUMIFS(Sheet1!$E:$E,Sheet1!$C:$C,$A243,Sheet1!$A:$A,V$2),"")</f>
        <v/>
      </c>
      <c r="W243" s="9" t="str">
        <f>IF(SUMIFS(Sheet1!$E:$E,Sheet1!$C:$C,$A243,Sheet1!$A:$A,W$2)&lt;&gt;0,SUMIFS(Sheet1!$E:$E,Sheet1!$C:$C,$A243,Sheet1!$A:$A,W$2),"")</f>
        <v/>
      </c>
      <c r="X243" s="9" t="str">
        <f>IF(SUMIFS(Sheet1!$E:$E,Sheet1!$C:$C,$A243,Sheet1!$A:$A,X$2)&lt;&gt;0,SUMIFS(Sheet1!$E:$E,Sheet1!$C:$C,$A243,Sheet1!$A:$A,X$2),"")</f>
        <v/>
      </c>
      <c r="Y243" s="9" t="str">
        <f>IF(SUMIFS(Sheet1!$E:$E,Sheet1!$C:$C,$A243,Sheet1!$A:$A,Y$2)&lt;&gt;0,SUMIFS(Sheet1!$E:$E,Sheet1!$C:$C,$A243,Sheet1!$A:$A,Y$2),"")</f>
        <v/>
      </c>
      <c r="Z243" s="9" t="str">
        <f>IF(SUMIFS(Sheet1!$E:$E,Sheet1!$C:$C,$A243,Sheet1!$A:$A,Z$2)&lt;&gt;0,SUMIFS(Sheet1!$E:$E,Sheet1!$C:$C,$A243,Sheet1!$A:$A,Z$2),"")</f>
        <v/>
      </c>
      <c r="AA243" s="9" t="str">
        <f>IF(SUMIFS(Sheet1!$E:$E,Sheet1!$C:$C,$A243,Sheet1!$A:$A,AA$2)&lt;&gt;0,SUMIFS(Sheet1!$E:$E,Sheet1!$C:$C,$A243,Sheet1!$A:$A,AA$2),"")</f>
        <v/>
      </c>
      <c r="AB243" s="9" t="str">
        <f>IF(SUMIFS(Sheet1!$E:$E,Sheet1!$C:$C,$A243,Sheet1!$A:$A,AB$2)&lt;&gt;0,SUMIFS(Sheet1!$E:$E,Sheet1!$C:$C,$A243,Sheet1!$A:$A,AB$2),"")</f>
        <v/>
      </c>
      <c r="AC243" s="9" t="str">
        <f>IF(SUMIFS(Sheet1!$E:$E,Sheet1!$C:$C,$A243,Sheet1!$A:$A,AC$2)&lt;&gt;0,SUMIFS(Sheet1!$E:$E,Sheet1!$C:$C,$A243,Sheet1!$A:$A,AC$2),"")</f>
        <v/>
      </c>
      <c r="AD243" s="9" t="str">
        <f>IF(SUMIFS(Sheet1!$E:$E,Sheet1!$C:$C,$A243,Sheet1!$A:$A,AD$2)&lt;&gt;0,SUMIFS(Sheet1!$E:$E,Sheet1!$C:$C,$A243,Sheet1!$A:$A,AD$2),"")</f>
        <v/>
      </c>
      <c r="AE243" s="9" t="str">
        <f>IF(SUMIFS(Sheet1!$E:$E,Sheet1!$C:$C,$A243,Sheet1!$A:$A,AE$2)&lt;&gt;0,SUMIFS(Sheet1!$E:$E,Sheet1!$C:$C,$A243,Sheet1!$A:$A,AE$2),"")</f>
        <v/>
      </c>
      <c r="AF243" s="9" t="str">
        <f>IF(SUMIFS(Sheet1!$E:$E,Sheet1!$C:$C,$A243,Sheet1!$A:$A,AF$2)&lt;&gt;0,SUMIFS(Sheet1!$E:$E,Sheet1!$C:$C,$A243,Sheet1!$A:$A,AF$2),"")</f>
        <v/>
      </c>
      <c r="AG243" s="9" t="str">
        <f>IF(SUMIFS(Sheet1!$E:$E,Sheet1!$C:$C,$A243,Sheet1!$A:$A,AG$2)&lt;&gt;0,SUMIFS(Sheet1!$E:$E,Sheet1!$C:$C,$A243,Sheet1!$A:$A,AG$2),"")</f>
        <v/>
      </c>
      <c r="AH243" s="47">
        <f>SUM(Table24[[#This Row],[1]:[31]])</f>
        <v>80</v>
      </c>
    </row>
    <row r="244" spans="1:34" ht="12.75" customHeight="1">
      <c r="A244" s="24" t="str">
        <f>DSSP!A243</f>
        <v>GC168</v>
      </c>
      <c r="B244" s="25" t="str">
        <f>DSSP!B243</f>
        <v>Bàn tay Handmade</v>
      </c>
      <c r="C244" s="9">
        <f>IF(SUMIFS(Sheet1!$E:$E,Sheet1!$C:$C,$A244,Sheet1!$A:$A,C$2)&lt;&gt;0,SUMIFS(Sheet1!$E:$E,Sheet1!$C:$C,$A244,Sheet1!$A:$A,C$2),"")</f>
        <v>31</v>
      </c>
      <c r="D244" s="9" t="str">
        <f>IF(SUMIFS(Sheet1!$E:$E,Sheet1!$C:$C,$A244,Sheet1!$A:$A,D$2)&lt;&gt;0,SUMIFS(Sheet1!$E:$E,Sheet1!$C:$C,$A244,Sheet1!$A:$A,D$2),"")</f>
        <v/>
      </c>
      <c r="E244" s="9" t="str">
        <f>IF(SUMIFS(Sheet1!$E:$E,Sheet1!$C:$C,$A244,Sheet1!$A:$A,E$2)&lt;&gt;0,SUMIFS(Sheet1!$E:$E,Sheet1!$C:$C,$A244,Sheet1!$A:$A,E$2),"")</f>
        <v/>
      </c>
      <c r="F244" s="9" t="str">
        <f>IF(SUMIFS(Sheet1!$E:$E,Sheet1!$C:$C,$A244,Sheet1!$A:$A,F$2)&lt;&gt;0,SUMIFS(Sheet1!$E:$E,Sheet1!$C:$C,$A244,Sheet1!$A:$A,F$2),"")</f>
        <v/>
      </c>
      <c r="G244" s="9" t="str">
        <f>IF(SUMIFS(Sheet1!$E:$E,Sheet1!$C:$C,$A244,Sheet1!$A:$A,G$2)&lt;&gt;0,SUMIFS(Sheet1!$E:$E,Sheet1!$C:$C,$A244,Sheet1!$A:$A,G$2),"")</f>
        <v/>
      </c>
      <c r="H244" s="9" t="str">
        <f>IF(SUMIFS(Sheet1!$E:$E,Sheet1!$C:$C,$A244,Sheet1!$A:$A,H$2)&lt;&gt;0,SUMIFS(Sheet1!$E:$E,Sheet1!$C:$C,$A244,Sheet1!$A:$A,H$2),"")</f>
        <v/>
      </c>
      <c r="I244" s="9" t="str">
        <f>IF(SUMIFS(Sheet1!$E:$E,Sheet1!$C:$C,$A244,Sheet1!$A:$A,I$2)&lt;&gt;0,SUMIFS(Sheet1!$E:$E,Sheet1!$C:$C,$A244,Sheet1!$A:$A,I$2),"")</f>
        <v/>
      </c>
      <c r="J244" s="9" t="str">
        <f>IF(SUMIFS(Sheet1!$E:$E,Sheet1!$C:$C,$A244,Sheet1!$A:$A,J$2)&lt;&gt;0,SUMIFS(Sheet1!$E:$E,Sheet1!$C:$C,$A244,Sheet1!$A:$A,J$2),"")</f>
        <v/>
      </c>
      <c r="K244" s="9" t="str">
        <f>IF(SUMIFS(Sheet1!$E:$E,Sheet1!$C:$C,$A244,Sheet1!$A:$A,K$2)&lt;&gt;0,SUMIFS(Sheet1!$E:$E,Sheet1!$C:$C,$A244,Sheet1!$A:$A,K$2),"")</f>
        <v/>
      </c>
      <c r="L244" s="9" t="str">
        <f>IF(SUMIFS(Sheet1!$E:$E,Sheet1!$C:$C,$A244,Sheet1!$A:$A,L$2)&lt;&gt;0,SUMIFS(Sheet1!$E:$E,Sheet1!$C:$C,$A244,Sheet1!$A:$A,L$2),"")</f>
        <v/>
      </c>
      <c r="M244" s="9" t="str">
        <f>IF(SUMIFS(Sheet1!$E:$E,Sheet1!$C:$C,$A244,Sheet1!$A:$A,M$2)&lt;&gt;0,SUMIFS(Sheet1!$E:$E,Sheet1!$C:$C,$A244,Sheet1!$A:$A,M$2),"")</f>
        <v/>
      </c>
      <c r="N244" s="9" t="str">
        <f>IF(SUMIFS(Sheet1!$E:$E,Sheet1!$C:$C,$A244,Sheet1!$A:$A,N$2)&lt;&gt;0,SUMIFS(Sheet1!$E:$E,Sheet1!$C:$C,$A244,Sheet1!$A:$A,N$2),"")</f>
        <v/>
      </c>
      <c r="O244" s="9" t="str">
        <f>IF(SUMIFS(Sheet1!$E:$E,Sheet1!$C:$C,$A244,Sheet1!$A:$A,O$2)&lt;&gt;0,SUMIFS(Sheet1!$E:$E,Sheet1!$C:$C,$A244,Sheet1!$A:$A,O$2),"")</f>
        <v/>
      </c>
      <c r="P244" s="9" t="str">
        <f>IF(SUMIFS(Sheet1!$E:$E,Sheet1!$C:$C,$A244,Sheet1!$A:$A,P$2)&lt;&gt;0,SUMIFS(Sheet1!$E:$E,Sheet1!$C:$C,$A244,Sheet1!$A:$A,P$2),"")</f>
        <v/>
      </c>
      <c r="Q244" s="9" t="str">
        <f>IF(SUMIFS(Sheet1!$E:$E,Sheet1!$C:$C,$A244,Sheet1!$A:$A,Q$2)&lt;&gt;0,SUMIFS(Sheet1!$E:$E,Sheet1!$C:$C,$A244,Sheet1!$A:$A,Q$2),"")</f>
        <v/>
      </c>
      <c r="R244" s="9" t="str">
        <f>IF(SUMIFS(Sheet1!$E:$E,Sheet1!$C:$C,$A244,Sheet1!$A:$A,R$2)&lt;&gt;0,SUMIFS(Sheet1!$E:$E,Sheet1!$C:$C,$A244,Sheet1!$A:$A,R$2),"")</f>
        <v/>
      </c>
      <c r="S244" s="9" t="str">
        <f>IF(SUMIFS(Sheet1!$E:$E,Sheet1!$C:$C,$A244,Sheet1!$A:$A,S$2)&lt;&gt;0,SUMIFS(Sheet1!$E:$E,Sheet1!$C:$C,$A244,Sheet1!$A:$A,S$2),"")</f>
        <v/>
      </c>
      <c r="T244" s="9" t="str">
        <f>IF(SUMIFS(Sheet1!$E:$E,Sheet1!$C:$C,$A244,Sheet1!$A:$A,T$2)&lt;&gt;0,SUMIFS(Sheet1!$E:$E,Sheet1!$C:$C,$A244,Sheet1!$A:$A,T$2),"")</f>
        <v/>
      </c>
      <c r="U244" s="9" t="str">
        <f>IF(SUMIFS(Sheet1!$E:$E,Sheet1!$C:$C,$A244,Sheet1!$A:$A,U$2)&lt;&gt;0,SUMIFS(Sheet1!$E:$E,Sheet1!$C:$C,$A244,Sheet1!$A:$A,U$2),"")</f>
        <v/>
      </c>
      <c r="V244" s="9" t="str">
        <f>IF(SUMIFS(Sheet1!$E:$E,Sheet1!$C:$C,$A244,Sheet1!$A:$A,V$2)&lt;&gt;0,SUMIFS(Sheet1!$E:$E,Sheet1!$C:$C,$A244,Sheet1!$A:$A,V$2),"")</f>
        <v/>
      </c>
      <c r="W244" s="9" t="str">
        <f>IF(SUMIFS(Sheet1!$E:$E,Sheet1!$C:$C,$A244,Sheet1!$A:$A,W$2)&lt;&gt;0,SUMIFS(Sheet1!$E:$E,Sheet1!$C:$C,$A244,Sheet1!$A:$A,W$2),"")</f>
        <v/>
      </c>
      <c r="X244" s="9" t="str">
        <f>IF(SUMIFS(Sheet1!$E:$E,Sheet1!$C:$C,$A244,Sheet1!$A:$A,X$2)&lt;&gt;0,SUMIFS(Sheet1!$E:$E,Sheet1!$C:$C,$A244,Sheet1!$A:$A,X$2),"")</f>
        <v/>
      </c>
      <c r="Y244" s="9" t="str">
        <f>IF(SUMIFS(Sheet1!$E:$E,Sheet1!$C:$C,$A244,Sheet1!$A:$A,Y$2)&lt;&gt;0,SUMIFS(Sheet1!$E:$E,Sheet1!$C:$C,$A244,Sheet1!$A:$A,Y$2),"")</f>
        <v/>
      </c>
      <c r="Z244" s="9" t="str">
        <f>IF(SUMIFS(Sheet1!$E:$E,Sheet1!$C:$C,$A244,Sheet1!$A:$A,Z$2)&lt;&gt;0,SUMIFS(Sheet1!$E:$E,Sheet1!$C:$C,$A244,Sheet1!$A:$A,Z$2),"")</f>
        <v/>
      </c>
      <c r="AA244" s="9" t="str">
        <f>IF(SUMIFS(Sheet1!$E:$E,Sheet1!$C:$C,$A244,Sheet1!$A:$A,AA$2)&lt;&gt;0,SUMIFS(Sheet1!$E:$E,Sheet1!$C:$C,$A244,Sheet1!$A:$A,AA$2),"")</f>
        <v/>
      </c>
      <c r="AB244" s="9" t="str">
        <f>IF(SUMIFS(Sheet1!$E:$E,Sheet1!$C:$C,$A244,Sheet1!$A:$A,AB$2)&lt;&gt;0,SUMIFS(Sheet1!$E:$E,Sheet1!$C:$C,$A244,Sheet1!$A:$A,AB$2),"")</f>
        <v/>
      </c>
      <c r="AC244" s="9" t="str">
        <f>IF(SUMIFS(Sheet1!$E:$E,Sheet1!$C:$C,$A244,Sheet1!$A:$A,AC$2)&lt;&gt;0,SUMIFS(Sheet1!$E:$E,Sheet1!$C:$C,$A244,Sheet1!$A:$A,AC$2),"")</f>
        <v/>
      </c>
      <c r="AD244" s="9" t="str">
        <f>IF(SUMIFS(Sheet1!$E:$E,Sheet1!$C:$C,$A244,Sheet1!$A:$A,AD$2)&lt;&gt;0,SUMIFS(Sheet1!$E:$E,Sheet1!$C:$C,$A244,Sheet1!$A:$A,AD$2),"")</f>
        <v/>
      </c>
      <c r="AE244" s="9" t="str">
        <f>IF(SUMIFS(Sheet1!$E:$E,Sheet1!$C:$C,$A244,Sheet1!$A:$A,AE$2)&lt;&gt;0,SUMIFS(Sheet1!$E:$E,Sheet1!$C:$C,$A244,Sheet1!$A:$A,AE$2),"")</f>
        <v/>
      </c>
      <c r="AF244" s="9" t="str">
        <f>IF(SUMIFS(Sheet1!$E:$E,Sheet1!$C:$C,$A244,Sheet1!$A:$A,AF$2)&lt;&gt;0,SUMIFS(Sheet1!$E:$E,Sheet1!$C:$C,$A244,Sheet1!$A:$A,AF$2),"")</f>
        <v/>
      </c>
      <c r="AG244" s="9" t="str">
        <f>IF(SUMIFS(Sheet1!$E:$E,Sheet1!$C:$C,$A244,Sheet1!$A:$A,AG$2)&lt;&gt;0,SUMIFS(Sheet1!$E:$E,Sheet1!$C:$C,$A244,Sheet1!$A:$A,AG$2),"")</f>
        <v/>
      </c>
      <c r="AH244" s="47">
        <f>SUM(Table24[[#This Row],[1]:[31]])</f>
        <v>31</v>
      </c>
    </row>
    <row r="245" spans="1:34" ht="12.75" customHeight="1">
      <c r="A245" s="78" t="str">
        <f>DSSP!A244</f>
        <v>GC169</v>
      </c>
      <c r="B245" s="21" t="str">
        <f>DSSP!B244</f>
        <v>Hộp nhẫn kim cương</v>
      </c>
      <c r="C245" s="21">
        <f>IF(SUMIFS(Sheet1!$E:$E,Sheet1!$C:$C,$A245,Sheet1!$A:$A,C$2)&lt;&gt;0,SUMIFS(Sheet1!$E:$E,Sheet1!$C:$C,$A245,Sheet1!$A:$A,C$2),"")</f>
        <v>99</v>
      </c>
      <c r="D245" s="21" t="str">
        <f>IF(SUMIFS(Sheet1!$E:$E,Sheet1!$C:$C,$A245,Sheet1!$A:$A,D$2)&lt;&gt;0,SUMIFS(Sheet1!$E:$E,Sheet1!$C:$C,$A245,Sheet1!$A:$A,D$2),"")</f>
        <v/>
      </c>
      <c r="E245" s="10" t="str">
        <f>IF(SUMIFS(Sheet1!$E:$E,Sheet1!$C:$C,$A245,Sheet1!$A:$A,E$2)&lt;&gt;0,SUMIFS(Sheet1!$E:$E,Sheet1!$C:$C,$A245,Sheet1!$A:$A,E$2),"")</f>
        <v/>
      </c>
      <c r="F245" s="10" t="str">
        <f>IF(SUMIFS(Sheet1!$E:$E,Sheet1!$C:$C,$A245,Sheet1!$A:$A,F$2)&lt;&gt;0,SUMIFS(Sheet1!$E:$E,Sheet1!$C:$C,$A245,Sheet1!$A:$A,F$2),"")</f>
        <v/>
      </c>
      <c r="G245" s="10" t="str">
        <f>IF(SUMIFS(Sheet1!$E:$E,Sheet1!$C:$C,$A245,Sheet1!$A:$A,G$2)&lt;&gt;0,SUMIFS(Sheet1!$E:$E,Sheet1!$C:$C,$A245,Sheet1!$A:$A,G$2),"")</f>
        <v/>
      </c>
      <c r="H245" s="10" t="str">
        <f>IF(SUMIFS(Sheet1!$E:$E,Sheet1!$C:$C,$A245,Sheet1!$A:$A,H$2)&lt;&gt;0,SUMIFS(Sheet1!$E:$E,Sheet1!$C:$C,$A245,Sheet1!$A:$A,H$2),"")</f>
        <v/>
      </c>
      <c r="I245" s="10" t="str">
        <f>IF(SUMIFS(Sheet1!$E:$E,Sheet1!$C:$C,$A245,Sheet1!$A:$A,I$2)&lt;&gt;0,SUMIFS(Sheet1!$E:$E,Sheet1!$C:$C,$A245,Sheet1!$A:$A,I$2),"")</f>
        <v/>
      </c>
      <c r="J245" s="10" t="str">
        <f>IF(SUMIFS(Sheet1!$E:$E,Sheet1!$C:$C,$A245,Sheet1!$A:$A,J$2)&lt;&gt;0,SUMIFS(Sheet1!$E:$E,Sheet1!$C:$C,$A245,Sheet1!$A:$A,J$2),"")</f>
        <v/>
      </c>
      <c r="K245" s="10" t="str">
        <f>IF(SUMIFS(Sheet1!$E:$E,Sheet1!$C:$C,$A245,Sheet1!$A:$A,K$2)&lt;&gt;0,SUMIFS(Sheet1!$E:$E,Sheet1!$C:$C,$A245,Sheet1!$A:$A,K$2),"")</f>
        <v/>
      </c>
      <c r="L245" s="10" t="str">
        <f>IF(SUMIFS(Sheet1!$E:$E,Sheet1!$C:$C,$A245,Sheet1!$A:$A,L$2)&lt;&gt;0,SUMIFS(Sheet1!$E:$E,Sheet1!$C:$C,$A245,Sheet1!$A:$A,L$2),"")</f>
        <v/>
      </c>
      <c r="M245" s="10" t="str">
        <f>IF(SUMIFS(Sheet1!$E:$E,Sheet1!$C:$C,$A245,Sheet1!$A:$A,M$2)&lt;&gt;0,SUMIFS(Sheet1!$E:$E,Sheet1!$C:$C,$A245,Sheet1!$A:$A,M$2),"")</f>
        <v/>
      </c>
      <c r="N245" s="10" t="str">
        <f>IF(SUMIFS(Sheet1!$E:$E,Sheet1!$C:$C,$A245,Sheet1!$A:$A,N$2)&lt;&gt;0,SUMIFS(Sheet1!$E:$E,Sheet1!$C:$C,$A245,Sheet1!$A:$A,N$2),"")</f>
        <v/>
      </c>
      <c r="O245" s="10" t="str">
        <f>IF(SUMIFS(Sheet1!$E:$E,Sheet1!$C:$C,$A245,Sheet1!$A:$A,O$2)&lt;&gt;0,SUMIFS(Sheet1!$E:$E,Sheet1!$C:$C,$A245,Sheet1!$A:$A,O$2),"")</f>
        <v/>
      </c>
      <c r="P245" s="10" t="str">
        <f>IF(SUMIFS(Sheet1!$E:$E,Sheet1!$C:$C,$A245,Sheet1!$A:$A,P$2)&lt;&gt;0,SUMIFS(Sheet1!$E:$E,Sheet1!$C:$C,$A245,Sheet1!$A:$A,P$2),"")</f>
        <v/>
      </c>
      <c r="Q245" s="10" t="str">
        <f>IF(SUMIFS(Sheet1!$E:$E,Sheet1!$C:$C,$A245,Sheet1!$A:$A,Q$2)&lt;&gt;0,SUMIFS(Sheet1!$E:$E,Sheet1!$C:$C,$A245,Sheet1!$A:$A,Q$2),"")</f>
        <v/>
      </c>
      <c r="R245" s="10" t="str">
        <f>IF(SUMIFS(Sheet1!$E:$E,Sheet1!$C:$C,$A245,Sheet1!$A:$A,R$2)&lt;&gt;0,SUMIFS(Sheet1!$E:$E,Sheet1!$C:$C,$A245,Sheet1!$A:$A,R$2),"")</f>
        <v/>
      </c>
      <c r="S245" s="21" t="str">
        <f>IF(SUMIFS(Sheet1!$E:$E,Sheet1!$C:$C,$A245,Sheet1!$A:$A,S$2)&lt;&gt;0,SUMIFS(Sheet1!$E:$E,Sheet1!$C:$C,$A245,Sheet1!$A:$A,S$2),"")</f>
        <v/>
      </c>
      <c r="T245" s="10" t="str">
        <f>IF(SUMIFS(Sheet1!$E:$E,Sheet1!$C:$C,$A245,Sheet1!$A:$A,T$2)&lt;&gt;0,SUMIFS(Sheet1!$E:$E,Sheet1!$C:$C,$A245,Sheet1!$A:$A,T$2),"")</f>
        <v/>
      </c>
      <c r="U245" s="10" t="str">
        <f>IF(SUMIFS(Sheet1!$E:$E,Sheet1!$C:$C,$A245,Sheet1!$A:$A,U$2)&lt;&gt;0,SUMIFS(Sheet1!$E:$E,Sheet1!$C:$C,$A245,Sheet1!$A:$A,U$2),"")</f>
        <v/>
      </c>
      <c r="V245" s="10" t="str">
        <f>IF(SUMIFS(Sheet1!$E:$E,Sheet1!$C:$C,$A245,Sheet1!$A:$A,V$2)&lt;&gt;0,SUMIFS(Sheet1!$E:$E,Sheet1!$C:$C,$A245,Sheet1!$A:$A,V$2),"")</f>
        <v/>
      </c>
      <c r="W245" s="10" t="str">
        <f>IF(SUMIFS(Sheet1!$E:$E,Sheet1!$C:$C,$A245,Sheet1!$A:$A,W$2)&lt;&gt;0,SUMIFS(Sheet1!$E:$E,Sheet1!$C:$C,$A245,Sheet1!$A:$A,W$2),"")</f>
        <v/>
      </c>
      <c r="X245" s="10" t="str">
        <f>IF(SUMIFS(Sheet1!$E:$E,Sheet1!$C:$C,$A245,Sheet1!$A:$A,X$2)&lt;&gt;0,SUMIFS(Sheet1!$E:$E,Sheet1!$C:$C,$A245,Sheet1!$A:$A,X$2),"")</f>
        <v/>
      </c>
      <c r="Y245" s="10" t="str">
        <f>IF(SUMIFS(Sheet1!$E:$E,Sheet1!$C:$C,$A245,Sheet1!$A:$A,Y$2)&lt;&gt;0,SUMIFS(Sheet1!$E:$E,Sheet1!$C:$C,$A245,Sheet1!$A:$A,Y$2),"")</f>
        <v/>
      </c>
      <c r="Z245" s="10" t="str">
        <f>IF(SUMIFS(Sheet1!$E:$E,Sheet1!$C:$C,$A245,Sheet1!$A:$A,Z$2)&lt;&gt;0,SUMIFS(Sheet1!$E:$E,Sheet1!$C:$C,$A245,Sheet1!$A:$A,Z$2),"")</f>
        <v/>
      </c>
      <c r="AA245" s="10" t="str">
        <f>IF(SUMIFS(Sheet1!$E:$E,Sheet1!$C:$C,$A245,Sheet1!$A:$A,AA$2)&lt;&gt;0,SUMIFS(Sheet1!$E:$E,Sheet1!$C:$C,$A245,Sheet1!$A:$A,AA$2),"")</f>
        <v/>
      </c>
      <c r="AB245" s="10" t="str">
        <f>IF(SUMIFS(Sheet1!$E:$E,Sheet1!$C:$C,$A245,Sheet1!$A:$A,AB$2)&lt;&gt;0,SUMIFS(Sheet1!$E:$E,Sheet1!$C:$C,$A245,Sheet1!$A:$A,AB$2),"")</f>
        <v/>
      </c>
      <c r="AC245" s="10" t="str">
        <f>IF(SUMIFS(Sheet1!$E:$E,Sheet1!$C:$C,$A245,Sheet1!$A:$A,AC$2)&lt;&gt;0,SUMIFS(Sheet1!$E:$E,Sheet1!$C:$C,$A245,Sheet1!$A:$A,AC$2),"")</f>
        <v/>
      </c>
      <c r="AD245" s="21" t="str">
        <f>IF(SUMIFS(Sheet1!$E:$E,Sheet1!$C:$C,$A245,Sheet1!$A:$A,AD$2)&lt;&gt;0,SUMIFS(Sheet1!$E:$E,Sheet1!$C:$C,$A245,Sheet1!$A:$A,AD$2),"")</f>
        <v/>
      </c>
      <c r="AE245" s="10" t="str">
        <f>IF(SUMIFS(Sheet1!$E:$E,Sheet1!$C:$C,$A245,Sheet1!$A:$A,AE$2)&lt;&gt;0,SUMIFS(Sheet1!$E:$E,Sheet1!$C:$C,$A245,Sheet1!$A:$A,AE$2),"")</f>
        <v/>
      </c>
      <c r="AF245" s="10" t="str">
        <f>IF(SUMIFS(Sheet1!$E:$E,Sheet1!$C:$C,$A245,Sheet1!$A:$A,AF$2)&lt;&gt;0,SUMIFS(Sheet1!$E:$E,Sheet1!$C:$C,$A245,Sheet1!$A:$A,AF$2),"")</f>
        <v/>
      </c>
      <c r="AG245" s="21" t="str">
        <f>IF(SUMIFS(Sheet1!$E:$E,Sheet1!$C:$C,$A245,Sheet1!$A:$A,AG$2)&lt;&gt;0,SUMIFS(Sheet1!$E:$E,Sheet1!$C:$C,$A245,Sheet1!$A:$A,AG$2),"")</f>
        <v/>
      </c>
      <c r="AH245" s="43">
        <f>SUM(Table24[[#This Row],[1]:[31]])</f>
        <v>99</v>
      </c>
    </row>
    <row r="246" spans="1:34" ht="12.75" customHeight="1">
      <c r="A246" s="78" t="str">
        <f>DSSP!A245</f>
        <v>GC170</v>
      </c>
      <c r="B246" s="21" t="str">
        <f>DSSP!B245</f>
        <v>Thuyền buồm</v>
      </c>
      <c r="C246" s="21">
        <f>IF(SUMIFS(Sheet1!$E:$E,Sheet1!$C:$C,$A246,Sheet1!$A:$A,C$2)&lt;&gt;0,SUMIFS(Sheet1!$E:$E,Sheet1!$C:$C,$A246,Sheet1!$A:$A,C$2),"")</f>
        <v>40</v>
      </c>
      <c r="D246" s="21" t="str">
        <f>IF(SUMIFS(Sheet1!$E:$E,Sheet1!$C:$C,$A246,Sheet1!$A:$A,D$2)&lt;&gt;0,SUMIFS(Sheet1!$E:$E,Sheet1!$C:$C,$A246,Sheet1!$A:$A,D$2),"")</f>
        <v/>
      </c>
      <c r="E246" s="10" t="str">
        <f>IF(SUMIFS(Sheet1!$E:$E,Sheet1!$C:$C,$A246,Sheet1!$A:$A,E$2)&lt;&gt;0,SUMIFS(Sheet1!$E:$E,Sheet1!$C:$C,$A246,Sheet1!$A:$A,E$2),"")</f>
        <v/>
      </c>
      <c r="F246" s="10" t="str">
        <f>IF(SUMIFS(Sheet1!$E:$E,Sheet1!$C:$C,$A246,Sheet1!$A:$A,F$2)&lt;&gt;0,SUMIFS(Sheet1!$E:$E,Sheet1!$C:$C,$A246,Sheet1!$A:$A,F$2),"")</f>
        <v/>
      </c>
      <c r="G246" s="10" t="str">
        <f>IF(SUMIFS(Sheet1!$E:$E,Sheet1!$C:$C,$A246,Sheet1!$A:$A,G$2)&lt;&gt;0,SUMIFS(Sheet1!$E:$E,Sheet1!$C:$C,$A246,Sheet1!$A:$A,G$2),"")</f>
        <v/>
      </c>
      <c r="H246" s="10" t="str">
        <f>IF(SUMIFS(Sheet1!$E:$E,Sheet1!$C:$C,$A246,Sheet1!$A:$A,H$2)&lt;&gt;0,SUMIFS(Sheet1!$E:$E,Sheet1!$C:$C,$A246,Sheet1!$A:$A,H$2),"")</f>
        <v/>
      </c>
      <c r="I246" s="10" t="str">
        <f>IF(SUMIFS(Sheet1!$E:$E,Sheet1!$C:$C,$A246,Sheet1!$A:$A,I$2)&lt;&gt;0,SUMIFS(Sheet1!$E:$E,Sheet1!$C:$C,$A246,Sheet1!$A:$A,I$2),"")</f>
        <v/>
      </c>
      <c r="J246" s="10" t="str">
        <f>IF(SUMIFS(Sheet1!$E:$E,Sheet1!$C:$C,$A246,Sheet1!$A:$A,J$2)&lt;&gt;0,SUMIFS(Sheet1!$E:$E,Sheet1!$C:$C,$A246,Sheet1!$A:$A,J$2),"")</f>
        <v/>
      </c>
      <c r="K246" s="10" t="str">
        <f>IF(SUMIFS(Sheet1!$E:$E,Sheet1!$C:$C,$A246,Sheet1!$A:$A,K$2)&lt;&gt;0,SUMIFS(Sheet1!$E:$E,Sheet1!$C:$C,$A246,Sheet1!$A:$A,K$2),"")</f>
        <v/>
      </c>
      <c r="L246" s="10" t="str">
        <f>IF(SUMIFS(Sheet1!$E:$E,Sheet1!$C:$C,$A246,Sheet1!$A:$A,L$2)&lt;&gt;0,SUMIFS(Sheet1!$E:$E,Sheet1!$C:$C,$A246,Sheet1!$A:$A,L$2),"")</f>
        <v/>
      </c>
      <c r="M246" s="10" t="str">
        <f>IF(SUMIFS(Sheet1!$E:$E,Sheet1!$C:$C,$A246,Sheet1!$A:$A,M$2)&lt;&gt;0,SUMIFS(Sheet1!$E:$E,Sheet1!$C:$C,$A246,Sheet1!$A:$A,M$2),"")</f>
        <v/>
      </c>
      <c r="N246" s="10" t="str">
        <f>IF(SUMIFS(Sheet1!$E:$E,Sheet1!$C:$C,$A246,Sheet1!$A:$A,N$2)&lt;&gt;0,SUMIFS(Sheet1!$E:$E,Sheet1!$C:$C,$A246,Sheet1!$A:$A,N$2),"")</f>
        <v/>
      </c>
      <c r="O246" s="10" t="str">
        <f>IF(SUMIFS(Sheet1!$E:$E,Sheet1!$C:$C,$A246,Sheet1!$A:$A,O$2)&lt;&gt;0,SUMIFS(Sheet1!$E:$E,Sheet1!$C:$C,$A246,Sheet1!$A:$A,O$2),"")</f>
        <v/>
      </c>
      <c r="P246" s="10" t="str">
        <f>IF(SUMIFS(Sheet1!$E:$E,Sheet1!$C:$C,$A246,Sheet1!$A:$A,P$2)&lt;&gt;0,SUMIFS(Sheet1!$E:$E,Sheet1!$C:$C,$A246,Sheet1!$A:$A,P$2),"")</f>
        <v/>
      </c>
      <c r="Q246" s="10" t="str">
        <f>IF(SUMIFS(Sheet1!$E:$E,Sheet1!$C:$C,$A246,Sheet1!$A:$A,Q$2)&lt;&gt;0,SUMIFS(Sheet1!$E:$E,Sheet1!$C:$C,$A246,Sheet1!$A:$A,Q$2),"")</f>
        <v/>
      </c>
      <c r="R246" s="10" t="str">
        <f>IF(SUMIFS(Sheet1!$E:$E,Sheet1!$C:$C,$A246,Sheet1!$A:$A,R$2)&lt;&gt;0,SUMIFS(Sheet1!$E:$E,Sheet1!$C:$C,$A246,Sheet1!$A:$A,R$2),"")</f>
        <v/>
      </c>
      <c r="S246" s="21" t="str">
        <f>IF(SUMIFS(Sheet1!$E:$E,Sheet1!$C:$C,$A246,Sheet1!$A:$A,S$2)&lt;&gt;0,SUMIFS(Sheet1!$E:$E,Sheet1!$C:$C,$A246,Sheet1!$A:$A,S$2),"")</f>
        <v/>
      </c>
      <c r="T246" s="10" t="str">
        <f>IF(SUMIFS(Sheet1!$E:$E,Sheet1!$C:$C,$A246,Sheet1!$A:$A,T$2)&lt;&gt;0,SUMIFS(Sheet1!$E:$E,Sheet1!$C:$C,$A246,Sheet1!$A:$A,T$2),"")</f>
        <v/>
      </c>
      <c r="U246" s="10" t="str">
        <f>IF(SUMIFS(Sheet1!$E:$E,Sheet1!$C:$C,$A246,Sheet1!$A:$A,U$2)&lt;&gt;0,SUMIFS(Sheet1!$E:$E,Sheet1!$C:$C,$A246,Sheet1!$A:$A,U$2),"")</f>
        <v/>
      </c>
      <c r="V246" s="10" t="str">
        <f>IF(SUMIFS(Sheet1!$E:$E,Sheet1!$C:$C,$A246,Sheet1!$A:$A,V$2)&lt;&gt;0,SUMIFS(Sheet1!$E:$E,Sheet1!$C:$C,$A246,Sheet1!$A:$A,V$2),"")</f>
        <v/>
      </c>
      <c r="W246" s="10" t="str">
        <f>IF(SUMIFS(Sheet1!$E:$E,Sheet1!$C:$C,$A246,Sheet1!$A:$A,W$2)&lt;&gt;0,SUMIFS(Sheet1!$E:$E,Sheet1!$C:$C,$A246,Sheet1!$A:$A,W$2),"")</f>
        <v/>
      </c>
      <c r="X246" s="10" t="str">
        <f>IF(SUMIFS(Sheet1!$E:$E,Sheet1!$C:$C,$A246,Sheet1!$A:$A,X$2)&lt;&gt;0,SUMIFS(Sheet1!$E:$E,Sheet1!$C:$C,$A246,Sheet1!$A:$A,X$2),"")</f>
        <v/>
      </c>
      <c r="Y246" s="10" t="str">
        <f>IF(SUMIFS(Sheet1!$E:$E,Sheet1!$C:$C,$A246,Sheet1!$A:$A,Y$2)&lt;&gt;0,SUMIFS(Sheet1!$E:$E,Sheet1!$C:$C,$A246,Sheet1!$A:$A,Y$2),"")</f>
        <v/>
      </c>
      <c r="Z246" s="10" t="str">
        <f>IF(SUMIFS(Sheet1!$E:$E,Sheet1!$C:$C,$A246,Sheet1!$A:$A,Z$2)&lt;&gt;0,SUMIFS(Sheet1!$E:$E,Sheet1!$C:$C,$A246,Sheet1!$A:$A,Z$2),"")</f>
        <v/>
      </c>
      <c r="AA246" s="10" t="str">
        <f>IF(SUMIFS(Sheet1!$E:$E,Sheet1!$C:$C,$A246,Sheet1!$A:$A,AA$2)&lt;&gt;0,SUMIFS(Sheet1!$E:$E,Sheet1!$C:$C,$A246,Sheet1!$A:$A,AA$2),"")</f>
        <v/>
      </c>
      <c r="AB246" s="10" t="str">
        <f>IF(SUMIFS(Sheet1!$E:$E,Sheet1!$C:$C,$A246,Sheet1!$A:$A,AB$2)&lt;&gt;0,SUMIFS(Sheet1!$E:$E,Sheet1!$C:$C,$A246,Sheet1!$A:$A,AB$2),"")</f>
        <v/>
      </c>
      <c r="AC246" s="10" t="str">
        <f>IF(SUMIFS(Sheet1!$E:$E,Sheet1!$C:$C,$A246,Sheet1!$A:$A,AC$2)&lt;&gt;0,SUMIFS(Sheet1!$E:$E,Sheet1!$C:$C,$A246,Sheet1!$A:$A,AC$2),"")</f>
        <v/>
      </c>
      <c r="AD246" s="21" t="str">
        <f>IF(SUMIFS(Sheet1!$E:$E,Sheet1!$C:$C,$A246,Sheet1!$A:$A,AD$2)&lt;&gt;0,SUMIFS(Sheet1!$E:$E,Sheet1!$C:$C,$A246,Sheet1!$A:$A,AD$2),"")</f>
        <v/>
      </c>
      <c r="AE246" s="10" t="str">
        <f>IF(SUMIFS(Sheet1!$E:$E,Sheet1!$C:$C,$A246,Sheet1!$A:$A,AE$2)&lt;&gt;0,SUMIFS(Sheet1!$E:$E,Sheet1!$C:$C,$A246,Sheet1!$A:$A,AE$2),"")</f>
        <v/>
      </c>
      <c r="AF246" s="10" t="str">
        <f>IF(SUMIFS(Sheet1!$E:$E,Sheet1!$C:$C,$A246,Sheet1!$A:$A,AF$2)&lt;&gt;0,SUMIFS(Sheet1!$E:$E,Sheet1!$C:$C,$A246,Sheet1!$A:$A,AF$2),"")</f>
        <v/>
      </c>
      <c r="AG246" s="21" t="str">
        <f>IF(SUMIFS(Sheet1!$E:$E,Sheet1!$C:$C,$A246,Sheet1!$A:$A,AG$2)&lt;&gt;0,SUMIFS(Sheet1!$E:$E,Sheet1!$C:$C,$A246,Sheet1!$A:$A,AG$2),"")</f>
        <v/>
      </c>
      <c r="AH246" s="43">
        <f>SUM(Table24[[#This Row],[1]:[31]])</f>
        <v>40</v>
      </c>
    </row>
    <row r="247" spans="1:34" ht="12.75" customHeight="1">
      <c r="A247" s="78" t="str">
        <f>DSSP!A246</f>
        <v>GC171</v>
      </c>
      <c r="B247" s="21" t="str">
        <f>DSSP!B246</f>
        <v>Súng</v>
      </c>
      <c r="C247" s="21">
        <f>IF(SUMIFS(Sheet1!$E:$E,Sheet1!$C:$C,$A247,Sheet1!$A:$A,C$2)&lt;&gt;0,SUMIFS(Sheet1!$E:$E,Sheet1!$C:$C,$A247,Sheet1!$A:$A,C$2),"")</f>
        <v>45</v>
      </c>
      <c r="D247" s="21" t="str">
        <f>IF(SUMIFS(Sheet1!$E:$E,Sheet1!$C:$C,$A247,Sheet1!$A:$A,D$2)&lt;&gt;0,SUMIFS(Sheet1!$E:$E,Sheet1!$C:$C,$A247,Sheet1!$A:$A,D$2),"")</f>
        <v/>
      </c>
      <c r="E247" s="10" t="str">
        <f>IF(SUMIFS(Sheet1!$E:$E,Sheet1!$C:$C,$A247,Sheet1!$A:$A,E$2)&lt;&gt;0,SUMIFS(Sheet1!$E:$E,Sheet1!$C:$C,$A247,Sheet1!$A:$A,E$2),"")</f>
        <v/>
      </c>
      <c r="F247" s="10" t="str">
        <f>IF(SUMIFS(Sheet1!$E:$E,Sheet1!$C:$C,$A247,Sheet1!$A:$A,F$2)&lt;&gt;0,SUMIFS(Sheet1!$E:$E,Sheet1!$C:$C,$A247,Sheet1!$A:$A,F$2),"")</f>
        <v/>
      </c>
      <c r="G247" s="10" t="str">
        <f>IF(SUMIFS(Sheet1!$E:$E,Sheet1!$C:$C,$A247,Sheet1!$A:$A,G$2)&lt;&gt;0,SUMIFS(Sheet1!$E:$E,Sheet1!$C:$C,$A247,Sheet1!$A:$A,G$2),"")</f>
        <v/>
      </c>
      <c r="H247" s="10" t="str">
        <f>IF(SUMIFS(Sheet1!$E:$E,Sheet1!$C:$C,$A247,Sheet1!$A:$A,H$2)&lt;&gt;0,SUMIFS(Sheet1!$E:$E,Sheet1!$C:$C,$A247,Sheet1!$A:$A,H$2),"")</f>
        <v/>
      </c>
      <c r="I247" s="10" t="str">
        <f>IF(SUMIFS(Sheet1!$E:$E,Sheet1!$C:$C,$A247,Sheet1!$A:$A,I$2)&lt;&gt;0,SUMIFS(Sheet1!$E:$E,Sheet1!$C:$C,$A247,Sheet1!$A:$A,I$2),"")</f>
        <v/>
      </c>
      <c r="J247" s="10" t="str">
        <f>IF(SUMIFS(Sheet1!$E:$E,Sheet1!$C:$C,$A247,Sheet1!$A:$A,J$2)&lt;&gt;0,SUMIFS(Sheet1!$E:$E,Sheet1!$C:$C,$A247,Sheet1!$A:$A,J$2),"")</f>
        <v/>
      </c>
      <c r="K247" s="10" t="str">
        <f>IF(SUMIFS(Sheet1!$E:$E,Sheet1!$C:$C,$A247,Sheet1!$A:$A,K$2)&lt;&gt;0,SUMIFS(Sheet1!$E:$E,Sheet1!$C:$C,$A247,Sheet1!$A:$A,K$2),"")</f>
        <v/>
      </c>
      <c r="L247" s="10" t="str">
        <f>IF(SUMIFS(Sheet1!$E:$E,Sheet1!$C:$C,$A247,Sheet1!$A:$A,L$2)&lt;&gt;0,SUMIFS(Sheet1!$E:$E,Sheet1!$C:$C,$A247,Sheet1!$A:$A,L$2),"")</f>
        <v/>
      </c>
      <c r="M247" s="10" t="str">
        <f>IF(SUMIFS(Sheet1!$E:$E,Sheet1!$C:$C,$A247,Sheet1!$A:$A,M$2)&lt;&gt;0,SUMIFS(Sheet1!$E:$E,Sheet1!$C:$C,$A247,Sheet1!$A:$A,M$2),"")</f>
        <v/>
      </c>
      <c r="N247" s="10" t="str">
        <f>IF(SUMIFS(Sheet1!$E:$E,Sheet1!$C:$C,$A247,Sheet1!$A:$A,N$2)&lt;&gt;0,SUMIFS(Sheet1!$E:$E,Sheet1!$C:$C,$A247,Sheet1!$A:$A,N$2),"")</f>
        <v/>
      </c>
      <c r="O247" s="10" t="str">
        <f>IF(SUMIFS(Sheet1!$E:$E,Sheet1!$C:$C,$A247,Sheet1!$A:$A,O$2)&lt;&gt;0,SUMIFS(Sheet1!$E:$E,Sheet1!$C:$C,$A247,Sheet1!$A:$A,O$2),"")</f>
        <v/>
      </c>
      <c r="P247" s="10" t="str">
        <f>IF(SUMIFS(Sheet1!$E:$E,Sheet1!$C:$C,$A247,Sheet1!$A:$A,P$2)&lt;&gt;0,SUMIFS(Sheet1!$E:$E,Sheet1!$C:$C,$A247,Sheet1!$A:$A,P$2),"")</f>
        <v/>
      </c>
      <c r="Q247" s="10" t="str">
        <f>IF(SUMIFS(Sheet1!$E:$E,Sheet1!$C:$C,$A247,Sheet1!$A:$A,Q$2)&lt;&gt;0,SUMIFS(Sheet1!$E:$E,Sheet1!$C:$C,$A247,Sheet1!$A:$A,Q$2),"")</f>
        <v/>
      </c>
      <c r="R247" s="10" t="str">
        <f>IF(SUMIFS(Sheet1!$E:$E,Sheet1!$C:$C,$A247,Sheet1!$A:$A,R$2)&lt;&gt;0,SUMIFS(Sheet1!$E:$E,Sheet1!$C:$C,$A247,Sheet1!$A:$A,R$2),"")</f>
        <v/>
      </c>
      <c r="S247" s="21" t="str">
        <f>IF(SUMIFS(Sheet1!$E:$E,Sheet1!$C:$C,$A247,Sheet1!$A:$A,S$2)&lt;&gt;0,SUMIFS(Sheet1!$E:$E,Sheet1!$C:$C,$A247,Sheet1!$A:$A,S$2),"")</f>
        <v/>
      </c>
      <c r="T247" s="10" t="str">
        <f>IF(SUMIFS(Sheet1!$E:$E,Sheet1!$C:$C,$A247,Sheet1!$A:$A,T$2)&lt;&gt;0,SUMIFS(Sheet1!$E:$E,Sheet1!$C:$C,$A247,Sheet1!$A:$A,T$2),"")</f>
        <v/>
      </c>
      <c r="U247" s="10" t="str">
        <f>IF(SUMIFS(Sheet1!$E:$E,Sheet1!$C:$C,$A247,Sheet1!$A:$A,U$2)&lt;&gt;0,SUMIFS(Sheet1!$E:$E,Sheet1!$C:$C,$A247,Sheet1!$A:$A,U$2),"")</f>
        <v/>
      </c>
      <c r="V247" s="10" t="str">
        <f>IF(SUMIFS(Sheet1!$E:$E,Sheet1!$C:$C,$A247,Sheet1!$A:$A,V$2)&lt;&gt;0,SUMIFS(Sheet1!$E:$E,Sheet1!$C:$C,$A247,Sheet1!$A:$A,V$2),"")</f>
        <v/>
      </c>
      <c r="W247" s="10" t="str">
        <f>IF(SUMIFS(Sheet1!$E:$E,Sheet1!$C:$C,$A247,Sheet1!$A:$A,W$2)&lt;&gt;0,SUMIFS(Sheet1!$E:$E,Sheet1!$C:$C,$A247,Sheet1!$A:$A,W$2),"")</f>
        <v/>
      </c>
      <c r="X247" s="10" t="str">
        <f>IF(SUMIFS(Sheet1!$E:$E,Sheet1!$C:$C,$A247,Sheet1!$A:$A,X$2)&lt;&gt;0,SUMIFS(Sheet1!$E:$E,Sheet1!$C:$C,$A247,Sheet1!$A:$A,X$2),"")</f>
        <v/>
      </c>
      <c r="Y247" s="10" t="str">
        <f>IF(SUMIFS(Sheet1!$E:$E,Sheet1!$C:$C,$A247,Sheet1!$A:$A,Y$2)&lt;&gt;0,SUMIFS(Sheet1!$E:$E,Sheet1!$C:$C,$A247,Sheet1!$A:$A,Y$2),"")</f>
        <v/>
      </c>
      <c r="Z247" s="10" t="str">
        <f>IF(SUMIFS(Sheet1!$E:$E,Sheet1!$C:$C,$A247,Sheet1!$A:$A,Z$2)&lt;&gt;0,SUMIFS(Sheet1!$E:$E,Sheet1!$C:$C,$A247,Sheet1!$A:$A,Z$2),"")</f>
        <v/>
      </c>
      <c r="AA247" s="10" t="str">
        <f>IF(SUMIFS(Sheet1!$E:$E,Sheet1!$C:$C,$A247,Sheet1!$A:$A,AA$2)&lt;&gt;0,SUMIFS(Sheet1!$E:$E,Sheet1!$C:$C,$A247,Sheet1!$A:$A,AA$2),"")</f>
        <v/>
      </c>
      <c r="AB247" s="10" t="str">
        <f>IF(SUMIFS(Sheet1!$E:$E,Sheet1!$C:$C,$A247,Sheet1!$A:$A,AB$2)&lt;&gt;0,SUMIFS(Sheet1!$E:$E,Sheet1!$C:$C,$A247,Sheet1!$A:$A,AB$2),"")</f>
        <v/>
      </c>
      <c r="AC247" s="10" t="str">
        <f>IF(SUMIFS(Sheet1!$E:$E,Sheet1!$C:$C,$A247,Sheet1!$A:$A,AC$2)&lt;&gt;0,SUMIFS(Sheet1!$E:$E,Sheet1!$C:$C,$A247,Sheet1!$A:$A,AC$2),"")</f>
        <v/>
      </c>
      <c r="AD247" s="21" t="str">
        <f>IF(SUMIFS(Sheet1!$E:$E,Sheet1!$C:$C,$A247,Sheet1!$A:$A,AD$2)&lt;&gt;0,SUMIFS(Sheet1!$E:$E,Sheet1!$C:$C,$A247,Sheet1!$A:$A,AD$2),"")</f>
        <v/>
      </c>
      <c r="AE247" s="10" t="str">
        <f>IF(SUMIFS(Sheet1!$E:$E,Sheet1!$C:$C,$A247,Sheet1!$A:$A,AE$2)&lt;&gt;0,SUMIFS(Sheet1!$E:$E,Sheet1!$C:$C,$A247,Sheet1!$A:$A,AE$2),"")</f>
        <v/>
      </c>
      <c r="AF247" s="10" t="str">
        <f>IF(SUMIFS(Sheet1!$E:$E,Sheet1!$C:$C,$A247,Sheet1!$A:$A,AF$2)&lt;&gt;0,SUMIFS(Sheet1!$E:$E,Sheet1!$C:$C,$A247,Sheet1!$A:$A,AF$2),"")</f>
        <v/>
      </c>
      <c r="AG247" s="21" t="str">
        <f>IF(SUMIFS(Sheet1!$E:$E,Sheet1!$C:$C,$A247,Sheet1!$A:$A,AG$2)&lt;&gt;0,SUMIFS(Sheet1!$E:$E,Sheet1!$C:$C,$A247,Sheet1!$A:$A,AG$2),"")</f>
        <v/>
      </c>
      <c r="AH247" s="43">
        <f>SUM(Table24[[#This Row],[1]:[31]])</f>
        <v>45</v>
      </c>
    </row>
    <row r="248" spans="1:34" ht="12.75" customHeight="1">
      <c r="A248" s="78" t="str">
        <f>DSSP!A247</f>
        <v>GC172</v>
      </c>
      <c r="B248" s="21" t="str">
        <f>DSSP!B247</f>
        <v>Tháp Effeil Trăng</v>
      </c>
      <c r="C248" s="21">
        <f>IF(SUMIFS(Sheet1!$E:$E,Sheet1!$C:$C,$A248,Sheet1!$A:$A,C$2)&lt;&gt;0,SUMIFS(Sheet1!$E:$E,Sheet1!$C:$C,$A248,Sheet1!$A:$A,C$2),"")</f>
        <v>39</v>
      </c>
      <c r="D248" s="21" t="str">
        <f>IF(SUMIFS(Sheet1!$E:$E,Sheet1!$C:$C,$A248,Sheet1!$A:$A,D$2)&lt;&gt;0,SUMIFS(Sheet1!$E:$E,Sheet1!$C:$C,$A248,Sheet1!$A:$A,D$2),"")</f>
        <v/>
      </c>
      <c r="E248" s="10" t="str">
        <f>IF(SUMIFS(Sheet1!$E:$E,Sheet1!$C:$C,$A248,Sheet1!$A:$A,E$2)&lt;&gt;0,SUMIFS(Sheet1!$E:$E,Sheet1!$C:$C,$A248,Sheet1!$A:$A,E$2),"")</f>
        <v/>
      </c>
      <c r="F248" s="10" t="str">
        <f>IF(SUMIFS(Sheet1!$E:$E,Sheet1!$C:$C,$A248,Sheet1!$A:$A,F$2)&lt;&gt;0,SUMIFS(Sheet1!$E:$E,Sheet1!$C:$C,$A248,Sheet1!$A:$A,F$2),"")</f>
        <v/>
      </c>
      <c r="G248" s="10" t="str">
        <f>IF(SUMIFS(Sheet1!$E:$E,Sheet1!$C:$C,$A248,Sheet1!$A:$A,G$2)&lt;&gt;0,SUMIFS(Sheet1!$E:$E,Sheet1!$C:$C,$A248,Sheet1!$A:$A,G$2),"")</f>
        <v/>
      </c>
      <c r="H248" s="10" t="str">
        <f>IF(SUMIFS(Sheet1!$E:$E,Sheet1!$C:$C,$A248,Sheet1!$A:$A,H$2)&lt;&gt;0,SUMIFS(Sheet1!$E:$E,Sheet1!$C:$C,$A248,Sheet1!$A:$A,H$2),"")</f>
        <v/>
      </c>
      <c r="I248" s="10" t="str">
        <f>IF(SUMIFS(Sheet1!$E:$E,Sheet1!$C:$C,$A248,Sheet1!$A:$A,I$2)&lt;&gt;0,SUMIFS(Sheet1!$E:$E,Sheet1!$C:$C,$A248,Sheet1!$A:$A,I$2),"")</f>
        <v/>
      </c>
      <c r="J248" s="10" t="str">
        <f>IF(SUMIFS(Sheet1!$E:$E,Sheet1!$C:$C,$A248,Sheet1!$A:$A,J$2)&lt;&gt;0,SUMIFS(Sheet1!$E:$E,Sheet1!$C:$C,$A248,Sheet1!$A:$A,J$2),"")</f>
        <v/>
      </c>
      <c r="K248" s="10" t="str">
        <f>IF(SUMIFS(Sheet1!$E:$E,Sheet1!$C:$C,$A248,Sheet1!$A:$A,K$2)&lt;&gt;0,SUMIFS(Sheet1!$E:$E,Sheet1!$C:$C,$A248,Sheet1!$A:$A,K$2),"")</f>
        <v/>
      </c>
      <c r="L248" s="10" t="str">
        <f>IF(SUMIFS(Sheet1!$E:$E,Sheet1!$C:$C,$A248,Sheet1!$A:$A,L$2)&lt;&gt;0,SUMIFS(Sheet1!$E:$E,Sheet1!$C:$C,$A248,Sheet1!$A:$A,L$2),"")</f>
        <v/>
      </c>
      <c r="M248" s="10" t="str">
        <f>IF(SUMIFS(Sheet1!$E:$E,Sheet1!$C:$C,$A248,Sheet1!$A:$A,M$2)&lt;&gt;0,SUMIFS(Sheet1!$E:$E,Sheet1!$C:$C,$A248,Sheet1!$A:$A,M$2),"")</f>
        <v/>
      </c>
      <c r="N248" s="10" t="str">
        <f>IF(SUMIFS(Sheet1!$E:$E,Sheet1!$C:$C,$A248,Sheet1!$A:$A,N$2)&lt;&gt;0,SUMIFS(Sheet1!$E:$E,Sheet1!$C:$C,$A248,Sheet1!$A:$A,N$2),"")</f>
        <v/>
      </c>
      <c r="O248" s="10" t="str">
        <f>IF(SUMIFS(Sheet1!$E:$E,Sheet1!$C:$C,$A248,Sheet1!$A:$A,O$2)&lt;&gt;0,SUMIFS(Sheet1!$E:$E,Sheet1!$C:$C,$A248,Sheet1!$A:$A,O$2),"")</f>
        <v/>
      </c>
      <c r="P248" s="10" t="str">
        <f>IF(SUMIFS(Sheet1!$E:$E,Sheet1!$C:$C,$A248,Sheet1!$A:$A,P$2)&lt;&gt;0,SUMIFS(Sheet1!$E:$E,Sheet1!$C:$C,$A248,Sheet1!$A:$A,P$2),"")</f>
        <v/>
      </c>
      <c r="Q248" s="10" t="str">
        <f>IF(SUMIFS(Sheet1!$E:$E,Sheet1!$C:$C,$A248,Sheet1!$A:$A,Q$2)&lt;&gt;0,SUMIFS(Sheet1!$E:$E,Sheet1!$C:$C,$A248,Sheet1!$A:$A,Q$2),"")</f>
        <v/>
      </c>
      <c r="R248" s="10" t="str">
        <f>IF(SUMIFS(Sheet1!$E:$E,Sheet1!$C:$C,$A248,Sheet1!$A:$A,R$2)&lt;&gt;0,SUMIFS(Sheet1!$E:$E,Sheet1!$C:$C,$A248,Sheet1!$A:$A,R$2),"")</f>
        <v/>
      </c>
      <c r="S248" s="21" t="str">
        <f>IF(SUMIFS(Sheet1!$E:$E,Sheet1!$C:$C,$A248,Sheet1!$A:$A,S$2)&lt;&gt;0,SUMIFS(Sheet1!$E:$E,Sheet1!$C:$C,$A248,Sheet1!$A:$A,S$2),"")</f>
        <v/>
      </c>
      <c r="T248" s="10" t="str">
        <f>IF(SUMIFS(Sheet1!$E:$E,Sheet1!$C:$C,$A248,Sheet1!$A:$A,T$2)&lt;&gt;0,SUMIFS(Sheet1!$E:$E,Sheet1!$C:$C,$A248,Sheet1!$A:$A,T$2),"")</f>
        <v/>
      </c>
      <c r="U248" s="10" t="str">
        <f>IF(SUMIFS(Sheet1!$E:$E,Sheet1!$C:$C,$A248,Sheet1!$A:$A,U$2)&lt;&gt;0,SUMIFS(Sheet1!$E:$E,Sheet1!$C:$C,$A248,Sheet1!$A:$A,U$2),"")</f>
        <v/>
      </c>
      <c r="V248" s="10" t="str">
        <f>IF(SUMIFS(Sheet1!$E:$E,Sheet1!$C:$C,$A248,Sheet1!$A:$A,V$2)&lt;&gt;0,SUMIFS(Sheet1!$E:$E,Sheet1!$C:$C,$A248,Sheet1!$A:$A,V$2),"")</f>
        <v/>
      </c>
      <c r="W248" s="10" t="str">
        <f>IF(SUMIFS(Sheet1!$E:$E,Sheet1!$C:$C,$A248,Sheet1!$A:$A,W$2)&lt;&gt;0,SUMIFS(Sheet1!$E:$E,Sheet1!$C:$C,$A248,Sheet1!$A:$A,W$2),"")</f>
        <v/>
      </c>
      <c r="X248" s="10" t="str">
        <f>IF(SUMIFS(Sheet1!$E:$E,Sheet1!$C:$C,$A248,Sheet1!$A:$A,X$2)&lt;&gt;0,SUMIFS(Sheet1!$E:$E,Sheet1!$C:$C,$A248,Sheet1!$A:$A,X$2),"")</f>
        <v/>
      </c>
      <c r="Y248" s="10" t="str">
        <f>IF(SUMIFS(Sheet1!$E:$E,Sheet1!$C:$C,$A248,Sheet1!$A:$A,Y$2)&lt;&gt;0,SUMIFS(Sheet1!$E:$E,Sheet1!$C:$C,$A248,Sheet1!$A:$A,Y$2),"")</f>
        <v/>
      </c>
      <c r="Z248" s="10" t="str">
        <f>IF(SUMIFS(Sheet1!$E:$E,Sheet1!$C:$C,$A248,Sheet1!$A:$A,Z$2)&lt;&gt;0,SUMIFS(Sheet1!$E:$E,Sheet1!$C:$C,$A248,Sheet1!$A:$A,Z$2),"")</f>
        <v/>
      </c>
      <c r="AA248" s="10" t="str">
        <f>IF(SUMIFS(Sheet1!$E:$E,Sheet1!$C:$C,$A248,Sheet1!$A:$A,AA$2)&lt;&gt;0,SUMIFS(Sheet1!$E:$E,Sheet1!$C:$C,$A248,Sheet1!$A:$A,AA$2),"")</f>
        <v/>
      </c>
      <c r="AB248" s="10" t="str">
        <f>IF(SUMIFS(Sheet1!$E:$E,Sheet1!$C:$C,$A248,Sheet1!$A:$A,AB$2)&lt;&gt;0,SUMIFS(Sheet1!$E:$E,Sheet1!$C:$C,$A248,Sheet1!$A:$A,AB$2),"")</f>
        <v/>
      </c>
      <c r="AC248" s="10" t="str">
        <f>IF(SUMIFS(Sheet1!$E:$E,Sheet1!$C:$C,$A248,Sheet1!$A:$A,AC$2)&lt;&gt;0,SUMIFS(Sheet1!$E:$E,Sheet1!$C:$C,$A248,Sheet1!$A:$A,AC$2),"")</f>
        <v/>
      </c>
      <c r="AD248" s="21" t="str">
        <f>IF(SUMIFS(Sheet1!$E:$E,Sheet1!$C:$C,$A248,Sheet1!$A:$A,AD$2)&lt;&gt;0,SUMIFS(Sheet1!$E:$E,Sheet1!$C:$C,$A248,Sheet1!$A:$A,AD$2),"")</f>
        <v/>
      </c>
      <c r="AE248" s="10" t="str">
        <f>IF(SUMIFS(Sheet1!$E:$E,Sheet1!$C:$C,$A248,Sheet1!$A:$A,AE$2)&lt;&gt;0,SUMIFS(Sheet1!$E:$E,Sheet1!$C:$C,$A248,Sheet1!$A:$A,AE$2),"")</f>
        <v/>
      </c>
      <c r="AF248" s="10" t="str">
        <f>IF(SUMIFS(Sheet1!$E:$E,Sheet1!$C:$C,$A248,Sheet1!$A:$A,AF$2)&lt;&gt;0,SUMIFS(Sheet1!$E:$E,Sheet1!$C:$C,$A248,Sheet1!$A:$A,AF$2),"")</f>
        <v/>
      </c>
      <c r="AG248" s="21" t="str">
        <f>IF(SUMIFS(Sheet1!$E:$E,Sheet1!$C:$C,$A248,Sheet1!$A:$A,AG$2)&lt;&gt;0,SUMIFS(Sheet1!$E:$E,Sheet1!$C:$C,$A248,Sheet1!$A:$A,AG$2),"")</f>
        <v/>
      </c>
      <c r="AH248" s="43">
        <f>SUM(Table24[[#This Row],[1]:[31]])</f>
        <v>39</v>
      </c>
    </row>
    <row r="249" spans="1:34" ht="12.75" customHeight="1">
      <c r="A249" s="78" t="str">
        <f>DSSP!A248</f>
        <v>GC173</v>
      </c>
      <c r="B249" s="21" t="str">
        <f>DSSP!B248</f>
        <v>Nốt nhạc</v>
      </c>
      <c r="C249" s="21">
        <f>IF(SUMIFS(Sheet1!$E:$E,Sheet1!$C:$C,$A249,Sheet1!$A:$A,C$2)&lt;&gt;0,SUMIFS(Sheet1!$E:$E,Sheet1!$C:$C,$A249,Sheet1!$A:$A,C$2),"")</f>
        <v>41</v>
      </c>
      <c r="D249" s="21" t="str">
        <f>IF(SUMIFS(Sheet1!$E:$E,Sheet1!$C:$C,$A249,Sheet1!$A:$A,D$2)&lt;&gt;0,SUMIFS(Sheet1!$E:$E,Sheet1!$C:$C,$A249,Sheet1!$A:$A,D$2),"")</f>
        <v/>
      </c>
      <c r="E249" s="10" t="str">
        <f>IF(SUMIFS(Sheet1!$E:$E,Sheet1!$C:$C,$A249,Sheet1!$A:$A,E$2)&lt;&gt;0,SUMIFS(Sheet1!$E:$E,Sheet1!$C:$C,$A249,Sheet1!$A:$A,E$2),"")</f>
        <v/>
      </c>
      <c r="F249" s="10" t="str">
        <f>IF(SUMIFS(Sheet1!$E:$E,Sheet1!$C:$C,$A249,Sheet1!$A:$A,F$2)&lt;&gt;0,SUMIFS(Sheet1!$E:$E,Sheet1!$C:$C,$A249,Sheet1!$A:$A,F$2),"")</f>
        <v/>
      </c>
      <c r="G249" s="10" t="str">
        <f>IF(SUMIFS(Sheet1!$E:$E,Sheet1!$C:$C,$A249,Sheet1!$A:$A,G$2)&lt;&gt;0,SUMIFS(Sheet1!$E:$E,Sheet1!$C:$C,$A249,Sheet1!$A:$A,G$2),"")</f>
        <v/>
      </c>
      <c r="H249" s="10" t="str">
        <f>IF(SUMIFS(Sheet1!$E:$E,Sheet1!$C:$C,$A249,Sheet1!$A:$A,H$2)&lt;&gt;0,SUMIFS(Sheet1!$E:$E,Sheet1!$C:$C,$A249,Sheet1!$A:$A,H$2),"")</f>
        <v/>
      </c>
      <c r="I249" s="10" t="str">
        <f>IF(SUMIFS(Sheet1!$E:$E,Sheet1!$C:$C,$A249,Sheet1!$A:$A,I$2)&lt;&gt;0,SUMIFS(Sheet1!$E:$E,Sheet1!$C:$C,$A249,Sheet1!$A:$A,I$2),"")</f>
        <v/>
      </c>
      <c r="J249" s="10" t="str">
        <f>IF(SUMIFS(Sheet1!$E:$E,Sheet1!$C:$C,$A249,Sheet1!$A:$A,J$2)&lt;&gt;0,SUMIFS(Sheet1!$E:$E,Sheet1!$C:$C,$A249,Sheet1!$A:$A,J$2),"")</f>
        <v/>
      </c>
      <c r="K249" s="10" t="str">
        <f>IF(SUMIFS(Sheet1!$E:$E,Sheet1!$C:$C,$A249,Sheet1!$A:$A,K$2)&lt;&gt;0,SUMIFS(Sheet1!$E:$E,Sheet1!$C:$C,$A249,Sheet1!$A:$A,K$2),"")</f>
        <v/>
      </c>
      <c r="L249" s="10" t="str">
        <f>IF(SUMIFS(Sheet1!$E:$E,Sheet1!$C:$C,$A249,Sheet1!$A:$A,L$2)&lt;&gt;0,SUMIFS(Sheet1!$E:$E,Sheet1!$C:$C,$A249,Sheet1!$A:$A,L$2),"")</f>
        <v/>
      </c>
      <c r="M249" s="10" t="str">
        <f>IF(SUMIFS(Sheet1!$E:$E,Sheet1!$C:$C,$A249,Sheet1!$A:$A,M$2)&lt;&gt;0,SUMIFS(Sheet1!$E:$E,Sheet1!$C:$C,$A249,Sheet1!$A:$A,M$2),"")</f>
        <v/>
      </c>
      <c r="N249" s="10" t="str">
        <f>IF(SUMIFS(Sheet1!$E:$E,Sheet1!$C:$C,$A249,Sheet1!$A:$A,N$2)&lt;&gt;0,SUMIFS(Sheet1!$E:$E,Sheet1!$C:$C,$A249,Sheet1!$A:$A,N$2),"")</f>
        <v/>
      </c>
      <c r="O249" s="10" t="str">
        <f>IF(SUMIFS(Sheet1!$E:$E,Sheet1!$C:$C,$A249,Sheet1!$A:$A,O$2)&lt;&gt;0,SUMIFS(Sheet1!$E:$E,Sheet1!$C:$C,$A249,Sheet1!$A:$A,O$2),"")</f>
        <v/>
      </c>
      <c r="P249" s="10" t="str">
        <f>IF(SUMIFS(Sheet1!$E:$E,Sheet1!$C:$C,$A249,Sheet1!$A:$A,P$2)&lt;&gt;0,SUMIFS(Sheet1!$E:$E,Sheet1!$C:$C,$A249,Sheet1!$A:$A,P$2),"")</f>
        <v/>
      </c>
      <c r="Q249" s="10" t="str">
        <f>IF(SUMIFS(Sheet1!$E:$E,Sheet1!$C:$C,$A249,Sheet1!$A:$A,Q$2)&lt;&gt;0,SUMIFS(Sheet1!$E:$E,Sheet1!$C:$C,$A249,Sheet1!$A:$A,Q$2),"")</f>
        <v/>
      </c>
      <c r="R249" s="10" t="str">
        <f>IF(SUMIFS(Sheet1!$E:$E,Sheet1!$C:$C,$A249,Sheet1!$A:$A,R$2)&lt;&gt;0,SUMIFS(Sheet1!$E:$E,Sheet1!$C:$C,$A249,Sheet1!$A:$A,R$2),"")</f>
        <v/>
      </c>
      <c r="S249" s="21" t="str">
        <f>IF(SUMIFS(Sheet1!$E:$E,Sheet1!$C:$C,$A249,Sheet1!$A:$A,S$2)&lt;&gt;0,SUMIFS(Sheet1!$E:$E,Sheet1!$C:$C,$A249,Sheet1!$A:$A,S$2),"")</f>
        <v/>
      </c>
      <c r="T249" s="10" t="str">
        <f>IF(SUMIFS(Sheet1!$E:$E,Sheet1!$C:$C,$A249,Sheet1!$A:$A,T$2)&lt;&gt;0,SUMIFS(Sheet1!$E:$E,Sheet1!$C:$C,$A249,Sheet1!$A:$A,T$2),"")</f>
        <v/>
      </c>
      <c r="U249" s="10" t="str">
        <f>IF(SUMIFS(Sheet1!$E:$E,Sheet1!$C:$C,$A249,Sheet1!$A:$A,U$2)&lt;&gt;0,SUMIFS(Sheet1!$E:$E,Sheet1!$C:$C,$A249,Sheet1!$A:$A,U$2),"")</f>
        <v/>
      </c>
      <c r="V249" s="10" t="str">
        <f>IF(SUMIFS(Sheet1!$E:$E,Sheet1!$C:$C,$A249,Sheet1!$A:$A,V$2)&lt;&gt;0,SUMIFS(Sheet1!$E:$E,Sheet1!$C:$C,$A249,Sheet1!$A:$A,V$2),"")</f>
        <v/>
      </c>
      <c r="W249" s="10" t="str">
        <f>IF(SUMIFS(Sheet1!$E:$E,Sheet1!$C:$C,$A249,Sheet1!$A:$A,W$2)&lt;&gt;0,SUMIFS(Sheet1!$E:$E,Sheet1!$C:$C,$A249,Sheet1!$A:$A,W$2),"")</f>
        <v/>
      </c>
      <c r="X249" s="10" t="str">
        <f>IF(SUMIFS(Sheet1!$E:$E,Sheet1!$C:$C,$A249,Sheet1!$A:$A,X$2)&lt;&gt;0,SUMIFS(Sheet1!$E:$E,Sheet1!$C:$C,$A249,Sheet1!$A:$A,X$2),"")</f>
        <v/>
      </c>
      <c r="Y249" s="10" t="str">
        <f>IF(SUMIFS(Sheet1!$E:$E,Sheet1!$C:$C,$A249,Sheet1!$A:$A,Y$2)&lt;&gt;0,SUMIFS(Sheet1!$E:$E,Sheet1!$C:$C,$A249,Sheet1!$A:$A,Y$2),"")</f>
        <v/>
      </c>
      <c r="Z249" s="10" t="str">
        <f>IF(SUMIFS(Sheet1!$E:$E,Sheet1!$C:$C,$A249,Sheet1!$A:$A,Z$2)&lt;&gt;0,SUMIFS(Sheet1!$E:$E,Sheet1!$C:$C,$A249,Sheet1!$A:$A,Z$2),"")</f>
        <v/>
      </c>
      <c r="AA249" s="10" t="str">
        <f>IF(SUMIFS(Sheet1!$E:$E,Sheet1!$C:$C,$A249,Sheet1!$A:$A,AA$2)&lt;&gt;0,SUMIFS(Sheet1!$E:$E,Sheet1!$C:$C,$A249,Sheet1!$A:$A,AA$2),"")</f>
        <v/>
      </c>
      <c r="AB249" s="10" t="str">
        <f>IF(SUMIFS(Sheet1!$E:$E,Sheet1!$C:$C,$A249,Sheet1!$A:$A,AB$2)&lt;&gt;0,SUMIFS(Sheet1!$E:$E,Sheet1!$C:$C,$A249,Sheet1!$A:$A,AB$2),"")</f>
        <v/>
      </c>
      <c r="AC249" s="10" t="str">
        <f>IF(SUMIFS(Sheet1!$E:$E,Sheet1!$C:$C,$A249,Sheet1!$A:$A,AC$2)&lt;&gt;0,SUMIFS(Sheet1!$E:$E,Sheet1!$C:$C,$A249,Sheet1!$A:$A,AC$2),"")</f>
        <v/>
      </c>
      <c r="AD249" s="21" t="str">
        <f>IF(SUMIFS(Sheet1!$E:$E,Sheet1!$C:$C,$A249,Sheet1!$A:$A,AD$2)&lt;&gt;0,SUMIFS(Sheet1!$E:$E,Sheet1!$C:$C,$A249,Sheet1!$A:$A,AD$2),"")</f>
        <v/>
      </c>
      <c r="AE249" s="10" t="str">
        <f>IF(SUMIFS(Sheet1!$E:$E,Sheet1!$C:$C,$A249,Sheet1!$A:$A,AE$2)&lt;&gt;0,SUMIFS(Sheet1!$E:$E,Sheet1!$C:$C,$A249,Sheet1!$A:$A,AE$2),"")</f>
        <v/>
      </c>
      <c r="AF249" s="10" t="str">
        <f>IF(SUMIFS(Sheet1!$E:$E,Sheet1!$C:$C,$A249,Sheet1!$A:$A,AF$2)&lt;&gt;0,SUMIFS(Sheet1!$E:$E,Sheet1!$C:$C,$A249,Sheet1!$A:$A,AF$2),"")</f>
        <v/>
      </c>
      <c r="AG249" s="21" t="str">
        <f>IF(SUMIFS(Sheet1!$E:$E,Sheet1!$C:$C,$A249,Sheet1!$A:$A,AG$2)&lt;&gt;0,SUMIFS(Sheet1!$E:$E,Sheet1!$C:$C,$A249,Sheet1!$A:$A,AG$2),"")</f>
        <v/>
      </c>
      <c r="AH249" s="43">
        <f>SUM(Table24[[#This Row],[1]:[31]])</f>
        <v>41</v>
      </c>
    </row>
    <row r="250" spans="1:34" ht="12.75" customHeight="1">
      <c r="A250" s="78" t="str">
        <f>DSSP!A249</f>
        <v>GC174</v>
      </c>
      <c r="B250" s="21" t="str">
        <f>DSSP!B249</f>
        <v>Bông tuyết mới</v>
      </c>
      <c r="C250" s="21">
        <f>IF(SUMIFS(Sheet1!$E:$E,Sheet1!$C:$C,$A250,Sheet1!$A:$A,C$2)&lt;&gt;0,SUMIFS(Sheet1!$E:$E,Sheet1!$C:$C,$A250,Sheet1!$A:$A,C$2),"")</f>
        <v>77</v>
      </c>
      <c r="D250" s="21" t="str">
        <f>IF(SUMIFS(Sheet1!$E:$E,Sheet1!$C:$C,$A250,Sheet1!$A:$A,D$2)&lt;&gt;0,SUMIFS(Sheet1!$E:$E,Sheet1!$C:$C,$A250,Sheet1!$A:$A,D$2),"")</f>
        <v/>
      </c>
      <c r="E250" s="10" t="str">
        <f>IF(SUMIFS(Sheet1!$E:$E,Sheet1!$C:$C,$A250,Sheet1!$A:$A,E$2)&lt;&gt;0,SUMIFS(Sheet1!$E:$E,Sheet1!$C:$C,$A250,Sheet1!$A:$A,E$2),"")</f>
        <v/>
      </c>
      <c r="F250" s="10" t="str">
        <f>IF(SUMIFS(Sheet1!$E:$E,Sheet1!$C:$C,$A250,Sheet1!$A:$A,F$2)&lt;&gt;0,SUMIFS(Sheet1!$E:$E,Sheet1!$C:$C,$A250,Sheet1!$A:$A,F$2),"")</f>
        <v/>
      </c>
      <c r="G250" s="10" t="str">
        <f>IF(SUMIFS(Sheet1!$E:$E,Sheet1!$C:$C,$A250,Sheet1!$A:$A,G$2)&lt;&gt;0,SUMIFS(Sheet1!$E:$E,Sheet1!$C:$C,$A250,Sheet1!$A:$A,G$2),"")</f>
        <v/>
      </c>
      <c r="H250" s="10" t="str">
        <f>IF(SUMIFS(Sheet1!$E:$E,Sheet1!$C:$C,$A250,Sheet1!$A:$A,H$2)&lt;&gt;0,SUMIFS(Sheet1!$E:$E,Sheet1!$C:$C,$A250,Sheet1!$A:$A,H$2),"")</f>
        <v/>
      </c>
      <c r="I250" s="10" t="str">
        <f>IF(SUMIFS(Sheet1!$E:$E,Sheet1!$C:$C,$A250,Sheet1!$A:$A,I$2)&lt;&gt;0,SUMIFS(Sheet1!$E:$E,Sheet1!$C:$C,$A250,Sheet1!$A:$A,I$2),"")</f>
        <v/>
      </c>
      <c r="J250" s="10" t="str">
        <f>IF(SUMIFS(Sheet1!$E:$E,Sheet1!$C:$C,$A250,Sheet1!$A:$A,J$2)&lt;&gt;0,SUMIFS(Sheet1!$E:$E,Sheet1!$C:$C,$A250,Sheet1!$A:$A,J$2),"")</f>
        <v/>
      </c>
      <c r="K250" s="10" t="str">
        <f>IF(SUMIFS(Sheet1!$E:$E,Sheet1!$C:$C,$A250,Sheet1!$A:$A,K$2)&lt;&gt;0,SUMIFS(Sheet1!$E:$E,Sheet1!$C:$C,$A250,Sheet1!$A:$A,K$2),"")</f>
        <v/>
      </c>
      <c r="L250" s="10" t="str">
        <f>IF(SUMIFS(Sheet1!$E:$E,Sheet1!$C:$C,$A250,Sheet1!$A:$A,L$2)&lt;&gt;0,SUMIFS(Sheet1!$E:$E,Sheet1!$C:$C,$A250,Sheet1!$A:$A,L$2),"")</f>
        <v/>
      </c>
      <c r="M250" s="10" t="str">
        <f>IF(SUMIFS(Sheet1!$E:$E,Sheet1!$C:$C,$A250,Sheet1!$A:$A,M$2)&lt;&gt;0,SUMIFS(Sheet1!$E:$E,Sheet1!$C:$C,$A250,Sheet1!$A:$A,M$2),"")</f>
        <v/>
      </c>
      <c r="N250" s="10" t="str">
        <f>IF(SUMIFS(Sheet1!$E:$E,Sheet1!$C:$C,$A250,Sheet1!$A:$A,N$2)&lt;&gt;0,SUMIFS(Sheet1!$E:$E,Sheet1!$C:$C,$A250,Sheet1!$A:$A,N$2),"")</f>
        <v/>
      </c>
      <c r="O250" s="10" t="str">
        <f>IF(SUMIFS(Sheet1!$E:$E,Sheet1!$C:$C,$A250,Sheet1!$A:$A,O$2)&lt;&gt;0,SUMIFS(Sheet1!$E:$E,Sheet1!$C:$C,$A250,Sheet1!$A:$A,O$2),"")</f>
        <v/>
      </c>
      <c r="P250" s="10" t="str">
        <f>IF(SUMIFS(Sheet1!$E:$E,Sheet1!$C:$C,$A250,Sheet1!$A:$A,P$2)&lt;&gt;0,SUMIFS(Sheet1!$E:$E,Sheet1!$C:$C,$A250,Sheet1!$A:$A,P$2),"")</f>
        <v/>
      </c>
      <c r="Q250" s="10" t="str">
        <f>IF(SUMIFS(Sheet1!$E:$E,Sheet1!$C:$C,$A250,Sheet1!$A:$A,Q$2)&lt;&gt;0,SUMIFS(Sheet1!$E:$E,Sheet1!$C:$C,$A250,Sheet1!$A:$A,Q$2),"")</f>
        <v/>
      </c>
      <c r="R250" s="10" t="str">
        <f>IF(SUMIFS(Sheet1!$E:$E,Sheet1!$C:$C,$A250,Sheet1!$A:$A,R$2)&lt;&gt;0,SUMIFS(Sheet1!$E:$E,Sheet1!$C:$C,$A250,Sheet1!$A:$A,R$2),"")</f>
        <v/>
      </c>
      <c r="S250" s="21" t="str">
        <f>IF(SUMIFS(Sheet1!$E:$E,Sheet1!$C:$C,$A250,Sheet1!$A:$A,S$2)&lt;&gt;0,SUMIFS(Sheet1!$E:$E,Sheet1!$C:$C,$A250,Sheet1!$A:$A,S$2),"")</f>
        <v/>
      </c>
      <c r="T250" s="10" t="str">
        <f>IF(SUMIFS(Sheet1!$E:$E,Sheet1!$C:$C,$A250,Sheet1!$A:$A,T$2)&lt;&gt;0,SUMIFS(Sheet1!$E:$E,Sheet1!$C:$C,$A250,Sheet1!$A:$A,T$2),"")</f>
        <v/>
      </c>
      <c r="U250" s="10" t="str">
        <f>IF(SUMIFS(Sheet1!$E:$E,Sheet1!$C:$C,$A250,Sheet1!$A:$A,U$2)&lt;&gt;0,SUMIFS(Sheet1!$E:$E,Sheet1!$C:$C,$A250,Sheet1!$A:$A,U$2),"")</f>
        <v/>
      </c>
      <c r="V250" s="10" t="str">
        <f>IF(SUMIFS(Sheet1!$E:$E,Sheet1!$C:$C,$A250,Sheet1!$A:$A,V$2)&lt;&gt;0,SUMIFS(Sheet1!$E:$E,Sheet1!$C:$C,$A250,Sheet1!$A:$A,V$2),"")</f>
        <v/>
      </c>
      <c r="W250" s="10" t="str">
        <f>IF(SUMIFS(Sheet1!$E:$E,Sheet1!$C:$C,$A250,Sheet1!$A:$A,W$2)&lt;&gt;0,SUMIFS(Sheet1!$E:$E,Sheet1!$C:$C,$A250,Sheet1!$A:$A,W$2),"")</f>
        <v/>
      </c>
      <c r="X250" s="10" t="str">
        <f>IF(SUMIFS(Sheet1!$E:$E,Sheet1!$C:$C,$A250,Sheet1!$A:$A,X$2)&lt;&gt;0,SUMIFS(Sheet1!$E:$E,Sheet1!$C:$C,$A250,Sheet1!$A:$A,X$2),"")</f>
        <v/>
      </c>
      <c r="Y250" s="10" t="str">
        <f>IF(SUMIFS(Sheet1!$E:$E,Sheet1!$C:$C,$A250,Sheet1!$A:$A,Y$2)&lt;&gt;0,SUMIFS(Sheet1!$E:$E,Sheet1!$C:$C,$A250,Sheet1!$A:$A,Y$2),"")</f>
        <v/>
      </c>
      <c r="Z250" s="10" t="str">
        <f>IF(SUMIFS(Sheet1!$E:$E,Sheet1!$C:$C,$A250,Sheet1!$A:$A,Z$2)&lt;&gt;0,SUMIFS(Sheet1!$E:$E,Sheet1!$C:$C,$A250,Sheet1!$A:$A,Z$2),"")</f>
        <v/>
      </c>
      <c r="AA250" s="10" t="str">
        <f>IF(SUMIFS(Sheet1!$E:$E,Sheet1!$C:$C,$A250,Sheet1!$A:$A,AA$2)&lt;&gt;0,SUMIFS(Sheet1!$E:$E,Sheet1!$C:$C,$A250,Sheet1!$A:$A,AA$2),"")</f>
        <v/>
      </c>
      <c r="AB250" s="10" t="str">
        <f>IF(SUMIFS(Sheet1!$E:$E,Sheet1!$C:$C,$A250,Sheet1!$A:$A,AB$2)&lt;&gt;0,SUMIFS(Sheet1!$E:$E,Sheet1!$C:$C,$A250,Sheet1!$A:$A,AB$2),"")</f>
        <v/>
      </c>
      <c r="AC250" s="10" t="str">
        <f>IF(SUMIFS(Sheet1!$E:$E,Sheet1!$C:$C,$A250,Sheet1!$A:$A,AC$2)&lt;&gt;0,SUMIFS(Sheet1!$E:$E,Sheet1!$C:$C,$A250,Sheet1!$A:$A,AC$2),"")</f>
        <v/>
      </c>
      <c r="AD250" s="21" t="str">
        <f>IF(SUMIFS(Sheet1!$E:$E,Sheet1!$C:$C,$A250,Sheet1!$A:$A,AD$2)&lt;&gt;0,SUMIFS(Sheet1!$E:$E,Sheet1!$C:$C,$A250,Sheet1!$A:$A,AD$2),"")</f>
        <v/>
      </c>
      <c r="AE250" s="10" t="str">
        <f>IF(SUMIFS(Sheet1!$E:$E,Sheet1!$C:$C,$A250,Sheet1!$A:$A,AE$2)&lt;&gt;0,SUMIFS(Sheet1!$E:$E,Sheet1!$C:$C,$A250,Sheet1!$A:$A,AE$2),"")</f>
        <v/>
      </c>
      <c r="AF250" s="10" t="str">
        <f>IF(SUMIFS(Sheet1!$E:$E,Sheet1!$C:$C,$A250,Sheet1!$A:$A,AF$2)&lt;&gt;0,SUMIFS(Sheet1!$E:$E,Sheet1!$C:$C,$A250,Sheet1!$A:$A,AF$2),"")</f>
        <v/>
      </c>
      <c r="AG250" s="21" t="str">
        <f>IF(SUMIFS(Sheet1!$E:$E,Sheet1!$C:$C,$A250,Sheet1!$A:$A,AG$2)&lt;&gt;0,SUMIFS(Sheet1!$E:$E,Sheet1!$C:$C,$A250,Sheet1!$A:$A,AG$2),"")</f>
        <v/>
      </c>
      <c r="AH250" s="43">
        <f>SUM(Table24[[#This Row],[1]:[31]])</f>
        <v>77</v>
      </c>
    </row>
    <row r="251" spans="1:34" ht="12.75" customHeight="1">
      <c r="A251" s="24" t="str">
        <f>DSSP!A250</f>
        <v>CT01</v>
      </c>
      <c r="B251" s="25" t="str">
        <f>DSSP!B250</f>
        <v>Chỉ DC</v>
      </c>
      <c r="C251" s="9">
        <f>IF(SUMIFS(Sheet1!$E:$E,Sheet1!$C:$C,$A251,Sheet1!$A:$A,C$2)&lt;&gt;0,SUMIFS(Sheet1!$E:$E,Sheet1!$C:$C,$A251,Sheet1!$A:$A,C$2),"")</f>
        <v>9</v>
      </c>
      <c r="D251" s="9" t="str">
        <f>IF(SUMIFS(Sheet1!$E:$E,Sheet1!$C:$C,$A251,Sheet1!$A:$A,D$2)&lt;&gt;0,SUMIFS(Sheet1!$E:$E,Sheet1!$C:$C,$A251,Sheet1!$A:$A,D$2),"")</f>
        <v/>
      </c>
      <c r="E251" s="9" t="str">
        <f>IF(SUMIFS(Sheet1!$E:$E,Sheet1!$C:$C,$A251,Sheet1!$A:$A,E$2)&lt;&gt;0,SUMIFS(Sheet1!$E:$E,Sheet1!$C:$C,$A251,Sheet1!$A:$A,E$2),"")</f>
        <v/>
      </c>
      <c r="F251" s="9" t="str">
        <f>IF(SUMIFS(Sheet1!$E:$E,Sheet1!$C:$C,$A251,Sheet1!$A:$A,F$2)&lt;&gt;0,SUMIFS(Sheet1!$E:$E,Sheet1!$C:$C,$A251,Sheet1!$A:$A,F$2),"")</f>
        <v/>
      </c>
      <c r="G251" s="9" t="str">
        <f>IF(SUMIFS(Sheet1!$E:$E,Sheet1!$C:$C,$A251,Sheet1!$A:$A,G$2)&lt;&gt;0,SUMIFS(Sheet1!$E:$E,Sheet1!$C:$C,$A251,Sheet1!$A:$A,G$2),"")</f>
        <v/>
      </c>
      <c r="H251" s="9" t="str">
        <f>IF(SUMIFS(Sheet1!$E:$E,Sheet1!$C:$C,$A251,Sheet1!$A:$A,H$2)&lt;&gt;0,SUMIFS(Sheet1!$E:$E,Sheet1!$C:$C,$A251,Sheet1!$A:$A,H$2),"")</f>
        <v/>
      </c>
      <c r="I251" s="9" t="str">
        <f>IF(SUMIFS(Sheet1!$E:$E,Sheet1!$C:$C,$A251,Sheet1!$A:$A,I$2)&lt;&gt;0,SUMIFS(Sheet1!$E:$E,Sheet1!$C:$C,$A251,Sheet1!$A:$A,I$2),"")</f>
        <v/>
      </c>
      <c r="J251" s="9" t="str">
        <f>IF(SUMIFS(Sheet1!$E:$E,Sheet1!$C:$C,$A251,Sheet1!$A:$A,J$2)&lt;&gt;0,SUMIFS(Sheet1!$E:$E,Sheet1!$C:$C,$A251,Sheet1!$A:$A,J$2),"")</f>
        <v/>
      </c>
      <c r="K251" s="9" t="str">
        <f>IF(SUMIFS(Sheet1!$E:$E,Sheet1!$C:$C,$A251,Sheet1!$A:$A,K$2)&lt;&gt;0,SUMIFS(Sheet1!$E:$E,Sheet1!$C:$C,$A251,Sheet1!$A:$A,K$2),"")</f>
        <v/>
      </c>
      <c r="L251" s="9" t="str">
        <f>IF(SUMIFS(Sheet1!$E:$E,Sheet1!$C:$C,$A251,Sheet1!$A:$A,L$2)&lt;&gt;0,SUMIFS(Sheet1!$E:$E,Sheet1!$C:$C,$A251,Sheet1!$A:$A,L$2),"")</f>
        <v/>
      </c>
      <c r="M251" s="9" t="str">
        <f>IF(SUMIFS(Sheet1!$E:$E,Sheet1!$C:$C,$A251,Sheet1!$A:$A,M$2)&lt;&gt;0,SUMIFS(Sheet1!$E:$E,Sheet1!$C:$C,$A251,Sheet1!$A:$A,M$2),"")</f>
        <v/>
      </c>
      <c r="N251" s="9" t="str">
        <f>IF(SUMIFS(Sheet1!$E:$E,Sheet1!$C:$C,$A251,Sheet1!$A:$A,N$2)&lt;&gt;0,SUMIFS(Sheet1!$E:$E,Sheet1!$C:$C,$A251,Sheet1!$A:$A,N$2),"")</f>
        <v/>
      </c>
      <c r="O251" s="9" t="str">
        <f>IF(SUMIFS(Sheet1!$E:$E,Sheet1!$C:$C,$A251,Sheet1!$A:$A,O$2)&lt;&gt;0,SUMIFS(Sheet1!$E:$E,Sheet1!$C:$C,$A251,Sheet1!$A:$A,O$2),"")</f>
        <v/>
      </c>
      <c r="P251" s="9" t="str">
        <f>IF(SUMIFS(Sheet1!$E:$E,Sheet1!$C:$C,$A251,Sheet1!$A:$A,P$2)&lt;&gt;0,SUMIFS(Sheet1!$E:$E,Sheet1!$C:$C,$A251,Sheet1!$A:$A,P$2),"")</f>
        <v/>
      </c>
      <c r="Q251" s="9" t="str">
        <f>IF(SUMIFS(Sheet1!$E:$E,Sheet1!$C:$C,$A251,Sheet1!$A:$A,Q$2)&lt;&gt;0,SUMIFS(Sheet1!$E:$E,Sheet1!$C:$C,$A251,Sheet1!$A:$A,Q$2),"")</f>
        <v/>
      </c>
      <c r="R251" s="9" t="str">
        <f>IF(SUMIFS(Sheet1!$E:$E,Sheet1!$C:$C,$A251,Sheet1!$A:$A,R$2)&lt;&gt;0,SUMIFS(Sheet1!$E:$E,Sheet1!$C:$C,$A251,Sheet1!$A:$A,R$2),"")</f>
        <v/>
      </c>
      <c r="S251" s="9" t="str">
        <f>IF(SUMIFS(Sheet1!$E:$E,Sheet1!$C:$C,$A251,Sheet1!$A:$A,S$2)&lt;&gt;0,SUMIFS(Sheet1!$E:$E,Sheet1!$C:$C,$A251,Sheet1!$A:$A,S$2),"")</f>
        <v/>
      </c>
      <c r="T251" s="9" t="str">
        <f>IF(SUMIFS(Sheet1!$E:$E,Sheet1!$C:$C,$A251,Sheet1!$A:$A,T$2)&lt;&gt;0,SUMIFS(Sheet1!$E:$E,Sheet1!$C:$C,$A251,Sheet1!$A:$A,T$2),"")</f>
        <v/>
      </c>
      <c r="U251" s="9" t="str">
        <f>IF(SUMIFS(Sheet1!$E:$E,Sheet1!$C:$C,$A251,Sheet1!$A:$A,U$2)&lt;&gt;0,SUMIFS(Sheet1!$E:$E,Sheet1!$C:$C,$A251,Sheet1!$A:$A,U$2),"")</f>
        <v/>
      </c>
      <c r="V251" s="9" t="str">
        <f>IF(SUMIFS(Sheet1!$E:$E,Sheet1!$C:$C,$A251,Sheet1!$A:$A,V$2)&lt;&gt;0,SUMIFS(Sheet1!$E:$E,Sheet1!$C:$C,$A251,Sheet1!$A:$A,V$2),"")</f>
        <v/>
      </c>
      <c r="W251" s="9" t="str">
        <f>IF(SUMIFS(Sheet1!$E:$E,Sheet1!$C:$C,$A251,Sheet1!$A:$A,W$2)&lt;&gt;0,SUMIFS(Sheet1!$E:$E,Sheet1!$C:$C,$A251,Sheet1!$A:$A,W$2),"")</f>
        <v/>
      </c>
      <c r="X251" s="9" t="str">
        <f>IF(SUMIFS(Sheet1!$E:$E,Sheet1!$C:$C,$A251,Sheet1!$A:$A,X$2)&lt;&gt;0,SUMIFS(Sheet1!$E:$E,Sheet1!$C:$C,$A251,Sheet1!$A:$A,X$2),"")</f>
        <v/>
      </c>
      <c r="Y251" s="9" t="str">
        <f>IF(SUMIFS(Sheet1!$E:$E,Sheet1!$C:$C,$A251,Sheet1!$A:$A,Y$2)&lt;&gt;0,SUMIFS(Sheet1!$E:$E,Sheet1!$C:$C,$A251,Sheet1!$A:$A,Y$2),"")</f>
        <v/>
      </c>
      <c r="Z251" s="9" t="str">
        <f>IF(SUMIFS(Sheet1!$E:$E,Sheet1!$C:$C,$A251,Sheet1!$A:$A,Z$2)&lt;&gt;0,SUMIFS(Sheet1!$E:$E,Sheet1!$C:$C,$A251,Sheet1!$A:$A,Z$2),"")</f>
        <v/>
      </c>
      <c r="AA251" s="9" t="str">
        <f>IF(SUMIFS(Sheet1!$E:$E,Sheet1!$C:$C,$A251,Sheet1!$A:$A,AA$2)&lt;&gt;0,SUMIFS(Sheet1!$E:$E,Sheet1!$C:$C,$A251,Sheet1!$A:$A,AA$2),"")</f>
        <v/>
      </c>
      <c r="AB251" s="9" t="str">
        <f>IF(SUMIFS(Sheet1!$E:$E,Sheet1!$C:$C,$A251,Sheet1!$A:$A,AB$2)&lt;&gt;0,SUMIFS(Sheet1!$E:$E,Sheet1!$C:$C,$A251,Sheet1!$A:$A,AB$2),"")</f>
        <v/>
      </c>
      <c r="AC251" s="9" t="str">
        <f>IF(SUMIFS(Sheet1!$E:$E,Sheet1!$C:$C,$A251,Sheet1!$A:$A,AC$2)&lt;&gt;0,SUMIFS(Sheet1!$E:$E,Sheet1!$C:$C,$A251,Sheet1!$A:$A,AC$2),"")</f>
        <v/>
      </c>
      <c r="AD251" s="9" t="str">
        <f>IF(SUMIFS(Sheet1!$E:$E,Sheet1!$C:$C,$A251,Sheet1!$A:$A,AD$2)&lt;&gt;0,SUMIFS(Sheet1!$E:$E,Sheet1!$C:$C,$A251,Sheet1!$A:$A,AD$2),"")</f>
        <v/>
      </c>
      <c r="AE251" s="9" t="str">
        <f>IF(SUMIFS(Sheet1!$E:$E,Sheet1!$C:$C,$A251,Sheet1!$A:$A,AE$2)&lt;&gt;0,SUMIFS(Sheet1!$E:$E,Sheet1!$C:$C,$A251,Sheet1!$A:$A,AE$2),"")</f>
        <v/>
      </c>
      <c r="AF251" s="9" t="str">
        <f>IF(SUMIFS(Sheet1!$E:$E,Sheet1!$C:$C,$A251,Sheet1!$A:$A,AF$2)&lt;&gt;0,SUMIFS(Sheet1!$E:$E,Sheet1!$C:$C,$A251,Sheet1!$A:$A,AF$2),"")</f>
        <v/>
      </c>
      <c r="AG251" s="9" t="str">
        <f>IF(SUMIFS(Sheet1!$E:$E,Sheet1!$C:$C,$A251,Sheet1!$A:$A,AG$2)&lt;&gt;0,SUMIFS(Sheet1!$E:$E,Sheet1!$C:$C,$A251,Sheet1!$A:$A,AG$2),"")</f>
        <v/>
      </c>
      <c r="AH251" s="47">
        <f>SUM(Table24[[#This Row],[1]:[31]])</f>
        <v>9</v>
      </c>
    </row>
    <row r="252" spans="1:34" ht="12.75" customHeight="1">
      <c r="A252" s="24" t="str">
        <f>DSSP!A251</f>
        <v>VN01</v>
      </c>
      <c r="B252" s="25" t="str">
        <f>DSSP!B251</f>
        <v>Vải mét</v>
      </c>
      <c r="C252" s="9" t="str">
        <f>IF(SUMIFS(Sheet1!$E:$E,Sheet1!$C:$C,$A252,Sheet1!$A:$A,C$2)&lt;&gt;0,SUMIFS(Sheet1!$E:$E,Sheet1!$C:$C,$A252,Sheet1!$A:$A,C$2),"")</f>
        <v/>
      </c>
      <c r="D252" s="9" t="str">
        <f>IF(SUMIFS(Sheet1!$E:$E,Sheet1!$C:$C,$A252,Sheet1!$A:$A,D$2)&lt;&gt;0,SUMIFS(Sheet1!$E:$E,Sheet1!$C:$C,$A252,Sheet1!$A:$A,D$2),"")</f>
        <v/>
      </c>
      <c r="E252" s="9" t="str">
        <f>IF(SUMIFS(Sheet1!$E:$E,Sheet1!$C:$C,$A252,Sheet1!$A:$A,E$2)&lt;&gt;0,SUMIFS(Sheet1!$E:$E,Sheet1!$C:$C,$A252,Sheet1!$A:$A,E$2),"")</f>
        <v/>
      </c>
      <c r="F252" s="9" t="str">
        <f>IF(SUMIFS(Sheet1!$E:$E,Sheet1!$C:$C,$A252,Sheet1!$A:$A,F$2)&lt;&gt;0,SUMIFS(Sheet1!$E:$E,Sheet1!$C:$C,$A252,Sheet1!$A:$A,F$2),"")</f>
        <v/>
      </c>
      <c r="G252" s="9" t="str">
        <f>IF(SUMIFS(Sheet1!$E:$E,Sheet1!$C:$C,$A252,Sheet1!$A:$A,G$2)&lt;&gt;0,SUMIFS(Sheet1!$E:$E,Sheet1!$C:$C,$A252,Sheet1!$A:$A,G$2),"")</f>
        <v/>
      </c>
      <c r="H252" s="9" t="str">
        <f>IF(SUMIFS(Sheet1!$E:$E,Sheet1!$C:$C,$A252,Sheet1!$A:$A,H$2)&lt;&gt;0,SUMIFS(Sheet1!$E:$E,Sheet1!$C:$C,$A252,Sheet1!$A:$A,H$2),"")</f>
        <v/>
      </c>
      <c r="I252" s="9" t="str">
        <f>IF(SUMIFS(Sheet1!$E:$E,Sheet1!$C:$C,$A252,Sheet1!$A:$A,I$2)&lt;&gt;0,SUMIFS(Sheet1!$E:$E,Sheet1!$C:$C,$A252,Sheet1!$A:$A,I$2),"")</f>
        <v/>
      </c>
      <c r="J252" s="9" t="str">
        <f>IF(SUMIFS(Sheet1!$E:$E,Sheet1!$C:$C,$A252,Sheet1!$A:$A,J$2)&lt;&gt;0,SUMIFS(Sheet1!$E:$E,Sheet1!$C:$C,$A252,Sheet1!$A:$A,J$2),"")</f>
        <v/>
      </c>
      <c r="K252" s="9" t="str">
        <f>IF(SUMIFS(Sheet1!$E:$E,Sheet1!$C:$C,$A252,Sheet1!$A:$A,K$2)&lt;&gt;0,SUMIFS(Sheet1!$E:$E,Sheet1!$C:$C,$A252,Sheet1!$A:$A,K$2),"")</f>
        <v/>
      </c>
      <c r="L252" s="9" t="str">
        <f>IF(SUMIFS(Sheet1!$E:$E,Sheet1!$C:$C,$A252,Sheet1!$A:$A,L$2)&lt;&gt;0,SUMIFS(Sheet1!$E:$E,Sheet1!$C:$C,$A252,Sheet1!$A:$A,L$2),"")</f>
        <v/>
      </c>
      <c r="M252" s="9" t="str">
        <f>IF(SUMIFS(Sheet1!$E:$E,Sheet1!$C:$C,$A252,Sheet1!$A:$A,M$2)&lt;&gt;0,SUMIFS(Sheet1!$E:$E,Sheet1!$C:$C,$A252,Sheet1!$A:$A,M$2),"")</f>
        <v/>
      </c>
      <c r="N252" s="9" t="str">
        <f>IF(SUMIFS(Sheet1!$E:$E,Sheet1!$C:$C,$A252,Sheet1!$A:$A,N$2)&lt;&gt;0,SUMIFS(Sheet1!$E:$E,Sheet1!$C:$C,$A252,Sheet1!$A:$A,N$2),"")</f>
        <v/>
      </c>
      <c r="O252" s="9" t="str">
        <f>IF(SUMIFS(Sheet1!$E:$E,Sheet1!$C:$C,$A252,Sheet1!$A:$A,O$2)&lt;&gt;0,SUMIFS(Sheet1!$E:$E,Sheet1!$C:$C,$A252,Sheet1!$A:$A,O$2),"")</f>
        <v/>
      </c>
      <c r="P252" s="9" t="str">
        <f>IF(SUMIFS(Sheet1!$E:$E,Sheet1!$C:$C,$A252,Sheet1!$A:$A,P$2)&lt;&gt;0,SUMIFS(Sheet1!$E:$E,Sheet1!$C:$C,$A252,Sheet1!$A:$A,P$2),"")</f>
        <v/>
      </c>
      <c r="Q252" s="9" t="str">
        <f>IF(SUMIFS(Sheet1!$E:$E,Sheet1!$C:$C,$A252,Sheet1!$A:$A,Q$2)&lt;&gt;0,SUMIFS(Sheet1!$E:$E,Sheet1!$C:$C,$A252,Sheet1!$A:$A,Q$2),"")</f>
        <v/>
      </c>
      <c r="R252" s="9" t="str">
        <f>IF(SUMIFS(Sheet1!$E:$E,Sheet1!$C:$C,$A252,Sheet1!$A:$A,R$2)&lt;&gt;0,SUMIFS(Sheet1!$E:$E,Sheet1!$C:$C,$A252,Sheet1!$A:$A,R$2),"")</f>
        <v/>
      </c>
      <c r="S252" s="9" t="str">
        <f>IF(SUMIFS(Sheet1!$E:$E,Sheet1!$C:$C,$A252,Sheet1!$A:$A,S$2)&lt;&gt;0,SUMIFS(Sheet1!$E:$E,Sheet1!$C:$C,$A252,Sheet1!$A:$A,S$2),"")</f>
        <v/>
      </c>
      <c r="T252" s="9" t="str">
        <f>IF(SUMIFS(Sheet1!$E:$E,Sheet1!$C:$C,$A252,Sheet1!$A:$A,T$2)&lt;&gt;0,SUMIFS(Sheet1!$E:$E,Sheet1!$C:$C,$A252,Sheet1!$A:$A,T$2),"")</f>
        <v/>
      </c>
      <c r="U252" s="9" t="str">
        <f>IF(SUMIFS(Sheet1!$E:$E,Sheet1!$C:$C,$A252,Sheet1!$A:$A,U$2)&lt;&gt;0,SUMIFS(Sheet1!$E:$E,Sheet1!$C:$C,$A252,Sheet1!$A:$A,U$2),"")</f>
        <v/>
      </c>
      <c r="V252" s="9" t="str">
        <f>IF(SUMIFS(Sheet1!$E:$E,Sheet1!$C:$C,$A252,Sheet1!$A:$A,V$2)&lt;&gt;0,SUMIFS(Sheet1!$E:$E,Sheet1!$C:$C,$A252,Sheet1!$A:$A,V$2),"")</f>
        <v/>
      </c>
      <c r="W252" s="9" t="str">
        <f>IF(SUMIFS(Sheet1!$E:$E,Sheet1!$C:$C,$A252,Sheet1!$A:$A,W$2)&lt;&gt;0,SUMIFS(Sheet1!$E:$E,Sheet1!$C:$C,$A252,Sheet1!$A:$A,W$2),"")</f>
        <v/>
      </c>
      <c r="X252" s="9" t="str">
        <f>IF(SUMIFS(Sheet1!$E:$E,Sheet1!$C:$C,$A252,Sheet1!$A:$A,X$2)&lt;&gt;0,SUMIFS(Sheet1!$E:$E,Sheet1!$C:$C,$A252,Sheet1!$A:$A,X$2),"")</f>
        <v/>
      </c>
      <c r="Y252" s="9" t="str">
        <f>IF(SUMIFS(Sheet1!$E:$E,Sheet1!$C:$C,$A252,Sheet1!$A:$A,Y$2)&lt;&gt;0,SUMIFS(Sheet1!$E:$E,Sheet1!$C:$C,$A252,Sheet1!$A:$A,Y$2),"")</f>
        <v/>
      </c>
      <c r="Z252" s="9" t="str">
        <f>IF(SUMIFS(Sheet1!$E:$E,Sheet1!$C:$C,$A252,Sheet1!$A:$A,Z$2)&lt;&gt;0,SUMIFS(Sheet1!$E:$E,Sheet1!$C:$C,$A252,Sheet1!$A:$A,Z$2),"")</f>
        <v/>
      </c>
      <c r="AA252" s="9" t="str">
        <f>IF(SUMIFS(Sheet1!$E:$E,Sheet1!$C:$C,$A252,Sheet1!$A:$A,AA$2)&lt;&gt;0,SUMIFS(Sheet1!$E:$E,Sheet1!$C:$C,$A252,Sheet1!$A:$A,AA$2),"")</f>
        <v/>
      </c>
      <c r="AB252" s="9" t="str">
        <f>IF(SUMIFS(Sheet1!$E:$E,Sheet1!$C:$C,$A252,Sheet1!$A:$A,AB$2)&lt;&gt;0,SUMIFS(Sheet1!$E:$E,Sheet1!$C:$C,$A252,Sheet1!$A:$A,AB$2),"")</f>
        <v/>
      </c>
      <c r="AC252" s="9" t="str">
        <f>IF(SUMIFS(Sheet1!$E:$E,Sheet1!$C:$C,$A252,Sheet1!$A:$A,AC$2)&lt;&gt;0,SUMIFS(Sheet1!$E:$E,Sheet1!$C:$C,$A252,Sheet1!$A:$A,AC$2),"")</f>
        <v/>
      </c>
      <c r="AD252" s="9" t="str">
        <f>IF(SUMIFS(Sheet1!$E:$E,Sheet1!$C:$C,$A252,Sheet1!$A:$A,AD$2)&lt;&gt;0,SUMIFS(Sheet1!$E:$E,Sheet1!$C:$C,$A252,Sheet1!$A:$A,AD$2),"")</f>
        <v/>
      </c>
      <c r="AE252" s="9" t="str">
        <f>IF(SUMIFS(Sheet1!$E:$E,Sheet1!$C:$C,$A252,Sheet1!$A:$A,AE$2)&lt;&gt;0,SUMIFS(Sheet1!$E:$E,Sheet1!$C:$C,$A252,Sheet1!$A:$A,AE$2),"")</f>
        <v/>
      </c>
      <c r="AF252" s="9" t="str">
        <f>IF(SUMIFS(Sheet1!$E:$E,Sheet1!$C:$C,$A252,Sheet1!$A:$A,AF$2)&lt;&gt;0,SUMIFS(Sheet1!$E:$E,Sheet1!$C:$C,$A252,Sheet1!$A:$A,AF$2),"")</f>
        <v/>
      </c>
      <c r="AG252" s="9" t="str">
        <f>IF(SUMIFS(Sheet1!$E:$E,Sheet1!$C:$C,$A252,Sheet1!$A:$A,AG$2)&lt;&gt;0,SUMIFS(Sheet1!$E:$E,Sheet1!$C:$C,$A252,Sheet1!$A:$A,AG$2),"")</f>
        <v/>
      </c>
      <c r="AH252" s="47">
        <f>SUM(Table24[[#This Row],[1]:[31]])</f>
        <v>0</v>
      </c>
    </row>
    <row r="253" spans="1:34" ht="12.75" customHeight="1">
      <c r="A253" s="24" t="str">
        <f>DSSP!A252</f>
        <v>VN02</v>
      </c>
      <c r="B253" s="25" t="str">
        <f>DSSP!B252</f>
        <v>Vải nỉ làm gối 1.6 x 0.5m</v>
      </c>
      <c r="C253" s="9" t="str">
        <f>IF(SUMIFS(Sheet1!$E:$E,Sheet1!$C:$C,$A253,Sheet1!$A:$A,C$2)&lt;&gt;0,SUMIFS(Sheet1!$E:$E,Sheet1!$C:$C,$A253,Sheet1!$A:$A,C$2),"")</f>
        <v/>
      </c>
      <c r="D253" s="9" t="str">
        <f>IF(SUMIFS(Sheet1!$E:$E,Sheet1!$C:$C,$A253,Sheet1!$A:$A,D$2)&lt;&gt;0,SUMIFS(Sheet1!$E:$E,Sheet1!$C:$C,$A253,Sheet1!$A:$A,D$2),"")</f>
        <v/>
      </c>
      <c r="E253" s="9" t="str">
        <f>IF(SUMIFS(Sheet1!$E:$E,Sheet1!$C:$C,$A253,Sheet1!$A:$A,E$2)&lt;&gt;0,SUMIFS(Sheet1!$E:$E,Sheet1!$C:$C,$A253,Sheet1!$A:$A,E$2),"")</f>
        <v/>
      </c>
      <c r="F253" s="9" t="str">
        <f>IF(SUMIFS(Sheet1!$E:$E,Sheet1!$C:$C,$A253,Sheet1!$A:$A,F$2)&lt;&gt;0,SUMIFS(Sheet1!$E:$E,Sheet1!$C:$C,$A253,Sheet1!$A:$A,F$2),"")</f>
        <v/>
      </c>
      <c r="G253" s="9" t="str">
        <f>IF(SUMIFS(Sheet1!$E:$E,Sheet1!$C:$C,$A253,Sheet1!$A:$A,G$2)&lt;&gt;0,SUMIFS(Sheet1!$E:$E,Sheet1!$C:$C,$A253,Sheet1!$A:$A,G$2),"")</f>
        <v/>
      </c>
      <c r="H253" s="9" t="str">
        <f>IF(SUMIFS(Sheet1!$E:$E,Sheet1!$C:$C,$A253,Sheet1!$A:$A,H$2)&lt;&gt;0,SUMIFS(Sheet1!$E:$E,Sheet1!$C:$C,$A253,Sheet1!$A:$A,H$2),"")</f>
        <v/>
      </c>
      <c r="I253" s="9" t="str">
        <f>IF(SUMIFS(Sheet1!$E:$E,Sheet1!$C:$C,$A253,Sheet1!$A:$A,I$2)&lt;&gt;0,SUMIFS(Sheet1!$E:$E,Sheet1!$C:$C,$A253,Sheet1!$A:$A,I$2),"")</f>
        <v/>
      </c>
      <c r="J253" s="9" t="str">
        <f>IF(SUMIFS(Sheet1!$E:$E,Sheet1!$C:$C,$A253,Sheet1!$A:$A,J$2)&lt;&gt;0,SUMIFS(Sheet1!$E:$E,Sheet1!$C:$C,$A253,Sheet1!$A:$A,J$2),"")</f>
        <v/>
      </c>
      <c r="K253" s="9" t="str">
        <f>IF(SUMIFS(Sheet1!$E:$E,Sheet1!$C:$C,$A253,Sheet1!$A:$A,K$2)&lt;&gt;0,SUMIFS(Sheet1!$E:$E,Sheet1!$C:$C,$A253,Sheet1!$A:$A,K$2),"")</f>
        <v/>
      </c>
      <c r="L253" s="9" t="str">
        <f>IF(SUMIFS(Sheet1!$E:$E,Sheet1!$C:$C,$A253,Sheet1!$A:$A,L$2)&lt;&gt;0,SUMIFS(Sheet1!$E:$E,Sheet1!$C:$C,$A253,Sheet1!$A:$A,L$2),"")</f>
        <v/>
      </c>
      <c r="M253" s="9" t="str">
        <f>IF(SUMIFS(Sheet1!$E:$E,Sheet1!$C:$C,$A253,Sheet1!$A:$A,M$2)&lt;&gt;0,SUMIFS(Sheet1!$E:$E,Sheet1!$C:$C,$A253,Sheet1!$A:$A,M$2),"")</f>
        <v/>
      </c>
      <c r="N253" s="9" t="str">
        <f>IF(SUMIFS(Sheet1!$E:$E,Sheet1!$C:$C,$A253,Sheet1!$A:$A,N$2)&lt;&gt;0,SUMIFS(Sheet1!$E:$E,Sheet1!$C:$C,$A253,Sheet1!$A:$A,N$2),"")</f>
        <v/>
      </c>
      <c r="O253" s="9" t="str">
        <f>IF(SUMIFS(Sheet1!$E:$E,Sheet1!$C:$C,$A253,Sheet1!$A:$A,O$2)&lt;&gt;0,SUMIFS(Sheet1!$E:$E,Sheet1!$C:$C,$A253,Sheet1!$A:$A,O$2),"")</f>
        <v/>
      </c>
      <c r="P253" s="9" t="str">
        <f>IF(SUMIFS(Sheet1!$E:$E,Sheet1!$C:$C,$A253,Sheet1!$A:$A,P$2)&lt;&gt;0,SUMIFS(Sheet1!$E:$E,Sheet1!$C:$C,$A253,Sheet1!$A:$A,P$2),"")</f>
        <v/>
      </c>
      <c r="Q253" s="9" t="str">
        <f>IF(SUMIFS(Sheet1!$E:$E,Sheet1!$C:$C,$A253,Sheet1!$A:$A,Q$2)&lt;&gt;0,SUMIFS(Sheet1!$E:$E,Sheet1!$C:$C,$A253,Sheet1!$A:$A,Q$2),"")</f>
        <v/>
      </c>
      <c r="R253" s="9" t="str">
        <f>IF(SUMIFS(Sheet1!$E:$E,Sheet1!$C:$C,$A253,Sheet1!$A:$A,R$2)&lt;&gt;0,SUMIFS(Sheet1!$E:$E,Sheet1!$C:$C,$A253,Sheet1!$A:$A,R$2),"")</f>
        <v/>
      </c>
      <c r="S253" s="9" t="str">
        <f>IF(SUMIFS(Sheet1!$E:$E,Sheet1!$C:$C,$A253,Sheet1!$A:$A,S$2)&lt;&gt;0,SUMIFS(Sheet1!$E:$E,Sheet1!$C:$C,$A253,Sheet1!$A:$A,S$2),"")</f>
        <v/>
      </c>
      <c r="T253" s="9" t="str">
        <f>IF(SUMIFS(Sheet1!$E:$E,Sheet1!$C:$C,$A253,Sheet1!$A:$A,T$2)&lt;&gt;0,SUMIFS(Sheet1!$E:$E,Sheet1!$C:$C,$A253,Sheet1!$A:$A,T$2),"")</f>
        <v/>
      </c>
      <c r="U253" s="9" t="str">
        <f>IF(SUMIFS(Sheet1!$E:$E,Sheet1!$C:$C,$A253,Sheet1!$A:$A,U$2)&lt;&gt;0,SUMIFS(Sheet1!$E:$E,Sheet1!$C:$C,$A253,Sheet1!$A:$A,U$2),"")</f>
        <v/>
      </c>
      <c r="V253" s="9" t="str">
        <f>IF(SUMIFS(Sheet1!$E:$E,Sheet1!$C:$C,$A253,Sheet1!$A:$A,V$2)&lt;&gt;0,SUMIFS(Sheet1!$E:$E,Sheet1!$C:$C,$A253,Sheet1!$A:$A,V$2),"")</f>
        <v/>
      </c>
      <c r="W253" s="9" t="str">
        <f>IF(SUMIFS(Sheet1!$E:$E,Sheet1!$C:$C,$A253,Sheet1!$A:$A,W$2)&lt;&gt;0,SUMIFS(Sheet1!$E:$E,Sheet1!$C:$C,$A253,Sheet1!$A:$A,W$2),"")</f>
        <v/>
      </c>
      <c r="X253" s="9" t="str">
        <f>IF(SUMIFS(Sheet1!$E:$E,Sheet1!$C:$C,$A253,Sheet1!$A:$A,X$2)&lt;&gt;0,SUMIFS(Sheet1!$E:$E,Sheet1!$C:$C,$A253,Sheet1!$A:$A,X$2),"")</f>
        <v/>
      </c>
      <c r="Y253" s="9" t="str">
        <f>IF(SUMIFS(Sheet1!$E:$E,Sheet1!$C:$C,$A253,Sheet1!$A:$A,Y$2)&lt;&gt;0,SUMIFS(Sheet1!$E:$E,Sheet1!$C:$C,$A253,Sheet1!$A:$A,Y$2),"")</f>
        <v/>
      </c>
      <c r="Z253" s="9" t="str">
        <f>IF(SUMIFS(Sheet1!$E:$E,Sheet1!$C:$C,$A253,Sheet1!$A:$A,Z$2)&lt;&gt;0,SUMIFS(Sheet1!$E:$E,Sheet1!$C:$C,$A253,Sheet1!$A:$A,Z$2),"")</f>
        <v/>
      </c>
      <c r="AA253" s="9" t="str">
        <f>IF(SUMIFS(Sheet1!$E:$E,Sheet1!$C:$C,$A253,Sheet1!$A:$A,AA$2)&lt;&gt;0,SUMIFS(Sheet1!$E:$E,Sheet1!$C:$C,$A253,Sheet1!$A:$A,AA$2),"")</f>
        <v/>
      </c>
      <c r="AB253" s="9" t="str">
        <f>IF(SUMIFS(Sheet1!$E:$E,Sheet1!$C:$C,$A253,Sheet1!$A:$A,AB$2)&lt;&gt;0,SUMIFS(Sheet1!$E:$E,Sheet1!$C:$C,$A253,Sheet1!$A:$A,AB$2),"")</f>
        <v/>
      </c>
      <c r="AC253" s="9" t="str">
        <f>IF(SUMIFS(Sheet1!$E:$E,Sheet1!$C:$C,$A253,Sheet1!$A:$A,AC$2)&lt;&gt;0,SUMIFS(Sheet1!$E:$E,Sheet1!$C:$C,$A253,Sheet1!$A:$A,AC$2),"")</f>
        <v/>
      </c>
      <c r="AD253" s="9" t="str">
        <f>IF(SUMIFS(Sheet1!$E:$E,Sheet1!$C:$C,$A253,Sheet1!$A:$A,AD$2)&lt;&gt;0,SUMIFS(Sheet1!$E:$E,Sheet1!$C:$C,$A253,Sheet1!$A:$A,AD$2),"")</f>
        <v/>
      </c>
      <c r="AE253" s="9" t="str">
        <f>IF(SUMIFS(Sheet1!$E:$E,Sheet1!$C:$C,$A253,Sheet1!$A:$A,AE$2)&lt;&gt;0,SUMIFS(Sheet1!$E:$E,Sheet1!$C:$C,$A253,Sheet1!$A:$A,AE$2),"")</f>
        <v/>
      </c>
      <c r="AF253" s="9" t="str">
        <f>IF(SUMIFS(Sheet1!$E:$E,Sheet1!$C:$C,$A253,Sheet1!$A:$A,AF$2)&lt;&gt;0,SUMIFS(Sheet1!$E:$E,Sheet1!$C:$C,$A253,Sheet1!$A:$A,AF$2),"")</f>
        <v/>
      </c>
      <c r="AG253" s="9" t="str">
        <f>IF(SUMIFS(Sheet1!$E:$E,Sheet1!$C:$C,$A253,Sheet1!$A:$A,AG$2)&lt;&gt;0,SUMIFS(Sheet1!$E:$E,Sheet1!$C:$C,$A253,Sheet1!$A:$A,AG$2),"")</f>
        <v/>
      </c>
      <c r="AH253" s="47">
        <f>SUM(Table24[[#This Row],[1]:[31]])</f>
        <v>0</v>
      </c>
    </row>
    <row r="254" spans="1:34" ht="12.75" customHeight="1">
      <c r="A254" s="24" t="str">
        <f>DSSP!A253</f>
        <v>VN03</v>
      </c>
      <c r="B254" s="25" t="str">
        <f>DSSP!B253</f>
        <v>Vải nỉ làm gối 1.6 x 1m</v>
      </c>
      <c r="C254" s="9" t="str">
        <f>IF(SUMIFS(Sheet1!$E:$E,Sheet1!$C:$C,$A254,Sheet1!$A:$A,C$2)&lt;&gt;0,SUMIFS(Sheet1!$E:$E,Sheet1!$C:$C,$A254,Sheet1!$A:$A,C$2),"")</f>
        <v/>
      </c>
      <c r="D254" s="9" t="str">
        <f>IF(SUMIFS(Sheet1!$E:$E,Sheet1!$C:$C,$A254,Sheet1!$A:$A,D$2)&lt;&gt;0,SUMIFS(Sheet1!$E:$E,Sheet1!$C:$C,$A254,Sheet1!$A:$A,D$2),"")</f>
        <v/>
      </c>
      <c r="E254" s="9" t="str">
        <f>IF(SUMIFS(Sheet1!$E:$E,Sheet1!$C:$C,$A254,Sheet1!$A:$A,E$2)&lt;&gt;0,SUMIFS(Sheet1!$E:$E,Sheet1!$C:$C,$A254,Sheet1!$A:$A,E$2),"")</f>
        <v/>
      </c>
      <c r="F254" s="9" t="str">
        <f>IF(SUMIFS(Sheet1!$E:$E,Sheet1!$C:$C,$A254,Sheet1!$A:$A,F$2)&lt;&gt;0,SUMIFS(Sheet1!$E:$E,Sheet1!$C:$C,$A254,Sheet1!$A:$A,F$2),"")</f>
        <v/>
      </c>
      <c r="G254" s="9" t="str">
        <f>IF(SUMIFS(Sheet1!$E:$E,Sheet1!$C:$C,$A254,Sheet1!$A:$A,G$2)&lt;&gt;0,SUMIFS(Sheet1!$E:$E,Sheet1!$C:$C,$A254,Sheet1!$A:$A,G$2),"")</f>
        <v/>
      </c>
      <c r="H254" s="9" t="str">
        <f>IF(SUMIFS(Sheet1!$E:$E,Sheet1!$C:$C,$A254,Sheet1!$A:$A,H$2)&lt;&gt;0,SUMIFS(Sheet1!$E:$E,Sheet1!$C:$C,$A254,Sheet1!$A:$A,H$2),"")</f>
        <v/>
      </c>
      <c r="I254" s="9" t="str">
        <f>IF(SUMIFS(Sheet1!$E:$E,Sheet1!$C:$C,$A254,Sheet1!$A:$A,I$2)&lt;&gt;0,SUMIFS(Sheet1!$E:$E,Sheet1!$C:$C,$A254,Sheet1!$A:$A,I$2),"")</f>
        <v/>
      </c>
      <c r="J254" s="9" t="str">
        <f>IF(SUMIFS(Sheet1!$E:$E,Sheet1!$C:$C,$A254,Sheet1!$A:$A,J$2)&lt;&gt;0,SUMIFS(Sheet1!$E:$E,Sheet1!$C:$C,$A254,Sheet1!$A:$A,J$2),"")</f>
        <v/>
      </c>
      <c r="K254" s="9" t="str">
        <f>IF(SUMIFS(Sheet1!$E:$E,Sheet1!$C:$C,$A254,Sheet1!$A:$A,K$2)&lt;&gt;0,SUMIFS(Sheet1!$E:$E,Sheet1!$C:$C,$A254,Sheet1!$A:$A,K$2),"")</f>
        <v/>
      </c>
      <c r="L254" s="9" t="str">
        <f>IF(SUMIFS(Sheet1!$E:$E,Sheet1!$C:$C,$A254,Sheet1!$A:$A,L$2)&lt;&gt;0,SUMIFS(Sheet1!$E:$E,Sheet1!$C:$C,$A254,Sheet1!$A:$A,L$2),"")</f>
        <v/>
      </c>
      <c r="M254" s="9" t="str">
        <f>IF(SUMIFS(Sheet1!$E:$E,Sheet1!$C:$C,$A254,Sheet1!$A:$A,M$2)&lt;&gt;0,SUMIFS(Sheet1!$E:$E,Sheet1!$C:$C,$A254,Sheet1!$A:$A,M$2),"")</f>
        <v/>
      </c>
      <c r="N254" s="9" t="str">
        <f>IF(SUMIFS(Sheet1!$E:$E,Sheet1!$C:$C,$A254,Sheet1!$A:$A,N$2)&lt;&gt;0,SUMIFS(Sheet1!$E:$E,Sheet1!$C:$C,$A254,Sheet1!$A:$A,N$2),"")</f>
        <v/>
      </c>
      <c r="O254" s="9" t="str">
        <f>IF(SUMIFS(Sheet1!$E:$E,Sheet1!$C:$C,$A254,Sheet1!$A:$A,O$2)&lt;&gt;0,SUMIFS(Sheet1!$E:$E,Sheet1!$C:$C,$A254,Sheet1!$A:$A,O$2),"")</f>
        <v/>
      </c>
      <c r="P254" s="9" t="str">
        <f>IF(SUMIFS(Sheet1!$E:$E,Sheet1!$C:$C,$A254,Sheet1!$A:$A,P$2)&lt;&gt;0,SUMIFS(Sheet1!$E:$E,Sheet1!$C:$C,$A254,Sheet1!$A:$A,P$2),"")</f>
        <v/>
      </c>
      <c r="Q254" s="9" t="str">
        <f>IF(SUMIFS(Sheet1!$E:$E,Sheet1!$C:$C,$A254,Sheet1!$A:$A,Q$2)&lt;&gt;0,SUMIFS(Sheet1!$E:$E,Sheet1!$C:$C,$A254,Sheet1!$A:$A,Q$2),"")</f>
        <v/>
      </c>
      <c r="R254" s="9" t="str">
        <f>IF(SUMIFS(Sheet1!$E:$E,Sheet1!$C:$C,$A254,Sheet1!$A:$A,R$2)&lt;&gt;0,SUMIFS(Sheet1!$E:$E,Sheet1!$C:$C,$A254,Sheet1!$A:$A,R$2),"")</f>
        <v/>
      </c>
      <c r="S254" s="9" t="str">
        <f>IF(SUMIFS(Sheet1!$E:$E,Sheet1!$C:$C,$A254,Sheet1!$A:$A,S$2)&lt;&gt;0,SUMIFS(Sheet1!$E:$E,Sheet1!$C:$C,$A254,Sheet1!$A:$A,S$2),"")</f>
        <v/>
      </c>
      <c r="T254" s="9" t="str">
        <f>IF(SUMIFS(Sheet1!$E:$E,Sheet1!$C:$C,$A254,Sheet1!$A:$A,T$2)&lt;&gt;0,SUMIFS(Sheet1!$E:$E,Sheet1!$C:$C,$A254,Sheet1!$A:$A,T$2),"")</f>
        <v/>
      </c>
      <c r="U254" s="9" t="str">
        <f>IF(SUMIFS(Sheet1!$E:$E,Sheet1!$C:$C,$A254,Sheet1!$A:$A,U$2)&lt;&gt;0,SUMIFS(Sheet1!$E:$E,Sheet1!$C:$C,$A254,Sheet1!$A:$A,U$2),"")</f>
        <v/>
      </c>
      <c r="V254" s="9" t="str">
        <f>IF(SUMIFS(Sheet1!$E:$E,Sheet1!$C:$C,$A254,Sheet1!$A:$A,V$2)&lt;&gt;0,SUMIFS(Sheet1!$E:$E,Sheet1!$C:$C,$A254,Sheet1!$A:$A,V$2),"")</f>
        <v/>
      </c>
      <c r="W254" s="9" t="str">
        <f>IF(SUMIFS(Sheet1!$E:$E,Sheet1!$C:$C,$A254,Sheet1!$A:$A,W$2)&lt;&gt;0,SUMIFS(Sheet1!$E:$E,Sheet1!$C:$C,$A254,Sheet1!$A:$A,W$2),"")</f>
        <v/>
      </c>
      <c r="X254" s="9" t="str">
        <f>IF(SUMIFS(Sheet1!$E:$E,Sheet1!$C:$C,$A254,Sheet1!$A:$A,X$2)&lt;&gt;0,SUMIFS(Sheet1!$E:$E,Sheet1!$C:$C,$A254,Sheet1!$A:$A,X$2),"")</f>
        <v/>
      </c>
      <c r="Y254" s="9" t="str">
        <f>IF(SUMIFS(Sheet1!$E:$E,Sheet1!$C:$C,$A254,Sheet1!$A:$A,Y$2)&lt;&gt;0,SUMIFS(Sheet1!$E:$E,Sheet1!$C:$C,$A254,Sheet1!$A:$A,Y$2),"")</f>
        <v/>
      </c>
      <c r="Z254" s="9" t="str">
        <f>IF(SUMIFS(Sheet1!$E:$E,Sheet1!$C:$C,$A254,Sheet1!$A:$A,Z$2)&lt;&gt;0,SUMIFS(Sheet1!$E:$E,Sheet1!$C:$C,$A254,Sheet1!$A:$A,Z$2),"")</f>
        <v/>
      </c>
      <c r="AA254" s="9" t="str">
        <f>IF(SUMIFS(Sheet1!$E:$E,Sheet1!$C:$C,$A254,Sheet1!$A:$A,AA$2)&lt;&gt;0,SUMIFS(Sheet1!$E:$E,Sheet1!$C:$C,$A254,Sheet1!$A:$A,AA$2),"")</f>
        <v/>
      </c>
      <c r="AB254" s="9" t="str">
        <f>IF(SUMIFS(Sheet1!$E:$E,Sheet1!$C:$C,$A254,Sheet1!$A:$A,AB$2)&lt;&gt;0,SUMIFS(Sheet1!$E:$E,Sheet1!$C:$C,$A254,Sheet1!$A:$A,AB$2),"")</f>
        <v/>
      </c>
      <c r="AC254" s="9" t="str">
        <f>IF(SUMIFS(Sheet1!$E:$E,Sheet1!$C:$C,$A254,Sheet1!$A:$A,AC$2)&lt;&gt;0,SUMIFS(Sheet1!$E:$E,Sheet1!$C:$C,$A254,Sheet1!$A:$A,AC$2),"")</f>
        <v/>
      </c>
      <c r="AD254" s="9" t="str">
        <f>IF(SUMIFS(Sheet1!$E:$E,Sheet1!$C:$C,$A254,Sheet1!$A:$A,AD$2)&lt;&gt;0,SUMIFS(Sheet1!$E:$E,Sheet1!$C:$C,$A254,Sheet1!$A:$A,AD$2),"")</f>
        <v/>
      </c>
      <c r="AE254" s="9" t="str">
        <f>IF(SUMIFS(Sheet1!$E:$E,Sheet1!$C:$C,$A254,Sheet1!$A:$A,AE$2)&lt;&gt;0,SUMIFS(Sheet1!$E:$E,Sheet1!$C:$C,$A254,Sheet1!$A:$A,AE$2),"")</f>
        <v/>
      </c>
      <c r="AF254" s="9" t="str">
        <f>IF(SUMIFS(Sheet1!$E:$E,Sheet1!$C:$C,$A254,Sheet1!$A:$A,AF$2)&lt;&gt;0,SUMIFS(Sheet1!$E:$E,Sheet1!$C:$C,$A254,Sheet1!$A:$A,AF$2),"")</f>
        <v/>
      </c>
      <c r="AG254" s="9" t="str">
        <f>IF(SUMIFS(Sheet1!$E:$E,Sheet1!$C:$C,$A254,Sheet1!$A:$A,AG$2)&lt;&gt;0,SUMIFS(Sheet1!$E:$E,Sheet1!$C:$C,$A254,Sheet1!$A:$A,AG$2),"")</f>
        <v/>
      </c>
      <c r="AH254" s="47">
        <f>SUM(Table24[[#This Row],[1]:[31]])</f>
        <v>0</v>
      </c>
    </row>
    <row r="255" spans="1:34" ht="12.75" customHeight="1">
      <c r="A255" s="24" t="str">
        <f>DSSP!A254</f>
        <v>VN04</v>
      </c>
      <c r="B255" s="25" t="str">
        <f>DSSP!B254</f>
        <v>Vải 40x40</v>
      </c>
      <c r="C255" s="9" t="str">
        <f>IF(SUMIFS(Sheet1!$E:$E,Sheet1!$C:$C,$A255,Sheet1!$A:$A,C$2)&lt;&gt;0,SUMIFS(Sheet1!$E:$E,Sheet1!$C:$C,$A255,Sheet1!$A:$A,C$2),"")</f>
        <v/>
      </c>
      <c r="D255" s="9" t="str">
        <f>IF(SUMIFS(Sheet1!$E:$E,Sheet1!$C:$C,$A255,Sheet1!$A:$A,D$2)&lt;&gt;0,SUMIFS(Sheet1!$E:$E,Sheet1!$C:$C,$A255,Sheet1!$A:$A,D$2),"")</f>
        <v/>
      </c>
      <c r="E255" s="9" t="str">
        <f>IF(SUMIFS(Sheet1!$E:$E,Sheet1!$C:$C,$A255,Sheet1!$A:$A,E$2)&lt;&gt;0,SUMIFS(Sheet1!$E:$E,Sheet1!$C:$C,$A255,Sheet1!$A:$A,E$2),"")</f>
        <v/>
      </c>
      <c r="F255" s="9" t="str">
        <f>IF(SUMIFS(Sheet1!$E:$E,Sheet1!$C:$C,$A255,Sheet1!$A:$A,F$2)&lt;&gt;0,SUMIFS(Sheet1!$E:$E,Sheet1!$C:$C,$A255,Sheet1!$A:$A,F$2),"")</f>
        <v/>
      </c>
      <c r="G255" s="9" t="str">
        <f>IF(SUMIFS(Sheet1!$E:$E,Sheet1!$C:$C,$A255,Sheet1!$A:$A,G$2)&lt;&gt;0,SUMIFS(Sheet1!$E:$E,Sheet1!$C:$C,$A255,Sheet1!$A:$A,G$2),"")</f>
        <v/>
      </c>
      <c r="H255" s="9" t="str">
        <f>IF(SUMIFS(Sheet1!$E:$E,Sheet1!$C:$C,$A255,Sheet1!$A:$A,H$2)&lt;&gt;0,SUMIFS(Sheet1!$E:$E,Sheet1!$C:$C,$A255,Sheet1!$A:$A,H$2),"")</f>
        <v/>
      </c>
      <c r="I255" s="9" t="str">
        <f>IF(SUMIFS(Sheet1!$E:$E,Sheet1!$C:$C,$A255,Sheet1!$A:$A,I$2)&lt;&gt;0,SUMIFS(Sheet1!$E:$E,Sheet1!$C:$C,$A255,Sheet1!$A:$A,I$2),"")</f>
        <v/>
      </c>
      <c r="J255" s="9" t="str">
        <f>IF(SUMIFS(Sheet1!$E:$E,Sheet1!$C:$C,$A255,Sheet1!$A:$A,J$2)&lt;&gt;0,SUMIFS(Sheet1!$E:$E,Sheet1!$C:$C,$A255,Sheet1!$A:$A,J$2),"")</f>
        <v/>
      </c>
      <c r="K255" s="9" t="str">
        <f>IF(SUMIFS(Sheet1!$E:$E,Sheet1!$C:$C,$A255,Sheet1!$A:$A,K$2)&lt;&gt;0,SUMIFS(Sheet1!$E:$E,Sheet1!$C:$C,$A255,Sheet1!$A:$A,K$2),"")</f>
        <v/>
      </c>
      <c r="L255" s="9" t="str">
        <f>IF(SUMIFS(Sheet1!$E:$E,Sheet1!$C:$C,$A255,Sheet1!$A:$A,L$2)&lt;&gt;0,SUMIFS(Sheet1!$E:$E,Sheet1!$C:$C,$A255,Sheet1!$A:$A,L$2),"")</f>
        <v/>
      </c>
      <c r="M255" s="9" t="str">
        <f>IF(SUMIFS(Sheet1!$E:$E,Sheet1!$C:$C,$A255,Sheet1!$A:$A,M$2)&lt;&gt;0,SUMIFS(Sheet1!$E:$E,Sheet1!$C:$C,$A255,Sheet1!$A:$A,M$2),"")</f>
        <v/>
      </c>
      <c r="N255" s="9" t="str">
        <f>IF(SUMIFS(Sheet1!$E:$E,Sheet1!$C:$C,$A255,Sheet1!$A:$A,N$2)&lt;&gt;0,SUMIFS(Sheet1!$E:$E,Sheet1!$C:$C,$A255,Sheet1!$A:$A,N$2),"")</f>
        <v/>
      </c>
      <c r="O255" s="9" t="str">
        <f>IF(SUMIFS(Sheet1!$E:$E,Sheet1!$C:$C,$A255,Sheet1!$A:$A,O$2)&lt;&gt;0,SUMIFS(Sheet1!$E:$E,Sheet1!$C:$C,$A255,Sheet1!$A:$A,O$2),"")</f>
        <v/>
      </c>
      <c r="P255" s="9" t="str">
        <f>IF(SUMIFS(Sheet1!$E:$E,Sheet1!$C:$C,$A255,Sheet1!$A:$A,P$2)&lt;&gt;0,SUMIFS(Sheet1!$E:$E,Sheet1!$C:$C,$A255,Sheet1!$A:$A,P$2),"")</f>
        <v/>
      </c>
      <c r="Q255" s="9" t="str">
        <f>IF(SUMIFS(Sheet1!$E:$E,Sheet1!$C:$C,$A255,Sheet1!$A:$A,Q$2)&lt;&gt;0,SUMIFS(Sheet1!$E:$E,Sheet1!$C:$C,$A255,Sheet1!$A:$A,Q$2),"")</f>
        <v/>
      </c>
      <c r="R255" s="9" t="str">
        <f>IF(SUMIFS(Sheet1!$E:$E,Sheet1!$C:$C,$A255,Sheet1!$A:$A,R$2)&lt;&gt;0,SUMIFS(Sheet1!$E:$E,Sheet1!$C:$C,$A255,Sheet1!$A:$A,R$2),"")</f>
        <v/>
      </c>
      <c r="S255" s="9" t="str">
        <f>IF(SUMIFS(Sheet1!$E:$E,Sheet1!$C:$C,$A255,Sheet1!$A:$A,S$2)&lt;&gt;0,SUMIFS(Sheet1!$E:$E,Sheet1!$C:$C,$A255,Sheet1!$A:$A,S$2),"")</f>
        <v/>
      </c>
      <c r="T255" s="9" t="str">
        <f>IF(SUMIFS(Sheet1!$E:$E,Sheet1!$C:$C,$A255,Sheet1!$A:$A,T$2)&lt;&gt;0,SUMIFS(Sheet1!$E:$E,Sheet1!$C:$C,$A255,Sheet1!$A:$A,T$2),"")</f>
        <v/>
      </c>
      <c r="U255" s="9" t="str">
        <f>IF(SUMIFS(Sheet1!$E:$E,Sheet1!$C:$C,$A255,Sheet1!$A:$A,U$2)&lt;&gt;0,SUMIFS(Sheet1!$E:$E,Sheet1!$C:$C,$A255,Sheet1!$A:$A,U$2),"")</f>
        <v/>
      </c>
      <c r="V255" s="9" t="str">
        <f>IF(SUMIFS(Sheet1!$E:$E,Sheet1!$C:$C,$A255,Sheet1!$A:$A,V$2)&lt;&gt;0,SUMIFS(Sheet1!$E:$E,Sheet1!$C:$C,$A255,Sheet1!$A:$A,V$2),"")</f>
        <v/>
      </c>
      <c r="W255" s="9" t="str">
        <f>IF(SUMIFS(Sheet1!$E:$E,Sheet1!$C:$C,$A255,Sheet1!$A:$A,W$2)&lt;&gt;0,SUMIFS(Sheet1!$E:$E,Sheet1!$C:$C,$A255,Sheet1!$A:$A,W$2),"")</f>
        <v/>
      </c>
      <c r="X255" s="9" t="str">
        <f>IF(SUMIFS(Sheet1!$E:$E,Sheet1!$C:$C,$A255,Sheet1!$A:$A,X$2)&lt;&gt;0,SUMIFS(Sheet1!$E:$E,Sheet1!$C:$C,$A255,Sheet1!$A:$A,X$2),"")</f>
        <v/>
      </c>
      <c r="Y255" s="9" t="str">
        <f>IF(SUMIFS(Sheet1!$E:$E,Sheet1!$C:$C,$A255,Sheet1!$A:$A,Y$2)&lt;&gt;0,SUMIFS(Sheet1!$E:$E,Sheet1!$C:$C,$A255,Sheet1!$A:$A,Y$2),"")</f>
        <v/>
      </c>
      <c r="Z255" s="9" t="str">
        <f>IF(SUMIFS(Sheet1!$E:$E,Sheet1!$C:$C,$A255,Sheet1!$A:$A,Z$2)&lt;&gt;0,SUMIFS(Sheet1!$E:$E,Sheet1!$C:$C,$A255,Sheet1!$A:$A,Z$2),"")</f>
        <v/>
      </c>
      <c r="AA255" s="9" t="str">
        <f>IF(SUMIFS(Sheet1!$E:$E,Sheet1!$C:$C,$A255,Sheet1!$A:$A,AA$2)&lt;&gt;0,SUMIFS(Sheet1!$E:$E,Sheet1!$C:$C,$A255,Sheet1!$A:$A,AA$2),"")</f>
        <v/>
      </c>
      <c r="AB255" s="9" t="str">
        <f>IF(SUMIFS(Sheet1!$E:$E,Sheet1!$C:$C,$A255,Sheet1!$A:$A,AB$2)&lt;&gt;0,SUMIFS(Sheet1!$E:$E,Sheet1!$C:$C,$A255,Sheet1!$A:$A,AB$2),"")</f>
        <v/>
      </c>
      <c r="AC255" s="9" t="str">
        <f>IF(SUMIFS(Sheet1!$E:$E,Sheet1!$C:$C,$A255,Sheet1!$A:$A,AC$2)&lt;&gt;0,SUMIFS(Sheet1!$E:$E,Sheet1!$C:$C,$A255,Sheet1!$A:$A,AC$2),"")</f>
        <v/>
      </c>
      <c r="AD255" s="9" t="str">
        <f>IF(SUMIFS(Sheet1!$E:$E,Sheet1!$C:$C,$A255,Sheet1!$A:$A,AD$2)&lt;&gt;0,SUMIFS(Sheet1!$E:$E,Sheet1!$C:$C,$A255,Sheet1!$A:$A,AD$2),"")</f>
        <v/>
      </c>
      <c r="AE255" s="9" t="str">
        <f>IF(SUMIFS(Sheet1!$E:$E,Sheet1!$C:$C,$A255,Sheet1!$A:$A,AE$2)&lt;&gt;0,SUMIFS(Sheet1!$E:$E,Sheet1!$C:$C,$A255,Sheet1!$A:$A,AE$2),"")</f>
        <v/>
      </c>
      <c r="AF255" s="9" t="str">
        <f>IF(SUMIFS(Sheet1!$E:$E,Sheet1!$C:$C,$A255,Sheet1!$A:$A,AF$2)&lt;&gt;0,SUMIFS(Sheet1!$E:$E,Sheet1!$C:$C,$A255,Sheet1!$A:$A,AF$2),"")</f>
        <v/>
      </c>
      <c r="AG255" s="9" t="str">
        <f>IF(SUMIFS(Sheet1!$E:$E,Sheet1!$C:$C,$A255,Sheet1!$A:$A,AG$2)&lt;&gt;0,SUMIFS(Sheet1!$E:$E,Sheet1!$C:$C,$A255,Sheet1!$A:$A,AG$2),"")</f>
        <v/>
      </c>
      <c r="AH255" s="47">
        <f>SUM(Table24[[#This Row],[1]:[31]])</f>
        <v>0</v>
      </c>
    </row>
    <row r="256" spans="1:34" ht="12.75" customHeight="1">
      <c r="A256" s="24" t="str">
        <f>DSSP!A255</f>
        <v>VN05</v>
      </c>
      <c r="B256" s="25" t="str">
        <f>DSSP!B255</f>
        <v>Vải vụn 1 LẠNG</v>
      </c>
      <c r="C256" s="9" t="str">
        <f>IF(SUMIFS(Sheet1!$E:$E,Sheet1!$C:$C,$A256,Sheet1!$A:$A,C$2)&lt;&gt;0,SUMIFS(Sheet1!$E:$E,Sheet1!$C:$C,$A256,Sheet1!$A:$A,C$2),"")</f>
        <v/>
      </c>
      <c r="D256" s="9" t="str">
        <f>IF(SUMIFS(Sheet1!$E:$E,Sheet1!$C:$C,$A256,Sheet1!$A:$A,D$2)&lt;&gt;0,SUMIFS(Sheet1!$E:$E,Sheet1!$C:$C,$A256,Sheet1!$A:$A,D$2),"")</f>
        <v/>
      </c>
      <c r="E256" s="9" t="str">
        <f>IF(SUMIFS(Sheet1!$E:$E,Sheet1!$C:$C,$A256,Sheet1!$A:$A,E$2)&lt;&gt;0,SUMIFS(Sheet1!$E:$E,Sheet1!$C:$C,$A256,Sheet1!$A:$A,E$2),"")</f>
        <v/>
      </c>
      <c r="F256" s="9" t="str">
        <f>IF(SUMIFS(Sheet1!$E:$E,Sheet1!$C:$C,$A256,Sheet1!$A:$A,F$2)&lt;&gt;0,SUMIFS(Sheet1!$E:$E,Sheet1!$C:$C,$A256,Sheet1!$A:$A,F$2),"")</f>
        <v/>
      </c>
      <c r="G256" s="9" t="str">
        <f>IF(SUMIFS(Sheet1!$E:$E,Sheet1!$C:$C,$A256,Sheet1!$A:$A,G$2)&lt;&gt;0,SUMIFS(Sheet1!$E:$E,Sheet1!$C:$C,$A256,Sheet1!$A:$A,G$2),"")</f>
        <v/>
      </c>
      <c r="H256" s="9" t="str">
        <f>IF(SUMIFS(Sheet1!$E:$E,Sheet1!$C:$C,$A256,Sheet1!$A:$A,H$2)&lt;&gt;0,SUMIFS(Sheet1!$E:$E,Sheet1!$C:$C,$A256,Sheet1!$A:$A,H$2),"")</f>
        <v/>
      </c>
      <c r="I256" s="9" t="str">
        <f>IF(SUMIFS(Sheet1!$E:$E,Sheet1!$C:$C,$A256,Sheet1!$A:$A,I$2)&lt;&gt;0,SUMIFS(Sheet1!$E:$E,Sheet1!$C:$C,$A256,Sheet1!$A:$A,I$2),"")</f>
        <v/>
      </c>
      <c r="J256" s="9" t="str">
        <f>IF(SUMIFS(Sheet1!$E:$E,Sheet1!$C:$C,$A256,Sheet1!$A:$A,J$2)&lt;&gt;0,SUMIFS(Sheet1!$E:$E,Sheet1!$C:$C,$A256,Sheet1!$A:$A,J$2),"")</f>
        <v/>
      </c>
      <c r="K256" s="9" t="str">
        <f>IF(SUMIFS(Sheet1!$E:$E,Sheet1!$C:$C,$A256,Sheet1!$A:$A,K$2)&lt;&gt;0,SUMIFS(Sheet1!$E:$E,Sheet1!$C:$C,$A256,Sheet1!$A:$A,K$2),"")</f>
        <v/>
      </c>
      <c r="L256" s="9" t="str">
        <f>IF(SUMIFS(Sheet1!$E:$E,Sheet1!$C:$C,$A256,Sheet1!$A:$A,L$2)&lt;&gt;0,SUMIFS(Sheet1!$E:$E,Sheet1!$C:$C,$A256,Sheet1!$A:$A,L$2),"")</f>
        <v/>
      </c>
      <c r="M256" s="9" t="str">
        <f>IF(SUMIFS(Sheet1!$E:$E,Sheet1!$C:$C,$A256,Sheet1!$A:$A,M$2)&lt;&gt;0,SUMIFS(Sheet1!$E:$E,Sheet1!$C:$C,$A256,Sheet1!$A:$A,M$2),"")</f>
        <v/>
      </c>
      <c r="N256" s="9" t="str">
        <f>IF(SUMIFS(Sheet1!$E:$E,Sheet1!$C:$C,$A256,Sheet1!$A:$A,N$2)&lt;&gt;0,SUMIFS(Sheet1!$E:$E,Sheet1!$C:$C,$A256,Sheet1!$A:$A,N$2),"")</f>
        <v/>
      </c>
      <c r="O256" s="9" t="str">
        <f>IF(SUMIFS(Sheet1!$E:$E,Sheet1!$C:$C,$A256,Sheet1!$A:$A,O$2)&lt;&gt;0,SUMIFS(Sheet1!$E:$E,Sheet1!$C:$C,$A256,Sheet1!$A:$A,O$2),"")</f>
        <v/>
      </c>
      <c r="P256" s="9" t="str">
        <f>IF(SUMIFS(Sheet1!$E:$E,Sheet1!$C:$C,$A256,Sheet1!$A:$A,P$2)&lt;&gt;0,SUMIFS(Sheet1!$E:$E,Sheet1!$C:$C,$A256,Sheet1!$A:$A,P$2),"")</f>
        <v/>
      </c>
      <c r="Q256" s="9" t="str">
        <f>IF(SUMIFS(Sheet1!$E:$E,Sheet1!$C:$C,$A256,Sheet1!$A:$A,Q$2)&lt;&gt;0,SUMIFS(Sheet1!$E:$E,Sheet1!$C:$C,$A256,Sheet1!$A:$A,Q$2),"")</f>
        <v/>
      </c>
      <c r="R256" s="9" t="str">
        <f>IF(SUMIFS(Sheet1!$E:$E,Sheet1!$C:$C,$A256,Sheet1!$A:$A,R$2)&lt;&gt;0,SUMIFS(Sheet1!$E:$E,Sheet1!$C:$C,$A256,Sheet1!$A:$A,R$2),"")</f>
        <v/>
      </c>
      <c r="S256" s="9" t="str">
        <f>IF(SUMIFS(Sheet1!$E:$E,Sheet1!$C:$C,$A256,Sheet1!$A:$A,S$2)&lt;&gt;0,SUMIFS(Sheet1!$E:$E,Sheet1!$C:$C,$A256,Sheet1!$A:$A,S$2),"")</f>
        <v/>
      </c>
      <c r="T256" s="9" t="str">
        <f>IF(SUMIFS(Sheet1!$E:$E,Sheet1!$C:$C,$A256,Sheet1!$A:$A,T$2)&lt;&gt;0,SUMIFS(Sheet1!$E:$E,Sheet1!$C:$C,$A256,Sheet1!$A:$A,T$2),"")</f>
        <v/>
      </c>
      <c r="U256" s="9" t="str">
        <f>IF(SUMIFS(Sheet1!$E:$E,Sheet1!$C:$C,$A256,Sheet1!$A:$A,U$2)&lt;&gt;0,SUMIFS(Sheet1!$E:$E,Sheet1!$C:$C,$A256,Sheet1!$A:$A,U$2),"")</f>
        <v/>
      </c>
      <c r="V256" s="9" t="str">
        <f>IF(SUMIFS(Sheet1!$E:$E,Sheet1!$C:$C,$A256,Sheet1!$A:$A,V$2)&lt;&gt;0,SUMIFS(Sheet1!$E:$E,Sheet1!$C:$C,$A256,Sheet1!$A:$A,V$2),"")</f>
        <v/>
      </c>
      <c r="W256" s="9" t="str">
        <f>IF(SUMIFS(Sheet1!$E:$E,Sheet1!$C:$C,$A256,Sheet1!$A:$A,W$2)&lt;&gt;0,SUMIFS(Sheet1!$E:$E,Sheet1!$C:$C,$A256,Sheet1!$A:$A,W$2),"")</f>
        <v/>
      </c>
      <c r="X256" s="9" t="str">
        <f>IF(SUMIFS(Sheet1!$E:$E,Sheet1!$C:$C,$A256,Sheet1!$A:$A,X$2)&lt;&gt;0,SUMIFS(Sheet1!$E:$E,Sheet1!$C:$C,$A256,Sheet1!$A:$A,X$2),"")</f>
        <v/>
      </c>
      <c r="Y256" s="9" t="str">
        <f>IF(SUMIFS(Sheet1!$E:$E,Sheet1!$C:$C,$A256,Sheet1!$A:$A,Y$2)&lt;&gt;0,SUMIFS(Sheet1!$E:$E,Sheet1!$C:$C,$A256,Sheet1!$A:$A,Y$2),"")</f>
        <v/>
      </c>
      <c r="Z256" s="9" t="str">
        <f>IF(SUMIFS(Sheet1!$E:$E,Sheet1!$C:$C,$A256,Sheet1!$A:$A,Z$2)&lt;&gt;0,SUMIFS(Sheet1!$E:$E,Sheet1!$C:$C,$A256,Sheet1!$A:$A,Z$2),"")</f>
        <v/>
      </c>
      <c r="AA256" s="9" t="str">
        <f>IF(SUMIFS(Sheet1!$E:$E,Sheet1!$C:$C,$A256,Sheet1!$A:$A,AA$2)&lt;&gt;0,SUMIFS(Sheet1!$E:$E,Sheet1!$C:$C,$A256,Sheet1!$A:$A,AA$2),"")</f>
        <v/>
      </c>
      <c r="AB256" s="9" t="str">
        <f>IF(SUMIFS(Sheet1!$E:$E,Sheet1!$C:$C,$A256,Sheet1!$A:$A,AB$2)&lt;&gt;0,SUMIFS(Sheet1!$E:$E,Sheet1!$C:$C,$A256,Sheet1!$A:$A,AB$2),"")</f>
        <v/>
      </c>
      <c r="AC256" s="9" t="str">
        <f>IF(SUMIFS(Sheet1!$E:$E,Sheet1!$C:$C,$A256,Sheet1!$A:$A,AC$2)&lt;&gt;0,SUMIFS(Sheet1!$E:$E,Sheet1!$C:$C,$A256,Sheet1!$A:$A,AC$2),"")</f>
        <v/>
      </c>
      <c r="AD256" s="9" t="str">
        <f>IF(SUMIFS(Sheet1!$E:$E,Sheet1!$C:$C,$A256,Sheet1!$A:$A,AD$2)&lt;&gt;0,SUMIFS(Sheet1!$E:$E,Sheet1!$C:$C,$A256,Sheet1!$A:$A,AD$2),"")</f>
        <v/>
      </c>
      <c r="AE256" s="9" t="str">
        <f>IF(SUMIFS(Sheet1!$E:$E,Sheet1!$C:$C,$A256,Sheet1!$A:$A,AE$2)&lt;&gt;0,SUMIFS(Sheet1!$E:$E,Sheet1!$C:$C,$A256,Sheet1!$A:$A,AE$2),"")</f>
        <v/>
      </c>
      <c r="AF256" s="9" t="str">
        <f>IF(SUMIFS(Sheet1!$E:$E,Sheet1!$C:$C,$A256,Sheet1!$A:$A,AF$2)&lt;&gt;0,SUMIFS(Sheet1!$E:$E,Sheet1!$C:$C,$A256,Sheet1!$A:$A,AF$2),"")</f>
        <v/>
      </c>
      <c r="AG256" s="9" t="str">
        <f>IF(SUMIFS(Sheet1!$E:$E,Sheet1!$C:$C,$A256,Sheet1!$A:$A,AG$2)&lt;&gt;0,SUMIFS(Sheet1!$E:$E,Sheet1!$C:$C,$A256,Sheet1!$A:$A,AG$2),"")</f>
        <v/>
      </c>
      <c r="AH256" s="47">
        <f>SUM(Table24[[#This Row],[1]:[31]])</f>
        <v>0</v>
      </c>
    </row>
    <row r="257" spans="1:34" ht="12.75" customHeight="1">
      <c r="A257" s="24" t="str">
        <f>DSSP!A256</f>
        <v>VN06</v>
      </c>
      <c r="B257" s="25" t="str">
        <f>DSSP!B256</f>
        <v>Khóa trắng</v>
      </c>
      <c r="C257" s="9">
        <f>IF(SUMIFS(Sheet1!$E:$E,Sheet1!$C:$C,$A257,Sheet1!$A:$A,C$2)&lt;&gt;0,SUMIFS(Sheet1!$E:$E,Sheet1!$C:$C,$A257,Sheet1!$A:$A,C$2),"")</f>
        <v>6</v>
      </c>
      <c r="D257" s="9" t="str">
        <f>IF(SUMIFS(Sheet1!$E:$E,Sheet1!$C:$C,$A257,Sheet1!$A:$A,D$2)&lt;&gt;0,SUMIFS(Sheet1!$E:$E,Sheet1!$C:$C,$A257,Sheet1!$A:$A,D$2),"")</f>
        <v/>
      </c>
      <c r="E257" s="9" t="str">
        <f>IF(SUMIFS(Sheet1!$E:$E,Sheet1!$C:$C,$A257,Sheet1!$A:$A,E$2)&lt;&gt;0,SUMIFS(Sheet1!$E:$E,Sheet1!$C:$C,$A257,Sheet1!$A:$A,E$2),"")</f>
        <v/>
      </c>
      <c r="F257" s="9" t="str">
        <f>IF(SUMIFS(Sheet1!$E:$E,Sheet1!$C:$C,$A257,Sheet1!$A:$A,F$2)&lt;&gt;0,SUMIFS(Sheet1!$E:$E,Sheet1!$C:$C,$A257,Sheet1!$A:$A,F$2),"")</f>
        <v/>
      </c>
      <c r="G257" s="9" t="str">
        <f>IF(SUMIFS(Sheet1!$E:$E,Sheet1!$C:$C,$A257,Sheet1!$A:$A,G$2)&lt;&gt;0,SUMIFS(Sheet1!$E:$E,Sheet1!$C:$C,$A257,Sheet1!$A:$A,G$2),"")</f>
        <v/>
      </c>
      <c r="H257" s="9" t="str">
        <f>IF(SUMIFS(Sheet1!$E:$E,Sheet1!$C:$C,$A257,Sheet1!$A:$A,H$2)&lt;&gt;0,SUMIFS(Sheet1!$E:$E,Sheet1!$C:$C,$A257,Sheet1!$A:$A,H$2),"")</f>
        <v/>
      </c>
      <c r="I257" s="9" t="str">
        <f>IF(SUMIFS(Sheet1!$E:$E,Sheet1!$C:$C,$A257,Sheet1!$A:$A,I$2)&lt;&gt;0,SUMIFS(Sheet1!$E:$E,Sheet1!$C:$C,$A257,Sheet1!$A:$A,I$2),"")</f>
        <v/>
      </c>
      <c r="J257" s="9" t="str">
        <f>IF(SUMIFS(Sheet1!$E:$E,Sheet1!$C:$C,$A257,Sheet1!$A:$A,J$2)&lt;&gt;0,SUMIFS(Sheet1!$E:$E,Sheet1!$C:$C,$A257,Sheet1!$A:$A,J$2),"")</f>
        <v/>
      </c>
      <c r="K257" s="9" t="str">
        <f>IF(SUMIFS(Sheet1!$E:$E,Sheet1!$C:$C,$A257,Sheet1!$A:$A,K$2)&lt;&gt;0,SUMIFS(Sheet1!$E:$E,Sheet1!$C:$C,$A257,Sheet1!$A:$A,K$2),"")</f>
        <v/>
      </c>
      <c r="L257" s="9" t="str">
        <f>IF(SUMIFS(Sheet1!$E:$E,Sheet1!$C:$C,$A257,Sheet1!$A:$A,L$2)&lt;&gt;0,SUMIFS(Sheet1!$E:$E,Sheet1!$C:$C,$A257,Sheet1!$A:$A,L$2),"")</f>
        <v/>
      </c>
      <c r="M257" s="9" t="str">
        <f>IF(SUMIFS(Sheet1!$E:$E,Sheet1!$C:$C,$A257,Sheet1!$A:$A,M$2)&lt;&gt;0,SUMIFS(Sheet1!$E:$E,Sheet1!$C:$C,$A257,Sheet1!$A:$A,M$2),"")</f>
        <v/>
      </c>
      <c r="N257" s="9" t="str">
        <f>IF(SUMIFS(Sheet1!$E:$E,Sheet1!$C:$C,$A257,Sheet1!$A:$A,N$2)&lt;&gt;0,SUMIFS(Sheet1!$E:$E,Sheet1!$C:$C,$A257,Sheet1!$A:$A,N$2),"")</f>
        <v/>
      </c>
      <c r="O257" s="9" t="str">
        <f>IF(SUMIFS(Sheet1!$E:$E,Sheet1!$C:$C,$A257,Sheet1!$A:$A,O$2)&lt;&gt;0,SUMIFS(Sheet1!$E:$E,Sheet1!$C:$C,$A257,Sheet1!$A:$A,O$2),"")</f>
        <v/>
      </c>
      <c r="P257" s="9" t="str">
        <f>IF(SUMIFS(Sheet1!$E:$E,Sheet1!$C:$C,$A257,Sheet1!$A:$A,P$2)&lt;&gt;0,SUMIFS(Sheet1!$E:$E,Sheet1!$C:$C,$A257,Sheet1!$A:$A,P$2),"")</f>
        <v/>
      </c>
      <c r="Q257" s="9" t="str">
        <f>IF(SUMIFS(Sheet1!$E:$E,Sheet1!$C:$C,$A257,Sheet1!$A:$A,Q$2)&lt;&gt;0,SUMIFS(Sheet1!$E:$E,Sheet1!$C:$C,$A257,Sheet1!$A:$A,Q$2),"")</f>
        <v/>
      </c>
      <c r="R257" s="9" t="str">
        <f>IF(SUMIFS(Sheet1!$E:$E,Sheet1!$C:$C,$A257,Sheet1!$A:$A,R$2)&lt;&gt;0,SUMIFS(Sheet1!$E:$E,Sheet1!$C:$C,$A257,Sheet1!$A:$A,R$2),"")</f>
        <v/>
      </c>
      <c r="S257" s="9" t="str">
        <f>IF(SUMIFS(Sheet1!$E:$E,Sheet1!$C:$C,$A257,Sheet1!$A:$A,S$2)&lt;&gt;0,SUMIFS(Sheet1!$E:$E,Sheet1!$C:$C,$A257,Sheet1!$A:$A,S$2),"")</f>
        <v/>
      </c>
      <c r="T257" s="9" t="str">
        <f>IF(SUMIFS(Sheet1!$E:$E,Sheet1!$C:$C,$A257,Sheet1!$A:$A,T$2)&lt;&gt;0,SUMIFS(Sheet1!$E:$E,Sheet1!$C:$C,$A257,Sheet1!$A:$A,T$2),"")</f>
        <v/>
      </c>
      <c r="U257" s="9" t="str">
        <f>IF(SUMIFS(Sheet1!$E:$E,Sheet1!$C:$C,$A257,Sheet1!$A:$A,U$2)&lt;&gt;0,SUMIFS(Sheet1!$E:$E,Sheet1!$C:$C,$A257,Sheet1!$A:$A,U$2),"")</f>
        <v/>
      </c>
      <c r="V257" s="9" t="str">
        <f>IF(SUMIFS(Sheet1!$E:$E,Sheet1!$C:$C,$A257,Sheet1!$A:$A,V$2)&lt;&gt;0,SUMIFS(Sheet1!$E:$E,Sheet1!$C:$C,$A257,Sheet1!$A:$A,V$2),"")</f>
        <v/>
      </c>
      <c r="W257" s="9" t="str">
        <f>IF(SUMIFS(Sheet1!$E:$E,Sheet1!$C:$C,$A257,Sheet1!$A:$A,W$2)&lt;&gt;0,SUMIFS(Sheet1!$E:$E,Sheet1!$C:$C,$A257,Sheet1!$A:$A,W$2),"")</f>
        <v/>
      </c>
      <c r="X257" s="9" t="str">
        <f>IF(SUMIFS(Sheet1!$E:$E,Sheet1!$C:$C,$A257,Sheet1!$A:$A,X$2)&lt;&gt;0,SUMIFS(Sheet1!$E:$E,Sheet1!$C:$C,$A257,Sheet1!$A:$A,X$2),"")</f>
        <v/>
      </c>
      <c r="Y257" s="9" t="str">
        <f>IF(SUMIFS(Sheet1!$E:$E,Sheet1!$C:$C,$A257,Sheet1!$A:$A,Y$2)&lt;&gt;0,SUMIFS(Sheet1!$E:$E,Sheet1!$C:$C,$A257,Sheet1!$A:$A,Y$2),"")</f>
        <v/>
      </c>
      <c r="Z257" s="9" t="str">
        <f>IF(SUMIFS(Sheet1!$E:$E,Sheet1!$C:$C,$A257,Sheet1!$A:$A,Z$2)&lt;&gt;0,SUMIFS(Sheet1!$E:$E,Sheet1!$C:$C,$A257,Sheet1!$A:$A,Z$2),"")</f>
        <v/>
      </c>
      <c r="AA257" s="9" t="str">
        <f>IF(SUMIFS(Sheet1!$E:$E,Sheet1!$C:$C,$A257,Sheet1!$A:$A,AA$2)&lt;&gt;0,SUMIFS(Sheet1!$E:$E,Sheet1!$C:$C,$A257,Sheet1!$A:$A,AA$2),"")</f>
        <v/>
      </c>
      <c r="AB257" s="9" t="str">
        <f>IF(SUMIFS(Sheet1!$E:$E,Sheet1!$C:$C,$A257,Sheet1!$A:$A,AB$2)&lt;&gt;0,SUMIFS(Sheet1!$E:$E,Sheet1!$C:$C,$A257,Sheet1!$A:$A,AB$2),"")</f>
        <v/>
      </c>
      <c r="AC257" s="9" t="str">
        <f>IF(SUMIFS(Sheet1!$E:$E,Sheet1!$C:$C,$A257,Sheet1!$A:$A,AC$2)&lt;&gt;0,SUMIFS(Sheet1!$E:$E,Sheet1!$C:$C,$A257,Sheet1!$A:$A,AC$2),"")</f>
        <v/>
      </c>
      <c r="AD257" s="9" t="str">
        <f>IF(SUMIFS(Sheet1!$E:$E,Sheet1!$C:$C,$A257,Sheet1!$A:$A,AD$2)&lt;&gt;0,SUMIFS(Sheet1!$E:$E,Sheet1!$C:$C,$A257,Sheet1!$A:$A,AD$2),"")</f>
        <v/>
      </c>
      <c r="AE257" s="9" t="str">
        <f>IF(SUMIFS(Sheet1!$E:$E,Sheet1!$C:$C,$A257,Sheet1!$A:$A,AE$2)&lt;&gt;0,SUMIFS(Sheet1!$E:$E,Sheet1!$C:$C,$A257,Sheet1!$A:$A,AE$2),"")</f>
        <v/>
      </c>
      <c r="AF257" s="9" t="str">
        <f>IF(SUMIFS(Sheet1!$E:$E,Sheet1!$C:$C,$A257,Sheet1!$A:$A,AF$2)&lt;&gt;0,SUMIFS(Sheet1!$E:$E,Sheet1!$C:$C,$A257,Sheet1!$A:$A,AF$2),"")</f>
        <v/>
      </c>
      <c r="AG257" s="9" t="str">
        <f>IF(SUMIFS(Sheet1!$E:$E,Sheet1!$C:$C,$A257,Sheet1!$A:$A,AG$2)&lt;&gt;0,SUMIFS(Sheet1!$E:$E,Sheet1!$C:$C,$A257,Sheet1!$A:$A,AG$2),"")</f>
        <v/>
      </c>
      <c r="AH257" s="47">
        <f>SUM(Table24[[#This Row],[1]:[31]])</f>
        <v>6</v>
      </c>
    </row>
    <row r="258" spans="1:34" ht="12.75" customHeight="1">
      <c r="A258" s="24" t="str">
        <f>DSSP!A257</f>
        <v>VN07</v>
      </c>
      <c r="B258" s="25" t="str">
        <f>DSSP!B257</f>
        <v>Khóa 40cm nổi</v>
      </c>
      <c r="C258" s="9" t="str">
        <f>IF(SUMIFS(Sheet1!$E:$E,Sheet1!$C:$C,$A258,Sheet1!$A:$A,C$2)&lt;&gt;0,SUMIFS(Sheet1!$E:$E,Sheet1!$C:$C,$A258,Sheet1!$A:$A,C$2),"")</f>
        <v/>
      </c>
      <c r="D258" s="9" t="str">
        <f>IF(SUMIFS(Sheet1!$E:$E,Sheet1!$C:$C,$A258,Sheet1!$A:$A,D$2)&lt;&gt;0,SUMIFS(Sheet1!$E:$E,Sheet1!$C:$C,$A258,Sheet1!$A:$A,D$2),"")</f>
        <v/>
      </c>
      <c r="E258" s="9" t="str">
        <f>IF(SUMIFS(Sheet1!$E:$E,Sheet1!$C:$C,$A258,Sheet1!$A:$A,E$2)&lt;&gt;0,SUMIFS(Sheet1!$E:$E,Sheet1!$C:$C,$A258,Sheet1!$A:$A,E$2),"")</f>
        <v/>
      </c>
      <c r="F258" s="9" t="str">
        <f>IF(SUMIFS(Sheet1!$E:$E,Sheet1!$C:$C,$A258,Sheet1!$A:$A,F$2)&lt;&gt;0,SUMIFS(Sheet1!$E:$E,Sheet1!$C:$C,$A258,Sheet1!$A:$A,F$2),"")</f>
        <v/>
      </c>
      <c r="G258" s="9" t="str">
        <f>IF(SUMIFS(Sheet1!$E:$E,Sheet1!$C:$C,$A258,Sheet1!$A:$A,G$2)&lt;&gt;0,SUMIFS(Sheet1!$E:$E,Sheet1!$C:$C,$A258,Sheet1!$A:$A,G$2),"")</f>
        <v/>
      </c>
      <c r="H258" s="9" t="str">
        <f>IF(SUMIFS(Sheet1!$E:$E,Sheet1!$C:$C,$A258,Sheet1!$A:$A,H$2)&lt;&gt;0,SUMIFS(Sheet1!$E:$E,Sheet1!$C:$C,$A258,Sheet1!$A:$A,H$2),"")</f>
        <v/>
      </c>
      <c r="I258" s="9" t="str">
        <f>IF(SUMIFS(Sheet1!$E:$E,Sheet1!$C:$C,$A258,Sheet1!$A:$A,I$2)&lt;&gt;0,SUMIFS(Sheet1!$E:$E,Sheet1!$C:$C,$A258,Sheet1!$A:$A,I$2),"")</f>
        <v/>
      </c>
      <c r="J258" s="9" t="str">
        <f>IF(SUMIFS(Sheet1!$E:$E,Sheet1!$C:$C,$A258,Sheet1!$A:$A,J$2)&lt;&gt;0,SUMIFS(Sheet1!$E:$E,Sheet1!$C:$C,$A258,Sheet1!$A:$A,J$2),"")</f>
        <v/>
      </c>
      <c r="K258" s="9" t="str">
        <f>IF(SUMIFS(Sheet1!$E:$E,Sheet1!$C:$C,$A258,Sheet1!$A:$A,K$2)&lt;&gt;0,SUMIFS(Sheet1!$E:$E,Sheet1!$C:$C,$A258,Sheet1!$A:$A,K$2),"")</f>
        <v/>
      </c>
      <c r="L258" s="9" t="str">
        <f>IF(SUMIFS(Sheet1!$E:$E,Sheet1!$C:$C,$A258,Sheet1!$A:$A,L$2)&lt;&gt;0,SUMIFS(Sheet1!$E:$E,Sheet1!$C:$C,$A258,Sheet1!$A:$A,L$2),"")</f>
        <v/>
      </c>
      <c r="M258" s="9" t="str">
        <f>IF(SUMIFS(Sheet1!$E:$E,Sheet1!$C:$C,$A258,Sheet1!$A:$A,M$2)&lt;&gt;0,SUMIFS(Sheet1!$E:$E,Sheet1!$C:$C,$A258,Sheet1!$A:$A,M$2),"")</f>
        <v/>
      </c>
      <c r="N258" s="9" t="str">
        <f>IF(SUMIFS(Sheet1!$E:$E,Sheet1!$C:$C,$A258,Sheet1!$A:$A,N$2)&lt;&gt;0,SUMIFS(Sheet1!$E:$E,Sheet1!$C:$C,$A258,Sheet1!$A:$A,N$2),"")</f>
        <v/>
      </c>
      <c r="O258" s="9" t="str">
        <f>IF(SUMIFS(Sheet1!$E:$E,Sheet1!$C:$C,$A258,Sheet1!$A:$A,O$2)&lt;&gt;0,SUMIFS(Sheet1!$E:$E,Sheet1!$C:$C,$A258,Sheet1!$A:$A,O$2),"")</f>
        <v/>
      </c>
      <c r="P258" s="9" t="str">
        <f>IF(SUMIFS(Sheet1!$E:$E,Sheet1!$C:$C,$A258,Sheet1!$A:$A,P$2)&lt;&gt;0,SUMIFS(Sheet1!$E:$E,Sheet1!$C:$C,$A258,Sheet1!$A:$A,P$2),"")</f>
        <v/>
      </c>
      <c r="Q258" s="9" t="str">
        <f>IF(SUMIFS(Sheet1!$E:$E,Sheet1!$C:$C,$A258,Sheet1!$A:$A,Q$2)&lt;&gt;0,SUMIFS(Sheet1!$E:$E,Sheet1!$C:$C,$A258,Sheet1!$A:$A,Q$2),"")</f>
        <v/>
      </c>
      <c r="R258" s="9" t="str">
        <f>IF(SUMIFS(Sheet1!$E:$E,Sheet1!$C:$C,$A258,Sheet1!$A:$A,R$2)&lt;&gt;0,SUMIFS(Sheet1!$E:$E,Sheet1!$C:$C,$A258,Sheet1!$A:$A,R$2),"")</f>
        <v/>
      </c>
      <c r="S258" s="9" t="str">
        <f>IF(SUMIFS(Sheet1!$E:$E,Sheet1!$C:$C,$A258,Sheet1!$A:$A,S$2)&lt;&gt;0,SUMIFS(Sheet1!$E:$E,Sheet1!$C:$C,$A258,Sheet1!$A:$A,S$2),"")</f>
        <v/>
      </c>
      <c r="T258" s="9" t="str">
        <f>IF(SUMIFS(Sheet1!$E:$E,Sheet1!$C:$C,$A258,Sheet1!$A:$A,T$2)&lt;&gt;0,SUMIFS(Sheet1!$E:$E,Sheet1!$C:$C,$A258,Sheet1!$A:$A,T$2),"")</f>
        <v/>
      </c>
      <c r="U258" s="9" t="str">
        <f>IF(SUMIFS(Sheet1!$E:$E,Sheet1!$C:$C,$A258,Sheet1!$A:$A,U$2)&lt;&gt;0,SUMIFS(Sheet1!$E:$E,Sheet1!$C:$C,$A258,Sheet1!$A:$A,U$2),"")</f>
        <v/>
      </c>
      <c r="V258" s="9" t="str">
        <f>IF(SUMIFS(Sheet1!$E:$E,Sheet1!$C:$C,$A258,Sheet1!$A:$A,V$2)&lt;&gt;0,SUMIFS(Sheet1!$E:$E,Sheet1!$C:$C,$A258,Sheet1!$A:$A,V$2),"")</f>
        <v/>
      </c>
      <c r="W258" s="9" t="str">
        <f>IF(SUMIFS(Sheet1!$E:$E,Sheet1!$C:$C,$A258,Sheet1!$A:$A,W$2)&lt;&gt;0,SUMIFS(Sheet1!$E:$E,Sheet1!$C:$C,$A258,Sheet1!$A:$A,W$2),"")</f>
        <v/>
      </c>
      <c r="X258" s="9" t="str">
        <f>IF(SUMIFS(Sheet1!$E:$E,Sheet1!$C:$C,$A258,Sheet1!$A:$A,X$2)&lt;&gt;0,SUMIFS(Sheet1!$E:$E,Sheet1!$C:$C,$A258,Sheet1!$A:$A,X$2),"")</f>
        <v/>
      </c>
      <c r="Y258" s="9" t="str">
        <f>IF(SUMIFS(Sheet1!$E:$E,Sheet1!$C:$C,$A258,Sheet1!$A:$A,Y$2)&lt;&gt;0,SUMIFS(Sheet1!$E:$E,Sheet1!$C:$C,$A258,Sheet1!$A:$A,Y$2),"")</f>
        <v/>
      </c>
      <c r="Z258" s="9" t="str">
        <f>IF(SUMIFS(Sheet1!$E:$E,Sheet1!$C:$C,$A258,Sheet1!$A:$A,Z$2)&lt;&gt;0,SUMIFS(Sheet1!$E:$E,Sheet1!$C:$C,$A258,Sheet1!$A:$A,Z$2),"")</f>
        <v/>
      </c>
      <c r="AA258" s="9" t="str">
        <f>IF(SUMIFS(Sheet1!$E:$E,Sheet1!$C:$C,$A258,Sheet1!$A:$A,AA$2)&lt;&gt;0,SUMIFS(Sheet1!$E:$E,Sheet1!$C:$C,$A258,Sheet1!$A:$A,AA$2),"")</f>
        <v/>
      </c>
      <c r="AB258" s="9" t="str">
        <f>IF(SUMIFS(Sheet1!$E:$E,Sheet1!$C:$C,$A258,Sheet1!$A:$A,AB$2)&lt;&gt;0,SUMIFS(Sheet1!$E:$E,Sheet1!$C:$C,$A258,Sheet1!$A:$A,AB$2),"")</f>
        <v/>
      </c>
      <c r="AC258" s="9" t="str">
        <f>IF(SUMIFS(Sheet1!$E:$E,Sheet1!$C:$C,$A258,Sheet1!$A:$A,AC$2)&lt;&gt;0,SUMIFS(Sheet1!$E:$E,Sheet1!$C:$C,$A258,Sheet1!$A:$A,AC$2),"")</f>
        <v/>
      </c>
      <c r="AD258" s="9" t="str">
        <f>IF(SUMIFS(Sheet1!$E:$E,Sheet1!$C:$C,$A258,Sheet1!$A:$A,AD$2)&lt;&gt;0,SUMIFS(Sheet1!$E:$E,Sheet1!$C:$C,$A258,Sheet1!$A:$A,AD$2),"")</f>
        <v/>
      </c>
      <c r="AE258" s="9" t="str">
        <f>IF(SUMIFS(Sheet1!$E:$E,Sheet1!$C:$C,$A258,Sheet1!$A:$A,AE$2)&lt;&gt;0,SUMIFS(Sheet1!$E:$E,Sheet1!$C:$C,$A258,Sheet1!$A:$A,AE$2),"")</f>
        <v/>
      </c>
      <c r="AF258" s="9" t="str">
        <f>IF(SUMIFS(Sheet1!$E:$E,Sheet1!$C:$C,$A258,Sheet1!$A:$A,AF$2)&lt;&gt;0,SUMIFS(Sheet1!$E:$E,Sheet1!$C:$C,$A258,Sheet1!$A:$A,AF$2),"")</f>
        <v/>
      </c>
      <c r="AG258" s="9" t="str">
        <f>IF(SUMIFS(Sheet1!$E:$E,Sheet1!$C:$C,$A258,Sheet1!$A:$A,AG$2)&lt;&gt;0,SUMIFS(Sheet1!$E:$E,Sheet1!$C:$C,$A258,Sheet1!$A:$A,AG$2),"")</f>
        <v/>
      </c>
      <c r="AH258" s="47">
        <f>SUM(Table24[[#This Row],[1]:[31]])</f>
        <v>0</v>
      </c>
    </row>
    <row r="259" spans="1:34" ht="12.75" customHeight="1">
      <c r="A259" s="24" t="str">
        <f>DSSP!A258</f>
        <v>VN08</v>
      </c>
      <c r="B259" s="25" t="str">
        <f>DSSP!B258</f>
        <v>Khóa màu</v>
      </c>
      <c r="C259" s="9">
        <f>IF(SUMIFS(Sheet1!$E:$E,Sheet1!$C:$C,$A259,Sheet1!$A:$A,C$2)&lt;&gt;0,SUMIFS(Sheet1!$E:$E,Sheet1!$C:$C,$A259,Sheet1!$A:$A,C$2),"")</f>
        <v>25</v>
      </c>
      <c r="D259" s="9" t="str">
        <f>IF(SUMIFS(Sheet1!$E:$E,Sheet1!$C:$C,$A259,Sheet1!$A:$A,D$2)&lt;&gt;0,SUMIFS(Sheet1!$E:$E,Sheet1!$C:$C,$A259,Sheet1!$A:$A,D$2),"")</f>
        <v/>
      </c>
      <c r="E259" s="9" t="str">
        <f>IF(SUMIFS(Sheet1!$E:$E,Sheet1!$C:$C,$A259,Sheet1!$A:$A,E$2)&lt;&gt;0,SUMIFS(Sheet1!$E:$E,Sheet1!$C:$C,$A259,Sheet1!$A:$A,E$2),"")</f>
        <v/>
      </c>
      <c r="F259" s="9" t="str">
        <f>IF(SUMIFS(Sheet1!$E:$E,Sheet1!$C:$C,$A259,Sheet1!$A:$A,F$2)&lt;&gt;0,SUMIFS(Sheet1!$E:$E,Sheet1!$C:$C,$A259,Sheet1!$A:$A,F$2),"")</f>
        <v/>
      </c>
      <c r="G259" s="9" t="str">
        <f>IF(SUMIFS(Sheet1!$E:$E,Sheet1!$C:$C,$A259,Sheet1!$A:$A,G$2)&lt;&gt;0,SUMIFS(Sheet1!$E:$E,Sheet1!$C:$C,$A259,Sheet1!$A:$A,G$2),"")</f>
        <v/>
      </c>
      <c r="H259" s="9" t="str">
        <f>IF(SUMIFS(Sheet1!$E:$E,Sheet1!$C:$C,$A259,Sheet1!$A:$A,H$2)&lt;&gt;0,SUMIFS(Sheet1!$E:$E,Sheet1!$C:$C,$A259,Sheet1!$A:$A,H$2),"")</f>
        <v/>
      </c>
      <c r="I259" s="9" t="str">
        <f>IF(SUMIFS(Sheet1!$E:$E,Sheet1!$C:$C,$A259,Sheet1!$A:$A,I$2)&lt;&gt;0,SUMIFS(Sheet1!$E:$E,Sheet1!$C:$C,$A259,Sheet1!$A:$A,I$2),"")</f>
        <v/>
      </c>
      <c r="J259" s="9" t="str">
        <f>IF(SUMIFS(Sheet1!$E:$E,Sheet1!$C:$C,$A259,Sheet1!$A:$A,J$2)&lt;&gt;0,SUMIFS(Sheet1!$E:$E,Sheet1!$C:$C,$A259,Sheet1!$A:$A,J$2),"")</f>
        <v/>
      </c>
      <c r="K259" s="9" t="str">
        <f>IF(SUMIFS(Sheet1!$E:$E,Sheet1!$C:$C,$A259,Sheet1!$A:$A,K$2)&lt;&gt;0,SUMIFS(Sheet1!$E:$E,Sheet1!$C:$C,$A259,Sheet1!$A:$A,K$2),"")</f>
        <v/>
      </c>
      <c r="L259" s="9" t="str">
        <f>IF(SUMIFS(Sheet1!$E:$E,Sheet1!$C:$C,$A259,Sheet1!$A:$A,L$2)&lt;&gt;0,SUMIFS(Sheet1!$E:$E,Sheet1!$C:$C,$A259,Sheet1!$A:$A,L$2),"")</f>
        <v/>
      </c>
      <c r="M259" s="9" t="str">
        <f>IF(SUMIFS(Sheet1!$E:$E,Sheet1!$C:$C,$A259,Sheet1!$A:$A,M$2)&lt;&gt;0,SUMIFS(Sheet1!$E:$E,Sheet1!$C:$C,$A259,Sheet1!$A:$A,M$2),"")</f>
        <v/>
      </c>
      <c r="N259" s="9" t="str">
        <f>IF(SUMIFS(Sheet1!$E:$E,Sheet1!$C:$C,$A259,Sheet1!$A:$A,N$2)&lt;&gt;0,SUMIFS(Sheet1!$E:$E,Sheet1!$C:$C,$A259,Sheet1!$A:$A,N$2),"")</f>
        <v/>
      </c>
      <c r="O259" s="9" t="str">
        <f>IF(SUMIFS(Sheet1!$E:$E,Sheet1!$C:$C,$A259,Sheet1!$A:$A,O$2)&lt;&gt;0,SUMIFS(Sheet1!$E:$E,Sheet1!$C:$C,$A259,Sheet1!$A:$A,O$2),"")</f>
        <v/>
      </c>
      <c r="P259" s="9" t="str">
        <f>IF(SUMIFS(Sheet1!$E:$E,Sheet1!$C:$C,$A259,Sheet1!$A:$A,P$2)&lt;&gt;0,SUMIFS(Sheet1!$E:$E,Sheet1!$C:$C,$A259,Sheet1!$A:$A,P$2),"")</f>
        <v/>
      </c>
      <c r="Q259" s="9" t="str">
        <f>IF(SUMIFS(Sheet1!$E:$E,Sheet1!$C:$C,$A259,Sheet1!$A:$A,Q$2)&lt;&gt;0,SUMIFS(Sheet1!$E:$E,Sheet1!$C:$C,$A259,Sheet1!$A:$A,Q$2),"")</f>
        <v/>
      </c>
      <c r="R259" s="9" t="str">
        <f>IF(SUMIFS(Sheet1!$E:$E,Sheet1!$C:$C,$A259,Sheet1!$A:$A,R$2)&lt;&gt;0,SUMIFS(Sheet1!$E:$E,Sheet1!$C:$C,$A259,Sheet1!$A:$A,R$2),"")</f>
        <v/>
      </c>
      <c r="S259" s="9" t="str">
        <f>IF(SUMIFS(Sheet1!$E:$E,Sheet1!$C:$C,$A259,Sheet1!$A:$A,S$2)&lt;&gt;0,SUMIFS(Sheet1!$E:$E,Sheet1!$C:$C,$A259,Sheet1!$A:$A,S$2),"")</f>
        <v/>
      </c>
      <c r="T259" s="9" t="str">
        <f>IF(SUMIFS(Sheet1!$E:$E,Sheet1!$C:$C,$A259,Sheet1!$A:$A,T$2)&lt;&gt;0,SUMIFS(Sheet1!$E:$E,Sheet1!$C:$C,$A259,Sheet1!$A:$A,T$2),"")</f>
        <v/>
      </c>
      <c r="U259" s="9" t="str">
        <f>IF(SUMIFS(Sheet1!$E:$E,Sheet1!$C:$C,$A259,Sheet1!$A:$A,U$2)&lt;&gt;0,SUMIFS(Sheet1!$E:$E,Sheet1!$C:$C,$A259,Sheet1!$A:$A,U$2),"")</f>
        <v/>
      </c>
      <c r="V259" s="9" t="str">
        <f>IF(SUMIFS(Sheet1!$E:$E,Sheet1!$C:$C,$A259,Sheet1!$A:$A,V$2)&lt;&gt;0,SUMIFS(Sheet1!$E:$E,Sheet1!$C:$C,$A259,Sheet1!$A:$A,V$2),"")</f>
        <v/>
      </c>
      <c r="W259" s="9" t="str">
        <f>IF(SUMIFS(Sheet1!$E:$E,Sheet1!$C:$C,$A259,Sheet1!$A:$A,W$2)&lt;&gt;0,SUMIFS(Sheet1!$E:$E,Sheet1!$C:$C,$A259,Sheet1!$A:$A,W$2),"")</f>
        <v/>
      </c>
      <c r="X259" s="9" t="str">
        <f>IF(SUMIFS(Sheet1!$E:$E,Sheet1!$C:$C,$A259,Sheet1!$A:$A,X$2)&lt;&gt;0,SUMIFS(Sheet1!$E:$E,Sheet1!$C:$C,$A259,Sheet1!$A:$A,X$2),"")</f>
        <v/>
      </c>
      <c r="Y259" s="9" t="str">
        <f>IF(SUMIFS(Sheet1!$E:$E,Sheet1!$C:$C,$A259,Sheet1!$A:$A,Y$2)&lt;&gt;0,SUMIFS(Sheet1!$E:$E,Sheet1!$C:$C,$A259,Sheet1!$A:$A,Y$2),"")</f>
        <v/>
      </c>
      <c r="Z259" s="9" t="str">
        <f>IF(SUMIFS(Sheet1!$E:$E,Sheet1!$C:$C,$A259,Sheet1!$A:$A,Z$2)&lt;&gt;0,SUMIFS(Sheet1!$E:$E,Sheet1!$C:$C,$A259,Sheet1!$A:$A,Z$2),"")</f>
        <v/>
      </c>
      <c r="AA259" s="9" t="str">
        <f>IF(SUMIFS(Sheet1!$E:$E,Sheet1!$C:$C,$A259,Sheet1!$A:$A,AA$2)&lt;&gt;0,SUMIFS(Sheet1!$E:$E,Sheet1!$C:$C,$A259,Sheet1!$A:$A,AA$2),"")</f>
        <v/>
      </c>
      <c r="AB259" s="9" t="str">
        <f>IF(SUMIFS(Sheet1!$E:$E,Sheet1!$C:$C,$A259,Sheet1!$A:$A,AB$2)&lt;&gt;0,SUMIFS(Sheet1!$E:$E,Sheet1!$C:$C,$A259,Sheet1!$A:$A,AB$2),"")</f>
        <v/>
      </c>
      <c r="AC259" s="9" t="str">
        <f>IF(SUMIFS(Sheet1!$E:$E,Sheet1!$C:$C,$A259,Sheet1!$A:$A,AC$2)&lt;&gt;0,SUMIFS(Sheet1!$E:$E,Sheet1!$C:$C,$A259,Sheet1!$A:$A,AC$2),"")</f>
        <v/>
      </c>
      <c r="AD259" s="9" t="str">
        <f>IF(SUMIFS(Sheet1!$E:$E,Sheet1!$C:$C,$A259,Sheet1!$A:$A,AD$2)&lt;&gt;0,SUMIFS(Sheet1!$E:$E,Sheet1!$C:$C,$A259,Sheet1!$A:$A,AD$2),"")</f>
        <v/>
      </c>
      <c r="AE259" s="9" t="str">
        <f>IF(SUMIFS(Sheet1!$E:$E,Sheet1!$C:$C,$A259,Sheet1!$A:$A,AE$2)&lt;&gt;0,SUMIFS(Sheet1!$E:$E,Sheet1!$C:$C,$A259,Sheet1!$A:$A,AE$2),"")</f>
        <v/>
      </c>
      <c r="AF259" s="9" t="str">
        <f>IF(SUMIFS(Sheet1!$E:$E,Sheet1!$C:$C,$A259,Sheet1!$A:$A,AF$2)&lt;&gt;0,SUMIFS(Sheet1!$E:$E,Sheet1!$C:$C,$A259,Sheet1!$A:$A,AF$2),"")</f>
        <v/>
      </c>
      <c r="AG259" s="9" t="str">
        <f>IF(SUMIFS(Sheet1!$E:$E,Sheet1!$C:$C,$A259,Sheet1!$A:$A,AG$2)&lt;&gt;0,SUMIFS(Sheet1!$E:$E,Sheet1!$C:$C,$A259,Sheet1!$A:$A,AG$2),"")</f>
        <v/>
      </c>
      <c r="AH259" s="47">
        <f>SUM(Table24[[#This Row],[1]:[31]])</f>
        <v>25</v>
      </c>
    </row>
    <row r="260" spans="1:34" ht="12.75" customHeight="1">
      <c r="A260" s="24" t="str">
        <f>DSSP!A259</f>
        <v>VN09</v>
      </c>
      <c r="B260" s="25" t="str">
        <f>DSSP!B259</f>
        <v>Khóa 25cm chìm trắng</v>
      </c>
      <c r="C260" s="9" t="str">
        <f>IF(SUMIFS(Sheet1!$E:$E,Sheet1!$C:$C,$A260,Sheet1!$A:$A,C$2)&lt;&gt;0,SUMIFS(Sheet1!$E:$E,Sheet1!$C:$C,$A260,Sheet1!$A:$A,C$2),"")</f>
        <v/>
      </c>
      <c r="D260" s="9" t="str">
        <f>IF(SUMIFS(Sheet1!$E:$E,Sheet1!$C:$C,$A260,Sheet1!$A:$A,D$2)&lt;&gt;0,SUMIFS(Sheet1!$E:$E,Sheet1!$C:$C,$A260,Sheet1!$A:$A,D$2),"")</f>
        <v/>
      </c>
      <c r="E260" s="9" t="str">
        <f>IF(SUMIFS(Sheet1!$E:$E,Sheet1!$C:$C,$A260,Sheet1!$A:$A,E$2)&lt;&gt;0,SUMIFS(Sheet1!$E:$E,Sheet1!$C:$C,$A260,Sheet1!$A:$A,E$2),"")</f>
        <v/>
      </c>
      <c r="F260" s="9" t="str">
        <f>IF(SUMIFS(Sheet1!$E:$E,Sheet1!$C:$C,$A260,Sheet1!$A:$A,F$2)&lt;&gt;0,SUMIFS(Sheet1!$E:$E,Sheet1!$C:$C,$A260,Sheet1!$A:$A,F$2),"")</f>
        <v/>
      </c>
      <c r="G260" s="9" t="str">
        <f>IF(SUMIFS(Sheet1!$E:$E,Sheet1!$C:$C,$A260,Sheet1!$A:$A,G$2)&lt;&gt;0,SUMIFS(Sheet1!$E:$E,Sheet1!$C:$C,$A260,Sheet1!$A:$A,G$2),"")</f>
        <v/>
      </c>
      <c r="H260" s="9" t="str">
        <f>IF(SUMIFS(Sheet1!$E:$E,Sheet1!$C:$C,$A260,Sheet1!$A:$A,H$2)&lt;&gt;0,SUMIFS(Sheet1!$E:$E,Sheet1!$C:$C,$A260,Sheet1!$A:$A,H$2),"")</f>
        <v/>
      </c>
      <c r="I260" s="9" t="str">
        <f>IF(SUMIFS(Sheet1!$E:$E,Sheet1!$C:$C,$A260,Sheet1!$A:$A,I$2)&lt;&gt;0,SUMIFS(Sheet1!$E:$E,Sheet1!$C:$C,$A260,Sheet1!$A:$A,I$2),"")</f>
        <v/>
      </c>
      <c r="J260" s="9" t="str">
        <f>IF(SUMIFS(Sheet1!$E:$E,Sheet1!$C:$C,$A260,Sheet1!$A:$A,J$2)&lt;&gt;0,SUMIFS(Sheet1!$E:$E,Sheet1!$C:$C,$A260,Sheet1!$A:$A,J$2),"")</f>
        <v/>
      </c>
      <c r="K260" s="9" t="str">
        <f>IF(SUMIFS(Sheet1!$E:$E,Sheet1!$C:$C,$A260,Sheet1!$A:$A,K$2)&lt;&gt;0,SUMIFS(Sheet1!$E:$E,Sheet1!$C:$C,$A260,Sheet1!$A:$A,K$2),"")</f>
        <v/>
      </c>
      <c r="L260" s="9" t="str">
        <f>IF(SUMIFS(Sheet1!$E:$E,Sheet1!$C:$C,$A260,Sheet1!$A:$A,L$2)&lt;&gt;0,SUMIFS(Sheet1!$E:$E,Sheet1!$C:$C,$A260,Sheet1!$A:$A,L$2),"")</f>
        <v/>
      </c>
      <c r="M260" s="9" t="str">
        <f>IF(SUMIFS(Sheet1!$E:$E,Sheet1!$C:$C,$A260,Sheet1!$A:$A,M$2)&lt;&gt;0,SUMIFS(Sheet1!$E:$E,Sheet1!$C:$C,$A260,Sheet1!$A:$A,M$2),"")</f>
        <v/>
      </c>
      <c r="N260" s="9" t="str">
        <f>IF(SUMIFS(Sheet1!$E:$E,Sheet1!$C:$C,$A260,Sheet1!$A:$A,N$2)&lt;&gt;0,SUMIFS(Sheet1!$E:$E,Sheet1!$C:$C,$A260,Sheet1!$A:$A,N$2),"")</f>
        <v/>
      </c>
      <c r="O260" s="9" t="str">
        <f>IF(SUMIFS(Sheet1!$E:$E,Sheet1!$C:$C,$A260,Sheet1!$A:$A,O$2)&lt;&gt;0,SUMIFS(Sheet1!$E:$E,Sheet1!$C:$C,$A260,Sheet1!$A:$A,O$2),"")</f>
        <v/>
      </c>
      <c r="P260" s="9" t="str">
        <f>IF(SUMIFS(Sheet1!$E:$E,Sheet1!$C:$C,$A260,Sheet1!$A:$A,P$2)&lt;&gt;0,SUMIFS(Sheet1!$E:$E,Sheet1!$C:$C,$A260,Sheet1!$A:$A,P$2),"")</f>
        <v/>
      </c>
      <c r="Q260" s="9" t="str">
        <f>IF(SUMIFS(Sheet1!$E:$E,Sheet1!$C:$C,$A260,Sheet1!$A:$A,Q$2)&lt;&gt;0,SUMIFS(Sheet1!$E:$E,Sheet1!$C:$C,$A260,Sheet1!$A:$A,Q$2),"")</f>
        <v/>
      </c>
      <c r="R260" s="9" t="str">
        <f>IF(SUMIFS(Sheet1!$E:$E,Sheet1!$C:$C,$A260,Sheet1!$A:$A,R$2)&lt;&gt;0,SUMIFS(Sheet1!$E:$E,Sheet1!$C:$C,$A260,Sheet1!$A:$A,R$2),"")</f>
        <v/>
      </c>
      <c r="S260" s="9" t="str">
        <f>IF(SUMIFS(Sheet1!$E:$E,Sheet1!$C:$C,$A260,Sheet1!$A:$A,S$2)&lt;&gt;0,SUMIFS(Sheet1!$E:$E,Sheet1!$C:$C,$A260,Sheet1!$A:$A,S$2),"")</f>
        <v/>
      </c>
      <c r="T260" s="9" t="str">
        <f>IF(SUMIFS(Sheet1!$E:$E,Sheet1!$C:$C,$A260,Sheet1!$A:$A,T$2)&lt;&gt;0,SUMIFS(Sheet1!$E:$E,Sheet1!$C:$C,$A260,Sheet1!$A:$A,T$2),"")</f>
        <v/>
      </c>
      <c r="U260" s="9" t="str">
        <f>IF(SUMIFS(Sheet1!$E:$E,Sheet1!$C:$C,$A260,Sheet1!$A:$A,U$2)&lt;&gt;0,SUMIFS(Sheet1!$E:$E,Sheet1!$C:$C,$A260,Sheet1!$A:$A,U$2),"")</f>
        <v/>
      </c>
      <c r="V260" s="9" t="str">
        <f>IF(SUMIFS(Sheet1!$E:$E,Sheet1!$C:$C,$A260,Sheet1!$A:$A,V$2)&lt;&gt;0,SUMIFS(Sheet1!$E:$E,Sheet1!$C:$C,$A260,Sheet1!$A:$A,V$2),"")</f>
        <v/>
      </c>
      <c r="W260" s="9" t="str">
        <f>IF(SUMIFS(Sheet1!$E:$E,Sheet1!$C:$C,$A260,Sheet1!$A:$A,W$2)&lt;&gt;0,SUMIFS(Sheet1!$E:$E,Sheet1!$C:$C,$A260,Sheet1!$A:$A,W$2),"")</f>
        <v/>
      </c>
      <c r="X260" s="9" t="str">
        <f>IF(SUMIFS(Sheet1!$E:$E,Sheet1!$C:$C,$A260,Sheet1!$A:$A,X$2)&lt;&gt;0,SUMIFS(Sheet1!$E:$E,Sheet1!$C:$C,$A260,Sheet1!$A:$A,X$2),"")</f>
        <v/>
      </c>
      <c r="Y260" s="9" t="str">
        <f>IF(SUMIFS(Sheet1!$E:$E,Sheet1!$C:$C,$A260,Sheet1!$A:$A,Y$2)&lt;&gt;0,SUMIFS(Sheet1!$E:$E,Sheet1!$C:$C,$A260,Sheet1!$A:$A,Y$2),"")</f>
        <v/>
      </c>
      <c r="Z260" s="9" t="str">
        <f>IF(SUMIFS(Sheet1!$E:$E,Sheet1!$C:$C,$A260,Sheet1!$A:$A,Z$2)&lt;&gt;0,SUMIFS(Sheet1!$E:$E,Sheet1!$C:$C,$A260,Sheet1!$A:$A,Z$2),"")</f>
        <v/>
      </c>
      <c r="AA260" s="9" t="str">
        <f>IF(SUMIFS(Sheet1!$E:$E,Sheet1!$C:$C,$A260,Sheet1!$A:$A,AA$2)&lt;&gt;0,SUMIFS(Sheet1!$E:$E,Sheet1!$C:$C,$A260,Sheet1!$A:$A,AA$2),"")</f>
        <v/>
      </c>
      <c r="AB260" s="9" t="str">
        <f>IF(SUMIFS(Sheet1!$E:$E,Sheet1!$C:$C,$A260,Sheet1!$A:$A,AB$2)&lt;&gt;0,SUMIFS(Sheet1!$E:$E,Sheet1!$C:$C,$A260,Sheet1!$A:$A,AB$2),"")</f>
        <v/>
      </c>
      <c r="AC260" s="9" t="str">
        <f>IF(SUMIFS(Sheet1!$E:$E,Sheet1!$C:$C,$A260,Sheet1!$A:$A,AC$2)&lt;&gt;0,SUMIFS(Sheet1!$E:$E,Sheet1!$C:$C,$A260,Sheet1!$A:$A,AC$2),"")</f>
        <v/>
      </c>
      <c r="AD260" s="9" t="str">
        <f>IF(SUMIFS(Sheet1!$E:$E,Sheet1!$C:$C,$A260,Sheet1!$A:$A,AD$2)&lt;&gt;0,SUMIFS(Sheet1!$E:$E,Sheet1!$C:$C,$A260,Sheet1!$A:$A,AD$2),"")</f>
        <v/>
      </c>
      <c r="AE260" s="9" t="str">
        <f>IF(SUMIFS(Sheet1!$E:$E,Sheet1!$C:$C,$A260,Sheet1!$A:$A,AE$2)&lt;&gt;0,SUMIFS(Sheet1!$E:$E,Sheet1!$C:$C,$A260,Sheet1!$A:$A,AE$2),"")</f>
        <v/>
      </c>
      <c r="AF260" s="9" t="str">
        <f>IF(SUMIFS(Sheet1!$E:$E,Sheet1!$C:$C,$A260,Sheet1!$A:$A,AF$2)&lt;&gt;0,SUMIFS(Sheet1!$E:$E,Sheet1!$C:$C,$A260,Sheet1!$A:$A,AF$2),"")</f>
        <v/>
      </c>
      <c r="AG260" s="9" t="str">
        <f>IF(SUMIFS(Sheet1!$E:$E,Sheet1!$C:$C,$A260,Sheet1!$A:$A,AG$2)&lt;&gt;0,SUMIFS(Sheet1!$E:$E,Sheet1!$C:$C,$A260,Sheet1!$A:$A,AG$2),"")</f>
        <v/>
      </c>
      <c r="AH260" s="47">
        <f>SUM(Table24[[#This Row],[1]:[31]])</f>
        <v>0</v>
      </c>
    </row>
    <row r="261" spans="1:34" ht="12.75" customHeight="1">
      <c r="A261" s="24" t="str">
        <f>DSSP!A260</f>
        <v>VN10</v>
      </c>
      <c r="B261" s="25" t="str">
        <f>DSSP!B260</f>
        <v>Khóa 25cm chìm màu</v>
      </c>
      <c r="C261" s="9">
        <f>IF(SUMIFS(Sheet1!$E:$E,Sheet1!$C:$C,$A261,Sheet1!$A:$A,C$2)&lt;&gt;0,SUMIFS(Sheet1!$E:$E,Sheet1!$C:$C,$A261,Sheet1!$A:$A,C$2),"")</f>
        <v>1</v>
      </c>
      <c r="D261" s="9" t="str">
        <f>IF(SUMIFS(Sheet1!$E:$E,Sheet1!$C:$C,$A261,Sheet1!$A:$A,D$2)&lt;&gt;0,SUMIFS(Sheet1!$E:$E,Sheet1!$C:$C,$A261,Sheet1!$A:$A,D$2),"")</f>
        <v/>
      </c>
      <c r="E261" s="9" t="str">
        <f>IF(SUMIFS(Sheet1!$E:$E,Sheet1!$C:$C,$A261,Sheet1!$A:$A,E$2)&lt;&gt;0,SUMIFS(Sheet1!$E:$E,Sheet1!$C:$C,$A261,Sheet1!$A:$A,E$2),"")</f>
        <v/>
      </c>
      <c r="F261" s="9" t="str">
        <f>IF(SUMIFS(Sheet1!$E:$E,Sheet1!$C:$C,$A261,Sheet1!$A:$A,F$2)&lt;&gt;0,SUMIFS(Sheet1!$E:$E,Sheet1!$C:$C,$A261,Sheet1!$A:$A,F$2),"")</f>
        <v/>
      </c>
      <c r="G261" s="9" t="str">
        <f>IF(SUMIFS(Sheet1!$E:$E,Sheet1!$C:$C,$A261,Sheet1!$A:$A,G$2)&lt;&gt;0,SUMIFS(Sheet1!$E:$E,Sheet1!$C:$C,$A261,Sheet1!$A:$A,G$2),"")</f>
        <v/>
      </c>
      <c r="H261" s="9" t="str">
        <f>IF(SUMIFS(Sheet1!$E:$E,Sheet1!$C:$C,$A261,Sheet1!$A:$A,H$2)&lt;&gt;0,SUMIFS(Sheet1!$E:$E,Sheet1!$C:$C,$A261,Sheet1!$A:$A,H$2),"")</f>
        <v/>
      </c>
      <c r="I261" s="9" t="str">
        <f>IF(SUMIFS(Sheet1!$E:$E,Sheet1!$C:$C,$A261,Sheet1!$A:$A,I$2)&lt;&gt;0,SUMIFS(Sheet1!$E:$E,Sheet1!$C:$C,$A261,Sheet1!$A:$A,I$2),"")</f>
        <v/>
      </c>
      <c r="J261" s="9" t="str">
        <f>IF(SUMIFS(Sheet1!$E:$E,Sheet1!$C:$C,$A261,Sheet1!$A:$A,J$2)&lt;&gt;0,SUMIFS(Sheet1!$E:$E,Sheet1!$C:$C,$A261,Sheet1!$A:$A,J$2),"")</f>
        <v/>
      </c>
      <c r="K261" s="9" t="str">
        <f>IF(SUMIFS(Sheet1!$E:$E,Sheet1!$C:$C,$A261,Sheet1!$A:$A,K$2)&lt;&gt;0,SUMIFS(Sheet1!$E:$E,Sheet1!$C:$C,$A261,Sheet1!$A:$A,K$2),"")</f>
        <v/>
      </c>
      <c r="L261" s="9" t="str">
        <f>IF(SUMIFS(Sheet1!$E:$E,Sheet1!$C:$C,$A261,Sheet1!$A:$A,L$2)&lt;&gt;0,SUMIFS(Sheet1!$E:$E,Sheet1!$C:$C,$A261,Sheet1!$A:$A,L$2),"")</f>
        <v/>
      </c>
      <c r="M261" s="9" t="str">
        <f>IF(SUMIFS(Sheet1!$E:$E,Sheet1!$C:$C,$A261,Sheet1!$A:$A,M$2)&lt;&gt;0,SUMIFS(Sheet1!$E:$E,Sheet1!$C:$C,$A261,Sheet1!$A:$A,M$2),"")</f>
        <v/>
      </c>
      <c r="N261" s="9" t="str">
        <f>IF(SUMIFS(Sheet1!$E:$E,Sheet1!$C:$C,$A261,Sheet1!$A:$A,N$2)&lt;&gt;0,SUMIFS(Sheet1!$E:$E,Sheet1!$C:$C,$A261,Sheet1!$A:$A,N$2),"")</f>
        <v/>
      </c>
      <c r="O261" s="9" t="str">
        <f>IF(SUMIFS(Sheet1!$E:$E,Sheet1!$C:$C,$A261,Sheet1!$A:$A,O$2)&lt;&gt;0,SUMIFS(Sheet1!$E:$E,Sheet1!$C:$C,$A261,Sheet1!$A:$A,O$2),"")</f>
        <v/>
      </c>
      <c r="P261" s="9" t="str">
        <f>IF(SUMIFS(Sheet1!$E:$E,Sheet1!$C:$C,$A261,Sheet1!$A:$A,P$2)&lt;&gt;0,SUMIFS(Sheet1!$E:$E,Sheet1!$C:$C,$A261,Sheet1!$A:$A,P$2),"")</f>
        <v/>
      </c>
      <c r="Q261" s="9" t="str">
        <f>IF(SUMIFS(Sheet1!$E:$E,Sheet1!$C:$C,$A261,Sheet1!$A:$A,Q$2)&lt;&gt;0,SUMIFS(Sheet1!$E:$E,Sheet1!$C:$C,$A261,Sheet1!$A:$A,Q$2),"")</f>
        <v/>
      </c>
      <c r="R261" s="9" t="str">
        <f>IF(SUMIFS(Sheet1!$E:$E,Sheet1!$C:$C,$A261,Sheet1!$A:$A,R$2)&lt;&gt;0,SUMIFS(Sheet1!$E:$E,Sheet1!$C:$C,$A261,Sheet1!$A:$A,R$2),"")</f>
        <v/>
      </c>
      <c r="S261" s="9" t="str">
        <f>IF(SUMIFS(Sheet1!$E:$E,Sheet1!$C:$C,$A261,Sheet1!$A:$A,S$2)&lt;&gt;0,SUMIFS(Sheet1!$E:$E,Sheet1!$C:$C,$A261,Sheet1!$A:$A,S$2),"")</f>
        <v/>
      </c>
      <c r="T261" s="9" t="str">
        <f>IF(SUMIFS(Sheet1!$E:$E,Sheet1!$C:$C,$A261,Sheet1!$A:$A,T$2)&lt;&gt;0,SUMIFS(Sheet1!$E:$E,Sheet1!$C:$C,$A261,Sheet1!$A:$A,T$2),"")</f>
        <v/>
      </c>
      <c r="U261" s="9" t="str">
        <f>IF(SUMIFS(Sheet1!$E:$E,Sheet1!$C:$C,$A261,Sheet1!$A:$A,U$2)&lt;&gt;0,SUMIFS(Sheet1!$E:$E,Sheet1!$C:$C,$A261,Sheet1!$A:$A,U$2),"")</f>
        <v/>
      </c>
      <c r="V261" s="9" t="str">
        <f>IF(SUMIFS(Sheet1!$E:$E,Sheet1!$C:$C,$A261,Sheet1!$A:$A,V$2)&lt;&gt;0,SUMIFS(Sheet1!$E:$E,Sheet1!$C:$C,$A261,Sheet1!$A:$A,V$2),"")</f>
        <v/>
      </c>
      <c r="W261" s="9" t="str">
        <f>IF(SUMIFS(Sheet1!$E:$E,Sheet1!$C:$C,$A261,Sheet1!$A:$A,W$2)&lt;&gt;0,SUMIFS(Sheet1!$E:$E,Sheet1!$C:$C,$A261,Sheet1!$A:$A,W$2),"")</f>
        <v/>
      </c>
      <c r="X261" s="9" t="str">
        <f>IF(SUMIFS(Sheet1!$E:$E,Sheet1!$C:$C,$A261,Sheet1!$A:$A,X$2)&lt;&gt;0,SUMIFS(Sheet1!$E:$E,Sheet1!$C:$C,$A261,Sheet1!$A:$A,X$2),"")</f>
        <v/>
      </c>
      <c r="Y261" s="9" t="str">
        <f>IF(SUMIFS(Sheet1!$E:$E,Sheet1!$C:$C,$A261,Sheet1!$A:$A,Y$2)&lt;&gt;0,SUMIFS(Sheet1!$E:$E,Sheet1!$C:$C,$A261,Sheet1!$A:$A,Y$2),"")</f>
        <v/>
      </c>
      <c r="Z261" s="9" t="str">
        <f>IF(SUMIFS(Sheet1!$E:$E,Sheet1!$C:$C,$A261,Sheet1!$A:$A,Z$2)&lt;&gt;0,SUMIFS(Sheet1!$E:$E,Sheet1!$C:$C,$A261,Sheet1!$A:$A,Z$2),"")</f>
        <v/>
      </c>
      <c r="AA261" s="9" t="str">
        <f>IF(SUMIFS(Sheet1!$E:$E,Sheet1!$C:$C,$A261,Sheet1!$A:$A,AA$2)&lt;&gt;0,SUMIFS(Sheet1!$E:$E,Sheet1!$C:$C,$A261,Sheet1!$A:$A,AA$2),"")</f>
        <v/>
      </c>
      <c r="AB261" s="9" t="str">
        <f>IF(SUMIFS(Sheet1!$E:$E,Sheet1!$C:$C,$A261,Sheet1!$A:$A,AB$2)&lt;&gt;0,SUMIFS(Sheet1!$E:$E,Sheet1!$C:$C,$A261,Sheet1!$A:$A,AB$2),"")</f>
        <v/>
      </c>
      <c r="AC261" s="9" t="str">
        <f>IF(SUMIFS(Sheet1!$E:$E,Sheet1!$C:$C,$A261,Sheet1!$A:$A,AC$2)&lt;&gt;0,SUMIFS(Sheet1!$E:$E,Sheet1!$C:$C,$A261,Sheet1!$A:$A,AC$2),"")</f>
        <v/>
      </c>
      <c r="AD261" s="9" t="str">
        <f>IF(SUMIFS(Sheet1!$E:$E,Sheet1!$C:$C,$A261,Sheet1!$A:$A,AD$2)&lt;&gt;0,SUMIFS(Sheet1!$E:$E,Sheet1!$C:$C,$A261,Sheet1!$A:$A,AD$2),"")</f>
        <v/>
      </c>
      <c r="AE261" s="9" t="str">
        <f>IF(SUMIFS(Sheet1!$E:$E,Sheet1!$C:$C,$A261,Sheet1!$A:$A,AE$2)&lt;&gt;0,SUMIFS(Sheet1!$E:$E,Sheet1!$C:$C,$A261,Sheet1!$A:$A,AE$2),"")</f>
        <v/>
      </c>
      <c r="AF261" s="9" t="str">
        <f>IF(SUMIFS(Sheet1!$E:$E,Sheet1!$C:$C,$A261,Sheet1!$A:$A,AF$2)&lt;&gt;0,SUMIFS(Sheet1!$E:$E,Sheet1!$C:$C,$A261,Sheet1!$A:$A,AF$2),"")</f>
        <v/>
      </c>
      <c r="AG261" s="9" t="str">
        <f>IF(SUMIFS(Sheet1!$E:$E,Sheet1!$C:$C,$A261,Sheet1!$A:$A,AG$2)&lt;&gt;0,SUMIFS(Sheet1!$E:$E,Sheet1!$C:$C,$A261,Sheet1!$A:$A,AG$2),"")</f>
        <v/>
      </c>
      <c r="AH261" s="47">
        <f>SUM(Table24[[#This Row],[1]:[31]])</f>
        <v>1</v>
      </c>
    </row>
    <row r="262" spans="1:34" ht="12.75" customHeight="1">
      <c r="A262" s="24" t="str">
        <f>DSSP!A261</f>
        <v>VN11</v>
      </c>
      <c r="B262" s="25" t="str">
        <f>DSSP!B261</f>
        <v>Chun 1m</v>
      </c>
      <c r="C262" s="9" t="str">
        <f>IF(SUMIFS(Sheet1!$E:$E,Sheet1!$C:$C,$A262,Sheet1!$A:$A,C$2)&lt;&gt;0,SUMIFS(Sheet1!$E:$E,Sheet1!$C:$C,$A262,Sheet1!$A:$A,C$2),"")</f>
        <v/>
      </c>
      <c r="D262" s="9" t="str">
        <f>IF(SUMIFS(Sheet1!$E:$E,Sheet1!$C:$C,$A262,Sheet1!$A:$A,D$2)&lt;&gt;0,SUMIFS(Sheet1!$E:$E,Sheet1!$C:$C,$A262,Sheet1!$A:$A,D$2),"")</f>
        <v/>
      </c>
      <c r="E262" s="9" t="str">
        <f>IF(SUMIFS(Sheet1!$E:$E,Sheet1!$C:$C,$A262,Sheet1!$A:$A,E$2)&lt;&gt;0,SUMIFS(Sheet1!$E:$E,Sheet1!$C:$C,$A262,Sheet1!$A:$A,E$2),"")</f>
        <v/>
      </c>
      <c r="F262" s="9" t="str">
        <f>IF(SUMIFS(Sheet1!$E:$E,Sheet1!$C:$C,$A262,Sheet1!$A:$A,F$2)&lt;&gt;0,SUMIFS(Sheet1!$E:$E,Sheet1!$C:$C,$A262,Sheet1!$A:$A,F$2),"")</f>
        <v/>
      </c>
      <c r="G262" s="9" t="str">
        <f>IF(SUMIFS(Sheet1!$E:$E,Sheet1!$C:$C,$A262,Sheet1!$A:$A,G$2)&lt;&gt;0,SUMIFS(Sheet1!$E:$E,Sheet1!$C:$C,$A262,Sheet1!$A:$A,G$2),"")</f>
        <v/>
      </c>
      <c r="H262" s="9" t="str">
        <f>IF(SUMIFS(Sheet1!$E:$E,Sheet1!$C:$C,$A262,Sheet1!$A:$A,H$2)&lt;&gt;0,SUMIFS(Sheet1!$E:$E,Sheet1!$C:$C,$A262,Sheet1!$A:$A,H$2),"")</f>
        <v/>
      </c>
      <c r="I262" s="9" t="str">
        <f>IF(SUMIFS(Sheet1!$E:$E,Sheet1!$C:$C,$A262,Sheet1!$A:$A,I$2)&lt;&gt;0,SUMIFS(Sheet1!$E:$E,Sheet1!$C:$C,$A262,Sheet1!$A:$A,I$2),"")</f>
        <v/>
      </c>
      <c r="J262" s="9" t="str">
        <f>IF(SUMIFS(Sheet1!$E:$E,Sheet1!$C:$C,$A262,Sheet1!$A:$A,J$2)&lt;&gt;0,SUMIFS(Sheet1!$E:$E,Sheet1!$C:$C,$A262,Sheet1!$A:$A,J$2),"")</f>
        <v/>
      </c>
      <c r="K262" s="9" t="str">
        <f>IF(SUMIFS(Sheet1!$E:$E,Sheet1!$C:$C,$A262,Sheet1!$A:$A,K$2)&lt;&gt;0,SUMIFS(Sheet1!$E:$E,Sheet1!$C:$C,$A262,Sheet1!$A:$A,K$2),"")</f>
        <v/>
      </c>
      <c r="L262" s="9" t="str">
        <f>IF(SUMIFS(Sheet1!$E:$E,Sheet1!$C:$C,$A262,Sheet1!$A:$A,L$2)&lt;&gt;0,SUMIFS(Sheet1!$E:$E,Sheet1!$C:$C,$A262,Sheet1!$A:$A,L$2),"")</f>
        <v/>
      </c>
      <c r="M262" s="9" t="str">
        <f>IF(SUMIFS(Sheet1!$E:$E,Sheet1!$C:$C,$A262,Sheet1!$A:$A,M$2)&lt;&gt;0,SUMIFS(Sheet1!$E:$E,Sheet1!$C:$C,$A262,Sheet1!$A:$A,M$2),"")</f>
        <v/>
      </c>
      <c r="N262" s="9" t="str">
        <f>IF(SUMIFS(Sheet1!$E:$E,Sheet1!$C:$C,$A262,Sheet1!$A:$A,N$2)&lt;&gt;0,SUMIFS(Sheet1!$E:$E,Sheet1!$C:$C,$A262,Sheet1!$A:$A,N$2),"")</f>
        <v/>
      </c>
      <c r="O262" s="9" t="str">
        <f>IF(SUMIFS(Sheet1!$E:$E,Sheet1!$C:$C,$A262,Sheet1!$A:$A,O$2)&lt;&gt;0,SUMIFS(Sheet1!$E:$E,Sheet1!$C:$C,$A262,Sheet1!$A:$A,O$2),"")</f>
        <v/>
      </c>
      <c r="P262" s="9" t="str">
        <f>IF(SUMIFS(Sheet1!$E:$E,Sheet1!$C:$C,$A262,Sheet1!$A:$A,P$2)&lt;&gt;0,SUMIFS(Sheet1!$E:$E,Sheet1!$C:$C,$A262,Sheet1!$A:$A,P$2),"")</f>
        <v/>
      </c>
      <c r="Q262" s="9" t="str">
        <f>IF(SUMIFS(Sheet1!$E:$E,Sheet1!$C:$C,$A262,Sheet1!$A:$A,Q$2)&lt;&gt;0,SUMIFS(Sheet1!$E:$E,Sheet1!$C:$C,$A262,Sheet1!$A:$A,Q$2),"")</f>
        <v/>
      </c>
      <c r="R262" s="9" t="str">
        <f>IF(SUMIFS(Sheet1!$E:$E,Sheet1!$C:$C,$A262,Sheet1!$A:$A,R$2)&lt;&gt;0,SUMIFS(Sheet1!$E:$E,Sheet1!$C:$C,$A262,Sheet1!$A:$A,R$2),"")</f>
        <v/>
      </c>
      <c r="S262" s="9" t="str">
        <f>IF(SUMIFS(Sheet1!$E:$E,Sheet1!$C:$C,$A262,Sheet1!$A:$A,S$2)&lt;&gt;0,SUMIFS(Sheet1!$E:$E,Sheet1!$C:$C,$A262,Sheet1!$A:$A,S$2),"")</f>
        <v/>
      </c>
      <c r="T262" s="9" t="str">
        <f>IF(SUMIFS(Sheet1!$E:$E,Sheet1!$C:$C,$A262,Sheet1!$A:$A,T$2)&lt;&gt;0,SUMIFS(Sheet1!$E:$E,Sheet1!$C:$C,$A262,Sheet1!$A:$A,T$2),"")</f>
        <v/>
      </c>
      <c r="U262" s="9" t="str">
        <f>IF(SUMIFS(Sheet1!$E:$E,Sheet1!$C:$C,$A262,Sheet1!$A:$A,U$2)&lt;&gt;0,SUMIFS(Sheet1!$E:$E,Sheet1!$C:$C,$A262,Sheet1!$A:$A,U$2),"")</f>
        <v/>
      </c>
      <c r="V262" s="9" t="str">
        <f>IF(SUMIFS(Sheet1!$E:$E,Sheet1!$C:$C,$A262,Sheet1!$A:$A,V$2)&lt;&gt;0,SUMIFS(Sheet1!$E:$E,Sheet1!$C:$C,$A262,Sheet1!$A:$A,V$2),"")</f>
        <v/>
      </c>
      <c r="W262" s="9" t="str">
        <f>IF(SUMIFS(Sheet1!$E:$E,Sheet1!$C:$C,$A262,Sheet1!$A:$A,W$2)&lt;&gt;0,SUMIFS(Sheet1!$E:$E,Sheet1!$C:$C,$A262,Sheet1!$A:$A,W$2),"")</f>
        <v/>
      </c>
      <c r="X262" s="9" t="str">
        <f>IF(SUMIFS(Sheet1!$E:$E,Sheet1!$C:$C,$A262,Sheet1!$A:$A,X$2)&lt;&gt;0,SUMIFS(Sheet1!$E:$E,Sheet1!$C:$C,$A262,Sheet1!$A:$A,X$2),"")</f>
        <v/>
      </c>
      <c r="Y262" s="9" t="str">
        <f>IF(SUMIFS(Sheet1!$E:$E,Sheet1!$C:$C,$A262,Sheet1!$A:$A,Y$2)&lt;&gt;0,SUMIFS(Sheet1!$E:$E,Sheet1!$C:$C,$A262,Sheet1!$A:$A,Y$2),"")</f>
        <v/>
      </c>
      <c r="Z262" s="9" t="str">
        <f>IF(SUMIFS(Sheet1!$E:$E,Sheet1!$C:$C,$A262,Sheet1!$A:$A,Z$2)&lt;&gt;0,SUMIFS(Sheet1!$E:$E,Sheet1!$C:$C,$A262,Sheet1!$A:$A,Z$2),"")</f>
        <v/>
      </c>
      <c r="AA262" s="9" t="str">
        <f>IF(SUMIFS(Sheet1!$E:$E,Sheet1!$C:$C,$A262,Sheet1!$A:$A,AA$2)&lt;&gt;0,SUMIFS(Sheet1!$E:$E,Sheet1!$C:$C,$A262,Sheet1!$A:$A,AA$2),"")</f>
        <v/>
      </c>
      <c r="AB262" s="9" t="str">
        <f>IF(SUMIFS(Sheet1!$E:$E,Sheet1!$C:$C,$A262,Sheet1!$A:$A,AB$2)&lt;&gt;0,SUMIFS(Sheet1!$E:$E,Sheet1!$C:$C,$A262,Sheet1!$A:$A,AB$2),"")</f>
        <v/>
      </c>
      <c r="AC262" s="9" t="str">
        <f>IF(SUMIFS(Sheet1!$E:$E,Sheet1!$C:$C,$A262,Sheet1!$A:$A,AC$2)&lt;&gt;0,SUMIFS(Sheet1!$E:$E,Sheet1!$C:$C,$A262,Sheet1!$A:$A,AC$2),"")</f>
        <v/>
      </c>
      <c r="AD262" s="9" t="str">
        <f>IF(SUMIFS(Sheet1!$E:$E,Sheet1!$C:$C,$A262,Sheet1!$A:$A,AD$2)&lt;&gt;0,SUMIFS(Sheet1!$E:$E,Sheet1!$C:$C,$A262,Sheet1!$A:$A,AD$2),"")</f>
        <v/>
      </c>
      <c r="AE262" s="9" t="str">
        <f>IF(SUMIFS(Sheet1!$E:$E,Sheet1!$C:$C,$A262,Sheet1!$A:$A,AE$2)&lt;&gt;0,SUMIFS(Sheet1!$E:$E,Sheet1!$C:$C,$A262,Sheet1!$A:$A,AE$2),"")</f>
        <v/>
      </c>
      <c r="AF262" s="9" t="str">
        <f>IF(SUMIFS(Sheet1!$E:$E,Sheet1!$C:$C,$A262,Sheet1!$A:$A,AF$2)&lt;&gt;0,SUMIFS(Sheet1!$E:$E,Sheet1!$C:$C,$A262,Sheet1!$A:$A,AF$2),"")</f>
        <v/>
      </c>
      <c r="AG262" s="9" t="str">
        <f>IF(SUMIFS(Sheet1!$E:$E,Sheet1!$C:$C,$A262,Sheet1!$A:$A,AG$2)&lt;&gt;0,SUMIFS(Sheet1!$E:$E,Sheet1!$C:$C,$A262,Sheet1!$A:$A,AG$2),"")</f>
        <v/>
      </c>
      <c r="AH262" s="47">
        <f>SUM(Table24[[#This Row],[1]:[31]])</f>
        <v>0</v>
      </c>
    </row>
    <row r="263" spans="1:34" ht="12.75" customHeight="1">
      <c r="A263" s="24" t="str">
        <f>DSSP!A262</f>
        <v>VN12</v>
      </c>
      <c r="B263" s="25" t="str">
        <f>DSSP!B262</f>
        <v>Vải lót 1m</v>
      </c>
      <c r="C263" s="9">
        <f>IF(SUMIFS(Sheet1!$E:$E,Sheet1!$C:$C,$A263,Sheet1!$A:$A,C$2)&lt;&gt;0,SUMIFS(Sheet1!$E:$E,Sheet1!$C:$C,$A263,Sheet1!$A:$A,C$2),"")</f>
        <v>7</v>
      </c>
      <c r="D263" s="9" t="str">
        <f>IF(SUMIFS(Sheet1!$E:$E,Sheet1!$C:$C,$A263,Sheet1!$A:$A,D$2)&lt;&gt;0,SUMIFS(Sheet1!$E:$E,Sheet1!$C:$C,$A263,Sheet1!$A:$A,D$2),"")</f>
        <v/>
      </c>
      <c r="E263" s="9" t="str">
        <f>IF(SUMIFS(Sheet1!$E:$E,Sheet1!$C:$C,$A263,Sheet1!$A:$A,E$2)&lt;&gt;0,SUMIFS(Sheet1!$E:$E,Sheet1!$C:$C,$A263,Sheet1!$A:$A,E$2),"")</f>
        <v/>
      </c>
      <c r="F263" s="9" t="str">
        <f>IF(SUMIFS(Sheet1!$E:$E,Sheet1!$C:$C,$A263,Sheet1!$A:$A,F$2)&lt;&gt;0,SUMIFS(Sheet1!$E:$E,Sheet1!$C:$C,$A263,Sheet1!$A:$A,F$2),"")</f>
        <v/>
      </c>
      <c r="G263" s="9" t="str">
        <f>IF(SUMIFS(Sheet1!$E:$E,Sheet1!$C:$C,$A263,Sheet1!$A:$A,G$2)&lt;&gt;0,SUMIFS(Sheet1!$E:$E,Sheet1!$C:$C,$A263,Sheet1!$A:$A,G$2),"")</f>
        <v/>
      </c>
      <c r="H263" s="9" t="str">
        <f>IF(SUMIFS(Sheet1!$E:$E,Sheet1!$C:$C,$A263,Sheet1!$A:$A,H$2)&lt;&gt;0,SUMIFS(Sheet1!$E:$E,Sheet1!$C:$C,$A263,Sheet1!$A:$A,H$2),"")</f>
        <v/>
      </c>
      <c r="I263" s="9" t="str">
        <f>IF(SUMIFS(Sheet1!$E:$E,Sheet1!$C:$C,$A263,Sheet1!$A:$A,I$2)&lt;&gt;0,SUMIFS(Sheet1!$E:$E,Sheet1!$C:$C,$A263,Sheet1!$A:$A,I$2),"")</f>
        <v/>
      </c>
      <c r="J263" s="9" t="str">
        <f>IF(SUMIFS(Sheet1!$E:$E,Sheet1!$C:$C,$A263,Sheet1!$A:$A,J$2)&lt;&gt;0,SUMIFS(Sheet1!$E:$E,Sheet1!$C:$C,$A263,Sheet1!$A:$A,J$2),"")</f>
        <v/>
      </c>
      <c r="K263" s="9" t="str">
        <f>IF(SUMIFS(Sheet1!$E:$E,Sheet1!$C:$C,$A263,Sheet1!$A:$A,K$2)&lt;&gt;0,SUMIFS(Sheet1!$E:$E,Sheet1!$C:$C,$A263,Sheet1!$A:$A,K$2),"")</f>
        <v/>
      </c>
      <c r="L263" s="9" t="str">
        <f>IF(SUMIFS(Sheet1!$E:$E,Sheet1!$C:$C,$A263,Sheet1!$A:$A,L$2)&lt;&gt;0,SUMIFS(Sheet1!$E:$E,Sheet1!$C:$C,$A263,Sheet1!$A:$A,L$2),"")</f>
        <v/>
      </c>
      <c r="M263" s="9" t="str">
        <f>IF(SUMIFS(Sheet1!$E:$E,Sheet1!$C:$C,$A263,Sheet1!$A:$A,M$2)&lt;&gt;0,SUMIFS(Sheet1!$E:$E,Sheet1!$C:$C,$A263,Sheet1!$A:$A,M$2),"")</f>
        <v/>
      </c>
      <c r="N263" s="9" t="str">
        <f>IF(SUMIFS(Sheet1!$E:$E,Sheet1!$C:$C,$A263,Sheet1!$A:$A,N$2)&lt;&gt;0,SUMIFS(Sheet1!$E:$E,Sheet1!$C:$C,$A263,Sheet1!$A:$A,N$2),"")</f>
        <v/>
      </c>
      <c r="O263" s="9" t="str">
        <f>IF(SUMIFS(Sheet1!$E:$E,Sheet1!$C:$C,$A263,Sheet1!$A:$A,O$2)&lt;&gt;0,SUMIFS(Sheet1!$E:$E,Sheet1!$C:$C,$A263,Sheet1!$A:$A,O$2),"")</f>
        <v/>
      </c>
      <c r="P263" s="9" t="str">
        <f>IF(SUMIFS(Sheet1!$E:$E,Sheet1!$C:$C,$A263,Sheet1!$A:$A,P$2)&lt;&gt;0,SUMIFS(Sheet1!$E:$E,Sheet1!$C:$C,$A263,Sheet1!$A:$A,P$2),"")</f>
        <v/>
      </c>
      <c r="Q263" s="9" t="str">
        <f>IF(SUMIFS(Sheet1!$E:$E,Sheet1!$C:$C,$A263,Sheet1!$A:$A,Q$2)&lt;&gt;0,SUMIFS(Sheet1!$E:$E,Sheet1!$C:$C,$A263,Sheet1!$A:$A,Q$2),"")</f>
        <v/>
      </c>
      <c r="R263" s="9" t="str">
        <f>IF(SUMIFS(Sheet1!$E:$E,Sheet1!$C:$C,$A263,Sheet1!$A:$A,R$2)&lt;&gt;0,SUMIFS(Sheet1!$E:$E,Sheet1!$C:$C,$A263,Sheet1!$A:$A,R$2),"")</f>
        <v/>
      </c>
      <c r="S263" s="9" t="str">
        <f>IF(SUMIFS(Sheet1!$E:$E,Sheet1!$C:$C,$A263,Sheet1!$A:$A,S$2)&lt;&gt;0,SUMIFS(Sheet1!$E:$E,Sheet1!$C:$C,$A263,Sheet1!$A:$A,S$2),"")</f>
        <v/>
      </c>
      <c r="T263" s="9" t="str">
        <f>IF(SUMIFS(Sheet1!$E:$E,Sheet1!$C:$C,$A263,Sheet1!$A:$A,T$2)&lt;&gt;0,SUMIFS(Sheet1!$E:$E,Sheet1!$C:$C,$A263,Sheet1!$A:$A,T$2),"")</f>
        <v/>
      </c>
      <c r="U263" s="9" t="str">
        <f>IF(SUMIFS(Sheet1!$E:$E,Sheet1!$C:$C,$A263,Sheet1!$A:$A,U$2)&lt;&gt;0,SUMIFS(Sheet1!$E:$E,Sheet1!$C:$C,$A263,Sheet1!$A:$A,U$2),"")</f>
        <v/>
      </c>
      <c r="V263" s="9" t="str">
        <f>IF(SUMIFS(Sheet1!$E:$E,Sheet1!$C:$C,$A263,Sheet1!$A:$A,V$2)&lt;&gt;0,SUMIFS(Sheet1!$E:$E,Sheet1!$C:$C,$A263,Sheet1!$A:$A,V$2),"")</f>
        <v/>
      </c>
      <c r="W263" s="9" t="str">
        <f>IF(SUMIFS(Sheet1!$E:$E,Sheet1!$C:$C,$A263,Sheet1!$A:$A,W$2)&lt;&gt;0,SUMIFS(Sheet1!$E:$E,Sheet1!$C:$C,$A263,Sheet1!$A:$A,W$2),"")</f>
        <v/>
      </c>
      <c r="X263" s="9" t="str">
        <f>IF(SUMIFS(Sheet1!$E:$E,Sheet1!$C:$C,$A263,Sheet1!$A:$A,X$2)&lt;&gt;0,SUMIFS(Sheet1!$E:$E,Sheet1!$C:$C,$A263,Sheet1!$A:$A,X$2),"")</f>
        <v/>
      </c>
      <c r="Y263" s="9" t="str">
        <f>IF(SUMIFS(Sheet1!$E:$E,Sheet1!$C:$C,$A263,Sheet1!$A:$A,Y$2)&lt;&gt;0,SUMIFS(Sheet1!$E:$E,Sheet1!$C:$C,$A263,Sheet1!$A:$A,Y$2),"")</f>
        <v/>
      </c>
      <c r="Z263" s="9" t="str">
        <f>IF(SUMIFS(Sheet1!$E:$E,Sheet1!$C:$C,$A263,Sheet1!$A:$A,Z$2)&lt;&gt;0,SUMIFS(Sheet1!$E:$E,Sheet1!$C:$C,$A263,Sheet1!$A:$A,Z$2),"")</f>
        <v/>
      </c>
      <c r="AA263" s="9" t="str">
        <f>IF(SUMIFS(Sheet1!$E:$E,Sheet1!$C:$C,$A263,Sheet1!$A:$A,AA$2)&lt;&gt;0,SUMIFS(Sheet1!$E:$E,Sheet1!$C:$C,$A263,Sheet1!$A:$A,AA$2),"")</f>
        <v/>
      </c>
      <c r="AB263" s="9" t="str">
        <f>IF(SUMIFS(Sheet1!$E:$E,Sheet1!$C:$C,$A263,Sheet1!$A:$A,AB$2)&lt;&gt;0,SUMIFS(Sheet1!$E:$E,Sheet1!$C:$C,$A263,Sheet1!$A:$A,AB$2),"")</f>
        <v/>
      </c>
      <c r="AC263" s="9" t="str">
        <f>IF(SUMIFS(Sheet1!$E:$E,Sheet1!$C:$C,$A263,Sheet1!$A:$A,AC$2)&lt;&gt;0,SUMIFS(Sheet1!$E:$E,Sheet1!$C:$C,$A263,Sheet1!$A:$A,AC$2),"")</f>
        <v/>
      </c>
      <c r="AD263" s="9" t="str">
        <f>IF(SUMIFS(Sheet1!$E:$E,Sheet1!$C:$C,$A263,Sheet1!$A:$A,AD$2)&lt;&gt;0,SUMIFS(Sheet1!$E:$E,Sheet1!$C:$C,$A263,Sheet1!$A:$A,AD$2),"")</f>
        <v/>
      </c>
      <c r="AE263" s="9" t="str">
        <f>IF(SUMIFS(Sheet1!$E:$E,Sheet1!$C:$C,$A263,Sheet1!$A:$A,AE$2)&lt;&gt;0,SUMIFS(Sheet1!$E:$E,Sheet1!$C:$C,$A263,Sheet1!$A:$A,AE$2),"")</f>
        <v/>
      </c>
      <c r="AF263" s="9" t="str">
        <f>IF(SUMIFS(Sheet1!$E:$E,Sheet1!$C:$C,$A263,Sheet1!$A:$A,AF$2)&lt;&gt;0,SUMIFS(Sheet1!$E:$E,Sheet1!$C:$C,$A263,Sheet1!$A:$A,AF$2),"")</f>
        <v/>
      </c>
      <c r="AG263" s="9" t="str">
        <f>IF(SUMIFS(Sheet1!$E:$E,Sheet1!$C:$C,$A263,Sheet1!$A:$A,AG$2)&lt;&gt;0,SUMIFS(Sheet1!$E:$E,Sheet1!$C:$C,$A263,Sheet1!$A:$A,AG$2),"")</f>
        <v/>
      </c>
      <c r="AH263" s="47">
        <f>SUM(Table24[[#This Row],[1]:[31]])</f>
        <v>7</v>
      </c>
    </row>
    <row r="264" spans="1:34" ht="12.75" customHeight="1">
      <c r="A264" s="24" t="str">
        <f>DSSP!A263</f>
        <v>VN13</v>
      </c>
      <c r="B264" s="25" t="str">
        <f>DSSP!B263</f>
        <v>Vải lót 0.5m</v>
      </c>
      <c r="C264" s="9" t="str">
        <f>IF(SUMIFS(Sheet1!$E:$E,Sheet1!$C:$C,$A264,Sheet1!$A:$A,C$2)&lt;&gt;0,SUMIFS(Sheet1!$E:$E,Sheet1!$C:$C,$A264,Sheet1!$A:$A,C$2),"")</f>
        <v/>
      </c>
      <c r="D264" s="9" t="str">
        <f>IF(SUMIFS(Sheet1!$E:$E,Sheet1!$C:$C,$A264,Sheet1!$A:$A,D$2)&lt;&gt;0,SUMIFS(Sheet1!$E:$E,Sheet1!$C:$C,$A264,Sheet1!$A:$A,D$2),"")</f>
        <v/>
      </c>
      <c r="E264" s="9" t="str">
        <f>IF(SUMIFS(Sheet1!$E:$E,Sheet1!$C:$C,$A264,Sheet1!$A:$A,E$2)&lt;&gt;0,SUMIFS(Sheet1!$E:$E,Sheet1!$C:$C,$A264,Sheet1!$A:$A,E$2),"")</f>
        <v/>
      </c>
      <c r="F264" s="9" t="str">
        <f>IF(SUMIFS(Sheet1!$E:$E,Sheet1!$C:$C,$A264,Sheet1!$A:$A,F$2)&lt;&gt;0,SUMIFS(Sheet1!$E:$E,Sheet1!$C:$C,$A264,Sheet1!$A:$A,F$2),"")</f>
        <v/>
      </c>
      <c r="G264" s="9" t="str">
        <f>IF(SUMIFS(Sheet1!$E:$E,Sheet1!$C:$C,$A264,Sheet1!$A:$A,G$2)&lt;&gt;0,SUMIFS(Sheet1!$E:$E,Sheet1!$C:$C,$A264,Sheet1!$A:$A,G$2),"")</f>
        <v/>
      </c>
      <c r="H264" s="9" t="str">
        <f>IF(SUMIFS(Sheet1!$E:$E,Sheet1!$C:$C,$A264,Sheet1!$A:$A,H$2)&lt;&gt;0,SUMIFS(Sheet1!$E:$E,Sheet1!$C:$C,$A264,Sheet1!$A:$A,H$2),"")</f>
        <v/>
      </c>
      <c r="I264" s="9" t="str">
        <f>IF(SUMIFS(Sheet1!$E:$E,Sheet1!$C:$C,$A264,Sheet1!$A:$A,I$2)&lt;&gt;0,SUMIFS(Sheet1!$E:$E,Sheet1!$C:$C,$A264,Sheet1!$A:$A,I$2),"")</f>
        <v/>
      </c>
      <c r="J264" s="9" t="str">
        <f>IF(SUMIFS(Sheet1!$E:$E,Sheet1!$C:$C,$A264,Sheet1!$A:$A,J$2)&lt;&gt;0,SUMIFS(Sheet1!$E:$E,Sheet1!$C:$C,$A264,Sheet1!$A:$A,J$2),"")</f>
        <v/>
      </c>
      <c r="K264" s="9" t="str">
        <f>IF(SUMIFS(Sheet1!$E:$E,Sheet1!$C:$C,$A264,Sheet1!$A:$A,K$2)&lt;&gt;0,SUMIFS(Sheet1!$E:$E,Sheet1!$C:$C,$A264,Sheet1!$A:$A,K$2),"")</f>
        <v/>
      </c>
      <c r="L264" s="9" t="str">
        <f>IF(SUMIFS(Sheet1!$E:$E,Sheet1!$C:$C,$A264,Sheet1!$A:$A,L$2)&lt;&gt;0,SUMIFS(Sheet1!$E:$E,Sheet1!$C:$C,$A264,Sheet1!$A:$A,L$2),"")</f>
        <v/>
      </c>
      <c r="M264" s="9" t="str">
        <f>IF(SUMIFS(Sheet1!$E:$E,Sheet1!$C:$C,$A264,Sheet1!$A:$A,M$2)&lt;&gt;0,SUMIFS(Sheet1!$E:$E,Sheet1!$C:$C,$A264,Sheet1!$A:$A,M$2),"")</f>
        <v/>
      </c>
      <c r="N264" s="9" t="str">
        <f>IF(SUMIFS(Sheet1!$E:$E,Sheet1!$C:$C,$A264,Sheet1!$A:$A,N$2)&lt;&gt;0,SUMIFS(Sheet1!$E:$E,Sheet1!$C:$C,$A264,Sheet1!$A:$A,N$2),"")</f>
        <v/>
      </c>
      <c r="O264" s="9" t="str">
        <f>IF(SUMIFS(Sheet1!$E:$E,Sheet1!$C:$C,$A264,Sheet1!$A:$A,O$2)&lt;&gt;0,SUMIFS(Sheet1!$E:$E,Sheet1!$C:$C,$A264,Sheet1!$A:$A,O$2),"")</f>
        <v/>
      </c>
      <c r="P264" s="9" t="str">
        <f>IF(SUMIFS(Sheet1!$E:$E,Sheet1!$C:$C,$A264,Sheet1!$A:$A,P$2)&lt;&gt;0,SUMIFS(Sheet1!$E:$E,Sheet1!$C:$C,$A264,Sheet1!$A:$A,P$2),"")</f>
        <v/>
      </c>
      <c r="Q264" s="9" t="str">
        <f>IF(SUMIFS(Sheet1!$E:$E,Sheet1!$C:$C,$A264,Sheet1!$A:$A,Q$2)&lt;&gt;0,SUMIFS(Sheet1!$E:$E,Sheet1!$C:$C,$A264,Sheet1!$A:$A,Q$2),"")</f>
        <v/>
      </c>
      <c r="R264" s="9" t="str">
        <f>IF(SUMIFS(Sheet1!$E:$E,Sheet1!$C:$C,$A264,Sheet1!$A:$A,R$2)&lt;&gt;0,SUMIFS(Sheet1!$E:$E,Sheet1!$C:$C,$A264,Sheet1!$A:$A,R$2),"")</f>
        <v/>
      </c>
      <c r="S264" s="9" t="str">
        <f>IF(SUMIFS(Sheet1!$E:$E,Sheet1!$C:$C,$A264,Sheet1!$A:$A,S$2)&lt;&gt;0,SUMIFS(Sheet1!$E:$E,Sheet1!$C:$C,$A264,Sheet1!$A:$A,S$2),"")</f>
        <v/>
      </c>
      <c r="T264" s="9" t="str">
        <f>IF(SUMIFS(Sheet1!$E:$E,Sheet1!$C:$C,$A264,Sheet1!$A:$A,T$2)&lt;&gt;0,SUMIFS(Sheet1!$E:$E,Sheet1!$C:$C,$A264,Sheet1!$A:$A,T$2),"")</f>
        <v/>
      </c>
      <c r="U264" s="9" t="str">
        <f>IF(SUMIFS(Sheet1!$E:$E,Sheet1!$C:$C,$A264,Sheet1!$A:$A,U$2)&lt;&gt;0,SUMIFS(Sheet1!$E:$E,Sheet1!$C:$C,$A264,Sheet1!$A:$A,U$2),"")</f>
        <v/>
      </c>
      <c r="V264" s="9" t="str">
        <f>IF(SUMIFS(Sheet1!$E:$E,Sheet1!$C:$C,$A264,Sheet1!$A:$A,V$2)&lt;&gt;0,SUMIFS(Sheet1!$E:$E,Sheet1!$C:$C,$A264,Sheet1!$A:$A,V$2),"")</f>
        <v/>
      </c>
      <c r="W264" s="9" t="str">
        <f>IF(SUMIFS(Sheet1!$E:$E,Sheet1!$C:$C,$A264,Sheet1!$A:$A,W$2)&lt;&gt;0,SUMIFS(Sheet1!$E:$E,Sheet1!$C:$C,$A264,Sheet1!$A:$A,W$2),"")</f>
        <v/>
      </c>
      <c r="X264" s="9" t="str">
        <f>IF(SUMIFS(Sheet1!$E:$E,Sheet1!$C:$C,$A264,Sheet1!$A:$A,X$2)&lt;&gt;0,SUMIFS(Sheet1!$E:$E,Sheet1!$C:$C,$A264,Sheet1!$A:$A,X$2),"")</f>
        <v/>
      </c>
      <c r="Y264" s="9" t="str">
        <f>IF(SUMIFS(Sheet1!$E:$E,Sheet1!$C:$C,$A264,Sheet1!$A:$A,Y$2)&lt;&gt;0,SUMIFS(Sheet1!$E:$E,Sheet1!$C:$C,$A264,Sheet1!$A:$A,Y$2),"")</f>
        <v/>
      </c>
      <c r="Z264" s="9" t="str">
        <f>IF(SUMIFS(Sheet1!$E:$E,Sheet1!$C:$C,$A264,Sheet1!$A:$A,Z$2)&lt;&gt;0,SUMIFS(Sheet1!$E:$E,Sheet1!$C:$C,$A264,Sheet1!$A:$A,Z$2),"")</f>
        <v/>
      </c>
      <c r="AA264" s="9" t="str">
        <f>IF(SUMIFS(Sheet1!$E:$E,Sheet1!$C:$C,$A264,Sheet1!$A:$A,AA$2)&lt;&gt;0,SUMIFS(Sheet1!$E:$E,Sheet1!$C:$C,$A264,Sheet1!$A:$A,AA$2),"")</f>
        <v/>
      </c>
      <c r="AB264" s="9" t="str">
        <f>IF(SUMIFS(Sheet1!$E:$E,Sheet1!$C:$C,$A264,Sheet1!$A:$A,AB$2)&lt;&gt;0,SUMIFS(Sheet1!$E:$E,Sheet1!$C:$C,$A264,Sheet1!$A:$A,AB$2),"")</f>
        <v/>
      </c>
      <c r="AC264" s="9" t="str">
        <f>IF(SUMIFS(Sheet1!$E:$E,Sheet1!$C:$C,$A264,Sheet1!$A:$A,AC$2)&lt;&gt;0,SUMIFS(Sheet1!$E:$E,Sheet1!$C:$C,$A264,Sheet1!$A:$A,AC$2),"")</f>
        <v/>
      </c>
      <c r="AD264" s="9" t="str">
        <f>IF(SUMIFS(Sheet1!$E:$E,Sheet1!$C:$C,$A264,Sheet1!$A:$A,AD$2)&lt;&gt;0,SUMIFS(Sheet1!$E:$E,Sheet1!$C:$C,$A264,Sheet1!$A:$A,AD$2),"")</f>
        <v/>
      </c>
      <c r="AE264" s="9" t="str">
        <f>IF(SUMIFS(Sheet1!$E:$E,Sheet1!$C:$C,$A264,Sheet1!$A:$A,AE$2)&lt;&gt;0,SUMIFS(Sheet1!$E:$E,Sheet1!$C:$C,$A264,Sheet1!$A:$A,AE$2),"")</f>
        <v/>
      </c>
      <c r="AF264" s="9" t="str">
        <f>IF(SUMIFS(Sheet1!$E:$E,Sheet1!$C:$C,$A264,Sheet1!$A:$A,AF$2)&lt;&gt;0,SUMIFS(Sheet1!$E:$E,Sheet1!$C:$C,$A264,Sheet1!$A:$A,AF$2),"")</f>
        <v/>
      </c>
      <c r="AG264" s="9" t="str">
        <f>IF(SUMIFS(Sheet1!$E:$E,Sheet1!$C:$C,$A264,Sheet1!$A:$A,AG$2)&lt;&gt;0,SUMIFS(Sheet1!$E:$E,Sheet1!$C:$C,$A264,Sheet1!$A:$A,AG$2),"")</f>
        <v/>
      </c>
      <c r="AH264" s="47">
        <f>SUM(Table24[[#This Row],[1]:[31]])</f>
        <v>0</v>
      </c>
    </row>
    <row r="265" spans="1:34" ht="12.75" customHeight="1">
      <c r="A265" s="24" t="str">
        <f>DSSP!A264</f>
        <v>CB01</v>
      </c>
      <c r="B265" s="25" t="str">
        <f>DSSP!B264</f>
        <v>20' basic</v>
      </c>
      <c r="C265" s="9" t="str">
        <f>IF(SUMIFS(Sheet1!$E:$E,Sheet1!$C:$C,$A265,Sheet1!$A:$A,C$2)&lt;&gt;0,SUMIFS(Sheet1!$E:$E,Sheet1!$C:$C,$A265,Sheet1!$A:$A,C$2),"")</f>
        <v/>
      </c>
      <c r="D265" s="9" t="str">
        <f>IF(SUMIFS(Sheet1!$E:$E,Sheet1!$C:$C,$A265,Sheet1!$A:$A,D$2)&lt;&gt;0,SUMIFS(Sheet1!$E:$E,Sheet1!$C:$C,$A265,Sheet1!$A:$A,D$2),"")</f>
        <v/>
      </c>
      <c r="E265" s="9" t="str">
        <f>IF(SUMIFS(Sheet1!$E:$E,Sheet1!$C:$C,$A265,Sheet1!$A:$A,E$2)&lt;&gt;0,SUMIFS(Sheet1!$E:$E,Sheet1!$C:$C,$A265,Sheet1!$A:$A,E$2),"")</f>
        <v/>
      </c>
      <c r="F265" s="9" t="str">
        <f>IF(SUMIFS(Sheet1!$E:$E,Sheet1!$C:$C,$A265,Sheet1!$A:$A,F$2)&lt;&gt;0,SUMIFS(Sheet1!$E:$E,Sheet1!$C:$C,$A265,Sheet1!$A:$A,F$2),"")</f>
        <v/>
      </c>
      <c r="G265" s="9" t="str">
        <f>IF(SUMIFS(Sheet1!$E:$E,Sheet1!$C:$C,$A265,Sheet1!$A:$A,G$2)&lt;&gt;0,SUMIFS(Sheet1!$E:$E,Sheet1!$C:$C,$A265,Sheet1!$A:$A,G$2),"")</f>
        <v/>
      </c>
      <c r="H265" s="9" t="str">
        <f>IF(SUMIFS(Sheet1!$E:$E,Sheet1!$C:$C,$A265,Sheet1!$A:$A,H$2)&lt;&gt;0,SUMIFS(Sheet1!$E:$E,Sheet1!$C:$C,$A265,Sheet1!$A:$A,H$2),"")</f>
        <v/>
      </c>
      <c r="I265" s="9" t="str">
        <f>IF(SUMIFS(Sheet1!$E:$E,Sheet1!$C:$C,$A265,Sheet1!$A:$A,I$2)&lt;&gt;0,SUMIFS(Sheet1!$E:$E,Sheet1!$C:$C,$A265,Sheet1!$A:$A,I$2),"")</f>
        <v/>
      </c>
      <c r="J265" s="9" t="str">
        <f>IF(SUMIFS(Sheet1!$E:$E,Sheet1!$C:$C,$A265,Sheet1!$A:$A,J$2)&lt;&gt;0,SUMIFS(Sheet1!$E:$E,Sheet1!$C:$C,$A265,Sheet1!$A:$A,J$2),"")</f>
        <v/>
      </c>
      <c r="K265" s="9" t="str">
        <f>IF(SUMIFS(Sheet1!$E:$E,Sheet1!$C:$C,$A265,Sheet1!$A:$A,K$2)&lt;&gt;0,SUMIFS(Sheet1!$E:$E,Sheet1!$C:$C,$A265,Sheet1!$A:$A,K$2),"")</f>
        <v/>
      </c>
      <c r="L265" s="9" t="str">
        <f>IF(SUMIFS(Sheet1!$E:$E,Sheet1!$C:$C,$A265,Sheet1!$A:$A,L$2)&lt;&gt;0,SUMIFS(Sheet1!$E:$E,Sheet1!$C:$C,$A265,Sheet1!$A:$A,L$2),"")</f>
        <v/>
      </c>
      <c r="M265" s="9" t="str">
        <f>IF(SUMIFS(Sheet1!$E:$E,Sheet1!$C:$C,$A265,Sheet1!$A:$A,M$2)&lt;&gt;0,SUMIFS(Sheet1!$E:$E,Sheet1!$C:$C,$A265,Sheet1!$A:$A,M$2),"")</f>
        <v/>
      </c>
      <c r="N265" s="9" t="str">
        <f>IF(SUMIFS(Sheet1!$E:$E,Sheet1!$C:$C,$A265,Sheet1!$A:$A,N$2)&lt;&gt;0,SUMIFS(Sheet1!$E:$E,Sheet1!$C:$C,$A265,Sheet1!$A:$A,N$2),"")</f>
        <v/>
      </c>
      <c r="O265" s="9" t="str">
        <f>IF(SUMIFS(Sheet1!$E:$E,Sheet1!$C:$C,$A265,Sheet1!$A:$A,O$2)&lt;&gt;0,SUMIFS(Sheet1!$E:$E,Sheet1!$C:$C,$A265,Sheet1!$A:$A,O$2),"")</f>
        <v/>
      </c>
      <c r="P265" s="9" t="str">
        <f>IF(SUMIFS(Sheet1!$E:$E,Sheet1!$C:$C,$A265,Sheet1!$A:$A,P$2)&lt;&gt;0,SUMIFS(Sheet1!$E:$E,Sheet1!$C:$C,$A265,Sheet1!$A:$A,P$2),"")</f>
        <v/>
      </c>
      <c r="Q265" s="9" t="str">
        <f>IF(SUMIFS(Sheet1!$E:$E,Sheet1!$C:$C,$A265,Sheet1!$A:$A,Q$2)&lt;&gt;0,SUMIFS(Sheet1!$E:$E,Sheet1!$C:$C,$A265,Sheet1!$A:$A,Q$2),"")</f>
        <v/>
      </c>
      <c r="R265" s="9" t="str">
        <f>IF(SUMIFS(Sheet1!$E:$E,Sheet1!$C:$C,$A265,Sheet1!$A:$A,R$2)&lt;&gt;0,SUMIFS(Sheet1!$E:$E,Sheet1!$C:$C,$A265,Sheet1!$A:$A,R$2),"")</f>
        <v/>
      </c>
      <c r="S265" s="9" t="str">
        <f>IF(SUMIFS(Sheet1!$E:$E,Sheet1!$C:$C,$A265,Sheet1!$A:$A,S$2)&lt;&gt;0,SUMIFS(Sheet1!$E:$E,Sheet1!$C:$C,$A265,Sheet1!$A:$A,S$2),"")</f>
        <v/>
      </c>
      <c r="T265" s="9" t="str">
        <f>IF(SUMIFS(Sheet1!$E:$E,Sheet1!$C:$C,$A265,Sheet1!$A:$A,T$2)&lt;&gt;0,SUMIFS(Sheet1!$E:$E,Sheet1!$C:$C,$A265,Sheet1!$A:$A,T$2),"")</f>
        <v/>
      </c>
      <c r="U265" s="9" t="str">
        <f>IF(SUMIFS(Sheet1!$E:$E,Sheet1!$C:$C,$A265,Sheet1!$A:$A,U$2)&lt;&gt;0,SUMIFS(Sheet1!$E:$E,Sheet1!$C:$C,$A265,Sheet1!$A:$A,U$2),"")</f>
        <v/>
      </c>
      <c r="V265" s="9" t="str">
        <f>IF(SUMIFS(Sheet1!$E:$E,Sheet1!$C:$C,$A265,Sheet1!$A:$A,V$2)&lt;&gt;0,SUMIFS(Sheet1!$E:$E,Sheet1!$C:$C,$A265,Sheet1!$A:$A,V$2),"")</f>
        <v/>
      </c>
      <c r="W265" s="9" t="str">
        <f>IF(SUMIFS(Sheet1!$E:$E,Sheet1!$C:$C,$A265,Sheet1!$A:$A,W$2)&lt;&gt;0,SUMIFS(Sheet1!$E:$E,Sheet1!$C:$C,$A265,Sheet1!$A:$A,W$2),"")</f>
        <v/>
      </c>
      <c r="X265" s="9" t="str">
        <f>IF(SUMIFS(Sheet1!$E:$E,Sheet1!$C:$C,$A265,Sheet1!$A:$A,X$2)&lt;&gt;0,SUMIFS(Sheet1!$E:$E,Sheet1!$C:$C,$A265,Sheet1!$A:$A,X$2),"")</f>
        <v/>
      </c>
      <c r="Y265" s="9" t="str">
        <f>IF(SUMIFS(Sheet1!$E:$E,Sheet1!$C:$C,$A265,Sheet1!$A:$A,Y$2)&lt;&gt;0,SUMIFS(Sheet1!$E:$E,Sheet1!$C:$C,$A265,Sheet1!$A:$A,Y$2),"")</f>
        <v/>
      </c>
      <c r="Z265" s="9" t="str">
        <f>IF(SUMIFS(Sheet1!$E:$E,Sheet1!$C:$C,$A265,Sheet1!$A:$A,Z$2)&lt;&gt;0,SUMIFS(Sheet1!$E:$E,Sheet1!$C:$C,$A265,Sheet1!$A:$A,Z$2),"")</f>
        <v/>
      </c>
      <c r="AA265" s="9" t="str">
        <f>IF(SUMIFS(Sheet1!$E:$E,Sheet1!$C:$C,$A265,Sheet1!$A:$A,AA$2)&lt;&gt;0,SUMIFS(Sheet1!$E:$E,Sheet1!$C:$C,$A265,Sheet1!$A:$A,AA$2),"")</f>
        <v/>
      </c>
      <c r="AB265" s="9" t="str">
        <f>IF(SUMIFS(Sheet1!$E:$E,Sheet1!$C:$C,$A265,Sheet1!$A:$A,AB$2)&lt;&gt;0,SUMIFS(Sheet1!$E:$E,Sheet1!$C:$C,$A265,Sheet1!$A:$A,AB$2),"")</f>
        <v/>
      </c>
      <c r="AC265" s="9" t="str">
        <f>IF(SUMIFS(Sheet1!$E:$E,Sheet1!$C:$C,$A265,Sheet1!$A:$A,AC$2)&lt;&gt;0,SUMIFS(Sheet1!$E:$E,Sheet1!$C:$C,$A265,Sheet1!$A:$A,AC$2),"")</f>
        <v/>
      </c>
      <c r="AD265" s="9" t="str">
        <f>IF(SUMIFS(Sheet1!$E:$E,Sheet1!$C:$C,$A265,Sheet1!$A:$A,AD$2)&lt;&gt;0,SUMIFS(Sheet1!$E:$E,Sheet1!$C:$C,$A265,Sheet1!$A:$A,AD$2),"")</f>
        <v/>
      </c>
      <c r="AE265" s="9" t="str">
        <f>IF(SUMIFS(Sheet1!$E:$E,Sheet1!$C:$C,$A265,Sheet1!$A:$A,AE$2)&lt;&gt;0,SUMIFS(Sheet1!$E:$E,Sheet1!$C:$C,$A265,Sheet1!$A:$A,AE$2),"")</f>
        <v/>
      </c>
      <c r="AF265" s="9" t="str">
        <f>IF(SUMIFS(Sheet1!$E:$E,Sheet1!$C:$C,$A265,Sheet1!$A:$A,AF$2)&lt;&gt;0,SUMIFS(Sheet1!$E:$E,Sheet1!$C:$C,$A265,Sheet1!$A:$A,AF$2),"")</f>
        <v/>
      </c>
      <c r="AG265" s="9" t="str">
        <f>IF(SUMIFS(Sheet1!$E:$E,Sheet1!$C:$C,$A265,Sheet1!$A:$A,AG$2)&lt;&gt;0,SUMIFS(Sheet1!$E:$E,Sheet1!$C:$C,$A265,Sheet1!$A:$A,AG$2),"")</f>
        <v/>
      </c>
      <c r="AH265" s="47">
        <f>SUM(Table24[[#This Row],[1]:[31]])</f>
        <v>0</v>
      </c>
    </row>
    <row r="266" spans="1:34" ht="12.75" customHeight="1">
      <c r="A266" s="24" t="str">
        <f>DSSP!A265</f>
        <v>CB02</v>
      </c>
      <c r="B266" s="25" t="str">
        <f>DSSP!B265</f>
        <v>20' advanced</v>
      </c>
      <c r="C266" s="9" t="str">
        <f>IF(SUMIFS(Sheet1!$E:$E,Sheet1!$C:$C,$A266,Sheet1!$A:$A,C$2)&lt;&gt;0,SUMIFS(Sheet1!$E:$E,Sheet1!$C:$C,$A266,Sheet1!$A:$A,C$2),"")</f>
        <v/>
      </c>
      <c r="D266" s="9" t="str">
        <f>IF(SUMIFS(Sheet1!$E:$E,Sheet1!$C:$C,$A266,Sheet1!$A:$A,D$2)&lt;&gt;0,SUMIFS(Sheet1!$E:$E,Sheet1!$C:$C,$A266,Sheet1!$A:$A,D$2),"")</f>
        <v/>
      </c>
      <c r="E266" s="9" t="str">
        <f>IF(SUMIFS(Sheet1!$E:$E,Sheet1!$C:$C,$A266,Sheet1!$A:$A,E$2)&lt;&gt;0,SUMIFS(Sheet1!$E:$E,Sheet1!$C:$C,$A266,Sheet1!$A:$A,E$2),"")</f>
        <v/>
      </c>
      <c r="F266" s="9" t="str">
        <f>IF(SUMIFS(Sheet1!$E:$E,Sheet1!$C:$C,$A266,Sheet1!$A:$A,F$2)&lt;&gt;0,SUMIFS(Sheet1!$E:$E,Sheet1!$C:$C,$A266,Sheet1!$A:$A,F$2),"")</f>
        <v/>
      </c>
      <c r="G266" s="9" t="str">
        <f>IF(SUMIFS(Sheet1!$E:$E,Sheet1!$C:$C,$A266,Sheet1!$A:$A,G$2)&lt;&gt;0,SUMIFS(Sheet1!$E:$E,Sheet1!$C:$C,$A266,Sheet1!$A:$A,G$2),"")</f>
        <v/>
      </c>
      <c r="H266" s="9" t="str">
        <f>IF(SUMIFS(Sheet1!$E:$E,Sheet1!$C:$C,$A266,Sheet1!$A:$A,H$2)&lt;&gt;0,SUMIFS(Sheet1!$E:$E,Sheet1!$C:$C,$A266,Sheet1!$A:$A,H$2),"")</f>
        <v/>
      </c>
      <c r="I266" s="9" t="str">
        <f>IF(SUMIFS(Sheet1!$E:$E,Sheet1!$C:$C,$A266,Sheet1!$A:$A,I$2)&lt;&gt;0,SUMIFS(Sheet1!$E:$E,Sheet1!$C:$C,$A266,Sheet1!$A:$A,I$2),"")</f>
        <v/>
      </c>
      <c r="J266" s="9" t="str">
        <f>IF(SUMIFS(Sheet1!$E:$E,Sheet1!$C:$C,$A266,Sheet1!$A:$A,J$2)&lt;&gt;0,SUMIFS(Sheet1!$E:$E,Sheet1!$C:$C,$A266,Sheet1!$A:$A,J$2),"")</f>
        <v/>
      </c>
      <c r="K266" s="9" t="str">
        <f>IF(SUMIFS(Sheet1!$E:$E,Sheet1!$C:$C,$A266,Sheet1!$A:$A,K$2)&lt;&gt;0,SUMIFS(Sheet1!$E:$E,Sheet1!$C:$C,$A266,Sheet1!$A:$A,K$2),"")</f>
        <v/>
      </c>
      <c r="L266" s="9" t="str">
        <f>IF(SUMIFS(Sheet1!$E:$E,Sheet1!$C:$C,$A266,Sheet1!$A:$A,L$2)&lt;&gt;0,SUMIFS(Sheet1!$E:$E,Sheet1!$C:$C,$A266,Sheet1!$A:$A,L$2),"")</f>
        <v/>
      </c>
      <c r="M266" s="9" t="str">
        <f>IF(SUMIFS(Sheet1!$E:$E,Sheet1!$C:$C,$A266,Sheet1!$A:$A,M$2)&lt;&gt;0,SUMIFS(Sheet1!$E:$E,Sheet1!$C:$C,$A266,Sheet1!$A:$A,M$2),"")</f>
        <v/>
      </c>
      <c r="N266" s="9" t="str">
        <f>IF(SUMIFS(Sheet1!$E:$E,Sheet1!$C:$C,$A266,Sheet1!$A:$A,N$2)&lt;&gt;0,SUMIFS(Sheet1!$E:$E,Sheet1!$C:$C,$A266,Sheet1!$A:$A,N$2),"")</f>
        <v/>
      </c>
      <c r="O266" s="9" t="str">
        <f>IF(SUMIFS(Sheet1!$E:$E,Sheet1!$C:$C,$A266,Sheet1!$A:$A,O$2)&lt;&gt;0,SUMIFS(Sheet1!$E:$E,Sheet1!$C:$C,$A266,Sheet1!$A:$A,O$2),"")</f>
        <v/>
      </c>
      <c r="P266" s="9" t="str">
        <f>IF(SUMIFS(Sheet1!$E:$E,Sheet1!$C:$C,$A266,Sheet1!$A:$A,P$2)&lt;&gt;0,SUMIFS(Sheet1!$E:$E,Sheet1!$C:$C,$A266,Sheet1!$A:$A,P$2),"")</f>
        <v/>
      </c>
      <c r="Q266" s="9" t="str">
        <f>IF(SUMIFS(Sheet1!$E:$E,Sheet1!$C:$C,$A266,Sheet1!$A:$A,Q$2)&lt;&gt;0,SUMIFS(Sheet1!$E:$E,Sheet1!$C:$C,$A266,Sheet1!$A:$A,Q$2),"")</f>
        <v/>
      </c>
      <c r="R266" s="9" t="str">
        <f>IF(SUMIFS(Sheet1!$E:$E,Sheet1!$C:$C,$A266,Sheet1!$A:$A,R$2)&lt;&gt;0,SUMIFS(Sheet1!$E:$E,Sheet1!$C:$C,$A266,Sheet1!$A:$A,R$2),"")</f>
        <v/>
      </c>
      <c r="S266" s="9" t="str">
        <f>IF(SUMIFS(Sheet1!$E:$E,Sheet1!$C:$C,$A266,Sheet1!$A:$A,S$2)&lt;&gt;0,SUMIFS(Sheet1!$E:$E,Sheet1!$C:$C,$A266,Sheet1!$A:$A,S$2),"")</f>
        <v/>
      </c>
      <c r="T266" s="9" t="str">
        <f>IF(SUMIFS(Sheet1!$E:$E,Sheet1!$C:$C,$A266,Sheet1!$A:$A,T$2)&lt;&gt;0,SUMIFS(Sheet1!$E:$E,Sheet1!$C:$C,$A266,Sheet1!$A:$A,T$2),"")</f>
        <v/>
      </c>
      <c r="U266" s="9" t="str">
        <f>IF(SUMIFS(Sheet1!$E:$E,Sheet1!$C:$C,$A266,Sheet1!$A:$A,U$2)&lt;&gt;0,SUMIFS(Sheet1!$E:$E,Sheet1!$C:$C,$A266,Sheet1!$A:$A,U$2),"")</f>
        <v/>
      </c>
      <c r="V266" s="9" t="str">
        <f>IF(SUMIFS(Sheet1!$E:$E,Sheet1!$C:$C,$A266,Sheet1!$A:$A,V$2)&lt;&gt;0,SUMIFS(Sheet1!$E:$E,Sheet1!$C:$C,$A266,Sheet1!$A:$A,V$2),"")</f>
        <v/>
      </c>
      <c r="W266" s="9" t="str">
        <f>IF(SUMIFS(Sheet1!$E:$E,Sheet1!$C:$C,$A266,Sheet1!$A:$A,W$2)&lt;&gt;0,SUMIFS(Sheet1!$E:$E,Sheet1!$C:$C,$A266,Sheet1!$A:$A,W$2),"")</f>
        <v/>
      </c>
      <c r="X266" s="9" t="str">
        <f>IF(SUMIFS(Sheet1!$E:$E,Sheet1!$C:$C,$A266,Sheet1!$A:$A,X$2)&lt;&gt;0,SUMIFS(Sheet1!$E:$E,Sheet1!$C:$C,$A266,Sheet1!$A:$A,X$2),"")</f>
        <v/>
      </c>
      <c r="Y266" s="9" t="str">
        <f>IF(SUMIFS(Sheet1!$E:$E,Sheet1!$C:$C,$A266,Sheet1!$A:$A,Y$2)&lt;&gt;0,SUMIFS(Sheet1!$E:$E,Sheet1!$C:$C,$A266,Sheet1!$A:$A,Y$2),"")</f>
        <v/>
      </c>
      <c r="Z266" s="9" t="str">
        <f>IF(SUMIFS(Sheet1!$E:$E,Sheet1!$C:$C,$A266,Sheet1!$A:$A,Z$2)&lt;&gt;0,SUMIFS(Sheet1!$E:$E,Sheet1!$C:$C,$A266,Sheet1!$A:$A,Z$2),"")</f>
        <v/>
      </c>
      <c r="AA266" s="9" t="str">
        <f>IF(SUMIFS(Sheet1!$E:$E,Sheet1!$C:$C,$A266,Sheet1!$A:$A,AA$2)&lt;&gt;0,SUMIFS(Sheet1!$E:$E,Sheet1!$C:$C,$A266,Sheet1!$A:$A,AA$2),"")</f>
        <v/>
      </c>
      <c r="AB266" s="9" t="str">
        <f>IF(SUMIFS(Sheet1!$E:$E,Sheet1!$C:$C,$A266,Sheet1!$A:$A,AB$2)&lt;&gt;0,SUMIFS(Sheet1!$E:$E,Sheet1!$C:$C,$A266,Sheet1!$A:$A,AB$2),"")</f>
        <v/>
      </c>
      <c r="AC266" s="9" t="str">
        <f>IF(SUMIFS(Sheet1!$E:$E,Sheet1!$C:$C,$A266,Sheet1!$A:$A,AC$2)&lt;&gt;0,SUMIFS(Sheet1!$E:$E,Sheet1!$C:$C,$A266,Sheet1!$A:$A,AC$2),"")</f>
        <v/>
      </c>
      <c r="AD266" s="9" t="str">
        <f>IF(SUMIFS(Sheet1!$E:$E,Sheet1!$C:$C,$A266,Sheet1!$A:$A,AD$2)&lt;&gt;0,SUMIFS(Sheet1!$E:$E,Sheet1!$C:$C,$A266,Sheet1!$A:$A,AD$2),"")</f>
        <v/>
      </c>
      <c r="AE266" s="9" t="str">
        <f>IF(SUMIFS(Sheet1!$E:$E,Sheet1!$C:$C,$A266,Sheet1!$A:$A,AE$2)&lt;&gt;0,SUMIFS(Sheet1!$E:$E,Sheet1!$C:$C,$A266,Sheet1!$A:$A,AE$2),"")</f>
        <v/>
      </c>
      <c r="AF266" s="9" t="str">
        <f>IF(SUMIFS(Sheet1!$E:$E,Sheet1!$C:$C,$A266,Sheet1!$A:$A,AF$2)&lt;&gt;0,SUMIFS(Sheet1!$E:$E,Sheet1!$C:$C,$A266,Sheet1!$A:$A,AF$2),"")</f>
        <v/>
      </c>
      <c r="AG266" s="9" t="str">
        <f>IF(SUMIFS(Sheet1!$E:$E,Sheet1!$C:$C,$A266,Sheet1!$A:$A,AG$2)&lt;&gt;0,SUMIFS(Sheet1!$E:$E,Sheet1!$C:$C,$A266,Sheet1!$A:$A,AG$2),"")</f>
        <v/>
      </c>
      <c r="AH266" s="47">
        <f>SUM(Table24[[#This Row],[1]:[31]])</f>
        <v>0</v>
      </c>
    </row>
    <row r="267" spans="1:34" ht="12.75" customHeight="1">
      <c r="A267" s="24" t="str">
        <f>DSSP!A266</f>
        <v>CB03</v>
      </c>
      <c r="B267" s="25" t="str">
        <f>DSSP!B266</f>
        <v>3D basic</v>
      </c>
      <c r="C267" s="9" t="str">
        <f>IF(SUMIFS(Sheet1!$E:$E,Sheet1!$C:$C,$A267,Sheet1!$A:$A,C$2)&lt;&gt;0,SUMIFS(Sheet1!$E:$E,Sheet1!$C:$C,$A267,Sheet1!$A:$A,C$2),"")</f>
        <v/>
      </c>
      <c r="D267" s="9" t="str">
        <f>IF(SUMIFS(Sheet1!$E:$E,Sheet1!$C:$C,$A267,Sheet1!$A:$A,D$2)&lt;&gt;0,SUMIFS(Sheet1!$E:$E,Sheet1!$C:$C,$A267,Sheet1!$A:$A,D$2),"")</f>
        <v/>
      </c>
      <c r="E267" s="9" t="str">
        <f>IF(SUMIFS(Sheet1!$E:$E,Sheet1!$C:$C,$A267,Sheet1!$A:$A,E$2)&lt;&gt;0,SUMIFS(Sheet1!$E:$E,Sheet1!$C:$C,$A267,Sheet1!$A:$A,E$2),"")</f>
        <v/>
      </c>
      <c r="F267" s="9" t="str">
        <f>IF(SUMIFS(Sheet1!$E:$E,Sheet1!$C:$C,$A267,Sheet1!$A:$A,F$2)&lt;&gt;0,SUMIFS(Sheet1!$E:$E,Sheet1!$C:$C,$A267,Sheet1!$A:$A,F$2),"")</f>
        <v/>
      </c>
      <c r="G267" s="9" t="str">
        <f>IF(SUMIFS(Sheet1!$E:$E,Sheet1!$C:$C,$A267,Sheet1!$A:$A,G$2)&lt;&gt;0,SUMIFS(Sheet1!$E:$E,Sheet1!$C:$C,$A267,Sheet1!$A:$A,G$2),"")</f>
        <v/>
      </c>
      <c r="H267" s="9" t="str">
        <f>IF(SUMIFS(Sheet1!$E:$E,Sheet1!$C:$C,$A267,Sheet1!$A:$A,H$2)&lt;&gt;0,SUMIFS(Sheet1!$E:$E,Sheet1!$C:$C,$A267,Sheet1!$A:$A,H$2),"")</f>
        <v/>
      </c>
      <c r="I267" s="9" t="str">
        <f>IF(SUMIFS(Sheet1!$E:$E,Sheet1!$C:$C,$A267,Sheet1!$A:$A,I$2)&lt;&gt;0,SUMIFS(Sheet1!$E:$E,Sheet1!$C:$C,$A267,Sheet1!$A:$A,I$2),"")</f>
        <v/>
      </c>
      <c r="J267" s="9" t="str">
        <f>IF(SUMIFS(Sheet1!$E:$E,Sheet1!$C:$C,$A267,Sheet1!$A:$A,J$2)&lt;&gt;0,SUMIFS(Sheet1!$E:$E,Sheet1!$C:$C,$A267,Sheet1!$A:$A,J$2),"")</f>
        <v/>
      </c>
      <c r="K267" s="9" t="str">
        <f>IF(SUMIFS(Sheet1!$E:$E,Sheet1!$C:$C,$A267,Sheet1!$A:$A,K$2)&lt;&gt;0,SUMIFS(Sheet1!$E:$E,Sheet1!$C:$C,$A267,Sheet1!$A:$A,K$2),"")</f>
        <v/>
      </c>
      <c r="L267" s="9" t="str">
        <f>IF(SUMIFS(Sheet1!$E:$E,Sheet1!$C:$C,$A267,Sheet1!$A:$A,L$2)&lt;&gt;0,SUMIFS(Sheet1!$E:$E,Sheet1!$C:$C,$A267,Sheet1!$A:$A,L$2),"")</f>
        <v/>
      </c>
      <c r="M267" s="9" t="str">
        <f>IF(SUMIFS(Sheet1!$E:$E,Sheet1!$C:$C,$A267,Sheet1!$A:$A,M$2)&lt;&gt;0,SUMIFS(Sheet1!$E:$E,Sheet1!$C:$C,$A267,Sheet1!$A:$A,M$2),"")</f>
        <v/>
      </c>
      <c r="N267" s="9" t="str">
        <f>IF(SUMIFS(Sheet1!$E:$E,Sheet1!$C:$C,$A267,Sheet1!$A:$A,N$2)&lt;&gt;0,SUMIFS(Sheet1!$E:$E,Sheet1!$C:$C,$A267,Sheet1!$A:$A,N$2),"")</f>
        <v/>
      </c>
      <c r="O267" s="9" t="str">
        <f>IF(SUMIFS(Sheet1!$E:$E,Sheet1!$C:$C,$A267,Sheet1!$A:$A,O$2)&lt;&gt;0,SUMIFS(Sheet1!$E:$E,Sheet1!$C:$C,$A267,Sheet1!$A:$A,O$2),"")</f>
        <v/>
      </c>
      <c r="P267" s="9" t="str">
        <f>IF(SUMIFS(Sheet1!$E:$E,Sheet1!$C:$C,$A267,Sheet1!$A:$A,P$2)&lt;&gt;0,SUMIFS(Sheet1!$E:$E,Sheet1!$C:$C,$A267,Sheet1!$A:$A,P$2),"")</f>
        <v/>
      </c>
      <c r="Q267" s="9" t="str">
        <f>IF(SUMIFS(Sheet1!$E:$E,Sheet1!$C:$C,$A267,Sheet1!$A:$A,Q$2)&lt;&gt;0,SUMIFS(Sheet1!$E:$E,Sheet1!$C:$C,$A267,Sheet1!$A:$A,Q$2),"")</f>
        <v/>
      </c>
      <c r="R267" s="9" t="str">
        <f>IF(SUMIFS(Sheet1!$E:$E,Sheet1!$C:$C,$A267,Sheet1!$A:$A,R$2)&lt;&gt;0,SUMIFS(Sheet1!$E:$E,Sheet1!$C:$C,$A267,Sheet1!$A:$A,R$2),"")</f>
        <v/>
      </c>
      <c r="S267" s="9" t="str">
        <f>IF(SUMIFS(Sheet1!$E:$E,Sheet1!$C:$C,$A267,Sheet1!$A:$A,S$2)&lt;&gt;0,SUMIFS(Sheet1!$E:$E,Sheet1!$C:$C,$A267,Sheet1!$A:$A,S$2),"")</f>
        <v/>
      </c>
      <c r="T267" s="9" t="str">
        <f>IF(SUMIFS(Sheet1!$E:$E,Sheet1!$C:$C,$A267,Sheet1!$A:$A,T$2)&lt;&gt;0,SUMIFS(Sheet1!$E:$E,Sheet1!$C:$C,$A267,Sheet1!$A:$A,T$2),"")</f>
        <v/>
      </c>
      <c r="U267" s="9" t="str">
        <f>IF(SUMIFS(Sheet1!$E:$E,Sheet1!$C:$C,$A267,Sheet1!$A:$A,U$2)&lt;&gt;0,SUMIFS(Sheet1!$E:$E,Sheet1!$C:$C,$A267,Sheet1!$A:$A,U$2),"")</f>
        <v/>
      </c>
      <c r="V267" s="9" t="str">
        <f>IF(SUMIFS(Sheet1!$E:$E,Sheet1!$C:$C,$A267,Sheet1!$A:$A,V$2)&lt;&gt;0,SUMIFS(Sheet1!$E:$E,Sheet1!$C:$C,$A267,Sheet1!$A:$A,V$2),"")</f>
        <v/>
      </c>
      <c r="W267" s="9" t="str">
        <f>IF(SUMIFS(Sheet1!$E:$E,Sheet1!$C:$C,$A267,Sheet1!$A:$A,W$2)&lt;&gt;0,SUMIFS(Sheet1!$E:$E,Sheet1!$C:$C,$A267,Sheet1!$A:$A,W$2),"")</f>
        <v/>
      </c>
      <c r="X267" s="9" t="str">
        <f>IF(SUMIFS(Sheet1!$E:$E,Sheet1!$C:$C,$A267,Sheet1!$A:$A,X$2)&lt;&gt;0,SUMIFS(Sheet1!$E:$E,Sheet1!$C:$C,$A267,Sheet1!$A:$A,X$2),"")</f>
        <v/>
      </c>
      <c r="Y267" s="9" t="str">
        <f>IF(SUMIFS(Sheet1!$E:$E,Sheet1!$C:$C,$A267,Sheet1!$A:$A,Y$2)&lt;&gt;0,SUMIFS(Sheet1!$E:$E,Sheet1!$C:$C,$A267,Sheet1!$A:$A,Y$2),"")</f>
        <v/>
      </c>
      <c r="Z267" s="9" t="str">
        <f>IF(SUMIFS(Sheet1!$E:$E,Sheet1!$C:$C,$A267,Sheet1!$A:$A,Z$2)&lt;&gt;0,SUMIFS(Sheet1!$E:$E,Sheet1!$C:$C,$A267,Sheet1!$A:$A,Z$2),"")</f>
        <v/>
      </c>
      <c r="AA267" s="9" t="str">
        <f>IF(SUMIFS(Sheet1!$E:$E,Sheet1!$C:$C,$A267,Sheet1!$A:$A,AA$2)&lt;&gt;0,SUMIFS(Sheet1!$E:$E,Sheet1!$C:$C,$A267,Sheet1!$A:$A,AA$2),"")</f>
        <v/>
      </c>
      <c r="AB267" s="9" t="str">
        <f>IF(SUMIFS(Sheet1!$E:$E,Sheet1!$C:$C,$A267,Sheet1!$A:$A,AB$2)&lt;&gt;0,SUMIFS(Sheet1!$E:$E,Sheet1!$C:$C,$A267,Sheet1!$A:$A,AB$2),"")</f>
        <v/>
      </c>
      <c r="AC267" s="9" t="str">
        <f>IF(SUMIFS(Sheet1!$E:$E,Sheet1!$C:$C,$A267,Sheet1!$A:$A,AC$2)&lt;&gt;0,SUMIFS(Sheet1!$E:$E,Sheet1!$C:$C,$A267,Sheet1!$A:$A,AC$2),"")</f>
        <v/>
      </c>
      <c r="AD267" s="9" t="str">
        <f>IF(SUMIFS(Sheet1!$E:$E,Sheet1!$C:$C,$A267,Sheet1!$A:$A,AD$2)&lt;&gt;0,SUMIFS(Sheet1!$E:$E,Sheet1!$C:$C,$A267,Sheet1!$A:$A,AD$2),"")</f>
        <v/>
      </c>
      <c r="AE267" s="9" t="str">
        <f>IF(SUMIFS(Sheet1!$E:$E,Sheet1!$C:$C,$A267,Sheet1!$A:$A,AE$2)&lt;&gt;0,SUMIFS(Sheet1!$E:$E,Sheet1!$C:$C,$A267,Sheet1!$A:$A,AE$2),"")</f>
        <v/>
      </c>
      <c r="AF267" s="9" t="str">
        <f>IF(SUMIFS(Sheet1!$E:$E,Sheet1!$C:$C,$A267,Sheet1!$A:$A,AF$2)&lt;&gt;0,SUMIFS(Sheet1!$E:$E,Sheet1!$C:$C,$A267,Sheet1!$A:$A,AF$2),"")</f>
        <v/>
      </c>
      <c r="AG267" s="9" t="str">
        <f>IF(SUMIFS(Sheet1!$E:$E,Sheet1!$C:$C,$A267,Sheet1!$A:$A,AG$2)&lt;&gt;0,SUMIFS(Sheet1!$E:$E,Sheet1!$C:$C,$A267,Sheet1!$A:$A,AG$2),"")</f>
        <v/>
      </c>
      <c r="AH267" s="47">
        <f>SUM(Table24[[#This Row],[1]:[31]])</f>
        <v>0</v>
      </c>
    </row>
    <row r="268" spans="1:34" ht="12.75" customHeight="1">
      <c r="A268" s="24" t="str">
        <f>DSSP!A267</f>
        <v>CB04</v>
      </c>
      <c r="B268" s="25" t="str">
        <f>DSSP!B267</f>
        <v>3D advanced</v>
      </c>
      <c r="C268" s="9" t="str">
        <f>IF(SUMIFS(Sheet1!$E:$E,Sheet1!$C:$C,$A268,Sheet1!$A:$A,C$2)&lt;&gt;0,SUMIFS(Sheet1!$E:$E,Sheet1!$C:$C,$A268,Sheet1!$A:$A,C$2),"")</f>
        <v/>
      </c>
      <c r="D268" s="9" t="str">
        <f>IF(SUMIFS(Sheet1!$E:$E,Sheet1!$C:$C,$A268,Sheet1!$A:$A,D$2)&lt;&gt;0,SUMIFS(Sheet1!$E:$E,Sheet1!$C:$C,$A268,Sheet1!$A:$A,D$2),"")</f>
        <v/>
      </c>
      <c r="E268" s="9" t="str">
        <f>IF(SUMIFS(Sheet1!$E:$E,Sheet1!$C:$C,$A268,Sheet1!$A:$A,E$2)&lt;&gt;0,SUMIFS(Sheet1!$E:$E,Sheet1!$C:$C,$A268,Sheet1!$A:$A,E$2),"")</f>
        <v/>
      </c>
      <c r="F268" s="9" t="str">
        <f>IF(SUMIFS(Sheet1!$E:$E,Sheet1!$C:$C,$A268,Sheet1!$A:$A,F$2)&lt;&gt;0,SUMIFS(Sheet1!$E:$E,Sheet1!$C:$C,$A268,Sheet1!$A:$A,F$2),"")</f>
        <v/>
      </c>
      <c r="G268" s="9" t="str">
        <f>IF(SUMIFS(Sheet1!$E:$E,Sheet1!$C:$C,$A268,Sheet1!$A:$A,G$2)&lt;&gt;0,SUMIFS(Sheet1!$E:$E,Sheet1!$C:$C,$A268,Sheet1!$A:$A,G$2),"")</f>
        <v/>
      </c>
      <c r="H268" s="9" t="str">
        <f>IF(SUMIFS(Sheet1!$E:$E,Sheet1!$C:$C,$A268,Sheet1!$A:$A,H$2)&lt;&gt;0,SUMIFS(Sheet1!$E:$E,Sheet1!$C:$C,$A268,Sheet1!$A:$A,H$2),"")</f>
        <v/>
      </c>
      <c r="I268" s="9" t="str">
        <f>IF(SUMIFS(Sheet1!$E:$E,Sheet1!$C:$C,$A268,Sheet1!$A:$A,I$2)&lt;&gt;0,SUMIFS(Sheet1!$E:$E,Sheet1!$C:$C,$A268,Sheet1!$A:$A,I$2),"")</f>
        <v/>
      </c>
      <c r="J268" s="9" t="str">
        <f>IF(SUMIFS(Sheet1!$E:$E,Sheet1!$C:$C,$A268,Sheet1!$A:$A,J$2)&lt;&gt;0,SUMIFS(Sheet1!$E:$E,Sheet1!$C:$C,$A268,Sheet1!$A:$A,J$2),"")</f>
        <v/>
      </c>
      <c r="K268" s="9" t="str">
        <f>IF(SUMIFS(Sheet1!$E:$E,Sheet1!$C:$C,$A268,Sheet1!$A:$A,K$2)&lt;&gt;0,SUMIFS(Sheet1!$E:$E,Sheet1!$C:$C,$A268,Sheet1!$A:$A,K$2),"")</f>
        <v/>
      </c>
      <c r="L268" s="9" t="str">
        <f>IF(SUMIFS(Sheet1!$E:$E,Sheet1!$C:$C,$A268,Sheet1!$A:$A,L$2)&lt;&gt;0,SUMIFS(Sheet1!$E:$E,Sheet1!$C:$C,$A268,Sheet1!$A:$A,L$2),"")</f>
        <v/>
      </c>
      <c r="M268" s="9" t="str">
        <f>IF(SUMIFS(Sheet1!$E:$E,Sheet1!$C:$C,$A268,Sheet1!$A:$A,M$2)&lt;&gt;0,SUMIFS(Sheet1!$E:$E,Sheet1!$C:$C,$A268,Sheet1!$A:$A,M$2),"")</f>
        <v/>
      </c>
      <c r="N268" s="9" t="str">
        <f>IF(SUMIFS(Sheet1!$E:$E,Sheet1!$C:$C,$A268,Sheet1!$A:$A,N$2)&lt;&gt;0,SUMIFS(Sheet1!$E:$E,Sheet1!$C:$C,$A268,Sheet1!$A:$A,N$2),"")</f>
        <v/>
      </c>
      <c r="O268" s="9" t="str">
        <f>IF(SUMIFS(Sheet1!$E:$E,Sheet1!$C:$C,$A268,Sheet1!$A:$A,O$2)&lt;&gt;0,SUMIFS(Sheet1!$E:$E,Sheet1!$C:$C,$A268,Sheet1!$A:$A,O$2),"")</f>
        <v/>
      </c>
      <c r="P268" s="9" t="str">
        <f>IF(SUMIFS(Sheet1!$E:$E,Sheet1!$C:$C,$A268,Sheet1!$A:$A,P$2)&lt;&gt;0,SUMIFS(Sheet1!$E:$E,Sheet1!$C:$C,$A268,Sheet1!$A:$A,P$2),"")</f>
        <v/>
      </c>
      <c r="Q268" s="9" t="str">
        <f>IF(SUMIFS(Sheet1!$E:$E,Sheet1!$C:$C,$A268,Sheet1!$A:$A,Q$2)&lt;&gt;0,SUMIFS(Sheet1!$E:$E,Sheet1!$C:$C,$A268,Sheet1!$A:$A,Q$2),"")</f>
        <v/>
      </c>
      <c r="R268" s="9" t="str">
        <f>IF(SUMIFS(Sheet1!$E:$E,Sheet1!$C:$C,$A268,Sheet1!$A:$A,R$2)&lt;&gt;0,SUMIFS(Sheet1!$E:$E,Sheet1!$C:$C,$A268,Sheet1!$A:$A,R$2),"")</f>
        <v/>
      </c>
      <c r="S268" s="9" t="str">
        <f>IF(SUMIFS(Sheet1!$E:$E,Sheet1!$C:$C,$A268,Sheet1!$A:$A,S$2)&lt;&gt;0,SUMIFS(Sheet1!$E:$E,Sheet1!$C:$C,$A268,Sheet1!$A:$A,S$2),"")</f>
        <v/>
      </c>
      <c r="T268" s="9" t="str">
        <f>IF(SUMIFS(Sheet1!$E:$E,Sheet1!$C:$C,$A268,Sheet1!$A:$A,T$2)&lt;&gt;0,SUMIFS(Sheet1!$E:$E,Sheet1!$C:$C,$A268,Sheet1!$A:$A,T$2),"")</f>
        <v/>
      </c>
      <c r="U268" s="9" t="str">
        <f>IF(SUMIFS(Sheet1!$E:$E,Sheet1!$C:$C,$A268,Sheet1!$A:$A,U$2)&lt;&gt;0,SUMIFS(Sheet1!$E:$E,Sheet1!$C:$C,$A268,Sheet1!$A:$A,U$2),"")</f>
        <v/>
      </c>
      <c r="V268" s="9" t="str">
        <f>IF(SUMIFS(Sheet1!$E:$E,Sheet1!$C:$C,$A268,Sheet1!$A:$A,V$2)&lt;&gt;0,SUMIFS(Sheet1!$E:$E,Sheet1!$C:$C,$A268,Sheet1!$A:$A,V$2),"")</f>
        <v/>
      </c>
      <c r="W268" s="9" t="str">
        <f>IF(SUMIFS(Sheet1!$E:$E,Sheet1!$C:$C,$A268,Sheet1!$A:$A,W$2)&lt;&gt;0,SUMIFS(Sheet1!$E:$E,Sheet1!$C:$C,$A268,Sheet1!$A:$A,W$2),"")</f>
        <v/>
      </c>
      <c r="X268" s="9" t="str">
        <f>IF(SUMIFS(Sheet1!$E:$E,Sheet1!$C:$C,$A268,Sheet1!$A:$A,X$2)&lt;&gt;0,SUMIFS(Sheet1!$E:$E,Sheet1!$C:$C,$A268,Sheet1!$A:$A,X$2),"")</f>
        <v/>
      </c>
      <c r="Y268" s="9" t="str">
        <f>IF(SUMIFS(Sheet1!$E:$E,Sheet1!$C:$C,$A268,Sheet1!$A:$A,Y$2)&lt;&gt;0,SUMIFS(Sheet1!$E:$E,Sheet1!$C:$C,$A268,Sheet1!$A:$A,Y$2),"")</f>
        <v/>
      </c>
      <c r="Z268" s="9" t="str">
        <f>IF(SUMIFS(Sheet1!$E:$E,Sheet1!$C:$C,$A268,Sheet1!$A:$A,Z$2)&lt;&gt;0,SUMIFS(Sheet1!$E:$E,Sheet1!$C:$C,$A268,Sheet1!$A:$A,Z$2),"")</f>
        <v/>
      </c>
      <c r="AA268" s="9" t="str">
        <f>IF(SUMIFS(Sheet1!$E:$E,Sheet1!$C:$C,$A268,Sheet1!$A:$A,AA$2)&lt;&gt;0,SUMIFS(Sheet1!$E:$E,Sheet1!$C:$C,$A268,Sheet1!$A:$A,AA$2),"")</f>
        <v/>
      </c>
      <c r="AB268" s="9" t="str">
        <f>IF(SUMIFS(Sheet1!$E:$E,Sheet1!$C:$C,$A268,Sheet1!$A:$A,AB$2)&lt;&gt;0,SUMIFS(Sheet1!$E:$E,Sheet1!$C:$C,$A268,Sheet1!$A:$A,AB$2),"")</f>
        <v/>
      </c>
      <c r="AC268" s="9" t="str">
        <f>IF(SUMIFS(Sheet1!$E:$E,Sheet1!$C:$C,$A268,Sheet1!$A:$A,AC$2)&lt;&gt;0,SUMIFS(Sheet1!$E:$E,Sheet1!$C:$C,$A268,Sheet1!$A:$A,AC$2),"")</f>
        <v/>
      </c>
      <c r="AD268" s="9" t="str">
        <f>IF(SUMIFS(Sheet1!$E:$E,Sheet1!$C:$C,$A268,Sheet1!$A:$A,AD$2)&lt;&gt;0,SUMIFS(Sheet1!$E:$E,Sheet1!$C:$C,$A268,Sheet1!$A:$A,AD$2),"")</f>
        <v/>
      </c>
      <c r="AE268" s="9" t="str">
        <f>IF(SUMIFS(Sheet1!$E:$E,Sheet1!$C:$C,$A268,Sheet1!$A:$A,AE$2)&lt;&gt;0,SUMIFS(Sheet1!$E:$E,Sheet1!$C:$C,$A268,Sheet1!$A:$A,AE$2),"")</f>
        <v/>
      </c>
      <c r="AF268" s="9" t="str">
        <f>IF(SUMIFS(Sheet1!$E:$E,Sheet1!$C:$C,$A268,Sheet1!$A:$A,AF$2)&lt;&gt;0,SUMIFS(Sheet1!$E:$E,Sheet1!$C:$C,$A268,Sheet1!$A:$A,AF$2),"")</f>
        <v/>
      </c>
      <c r="AG268" s="9" t="str">
        <f>IF(SUMIFS(Sheet1!$E:$E,Sheet1!$C:$C,$A268,Sheet1!$A:$A,AG$2)&lt;&gt;0,SUMIFS(Sheet1!$E:$E,Sheet1!$C:$C,$A268,Sheet1!$A:$A,AG$2),"")</f>
        <v/>
      </c>
      <c r="AH268" s="47">
        <f>SUM(Table24[[#This Row],[1]:[31]])</f>
        <v>0</v>
      </c>
    </row>
    <row r="269" spans="1:34" ht="12.75" customHeight="1">
      <c r="A269" s="24" t="str">
        <f>DSSP!A268</f>
        <v>CB05</v>
      </c>
      <c r="B269" s="25" t="str">
        <f>DSSP!B268</f>
        <v>Vải dạ nỉ basic</v>
      </c>
      <c r="C269" s="9" t="str">
        <f>IF(SUMIFS(Sheet1!$E:$E,Sheet1!$C:$C,$A269,Sheet1!$A:$A,C$2)&lt;&gt;0,SUMIFS(Sheet1!$E:$E,Sheet1!$C:$C,$A269,Sheet1!$A:$A,C$2),"")</f>
        <v/>
      </c>
      <c r="D269" s="9" t="str">
        <f>IF(SUMIFS(Sheet1!$E:$E,Sheet1!$C:$C,$A269,Sheet1!$A:$A,D$2)&lt;&gt;0,SUMIFS(Sheet1!$E:$E,Sheet1!$C:$C,$A269,Sheet1!$A:$A,D$2),"")</f>
        <v/>
      </c>
      <c r="E269" s="9" t="str">
        <f>IF(SUMIFS(Sheet1!$E:$E,Sheet1!$C:$C,$A269,Sheet1!$A:$A,E$2)&lt;&gt;0,SUMIFS(Sheet1!$E:$E,Sheet1!$C:$C,$A269,Sheet1!$A:$A,E$2),"")</f>
        <v/>
      </c>
      <c r="F269" s="9" t="str">
        <f>IF(SUMIFS(Sheet1!$E:$E,Sheet1!$C:$C,$A269,Sheet1!$A:$A,F$2)&lt;&gt;0,SUMIFS(Sheet1!$E:$E,Sheet1!$C:$C,$A269,Sheet1!$A:$A,F$2),"")</f>
        <v/>
      </c>
      <c r="G269" s="9" t="str">
        <f>IF(SUMIFS(Sheet1!$E:$E,Sheet1!$C:$C,$A269,Sheet1!$A:$A,G$2)&lt;&gt;0,SUMIFS(Sheet1!$E:$E,Sheet1!$C:$C,$A269,Sheet1!$A:$A,G$2),"")</f>
        <v/>
      </c>
      <c r="H269" s="9" t="str">
        <f>IF(SUMIFS(Sheet1!$E:$E,Sheet1!$C:$C,$A269,Sheet1!$A:$A,H$2)&lt;&gt;0,SUMIFS(Sheet1!$E:$E,Sheet1!$C:$C,$A269,Sheet1!$A:$A,H$2),"")</f>
        <v/>
      </c>
      <c r="I269" s="9" t="str">
        <f>IF(SUMIFS(Sheet1!$E:$E,Sheet1!$C:$C,$A269,Sheet1!$A:$A,I$2)&lt;&gt;0,SUMIFS(Sheet1!$E:$E,Sheet1!$C:$C,$A269,Sheet1!$A:$A,I$2),"")</f>
        <v/>
      </c>
      <c r="J269" s="9" t="str">
        <f>IF(SUMIFS(Sheet1!$E:$E,Sheet1!$C:$C,$A269,Sheet1!$A:$A,J$2)&lt;&gt;0,SUMIFS(Sheet1!$E:$E,Sheet1!$C:$C,$A269,Sheet1!$A:$A,J$2),"")</f>
        <v/>
      </c>
      <c r="K269" s="9" t="str">
        <f>IF(SUMIFS(Sheet1!$E:$E,Sheet1!$C:$C,$A269,Sheet1!$A:$A,K$2)&lt;&gt;0,SUMIFS(Sheet1!$E:$E,Sheet1!$C:$C,$A269,Sheet1!$A:$A,K$2),"")</f>
        <v/>
      </c>
      <c r="L269" s="9" t="str">
        <f>IF(SUMIFS(Sheet1!$E:$E,Sheet1!$C:$C,$A269,Sheet1!$A:$A,L$2)&lt;&gt;0,SUMIFS(Sheet1!$E:$E,Sheet1!$C:$C,$A269,Sheet1!$A:$A,L$2),"")</f>
        <v/>
      </c>
      <c r="M269" s="9" t="str">
        <f>IF(SUMIFS(Sheet1!$E:$E,Sheet1!$C:$C,$A269,Sheet1!$A:$A,M$2)&lt;&gt;0,SUMIFS(Sheet1!$E:$E,Sheet1!$C:$C,$A269,Sheet1!$A:$A,M$2),"")</f>
        <v/>
      </c>
      <c r="N269" s="9" t="str">
        <f>IF(SUMIFS(Sheet1!$E:$E,Sheet1!$C:$C,$A269,Sheet1!$A:$A,N$2)&lt;&gt;0,SUMIFS(Sheet1!$E:$E,Sheet1!$C:$C,$A269,Sheet1!$A:$A,N$2),"")</f>
        <v/>
      </c>
      <c r="O269" s="9" t="str">
        <f>IF(SUMIFS(Sheet1!$E:$E,Sheet1!$C:$C,$A269,Sheet1!$A:$A,O$2)&lt;&gt;0,SUMIFS(Sheet1!$E:$E,Sheet1!$C:$C,$A269,Sheet1!$A:$A,O$2),"")</f>
        <v/>
      </c>
      <c r="P269" s="9" t="str">
        <f>IF(SUMIFS(Sheet1!$E:$E,Sheet1!$C:$C,$A269,Sheet1!$A:$A,P$2)&lt;&gt;0,SUMIFS(Sheet1!$E:$E,Sheet1!$C:$C,$A269,Sheet1!$A:$A,P$2),"")</f>
        <v/>
      </c>
      <c r="Q269" s="9" t="str">
        <f>IF(SUMIFS(Sheet1!$E:$E,Sheet1!$C:$C,$A269,Sheet1!$A:$A,Q$2)&lt;&gt;0,SUMIFS(Sheet1!$E:$E,Sheet1!$C:$C,$A269,Sheet1!$A:$A,Q$2),"")</f>
        <v/>
      </c>
      <c r="R269" s="9" t="str">
        <f>IF(SUMIFS(Sheet1!$E:$E,Sheet1!$C:$C,$A269,Sheet1!$A:$A,R$2)&lt;&gt;0,SUMIFS(Sheet1!$E:$E,Sheet1!$C:$C,$A269,Sheet1!$A:$A,R$2),"")</f>
        <v/>
      </c>
      <c r="S269" s="9" t="str">
        <f>IF(SUMIFS(Sheet1!$E:$E,Sheet1!$C:$C,$A269,Sheet1!$A:$A,S$2)&lt;&gt;0,SUMIFS(Sheet1!$E:$E,Sheet1!$C:$C,$A269,Sheet1!$A:$A,S$2),"")</f>
        <v/>
      </c>
      <c r="T269" s="9" t="str">
        <f>IF(SUMIFS(Sheet1!$E:$E,Sheet1!$C:$C,$A269,Sheet1!$A:$A,T$2)&lt;&gt;0,SUMIFS(Sheet1!$E:$E,Sheet1!$C:$C,$A269,Sheet1!$A:$A,T$2),"")</f>
        <v/>
      </c>
      <c r="U269" s="9" t="str">
        <f>IF(SUMIFS(Sheet1!$E:$E,Sheet1!$C:$C,$A269,Sheet1!$A:$A,U$2)&lt;&gt;0,SUMIFS(Sheet1!$E:$E,Sheet1!$C:$C,$A269,Sheet1!$A:$A,U$2),"")</f>
        <v/>
      </c>
      <c r="V269" s="9" t="str">
        <f>IF(SUMIFS(Sheet1!$E:$E,Sheet1!$C:$C,$A269,Sheet1!$A:$A,V$2)&lt;&gt;0,SUMIFS(Sheet1!$E:$E,Sheet1!$C:$C,$A269,Sheet1!$A:$A,V$2),"")</f>
        <v/>
      </c>
      <c r="W269" s="9" t="str">
        <f>IF(SUMIFS(Sheet1!$E:$E,Sheet1!$C:$C,$A269,Sheet1!$A:$A,W$2)&lt;&gt;0,SUMIFS(Sheet1!$E:$E,Sheet1!$C:$C,$A269,Sheet1!$A:$A,W$2),"")</f>
        <v/>
      </c>
      <c r="X269" s="9" t="str">
        <f>IF(SUMIFS(Sheet1!$E:$E,Sheet1!$C:$C,$A269,Sheet1!$A:$A,X$2)&lt;&gt;0,SUMIFS(Sheet1!$E:$E,Sheet1!$C:$C,$A269,Sheet1!$A:$A,X$2),"")</f>
        <v/>
      </c>
      <c r="Y269" s="9" t="str">
        <f>IF(SUMIFS(Sheet1!$E:$E,Sheet1!$C:$C,$A269,Sheet1!$A:$A,Y$2)&lt;&gt;0,SUMIFS(Sheet1!$E:$E,Sheet1!$C:$C,$A269,Sheet1!$A:$A,Y$2),"")</f>
        <v/>
      </c>
      <c r="Z269" s="9" t="str">
        <f>IF(SUMIFS(Sheet1!$E:$E,Sheet1!$C:$C,$A269,Sheet1!$A:$A,Z$2)&lt;&gt;0,SUMIFS(Sheet1!$E:$E,Sheet1!$C:$C,$A269,Sheet1!$A:$A,Z$2),"")</f>
        <v/>
      </c>
      <c r="AA269" s="9" t="str">
        <f>IF(SUMIFS(Sheet1!$E:$E,Sheet1!$C:$C,$A269,Sheet1!$A:$A,AA$2)&lt;&gt;0,SUMIFS(Sheet1!$E:$E,Sheet1!$C:$C,$A269,Sheet1!$A:$A,AA$2),"")</f>
        <v/>
      </c>
      <c r="AB269" s="9" t="str">
        <f>IF(SUMIFS(Sheet1!$E:$E,Sheet1!$C:$C,$A269,Sheet1!$A:$A,AB$2)&lt;&gt;0,SUMIFS(Sheet1!$E:$E,Sheet1!$C:$C,$A269,Sheet1!$A:$A,AB$2),"")</f>
        <v/>
      </c>
      <c r="AC269" s="9" t="str">
        <f>IF(SUMIFS(Sheet1!$E:$E,Sheet1!$C:$C,$A269,Sheet1!$A:$A,AC$2)&lt;&gt;0,SUMIFS(Sheet1!$E:$E,Sheet1!$C:$C,$A269,Sheet1!$A:$A,AC$2),"")</f>
        <v/>
      </c>
      <c r="AD269" s="9" t="str">
        <f>IF(SUMIFS(Sheet1!$E:$E,Sheet1!$C:$C,$A269,Sheet1!$A:$A,AD$2)&lt;&gt;0,SUMIFS(Sheet1!$E:$E,Sheet1!$C:$C,$A269,Sheet1!$A:$A,AD$2),"")</f>
        <v/>
      </c>
      <c r="AE269" s="9" t="str">
        <f>IF(SUMIFS(Sheet1!$E:$E,Sheet1!$C:$C,$A269,Sheet1!$A:$A,AE$2)&lt;&gt;0,SUMIFS(Sheet1!$E:$E,Sheet1!$C:$C,$A269,Sheet1!$A:$A,AE$2),"")</f>
        <v/>
      </c>
      <c r="AF269" s="9" t="str">
        <f>IF(SUMIFS(Sheet1!$E:$E,Sheet1!$C:$C,$A269,Sheet1!$A:$A,AF$2)&lt;&gt;0,SUMIFS(Sheet1!$E:$E,Sheet1!$C:$C,$A269,Sheet1!$A:$A,AF$2),"")</f>
        <v/>
      </c>
      <c r="AG269" s="9" t="str">
        <f>IF(SUMIFS(Sheet1!$E:$E,Sheet1!$C:$C,$A269,Sheet1!$A:$A,AG$2)&lt;&gt;0,SUMIFS(Sheet1!$E:$E,Sheet1!$C:$C,$A269,Sheet1!$A:$A,AG$2),"")</f>
        <v/>
      </c>
      <c r="AH269" s="47">
        <f>SUM(Table24[[#This Row],[1]:[31]])</f>
        <v>0</v>
      </c>
    </row>
    <row r="270" spans="1:34" ht="12.75" customHeight="1">
      <c r="A270" s="24" t="str">
        <f>DSSP!A269</f>
        <v>CB06</v>
      </c>
      <c r="B270" s="25" t="str">
        <f>DSSP!B269</f>
        <v>Vải dạ nỉ plus</v>
      </c>
      <c r="C270" s="9" t="str">
        <f>IF(SUMIFS(Sheet1!$E:$E,Sheet1!$C:$C,$A270,Sheet1!$A:$A,C$2)&lt;&gt;0,SUMIFS(Sheet1!$E:$E,Sheet1!$C:$C,$A270,Sheet1!$A:$A,C$2),"")</f>
        <v/>
      </c>
      <c r="D270" s="9" t="str">
        <f>IF(SUMIFS(Sheet1!$E:$E,Sheet1!$C:$C,$A270,Sheet1!$A:$A,D$2)&lt;&gt;0,SUMIFS(Sheet1!$E:$E,Sheet1!$C:$C,$A270,Sheet1!$A:$A,D$2),"")</f>
        <v/>
      </c>
      <c r="E270" s="9" t="str">
        <f>IF(SUMIFS(Sheet1!$E:$E,Sheet1!$C:$C,$A270,Sheet1!$A:$A,E$2)&lt;&gt;0,SUMIFS(Sheet1!$E:$E,Sheet1!$C:$C,$A270,Sheet1!$A:$A,E$2),"")</f>
        <v/>
      </c>
      <c r="F270" s="9" t="str">
        <f>IF(SUMIFS(Sheet1!$E:$E,Sheet1!$C:$C,$A270,Sheet1!$A:$A,F$2)&lt;&gt;0,SUMIFS(Sheet1!$E:$E,Sheet1!$C:$C,$A270,Sheet1!$A:$A,F$2),"")</f>
        <v/>
      </c>
      <c r="G270" s="9" t="str">
        <f>IF(SUMIFS(Sheet1!$E:$E,Sheet1!$C:$C,$A270,Sheet1!$A:$A,G$2)&lt;&gt;0,SUMIFS(Sheet1!$E:$E,Sheet1!$C:$C,$A270,Sheet1!$A:$A,G$2),"")</f>
        <v/>
      </c>
      <c r="H270" s="9" t="str">
        <f>IF(SUMIFS(Sheet1!$E:$E,Sheet1!$C:$C,$A270,Sheet1!$A:$A,H$2)&lt;&gt;0,SUMIFS(Sheet1!$E:$E,Sheet1!$C:$C,$A270,Sheet1!$A:$A,H$2),"")</f>
        <v/>
      </c>
      <c r="I270" s="9" t="str">
        <f>IF(SUMIFS(Sheet1!$E:$E,Sheet1!$C:$C,$A270,Sheet1!$A:$A,I$2)&lt;&gt;0,SUMIFS(Sheet1!$E:$E,Sheet1!$C:$C,$A270,Sheet1!$A:$A,I$2),"")</f>
        <v/>
      </c>
      <c r="J270" s="9" t="str">
        <f>IF(SUMIFS(Sheet1!$E:$E,Sheet1!$C:$C,$A270,Sheet1!$A:$A,J$2)&lt;&gt;0,SUMIFS(Sheet1!$E:$E,Sheet1!$C:$C,$A270,Sheet1!$A:$A,J$2),"")</f>
        <v/>
      </c>
      <c r="K270" s="9" t="str">
        <f>IF(SUMIFS(Sheet1!$E:$E,Sheet1!$C:$C,$A270,Sheet1!$A:$A,K$2)&lt;&gt;0,SUMIFS(Sheet1!$E:$E,Sheet1!$C:$C,$A270,Sheet1!$A:$A,K$2),"")</f>
        <v/>
      </c>
      <c r="L270" s="9" t="str">
        <f>IF(SUMIFS(Sheet1!$E:$E,Sheet1!$C:$C,$A270,Sheet1!$A:$A,L$2)&lt;&gt;0,SUMIFS(Sheet1!$E:$E,Sheet1!$C:$C,$A270,Sheet1!$A:$A,L$2),"")</f>
        <v/>
      </c>
      <c r="M270" s="9" t="str">
        <f>IF(SUMIFS(Sheet1!$E:$E,Sheet1!$C:$C,$A270,Sheet1!$A:$A,M$2)&lt;&gt;0,SUMIFS(Sheet1!$E:$E,Sheet1!$C:$C,$A270,Sheet1!$A:$A,M$2),"")</f>
        <v/>
      </c>
      <c r="N270" s="9" t="str">
        <f>IF(SUMIFS(Sheet1!$E:$E,Sheet1!$C:$C,$A270,Sheet1!$A:$A,N$2)&lt;&gt;0,SUMIFS(Sheet1!$E:$E,Sheet1!$C:$C,$A270,Sheet1!$A:$A,N$2),"")</f>
        <v/>
      </c>
      <c r="O270" s="9" t="str">
        <f>IF(SUMIFS(Sheet1!$E:$E,Sheet1!$C:$C,$A270,Sheet1!$A:$A,O$2)&lt;&gt;0,SUMIFS(Sheet1!$E:$E,Sheet1!$C:$C,$A270,Sheet1!$A:$A,O$2),"")</f>
        <v/>
      </c>
      <c r="P270" s="9" t="str">
        <f>IF(SUMIFS(Sheet1!$E:$E,Sheet1!$C:$C,$A270,Sheet1!$A:$A,P$2)&lt;&gt;0,SUMIFS(Sheet1!$E:$E,Sheet1!$C:$C,$A270,Sheet1!$A:$A,P$2),"")</f>
        <v/>
      </c>
      <c r="Q270" s="9" t="str">
        <f>IF(SUMIFS(Sheet1!$E:$E,Sheet1!$C:$C,$A270,Sheet1!$A:$A,Q$2)&lt;&gt;0,SUMIFS(Sheet1!$E:$E,Sheet1!$C:$C,$A270,Sheet1!$A:$A,Q$2),"")</f>
        <v/>
      </c>
      <c r="R270" s="9" t="str">
        <f>IF(SUMIFS(Sheet1!$E:$E,Sheet1!$C:$C,$A270,Sheet1!$A:$A,R$2)&lt;&gt;0,SUMIFS(Sheet1!$E:$E,Sheet1!$C:$C,$A270,Sheet1!$A:$A,R$2),"")</f>
        <v/>
      </c>
      <c r="S270" s="9" t="str">
        <f>IF(SUMIFS(Sheet1!$E:$E,Sheet1!$C:$C,$A270,Sheet1!$A:$A,S$2)&lt;&gt;0,SUMIFS(Sheet1!$E:$E,Sheet1!$C:$C,$A270,Sheet1!$A:$A,S$2),"")</f>
        <v/>
      </c>
      <c r="T270" s="9" t="str">
        <f>IF(SUMIFS(Sheet1!$E:$E,Sheet1!$C:$C,$A270,Sheet1!$A:$A,T$2)&lt;&gt;0,SUMIFS(Sheet1!$E:$E,Sheet1!$C:$C,$A270,Sheet1!$A:$A,T$2),"")</f>
        <v/>
      </c>
      <c r="U270" s="9" t="str">
        <f>IF(SUMIFS(Sheet1!$E:$E,Sheet1!$C:$C,$A270,Sheet1!$A:$A,U$2)&lt;&gt;0,SUMIFS(Sheet1!$E:$E,Sheet1!$C:$C,$A270,Sheet1!$A:$A,U$2),"")</f>
        <v/>
      </c>
      <c r="V270" s="9" t="str">
        <f>IF(SUMIFS(Sheet1!$E:$E,Sheet1!$C:$C,$A270,Sheet1!$A:$A,V$2)&lt;&gt;0,SUMIFS(Sheet1!$E:$E,Sheet1!$C:$C,$A270,Sheet1!$A:$A,V$2),"")</f>
        <v/>
      </c>
      <c r="W270" s="9" t="str">
        <f>IF(SUMIFS(Sheet1!$E:$E,Sheet1!$C:$C,$A270,Sheet1!$A:$A,W$2)&lt;&gt;0,SUMIFS(Sheet1!$E:$E,Sheet1!$C:$C,$A270,Sheet1!$A:$A,W$2),"")</f>
        <v/>
      </c>
      <c r="X270" s="9" t="str">
        <f>IF(SUMIFS(Sheet1!$E:$E,Sheet1!$C:$C,$A270,Sheet1!$A:$A,X$2)&lt;&gt;0,SUMIFS(Sheet1!$E:$E,Sheet1!$C:$C,$A270,Sheet1!$A:$A,X$2),"")</f>
        <v/>
      </c>
      <c r="Y270" s="9" t="str">
        <f>IF(SUMIFS(Sheet1!$E:$E,Sheet1!$C:$C,$A270,Sheet1!$A:$A,Y$2)&lt;&gt;0,SUMIFS(Sheet1!$E:$E,Sheet1!$C:$C,$A270,Sheet1!$A:$A,Y$2),"")</f>
        <v/>
      </c>
      <c r="Z270" s="9" t="str">
        <f>IF(SUMIFS(Sheet1!$E:$E,Sheet1!$C:$C,$A270,Sheet1!$A:$A,Z$2)&lt;&gt;0,SUMIFS(Sheet1!$E:$E,Sheet1!$C:$C,$A270,Sheet1!$A:$A,Z$2),"")</f>
        <v/>
      </c>
      <c r="AA270" s="9" t="str">
        <f>IF(SUMIFS(Sheet1!$E:$E,Sheet1!$C:$C,$A270,Sheet1!$A:$A,AA$2)&lt;&gt;0,SUMIFS(Sheet1!$E:$E,Sheet1!$C:$C,$A270,Sheet1!$A:$A,AA$2),"")</f>
        <v/>
      </c>
      <c r="AB270" s="9" t="str">
        <f>IF(SUMIFS(Sheet1!$E:$E,Sheet1!$C:$C,$A270,Sheet1!$A:$A,AB$2)&lt;&gt;0,SUMIFS(Sheet1!$E:$E,Sheet1!$C:$C,$A270,Sheet1!$A:$A,AB$2),"")</f>
        <v/>
      </c>
      <c r="AC270" s="9" t="str">
        <f>IF(SUMIFS(Sheet1!$E:$E,Sheet1!$C:$C,$A270,Sheet1!$A:$A,AC$2)&lt;&gt;0,SUMIFS(Sheet1!$E:$E,Sheet1!$C:$C,$A270,Sheet1!$A:$A,AC$2),"")</f>
        <v/>
      </c>
      <c r="AD270" s="9" t="str">
        <f>IF(SUMIFS(Sheet1!$E:$E,Sheet1!$C:$C,$A270,Sheet1!$A:$A,AD$2)&lt;&gt;0,SUMIFS(Sheet1!$E:$E,Sheet1!$C:$C,$A270,Sheet1!$A:$A,AD$2),"")</f>
        <v/>
      </c>
      <c r="AE270" s="9" t="str">
        <f>IF(SUMIFS(Sheet1!$E:$E,Sheet1!$C:$C,$A270,Sheet1!$A:$A,AE$2)&lt;&gt;0,SUMIFS(Sheet1!$E:$E,Sheet1!$C:$C,$A270,Sheet1!$A:$A,AE$2),"")</f>
        <v/>
      </c>
      <c r="AF270" s="9" t="str">
        <f>IF(SUMIFS(Sheet1!$E:$E,Sheet1!$C:$C,$A270,Sheet1!$A:$A,AF$2)&lt;&gt;0,SUMIFS(Sheet1!$E:$E,Sheet1!$C:$C,$A270,Sheet1!$A:$A,AF$2),"")</f>
        <v/>
      </c>
      <c r="AG270" s="9" t="str">
        <f>IF(SUMIFS(Sheet1!$E:$E,Sheet1!$C:$C,$A270,Sheet1!$A:$A,AG$2)&lt;&gt;0,SUMIFS(Sheet1!$E:$E,Sheet1!$C:$C,$A270,Sheet1!$A:$A,AG$2),"")</f>
        <v/>
      </c>
      <c r="AH270" s="47">
        <f>SUM(Table24[[#This Row],[1]:[31]])</f>
        <v>0</v>
      </c>
    </row>
    <row r="271" spans="1:34" ht="12.75" customHeight="1">
      <c r="A271" s="24" t="str">
        <f>DSSP!A270</f>
        <v>CB07</v>
      </c>
      <c r="B271" s="25" t="str">
        <f>DSSP!B270</f>
        <v>Vải dạ nỉ advanced</v>
      </c>
      <c r="C271" s="9" t="str">
        <f>IF(SUMIFS(Sheet1!$E:$E,Sheet1!$C:$C,$A271,Sheet1!$A:$A,C$2)&lt;&gt;0,SUMIFS(Sheet1!$E:$E,Sheet1!$C:$C,$A271,Sheet1!$A:$A,C$2),"")</f>
        <v/>
      </c>
      <c r="D271" s="9" t="str">
        <f>IF(SUMIFS(Sheet1!$E:$E,Sheet1!$C:$C,$A271,Sheet1!$A:$A,D$2)&lt;&gt;0,SUMIFS(Sheet1!$E:$E,Sheet1!$C:$C,$A271,Sheet1!$A:$A,D$2),"")</f>
        <v/>
      </c>
      <c r="E271" s="9" t="str">
        <f>IF(SUMIFS(Sheet1!$E:$E,Sheet1!$C:$C,$A271,Sheet1!$A:$A,E$2)&lt;&gt;0,SUMIFS(Sheet1!$E:$E,Sheet1!$C:$C,$A271,Sheet1!$A:$A,E$2),"")</f>
        <v/>
      </c>
      <c r="F271" s="9" t="str">
        <f>IF(SUMIFS(Sheet1!$E:$E,Sheet1!$C:$C,$A271,Sheet1!$A:$A,F$2)&lt;&gt;0,SUMIFS(Sheet1!$E:$E,Sheet1!$C:$C,$A271,Sheet1!$A:$A,F$2),"")</f>
        <v/>
      </c>
      <c r="G271" s="9" t="str">
        <f>IF(SUMIFS(Sheet1!$E:$E,Sheet1!$C:$C,$A271,Sheet1!$A:$A,G$2)&lt;&gt;0,SUMIFS(Sheet1!$E:$E,Sheet1!$C:$C,$A271,Sheet1!$A:$A,G$2),"")</f>
        <v/>
      </c>
      <c r="H271" s="9" t="str">
        <f>IF(SUMIFS(Sheet1!$E:$E,Sheet1!$C:$C,$A271,Sheet1!$A:$A,H$2)&lt;&gt;0,SUMIFS(Sheet1!$E:$E,Sheet1!$C:$C,$A271,Sheet1!$A:$A,H$2),"")</f>
        <v/>
      </c>
      <c r="I271" s="9" t="str">
        <f>IF(SUMIFS(Sheet1!$E:$E,Sheet1!$C:$C,$A271,Sheet1!$A:$A,I$2)&lt;&gt;0,SUMIFS(Sheet1!$E:$E,Sheet1!$C:$C,$A271,Sheet1!$A:$A,I$2),"")</f>
        <v/>
      </c>
      <c r="J271" s="9" t="str">
        <f>IF(SUMIFS(Sheet1!$E:$E,Sheet1!$C:$C,$A271,Sheet1!$A:$A,J$2)&lt;&gt;0,SUMIFS(Sheet1!$E:$E,Sheet1!$C:$C,$A271,Sheet1!$A:$A,J$2),"")</f>
        <v/>
      </c>
      <c r="K271" s="9" t="str">
        <f>IF(SUMIFS(Sheet1!$E:$E,Sheet1!$C:$C,$A271,Sheet1!$A:$A,K$2)&lt;&gt;0,SUMIFS(Sheet1!$E:$E,Sheet1!$C:$C,$A271,Sheet1!$A:$A,K$2),"")</f>
        <v/>
      </c>
      <c r="L271" s="9" t="str">
        <f>IF(SUMIFS(Sheet1!$E:$E,Sheet1!$C:$C,$A271,Sheet1!$A:$A,L$2)&lt;&gt;0,SUMIFS(Sheet1!$E:$E,Sheet1!$C:$C,$A271,Sheet1!$A:$A,L$2),"")</f>
        <v/>
      </c>
      <c r="M271" s="9" t="str">
        <f>IF(SUMIFS(Sheet1!$E:$E,Sheet1!$C:$C,$A271,Sheet1!$A:$A,M$2)&lt;&gt;0,SUMIFS(Sheet1!$E:$E,Sheet1!$C:$C,$A271,Sheet1!$A:$A,M$2),"")</f>
        <v/>
      </c>
      <c r="N271" s="9" t="str">
        <f>IF(SUMIFS(Sheet1!$E:$E,Sheet1!$C:$C,$A271,Sheet1!$A:$A,N$2)&lt;&gt;0,SUMIFS(Sheet1!$E:$E,Sheet1!$C:$C,$A271,Sheet1!$A:$A,N$2),"")</f>
        <v/>
      </c>
      <c r="O271" s="9" t="str">
        <f>IF(SUMIFS(Sheet1!$E:$E,Sheet1!$C:$C,$A271,Sheet1!$A:$A,O$2)&lt;&gt;0,SUMIFS(Sheet1!$E:$E,Sheet1!$C:$C,$A271,Sheet1!$A:$A,O$2),"")</f>
        <v/>
      </c>
      <c r="P271" s="9" t="str">
        <f>IF(SUMIFS(Sheet1!$E:$E,Sheet1!$C:$C,$A271,Sheet1!$A:$A,P$2)&lt;&gt;0,SUMIFS(Sheet1!$E:$E,Sheet1!$C:$C,$A271,Sheet1!$A:$A,P$2),"")</f>
        <v/>
      </c>
      <c r="Q271" s="9" t="str">
        <f>IF(SUMIFS(Sheet1!$E:$E,Sheet1!$C:$C,$A271,Sheet1!$A:$A,Q$2)&lt;&gt;0,SUMIFS(Sheet1!$E:$E,Sheet1!$C:$C,$A271,Sheet1!$A:$A,Q$2),"")</f>
        <v/>
      </c>
      <c r="R271" s="9" t="str">
        <f>IF(SUMIFS(Sheet1!$E:$E,Sheet1!$C:$C,$A271,Sheet1!$A:$A,R$2)&lt;&gt;0,SUMIFS(Sheet1!$E:$E,Sheet1!$C:$C,$A271,Sheet1!$A:$A,R$2),"")</f>
        <v/>
      </c>
      <c r="S271" s="9" t="str">
        <f>IF(SUMIFS(Sheet1!$E:$E,Sheet1!$C:$C,$A271,Sheet1!$A:$A,S$2)&lt;&gt;0,SUMIFS(Sheet1!$E:$E,Sheet1!$C:$C,$A271,Sheet1!$A:$A,S$2),"")</f>
        <v/>
      </c>
      <c r="T271" s="9" t="str">
        <f>IF(SUMIFS(Sheet1!$E:$E,Sheet1!$C:$C,$A271,Sheet1!$A:$A,T$2)&lt;&gt;0,SUMIFS(Sheet1!$E:$E,Sheet1!$C:$C,$A271,Sheet1!$A:$A,T$2),"")</f>
        <v/>
      </c>
      <c r="U271" s="9" t="str">
        <f>IF(SUMIFS(Sheet1!$E:$E,Sheet1!$C:$C,$A271,Sheet1!$A:$A,U$2)&lt;&gt;0,SUMIFS(Sheet1!$E:$E,Sheet1!$C:$C,$A271,Sheet1!$A:$A,U$2),"")</f>
        <v/>
      </c>
      <c r="V271" s="9" t="str">
        <f>IF(SUMIFS(Sheet1!$E:$E,Sheet1!$C:$C,$A271,Sheet1!$A:$A,V$2)&lt;&gt;0,SUMIFS(Sheet1!$E:$E,Sheet1!$C:$C,$A271,Sheet1!$A:$A,V$2),"")</f>
        <v/>
      </c>
      <c r="W271" s="9" t="str">
        <f>IF(SUMIFS(Sheet1!$E:$E,Sheet1!$C:$C,$A271,Sheet1!$A:$A,W$2)&lt;&gt;0,SUMIFS(Sheet1!$E:$E,Sheet1!$C:$C,$A271,Sheet1!$A:$A,W$2),"")</f>
        <v/>
      </c>
      <c r="X271" s="9" t="str">
        <f>IF(SUMIFS(Sheet1!$E:$E,Sheet1!$C:$C,$A271,Sheet1!$A:$A,X$2)&lt;&gt;0,SUMIFS(Sheet1!$E:$E,Sheet1!$C:$C,$A271,Sheet1!$A:$A,X$2),"")</f>
        <v/>
      </c>
      <c r="Y271" s="9" t="str">
        <f>IF(SUMIFS(Sheet1!$E:$E,Sheet1!$C:$C,$A271,Sheet1!$A:$A,Y$2)&lt;&gt;0,SUMIFS(Sheet1!$E:$E,Sheet1!$C:$C,$A271,Sheet1!$A:$A,Y$2),"")</f>
        <v/>
      </c>
      <c r="Z271" s="9" t="str">
        <f>IF(SUMIFS(Sheet1!$E:$E,Sheet1!$C:$C,$A271,Sheet1!$A:$A,Z$2)&lt;&gt;0,SUMIFS(Sheet1!$E:$E,Sheet1!$C:$C,$A271,Sheet1!$A:$A,Z$2),"")</f>
        <v/>
      </c>
      <c r="AA271" s="9" t="str">
        <f>IF(SUMIFS(Sheet1!$E:$E,Sheet1!$C:$C,$A271,Sheet1!$A:$A,AA$2)&lt;&gt;0,SUMIFS(Sheet1!$E:$E,Sheet1!$C:$C,$A271,Sheet1!$A:$A,AA$2),"")</f>
        <v/>
      </c>
      <c r="AB271" s="9" t="str">
        <f>IF(SUMIFS(Sheet1!$E:$E,Sheet1!$C:$C,$A271,Sheet1!$A:$A,AB$2)&lt;&gt;0,SUMIFS(Sheet1!$E:$E,Sheet1!$C:$C,$A271,Sheet1!$A:$A,AB$2),"")</f>
        <v/>
      </c>
      <c r="AC271" s="9" t="str">
        <f>IF(SUMIFS(Sheet1!$E:$E,Sheet1!$C:$C,$A271,Sheet1!$A:$A,AC$2)&lt;&gt;0,SUMIFS(Sheet1!$E:$E,Sheet1!$C:$C,$A271,Sheet1!$A:$A,AC$2),"")</f>
        <v/>
      </c>
      <c r="AD271" s="9" t="str">
        <f>IF(SUMIFS(Sheet1!$E:$E,Sheet1!$C:$C,$A271,Sheet1!$A:$A,AD$2)&lt;&gt;0,SUMIFS(Sheet1!$E:$E,Sheet1!$C:$C,$A271,Sheet1!$A:$A,AD$2),"")</f>
        <v/>
      </c>
      <c r="AE271" s="9" t="str">
        <f>IF(SUMIFS(Sheet1!$E:$E,Sheet1!$C:$C,$A271,Sheet1!$A:$A,AE$2)&lt;&gt;0,SUMIFS(Sheet1!$E:$E,Sheet1!$C:$C,$A271,Sheet1!$A:$A,AE$2),"")</f>
        <v/>
      </c>
      <c r="AF271" s="9" t="str">
        <f>IF(SUMIFS(Sheet1!$E:$E,Sheet1!$C:$C,$A271,Sheet1!$A:$A,AF$2)&lt;&gt;0,SUMIFS(Sheet1!$E:$E,Sheet1!$C:$C,$A271,Sheet1!$A:$A,AF$2),"")</f>
        <v/>
      </c>
      <c r="AG271" s="9" t="str">
        <f>IF(SUMIFS(Sheet1!$E:$E,Sheet1!$C:$C,$A271,Sheet1!$A:$A,AG$2)&lt;&gt;0,SUMIFS(Sheet1!$E:$E,Sheet1!$C:$C,$A271,Sheet1!$A:$A,AG$2),"")</f>
        <v/>
      </c>
      <c r="AH271" s="47">
        <f>SUM(Table24[[#This Row],[1]:[31]])</f>
        <v>0</v>
      </c>
    </row>
    <row r="272" spans="1:34" ht="12.75" customHeight="1">
      <c r="A272" s="24" t="str">
        <f>DSSP!A271</f>
        <v>CB08</v>
      </c>
      <c r="B272" s="25" t="str">
        <f>DSSP!B271</f>
        <v>Vải nỉ HQ basic</v>
      </c>
      <c r="C272" s="9" t="str">
        <f>IF(SUMIFS(Sheet1!$E:$E,Sheet1!$C:$C,$A272,Sheet1!$A:$A,C$2)&lt;&gt;0,SUMIFS(Sheet1!$E:$E,Sheet1!$C:$C,$A272,Sheet1!$A:$A,C$2),"")</f>
        <v/>
      </c>
      <c r="D272" s="9" t="str">
        <f>IF(SUMIFS(Sheet1!$E:$E,Sheet1!$C:$C,$A272,Sheet1!$A:$A,D$2)&lt;&gt;0,SUMIFS(Sheet1!$E:$E,Sheet1!$C:$C,$A272,Sheet1!$A:$A,D$2),"")</f>
        <v/>
      </c>
      <c r="E272" s="9" t="str">
        <f>IF(SUMIFS(Sheet1!$E:$E,Sheet1!$C:$C,$A272,Sheet1!$A:$A,E$2)&lt;&gt;0,SUMIFS(Sheet1!$E:$E,Sheet1!$C:$C,$A272,Sheet1!$A:$A,E$2),"")</f>
        <v/>
      </c>
      <c r="F272" s="9" t="str">
        <f>IF(SUMIFS(Sheet1!$E:$E,Sheet1!$C:$C,$A272,Sheet1!$A:$A,F$2)&lt;&gt;0,SUMIFS(Sheet1!$E:$E,Sheet1!$C:$C,$A272,Sheet1!$A:$A,F$2),"")</f>
        <v/>
      </c>
      <c r="G272" s="9" t="str">
        <f>IF(SUMIFS(Sheet1!$E:$E,Sheet1!$C:$C,$A272,Sheet1!$A:$A,G$2)&lt;&gt;0,SUMIFS(Sheet1!$E:$E,Sheet1!$C:$C,$A272,Sheet1!$A:$A,G$2),"")</f>
        <v/>
      </c>
      <c r="H272" s="9" t="str">
        <f>IF(SUMIFS(Sheet1!$E:$E,Sheet1!$C:$C,$A272,Sheet1!$A:$A,H$2)&lt;&gt;0,SUMIFS(Sheet1!$E:$E,Sheet1!$C:$C,$A272,Sheet1!$A:$A,H$2),"")</f>
        <v/>
      </c>
      <c r="I272" s="9" t="str">
        <f>IF(SUMIFS(Sheet1!$E:$E,Sheet1!$C:$C,$A272,Sheet1!$A:$A,I$2)&lt;&gt;0,SUMIFS(Sheet1!$E:$E,Sheet1!$C:$C,$A272,Sheet1!$A:$A,I$2),"")</f>
        <v/>
      </c>
      <c r="J272" s="9" t="str">
        <f>IF(SUMIFS(Sheet1!$E:$E,Sheet1!$C:$C,$A272,Sheet1!$A:$A,J$2)&lt;&gt;0,SUMIFS(Sheet1!$E:$E,Sheet1!$C:$C,$A272,Sheet1!$A:$A,J$2),"")</f>
        <v/>
      </c>
      <c r="K272" s="9" t="str">
        <f>IF(SUMIFS(Sheet1!$E:$E,Sheet1!$C:$C,$A272,Sheet1!$A:$A,K$2)&lt;&gt;0,SUMIFS(Sheet1!$E:$E,Sheet1!$C:$C,$A272,Sheet1!$A:$A,K$2),"")</f>
        <v/>
      </c>
      <c r="L272" s="9" t="str">
        <f>IF(SUMIFS(Sheet1!$E:$E,Sheet1!$C:$C,$A272,Sheet1!$A:$A,L$2)&lt;&gt;0,SUMIFS(Sheet1!$E:$E,Sheet1!$C:$C,$A272,Sheet1!$A:$A,L$2),"")</f>
        <v/>
      </c>
      <c r="M272" s="9" t="str">
        <f>IF(SUMIFS(Sheet1!$E:$E,Sheet1!$C:$C,$A272,Sheet1!$A:$A,M$2)&lt;&gt;0,SUMIFS(Sheet1!$E:$E,Sheet1!$C:$C,$A272,Sheet1!$A:$A,M$2),"")</f>
        <v/>
      </c>
      <c r="N272" s="9" t="str">
        <f>IF(SUMIFS(Sheet1!$E:$E,Sheet1!$C:$C,$A272,Sheet1!$A:$A,N$2)&lt;&gt;0,SUMIFS(Sheet1!$E:$E,Sheet1!$C:$C,$A272,Sheet1!$A:$A,N$2),"")</f>
        <v/>
      </c>
      <c r="O272" s="9" t="str">
        <f>IF(SUMIFS(Sheet1!$E:$E,Sheet1!$C:$C,$A272,Sheet1!$A:$A,O$2)&lt;&gt;0,SUMIFS(Sheet1!$E:$E,Sheet1!$C:$C,$A272,Sheet1!$A:$A,O$2),"")</f>
        <v/>
      </c>
      <c r="P272" s="9" t="str">
        <f>IF(SUMIFS(Sheet1!$E:$E,Sheet1!$C:$C,$A272,Sheet1!$A:$A,P$2)&lt;&gt;0,SUMIFS(Sheet1!$E:$E,Sheet1!$C:$C,$A272,Sheet1!$A:$A,P$2),"")</f>
        <v/>
      </c>
      <c r="Q272" s="9" t="str">
        <f>IF(SUMIFS(Sheet1!$E:$E,Sheet1!$C:$C,$A272,Sheet1!$A:$A,Q$2)&lt;&gt;0,SUMIFS(Sheet1!$E:$E,Sheet1!$C:$C,$A272,Sheet1!$A:$A,Q$2),"")</f>
        <v/>
      </c>
      <c r="R272" s="9" t="str">
        <f>IF(SUMIFS(Sheet1!$E:$E,Sheet1!$C:$C,$A272,Sheet1!$A:$A,R$2)&lt;&gt;0,SUMIFS(Sheet1!$E:$E,Sheet1!$C:$C,$A272,Sheet1!$A:$A,R$2),"")</f>
        <v/>
      </c>
      <c r="S272" s="9" t="str">
        <f>IF(SUMIFS(Sheet1!$E:$E,Sheet1!$C:$C,$A272,Sheet1!$A:$A,S$2)&lt;&gt;0,SUMIFS(Sheet1!$E:$E,Sheet1!$C:$C,$A272,Sheet1!$A:$A,S$2),"")</f>
        <v/>
      </c>
      <c r="T272" s="9" t="str">
        <f>IF(SUMIFS(Sheet1!$E:$E,Sheet1!$C:$C,$A272,Sheet1!$A:$A,T$2)&lt;&gt;0,SUMIFS(Sheet1!$E:$E,Sheet1!$C:$C,$A272,Sheet1!$A:$A,T$2),"")</f>
        <v/>
      </c>
      <c r="U272" s="9" t="str">
        <f>IF(SUMIFS(Sheet1!$E:$E,Sheet1!$C:$C,$A272,Sheet1!$A:$A,U$2)&lt;&gt;0,SUMIFS(Sheet1!$E:$E,Sheet1!$C:$C,$A272,Sheet1!$A:$A,U$2),"")</f>
        <v/>
      </c>
      <c r="V272" s="9" t="str">
        <f>IF(SUMIFS(Sheet1!$E:$E,Sheet1!$C:$C,$A272,Sheet1!$A:$A,V$2)&lt;&gt;0,SUMIFS(Sheet1!$E:$E,Sheet1!$C:$C,$A272,Sheet1!$A:$A,V$2),"")</f>
        <v/>
      </c>
      <c r="W272" s="9" t="str">
        <f>IF(SUMIFS(Sheet1!$E:$E,Sheet1!$C:$C,$A272,Sheet1!$A:$A,W$2)&lt;&gt;0,SUMIFS(Sheet1!$E:$E,Sheet1!$C:$C,$A272,Sheet1!$A:$A,W$2),"")</f>
        <v/>
      </c>
      <c r="X272" s="9" t="str">
        <f>IF(SUMIFS(Sheet1!$E:$E,Sheet1!$C:$C,$A272,Sheet1!$A:$A,X$2)&lt;&gt;0,SUMIFS(Sheet1!$E:$E,Sheet1!$C:$C,$A272,Sheet1!$A:$A,X$2),"")</f>
        <v/>
      </c>
      <c r="Y272" s="9" t="str">
        <f>IF(SUMIFS(Sheet1!$E:$E,Sheet1!$C:$C,$A272,Sheet1!$A:$A,Y$2)&lt;&gt;0,SUMIFS(Sheet1!$E:$E,Sheet1!$C:$C,$A272,Sheet1!$A:$A,Y$2),"")</f>
        <v/>
      </c>
      <c r="Z272" s="9" t="str">
        <f>IF(SUMIFS(Sheet1!$E:$E,Sheet1!$C:$C,$A272,Sheet1!$A:$A,Z$2)&lt;&gt;0,SUMIFS(Sheet1!$E:$E,Sheet1!$C:$C,$A272,Sheet1!$A:$A,Z$2),"")</f>
        <v/>
      </c>
      <c r="AA272" s="9" t="str">
        <f>IF(SUMIFS(Sheet1!$E:$E,Sheet1!$C:$C,$A272,Sheet1!$A:$A,AA$2)&lt;&gt;0,SUMIFS(Sheet1!$E:$E,Sheet1!$C:$C,$A272,Sheet1!$A:$A,AA$2),"")</f>
        <v/>
      </c>
      <c r="AB272" s="9" t="str">
        <f>IF(SUMIFS(Sheet1!$E:$E,Sheet1!$C:$C,$A272,Sheet1!$A:$A,AB$2)&lt;&gt;0,SUMIFS(Sheet1!$E:$E,Sheet1!$C:$C,$A272,Sheet1!$A:$A,AB$2),"")</f>
        <v/>
      </c>
      <c r="AC272" s="9" t="str">
        <f>IF(SUMIFS(Sheet1!$E:$E,Sheet1!$C:$C,$A272,Sheet1!$A:$A,AC$2)&lt;&gt;0,SUMIFS(Sheet1!$E:$E,Sheet1!$C:$C,$A272,Sheet1!$A:$A,AC$2),"")</f>
        <v/>
      </c>
      <c r="AD272" s="9" t="str">
        <f>IF(SUMIFS(Sheet1!$E:$E,Sheet1!$C:$C,$A272,Sheet1!$A:$A,AD$2)&lt;&gt;0,SUMIFS(Sheet1!$E:$E,Sheet1!$C:$C,$A272,Sheet1!$A:$A,AD$2),"")</f>
        <v/>
      </c>
      <c r="AE272" s="9" t="str">
        <f>IF(SUMIFS(Sheet1!$E:$E,Sheet1!$C:$C,$A272,Sheet1!$A:$A,AE$2)&lt;&gt;0,SUMIFS(Sheet1!$E:$E,Sheet1!$C:$C,$A272,Sheet1!$A:$A,AE$2),"")</f>
        <v/>
      </c>
      <c r="AF272" s="9" t="str">
        <f>IF(SUMIFS(Sheet1!$E:$E,Sheet1!$C:$C,$A272,Sheet1!$A:$A,AF$2)&lt;&gt;0,SUMIFS(Sheet1!$E:$E,Sheet1!$C:$C,$A272,Sheet1!$A:$A,AF$2),"")</f>
        <v/>
      </c>
      <c r="AG272" s="9" t="str">
        <f>IF(SUMIFS(Sheet1!$E:$E,Sheet1!$C:$C,$A272,Sheet1!$A:$A,AG$2)&lt;&gt;0,SUMIFS(Sheet1!$E:$E,Sheet1!$C:$C,$A272,Sheet1!$A:$A,AG$2),"")</f>
        <v/>
      </c>
      <c r="AH272" s="47">
        <f>SUM(Table24[[#This Row],[1]:[31]])</f>
        <v>0</v>
      </c>
    </row>
    <row r="273" spans="1:34" ht="12.75" customHeight="1">
      <c r="A273" s="24" t="str">
        <f>DSSP!A272</f>
        <v>CB09</v>
      </c>
      <c r="B273" s="25" t="str">
        <f>DSSP!B272</f>
        <v>Vải nỉ HQ advanced</v>
      </c>
      <c r="C273" s="9" t="str">
        <f>IF(SUMIFS(Sheet1!$E:$E,Sheet1!$C:$C,$A273,Sheet1!$A:$A,C$2)&lt;&gt;0,SUMIFS(Sheet1!$E:$E,Sheet1!$C:$C,$A273,Sheet1!$A:$A,C$2),"")</f>
        <v/>
      </c>
      <c r="D273" s="9" t="str">
        <f>IF(SUMIFS(Sheet1!$E:$E,Sheet1!$C:$C,$A273,Sheet1!$A:$A,D$2)&lt;&gt;0,SUMIFS(Sheet1!$E:$E,Sheet1!$C:$C,$A273,Sheet1!$A:$A,D$2),"")</f>
        <v/>
      </c>
      <c r="E273" s="9" t="str">
        <f>IF(SUMIFS(Sheet1!$E:$E,Sheet1!$C:$C,$A273,Sheet1!$A:$A,E$2)&lt;&gt;0,SUMIFS(Sheet1!$E:$E,Sheet1!$C:$C,$A273,Sheet1!$A:$A,E$2),"")</f>
        <v/>
      </c>
      <c r="F273" s="9" t="str">
        <f>IF(SUMIFS(Sheet1!$E:$E,Sheet1!$C:$C,$A273,Sheet1!$A:$A,F$2)&lt;&gt;0,SUMIFS(Sheet1!$E:$E,Sheet1!$C:$C,$A273,Sheet1!$A:$A,F$2),"")</f>
        <v/>
      </c>
      <c r="G273" s="9" t="str">
        <f>IF(SUMIFS(Sheet1!$E:$E,Sheet1!$C:$C,$A273,Sheet1!$A:$A,G$2)&lt;&gt;0,SUMIFS(Sheet1!$E:$E,Sheet1!$C:$C,$A273,Sheet1!$A:$A,G$2),"")</f>
        <v/>
      </c>
      <c r="H273" s="9" t="str">
        <f>IF(SUMIFS(Sheet1!$E:$E,Sheet1!$C:$C,$A273,Sheet1!$A:$A,H$2)&lt;&gt;0,SUMIFS(Sheet1!$E:$E,Sheet1!$C:$C,$A273,Sheet1!$A:$A,H$2),"")</f>
        <v/>
      </c>
      <c r="I273" s="9" t="str">
        <f>IF(SUMIFS(Sheet1!$E:$E,Sheet1!$C:$C,$A273,Sheet1!$A:$A,I$2)&lt;&gt;0,SUMIFS(Sheet1!$E:$E,Sheet1!$C:$C,$A273,Sheet1!$A:$A,I$2),"")</f>
        <v/>
      </c>
      <c r="J273" s="9" t="str">
        <f>IF(SUMIFS(Sheet1!$E:$E,Sheet1!$C:$C,$A273,Sheet1!$A:$A,J$2)&lt;&gt;0,SUMIFS(Sheet1!$E:$E,Sheet1!$C:$C,$A273,Sheet1!$A:$A,J$2),"")</f>
        <v/>
      </c>
      <c r="K273" s="9" t="str">
        <f>IF(SUMIFS(Sheet1!$E:$E,Sheet1!$C:$C,$A273,Sheet1!$A:$A,K$2)&lt;&gt;0,SUMIFS(Sheet1!$E:$E,Sheet1!$C:$C,$A273,Sheet1!$A:$A,K$2),"")</f>
        <v/>
      </c>
      <c r="L273" s="9" t="str">
        <f>IF(SUMIFS(Sheet1!$E:$E,Sheet1!$C:$C,$A273,Sheet1!$A:$A,L$2)&lt;&gt;0,SUMIFS(Sheet1!$E:$E,Sheet1!$C:$C,$A273,Sheet1!$A:$A,L$2),"")</f>
        <v/>
      </c>
      <c r="M273" s="9" t="str">
        <f>IF(SUMIFS(Sheet1!$E:$E,Sheet1!$C:$C,$A273,Sheet1!$A:$A,M$2)&lt;&gt;0,SUMIFS(Sheet1!$E:$E,Sheet1!$C:$C,$A273,Sheet1!$A:$A,M$2),"")</f>
        <v/>
      </c>
      <c r="N273" s="9" t="str">
        <f>IF(SUMIFS(Sheet1!$E:$E,Sheet1!$C:$C,$A273,Sheet1!$A:$A,N$2)&lt;&gt;0,SUMIFS(Sheet1!$E:$E,Sheet1!$C:$C,$A273,Sheet1!$A:$A,N$2),"")</f>
        <v/>
      </c>
      <c r="O273" s="9" t="str">
        <f>IF(SUMIFS(Sheet1!$E:$E,Sheet1!$C:$C,$A273,Sheet1!$A:$A,O$2)&lt;&gt;0,SUMIFS(Sheet1!$E:$E,Sheet1!$C:$C,$A273,Sheet1!$A:$A,O$2),"")</f>
        <v/>
      </c>
      <c r="P273" s="9" t="str">
        <f>IF(SUMIFS(Sheet1!$E:$E,Sheet1!$C:$C,$A273,Sheet1!$A:$A,P$2)&lt;&gt;0,SUMIFS(Sheet1!$E:$E,Sheet1!$C:$C,$A273,Sheet1!$A:$A,P$2),"")</f>
        <v/>
      </c>
      <c r="Q273" s="9" t="str">
        <f>IF(SUMIFS(Sheet1!$E:$E,Sheet1!$C:$C,$A273,Sheet1!$A:$A,Q$2)&lt;&gt;0,SUMIFS(Sheet1!$E:$E,Sheet1!$C:$C,$A273,Sheet1!$A:$A,Q$2),"")</f>
        <v/>
      </c>
      <c r="R273" s="9" t="str">
        <f>IF(SUMIFS(Sheet1!$E:$E,Sheet1!$C:$C,$A273,Sheet1!$A:$A,R$2)&lt;&gt;0,SUMIFS(Sheet1!$E:$E,Sheet1!$C:$C,$A273,Sheet1!$A:$A,R$2),"")</f>
        <v/>
      </c>
      <c r="S273" s="9" t="str">
        <f>IF(SUMIFS(Sheet1!$E:$E,Sheet1!$C:$C,$A273,Sheet1!$A:$A,S$2)&lt;&gt;0,SUMIFS(Sheet1!$E:$E,Sheet1!$C:$C,$A273,Sheet1!$A:$A,S$2),"")</f>
        <v/>
      </c>
      <c r="T273" s="9" t="str">
        <f>IF(SUMIFS(Sheet1!$E:$E,Sheet1!$C:$C,$A273,Sheet1!$A:$A,T$2)&lt;&gt;0,SUMIFS(Sheet1!$E:$E,Sheet1!$C:$C,$A273,Sheet1!$A:$A,T$2),"")</f>
        <v/>
      </c>
      <c r="U273" s="9" t="str">
        <f>IF(SUMIFS(Sheet1!$E:$E,Sheet1!$C:$C,$A273,Sheet1!$A:$A,U$2)&lt;&gt;0,SUMIFS(Sheet1!$E:$E,Sheet1!$C:$C,$A273,Sheet1!$A:$A,U$2),"")</f>
        <v/>
      </c>
      <c r="V273" s="9" t="str">
        <f>IF(SUMIFS(Sheet1!$E:$E,Sheet1!$C:$C,$A273,Sheet1!$A:$A,V$2)&lt;&gt;0,SUMIFS(Sheet1!$E:$E,Sheet1!$C:$C,$A273,Sheet1!$A:$A,V$2),"")</f>
        <v/>
      </c>
      <c r="W273" s="9" t="str">
        <f>IF(SUMIFS(Sheet1!$E:$E,Sheet1!$C:$C,$A273,Sheet1!$A:$A,W$2)&lt;&gt;0,SUMIFS(Sheet1!$E:$E,Sheet1!$C:$C,$A273,Sheet1!$A:$A,W$2),"")</f>
        <v/>
      </c>
      <c r="X273" s="9" t="str">
        <f>IF(SUMIFS(Sheet1!$E:$E,Sheet1!$C:$C,$A273,Sheet1!$A:$A,X$2)&lt;&gt;0,SUMIFS(Sheet1!$E:$E,Sheet1!$C:$C,$A273,Sheet1!$A:$A,X$2),"")</f>
        <v/>
      </c>
      <c r="Y273" s="9" t="str">
        <f>IF(SUMIFS(Sheet1!$E:$E,Sheet1!$C:$C,$A273,Sheet1!$A:$A,Y$2)&lt;&gt;0,SUMIFS(Sheet1!$E:$E,Sheet1!$C:$C,$A273,Sheet1!$A:$A,Y$2),"")</f>
        <v/>
      </c>
      <c r="Z273" s="9" t="str">
        <f>IF(SUMIFS(Sheet1!$E:$E,Sheet1!$C:$C,$A273,Sheet1!$A:$A,Z$2)&lt;&gt;0,SUMIFS(Sheet1!$E:$E,Sheet1!$C:$C,$A273,Sheet1!$A:$A,Z$2),"")</f>
        <v/>
      </c>
      <c r="AA273" s="9" t="str">
        <f>IF(SUMIFS(Sheet1!$E:$E,Sheet1!$C:$C,$A273,Sheet1!$A:$A,AA$2)&lt;&gt;0,SUMIFS(Sheet1!$E:$E,Sheet1!$C:$C,$A273,Sheet1!$A:$A,AA$2),"")</f>
        <v/>
      </c>
      <c r="AB273" s="9" t="str">
        <f>IF(SUMIFS(Sheet1!$E:$E,Sheet1!$C:$C,$A273,Sheet1!$A:$A,AB$2)&lt;&gt;0,SUMIFS(Sheet1!$E:$E,Sheet1!$C:$C,$A273,Sheet1!$A:$A,AB$2),"")</f>
        <v/>
      </c>
      <c r="AC273" s="9" t="str">
        <f>IF(SUMIFS(Sheet1!$E:$E,Sheet1!$C:$C,$A273,Sheet1!$A:$A,AC$2)&lt;&gt;0,SUMIFS(Sheet1!$E:$E,Sheet1!$C:$C,$A273,Sheet1!$A:$A,AC$2),"")</f>
        <v/>
      </c>
      <c r="AD273" s="9" t="str">
        <f>IF(SUMIFS(Sheet1!$E:$E,Sheet1!$C:$C,$A273,Sheet1!$A:$A,AD$2)&lt;&gt;0,SUMIFS(Sheet1!$E:$E,Sheet1!$C:$C,$A273,Sheet1!$A:$A,AD$2),"")</f>
        <v/>
      </c>
      <c r="AE273" s="9" t="str">
        <f>IF(SUMIFS(Sheet1!$E:$E,Sheet1!$C:$C,$A273,Sheet1!$A:$A,AE$2)&lt;&gt;0,SUMIFS(Sheet1!$E:$E,Sheet1!$C:$C,$A273,Sheet1!$A:$A,AE$2),"")</f>
        <v/>
      </c>
      <c r="AF273" s="9" t="str">
        <f>IF(SUMIFS(Sheet1!$E:$E,Sheet1!$C:$C,$A273,Sheet1!$A:$A,AF$2)&lt;&gt;0,SUMIFS(Sheet1!$E:$E,Sheet1!$C:$C,$A273,Sheet1!$A:$A,AF$2),"")</f>
        <v/>
      </c>
      <c r="AG273" s="9" t="str">
        <f>IF(SUMIFS(Sheet1!$E:$E,Sheet1!$C:$C,$A273,Sheet1!$A:$A,AG$2)&lt;&gt;0,SUMIFS(Sheet1!$E:$E,Sheet1!$C:$C,$A273,Sheet1!$A:$A,AG$2),"")</f>
        <v/>
      </c>
      <c r="AH273" s="47">
        <f>SUM(Table24[[#This Row],[1]:[31]])</f>
        <v>0</v>
      </c>
    </row>
    <row r="274" spans="1:34" ht="12.75" customHeight="1">
      <c r="A274" s="24" t="str">
        <f>DSSP!A273</f>
        <v>CB10</v>
      </c>
      <c r="B274" s="25" t="str">
        <f>DSSP!B273</f>
        <v>Mặt giả cổ hoàng đạo</v>
      </c>
      <c r="C274" s="9" t="str">
        <f>IF(SUMIFS(Sheet1!$E:$E,Sheet1!$C:$C,$A274,Sheet1!$A:$A,C$2)&lt;&gt;0,SUMIFS(Sheet1!$E:$E,Sheet1!$C:$C,$A274,Sheet1!$A:$A,C$2),"")</f>
        <v/>
      </c>
      <c r="D274" s="9" t="str">
        <f>IF(SUMIFS(Sheet1!$E:$E,Sheet1!$C:$C,$A274,Sheet1!$A:$A,D$2)&lt;&gt;0,SUMIFS(Sheet1!$E:$E,Sheet1!$C:$C,$A274,Sheet1!$A:$A,D$2),"")</f>
        <v/>
      </c>
      <c r="E274" s="9" t="str">
        <f>IF(SUMIFS(Sheet1!$E:$E,Sheet1!$C:$C,$A274,Sheet1!$A:$A,E$2)&lt;&gt;0,SUMIFS(Sheet1!$E:$E,Sheet1!$C:$C,$A274,Sheet1!$A:$A,E$2),"")</f>
        <v/>
      </c>
      <c r="F274" s="9" t="str">
        <f>IF(SUMIFS(Sheet1!$E:$E,Sheet1!$C:$C,$A274,Sheet1!$A:$A,F$2)&lt;&gt;0,SUMIFS(Sheet1!$E:$E,Sheet1!$C:$C,$A274,Sheet1!$A:$A,F$2),"")</f>
        <v/>
      </c>
      <c r="G274" s="9" t="str">
        <f>IF(SUMIFS(Sheet1!$E:$E,Sheet1!$C:$C,$A274,Sheet1!$A:$A,G$2)&lt;&gt;0,SUMIFS(Sheet1!$E:$E,Sheet1!$C:$C,$A274,Sheet1!$A:$A,G$2),"")</f>
        <v/>
      </c>
      <c r="H274" s="9" t="str">
        <f>IF(SUMIFS(Sheet1!$E:$E,Sheet1!$C:$C,$A274,Sheet1!$A:$A,H$2)&lt;&gt;0,SUMIFS(Sheet1!$E:$E,Sheet1!$C:$C,$A274,Sheet1!$A:$A,H$2),"")</f>
        <v/>
      </c>
      <c r="I274" s="9" t="str">
        <f>IF(SUMIFS(Sheet1!$E:$E,Sheet1!$C:$C,$A274,Sheet1!$A:$A,I$2)&lt;&gt;0,SUMIFS(Sheet1!$E:$E,Sheet1!$C:$C,$A274,Sheet1!$A:$A,I$2),"")</f>
        <v/>
      </c>
      <c r="J274" s="9" t="str">
        <f>IF(SUMIFS(Sheet1!$E:$E,Sheet1!$C:$C,$A274,Sheet1!$A:$A,J$2)&lt;&gt;0,SUMIFS(Sheet1!$E:$E,Sheet1!$C:$C,$A274,Sheet1!$A:$A,J$2),"")</f>
        <v/>
      </c>
      <c r="K274" s="9" t="str">
        <f>IF(SUMIFS(Sheet1!$E:$E,Sheet1!$C:$C,$A274,Sheet1!$A:$A,K$2)&lt;&gt;0,SUMIFS(Sheet1!$E:$E,Sheet1!$C:$C,$A274,Sheet1!$A:$A,K$2),"")</f>
        <v/>
      </c>
      <c r="L274" s="9" t="str">
        <f>IF(SUMIFS(Sheet1!$E:$E,Sheet1!$C:$C,$A274,Sheet1!$A:$A,L$2)&lt;&gt;0,SUMIFS(Sheet1!$E:$E,Sheet1!$C:$C,$A274,Sheet1!$A:$A,L$2),"")</f>
        <v/>
      </c>
      <c r="M274" s="9" t="str">
        <f>IF(SUMIFS(Sheet1!$E:$E,Sheet1!$C:$C,$A274,Sheet1!$A:$A,M$2)&lt;&gt;0,SUMIFS(Sheet1!$E:$E,Sheet1!$C:$C,$A274,Sheet1!$A:$A,M$2),"")</f>
        <v/>
      </c>
      <c r="N274" s="9" t="str">
        <f>IF(SUMIFS(Sheet1!$E:$E,Sheet1!$C:$C,$A274,Sheet1!$A:$A,N$2)&lt;&gt;0,SUMIFS(Sheet1!$E:$E,Sheet1!$C:$C,$A274,Sheet1!$A:$A,N$2),"")</f>
        <v/>
      </c>
      <c r="O274" s="9" t="str">
        <f>IF(SUMIFS(Sheet1!$E:$E,Sheet1!$C:$C,$A274,Sheet1!$A:$A,O$2)&lt;&gt;0,SUMIFS(Sheet1!$E:$E,Sheet1!$C:$C,$A274,Sheet1!$A:$A,O$2),"")</f>
        <v/>
      </c>
      <c r="P274" s="9" t="str">
        <f>IF(SUMIFS(Sheet1!$E:$E,Sheet1!$C:$C,$A274,Sheet1!$A:$A,P$2)&lt;&gt;0,SUMIFS(Sheet1!$E:$E,Sheet1!$C:$C,$A274,Sheet1!$A:$A,P$2),"")</f>
        <v/>
      </c>
      <c r="Q274" s="9" t="str">
        <f>IF(SUMIFS(Sheet1!$E:$E,Sheet1!$C:$C,$A274,Sheet1!$A:$A,Q$2)&lt;&gt;0,SUMIFS(Sheet1!$E:$E,Sheet1!$C:$C,$A274,Sheet1!$A:$A,Q$2),"")</f>
        <v/>
      </c>
      <c r="R274" s="9" t="str">
        <f>IF(SUMIFS(Sheet1!$E:$E,Sheet1!$C:$C,$A274,Sheet1!$A:$A,R$2)&lt;&gt;0,SUMIFS(Sheet1!$E:$E,Sheet1!$C:$C,$A274,Sheet1!$A:$A,R$2),"")</f>
        <v/>
      </c>
      <c r="S274" s="9" t="str">
        <f>IF(SUMIFS(Sheet1!$E:$E,Sheet1!$C:$C,$A274,Sheet1!$A:$A,S$2)&lt;&gt;0,SUMIFS(Sheet1!$E:$E,Sheet1!$C:$C,$A274,Sheet1!$A:$A,S$2),"")</f>
        <v/>
      </c>
      <c r="T274" s="9" t="str">
        <f>IF(SUMIFS(Sheet1!$E:$E,Sheet1!$C:$C,$A274,Sheet1!$A:$A,T$2)&lt;&gt;0,SUMIFS(Sheet1!$E:$E,Sheet1!$C:$C,$A274,Sheet1!$A:$A,T$2),"")</f>
        <v/>
      </c>
      <c r="U274" s="9" t="str">
        <f>IF(SUMIFS(Sheet1!$E:$E,Sheet1!$C:$C,$A274,Sheet1!$A:$A,U$2)&lt;&gt;0,SUMIFS(Sheet1!$E:$E,Sheet1!$C:$C,$A274,Sheet1!$A:$A,U$2),"")</f>
        <v/>
      </c>
      <c r="V274" s="9" t="str">
        <f>IF(SUMIFS(Sheet1!$E:$E,Sheet1!$C:$C,$A274,Sheet1!$A:$A,V$2)&lt;&gt;0,SUMIFS(Sheet1!$E:$E,Sheet1!$C:$C,$A274,Sheet1!$A:$A,V$2),"")</f>
        <v/>
      </c>
      <c r="W274" s="9" t="str">
        <f>IF(SUMIFS(Sheet1!$E:$E,Sheet1!$C:$C,$A274,Sheet1!$A:$A,W$2)&lt;&gt;0,SUMIFS(Sheet1!$E:$E,Sheet1!$C:$C,$A274,Sheet1!$A:$A,W$2),"")</f>
        <v/>
      </c>
      <c r="X274" s="9" t="str">
        <f>IF(SUMIFS(Sheet1!$E:$E,Sheet1!$C:$C,$A274,Sheet1!$A:$A,X$2)&lt;&gt;0,SUMIFS(Sheet1!$E:$E,Sheet1!$C:$C,$A274,Sheet1!$A:$A,X$2),"")</f>
        <v/>
      </c>
      <c r="Y274" s="9" t="str">
        <f>IF(SUMIFS(Sheet1!$E:$E,Sheet1!$C:$C,$A274,Sheet1!$A:$A,Y$2)&lt;&gt;0,SUMIFS(Sheet1!$E:$E,Sheet1!$C:$C,$A274,Sheet1!$A:$A,Y$2),"")</f>
        <v/>
      </c>
      <c r="Z274" s="9" t="str">
        <f>IF(SUMIFS(Sheet1!$E:$E,Sheet1!$C:$C,$A274,Sheet1!$A:$A,Z$2)&lt;&gt;0,SUMIFS(Sheet1!$E:$E,Sheet1!$C:$C,$A274,Sheet1!$A:$A,Z$2),"")</f>
        <v/>
      </c>
      <c r="AA274" s="9" t="str">
        <f>IF(SUMIFS(Sheet1!$E:$E,Sheet1!$C:$C,$A274,Sheet1!$A:$A,AA$2)&lt;&gt;0,SUMIFS(Sheet1!$E:$E,Sheet1!$C:$C,$A274,Sheet1!$A:$A,AA$2),"")</f>
        <v/>
      </c>
      <c r="AB274" s="9" t="str">
        <f>IF(SUMIFS(Sheet1!$E:$E,Sheet1!$C:$C,$A274,Sheet1!$A:$A,AB$2)&lt;&gt;0,SUMIFS(Sheet1!$E:$E,Sheet1!$C:$C,$A274,Sheet1!$A:$A,AB$2),"")</f>
        <v/>
      </c>
      <c r="AC274" s="9" t="str">
        <f>IF(SUMIFS(Sheet1!$E:$E,Sheet1!$C:$C,$A274,Sheet1!$A:$A,AC$2)&lt;&gt;0,SUMIFS(Sheet1!$E:$E,Sheet1!$C:$C,$A274,Sheet1!$A:$A,AC$2),"")</f>
        <v/>
      </c>
      <c r="AD274" s="9" t="str">
        <f>IF(SUMIFS(Sheet1!$E:$E,Sheet1!$C:$C,$A274,Sheet1!$A:$A,AD$2)&lt;&gt;0,SUMIFS(Sheet1!$E:$E,Sheet1!$C:$C,$A274,Sheet1!$A:$A,AD$2),"")</f>
        <v/>
      </c>
      <c r="AE274" s="9" t="str">
        <f>IF(SUMIFS(Sheet1!$E:$E,Sheet1!$C:$C,$A274,Sheet1!$A:$A,AE$2)&lt;&gt;0,SUMIFS(Sheet1!$E:$E,Sheet1!$C:$C,$A274,Sheet1!$A:$A,AE$2),"")</f>
        <v/>
      </c>
      <c r="AF274" s="9" t="str">
        <f>IF(SUMIFS(Sheet1!$E:$E,Sheet1!$C:$C,$A274,Sheet1!$A:$A,AF$2)&lt;&gt;0,SUMIFS(Sheet1!$E:$E,Sheet1!$C:$C,$A274,Sheet1!$A:$A,AF$2),"")</f>
        <v/>
      </c>
      <c r="AG274" s="9" t="str">
        <f>IF(SUMIFS(Sheet1!$E:$E,Sheet1!$C:$C,$A274,Sheet1!$A:$A,AG$2)&lt;&gt;0,SUMIFS(Sheet1!$E:$E,Sheet1!$C:$C,$A274,Sheet1!$A:$A,AG$2),"")</f>
        <v/>
      </c>
      <c r="AH274" s="47">
        <f>SUM(Table24[[#This Row],[1]:[31]])</f>
        <v>0</v>
      </c>
    </row>
    <row r="275" spans="1:34" ht="12.75" customHeight="1">
      <c r="A275" s="24" t="str">
        <f>DSSP!A274</f>
        <v>CB11</v>
      </c>
      <c r="B275" s="25" t="str">
        <f>DSSP!B274</f>
        <v>Mặt giả cổ chữ</v>
      </c>
      <c r="C275" s="9" t="str">
        <f>IF(SUMIFS(Sheet1!$E:$E,Sheet1!$C:$C,$A275,Sheet1!$A:$A,C$2)&lt;&gt;0,SUMIFS(Sheet1!$E:$E,Sheet1!$C:$C,$A275,Sheet1!$A:$A,C$2),"")</f>
        <v/>
      </c>
      <c r="D275" s="9" t="str">
        <f>IF(SUMIFS(Sheet1!$E:$E,Sheet1!$C:$C,$A275,Sheet1!$A:$A,D$2)&lt;&gt;0,SUMIFS(Sheet1!$E:$E,Sheet1!$C:$C,$A275,Sheet1!$A:$A,D$2),"")</f>
        <v/>
      </c>
      <c r="E275" s="9" t="str">
        <f>IF(SUMIFS(Sheet1!$E:$E,Sheet1!$C:$C,$A275,Sheet1!$A:$A,E$2)&lt;&gt;0,SUMIFS(Sheet1!$E:$E,Sheet1!$C:$C,$A275,Sheet1!$A:$A,E$2),"")</f>
        <v/>
      </c>
      <c r="F275" s="9" t="str">
        <f>IF(SUMIFS(Sheet1!$E:$E,Sheet1!$C:$C,$A275,Sheet1!$A:$A,F$2)&lt;&gt;0,SUMIFS(Sheet1!$E:$E,Sheet1!$C:$C,$A275,Sheet1!$A:$A,F$2),"")</f>
        <v/>
      </c>
      <c r="G275" s="9" t="str">
        <f>IF(SUMIFS(Sheet1!$E:$E,Sheet1!$C:$C,$A275,Sheet1!$A:$A,G$2)&lt;&gt;0,SUMIFS(Sheet1!$E:$E,Sheet1!$C:$C,$A275,Sheet1!$A:$A,G$2),"")</f>
        <v/>
      </c>
      <c r="H275" s="9" t="str">
        <f>IF(SUMIFS(Sheet1!$E:$E,Sheet1!$C:$C,$A275,Sheet1!$A:$A,H$2)&lt;&gt;0,SUMIFS(Sheet1!$E:$E,Sheet1!$C:$C,$A275,Sheet1!$A:$A,H$2),"")</f>
        <v/>
      </c>
      <c r="I275" s="9" t="str">
        <f>IF(SUMIFS(Sheet1!$E:$E,Sheet1!$C:$C,$A275,Sheet1!$A:$A,I$2)&lt;&gt;0,SUMIFS(Sheet1!$E:$E,Sheet1!$C:$C,$A275,Sheet1!$A:$A,I$2),"")</f>
        <v/>
      </c>
      <c r="J275" s="9" t="str">
        <f>IF(SUMIFS(Sheet1!$E:$E,Sheet1!$C:$C,$A275,Sheet1!$A:$A,J$2)&lt;&gt;0,SUMIFS(Sheet1!$E:$E,Sheet1!$C:$C,$A275,Sheet1!$A:$A,J$2),"")</f>
        <v/>
      </c>
      <c r="K275" s="9" t="str">
        <f>IF(SUMIFS(Sheet1!$E:$E,Sheet1!$C:$C,$A275,Sheet1!$A:$A,K$2)&lt;&gt;0,SUMIFS(Sheet1!$E:$E,Sheet1!$C:$C,$A275,Sheet1!$A:$A,K$2),"")</f>
        <v/>
      </c>
      <c r="L275" s="9" t="str">
        <f>IF(SUMIFS(Sheet1!$E:$E,Sheet1!$C:$C,$A275,Sheet1!$A:$A,L$2)&lt;&gt;0,SUMIFS(Sheet1!$E:$E,Sheet1!$C:$C,$A275,Sheet1!$A:$A,L$2),"")</f>
        <v/>
      </c>
      <c r="M275" s="9" t="str">
        <f>IF(SUMIFS(Sheet1!$E:$E,Sheet1!$C:$C,$A275,Sheet1!$A:$A,M$2)&lt;&gt;0,SUMIFS(Sheet1!$E:$E,Sheet1!$C:$C,$A275,Sheet1!$A:$A,M$2),"")</f>
        <v/>
      </c>
      <c r="N275" s="9" t="str">
        <f>IF(SUMIFS(Sheet1!$E:$E,Sheet1!$C:$C,$A275,Sheet1!$A:$A,N$2)&lt;&gt;0,SUMIFS(Sheet1!$E:$E,Sheet1!$C:$C,$A275,Sheet1!$A:$A,N$2),"")</f>
        <v/>
      </c>
      <c r="O275" s="9" t="str">
        <f>IF(SUMIFS(Sheet1!$E:$E,Sheet1!$C:$C,$A275,Sheet1!$A:$A,O$2)&lt;&gt;0,SUMIFS(Sheet1!$E:$E,Sheet1!$C:$C,$A275,Sheet1!$A:$A,O$2),"")</f>
        <v/>
      </c>
      <c r="P275" s="9" t="str">
        <f>IF(SUMIFS(Sheet1!$E:$E,Sheet1!$C:$C,$A275,Sheet1!$A:$A,P$2)&lt;&gt;0,SUMIFS(Sheet1!$E:$E,Sheet1!$C:$C,$A275,Sheet1!$A:$A,P$2),"")</f>
        <v/>
      </c>
      <c r="Q275" s="9" t="str">
        <f>IF(SUMIFS(Sheet1!$E:$E,Sheet1!$C:$C,$A275,Sheet1!$A:$A,Q$2)&lt;&gt;0,SUMIFS(Sheet1!$E:$E,Sheet1!$C:$C,$A275,Sheet1!$A:$A,Q$2),"")</f>
        <v/>
      </c>
      <c r="R275" s="9" t="str">
        <f>IF(SUMIFS(Sheet1!$E:$E,Sheet1!$C:$C,$A275,Sheet1!$A:$A,R$2)&lt;&gt;0,SUMIFS(Sheet1!$E:$E,Sheet1!$C:$C,$A275,Sheet1!$A:$A,R$2),"")</f>
        <v/>
      </c>
      <c r="S275" s="9" t="str">
        <f>IF(SUMIFS(Sheet1!$E:$E,Sheet1!$C:$C,$A275,Sheet1!$A:$A,S$2)&lt;&gt;0,SUMIFS(Sheet1!$E:$E,Sheet1!$C:$C,$A275,Sheet1!$A:$A,S$2),"")</f>
        <v/>
      </c>
      <c r="T275" s="9" t="str">
        <f>IF(SUMIFS(Sheet1!$E:$E,Sheet1!$C:$C,$A275,Sheet1!$A:$A,T$2)&lt;&gt;0,SUMIFS(Sheet1!$E:$E,Sheet1!$C:$C,$A275,Sheet1!$A:$A,T$2),"")</f>
        <v/>
      </c>
      <c r="U275" s="9" t="str">
        <f>IF(SUMIFS(Sheet1!$E:$E,Sheet1!$C:$C,$A275,Sheet1!$A:$A,U$2)&lt;&gt;0,SUMIFS(Sheet1!$E:$E,Sheet1!$C:$C,$A275,Sheet1!$A:$A,U$2),"")</f>
        <v/>
      </c>
      <c r="V275" s="9" t="str">
        <f>IF(SUMIFS(Sheet1!$E:$E,Sheet1!$C:$C,$A275,Sheet1!$A:$A,V$2)&lt;&gt;0,SUMIFS(Sheet1!$E:$E,Sheet1!$C:$C,$A275,Sheet1!$A:$A,V$2),"")</f>
        <v/>
      </c>
      <c r="W275" s="9" t="str">
        <f>IF(SUMIFS(Sheet1!$E:$E,Sheet1!$C:$C,$A275,Sheet1!$A:$A,W$2)&lt;&gt;0,SUMIFS(Sheet1!$E:$E,Sheet1!$C:$C,$A275,Sheet1!$A:$A,W$2),"")</f>
        <v/>
      </c>
      <c r="X275" s="9" t="str">
        <f>IF(SUMIFS(Sheet1!$E:$E,Sheet1!$C:$C,$A275,Sheet1!$A:$A,X$2)&lt;&gt;0,SUMIFS(Sheet1!$E:$E,Sheet1!$C:$C,$A275,Sheet1!$A:$A,X$2),"")</f>
        <v/>
      </c>
      <c r="Y275" s="9" t="str">
        <f>IF(SUMIFS(Sheet1!$E:$E,Sheet1!$C:$C,$A275,Sheet1!$A:$A,Y$2)&lt;&gt;0,SUMIFS(Sheet1!$E:$E,Sheet1!$C:$C,$A275,Sheet1!$A:$A,Y$2),"")</f>
        <v/>
      </c>
      <c r="Z275" s="9" t="str">
        <f>IF(SUMIFS(Sheet1!$E:$E,Sheet1!$C:$C,$A275,Sheet1!$A:$A,Z$2)&lt;&gt;0,SUMIFS(Sheet1!$E:$E,Sheet1!$C:$C,$A275,Sheet1!$A:$A,Z$2),"")</f>
        <v/>
      </c>
      <c r="AA275" s="9" t="str">
        <f>IF(SUMIFS(Sheet1!$E:$E,Sheet1!$C:$C,$A275,Sheet1!$A:$A,AA$2)&lt;&gt;0,SUMIFS(Sheet1!$E:$E,Sheet1!$C:$C,$A275,Sheet1!$A:$A,AA$2),"")</f>
        <v/>
      </c>
      <c r="AB275" s="9" t="str">
        <f>IF(SUMIFS(Sheet1!$E:$E,Sheet1!$C:$C,$A275,Sheet1!$A:$A,AB$2)&lt;&gt;0,SUMIFS(Sheet1!$E:$E,Sheet1!$C:$C,$A275,Sheet1!$A:$A,AB$2),"")</f>
        <v/>
      </c>
      <c r="AC275" s="9" t="str">
        <f>IF(SUMIFS(Sheet1!$E:$E,Sheet1!$C:$C,$A275,Sheet1!$A:$A,AC$2)&lt;&gt;0,SUMIFS(Sheet1!$E:$E,Sheet1!$C:$C,$A275,Sheet1!$A:$A,AC$2),"")</f>
        <v/>
      </c>
      <c r="AD275" s="9" t="str">
        <f>IF(SUMIFS(Sheet1!$E:$E,Sheet1!$C:$C,$A275,Sheet1!$A:$A,AD$2)&lt;&gt;0,SUMIFS(Sheet1!$E:$E,Sheet1!$C:$C,$A275,Sheet1!$A:$A,AD$2),"")</f>
        <v/>
      </c>
      <c r="AE275" s="9" t="str">
        <f>IF(SUMIFS(Sheet1!$E:$E,Sheet1!$C:$C,$A275,Sheet1!$A:$A,AE$2)&lt;&gt;0,SUMIFS(Sheet1!$E:$E,Sheet1!$C:$C,$A275,Sheet1!$A:$A,AE$2),"")</f>
        <v/>
      </c>
      <c r="AF275" s="9" t="str">
        <f>IF(SUMIFS(Sheet1!$E:$E,Sheet1!$C:$C,$A275,Sheet1!$A:$A,AF$2)&lt;&gt;0,SUMIFS(Sheet1!$E:$E,Sheet1!$C:$C,$A275,Sheet1!$A:$A,AF$2),"")</f>
        <v/>
      </c>
      <c r="AG275" s="9" t="str">
        <f>IF(SUMIFS(Sheet1!$E:$E,Sheet1!$C:$C,$A275,Sheet1!$A:$A,AG$2)&lt;&gt;0,SUMIFS(Sheet1!$E:$E,Sheet1!$C:$C,$A275,Sheet1!$A:$A,AG$2),"")</f>
        <v/>
      </c>
      <c r="AH275" s="47">
        <f>SUM(Table24[[#This Row],[1]:[31]])</f>
        <v>0</v>
      </c>
    </row>
    <row r="276" spans="1:34" ht="12.75" customHeight="1">
      <c r="A276" s="24" t="str">
        <f>DSSP!A275</f>
        <v>CB12</v>
      </c>
      <c r="B276" s="25" t="str">
        <f>DSSP!B275</f>
        <v>Mặt giả cổ số</v>
      </c>
      <c r="C276" s="9" t="str">
        <f>IF(SUMIFS(Sheet1!$E:$E,Sheet1!$C:$C,$A276,Sheet1!$A:$A,C$2)&lt;&gt;0,SUMIFS(Sheet1!$E:$E,Sheet1!$C:$C,$A276,Sheet1!$A:$A,C$2),"")</f>
        <v/>
      </c>
      <c r="D276" s="9" t="str">
        <f>IF(SUMIFS(Sheet1!$E:$E,Sheet1!$C:$C,$A276,Sheet1!$A:$A,D$2)&lt;&gt;0,SUMIFS(Sheet1!$E:$E,Sheet1!$C:$C,$A276,Sheet1!$A:$A,D$2),"")</f>
        <v/>
      </c>
      <c r="E276" s="9" t="str">
        <f>IF(SUMIFS(Sheet1!$E:$E,Sheet1!$C:$C,$A276,Sheet1!$A:$A,E$2)&lt;&gt;0,SUMIFS(Sheet1!$E:$E,Sheet1!$C:$C,$A276,Sheet1!$A:$A,E$2),"")</f>
        <v/>
      </c>
      <c r="F276" s="9" t="str">
        <f>IF(SUMIFS(Sheet1!$E:$E,Sheet1!$C:$C,$A276,Sheet1!$A:$A,F$2)&lt;&gt;0,SUMIFS(Sheet1!$E:$E,Sheet1!$C:$C,$A276,Sheet1!$A:$A,F$2),"")</f>
        <v/>
      </c>
      <c r="G276" s="9" t="str">
        <f>IF(SUMIFS(Sheet1!$E:$E,Sheet1!$C:$C,$A276,Sheet1!$A:$A,G$2)&lt;&gt;0,SUMIFS(Sheet1!$E:$E,Sheet1!$C:$C,$A276,Sheet1!$A:$A,G$2),"")</f>
        <v/>
      </c>
      <c r="H276" s="9" t="str">
        <f>IF(SUMIFS(Sheet1!$E:$E,Sheet1!$C:$C,$A276,Sheet1!$A:$A,H$2)&lt;&gt;0,SUMIFS(Sheet1!$E:$E,Sheet1!$C:$C,$A276,Sheet1!$A:$A,H$2),"")</f>
        <v/>
      </c>
      <c r="I276" s="9" t="str">
        <f>IF(SUMIFS(Sheet1!$E:$E,Sheet1!$C:$C,$A276,Sheet1!$A:$A,I$2)&lt;&gt;0,SUMIFS(Sheet1!$E:$E,Sheet1!$C:$C,$A276,Sheet1!$A:$A,I$2),"")</f>
        <v/>
      </c>
      <c r="J276" s="9" t="str">
        <f>IF(SUMIFS(Sheet1!$E:$E,Sheet1!$C:$C,$A276,Sheet1!$A:$A,J$2)&lt;&gt;0,SUMIFS(Sheet1!$E:$E,Sheet1!$C:$C,$A276,Sheet1!$A:$A,J$2),"")</f>
        <v/>
      </c>
      <c r="K276" s="9" t="str">
        <f>IF(SUMIFS(Sheet1!$E:$E,Sheet1!$C:$C,$A276,Sheet1!$A:$A,K$2)&lt;&gt;0,SUMIFS(Sheet1!$E:$E,Sheet1!$C:$C,$A276,Sheet1!$A:$A,K$2),"")</f>
        <v/>
      </c>
      <c r="L276" s="9" t="str">
        <f>IF(SUMIFS(Sheet1!$E:$E,Sheet1!$C:$C,$A276,Sheet1!$A:$A,L$2)&lt;&gt;0,SUMIFS(Sheet1!$E:$E,Sheet1!$C:$C,$A276,Sheet1!$A:$A,L$2),"")</f>
        <v/>
      </c>
      <c r="M276" s="9" t="str">
        <f>IF(SUMIFS(Sheet1!$E:$E,Sheet1!$C:$C,$A276,Sheet1!$A:$A,M$2)&lt;&gt;0,SUMIFS(Sheet1!$E:$E,Sheet1!$C:$C,$A276,Sheet1!$A:$A,M$2),"")</f>
        <v/>
      </c>
      <c r="N276" s="9" t="str">
        <f>IF(SUMIFS(Sheet1!$E:$E,Sheet1!$C:$C,$A276,Sheet1!$A:$A,N$2)&lt;&gt;0,SUMIFS(Sheet1!$E:$E,Sheet1!$C:$C,$A276,Sheet1!$A:$A,N$2),"")</f>
        <v/>
      </c>
      <c r="O276" s="9" t="str">
        <f>IF(SUMIFS(Sheet1!$E:$E,Sheet1!$C:$C,$A276,Sheet1!$A:$A,O$2)&lt;&gt;0,SUMIFS(Sheet1!$E:$E,Sheet1!$C:$C,$A276,Sheet1!$A:$A,O$2),"")</f>
        <v/>
      </c>
      <c r="P276" s="9" t="str">
        <f>IF(SUMIFS(Sheet1!$E:$E,Sheet1!$C:$C,$A276,Sheet1!$A:$A,P$2)&lt;&gt;0,SUMIFS(Sheet1!$E:$E,Sheet1!$C:$C,$A276,Sheet1!$A:$A,P$2),"")</f>
        <v/>
      </c>
      <c r="Q276" s="9" t="str">
        <f>IF(SUMIFS(Sheet1!$E:$E,Sheet1!$C:$C,$A276,Sheet1!$A:$A,Q$2)&lt;&gt;0,SUMIFS(Sheet1!$E:$E,Sheet1!$C:$C,$A276,Sheet1!$A:$A,Q$2),"")</f>
        <v/>
      </c>
      <c r="R276" s="9" t="str">
        <f>IF(SUMIFS(Sheet1!$E:$E,Sheet1!$C:$C,$A276,Sheet1!$A:$A,R$2)&lt;&gt;0,SUMIFS(Sheet1!$E:$E,Sheet1!$C:$C,$A276,Sheet1!$A:$A,R$2),"")</f>
        <v/>
      </c>
      <c r="S276" s="9" t="str">
        <f>IF(SUMIFS(Sheet1!$E:$E,Sheet1!$C:$C,$A276,Sheet1!$A:$A,S$2)&lt;&gt;0,SUMIFS(Sheet1!$E:$E,Sheet1!$C:$C,$A276,Sheet1!$A:$A,S$2),"")</f>
        <v/>
      </c>
      <c r="T276" s="9" t="str">
        <f>IF(SUMIFS(Sheet1!$E:$E,Sheet1!$C:$C,$A276,Sheet1!$A:$A,T$2)&lt;&gt;0,SUMIFS(Sheet1!$E:$E,Sheet1!$C:$C,$A276,Sheet1!$A:$A,T$2),"")</f>
        <v/>
      </c>
      <c r="U276" s="9" t="str">
        <f>IF(SUMIFS(Sheet1!$E:$E,Sheet1!$C:$C,$A276,Sheet1!$A:$A,U$2)&lt;&gt;0,SUMIFS(Sheet1!$E:$E,Sheet1!$C:$C,$A276,Sheet1!$A:$A,U$2),"")</f>
        <v/>
      </c>
      <c r="V276" s="9" t="str">
        <f>IF(SUMIFS(Sheet1!$E:$E,Sheet1!$C:$C,$A276,Sheet1!$A:$A,V$2)&lt;&gt;0,SUMIFS(Sheet1!$E:$E,Sheet1!$C:$C,$A276,Sheet1!$A:$A,V$2),"")</f>
        <v/>
      </c>
      <c r="W276" s="9" t="str">
        <f>IF(SUMIFS(Sheet1!$E:$E,Sheet1!$C:$C,$A276,Sheet1!$A:$A,W$2)&lt;&gt;0,SUMIFS(Sheet1!$E:$E,Sheet1!$C:$C,$A276,Sheet1!$A:$A,W$2),"")</f>
        <v/>
      </c>
      <c r="X276" s="9" t="str">
        <f>IF(SUMIFS(Sheet1!$E:$E,Sheet1!$C:$C,$A276,Sheet1!$A:$A,X$2)&lt;&gt;0,SUMIFS(Sheet1!$E:$E,Sheet1!$C:$C,$A276,Sheet1!$A:$A,X$2),"")</f>
        <v/>
      </c>
      <c r="Y276" s="9" t="str">
        <f>IF(SUMIFS(Sheet1!$E:$E,Sheet1!$C:$C,$A276,Sheet1!$A:$A,Y$2)&lt;&gt;0,SUMIFS(Sheet1!$E:$E,Sheet1!$C:$C,$A276,Sheet1!$A:$A,Y$2),"")</f>
        <v/>
      </c>
      <c r="Z276" s="9" t="str">
        <f>IF(SUMIFS(Sheet1!$E:$E,Sheet1!$C:$C,$A276,Sheet1!$A:$A,Z$2)&lt;&gt;0,SUMIFS(Sheet1!$E:$E,Sheet1!$C:$C,$A276,Sheet1!$A:$A,Z$2),"")</f>
        <v/>
      </c>
      <c r="AA276" s="9" t="str">
        <f>IF(SUMIFS(Sheet1!$E:$E,Sheet1!$C:$C,$A276,Sheet1!$A:$A,AA$2)&lt;&gt;0,SUMIFS(Sheet1!$E:$E,Sheet1!$C:$C,$A276,Sheet1!$A:$A,AA$2),"")</f>
        <v/>
      </c>
      <c r="AB276" s="9" t="str">
        <f>IF(SUMIFS(Sheet1!$E:$E,Sheet1!$C:$C,$A276,Sheet1!$A:$A,AB$2)&lt;&gt;0,SUMIFS(Sheet1!$E:$E,Sheet1!$C:$C,$A276,Sheet1!$A:$A,AB$2),"")</f>
        <v/>
      </c>
      <c r="AC276" s="9" t="str">
        <f>IF(SUMIFS(Sheet1!$E:$E,Sheet1!$C:$C,$A276,Sheet1!$A:$A,AC$2)&lt;&gt;0,SUMIFS(Sheet1!$E:$E,Sheet1!$C:$C,$A276,Sheet1!$A:$A,AC$2),"")</f>
        <v/>
      </c>
      <c r="AD276" s="9" t="str">
        <f>IF(SUMIFS(Sheet1!$E:$E,Sheet1!$C:$C,$A276,Sheet1!$A:$A,AD$2)&lt;&gt;0,SUMIFS(Sheet1!$E:$E,Sheet1!$C:$C,$A276,Sheet1!$A:$A,AD$2),"")</f>
        <v/>
      </c>
      <c r="AE276" s="9" t="str">
        <f>IF(SUMIFS(Sheet1!$E:$E,Sheet1!$C:$C,$A276,Sheet1!$A:$A,AE$2)&lt;&gt;0,SUMIFS(Sheet1!$E:$E,Sheet1!$C:$C,$A276,Sheet1!$A:$A,AE$2),"")</f>
        <v/>
      </c>
      <c r="AF276" s="9" t="str">
        <f>IF(SUMIFS(Sheet1!$E:$E,Sheet1!$C:$C,$A276,Sheet1!$A:$A,AF$2)&lt;&gt;0,SUMIFS(Sheet1!$E:$E,Sheet1!$C:$C,$A276,Sheet1!$A:$A,AF$2),"")</f>
        <v/>
      </c>
      <c r="AG276" s="9" t="str">
        <f>IF(SUMIFS(Sheet1!$E:$E,Sheet1!$C:$C,$A276,Sheet1!$A:$A,AG$2)&lt;&gt;0,SUMIFS(Sheet1!$E:$E,Sheet1!$C:$C,$A276,Sheet1!$A:$A,AG$2),"")</f>
        <v/>
      </c>
      <c r="AH276" s="47">
        <f>SUM(Table24[[#This Row],[1]:[31]])</f>
        <v>0</v>
      </c>
    </row>
    <row r="277" spans="1:34" ht="12.75" customHeight="1">
      <c r="A277" s="24" t="str">
        <f>DSSP!A276</f>
        <v>TR01</v>
      </c>
      <c r="B277" s="25" t="str">
        <f>DSSP!B276</f>
        <v>Tranh tô màu cỡ đại</v>
      </c>
      <c r="C277" s="9">
        <f>IF(SUMIFS(Sheet1!$E:$E,Sheet1!$C:$C,$A277,Sheet1!$A:$A,C$2)&lt;&gt;0,SUMIFS(Sheet1!$E:$E,Sheet1!$C:$C,$A277,Sheet1!$A:$A,C$2),"")</f>
        <v>6</v>
      </c>
      <c r="D277" s="9" t="str">
        <f>IF(SUMIFS(Sheet1!$E:$E,Sheet1!$C:$C,$A277,Sheet1!$A:$A,D$2)&lt;&gt;0,SUMIFS(Sheet1!$E:$E,Sheet1!$C:$C,$A277,Sheet1!$A:$A,D$2),"")</f>
        <v/>
      </c>
      <c r="E277" s="9" t="str">
        <f>IF(SUMIFS(Sheet1!$E:$E,Sheet1!$C:$C,$A277,Sheet1!$A:$A,E$2)&lt;&gt;0,SUMIFS(Sheet1!$E:$E,Sheet1!$C:$C,$A277,Sheet1!$A:$A,E$2),"")</f>
        <v/>
      </c>
      <c r="F277" s="9" t="str">
        <f>IF(SUMIFS(Sheet1!$E:$E,Sheet1!$C:$C,$A277,Sheet1!$A:$A,F$2)&lt;&gt;0,SUMIFS(Sheet1!$E:$E,Sheet1!$C:$C,$A277,Sheet1!$A:$A,F$2),"")</f>
        <v/>
      </c>
      <c r="G277" s="9" t="str">
        <f>IF(SUMIFS(Sheet1!$E:$E,Sheet1!$C:$C,$A277,Sheet1!$A:$A,G$2)&lt;&gt;0,SUMIFS(Sheet1!$E:$E,Sheet1!$C:$C,$A277,Sheet1!$A:$A,G$2),"")</f>
        <v/>
      </c>
      <c r="H277" s="9" t="str">
        <f>IF(SUMIFS(Sheet1!$E:$E,Sheet1!$C:$C,$A277,Sheet1!$A:$A,H$2)&lt;&gt;0,SUMIFS(Sheet1!$E:$E,Sheet1!$C:$C,$A277,Sheet1!$A:$A,H$2),"")</f>
        <v/>
      </c>
      <c r="I277" s="9" t="str">
        <f>IF(SUMIFS(Sheet1!$E:$E,Sheet1!$C:$C,$A277,Sheet1!$A:$A,I$2)&lt;&gt;0,SUMIFS(Sheet1!$E:$E,Sheet1!$C:$C,$A277,Sheet1!$A:$A,I$2),"")</f>
        <v/>
      </c>
      <c r="J277" s="9" t="str">
        <f>IF(SUMIFS(Sheet1!$E:$E,Sheet1!$C:$C,$A277,Sheet1!$A:$A,J$2)&lt;&gt;0,SUMIFS(Sheet1!$E:$E,Sheet1!$C:$C,$A277,Sheet1!$A:$A,J$2),"")</f>
        <v/>
      </c>
      <c r="K277" s="9" t="str">
        <f>IF(SUMIFS(Sheet1!$E:$E,Sheet1!$C:$C,$A277,Sheet1!$A:$A,K$2)&lt;&gt;0,SUMIFS(Sheet1!$E:$E,Sheet1!$C:$C,$A277,Sheet1!$A:$A,K$2),"")</f>
        <v/>
      </c>
      <c r="L277" s="9" t="str">
        <f>IF(SUMIFS(Sheet1!$E:$E,Sheet1!$C:$C,$A277,Sheet1!$A:$A,L$2)&lt;&gt;0,SUMIFS(Sheet1!$E:$E,Sheet1!$C:$C,$A277,Sheet1!$A:$A,L$2),"")</f>
        <v/>
      </c>
      <c r="M277" s="9" t="str">
        <f>IF(SUMIFS(Sheet1!$E:$E,Sheet1!$C:$C,$A277,Sheet1!$A:$A,M$2)&lt;&gt;0,SUMIFS(Sheet1!$E:$E,Sheet1!$C:$C,$A277,Sheet1!$A:$A,M$2),"")</f>
        <v/>
      </c>
      <c r="N277" s="9" t="str">
        <f>IF(SUMIFS(Sheet1!$E:$E,Sheet1!$C:$C,$A277,Sheet1!$A:$A,N$2)&lt;&gt;0,SUMIFS(Sheet1!$E:$E,Sheet1!$C:$C,$A277,Sheet1!$A:$A,N$2),"")</f>
        <v/>
      </c>
      <c r="O277" s="9" t="str">
        <f>IF(SUMIFS(Sheet1!$E:$E,Sheet1!$C:$C,$A277,Sheet1!$A:$A,O$2)&lt;&gt;0,SUMIFS(Sheet1!$E:$E,Sheet1!$C:$C,$A277,Sheet1!$A:$A,O$2),"")</f>
        <v/>
      </c>
      <c r="P277" s="9" t="str">
        <f>IF(SUMIFS(Sheet1!$E:$E,Sheet1!$C:$C,$A277,Sheet1!$A:$A,P$2)&lt;&gt;0,SUMIFS(Sheet1!$E:$E,Sheet1!$C:$C,$A277,Sheet1!$A:$A,P$2),"")</f>
        <v/>
      </c>
      <c r="Q277" s="9" t="str">
        <f>IF(SUMIFS(Sheet1!$E:$E,Sheet1!$C:$C,$A277,Sheet1!$A:$A,Q$2)&lt;&gt;0,SUMIFS(Sheet1!$E:$E,Sheet1!$C:$C,$A277,Sheet1!$A:$A,Q$2),"")</f>
        <v/>
      </c>
      <c r="R277" s="9" t="str">
        <f>IF(SUMIFS(Sheet1!$E:$E,Sheet1!$C:$C,$A277,Sheet1!$A:$A,R$2)&lt;&gt;0,SUMIFS(Sheet1!$E:$E,Sheet1!$C:$C,$A277,Sheet1!$A:$A,R$2),"")</f>
        <v/>
      </c>
      <c r="S277" s="9" t="str">
        <f>IF(SUMIFS(Sheet1!$E:$E,Sheet1!$C:$C,$A277,Sheet1!$A:$A,S$2)&lt;&gt;0,SUMIFS(Sheet1!$E:$E,Sheet1!$C:$C,$A277,Sheet1!$A:$A,S$2),"")</f>
        <v/>
      </c>
      <c r="T277" s="9" t="str">
        <f>IF(SUMIFS(Sheet1!$E:$E,Sheet1!$C:$C,$A277,Sheet1!$A:$A,T$2)&lt;&gt;0,SUMIFS(Sheet1!$E:$E,Sheet1!$C:$C,$A277,Sheet1!$A:$A,T$2),"")</f>
        <v/>
      </c>
      <c r="U277" s="9" t="str">
        <f>IF(SUMIFS(Sheet1!$E:$E,Sheet1!$C:$C,$A277,Sheet1!$A:$A,U$2)&lt;&gt;0,SUMIFS(Sheet1!$E:$E,Sheet1!$C:$C,$A277,Sheet1!$A:$A,U$2),"")</f>
        <v/>
      </c>
      <c r="V277" s="9" t="str">
        <f>IF(SUMIFS(Sheet1!$E:$E,Sheet1!$C:$C,$A277,Sheet1!$A:$A,V$2)&lt;&gt;0,SUMIFS(Sheet1!$E:$E,Sheet1!$C:$C,$A277,Sheet1!$A:$A,V$2),"")</f>
        <v/>
      </c>
      <c r="W277" s="9" t="str">
        <f>IF(SUMIFS(Sheet1!$E:$E,Sheet1!$C:$C,$A277,Sheet1!$A:$A,W$2)&lt;&gt;0,SUMIFS(Sheet1!$E:$E,Sheet1!$C:$C,$A277,Sheet1!$A:$A,W$2),"")</f>
        <v/>
      </c>
      <c r="X277" s="9" t="str">
        <f>IF(SUMIFS(Sheet1!$E:$E,Sheet1!$C:$C,$A277,Sheet1!$A:$A,X$2)&lt;&gt;0,SUMIFS(Sheet1!$E:$E,Sheet1!$C:$C,$A277,Sheet1!$A:$A,X$2),"")</f>
        <v/>
      </c>
      <c r="Y277" s="9" t="str">
        <f>IF(SUMIFS(Sheet1!$E:$E,Sheet1!$C:$C,$A277,Sheet1!$A:$A,Y$2)&lt;&gt;0,SUMIFS(Sheet1!$E:$E,Sheet1!$C:$C,$A277,Sheet1!$A:$A,Y$2),"")</f>
        <v/>
      </c>
      <c r="Z277" s="9" t="str">
        <f>IF(SUMIFS(Sheet1!$E:$E,Sheet1!$C:$C,$A277,Sheet1!$A:$A,Z$2)&lt;&gt;0,SUMIFS(Sheet1!$E:$E,Sheet1!$C:$C,$A277,Sheet1!$A:$A,Z$2),"")</f>
        <v/>
      </c>
      <c r="AA277" s="9" t="str">
        <f>IF(SUMIFS(Sheet1!$E:$E,Sheet1!$C:$C,$A277,Sheet1!$A:$A,AA$2)&lt;&gt;0,SUMIFS(Sheet1!$E:$E,Sheet1!$C:$C,$A277,Sheet1!$A:$A,AA$2),"")</f>
        <v/>
      </c>
      <c r="AB277" s="9" t="str">
        <f>IF(SUMIFS(Sheet1!$E:$E,Sheet1!$C:$C,$A277,Sheet1!$A:$A,AB$2)&lt;&gt;0,SUMIFS(Sheet1!$E:$E,Sheet1!$C:$C,$A277,Sheet1!$A:$A,AB$2),"")</f>
        <v/>
      </c>
      <c r="AC277" s="9" t="str">
        <f>IF(SUMIFS(Sheet1!$E:$E,Sheet1!$C:$C,$A277,Sheet1!$A:$A,AC$2)&lt;&gt;0,SUMIFS(Sheet1!$E:$E,Sheet1!$C:$C,$A277,Sheet1!$A:$A,AC$2),"")</f>
        <v/>
      </c>
      <c r="AD277" s="9" t="str">
        <f>IF(SUMIFS(Sheet1!$E:$E,Sheet1!$C:$C,$A277,Sheet1!$A:$A,AD$2)&lt;&gt;0,SUMIFS(Sheet1!$E:$E,Sheet1!$C:$C,$A277,Sheet1!$A:$A,AD$2),"")</f>
        <v/>
      </c>
      <c r="AE277" s="9" t="str">
        <f>IF(SUMIFS(Sheet1!$E:$E,Sheet1!$C:$C,$A277,Sheet1!$A:$A,AE$2)&lt;&gt;0,SUMIFS(Sheet1!$E:$E,Sheet1!$C:$C,$A277,Sheet1!$A:$A,AE$2),"")</f>
        <v/>
      </c>
      <c r="AF277" s="9" t="str">
        <f>IF(SUMIFS(Sheet1!$E:$E,Sheet1!$C:$C,$A277,Sheet1!$A:$A,AF$2)&lt;&gt;0,SUMIFS(Sheet1!$E:$E,Sheet1!$C:$C,$A277,Sheet1!$A:$A,AF$2),"")</f>
        <v/>
      </c>
      <c r="AG277" s="9" t="str">
        <f>IF(SUMIFS(Sheet1!$E:$E,Sheet1!$C:$C,$A277,Sheet1!$A:$A,AG$2)&lt;&gt;0,SUMIFS(Sheet1!$E:$E,Sheet1!$C:$C,$A277,Sheet1!$A:$A,AG$2),"")</f>
        <v/>
      </c>
      <c r="AH277" s="47">
        <f>SUM(Table24[[#This Row],[1]:[31]])</f>
        <v>6</v>
      </c>
    </row>
    <row r="278" spans="1:34" ht="12.75" customHeight="1">
      <c r="A278" s="24" t="str">
        <f>DSSP!A277</f>
        <v>TR02</v>
      </c>
      <c r="B278" s="25" t="str">
        <f>DSSP!B277</f>
        <v>Tranh tô màu cỡ nhỏ</v>
      </c>
      <c r="C278" s="9">
        <f>IF(SUMIFS(Sheet1!$E:$E,Sheet1!$C:$C,$A278,Sheet1!$A:$A,C$2)&lt;&gt;0,SUMIFS(Sheet1!$E:$E,Sheet1!$C:$C,$A278,Sheet1!$A:$A,C$2),"")</f>
        <v>3</v>
      </c>
      <c r="D278" s="9" t="str">
        <f>IF(SUMIFS(Sheet1!$E:$E,Sheet1!$C:$C,$A278,Sheet1!$A:$A,D$2)&lt;&gt;0,SUMIFS(Sheet1!$E:$E,Sheet1!$C:$C,$A278,Sheet1!$A:$A,D$2),"")</f>
        <v/>
      </c>
      <c r="E278" s="9" t="str">
        <f>IF(SUMIFS(Sheet1!$E:$E,Sheet1!$C:$C,$A278,Sheet1!$A:$A,E$2)&lt;&gt;0,SUMIFS(Sheet1!$E:$E,Sheet1!$C:$C,$A278,Sheet1!$A:$A,E$2),"")</f>
        <v/>
      </c>
      <c r="F278" s="9" t="str">
        <f>IF(SUMIFS(Sheet1!$E:$E,Sheet1!$C:$C,$A278,Sheet1!$A:$A,F$2)&lt;&gt;0,SUMIFS(Sheet1!$E:$E,Sheet1!$C:$C,$A278,Sheet1!$A:$A,F$2),"")</f>
        <v/>
      </c>
      <c r="G278" s="9" t="str">
        <f>IF(SUMIFS(Sheet1!$E:$E,Sheet1!$C:$C,$A278,Sheet1!$A:$A,G$2)&lt;&gt;0,SUMIFS(Sheet1!$E:$E,Sheet1!$C:$C,$A278,Sheet1!$A:$A,G$2),"")</f>
        <v/>
      </c>
      <c r="H278" s="9" t="str">
        <f>IF(SUMIFS(Sheet1!$E:$E,Sheet1!$C:$C,$A278,Sheet1!$A:$A,H$2)&lt;&gt;0,SUMIFS(Sheet1!$E:$E,Sheet1!$C:$C,$A278,Sheet1!$A:$A,H$2),"")</f>
        <v/>
      </c>
      <c r="I278" s="9" t="str">
        <f>IF(SUMIFS(Sheet1!$E:$E,Sheet1!$C:$C,$A278,Sheet1!$A:$A,I$2)&lt;&gt;0,SUMIFS(Sheet1!$E:$E,Sheet1!$C:$C,$A278,Sheet1!$A:$A,I$2),"")</f>
        <v/>
      </c>
      <c r="J278" s="9" t="str">
        <f>IF(SUMIFS(Sheet1!$E:$E,Sheet1!$C:$C,$A278,Sheet1!$A:$A,J$2)&lt;&gt;0,SUMIFS(Sheet1!$E:$E,Sheet1!$C:$C,$A278,Sheet1!$A:$A,J$2),"")</f>
        <v/>
      </c>
      <c r="K278" s="9" t="str">
        <f>IF(SUMIFS(Sheet1!$E:$E,Sheet1!$C:$C,$A278,Sheet1!$A:$A,K$2)&lt;&gt;0,SUMIFS(Sheet1!$E:$E,Sheet1!$C:$C,$A278,Sheet1!$A:$A,K$2),"")</f>
        <v/>
      </c>
      <c r="L278" s="9" t="str">
        <f>IF(SUMIFS(Sheet1!$E:$E,Sheet1!$C:$C,$A278,Sheet1!$A:$A,L$2)&lt;&gt;0,SUMIFS(Sheet1!$E:$E,Sheet1!$C:$C,$A278,Sheet1!$A:$A,L$2),"")</f>
        <v/>
      </c>
      <c r="M278" s="9" t="str">
        <f>IF(SUMIFS(Sheet1!$E:$E,Sheet1!$C:$C,$A278,Sheet1!$A:$A,M$2)&lt;&gt;0,SUMIFS(Sheet1!$E:$E,Sheet1!$C:$C,$A278,Sheet1!$A:$A,M$2),"")</f>
        <v/>
      </c>
      <c r="N278" s="9" t="str">
        <f>IF(SUMIFS(Sheet1!$E:$E,Sheet1!$C:$C,$A278,Sheet1!$A:$A,N$2)&lt;&gt;0,SUMIFS(Sheet1!$E:$E,Sheet1!$C:$C,$A278,Sheet1!$A:$A,N$2),"")</f>
        <v/>
      </c>
      <c r="O278" s="9" t="str">
        <f>IF(SUMIFS(Sheet1!$E:$E,Sheet1!$C:$C,$A278,Sheet1!$A:$A,O$2)&lt;&gt;0,SUMIFS(Sheet1!$E:$E,Sheet1!$C:$C,$A278,Sheet1!$A:$A,O$2),"")</f>
        <v/>
      </c>
      <c r="P278" s="9" t="str">
        <f>IF(SUMIFS(Sheet1!$E:$E,Sheet1!$C:$C,$A278,Sheet1!$A:$A,P$2)&lt;&gt;0,SUMIFS(Sheet1!$E:$E,Sheet1!$C:$C,$A278,Sheet1!$A:$A,P$2),"")</f>
        <v/>
      </c>
      <c r="Q278" s="9" t="str">
        <f>IF(SUMIFS(Sheet1!$E:$E,Sheet1!$C:$C,$A278,Sheet1!$A:$A,Q$2)&lt;&gt;0,SUMIFS(Sheet1!$E:$E,Sheet1!$C:$C,$A278,Sheet1!$A:$A,Q$2),"")</f>
        <v/>
      </c>
      <c r="R278" s="9" t="str">
        <f>IF(SUMIFS(Sheet1!$E:$E,Sheet1!$C:$C,$A278,Sheet1!$A:$A,R$2)&lt;&gt;0,SUMIFS(Sheet1!$E:$E,Sheet1!$C:$C,$A278,Sheet1!$A:$A,R$2),"")</f>
        <v/>
      </c>
      <c r="S278" s="9" t="str">
        <f>IF(SUMIFS(Sheet1!$E:$E,Sheet1!$C:$C,$A278,Sheet1!$A:$A,S$2)&lt;&gt;0,SUMIFS(Sheet1!$E:$E,Sheet1!$C:$C,$A278,Sheet1!$A:$A,S$2),"")</f>
        <v/>
      </c>
      <c r="T278" s="9" t="str">
        <f>IF(SUMIFS(Sheet1!$E:$E,Sheet1!$C:$C,$A278,Sheet1!$A:$A,T$2)&lt;&gt;0,SUMIFS(Sheet1!$E:$E,Sheet1!$C:$C,$A278,Sheet1!$A:$A,T$2),"")</f>
        <v/>
      </c>
      <c r="U278" s="9" t="str">
        <f>IF(SUMIFS(Sheet1!$E:$E,Sheet1!$C:$C,$A278,Sheet1!$A:$A,U$2)&lt;&gt;0,SUMIFS(Sheet1!$E:$E,Sheet1!$C:$C,$A278,Sheet1!$A:$A,U$2),"")</f>
        <v/>
      </c>
      <c r="V278" s="9" t="str">
        <f>IF(SUMIFS(Sheet1!$E:$E,Sheet1!$C:$C,$A278,Sheet1!$A:$A,V$2)&lt;&gt;0,SUMIFS(Sheet1!$E:$E,Sheet1!$C:$C,$A278,Sheet1!$A:$A,V$2),"")</f>
        <v/>
      </c>
      <c r="W278" s="9" t="str">
        <f>IF(SUMIFS(Sheet1!$E:$E,Sheet1!$C:$C,$A278,Sheet1!$A:$A,W$2)&lt;&gt;0,SUMIFS(Sheet1!$E:$E,Sheet1!$C:$C,$A278,Sheet1!$A:$A,W$2),"")</f>
        <v/>
      </c>
      <c r="X278" s="9" t="str">
        <f>IF(SUMIFS(Sheet1!$E:$E,Sheet1!$C:$C,$A278,Sheet1!$A:$A,X$2)&lt;&gt;0,SUMIFS(Sheet1!$E:$E,Sheet1!$C:$C,$A278,Sheet1!$A:$A,X$2),"")</f>
        <v/>
      </c>
      <c r="Y278" s="9" t="str">
        <f>IF(SUMIFS(Sheet1!$E:$E,Sheet1!$C:$C,$A278,Sheet1!$A:$A,Y$2)&lt;&gt;0,SUMIFS(Sheet1!$E:$E,Sheet1!$C:$C,$A278,Sheet1!$A:$A,Y$2),"")</f>
        <v/>
      </c>
      <c r="Z278" s="9" t="str">
        <f>IF(SUMIFS(Sheet1!$E:$E,Sheet1!$C:$C,$A278,Sheet1!$A:$A,Z$2)&lt;&gt;0,SUMIFS(Sheet1!$E:$E,Sheet1!$C:$C,$A278,Sheet1!$A:$A,Z$2),"")</f>
        <v/>
      </c>
      <c r="AA278" s="9" t="str">
        <f>IF(SUMIFS(Sheet1!$E:$E,Sheet1!$C:$C,$A278,Sheet1!$A:$A,AA$2)&lt;&gt;0,SUMIFS(Sheet1!$E:$E,Sheet1!$C:$C,$A278,Sheet1!$A:$A,AA$2),"")</f>
        <v/>
      </c>
      <c r="AB278" s="9" t="str">
        <f>IF(SUMIFS(Sheet1!$E:$E,Sheet1!$C:$C,$A278,Sheet1!$A:$A,AB$2)&lt;&gt;0,SUMIFS(Sheet1!$E:$E,Sheet1!$C:$C,$A278,Sheet1!$A:$A,AB$2),"")</f>
        <v/>
      </c>
      <c r="AC278" s="9" t="str">
        <f>IF(SUMIFS(Sheet1!$E:$E,Sheet1!$C:$C,$A278,Sheet1!$A:$A,AC$2)&lt;&gt;0,SUMIFS(Sheet1!$E:$E,Sheet1!$C:$C,$A278,Sheet1!$A:$A,AC$2),"")</f>
        <v/>
      </c>
      <c r="AD278" s="9" t="str">
        <f>IF(SUMIFS(Sheet1!$E:$E,Sheet1!$C:$C,$A278,Sheet1!$A:$A,AD$2)&lt;&gt;0,SUMIFS(Sheet1!$E:$E,Sheet1!$C:$C,$A278,Sheet1!$A:$A,AD$2),"")</f>
        <v/>
      </c>
      <c r="AE278" s="9" t="str">
        <f>IF(SUMIFS(Sheet1!$E:$E,Sheet1!$C:$C,$A278,Sheet1!$A:$A,AE$2)&lt;&gt;0,SUMIFS(Sheet1!$E:$E,Sheet1!$C:$C,$A278,Sheet1!$A:$A,AE$2),"")</f>
        <v/>
      </c>
      <c r="AF278" s="9" t="str">
        <f>IF(SUMIFS(Sheet1!$E:$E,Sheet1!$C:$C,$A278,Sheet1!$A:$A,AF$2)&lt;&gt;0,SUMIFS(Sheet1!$E:$E,Sheet1!$C:$C,$A278,Sheet1!$A:$A,AF$2),"")</f>
        <v/>
      </c>
      <c r="AG278" s="9" t="str">
        <f>IF(SUMIFS(Sheet1!$E:$E,Sheet1!$C:$C,$A278,Sheet1!$A:$A,AG$2)&lt;&gt;0,SUMIFS(Sheet1!$E:$E,Sheet1!$C:$C,$A278,Sheet1!$A:$A,AG$2),"")</f>
        <v/>
      </c>
      <c r="AH278" s="48">
        <f>SUM(Table24[[#This Row],[1]:[31]])</f>
        <v>3</v>
      </c>
    </row>
  </sheetData>
  <mergeCells count="1">
    <mergeCell ref="A1:AH1"/>
  </mergeCells>
  <pageMargins left="0.7" right="0.7" top="0.75" bottom="0.75" header="0.3" footer="0.3"/>
  <customProperties>
    <customPr name="DVSECTIONID" r:id="rId1"/>
  </customProperti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278"/>
  <sheetViews>
    <sheetView workbookViewId="0">
      <selection activeCell="V81" sqref="V81"/>
    </sheetView>
  </sheetViews>
  <sheetFormatPr defaultColWidth="17.140625" defaultRowHeight="12.75" customHeight="1"/>
  <cols>
    <col min="1" max="1" width="10" style="79" customWidth="1"/>
    <col min="2" max="2" width="18.140625" style="8" customWidth="1"/>
    <col min="3" max="33" width="4.7109375" style="8" customWidth="1"/>
    <col min="34" max="16384" width="17.140625" style="8"/>
  </cols>
  <sheetData>
    <row r="1" spans="1:33" s="7" customFormat="1" ht="20.25" customHeight="1">
      <c r="A1" s="89" t="s">
        <v>346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</row>
    <row r="2" spans="1:33" ht="12.75" customHeight="1">
      <c r="A2" s="11" t="s">
        <v>0</v>
      </c>
      <c r="B2" s="12" t="s">
        <v>147</v>
      </c>
      <c r="C2" s="13" t="s">
        <v>313</v>
      </c>
      <c r="D2" s="13" t="s">
        <v>314</v>
      </c>
      <c r="E2" s="13" t="s">
        <v>315</v>
      </c>
      <c r="F2" s="13" t="s">
        <v>316</v>
      </c>
      <c r="G2" s="13" t="s">
        <v>317</v>
      </c>
      <c r="H2" s="13" t="s">
        <v>318</v>
      </c>
      <c r="I2" s="13" t="s">
        <v>319</v>
      </c>
      <c r="J2" s="13" t="s">
        <v>320</v>
      </c>
      <c r="K2" s="13" t="s">
        <v>321</v>
      </c>
      <c r="L2" s="13" t="s">
        <v>322</v>
      </c>
      <c r="M2" s="13" t="s">
        <v>323</v>
      </c>
      <c r="N2" s="13" t="s">
        <v>324</v>
      </c>
      <c r="O2" s="13" t="s">
        <v>325</v>
      </c>
      <c r="P2" s="13" t="s">
        <v>326</v>
      </c>
      <c r="Q2" s="13" t="s">
        <v>327</v>
      </c>
      <c r="R2" s="13" t="s">
        <v>328</v>
      </c>
      <c r="S2" s="13" t="s">
        <v>329</v>
      </c>
      <c r="T2" s="13" t="s">
        <v>330</v>
      </c>
      <c r="U2" s="13" t="s">
        <v>331</v>
      </c>
      <c r="V2" s="13" t="s">
        <v>332</v>
      </c>
      <c r="W2" s="13" t="s">
        <v>333</v>
      </c>
      <c r="X2" s="13" t="s">
        <v>334</v>
      </c>
      <c r="Y2" s="13" t="s">
        <v>335</v>
      </c>
      <c r="Z2" s="13" t="s">
        <v>336</v>
      </c>
      <c r="AA2" s="13" t="s">
        <v>337</v>
      </c>
      <c r="AB2" s="13" t="s">
        <v>338</v>
      </c>
      <c r="AC2" s="13" t="s">
        <v>339</v>
      </c>
      <c r="AD2" s="13" t="s">
        <v>340</v>
      </c>
      <c r="AE2" s="13" t="s">
        <v>341</v>
      </c>
      <c r="AF2" s="13" t="s">
        <v>342</v>
      </c>
      <c r="AG2" s="13" t="s">
        <v>343</v>
      </c>
    </row>
    <row r="3" spans="1:33" ht="11.25">
      <c r="A3" s="76" t="str">
        <f>DSSP!A2</f>
        <v>A025</v>
      </c>
      <c r="B3" s="25" t="str">
        <f>DSSP!B2</f>
        <v>Gà bông</v>
      </c>
      <c r="C3" s="9">
        <f>SUM(NhatkyNhap!$C3:C3)-SUM(NhatkyBan!$C3:C3)</f>
        <v>22</v>
      </c>
      <c r="D3" s="9">
        <f>SUM(NhatkyNhap!$C3:D3)-SUM(NhatkyBan!$C3:D3)</f>
        <v>22</v>
      </c>
      <c r="E3" s="9">
        <f>SUM(NhatkyNhap!$C3:E3)-SUM(NhatkyBan!$C3:E3)</f>
        <v>22</v>
      </c>
      <c r="F3" s="9">
        <f>SUM(NhatkyNhap!$C3:F3)-SUM(NhatkyBan!$C3:F3)</f>
        <v>22</v>
      </c>
      <c r="G3" s="9">
        <f>SUM(NhatkyNhap!$C3:G3)-SUM(NhatkyBan!$C3:G3)</f>
        <v>22</v>
      </c>
      <c r="H3" s="9">
        <f>SUM(NhatkyNhap!$C3:H3)-SUM(NhatkyBan!$C3:H3)</f>
        <v>22</v>
      </c>
      <c r="I3" s="9">
        <f>SUM(NhatkyNhap!$C3:I3)-SUM(NhatkyBan!$C3:I3)</f>
        <v>22</v>
      </c>
      <c r="J3" s="9">
        <f>SUM(NhatkyNhap!$C3:J3)-SUM(NhatkyBan!$C3:J3)</f>
        <v>22</v>
      </c>
      <c r="K3" s="9">
        <f>SUM(NhatkyNhap!$C3:K3)-SUM(NhatkyBan!$C3:K3)</f>
        <v>22</v>
      </c>
      <c r="L3" s="9">
        <f>SUM(NhatkyNhap!$C3:L3)-SUM(NhatkyBan!$C3:L3)</f>
        <v>22</v>
      </c>
      <c r="M3" s="9">
        <f>SUM(NhatkyNhap!$C3:M3)-SUM(NhatkyBan!$C3:M3)</f>
        <v>22</v>
      </c>
      <c r="N3" s="9">
        <f>SUM(NhatkyNhap!$C3:N3)-SUM(NhatkyBan!$C3:N3)</f>
        <v>22</v>
      </c>
      <c r="O3" s="9">
        <f>SUM(NhatkyNhap!$C3:O3)-SUM(NhatkyBan!$C3:O3)</f>
        <v>22</v>
      </c>
      <c r="P3" s="9">
        <f>SUM(NhatkyNhap!$C3:P3)-SUM(NhatkyBan!$C3:P3)</f>
        <v>22</v>
      </c>
      <c r="Q3" s="9">
        <f>SUM(NhatkyNhap!$C3:Q3)-SUM(NhatkyBan!$C3:Q3)</f>
        <v>22</v>
      </c>
      <c r="R3" s="9">
        <f>SUM(NhatkyNhap!$C3:R3)-SUM(NhatkyBan!$C3:R3)</f>
        <v>22</v>
      </c>
      <c r="S3" s="9">
        <f>SUM(NhatkyNhap!$C3:S3)-SUM(NhatkyBan!$C3:S3)</f>
        <v>22</v>
      </c>
      <c r="T3" s="9">
        <f>SUM(NhatkyNhap!$C3:T3)-SUM(NhatkyBan!$C3:T3)</f>
        <v>22</v>
      </c>
      <c r="U3" s="9">
        <f>SUM(NhatkyNhap!$C3:U3)-SUM(NhatkyBan!$C3:U3)</f>
        <v>22</v>
      </c>
      <c r="V3" s="9">
        <f>SUM(NhatkyNhap!$C3:V3)-SUM(NhatkyBan!$C3:V3)</f>
        <v>22</v>
      </c>
      <c r="W3" s="9">
        <f>SUM(NhatkyNhap!$C3:W3)-SUM(NhatkyBan!$C3:W3)</f>
        <v>22</v>
      </c>
      <c r="X3" s="9">
        <f>SUM(NhatkyNhap!$C3:X3)-SUM(NhatkyBan!$C3:X3)</f>
        <v>22</v>
      </c>
      <c r="Y3" s="9">
        <f>SUM(NhatkyNhap!$C3:Y3)-SUM(NhatkyBan!$C3:Y3)</f>
        <v>22</v>
      </c>
      <c r="Z3" s="9">
        <f>SUM(NhatkyNhap!$C3:Z3)-SUM(NhatkyBan!$C3:Z3)</f>
        <v>22</v>
      </c>
      <c r="AA3" s="9">
        <f>SUM(NhatkyNhap!$C3:AA3)-SUM(NhatkyBan!$C3:AA3)</f>
        <v>22</v>
      </c>
      <c r="AB3" s="9">
        <f>SUM(NhatkyNhap!$C3:AB3)-SUM(NhatkyBan!$C3:AB3)</f>
        <v>22</v>
      </c>
      <c r="AC3" s="9">
        <f>SUM(NhatkyNhap!$C3:AC3)-SUM(NhatkyBan!$C3:AC3)</f>
        <v>22</v>
      </c>
      <c r="AD3" s="9">
        <f>SUM(NhatkyNhap!$C3:AD3)-SUM(NhatkyBan!$C3:AD3)</f>
        <v>22</v>
      </c>
      <c r="AE3" s="9">
        <f>SUM(NhatkyNhap!$C3:AE3)-SUM(NhatkyBan!$C3:AE3)</f>
        <v>22</v>
      </c>
      <c r="AF3" s="9">
        <f>SUM(NhatkyNhap!$C3:AF3)-SUM(NhatkyBan!$C3:AF3)</f>
        <v>22</v>
      </c>
      <c r="AG3" s="9">
        <f>SUM(NhatkyNhap!$C3:AG3)-SUM(NhatkyBan!$C3:AG3)</f>
        <v>22</v>
      </c>
    </row>
    <row r="4" spans="1:33" ht="12.75" customHeight="1">
      <c r="A4" s="76" t="str">
        <f>DSSP!A3</f>
        <v>A026</v>
      </c>
      <c r="B4" s="25" t="str">
        <f>DSSP!B3</f>
        <v>Dép bốn lá</v>
      </c>
      <c r="C4" s="21">
        <f>SUM(NhatkyNhap!$C4:C4)-SUM(NhatkyBan!$C4:C4)</f>
        <v>53</v>
      </c>
      <c r="D4" s="21">
        <f>SUM(NhatkyNhap!$C4:D4)-SUM(NhatkyBan!$C4:D4)</f>
        <v>53</v>
      </c>
      <c r="E4" s="21">
        <f>SUM(NhatkyNhap!$C4:E4)-SUM(NhatkyBan!$C4:E4)</f>
        <v>53</v>
      </c>
      <c r="F4" s="21">
        <f>SUM(NhatkyNhap!$C4:F4)-SUM(NhatkyBan!$C4:F4)</f>
        <v>53</v>
      </c>
      <c r="G4" s="21">
        <f>SUM(NhatkyNhap!$C4:G4)-SUM(NhatkyBan!$C4:G4)</f>
        <v>53</v>
      </c>
      <c r="H4" s="21">
        <f>SUM(NhatkyNhap!$C4:H4)-SUM(NhatkyBan!$C4:H4)</f>
        <v>53</v>
      </c>
      <c r="I4" s="21">
        <f>SUM(NhatkyNhap!$C4:I4)-SUM(NhatkyBan!$C4:I4)</f>
        <v>53</v>
      </c>
      <c r="J4" s="21">
        <f>SUM(NhatkyNhap!$C4:J4)-SUM(NhatkyBan!$C4:J4)</f>
        <v>53</v>
      </c>
      <c r="K4" s="21">
        <f>SUM(NhatkyNhap!$C4:K4)-SUM(NhatkyBan!$C4:K4)</f>
        <v>53</v>
      </c>
      <c r="L4" s="21">
        <f>SUM(NhatkyNhap!$C4:L4)-SUM(NhatkyBan!$C4:L4)</f>
        <v>53</v>
      </c>
      <c r="M4" s="21">
        <f>SUM(NhatkyNhap!$C4:M4)-SUM(NhatkyBan!$C4:M4)</f>
        <v>53</v>
      </c>
      <c r="N4" s="21">
        <f>SUM(NhatkyNhap!$C4:N4)-SUM(NhatkyBan!$C4:N4)</f>
        <v>53</v>
      </c>
      <c r="O4" s="21">
        <f>SUM(NhatkyNhap!$C4:O4)-SUM(NhatkyBan!$C4:O4)</f>
        <v>53</v>
      </c>
      <c r="P4" s="21">
        <f>SUM(NhatkyNhap!$C4:P4)-SUM(NhatkyBan!$C4:P4)</f>
        <v>53</v>
      </c>
      <c r="Q4" s="21">
        <f>SUM(NhatkyNhap!$C4:Q4)-SUM(NhatkyBan!$C4:Q4)</f>
        <v>53</v>
      </c>
      <c r="R4" s="21">
        <f>SUM(NhatkyNhap!$C4:R4)-SUM(NhatkyBan!$C4:R4)</f>
        <v>53</v>
      </c>
      <c r="S4" s="21">
        <f>SUM(NhatkyNhap!$C4:S4)-SUM(NhatkyBan!$C4:S4)</f>
        <v>53</v>
      </c>
      <c r="T4" s="21">
        <f>SUM(NhatkyNhap!$C4:T4)-SUM(NhatkyBan!$C4:T4)</f>
        <v>53</v>
      </c>
      <c r="U4" s="21">
        <f>SUM(NhatkyNhap!$C4:U4)-SUM(NhatkyBan!$C4:U4)</f>
        <v>53</v>
      </c>
      <c r="V4" s="21">
        <f>SUM(NhatkyNhap!$C4:V4)-SUM(NhatkyBan!$C4:V4)</f>
        <v>53</v>
      </c>
      <c r="W4" s="21">
        <f>SUM(NhatkyNhap!$C4:W4)-SUM(NhatkyBan!$C4:W4)</f>
        <v>53</v>
      </c>
      <c r="X4" s="21">
        <f>SUM(NhatkyNhap!$C4:X4)-SUM(NhatkyBan!$C4:X4)</f>
        <v>53</v>
      </c>
      <c r="Y4" s="21">
        <f>SUM(NhatkyNhap!$C4:Y4)-SUM(NhatkyBan!$C4:Y4)</f>
        <v>53</v>
      </c>
      <c r="Z4" s="21">
        <f>SUM(NhatkyNhap!$C4:Z4)-SUM(NhatkyBan!$C4:Z4)</f>
        <v>53</v>
      </c>
      <c r="AA4" s="21">
        <f>SUM(NhatkyNhap!$C4:AA4)-SUM(NhatkyBan!$C4:AA4)</f>
        <v>53</v>
      </c>
      <c r="AB4" s="21">
        <f>SUM(NhatkyNhap!$C4:AB4)-SUM(NhatkyBan!$C4:AB4)</f>
        <v>53</v>
      </c>
      <c r="AC4" s="21">
        <f>SUM(NhatkyNhap!$C4:AC4)-SUM(NhatkyBan!$C4:AC4)</f>
        <v>53</v>
      </c>
      <c r="AD4" s="21">
        <f>SUM(NhatkyNhap!$C4:AD4)-SUM(NhatkyBan!$C4:AD4)</f>
        <v>53</v>
      </c>
      <c r="AE4" s="21">
        <f>SUM(NhatkyNhap!$C4:AE4)-SUM(NhatkyBan!$C4:AE4)</f>
        <v>53</v>
      </c>
      <c r="AF4" s="21">
        <f>SUM(NhatkyNhap!$C4:AF4)-SUM(NhatkyBan!$C4:AF4)</f>
        <v>53</v>
      </c>
      <c r="AG4" s="21">
        <f>SUM(NhatkyNhap!$C4:AG4)-SUM(NhatkyBan!$C4:AG4)</f>
        <v>53</v>
      </c>
    </row>
    <row r="5" spans="1:33" ht="12.75" customHeight="1">
      <c r="A5" s="76" t="str">
        <f>DSSP!A4</f>
        <v>A028</v>
      </c>
      <c r="B5" s="25" t="str">
        <f>DSSP!B4</f>
        <v>Cá voi</v>
      </c>
      <c r="C5" s="21">
        <f>SUM(NhatkyNhap!$C5:C5)-SUM(NhatkyBan!$C5:C5)</f>
        <v>34</v>
      </c>
      <c r="D5" s="21">
        <f>SUM(NhatkyNhap!$C5:D5)-SUM(NhatkyBan!$C5:D5)</f>
        <v>34</v>
      </c>
      <c r="E5" s="21">
        <f>SUM(NhatkyNhap!$C5:E5)-SUM(NhatkyBan!$C5:E5)</f>
        <v>34</v>
      </c>
      <c r="F5" s="21">
        <f>SUM(NhatkyNhap!$C5:F5)-SUM(NhatkyBan!$C5:F5)</f>
        <v>34</v>
      </c>
      <c r="G5" s="21">
        <f>SUM(NhatkyNhap!$C5:G5)-SUM(NhatkyBan!$C5:G5)</f>
        <v>34</v>
      </c>
      <c r="H5" s="21">
        <f>SUM(NhatkyNhap!$C5:H5)-SUM(NhatkyBan!$C5:H5)</f>
        <v>34</v>
      </c>
      <c r="I5" s="21">
        <f>SUM(NhatkyNhap!$C5:I5)-SUM(NhatkyBan!$C5:I5)</f>
        <v>34</v>
      </c>
      <c r="J5" s="21">
        <f>SUM(NhatkyNhap!$C5:J5)-SUM(NhatkyBan!$C5:J5)</f>
        <v>34</v>
      </c>
      <c r="K5" s="21">
        <f>SUM(NhatkyNhap!$C5:K5)-SUM(NhatkyBan!$C5:K5)</f>
        <v>34</v>
      </c>
      <c r="L5" s="21">
        <f>SUM(NhatkyNhap!$C5:L5)-SUM(NhatkyBan!$C5:L5)</f>
        <v>34</v>
      </c>
      <c r="M5" s="21">
        <f>SUM(NhatkyNhap!$C5:M5)-SUM(NhatkyBan!$C5:M5)</f>
        <v>34</v>
      </c>
      <c r="N5" s="21">
        <f>SUM(NhatkyNhap!$C5:N5)-SUM(NhatkyBan!$C5:N5)</f>
        <v>34</v>
      </c>
      <c r="O5" s="21">
        <f>SUM(NhatkyNhap!$C5:O5)-SUM(NhatkyBan!$C5:O5)</f>
        <v>34</v>
      </c>
      <c r="P5" s="21">
        <f>SUM(NhatkyNhap!$C5:P5)-SUM(NhatkyBan!$C5:P5)</f>
        <v>34</v>
      </c>
      <c r="Q5" s="21">
        <f>SUM(NhatkyNhap!$C5:Q5)-SUM(NhatkyBan!$C5:Q5)</f>
        <v>34</v>
      </c>
      <c r="R5" s="21">
        <f>SUM(NhatkyNhap!$C5:R5)-SUM(NhatkyBan!$C5:R5)</f>
        <v>34</v>
      </c>
      <c r="S5" s="21">
        <f>SUM(NhatkyNhap!$C5:S5)-SUM(NhatkyBan!$C5:S5)</f>
        <v>34</v>
      </c>
      <c r="T5" s="21">
        <f>SUM(NhatkyNhap!$C5:T5)-SUM(NhatkyBan!$C5:T5)</f>
        <v>34</v>
      </c>
      <c r="U5" s="21">
        <f>SUM(NhatkyNhap!$C5:U5)-SUM(NhatkyBan!$C5:U5)</f>
        <v>34</v>
      </c>
      <c r="V5" s="21">
        <f>SUM(NhatkyNhap!$C5:V5)-SUM(NhatkyBan!$C5:V5)</f>
        <v>34</v>
      </c>
      <c r="W5" s="21">
        <f>SUM(NhatkyNhap!$C5:W5)-SUM(NhatkyBan!$C5:W5)</f>
        <v>34</v>
      </c>
      <c r="X5" s="21">
        <f>SUM(NhatkyNhap!$C5:X5)-SUM(NhatkyBan!$C5:X5)</f>
        <v>34</v>
      </c>
      <c r="Y5" s="21">
        <f>SUM(NhatkyNhap!$C5:Y5)-SUM(NhatkyBan!$C5:Y5)</f>
        <v>34</v>
      </c>
      <c r="Z5" s="21">
        <f>SUM(NhatkyNhap!$C5:Z5)-SUM(NhatkyBan!$C5:Z5)</f>
        <v>34</v>
      </c>
      <c r="AA5" s="21">
        <f>SUM(NhatkyNhap!$C5:AA5)-SUM(NhatkyBan!$C5:AA5)</f>
        <v>34</v>
      </c>
      <c r="AB5" s="21">
        <f>SUM(NhatkyNhap!$C5:AB5)-SUM(NhatkyBan!$C5:AB5)</f>
        <v>34</v>
      </c>
      <c r="AC5" s="21">
        <f>SUM(NhatkyNhap!$C5:AC5)-SUM(NhatkyBan!$C5:AC5)</f>
        <v>34</v>
      </c>
      <c r="AD5" s="21">
        <f>SUM(NhatkyNhap!$C5:AD5)-SUM(NhatkyBan!$C5:AD5)</f>
        <v>34</v>
      </c>
      <c r="AE5" s="21">
        <f>SUM(NhatkyNhap!$C5:AE5)-SUM(NhatkyBan!$C5:AE5)</f>
        <v>34</v>
      </c>
      <c r="AF5" s="21">
        <f>SUM(NhatkyNhap!$C5:AF5)-SUM(NhatkyBan!$C5:AF5)</f>
        <v>34</v>
      </c>
      <c r="AG5" s="21">
        <f>SUM(NhatkyNhap!$C5:AG5)-SUM(NhatkyBan!$C5:AG5)</f>
        <v>34</v>
      </c>
    </row>
    <row r="6" spans="1:33" ht="12.75" customHeight="1">
      <c r="A6" s="76" t="str">
        <f>DSSP!A5</f>
        <v>A031</v>
      </c>
      <c r="B6" s="25" t="str">
        <f>DSSP!B5</f>
        <v>Angry Bird</v>
      </c>
      <c r="C6" s="21">
        <f>SUM(NhatkyNhap!$C6:C6)-SUM(NhatkyBan!$C6:C6)</f>
        <v>8</v>
      </c>
      <c r="D6" s="21">
        <f>SUM(NhatkyNhap!$C6:D6)-SUM(NhatkyBan!$C6:D6)</f>
        <v>8</v>
      </c>
      <c r="E6" s="21">
        <f>SUM(NhatkyNhap!$C6:E6)-SUM(NhatkyBan!$C6:E6)</f>
        <v>8</v>
      </c>
      <c r="F6" s="21">
        <f>SUM(NhatkyNhap!$C6:F6)-SUM(NhatkyBan!$C6:F6)</f>
        <v>8</v>
      </c>
      <c r="G6" s="21">
        <f>SUM(NhatkyNhap!$C6:G6)-SUM(NhatkyBan!$C6:G6)</f>
        <v>8</v>
      </c>
      <c r="H6" s="21">
        <f>SUM(NhatkyNhap!$C6:H6)-SUM(NhatkyBan!$C6:H6)</f>
        <v>8</v>
      </c>
      <c r="I6" s="21">
        <f>SUM(NhatkyNhap!$C6:I6)-SUM(NhatkyBan!$C6:I6)</f>
        <v>8</v>
      </c>
      <c r="J6" s="21">
        <f>SUM(NhatkyNhap!$C6:J6)-SUM(NhatkyBan!$C6:J6)</f>
        <v>8</v>
      </c>
      <c r="K6" s="21">
        <f>SUM(NhatkyNhap!$C6:K6)-SUM(NhatkyBan!$C6:K6)</f>
        <v>8</v>
      </c>
      <c r="L6" s="21">
        <f>SUM(NhatkyNhap!$C6:L6)-SUM(NhatkyBan!$C6:L6)</f>
        <v>8</v>
      </c>
      <c r="M6" s="21">
        <f>SUM(NhatkyNhap!$C6:M6)-SUM(NhatkyBan!$C6:M6)</f>
        <v>8</v>
      </c>
      <c r="N6" s="21">
        <f>SUM(NhatkyNhap!$C6:N6)-SUM(NhatkyBan!$C6:N6)</f>
        <v>8</v>
      </c>
      <c r="O6" s="21">
        <f>SUM(NhatkyNhap!$C6:O6)-SUM(NhatkyBan!$C6:O6)</f>
        <v>8</v>
      </c>
      <c r="P6" s="21">
        <f>SUM(NhatkyNhap!$C6:P6)-SUM(NhatkyBan!$C6:P6)</f>
        <v>8</v>
      </c>
      <c r="Q6" s="21">
        <f>SUM(NhatkyNhap!$C6:Q6)-SUM(NhatkyBan!$C6:Q6)</f>
        <v>8</v>
      </c>
      <c r="R6" s="21">
        <f>SUM(NhatkyNhap!$C6:R6)-SUM(NhatkyBan!$C6:R6)</f>
        <v>8</v>
      </c>
      <c r="S6" s="21">
        <f>SUM(NhatkyNhap!$C6:S6)-SUM(NhatkyBan!$C6:S6)</f>
        <v>8</v>
      </c>
      <c r="T6" s="21">
        <f>SUM(NhatkyNhap!$C6:T6)-SUM(NhatkyBan!$C6:T6)</f>
        <v>8</v>
      </c>
      <c r="U6" s="21">
        <f>SUM(NhatkyNhap!$C6:U6)-SUM(NhatkyBan!$C6:U6)</f>
        <v>8</v>
      </c>
      <c r="V6" s="21">
        <f>SUM(NhatkyNhap!$C6:V6)-SUM(NhatkyBan!$C6:V6)</f>
        <v>8</v>
      </c>
      <c r="W6" s="21">
        <f>SUM(NhatkyNhap!$C6:W6)-SUM(NhatkyBan!$C6:W6)</f>
        <v>8</v>
      </c>
      <c r="X6" s="21">
        <f>SUM(NhatkyNhap!$C6:X6)-SUM(NhatkyBan!$C6:X6)</f>
        <v>8</v>
      </c>
      <c r="Y6" s="21">
        <f>SUM(NhatkyNhap!$C6:Y6)-SUM(NhatkyBan!$C6:Y6)</f>
        <v>8</v>
      </c>
      <c r="Z6" s="21">
        <f>SUM(NhatkyNhap!$C6:Z6)-SUM(NhatkyBan!$C6:Z6)</f>
        <v>8</v>
      </c>
      <c r="AA6" s="21">
        <f>SUM(NhatkyNhap!$C6:AA6)-SUM(NhatkyBan!$C6:AA6)</f>
        <v>8</v>
      </c>
      <c r="AB6" s="21">
        <f>SUM(NhatkyNhap!$C6:AB6)-SUM(NhatkyBan!$C6:AB6)</f>
        <v>8</v>
      </c>
      <c r="AC6" s="21">
        <f>SUM(NhatkyNhap!$C6:AC6)-SUM(NhatkyBan!$C6:AC6)</f>
        <v>8</v>
      </c>
      <c r="AD6" s="21">
        <f>SUM(NhatkyNhap!$C6:AD6)-SUM(NhatkyBan!$C6:AD6)</f>
        <v>8</v>
      </c>
      <c r="AE6" s="21">
        <f>SUM(NhatkyNhap!$C6:AE6)-SUM(NhatkyBan!$C6:AE6)</f>
        <v>8</v>
      </c>
      <c r="AF6" s="21">
        <f>SUM(NhatkyNhap!$C6:AF6)-SUM(NhatkyBan!$C6:AF6)</f>
        <v>8</v>
      </c>
      <c r="AG6" s="21">
        <f>SUM(NhatkyNhap!$C6:AG6)-SUM(NhatkyBan!$C6:AG6)</f>
        <v>8</v>
      </c>
    </row>
    <row r="7" spans="1:33" ht="12.75" customHeight="1">
      <c r="A7" s="76" t="str">
        <f>DSSP!A6</f>
        <v>A041</v>
      </c>
      <c r="B7" s="25" t="str">
        <f>DSSP!B6</f>
        <v>Cup cake</v>
      </c>
      <c r="C7" s="21">
        <f>SUM(NhatkyNhap!$C7:C7)-SUM(NhatkyBan!$C7:C7)</f>
        <v>16</v>
      </c>
      <c r="D7" s="21">
        <f>SUM(NhatkyNhap!$C7:D7)-SUM(NhatkyBan!$C7:D7)</f>
        <v>16</v>
      </c>
      <c r="E7" s="21">
        <f>SUM(NhatkyNhap!$C7:E7)-SUM(NhatkyBan!$C7:E7)</f>
        <v>16</v>
      </c>
      <c r="F7" s="21">
        <f>SUM(NhatkyNhap!$C7:F7)-SUM(NhatkyBan!$C7:F7)</f>
        <v>16</v>
      </c>
      <c r="G7" s="21">
        <f>SUM(NhatkyNhap!$C7:G7)-SUM(NhatkyBan!$C7:G7)</f>
        <v>16</v>
      </c>
      <c r="H7" s="21">
        <f>SUM(NhatkyNhap!$C7:H7)-SUM(NhatkyBan!$C7:H7)</f>
        <v>16</v>
      </c>
      <c r="I7" s="21">
        <f>SUM(NhatkyNhap!$C7:I7)-SUM(NhatkyBan!$C7:I7)</f>
        <v>16</v>
      </c>
      <c r="J7" s="21">
        <f>SUM(NhatkyNhap!$C7:J7)-SUM(NhatkyBan!$C7:J7)</f>
        <v>16</v>
      </c>
      <c r="K7" s="21">
        <f>SUM(NhatkyNhap!$C7:K7)-SUM(NhatkyBan!$C7:K7)</f>
        <v>16</v>
      </c>
      <c r="L7" s="21">
        <f>SUM(NhatkyNhap!$C7:L7)-SUM(NhatkyBan!$C7:L7)</f>
        <v>16</v>
      </c>
      <c r="M7" s="21">
        <f>SUM(NhatkyNhap!$C7:M7)-SUM(NhatkyBan!$C7:M7)</f>
        <v>16</v>
      </c>
      <c r="N7" s="21">
        <f>SUM(NhatkyNhap!$C7:N7)-SUM(NhatkyBan!$C7:N7)</f>
        <v>16</v>
      </c>
      <c r="O7" s="21">
        <f>SUM(NhatkyNhap!$C7:O7)-SUM(NhatkyBan!$C7:O7)</f>
        <v>16</v>
      </c>
      <c r="P7" s="21">
        <f>SUM(NhatkyNhap!$C7:P7)-SUM(NhatkyBan!$C7:P7)</f>
        <v>16</v>
      </c>
      <c r="Q7" s="21">
        <f>SUM(NhatkyNhap!$C7:Q7)-SUM(NhatkyBan!$C7:Q7)</f>
        <v>16</v>
      </c>
      <c r="R7" s="21">
        <f>SUM(NhatkyNhap!$C7:R7)-SUM(NhatkyBan!$C7:R7)</f>
        <v>16</v>
      </c>
      <c r="S7" s="21">
        <f>SUM(NhatkyNhap!$C7:S7)-SUM(NhatkyBan!$C7:S7)</f>
        <v>16</v>
      </c>
      <c r="T7" s="21">
        <f>SUM(NhatkyNhap!$C7:T7)-SUM(NhatkyBan!$C7:T7)</f>
        <v>16</v>
      </c>
      <c r="U7" s="21">
        <f>SUM(NhatkyNhap!$C7:U7)-SUM(NhatkyBan!$C7:U7)</f>
        <v>16</v>
      </c>
      <c r="V7" s="21">
        <f>SUM(NhatkyNhap!$C7:V7)-SUM(NhatkyBan!$C7:V7)</f>
        <v>16</v>
      </c>
      <c r="W7" s="21">
        <f>SUM(NhatkyNhap!$C7:W7)-SUM(NhatkyBan!$C7:W7)</f>
        <v>16</v>
      </c>
      <c r="X7" s="21">
        <f>SUM(NhatkyNhap!$C7:X7)-SUM(NhatkyBan!$C7:X7)</f>
        <v>16</v>
      </c>
      <c r="Y7" s="21">
        <f>SUM(NhatkyNhap!$C7:Y7)-SUM(NhatkyBan!$C7:Y7)</f>
        <v>16</v>
      </c>
      <c r="Z7" s="21">
        <f>SUM(NhatkyNhap!$C7:Z7)-SUM(NhatkyBan!$C7:Z7)</f>
        <v>16</v>
      </c>
      <c r="AA7" s="21">
        <f>SUM(NhatkyNhap!$C7:AA7)-SUM(NhatkyBan!$C7:AA7)</f>
        <v>16</v>
      </c>
      <c r="AB7" s="21">
        <f>SUM(NhatkyNhap!$C7:AB7)-SUM(NhatkyBan!$C7:AB7)</f>
        <v>16</v>
      </c>
      <c r="AC7" s="21">
        <f>SUM(NhatkyNhap!$C7:AC7)-SUM(NhatkyBan!$C7:AC7)</f>
        <v>16</v>
      </c>
      <c r="AD7" s="21">
        <f>SUM(NhatkyNhap!$C7:AD7)-SUM(NhatkyBan!$C7:AD7)</f>
        <v>16</v>
      </c>
      <c r="AE7" s="21">
        <f>SUM(NhatkyNhap!$C7:AE7)-SUM(NhatkyBan!$C7:AE7)</f>
        <v>16</v>
      </c>
      <c r="AF7" s="21">
        <f>SUM(NhatkyNhap!$C7:AF7)-SUM(NhatkyBan!$C7:AF7)</f>
        <v>16</v>
      </c>
      <c r="AG7" s="21">
        <f>SUM(NhatkyNhap!$C7:AG7)-SUM(NhatkyBan!$C7:AG7)</f>
        <v>16</v>
      </c>
    </row>
    <row r="8" spans="1:33" ht="12.75" customHeight="1">
      <c r="A8" s="76" t="str">
        <f>DSSP!A7</f>
        <v>A042</v>
      </c>
      <c r="B8" s="25" t="str">
        <f>DSSP!B7</f>
        <v>Dino</v>
      </c>
      <c r="C8" s="21">
        <f>SUM(NhatkyNhap!$C8:C8)-SUM(NhatkyBan!$C8:C8)</f>
        <v>12</v>
      </c>
      <c r="D8" s="21">
        <f>SUM(NhatkyNhap!$C8:D8)-SUM(NhatkyBan!$C8:D8)</f>
        <v>12</v>
      </c>
      <c r="E8" s="21">
        <f>SUM(NhatkyNhap!$C8:E8)-SUM(NhatkyBan!$C8:E8)</f>
        <v>12</v>
      </c>
      <c r="F8" s="21">
        <f>SUM(NhatkyNhap!$C8:F8)-SUM(NhatkyBan!$C8:F8)</f>
        <v>12</v>
      </c>
      <c r="G8" s="21">
        <f>SUM(NhatkyNhap!$C8:G8)-SUM(NhatkyBan!$C8:G8)</f>
        <v>12</v>
      </c>
      <c r="H8" s="21">
        <f>SUM(NhatkyNhap!$C8:H8)-SUM(NhatkyBan!$C8:H8)</f>
        <v>12</v>
      </c>
      <c r="I8" s="21">
        <f>SUM(NhatkyNhap!$C8:I8)-SUM(NhatkyBan!$C8:I8)</f>
        <v>12</v>
      </c>
      <c r="J8" s="21">
        <f>SUM(NhatkyNhap!$C8:J8)-SUM(NhatkyBan!$C8:J8)</f>
        <v>12</v>
      </c>
      <c r="K8" s="21">
        <f>SUM(NhatkyNhap!$C8:K8)-SUM(NhatkyBan!$C8:K8)</f>
        <v>12</v>
      </c>
      <c r="L8" s="21">
        <f>SUM(NhatkyNhap!$C8:L8)-SUM(NhatkyBan!$C8:L8)</f>
        <v>12</v>
      </c>
      <c r="M8" s="21">
        <f>SUM(NhatkyNhap!$C8:M8)-SUM(NhatkyBan!$C8:M8)</f>
        <v>12</v>
      </c>
      <c r="N8" s="21">
        <f>SUM(NhatkyNhap!$C8:N8)-SUM(NhatkyBan!$C8:N8)</f>
        <v>12</v>
      </c>
      <c r="O8" s="21">
        <f>SUM(NhatkyNhap!$C8:O8)-SUM(NhatkyBan!$C8:O8)</f>
        <v>12</v>
      </c>
      <c r="P8" s="21">
        <f>SUM(NhatkyNhap!$C8:P8)-SUM(NhatkyBan!$C8:P8)</f>
        <v>12</v>
      </c>
      <c r="Q8" s="21">
        <f>SUM(NhatkyNhap!$C8:Q8)-SUM(NhatkyBan!$C8:Q8)</f>
        <v>12</v>
      </c>
      <c r="R8" s="21">
        <f>SUM(NhatkyNhap!$C8:R8)-SUM(NhatkyBan!$C8:R8)</f>
        <v>12</v>
      </c>
      <c r="S8" s="21">
        <f>SUM(NhatkyNhap!$C8:S8)-SUM(NhatkyBan!$C8:S8)</f>
        <v>12</v>
      </c>
      <c r="T8" s="21">
        <f>SUM(NhatkyNhap!$C8:T8)-SUM(NhatkyBan!$C8:T8)</f>
        <v>12</v>
      </c>
      <c r="U8" s="21">
        <f>SUM(NhatkyNhap!$C8:U8)-SUM(NhatkyBan!$C8:U8)</f>
        <v>12</v>
      </c>
      <c r="V8" s="21">
        <f>SUM(NhatkyNhap!$C8:V8)-SUM(NhatkyBan!$C8:V8)</f>
        <v>12</v>
      </c>
      <c r="W8" s="21">
        <f>SUM(NhatkyNhap!$C8:W8)-SUM(NhatkyBan!$C8:W8)</f>
        <v>12</v>
      </c>
      <c r="X8" s="21">
        <f>SUM(NhatkyNhap!$C8:X8)-SUM(NhatkyBan!$C8:X8)</f>
        <v>12</v>
      </c>
      <c r="Y8" s="21">
        <f>SUM(NhatkyNhap!$C8:Y8)-SUM(NhatkyBan!$C8:Y8)</f>
        <v>12</v>
      </c>
      <c r="Z8" s="21">
        <f>SUM(NhatkyNhap!$C8:Z8)-SUM(NhatkyBan!$C8:Z8)</f>
        <v>12</v>
      </c>
      <c r="AA8" s="21">
        <f>SUM(NhatkyNhap!$C8:AA8)-SUM(NhatkyBan!$C8:AA8)</f>
        <v>12</v>
      </c>
      <c r="AB8" s="21">
        <f>SUM(NhatkyNhap!$C8:AB8)-SUM(NhatkyBan!$C8:AB8)</f>
        <v>12</v>
      </c>
      <c r="AC8" s="21">
        <f>SUM(NhatkyNhap!$C8:AC8)-SUM(NhatkyBan!$C8:AC8)</f>
        <v>12</v>
      </c>
      <c r="AD8" s="21">
        <f>SUM(NhatkyNhap!$C8:AD8)-SUM(NhatkyBan!$C8:AD8)</f>
        <v>12</v>
      </c>
      <c r="AE8" s="21">
        <f>SUM(NhatkyNhap!$C8:AE8)-SUM(NhatkyBan!$C8:AE8)</f>
        <v>12</v>
      </c>
      <c r="AF8" s="21">
        <f>SUM(NhatkyNhap!$C8:AF8)-SUM(NhatkyBan!$C8:AF8)</f>
        <v>12</v>
      </c>
      <c r="AG8" s="21">
        <f>SUM(NhatkyNhap!$C8:AG8)-SUM(NhatkyBan!$C8:AG8)</f>
        <v>12</v>
      </c>
    </row>
    <row r="9" spans="1:33" ht="12.75" customHeight="1">
      <c r="A9" s="76" t="str">
        <f>DSSP!A8</f>
        <v>A049</v>
      </c>
      <c r="B9" s="25" t="str">
        <f>DSSP!B8</f>
        <v xml:space="preserve">Key - lock </v>
      </c>
      <c r="C9" s="21">
        <f>SUM(NhatkyNhap!$C9:C9)-SUM(NhatkyBan!$C9:C9)</f>
        <v>1</v>
      </c>
      <c r="D9" s="21">
        <f>SUM(NhatkyNhap!$C9:D9)-SUM(NhatkyBan!$C9:D9)</f>
        <v>1</v>
      </c>
      <c r="E9" s="21">
        <f>SUM(NhatkyNhap!$C9:E9)-SUM(NhatkyBan!$C9:E9)</f>
        <v>1</v>
      </c>
      <c r="F9" s="21">
        <f>SUM(NhatkyNhap!$C9:F9)-SUM(NhatkyBan!$C9:F9)</f>
        <v>1</v>
      </c>
      <c r="G9" s="21">
        <f>SUM(NhatkyNhap!$C9:G9)-SUM(NhatkyBan!$C9:G9)</f>
        <v>1</v>
      </c>
      <c r="H9" s="21">
        <f>SUM(NhatkyNhap!$C9:H9)-SUM(NhatkyBan!$C9:H9)</f>
        <v>1</v>
      </c>
      <c r="I9" s="21">
        <f>SUM(NhatkyNhap!$C9:I9)-SUM(NhatkyBan!$C9:I9)</f>
        <v>1</v>
      </c>
      <c r="J9" s="21">
        <f>SUM(NhatkyNhap!$C9:J9)-SUM(NhatkyBan!$C9:J9)</f>
        <v>1</v>
      </c>
      <c r="K9" s="21">
        <f>SUM(NhatkyNhap!$C9:K9)-SUM(NhatkyBan!$C9:K9)</f>
        <v>1</v>
      </c>
      <c r="L9" s="21">
        <f>SUM(NhatkyNhap!$C9:L9)-SUM(NhatkyBan!$C9:L9)</f>
        <v>1</v>
      </c>
      <c r="M9" s="21">
        <f>SUM(NhatkyNhap!$C9:M9)-SUM(NhatkyBan!$C9:M9)</f>
        <v>1</v>
      </c>
      <c r="N9" s="21">
        <f>SUM(NhatkyNhap!$C9:N9)-SUM(NhatkyBan!$C9:N9)</f>
        <v>1</v>
      </c>
      <c r="O9" s="21">
        <f>SUM(NhatkyNhap!$C9:O9)-SUM(NhatkyBan!$C9:O9)</f>
        <v>1</v>
      </c>
      <c r="P9" s="21">
        <f>SUM(NhatkyNhap!$C9:P9)-SUM(NhatkyBan!$C9:P9)</f>
        <v>1</v>
      </c>
      <c r="Q9" s="21">
        <f>SUM(NhatkyNhap!$C9:Q9)-SUM(NhatkyBan!$C9:Q9)</f>
        <v>1</v>
      </c>
      <c r="R9" s="21">
        <f>SUM(NhatkyNhap!$C9:R9)-SUM(NhatkyBan!$C9:R9)</f>
        <v>1</v>
      </c>
      <c r="S9" s="21">
        <f>SUM(NhatkyNhap!$C9:S9)-SUM(NhatkyBan!$C9:S9)</f>
        <v>1</v>
      </c>
      <c r="T9" s="21">
        <f>SUM(NhatkyNhap!$C9:T9)-SUM(NhatkyBan!$C9:T9)</f>
        <v>1</v>
      </c>
      <c r="U9" s="21">
        <f>SUM(NhatkyNhap!$C9:U9)-SUM(NhatkyBan!$C9:U9)</f>
        <v>1</v>
      </c>
      <c r="V9" s="21">
        <f>SUM(NhatkyNhap!$C9:V9)-SUM(NhatkyBan!$C9:V9)</f>
        <v>1</v>
      </c>
      <c r="W9" s="21">
        <f>SUM(NhatkyNhap!$C9:W9)-SUM(NhatkyBan!$C9:W9)</f>
        <v>1</v>
      </c>
      <c r="X9" s="21">
        <f>SUM(NhatkyNhap!$C9:X9)-SUM(NhatkyBan!$C9:X9)</f>
        <v>1</v>
      </c>
      <c r="Y9" s="21">
        <f>SUM(NhatkyNhap!$C9:Y9)-SUM(NhatkyBan!$C9:Y9)</f>
        <v>1</v>
      </c>
      <c r="Z9" s="21">
        <f>SUM(NhatkyNhap!$C9:Z9)-SUM(NhatkyBan!$C9:Z9)</f>
        <v>1</v>
      </c>
      <c r="AA9" s="21">
        <f>SUM(NhatkyNhap!$C9:AA9)-SUM(NhatkyBan!$C9:AA9)</f>
        <v>1</v>
      </c>
      <c r="AB9" s="21">
        <f>SUM(NhatkyNhap!$C9:AB9)-SUM(NhatkyBan!$C9:AB9)</f>
        <v>1</v>
      </c>
      <c r="AC9" s="21">
        <f>SUM(NhatkyNhap!$C9:AC9)-SUM(NhatkyBan!$C9:AC9)</f>
        <v>1</v>
      </c>
      <c r="AD9" s="21">
        <f>SUM(NhatkyNhap!$C9:AD9)-SUM(NhatkyBan!$C9:AD9)</f>
        <v>1</v>
      </c>
      <c r="AE9" s="21">
        <f>SUM(NhatkyNhap!$C9:AE9)-SUM(NhatkyBan!$C9:AE9)</f>
        <v>1</v>
      </c>
      <c r="AF9" s="21">
        <f>SUM(NhatkyNhap!$C9:AF9)-SUM(NhatkyBan!$C9:AF9)</f>
        <v>1</v>
      </c>
      <c r="AG9" s="21">
        <f>SUM(NhatkyNhap!$C9:AG9)-SUM(NhatkyBan!$C9:AG9)</f>
        <v>1</v>
      </c>
    </row>
    <row r="10" spans="1:33" ht="12.75" customHeight="1">
      <c r="A10" s="76" t="str">
        <f>DSSP!A9</f>
        <v>A050</v>
      </c>
      <c r="B10" s="25" t="str">
        <f>DSSP!B9</f>
        <v>XX and XY</v>
      </c>
      <c r="C10" s="21">
        <f>SUM(NhatkyNhap!$C10:C10)-SUM(NhatkyBan!$C10:C10)</f>
        <v>5</v>
      </c>
      <c r="D10" s="21">
        <f>SUM(NhatkyNhap!$C10:D10)-SUM(NhatkyBan!$C10:D10)</f>
        <v>5</v>
      </c>
      <c r="E10" s="21">
        <f>SUM(NhatkyNhap!$C10:E10)-SUM(NhatkyBan!$C10:E10)</f>
        <v>5</v>
      </c>
      <c r="F10" s="21">
        <f>SUM(NhatkyNhap!$C10:F10)-SUM(NhatkyBan!$C10:F10)</f>
        <v>5</v>
      </c>
      <c r="G10" s="21">
        <f>SUM(NhatkyNhap!$C10:G10)-SUM(NhatkyBan!$C10:G10)</f>
        <v>5</v>
      </c>
      <c r="H10" s="21">
        <f>SUM(NhatkyNhap!$C10:H10)-SUM(NhatkyBan!$C10:H10)</f>
        <v>5</v>
      </c>
      <c r="I10" s="21">
        <f>SUM(NhatkyNhap!$C10:I10)-SUM(NhatkyBan!$C10:I10)</f>
        <v>5</v>
      </c>
      <c r="J10" s="21">
        <f>SUM(NhatkyNhap!$C10:J10)-SUM(NhatkyBan!$C10:J10)</f>
        <v>5</v>
      </c>
      <c r="K10" s="21">
        <f>SUM(NhatkyNhap!$C10:K10)-SUM(NhatkyBan!$C10:K10)</f>
        <v>5</v>
      </c>
      <c r="L10" s="21">
        <f>SUM(NhatkyNhap!$C10:L10)-SUM(NhatkyBan!$C10:L10)</f>
        <v>5</v>
      </c>
      <c r="M10" s="21">
        <f>SUM(NhatkyNhap!$C10:M10)-SUM(NhatkyBan!$C10:M10)</f>
        <v>5</v>
      </c>
      <c r="N10" s="21">
        <f>SUM(NhatkyNhap!$C10:N10)-SUM(NhatkyBan!$C10:N10)</f>
        <v>5</v>
      </c>
      <c r="O10" s="21">
        <f>SUM(NhatkyNhap!$C10:O10)-SUM(NhatkyBan!$C10:O10)</f>
        <v>5</v>
      </c>
      <c r="P10" s="21">
        <f>SUM(NhatkyNhap!$C10:P10)-SUM(NhatkyBan!$C10:P10)</f>
        <v>5</v>
      </c>
      <c r="Q10" s="21">
        <f>SUM(NhatkyNhap!$C10:Q10)-SUM(NhatkyBan!$C10:Q10)</f>
        <v>5</v>
      </c>
      <c r="R10" s="21">
        <f>SUM(NhatkyNhap!$C10:R10)-SUM(NhatkyBan!$C10:R10)</f>
        <v>5</v>
      </c>
      <c r="S10" s="21">
        <f>SUM(NhatkyNhap!$C10:S10)-SUM(NhatkyBan!$C10:S10)</f>
        <v>5</v>
      </c>
      <c r="T10" s="21">
        <f>SUM(NhatkyNhap!$C10:T10)-SUM(NhatkyBan!$C10:T10)</f>
        <v>5</v>
      </c>
      <c r="U10" s="21">
        <f>SUM(NhatkyNhap!$C10:U10)-SUM(NhatkyBan!$C10:U10)</f>
        <v>5</v>
      </c>
      <c r="V10" s="21">
        <f>SUM(NhatkyNhap!$C10:V10)-SUM(NhatkyBan!$C10:V10)</f>
        <v>5</v>
      </c>
      <c r="W10" s="21">
        <f>SUM(NhatkyNhap!$C10:W10)-SUM(NhatkyBan!$C10:W10)</f>
        <v>5</v>
      </c>
      <c r="X10" s="21">
        <f>SUM(NhatkyNhap!$C10:X10)-SUM(NhatkyBan!$C10:X10)</f>
        <v>5</v>
      </c>
      <c r="Y10" s="21">
        <f>SUM(NhatkyNhap!$C10:Y10)-SUM(NhatkyBan!$C10:Y10)</f>
        <v>5</v>
      </c>
      <c r="Z10" s="21">
        <f>SUM(NhatkyNhap!$C10:Z10)-SUM(NhatkyBan!$C10:Z10)</f>
        <v>5</v>
      </c>
      <c r="AA10" s="21">
        <f>SUM(NhatkyNhap!$C10:AA10)-SUM(NhatkyBan!$C10:AA10)</f>
        <v>5</v>
      </c>
      <c r="AB10" s="21">
        <f>SUM(NhatkyNhap!$C10:AB10)-SUM(NhatkyBan!$C10:AB10)</f>
        <v>5</v>
      </c>
      <c r="AC10" s="21">
        <f>SUM(NhatkyNhap!$C10:AC10)-SUM(NhatkyBan!$C10:AC10)</f>
        <v>5</v>
      </c>
      <c r="AD10" s="21">
        <f>SUM(NhatkyNhap!$C10:AD10)-SUM(NhatkyBan!$C10:AD10)</f>
        <v>5</v>
      </c>
      <c r="AE10" s="21">
        <f>SUM(NhatkyNhap!$C10:AE10)-SUM(NhatkyBan!$C10:AE10)</f>
        <v>5</v>
      </c>
      <c r="AF10" s="21">
        <f>SUM(NhatkyNhap!$C10:AF10)-SUM(NhatkyBan!$C10:AF10)</f>
        <v>5</v>
      </c>
      <c r="AG10" s="21">
        <f>SUM(NhatkyNhap!$C10:AG10)-SUM(NhatkyBan!$C10:AG10)</f>
        <v>5</v>
      </c>
    </row>
    <row r="11" spans="1:33" ht="12.75" customHeight="1">
      <c r="A11" s="76" t="str">
        <f>DSSP!A10</f>
        <v>A051</v>
      </c>
      <c r="B11" s="25" t="str">
        <f>DSSP!B10</f>
        <v>Kem đôi</v>
      </c>
      <c r="C11" s="21">
        <f>SUM(NhatkyNhap!$C11:C11)-SUM(NhatkyBan!$C11:C11)</f>
        <v>34</v>
      </c>
      <c r="D11" s="21">
        <f>SUM(NhatkyNhap!$C11:D11)-SUM(NhatkyBan!$C11:D11)</f>
        <v>34</v>
      </c>
      <c r="E11" s="21">
        <f>SUM(NhatkyNhap!$C11:E11)-SUM(NhatkyBan!$C11:E11)</f>
        <v>34</v>
      </c>
      <c r="F11" s="21">
        <f>SUM(NhatkyNhap!$C11:F11)-SUM(NhatkyBan!$C11:F11)</f>
        <v>34</v>
      </c>
      <c r="G11" s="21">
        <f>SUM(NhatkyNhap!$C11:G11)-SUM(NhatkyBan!$C11:G11)</f>
        <v>34</v>
      </c>
      <c r="H11" s="21">
        <f>SUM(NhatkyNhap!$C11:H11)-SUM(NhatkyBan!$C11:H11)</f>
        <v>34</v>
      </c>
      <c r="I11" s="21">
        <f>SUM(NhatkyNhap!$C11:I11)-SUM(NhatkyBan!$C11:I11)</f>
        <v>34</v>
      </c>
      <c r="J11" s="21">
        <f>SUM(NhatkyNhap!$C11:J11)-SUM(NhatkyBan!$C11:J11)</f>
        <v>34</v>
      </c>
      <c r="K11" s="21">
        <f>SUM(NhatkyNhap!$C11:K11)-SUM(NhatkyBan!$C11:K11)</f>
        <v>34</v>
      </c>
      <c r="L11" s="21">
        <f>SUM(NhatkyNhap!$C11:L11)-SUM(NhatkyBan!$C11:L11)</f>
        <v>34</v>
      </c>
      <c r="M11" s="21">
        <f>SUM(NhatkyNhap!$C11:M11)-SUM(NhatkyBan!$C11:M11)</f>
        <v>34</v>
      </c>
      <c r="N11" s="21">
        <f>SUM(NhatkyNhap!$C11:N11)-SUM(NhatkyBan!$C11:N11)</f>
        <v>34</v>
      </c>
      <c r="O11" s="21">
        <f>SUM(NhatkyNhap!$C11:O11)-SUM(NhatkyBan!$C11:O11)</f>
        <v>34</v>
      </c>
      <c r="P11" s="21">
        <f>SUM(NhatkyNhap!$C11:P11)-SUM(NhatkyBan!$C11:P11)</f>
        <v>34</v>
      </c>
      <c r="Q11" s="21">
        <f>SUM(NhatkyNhap!$C11:Q11)-SUM(NhatkyBan!$C11:Q11)</f>
        <v>34</v>
      </c>
      <c r="R11" s="21">
        <f>SUM(NhatkyNhap!$C11:R11)-SUM(NhatkyBan!$C11:R11)</f>
        <v>34</v>
      </c>
      <c r="S11" s="21">
        <f>SUM(NhatkyNhap!$C11:S11)-SUM(NhatkyBan!$C11:S11)</f>
        <v>34</v>
      </c>
      <c r="T11" s="21">
        <f>SUM(NhatkyNhap!$C11:T11)-SUM(NhatkyBan!$C11:T11)</f>
        <v>34</v>
      </c>
      <c r="U11" s="21">
        <f>SUM(NhatkyNhap!$C11:U11)-SUM(NhatkyBan!$C11:U11)</f>
        <v>34</v>
      </c>
      <c r="V11" s="21">
        <f>SUM(NhatkyNhap!$C11:V11)-SUM(NhatkyBan!$C11:V11)</f>
        <v>34</v>
      </c>
      <c r="W11" s="21">
        <f>SUM(NhatkyNhap!$C11:W11)-SUM(NhatkyBan!$C11:W11)</f>
        <v>34</v>
      </c>
      <c r="X11" s="21">
        <f>SUM(NhatkyNhap!$C11:X11)-SUM(NhatkyBan!$C11:X11)</f>
        <v>34</v>
      </c>
      <c r="Y11" s="21">
        <f>SUM(NhatkyNhap!$C11:Y11)-SUM(NhatkyBan!$C11:Y11)</f>
        <v>34</v>
      </c>
      <c r="Z11" s="21">
        <f>SUM(NhatkyNhap!$C11:Z11)-SUM(NhatkyBan!$C11:Z11)</f>
        <v>34</v>
      </c>
      <c r="AA11" s="21">
        <f>SUM(NhatkyNhap!$C11:AA11)-SUM(NhatkyBan!$C11:AA11)</f>
        <v>34</v>
      </c>
      <c r="AB11" s="21">
        <f>SUM(NhatkyNhap!$C11:AB11)-SUM(NhatkyBan!$C11:AB11)</f>
        <v>34</v>
      </c>
      <c r="AC11" s="21">
        <f>SUM(NhatkyNhap!$C11:AC11)-SUM(NhatkyBan!$C11:AC11)</f>
        <v>34</v>
      </c>
      <c r="AD11" s="21">
        <f>SUM(NhatkyNhap!$C11:AD11)-SUM(NhatkyBan!$C11:AD11)</f>
        <v>34</v>
      </c>
      <c r="AE11" s="21">
        <f>SUM(NhatkyNhap!$C11:AE11)-SUM(NhatkyBan!$C11:AE11)</f>
        <v>34</v>
      </c>
      <c r="AF11" s="21">
        <f>SUM(NhatkyNhap!$C11:AF11)-SUM(NhatkyBan!$C11:AF11)</f>
        <v>34</v>
      </c>
      <c r="AG11" s="21">
        <f>SUM(NhatkyNhap!$C11:AG11)-SUM(NhatkyBan!$C11:AG11)</f>
        <v>34</v>
      </c>
    </row>
    <row r="12" spans="1:33" ht="12.75" customHeight="1">
      <c r="A12" s="76" t="str">
        <f>DSSP!A11</f>
        <v>A052</v>
      </c>
      <c r="B12" s="25" t="str">
        <f>DSSP!B11</f>
        <v>Nấm đôi</v>
      </c>
      <c r="C12" s="21">
        <f>SUM(NhatkyNhap!$C12:C12)-SUM(NhatkyBan!$C12:C12)</f>
        <v>30</v>
      </c>
      <c r="D12" s="21">
        <f>SUM(NhatkyNhap!$C12:D12)-SUM(NhatkyBan!$C12:D12)</f>
        <v>30</v>
      </c>
      <c r="E12" s="21">
        <f>SUM(NhatkyNhap!$C12:E12)-SUM(NhatkyBan!$C12:E12)</f>
        <v>30</v>
      </c>
      <c r="F12" s="21">
        <f>SUM(NhatkyNhap!$C12:F12)-SUM(NhatkyBan!$C12:F12)</f>
        <v>30</v>
      </c>
      <c r="G12" s="21">
        <f>SUM(NhatkyNhap!$C12:G12)-SUM(NhatkyBan!$C12:G12)</f>
        <v>30</v>
      </c>
      <c r="H12" s="21">
        <f>SUM(NhatkyNhap!$C12:H12)-SUM(NhatkyBan!$C12:H12)</f>
        <v>30</v>
      </c>
      <c r="I12" s="21">
        <f>SUM(NhatkyNhap!$C12:I12)-SUM(NhatkyBan!$C12:I12)</f>
        <v>30</v>
      </c>
      <c r="J12" s="21">
        <f>SUM(NhatkyNhap!$C12:J12)-SUM(NhatkyBan!$C12:J12)</f>
        <v>30</v>
      </c>
      <c r="K12" s="21">
        <f>SUM(NhatkyNhap!$C12:K12)-SUM(NhatkyBan!$C12:K12)</f>
        <v>30</v>
      </c>
      <c r="L12" s="21">
        <f>SUM(NhatkyNhap!$C12:L12)-SUM(NhatkyBan!$C12:L12)</f>
        <v>30</v>
      </c>
      <c r="M12" s="21">
        <f>SUM(NhatkyNhap!$C12:M12)-SUM(NhatkyBan!$C12:M12)</f>
        <v>30</v>
      </c>
      <c r="N12" s="21">
        <f>SUM(NhatkyNhap!$C12:N12)-SUM(NhatkyBan!$C12:N12)</f>
        <v>30</v>
      </c>
      <c r="O12" s="21">
        <f>SUM(NhatkyNhap!$C12:O12)-SUM(NhatkyBan!$C12:O12)</f>
        <v>30</v>
      </c>
      <c r="P12" s="21">
        <f>SUM(NhatkyNhap!$C12:P12)-SUM(NhatkyBan!$C12:P12)</f>
        <v>30</v>
      </c>
      <c r="Q12" s="21">
        <f>SUM(NhatkyNhap!$C12:Q12)-SUM(NhatkyBan!$C12:Q12)</f>
        <v>30</v>
      </c>
      <c r="R12" s="21">
        <f>SUM(NhatkyNhap!$C12:R12)-SUM(NhatkyBan!$C12:R12)</f>
        <v>30</v>
      </c>
      <c r="S12" s="21">
        <f>SUM(NhatkyNhap!$C12:S12)-SUM(NhatkyBan!$C12:S12)</f>
        <v>30</v>
      </c>
      <c r="T12" s="21">
        <f>SUM(NhatkyNhap!$C12:T12)-SUM(NhatkyBan!$C12:T12)</f>
        <v>30</v>
      </c>
      <c r="U12" s="21">
        <f>SUM(NhatkyNhap!$C12:U12)-SUM(NhatkyBan!$C12:U12)</f>
        <v>30</v>
      </c>
      <c r="V12" s="21">
        <f>SUM(NhatkyNhap!$C12:V12)-SUM(NhatkyBan!$C12:V12)</f>
        <v>30</v>
      </c>
      <c r="W12" s="21">
        <f>SUM(NhatkyNhap!$C12:W12)-SUM(NhatkyBan!$C12:W12)</f>
        <v>30</v>
      </c>
      <c r="X12" s="21">
        <f>SUM(NhatkyNhap!$C12:X12)-SUM(NhatkyBan!$C12:X12)</f>
        <v>30</v>
      </c>
      <c r="Y12" s="21">
        <f>SUM(NhatkyNhap!$C12:Y12)-SUM(NhatkyBan!$C12:Y12)</f>
        <v>30</v>
      </c>
      <c r="Z12" s="21">
        <f>SUM(NhatkyNhap!$C12:Z12)-SUM(NhatkyBan!$C12:Z12)</f>
        <v>30</v>
      </c>
      <c r="AA12" s="21">
        <f>SUM(NhatkyNhap!$C12:AA12)-SUM(NhatkyBan!$C12:AA12)</f>
        <v>30</v>
      </c>
      <c r="AB12" s="21">
        <f>SUM(NhatkyNhap!$C12:AB12)-SUM(NhatkyBan!$C12:AB12)</f>
        <v>30</v>
      </c>
      <c r="AC12" s="21">
        <f>SUM(NhatkyNhap!$C12:AC12)-SUM(NhatkyBan!$C12:AC12)</f>
        <v>30</v>
      </c>
      <c r="AD12" s="21">
        <f>SUM(NhatkyNhap!$C12:AD12)-SUM(NhatkyBan!$C12:AD12)</f>
        <v>30</v>
      </c>
      <c r="AE12" s="21">
        <f>SUM(NhatkyNhap!$C12:AE12)-SUM(NhatkyBan!$C12:AE12)</f>
        <v>30</v>
      </c>
      <c r="AF12" s="21">
        <f>SUM(NhatkyNhap!$C12:AF12)-SUM(NhatkyBan!$C12:AF12)</f>
        <v>30</v>
      </c>
      <c r="AG12" s="21">
        <f>SUM(NhatkyNhap!$C12:AG12)-SUM(NhatkyBan!$C12:AG12)</f>
        <v>30</v>
      </c>
    </row>
    <row r="13" spans="1:33" ht="12.75" customHeight="1">
      <c r="A13" s="76" t="str">
        <f>DSSP!A12</f>
        <v>A054</v>
      </c>
      <c r="B13" s="25" t="str">
        <f>DSSP!B12</f>
        <v>Cáo đôi</v>
      </c>
      <c r="C13" s="21">
        <f>SUM(NhatkyNhap!$C13:C13)-SUM(NhatkyBan!$C13:C13)</f>
        <v>9</v>
      </c>
      <c r="D13" s="21">
        <f>SUM(NhatkyNhap!$C13:D13)-SUM(NhatkyBan!$C13:D13)</f>
        <v>9</v>
      </c>
      <c r="E13" s="21">
        <f>SUM(NhatkyNhap!$C13:E13)-SUM(NhatkyBan!$C13:E13)</f>
        <v>9</v>
      </c>
      <c r="F13" s="21">
        <f>SUM(NhatkyNhap!$C13:F13)-SUM(NhatkyBan!$C13:F13)</f>
        <v>9</v>
      </c>
      <c r="G13" s="21">
        <f>SUM(NhatkyNhap!$C13:G13)-SUM(NhatkyBan!$C13:G13)</f>
        <v>9</v>
      </c>
      <c r="H13" s="21">
        <f>SUM(NhatkyNhap!$C13:H13)-SUM(NhatkyBan!$C13:H13)</f>
        <v>9</v>
      </c>
      <c r="I13" s="21">
        <f>SUM(NhatkyNhap!$C13:I13)-SUM(NhatkyBan!$C13:I13)</f>
        <v>9</v>
      </c>
      <c r="J13" s="21">
        <f>SUM(NhatkyNhap!$C13:J13)-SUM(NhatkyBan!$C13:J13)</f>
        <v>9</v>
      </c>
      <c r="K13" s="21">
        <f>SUM(NhatkyNhap!$C13:K13)-SUM(NhatkyBan!$C13:K13)</f>
        <v>9</v>
      </c>
      <c r="L13" s="21">
        <f>SUM(NhatkyNhap!$C13:L13)-SUM(NhatkyBan!$C13:L13)</f>
        <v>9</v>
      </c>
      <c r="M13" s="21">
        <f>SUM(NhatkyNhap!$C13:M13)-SUM(NhatkyBan!$C13:M13)</f>
        <v>9</v>
      </c>
      <c r="N13" s="21">
        <f>SUM(NhatkyNhap!$C13:N13)-SUM(NhatkyBan!$C13:N13)</f>
        <v>9</v>
      </c>
      <c r="O13" s="21">
        <f>SUM(NhatkyNhap!$C13:O13)-SUM(NhatkyBan!$C13:O13)</f>
        <v>9</v>
      </c>
      <c r="P13" s="21">
        <f>SUM(NhatkyNhap!$C13:P13)-SUM(NhatkyBan!$C13:P13)</f>
        <v>9</v>
      </c>
      <c r="Q13" s="21">
        <f>SUM(NhatkyNhap!$C13:Q13)-SUM(NhatkyBan!$C13:Q13)</f>
        <v>9</v>
      </c>
      <c r="R13" s="21">
        <f>SUM(NhatkyNhap!$C13:R13)-SUM(NhatkyBan!$C13:R13)</f>
        <v>9</v>
      </c>
      <c r="S13" s="21">
        <f>SUM(NhatkyNhap!$C13:S13)-SUM(NhatkyBan!$C13:S13)</f>
        <v>9</v>
      </c>
      <c r="T13" s="21">
        <f>SUM(NhatkyNhap!$C13:T13)-SUM(NhatkyBan!$C13:T13)</f>
        <v>9</v>
      </c>
      <c r="U13" s="21">
        <f>SUM(NhatkyNhap!$C13:U13)-SUM(NhatkyBan!$C13:U13)</f>
        <v>9</v>
      </c>
      <c r="V13" s="21">
        <f>SUM(NhatkyNhap!$C13:V13)-SUM(NhatkyBan!$C13:V13)</f>
        <v>9</v>
      </c>
      <c r="W13" s="21">
        <f>SUM(NhatkyNhap!$C13:W13)-SUM(NhatkyBan!$C13:W13)</f>
        <v>9</v>
      </c>
      <c r="X13" s="21">
        <f>SUM(NhatkyNhap!$C13:X13)-SUM(NhatkyBan!$C13:X13)</f>
        <v>9</v>
      </c>
      <c r="Y13" s="21">
        <f>SUM(NhatkyNhap!$C13:Y13)-SUM(NhatkyBan!$C13:Y13)</f>
        <v>9</v>
      </c>
      <c r="Z13" s="21">
        <f>SUM(NhatkyNhap!$C13:Z13)-SUM(NhatkyBan!$C13:Z13)</f>
        <v>9</v>
      </c>
      <c r="AA13" s="21">
        <f>SUM(NhatkyNhap!$C13:AA13)-SUM(NhatkyBan!$C13:AA13)</f>
        <v>9</v>
      </c>
      <c r="AB13" s="21">
        <f>SUM(NhatkyNhap!$C13:AB13)-SUM(NhatkyBan!$C13:AB13)</f>
        <v>9</v>
      </c>
      <c r="AC13" s="21">
        <f>SUM(NhatkyNhap!$C13:AC13)-SUM(NhatkyBan!$C13:AC13)</f>
        <v>9</v>
      </c>
      <c r="AD13" s="21">
        <f>SUM(NhatkyNhap!$C13:AD13)-SUM(NhatkyBan!$C13:AD13)</f>
        <v>9</v>
      </c>
      <c r="AE13" s="21">
        <f>SUM(NhatkyNhap!$C13:AE13)-SUM(NhatkyBan!$C13:AE13)</f>
        <v>9</v>
      </c>
      <c r="AF13" s="21">
        <f>SUM(NhatkyNhap!$C13:AF13)-SUM(NhatkyBan!$C13:AF13)</f>
        <v>9</v>
      </c>
      <c r="AG13" s="21">
        <f>SUM(NhatkyNhap!$C13:AG13)-SUM(NhatkyBan!$C13:AG13)</f>
        <v>9</v>
      </c>
    </row>
    <row r="14" spans="1:33" ht="12.75" customHeight="1">
      <c r="A14" s="76" t="str">
        <f>DSSP!A13</f>
        <v>A055</v>
      </c>
      <c r="B14" s="25" t="str">
        <f>DSSP!B13</f>
        <v>Cơm nắm</v>
      </c>
      <c r="C14" s="21">
        <f>SUM(NhatkyNhap!$C14:C14)-SUM(NhatkyBan!$C14:C14)</f>
        <v>45</v>
      </c>
      <c r="D14" s="21">
        <f>SUM(NhatkyNhap!$C14:D14)-SUM(NhatkyBan!$C14:D14)</f>
        <v>45</v>
      </c>
      <c r="E14" s="21">
        <f>SUM(NhatkyNhap!$C14:E14)-SUM(NhatkyBan!$C14:E14)</f>
        <v>45</v>
      </c>
      <c r="F14" s="21">
        <f>SUM(NhatkyNhap!$C14:F14)-SUM(NhatkyBan!$C14:F14)</f>
        <v>45</v>
      </c>
      <c r="G14" s="21">
        <f>SUM(NhatkyNhap!$C14:G14)-SUM(NhatkyBan!$C14:G14)</f>
        <v>45</v>
      </c>
      <c r="H14" s="21">
        <f>SUM(NhatkyNhap!$C14:H14)-SUM(NhatkyBan!$C14:H14)</f>
        <v>45</v>
      </c>
      <c r="I14" s="21">
        <f>SUM(NhatkyNhap!$C14:I14)-SUM(NhatkyBan!$C14:I14)</f>
        <v>45</v>
      </c>
      <c r="J14" s="21">
        <f>SUM(NhatkyNhap!$C14:J14)-SUM(NhatkyBan!$C14:J14)</f>
        <v>45</v>
      </c>
      <c r="K14" s="21">
        <f>SUM(NhatkyNhap!$C14:K14)-SUM(NhatkyBan!$C14:K14)</f>
        <v>45</v>
      </c>
      <c r="L14" s="21">
        <f>SUM(NhatkyNhap!$C14:L14)-SUM(NhatkyBan!$C14:L14)</f>
        <v>45</v>
      </c>
      <c r="M14" s="21">
        <f>SUM(NhatkyNhap!$C14:M14)-SUM(NhatkyBan!$C14:M14)</f>
        <v>45</v>
      </c>
      <c r="N14" s="21">
        <f>SUM(NhatkyNhap!$C14:N14)-SUM(NhatkyBan!$C14:N14)</f>
        <v>45</v>
      </c>
      <c r="O14" s="21">
        <f>SUM(NhatkyNhap!$C14:O14)-SUM(NhatkyBan!$C14:O14)</f>
        <v>45</v>
      </c>
      <c r="P14" s="21">
        <f>SUM(NhatkyNhap!$C14:P14)-SUM(NhatkyBan!$C14:P14)</f>
        <v>45</v>
      </c>
      <c r="Q14" s="21">
        <f>SUM(NhatkyNhap!$C14:Q14)-SUM(NhatkyBan!$C14:Q14)</f>
        <v>45</v>
      </c>
      <c r="R14" s="21">
        <f>SUM(NhatkyNhap!$C14:R14)-SUM(NhatkyBan!$C14:R14)</f>
        <v>45</v>
      </c>
      <c r="S14" s="21">
        <f>SUM(NhatkyNhap!$C14:S14)-SUM(NhatkyBan!$C14:S14)</f>
        <v>45</v>
      </c>
      <c r="T14" s="21">
        <f>SUM(NhatkyNhap!$C14:T14)-SUM(NhatkyBan!$C14:T14)</f>
        <v>45</v>
      </c>
      <c r="U14" s="21">
        <f>SUM(NhatkyNhap!$C14:U14)-SUM(NhatkyBan!$C14:U14)</f>
        <v>45</v>
      </c>
      <c r="V14" s="21">
        <f>SUM(NhatkyNhap!$C14:V14)-SUM(NhatkyBan!$C14:V14)</f>
        <v>45</v>
      </c>
      <c r="W14" s="21">
        <f>SUM(NhatkyNhap!$C14:W14)-SUM(NhatkyBan!$C14:W14)</f>
        <v>45</v>
      </c>
      <c r="X14" s="21">
        <f>SUM(NhatkyNhap!$C14:X14)-SUM(NhatkyBan!$C14:X14)</f>
        <v>45</v>
      </c>
      <c r="Y14" s="21">
        <f>SUM(NhatkyNhap!$C14:Y14)-SUM(NhatkyBan!$C14:Y14)</f>
        <v>45</v>
      </c>
      <c r="Z14" s="21">
        <f>SUM(NhatkyNhap!$C14:Z14)-SUM(NhatkyBan!$C14:Z14)</f>
        <v>45</v>
      </c>
      <c r="AA14" s="21">
        <f>SUM(NhatkyNhap!$C14:AA14)-SUM(NhatkyBan!$C14:AA14)</f>
        <v>45</v>
      </c>
      <c r="AB14" s="21">
        <f>SUM(NhatkyNhap!$C14:AB14)-SUM(NhatkyBan!$C14:AB14)</f>
        <v>45</v>
      </c>
      <c r="AC14" s="21">
        <f>SUM(NhatkyNhap!$C14:AC14)-SUM(NhatkyBan!$C14:AC14)</f>
        <v>45</v>
      </c>
      <c r="AD14" s="21">
        <f>SUM(NhatkyNhap!$C14:AD14)-SUM(NhatkyBan!$C14:AD14)</f>
        <v>45</v>
      </c>
      <c r="AE14" s="21">
        <f>SUM(NhatkyNhap!$C14:AE14)-SUM(NhatkyBan!$C14:AE14)</f>
        <v>45</v>
      </c>
      <c r="AF14" s="21">
        <f>SUM(NhatkyNhap!$C14:AF14)-SUM(NhatkyBan!$C14:AF14)</f>
        <v>45</v>
      </c>
      <c r="AG14" s="21">
        <f>SUM(NhatkyNhap!$C14:AG14)-SUM(NhatkyBan!$C14:AG14)</f>
        <v>45</v>
      </c>
    </row>
    <row r="15" spans="1:33" ht="12.75" customHeight="1">
      <c r="A15" s="76" t="str">
        <f>DSSP!A14</f>
        <v>A056</v>
      </c>
      <c r="B15" s="25" t="str">
        <f>DSSP!B14</f>
        <v>Ong</v>
      </c>
      <c r="C15" s="21">
        <f>SUM(NhatkyNhap!$C15:C15)-SUM(NhatkyBan!$C15:C15)</f>
        <v>0</v>
      </c>
      <c r="D15" s="21">
        <f>SUM(NhatkyNhap!$C15:D15)-SUM(NhatkyBan!$C15:D15)</f>
        <v>0</v>
      </c>
      <c r="E15" s="21">
        <f>SUM(NhatkyNhap!$C15:E15)-SUM(NhatkyBan!$C15:E15)</f>
        <v>0</v>
      </c>
      <c r="F15" s="21">
        <f>SUM(NhatkyNhap!$C15:F15)-SUM(NhatkyBan!$C15:F15)</f>
        <v>0</v>
      </c>
      <c r="G15" s="21">
        <f>SUM(NhatkyNhap!$C15:G15)-SUM(NhatkyBan!$C15:G15)</f>
        <v>0</v>
      </c>
      <c r="H15" s="21">
        <f>SUM(NhatkyNhap!$C15:H15)-SUM(NhatkyBan!$C15:H15)</f>
        <v>0</v>
      </c>
      <c r="I15" s="21">
        <f>SUM(NhatkyNhap!$C15:I15)-SUM(NhatkyBan!$C15:I15)</f>
        <v>0</v>
      </c>
      <c r="J15" s="21">
        <f>SUM(NhatkyNhap!$C15:J15)-SUM(NhatkyBan!$C15:J15)</f>
        <v>0</v>
      </c>
      <c r="K15" s="21">
        <f>SUM(NhatkyNhap!$C15:K15)-SUM(NhatkyBan!$C15:K15)</f>
        <v>0</v>
      </c>
      <c r="L15" s="21">
        <f>SUM(NhatkyNhap!$C15:L15)-SUM(NhatkyBan!$C15:L15)</f>
        <v>0</v>
      </c>
      <c r="M15" s="21">
        <f>SUM(NhatkyNhap!$C15:M15)-SUM(NhatkyBan!$C15:M15)</f>
        <v>0</v>
      </c>
      <c r="N15" s="21">
        <f>SUM(NhatkyNhap!$C15:N15)-SUM(NhatkyBan!$C15:N15)</f>
        <v>0</v>
      </c>
      <c r="O15" s="21">
        <f>SUM(NhatkyNhap!$C15:O15)-SUM(NhatkyBan!$C15:O15)</f>
        <v>0</v>
      </c>
      <c r="P15" s="21">
        <f>SUM(NhatkyNhap!$C15:P15)-SUM(NhatkyBan!$C15:P15)</f>
        <v>0</v>
      </c>
      <c r="Q15" s="21">
        <f>SUM(NhatkyNhap!$C15:Q15)-SUM(NhatkyBan!$C15:Q15)</f>
        <v>0</v>
      </c>
      <c r="R15" s="21">
        <f>SUM(NhatkyNhap!$C15:R15)-SUM(NhatkyBan!$C15:R15)</f>
        <v>0</v>
      </c>
      <c r="S15" s="21">
        <f>SUM(NhatkyNhap!$C15:S15)-SUM(NhatkyBan!$C15:S15)</f>
        <v>0</v>
      </c>
      <c r="T15" s="21">
        <f>SUM(NhatkyNhap!$C15:T15)-SUM(NhatkyBan!$C15:T15)</f>
        <v>0</v>
      </c>
      <c r="U15" s="21">
        <f>SUM(NhatkyNhap!$C15:U15)-SUM(NhatkyBan!$C15:U15)</f>
        <v>0</v>
      </c>
      <c r="V15" s="21">
        <f>SUM(NhatkyNhap!$C15:V15)-SUM(NhatkyBan!$C15:V15)</f>
        <v>0</v>
      </c>
      <c r="W15" s="21">
        <f>SUM(NhatkyNhap!$C15:W15)-SUM(NhatkyBan!$C15:W15)</f>
        <v>0</v>
      </c>
      <c r="X15" s="21">
        <f>SUM(NhatkyNhap!$C15:X15)-SUM(NhatkyBan!$C15:X15)</f>
        <v>0</v>
      </c>
      <c r="Y15" s="21">
        <f>SUM(NhatkyNhap!$C15:Y15)-SUM(NhatkyBan!$C15:Y15)</f>
        <v>0</v>
      </c>
      <c r="Z15" s="21">
        <f>SUM(NhatkyNhap!$C15:Z15)-SUM(NhatkyBan!$C15:Z15)</f>
        <v>0</v>
      </c>
      <c r="AA15" s="21">
        <f>SUM(NhatkyNhap!$C15:AA15)-SUM(NhatkyBan!$C15:AA15)</f>
        <v>0</v>
      </c>
      <c r="AB15" s="21">
        <f>SUM(NhatkyNhap!$C15:AB15)-SUM(NhatkyBan!$C15:AB15)</f>
        <v>0</v>
      </c>
      <c r="AC15" s="21">
        <f>SUM(NhatkyNhap!$C15:AC15)-SUM(NhatkyBan!$C15:AC15)</f>
        <v>0</v>
      </c>
      <c r="AD15" s="21">
        <f>SUM(NhatkyNhap!$C15:AD15)-SUM(NhatkyBan!$C15:AD15)</f>
        <v>0</v>
      </c>
      <c r="AE15" s="21">
        <f>SUM(NhatkyNhap!$C15:AE15)-SUM(NhatkyBan!$C15:AE15)</f>
        <v>0</v>
      </c>
      <c r="AF15" s="21">
        <f>SUM(NhatkyNhap!$C15:AF15)-SUM(NhatkyBan!$C15:AF15)</f>
        <v>0</v>
      </c>
      <c r="AG15" s="21">
        <f>SUM(NhatkyNhap!$C15:AG15)-SUM(NhatkyBan!$C15:AG15)</f>
        <v>0</v>
      </c>
    </row>
    <row r="16" spans="1:33" ht="12.75" customHeight="1">
      <c r="A16" s="76" t="str">
        <f>DSSP!A15</f>
        <v>A057</v>
      </c>
      <c r="B16" s="25" t="str">
        <f>DSSP!B15</f>
        <v>Cỏ 4 lá</v>
      </c>
      <c r="C16" s="21">
        <f>SUM(NhatkyNhap!$C16:C16)-SUM(NhatkyBan!$C16:C16)</f>
        <v>58</v>
      </c>
      <c r="D16" s="21">
        <f>SUM(NhatkyNhap!$C16:D16)-SUM(NhatkyBan!$C16:D16)</f>
        <v>58</v>
      </c>
      <c r="E16" s="21">
        <f>SUM(NhatkyNhap!$C16:E16)-SUM(NhatkyBan!$C16:E16)</f>
        <v>58</v>
      </c>
      <c r="F16" s="21">
        <f>SUM(NhatkyNhap!$C16:F16)-SUM(NhatkyBan!$C16:F16)</f>
        <v>58</v>
      </c>
      <c r="G16" s="21">
        <f>SUM(NhatkyNhap!$C16:G16)-SUM(NhatkyBan!$C16:G16)</f>
        <v>58</v>
      </c>
      <c r="H16" s="21">
        <f>SUM(NhatkyNhap!$C16:H16)-SUM(NhatkyBan!$C16:H16)</f>
        <v>58</v>
      </c>
      <c r="I16" s="21">
        <f>SUM(NhatkyNhap!$C16:I16)-SUM(NhatkyBan!$C16:I16)</f>
        <v>58</v>
      </c>
      <c r="J16" s="21">
        <f>SUM(NhatkyNhap!$C16:J16)-SUM(NhatkyBan!$C16:J16)</f>
        <v>58</v>
      </c>
      <c r="K16" s="21">
        <f>SUM(NhatkyNhap!$C16:K16)-SUM(NhatkyBan!$C16:K16)</f>
        <v>58</v>
      </c>
      <c r="L16" s="21">
        <f>SUM(NhatkyNhap!$C16:L16)-SUM(NhatkyBan!$C16:L16)</f>
        <v>58</v>
      </c>
      <c r="M16" s="21">
        <f>SUM(NhatkyNhap!$C16:M16)-SUM(NhatkyBan!$C16:M16)</f>
        <v>58</v>
      </c>
      <c r="N16" s="21">
        <f>SUM(NhatkyNhap!$C16:N16)-SUM(NhatkyBan!$C16:N16)</f>
        <v>58</v>
      </c>
      <c r="O16" s="21">
        <f>SUM(NhatkyNhap!$C16:O16)-SUM(NhatkyBan!$C16:O16)</f>
        <v>58</v>
      </c>
      <c r="P16" s="21">
        <f>SUM(NhatkyNhap!$C16:P16)-SUM(NhatkyBan!$C16:P16)</f>
        <v>58</v>
      </c>
      <c r="Q16" s="21">
        <f>SUM(NhatkyNhap!$C16:Q16)-SUM(NhatkyBan!$C16:Q16)</f>
        <v>58</v>
      </c>
      <c r="R16" s="21">
        <f>SUM(NhatkyNhap!$C16:R16)-SUM(NhatkyBan!$C16:R16)</f>
        <v>58</v>
      </c>
      <c r="S16" s="21">
        <f>SUM(NhatkyNhap!$C16:S16)-SUM(NhatkyBan!$C16:S16)</f>
        <v>58</v>
      </c>
      <c r="T16" s="21">
        <f>SUM(NhatkyNhap!$C16:T16)-SUM(NhatkyBan!$C16:T16)</f>
        <v>58</v>
      </c>
      <c r="U16" s="21">
        <f>SUM(NhatkyNhap!$C16:U16)-SUM(NhatkyBan!$C16:U16)</f>
        <v>58</v>
      </c>
      <c r="V16" s="21">
        <f>SUM(NhatkyNhap!$C16:V16)-SUM(NhatkyBan!$C16:V16)</f>
        <v>58</v>
      </c>
      <c r="W16" s="21">
        <f>SUM(NhatkyNhap!$C16:W16)-SUM(NhatkyBan!$C16:W16)</f>
        <v>58</v>
      </c>
      <c r="X16" s="21">
        <f>SUM(NhatkyNhap!$C16:X16)-SUM(NhatkyBan!$C16:X16)</f>
        <v>58</v>
      </c>
      <c r="Y16" s="21">
        <f>SUM(NhatkyNhap!$C16:Y16)-SUM(NhatkyBan!$C16:Y16)</f>
        <v>58</v>
      </c>
      <c r="Z16" s="21">
        <f>SUM(NhatkyNhap!$C16:Z16)-SUM(NhatkyBan!$C16:Z16)</f>
        <v>58</v>
      </c>
      <c r="AA16" s="21">
        <f>SUM(NhatkyNhap!$C16:AA16)-SUM(NhatkyBan!$C16:AA16)</f>
        <v>58</v>
      </c>
      <c r="AB16" s="21">
        <f>SUM(NhatkyNhap!$C16:AB16)-SUM(NhatkyBan!$C16:AB16)</f>
        <v>58</v>
      </c>
      <c r="AC16" s="21">
        <f>SUM(NhatkyNhap!$C16:AC16)-SUM(NhatkyBan!$C16:AC16)</f>
        <v>58</v>
      </c>
      <c r="AD16" s="21">
        <f>SUM(NhatkyNhap!$C16:AD16)-SUM(NhatkyBan!$C16:AD16)</f>
        <v>58</v>
      </c>
      <c r="AE16" s="21">
        <f>SUM(NhatkyNhap!$C16:AE16)-SUM(NhatkyBan!$C16:AE16)</f>
        <v>58</v>
      </c>
      <c r="AF16" s="21">
        <f>SUM(NhatkyNhap!$C16:AF16)-SUM(NhatkyBan!$C16:AF16)</f>
        <v>58</v>
      </c>
      <c r="AG16" s="21">
        <f>SUM(NhatkyNhap!$C16:AG16)-SUM(NhatkyBan!$C16:AG16)</f>
        <v>58</v>
      </c>
    </row>
    <row r="17" spans="1:33" ht="12.75" customHeight="1">
      <c r="A17" s="76" t="str">
        <f>DSSP!A16</f>
        <v>A058</v>
      </c>
      <c r="B17" s="25" t="str">
        <f>DSSP!B16</f>
        <v>Ếch</v>
      </c>
      <c r="C17" s="21">
        <f>SUM(NhatkyNhap!$C17:C17)-SUM(NhatkyBan!$C17:C17)</f>
        <v>47</v>
      </c>
      <c r="D17" s="21">
        <f>SUM(NhatkyNhap!$C17:D17)-SUM(NhatkyBan!$C17:D17)</f>
        <v>47</v>
      </c>
      <c r="E17" s="21">
        <f>SUM(NhatkyNhap!$C17:E17)-SUM(NhatkyBan!$C17:E17)</f>
        <v>47</v>
      </c>
      <c r="F17" s="21">
        <f>SUM(NhatkyNhap!$C17:F17)-SUM(NhatkyBan!$C17:F17)</f>
        <v>47</v>
      </c>
      <c r="G17" s="21">
        <f>SUM(NhatkyNhap!$C17:G17)-SUM(NhatkyBan!$C17:G17)</f>
        <v>47</v>
      </c>
      <c r="H17" s="21">
        <f>SUM(NhatkyNhap!$C17:H17)-SUM(NhatkyBan!$C17:H17)</f>
        <v>47</v>
      </c>
      <c r="I17" s="21">
        <f>SUM(NhatkyNhap!$C17:I17)-SUM(NhatkyBan!$C17:I17)</f>
        <v>47</v>
      </c>
      <c r="J17" s="21">
        <f>SUM(NhatkyNhap!$C17:J17)-SUM(NhatkyBan!$C17:J17)</f>
        <v>47</v>
      </c>
      <c r="K17" s="21">
        <f>SUM(NhatkyNhap!$C17:K17)-SUM(NhatkyBan!$C17:K17)</f>
        <v>47</v>
      </c>
      <c r="L17" s="21">
        <f>SUM(NhatkyNhap!$C17:L17)-SUM(NhatkyBan!$C17:L17)</f>
        <v>47</v>
      </c>
      <c r="M17" s="21">
        <f>SUM(NhatkyNhap!$C17:M17)-SUM(NhatkyBan!$C17:M17)</f>
        <v>47</v>
      </c>
      <c r="N17" s="21">
        <f>SUM(NhatkyNhap!$C17:N17)-SUM(NhatkyBan!$C17:N17)</f>
        <v>47</v>
      </c>
      <c r="O17" s="21">
        <f>SUM(NhatkyNhap!$C17:O17)-SUM(NhatkyBan!$C17:O17)</f>
        <v>47</v>
      </c>
      <c r="P17" s="21">
        <f>SUM(NhatkyNhap!$C17:P17)-SUM(NhatkyBan!$C17:P17)</f>
        <v>47</v>
      </c>
      <c r="Q17" s="21">
        <f>SUM(NhatkyNhap!$C17:Q17)-SUM(NhatkyBan!$C17:Q17)</f>
        <v>47</v>
      </c>
      <c r="R17" s="21">
        <f>SUM(NhatkyNhap!$C17:R17)-SUM(NhatkyBan!$C17:R17)</f>
        <v>47</v>
      </c>
      <c r="S17" s="21">
        <f>SUM(NhatkyNhap!$C17:S17)-SUM(NhatkyBan!$C17:S17)</f>
        <v>47</v>
      </c>
      <c r="T17" s="21">
        <f>SUM(NhatkyNhap!$C17:T17)-SUM(NhatkyBan!$C17:T17)</f>
        <v>47</v>
      </c>
      <c r="U17" s="21">
        <f>SUM(NhatkyNhap!$C17:U17)-SUM(NhatkyBan!$C17:U17)</f>
        <v>47</v>
      </c>
      <c r="V17" s="21">
        <f>SUM(NhatkyNhap!$C17:V17)-SUM(NhatkyBan!$C17:V17)</f>
        <v>47</v>
      </c>
      <c r="W17" s="21">
        <f>SUM(NhatkyNhap!$C17:W17)-SUM(NhatkyBan!$C17:W17)</f>
        <v>47</v>
      </c>
      <c r="X17" s="21">
        <f>SUM(NhatkyNhap!$C17:X17)-SUM(NhatkyBan!$C17:X17)</f>
        <v>47</v>
      </c>
      <c r="Y17" s="21">
        <f>SUM(NhatkyNhap!$C17:Y17)-SUM(NhatkyBan!$C17:Y17)</f>
        <v>47</v>
      </c>
      <c r="Z17" s="21">
        <f>SUM(NhatkyNhap!$C17:Z17)-SUM(NhatkyBan!$C17:Z17)</f>
        <v>47</v>
      </c>
      <c r="AA17" s="21">
        <f>SUM(NhatkyNhap!$C17:AA17)-SUM(NhatkyBan!$C17:AA17)</f>
        <v>47</v>
      </c>
      <c r="AB17" s="21">
        <f>SUM(NhatkyNhap!$C17:AB17)-SUM(NhatkyBan!$C17:AB17)</f>
        <v>47</v>
      </c>
      <c r="AC17" s="21">
        <f>SUM(NhatkyNhap!$C17:AC17)-SUM(NhatkyBan!$C17:AC17)</f>
        <v>47</v>
      </c>
      <c r="AD17" s="21">
        <f>SUM(NhatkyNhap!$C17:AD17)-SUM(NhatkyBan!$C17:AD17)</f>
        <v>47</v>
      </c>
      <c r="AE17" s="21">
        <f>SUM(NhatkyNhap!$C17:AE17)-SUM(NhatkyBan!$C17:AE17)</f>
        <v>47</v>
      </c>
      <c r="AF17" s="21">
        <f>SUM(NhatkyNhap!$C17:AF17)-SUM(NhatkyBan!$C17:AF17)</f>
        <v>47</v>
      </c>
      <c r="AG17" s="21">
        <f>SUM(NhatkyNhap!$C17:AG17)-SUM(NhatkyBan!$C17:AG17)</f>
        <v>47</v>
      </c>
    </row>
    <row r="18" spans="1:33" ht="12.75" customHeight="1">
      <c r="A18" s="76" t="str">
        <f>DSSP!A17</f>
        <v>A059</v>
      </c>
      <c r="B18" s="25" t="str">
        <f>DSSP!B17</f>
        <v>Bọ dừa</v>
      </c>
      <c r="C18" s="21">
        <f>SUM(NhatkyNhap!$C18:C18)-SUM(NhatkyBan!$C18:C18)</f>
        <v>18</v>
      </c>
      <c r="D18" s="21">
        <f>SUM(NhatkyNhap!$C18:D18)-SUM(NhatkyBan!$C18:D18)</f>
        <v>18</v>
      </c>
      <c r="E18" s="21">
        <f>SUM(NhatkyNhap!$C18:E18)-SUM(NhatkyBan!$C18:E18)</f>
        <v>18</v>
      </c>
      <c r="F18" s="21">
        <f>SUM(NhatkyNhap!$C18:F18)-SUM(NhatkyBan!$C18:F18)</f>
        <v>18</v>
      </c>
      <c r="G18" s="21">
        <f>SUM(NhatkyNhap!$C18:G18)-SUM(NhatkyBan!$C18:G18)</f>
        <v>18</v>
      </c>
      <c r="H18" s="21">
        <f>SUM(NhatkyNhap!$C18:H18)-SUM(NhatkyBan!$C18:H18)</f>
        <v>18</v>
      </c>
      <c r="I18" s="21">
        <f>SUM(NhatkyNhap!$C18:I18)-SUM(NhatkyBan!$C18:I18)</f>
        <v>18</v>
      </c>
      <c r="J18" s="21">
        <f>SUM(NhatkyNhap!$C18:J18)-SUM(NhatkyBan!$C18:J18)</f>
        <v>18</v>
      </c>
      <c r="K18" s="21">
        <f>SUM(NhatkyNhap!$C18:K18)-SUM(NhatkyBan!$C18:K18)</f>
        <v>18</v>
      </c>
      <c r="L18" s="21">
        <f>SUM(NhatkyNhap!$C18:L18)-SUM(NhatkyBan!$C18:L18)</f>
        <v>18</v>
      </c>
      <c r="M18" s="21">
        <f>SUM(NhatkyNhap!$C18:M18)-SUM(NhatkyBan!$C18:M18)</f>
        <v>18</v>
      </c>
      <c r="N18" s="21">
        <f>SUM(NhatkyNhap!$C18:N18)-SUM(NhatkyBan!$C18:N18)</f>
        <v>18</v>
      </c>
      <c r="O18" s="21">
        <f>SUM(NhatkyNhap!$C18:O18)-SUM(NhatkyBan!$C18:O18)</f>
        <v>18</v>
      </c>
      <c r="P18" s="21">
        <f>SUM(NhatkyNhap!$C18:P18)-SUM(NhatkyBan!$C18:P18)</f>
        <v>18</v>
      </c>
      <c r="Q18" s="21">
        <f>SUM(NhatkyNhap!$C18:Q18)-SUM(NhatkyBan!$C18:Q18)</f>
        <v>18</v>
      </c>
      <c r="R18" s="21">
        <f>SUM(NhatkyNhap!$C18:R18)-SUM(NhatkyBan!$C18:R18)</f>
        <v>18</v>
      </c>
      <c r="S18" s="21">
        <f>SUM(NhatkyNhap!$C18:S18)-SUM(NhatkyBan!$C18:S18)</f>
        <v>18</v>
      </c>
      <c r="T18" s="21">
        <f>SUM(NhatkyNhap!$C18:T18)-SUM(NhatkyBan!$C18:T18)</f>
        <v>18</v>
      </c>
      <c r="U18" s="21">
        <f>SUM(NhatkyNhap!$C18:U18)-SUM(NhatkyBan!$C18:U18)</f>
        <v>18</v>
      </c>
      <c r="V18" s="21">
        <f>SUM(NhatkyNhap!$C18:V18)-SUM(NhatkyBan!$C18:V18)</f>
        <v>18</v>
      </c>
      <c r="W18" s="21">
        <f>SUM(NhatkyNhap!$C18:W18)-SUM(NhatkyBan!$C18:W18)</f>
        <v>18</v>
      </c>
      <c r="X18" s="21">
        <f>SUM(NhatkyNhap!$C18:X18)-SUM(NhatkyBan!$C18:X18)</f>
        <v>18</v>
      </c>
      <c r="Y18" s="21">
        <f>SUM(NhatkyNhap!$C18:Y18)-SUM(NhatkyBan!$C18:Y18)</f>
        <v>18</v>
      </c>
      <c r="Z18" s="21">
        <f>SUM(NhatkyNhap!$C18:Z18)-SUM(NhatkyBan!$C18:Z18)</f>
        <v>18</v>
      </c>
      <c r="AA18" s="21">
        <f>SUM(NhatkyNhap!$C18:AA18)-SUM(NhatkyBan!$C18:AA18)</f>
        <v>18</v>
      </c>
      <c r="AB18" s="21">
        <f>SUM(NhatkyNhap!$C18:AB18)-SUM(NhatkyBan!$C18:AB18)</f>
        <v>18</v>
      </c>
      <c r="AC18" s="21">
        <f>SUM(NhatkyNhap!$C18:AC18)-SUM(NhatkyBan!$C18:AC18)</f>
        <v>18</v>
      </c>
      <c r="AD18" s="21">
        <f>SUM(NhatkyNhap!$C18:AD18)-SUM(NhatkyBan!$C18:AD18)</f>
        <v>18</v>
      </c>
      <c r="AE18" s="21">
        <f>SUM(NhatkyNhap!$C18:AE18)-SUM(NhatkyBan!$C18:AE18)</f>
        <v>18</v>
      </c>
      <c r="AF18" s="21">
        <f>SUM(NhatkyNhap!$C18:AF18)-SUM(NhatkyBan!$C18:AF18)</f>
        <v>18</v>
      </c>
      <c r="AG18" s="21">
        <f>SUM(NhatkyNhap!$C18:AG18)-SUM(NhatkyBan!$C18:AG18)</f>
        <v>18</v>
      </c>
    </row>
    <row r="19" spans="1:33" ht="12.75" customHeight="1">
      <c r="A19" s="76" t="str">
        <f>DSSP!A18</f>
        <v>A060</v>
      </c>
      <c r="B19" s="25" t="str">
        <f>DSSP!B18</f>
        <v>Cánh cụt</v>
      </c>
      <c r="C19" s="21">
        <f>SUM(NhatkyNhap!$C19:C19)-SUM(NhatkyBan!$C19:C19)</f>
        <v>32</v>
      </c>
      <c r="D19" s="21">
        <f>SUM(NhatkyNhap!$C19:D19)-SUM(NhatkyBan!$C19:D19)</f>
        <v>32</v>
      </c>
      <c r="E19" s="21">
        <f>SUM(NhatkyNhap!$C19:E19)-SUM(NhatkyBan!$C19:E19)</f>
        <v>32</v>
      </c>
      <c r="F19" s="21">
        <f>SUM(NhatkyNhap!$C19:F19)-SUM(NhatkyBan!$C19:F19)</f>
        <v>32</v>
      </c>
      <c r="G19" s="21">
        <f>SUM(NhatkyNhap!$C19:G19)-SUM(NhatkyBan!$C19:G19)</f>
        <v>32</v>
      </c>
      <c r="H19" s="21">
        <f>SUM(NhatkyNhap!$C19:H19)-SUM(NhatkyBan!$C19:H19)</f>
        <v>32</v>
      </c>
      <c r="I19" s="21">
        <f>SUM(NhatkyNhap!$C19:I19)-SUM(NhatkyBan!$C19:I19)</f>
        <v>32</v>
      </c>
      <c r="J19" s="21">
        <f>SUM(NhatkyNhap!$C19:J19)-SUM(NhatkyBan!$C19:J19)</f>
        <v>32</v>
      </c>
      <c r="K19" s="21">
        <f>SUM(NhatkyNhap!$C19:K19)-SUM(NhatkyBan!$C19:K19)</f>
        <v>32</v>
      </c>
      <c r="L19" s="21">
        <f>SUM(NhatkyNhap!$C19:L19)-SUM(NhatkyBan!$C19:L19)</f>
        <v>32</v>
      </c>
      <c r="M19" s="21">
        <f>SUM(NhatkyNhap!$C19:M19)-SUM(NhatkyBan!$C19:M19)</f>
        <v>32</v>
      </c>
      <c r="N19" s="21">
        <f>SUM(NhatkyNhap!$C19:N19)-SUM(NhatkyBan!$C19:N19)</f>
        <v>32</v>
      </c>
      <c r="O19" s="21">
        <f>SUM(NhatkyNhap!$C19:O19)-SUM(NhatkyBan!$C19:O19)</f>
        <v>32</v>
      </c>
      <c r="P19" s="21">
        <f>SUM(NhatkyNhap!$C19:P19)-SUM(NhatkyBan!$C19:P19)</f>
        <v>32</v>
      </c>
      <c r="Q19" s="21">
        <f>SUM(NhatkyNhap!$C19:Q19)-SUM(NhatkyBan!$C19:Q19)</f>
        <v>32</v>
      </c>
      <c r="R19" s="21">
        <f>SUM(NhatkyNhap!$C19:R19)-SUM(NhatkyBan!$C19:R19)</f>
        <v>32</v>
      </c>
      <c r="S19" s="21">
        <f>SUM(NhatkyNhap!$C19:S19)-SUM(NhatkyBan!$C19:S19)</f>
        <v>32</v>
      </c>
      <c r="T19" s="21">
        <f>SUM(NhatkyNhap!$C19:T19)-SUM(NhatkyBan!$C19:T19)</f>
        <v>32</v>
      </c>
      <c r="U19" s="21">
        <f>SUM(NhatkyNhap!$C19:U19)-SUM(NhatkyBan!$C19:U19)</f>
        <v>32</v>
      </c>
      <c r="V19" s="21">
        <f>SUM(NhatkyNhap!$C19:V19)-SUM(NhatkyBan!$C19:V19)</f>
        <v>32</v>
      </c>
      <c r="W19" s="21">
        <f>SUM(NhatkyNhap!$C19:W19)-SUM(NhatkyBan!$C19:W19)</f>
        <v>32</v>
      </c>
      <c r="X19" s="21">
        <f>SUM(NhatkyNhap!$C19:X19)-SUM(NhatkyBan!$C19:X19)</f>
        <v>32</v>
      </c>
      <c r="Y19" s="21">
        <f>SUM(NhatkyNhap!$C19:Y19)-SUM(NhatkyBan!$C19:Y19)</f>
        <v>32</v>
      </c>
      <c r="Z19" s="21">
        <f>SUM(NhatkyNhap!$C19:Z19)-SUM(NhatkyBan!$C19:Z19)</f>
        <v>32</v>
      </c>
      <c r="AA19" s="21">
        <f>SUM(NhatkyNhap!$C19:AA19)-SUM(NhatkyBan!$C19:AA19)</f>
        <v>32</v>
      </c>
      <c r="AB19" s="21">
        <f>SUM(NhatkyNhap!$C19:AB19)-SUM(NhatkyBan!$C19:AB19)</f>
        <v>32</v>
      </c>
      <c r="AC19" s="21">
        <f>SUM(NhatkyNhap!$C19:AC19)-SUM(NhatkyBan!$C19:AC19)</f>
        <v>32</v>
      </c>
      <c r="AD19" s="21">
        <f>SUM(NhatkyNhap!$C19:AD19)-SUM(NhatkyBan!$C19:AD19)</f>
        <v>32</v>
      </c>
      <c r="AE19" s="21">
        <f>SUM(NhatkyNhap!$C19:AE19)-SUM(NhatkyBan!$C19:AE19)</f>
        <v>32</v>
      </c>
      <c r="AF19" s="21">
        <f>SUM(NhatkyNhap!$C19:AF19)-SUM(NhatkyBan!$C19:AF19)</f>
        <v>32</v>
      </c>
      <c r="AG19" s="21">
        <f>SUM(NhatkyNhap!$C19:AG19)-SUM(NhatkyBan!$C19:AG19)</f>
        <v>32</v>
      </c>
    </row>
    <row r="20" spans="1:33" ht="12.75" customHeight="1">
      <c r="A20" s="76" t="str">
        <f>DSSP!A19</f>
        <v>A061</v>
      </c>
      <c r="B20" s="25" t="str">
        <f>DSSP!B19</f>
        <v>Gấu trúc</v>
      </c>
      <c r="C20" s="21">
        <f>SUM(NhatkyNhap!$C20:C20)-SUM(NhatkyBan!$C20:C20)</f>
        <v>54</v>
      </c>
      <c r="D20" s="21">
        <f>SUM(NhatkyNhap!$C20:D20)-SUM(NhatkyBan!$C20:D20)</f>
        <v>54</v>
      </c>
      <c r="E20" s="21">
        <f>SUM(NhatkyNhap!$C20:E20)-SUM(NhatkyBan!$C20:E20)</f>
        <v>54</v>
      </c>
      <c r="F20" s="21">
        <f>SUM(NhatkyNhap!$C20:F20)-SUM(NhatkyBan!$C20:F20)</f>
        <v>54</v>
      </c>
      <c r="G20" s="21">
        <f>SUM(NhatkyNhap!$C20:G20)-SUM(NhatkyBan!$C20:G20)</f>
        <v>54</v>
      </c>
      <c r="H20" s="21">
        <f>SUM(NhatkyNhap!$C20:H20)-SUM(NhatkyBan!$C20:H20)</f>
        <v>54</v>
      </c>
      <c r="I20" s="21">
        <f>SUM(NhatkyNhap!$C20:I20)-SUM(NhatkyBan!$C20:I20)</f>
        <v>54</v>
      </c>
      <c r="J20" s="21">
        <f>SUM(NhatkyNhap!$C20:J20)-SUM(NhatkyBan!$C20:J20)</f>
        <v>54</v>
      </c>
      <c r="K20" s="21">
        <f>SUM(NhatkyNhap!$C20:K20)-SUM(NhatkyBan!$C20:K20)</f>
        <v>54</v>
      </c>
      <c r="L20" s="21">
        <f>SUM(NhatkyNhap!$C20:L20)-SUM(NhatkyBan!$C20:L20)</f>
        <v>54</v>
      </c>
      <c r="M20" s="21">
        <f>SUM(NhatkyNhap!$C20:M20)-SUM(NhatkyBan!$C20:M20)</f>
        <v>54</v>
      </c>
      <c r="N20" s="21">
        <f>SUM(NhatkyNhap!$C20:N20)-SUM(NhatkyBan!$C20:N20)</f>
        <v>54</v>
      </c>
      <c r="O20" s="21">
        <f>SUM(NhatkyNhap!$C20:O20)-SUM(NhatkyBan!$C20:O20)</f>
        <v>54</v>
      </c>
      <c r="P20" s="21">
        <f>SUM(NhatkyNhap!$C20:P20)-SUM(NhatkyBan!$C20:P20)</f>
        <v>54</v>
      </c>
      <c r="Q20" s="21">
        <f>SUM(NhatkyNhap!$C20:Q20)-SUM(NhatkyBan!$C20:Q20)</f>
        <v>54</v>
      </c>
      <c r="R20" s="21">
        <f>SUM(NhatkyNhap!$C20:R20)-SUM(NhatkyBan!$C20:R20)</f>
        <v>54</v>
      </c>
      <c r="S20" s="21">
        <f>SUM(NhatkyNhap!$C20:S20)-SUM(NhatkyBan!$C20:S20)</f>
        <v>54</v>
      </c>
      <c r="T20" s="21">
        <f>SUM(NhatkyNhap!$C20:T20)-SUM(NhatkyBan!$C20:T20)</f>
        <v>54</v>
      </c>
      <c r="U20" s="21">
        <f>SUM(NhatkyNhap!$C20:U20)-SUM(NhatkyBan!$C20:U20)</f>
        <v>54</v>
      </c>
      <c r="V20" s="21">
        <f>SUM(NhatkyNhap!$C20:V20)-SUM(NhatkyBan!$C20:V20)</f>
        <v>54</v>
      </c>
      <c r="W20" s="21">
        <f>SUM(NhatkyNhap!$C20:W20)-SUM(NhatkyBan!$C20:W20)</f>
        <v>54</v>
      </c>
      <c r="X20" s="21">
        <f>SUM(NhatkyNhap!$C20:X20)-SUM(NhatkyBan!$C20:X20)</f>
        <v>54</v>
      </c>
      <c r="Y20" s="21">
        <f>SUM(NhatkyNhap!$C20:Y20)-SUM(NhatkyBan!$C20:Y20)</f>
        <v>54</v>
      </c>
      <c r="Z20" s="21">
        <f>SUM(NhatkyNhap!$C20:Z20)-SUM(NhatkyBan!$C20:Z20)</f>
        <v>54</v>
      </c>
      <c r="AA20" s="21">
        <f>SUM(NhatkyNhap!$C20:AA20)-SUM(NhatkyBan!$C20:AA20)</f>
        <v>54</v>
      </c>
      <c r="AB20" s="21">
        <f>SUM(NhatkyNhap!$C20:AB20)-SUM(NhatkyBan!$C20:AB20)</f>
        <v>54</v>
      </c>
      <c r="AC20" s="21">
        <f>SUM(NhatkyNhap!$C20:AC20)-SUM(NhatkyBan!$C20:AC20)</f>
        <v>54</v>
      </c>
      <c r="AD20" s="21">
        <f>SUM(NhatkyNhap!$C20:AD20)-SUM(NhatkyBan!$C20:AD20)</f>
        <v>54</v>
      </c>
      <c r="AE20" s="21">
        <f>SUM(NhatkyNhap!$C20:AE20)-SUM(NhatkyBan!$C20:AE20)</f>
        <v>54</v>
      </c>
      <c r="AF20" s="21">
        <f>SUM(NhatkyNhap!$C20:AF20)-SUM(NhatkyBan!$C20:AF20)</f>
        <v>54</v>
      </c>
      <c r="AG20" s="21">
        <f>SUM(NhatkyNhap!$C20:AG20)-SUM(NhatkyBan!$C20:AG20)</f>
        <v>54</v>
      </c>
    </row>
    <row r="21" spans="1:33" ht="12.75" customHeight="1">
      <c r="A21" s="76" t="str">
        <f>DSSP!A20</f>
        <v>A062</v>
      </c>
      <c r="B21" s="25" t="str">
        <f>DSSP!B20</f>
        <v>Hươu</v>
      </c>
      <c r="C21" s="21">
        <f>SUM(NhatkyNhap!$C21:C21)-SUM(NhatkyBan!$C21:C21)</f>
        <v>30</v>
      </c>
      <c r="D21" s="21">
        <f>SUM(NhatkyNhap!$C21:D21)-SUM(NhatkyBan!$C21:D21)</f>
        <v>30</v>
      </c>
      <c r="E21" s="21">
        <f>SUM(NhatkyNhap!$C21:E21)-SUM(NhatkyBan!$C21:E21)</f>
        <v>30</v>
      </c>
      <c r="F21" s="21">
        <f>SUM(NhatkyNhap!$C21:F21)-SUM(NhatkyBan!$C21:F21)</f>
        <v>30</v>
      </c>
      <c r="G21" s="21">
        <f>SUM(NhatkyNhap!$C21:G21)-SUM(NhatkyBan!$C21:G21)</f>
        <v>30</v>
      </c>
      <c r="H21" s="21">
        <f>SUM(NhatkyNhap!$C21:H21)-SUM(NhatkyBan!$C21:H21)</f>
        <v>30</v>
      </c>
      <c r="I21" s="21">
        <f>SUM(NhatkyNhap!$C21:I21)-SUM(NhatkyBan!$C21:I21)</f>
        <v>30</v>
      </c>
      <c r="J21" s="21">
        <f>SUM(NhatkyNhap!$C21:J21)-SUM(NhatkyBan!$C21:J21)</f>
        <v>30</v>
      </c>
      <c r="K21" s="21">
        <f>SUM(NhatkyNhap!$C21:K21)-SUM(NhatkyBan!$C21:K21)</f>
        <v>30</v>
      </c>
      <c r="L21" s="21">
        <f>SUM(NhatkyNhap!$C21:L21)-SUM(NhatkyBan!$C21:L21)</f>
        <v>30</v>
      </c>
      <c r="M21" s="21">
        <f>SUM(NhatkyNhap!$C21:M21)-SUM(NhatkyBan!$C21:M21)</f>
        <v>30</v>
      </c>
      <c r="N21" s="21">
        <f>SUM(NhatkyNhap!$C21:N21)-SUM(NhatkyBan!$C21:N21)</f>
        <v>30</v>
      </c>
      <c r="O21" s="21">
        <f>SUM(NhatkyNhap!$C21:O21)-SUM(NhatkyBan!$C21:O21)</f>
        <v>30</v>
      </c>
      <c r="P21" s="21">
        <f>SUM(NhatkyNhap!$C21:P21)-SUM(NhatkyBan!$C21:P21)</f>
        <v>30</v>
      </c>
      <c r="Q21" s="21">
        <f>SUM(NhatkyNhap!$C21:Q21)-SUM(NhatkyBan!$C21:Q21)</f>
        <v>30</v>
      </c>
      <c r="R21" s="21">
        <f>SUM(NhatkyNhap!$C21:R21)-SUM(NhatkyBan!$C21:R21)</f>
        <v>30</v>
      </c>
      <c r="S21" s="21">
        <f>SUM(NhatkyNhap!$C21:S21)-SUM(NhatkyBan!$C21:S21)</f>
        <v>30</v>
      </c>
      <c r="T21" s="21">
        <f>SUM(NhatkyNhap!$C21:T21)-SUM(NhatkyBan!$C21:T21)</f>
        <v>30</v>
      </c>
      <c r="U21" s="21">
        <f>SUM(NhatkyNhap!$C21:U21)-SUM(NhatkyBan!$C21:U21)</f>
        <v>30</v>
      </c>
      <c r="V21" s="21">
        <f>SUM(NhatkyNhap!$C21:V21)-SUM(NhatkyBan!$C21:V21)</f>
        <v>30</v>
      </c>
      <c r="W21" s="21">
        <f>SUM(NhatkyNhap!$C21:W21)-SUM(NhatkyBan!$C21:W21)</f>
        <v>30</v>
      </c>
      <c r="X21" s="21">
        <f>SUM(NhatkyNhap!$C21:X21)-SUM(NhatkyBan!$C21:X21)</f>
        <v>30</v>
      </c>
      <c r="Y21" s="21">
        <f>SUM(NhatkyNhap!$C21:Y21)-SUM(NhatkyBan!$C21:Y21)</f>
        <v>30</v>
      </c>
      <c r="Z21" s="21">
        <f>SUM(NhatkyNhap!$C21:Z21)-SUM(NhatkyBan!$C21:Z21)</f>
        <v>30</v>
      </c>
      <c r="AA21" s="21">
        <f>SUM(NhatkyNhap!$C21:AA21)-SUM(NhatkyBan!$C21:AA21)</f>
        <v>30</v>
      </c>
      <c r="AB21" s="21">
        <f>SUM(NhatkyNhap!$C21:AB21)-SUM(NhatkyBan!$C21:AB21)</f>
        <v>30</v>
      </c>
      <c r="AC21" s="21">
        <f>SUM(NhatkyNhap!$C21:AC21)-SUM(NhatkyBan!$C21:AC21)</f>
        <v>30</v>
      </c>
      <c r="AD21" s="21">
        <f>SUM(NhatkyNhap!$C21:AD21)-SUM(NhatkyBan!$C21:AD21)</f>
        <v>30</v>
      </c>
      <c r="AE21" s="21">
        <f>SUM(NhatkyNhap!$C21:AE21)-SUM(NhatkyBan!$C21:AE21)</f>
        <v>30</v>
      </c>
      <c r="AF21" s="21">
        <f>SUM(NhatkyNhap!$C21:AF21)-SUM(NhatkyBan!$C21:AF21)</f>
        <v>30</v>
      </c>
      <c r="AG21" s="21">
        <f>SUM(NhatkyNhap!$C21:AG21)-SUM(NhatkyBan!$C21:AG21)</f>
        <v>30</v>
      </c>
    </row>
    <row r="22" spans="1:33" ht="12.75" customHeight="1">
      <c r="A22" s="76" t="str">
        <f>DSSP!A21</f>
        <v>A063</v>
      </c>
      <c r="B22" s="25" t="str">
        <f>DSSP!B21</f>
        <v>Lừa</v>
      </c>
      <c r="C22" s="21">
        <f>SUM(NhatkyNhap!$C22:C22)-SUM(NhatkyBan!$C22:C22)</f>
        <v>21</v>
      </c>
      <c r="D22" s="21">
        <f>SUM(NhatkyNhap!$C22:D22)-SUM(NhatkyBan!$C22:D22)</f>
        <v>21</v>
      </c>
      <c r="E22" s="21">
        <f>SUM(NhatkyNhap!$C22:E22)-SUM(NhatkyBan!$C22:E22)</f>
        <v>21</v>
      </c>
      <c r="F22" s="21">
        <f>SUM(NhatkyNhap!$C22:F22)-SUM(NhatkyBan!$C22:F22)</f>
        <v>21</v>
      </c>
      <c r="G22" s="21">
        <f>SUM(NhatkyNhap!$C22:G22)-SUM(NhatkyBan!$C22:G22)</f>
        <v>21</v>
      </c>
      <c r="H22" s="21">
        <f>SUM(NhatkyNhap!$C22:H22)-SUM(NhatkyBan!$C22:H22)</f>
        <v>21</v>
      </c>
      <c r="I22" s="21">
        <f>SUM(NhatkyNhap!$C22:I22)-SUM(NhatkyBan!$C22:I22)</f>
        <v>21</v>
      </c>
      <c r="J22" s="21">
        <f>SUM(NhatkyNhap!$C22:J22)-SUM(NhatkyBan!$C22:J22)</f>
        <v>21</v>
      </c>
      <c r="K22" s="21">
        <f>SUM(NhatkyNhap!$C22:K22)-SUM(NhatkyBan!$C22:K22)</f>
        <v>21</v>
      </c>
      <c r="L22" s="21">
        <f>SUM(NhatkyNhap!$C22:L22)-SUM(NhatkyBan!$C22:L22)</f>
        <v>21</v>
      </c>
      <c r="M22" s="21">
        <f>SUM(NhatkyNhap!$C22:M22)-SUM(NhatkyBan!$C22:M22)</f>
        <v>21</v>
      </c>
      <c r="N22" s="21">
        <f>SUM(NhatkyNhap!$C22:N22)-SUM(NhatkyBan!$C22:N22)</f>
        <v>21</v>
      </c>
      <c r="O22" s="21">
        <f>SUM(NhatkyNhap!$C22:O22)-SUM(NhatkyBan!$C22:O22)</f>
        <v>21</v>
      </c>
      <c r="P22" s="21">
        <f>SUM(NhatkyNhap!$C22:P22)-SUM(NhatkyBan!$C22:P22)</f>
        <v>21</v>
      </c>
      <c r="Q22" s="21">
        <f>SUM(NhatkyNhap!$C22:Q22)-SUM(NhatkyBan!$C22:Q22)</f>
        <v>21</v>
      </c>
      <c r="R22" s="21">
        <f>SUM(NhatkyNhap!$C22:R22)-SUM(NhatkyBan!$C22:R22)</f>
        <v>21</v>
      </c>
      <c r="S22" s="21">
        <f>SUM(NhatkyNhap!$C22:S22)-SUM(NhatkyBan!$C22:S22)</f>
        <v>21</v>
      </c>
      <c r="T22" s="21">
        <f>SUM(NhatkyNhap!$C22:T22)-SUM(NhatkyBan!$C22:T22)</f>
        <v>21</v>
      </c>
      <c r="U22" s="21">
        <f>SUM(NhatkyNhap!$C22:U22)-SUM(NhatkyBan!$C22:U22)</f>
        <v>21</v>
      </c>
      <c r="V22" s="21">
        <f>SUM(NhatkyNhap!$C22:V22)-SUM(NhatkyBan!$C22:V22)</f>
        <v>21</v>
      </c>
      <c r="W22" s="21">
        <f>SUM(NhatkyNhap!$C22:W22)-SUM(NhatkyBan!$C22:W22)</f>
        <v>21</v>
      </c>
      <c r="X22" s="21">
        <f>SUM(NhatkyNhap!$C22:X22)-SUM(NhatkyBan!$C22:X22)</f>
        <v>21</v>
      </c>
      <c r="Y22" s="21">
        <f>SUM(NhatkyNhap!$C22:Y22)-SUM(NhatkyBan!$C22:Y22)</f>
        <v>21</v>
      </c>
      <c r="Z22" s="21">
        <f>SUM(NhatkyNhap!$C22:Z22)-SUM(NhatkyBan!$C22:Z22)</f>
        <v>21</v>
      </c>
      <c r="AA22" s="21">
        <f>SUM(NhatkyNhap!$C22:AA22)-SUM(NhatkyBan!$C22:AA22)</f>
        <v>21</v>
      </c>
      <c r="AB22" s="21">
        <f>SUM(NhatkyNhap!$C22:AB22)-SUM(NhatkyBan!$C22:AB22)</f>
        <v>21</v>
      </c>
      <c r="AC22" s="21">
        <f>SUM(NhatkyNhap!$C22:AC22)-SUM(NhatkyBan!$C22:AC22)</f>
        <v>21</v>
      </c>
      <c r="AD22" s="21">
        <f>SUM(NhatkyNhap!$C22:AD22)-SUM(NhatkyBan!$C22:AD22)</f>
        <v>21</v>
      </c>
      <c r="AE22" s="21">
        <f>SUM(NhatkyNhap!$C22:AE22)-SUM(NhatkyBan!$C22:AE22)</f>
        <v>21</v>
      </c>
      <c r="AF22" s="21">
        <f>SUM(NhatkyNhap!$C22:AF22)-SUM(NhatkyBan!$C22:AF22)</f>
        <v>21</v>
      </c>
      <c r="AG22" s="21">
        <f>SUM(NhatkyNhap!$C22:AG22)-SUM(NhatkyBan!$C22:AG22)</f>
        <v>21</v>
      </c>
    </row>
    <row r="23" spans="1:33" ht="12.75" customHeight="1">
      <c r="A23" s="76" t="str">
        <f>DSSP!A22</f>
        <v>A064</v>
      </c>
      <c r="B23" s="25" t="str">
        <f>DSSP!B22</f>
        <v>Bánh sữa</v>
      </c>
      <c r="C23" s="21">
        <f>SUM(NhatkyNhap!$C23:C23)-SUM(NhatkyBan!$C23:C23)</f>
        <v>36</v>
      </c>
      <c r="D23" s="21">
        <f>SUM(NhatkyNhap!$C23:D23)-SUM(NhatkyBan!$C23:D23)</f>
        <v>36</v>
      </c>
      <c r="E23" s="21">
        <f>SUM(NhatkyNhap!$C23:E23)-SUM(NhatkyBan!$C23:E23)</f>
        <v>36</v>
      </c>
      <c r="F23" s="21">
        <f>SUM(NhatkyNhap!$C23:F23)-SUM(NhatkyBan!$C23:F23)</f>
        <v>36</v>
      </c>
      <c r="G23" s="21">
        <f>SUM(NhatkyNhap!$C23:G23)-SUM(NhatkyBan!$C23:G23)</f>
        <v>36</v>
      </c>
      <c r="H23" s="21">
        <f>SUM(NhatkyNhap!$C23:H23)-SUM(NhatkyBan!$C23:H23)</f>
        <v>36</v>
      </c>
      <c r="I23" s="21">
        <f>SUM(NhatkyNhap!$C23:I23)-SUM(NhatkyBan!$C23:I23)</f>
        <v>36</v>
      </c>
      <c r="J23" s="21">
        <f>SUM(NhatkyNhap!$C23:J23)-SUM(NhatkyBan!$C23:J23)</f>
        <v>36</v>
      </c>
      <c r="K23" s="21">
        <f>SUM(NhatkyNhap!$C23:K23)-SUM(NhatkyBan!$C23:K23)</f>
        <v>36</v>
      </c>
      <c r="L23" s="21">
        <f>SUM(NhatkyNhap!$C23:L23)-SUM(NhatkyBan!$C23:L23)</f>
        <v>36</v>
      </c>
      <c r="M23" s="21">
        <f>SUM(NhatkyNhap!$C23:M23)-SUM(NhatkyBan!$C23:M23)</f>
        <v>36</v>
      </c>
      <c r="N23" s="21">
        <f>SUM(NhatkyNhap!$C23:N23)-SUM(NhatkyBan!$C23:N23)</f>
        <v>36</v>
      </c>
      <c r="O23" s="21">
        <f>SUM(NhatkyNhap!$C23:O23)-SUM(NhatkyBan!$C23:O23)</f>
        <v>36</v>
      </c>
      <c r="P23" s="21">
        <f>SUM(NhatkyNhap!$C23:P23)-SUM(NhatkyBan!$C23:P23)</f>
        <v>36</v>
      </c>
      <c r="Q23" s="21">
        <f>SUM(NhatkyNhap!$C23:Q23)-SUM(NhatkyBan!$C23:Q23)</f>
        <v>36</v>
      </c>
      <c r="R23" s="21">
        <f>SUM(NhatkyNhap!$C23:R23)-SUM(NhatkyBan!$C23:R23)</f>
        <v>36</v>
      </c>
      <c r="S23" s="21">
        <f>SUM(NhatkyNhap!$C23:S23)-SUM(NhatkyBan!$C23:S23)</f>
        <v>36</v>
      </c>
      <c r="T23" s="21">
        <f>SUM(NhatkyNhap!$C23:T23)-SUM(NhatkyBan!$C23:T23)</f>
        <v>36</v>
      </c>
      <c r="U23" s="21">
        <f>SUM(NhatkyNhap!$C23:U23)-SUM(NhatkyBan!$C23:U23)</f>
        <v>36</v>
      </c>
      <c r="V23" s="21">
        <f>SUM(NhatkyNhap!$C23:V23)-SUM(NhatkyBan!$C23:V23)</f>
        <v>36</v>
      </c>
      <c r="W23" s="21">
        <f>SUM(NhatkyNhap!$C23:W23)-SUM(NhatkyBan!$C23:W23)</f>
        <v>36</v>
      </c>
      <c r="X23" s="21">
        <f>SUM(NhatkyNhap!$C23:X23)-SUM(NhatkyBan!$C23:X23)</f>
        <v>36</v>
      </c>
      <c r="Y23" s="21">
        <f>SUM(NhatkyNhap!$C23:Y23)-SUM(NhatkyBan!$C23:Y23)</f>
        <v>36</v>
      </c>
      <c r="Z23" s="21">
        <f>SUM(NhatkyNhap!$C23:Z23)-SUM(NhatkyBan!$C23:Z23)</f>
        <v>36</v>
      </c>
      <c r="AA23" s="21">
        <f>SUM(NhatkyNhap!$C23:AA23)-SUM(NhatkyBan!$C23:AA23)</f>
        <v>36</v>
      </c>
      <c r="AB23" s="21">
        <f>SUM(NhatkyNhap!$C23:AB23)-SUM(NhatkyBan!$C23:AB23)</f>
        <v>36</v>
      </c>
      <c r="AC23" s="21">
        <f>SUM(NhatkyNhap!$C23:AC23)-SUM(NhatkyBan!$C23:AC23)</f>
        <v>36</v>
      </c>
      <c r="AD23" s="21">
        <f>SUM(NhatkyNhap!$C23:AD23)-SUM(NhatkyBan!$C23:AD23)</f>
        <v>36</v>
      </c>
      <c r="AE23" s="21">
        <f>SUM(NhatkyNhap!$C23:AE23)-SUM(NhatkyBan!$C23:AE23)</f>
        <v>36</v>
      </c>
      <c r="AF23" s="21">
        <f>SUM(NhatkyNhap!$C23:AF23)-SUM(NhatkyBan!$C23:AF23)</f>
        <v>36</v>
      </c>
      <c r="AG23" s="21">
        <f>SUM(NhatkyNhap!$C23:AG23)-SUM(NhatkyBan!$C23:AG23)</f>
        <v>36</v>
      </c>
    </row>
    <row r="24" spans="1:33" ht="12.75" customHeight="1">
      <c r="A24" s="76" t="str">
        <f>DSSP!A23</f>
        <v>A069</v>
      </c>
      <c r="B24" s="25" t="str">
        <f>DSSP!B23</f>
        <v>Bánh kem</v>
      </c>
      <c r="C24" s="21">
        <f>SUM(NhatkyNhap!$C24:C24)-SUM(NhatkyBan!$C24:C24)</f>
        <v>-1</v>
      </c>
      <c r="D24" s="21">
        <f>SUM(NhatkyNhap!$C24:D24)-SUM(NhatkyBan!$C24:D24)</f>
        <v>-1</v>
      </c>
      <c r="E24" s="21">
        <f>SUM(NhatkyNhap!$C24:E24)-SUM(NhatkyBan!$C24:E24)</f>
        <v>-1</v>
      </c>
      <c r="F24" s="21">
        <f>SUM(NhatkyNhap!$C24:F24)-SUM(NhatkyBan!$C24:F24)</f>
        <v>-1</v>
      </c>
      <c r="G24" s="21">
        <f>SUM(NhatkyNhap!$C24:G24)-SUM(NhatkyBan!$C24:G24)</f>
        <v>-1</v>
      </c>
      <c r="H24" s="21">
        <f>SUM(NhatkyNhap!$C24:H24)-SUM(NhatkyBan!$C24:H24)</f>
        <v>-1</v>
      </c>
      <c r="I24" s="21">
        <f>SUM(NhatkyNhap!$C24:I24)-SUM(NhatkyBan!$C24:I24)</f>
        <v>-1</v>
      </c>
      <c r="J24" s="21">
        <f>SUM(NhatkyNhap!$C24:J24)-SUM(NhatkyBan!$C24:J24)</f>
        <v>-1</v>
      </c>
      <c r="K24" s="21">
        <f>SUM(NhatkyNhap!$C24:K24)-SUM(NhatkyBan!$C24:K24)</f>
        <v>-1</v>
      </c>
      <c r="L24" s="21">
        <f>SUM(NhatkyNhap!$C24:L24)-SUM(NhatkyBan!$C24:L24)</f>
        <v>-1</v>
      </c>
      <c r="M24" s="21">
        <f>SUM(NhatkyNhap!$C24:M24)-SUM(NhatkyBan!$C24:M24)</f>
        <v>-1</v>
      </c>
      <c r="N24" s="21">
        <f>SUM(NhatkyNhap!$C24:N24)-SUM(NhatkyBan!$C24:N24)</f>
        <v>-1</v>
      </c>
      <c r="O24" s="21">
        <f>SUM(NhatkyNhap!$C24:O24)-SUM(NhatkyBan!$C24:O24)</f>
        <v>-1</v>
      </c>
      <c r="P24" s="21">
        <f>SUM(NhatkyNhap!$C24:P24)-SUM(NhatkyBan!$C24:P24)</f>
        <v>-1</v>
      </c>
      <c r="Q24" s="21">
        <f>SUM(NhatkyNhap!$C24:Q24)-SUM(NhatkyBan!$C24:Q24)</f>
        <v>-1</v>
      </c>
      <c r="R24" s="21">
        <f>SUM(NhatkyNhap!$C24:R24)-SUM(NhatkyBan!$C24:R24)</f>
        <v>-1</v>
      </c>
      <c r="S24" s="21">
        <f>SUM(NhatkyNhap!$C24:S24)-SUM(NhatkyBan!$C24:S24)</f>
        <v>-1</v>
      </c>
      <c r="T24" s="21">
        <f>SUM(NhatkyNhap!$C24:T24)-SUM(NhatkyBan!$C24:T24)</f>
        <v>-1</v>
      </c>
      <c r="U24" s="21">
        <f>SUM(NhatkyNhap!$C24:U24)-SUM(NhatkyBan!$C24:U24)</f>
        <v>-1</v>
      </c>
      <c r="V24" s="21">
        <f>SUM(NhatkyNhap!$C24:V24)-SUM(NhatkyBan!$C24:V24)</f>
        <v>-1</v>
      </c>
      <c r="W24" s="21">
        <f>SUM(NhatkyNhap!$C24:W24)-SUM(NhatkyBan!$C24:W24)</f>
        <v>-1</v>
      </c>
      <c r="X24" s="21">
        <f>SUM(NhatkyNhap!$C24:X24)-SUM(NhatkyBan!$C24:X24)</f>
        <v>-1</v>
      </c>
      <c r="Y24" s="21">
        <f>SUM(NhatkyNhap!$C24:Y24)-SUM(NhatkyBan!$C24:Y24)</f>
        <v>-1</v>
      </c>
      <c r="Z24" s="21">
        <f>SUM(NhatkyNhap!$C24:Z24)-SUM(NhatkyBan!$C24:Z24)</f>
        <v>-1</v>
      </c>
      <c r="AA24" s="21">
        <f>SUM(NhatkyNhap!$C24:AA24)-SUM(NhatkyBan!$C24:AA24)</f>
        <v>-1</v>
      </c>
      <c r="AB24" s="21">
        <f>SUM(NhatkyNhap!$C24:AB24)-SUM(NhatkyBan!$C24:AB24)</f>
        <v>-1</v>
      </c>
      <c r="AC24" s="21">
        <f>SUM(NhatkyNhap!$C24:AC24)-SUM(NhatkyBan!$C24:AC24)</f>
        <v>-1</v>
      </c>
      <c r="AD24" s="21">
        <f>SUM(NhatkyNhap!$C24:AD24)-SUM(NhatkyBan!$C24:AD24)</f>
        <v>-1</v>
      </c>
      <c r="AE24" s="21">
        <f>SUM(NhatkyNhap!$C24:AE24)-SUM(NhatkyBan!$C24:AE24)</f>
        <v>-1</v>
      </c>
      <c r="AF24" s="21">
        <f>SUM(NhatkyNhap!$C24:AF24)-SUM(NhatkyBan!$C24:AF24)</f>
        <v>-1</v>
      </c>
      <c r="AG24" s="21">
        <f>SUM(NhatkyNhap!$C24:AG24)-SUM(NhatkyBan!$C24:AG24)</f>
        <v>-1</v>
      </c>
    </row>
    <row r="25" spans="1:33" ht="12.75" customHeight="1">
      <c r="A25" s="76" t="str">
        <f>DSSP!A24</f>
        <v>A071</v>
      </c>
      <c r="B25" s="25" t="str">
        <f>DSSP!B24</f>
        <v>Bao tay</v>
      </c>
      <c r="C25" s="21">
        <f>SUM(NhatkyNhap!$C25:C25)-SUM(NhatkyBan!$C25:C25)</f>
        <v>34</v>
      </c>
      <c r="D25" s="21">
        <f>SUM(NhatkyNhap!$C25:D25)-SUM(NhatkyBan!$C25:D25)</f>
        <v>34</v>
      </c>
      <c r="E25" s="21">
        <f>SUM(NhatkyNhap!$C25:E25)-SUM(NhatkyBan!$C25:E25)</f>
        <v>34</v>
      </c>
      <c r="F25" s="21">
        <f>SUM(NhatkyNhap!$C25:F25)-SUM(NhatkyBan!$C25:F25)</f>
        <v>34</v>
      </c>
      <c r="G25" s="21">
        <f>SUM(NhatkyNhap!$C25:G25)-SUM(NhatkyBan!$C25:G25)</f>
        <v>34</v>
      </c>
      <c r="H25" s="21">
        <f>SUM(NhatkyNhap!$C25:H25)-SUM(NhatkyBan!$C25:H25)</f>
        <v>34</v>
      </c>
      <c r="I25" s="21">
        <f>SUM(NhatkyNhap!$C25:I25)-SUM(NhatkyBan!$C25:I25)</f>
        <v>34</v>
      </c>
      <c r="J25" s="21">
        <f>SUM(NhatkyNhap!$C25:J25)-SUM(NhatkyBan!$C25:J25)</f>
        <v>34</v>
      </c>
      <c r="K25" s="21">
        <f>SUM(NhatkyNhap!$C25:K25)-SUM(NhatkyBan!$C25:K25)</f>
        <v>34</v>
      </c>
      <c r="L25" s="21">
        <f>SUM(NhatkyNhap!$C25:L25)-SUM(NhatkyBan!$C25:L25)</f>
        <v>34</v>
      </c>
      <c r="M25" s="21">
        <f>SUM(NhatkyNhap!$C25:M25)-SUM(NhatkyBan!$C25:M25)</f>
        <v>34</v>
      </c>
      <c r="N25" s="21">
        <f>SUM(NhatkyNhap!$C25:N25)-SUM(NhatkyBan!$C25:N25)</f>
        <v>34</v>
      </c>
      <c r="O25" s="21">
        <f>SUM(NhatkyNhap!$C25:O25)-SUM(NhatkyBan!$C25:O25)</f>
        <v>34</v>
      </c>
      <c r="P25" s="21">
        <f>SUM(NhatkyNhap!$C25:P25)-SUM(NhatkyBan!$C25:P25)</f>
        <v>34</v>
      </c>
      <c r="Q25" s="21">
        <f>SUM(NhatkyNhap!$C25:Q25)-SUM(NhatkyBan!$C25:Q25)</f>
        <v>34</v>
      </c>
      <c r="R25" s="21">
        <f>SUM(NhatkyNhap!$C25:R25)-SUM(NhatkyBan!$C25:R25)</f>
        <v>34</v>
      </c>
      <c r="S25" s="21">
        <f>SUM(NhatkyNhap!$C25:S25)-SUM(NhatkyBan!$C25:S25)</f>
        <v>34</v>
      </c>
      <c r="T25" s="21">
        <f>SUM(NhatkyNhap!$C25:T25)-SUM(NhatkyBan!$C25:T25)</f>
        <v>34</v>
      </c>
      <c r="U25" s="21">
        <f>SUM(NhatkyNhap!$C25:U25)-SUM(NhatkyBan!$C25:U25)</f>
        <v>34</v>
      </c>
      <c r="V25" s="21">
        <f>SUM(NhatkyNhap!$C25:V25)-SUM(NhatkyBan!$C25:V25)</f>
        <v>34</v>
      </c>
      <c r="W25" s="21">
        <f>SUM(NhatkyNhap!$C25:W25)-SUM(NhatkyBan!$C25:W25)</f>
        <v>34</v>
      </c>
      <c r="X25" s="21">
        <f>SUM(NhatkyNhap!$C25:X25)-SUM(NhatkyBan!$C25:X25)</f>
        <v>34</v>
      </c>
      <c r="Y25" s="21">
        <f>SUM(NhatkyNhap!$C25:Y25)-SUM(NhatkyBan!$C25:Y25)</f>
        <v>34</v>
      </c>
      <c r="Z25" s="21">
        <f>SUM(NhatkyNhap!$C25:Z25)-SUM(NhatkyBan!$C25:Z25)</f>
        <v>34</v>
      </c>
      <c r="AA25" s="21">
        <f>SUM(NhatkyNhap!$C25:AA25)-SUM(NhatkyBan!$C25:AA25)</f>
        <v>34</v>
      </c>
      <c r="AB25" s="21">
        <f>SUM(NhatkyNhap!$C25:AB25)-SUM(NhatkyBan!$C25:AB25)</f>
        <v>34</v>
      </c>
      <c r="AC25" s="21">
        <f>SUM(NhatkyNhap!$C25:AC25)-SUM(NhatkyBan!$C25:AC25)</f>
        <v>34</v>
      </c>
      <c r="AD25" s="21">
        <f>SUM(NhatkyNhap!$C25:AD25)-SUM(NhatkyBan!$C25:AD25)</f>
        <v>34</v>
      </c>
      <c r="AE25" s="21">
        <f>SUM(NhatkyNhap!$C25:AE25)-SUM(NhatkyBan!$C25:AE25)</f>
        <v>34</v>
      </c>
      <c r="AF25" s="21">
        <f>SUM(NhatkyNhap!$C25:AF25)-SUM(NhatkyBan!$C25:AF25)</f>
        <v>34</v>
      </c>
      <c r="AG25" s="21">
        <f>SUM(NhatkyNhap!$C25:AG25)-SUM(NhatkyBan!$C25:AG25)</f>
        <v>34</v>
      </c>
    </row>
    <row r="26" spans="1:33" ht="12.75" customHeight="1">
      <c r="A26" s="76" t="str">
        <f>DSSP!A25</f>
        <v>A073</v>
      </c>
      <c r="B26" s="25" t="str">
        <f>DSSP!B25</f>
        <v>Cá heo</v>
      </c>
      <c r="C26" s="21">
        <f>SUM(NhatkyNhap!$C26:C26)-SUM(NhatkyBan!$C26:C26)</f>
        <v>0</v>
      </c>
      <c r="D26" s="21">
        <f>SUM(NhatkyNhap!$C26:D26)-SUM(NhatkyBan!$C26:D26)</f>
        <v>0</v>
      </c>
      <c r="E26" s="21">
        <f>SUM(NhatkyNhap!$C26:E26)-SUM(NhatkyBan!$C26:E26)</f>
        <v>0</v>
      </c>
      <c r="F26" s="21">
        <f>SUM(NhatkyNhap!$C26:F26)-SUM(NhatkyBan!$C26:F26)</f>
        <v>0</v>
      </c>
      <c r="G26" s="21">
        <f>SUM(NhatkyNhap!$C26:G26)-SUM(NhatkyBan!$C26:G26)</f>
        <v>0</v>
      </c>
      <c r="H26" s="21">
        <f>SUM(NhatkyNhap!$C26:H26)-SUM(NhatkyBan!$C26:H26)</f>
        <v>0</v>
      </c>
      <c r="I26" s="21">
        <f>SUM(NhatkyNhap!$C26:I26)-SUM(NhatkyBan!$C26:I26)</f>
        <v>0</v>
      </c>
      <c r="J26" s="21">
        <f>SUM(NhatkyNhap!$C26:J26)-SUM(NhatkyBan!$C26:J26)</f>
        <v>0</v>
      </c>
      <c r="K26" s="21">
        <f>SUM(NhatkyNhap!$C26:K26)-SUM(NhatkyBan!$C26:K26)</f>
        <v>0</v>
      </c>
      <c r="L26" s="21">
        <f>SUM(NhatkyNhap!$C26:L26)-SUM(NhatkyBan!$C26:L26)</f>
        <v>0</v>
      </c>
      <c r="M26" s="21">
        <f>SUM(NhatkyNhap!$C26:M26)-SUM(NhatkyBan!$C26:M26)</f>
        <v>0</v>
      </c>
      <c r="N26" s="21">
        <f>SUM(NhatkyNhap!$C26:N26)-SUM(NhatkyBan!$C26:N26)</f>
        <v>0</v>
      </c>
      <c r="O26" s="21">
        <f>SUM(NhatkyNhap!$C26:O26)-SUM(NhatkyBan!$C26:O26)</f>
        <v>0</v>
      </c>
      <c r="P26" s="21">
        <f>SUM(NhatkyNhap!$C26:P26)-SUM(NhatkyBan!$C26:P26)</f>
        <v>0</v>
      </c>
      <c r="Q26" s="21">
        <f>SUM(NhatkyNhap!$C26:Q26)-SUM(NhatkyBan!$C26:Q26)</f>
        <v>0</v>
      </c>
      <c r="R26" s="21">
        <f>SUM(NhatkyNhap!$C26:R26)-SUM(NhatkyBan!$C26:R26)</f>
        <v>0</v>
      </c>
      <c r="S26" s="21">
        <f>SUM(NhatkyNhap!$C26:S26)-SUM(NhatkyBan!$C26:S26)</f>
        <v>0</v>
      </c>
      <c r="T26" s="21">
        <f>SUM(NhatkyNhap!$C26:T26)-SUM(NhatkyBan!$C26:T26)</f>
        <v>0</v>
      </c>
      <c r="U26" s="21">
        <f>SUM(NhatkyNhap!$C26:U26)-SUM(NhatkyBan!$C26:U26)</f>
        <v>0</v>
      </c>
      <c r="V26" s="21">
        <f>SUM(NhatkyNhap!$C26:V26)-SUM(NhatkyBan!$C26:V26)</f>
        <v>0</v>
      </c>
      <c r="W26" s="21">
        <f>SUM(NhatkyNhap!$C26:W26)-SUM(NhatkyBan!$C26:W26)</f>
        <v>0</v>
      </c>
      <c r="X26" s="21">
        <f>SUM(NhatkyNhap!$C26:X26)-SUM(NhatkyBan!$C26:X26)</f>
        <v>0</v>
      </c>
      <c r="Y26" s="21">
        <f>SUM(NhatkyNhap!$C26:Y26)-SUM(NhatkyBan!$C26:Y26)</f>
        <v>0</v>
      </c>
      <c r="Z26" s="21">
        <f>SUM(NhatkyNhap!$C26:Z26)-SUM(NhatkyBan!$C26:Z26)</f>
        <v>0</v>
      </c>
      <c r="AA26" s="21">
        <f>SUM(NhatkyNhap!$C26:AA26)-SUM(NhatkyBan!$C26:AA26)</f>
        <v>0</v>
      </c>
      <c r="AB26" s="21">
        <f>SUM(NhatkyNhap!$C26:AB26)-SUM(NhatkyBan!$C26:AB26)</f>
        <v>0</v>
      </c>
      <c r="AC26" s="21">
        <f>SUM(NhatkyNhap!$C26:AC26)-SUM(NhatkyBan!$C26:AC26)</f>
        <v>0</v>
      </c>
      <c r="AD26" s="21">
        <f>SUM(NhatkyNhap!$C26:AD26)-SUM(NhatkyBan!$C26:AD26)</f>
        <v>0</v>
      </c>
      <c r="AE26" s="21">
        <f>SUM(NhatkyNhap!$C26:AE26)-SUM(NhatkyBan!$C26:AE26)</f>
        <v>0</v>
      </c>
      <c r="AF26" s="21">
        <f>SUM(NhatkyNhap!$C26:AF26)-SUM(NhatkyBan!$C26:AF26)</f>
        <v>0</v>
      </c>
      <c r="AG26" s="21">
        <f>SUM(NhatkyNhap!$C26:AG26)-SUM(NhatkyBan!$C26:AG26)</f>
        <v>0</v>
      </c>
    </row>
    <row r="27" spans="1:33" ht="12.75" customHeight="1">
      <c r="A27" s="76" t="str">
        <f>DSSP!A26</f>
        <v>A075</v>
      </c>
      <c r="B27" s="25" t="str">
        <f>DSSP!B26</f>
        <v>Bánh kẹp trứng</v>
      </c>
      <c r="C27" s="21">
        <f>SUM(NhatkyNhap!$C27:C27)-SUM(NhatkyBan!$C27:C27)</f>
        <v>20</v>
      </c>
      <c r="D27" s="21">
        <f>SUM(NhatkyNhap!$C27:D27)-SUM(NhatkyBan!$C27:D27)</f>
        <v>20</v>
      </c>
      <c r="E27" s="21">
        <f>SUM(NhatkyNhap!$C27:E27)-SUM(NhatkyBan!$C27:E27)</f>
        <v>20</v>
      </c>
      <c r="F27" s="21">
        <f>SUM(NhatkyNhap!$C27:F27)-SUM(NhatkyBan!$C27:F27)</f>
        <v>20</v>
      </c>
      <c r="G27" s="21">
        <f>SUM(NhatkyNhap!$C27:G27)-SUM(NhatkyBan!$C27:G27)</f>
        <v>20</v>
      </c>
      <c r="H27" s="21">
        <f>SUM(NhatkyNhap!$C27:H27)-SUM(NhatkyBan!$C27:H27)</f>
        <v>20</v>
      </c>
      <c r="I27" s="21">
        <f>SUM(NhatkyNhap!$C27:I27)-SUM(NhatkyBan!$C27:I27)</f>
        <v>20</v>
      </c>
      <c r="J27" s="21">
        <f>SUM(NhatkyNhap!$C27:J27)-SUM(NhatkyBan!$C27:J27)</f>
        <v>20</v>
      </c>
      <c r="K27" s="21">
        <f>SUM(NhatkyNhap!$C27:K27)-SUM(NhatkyBan!$C27:K27)</f>
        <v>20</v>
      </c>
      <c r="L27" s="21">
        <f>SUM(NhatkyNhap!$C27:L27)-SUM(NhatkyBan!$C27:L27)</f>
        <v>20</v>
      </c>
      <c r="M27" s="21">
        <f>SUM(NhatkyNhap!$C27:M27)-SUM(NhatkyBan!$C27:M27)</f>
        <v>20</v>
      </c>
      <c r="N27" s="21">
        <f>SUM(NhatkyNhap!$C27:N27)-SUM(NhatkyBan!$C27:N27)</f>
        <v>20</v>
      </c>
      <c r="O27" s="21">
        <f>SUM(NhatkyNhap!$C27:O27)-SUM(NhatkyBan!$C27:O27)</f>
        <v>20</v>
      </c>
      <c r="P27" s="21">
        <f>SUM(NhatkyNhap!$C27:P27)-SUM(NhatkyBan!$C27:P27)</f>
        <v>20</v>
      </c>
      <c r="Q27" s="21">
        <f>SUM(NhatkyNhap!$C27:Q27)-SUM(NhatkyBan!$C27:Q27)</f>
        <v>20</v>
      </c>
      <c r="R27" s="21">
        <f>SUM(NhatkyNhap!$C27:R27)-SUM(NhatkyBan!$C27:R27)</f>
        <v>20</v>
      </c>
      <c r="S27" s="21">
        <f>SUM(NhatkyNhap!$C27:S27)-SUM(NhatkyBan!$C27:S27)</f>
        <v>20</v>
      </c>
      <c r="T27" s="21">
        <f>SUM(NhatkyNhap!$C27:T27)-SUM(NhatkyBan!$C27:T27)</f>
        <v>20</v>
      </c>
      <c r="U27" s="21">
        <f>SUM(NhatkyNhap!$C27:U27)-SUM(NhatkyBan!$C27:U27)</f>
        <v>20</v>
      </c>
      <c r="V27" s="21">
        <f>SUM(NhatkyNhap!$C27:V27)-SUM(NhatkyBan!$C27:V27)</f>
        <v>20</v>
      </c>
      <c r="W27" s="21">
        <f>SUM(NhatkyNhap!$C27:W27)-SUM(NhatkyBan!$C27:W27)</f>
        <v>20</v>
      </c>
      <c r="X27" s="21">
        <f>SUM(NhatkyNhap!$C27:X27)-SUM(NhatkyBan!$C27:X27)</f>
        <v>20</v>
      </c>
      <c r="Y27" s="21">
        <f>SUM(NhatkyNhap!$C27:Y27)-SUM(NhatkyBan!$C27:Y27)</f>
        <v>20</v>
      </c>
      <c r="Z27" s="21">
        <f>SUM(NhatkyNhap!$C27:Z27)-SUM(NhatkyBan!$C27:Z27)</f>
        <v>20</v>
      </c>
      <c r="AA27" s="21">
        <f>SUM(NhatkyNhap!$C27:AA27)-SUM(NhatkyBan!$C27:AA27)</f>
        <v>20</v>
      </c>
      <c r="AB27" s="21">
        <f>SUM(NhatkyNhap!$C27:AB27)-SUM(NhatkyBan!$C27:AB27)</f>
        <v>20</v>
      </c>
      <c r="AC27" s="21">
        <f>SUM(NhatkyNhap!$C27:AC27)-SUM(NhatkyBan!$C27:AC27)</f>
        <v>20</v>
      </c>
      <c r="AD27" s="21">
        <f>SUM(NhatkyNhap!$C27:AD27)-SUM(NhatkyBan!$C27:AD27)</f>
        <v>20</v>
      </c>
      <c r="AE27" s="21">
        <f>SUM(NhatkyNhap!$C27:AE27)-SUM(NhatkyBan!$C27:AE27)</f>
        <v>20</v>
      </c>
      <c r="AF27" s="21">
        <f>SUM(NhatkyNhap!$C27:AF27)-SUM(NhatkyBan!$C27:AF27)</f>
        <v>20</v>
      </c>
      <c r="AG27" s="21">
        <f>SUM(NhatkyNhap!$C27:AG27)-SUM(NhatkyBan!$C27:AG27)</f>
        <v>20</v>
      </c>
    </row>
    <row r="28" spans="1:33" ht="12.75" customHeight="1">
      <c r="A28" s="76" t="str">
        <f>DSSP!A27</f>
        <v>A076</v>
      </c>
      <c r="B28" s="25" t="str">
        <f>DSSP!B27</f>
        <v>Búp bê Nga</v>
      </c>
      <c r="C28" s="21">
        <f>SUM(NhatkyNhap!$C28:C28)-SUM(NhatkyBan!$C28:C28)</f>
        <v>25</v>
      </c>
      <c r="D28" s="21">
        <f>SUM(NhatkyNhap!$C28:D28)-SUM(NhatkyBan!$C28:D28)</f>
        <v>25</v>
      </c>
      <c r="E28" s="21">
        <f>SUM(NhatkyNhap!$C28:E28)-SUM(NhatkyBan!$C28:E28)</f>
        <v>25</v>
      </c>
      <c r="F28" s="21">
        <f>SUM(NhatkyNhap!$C28:F28)-SUM(NhatkyBan!$C28:F28)</f>
        <v>25</v>
      </c>
      <c r="G28" s="21">
        <f>SUM(NhatkyNhap!$C28:G28)-SUM(NhatkyBan!$C28:G28)</f>
        <v>25</v>
      </c>
      <c r="H28" s="21">
        <f>SUM(NhatkyNhap!$C28:H28)-SUM(NhatkyBan!$C28:H28)</f>
        <v>25</v>
      </c>
      <c r="I28" s="21">
        <f>SUM(NhatkyNhap!$C28:I28)-SUM(NhatkyBan!$C28:I28)</f>
        <v>25</v>
      </c>
      <c r="J28" s="21">
        <f>SUM(NhatkyNhap!$C28:J28)-SUM(NhatkyBan!$C28:J28)</f>
        <v>25</v>
      </c>
      <c r="K28" s="21">
        <f>SUM(NhatkyNhap!$C28:K28)-SUM(NhatkyBan!$C28:K28)</f>
        <v>25</v>
      </c>
      <c r="L28" s="21">
        <f>SUM(NhatkyNhap!$C28:L28)-SUM(NhatkyBan!$C28:L28)</f>
        <v>25</v>
      </c>
      <c r="M28" s="21">
        <f>SUM(NhatkyNhap!$C28:M28)-SUM(NhatkyBan!$C28:M28)</f>
        <v>25</v>
      </c>
      <c r="N28" s="21">
        <f>SUM(NhatkyNhap!$C28:N28)-SUM(NhatkyBan!$C28:N28)</f>
        <v>25</v>
      </c>
      <c r="O28" s="21">
        <f>SUM(NhatkyNhap!$C28:O28)-SUM(NhatkyBan!$C28:O28)</f>
        <v>25</v>
      </c>
      <c r="P28" s="21">
        <f>SUM(NhatkyNhap!$C28:P28)-SUM(NhatkyBan!$C28:P28)</f>
        <v>25</v>
      </c>
      <c r="Q28" s="21">
        <f>SUM(NhatkyNhap!$C28:Q28)-SUM(NhatkyBan!$C28:Q28)</f>
        <v>25</v>
      </c>
      <c r="R28" s="21">
        <f>SUM(NhatkyNhap!$C28:R28)-SUM(NhatkyBan!$C28:R28)</f>
        <v>25</v>
      </c>
      <c r="S28" s="21">
        <f>SUM(NhatkyNhap!$C28:S28)-SUM(NhatkyBan!$C28:S28)</f>
        <v>25</v>
      </c>
      <c r="T28" s="21">
        <f>SUM(NhatkyNhap!$C28:T28)-SUM(NhatkyBan!$C28:T28)</f>
        <v>25</v>
      </c>
      <c r="U28" s="21">
        <f>SUM(NhatkyNhap!$C28:U28)-SUM(NhatkyBan!$C28:U28)</f>
        <v>25</v>
      </c>
      <c r="V28" s="21">
        <f>SUM(NhatkyNhap!$C28:V28)-SUM(NhatkyBan!$C28:V28)</f>
        <v>25</v>
      </c>
      <c r="W28" s="21">
        <f>SUM(NhatkyNhap!$C28:W28)-SUM(NhatkyBan!$C28:W28)</f>
        <v>25</v>
      </c>
      <c r="X28" s="21">
        <f>SUM(NhatkyNhap!$C28:X28)-SUM(NhatkyBan!$C28:X28)</f>
        <v>25</v>
      </c>
      <c r="Y28" s="21">
        <f>SUM(NhatkyNhap!$C28:Y28)-SUM(NhatkyBan!$C28:Y28)</f>
        <v>25</v>
      </c>
      <c r="Z28" s="21">
        <f>SUM(NhatkyNhap!$C28:Z28)-SUM(NhatkyBan!$C28:Z28)</f>
        <v>25</v>
      </c>
      <c r="AA28" s="21">
        <f>SUM(NhatkyNhap!$C28:AA28)-SUM(NhatkyBan!$C28:AA28)</f>
        <v>25</v>
      </c>
      <c r="AB28" s="21">
        <f>SUM(NhatkyNhap!$C28:AB28)-SUM(NhatkyBan!$C28:AB28)</f>
        <v>25</v>
      </c>
      <c r="AC28" s="21">
        <f>SUM(NhatkyNhap!$C28:AC28)-SUM(NhatkyBan!$C28:AC28)</f>
        <v>25</v>
      </c>
      <c r="AD28" s="21">
        <f>SUM(NhatkyNhap!$C28:AD28)-SUM(NhatkyBan!$C28:AD28)</f>
        <v>25</v>
      </c>
      <c r="AE28" s="21">
        <f>SUM(NhatkyNhap!$C28:AE28)-SUM(NhatkyBan!$C28:AE28)</f>
        <v>25</v>
      </c>
      <c r="AF28" s="21">
        <f>SUM(NhatkyNhap!$C28:AF28)-SUM(NhatkyBan!$C28:AF28)</f>
        <v>25</v>
      </c>
      <c r="AG28" s="21">
        <f>SUM(NhatkyNhap!$C28:AG28)-SUM(NhatkyBan!$C28:AG28)</f>
        <v>25</v>
      </c>
    </row>
    <row r="29" spans="1:33" ht="12.75" customHeight="1">
      <c r="A29" s="76" t="str">
        <f>DSSP!A28</f>
        <v>A077</v>
      </c>
      <c r="B29" s="25" t="str">
        <f>DSSP!B28</f>
        <v>Chim</v>
      </c>
      <c r="C29" s="21">
        <f>SUM(NhatkyNhap!$C29:C29)-SUM(NhatkyBan!$C29:C29)</f>
        <v>34</v>
      </c>
      <c r="D29" s="21">
        <f>SUM(NhatkyNhap!$C29:D29)-SUM(NhatkyBan!$C29:D29)</f>
        <v>34</v>
      </c>
      <c r="E29" s="21">
        <f>SUM(NhatkyNhap!$C29:E29)-SUM(NhatkyBan!$C29:E29)</f>
        <v>34</v>
      </c>
      <c r="F29" s="21">
        <f>SUM(NhatkyNhap!$C29:F29)-SUM(NhatkyBan!$C29:F29)</f>
        <v>34</v>
      </c>
      <c r="G29" s="21">
        <f>SUM(NhatkyNhap!$C29:G29)-SUM(NhatkyBan!$C29:G29)</f>
        <v>34</v>
      </c>
      <c r="H29" s="21">
        <f>SUM(NhatkyNhap!$C29:H29)-SUM(NhatkyBan!$C29:H29)</f>
        <v>34</v>
      </c>
      <c r="I29" s="21">
        <f>SUM(NhatkyNhap!$C29:I29)-SUM(NhatkyBan!$C29:I29)</f>
        <v>34</v>
      </c>
      <c r="J29" s="21">
        <f>SUM(NhatkyNhap!$C29:J29)-SUM(NhatkyBan!$C29:J29)</f>
        <v>34</v>
      </c>
      <c r="K29" s="21">
        <f>SUM(NhatkyNhap!$C29:K29)-SUM(NhatkyBan!$C29:K29)</f>
        <v>34</v>
      </c>
      <c r="L29" s="21">
        <f>SUM(NhatkyNhap!$C29:L29)-SUM(NhatkyBan!$C29:L29)</f>
        <v>34</v>
      </c>
      <c r="M29" s="21">
        <f>SUM(NhatkyNhap!$C29:M29)-SUM(NhatkyBan!$C29:M29)</f>
        <v>34</v>
      </c>
      <c r="N29" s="21">
        <f>SUM(NhatkyNhap!$C29:N29)-SUM(NhatkyBan!$C29:N29)</f>
        <v>34</v>
      </c>
      <c r="O29" s="21">
        <f>SUM(NhatkyNhap!$C29:O29)-SUM(NhatkyBan!$C29:O29)</f>
        <v>34</v>
      </c>
      <c r="P29" s="21">
        <f>SUM(NhatkyNhap!$C29:P29)-SUM(NhatkyBan!$C29:P29)</f>
        <v>34</v>
      </c>
      <c r="Q29" s="21">
        <f>SUM(NhatkyNhap!$C29:Q29)-SUM(NhatkyBan!$C29:Q29)</f>
        <v>34</v>
      </c>
      <c r="R29" s="21">
        <f>SUM(NhatkyNhap!$C29:R29)-SUM(NhatkyBan!$C29:R29)</f>
        <v>34</v>
      </c>
      <c r="S29" s="21">
        <f>SUM(NhatkyNhap!$C29:S29)-SUM(NhatkyBan!$C29:S29)</f>
        <v>34</v>
      </c>
      <c r="T29" s="21">
        <f>SUM(NhatkyNhap!$C29:T29)-SUM(NhatkyBan!$C29:T29)</f>
        <v>34</v>
      </c>
      <c r="U29" s="21">
        <f>SUM(NhatkyNhap!$C29:U29)-SUM(NhatkyBan!$C29:U29)</f>
        <v>34</v>
      </c>
      <c r="V29" s="21">
        <f>SUM(NhatkyNhap!$C29:V29)-SUM(NhatkyBan!$C29:V29)</f>
        <v>34</v>
      </c>
      <c r="W29" s="21">
        <f>SUM(NhatkyNhap!$C29:W29)-SUM(NhatkyBan!$C29:W29)</f>
        <v>34</v>
      </c>
      <c r="X29" s="21">
        <f>SUM(NhatkyNhap!$C29:X29)-SUM(NhatkyBan!$C29:X29)</f>
        <v>34</v>
      </c>
      <c r="Y29" s="21">
        <f>SUM(NhatkyNhap!$C29:Y29)-SUM(NhatkyBan!$C29:Y29)</f>
        <v>34</v>
      </c>
      <c r="Z29" s="21">
        <f>SUM(NhatkyNhap!$C29:Z29)-SUM(NhatkyBan!$C29:Z29)</f>
        <v>34</v>
      </c>
      <c r="AA29" s="21">
        <f>SUM(NhatkyNhap!$C29:AA29)-SUM(NhatkyBan!$C29:AA29)</f>
        <v>34</v>
      </c>
      <c r="AB29" s="21">
        <f>SUM(NhatkyNhap!$C29:AB29)-SUM(NhatkyBan!$C29:AB29)</f>
        <v>34</v>
      </c>
      <c r="AC29" s="21">
        <f>SUM(NhatkyNhap!$C29:AC29)-SUM(NhatkyBan!$C29:AC29)</f>
        <v>34</v>
      </c>
      <c r="AD29" s="21">
        <f>SUM(NhatkyNhap!$C29:AD29)-SUM(NhatkyBan!$C29:AD29)</f>
        <v>34</v>
      </c>
      <c r="AE29" s="21">
        <f>SUM(NhatkyNhap!$C29:AE29)-SUM(NhatkyBan!$C29:AE29)</f>
        <v>34</v>
      </c>
      <c r="AF29" s="21">
        <f>SUM(NhatkyNhap!$C29:AF29)-SUM(NhatkyBan!$C29:AF29)</f>
        <v>34</v>
      </c>
      <c r="AG29" s="21">
        <f>SUM(NhatkyNhap!$C29:AG29)-SUM(NhatkyBan!$C29:AG29)</f>
        <v>34</v>
      </c>
    </row>
    <row r="30" spans="1:33" ht="12.75" customHeight="1">
      <c r="A30" s="76" t="str">
        <f>DSSP!A29</f>
        <v>A078</v>
      </c>
      <c r="B30" s="25" t="str">
        <f>DSSP!B29</f>
        <v>Trà sữa</v>
      </c>
      <c r="C30" s="21">
        <f>SUM(NhatkyNhap!$C30:C30)-SUM(NhatkyBan!$C30:C30)</f>
        <v>22</v>
      </c>
      <c r="D30" s="21">
        <f>SUM(NhatkyNhap!$C30:D30)-SUM(NhatkyBan!$C30:D30)</f>
        <v>22</v>
      </c>
      <c r="E30" s="21">
        <f>SUM(NhatkyNhap!$C30:E30)-SUM(NhatkyBan!$C30:E30)</f>
        <v>22</v>
      </c>
      <c r="F30" s="21">
        <f>SUM(NhatkyNhap!$C30:F30)-SUM(NhatkyBan!$C30:F30)</f>
        <v>22</v>
      </c>
      <c r="G30" s="21">
        <f>SUM(NhatkyNhap!$C30:G30)-SUM(NhatkyBan!$C30:G30)</f>
        <v>22</v>
      </c>
      <c r="H30" s="21">
        <f>SUM(NhatkyNhap!$C30:H30)-SUM(NhatkyBan!$C30:H30)</f>
        <v>22</v>
      </c>
      <c r="I30" s="21">
        <f>SUM(NhatkyNhap!$C30:I30)-SUM(NhatkyBan!$C30:I30)</f>
        <v>22</v>
      </c>
      <c r="J30" s="21">
        <f>SUM(NhatkyNhap!$C30:J30)-SUM(NhatkyBan!$C30:J30)</f>
        <v>22</v>
      </c>
      <c r="K30" s="21">
        <f>SUM(NhatkyNhap!$C30:K30)-SUM(NhatkyBan!$C30:K30)</f>
        <v>22</v>
      </c>
      <c r="L30" s="21">
        <f>SUM(NhatkyNhap!$C30:L30)-SUM(NhatkyBan!$C30:L30)</f>
        <v>22</v>
      </c>
      <c r="M30" s="21">
        <f>SUM(NhatkyNhap!$C30:M30)-SUM(NhatkyBan!$C30:M30)</f>
        <v>22</v>
      </c>
      <c r="N30" s="21">
        <f>SUM(NhatkyNhap!$C30:N30)-SUM(NhatkyBan!$C30:N30)</f>
        <v>22</v>
      </c>
      <c r="O30" s="21">
        <f>SUM(NhatkyNhap!$C30:O30)-SUM(NhatkyBan!$C30:O30)</f>
        <v>22</v>
      </c>
      <c r="P30" s="21">
        <f>SUM(NhatkyNhap!$C30:P30)-SUM(NhatkyBan!$C30:P30)</f>
        <v>22</v>
      </c>
      <c r="Q30" s="21">
        <f>SUM(NhatkyNhap!$C30:Q30)-SUM(NhatkyBan!$C30:Q30)</f>
        <v>22</v>
      </c>
      <c r="R30" s="21">
        <f>SUM(NhatkyNhap!$C30:R30)-SUM(NhatkyBan!$C30:R30)</f>
        <v>22</v>
      </c>
      <c r="S30" s="21">
        <f>SUM(NhatkyNhap!$C30:S30)-SUM(NhatkyBan!$C30:S30)</f>
        <v>22</v>
      </c>
      <c r="T30" s="21">
        <f>SUM(NhatkyNhap!$C30:T30)-SUM(NhatkyBan!$C30:T30)</f>
        <v>22</v>
      </c>
      <c r="U30" s="21">
        <f>SUM(NhatkyNhap!$C30:U30)-SUM(NhatkyBan!$C30:U30)</f>
        <v>22</v>
      </c>
      <c r="V30" s="21">
        <f>SUM(NhatkyNhap!$C30:V30)-SUM(NhatkyBan!$C30:V30)</f>
        <v>22</v>
      </c>
      <c r="W30" s="21">
        <f>SUM(NhatkyNhap!$C30:W30)-SUM(NhatkyBan!$C30:W30)</f>
        <v>22</v>
      </c>
      <c r="X30" s="21">
        <f>SUM(NhatkyNhap!$C30:X30)-SUM(NhatkyBan!$C30:X30)</f>
        <v>22</v>
      </c>
      <c r="Y30" s="21">
        <f>SUM(NhatkyNhap!$C30:Y30)-SUM(NhatkyBan!$C30:Y30)</f>
        <v>22</v>
      </c>
      <c r="Z30" s="21">
        <f>SUM(NhatkyNhap!$C30:Z30)-SUM(NhatkyBan!$C30:Z30)</f>
        <v>22</v>
      </c>
      <c r="AA30" s="21">
        <f>SUM(NhatkyNhap!$C30:AA30)-SUM(NhatkyBan!$C30:AA30)</f>
        <v>22</v>
      </c>
      <c r="AB30" s="21">
        <f>SUM(NhatkyNhap!$C30:AB30)-SUM(NhatkyBan!$C30:AB30)</f>
        <v>22</v>
      </c>
      <c r="AC30" s="21">
        <f>SUM(NhatkyNhap!$C30:AC30)-SUM(NhatkyBan!$C30:AC30)</f>
        <v>22</v>
      </c>
      <c r="AD30" s="21">
        <f>SUM(NhatkyNhap!$C30:AD30)-SUM(NhatkyBan!$C30:AD30)</f>
        <v>22</v>
      </c>
      <c r="AE30" s="21">
        <f>SUM(NhatkyNhap!$C30:AE30)-SUM(NhatkyBan!$C30:AE30)</f>
        <v>22</v>
      </c>
      <c r="AF30" s="21">
        <f>SUM(NhatkyNhap!$C30:AF30)-SUM(NhatkyBan!$C30:AF30)</f>
        <v>22</v>
      </c>
      <c r="AG30" s="21">
        <f>SUM(NhatkyNhap!$C30:AG30)-SUM(NhatkyBan!$C30:AG30)</f>
        <v>22</v>
      </c>
    </row>
    <row r="31" spans="1:33" ht="12.75" customHeight="1">
      <c r="A31" s="76" t="str">
        <f>DSSP!A30</f>
        <v>A079</v>
      </c>
      <c r="B31" s="25" t="str">
        <f>DSSP!B30</f>
        <v>Trăng sao</v>
      </c>
      <c r="C31" s="21">
        <f>SUM(NhatkyNhap!$C31:C31)-SUM(NhatkyBan!$C31:C31)</f>
        <v>32</v>
      </c>
      <c r="D31" s="21">
        <f>SUM(NhatkyNhap!$C31:D31)-SUM(NhatkyBan!$C31:D31)</f>
        <v>32</v>
      </c>
      <c r="E31" s="21">
        <f>SUM(NhatkyNhap!$C31:E31)-SUM(NhatkyBan!$C31:E31)</f>
        <v>32</v>
      </c>
      <c r="F31" s="21">
        <f>SUM(NhatkyNhap!$C31:F31)-SUM(NhatkyBan!$C31:F31)</f>
        <v>32</v>
      </c>
      <c r="G31" s="21">
        <f>SUM(NhatkyNhap!$C31:G31)-SUM(NhatkyBan!$C31:G31)</f>
        <v>32</v>
      </c>
      <c r="H31" s="21">
        <f>SUM(NhatkyNhap!$C31:H31)-SUM(NhatkyBan!$C31:H31)</f>
        <v>32</v>
      </c>
      <c r="I31" s="21">
        <f>SUM(NhatkyNhap!$C31:I31)-SUM(NhatkyBan!$C31:I31)</f>
        <v>32</v>
      </c>
      <c r="J31" s="21">
        <f>SUM(NhatkyNhap!$C31:J31)-SUM(NhatkyBan!$C31:J31)</f>
        <v>32</v>
      </c>
      <c r="K31" s="21">
        <f>SUM(NhatkyNhap!$C31:K31)-SUM(NhatkyBan!$C31:K31)</f>
        <v>32</v>
      </c>
      <c r="L31" s="21">
        <f>SUM(NhatkyNhap!$C31:L31)-SUM(NhatkyBan!$C31:L31)</f>
        <v>32</v>
      </c>
      <c r="M31" s="21">
        <f>SUM(NhatkyNhap!$C31:M31)-SUM(NhatkyBan!$C31:M31)</f>
        <v>32</v>
      </c>
      <c r="N31" s="21">
        <f>SUM(NhatkyNhap!$C31:N31)-SUM(NhatkyBan!$C31:N31)</f>
        <v>32</v>
      </c>
      <c r="O31" s="21">
        <f>SUM(NhatkyNhap!$C31:O31)-SUM(NhatkyBan!$C31:O31)</f>
        <v>32</v>
      </c>
      <c r="P31" s="21">
        <f>SUM(NhatkyNhap!$C31:P31)-SUM(NhatkyBan!$C31:P31)</f>
        <v>32</v>
      </c>
      <c r="Q31" s="21">
        <f>SUM(NhatkyNhap!$C31:Q31)-SUM(NhatkyBan!$C31:Q31)</f>
        <v>32</v>
      </c>
      <c r="R31" s="21">
        <f>SUM(NhatkyNhap!$C31:R31)-SUM(NhatkyBan!$C31:R31)</f>
        <v>32</v>
      </c>
      <c r="S31" s="21">
        <f>SUM(NhatkyNhap!$C31:S31)-SUM(NhatkyBan!$C31:S31)</f>
        <v>32</v>
      </c>
      <c r="T31" s="21">
        <f>SUM(NhatkyNhap!$C31:T31)-SUM(NhatkyBan!$C31:T31)</f>
        <v>32</v>
      </c>
      <c r="U31" s="21">
        <f>SUM(NhatkyNhap!$C31:U31)-SUM(NhatkyBan!$C31:U31)</f>
        <v>32</v>
      </c>
      <c r="V31" s="21">
        <f>SUM(NhatkyNhap!$C31:V31)-SUM(NhatkyBan!$C31:V31)</f>
        <v>32</v>
      </c>
      <c r="W31" s="21">
        <f>SUM(NhatkyNhap!$C31:W31)-SUM(NhatkyBan!$C31:W31)</f>
        <v>32</v>
      </c>
      <c r="X31" s="21">
        <f>SUM(NhatkyNhap!$C31:X31)-SUM(NhatkyBan!$C31:X31)</f>
        <v>32</v>
      </c>
      <c r="Y31" s="21">
        <f>SUM(NhatkyNhap!$C31:Y31)-SUM(NhatkyBan!$C31:Y31)</f>
        <v>32</v>
      </c>
      <c r="Z31" s="21">
        <f>SUM(NhatkyNhap!$C31:Z31)-SUM(NhatkyBan!$C31:Z31)</f>
        <v>32</v>
      </c>
      <c r="AA31" s="21">
        <f>SUM(NhatkyNhap!$C31:AA31)-SUM(NhatkyBan!$C31:AA31)</f>
        <v>32</v>
      </c>
      <c r="AB31" s="21">
        <f>SUM(NhatkyNhap!$C31:AB31)-SUM(NhatkyBan!$C31:AB31)</f>
        <v>32</v>
      </c>
      <c r="AC31" s="21">
        <f>SUM(NhatkyNhap!$C31:AC31)-SUM(NhatkyBan!$C31:AC31)</f>
        <v>32</v>
      </c>
      <c r="AD31" s="21">
        <f>SUM(NhatkyNhap!$C31:AD31)-SUM(NhatkyBan!$C31:AD31)</f>
        <v>32</v>
      </c>
      <c r="AE31" s="21">
        <f>SUM(NhatkyNhap!$C31:AE31)-SUM(NhatkyBan!$C31:AE31)</f>
        <v>32</v>
      </c>
      <c r="AF31" s="21">
        <f>SUM(NhatkyNhap!$C31:AF31)-SUM(NhatkyBan!$C31:AF31)</f>
        <v>32</v>
      </c>
      <c r="AG31" s="21">
        <f>SUM(NhatkyNhap!$C31:AG31)-SUM(NhatkyBan!$C31:AG31)</f>
        <v>32</v>
      </c>
    </row>
    <row r="32" spans="1:33" ht="12.75" customHeight="1">
      <c r="A32" s="76" t="str">
        <f>DSSP!A31</f>
        <v>A080</v>
      </c>
      <c r="B32" s="25" t="str">
        <f>DSSP!B31</f>
        <v>Chuột cheese</v>
      </c>
      <c r="C32" s="21">
        <f>SUM(NhatkyNhap!$C32:C32)-SUM(NhatkyBan!$C32:C32)</f>
        <v>60</v>
      </c>
      <c r="D32" s="21">
        <f>SUM(NhatkyNhap!$C32:D32)-SUM(NhatkyBan!$C32:D32)</f>
        <v>60</v>
      </c>
      <c r="E32" s="21">
        <f>SUM(NhatkyNhap!$C32:E32)-SUM(NhatkyBan!$C32:E32)</f>
        <v>60</v>
      </c>
      <c r="F32" s="21">
        <f>SUM(NhatkyNhap!$C32:F32)-SUM(NhatkyBan!$C32:F32)</f>
        <v>60</v>
      </c>
      <c r="G32" s="21">
        <f>SUM(NhatkyNhap!$C32:G32)-SUM(NhatkyBan!$C32:G32)</f>
        <v>60</v>
      </c>
      <c r="H32" s="21">
        <f>SUM(NhatkyNhap!$C32:H32)-SUM(NhatkyBan!$C32:H32)</f>
        <v>60</v>
      </c>
      <c r="I32" s="21">
        <f>SUM(NhatkyNhap!$C32:I32)-SUM(NhatkyBan!$C32:I32)</f>
        <v>60</v>
      </c>
      <c r="J32" s="21">
        <f>SUM(NhatkyNhap!$C32:J32)-SUM(NhatkyBan!$C32:J32)</f>
        <v>60</v>
      </c>
      <c r="K32" s="21">
        <f>SUM(NhatkyNhap!$C32:K32)-SUM(NhatkyBan!$C32:K32)</f>
        <v>60</v>
      </c>
      <c r="L32" s="21">
        <f>SUM(NhatkyNhap!$C32:L32)-SUM(NhatkyBan!$C32:L32)</f>
        <v>60</v>
      </c>
      <c r="M32" s="21">
        <f>SUM(NhatkyNhap!$C32:M32)-SUM(NhatkyBan!$C32:M32)</f>
        <v>60</v>
      </c>
      <c r="N32" s="21">
        <f>SUM(NhatkyNhap!$C32:N32)-SUM(NhatkyBan!$C32:N32)</f>
        <v>60</v>
      </c>
      <c r="O32" s="21">
        <f>SUM(NhatkyNhap!$C32:O32)-SUM(NhatkyBan!$C32:O32)</f>
        <v>60</v>
      </c>
      <c r="P32" s="21">
        <f>SUM(NhatkyNhap!$C32:P32)-SUM(NhatkyBan!$C32:P32)</f>
        <v>60</v>
      </c>
      <c r="Q32" s="21">
        <f>SUM(NhatkyNhap!$C32:Q32)-SUM(NhatkyBan!$C32:Q32)</f>
        <v>60</v>
      </c>
      <c r="R32" s="21">
        <f>SUM(NhatkyNhap!$C32:R32)-SUM(NhatkyBan!$C32:R32)</f>
        <v>60</v>
      </c>
      <c r="S32" s="21">
        <f>SUM(NhatkyNhap!$C32:S32)-SUM(NhatkyBan!$C32:S32)</f>
        <v>60</v>
      </c>
      <c r="T32" s="21">
        <f>SUM(NhatkyNhap!$C32:T32)-SUM(NhatkyBan!$C32:T32)</f>
        <v>60</v>
      </c>
      <c r="U32" s="21">
        <f>SUM(NhatkyNhap!$C32:U32)-SUM(NhatkyBan!$C32:U32)</f>
        <v>60</v>
      </c>
      <c r="V32" s="21">
        <f>SUM(NhatkyNhap!$C32:V32)-SUM(NhatkyBan!$C32:V32)</f>
        <v>60</v>
      </c>
      <c r="W32" s="21">
        <f>SUM(NhatkyNhap!$C32:W32)-SUM(NhatkyBan!$C32:W32)</f>
        <v>60</v>
      </c>
      <c r="X32" s="21">
        <f>SUM(NhatkyNhap!$C32:X32)-SUM(NhatkyBan!$C32:X32)</f>
        <v>60</v>
      </c>
      <c r="Y32" s="21">
        <f>SUM(NhatkyNhap!$C32:Y32)-SUM(NhatkyBan!$C32:Y32)</f>
        <v>60</v>
      </c>
      <c r="Z32" s="21">
        <f>SUM(NhatkyNhap!$C32:Z32)-SUM(NhatkyBan!$C32:Z32)</f>
        <v>60</v>
      </c>
      <c r="AA32" s="21">
        <f>SUM(NhatkyNhap!$C32:AA32)-SUM(NhatkyBan!$C32:AA32)</f>
        <v>60</v>
      </c>
      <c r="AB32" s="21">
        <f>SUM(NhatkyNhap!$C32:AB32)-SUM(NhatkyBan!$C32:AB32)</f>
        <v>60</v>
      </c>
      <c r="AC32" s="21">
        <f>SUM(NhatkyNhap!$C32:AC32)-SUM(NhatkyBan!$C32:AC32)</f>
        <v>60</v>
      </c>
      <c r="AD32" s="21">
        <f>SUM(NhatkyNhap!$C32:AD32)-SUM(NhatkyBan!$C32:AD32)</f>
        <v>60</v>
      </c>
      <c r="AE32" s="21">
        <f>SUM(NhatkyNhap!$C32:AE32)-SUM(NhatkyBan!$C32:AE32)</f>
        <v>60</v>
      </c>
      <c r="AF32" s="21">
        <f>SUM(NhatkyNhap!$C32:AF32)-SUM(NhatkyBan!$C32:AF32)</f>
        <v>60</v>
      </c>
      <c r="AG32" s="21">
        <f>SUM(NhatkyNhap!$C32:AG32)-SUM(NhatkyBan!$C32:AG32)</f>
        <v>60</v>
      </c>
    </row>
    <row r="33" spans="1:33" ht="12.75" customHeight="1">
      <c r="A33" s="76" t="str">
        <f>DSSP!A32</f>
        <v>A085</v>
      </c>
      <c r="B33" s="25" t="str">
        <f>DSSP!B32</f>
        <v>Trà sữa</v>
      </c>
      <c r="C33" s="21">
        <f>SUM(NhatkyNhap!$C33:C33)-SUM(NhatkyBan!$C33:C33)</f>
        <v>0</v>
      </c>
      <c r="D33" s="21">
        <f>SUM(NhatkyNhap!$C33:D33)-SUM(NhatkyBan!$C33:D33)</f>
        <v>0</v>
      </c>
      <c r="E33" s="21">
        <f>SUM(NhatkyNhap!$C33:E33)-SUM(NhatkyBan!$C33:E33)</f>
        <v>0</v>
      </c>
      <c r="F33" s="21">
        <f>SUM(NhatkyNhap!$C33:F33)-SUM(NhatkyBan!$C33:F33)</f>
        <v>0</v>
      </c>
      <c r="G33" s="21">
        <f>SUM(NhatkyNhap!$C33:G33)-SUM(NhatkyBan!$C33:G33)</f>
        <v>0</v>
      </c>
      <c r="H33" s="21">
        <f>SUM(NhatkyNhap!$C33:H33)-SUM(NhatkyBan!$C33:H33)</f>
        <v>0</v>
      </c>
      <c r="I33" s="21">
        <f>SUM(NhatkyNhap!$C33:I33)-SUM(NhatkyBan!$C33:I33)</f>
        <v>0</v>
      </c>
      <c r="J33" s="21">
        <f>SUM(NhatkyNhap!$C33:J33)-SUM(NhatkyBan!$C33:J33)</f>
        <v>0</v>
      </c>
      <c r="K33" s="21">
        <f>SUM(NhatkyNhap!$C33:K33)-SUM(NhatkyBan!$C33:K33)</f>
        <v>0</v>
      </c>
      <c r="L33" s="21">
        <f>SUM(NhatkyNhap!$C33:L33)-SUM(NhatkyBan!$C33:L33)</f>
        <v>0</v>
      </c>
      <c r="M33" s="21">
        <f>SUM(NhatkyNhap!$C33:M33)-SUM(NhatkyBan!$C33:M33)</f>
        <v>0</v>
      </c>
      <c r="N33" s="21">
        <f>SUM(NhatkyNhap!$C33:N33)-SUM(NhatkyBan!$C33:N33)</f>
        <v>0</v>
      </c>
      <c r="O33" s="21">
        <f>SUM(NhatkyNhap!$C33:O33)-SUM(NhatkyBan!$C33:O33)</f>
        <v>0</v>
      </c>
      <c r="P33" s="21">
        <f>SUM(NhatkyNhap!$C33:P33)-SUM(NhatkyBan!$C33:P33)</f>
        <v>0</v>
      </c>
      <c r="Q33" s="21">
        <f>SUM(NhatkyNhap!$C33:Q33)-SUM(NhatkyBan!$C33:Q33)</f>
        <v>0</v>
      </c>
      <c r="R33" s="21">
        <f>SUM(NhatkyNhap!$C33:R33)-SUM(NhatkyBan!$C33:R33)</f>
        <v>0</v>
      </c>
      <c r="S33" s="21">
        <f>SUM(NhatkyNhap!$C33:S33)-SUM(NhatkyBan!$C33:S33)</f>
        <v>0</v>
      </c>
      <c r="T33" s="21">
        <f>SUM(NhatkyNhap!$C33:T33)-SUM(NhatkyBan!$C33:T33)</f>
        <v>0</v>
      </c>
      <c r="U33" s="21">
        <f>SUM(NhatkyNhap!$C33:U33)-SUM(NhatkyBan!$C33:U33)</f>
        <v>0</v>
      </c>
      <c r="V33" s="21">
        <f>SUM(NhatkyNhap!$C33:V33)-SUM(NhatkyBan!$C33:V33)</f>
        <v>0</v>
      </c>
      <c r="W33" s="21">
        <f>SUM(NhatkyNhap!$C33:W33)-SUM(NhatkyBan!$C33:W33)</f>
        <v>0</v>
      </c>
      <c r="X33" s="21">
        <f>SUM(NhatkyNhap!$C33:X33)-SUM(NhatkyBan!$C33:X33)</f>
        <v>0</v>
      </c>
      <c r="Y33" s="21">
        <f>SUM(NhatkyNhap!$C33:Y33)-SUM(NhatkyBan!$C33:Y33)</f>
        <v>0</v>
      </c>
      <c r="Z33" s="21">
        <f>SUM(NhatkyNhap!$C33:Z33)-SUM(NhatkyBan!$C33:Z33)</f>
        <v>0</v>
      </c>
      <c r="AA33" s="21">
        <f>SUM(NhatkyNhap!$C33:AA33)-SUM(NhatkyBan!$C33:AA33)</f>
        <v>0</v>
      </c>
      <c r="AB33" s="21">
        <f>SUM(NhatkyNhap!$C33:AB33)-SUM(NhatkyBan!$C33:AB33)</f>
        <v>0</v>
      </c>
      <c r="AC33" s="21">
        <f>SUM(NhatkyNhap!$C33:AC33)-SUM(NhatkyBan!$C33:AC33)</f>
        <v>0</v>
      </c>
      <c r="AD33" s="21">
        <f>SUM(NhatkyNhap!$C33:AD33)-SUM(NhatkyBan!$C33:AD33)</f>
        <v>0</v>
      </c>
      <c r="AE33" s="21">
        <f>SUM(NhatkyNhap!$C33:AE33)-SUM(NhatkyBan!$C33:AE33)</f>
        <v>0</v>
      </c>
      <c r="AF33" s="21">
        <f>SUM(NhatkyNhap!$C33:AF33)-SUM(NhatkyBan!$C33:AF33)</f>
        <v>0</v>
      </c>
      <c r="AG33" s="21">
        <f>SUM(NhatkyNhap!$C33:AG33)-SUM(NhatkyBan!$C33:AG33)</f>
        <v>0</v>
      </c>
    </row>
    <row r="34" spans="1:33" ht="12.75" customHeight="1">
      <c r="A34" s="76" t="str">
        <f>DSSP!A33</f>
        <v>A090</v>
      </c>
      <c r="B34" s="25" t="str">
        <f>DSSP!B33</f>
        <v>Hamster</v>
      </c>
      <c r="C34" s="21">
        <f>SUM(NhatkyNhap!$C34:C34)-SUM(NhatkyBan!$C34:C34)</f>
        <v>0</v>
      </c>
      <c r="D34" s="21">
        <f>SUM(NhatkyNhap!$C34:D34)-SUM(NhatkyBan!$C34:D34)</f>
        <v>0</v>
      </c>
      <c r="E34" s="21">
        <f>SUM(NhatkyNhap!$C34:E34)-SUM(NhatkyBan!$C34:E34)</f>
        <v>0</v>
      </c>
      <c r="F34" s="21">
        <f>SUM(NhatkyNhap!$C34:F34)-SUM(NhatkyBan!$C34:F34)</f>
        <v>0</v>
      </c>
      <c r="G34" s="21">
        <f>SUM(NhatkyNhap!$C34:G34)-SUM(NhatkyBan!$C34:G34)</f>
        <v>0</v>
      </c>
      <c r="H34" s="21">
        <f>SUM(NhatkyNhap!$C34:H34)-SUM(NhatkyBan!$C34:H34)</f>
        <v>0</v>
      </c>
      <c r="I34" s="21">
        <f>SUM(NhatkyNhap!$C34:I34)-SUM(NhatkyBan!$C34:I34)</f>
        <v>0</v>
      </c>
      <c r="J34" s="21">
        <f>SUM(NhatkyNhap!$C34:J34)-SUM(NhatkyBan!$C34:J34)</f>
        <v>0</v>
      </c>
      <c r="K34" s="21">
        <f>SUM(NhatkyNhap!$C34:K34)-SUM(NhatkyBan!$C34:K34)</f>
        <v>0</v>
      </c>
      <c r="L34" s="21">
        <f>SUM(NhatkyNhap!$C34:L34)-SUM(NhatkyBan!$C34:L34)</f>
        <v>0</v>
      </c>
      <c r="M34" s="21">
        <f>SUM(NhatkyNhap!$C34:M34)-SUM(NhatkyBan!$C34:M34)</f>
        <v>0</v>
      </c>
      <c r="N34" s="21">
        <f>SUM(NhatkyNhap!$C34:N34)-SUM(NhatkyBan!$C34:N34)</f>
        <v>0</v>
      </c>
      <c r="O34" s="21">
        <f>SUM(NhatkyNhap!$C34:O34)-SUM(NhatkyBan!$C34:O34)</f>
        <v>0</v>
      </c>
      <c r="P34" s="21">
        <f>SUM(NhatkyNhap!$C34:P34)-SUM(NhatkyBan!$C34:P34)</f>
        <v>0</v>
      </c>
      <c r="Q34" s="21">
        <f>SUM(NhatkyNhap!$C34:Q34)-SUM(NhatkyBan!$C34:Q34)</f>
        <v>0</v>
      </c>
      <c r="R34" s="21">
        <f>SUM(NhatkyNhap!$C34:R34)-SUM(NhatkyBan!$C34:R34)</f>
        <v>0</v>
      </c>
      <c r="S34" s="21">
        <f>SUM(NhatkyNhap!$C34:S34)-SUM(NhatkyBan!$C34:S34)</f>
        <v>0</v>
      </c>
      <c r="T34" s="21">
        <f>SUM(NhatkyNhap!$C34:T34)-SUM(NhatkyBan!$C34:T34)</f>
        <v>0</v>
      </c>
      <c r="U34" s="21">
        <f>SUM(NhatkyNhap!$C34:U34)-SUM(NhatkyBan!$C34:U34)</f>
        <v>0</v>
      </c>
      <c r="V34" s="21">
        <f>SUM(NhatkyNhap!$C34:V34)-SUM(NhatkyBan!$C34:V34)</f>
        <v>0</v>
      </c>
      <c r="W34" s="21">
        <f>SUM(NhatkyNhap!$C34:W34)-SUM(NhatkyBan!$C34:W34)</f>
        <v>0</v>
      </c>
      <c r="X34" s="21">
        <f>SUM(NhatkyNhap!$C34:X34)-SUM(NhatkyBan!$C34:X34)</f>
        <v>0</v>
      </c>
      <c r="Y34" s="21">
        <f>SUM(NhatkyNhap!$C34:Y34)-SUM(NhatkyBan!$C34:Y34)</f>
        <v>0</v>
      </c>
      <c r="Z34" s="21">
        <f>SUM(NhatkyNhap!$C34:Z34)-SUM(NhatkyBan!$C34:Z34)</f>
        <v>0</v>
      </c>
      <c r="AA34" s="21">
        <f>SUM(NhatkyNhap!$C34:AA34)-SUM(NhatkyBan!$C34:AA34)</f>
        <v>0</v>
      </c>
      <c r="AB34" s="21">
        <f>SUM(NhatkyNhap!$C34:AB34)-SUM(NhatkyBan!$C34:AB34)</f>
        <v>0</v>
      </c>
      <c r="AC34" s="21">
        <f>SUM(NhatkyNhap!$C34:AC34)-SUM(NhatkyBan!$C34:AC34)</f>
        <v>0</v>
      </c>
      <c r="AD34" s="21">
        <f>SUM(NhatkyNhap!$C34:AD34)-SUM(NhatkyBan!$C34:AD34)</f>
        <v>0</v>
      </c>
      <c r="AE34" s="21">
        <f>SUM(NhatkyNhap!$C34:AE34)-SUM(NhatkyBan!$C34:AE34)</f>
        <v>0</v>
      </c>
      <c r="AF34" s="21">
        <f>SUM(NhatkyNhap!$C34:AF34)-SUM(NhatkyBan!$C34:AF34)</f>
        <v>0</v>
      </c>
      <c r="AG34" s="21">
        <f>SUM(NhatkyNhap!$C34:AG34)-SUM(NhatkyBan!$C34:AG34)</f>
        <v>0</v>
      </c>
    </row>
    <row r="35" spans="1:33" ht="12.75" customHeight="1">
      <c r="A35" s="76" t="str">
        <f>DSSP!A34</f>
        <v>A091</v>
      </c>
      <c r="B35" s="25" t="str">
        <f>DSSP!B34</f>
        <v>Cánh cụt bơi</v>
      </c>
      <c r="C35" s="21">
        <f>SUM(NhatkyNhap!$C35:C35)-SUM(NhatkyBan!$C35:C35)</f>
        <v>0</v>
      </c>
      <c r="D35" s="21">
        <f>SUM(NhatkyNhap!$C35:D35)-SUM(NhatkyBan!$C35:D35)</f>
        <v>0</v>
      </c>
      <c r="E35" s="21">
        <f>SUM(NhatkyNhap!$C35:E35)-SUM(NhatkyBan!$C35:E35)</f>
        <v>0</v>
      </c>
      <c r="F35" s="21">
        <f>SUM(NhatkyNhap!$C35:F35)-SUM(NhatkyBan!$C35:F35)</f>
        <v>0</v>
      </c>
      <c r="G35" s="21">
        <f>SUM(NhatkyNhap!$C35:G35)-SUM(NhatkyBan!$C35:G35)</f>
        <v>0</v>
      </c>
      <c r="H35" s="21">
        <f>SUM(NhatkyNhap!$C35:H35)-SUM(NhatkyBan!$C35:H35)</f>
        <v>0</v>
      </c>
      <c r="I35" s="21">
        <f>SUM(NhatkyNhap!$C35:I35)-SUM(NhatkyBan!$C35:I35)</f>
        <v>0</v>
      </c>
      <c r="J35" s="21">
        <f>SUM(NhatkyNhap!$C35:J35)-SUM(NhatkyBan!$C35:J35)</f>
        <v>0</v>
      </c>
      <c r="K35" s="21">
        <f>SUM(NhatkyNhap!$C35:K35)-SUM(NhatkyBan!$C35:K35)</f>
        <v>0</v>
      </c>
      <c r="L35" s="21">
        <f>SUM(NhatkyNhap!$C35:L35)-SUM(NhatkyBan!$C35:L35)</f>
        <v>0</v>
      </c>
      <c r="M35" s="21">
        <f>SUM(NhatkyNhap!$C35:M35)-SUM(NhatkyBan!$C35:M35)</f>
        <v>0</v>
      </c>
      <c r="N35" s="21">
        <f>SUM(NhatkyNhap!$C35:N35)-SUM(NhatkyBan!$C35:N35)</f>
        <v>0</v>
      </c>
      <c r="O35" s="21">
        <f>SUM(NhatkyNhap!$C35:O35)-SUM(NhatkyBan!$C35:O35)</f>
        <v>0</v>
      </c>
      <c r="P35" s="21">
        <f>SUM(NhatkyNhap!$C35:P35)-SUM(NhatkyBan!$C35:P35)</f>
        <v>0</v>
      </c>
      <c r="Q35" s="21">
        <f>SUM(NhatkyNhap!$C35:Q35)-SUM(NhatkyBan!$C35:Q35)</f>
        <v>0</v>
      </c>
      <c r="R35" s="21">
        <f>SUM(NhatkyNhap!$C35:R35)-SUM(NhatkyBan!$C35:R35)</f>
        <v>0</v>
      </c>
      <c r="S35" s="21">
        <f>SUM(NhatkyNhap!$C35:S35)-SUM(NhatkyBan!$C35:S35)</f>
        <v>0</v>
      </c>
      <c r="T35" s="21">
        <f>SUM(NhatkyNhap!$C35:T35)-SUM(NhatkyBan!$C35:T35)</f>
        <v>0</v>
      </c>
      <c r="U35" s="21">
        <f>SUM(NhatkyNhap!$C35:U35)-SUM(NhatkyBan!$C35:U35)</f>
        <v>0</v>
      </c>
      <c r="V35" s="21">
        <f>SUM(NhatkyNhap!$C35:V35)-SUM(NhatkyBan!$C35:V35)</f>
        <v>0</v>
      </c>
      <c r="W35" s="21">
        <f>SUM(NhatkyNhap!$C35:W35)-SUM(NhatkyBan!$C35:W35)</f>
        <v>0</v>
      </c>
      <c r="X35" s="21">
        <f>SUM(NhatkyNhap!$C35:X35)-SUM(NhatkyBan!$C35:X35)</f>
        <v>0</v>
      </c>
      <c r="Y35" s="21">
        <f>SUM(NhatkyNhap!$C35:Y35)-SUM(NhatkyBan!$C35:Y35)</f>
        <v>0</v>
      </c>
      <c r="Z35" s="21">
        <f>SUM(NhatkyNhap!$C35:Z35)-SUM(NhatkyBan!$C35:Z35)</f>
        <v>0</v>
      </c>
      <c r="AA35" s="21">
        <f>SUM(NhatkyNhap!$C35:AA35)-SUM(NhatkyBan!$C35:AA35)</f>
        <v>0</v>
      </c>
      <c r="AB35" s="21">
        <f>SUM(NhatkyNhap!$C35:AB35)-SUM(NhatkyBan!$C35:AB35)</f>
        <v>0</v>
      </c>
      <c r="AC35" s="21">
        <f>SUM(NhatkyNhap!$C35:AC35)-SUM(NhatkyBan!$C35:AC35)</f>
        <v>0</v>
      </c>
      <c r="AD35" s="21">
        <f>SUM(NhatkyNhap!$C35:AD35)-SUM(NhatkyBan!$C35:AD35)</f>
        <v>0</v>
      </c>
      <c r="AE35" s="21">
        <f>SUM(NhatkyNhap!$C35:AE35)-SUM(NhatkyBan!$C35:AE35)</f>
        <v>0</v>
      </c>
      <c r="AF35" s="21">
        <f>SUM(NhatkyNhap!$C35:AF35)-SUM(NhatkyBan!$C35:AF35)</f>
        <v>0</v>
      </c>
      <c r="AG35" s="21">
        <f>SUM(NhatkyNhap!$C35:AG35)-SUM(NhatkyBan!$C35:AG35)</f>
        <v>0</v>
      </c>
    </row>
    <row r="36" spans="1:33" ht="12.75" customHeight="1">
      <c r="A36" s="76" t="str">
        <f>DSSP!A35</f>
        <v>A092</v>
      </c>
      <c r="B36" s="25" t="str">
        <f>DSSP!B35</f>
        <v>Heo đất</v>
      </c>
      <c r="C36" s="21">
        <f>SUM(NhatkyNhap!$C36:C36)-SUM(NhatkyBan!$C36:C36)</f>
        <v>32</v>
      </c>
      <c r="D36" s="21">
        <f>SUM(NhatkyNhap!$C36:D36)-SUM(NhatkyBan!$C36:D36)</f>
        <v>32</v>
      </c>
      <c r="E36" s="21">
        <f>SUM(NhatkyNhap!$C36:E36)-SUM(NhatkyBan!$C36:E36)</f>
        <v>32</v>
      </c>
      <c r="F36" s="21">
        <f>SUM(NhatkyNhap!$C36:F36)-SUM(NhatkyBan!$C36:F36)</f>
        <v>32</v>
      </c>
      <c r="G36" s="21">
        <f>SUM(NhatkyNhap!$C36:G36)-SUM(NhatkyBan!$C36:G36)</f>
        <v>32</v>
      </c>
      <c r="H36" s="21">
        <f>SUM(NhatkyNhap!$C36:H36)-SUM(NhatkyBan!$C36:H36)</f>
        <v>32</v>
      </c>
      <c r="I36" s="21">
        <f>SUM(NhatkyNhap!$C36:I36)-SUM(NhatkyBan!$C36:I36)</f>
        <v>32</v>
      </c>
      <c r="J36" s="21">
        <f>SUM(NhatkyNhap!$C36:J36)-SUM(NhatkyBan!$C36:J36)</f>
        <v>32</v>
      </c>
      <c r="K36" s="21">
        <f>SUM(NhatkyNhap!$C36:K36)-SUM(NhatkyBan!$C36:K36)</f>
        <v>32</v>
      </c>
      <c r="L36" s="21">
        <f>SUM(NhatkyNhap!$C36:L36)-SUM(NhatkyBan!$C36:L36)</f>
        <v>32</v>
      </c>
      <c r="M36" s="21">
        <f>SUM(NhatkyNhap!$C36:M36)-SUM(NhatkyBan!$C36:M36)</f>
        <v>32</v>
      </c>
      <c r="N36" s="21">
        <f>SUM(NhatkyNhap!$C36:N36)-SUM(NhatkyBan!$C36:N36)</f>
        <v>32</v>
      </c>
      <c r="O36" s="21">
        <f>SUM(NhatkyNhap!$C36:O36)-SUM(NhatkyBan!$C36:O36)</f>
        <v>32</v>
      </c>
      <c r="P36" s="21">
        <f>SUM(NhatkyNhap!$C36:P36)-SUM(NhatkyBan!$C36:P36)</f>
        <v>32</v>
      </c>
      <c r="Q36" s="21">
        <f>SUM(NhatkyNhap!$C36:Q36)-SUM(NhatkyBan!$C36:Q36)</f>
        <v>32</v>
      </c>
      <c r="R36" s="21">
        <f>SUM(NhatkyNhap!$C36:R36)-SUM(NhatkyBan!$C36:R36)</f>
        <v>32</v>
      </c>
      <c r="S36" s="21">
        <f>SUM(NhatkyNhap!$C36:S36)-SUM(NhatkyBan!$C36:S36)</f>
        <v>32</v>
      </c>
      <c r="T36" s="21">
        <f>SUM(NhatkyNhap!$C36:T36)-SUM(NhatkyBan!$C36:T36)</f>
        <v>32</v>
      </c>
      <c r="U36" s="21">
        <f>SUM(NhatkyNhap!$C36:U36)-SUM(NhatkyBan!$C36:U36)</f>
        <v>32</v>
      </c>
      <c r="V36" s="21">
        <f>SUM(NhatkyNhap!$C36:V36)-SUM(NhatkyBan!$C36:V36)</f>
        <v>32</v>
      </c>
      <c r="W36" s="21">
        <f>SUM(NhatkyNhap!$C36:W36)-SUM(NhatkyBan!$C36:W36)</f>
        <v>32</v>
      </c>
      <c r="X36" s="21">
        <f>SUM(NhatkyNhap!$C36:X36)-SUM(NhatkyBan!$C36:X36)</f>
        <v>32</v>
      </c>
      <c r="Y36" s="21">
        <f>SUM(NhatkyNhap!$C36:Y36)-SUM(NhatkyBan!$C36:Y36)</f>
        <v>32</v>
      </c>
      <c r="Z36" s="21">
        <f>SUM(NhatkyNhap!$C36:Z36)-SUM(NhatkyBan!$C36:Z36)</f>
        <v>32</v>
      </c>
      <c r="AA36" s="21">
        <f>SUM(NhatkyNhap!$C36:AA36)-SUM(NhatkyBan!$C36:AA36)</f>
        <v>32</v>
      </c>
      <c r="AB36" s="21">
        <f>SUM(NhatkyNhap!$C36:AB36)-SUM(NhatkyBan!$C36:AB36)</f>
        <v>32</v>
      </c>
      <c r="AC36" s="21">
        <f>SUM(NhatkyNhap!$C36:AC36)-SUM(NhatkyBan!$C36:AC36)</f>
        <v>32</v>
      </c>
      <c r="AD36" s="21">
        <f>SUM(NhatkyNhap!$C36:AD36)-SUM(NhatkyBan!$C36:AD36)</f>
        <v>32</v>
      </c>
      <c r="AE36" s="21">
        <f>SUM(NhatkyNhap!$C36:AE36)-SUM(NhatkyBan!$C36:AE36)</f>
        <v>32</v>
      </c>
      <c r="AF36" s="21">
        <f>SUM(NhatkyNhap!$C36:AF36)-SUM(NhatkyBan!$C36:AF36)</f>
        <v>32</v>
      </c>
      <c r="AG36" s="21">
        <f>SUM(NhatkyNhap!$C36:AG36)-SUM(NhatkyBan!$C36:AG36)</f>
        <v>32</v>
      </c>
    </row>
    <row r="37" spans="1:33" ht="12.75" customHeight="1">
      <c r="A37" s="76" t="str">
        <f>DSSP!A36</f>
        <v>A121</v>
      </c>
      <c r="B37" s="25" t="str">
        <f>DSSP!B36</f>
        <v>Gà mẹ con</v>
      </c>
      <c r="C37" s="21">
        <f>SUM(NhatkyNhap!$C37:C37)-SUM(NhatkyBan!$C37:C37)</f>
        <v>0</v>
      </c>
      <c r="D37" s="21">
        <f>SUM(NhatkyNhap!$C37:D37)-SUM(NhatkyBan!$C37:D37)</f>
        <v>0</v>
      </c>
      <c r="E37" s="21">
        <f>SUM(NhatkyNhap!$C37:E37)-SUM(NhatkyBan!$C37:E37)</f>
        <v>0</v>
      </c>
      <c r="F37" s="21">
        <f>SUM(NhatkyNhap!$C37:F37)-SUM(NhatkyBan!$C37:F37)</f>
        <v>0</v>
      </c>
      <c r="G37" s="21">
        <f>SUM(NhatkyNhap!$C37:G37)-SUM(NhatkyBan!$C37:G37)</f>
        <v>0</v>
      </c>
      <c r="H37" s="21">
        <f>SUM(NhatkyNhap!$C37:H37)-SUM(NhatkyBan!$C37:H37)</f>
        <v>0</v>
      </c>
      <c r="I37" s="21">
        <f>SUM(NhatkyNhap!$C37:I37)-SUM(NhatkyBan!$C37:I37)</f>
        <v>0</v>
      </c>
      <c r="J37" s="21">
        <f>SUM(NhatkyNhap!$C37:J37)-SUM(NhatkyBan!$C37:J37)</f>
        <v>0</v>
      </c>
      <c r="K37" s="21">
        <f>SUM(NhatkyNhap!$C37:K37)-SUM(NhatkyBan!$C37:K37)</f>
        <v>0</v>
      </c>
      <c r="L37" s="21">
        <f>SUM(NhatkyNhap!$C37:L37)-SUM(NhatkyBan!$C37:L37)</f>
        <v>0</v>
      </c>
      <c r="M37" s="21">
        <f>SUM(NhatkyNhap!$C37:M37)-SUM(NhatkyBan!$C37:M37)</f>
        <v>0</v>
      </c>
      <c r="N37" s="21">
        <f>SUM(NhatkyNhap!$C37:N37)-SUM(NhatkyBan!$C37:N37)</f>
        <v>0</v>
      </c>
      <c r="O37" s="21">
        <f>SUM(NhatkyNhap!$C37:O37)-SUM(NhatkyBan!$C37:O37)</f>
        <v>0</v>
      </c>
      <c r="P37" s="21">
        <f>SUM(NhatkyNhap!$C37:P37)-SUM(NhatkyBan!$C37:P37)</f>
        <v>0</v>
      </c>
      <c r="Q37" s="21">
        <f>SUM(NhatkyNhap!$C37:Q37)-SUM(NhatkyBan!$C37:Q37)</f>
        <v>0</v>
      </c>
      <c r="R37" s="21">
        <f>SUM(NhatkyNhap!$C37:R37)-SUM(NhatkyBan!$C37:R37)</f>
        <v>0</v>
      </c>
      <c r="S37" s="21">
        <f>SUM(NhatkyNhap!$C37:S37)-SUM(NhatkyBan!$C37:S37)</f>
        <v>0</v>
      </c>
      <c r="T37" s="21">
        <f>SUM(NhatkyNhap!$C37:T37)-SUM(NhatkyBan!$C37:T37)</f>
        <v>0</v>
      </c>
      <c r="U37" s="21">
        <f>SUM(NhatkyNhap!$C37:U37)-SUM(NhatkyBan!$C37:U37)</f>
        <v>0</v>
      </c>
      <c r="V37" s="21">
        <f>SUM(NhatkyNhap!$C37:V37)-SUM(NhatkyBan!$C37:V37)</f>
        <v>0</v>
      </c>
      <c r="W37" s="21">
        <f>SUM(NhatkyNhap!$C37:W37)-SUM(NhatkyBan!$C37:W37)</f>
        <v>0</v>
      </c>
      <c r="X37" s="21">
        <f>SUM(NhatkyNhap!$C37:X37)-SUM(NhatkyBan!$C37:X37)</f>
        <v>0</v>
      </c>
      <c r="Y37" s="21">
        <f>SUM(NhatkyNhap!$C37:Y37)-SUM(NhatkyBan!$C37:Y37)</f>
        <v>0</v>
      </c>
      <c r="Z37" s="21">
        <f>SUM(NhatkyNhap!$C37:Z37)-SUM(NhatkyBan!$C37:Z37)</f>
        <v>0</v>
      </c>
      <c r="AA37" s="21">
        <f>SUM(NhatkyNhap!$C37:AA37)-SUM(NhatkyBan!$C37:AA37)</f>
        <v>0</v>
      </c>
      <c r="AB37" s="21">
        <f>SUM(NhatkyNhap!$C37:AB37)-SUM(NhatkyBan!$C37:AB37)</f>
        <v>0</v>
      </c>
      <c r="AC37" s="21">
        <f>SUM(NhatkyNhap!$C37:AC37)-SUM(NhatkyBan!$C37:AC37)</f>
        <v>0</v>
      </c>
      <c r="AD37" s="21">
        <f>SUM(NhatkyNhap!$C37:AD37)-SUM(NhatkyBan!$C37:AD37)</f>
        <v>0</v>
      </c>
      <c r="AE37" s="21">
        <f>SUM(NhatkyNhap!$C37:AE37)-SUM(NhatkyBan!$C37:AE37)</f>
        <v>0</v>
      </c>
      <c r="AF37" s="21">
        <f>SUM(NhatkyNhap!$C37:AF37)-SUM(NhatkyBan!$C37:AF37)</f>
        <v>0</v>
      </c>
      <c r="AG37" s="21">
        <f>SUM(NhatkyNhap!$C37:AG37)-SUM(NhatkyBan!$C37:AG37)</f>
        <v>0</v>
      </c>
    </row>
    <row r="38" spans="1:33" ht="12.75" customHeight="1">
      <c r="A38" s="76" t="str">
        <f>DSSP!A37</f>
        <v>A122</v>
      </c>
      <c r="B38" s="25" t="str">
        <f>DSSP!B37</f>
        <v>Ếch kêu mưa</v>
      </c>
      <c r="C38" s="21">
        <f>SUM(NhatkyNhap!$C38:C38)-SUM(NhatkyBan!$C38:C38)</f>
        <v>18</v>
      </c>
      <c r="D38" s="21">
        <f>SUM(NhatkyNhap!$C38:D38)-SUM(NhatkyBan!$C38:D38)</f>
        <v>18</v>
      </c>
      <c r="E38" s="21">
        <f>SUM(NhatkyNhap!$C38:E38)-SUM(NhatkyBan!$C38:E38)</f>
        <v>18</v>
      </c>
      <c r="F38" s="21">
        <f>SUM(NhatkyNhap!$C38:F38)-SUM(NhatkyBan!$C38:F38)</f>
        <v>18</v>
      </c>
      <c r="G38" s="21">
        <f>SUM(NhatkyNhap!$C38:G38)-SUM(NhatkyBan!$C38:G38)</f>
        <v>18</v>
      </c>
      <c r="H38" s="21">
        <f>SUM(NhatkyNhap!$C38:H38)-SUM(NhatkyBan!$C38:H38)</f>
        <v>18</v>
      </c>
      <c r="I38" s="21">
        <f>SUM(NhatkyNhap!$C38:I38)-SUM(NhatkyBan!$C38:I38)</f>
        <v>18</v>
      </c>
      <c r="J38" s="21">
        <f>SUM(NhatkyNhap!$C38:J38)-SUM(NhatkyBan!$C38:J38)</f>
        <v>18</v>
      </c>
      <c r="K38" s="21">
        <f>SUM(NhatkyNhap!$C38:K38)-SUM(NhatkyBan!$C38:K38)</f>
        <v>18</v>
      </c>
      <c r="L38" s="21">
        <f>SUM(NhatkyNhap!$C38:L38)-SUM(NhatkyBan!$C38:L38)</f>
        <v>18</v>
      </c>
      <c r="M38" s="21">
        <f>SUM(NhatkyNhap!$C38:M38)-SUM(NhatkyBan!$C38:M38)</f>
        <v>18</v>
      </c>
      <c r="N38" s="21">
        <f>SUM(NhatkyNhap!$C38:N38)-SUM(NhatkyBan!$C38:N38)</f>
        <v>18</v>
      </c>
      <c r="O38" s="21">
        <f>SUM(NhatkyNhap!$C38:O38)-SUM(NhatkyBan!$C38:O38)</f>
        <v>18</v>
      </c>
      <c r="P38" s="21">
        <f>SUM(NhatkyNhap!$C38:P38)-SUM(NhatkyBan!$C38:P38)</f>
        <v>18</v>
      </c>
      <c r="Q38" s="21">
        <f>SUM(NhatkyNhap!$C38:Q38)-SUM(NhatkyBan!$C38:Q38)</f>
        <v>18</v>
      </c>
      <c r="R38" s="21">
        <f>SUM(NhatkyNhap!$C38:R38)-SUM(NhatkyBan!$C38:R38)</f>
        <v>18</v>
      </c>
      <c r="S38" s="21">
        <f>SUM(NhatkyNhap!$C38:S38)-SUM(NhatkyBan!$C38:S38)</f>
        <v>18</v>
      </c>
      <c r="T38" s="21">
        <f>SUM(NhatkyNhap!$C38:T38)-SUM(NhatkyBan!$C38:T38)</f>
        <v>18</v>
      </c>
      <c r="U38" s="21">
        <f>SUM(NhatkyNhap!$C38:U38)-SUM(NhatkyBan!$C38:U38)</f>
        <v>18</v>
      </c>
      <c r="V38" s="21">
        <f>SUM(NhatkyNhap!$C38:V38)-SUM(NhatkyBan!$C38:V38)</f>
        <v>18</v>
      </c>
      <c r="W38" s="21">
        <f>SUM(NhatkyNhap!$C38:W38)-SUM(NhatkyBan!$C38:W38)</f>
        <v>18</v>
      </c>
      <c r="X38" s="21">
        <f>SUM(NhatkyNhap!$C38:X38)-SUM(NhatkyBan!$C38:X38)</f>
        <v>18</v>
      </c>
      <c r="Y38" s="21">
        <f>SUM(NhatkyNhap!$C38:Y38)-SUM(NhatkyBan!$C38:Y38)</f>
        <v>18</v>
      </c>
      <c r="Z38" s="21">
        <f>SUM(NhatkyNhap!$C38:Z38)-SUM(NhatkyBan!$C38:Z38)</f>
        <v>18</v>
      </c>
      <c r="AA38" s="21">
        <f>SUM(NhatkyNhap!$C38:AA38)-SUM(NhatkyBan!$C38:AA38)</f>
        <v>18</v>
      </c>
      <c r="AB38" s="21">
        <f>SUM(NhatkyNhap!$C38:AB38)-SUM(NhatkyBan!$C38:AB38)</f>
        <v>18</v>
      </c>
      <c r="AC38" s="21">
        <f>SUM(NhatkyNhap!$C38:AC38)-SUM(NhatkyBan!$C38:AC38)</f>
        <v>18</v>
      </c>
      <c r="AD38" s="21">
        <f>SUM(NhatkyNhap!$C38:AD38)-SUM(NhatkyBan!$C38:AD38)</f>
        <v>18</v>
      </c>
      <c r="AE38" s="21">
        <f>SUM(NhatkyNhap!$C38:AE38)-SUM(NhatkyBan!$C38:AE38)</f>
        <v>18</v>
      </c>
      <c r="AF38" s="21">
        <f>SUM(NhatkyNhap!$C38:AF38)-SUM(NhatkyBan!$C38:AF38)</f>
        <v>18</v>
      </c>
      <c r="AG38" s="21">
        <f>SUM(NhatkyNhap!$C38:AG38)-SUM(NhatkyBan!$C38:AG38)</f>
        <v>18</v>
      </c>
    </row>
    <row r="39" spans="1:33" ht="12.75" customHeight="1">
      <c r="A39" s="76" t="str">
        <f>DSSP!A38</f>
        <v>A123</v>
      </c>
      <c r="B39" s="25" t="str">
        <f>DSSP!B38</f>
        <v>Tê giác tắm</v>
      </c>
      <c r="C39" s="21">
        <f>SUM(NhatkyNhap!$C39:C39)-SUM(NhatkyBan!$C39:C39)</f>
        <v>0</v>
      </c>
      <c r="D39" s="21">
        <f>SUM(NhatkyNhap!$C39:D39)-SUM(NhatkyBan!$C39:D39)</f>
        <v>0</v>
      </c>
      <c r="E39" s="21">
        <f>SUM(NhatkyNhap!$C39:E39)-SUM(NhatkyBan!$C39:E39)</f>
        <v>0</v>
      </c>
      <c r="F39" s="21">
        <f>SUM(NhatkyNhap!$C39:F39)-SUM(NhatkyBan!$C39:F39)</f>
        <v>0</v>
      </c>
      <c r="G39" s="21">
        <f>SUM(NhatkyNhap!$C39:G39)-SUM(NhatkyBan!$C39:G39)</f>
        <v>0</v>
      </c>
      <c r="H39" s="21">
        <f>SUM(NhatkyNhap!$C39:H39)-SUM(NhatkyBan!$C39:H39)</f>
        <v>0</v>
      </c>
      <c r="I39" s="21">
        <f>SUM(NhatkyNhap!$C39:I39)-SUM(NhatkyBan!$C39:I39)</f>
        <v>0</v>
      </c>
      <c r="J39" s="21">
        <f>SUM(NhatkyNhap!$C39:J39)-SUM(NhatkyBan!$C39:J39)</f>
        <v>0</v>
      </c>
      <c r="K39" s="21">
        <f>SUM(NhatkyNhap!$C39:K39)-SUM(NhatkyBan!$C39:K39)</f>
        <v>0</v>
      </c>
      <c r="L39" s="21">
        <f>SUM(NhatkyNhap!$C39:L39)-SUM(NhatkyBan!$C39:L39)</f>
        <v>0</v>
      </c>
      <c r="M39" s="21">
        <f>SUM(NhatkyNhap!$C39:M39)-SUM(NhatkyBan!$C39:M39)</f>
        <v>0</v>
      </c>
      <c r="N39" s="21">
        <f>SUM(NhatkyNhap!$C39:N39)-SUM(NhatkyBan!$C39:N39)</f>
        <v>0</v>
      </c>
      <c r="O39" s="21">
        <f>SUM(NhatkyNhap!$C39:O39)-SUM(NhatkyBan!$C39:O39)</f>
        <v>0</v>
      </c>
      <c r="P39" s="21">
        <f>SUM(NhatkyNhap!$C39:P39)-SUM(NhatkyBan!$C39:P39)</f>
        <v>0</v>
      </c>
      <c r="Q39" s="21">
        <f>SUM(NhatkyNhap!$C39:Q39)-SUM(NhatkyBan!$C39:Q39)</f>
        <v>0</v>
      </c>
      <c r="R39" s="21">
        <f>SUM(NhatkyNhap!$C39:R39)-SUM(NhatkyBan!$C39:R39)</f>
        <v>0</v>
      </c>
      <c r="S39" s="21">
        <f>SUM(NhatkyNhap!$C39:S39)-SUM(NhatkyBan!$C39:S39)</f>
        <v>0</v>
      </c>
      <c r="T39" s="21">
        <f>SUM(NhatkyNhap!$C39:T39)-SUM(NhatkyBan!$C39:T39)</f>
        <v>0</v>
      </c>
      <c r="U39" s="21">
        <f>SUM(NhatkyNhap!$C39:U39)-SUM(NhatkyBan!$C39:U39)</f>
        <v>0</v>
      </c>
      <c r="V39" s="21">
        <f>SUM(NhatkyNhap!$C39:V39)-SUM(NhatkyBan!$C39:V39)</f>
        <v>0</v>
      </c>
      <c r="W39" s="21">
        <f>SUM(NhatkyNhap!$C39:W39)-SUM(NhatkyBan!$C39:W39)</f>
        <v>0</v>
      </c>
      <c r="X39" s="21">
        <f>SUM(NhatkyNhap!$C39:X39)-SUM(NhatkyBan!$C39:X39)</f>
        <v>0</v>
      </c>
      <c r="Y39" s="21">
        <f>SUM(NhatkyNhap!$C39:Y39)-SUM(NhatkyBan!$C39:Y39)</f>
        <v>0</v>
      </c>
      <c r="Z39" s="21">
        <f>SUM(NhatkyNhap!$C39:Z39)-SUM(NhatkyBan!$C39:Z39)</f>
        <v>0</v>
      </c>
      <c r="AA39" s="21">
        <f>SUM(NhatkyNhap!$C39:AA39)-SUM(NhatkyBan!$C39:AA39)</f>
        <v>0</v>
      </c>
      <c r="AB39" s="21">
        <f>SUM(NhatkyNhap!$C39:AB39)-SUM(NhatkyBan!$C39:AB39)</f>
        <v>0</v>
      </c>
      <c r="AC39" s="21">
        <f>SUM(NhatkyNhap!$C39:AC39)-SUM(NhatkyBan!$C39:AC39)</f>
        <v>0</v>
      </c>
      <c r="AD39" s="21">
        <f>SUM(NhatkyNhap!$C39:AD39)-SUM(NhatkyBan!$C39:AD39)</f>
        <v>0</v>
      </c>
      <c r="AE39" s="21">
        <f>SUM(NhatkyNhap!$C39:AE39)-SUM(NhatkyBan!$C39:AE39)</f>
        <v>0</v>
      </c>
      <c r="AF39" s="21">
        <f>SUM(NhatkyNhap!$C39:AF39)-SUM(NhatkyBan!$C39:AF39)</f>
        <v>0</v>
      </c>
      <c r="AG39" s="21">
        <f>SUM(NhatkyNhap!$C39:AG39)-SUM(NhatkyBan!$C39:AG39)</f>
        <v>0</v>
      </c>
    </row>
    <row r="40" spans="1:33" ht="12.75" customHeight="1">
      <c r="A40" s="76" t="str">
        <f>DSSP!A39</f>
        <v>A124</v>
      </c>
      <c r="B40" s="25" t="str">
        <f>DSSP!B39</f>
        <v>Cá mú</v>
      </c>
      <c r="C40" s="21">
        <f>SUM(NhatkyNhap!$C40:C40)-SUM(NhatkyBan!$C40:C40)</f>
        <v>0</v>
      </c>
      <c r="D40" s="21">
        <f>SUM(NhatkyNhap!$C40:D40)-SUM(NhatkyBan!$C40:D40)</f>
        <v>0</v>
      </c>
      <c r="E40" s="21">
        <f>SUM(NhatkyNhap!$C40:E40)-SUM(NhatkyBan!$C40:E40)</f>
        <v>0</v>
      </c>
      <c r="F40" s="21">
        <f>SUM(NhatkyNhap!$C40:F40)-SUM(NhatkyBan!$C40:F40)</f>
        <v>0</v>
      </c>
      <c r="G40" s="21">
        <f>SUM(NhatkyNhap!$C40:G40)-SUM(NhatkyBan!$C40:G40)</f>
        <v>0</v>
      </c>
      <c r="H40" s="21">
        <f>SUM(NhatkyNhap!$C40:H40)-SUM(NhatkyBan!$C40:H40)</f>
        <v>0</v>
      </c>
      <c r="I40" s="21">
        <f>SUM(NhatkyNhap!$C40:I40)-SUM(NhatkyBan!$C40:I40)</f>
        <v>0</v>
      </c>
      <c r="J40" s="21">
        <f>SUM(NhatkyNhap!$C40:J40)-SUM(NhatkyBan!$C40:J40)</f>
        <v>0</v>
      </c>
      <c r="K40" s="21">
        <f>SUM(NhatkyNhap!$C40:K40)-SUM(NhatkyBan!$C40:K40)</f>
        <v>0</v>
      </c>
      <c r="L40" s="21">
        <f>SUM(NhatkyNhap!$C40:L40)-SUM(NhatkyBan!$C40:L40)</f>
        <v>0</v>
      </c>
      <c r="M40" s="21">
        <f>SUM(NhatkyNhap!$C40:M40)-SUM(NhatkyBan!$C40:M40)</f>
        <v>0</v>
      </c>
      <c r="N40" s="21">
        <f>SUM(NhatkyNhap!$C40:N40)-SUM(NhatkyBan!$C40:N40)</f>
        <v>0</v>
      </c>
      <c r="O40" s="21">
        <f>SUM(NhatkyNhap!$C40:O40)-SUM(NhatkyBan!$C40:O40)</f>
        <v>0</v>
      </c>
      <c r="P40" s="21">
        <f>SUM(NhatkyNhap!$C40:P40)-SUM(NhatkyBan!$C40:P40)</f>
        <v>0</v>
      </c>
      <c r="Q40" s="21">
        <f>SUM(NhatkyNhap!$C40:Q40)-SUM(NhatkyBan!$C40:Q40)</f>
        <v>0</v>
      </c>
      <c r="R40" s="21">
        <f>SUM(NhatkyNhap!$C40:R40)-SUM(NhatkyBan!$C40:R40)</f>
        <v>0</v>
      </c>
      <c r="S40" s="21">
        <f>SUM(NhatkyNhap!$C40:S40)-SUM(NhatkyBan!$C40:S40)</f>
        <v>0</v>
      </c>
      <c r="T40" s="21">
        <f>SUM(NhatkyNhap!$C40:T40)-SUM(NhatkyBan!$C40:T40)</f>
        <v>0</v>
      </c>
      <c r="U40" s="21">
        <f>SUM(NhatkyNhap!$C40:U40)-SUM(NhatkyBan!$C40:U40)</f>
        <v>0</v>
      </c>
      <c r="V40" s="21">
        <f>SUM(NhatkyNhap!$C40:V40)-SUM(NhatkyBan!$C40:V40)</f>
        <v>0</v>
      </c>
      <c r="W40" s="21">
        <f>SUM(NhatkyNhap!$C40:W40)-SUM(NhatkyBan!$C40:W40)</f>
        <v>0</v>
      </c>
      <c r="X40" s="21">
        <f>SUM(NhatkyNhap!$C40:X40)-SUM(NhatkyBan!$C40:X40)</f>
        <v>0</v>
      </c>
      <c r="Y40" s="21">
        <f>SUM(NhatkyNhap!$C40:Y40)-SUM(NhatkyBan!$C40:Y40)</f>
        <v>0</v>
      </c>
      <c r="Z40" s="21">
        <f>SUM(NhatkyNhap!$C40:Z40)-SUM(NhatkyBan!$C40:Z40)</f>
        <v>0</v>
      </c>
      <c r="AA40" s="21">
        <f>SUM(NhatkyNhap!$C40:AA40)-SUM(NhatkyBan!$C40:AA40)</f>
        <v>0</v>
      </c>
      <c r="AB40" s="21">
        <f>SUM(NhatkyNhap!$C40:AB40)-SUM(NhatkyBan!$C40:AB40)</f>
        <v>0</v>
      </c>
      <c r="AC40" s="21">
        <f>SUM(NhatkyNhap!$C40:AC40)-SUM(NhatkyBan!$C40:AC40)</f>
        <v>0</v>
      </c>
      <c r="AD40" s="21">
        <f>SUM(NhatkyNhap!$C40:AD40)-SUM(NhatkyBan!$C40:AD40)</f>
        <v>0</v>
      </c>
      <c r="AE40" s="21">
        <f>SUM(NhatkyNhap!$C40:AE40)-SUM(NhatkyBan!$C40:AE40)</f>
        <v>0</v>
      </c>
      <c r="AF40" s="21">
        <f>SUM(NhatkyNhap!$C40:AF40)-SUM(NhatkyBan!$C40:AF40)</f>
        <v>0</v>
      </c>
      <c r="AG40" s="21">
        <f>SUM(NhatkyNhap!$C40:AG40)-SUM(NhatkyBan!$C40:AG40)</f>
        <v>0</v>
      </c>
    </row>
    <row r="41" spans="1:33" ht="12.75" customHeight="1">
      <c r="A41" s="76" t="str">
        <f>DSSP!A40</f>
        <v>A125</v>
      </c>
      <c r="B41" s="25" t="str">
        <f>DSSP!B40</f>
        <v>Ỉn hồng</v>
      </c>
      <c r="C41" s="21">
        <f>SUM(NhatkyNhap!$C41:C41)-SUM(NhatkyBan!$C41:C41)</f>
        <v>0</v>
      </c>
      <c r="D41" s="21">
        <f>SUM(NhatkyNhap!$C41:D41)-SUM(NhatkyBan!$C41:D41)</f>
        <v>0</v>
      </c>
      <c r="E41" s="21">
        <f>SUM(NhatkyNhap!$C41:E41)-SUM(NhatkyBan!$C41:E41)</f>
        <v>0</v>
      </c>
      <c r="F41" s="21">
        <f>SUM(NhatkyNhap!$C41:F41)-SUM(NhatkyBan!$C41:F41)</f>
        <v>0</v>
      </c>
      <c r="G41" s="21">
        <f>SUM(NhatkyNhap!$C41:G41)-SUM(NhatkyBan!$C41:G41)</f>
        <v>0</v>
      </c>
      <c r="H41" s="21">
        <f>SUM(NhatkyNhap!$C41:H41)-SUM(NhatkyBan!$C41:H41)</f>
        <v>0</v>
      </c>
      <c r="I41" s="21">
        <f>SUM(NhatkyNhap!$C41:I41)-SUM(NhatkyBan!$C41:I41)</f>
        <v>0</v>
      </c>
      <c r="J41" s="21">
        <f>SUM(NhatkyNhap!$C41:J41)-SUM(NhatkyBan!$C41:J41)</f>
        <v>0</v>
      </c>
      <c r="K41" s="21">
        <f>SUM(NhatkyNhap!$C41:K41)-SUM(NhatkyBan!$C41:K41)</f>
        <v>0</v>
      </c>
      <c r="L41" s="21">
        <f>SUM(NhatkyNhap!$C41:L41)-SUM(NhatkyBan!$C41:L41)</f>
        <v>0</v>
      </c>
      <c r="M41" s="21">
        <f>SUM(NhatkyNhap!$C41:M41)-SUM(NhatkyBan!$C41:M41)</f>
        <v>0</v>
      </c>
      <c r="N41" s="21">
        <f>SUM(NhatkyNhap!$C41:N41)-SUM(NhatkyBan!$C41:N41)</f>
        <v>0</v>
      </c>
      <c r="O41" s="21">
        <f>SUM(NhatkyNhap!$C41:O41)-SUM(NhatkyBan!$C41:O41)</f>
        <v>0</v>
      </c>
      <c r="P41" s="21">
        <f>SUM(NhatkyNhap!$C41:P41)-SUM(NhatkyBan!$C41:P41)</f>
        <v>0</v>
      </c>
      <c r="Q41" s="21">
        <f>SUM(NhatkyNhap!$C41:Q41)-SUM(NhatkyBan!$C41:Q41)</f>
        <v>0</v>
      </c>
      <c r="R41" s="21">
        <f>SUM(NhatkyNhap!$C41:R41)-SUM(NhatkyBan!$C41:R41)</f>
        <v>0</v>
      </c>
      <c r="S41" s="21">
        <f>SUM(NhatkyNhap!$C41:S41)-SUM(NhatkyBan!$C41:S41)</f>
        <v>0</v>
      </c>
      <c r="T41" s="21">
        <f>SUM(NhatkyNhap!$C41:T41)-SUM(NhatkyBan!$C41:T41)</f>
        <v>0</v>
      </c>
      <c r="U41" s="21">
        <f>SUM(NhatkyNhap!$C41:U41)-SUM(NhatkyBan!$C41:U41)</f>
        <v>0</v>
      </c>
      <c r="V41" s="21">
        <f>SUM(NhatkyNhap!$C41:V41)-SUM(NhatkyBan!$C41:V41)</f>
        <v>0</v>
      </c>
      <c r="W41" s="21">
        <f>SUM(NhatkyNhap!$C41:W41)-SUM(NhatkyBan!$C41:W41)</f>
        <v>0</v>
      </c>
      <c r="X41" s="21">
        <f>SUM(NhatkyNhap!$C41:X41)-SUM(NhatkyBan!$C41:X41)</f>
        <v>0</v>
      </c>
      <c r="Y41" s="21">
        <f>SUM(NhatkyNhap!$C41:Y41)-SUM(NhatkyBan!$C41:Y41)</f>
        <v>0</v>
      </c>
      <c r="Z41" s="21">
        <f>SUM(NhatkyNhap!$C41:Z41)-SUM(NhatkyBan!$C41:Z41)</f>
        <v>0</v>
      </c>
      <c r="AA41" s="21">
        <f>SUM(NhatkyNhap!$C41:AA41)-SUM(NhatkyBan!$C41:AA41)</f>
        <v>0</v>
      </c>
      <c r="AB41" s="21">
        <f>SUM(NhatkyNhap!$C41:AB41)-SUM(NhatkyBan!$C41:AB41)</f>
        <v>0</v>
      </c>
      <c r="AC41" s="21">
        <f>SUM(NhatkyNhap!$C41:AC41)-SUM(NhatkyBan!$C41:AC41)</f>
        <v>0</v>
      </c>
      <c r="AD41" s="21">
        <f>SUM(NhatkyNhap!$C41:AD41)-SUM(NhatkyBan!$C41:AD41)</f>
        <v>0</v>
      </c>
      <c r="AE41" s="21">
        <f>SUM(NhatkyNhap!$C41:AE41)-SUM(NhatkyBan!$C41:AE41)</f>
        <v>0</v>
      </c>
      <c r="AF41" s="21">
        <f>SUM(NhatkyNhap!$C41:AF41)-SUM(NhatkyBan!$C41:AF41)</f>
        <v>0</v>
      </c>
      <c r="AG41" s="21">
        <f>SUM(NhatkyNhap!$C41:AG41)-SUM(NhatkyBan!$C41:AG41)</f>
        <v>0</v>
      </c>
    </row>
    <row r="42" spans="1:33" ht="12.75" customHeight="1">
      <c r="A42" s="76" t="str">
        <f>DSSP!A41</f>
        <v>A126</v>
      </c>
      <c r="B42" s="25" t="str">
        <f>DSSP!B41</f>
        <v>Cá voi</v>
      </c>
      <c r="C42" s="21">
        <f>SUM(NhatkyNhap!$C42:C42)-SUM(NhatkyBan!$C42:C42)</f>
        <v>0</v>
      </c>
      <c r="D42" s="21">
        <f>SUM(NhatkyNhap!$C42:D42)-SUM(NhatkyBan!$C42:D42)</f>
        <v>0</v>
      </c>
      <c r="E42" s="21">
        <f>SUM(NhatkyNhap!$C42:E42)-SUM(NhatkyBan!$C42:E42)</f>
        <v>0</v>
      </c>
      <c r="F42" s="21">
        <f>SUM(NhatkyNhap!$C42:F42)-SUM(NhatkyBan!$C42:F42)</f>
        <v>0</v>
      </c>
      <c r="G42" s="21">
        <f>SUM(NhatkyNhap!$C42:G42)-SUM(NhatkyBan!$C42:G42)</f>
        <v>0</v>
      </c>
      <c r="H42" s="21">
        <f>SUM(NhatkyNhap!$C42:H42)-SUM(NhatkyBan!$C42:H42)</f>
        <v>0</v>
      </c>
      <c r="I42" s="21">
        <f>SUM(NhatkyNhap!$C42:I42)-SUM(NhatkyBan!$C42:I42)</f>
        <v>0</v>
      </c>
      <c r="J42" s="21">
        <f>SUM(NhatkyNhap!$C42:J42)-SUM(NhatkyBan!$C42:J42)</f>
        <v>0</v>
      </c>
      <c r="K42" s="21">
        <f>SUM(NhatkyNhap!$C42:K42)-SUM(NhatkyBan!$C42:K42)</f>
        <v>0</v>
      </c>
      <c r="L42" s="21">
        <f>SUM(NhatkyNhap!$C42:L42)-SUM(NhatkyBan!$C42:L42)</f>
        <v>0</v>
      </c>
      <c r="M42" s="21">
        <f>SUM(NhatkyNhap!$C42:M42)-SUM(NhatkyBan!$C42:M42)</f>
        <v>0</v>
      </c>
      <c r="N42" s="21">
        <f>SUM(NhatkyNhap!$C42:N42)-SUM(NhatkyBan!$C42:N42)</f>
        <v>0</v>
      </c>
      <c r="O42" s="21">
        <f>SUM(NhatkyNhap!$C42:O42)-SUM(NhatkyBan!$C42:O42)</f>
        <v>0</v>
      </c>
      <c r="P42" s="21">
        <f>SUM(NhatkyNhap!$C42:P42)-SUM(NhatkyBan!$C42:P42)</f>
        <v>0</v>
      </c>
      <c r="Q42" s="21">
        <f>SUM(NhatkyNhap!$C42:Q42)-SUM(NhatkyBan!$C42:Q42)</f>
        <v>0</v>
      </c>
      <c r="R42" s="21">
        <f>SUM(NhatkyNhap!$C42:R42)-SUM(NhatkyBan!$C42:R42)</f>
        <v>0</v>
      </c>
      <c r="S42" s="21">
        <f>SUM(NhatkyNhap!$C42:S42)-SUM(NhatkyBan!$C42:S42)</f>
        <v>0</v>
      </c>
      <c r="T42" s="21">
        <f>SUM(NhatkyNhap!$C42:T42)-SUM(NhatkyBan!$C42:T42)</f>
        <v>0</v>
      </c>
      <c r="U42" s="21">
        <f>SUM(NhatkyNhap!$C42:U42)-SUM(NhatkyBan!$C42:U42)</f>
        <v>0</v>
      </c>
      <c r="V42" s="21">
        <f>SUM(NhatkyNhap!$C42:V42)-SUM(NhatkyBan!$C42:V42)</f>
        <v>0</v>
      </c>
      <c r="W42" s="21">
        <f>SUM(NhatkyNhap!$C42:W42)-SUM(NhatkyBan!$C42:W42)</f>
        <v>0</v>
      </c>
      <c r="X42" s="21">
        <f>SUM(NhatkyNhap!$C42:X42)-SUM(NhatkyBan!$C42:X42)</f>
        <v>0</v>
      </c>
      <c r="Y42" s="21">
        <f>SUM(NhatkyNhap!$C42:Y42)-SUM(NhatkyBan!$C42:Y42)</f>
        <v>0</v>
      </c>
      <c r="Z42" s="21">
        <f>SUM(NhatkyNhap!$C42:Z42)-SUM(NhatkyBan!$C42:Z42)</f>
        <v>0</v>
      </c>
      <c r="AA42" s="21">
        <f>SUM(NhatkyNhap!$C42:AA42)-SUM(NhatkyBan!$C42:AA42)</f>
        <v>0</v>
      </c>
      <c r="AB42" s="21">
        <f>SUM(NhatkyNhap!$C42:AB42)-SUM(NhatkyBan!$C42:AB42)</f>
        <v>0</v>
      </c>
      <c r="AC42" s="21">
        <f>SUM(NhatkyNhap!$C42:AC42)-SUM(NhatkyBan!$C42:AC42)</f>
        <v>0</v>
      </c>
      <c r="AD42" s="21">
        <f>SUM(NhatkyNhap!$C42:AD42)-SUM(NhatkyBan!$C42:AD42)</f>
        <v>0</v>
      </c>
      <c r="AE42" s="21">
        <f>SUM(NhatkyNhap!$C42:AE42)-SUM(NhatkyBan!$C42:AE42)</f>
        <v>0</v>
      </c>
      <c r="AF42" s="21">
        <f>SUM(NhatkyNhap!$C42:AF42)-SUM(NhatkyBan!$C42:AF42)</f>
        <v>0</v>
      </c>
      <c r="AG42" s="21">
        <f>SUM(NhatkyNhap!$C42:AG42)-SUM(NhatkyBan!$C42:AG42)</f>
        <v>0</v>
      </c>
    </row>
    <row r="43" spans="1:33" ht="12.75" customHeight="1">
      <c r="A43" s="76" t="str">
        <f>DSSP!A42</f>
        <v>A127</v>
      </c>
      <c r="B43" s="25" t="str">
        <f>DSSP!B42</f>
        <v>Gối bốn lá</v>
      </c>
      <c r="C43" s="21">
        <f>SUM(NhatkyNhap!$C43:C43)-SUM(NhatkyBan!$C43:C43)</f>
        <v>35</v>
      </c>
      <c r="D43" s="21">
        <f>SUM(NhatkyNhap!$C43:D43)-SUM(NhatkyBan!$C43:D43)</f>
        <v>35</v>
      </c>
      <c r="E43" s="21">
        <f>SUM(NhatkyNhap!$C43:E43)-SUM(NhatkyBan!$C43:E43)</f>
        <v>35</v>
      </c>
      <c r="F43" s="21">
        <f>SUM(NhatkyNhap!$C43:F43)-SUM(NhatkyBan!$C43:F43)</f>
        <v>35</v>
      </c>
      <c r="G43" s="21">
        <f>SUM(NhatkyNhap!$C43:G43)-SUM(NhatkyBan!$C43:G43)</f>
        <v>35</v>
      </c>
      <c r="H43" s="21">
        <f>SUM(NhatkyNhap!$C43:H43)-SUM(NhatkyBan!$C43:H43)</f>
        <v>35</v>
      </c>
      <c r="I43" s="21">
        <f>SUM(NhatkyNhap!$C43:I43)-SUM(NhatkyBan!$C43:I43)</f>
        <v>35</v>
      </c>
      <c r="J43" s="21">
        <f>SUM(NhatkyNhap!$C43:J43)-SUM(NhatkyBan!$C43:J43)</f>
        <v>35</v>
      </c>
      <c r="K43" s="21">
        <f>SUM(NhatkyNhap!$C43:K43)-SUM(NhatkyBan!$C43:K43)</f>
        <v>35</v>
      </c>
      <c r="L43" s="21">
        <f>SUM(NhatkyNhap!$C43:L43)-SUM(NhatkyBan!$C43:L43)</f>
        <v>35</v>
      </c>
      <c r="M43" s="21">
        <f>SUM(NhatkyNhap!$C43:M43)-SUM(NhatkyBan!$C43:M43)</f>
        <v>35</v>
      </c>
      <c r="N43" s="21">
        <f>SUM(NhatkyNhap!$C43:N43)-SUM(NhatkyBan!$C43:N43)</f>
        <v>35</v>
      </c>
      <c r="O43" s="21">
        <f>SUM(NhatkyNhap!$C43:O43)-SUM(NhatkyBan!$C43:O43)</f>
        <v>35</v>
      </c>
      <c r="P43" s="21">
        <f>SUM(NhatkyNhap!$C43:P43)-SUM(NhatkyBan!$C43:P43)</f>
        <v>35</v>
      </c>
      <c r="Q43" s="21">
        <f>SUM(NhatkyNhap!$C43:Q43)-SUM(NhatkyBan!$C43:Q43)</f>
        <v>35</v>
      </c>
      <c r="R43" s="21">
        <f>SUM(NhatkyNhap!$C43:R43)-SUM(NhatkyBan!$C43:R43)</f>
        <v>35</v>
      </c>
      <c r="S43" s="21">
        <f>SUM(NhatkyNhap!$C43:S43)-SUM(NhatkyBan!$C43:S43)</f>
        <v>35</v>
      </c>
      <c r="T43" s="21">
        <f>SUM(NhatkyNhap!$C43:T43)-SUM(NhatkyBan!$C43:T43)</f>
        <v>35</v>
      </c>
      <c r="U43" s="21">
        <f>SUM(NhatkyNhap!$C43:U43)-SUM(NhatkyBan!$C43:U43)</f>
        <v>35</v>
      </c>
      <c r="V43" s="21">
        <f>SUM(NhatkyNhap!$C43:V43)-SUM(NhatkyBan!$C43:V43)</f>
        <v>35</v>
      </c>
      <c r="W43" s="21">
        <f>SUM(NhatkyNhap!$C43:W43)-SUM(NhatkyBan!$C43:W43)</f>
        <v>35</v>
      </c>
      <c r="X43" s="21">
        <f>SUM(NhatkyNhap!$C43:X43)-SUM(NhatkyBan!$C43:X43)</f>
        <v>35</v>
      </c>
      <c r="Y43" s="21">
        <f>SUM(NhatkyNhap!$C43:Y43)-SUM(NhatkyBan!$C43:Y43)</f>
        <v>35</v>
      </c>
      <c r="Z43" s="21">
        <f>SUM(NhatkyNhap!$C43:Z43)-SUM(NhatkyBan!$C43:Z43)</f>
        <v>35</v>
      </c>
      <c r="AA43" s="21">
        <f>SUM(NhatkyNhap!$C43:AA43)-SUM(NhatkyBan!$C43:AA43)</f>
        <v>35</v>
      </c>
      <c r="AB43" s="21">
        <f>SUM(NhatkyNhap!$C43:AB43)-SUM(NhatkyBan!$C43:AB43)</f>
        <v>35</v>
      </c>
      <c r="AC43" s="21">
        <f>SUM(NhatkyNhap!$C43:AC43)-SUM(NhatkyBan!$C43:AC43)</f>
        <v>35</v>
      </c>
      <c r="AD43" s="21">
        <f>SUM(NhatkyNhap!$C43:AD43)-SUM(NhatkyBan!$C43:AD43)</f>
        <v>35</v>
      </c>
      <c r="AE43" s="21">
        <f>SUM(NhatkyNhap!$C43:AE43)-SUM(NhatkyBan!$C43:AE43)</f>
        <v>35</v>
      </c>
      <c r="AF43" s="21">
        <f>SUM(NhatkyNhap!$C43:AF43)-SUM(NhatkyBan!$C43:AF43)</f>
        <v>35</v>
      </c>
      <c r="AG43" s="21">
        <f>SUM(NhatkyNhap!$C43:AG43)-SUM(NhatkyBan!$C43:AG43)</f>
        <v>35</v>
      </c>
    </row>
    <row r="44" spans="1:33" ht="12.75" customHeight="1">
      <c r="A44" s="76" t="str">
        <f>DSSP!A43</f>
        <v>A128</v>
      </c>
      <c r="B44" s="25" t="str">
        <f>DSSP!B43</f>
        <v>Ếch</v>
      </c>
      <c r="C44" s="21">
        <f>SUM(NhatkyNhap!$C44:C44)-SUM(NhatkyBan!$C44:C44)</f>
        <v>9</v>
      </c>
      <c r="D44" s="21">
        <f>SUM(NhatkyNhap!$C44:D44)-SUM(NhatkyBan!$C44:D44)</f>
        <v>9</v>
      </c>
      <c r="E44" s="21">
        <f>SUM(NhatkyNhap!$C44:E44)-SUM(NhatkyBan!$C44:E44)</f>
        <v>9</v>
      </c>
      <c r="F44" s="21">
        <f>SUM(NhatkyNhap!$C44:F44)-SUM(NhatkyBan!$C44:F44)</f>
        <v>9</v>
      </c>
      <c r="G44" s="21">
        <f>SUM(NhatkyNhap!$C44:G44)-SUM(NhatkyBan!$C44:G44)</f>
        <v>9</v>
      </c>
      <c r="H44" s="21">
        <f>SUM(NhatkyNhap!$C44:H44)-SUM(NhatkyBan!$C44:H44)</f>
        <v>9</v>
      </c>
      <c r="I44" s="21">
        <f>SUM(NhatkyNhap!$C44:I44)-SUM(NhatkyBan!$C44:I44)</f>
        <v>9</v>
      </c>
      <c r="J44" s="21">
        <f>SUM(NhatkyNhap!$C44:J44)-SUM(NhatkyBan!$C44:J44)</f>
        <v>9</v>
      </c>
      <c r="K44" s="21">
        <f>SUM(NhatkyNhap!$C44:K44)-SUM(NhatkyBan!$C44:K44)</f>
        <v>9</v>
      </c>
      <c r="L44" s="21">
        <f>SUM(NhatkyNhap!$C44:L44)-SUM(NhatkyBan!$C44:L44)</f>
        <v>9</v>
      </c>
      <c r="M44" s="21">
        <f>SUM(NhatkyNhap!$C44:M44)-SUM(NhatkyBan!$C44:M44)</f>
        <v>9</v>
      </c>
      <c r="N44" s="21">
        <f>SUM(NhatkyNhap!$C44:N44)-SUM(NhatkyBan!$C44:N44)</f>
        <v>9</v>
      </c>
      <c r="O44" s="21">
        <f>SUM(NhatkyNhap!$C44:O44)-SUM(NhatkyBan!$C44:O44)</f>
        <v>9</v>
      </c>
      <c r="P44" s="21">
        <f>SUM(NhatkyNhap!$C44:P44)-SUM(NhatkyBan!$C44:P44)</f>
        <v>9</v>
      </c>
      <c r="Q44" s="21">
        <f>SUM(NhatkyNhap!$C44:Q44)-SUM(NhatkyBan!$C44:Q44)</f>
        <v>9</v>
      </c>
      <c r="R44" s="21">
        <f>SUM(NhatkyNhap!$C44:R44)-SUM(NhatkyBan!$C44:R44)</f>
        <v>9</v>
      </c>
      <c r="S44" s="21">
        <f>SUM(NhatkyNhap!$C44:S44)-SUM(NhatkyBan!$C44:S44)</f>
        <v>9</v>
      </c>
      <c r="T44" s="21">
        <f>SUM(NhatkyNhap!$C44:T44)-SUM(NhatkyBan!$C44:T44)</f>
        <v>9</v>
      </c>
      <c r="U44" s="21">
        <f>SUM(NhatkyNhap!$C44:U44)-SUM(NhatkyBan!$C44:U44)</f>
        <v>9</v>
      </c>
      <c r="V44" s="21">
        <f>SUM(NhatkyNhap!$C44:V44)-SUM(NhatkyBan!$C44:V44)</f>
        <v>9</v>
      </c>
      <c r="W44" s="21">
        <f>SUM(NhatkyNhap!$C44:W44)-SUM(NhatkyBan!$C44:W44)</f>
        <v>9</v>
      </c>
      <c r="X44" s="21">
        <f>SUM(NhatkyNhap!$C44:X44)-SUM(NhatkyBan!$C44:X44)</f>
        <v>9</v>
      </c>
      <c r="Y44" s="21">
        <f>SUM(NhatkyNhap!$C44:Y44)-SUM(NhatkyBan!$C44:Y44)</f>
        <v>9</v>
      </c>
      <c r="Z44" s="21">
        <f>SUM(NhatkyNhap!$C44:Z44)-SUM(NhatkyBan!$C44:Z44)</f>
        <v>9</v>
      </c>
      <c r="AA44" s="21">
        <f>SUM(NhatkyNhap!$C44:AA44)-SUM(NhatkyBan!$C44:AA44)</f>
        <v>9</v>
      </c>
      <c r="AB44" s="21">
        <f>SUM(NhatkyNhap!$C44:AB44)-SUM(NhatkyBan!$C44:AB44)</f>
        <v>9</v>
      </c>
      <c r="AC44" s="21">
        <f>SUM(NhatkyNhap!$C44:AC44)-SUM(NhatkyBan!$C44:AC44)</f>
        <v>9</v>
      </c>
      <c r="AD44" s="21">
        <f>SUM(NhatkyNhap!$C44:AD44)-SUM(NhatkyBan!$C44:AD44)</f>
        <v>9</v>
      </c>
      <c r="AE44" s="21">
        <f>SUM(NhatkyNhap!$C44:AE44)-SUM(NhatkyBan!$C44:AE44)</f>
        <v>9</v>
      </c>
      <c r="AF44" s="21">
        <f>SUM(NhatkyNhap!$C44:AF44)-SUM(NhatkyBan!$C44:AF44)</f>
        <v>9</v>
      </c>
      <c r="AG44" s="21">
        <f>SUM(NhatkyNhap!$C44:AG44)-SUM(NhatkyBan!$C44:AG44)</f>
        <v>9</v>
      </c>
    </row>
    <row r="45" spans="1:33" ht="12.75" customHeight="1">
      <c r="A45" s="76" t="str">
        <f>DSSP!A44</f>
        <v>A129</v>
      </c>
      <c r="B45" s="25" t="str">
        <f>DSSP!B44</f>
        <v>Chó</v>
      </c>
      <c r="C45" s="21">
        <f>SUM(NhatkyNhap!$C45:C45)-SUM(NhatkyBan!$C45:C45)</f>
        <v>32</v>
      </c>
      <c r="D45" s="21">
        <f>SUM(NhatkyNhap!$C45:D45)-SUM(NhatkyBan!$C45:D45)</f>
        <v>32</v>
      </c>
      <c r="E45" s="21">
        <f>SUM(NhatkyNhap!$C45:E45)-SUM(NhatkyBan!$C45:E45)</f>
        <v>32</v>
      </c>
      <c r="F45" s="21">
        <f>SUM(NhatkyNhap!$C45:F45)-SUM(NhatkyBan!$C45:F45)</f>
        <v>32</v>
      </c>
      <c r="G45" s="21">
        <f>SUM(NhatkyNhap!$C45:G45)-SUM(NhatkyBan!$C45:G45)</f>
        <v>32</v>
      </c>
      <c r="H45" s="21">
        <f>SUM(NhatkyNhap!$C45:H45)-SUM(NhatkyBan!$C45:H45)</f>
        <v>32</v>
      </c>
      <c r="I45" s="21">
        <f>SUM(NhatkyNhap!$C45:I45)-SUM(NhatkyBan!$C45:I45)</f>
        <v>32</v>
      </c>
      <c r="J45" s="21">
        <f>SUM(NhatkyNhap!$C45:J45)-SUM(NhatkyBan!$C45:J45)</f>
        <v>32</v>
      </c>
      <c r="K45" s="21">
        <f>SUM(NhatkyNhap!$C45:K45)-SUM(NhatkyBan!$C45:K45)</f>
        <v>32</v>
      </c>
      <c r="L45" s="21">
        <f>SUM(NhatkyNhap!$C45:L45)-SUM(NhatkyBan!$C45:L45)</f>
        <v>32</v>
      </c>
      <c r="M45" s="21">
        <f>SUM(NhatkyNhap!$C45:M45)-SUM(NhatkyBan!$C45:M45)</f>
        <v>32</v>
      </c>
      <c r="N45" s="21">
        <f>SUM(NhatkyNhap!$C45:N45)-SUM(NhatkyBan!$C45:N45)</f>
        <v>32</v>
      </c>
      <c r="O45" s="21">
        <f>SUM(NhatkyNhap!$C45:O45)-SUM(NhatkyBan!$C45:O45)</f>
        <v>32</v>
      </c>
      <c r="P45" s="21">
        <f>SUM(NhatkyNhap!$C45:P45)-SUM(NhatkyBan!$C45:P45)</f>
        <v>32</v>
      </c>
      <c r="Q45" s="21">
        <f>SUM(NhatkyNhap!$C45:Q45)-SUM(NhatkyBan!$C45:Q45)</f>
        <v>32</v>
      </c>
      <c r="R45" s="21">
        <f>SUM(NhatkyNhap!$C45:R45)-SUM(NhatkyBan!$C45:R45)</f>
        <v>32</v>
      </c>
      <c r="S45" s="21">
        <f>SUM(NhatkyNhap!$C45:S45)-SUM(NhatkyBan!$C45:S45)</f>
        <v>32</v>
      </c>
      <c r="T45" s="21">
        <f>SUM(NhatkyNhap!$C45:T45)-SUM(NhatkyBan!$C45:T45)</f>
        <v>32</v>
      </c>
      <c r="U45" s="21">
        <f>SUM(NhatkyNhap!$C45:U45)-SUM(NhatkyBan!$C45:U45)</f>
        <v>32</v>
      </c>
      <c r="V45" s="21">
        <f>SUM(NhatkyNhap!$C45:V45)-SUM(NhatkyBan!$C45:V45)</f>
        <v>32</v>
      </c>
      <c r="W45" s="21">
        <f>SUM(NhatkyNhap!$C45:W45)-SUM(NhatkyBan!$C45:W45)</f>
        <v>32</v>
      </c>
      <c r="X45" s="21">
        <f>SUM(NhatkyNhap!$C45:X45)-SUM(NhatkyBan!$C45:X45)</f>
        <v>32</v>
      </c>
      <c r="Y45" s="21">
        <f>SUM(NhatkyNhap!$C45:Y45)-SUM(NhatkyBan!$C45:Y45)</f>
        <v>32</v>
      </c>
      <c r="Z45" s="21">
        <f>SUM(NhatkyNhap!$C45:Z45)-SUM(NhatkyBan!$C45:Z45)</f>
        <v>32</v>
      </c>
      <c r="AA45" s="21">
        <f>SUM(NhatkyNhap!$C45:AA45)-SUM(NhatkyBan!$C45:AA45)</f>
        <v>32</v>
      </c>
      <c r="AB45" s="21">
        <f>SUM(NhatkyNhap!$C45:AB45)-SUM(NhatkyBan!$C45:AB45)</f>
        <v>32</v>
      </c>
      <c r="AC45" s="21">
        <f>SUM(NhatkyNhap!$C45:AC45)-SUM(NhatkyBan!$C45:AC45)</f>
        <v>32</v>
      </c>
      <c r="AD45" s="21">
        <f>SUM(NhatkyNhap!$C45:AD45)-SUM(NhatkyBan!$C45:AD45)</f>
        <v>32</v>
      </c>
      <c r="AE45" s="21">
        <f>SUM(NhatkyNhap!$C45:AE45)-SUM(NhatkyBan!$C45:AE45)</f>
        <v>32</v>
      </c>
      <c r="AF45" s="21">
        <f>SUM(NhatkyNhap!$C45:AF45)-SUM(NhatkyBan!$C45:AF45)</f>
        <v>32</v>
      </c>
      <c r="AG45" s="21">
        <f>SUM(NhatkyNhap!$C45:AG45)-SUM(NhatkyBan!$C45:AG45)</f>
        <v>32</v>
      </c>
    </row>
    <row r="46" spans="1:33" ht="12.75" customHeight="1">
      <c r="A46" s="76" t="str">
        <f>DSSP!A45</f>
        <v>A130</v>
      </c>
      <c r="B46" s="25" t="str">
        <f>DSSP!B45</f>
        <v>Cơm nắm</v>
      </c>
      <c r="C46" s="21">
        <f>SUM(NhatkyNhap!$C46:C46)-SUM(NhatkyBan!$C46:C46)</f>
        <v>28</v>
      </c>
      <c r="D46" s="21">
        <f>SUM(NhatkyNhap!$C46:D46)-SUM(NhatkyBan!$C46:D46)</f>
        <v>28</v>
      </c>
      <c r="E46" s="21">
        <f>SUM(NhatkyNhap!$C46:E46)-SUM(NhatkyBan!$C46:E46)</f>
        <v>28</v>
      </c>
      <c r="F46" s="21">
        <f>SUM(NhatkyNhap!$C46:F46)-SUM(NhatkyBan!$C46:F46)</f>
        <v>28</v>
      </c>
      <c r="G46" s="21">
        <f>SUM(NhatkyNhap!$C46:G46)-SUM(NhatkyBan!$C46:G46)</f>
        <v>28</v>
      </c>
      <c r="H46" s="21">
        <f>SUM(NhatkyNhap!$C46:H46)-SUM(NhatkyBan!$C46:H46)</f>
        <v>28</v>
      </c>
      <c r="I46" s="21">
        <f>SUM(NhatkyNhap!$C46:I46)-SUM(NhatkyBan!$C46:I46)</f>
        <v>28</v>
      </c>
      <c r="J46" s="21">
        <f>SUM(NhatkyNhap!$C46:J46)-SUM(NhatkyBan!$C46:J46)</f>
        <v>28</v>
      </c>
      <c r="K46" s="21">
        <f>SUM(NhatkyNhap!$C46:K46)-SUM(NhatkyBan!$C46:K46)</f>
        <v>28</v>
      </c>
      <c r="L46" s="21">
        <f>SUM(NhatkyNhap!$C46:L46)-SUM(NhatkyBan!$C46:L46)</f>
        <v>28</v>
      </c>
      <c r="M46" s="21">
        <f>SUM(NhatkyNhap!$C46:M46)-SUM(NhatkyBan!$C46:M46)</f>
        <v>28</v>
      </c>
      <c r="N46" s="21">
        <f>SUM(NhatkyNhap!$C46:N46)-SUM(NhatkyBan!$C46:N46)</f>
        <v>28</v>
      </c>
      <c r="O46" s="21">
        <f>SUM(NhatkyNhap!$C46:O46)-SUM(NhatkyBan!$C46:O46)</f>
        <v>28</v>
      </c>
      <c r="P46" s="21">
        <f>SUM(NhatkyNhap!$C46:P46)-SUM(NhatkyBan!$C46:P46)</f>
        <v>28</v>
      </c>
      <c r="Q46" s="21">
        <f>SUM(NhatkyNhap!$C46:Q46)-SUM(NhatkyBan!$C46:Q46)</f>
        <v>28</v>
      </c>
      <c r="R46" s="21">
        <f>SUM(NhatkyNhap!$C46:R46)-SUM(NhatkyBan!$C46:R46)</f>
        <v>28</v>
      </c>
      <c r="S46" s="21">
        <f>SUM(NhatkyNhap!$C46:S46)-SUM(NhatkyBan!$C46:S46)</f>
        <v>28</v>
      </c>
      <c r="T46" s="21">
        <f>SUM(NhatkyNhap!$C46:T46)-SUM(NhatkyBan!$C46:T46)</f>
        <v>28</v>
      </c>
      <c r="U46" s="21">
        <f>SUM(NhatkyNhap!$C46:U46)-SUM(NhatkyBan!$C46:U46)</f>
        <v>28</v>
      </c>
      <c r="V46" s="21">
        <f>SUM(NhatkyNhap!$C46:V46)-SUM(NhatkyBan!$C46:V46)</f>
        <v>28</v>
      </c>
      <c r="W46" s="21">
        <f>SUM(NhatkyNhap!$C46:W46)-SUM(NhatkyBan!$C46:W46)</f>
        <v>28</v>
      </c>
      <c r="X46" s="21">
        <f>SUM(NhatkyNhap!$C46:X46)-SUM(NhatkyBan!$C46:X46)</f>
        <v>28</v>
      </c>
      <c r="Y46" s="21">
        <f>SUM(NhatkyNhap!$C46:Y46)-SUM(NhatkyBan!$C46:Y46)</f>
        <v>28</v>
      </c>
      <c r="Z46" s="21">
        <f>SUM(NhatkyNhap!$C46:Z46)-SUM(NhatkyBan!$C46:Z46)</f>
        <v>28</v>
      </c>
      <c r="AA46" s="21">
        <f>SUM(NhatkyNhap!$C46:AA46)-SUM(NhatkyBan!$C46:AA46)</f>
        <v>28</v>
      </c>
      <c r="AB46" s="21">
        <f>SUM(NhatkyNhap!$C46:AB46)-SUM(NhatkyBan!$C46:AB46)</f>
        <v>28</v>
      </c>
      <c r="AC46" s="21">
        <f>SUM(NhatkyNhap!$C46:AC46)-SUM(NhatkyBan!$C46:AC46)</f>
        <v>28</v>
      </c>
      <c r="AD46" s="21">
        <f>SUM(NhatkyNhap!$C46:AD46)-SUM(NhatkyBan!$C46:AD46)</f>
        <v>28</v>
      </c>
      <c r="AE46" s="21">
        <f>SUM(NhatkyNhap!$C46:AE46)-SUM(NhatkyBan!$C46:AE46)</f>
        <v>28</v>
      </c>
      <c r="AF46" s="21">
        <f>SUM(NhatkyNhap!$C46:AF46)-SUM(NhatkyBan!$C46:AF46)</f>
        <v>28</v>
      </c>
      <c r="AG46" s="21">
        <f>SUM(NhatkyNhap!$C46:AG46)-SUM(NhatkyBan!$C46:AG46)</f>
        <v>28</v>
      </c>
    </row>
    <row r="47" spans="1:33" ht="12.75" customHeight="1">
      <c r="A47" s="76" t="str">
        <f>DSSP!A46</f>
        <v>A131</v>
      </c>
      <c r="B47" s="25" t="str">
        <f>DSSP!B46</f>
        <v>Bánh kem</v>
      </c>
      <c r="C47" s="21">
        <f>SUM(NhatkyNhap!$C47:C47)-SUM(NhatkyBan!$C47:C47)</f>
        <v>0</v>
      </c>
      <c r="D47" s="21">
        <f>SUM(NhatkyNhap!$C47:D47)-SUM(NhatkyBan!$C47:D47)</f>
        <v>0</v>
      </c>
      <c r="E47" s="21">
        <f>SUM(NhatkyNhap!$C47:E47)-SUM(NhatkyBan!$C47:E47)</f>
        <v>0</v>
      </c>
      <c r="F47" s="21">
        <f>SUM(NhatkyNhap!$C47:F47)-SUM(NhatkyBan!$C47:F47)</f>
        <v>0</v>
      </c>
      <c r="G47" s="21">
        <f>SUM(NhatkyNhap!$C47:G47)-SUM(NhatkyBan!$C47:G47)</f>
        <v>0</v>
      </c>
      <c r="H47" s="21">
        <f>SUM(NhatkyNhap!$C47:H47)-SUM(NhatkyBan!$C47:H47)</f>
        <v>0</v>
      </c>
      <c r="I47" s="21">
        <f>SUM(NhatkyNhap!$C47:I47)-SUM(NhatkyBan!$C47:I47)</f>
        <v>0</v>
      </c>
      <c r="J47" s="21">
        <f>SUM(NhatkyNhap!$C47:J47)-SUM(NhatkyBan!$C47:J47)</f>
        <v>0</v>
      </c>
      <c r="K47" s="21">
        <f>SUM(NhatkyNhap!$C47:K47)-SUM(NhatkyBan!$C47:K47)</f>
        <v>0</v>
      </c>
      <c r="L47" s="21">
        <f>SUM(NhatkyNhap!$C47:L47)-SUM(NhatkyBan!$C47:L47)</f>
        <v>0</v>
      </c>
      <c r="M47" s="21">
        <f>SUM(NhatkyNhap!$C47:M47)-SUM(NhatkyBan!$C47:M47)</f>
        <v>0</v>
      </c>
      <c r="N47" s="21">
        <f>SUM(NhatkyNhap!$C47:N47)-SUM(NhatkyBan!$C47:N47)</f>
        <v>0</v>
      </c>
      <c r="O47" s="21">
        <f>SUM(NhatkyNhap!$C47:O47)-SUM(NhatkyBan!$C47:O47)</f>
        <v>0</v>
      </c>
      <c r="P47" s="21">
        <f>SUM(NhatkyNhap!$C47:P47)-SUM(NhatkyBan!$C47:P47)</f>
        <v>0</v>
      </c>
      <c r="Q47" s="21">
        <f>SUM(NhatkyNhap!$C47:Q47)-SUM(NhatkyBan!$C47:Q47)</f>
        <v>0</v>
      </c>
      <c r="R47" s="21">
        <f>SUM(NhatkyNhap!$C47:R47)-SUM(NhatkyBan!$C47:R47)</f>
        <v>0</v>
      </c>
      <c r="S47" s="21">
        <f>SUM(NhatkyNhap!$C47:S47)-SUM(NhatkyBan!$C47:S47)</f>
        <v>0</v>
      </c>
      <c r="T47" s="21">
        <f>SUM(NhatkyNhap!$C47:T47)-SUM(NhatkyBan!$C47:T47)</f>
        <v>0</v>
      </c>
      <c r="U47" s="21">
        <f>SUM(NhatkyNhap!$C47:U47)-SUM(NhatkyBan!$C47:U47)</f>
        <v>0</v>
      </c>
      <c r="V47" s="21">
        <f>SUM(NhatkyNhap!$C47:V47)-SUM(NhatkyBan!$C47:V47)</f>
        <v>0</v>
      </c>
      <c r="W47" s="21">
        <f>SUM(NhatkyNhap!$C47:W47)-SUM(NhatkyBan!$C47:W47)</f>
        <v>0</v>
      </c>
      <c r="X47" s="21">
        <f>SUM(NhatkyNhap!$C47:X47)-SUM(NhatkyBan!$C47:X47)</f>
        <v>0</v>
      </c>
      <c r="Y47" s="21">
        <f>SUM(NhatkyNhap!$C47:Y47)-SUM(NhatkyBan!$C47:Y47)</f>
        <v>0</v>
      </c>
      <c r="Z47" s="21">
        <f>SUM(NhatkyNhap!$C47:Z47)-SUM(NhatkyBan!$C47:Z47)</f>
        <v>0</v>
      </c>
      <c r="AA47" s="21">
        <f>SUM(NhatkyNhap!$C47:AA47)-SUM(NhatkyBan!$C47:AA47)</f>
        <v>0</v>
      </c>
      <c r="AB47" s="21">
        <f>SUM(NhatkyNhap!$C47:AB47)-SUM(NhatkyBan!$C47:AB47)</f>
        <v>0</v>
      </c>
      <c r="AC47" s="21">
        <f>SUM(NhatkyNhap!$C47:AC47)-SUM(NhatkyBan!$C47:AC47)</f>
        <v>0</v>
      </c>
      <c r="AD47" s="21">
        <f>SUM(NhatkyNhap!$C47:AD47)-SUM(NhatkyBan!$C47:AD47)</f>
        <v>0</v>
      </c>
      <c r="AE47" s="21">
        <f>SUM(NhatkyNhap!$C47:AE47)-SUM(NhatkyBan!$C47:AE47)</f>
        <v>0</v>
      </c>
      <c r="AF47" s="21">
        <f>SUM(NhatkyNhap!$C47:AF47)-SUM(NhatkyBan!$C47:AF47)</f>
        <v>0</v>
      </c>
      <c r="AG47" s="21">
        <f>SUM(NhatkyNhap!$C47:AG47)-SUM(NhatkyBan!$C47:AG47)</f>
        <v>0</v>
      </c>
    </row>
    <row r="48" spans="1:33" ht="12.75" customHeight="1">
      <c r="A48" s="76" t="str">
        <f>DSSP!A47</f>
        <v>A132</v>
      </c>
      <c r="B48" s="25" t="str">
        <f>DSSP!B47</f>
        <v>Bánh cuộn</v>
      </c>
      <c r="C48" s="21">
        <f>SUM(NhatkyNhap!$C48:C48)-SUM(NhatkyBan!$C48:C48)</f>
        <v>0</v>
      </c>
      <c r="D48" s="21">
        <f>SUM(NhatkyNhap!$C48:D48)-SUM(NhatkyBan!$C48:D48)</f>
        <v>0</v>
      </c>
      <c r="E48" s="21">
        <f>SUM(NhatkyNhap!$C48:E48)-SUM(NhatkyBan!$C48:E48)</f>
        <v>0</v>
      </c>
      <c r="F48" s="21">
        <f>SUM(NhatkyNhap!$C48:F48)-SUM(NhatkyBan!$C48:F48)</f>
        <v>0</v>
      </c>
      <c r="G48" s="21">
        <f>SUM(NhatkyNhap!$C48:G48)-SUM(NhatkyBan!$C48:G48)</f>
        <v>0</v>
      </c>
      <c r="H48" s="21">
        <f>SUM(NhatkyNhap!$C48:H48)-SUM(NhatkyBan!$C48:H48)</f>
        <v>0</v>
      </c>
      <c r="I48" s="21">
        <f>SUM(NhatkyNhap!$C48:I48)-SUM(NhatkyBan!$C48:I48)</f>
        <v>0</v>
      </c>
      <c r="J48" s="21">
        <f>SUM(NhatkyNhap!$C48:J48)-SUM(NhatkyBan!$C48:J48)</f>
        <v>0</v>
      </c>
      <c r="K48" s="21">
        <f>SUM(NhatkyNhap!$C48:K48)-SUM(NhatkyBan!$C48:K48)</f>
        <v>0</v>
      </c>
      <c r="L48" s="21">
        <f>SUM(NhatkyNhap!$C48:L48)-SUM(NhatkyBan!$C48:L48)</f>
        <v>0</v>
      </c>
      <c r="M48" s="21">
        <f>SUM(NhatkyNhap!$C48:M48)-SUM(NhatkyBan!$C48:M48)</f>
        <v>0</v>
      </c>
      <c r="N48" s="21">
        <f>SUM(NhatkyNhap!$C48:N48)-SUM(NhatkyBan!$C48:N48)</f>
        <v>0</v>
      </c>
      <c r="O48" s="21">
        <f>SUM(NhatkyNhap!$C48:O48)-SUM(NhatkyBan!$C48:O48)</f>
        <v>0</v>
      </c>
      <c r="P48" s="21">
        <f>SUM(NhatkyNhap!$C48:P48)-SUM(NhatkyBan!$C48:P48)</f>
        <v>0</v>
      </c>
      <c r="Q48" s="21">
        <f>SUM(NhatkyNhap!$C48:Q48)-SUM(NhatkyBan!$C48:Q48)</f>
        <v>0</v>
      </c>
      <c r="R48" s="21">
        <f>SUM(NhatkyNhap!$C48:R48)-SUM(NhatkyBan!$C48:R48)</f>
        <v>0</v>
      </c>
      <c r="S48" s="21">
        <f>SUM(NhatkyNhap!$C48:S48)-SUM(NhatkyBan!$C48:S48)</f>
        <v>0</v>
      </c>
      <c r="T48" s="21">
        <f>SUM(NhatkyNhap!$C48:T48)-SUM(NhatkyBan!$C48:T48)</f>
        <v>0</v>
      </c>
      <c r="U48" s="21">
        <f>SUM(NhatkyNhap!$C48:U48)-SUM(NhatkyBan!$C48:U48)</f>
        <v>0</v>
      </c>
      <c r="V48" s="21">
        <f>SUM(NhatkyNhap!$C48:V48)-SUM(NhatkyBan!$C48:V48)</f>
        <v>0</v>
      </c>
      <c r="W48" s="21">
        <f>SUM(NhatkyNhap!$C48:W48)-SUM(NhatkyBan!$C48:W48)</f>
        <v>0</v>
      </c>
      <c r="X48" s="21">
        <f>SUM(NhatkyNhap!$C48:X48)-SUM(NhatkyBan!$C48:X48)</f>
        <v>0</v>
      </c>
      <c r="Y48" s="21">
        <f>SUM(NhatkyNhap!$C48:Y48)-SUM(NhatkyBan!$C48:Y48)</f>
        <v>0</v>
      </c>
      <c r="Z48" s="21">
        <f>SUM(NhatkyNhap!$C48:Z48)-SUM(NhatkyBan!$C48:Z48)</f>
        <v>0</v>
      </c>
      <c r="AA48" s="21">
        <f>SUM(NhatkyNhap!$C48:AA48)-SUM(NhatkyBan!$C48:AA48)</f>
        <v>0</v>
      </c>
      <c r="AB48" s="21">
        <f>SUM(NhatkyNhap!$C48:AB48)-SUM(NhatkyBan!$C48:AB48)</f>
        <v>0</v>
      </c>
      <c r="AC48" s="21">
        <f>SUM(NhatkyNhap!$C48:AC48)-SUM(NhatkyBan!$C48:AC48)</f>
        <v>0</v>
      </c>
      <c r="AD48" s="21">
        <f>SUM(NhatkyNhap!$C48:AD48)-SUM(NhatkyBan!$C48:AD48)</f>
        <v>0</v>
      </c>
      <c r="AE48" s="21">
        <f>SUM(NhatkyNhap!$C48:AE48)-SUM(NhatkyBan!$C48:AE48)</f>
        <v>0</v>
      </c>
      <c r="AF48" s="21">
        <f>SUM(NhatkyNhap!$C48:AF48)-SUM(NhatkyBan!$C48:AF48)</f>
        <v>0</v>
      </c>
      <c r="AG48" s="21">
        <f>SUM(NhatkyNhap!$C48:AG48)-SUM(NhatkyBan!$C48:AG48)</f>
        <v>0</v>
      </c>
    </row>
    <row r="49" spans="1:33" ht="12.75" customHeight="1">
      <c r="A49" s="76" t="str">
        <f>DSSP!A48</f>
        <v>A133</v>
      </c>
      <c r="B49" s="25" t="str">
        <f>DSSP!B48</f>
        <v>Sushi</v>
      </c>
      <c r="C49" s="21">
        <f>SUM(NhatkyNhap!$C49:C49)-SUM(NhatkyBan!$C49:C49)</f>
        <v>30</v>
      </c>
      <c r="D49" s="21">
        <f>SUM(NhatkyNhap!$C49:D49)-SUM(NhatkyBan!$C49:D49)</f>
        <v>30</v>
      </c>
      <c r="E49" s="21">
        <f>SUM(NhatkyNhap!$C49:E49)-SUM(NhatkyBan!$C49:E49)</f>
        <v>30</v>
      </c>
      <c r="F49" s="21">
        <f>SUM(NhatkyNhap!$C49:F49)-SUM(NhatkyBan!$C49:F49)</f>
        <v>30</v>
      </c>
      <c r="G49" s="21">
        <f>SUM(NhatkyNhap!$C49:G49)-SUM(NhatkyBan!$C49:G49)</f>
        <v>30</v>
      </c>
      <c r="H49" s="21">
        <f>SUM(NhatkyNhap!$C49:H49)-SUM(NhatkyBan!$C49:H49)</f>
        <v>30</v>
      </c>
      <c r="I49" s="21">
        <f>SUM(NhatkyNhap!$C49:I49)-SUM(NhatkyBan!$C49:I49)</f>
        <v>30</v>
      </c>
      <c r="J49" s="21">
        <f>SUM(NhatkyNhap!$C49:J49)-SUM(NhatkyBan!$C49:J49)</f>
        <v>30</v>
      </c>
      <c r="K49" s="21">
        <f>SUM(NhatkyNhap!$C49:K49)-SUM(NhatkyBan!$C49:K49)</f>
        <v>30</v>
      </c>
      <c r="L49" s="21">
        <f>SUM(NhatkyNhap!$C49:L49)-SUM(NhatkyBan!$C49:L49)</f>
        <v>30</v>
      </c>
      <c r="M49" s="21">
        <f>SUM(NhatkyNhap!$C49:M49)-SUM(NhatkyBan!$C49:M49)</f>
        <v>30</v>
      </c>
      <c r="N49" s="21">
        <f>SUM(NhatkyNhap!$C49:N49)-SUM(NhatkyBan!$C49:N49)</f>
        <v>30</v>
      </c>
      <c r="O49" s="21">
        <f>SUM(NhatkyNhap!$C49:O49)-SUM(NhatkyBan!$C49:O49)</f>
        <v>30</v>
      </c>
      <c r="P49" s="21">
        <f>SUM(NhatkyNhap!$C49:P49)-SUM(NhatkyBan!$C49:P49)</f>
        <v>30</v>
      </c>
      <c r="Q49" s="21">
        <f>SUM(NhatkyNhap!$C49:Q49)-SUM(NhatkyBan!$C49:Q49)</f>
        <v>30</v>
      </c>
      <c r="R49" s="21">
        <f>SUM(NhatkyNhap!$C49:R49)-SUM(NhatkyBan!$C49:R49)</f>
        <v>30</v>
      </c>
      <c r="S49" s="21">
        <f>SUM(NhatkyNhap!$C49:S49)-SUM(NhatkyBan!$C49:S49)</f>
        <v>30</v>
      </c>
      <c r="T49" s="21">
        <f>SUM(NhatkyNhap!$C49:T49)-SUM(NhatkyBan!$C49:T49)</f>
        <v>30</v>
      </c>
      <c r="U49" s="21">
        <f>SUM(NhatkyNhap!$C49:U49)-SUM(NhatkyBan!$C49:U49)</f>
        <v>30</v>
      </c>
      <c r="V49" s="21">
        <f>SUM(NhatkyNhap!$C49:V49)-SUM(NhatkyBan!$C49:V49)</f>
        <v>30</v>
      </c>
      <c r="W49" s="21">
        <f>SUM(NhatkyNhap!$C49:W49)-SUM(NhatkyBan!$C49:W49)</f>
        <v>30</v>
      </c>
      <c r="X49" s="21">
        <f>SUM(NhatkyNhap!$C49:X49)-SUM(NhatkyBan!$C49:X49)</f>
        <v>30</v>
      </c>
      <c r="Y49" s="21">
        <f>SUM(NhatkyNhap!$C49:Y49)-SUM(NhatkyBan!$C49:Y49)</f>
        <v>30</v>
      </c>
      <c r="Z49" s="21">
        <f>SUM(NhatkyNhap!$C49:Z49)-SUM(NhatkyBan!$C49:Z49)</f>
        <v>30</v>
      </c>
      <c r="AA49" s="21">
        <f>SUM(NhatkyNhap!$C49:AA49)-SUM(NhatkyBan!$C49:AA49)</f>
        <v>30</v>
      </c>
      <c r="AB49" s="21">
        <f>SUM(NhatkyNhap!$C49:AB49)-SUM(NhatkyBan!$C49:AB49)</f>
        <v>30</v>
      </c>
      <c r="AC49" s="21">
        <f>SUM(NhatkyNhap!$C49:AC49)-SUM(NhatkyBan!$C49:AC49)</f>
        <v>30</v>
      </c>
      <c r="AD49" s="21">
        <f>SUM(NhatkyNhap!$C49:AD49)-SUM(NhatkyBan!$C49:AD49)</f>
        <v>30</v>
      </c>
      <c r="AE49" s="21">
        <f>SUM(NhatkyNhap!$C49:AE49)-SUM(NhatkyBan!$C49:AE49)</f>
        <v>30</v>
      </c>
      <c r="AF49" s="21">
        <f>SUM(NhatkyNhap!$C49:AF49)-SUM(NhatkyBan!$C49:AF49)</f>
        <v>30</v>
      </c>
      <c r="AG49" s="21">
        <f>SUM(NhatkyNhap!$C49:AG49)-SUM(NhatkyBan!$C49:AG49)</f>
        <v>30</v>
      </c>
    </row>
    <row r="50" spans="1:33" ht="12.75" customHeight="1">
      <c r="A50" s="76" t="str">
        <f>DSSP!A49</f>
        <v>A134</v>
      </c>
      <c r="B50" s="25" t="str">
        <f>DSSP!B49</f>
        <v>Caramen</v>
      </c>
      <c r="C50" s="21">
        <f>SUM(NhatkyNhap!$C50:C50)-SUM(NhatkyBan!$C50:C50)</f>
        <v>18</v>
      </c>
      <c r="D50" s="21">
        <f>SUM(NhatkyNhap!$C50:D50)-SUM(NhatkyBan!$C50:D50)</f>
        <v>18</v>
      </c>
      <c r="E50" s="21">
        <f>SUM(NhatkyNhap!$C50:E50)-SUM(NhatkyBan!$C50:E50)</f>
        <v>18</v>
      </c>
      <c r="F50" s="21">
        <f>SUM(NhatkyNhap!$C50:F50)-SUM(NhatkyBan!$C50:F50)</f>
        <v>18</v>
      </c>
      <c r="G50" s="21">
        <f>SUM(NhatkyNhap!$C50:G50)-SUM(NhatkyBan!$C50:G50)</f>
        <v>18</v>
      </c>
      <c r="H50" s="21">
        <f>SUM(NhatkyNhap!$C50:H50)-SUM(NhatkyBan!$C50:H50)</f>
        <v>18</v>
      </c>
      <c r="I50" s="21">
        <f>SUM(NhatkyNhap!$C50:I50)-SUM(NhatkyBan!$C50:I50)</f>
        <v>18</v>
      </c>
      <c r="J50" s="21">
        <f>SUM(NhatkyNhap!$C50:J50)-SUM(NhatkyBan!$C50:J50)</f>
        <v>18</v>
      </c>
      <c r="K50" s="21">
        <f>SUM(NhatkyNhap!$C50:K50)-SUM(NhatkyBan!$C50:K50)</f>
        <v>18</v>
      </c>
      <c r="L50" s="21">
        <f>SUM(NhatkyNhap!$C50:L50)-SUM(NhatkyBan!$C50:L50)</f>
        <v>18</v>
      </c>
      <c r="M50" s="21">
        <f>SUM(NhatkyNhap!$C50:M50)-SUM(NhatkyBan!$C50:M50)</f>
        <v>18</v>
      </c>
      <c r="N50" s="21">
        <f>SUM(NhatkyNhap!$C50:N50)-SUM(NhatkyBan!$C50:N50)</f>
        <v>18</v>
      </c>
      <c r="O50" s="21">
        <f>SUM(NhatkyNhap!$C50:O50)-SUM(NhatkyBan!$C50:O50)</f>
        <v>18</v>
      </c>
      <c r="P50" s="21">
        <f>SUM(NhatkyNhap!$C50:P50)-SUM(NhatkyBan!$C50:P50)</f>
        <v>18</v>
      </c>
      <c r="Q50" s="21">
        <f>SUM(NhatkyNhap!$C50:Q50)-SUM(NhatkyBan!$C50:Q50)</f>
        <v>18</v>
      </c>
      <c r="R50" s="21">
        <f>SUM(NhatkyNhap!$C50:R50)-SUM(NhatkyBan!$C50:R50)</f>
        <v>18</v>
      </c>
      <c r="S50" s="21">
        <f>SUM(NhatkyNhap!$C50:S50)-SUM(NhatkyBan!$C50:S50)</f>
        <v>18</v>
      </c>
      <c r="T50" s="21">
        <f>SUM(NhatkyNhap!$C50:T50)-SUM(NhatkyBan!$C50:T50)</f>
        <v>18</v>
      </c>
      <c r="U50" s="21">
        <f>SUM(NhatkyNhap!$C50:U50)-SUM(NhatkyBan!$C50:U50)</f>
        <v>18</v>
      </c>
      <c r="V50" s="21">
        <f>SUM(NhatkyNhap!$C50:V50)-SUM(NhatkyBan!$C50:V50)</f>
        <v>18</v>
      </c>
      <c r="W50" s="21">
        <f>SUM(NhatkyNhap!$C50:W50)-SUM(NhatkyBan!$C50:W50)</f>
        <v>18</v>
      </c>
      <c r="X50" s="21">
        <f>SUM(NhatkyNhap!$C50:X50)-SUM(NhatkyBan!$C50:X50)</f>
        <v>18</v>
      </c>
      <c r="Y50" s="21">
        <f>SUM(NhatkyNhap!$C50:Y50)-SUM(NhatkyBan!$C50:Y50)</f>
        <v>18</v>
      </c>
      <c r="Z50" s="21">
        <f>SUM(NhatkyNhap!$C50:Z50)-SUM(NhatkyBan!$C50:Z50)</f>
        <v>18</v>
      </c>
      <c r="AA50" s="21">
        <f>SUM(NhatkyNhap!$C50:AA50)-SUM(NhatkyBan!$C50:AA50)</f>
        <v>18</v>
      </c>
      <c r="AB50" s="21">
        <f>SUM(NhatkyNhap!$C50:AB50)-SUM(NhatkyBan!$C50:AB50)</f>
        <v>18</v>
      </c>
      <c r="AC50" s="21">
        <f>SUM(NhatkyNhap!$C50:AC50)-SUM(NhatkyBan!$C50:AC50)</f>
        <v>18</v>
      </c>
      <c r="AD50" s="21">
        <f>SUM(NhatkyNhap!$C50:AD50)-SUM(NhatkyBan!$C50:AD50)</f>
        <v>18</v>
      </c>
      <c r="AE50" s="21">
        <f>SUM(NhatkyNhap!$C50:AE50)-SUM(NhatkyBan!$C50:AE50)</f>
        <v>18</v>
      </c>
      <c r="AF50" s="21">
        <f>SUM(NhatkyNhap!$C50:AF50)-SUM(NhatkyBan!$C50:AF50)</f>
        <v>18</v>
      </c>
      <c r="AG50" s="21">
        <f>SUM(NhatkyNhap!$C50:AG50)-SUM(NhatkyBan!$C50:AG50)</f>
        <v>18</v>
      </c>
    </row>
    <row r="51" spans="1:33" ht="12.75" customHeight="1">
      <c r="A51" s="76" t="str">
        <f>DSSP!A50</f>
        <v>A135</v>
      </c>
      <c r="B51" s="25" t="str">
        <f>DSSP!B50</f>
        <v>Bánh quy</v>
      </c>
      <c r="C51" s="21">
        <f>SUM(NhatkyNhap!$C51:C51)-SUM(NhatkyBan!$C51:C51)</f>
        <v>0</v>
      </c>
      <c r="D51" s="21">
        <f>SUM(NhatkyNhap!$C51:D51)-SUM(NhatkyBan!$C51:D51)</f>
        <v>0</v>
      </c>
      <c r="E51" s="21">
        <f>SUM(NhatkyNhap!$C51:E51)-SUM(NhatkyBan!$C51:E51)</f>
        <v>0</v>
      </c>
      <c r="F51" s="21">
        <f>SUM(NhatkyNhap!$C51:F51)-SUM(NhatkyBan!$C51:F51)</f>
        <v>0</v>
      </c>
      <c r="G51" s="21">
        <f>SUM(NhatkyNhap!$C51:G51)-SUM(NhatkyBan!$C51:G51)</f>
        <v>0</v>
      </c>
      <c r="H51" s="21">
        <f>SUM(NhatkyNhap!$C51:H51)-SUM(NhatkyBan!$C51:H51)</f>
        <v>0</v>
      </c>
      <c r="I51" s="21">
        <f>SUM(NhatkyNhap!$C51:I51)-SUM(NhatkyBan!$C51:I51)</f>
        <v>0</v>
      </c>
      <c r="J51" s="21">
        <f>SUM(NhatkyNhap!$C51:J51)-SUM(NhatkyBan!$C51:J51)</f>
        <v>0</v>
      </c>
      <c r="K51" s="21">
        <f>SUM(NhatkyNhap!$C51:K51)-SUM(NhatkyBan!$C51:K51)</f>
        <v>0</v>
      </c>
      <c r="L51" s="21">
        <f>SUM(NhatkyNhap!$C51:L51)-SUM(NhatkyBan!$C51:L51)</f>
        <v>0</v>
      </c>
      <c r="M51" s="21">
        <f>SUM(NhatkyNhap!$C51:M51)-SUM(NhatkyBan!$C51:M51)</f>
        <v>0</v>
      </c>
      <c r="N51" s="21">
        <f>SUM(NhatkyNhap!$C51:N51)-SUM(NhatkyBan!$C51:N51)</f>
        <v>0</v>
      </c>
      <c r="O51" s="21">
        <f>SUM(NhatkyNhap!$C51:O51)-SUM(NhatkyBan!$C51:O51)</f>
        <v>0</v>
      </c>
      <c r="P51" s="21">
        <f>SUM(NhatkyNhap!$C51:P51)-SUM(NhatkyBan!$C51:P51)</f>
        <v>0</v>
      </c>
      <c r="Q51" s="21">
        <f>SUM(NhatkyNhap!$C51:Q51)-SUM(NhatkyBan!$C51:Q51)</f>
        <v>0</v>
      </c>
      <c r="R51" s="21">
        <f>SUM(NhatkyNhap!$C51:R51)-SUM(NhatkyBan!$C51:R51)</f>
        <v>0</v>
      </c>
      <c r="S51" s="21">
        <f>SUM(NhatkyNhap!$C51:S51)-SUM(NhatkyBan!$C51:S51)</f>
        <v>0</v>
      </c>
      <c r="T51" s="21">
        <f>SUM(NhatkyNhap!$C51:T51)-SUM(NhatkyBan!$C51:T51)</f>
        <v>0</v>
      </c>
      <c r="U51" s="21">
        <f>SUM(NhatkyNhap!$C51:U51)-SUM(NhatkyBan!$C51:U51)</f>
        <v>0</v>
      </c>
      <c r="V51" s="21">
        <f>SUM(NhatkyNhap!$C51:V51)-SUM(NhatkyBan!$C51:V51)</f>
        <v>0</v>
      </c>
      <c r="W51" s="21">
        <f>SUM(NhatkyNhap!$C51:W51)-SUM(NhatkyBan!$C51:W51)</f>
        <v>0</v>
      </c>
      <c r="X51" s="21">
        <f>SUM(NhatkyNhap!$C51:X51)-SUM(NhatkyBan!$C51:X51)</f>
        <v>0</v>
      </c>
      <c r="Y51" s="21">
        <f>SUM(NhatkyNhap!$C51:Y51)-SUM(NhatkyBan!$C51:Y51)</f>
        <v>0</v>
      </c>
      <c r="Z51" s="21">
        <f>SUM(NhatkyNhap!$C51:Z51)-SUM(NhatkyBan!$C51:Z51)</f>
        <v>0</v>
      </c>
      <c r="AA51" s="21">
        <f>SUM(NhatkyNhap!$C51:AA51)-SUM(NhatkyBan!$C51:AA51)</f>
        <v>0</v>
      </c>
      <c r="AB51" s="21">
        <f>SUM(NhatkyNhap!$C51:AB51)-SUM(NhatkyBan!$C51:AB51)</f>
        <v>0</v>
      </c>
      <c r="AC51" s="21">
        <f>SUM(NhatkyNhap!$C51:AC51)-SUM(NhatkyBan!$C51:AC51)</f>
        <v>0</v>
      </c>
      <c r="AD51" s="21">
        <f>SUM(NhatkyNhap!$C51:AD51)-SUM(NhatkyBan!$C51:AD51)</f>
        <v>0</v>
      </c>
      <c r="AE51" s="21">
        <f>SUM(NhatkyNhap!$C51:AE51)-SUM(NhatkyBan!$C51:AE51)</f>
        <v>0</v>
      </c>
      <c r="AF51" s="21">
        <f>SUM(NhatkyNhap!$C51:AF51)-SUM(NhatkyBan!$C51:AF51)</f>
        <v>0</v>
      </c>
      <c r="AG51" s="21">
        <f>SUM(NhatkyNhap!$C51:AG51)-SUM(NhatkyBan!$C51:AG51)</f>
        <v>0</v>
      </c>
    </row>
    <row r="52" spans="1:33" ht="12.75" customHeight="1">
      <c r="A52" s="76" t="str">
        <f>DSSP!A51</f>
        <v>A136</v>
      </c>
      <c r="B52" s="25" t="str">
        <f>DSSP!B51</f>
        <v>Chuột</v>
      </c>
      <c r="C52" s="21">
        <f>SUM(NhatkyNhap!$C52:C52)-SUM(NhatkyBan!$C52:C52)</f>
        <v>0</v>
      </c>
      <c r="D52" s="21">
        <f>SUM(NhatkyNhap!$C52:D52)-SUM(NhatkyBan!$C52:D52)</f>
        <v>0</v>
      </c>
      <c r="E52" s="21">
        <f>SUM(NhatkyNhap!$C52:E52)-SUM(NhatkyBan!$C52:E52)</f>
        <v>0</v>
      </c>
      <c r="F52" s="21">
        <f>SUM(NhatkyNhap!$C52:F52)-SUM(NhatkyBan!$C52:F52)</f>
        <v>0</v>
      </c>
      <c r="G52" s="21">
        <f>SUM(NhatkyNhap!$C52:G52)-SUM(NhatkyBan!$C52:G52)</f>
        <v>0</v>
      </c>
      <c r="H52" s="21">
        <f>SUM(NhatkyNhap!$C52:H52)-SUM(NhatkyBan!$C52:H52)</f>
        <v>0</v>
      </c>
      <c r="I52" s="21">
        <f>SUM(NhatkyNhap!$C52:I52)-SUM(NhatkyBan!$C52:I52)</f>
        <v>0</v>
      </c>
      <c r="J52" s="21">
        <f>SUM(NhatkyNhap!$C52:J52)-SUM(NhatkyBan!$C52:J52)</f>
        <v>0</v>
      </c>
      <c r="K52" s="21">
        <f>SUM(NhatkyNhap!$C52:K52)-SUM(NhatkyBan!$C52:K52)</f>
        <v>0</v>
      </c>
      <c r="L52" s="21">
        <f>SUM(NhatkyNhap!$C52:L52)-SUM(NhatkyBan!$C52:L52)</f>
        <v>0</v>
      </c>
      <c r="M52" s="21">
        <f>SUM(NhatkyNhap!$C52:M52)-SUM(NhatkyBan!$C52:M52)</f>
        <v>0</v>
      </c>
      <c r="N52" s="21">
        <f>SUM(NhatkyNhap!$C52:N52)-SUM(NhatkyBan!$C52:N52)</f>
        <v>0</v>
      </c>
      <c r="O52" s="21">
        <f>SUM(NhatkyNhap!$C52:O52)-SUM(NhatkyBan!$C52:O52)</f>
        <v>0</v>
      </c>
      <c r="P52" s="21">
        <f>SUM(NhatkyNhap!$C52:P52)-SUM(NhatkyBan!$C52:P52)</f>
        <v>0</v>
      </c>
      <c r="Q52" s="21">
        <f>SUM(NhatkyNhap!$C52:Q52)-SUM(NhatkyBan!$C52:Q52)</f>
        <v>0</v>
      </c>
      <c r="R52" s="21">
        <f>SUM(NhatkyNhap!$C52:R52)-SUM(NhatkyBan!$C52:R52)</f>
        <v>0</v>
      </c>
      <c r="S52" s="21">
        <f>SUM(NhatkyNhap!$C52:S52)-SUM(NhatkyBan!$C52:S52)</f>
        <v>0</v>
      </c>
      <c r="T52" s="21">
        <f>SUM(NhatkyNhap!$C52:T52)-SUM(NhatkyBan!$C52:T52)</f>
        <v>0</v>
      </c>
      <c r="U52" s="21">
        <f>SUM(NhatkyNhap!$C52:U52)-SUM(NhatkyBan!$C52:U52)</f>
        <v>0</v>
      </c>
      <c r="V52" s="21">
        <f>SUM(NhatkyNhap!$C52:V52)-SUM(NhatkyBan!$C52:V52)</f>
        <v>0</v>
      </c>
      <c r="W52" s="21">
        <f>SUM(NhatkyNhap!$C52:W52)-SUM(NhatkyBan!$C52:W52)</f>
        <v>0</v>
      </c>
      <c r="X52" s="21">
        <f>SUM(NhatkyNhap!$C52:X52)-SUM(NhatkyBan!$C52:X52)</f>
        <v>0</v>
      </c>
      <c r="Y52" s="21">
        <f>SUM(NhatkyNhap!$C52:Y52)-SUM(NhatkyBan!$C52:Y52)</f>
        <v>0</v>
      </c>
      <c r="Z52" s="21">
        <f>SUM(NhatkyNhap!$C52:Z52)-SUM(NhatkyBan!$C52:Z52)</f>
        <v>0</v>
      </c>
      <c r="AA52" s="21">
        <f>SUM(NhatkyNhap!$C52:AA52)-SUM(NhatkyBan!$C52:AA52)</f>
        <v>0</v>
      </c>
      <c r="AB52" s="21">
        <f>SUM(NhatkyNhap!$C52:AB52)-SUM(NhatkyBan!$C52:AB52)</f>
        <v>0</v>
      </c>
      <c r="AC52" s="21">
        <f>SUM(NhatkyNhap!$C52:AC52)-SUM(NhatkyBan!$C52:AC52)</f>
        <v>0</v>
      </c>
      <c r="AD52" s="21">
        <f>SUM(NhatkyNhap!$C52:AD52)-SUM(NhatkyBan!$C52:AD52)</f>
        <v>0</v>
      </c>
      <c r="AE52" s="21">
        <f>SUM(NhatkyNhap!$C52:AE52)-SUM(NhatkyBan!$C52:AE52)</f>
        <v>0</v>
      </c>
      <c r="AF52" s="21">
        <f>SUM(NhatkyNhap!$C52:AF52)-SUM(NhatkyBan!$C52:AF52)</f>
        <v>0</v>
      </c>
      <c r="AG52" s="21">
        <f>SUM(NhatkyNhap!$C52:AG52)-SUM(NhatkyBan!$C52:AG52)</f>
        <v>0</v>
      </c>
    </row>
    <row r="53" spans="1:33" ht="12.75" customHeight="1">
      <c r="A53" s="76" t="str">
        <f>DSSP!A52</f>
        <v>A137</v>
      </c>
      <c r="B53" s="25" t="str">
        <f>DSSP!B52</f>
        <v>Cánh cụt</v>
      </c>
      <c r="C53" s="21">
        <f>SUM(NhatkyNhap!$C53:C53)-SUM(NhatkyBan!$C53:C53)</f>
        <v>23</v>
      </c>
      <c r="D53" s="21">
        <f>SUM(NhatkyNhap!$C53:D53)-SUM(NhatkyBan!$C53:D53)</f>
        <v>23</v>
      </c>
      <c r="E53" s="21">
        <f>SUM(NhatkyNhap!$C53:E53)-SUM(NhatkyBan!$C53:E53)</f>
        <v>23</v>
      </c>
      <c r="F53" s="21">
        <f>SUM(NhatkyNhap!$C53:F53)-SUM(NhatkyBan!$C53:F53)</f>
        <v>23</v>
      </c>
      <c r="G53" s="21">
        <f>SUM(NhatkyNhap!$C53:G53)-SUM(NhatkyBan!$C53:G53)</f>
        <v>23</v>
      </c>
      <c r="H53" s="21">
        <f>SUM(NhatkyNhap!$C53:H53)-SUM(NhatkyBan!$C53:H53)</f>
        <v>23</v>
      </c>
      <c r="I53" s="21">
        <f>SUM(NhatkyNhap!$C53:I53)-SUM(NhatkyBan!$C53:I53)</f>
        <v>23</v>
      </c>
      <c r="J53" s="21">
        <f>SUM(NhatkyNhap!$C53:J53)-SUM(NhatkyBan!$C53:J53)</f>
        <v>23</v>
      </c>
      <c r="K53" s="21">
        <f>SUM(NhatkyNhap!$C53:K53)-SUM(NhatkyBan!$C53:K53)</f>
        <v>23</v>
      </c>
      <c r="L53" s="21">
        <f>SUM(NhatkyNhap!$C53:L53)-SUM(NhatkyBan!$C53:L53)</f>
        <v>23</v>
      </c>
      <c r="M53" s="21">
        <f>SUM(NhatkyNhap!$C53:M53)-SUM(NhatkyBan!$C53:M53)</f>
        <v>23</v>
      </c>
      <c r="N53" s="21">
        <f>SUM(NhatkyNhap!$C53:N53)-SUM(NhatkyBan!$C53:N53)</f>
        <v>23</v>
      </c>
      <c r="O53" s="21">
        <f>SUM(NhatkyNhap!$C53:O53)-SUM(NhatkyBan!$C53:O53)</f>
        <v>23</v>
      </c>
      <c r="P53" s="21">
        <f>SUM(NhatkyNhap!$C53:P53)-SUM(NhatkyBan!$C53:P53)</f>
        <v>23</v>
      </c>
      <c r="Q53" s="21">
        <f>SUM(NhatkyNhap!$C53:Q53)-SUM(NhatkyBan!$C53:Q53)</f>
        <v>23</v>
      </c>
      <c r="R53" s="21">
        <f>SUM(NhatkyNhap!$C53:R53)-SUM(NhatkyBan!$C53:R53)</f>
        <v>23</v>
      </c>
      <c r="S53" s="21">
        <f>SUM(NhatkyNhap!$C53:S53)-SUM(NhatkyBan!$C53:S53)</f>
        <v>23</v>
      </c>
      <c r="T53" s="21">
        <f>SUM(NhatkyNhap!$C53:T53)-SUM(NhatkyBan!$C53:T53)</f>
        <v>23</v>
      </c>
      <c r="U53" s="21">
        <f>SUM(NhatkyNhap!$C53:U53)-SUM(NhatkyBan!$C53:U53)</f>
        <v>23</v>
      </c>
      <c r="V53" s="21">
        <f>SUM(NhatkyNhap!$C53:V53)-SUM(NhatkyBan!$C53:V53)</f>
        <v>23</v>
      </c>
      <c r="W53" s="21">
        <f>SUM(NhatkyNhap!$C53:W53)-SUM(NhatkyBan!$C53:W53)</f>
        <v>23</v>
      </c>
      <c r="X53" s="21">
        <f>SUM(NhatkyNhap!$C53:X53)-SUM(NhatkyBan!$C53:X53)</f>
        <v>23</v>
      </c>
      <c r="Y53" s="21">
        <f>SUM(NhatkyNhap!$C53:Y53)-SUM(NhatkyBan!$C53:Y53)</f>
        <v>23</v>
      </c>
      <c r="Z53" s="21">
        <f>SUM(NhatkyNhap!$C53:Z53)-SUM(NhatkyBan!$C53:Z53)</f>
        <v>23</v>
      </c>
      <c r="AA53" s="21">
        <f>SUM(NhatkyNhap!$C53:AA53)-SUM(NhatkyBan!$C53:AA53)</f>
        <v>23</v>
      </c>
      <c r="AB53" s="21">
        <f>SUM(NhatkyNhap!$C53:AB53)-SUM(NhatkyBan!$C53:AB53)</f>
        <v>23</v>
      </c>
      <c r="AC53" s="21">
        <f>SUM(NhatkyNhap!$C53:AC53)-SUM(NhatkyBan!$C53:AC53)</f>
        <v>23</v>
      </c>
      <c r="AD53" s="21">
        <f>SUM(NhatkyNhap!$C53:AD53)-SUM(NhatkyBan!$C53:AD53)</f>
        <v>23</v>
      </c>
      <c r="AE53" s="21">
        <f>SUM(NhatkyNhap!$C53:AE53)-SUM(NhatkyBan!$C53:AE53)</f>
        <v>23</v>
      </c>
      <c r="AF53" s="21">
        <f>SUM(NhatkyNhap!$C53:AF53)-SUM(NhatkyBan!$C53:AF53)</f>
        <v>23</v>
      </c>
      <c r="AG53" s="21">
        <f>SUM(NhatkyNhap!$C53:AG53)-SUM(NhatkyBan!$C53:AG53)</f>
        <v>23</v>
      </c>
    </row>
    <row r="54" spans="1:33" ht="12.75" customHeight="1">
      <c r="A54" s="76" t="str">
        <f>DSSP!A53</f>
        <v>A138</v>
      </c>
      <c r="B54" s="25" t="str">
        <f>DSSP!B53</f>
        <v>Khỉ yoyo cici</v>
      </c>
      <c r="C54" s="21">
        <f>SUM(NhatkyNhap!$C54:C54)-SUM(NhatkyBan!$C54:C54)</f>
        <v>32</v>
      </c>
      <c r="D54" s="21">
        <f>SUM(NhatkyNhap!$C54:D54)-SUM(NhatkyBan!$C54:D54)</f>
        <v>32</v>
      </c>
      <c r="E54" s="21">
        <f>SUM(NhatkyNhap!$C54:E54)-SUM(NhatkyBan!$C54:E54)</f>
        <v>32</v>
      </c>
      <c r="F54" s="21">
        <f>SUM(NhatkyNhap!$C54:F54)-SUM(NhatkyBan!$C54:F54)</f>
        <v>32</v>
      </c>
      <c r="G54" s="21">
        <f>SUM(NhatkyNhap!$C54:G54)-SUM(NhatkyBan!$C54:G54)</f>
        <v>32</v>
      </c>
      <c r="H54" s="21">
        <f>SUM(NhatkyNhap!$C54:H54)-SUM(NhatkyBan!$C54:H54)</f>
        <v>32</v>
      </c>
      <c r="I54" s="21">
        <f>SUM(NhatkyNhap!$C54:I54)-SUM(NhatkyBan!$C54:I54)</f>
        <v>32</v>
      </c>
      <c r="J54" s="21">
        <f>SUM(NhatkyNhap!$C54:J54)-SUM(NhatkyBan!$C54:J54)</f>
        <v>32</v>
      </c>
      <c r="K54" s="21">
        <f>SUM(NhatkyNhap!$C54:K54)-SUM(NhatkyBan!$C54:K54)</f>
        <v>32</v>
      </c>
      <c r="L54" s="21">
        <f>SUM(NhatkyNhap!$C54:L54)-SUM(NhatkyBan!$C54:L54)</f>
        <v>32</v>
      </c>
      <c r="M54" s="21">
        <f>SUM(NhatkyNhap!$C54:M54)-SUM(NhatkyBan!$C54:M54)</f>
        <v>32</v>
      </c>
      <c r="N54" s="21">
        <f>SUM(NhatkyNhap!$C54:N54)-SUM(NhatkyBan!$C54:N54)</f>
        <v>32</v>
      </c>
      <c r="O54" s="21">
        <f>SUM(NhatkyNhap!$C54:O54)-SUM(NhatkyBan!$C54:O54)</f>
        <v>32</v>
      </c>
      <c r="P54" s="21">
        <f>SUM(NhatkyNhap!$C54:P54)-SUM(NhatkyBan!$C54:P54)</f>
        <v>32</v>
      </c>
      <c r="Q54" s="21">
        <f>SUM(NhatkyNhap!$C54:Q54)-SUM(NhatkyBan!$C54:Q54)</f>
        <v>32</v>
      </c>
      <c r="R54" s="21">
        <f>SUM(NhatkyNhap!$C54:R54)-SUM(NhatkyBan!$C54:R54)</f>
        <v>32</v>
      </c>
      <c r="S54" s="21">
        <f>SUM(NhatkyNhap!$C54:S54)-SUM(NhatkyBan!$C54:S54)</f>
        <v>32</v>
      </c>
      <c r="T54" s="21">
        <f>SUM(NhatkyNhap!$C54:T54)-SUM(NhatkyBan!$C54:T54)</f>
        <v>32</v>
      </c>
      <c r="U54" s="21">
        <f>SUM(NhatkyNhap!$C54:U54)-SUM(NhatkyBan!$C54:U54)</f>
        <v>32</v>
      </c>
      <c r="V54" s="21">
        <f>SUM(NhatkyNhap!$C54:V54)-SUM(NhatkyBan!$C54:V54)</f>
        <v>32</v>
      </c>
      <c r="W54" s="21">
        <f>SUM(NhatkyNhap!$C54:W54)-SUM(NhatkyBan!$C54:W54)</f>
        <v>32</v>
      </c>
      <c r="X54" s="21">
        <f>SUM(NhatkyNhap!$C54:X54)-SUM(NhatkyBan!$C54:X54)</f>
        <v>32</v>
      </c>
      <c r="Y54" s="21">
        <f>SUM(NhatkyNhap!$C54:Y54)-SUM(NhatkyBan!$C54:Y54)</f>
        <v>32</v>
      </c>
      <c r="Z54" s="21">
        <f>SUM(NhatkyNhap!$C54:Z54)-SUM(NhatkyBan!$C54:Z54)</f>
        <v>32</v>
      </c>
      <c r="AA54" s="21">
        <f>SUM(NhatkyNhap!$C54:AA54)-SUM(NhatkyBan!$C54:AA54)</f>
        <v>32</v>
      </c>
      <c r="AB54" s="21">
        <f>SUM(NhatkyNhap!$C54:AB54)-SUM(NhatkyBan!$C54:AB54)</f>
        <v>32</v>
      </c>
      <c r="AC54" s="21">
        <f>SUM(NhatkyNhap!$C54:AC54)-SUM(NhatkyBan!$C54:AC54)</f>
        <v>32</v>
      </c>
      <c r="AD54" s="21">
        <f>SUM(NhatkyNhap!$C54:AD54)-SUM(NhatkyBan!$C54:AD54)</f>
        <v>32</v>
      </c>
      <c r="AE54" s="21">
        <f>SUM(NhatkyNhap!$C54:AE54)-SUM(NhatkyBan!$C54:AE54)</f>
        <v>32</v>
      </c>
      <c r="AF54" s="21">
        <f>SUM(NhatkyNhap!$C54:AF54)-SUM(NhatkyBan!$C54:AF54)</f>
        <v>32</v>
      </c>
      <c r="AG54" s="21">
        <f>SUM(NhatkyNhap!$C54:AG54)-SUM(NhatkyBan!$C54:AG54)</f>
        <v>32</v>
      </c>
    </row>
    <row r="55" spans="1:33" ht="12.75" customHeight="1">
      <c r="A55" s="76" t="str">
        <f>DSSP!A54</f>
        <v>A139</v>
      </c>
      <c r="B55" s="25" t="str">
        <f>DSSP!B54</f>
        <v>Cú</v>
      </c>
      <c r="C55" s="21">
        <f>SUM(NhatkyNhap!$C55:C55)-SUM(NhatkyBan!$C55:C55)</f>
        <v>20</v>
      </c>
      <c r="D55" s="21">
        <f>SUM(NhatkyNhap!$C55:D55)-SUM(NhatkyBan!$C55:D55)</f>
        <v>20</v>
      </c>
      <c r="E55" s="21">
        <f>SUM(NhatkyNhap!$C55:E55)-SUM(NhatkyBan!$C55:E55)</f>
        <v>20</v>
      </c>
      <c r="F55" s="21">
        <f>SUM(NhatkyNhap!$C55:F55)-SUM(NhatkyBan!$C55:F55)</f>
        <v>20</v>
      </c>
      <c r="G55" s="21">
        <f>SUM(NhatkyNhap!$C55:G55)-SUM(NhatkyBan!$C55:G55)</f>
        <v>20</v>
      </c>
      <c r="H55" s="21">
        <f>SUM(NhatkyNhap!$C55:H55)-SUM(NhatkyBan!$C55:H55)</f>
        <v>20</v>
      </c>
      <c r="I55" s="21">
        <f>SUM(NhatkyNhap!$C55:I55)-SUM(NhatkyBan!$C55:I55)</f>
        <v>20</v>
      </c>
      <c r="J55" s="21">
        <f>SUM(NhatkyNhap!$C55:J55)-SUM(NhatkyBan!$C55:J55)</f>
        <v>20</v>
      </c>
      <c r="K55" s="21">
        <f>SUM(NhatkyNhap!$C55:K55)-SUM(NhatkyBan!$C55:K55)</f>
        <v>20</v>
      </c>
      <c r="L55" s="21">
        <f>SUM(NhatkyNhap!$C55:L55)-SUM(NhatkyBan!$C55:L55)</f>
        <v>20</v>
      </c>
      <c r="M55" s="21">
        <f>SUM(NhatkyNhap!$C55:M55)-SUM(NhatkyBan!$C55:M55)</f>
        <v>20</v>
      </c>
      <c r="N55" s="21">
        <f>SUM(NhatkyNhap!$C55:N55)-SUM(NhatkyBan!$C55:N55)</f>
        <v>20</v>
      </c>
      <c r="O55" s="21">
        <f>SUM(NhatkyNhap!$C55:O55)-SUM(NhatkyBan!$C55:O55)</f>
        <v>20</v>
      </c>
      <c r="P55" s="21">
        <f>SUM(NhatkyNhap!$C55:P55)-SUM(NhatkyBan!$C55:P55)</f>
        <v>20</v>
      </c>
      <c r="Q55" s="21">
        <f>SUM(NhatkyNhap!$C55:Q55)-SUM(NhatkyBan!$C55:Q55)</f>
        <v>20</v>
      </c>
      <c r="R55" s="21">
        <f>SUM(NhatkyNhap!$C55:R55)-SUM(NhatkyBan!$C55:R55)</f>
        <v>20</v>
      </c>
      <c r="S55" s="21">
        <f>SUM(NhatkyNhap!$C55:S55)-SUM(NhatkyBan!$C55:S55)</f>
        <v>20</v>
      </c>
      <c r="T55" s="21">
        <f>SUM(NhatkyNhap!$C55:T55)-SUM(NhatkyBan!$C55:T55)</f>
        <v>20</v>
      </c>
      <c r="U55" s="21">
        <f>SUM(NhatkyNhap!$C55:U55)-SUM(NhatkyBan!$C55:U55)</f>
        <v>20</v>
      </c>
      <c r="V55" s="21">
        <f>SUM(NhatkyNhap!$C55:V55)-SUM(NhatkyBan!$C55:V55)</f>
        <v>20</v>
      </c>
      <c r="W55" s="21">
        <f>SUM(NhatkyNhap!$C55:W55)-SUM(NhatkyBan!$C55:W55)</f>
        <v>20</v>
      </c>
      <c r="X55" s="21">
        <f>SUM(NhatkyNhap!$C55:X55)-SUM(NhatkyBan!$C55:X55)</f>
        <v>20</v>
      </c>
      <c r="Y55" s="21">
        <f>SUM(NhatkyNhap!$C55:Y55)-SUM(NhatkyBan!$C55:Y55)</f>
        <v>20</v>
      </c>
      <c r="Z55" s="21">
        <f>SUM(NhatkyNhap!$C55:Z55)-SUM(NhatkyBan!$C55:Z55)</f>
        <v>20</v>
      </c>
      <c r="AA55" s="21">
        <f>SUM(NhatkyNhap!$C55:AA55)-SUM(NhatkyBan!$C55:AA55)</f>
        <v>20</v>
      </c>
      <c r="AB55" s="21">
        <f>SUM(NhatkyNhap!$C55:AB55)-SUM(NhatkyBan!$C55:AB55)</f>
        <v>20</v>
      </c>
      <c r="AC55" s="21">
        <f>SUM(NhatkyNhap!$C55:AC55)-SUM(NhatkyBan!$C55:AC55)</f>
        <v>20</v>
      </c>
      <c r="AD55" s="21">
        <f>SUM(NhatkyNhap!$C55:AD55)-SUM(NhatkyBan!$C55:AD55)</f>
        <v>20</v>
      </c>
      <c r="AE55" s="21">
        <f>SUM(NhatkyNhap!$C55:AE55)-SUM(NhatkyBan!$C55:AE55)</f>
        <v>20</v>
      </c>
      <c r="AF55" s="21">
        <f>SUM(NhatkyNhap!$C55:AF55)-SUM(NhatkyBan!$C55:AF55)</f>
        <v>20</v>
      </c>
      <c r="AG55" s="21">
        <f>SUM(NhatkyNhap!$C55:AG55)-SUM(NhatkyBan!$C55:AG55)</f>
        <v>20</v>
      </c>
    </row>
    <row r="56" spans="1:33" ht="12.75" customHeight="1">
      <c r="A56" s="76" t="str">
        <f>DSSP!A55</f>
        <v>A140</v>
      </c>
      <c r="B56" s="25" t="str">
        <f>DSSP!B55</f>
        <v>Domokun</v>
      </c>
      <c r="C56" s="21">
        <f>SUM(NhatkyNhap!$C56:C56)-SUM(NhatkyBan!$C56:C56)</f>
        <v>26</v>
      </c>
      <c r="D56" s="21">
        <f>SUM(NhatkyNhap!$C56:D56)-SUM(NhatkyBan!$C56:D56)</f>
        <v>26</v>
      </c>
      <c r="E56" s="21">
        <f>SUM(NhatkyNhap!$C56:E56)-SUM(NhatkyBan!$C56:E56)</f>
        <v>26</v>
      </c>
      <c r="F56" s="21">
        <f>SUM(NhatkyNhap!$C56:F56)-SUM(NhatkyBan!$C56:F56)</f>
        <v>26</v>
      </c>
      <c r="G56" s="21">
        <f>SUM(NhatkyNhap!$C56:G56)-SUM(NhatkyBan!$C56:G56)</f>
        <v>26</v>
      </c>
      <c r="H56" s="21">
        <f>SUM(NhatkyNhap!$C56:H56)-SUM(NhatkyBan!$C56:H56)</f>
        <v>26</v>
      </c>
      <c r="I56" s="21">
        <f>SUM(NhatkyNhap!$C56:I56)-SUM(NhatkyBan!$C56:I56)</f>
        <v>26</v>
      </c>
      <c r="J56" s="21">
        <f>SUM(NhatkyNhap!$C56:J56)-SUM(NhatkyBan!$C56:J56)</f>
        <v>26</v>
      </c>
      <c r="K56" s="21">
        <f>SUM(NhatkyNhap!$C56:K56)-SUM(NhatkyBan!$C56:K56)</f>
        <v>26</v>
      </c>
      <c r="L56" s="21">
        <f>SUM(NhatkyNhap!$C56:L56)-SUM(NhatkyBan!$C56:L56)</f>
        <v>26</v>
      </c>
      <c r="M56" s="21">
        <f>SUM(NhatkyNhap!$C56:M56)-SUM(NhatkyBan!$C56:M56)</f>
        <v>26</v>
      </c>
      <c r="N56" s="21">
        <f>SUM(NhatkyNhap!$C56:N56)-SUM(NhatkyBan!$C56:N56)</f>
        <v>26</v>
      </c>
      <c r="O56" s="21">
        <f>SUM(NhatkyNhap!$C56:O56)-SUM(NhatkyBan!$C56:O56)</f>
        <v>26</v>
      </c>
      <c r="P56" s="21">
        <f>SUM(NhatkyNhap!$C56:P56)-SUM(NhatkyBan!$C56:P56)</f>
        <v>26</v>
      </c>
      <c r="Q56" s="21">
        <f>SUM(NhatkyNhap!$C56:Q56)-SUM(NhatkyBan!$C56:Q56)</f>
        <v>26</v>
      </c>
      <c r="R56" s="21">
        <f>SUM(NhatkyNhap!$C56:R56)-SUM(NhatkyBan!$C56:R56)</f>
        <v>26</v>
      </c>
      <c r="S56" s="21">
        <f>SUM(NhatkyNhap!$C56:S56)-SUM(NhatkyBan!$C56:S56)</f>
        <v>26</v>
      </c>
      <c r="T56" s="21">
        <f>SUM(NhatkyNhap!$C56:T56)-SUM(NhatkyBan!$C56:T56)</f>
        <v>26</v>
      </c>
      <c r="U56" s="21">
        <f>SUM(NhatkyNhap!$C56:U56)-SUM(NhatkyBan!$C56:U56)</f>
        <v>26</v>
      </c>
      <c r="V56" s="21">
        <f>SUM(NhatkyNhap!$C56:V56)-SUM(NhatkyBan!$C56:V56)</f>
        <v>26</v>
      </c>
      <c r="W56" s="21">
        <f>SUM(NhatkyNhap!$C56:W56)-SUM(NhatkyBan!$C56:W56)</f>
        <v>26</v>
      </c>
      <c r="X56" s="21">
        <f>SUM(NhatkyNhap!$C56:X56)-SUM(NhatkyBan!$C56:X56)</f>
        <v>26</v>
      </c>
      <c r="Y56" s="21">
        <f>SUM(NhatkyNhap!$C56:Y56)-SUM(NhatkyBan!$C56:Y56)</f>
        <v>26</v>
      </c>
      <c r="Z56" s="21">
        <f>SUM(NhatkyNhap!$C56:Z56)-SUM(NhatkyBan!$C56:Z56)</f>
        <v>26</v>
      </c>
      <c r="AA56" s="21">
        <f>SUM(NhatkyNhap!$C56:AA56)-SUM(NhatkyBan!$C56:AA56)</f>
        <v>26</v>
      </c>
      <c r="AB56" s="21">
        <f>SUM(NhatkyNhap!$C56:AB56)-SUM(NhatkyBan!$C56:AB56)</f>
        <v>26</v>
      </c>
      <c r="AC56" s="21">
        <f>SUM(NhatkyNhap!$C56:AC56)-SUM(NhatkyBan!$C56:AC56)</f>
        <v>26</v>
      </c>
      <c r="AD56" s="21">
        <f>SUM(NhatkyNhap!$C56:AD56)-SUM(NhatkyBan!$C56:AD56)</f>
        <v>26</v>
      </c>
      <c r="AE56" s="21">
        <f>SUM(NhatkyNhap!$C56:AE56)-SUM(NhatkyBan!$C56:AE56)</f>
        <v>26</v>
      </c>
      <c r="AF56" s="21">
        <f>SUM(NhatkyNhap!$C56:AF56)-SUM(NhatkyBan!$C56:AF56)</f>
        <v>26</v>
      </c>
      <c r="AG56" s="21">
        <f>SUM(NhatkyNhap!$C56:AG56)-SUM(NhatkyBan!$C56:AG56)</f>
        <v>26</v>
      </c>
    </row>
    <row r="57" spans="1:33" ht="12.75" customHeight="1">
      <c r="A57" s="76" t="str">
        <f>DSSP!A56</f>
        <v>A141</v>
      </c>
      <c r="B57" s="25" t="str">
        <f>DSSP!B56</f>
        <v>Mèo</v>
      </c>
      <c r="C57" s="21">
        <f>SUM(NhatkyNhap!$C57:C57)-SUM(NhatkyBan!$C57:C57)</f>
        <v>52</v>
      </c>
      <c r="D57" s="21">
        <f>SUM(NhatkyNhap!$C57:D57)-SUM(NhatkyBan!$C57:D57)</f>
        <v>52</v>
      </c>
      <c r="E57" s="21">
        <f>SUM(NhatkyNhap!$C57:E57)-SUM(NhatkyBan!$C57:E57)</f>
        <v>52</v>
      </c>
      <c r="F57" s="21">
        <f>SUM(NhatkyNhap!$C57:F57)-SUM(NhatkyBan!$C57:F57)</f>
        <v>52</v>
      </c>
      <c r="G57" s="21">
        <f>SUM(NhatkyNhap!$C57:G57)-SUM(NhatkyBan!$C57:G57)</f>
        <v>52</v>
      </c>
      <c r="H57" s="21">
        <f>SUM(NhatkyNhap!$C57:H57)-SUM(NhatkyBan!$C57:H57)</f>
        <v>52</v>
      </c>
      <c r="I57" s="21">
        <f>SUM(NhatkyNhap!$C57:I57)-SUM(NhatkyBan!$C57:I57)</f>
        <v>52</v>
      </c>
      <c r="J57" s="21">
        <f>SUM(NhatkyNhap!$C57:J57)-SUM(NhatkyBan!$C57:J57)</f>
        <v>52</v>
      </c>
      <c r="K57" s="21">
        <f>SUM(NhatkyNhap!$C57:K57)-SUM(NhatkyBan!$C57:K57)</f>
        <v>52</v>
      </c>
      <c r="L57" s="21">
        <f>SUM(NhatkyNhap!$C57:L57)-SUM(NhatkyBan!$C57:L57)</f>
        <v>52</v>
      </c>
      <c r="M57" s="21">
        <f>SUM(NhatkyNhap!$C57:M57)-SUM(NhatkyBan!$C57:M57)</f>
        <v>52</v>
      </c>
      <c r="N57" s="21">
        <f>SUM(NhatkyNhap!$C57:N57)-SUM(NhatkyBan!$C57:N57)</f>
        <v>52</v>
      </c>
      <c r="O57" s="21">
        <f>SUM(NhatkyNhap!$C57:O57)-SUM(NhatkyBan!$C57:O57)</f>
        <v>52</v>
      </c>
      <c r="P57" s="21">
        <f>SUM(NhatkyNhap!$C57:P57)-SUM(NhatkyBan!$C57:P57)</f>
        <v>52</v>
      </c>
      <c r="Q57" s="21">
        <f>SUM(NhatkyNhap!$C57:Q57)-SUM(NhatkyBan!$C57:Q57)</f>
        <v>52</v>
      </c>
      <c r="R57" s="21">
        <f>SUM(NhatkyNhap!$C57:R57)-SUM(NhatkyBan!$C57:R57)</f>
        <v>52</v>
      </c>
      <c r="S57" s="21">
        <f>SUM(NhatkyNhap!$C57:S57)-SUM(NhatkyBan!$C57:S57)</f>
        <v>52</v>
      </c>
      <c r="T57" s="21">
        <f>SUM(NhatkyNhap!$C57:T57)-SUM(NhatkyBan!$C57:T57)</f>
        <v>52</v>
      </c>
      <c r="U57" s="21">
        <f>SUM(NhatkyNhap!$C57:U57)-SUM(NhatkyBan!$C57:U57)</f>
        <v>52</v>
      </c>
      <c r="V57" s="21">
        <f>SUM(NhatkyNhap!$C57:V57)-SUM(NhatkyBan!$C57:V57)</f>
        <v>52</v>
      </c>
      <c r="W57" s="21">
        <f>SUM(NhatkyNhap!$C57:W57)-SUM(NhatkyBan!$C57:W57)</f>
        <v>52</v>
      </c>
      <c r="X57" s="21">
        <f>SUM(NhatkyNhap!$C57:X57)-SUM(NhatkyBan!$C57:X57)</f>
        <v>52</v>
      </c>
      <c r="Y57" s="21">
        <f>SUM(NhatkyNhap!$C57:Y57)-SUM(NhatkyBan!$C57:Y57)</f>
        <v>52</v>
      </c>
      <c r="Z57" s="21">
        <f>SUM(NhatkyNhap!$C57:Z57)-SUM(NhatkyBan!$C57:Z57)</f>
        <v>52</v>
      </c>
      <c r="AA57" s="21">
        <f>SUM(NhatkyNhap!$C57:AA57)-SUM(NhatkyBan!$C57:AA57)</f>
        <v>52</v>
      </c>
      <c r="AB57" s="21">
        <f>SUM(NhatkyNhap!$C57:AB57)-SUM(NhatkyBan!$C57:AB57)</f>
        <v>52</v>
      </c>
      <c r="AC57" s="21">
        <f>SUM(NhatkyNhap!$C57:AC57)-SUM(NhatkyBan!$C57:AC57)</f>
        <v>52</v>
      </c>
      <c r="AD57" s="21">
        <f>SUM(NhatkyNhap!$C57:AD57)-SUM(NhatkyBan!$C57:AD57)</f>
        <v>52</v>
      </c>
      <c r="AE57" s="21">
        <f>SUM(NhatkyNhap!$C57:AE57)-SUM(NhatkyBan!$C57:AE57)</f>
        <v>52</v>
      </c>
      <c r="AF57" s="21">
        <f>SUM(NhatkyNhap!$C57:AF57)-SUM(NhatkyBan!$C57:AF57)</f>
        <v>52</v>
      </c>
      <c r="AG57" s="21">
        <f>SUM(NhatkyNhap!$C57:AG57)-SUM(NhatkyBan!$C57:AG57)</f>
        <v>52</v>
      </c>
    </row>
    <row r="58" spans="1:33" ht="12.75" customHeight="1">
      <c r="A58" s="76" t="str">
        <f>DSSP!A57</f>
        <v>A142</v>
      </c>
      <c r="B58" s="25" t="str">
        <f>DSSP!B57</f>
        <v>Bọt biển</v>
      </c>
      <c r="C58" s="21">
        <f>SUM(NhatkyNhap!$C58:C58)-SUM(NhatkyBan!$C58:C58)</f>
        <v>21</v>
      </c>
      <c r="D58" s="21">
        <f>SUM(NhatkyNhap!$C58:D58)-SUM(NhatkyBan!$C58:D58)</f>
        <v>21</v>
      </c>
      <c r="E58" s="21">
        <f>SUM(NhatkyNhap!$C58:E58)-SUM(NhatkyBan!$C58:E58)</f>
        <v>21</v>
      </c>
      <c r="F58" s="21">
        <f>SUM(NhatkyNhap!$C58:F58)-SUM(NhatkyBan!$C58:F58)</f>
        <v>21</v>
      </c>
      <c r="G58" s="21">
        <f>SUM(NhatkyNhap!$C58:G58)-SUM(NhatkyBan!$C58:G58)</f>
        <v>21</v>
      </c>
      <c r="H58" s="21">
        <f>SUM(NhatkyNhap!$C58:H58)-SUM(NhatkyBan!$C58:H58)</f>
        <v>21</v>
      </c>
      <c r="I58" s="21">
        <f>SUM(NhatkyNhap!$C58:I58)-SUM(NhatkyBan!$C58:I58)</f>
        <v>21</v>
      </c>
      <c r="J58" s="21">
        <f>SUM(NhatkyNhap!$C58:J58)-SUM(NhatkyBan!$C58:J58)</f>
        <v>21</v>
      </c>
      <c r="K58" s="21">
        <f>SUM(NhatkyNhap!$C58:K58)-SUM(NhatkyBan!$C58:K58)</f>
        <v>21</v>
      </c>
      <c r="L58" s="21">
        <f>SUM(NhatkyNhap!$C58:L58)-SUM(NhatkyBan!$C58:L58)</f>
        <v>21</v>
      </c>
      <c r="M58" s="21">
        <f>SUM(NhatkyNhap!$C58:M58)-SUM(NhatkyBan!$C58:M58)</f>
        <v>21</v>
      </c>
      <c r="N58" s="21">
        <f>SUM(NhatkyNhap!$C58:N58)-SUM(NhatkyBan!$C58:N58)</f>
        <v>21</v>
      </c>
      <c r="O58" s="21">
        <f>SUM(NhatkyNhap!$C58:O58)-SUM(NhatkyBan!$C58:O58)</f>
        <v>21</v>
      </c>
      <c r="P58" s="21">
        <f>SUM(NhatkyNhap!$C58:P58)-SUM(NhatkyBan!$C58:P58)</f>
        <v>21</v>
      </c>
      <c r="Q58" s="21">
        <f>SUM(NhatkyNhap!$C58:Q58)-SUM(NhatkyBan!$C58:Q58)</f>
        <v>21</v>
      </c>
      <c r="R58" s="21">
        <f>SUM(NhatkyNhap!$C58:R58)-SUM(NhatkyBan!$C58:R58)</f>
        <v>21</v>
      </c>
      <c r="S58" s="21">
        <f>SUM(NhatkyNhap!$C58:S58)-SUM(NhatkyBan!$C58:S58)</f>
        <v>21</v>
      </c>
      <c r="T58" s="21">
        <f>SUM(NhatkyNhap!$C58:T58)-SUM(NhatkyBan!$C58:T58)</f>
        <v>21</v>
      </c>
      <c r="U58" s="21">
        <f>SUM(NhatkyNhap!$C58:U58)-SUM(NhatkyBan!$C58:U58)</f>
        <v>21</v>
      </c>
      <c r="V58" s="21">
        <f>SUM(NhatkyNhap!$C58:V58)-SUM(NhatkyBan!$C58:V58)</f>
        <v>21</v>
      </c>
      <c r="W58" s="21">
        <f>SUM(NhatkyNhap!$C58:W58)-SUM(NhatkyBan!$C58:W58)</f>
        <v>21</v>
      </c>
      <c r="X58" s="21">
        <f>SUM(NhatkyNhap!$C58:X58)-SUM(NhatkyBan!$C58:X58)</f>
        <v>21</v>
      </c>
      <c r="Y58" s="21">
        <f>SUM(NhatkyNhap!$C58:Y58)-SUM(NhatkyBan!$C58:Y58)</f>
        <v>21</v>
      </c>
      <c r="Z58" s="21">
        <f>SUM(NhatkyNhap!$C58:Z58)-SUM(NhatkyBan!$C58:Z58)</f>
        <v>21</v>
      </c>
      <c r="AA58" s="21">
        <f>SUM(NhatkyNhap!$C58:AA58)-SUM(NhatkyBan!$C58:AA58)</f>
        <v>21</v>
      </c>
      <c r="AB58" s="21">
        <f>SUM(NhatkyNhap!$C58:AB58)-SUM(NhatkyBan!$C58:AB58)</f>
        <v>21</v>
      </c>
      <c r="AC58" s="21">
        <f>SUM(NhatkyNhap!$C58:AC58)-SUM(NhatkyBan!$C58:AC58)</f>
        <v>21</v>
      </c>
      <c r="AD58" s="21">
        <f>SUM(NhatkyNhap!$C58:AD58)-SUM(NhatkyBan!$C58:AD58)</f>
        <v>21</v>
      </c>
      <c r="AE58" s="21">
        <f>SUM(NhatkyNhap!$C58:AE58)-SUM(NhatkyBan!$C58:AE58)</f>
        <v>21</v>
      </c>
      <c r="AF58" s="21">
        <f>SUM(NhatkyNhap!$C58:AF58)-SUM(NhatkyBan!$C58:AF58)</f>
        <v>21</v>
      </c>
      <c r="AG58" s="21">
        <f>SUM(NhatkyNhap!$C58:AG58)-SUM(NhatkyBan!$C58:AG58)</f>
        <v>21</v>
      </c>
    </row>
    <row r="59" spans="1:33" ht="12.75" customHeight="1">
      <c r="A59" s="76" t="str">
        <f>DSSP!A58</f>
        <v>A143</v>
      </c>
      <c r="B59" s="25" t="str">
        <f>DSSP!B58</f>
        <v>Bạch Dương</v>
      </c>
      <c r="C59" s="21">
        <f>SUM(NhatkyNhap!$C59:C59)-SUM(NhatkyBan!$C59:C59)</f>
        <v>0</v>
      </c>
      <c r="D59" s="21">
        <f>SUM(NhatkyNhap!$C59:D59)-SUM(NhatkyBan!$C59:D59)</f>
        <v>0</v>
      </c>
      <c r="E59" s="21">
        <f>SUM(NhatkyNhap!$C59:E59)-SUM(NhatkyBan!$C59:E59)</f>
        <v>0</v>
      </c>
      <c r="F59" s="21">
        <f>SUM(NhatkyNhap!$C59:F59)-SUM(NhatkyBan!$C59:F59)</f>
        <v>0</v>
      </c>
      <c r="G59" s="21">
        <f>SUM(NhatkyNhap!$C59:G59)-SUM(NhatkyBan!$C59:G59)</f>
        <v>0</v>
      </c>
      <c r="H59" s="21">
        <f>SUM(NhatkyNhap!$C59:H59)-SUM(NhatkyBan!$C59:H59)</f>
        <v>0</v>
      </c>
      <c r="I59" s="21">
        <f>SUM(NhatkyNhap!$C59:I59)-SUM(NhatkyBan!$C59:I59)</f>
        <v>0</v>
      </c>
      <c r="J59" s="21">
        <f>SUM(NhatkyNhap!$C59:J59)-SUM(NhatkyBan!$C59:J59)</f>
        <v>0</v>
      </c>
      <c r="K59" s="21">
        <f>SUM(NhatkyNhap!$C59:K59)-SUM(NhatkyBan!$C59:K59)</f>
        <v>0</v>
      </c>
      <c r="L59" s="21">
        <f>SUM(NhatkyNhap!$C59:L59)-SUM(NhatkyBan!$C59:L59)</f>
        <v>0</v>
      </c>
      <c r="M59" s="21">
        <f>SUM(NhatkyNhap!$C59:M59)-SUM(NhatkyBan!$C59:M59)</f>
        <v>0</v>
      </c>
      <c r="N59" s="21">
        <f>SUM(NhatkyNhap!$C59:N59)-SUM(NhatkyBan!$C59:N59)</f>
        <v>0</v>
      </c>
      <c r="O59" s="21">
        <f>SUM(NhatkyNhap!$C59:O59)-SUM(NhatkyBan!$C59:O59)</f>
        <v>0</v>
      </c>
      <c r="P59" s="21">
        <f>SUM(NhatkyNhap!$C59:P59)-SUM(NhatkyBan!$C59:P59)</f>
        <v>0</v>
      </c>
      <c r="Q59" s="21">
        <f>SUM(NhatkyNhap!$C59:Q59)-SUM(NhatkyBan!$C59:Q59)</f>
        <v>0</v>
      </c>
      <c r="R59" s="21">
        <f>SUM(NhatkyNhap!$C59:R59)-SUM(NhatkyBan!$C59:R59)</f>
        <v>0</v>
      </c>
      <c r="S59" s="21">
        <f>SUM(NhatkyNhap!$C59:S59)-SUM(NhatkyBan!$C59:S59)</f>
        <v>0</v>
      </c>
      <c r="T59" s="21">
        <f>SUM(NhatkyNhap!$C59:T59)-SUM(NhatkyBan!$C59:T59)</f>
        <v>0</v>
      </c>
      <c r="U59" s="21">
        <f>SUM(NhatkyNhap!$C59:U59)-SUM(NhatkyBan!$C59:U59)</f>
        <v>0</v>
      </c>
      <c r="V59" s="21">
        <f>SUM(NhatkyNhap!$C59:V59)-SUM(NhatkyBan!$C59:V59)</f>
        <v>0</v>
      </c>
      <c r="W59" s="21">
        <f>SUM(NhatkyNhap!$C59:W59)-SUM(NhatkyBan!$C59:W59)</f>
        <v>0</v>
      </c>
      <c r="X59" s="21">
        <f>SUM(NhatkyNhap!$C59:X59)-SUM(NhatkyBan!$C59:X59)</f>
        <v>0</v>
      </c>
      <c r="Y59" s="21">
        <f>SUM(NhatkyNhap!$C59:Y59)-SUM(NhatkyBan!$C59:Y59)</f>
        <v>0</v>
      </c>
      <c r="Z59" s="21">
        <f>SUM(NhatkyNhap!$C59:Z59)-SUM(NhatkyBan!$C59:Z59)</f>
        <v>0</v>
      </c>
      <c r="AA59" s="21">
        <f>SUM(NhatkyNhap!$C59:AA59)-SUM(NhatkyBan!$C59:AA59)</f>
        <v>0</v>
      </c>
      <c r="AB59" s="21">
        <f>SUM(NhatkyNhap!$C59:AB59)-SUM(NhatkyBan!$C59:AB59)</f>
        <v>0</v>
      </c>
      <c r="AC59" s="21">
        <f>SUM(NhatkyNhap!$C59:AC59)-SUM(NhatkyBan!$C59:AC59)</f>
        <v>0</v>
      </c>
      <c r="AD59" s="21">
        <f>SUM(NhatkyNhap!$C59:AD59)-SUM(NhatkyBan!$C59:AD59)</f>
        <v>0</v>
      </c>
      <c r="AE59" s="21">
        <f>SUM(NhatkyNhap!$C59:AE59)-SUM(NhatkyBan!$C59:AE59)</f>
        <v>0</v>
      </c>
      <c r="AF59" s="21">
        <f>SUM(NhatkyNhap!$C59:AF59)-SUM(NhatkyBan!$C59:AF59)</f>
        <v>0</v>
      </c>
      <c r="AG59" s="21">
        <f>SUM(NhatkyNhap!$C59:AG59)-SUM(NhatkyBan!$C59:AG59)</f>
        <v>0</v>
      </c>
    </row>
    <row r="60" spans="1:33" ht="12.75" customHeight="1">
      <c r="A60" s="76" t="str">
        <f>DSSP!A59</f>
        <v>A144</v>
      </c>
      <c r="B60" s="25" t="str">
        <f>DSSP!B59</f>
        <v>Kim Ngưu</v>
      </c>
      <c r="C60" s="21">
        <f>SUM(NhatkyNhap!$C60:C60)-SUM(NhatkyBan!$C60:C60)</f>
        <v>0</v>
      </c>
      <c r="D60" s="21">
        <f>SUM(NhatkyNhap!$C60:D60)-SUM(NhatkyBan!$C60:D60)</f>
        <v>0</v>
      </c>
      <c r="E60" s="21">
        <f>SUM(NhatkyNhap!$C60:E60)-SUM(NhatkyBan!$C60:E60)</f>
        <v>0</v>
      </c>
      <c r="F60" s="21">
        <f>SUM(NhatkyNhap!$C60:F60)-SUM(NhatkyBan!$C60:F60)</f>
        <v>0</v>
      </c>
      <c r="G60" s="21">
        <f>SUM(NhatkyNhap!$C60:G60)-SUM(NhatkyBan!$C60:G60)</f>
        <v>0</v>
      </c>
      <c r="H60" s="21">
        <f>SUM(NhatkyNhap!$C60:H60)-SUM(NhatkyBan!$C60:H60)</f>
        <v>0</v>
      </c>
      <c r="I60" s="21">
        <f>SUM(NhatkyNhap!$C60:I60)-SUM(NhatkyBan!$C60:I60)</f>
        <v>0</v>
      </c>
      <c r="J60" s="21">
        <f>SUM(NhatkyNhap!$C60:J60)-SUM(NhatkyBan!$C60:J60)</f>
        <v>0</v>
      </c>
      <c r="K60" s="21">
        <f>SUM(NhatkyNhap!$C60:K60)-SUM(NhatkyBan!$C60:K60)</f>
        <v>0</v>
      </c>
      <c r="L60" s="21">
        <f>SUM(NhatkyNhap!$C60:L60)-SUM(NhatkyBan!$C60:L60)</f>
        <v>0</v>
      </c>
      <c r="M60" s="21">
        <f>SUM(NhatkyNhap!$C60:M60)-SUM(NhatkyBan!$C60:M60)</f>
        <v>0</v>
      </c>
      <c r="N60" s="21">
        <f>SUM(NhatkyNhap!$C60:N60)-SUM(NhatkyBan!$C60:N60)</f>
        <v>0</v>
      </c>
      <c r="O60" s="21">
        <f>SUM(NhatkyNhap!$C60:O60)-SUM(NhatkyBan!$C60:O60)</f>
        <v>0</v>
      </c>
      <c r="P60" s="21">
        <f>SUM(NhatkyNhap!$C60:P60)-SUM(NhatkyBan!$C60:P60)</f>
        <v>0</v>
      </c>
      <c r="Q60" s="21">
        <f>SUM(NhatkyNhap!$C60:Q60)-SUM(NhatkyBan!$C60:Q60)</f>
        <v>0</v>
      </c>
      <c r="R60" s="21">
        <f>SUM(NhatkyNhap!$C60:R60)-SUM(NhatkyBan!$C60:R60)</f>
        <v>0</v>
      </c>
      <c r="S60" s="21">
        <f>SUM(NhatkyNhap!$C60:S60)-SUM(NhatkyBan!$C60:S60)</f>
        <v>0</v>
      </c>
      <c r="T60" s="21">
        <f>SUM(NhatkyNhap!$C60:T60)-SUM(NhatkyBan!$C60:T60)</f>
        <v>0</v>
      </c>
      <c r="U60" s="21">
        <f>SUM(NhatkyNhap!$C60:U60)-SUM(NhatkyBan!$C60:U60)</f>
        <v>0</v>
      </c>
      <c r="V60" s="21">
        <f>SUM(NhatkyNhap!$C60:V60)-SUM(NhatkyBan!$C60:V60)</f>
        <v>0</v>
      </c>
      <c r="W60" s="21">
        <f>SUM(NhatkyNhap!$C60:W60)-SUM(NhatkyBan!$C60:W60)</f>
        <v>0</v>
      </c>
      <c r="X60" s="21">
        <f>SUM(NhatkyNhap!$C60:X60)-SUM(NhatkyBan!$C60:X60)</f>
        <v>0</v>
      </c>
      <c r="Y60" s="21">
        <f>SUM(NhatkyNhap!$C60:Y60)-SUM(NhatkyBan!$C60:Y60)</f>
        <v>0</v>
      </c>
      <c r="Z60" s="21">
        <f>SUM(NhatkyNhap!$C60:Z60)-SUM(NhatkyBan!$C60:Z60)</f>
        <v>0</v>
      </c>
      <c r="AA60" s="21">
        <f>SUM(NhatkyNhap!$C60:AA60)-SUM(NhatkyBan!$C60:AA60)</f>
        <v>0</v>
      </c>
      <c r="AB60" s="21">
        <f>SUM(NhatkyNhap!$C60:AB60)-SUM(NhatkyBan!$C60:AB60)</f>
        <v>0</v>
      </c>
      <c r="AC60" s="21">
        <f>SUM(NhatkyNhap!$C60:AC60)-SUM(NhatkyBan!$C60:AC60)</f>
        <v>0</v>
      </c>
      <c r="AD60" s="21">
        <f>SUM(NhatkyNhap!$C60:AD60)-SUM(NhatkyBan!$C60:AD60)</f>
        <v>0</v>
      </c>
      <c r="AE60" s="21">
        <f>SUM(NhatkyNhap!$C60:AE60)-SUM(NhatkyBan!$C60:AE60)</f>
        <v>0</v>
      </c>
      <c r="AF60" s="21">
        <f>SUM(NhatkyNhap!$C60:AF60)-SUM(NhatkyBan!$C60:AF60)</f>
        <v>0</v>
      </c>
      <c r="AG60" s="21">
        <f>SUM(NhatkyNhap!$C60:AG60)-SUM(NhatkyBan!$C60:AG60)</f>
        <v>0</v>
      </c>
    </row>
    <row r="61" spans="1:33" ht="12.75" customHeight="1">
      <c r="A61" s="76" t="str">
        <f>DSSP!A60</f>
        <v>A145</v>
      </c>
      <c r="B61" s="25" t="str">
        <f>DSSP!B60</f>
        <v>Song Tử</v>
      </c>
      <c r="C61" s="21">
        <f>SUM(NhatkyNhap!$C61:C61)-SUM(NhatkyBan!$C61:C61)</f>
        <v>0</v>
      </c>
      <c r="D61" s="21">
        <f>SUM(NhatkyNhap!$C61:D61)-SUM(NhatkyBan!$C61:D61)</f>
        <v>0</v>
      </c>
      <c r="E61" s="21">
        <f>SUM(NhatkyNhap!$C61:E61)-SUM(NhatkyBan!$C61:E61)</f>
        <v>0</v>
      </c>
      <c r="F61" s="21">
        <f>SUM(NhatkyNhap!$C61:F61)-SUM(NhatkyBan!$C61:F61)</f>
        <v>0</v>
      </c>
      <c r="G61" s="21">
        <f>SUM(NhatkyNhap!$C61:G61)-SUM(NhatkyBan!$C61:G61)</f>
        <v>0</v>
      </c>
      <c r="H61" s="21">
        <f>SUM(NhatkyNhap!$C61:H61)-SUM(NhatkyBan!$C61:H61)</f>
        <v>0</v>
      </c>
      <c r="I61" s="21">
        <f>SUM(NhatkyNhap!$C61:I61)-SUM(NhatkyBan!$C61:I61)</f>
        <v>0</v>
      </c>
      <c r="J61" s="21">
        <f>SUM(NhatkyNhap!$C61:J61)-SUM(NhatkyBan!$C61:J61)</f>
        <v>0</v>
      </c>
      <c r="K61" s="21">
        <f>SUM(NhatkyNhap!$C61:K61)-SUM(NhatkyBan!$C61:K61)</f>
        <v>0</v>
      </c>
      <c r="L61" s="21">
        <f>SUM(NhatkyNhap!$C61:L61)-SUM(NhatkyBan!$C61:L61)</f>
        <v>0</v>
      </c>
      <c r="M61" s="21">
        <f>SUM(NhatkyNhap!$C61:M61)-SUM(NhatkyBan!$C61:M61)</f>
        <v>0</v>
      </c>
      <c r="N61" s="21">
        <f>SUM(NhatkyNhap!$C61:N61)-SUM(NhatkyBan!$C61:N61)</f>
        <v>0</v>
      </c>
      <c r="O61" s="21">
        <f>SUM(NhatkyNhap!$C61:O61)-SUM(NhatkyBan!$C61:O61)</f>
        <v>0</v>
      </c>
      <c r="P61" s="21">
        <f>SUM(NhatkyNhap!$C61:P61)-SUM(NhatkyBan!$C61:P61)</f>
        <v>0</v>
      </c>
      <c r="Q61" s="21">
        <f>SUM(NhatkyNhap!$C61:Q61)-SUM(NhatkyBan!$C61:Q61)</f>
        <v>0</v>
      </c>
      <c r="R61" s="21">
        <f>SUM(NhatkyNhap!$C61:R61)-SUM(NhatkyBan!$C61:R61)</f>
        <v>0</v>
      </c>
      <c r="S61" s="21">
        <f>SUM(NhatkyNhap!$C61:S61)-SUM(NhatkyBan!$C61:S61)</f>
        <v>0</v>
      </c>
      <c r="T61" s="21">
        <f>SUM(NhatkyNhap!$C61:T61)-SUM(NhatkyBan!$C61:T61)</f>
        <v>0</v>
      </c>
      <c r="U61" s="21">
        <f>SUM(NhatkyNhap!$C61:U61)-SUM(NhatkyBan!$C61:U61)</f>
        <v>0</v>
      </c>
      <c r="V61" s="21">
        <f>SUM(NhatkyNhap!$C61:V61)-SUM(NhatkyBan!$C61:V61)</f>
        <v>0</v>
      </c>
      <c r="W61" s="21">
        <f>SUM(NhatkyNhap!$C61:W61)-SUM(NhatkyBan!$C61:W61)</f>
        <v>0</v>
      </c>
      <c r="X61" s="21">
        <f>SUM(NhatkyNhap!$C61:X61)-SUM(NhatkyBan!$C61:X61)</f>
        <v>0</v>
      </c>
      <c r="Y61" s="21">
        <f>SUM(NhatkyNhap!$C61:Y61)-SUM(NhatkyBan!$C61:Y61)</f>
        <v>0</v>
      </c>
      <c r="Z61" s="21">
        <f>SUM(NhatkyNhap!$C61:Z61)-SUM(NhatkyBan!$C61:Z61)</f>
        <v>0</v>
      </c>
      <c r="AA61" s="21">
        <f>SUM(NhatkyNhap!$C61:AA61)-SUM(NhatkyBan!$C61:AA61)</f>
        <v>0</v>
      </c>
      <c r="AB61" s="21">
        <f>SUM(NhatkyNhap!$C61:AB61)-SUM(NhatkyBan!$C61:AB61)</f>
        <v>0</v>
      </c>
      <c r="AC61" s="21">
        <f>SUM(NhatkyNhap!$C61:AC61)-SUM(NhatkyBan!$C61:AC61)</f>
        <v>0</v>
      </c>
      <c r="AD61" s="21">
        <f>SUM(NhatkyNhap!$C61:AD61)-SUM(NhatkyBan!$C61:AD61)</f>
        <v>0</v>
      </c>
      <c r="AE61" s="21">
        <f>SUM(NhatkyNhap!$C61:AE61)-SUM(NhatkyBan!$C61:AE61)</f>
        <v>0</v>
      </c>
      <c r="AF61" s="21">
        <f>SUM(NhatkyNhap!$C61:AF61)-SUM(NhatkyBan!$C61:AF61)</f>
        <v>0</v>
      </c>
      <c r="AG61" s="21">
        <f>SUM(NhatkyNhap!$C61:AG61)-SUM(NhatkyBan!$C61:AG61)</f>
        <v>0</v>
      </c>
    </row>
    <row r="62" spans="1:33" ht="12.75" customHeight="1">
      <c r="A62" s="76" t="str">
        <f>DSSP!A61</f>
        <v>A146</v>
      </c>
      <c r="B62" s="25" t="str">
        <f>DSSP!B61</f>
        <v>Cự Giải</v>
      </c>
      <c r="C62" s="21">
        <f>SUM(NhatkyNhap!$C62:C62)-SUM(NhatkyBan!$C62:C62)</f>
        <v>0</v>
      </c>
      <c r="D62" s="21">
        <f>SUM(NhatkyNhap!$C62:D62)-SUM(NhatkyBan!$C62:D62)</f>
        <v>0</v>
      </c>
      <c r="E62" s="21">
        <f>SUM(NhatkyNhap!$C62:E62)-SUM(NhatkyBan!$C62:E62)</f>
        <v>0</v>
      </c>
      <c r="F62" s="21">
        <f>SUM(NhatkyNhap!$C62:F62)-SUM(NhatkyBan!$C62:F62)</f>
        <v>0</v>
      </c>
      <c r="G62" s="21">
        <f>SUM(NhatkyNhap!$C62:G62)-SUM(NhatkyBan!$C62:G62)</f>
        <v>0</v>
      </c>
      <c r="H62" s="21">
        <f>SUM(NhatkyNhap!$C62:H62)-SUM(NhatkyBan!$C62:H62)</f>
        <v>0</v>
      </c>
      <c r="I62" s="21">
        <f>SUM(NhatkyNhap!$C62:I62)-SUM(NhatkyBan!$C62:I62)</f>
        <v>0</v>
      </c>
      <c r="J62" s="21">
        <f>SUM(NhatkyNhap!$C62:J62)-SUM(NhatkyBan!$C62:J62)</f>
        <v>0</v>
      </c>
      <c r="K62" s="21">
        <f>SUM(NhatkyNhap!$C62:K62)-SUM(NhatkyBan!$C62:K62)</f>
        <v>0</v>
      </c>
      <c r="L62" s="21">
        <f>SUM(NhatkyNhap!$C62:L62)-SUM(NhatkyBan!$C62:L62)</f>
        <v>0</v>
      </c>
      <c r="M62" s="21">
        <f>SUM(NhatkyNhap!$C62:M62)-SUM(NhatkyBan!$C62:M62)</f>
        <v>0</v>
      </c>
      <c r="N62" s="21">
        <f>SUM(NhatkyNhap!$C62:N62)-SUM(NhatkyBan!$C62:N62)</f>
        <v>0</v>
      </c>
      <c r="O62" s="21">
        <f>SUM(NhatkyNhap!$C62:O62)-SUM(NhatkyBan!$C62:O62)</f>
        <v>0</v>
      </c>
      <c r="P62" s="21">
        <f>SUM(NhatkyNhap!$C62:P62)-SUM(NhatkyBan!$C62:P62)</f>
        <v>0</v>
      </c>
      <c r="Q62" s="21">
        <f>SUM(NhatkyNhap!$C62:Q62)-SUM(NhatkyBan!$C62:Q62)</f>
        <v>0</v>
      </c>
      <c r="R62" s="21">
        <f>SUM(NhatkyNhap!$C62:R62)-SUM(NhatkyBan!$C62:R62)</f>
        <v>0</v>
      </c>
      <c r="S62" s="21">
        <f>SUM(NhatkyNhap!$C62:S62)-SUM(NhatkyBan!$C62:S62)</f>
        <v>0</v>
      </c>
      <c r="T62" s="21">
        <f>SUM(NhatkyNhap!$C62:T62)-SUM(NhatkyBan!$C62:T62)</f>
        <v>0</v>
      </c>
      <c r="U62" s="21">
        <f>SUM(NhatkyNhap!$C62:U62)-SUM(NhatkyBan!$C62:U62)</f>
        <v>0</v>
      </c>
      <c r="V62" s="21">
        <f>SUM(NhatkyNhap!$C62:V62)-SUM(NhatkyBan!$C62:V62)</f>
        <v>0</v>
      </c>
      <c r="W62" s="21">
        <f>SUM(NhatkyNhap!$C62:W62)-SUM(NhatkyBan!$C62:W62)</f>
        <v>0</v>
      </c>
      <c r="X62" s="21">
        <f>SUM(NhatkyNhap!$C62:X62)-SUM(NhatkyBan!$C62:X62)</f>
        <v>0</v>
      </c>
      <c r="Y62" s="21">
        <f>SUM(NhatkyNhap!$C62:Y62)-SUM(NhatkyBan!$C62:Y62)</f>
        <v>0</v>
      </c>
      <c r="Z62" s="21">
        <f>SUM(NhatkyNhap!$C62:Z62)-SUM(NhatkyBan!$C62:Z62)</f>
        <v>0</v>
      </c>
      <c r="AA62" s="21">
        <f>SUM(NhatkyNhap!$C62:AA62)-SUM(NhatkyBan!$C62:AA62)</f>
        <v>0</v>
      </c>
      <c r="AB62" s="21">
        <f>SUM(NhatkyNhap!$C62:AB62)-SUM(NhatkyBan!$C62:AB62)</f>
        <v>0</v>
      </c>
      <c r="AC62" s="21">
        <f>SUM(NhatkyNhap!$C62:AC62)-SUM(NhatkyBan!$C62:AC62)</f>
        <v>0</v>
      </c>
      <c r="AD62" s="21">
        <f>SUM(NhatkyNhap!$C62:AD62)-SUM(NhatkyBan!$C62:AD62)</f>
        <v>0</v>
      </c>
      <c r="AE62" s="21">
        <f>SUM(NhatkyNhap!$C62:AE62)-SUM(NhatkyBan!$C62:AE62)</f>
        <v>0</v>
      </c>
      <c r="AF62" s="21">
        <f>SUM(NhatkyNhap!$C62:AF62)-SUM(NhatkyBan!$C62:AF62)</f>
        <v>0</v>
      </c>
      <c r="AG62" s="21">
        <f>SUM(NhatkyNhap!$C62:AG62)-SUM(NhatkyBan!$C62:AG62)</f>
        <v>0</v>
      </c>
    </row>
    <row r="63" spans="1:33" ht="12.75" customHeight="1">
      <c r="A63" s="76" t="str">
        <f>DSSP!A62</f>
        <v>A147</v>
      </c>
      <c r="B63" s="25" t="str">
        <f>DSSP!B62</f>
        <v>Sư Tử</v>
      </c>
      <c r="C63" s="21">
        <f>SUM(NhatkyNhap!$C63:C63)-SUM(NhatkyBan!$C63:C63)</f>
        <v>0</v>
      </c>
      <c r="D63" s="21">
        <f>SUM(NhatkyNhap!$C63:D63)-SUM(NhatkyBan!$C63:D63)</f>
        <v>0</v>
      </c>
      <c r="E63" s="21">
        <f>SUM(NhatkyNhap!$C63:E63)-SUM(NhatkyBan!$C63:E63)</f>
        <v>0</v>
      </c>
      <c r="F63" s="21">
        <f>SUM(NhatkyNhap!$C63:F63)-SUM(NhatkyBan!$C63:F63)</f>
        <v>0</v>
      </c>
      <c r="G63" s="21">
        <f>SUM(NhatkyNhap!$C63:G63)-SUM(NhatkyBan!$C63:G63)</f>
        <v>0</v>
      </c>
      <c r="H63" s="21">
        <f>SUM(NhatkyNhap!$C63:H63)-SUM(NhatkyBan!$C63:H63)</f>
        <v>0</v>
      </c>
      <c r="I63" s="21">
        <f>SUM(NhatkyNhap!$C63:I63)-SUM(NhatkyBan!$C63:I63)</f>
        <v>0</v>
      </c>
      <c r="J63" s="21">
        <f>SUM(NhatkyNhap!$C63:J63)-SUM(NhatkyBan!$C63:J63)</f>
        <v>0</v>
      </c>
      <c r="K63" s="21">
        <f>SUM(NhatkyNhap!$C63:K63)-SUM(NhatkyBan!$C63:K63)</f>
        <v>0</v>
      </c>
      <c r="L63" s="21">
        <f>SUM(NhatkyNhap!$C63:L63)-SUM(NhatkyBan!$C63:L63)</f>
        <v>0</v>
      </c>
      <c r="M63" s="21">
        <f>SUM(NhatkyNhap!$C63:M63)-SUM(NhatkyBan!$C63:M63)</f>
        <v>0</v>
      </c>
      <c r="N63" s="21">
        <f>SUM(NhatkyNhap!$C63:N63)-SUM(NhatkyBan!$C63:N63)</f>
        <v>0</v>
      </c>
      <c r="O63" s="21">
        <f>SUM(NhatkyNhap!$C63:O63)-SUM(NhatkyBan!$C63:O63)</f>
        <v>0</v>
      </c>
      <c r="P63" s="21">
        <f>SUM(NhatkyNhap!$C63:P63)-SUM(NhatkyBan!$C63:P63)</f>
        <v>0</v>
      </c>
      <c r="Q63" s="21">
        <f>SUM(NhatkyNhap!$C63:Q63)-SUM(NhatkyBan!$C63:Q63)</f>
        <v>0</v>
      </c>
      <c r="R63" s="21">
        <f>SUM(NhatkyNhap!$C63:R63)-SUM(NhatkyBan!$C63:R63)</f>
        <v>0</v>
      </c>
      <c r="S63" s="21">
        <f>SUM(NhatkyNhap!$C63:S63)-SUM(NhatkyBan!$C63:S63)</f>
        <v>0</v>
      </c>
      <c r="T63" s="21">
        <f>SUM(NhatkyNhap!$C63:T63)-SUM(NhatkyBan!$C63:T63)</f>
        <v>0</v>
      </c>
      <c r="U63" s="21">
        <f>SUM(NhatkyNhap!$C63:U63)-SUM(NhatkyBan!$C63:U63)</f>
        <v>0</v>
      </c>
      <c r="V63" s="21">
        <f>SUM(NhatkyNhap!$C63:V63)-SUM(NhatkyBan!$C63:V63)</f>
        <v>0</v>
      </c>
      <c r="W63" s="21">
        <f>SUM(NhatkyNhap!$C63:W63)-SUM(NhatkyBan!$C63:W63)</f>
        <v>0</v>
      </c>
      <c r="X63" s="21">
        <f>SUM(NhatkyNhap!$C63:X63)-SUM(NhatkyBan!$C63:X63)</f>
        <v>0</v>
      </c>
      <c r="Y63" s="21">
        <f>SUM(NhatkyNhap!$C63:Y63)-SUM(NhatkyBan!$C63:Y63)</f>
        <v>0</v>
      </c>
      <c r="Z63" s="21">
        <f>SUM(NhatkyNhap!$C63:Z63)-SUM(NhatkyBan!$C63:Z63)</f>
        <v>0</v>
      </c>
      <c r="AA63" s="21">
        <f>SUM(NhatkyNhap!$C63:AA63)-SUM(NhatkyBan!$C63:AA63)</f>
        <v>0</v>
      </c>
      <c r="AB63" s="21">
        <f>SUM(NhatkyNhap!$C63:AB63)-SUM(NhatkyBan!$C63:AB63)</f>
        <v>0</v>
      </c>
      <c r="AC63" s="21">
        <f>SUM(NhatkyNhap!$C63:AC63)-SUM(NhatkyBan!$C63:AC63)</f>
        <v>0</v>
      </c>
      <c r="AD63" s="21">
        <f>SUM(NhatkyNhap!$C63:AD63)-SUM(NhatkyBan!$C63:AD63)</f>
        <v>0</v>
      </c>
      <c r="AE63" s="21">
        <f>SUM(NhatkyNhap!$C63:AE63)-SUM(NhatkyBan!$C63:AE63)</f>
        <v>0</v>
      </c>
      <c r="AF63" s="21">
        <f>SUM(NhatkyNhap!$C63:AF63)-SUM(NhatkyBan!$C63:AF63)</f>
        <v>0</v>
      </c>
      <c r="AG63" s="21">
        <f>SUM(NhatkyNhap!$C63:AG63)-SUM(NhatkyBan!$C63:AG63)</f>
        <v>0</v>
      </c>
    </row>
    <row r="64" spans="1:33" ht="12.75" customHeight="1">
      <c r="A64" s="76" t="str">
        <f>DSSP!A63</f>
        <v>A148</v>
      </c>
      <c r="B64" s="25" t="str">
        <f>DSSP!B63</f>
        <v xml:space="preserve">Xử Nữ </v>
      </c>
      <c r="C64" s="21">
        <f>SUM(NhatkyNhap!$C64:C64)-SUM(NhatkyBan!$C64:C64)</f>
        <v>0</v>
      </c>
      <c r="D64" s="21">
        <f>SUM(NhatkyNhap!$C64:D64)-SUM(NhatkyBan!$C64:D64)</f>
        <v>0</v>
      </c>
      <c r="E64" s="21">
        <f>SUM(NhatkyNhap!$C64:E64)-SUM(NhatkyBan!$C64:E64)</f>
        <v>0</v>
      </c>
      <c r="F64" s="21">
        <f>SUM(NhatkyNhap!$C64:F64)-SUM(NhatkyBan!$C64:F64)</f>
        <v>0</v>
      </c>
      <c r="G64" s="21">
        <f>SUM(NhatkyNhap!$C64:G64)-SUM(NhatkyBan!$C64:G64)</f>
        <v>0</v>
      </c>
      <c r="H64" s="21">
        <f>SUM(NhatkyNhap!$C64:H64)-SUM(NhatkyBan!$C64:H64)</f>
        <v>0</v>
      </c>
      <c r="I64" s="21">
        <f>SUM(NhatkyNhap!$C64:I64)-SUM(NhatkyBan!$C64:I64)</f>
        <v>0</v>
      </c>
      <c r="J64" s="21">
        <f>SUM(NhatkyNhap!$C64:J64)-SUM(NhatkyBan!$C64:J64)</f>
        <v>0</v>
      </c>
      <c r="K64" s="21">
        <f>SUM(NhatkyNhap!$C64:K64)-SUM(NhatkyBan!$C64:K64)</f>
        <v>0</v>
      </c>
      <c r="L64" s="21">
        <f>SUM(NhatkyNhap!$C64:L64)-SUM(NhatkyBan!$C64:L64)</f>
        <v>0</v>
      </c>
      <c r="M64" s="21">
        <f>SUM(NhatkyNhap!$C64:M64)-SUM(NhatkyBan!$C64:M64)</f>
        <v>0</v>
      </c>
      <c r="N64" s="21">
        <f>SUM(NhatkyNhap!$C64:N64)-SUM(NhatkyBan!$C64:N64)</f>
        <v>0</v>
      </c>
      <c r="O64" s="21">
        <f>SUM(NhatkyNhap!$C64:O64)-SUM(NhatkyBan!$C64:O64)</f>
        <v>0</v>
      </c>
      <c r="P64" s="21">
        <f>SUM(NhatkyNhap!$C64:P64)-SUM(NhatkyBan!$C64:P64)</f>
        <v>0</v>
      </c>
      <c r="Q64" s="21">
        <f>SUM(NhatkyNhap!$C64:Q64)-SUM(NhatkyBan!$C64:Q64)</f>
        <v>0</v>
      </c>
      <c r="R64" s="21">
        <f>SUM(NhatkyNhap!$C64:R64)-SUM(NhatkyBan!$C64:R64)</f>
        <v>0</v>
      </c>
      <c r="S64" s="21">
        <f>SUM(NhatkyNhap!$C64:S64)-SUM(NhatkyBan!$C64:S64)</f>
        <v>0</v>
      </c>
      <c r="T64" s="21">
        <f>SUM(NhatkyNhap!$C64:T64)-SUM(NhatkyBan!$C64:T64)</f>
        <v>0</v>
      </c>
      <c r="U64" s="21">
        <f>SUM(NhatkyNhap!$C64:U64)-SUM(NhatkyBan!$C64:U64)</f>
        <v>0</v>
      </c>
      <c r="V64" s="21">
        <f>SUM(NhatkyNhap!$C64:V64)-SUM(NhatkyBan!$C64:V64)</f>
        <v>0</v>
      </c>
      <c r="W64" s="21">
        <f>SUM(NhatkyNhap!$C64:W64)-SUM(NhatkyBan!$C64:W64)</f>
        <v>0</v>
      </c>
      <c r="X64" s="21">
        <f>SUM(NhatkyNhap!$C64:X64)-SUM(NhatkyBan!$C64:X64)</f>
        <v>0</v>
      </c>
      <c r="Y64" s="21">
        <f>SUM(NhatkyNhap!$C64:Y64)-SUM(NhatkyBan!$C64:Y64)</f>
        <v>0</v>
      </c>
      <c r="Z64" s="21">
        <f>SUM(NhatkyNhap!$C64:Z64)-SUM(NhatkyBan!$C64:Z64)</f>
        <v>0</v>
      </c>
      <c r="AA64" s="21">
        <f>SUM(NhatkyNhap!$C64:AA64)-SUM(NhatkyBan!$C64:AA64)</f>
        <v>0</v>
      </c>
      <c r="AB64" s="21">
        <f>SUM(NhatkyNhap!$C64:AB64)-SUM(NhatkyBan!$C64:AB64)</f>
        <v>0</v>
      </c>
      <c r="AC64" s="21">
        <f>SUM(NhatkyNhap!$C64:AC64)-SUM(NhatkyBan!$C64:AC64)</f>
        <v>0</v>
      </c>
      <c r="AD64" s="21">
        <f>SUM(NhatkyNhap!$C64:AD64)-SUM(NhatkyBan!$C64:AD64)</f>
        <v>0</v>
      </c>
      <c r="AE64" s="21">
        <f>SUM(NhatkyNhap!$C64:AE64)-SUM(NhatkyBan!$C64:AE64)</f>
        <v>0</v>
      </c>
      <c r="AF64" s="21">
        <f>SUM(NhatkyNhap!$C64:AF64)-SUM(NhatkyBan!$C64:AF64)</f>
        <v>0</v>
      </c>
      <c r="AG64" s="21">
        <f>SUM(NhatkyNhap!$C64:AG64)-SUM(NhatkyBan!$C64:AG64)</f>
        <v>0</v>
      </c>
    </row>
    <row r="65" spans="1:33" ht="12.75" customHeight="1">
      <c r="A65" s="76" t="str">
        <f>DSSP!A64</f>
        <v>A149</v>
      </c>
      <c r="B65" s="25" t="str">
        <f>DSSP!B64</f>
        <v>Thiên Bình</v>
      </c>
      <c r="C65" s="21">
        <f>SUM(NhatkyNhap!$C65:C65)-SUM(NhatkyBan!$C65:C65)</f>
        <v>0</v>
      </c>
      <c r="D65" s="21">
        <f>SUM(NhatkyNhap!$C65:D65)-SUM(NhatkyBan!$C65:D65)</f>
        <v>0</v>
      </c>
      <c r="E65" s="21">
        <f>SUM(NhatkyNhap!$C65:E65)-SUM(NhatkyBan!$C65:E65)</f>
        <v>0</v>
      </c>
      <c r="F65" s="21">
        <f>SUM(NhatkyNhap!$C65:F65)-SUM(NhatkyBan!$C65:F65)</f>
        <v>0</v>
      </c>
      <c r="G65" s="21">
        <f>SUM(NhatkyNhap!$C65:G65)-SUM(NhatkyBan!$C65:G65)</f>
        <v>0</v>
      </c>
      <c r="H65" s="21">
        <f>SUM(NhatkyNhap!$C65:H65)-SUM(NhatkyBan!$C65:H65)</f>
        <v>0</v>
      </c>
      <c r="I65" s="21">
        <f>SUM(NhatkyNhap!$C65:I65)-SUM(NhatkyBan!$C65:I65)</f>
        <v>0</v>
      </c>
      <c r="J65" s="21">
        <f>SUM(NhatkyNhap!$C65:J65)-SUM(NhatkyBan!$C65:J65)</f>
        <v>0</v>
      </c>
      <c r="K65" s="21">
        <f>SUM(NhatkyNhap!$C65:K65)-SUM(NhatkyBan!$C65:K65)</f>
        <v>0</v>
      </c>
      <c r="L65" s="21">
        <f>SUM(NhatkyNhap!$C65:L65)-SUM(NhatkyBan!$C65:L65)</f>
        <v>0</v>
      </c>
      <c r="M65" s="21">
        <f>SUM(NhatkyNhap!$C65:M65)-SUM(NhatkyBan!$C65:M65)</f>
        <v>0</v>
      </c>
      <c r="N65" s="21">
        <f>SUM(NhatkyNhap!$C65:N65)-SUM(NhatkyBan!$C65:N65)</f>
        <v>0</v>
      </c>
      <c r="O65" s="21">
        <f>SUM(NhatkyNhap!$C65:O65)-SUM(NhatkyBan!$C65:O65)</f>
        <v>0</v>
      </c>
      <c r="P65" s="21">
        <f>SUM(NhatkyNhap!$C65:P65)-SUM(NhatkyBan!$C65:P65)</f>
        <v>0</v>
      </c>
      <c r="Q65" s="21">
        <f>SUM(NhatkyNhap!$C65:Q65)-SUM(NhatkyBan!$C65:Q65)</f>
        <v>0</v>
      </c>
      <c r="R65" s="21">
        <f>SUM(NhatkyNhap!$C65:R65)-SUM(NhatkyBan!$C65:R65)</f>
        <v>0</v>
      </c>
      <c r="S65" s="21">
        <f>SUM(NhatkyNhap!$C65:S65)-SUM(NhatkyBan!$C65:S65)</f>
        <v>0</v>
      </c>
      <c r="T65" s="21">
        <f>SUM(NhatkyNhap!$C65:T65)-SUM(NhatkyBan!$C65:T65)</f>
        <v>0</v>
      </c>
      <c r="U65" s="21">
        <f>SUM(NhatkyNhap!$C65:U65)-SUM(NhatkyBan!$C65:U65)</f>
        <v>0</v>
      </c>
      <c r="V65" s="21">
        <f>SUM(NhatkyNhap!$C65:V65)-SUM(NhatkyBan!$C65:V65)</f>
        <v>0</v>
      </c>
      <c r="W65" s="21">
        <f>SUM(NhatkyNhap!$C65:W65)-SUM(NhatkyBan!$C65:W65)</f>
        <v>0</v>
      </c>
      <c r="X65" s="21">
        <f>SUM(NhatkyNhap!$C65:X65)-SUM(NhatkyBan!$C65:X65)</f>
        <v>0</v>
      </c>
      <c r="Y65" s="21">
        <f>SUM(NhatkyNhap!$C65:Y65)-SUM(NhatkyBan!$C65:Y65)</f>
        <v>0</v>
      </c>
      <c r="Z65" s="21">
        <f>SUM(NhatkyNhap!$C65:Z65)-SUM(NhatkyBan!$C65:Z65)</f>
        <v>0</v>
      </c>
      <c r="AA65" s="21">
        <f>SUM(NhatkyNhap!$C65:AA65)-SUM(NhatkyBan!$C65:AA65)</f>
        <v>0</v>
      </c>
      <c r="AB65" s="21">
        <f>SUM(NhatkyNhap!$C65:AB65)-SUM(NhatkyBan!$C65:AB65)</f>
        <v>0</v>
      </c>
      <c r="AC65" s="21">
        <f>SUM(NhatkyNhap!$C65:AC65)-SUM(NhatkyBan!$C65:AC65)</f>
        <v>0</v>
      </c>
      <c r="AD65" s="21">
        <f>SUM(NhatkyNhap!$C65:AD65)-SUM(NhatkyBan!$C65:AD65)</f>
        <v>0</v>
      </c>
      <c r="AE65" s="21">
        <f>SUM(NhatkyNhap!$C65:AE65)-SUM(NhatkyBan!$C65:AE65)</f>
        <v>0</v>
      </c>
      <c r="AF65" s="21">
        <f>SUM(NhatkyNhap!$C65:AF65)-SUM(NhatkyBan!$C65:AF65)</f>
        <v>0</v>
      </c>
      <c r="AG65" s="21">
        <f>SUM(NhatkyNhap!$C65:AG65)-SUM(NhatkyBan!$C65:AG65)</f>
        <v>0</v>
      </c>
    </row>
    <row r="66" spans="1:33" ht="12.75" customHeight="1">
      <c r="A66" s="76" t="str">
        <f>DSSP!A65</f>
        <v>A150</v>
      </c>
      <c r="B66" s="25" t="str">
        <f>DSSP!B65</f>
        <v>Bọ Cạp</v>
      </c>
      <c r="C66" s="21">
        <f>SUM(NhatkyNhap!$C66:C66)-SUM(NhatkyBan!$C66:C66)</f>
        <v>1</v>
      </c>
      <c r="D66" s="21">
        <f>SUM(NhatkyNhap!$C66:D66)-SUM(NhatkyBan!$C66:D66)</f>
        <v>1</v>
      </c>
      <c r="E66" s="21">
        <f>SUM(NhatkyNhap!$C66:E66)-SUM(NhatkyBan!$C66:E66)</f>
        <v>1</v>
      </c>
      <c r="F66" s="21">
        <f>SUM(NhatkyNhap!$C66:F66)-SUM(NhatkyBan!$C66:F66)</f>
        <v>1</v>
      </c>
      <c r="G66" s="21">
        <f>SUM(NhatkyNhap!$C66:G66)-SUM(NhatkyBan!$C66:G66)</f>
        <v>1</v>
      </c>
      <c r="H66" s="21">
        <f>SUM(NhatkyNhap!$C66:H66)-SUM(NhatkyBan!$C66:H66)</f>
        <v>1</v>
      </c>
      <c r="I66" s="21">
        <f>SUM(NhatkyNhap!$C66:I66)-SUM(NhatkyBan!$C66:I66)</f>
        <v>1</v>
      </c>
      <c r="J66" s="21">
        <f>SUM(NhatkyNhap!$C66:J66)-SUM(NhatkyBan!$C66:J66)</f>
        <v>1</v>
      </c>
      <c r="K66" s="21">
        <f>SUM(NhatkyNhap!$C66:K66)-SUM(NhatkyBan!$C66:K66)</f>
        <v>1</v>
      </c>
      <c r="L66" s="21">
        <f>SUM(NhatkyNhap!$C66:L66)-SUM(NhatkyBan!$C66:L66)</f>
        <v>1</v>
      </c>
      <c r="M66" s="21">
        <f>SUM(NhatkyNhap!$C66:M66)-SUM(NhatkyBan!$C66:M66)</f>
        <v>1</v>
      </c>
      <c r="N66" s="21">
        <f>SUM(NhatkyNhap!$C66:N66)-SUM(NhatkyBan!$C66:N66)</f>
        <v>1</v>
      </c>
      <c r="O66" s="21">
        <f>SUM(NhatkyNhap!$C66:O66)-SUM(NhatkyBan!$C66:O66)</f>
        <v>1</v>
      </c>
      <c r="P66" s="21">
        <f>SUM(NhatkyNhap!$C66:P66)-SUM(NhatkyBan!$C66:P66)</f>
        <v>1</v>
      </c>
      <c r="Q66" s="21">
        <f>SUM(NhatkyNhap!$C66:Q66)-SUM(NhatkyBan!$C66:Q66)</f>
        <v>1</v>
      </c>
      <c r="R66" s="21">
        <f>SUM(NhatkyNhap!$C66:R66)-SUM(NhatkyBan!$C66:R66)</f>
        <v>1</v>
      </c>
      <c r="S66" s="21">
        <f>SUM(NhatkyNhap!$C66:S66)-SUM(NhatkyBan!$C66:S66)</f>
        <v>1</v>
      </c>
      <c r="T66" s="21">
        <f>SUM(NhatkyNhap!$C66:T66)-SUM(NhatkyBan!$C66:T66)</f>
        <v>1</v>
      </c>
      <c r="U66" s="21">
        <f>SUM(NhatkyNhap!$C66:U66)-SUM(NhatkyBan!$C66:U66)</f>
        <v>1</v>
      </c>
      <c r="V66" s="21">
        <f>SUM(NhatkyNhap!$C66:V66)-SUM(NhatkyBan!$C66:V66)</f>
        <v>1</v>
      </c>
      <c r="W66" s="21">
        <f>SUM(NhatkyNhap!$C66:W66)-SUM(NhatkyBan!$C66:W66)</f>
        <v>1</v>
      </c>
      <c r="X66" s="21">
        <f>SUM(NhatkyNhap!$C66:X66)-SUM(NhatkyBan!$C66:X66)</f>
        <v>1</v>
      </c>
      <c r="Y66" s="21">
        <f>SUM(NhatkyNhap!$C66:Y66)-SUM(NhatkyBan!$C66:Y66)</f>
        <v>1</v>
      </c>
      <c r="Z66" s="21">
        <f>SUM(NhatkyNhap!$C66:Z66)-SUM(NhatkyBan!$C66:Z66)</f>
        <v>1</v>
      </c>
      <c r="AA66" s="21">
        <f>SUM(NhatkyNhap!$C66:AA66)-SUM(NhatkyBan!$C66:AA66)</f>
        <v>1</v>
      </c>
      <c r="AB66" s="21">
        <f>SUM(NhatkyNhap!$C66:AB66)-SUM(NhatkyBan!$C66:AB66)</f>
        <v>1</v>
      </c>
      <c r="AC66" s="21">
        <f>SUM(NhatkyNhap!$C66:AC66)-SUM(NhatkyBan!$C66:AC66)</f>
        <v>1</v>
      </c>
      <c r="AD66" s="21">
        <f>SUM(NhatkyNhap!$C66:AD66)-SUM(NhatkyBan!$C66:AD66)</f>
        <v>1</v>
      </c>
      <c r="AE66" s="21">
        <f>SUM(NhatkyNhap!$C66:AE66)-SUM(NhatkyBan!$C66:AE66)</f>
        <v>1</v>
      </c>
      <c r="AF66" s="21">
        <f>SUM(NhatkyNhap!$C66:AF66)-SUM(NhatkyBan!$C66:AF66)</f>
        <v>1</v>
      </c>
      <c r="AG66" s="21">
        <f>SUM(NhatkyNhap!$C66:AG66)-SUM(NhatkyBan!$C66:AG66)</f>
        <v>1</v>
      </c>
    </row>
    <row r="67" spans="1:33" ht="12.75" customHeight="1">
      <c r="A67" s="76" t="str">
        <f>DSSP!A66</f>
        <v>A151</v>
      </c>
      <c r="B67" s="25" t="str">
        <f>DSSP!B66</f>
        <v>Nhân Mã</v>
      </c>
      <c r="C67" s="21">
        <f>SUM(NhatkyNhap!$C67:C67)-SUM(NhatkyBan!$C67:C67)</f>
        <v>0</v>
      </c>
      <c r="D67" s="21">
        <f>SUM(NhatkyNhap!$C67:D67)-SUM(NhatkyBan!$C67:D67)</f>
        <v>0</v>
      </c>
      <c r="E67" s="21">
        <f>SUM(NhatkyNhap!$C67:E67)-SUM(NhatkyBan!$C67:E67)</f>
        <v>0</v>
      </c>
      <c r="F67" s="21">
        <f>SUM(NhatkyNhap!$C67:F67)-SUM(NhatkyBan!$C67:F67)</f>
        <v>0</v>
      </c>
      <c r="G67" s="21">
        <f>SUM(NhatkyNhap!$C67:G67)-SUM(NhatkyBan!$C67:G67)</f>
        <v>0</v>
      </c>
      <c r="H67" s="21">
        <f>SUM(NhatkyNhap!$C67:H67)-SUM(NhatkyBan!$C67:H67)</f>
        <v>0</v>
      </c>
      <c r="I67" s="21">
        <f>SUM(NhatkyNhap!$C67:I67)-SUM(NhatkyBan!$C67:I67)</f>
        <v>0</v>
      </c>
      <c r="J67" s="21">
        <f>SUM(NhatkyNhap!$C67:J67)-SUM(NhatkyBan!$C67:J67)</f>
        <v>0</v>
      </c>
      <c r="K67" s="21">
        <f>SUM(NhatkyNhap!$C67:K67)-SUM(NhatkyBan!$C67:K67)</f>
        <v>0</v>
      </c>
      <c r="L67" s="21">
        <f>SUM(NhatkyNhap!$C67:L67)-SUM(NhatkyBan!$C67:L67)</f>
        <v>0</v>
      </c>
      <c r="M67" s="21">
        <f>SUM(NhatkyNhap!$C67:M67)-SUM(NhatkyBan!$C67:M67)</f>
        <v>0</v>
      </c>
      <c r="N67" s="21">
        <f>SUM(NhatkyNhap!$C67:N67)-SUM(NhatkyBan!$C67:N67)</f>
        <v>0</v>
      </c>
      <c r="O67" s="21">
        <f>SUM(NhatkyNhap!$C67:O67)-SUM(NhatkyBan!$C67:O67)</f>
        <v>0</v>
      </c>
      <c r="P67" s="21">
        <f>SUM(NhatkyNhap!$C67:P67)-SUM(NhatkyBan!$C67:P67)</f>
        <v>0</v>
      </c>
      <c r="Q67" s="21">
        <f>SUM(NhatkyNhap!$C67:Q67)-SUM(NhatkyBan!$C67:Q67)</f>
        <v>0</v>
      </c>
      <c r="R67" s="21">
        <f>SUM(NhatkyNhap!$C67:R67)-SUM(NhatkyBan!$C67:R67)</f>
        <v>0</v>
      </c>
      <c r="S67" s="21">
        <f>SUM(NhatkyNhap!$C67:S67)-SUM(NhatkyBan!$C67:S67)</f>
        <v>0</v>
      </c>
      <c r="T67" s="21">
        <f>SUM(NhatkyNhap!$C67:T67)-SUM(NhatkyBan!$C67:T67)</f>
        <v>0</v>
      </c>
      <c r="U67" s="21">
        <f>SUM(NhatkyNhap!$C67:U67)-SUM(NhatkyBan!$C67:U67)</f>
        <v>0</v>
      </c>
      <c r="V67" s="21">
        <f>SUM(NhatkyNhap!$C67:V67)-SUM(NhatkyBan!$C67:V67)</f>
        <v>0</v>
      </c>
      <c r="W67" s="21">
        <f>SUM(NhatkyNhap!$C67:W67)-SUM(NhatkyBan!$C67:W67)</f>
        <v>0</v>
      </c>
      <c r="X67" s="21">
        <f>SUM(NhatkyNhap!$C67:X67)-SUM(NhatkyBan!$C67:X67)</f>
        <v>0</v>
      </c>
      <c r="Y67" s="21">
        <f>SUM(NhatkyNhap!$C67:Y67)-SUM(NhatkyBan!$C67:Y67)</f>
        <v>0</v>
      </c>
      <c r="Z67" s="21">
        <f>SUM(NhatkyNhap!$C67:Z67)-SUM(NhatkyBan!$C67:Z67)</f>
        <v>0</v>
      </c>
      <c r="AA67" s="21">
        <f>SUM(NhatkyNhap!$C67:AA67)-SUM(NhatkyBan!$C67:AA67)</f>
        <v>0</v>
      </c>
      <c r="AB67" s="21">
        <f>SUM(NhatkyNhap!$C67:AB67)-SUM(NhatkyBan!$C67:AB67)</f>
        <v>0</v>
      </c>
      <c r="AC67" s="21">
        <f>SUM(NhatkyNhap!$C67:AC67)-SUM(NhatkyBan!$C67:AC67)</f>
        <v>0</v>
      </c>
      <c r="AD67" s="21">
        <f>SUM(NhatkyNhap!$C67:AD67)-SUM(NhatkyBan!$C67:AD67)</f>
        <v>0</v>
      </c>
      <c r="AE67" s="21">
        <f>SUM(NhatkyNhap!$C67:AE67)-SUM(NhatkyBan!$C67:AE67)</f>
        <v>0</v>
      </c>
      <c r="AF67" s="21">
        <f>SUM(NhatkyNhap!$C67:AF67)-SUM(NhatkyBan!$C67:AF67)</f>
        <v>0</v>
      </c>
      <c r="AG67" s="21">
        <f>SUM(NhatkyNhap!$C67:AG67)-SUM(NhatkyBan!$C67:AG67)</f>
        <v>0</v>
      </c>
    </row>
    <row r="68" spans="1:33" ht="12.75" customHeight="1">
      <c r="A68" s="76" t="str">
        <f>DSSP!A67</f>
        <v>A152</v>
      </c>
      <c r="B68" s="25" t="str">
        <f>DSSP!B67</f>
        <v>Ma Kết</v>
      </c>
      <c r="C68" s="21">
        <f>SUM(NhatkyNhap!$C68:C68)-SUM(NhatkyBan!$C68:C68)</f>
        <v>0</v>
      </c>
      <c r="D68" s="21">
        <f>SUM(NhatkyNhap!$C68:D68)-SUM(NhatkyBan!$C68:D68)</f>
        <v>0</v>
      </c>
      <c r="E68" s="21">
        <f>SUM(NhatkyNhap!$C68:E68)-SUM(NhatkyBan!$C68:E68)</f>
        <v>0</v>
      </c>
      <c r="F68" s="21">
        <f>SUM(NhatkyNhap!$C68:F68)-SUM(NhatkyBan!$C68:F68)</f>
        <v>0</v>
      </c>
      <c r="G68" s="21">
        <f>SUM(NhatkyNhap!$C68:G68)-SUM(NhatkyBan!$C68:G68)</f>
        <v>0</v>
      </c>
      <c r="H68" s="21">
        <f>SUM(NhatkyNhap!$C68:H68)-SUM(NhatkyBan!$C68:H68)</f>
        <v>0</v>
      </c>
      <c r="I68" s="21">
        <f>SUM(NhatkyNhap!$C68:I68)-SUM(NhatkyBan!$C68:I68)</f>
        <v>0</v>
      </c>
      <c r="J68" s="21">
        <f>SUM(NhatkyNhap!$C68:J68)-SUM(NhatkyBan!$C68:J68)</f>
        <v>0</v>
      </c>
      <c r="K68" s="21">
        <f>SUM(NhatkyNhap!$C68:K68)-SUM(NhatkyBan!$C68:K68)</f>
        <v>0</v>
      </c>
      <c r="L68" s="21">
        <f>SUM(NhatkyNhap!$C68:L68)-SUM(NhatkyBan!$C68:L68)</f>
        <v>0</v>
      </c>
      <c r="M68" s="21">
        <f>SUM(NhatkyNhap!$C68:M68)-SUM(NhatkyBan!$C68:M68)</f>
        <v>0</v>
      </c>
      <c r="N68" s="21">
        <f>SUM(NhatkyNhap!$C68:N68)-SUM(NhatkyBan!$C68:N68)</f>
        <v>0</v>
      </c>
      <c r="O68" s="21">
        <f>SUM(NhatkyNhap!$C68:O68)-SUM(NhatkyBan!$C68:O68)</f>
        <v>0</v>
      </c>
      <c r="P68" s="21">
        <f>SUM(NhatkyNhap!$C68:P68)-SUM(NhatkyBan!$C68:P68)</f>
        <v>0</v>
      </c>
      <c r="Q68" s="21">
        <f>SUM(NhatkyNhap!$C68:Q68)-SUM(NhatkyBan!$C68:Q68)</f>
        <v>0</v>
      </c>
      <c r="R68" s="21">
        <f>SUM(NhatkyNhap!$C68:R68)-SUM(NhatkyBan!$C68:R68)</f>
        <v>0</v>
      </c>
      <c r="S68" s="21">
        <f>SUM(NhatkyNhap!$C68:S68)-SUM(NhatkyBan!$C68:S68)</f>
        <v>0</v>
      </c>
      <c r="T68" s="21">
        <f>SUM(NhatkyNhap!$C68:T68)-SUM(NhatkyBan!$C68:T68)</f>
        <v>0</v>
      </c>
      <c r="U68" s="21">
        <f>SUM(NhatkyNhap!$C68:U68)-SUM(NhatkyBan!$C68:U68)</f>
        <v>0</v>
      </c>
      <c r="V68" s="21">
        <f>SUM(NhatkyNhap!$C68:V68)-SUM(NhatkyBan!$C68:V68)</f>
        <v>0</v>
      </c>
      <c r="W68" s="21">
        <f>SUM(NhatkyNhap!$C68:W68)-SUM(NhatkyBan!$C68:W68)</f>
        <v>0</v>
      </c>
      <c r="X68" s="21">
        <f>SUM(NhatkyNhap!$C68:X68)-SUM(NhatkyBan!$C68:X68)</f>
        <v>0</v>
      </c>
      <c r="Y68" s="21">
        <f>SUM(NhatkyNhap!$C68:Y68)-SUM(NhatkyBan!$C68:Y68)</f>
        <v>0</v>
      </c>
      <c r="Z68" s="21">
        <f>SUM(NhatkyNhap!$C68:Z68)-SUM(NhatkyBan!$C68:Z68)</f>
        <v>0</v>
      </c>
      <c r="AA68" s="21">
        <f>SUM(NhatkyNhap!$C68:AA68)-SUM(NhatkyBan!$C68:AA68)</f>
        <v>0</v>
      </c>
      <c r="AB68" s="21">
        <f>SUM(NhatkyNhap!$C68:AB68)-SUM(NhatkyBan!$C68:AB68)</f>
        <v>0</v>
      </c>
      <c r="AC68" s="21">
        <f>SUM(NhatkyNhap!$C68:AC68)-SUM(NhatkyBan!$C68:AC68)</f>
        <v>0</v>
      </c>
      <c r="AD68" s="21">
        <f>SUM(NhatkyNhap!$C68:AD68)-SUM(NhatkyBan!$C68:AD68)</f>
        <v>0</v>
      </c>
      <c r="AE68" s="21">
        <f>SUM(NhatkyNhap!$C68:AE68)-SUM(NhatkyBan!$C68:AE68)</f>
        <v>0</v>
      </c>
      <c r="AF68" s="21">
        <f>SUM(NhatkyNhap!$C68:AF68)-SUM(NhatkyBan!$C68:AF68)</f>
        <v>0</v>
      </c>
      <c r="AG68" s="21">
        <f>SUM(NhatkyNhap!$C68:AG68)-SUM(NhatkyBan!$C68:AG68)</f>
        <v>0</v>
      </c>
    </row>
    <row r="69" spans="1:33" ht="12.75" customHeight="1">
      <c r="A69" s="76" t="str">
        <f>DSSP!A68</f>
        <v>A153</v>
      </c>
      <c r="B69" s="25" t="str">
        <f>DSSP!B68</f>
        <v>Bảo Bình</v>
      </c>
      <c r="C69" s="21">
        <f>SUM(NhatkyNhap!$C69:C69)-SUM(NhatkyBan!$C69:C69)</f>
        <v>0</v>
      </c>
      <c r="D69" s="21">
        <f>SUM(NhatkyNhap!$C69:D69)-SUM(NhatkyBan!$C69:D69)</f>
        <v>0</v>
      </c>
      <c r="E69" s="21">
        <f>SUM(NhatkyNhap!$C69:E69)-SUM(NhatkyBan!$C69:E69)</f>
        <v>0</v>
      </c>
      <c r="F69" s="21">
        <f>SUM(NhatkyNhap!$C69:F69)-SUM(NhatkyBan!$C69:F69)</f>
        <v>0</v>
      </c>
      <c r="G69" s="21">
        <f>SUM(NhatkyNhap!$C69:G69)-SUM(NhatkyBan!$C69:G69)</f>
        <v>0</v>
      </c>
      <c r="H69" s="21">
        <f>SUM(NhatkyNhap!$C69:H69)-SUM(NhatkyBan!$C69:H69)</f>
        <v>0</v>
      </c>
      <c r="I69" s="21">
        <f>SUM(NhatkyNhap!$C69:I69)-SUM(NhatkyBan!$C69:I69)</f>
        <v>0</v>
      </c>
      <c r="J69" s="21">
        <f>SUM(NhatkyNhap!$C69:J69)-SUM(NhatkyBan!$C69:J69)</f>
        <v>0</v>
      </c>
      <c r="K69" s="21">
        <f>SUM(NhatkyNhap!$C69:K69)-SUM(NhatkyBan!$C69:K69)</f>
        <v>0</v>
      </c>
      <c r="L69" s="21">
        <f>SUM(NhatkyNhap!$C69:L69)-SUM(NhatkyBan!$C69:L69)</f>
        <v>0</v>
      </c>
      <c r="M69" s="21">
        <f>SUM(NhatkyNhap!$C69:M69)-SUM(NhatkyBan!$C69:M69)</f>
        <v>0</v>
      </c>
      <c r="N69" s="21">
        <f>SUM(NhatkyNhap!$C69:N69)-SUM(NhatkyBan!$C69:N69)</f>
        <v>0</v>
      </c>
      <c r="O69" s="21">
        <f>SUM(NhatkyNhap!$C69:O69)-SUM(NhatkyBan!$C69:O69)</f>
        <v>0</v>
      </c>
      <c r="P69" s="21">
        <f>SUM(NhatkyNhap!$C69:P69)-SUM(NhatkyBan!$C69:P69)</f>
        <v>0</v>
      </c>
      <c r="Q69" s="21">
        <f>SUM(NhatkyNhap!$C69:Q69)-SUM(NhatkyBan!$C69:Q69)</f>
        <v>0</v>
      </c>
      <c r="R69" s="21">
        <f>SUM(NhatkyNhap!$C69:R69)-SUM(NhatkyBan!$C69:R69)</f>
        <v>0</v>
      </c>
      <c r="S69" s="21">
        <f>SUM(NhatkyNhap!$C69:S69)-SUM(NhatkyBan!$C69:S69)</f>
        <v>0</v>
      </c>
      <c r="T69" s="21">
        <f>SUM(NhatkyNhap!$C69:T69)-SUM(NhatkyBan!$C69:T69)</f>
        <v>0</v>
      </c>
      <c r="U69" s="21">
        <f>SUM(NhatkyNhap!$C69:U69)-SUM(NhatkyBan!$C69:U69)</f>
        <v>0</v>
      </c>
      <c r="V69" s="21">
        <f>SUM(NhatkyNhap!$C69:V69)-SUM(NhatkyBan!$C69:V69)</f>
        <v>0</v>
      </c>
      <c r="W69" s="21">
        <f>SUM(NhatkyNhap!$C69:W69)-SUM(NhatkyBan!$C69:W69)</f>
        <v>0</v>
      </c>
      <c r="X69" s="21">
        <f>SUM(NhatkyNhap!$C69:X69)-SUM(NhatkyBan!$C69:X69)</f>
        <v>0</v>
      </c>
      <c r="Y69" s="21">
        <f>SUM(NhatkyNhap!$C69:Y69)-SUM(NhatkyBan!$C69:Y69)</f>
        <v>0</v>
      </c>
      <c r="Z69" s="21">
        <f>SUM(NhatkyNhap!$C69:Z69)-SUM(NhatkyBan!$C69:Z69)</f>
        <v>0</v>
      </c>
      <c r="AA69" s="21">
        <f>SUM(NhatkyNhap!$C69:AA69)-SUM(NhatkyBan!$C69:AA69)</f>
        <v>0</v>
      </c>
      <c r="AB69" s="21">
        <f>SUM(NhatkyNhap!$C69:AB69)-SUM(NhatkyBan!$C69:AB69)</f>
        <v>0</v>
      </c>
      <c r="AC69" s="21">
        <f>SUM(NhatkyNhap!$C69:AC69)-SUM(NhatkyBan!$C69:AC69)</f>
        <v>0</v>
      </c>
      <c r="AD69" s="21">
        <f>SUM(NhatkyNhap!$C69:AD69)-SUM(NhatkyBan!$C69:AD69)</f>
        <v>0</v>
      </c>
      <c r="AE69" s="21">
        <f>SUM(NhatkyNhap!$C69:AE69)-SUM(NhatkyBan!$C69:AE69)</f>
        <v>0</v>
      </c>
      <c r="AF69" s="21">
        <f>SUM(NhatkyNhap!$C69:AF69)-SUM(NhatkyBan!$C69:AF69)</f>
        <v>0</v>
      </c>
      <c r="AG69" s="21">
        <f>SUM(NhatkyNhap!$C69:AG69)-SUM(NhatkyBan!$C69:AG69)</f>
        <v>0</v>
      </c>
    </row>
    <row r="70" spans="1:33" ht="12.75" customHeight="1">
      <c r="A70" s="76" t="str">
        <f>DSSP!A69</f>
        <v>A154</v>
      </c>
      <c r="B70" s="25" t="str">
        <f>DSSP!B69</f>
        <v>Song Ngư</v>
      </c>
      <c r="C70" s="21">
        <f>SUM(NhatkyNhap!$C70:C70)-SUM(NhatkyBan!$C70:C70)</f>
        <v>0</v>
      </c>
      <c r="D70" s="21">
        <f>SUM(NhatkyNhap!$C70:D70)-SUM(NhatkyBan!$C70:D70)</f>
        <v>0</v>
      </c>
      <c r="E70" s="21">
        <f>SUM(NhatkyNhap!$C70:E70)-SUM(NhatkyBan!$C70:E70)</f>
        <v>0</v>
      </c>
      <c r="F70" s="21">
        <f>SUM(NhatkyNhap!$C70:F70)-SUM(NhatkyBan!$C70:F70)</f>
        <v>0</v>
      </c>
      <c r="G70" s="21">
        <f>SUM(NhatkyNhap!$C70:G70)-SUM(NhatkyBan!$C70:G70)</f>
        <v>0</v>
      </c>
      <c r="H70" s="21">
        <f>SUM(NhatkyNhap!$C70:H70)-SUM(NhatkyBan!$C70:H70)</f>
        <v>0</v>
      </c>
      <c r="I70" s="21">
        <f>SUM(NhatkyNhap!$C70:I70)-SUM(NhatkyBan!$C70:I70)</f>
        <v>0</v>
      </c>
      <c r="J70" s="21">
        <f>SUM(NhatkyNhap!$C70:J70)-SUM(NhatkyBan!$C70:J70)</f>
        <v>0</v>
      </c>
      <c r="K70" s="21">
        <f>SUM(NhatkyNhap!$C70:K70)-SUM(NhatkyBan!$C70:K70)</f>
        <v>0</v>
      </c>
      <c r="L70" s="21">
        <f>SUM(NhatkyNhap!$C70:L70)-SUM(NhatkyBan!$C70:L70)</f>
        <v>0</v>
      </c>
      <c r="M70" s="21">
        <f>SUM(NhatkyNhap!$C70:M70)-SUM(NhatkyBan!$C70:M70)</f>
        <v>0</v>
      </c>
      <c r="N70" s="21">
        <f>SUM(NhatkyNhap!$C70:N70)-SUM(NhatkyBan!$C70:N70)</f>
        <v>0</v>
      </c>
      <c r="O70" s="21">
        <f>SUM(NhatkyNhap!$C70:O70)-SUM(NhatkyBan!$C70:O70)</f>
        <v>0</v>
      </c>
      <c r="P70" s="21">
        <f>SUM(NhatkyNhap!$C70:P70)-SUM(NhatkyBan!$C70:P70)</f>
        <v>0</v>
      </c>
      <c r="Q70" s="21">
        <f>SUM(NhatkyNhap!$C70:Q70)-SUM(NhatkyBan!$C70:Q70)</f>
        <v>0</v>
      </c>
      <c r="R70" s="21">
        <f>SUM(NhatkyNhap!$C70:R70)-SUM(NhatkyBan!$C70:R70)</f>
        <v>0</v>
      </c>
      <c r="S70" s="21">
        <f>SUM(NhatkyNhap!$C70:S70)-SUM(NhatkyBan!$C70:S70)</f>
        <v>0</v>
      </c>
      <c r="T70" s="21">
        <f>SUM(NhatkyNhap!$C70:T70)-SUM(NhatkyBan!$C70:T70)</f>
        <v>0</v>
      </c>
      <c r="U70" s="21">
        <f>SUM(NhatkyNhap!$C70:U70)-SUM(NhatkyBan!$C70:U70)</f>
        <v>0</v>
      </c>
      <c r="V70" s="21">
        <f>SUM(NhatkyNhap!$C70:V70)-SUM(NhatkyBan!$C70:V70)</f>
        <v>0</v>
      </c>
      <c r="W70" s="21">
        <f>SUM(NhatkyNhap!$C70:W70)-SUM(NhatkyBan!$C70:W70)</f>
        <v>0</v>
      </c>
      <c r="X70" s="21">
        <f>SUM(NhatkyNhap!$C70:X70)-SUM(NhatkyBan!$C70:X70)</f>
        <v>0</v>
      </c>
      <c r="Y70" s="21">
        <f>SUM(NhatkyNhap!$C70:Y70)-SUM(NhatkyBan!$C70:Y70)</f>
        <v>0</v>
      </c>
      <c r="Z70" s="21">
        <f>SUM(NhatkyNhap!$C70:Z70)-SUM(NhatkyBan!$C70:Z70)</f>
        <v>0</v>
      </c>
      <c r="AA70" s="21">
        <f>SUM(NhatkyNhap!$C70:AA70)-SUM(NhatkyBan!$C70:AA70)</f>
        <v>0</v>
      </c>
      <c r="AB70" s="21">
        <f>SUM(NhatkyNhap!$C70:AB70)-SUM(NhatkyBan!$C70:AB70)</f>
        <v>0</v>
      </c>
      <c r="AC70" s="21">
        <f>SUM(NhatkyNhap!$C70:AC70)-SUM(NhatkyBan!$C70:AC70)</f>
        <v>0</v>
      </c>
      <c r="AD70" s="21">
        <f>SUM(NhatkyNhap!$C70:AD70)-SUM(NhatkyBan!$C70:AD70)</f>
        <v>0</v>
      </c>
      <c r="AE70" s="21">
        <f>SUM(NhatkyNhap!$C70:AE70)-SUM(NhatkyBan!$C70:AE70)</f>
        <v>0</v>
      </c>
      <c r="AF70" s="21">
        <f>SUM(NhatkyNhap!$C70:AF70)-SUM(NhatkyBan!$C70:AF70)</f>
        <v>0</v>
      </c>
      <c r="AG70" s="21">
        <f>SUM(NhatkyNhap!$C70:AG70)-SUM(NhatkyBan!$C70:AG70)</f>
        <v>0</v>
      </c>
    </row>
    <row r="71" spans="1:33" ht="12.75" customHeight="1">
      <c r="A71" s="76" t="str">
        <f>DSSP!A70</f>
        <v>A155</v>
      </c>
      <c r="B71" s="25" t="str">
        <f>DSSP!B70</f>
        <v>Phao bơi và mỏ neo</v>
      </c>
      <c r="C71" s="21">
        <f>SUM(NhatkyNhap!$C71:C71)-SUM(NhatkyBan!$C71:C71)</f>
        <v>15</v>
      </c>
      <c r="D71" s="21">
        <f>SUM(NhatkyNhap!$C71:D71)-SUM(NhatkyBan!$C71:D71)</f>
        <v>15</v>
      </c>
      <c r="E71" s="21">
        <f>SUM(NhatkyNhap!$C71:E71)-SUM(NhatkyBan!$C71:E71)</f>
        <v>15</v>
      </c>
      <c r="F71" s="21">
        <f>SUM(NhatkyNhap!$C71:F71)-SUM(NhatkyBan!$C71:F71)</f>
        <v>15</v>
      </c>
      <c r="G71" s="21">
        <f>SUM(NhatkyNhap!$C71:G71)-SUM(NhatkyBan!$C71:G71)</f>
        <v>15</v>
      </c>
      <c r="H71" s="21">
        <f>SUM(NhatkyNhap!$C71:H71)-SUM(NhatkyBan!$C71:H71)</f>
        <v>15</v>
      </c>
      <c r="I71" s="21">
        <f>SUM(NhatkyNhap!$C71:I71)-SUM(NhatkyBan!$C71:I71)</f>
        <v>15</v>
      </c>
      <c r="J71" s="21">
        <f>SUM(NhatkyNhap!$C71:J71)-SUM(NhatkyBan!$C71:J71)</f>
        <v>15</v>
      </c>
      <c r="K71" s="21">
        <f>SUM(NhatkyNhap!$C71:K71)-SUM(NhatkyBan!$C71:K71)</f>
        <v>15</v>
      </c>
      <c r="L71" s="21">
        <f>SUM(NhatkyNhap!$C71:L71)-SUM(NhatkyBan!$C71:L71)</f>
        <v>15</v>
      </c>
      <c r="M71" s="21">
        <f>SUM(NhatkyNhap!$C71:M71)-SUM(NhatkyBan!$C71:M71)</f>
        <v>15</v>
      </c>
      <c r="N71" s="21">
        <f>SUM(NhatkyNhap!$C71:N71)-SUM(NhatkyBan!$C71:N71)</f>
        <v>15</v>
      </c>
      <c r="O71" s="21">
        <f>SUM(NhatkyNhap!$C71:O71)-SUM(NhatkyBan!$C71:O71)</f>
        <v>15</v>
      </c>
      <c r="P71" s="21">
        <f>SUM(NhatkyNhap!$C71:P71)-SUM(NhatkyBan!$C71:P71)</f>
        <v>15</v>
      </c>
      <c r="Q71" s="21">
        <f>SUM(NhatkyNhap!$C71:Q71)-SUM(NhatkyBan!$C71:Q71)</f>
        <v>15</v>
      </c>
      <c r="R71" s="21">
        <f>SUM(NhatkyNhap!$C71:R71)-SUM(NhatkyBan!$C71:R71)</f>
        <v>15</v>
      </c>
      <c r="S71" s="21">
        <f>SUM(NhatkyNhap!$C71:S71)-SUM(NhatkyBan!$C71:S71)</f>
        <v>15</v>
      </c>
      <c r="T71" s="21">
        <f>SUM(NhatkyNhap!$C71:T71)-SUM(NhatkyBan!$C71:T71)</f>
        <v>15</v>
      </c>
      <c r="U71" s="21">
        <f>SUM(NhatkyNhap!$C71:U71)-SUM(NhatkyBan!$C71:U71)</f>
        <v>15</v>
      </c>
      <c r="V71" s="21">
        <f>SUM(NhatkyNhap!$C71:V71)-SUM(NhatkyBan!$C71:V71)</f>
        <v>15</v>
      </c>
      <c r="W71" s="21">
        <f>SUM(NhatkyNhap!$C71:W71)-SUM(NhatkyBan!$C71:W71)</f>
        <v>15</v>
      </c>
      <c r="X71" s="21">
        <f>SUM(NhatkyNhap!$C71:X71)-SUM(NhatkyBan!$C71:X71)</f>
        <v>15</v>
      </c>
      <c r="Y71" s="21">
        <f>SUM(NhatkyNhap!$C71:Y71)-SUM(NhatkyBan!$C71:Y71)</f>
        <v>15</v>
      </c>
      <c r="Z71" s="21">
        <f>SUM(NhatkyNhap!$C71:Z71)-SUM(NhatkyBan!$C71:Z71)</f>
        <v>15</v>
      </c>
      <c r="AA71" s="21">
        <f>SUM(NhatkyNhap!$C71:AA71)-SUM(NhatkyBan!$C71:AA71)</f>
        <v>15</v>
      </c>
      <c r="AB71" s="21">
        <f>SUM(NhatkyNhap!$C71:AB71)-SUM(NhatkyBan!$C71:AB71)</f>
        <v>15</v>
      </c>
      <c r="AC71" s="21">
        <f>SUM(NhatkyNhap!$C71:AC71)-SUM(NhatkyBan!$C71:AC71)</f>
        <v>15</v>
      </c>
      <c r="AD71" s="21">
        <f>SUM(NhatkyNhap!$C71:AD71)-SUM(NhatkyBan!$C71:AD71)</f>
        <v>15</v>
      </c>
      <c r="AE71" s="21">
        <f>SUM(NhatkyNhap!$C71:AE71)-SUM(NhatkyBan!$C71:AE71)</f>
        <v>15</v>
      </c>
      <c r="AF71" s="21">
        <f>SUM(NhatkyNhap!$C71:AF71)-SUM(NhatkyBan!$C71:AF71)</f>
        <v>15</v>
      </c>
      <c r="AG71" s="21">
        <f>SUM(NhatkyNhap!$C71:AG71)-SUM(NhatkyBan!$C71:AG71)</f>
        <v>15</v>
      </c>
    </row>
    <row r="72" spans="1:33" ht="12.75" customHeight="1">
      <c r="A72" s="76" t="str">
        <f>DSSP!A71</f>
        <v>A156</v>
      </c>
      <c r="B72" s="25" t="str">
        <f>DSSP!B71</f>
        <v>Hải cẩu</v>
      </c>
      <c r="C72" s="21">
        <f>SUM(NhatkyNhap!$C72:C72)-SUM(NhatkyBan!$C72:C72)</f>
        <v>19</v>
      </c>
      <c r="D72" s="21">
        <f>SUM(NhatkyNhap!$C72:D72)-SUM(NhatkyBan!$C72:D72)</f>
        <v>19</v>
      </c>
      <c r="E72" s="21">
        <f>SUM(NhatkyNhap!$C72:E72)-SUM(NhatkyBan!$C72:E72)</f>
        <v>19</v>
      </c>
      <c r="F72" s="21">
        <f>SUM(NhatkyNhap!$C72:F72)-SUM(NhatkyBan!$C72:F72)</f>
        <v>19</v>
      </c>
      <c r="G72" s="21">
        <f>SUM(NhatkyNhap!$C72:G72)-SUM(NhatkyBan!$C72:G72)</f>
        <v>19</v>
      </c>
      <c r="H72" s="21">
        <f>SUM(NhatkyNhap!$C72:H72)-SUM(NhatkyBan!$C72:H72)</f>
        <v>19</v>
      </c>
      <c r="I72" s="21">
        <f>SUM(NhatkyNhap!$C72:I72)-SUM(NhatkyBan!$C72:I72)</f>
        <v>19</v>
      </c>
      <c r="J72" s="21">
        <f>SUM(NhatkyNhap!$C72:J72)-SUM(NhatkyBan!$C72:J72)</f>
        <v>19</v>
      </c>
      <c r="K72" s="21">
        <f>SUM(NhatkyNhap!$C72:K72)-SUM(NhatkyBan!$C72:K72)</f>
        <v>19</v>
      </c>
      <c r="L72" s="21">
        <f>SUM(NhatkyNhap!$C72:L72)-SUM(NhatkyBan!$C72:L72)</f>
        <v>19</v>
      </c>
      <c r="M72" s="21">
        <f>SUM(NhatkyNhap!$C72:M72)-SUM(NhatkyBan!$C72:M72)</f>
        <v>19</v>
      </c>
      <c r="N72" s="21">
        <f>SUM(NhatkyNhap!$C72:N72)-SUM(NhatkyBan!$C72:N72)</f>
        <v>19</v>
      </c>
      <c r="O72" s="21">
        <f>SUM(NhatkyNhap!$C72:O72)-SUM(NhatkyBan!$C72:O72)</f>
        <v>19</v>
      </c>
      <c r="P72" s="21">
        <f>SUM(NhatkyNhap!$C72:P72)-SUM(NhatkyBan!$C72:P72)</f>
        <v>19</v>
      </c>
      <c r="Q72" s="21">
        <f>SUM(NhatkyNhap!$C72:Q72)-SUM(NhatkyBan!$C72:Q72)</f>
        <v>19</v>
      </c>
      <c r="R72" s="21">
        <f>SUM(NhatkyNhap!$C72:R72)-SUM(NhatkyBan!$C72:R72)</f>
        <v>19</v>
      </c>
      <c r="S72" s="21">
        <f>SUM(NhatkyNhap!$C72:S72)-SUM(NhatkyBan!$C72:S72)</f>
        <v>19</v>
      </c>
      <c r="T72" s="21">
        <f>SUM(NhatkyNhap!$C72:T72)-SUM(NhatkyBan!$C72:T72)</f>
        <v>19</v>
      </c>
      <c r="U72" s="21">
        <f>SUM(NhatkyNhap!$C72:U72)-SUM(NhatkyBan!$C72:U72)</f>
        <v>19</v>
      </c>
      <c r="V72" s="21">
        <f>SUM(NhatkyNhap!$C72:V72)-SUM(NhatkyBan!$C72:V72)</f>
        <v>19</v>
      </c>
      <c r="W72" s="21">
        <f>SUM(NhatkyNhap!$C72:W72)-SUM(NhatkyBan!$C72:W72)</f>
        <v>19</v>
      </c>
      <c r="X72" s="21">
        <f>SUM(NhatkyNhap!$C72:X72)-SUM(NhatkyBan!$C72:X72)</f>
        <v>19</v>
      </c>
      <c r="Y72" s="21">
        <f>SUM(NhatkyNhap!$C72:Y72)-SUM(NhatkyBan!$C72:Y72)</f>
        <v>19</v>
      </c>
      <c r="Z72" s="21">
        <f>SUM(NhatkyNhap!$C72:Z72)-SUM(NhatkyBan!$C72:Z72)</f>
        <v>19</v>
      </c>
      <c r="AA72" s="21">
        <f>SUM(NhatkyNhap!$C72:AA72)-SUM(NhatkyBan!$C72:AA72)</f>
        <v>19</v>
      </c>
      <c r="AB72" s="21">
        <f>SUM(NhatkyNhap!$C72:AB72)-SUM(NhatkyBan!$C72:AB72)</f>
        <v>19</v>
      </c>
      <c r="AC72" s="21">
        <f>SUM(NhatkyNhap!$C72:AC72)-SUM(NhatkyBan!$C72:AC72)</f>
        <v>19</v>
      </c>
      <c r="AD72" s="21">
        <f>SUM(NhatkyNhap!$C72:AD72)-SUM(NhatkyBan!$C72:AD72)</f>
        <v>19</v>
      </c>
      <c r="AE72" s="21">
        <f>SUM(NhatkyNhap!$C72:AE72)-SUM(NhatkyBan!$C72:AE72)</f>
        <v>19</v>
      </c>
      <c r="AF72" s="21">
        <f>SUM(NhatkyNhap!$C72:AF72)-SUM(NhatkyBan!$C72:AF72)</f>
        <v>19</v>
      </c>
      <c r="AG72" s="21">
        <f>SUM(NhatkyNhap!$C72:AG72)-SUM(NhatkyBan!$C72:AG72)</f>
        <v>19</v>
      </c>
    </row>
    <row r="73" spans="1:33" ht="12.75" customHeight="1">
      <c r="A73" s="76" t="str">
        <f>DSSP!A72</f>
        <v>A157</v>
      </c>
      <c r="B73" s="25" t="str">
        <f>DSSP!B72</f>
        <v>Cá vàng</v>
      </c>
      <c r="C73" s="21">
        <f>SUM(NhatkyNhap!$C73:C73)-SUM(NhatkyBan!$C73:C73)</f>
        <v>8</v>
      </c>
      <c r="D73" s="21">
        <f>SUM(NhatkyNhap!$C73:D73)-SUM(NhatkyBan!$C73:D73)</f>
        <v>8</v>
      </c>
      <c r="E73" s="21">
        <f>SUM(NhatkyNhap!$C73:E73)-SUM(NhatkyBan!$C73:E73)</f>
        <v>8</v>
      </c>
      <c r="F73" s="21">
        <f>SUM(NhatkyNhap!$C73:F73)-SUM(NhatkyBan!$C73:F73)</f>
        <v>8</v>
      </c>
      <c r="G73" s="21">
        <f>SUM(NhatkyNhap!$C73:G73)-SUM(NhatkyBan!$C73:G73)</f>
        <v>8</v>
      </c>
      <c r="H73" s="21">
        <f>SUM(NhatkyNhap!$C73:H73)-SUM(NhatkyBan!$C73:H73)</f>
        <v>8</v>
      </c>
      <c r="I73" s="21">
        <f>SUM(NhatkyNhap!$C73:I73)-SUM(NhatkyBan!$C73:I73)</f>
        <v>8</v>
      </c>
      <c r="J73" s="21">
        <f>SUM(NhatkyNhap!$C73:J73)-SUM(NhatkyBan!$C73:J73)</f>
        <v>8</v>
      </c>
      <c r="K73" s="21">
        <f>SUM(NhatkyNhap!$C73:K73)-SUM(NhatkyBan!$C73:K73)</f>
        <v>8</v>
      </c>
      <c r="L73" s="21">
        <f>SUM(NhatkyNhap!$C73:L73)-SUM(NhatkyBan!$C73:L73)</f>
        <v>8</v>
      </c>
      <c r="M73" s="21">
        <f>SUM(NhatkyNhap!$C73:M73)-SUM(NhatkyBan!$C73:M73)</f>
        <v>8</v>
      </c>
      <c r="N73" s="21">
        <f>SUM(NhatkyNhap!$C73:N73)-SUM(NhatkyBan!$C73:N73)</f>
        <v>8</v>
      </c>
      <c r="O73" s="21">
        <f>SUM(NhatkyNhap!$C73:O73)-SUM(NhatkyBan!$C73:O73)</f>
        <v>8</v>
      </c>
      <c r="P73" s="21">
        <f>SUM(NhatkyNhap!$C73:P73)-SUM(NhatkyBan!$C73:P73)</f>
        <v>8</v>
      </c>
      <c r="Q73" s="21">
        <f>SUM(NhatkyNhap!$C73:Q73)-SUM(NhatkyBan!$C73:Q73)</f>
        <v>8</v>
      </c>
      <c r="R73" s="21">
        <f>SUM(NhatkyNhap!$C73:R73)-SUM(NhatkyBan!$C73:R73)</f>
        <v>8</v>
      </c>
      <c r="S73" s="21">
        <f>SUM(NhatkyNhap!$C73:S73)-SUM(NhatkyBan!$C73:S73)</f>
        <v>8</v>
      </c>
      <c r="T73" s="21">
        <f>SUM(NhatkyNhap!$C73:T73)-SUM(NhatkyBan!$C73:T73)</f>
        <v>8</v>
      </c>
      <c r="U73" s="21">
        <f>SUM(NhatkyNhap!$C73:U73)-SUM(NhatkyBan!$C73:U73)</f>
        <v>8</v>
      </c>
      <c r="V73" s="21">
        <f>SUM(NhatkyNhap!$C73:V73)-SUM(NhatkyBan!$C73:V73)</f>
        <v>8</v>
      </c>
      <c r="W73" s="21">
        <f>SUM(NhatkyNhap!$C73:W73)-SUM(NhatkyBan!$C73:W73)</f>
        <v>8</v>
      </c>
      <c r="X73" s="21">
        <f>SUM(NhatkyNhap!$C73:X73)-SUM(NhatkyBan!$C73:X73)</f>
        <v>8</v>
      </c>
      <c r="Y73" s="21">
        <f>SUM(NhatkyNhap!$C73:Y73)-SUM(NhatkyBan!$C73:Y73)</f>
        <v>8</v>
      </c>
      <c r="Z73" s="21">
        <f>SUM(NhatkyNhap!$C73:Z73)-SUM(NhatkyBan!$C73:Z73)</f>
        <v>8</v>
      </c>
      <c r="AA73" s="21">
        <f>SUM(NhatkyNhap!$C73:AA73)-SUM(NhatkyBan!$C73:AA73)</f>
        <v>8</v>
      </c>
      <c r="AB73" s="21">
        <f>SUM(NhatkyNhap!$C73:AB73)-SUM(NhatkyBan!$C73:AB73)</f>
        <v>8</v>
      </c>
      <c r="AC73" s="21">
        <f>SUM(NhatkyNhap!$C73:AC73)-SUM(NhatkyBan!$C73:AC73)</f>
        <v>8</v>
      </c>
      <c r="AD73" s="21">
        <f>SUM(NhatkyNhap!$C73:AD73)-SUM(NhatkyBan!$C73:AD73)</f>
        <v>8</v>
      </c>
      <c r="AE73" s="21">
        <f>SUM(NhatkyNhap!$C73:AE73)-SUM(NhatkyBan!$C73:AE73)</f>
        <v>8</v>
      </c>
      <c r="AF73" s="21">
        <f>SUM(NhatkyNhap!$C73:AF73)-SUM(NhatkyBan!$C73:AF73)</f>
        <v>8</v>
      </c>
      <c r="AG73" s="21">
        <f>SUM(NhatkyNhap!$C73:AG73)-SUM(NhatkyBan!$C73:AG73)</f>
        <v>8</v>
      </c>
    </row>
    <row r="74" spans="1:33" ht="12.75" customHeight="1">
      <c r="A74" s="76" t="str">
        <f>DSSP!A73</f>
        <v>A158</v>
      </c>
      <c r="B74" s="25" t="str">
        <f>DSSP!B73</f>
        <v>Dâu Tây</v>
      </c>
      <c r="C74" s="21">
        <f>SUM(NhatkyNhap!$C74:C74)-SUM(NhatkyBan!$C74:C74)</f>
        <v>14</v>
      </c>
      <c r="D74" s="21">
        <f>SUM(NhatkyNhap!$C74:D74)-SUM(NhatkyBan!$C74:D74)</f>
        <v>14</v>
      </c>
      <c r="E74" s="21">
        <f>SUM(NhatkyNhap!$C74:E74)-SUM(NhatkyBan!$C74:E74)</f>
        <v>14</v>
      </c>
      <c r="F74" s="21">
        <f>SUM(NhatkyNhap!$C74:F74)-SUM(NhatkyBan!$C74:F74)</f>
        <v>14</v>
      </c>
      <c r="G74" s="21">
        <f>SUM(NhatkyNhap!$C74:G74)-SUM(NhatkyBan!$C74:G74)</f>
        <v>14</v>
      </c>
      <c r="H74" s="21">
        <f>SUM(NhatkyNhap!$C74:H74)-SUM(NhatkyBan!$C74:H74)</f>
        <v>14</v>
      </c>
      <c r="I74" s="21">
        <f>SUM(NhatkyNhap!$C74:I74)-SUM(NhatkyBan!$C74:I74)</f>
        <v>14</v>
      </c>
      <c r="J74" s="21">
        <f>SUM(NhatkyNhap!$C74:J74)-SUM(NhatkyBan!$C74:J74)</f>
        <v>14</v>
      </c>
      <c r="K74" s="21">
        <f>SUM(NhatkyNhap!$C74:K74)-SUM(NhatkyBan!$C74:K74)</f>
        <v>14</v>
      </c>
      <c r="L74" s="21">
        <f>SUM(NhatkyNhap!$C74:L74)-SUM(NhatkyBan!$C74:L74)</f>
        <v>14</v>
      </c>
      <c r="M74" s="21">
        <f>SUM(NhatkyNhap!$C74:M74)-SUM(NhatkyBan!$C74:M74)</f>
        <v>14</v>
      </c>
      <c r="N74" s="21">
        <f>SUM(NhatkyNhap!$C74:N74)-SUM(NhatkyBan!$C74:N74)</f>
        <v>14</v>
      </c>
      <c r="O74" s="21">
        <f>SUM(NhatkyNhap!$C74:O74)-SUM(NhatkyBan!$C74:O74)</f>
        <v>14</v>
      </c>
      <c r="P74" s="21">
        <f>SUM(NhatkyNhap!$C74:P74)-SUM(NhatkyBan!$C74:P74)</f>
        <v>14</v>
      </c>
      <c r="Q74" s="21">
        <f>SUM(NhatkyNhap!$C74:Q74)-SUM(NhatkyBan!$C74:Q74)</f>
        <v>14</v>
      </c>
      <c r="R74" s="21">
        <f>SUM(NhatkyNhap!$C74:R74)-SUM(NhatkyBan!$C74:R74)</f>
        <v>14</v>
      </c>
      <c r="S74" s="21">
        <f>SUM(NhatkyNhap!$C74:S74)-SUM(NhatkyBan!$C74:S74)</f>
        <v>14</v>
      </c>
      <c r="T74" s="21">
        <f>SUM(NhatkyNhap!$C74:T74)-SUM(NhatkyBan!$C74:T74)</f>
        <v>14</v>
      </c>
      <c r="U74" s="21">
        <f>SUM(NhatkyNhap!$C74:U74)-SUM(NhatkyBan!$C74:U74)</f>
        <v>14</v>
      </c>
      <c r="V74" s="21">
        <f>SUM(NhatkyNhap!$C74:V74)-SUM(NhatkyBan!$C74:V74)</f>
        <v>14</v>
      </c>
      <c r="W74" s="21">
        <f>SUM(NhatkyNhap!$C74:W74)-SUM(NhatkyBan!$C74:W74)</f>
        <v>14</v>
      </c>
      <c r="X74" s="21">
        <f>SUM(NhatkyNhap!$C74:X74)-SUM(NhatkyBan!$C74:X74)</f>
        <v>14</v>
      </c>
      <c r="Y74" s="21">
        <f>SUM(NhatkyNhap!$C74:Y74)-SUM(NhatkyBan!$C74:Y74)</f>
        <v>14</v>
      </c>
      <c r="Z74" s="21">
        <f>SUM(NhatkyNhap!$C74:Z74)-SUM(NhatkyBan!$C74:Z74)</f>
        <v>14</v>
      </c>
      <c r="AA74" s="21">
        <f>SUM(NhatkyNhap!$C74:AA74)-SUM(NhatkyBan!$C74:AA74)</f>
        <v>14</v>
      </c>
      <c r="AB74" s="21">
        <f>SUM(NhatkyNhap!$C74:AB74)-SUM(NhatkyBan!$C74:AB74)</f>
        <v>14</v>
      </c>
      <c r="AC74" s="21">
        <f>SUM(NhatkyNhap!$C74:AC74)-SUM(NhatkyBan!$C74:AC74)</f>
        <v>14</v>
      </c>
      <c r="AD74" s="21">
        <f>SUM(NhatkyNhap!$C74:AD74)-SUM(NhatkyBan!$C74:AD74)</f>
        <v>14</v>
      </c>
      <c r="AE74" s="21">
        <f>SUM(NhatkyNhap!$C74:AE74)-SUM(NhatkyBan!$C74:AE74)</f>
        <v>14</v>
      </c>
      <c r="AF74" s="21">
        <f>SUM(NhatkyNhap!$C74:AF74)-SUM(NhatkyBan!$C74:AF74)</f>
        <v>14</v>
      </c>
      <c r="AG74" s="21">
        <f>SUM(NhatkyNhap!$C74:AG74)-SUM(NhatkyBan!$C74:AG74)</f>
        <v>14</v>
      </c>
    </row>
    <row r="75" spans="1:33" ht="12.75" customHeight="1">
      <c r="A75" s="76" t="str">
        <f>DSSP!A74</f>
        <v>A159</v>
      </c>
      <c r="B75" s="25" t="str">
        <f>DSSP!B74</f>
        <v>Nấm rừng</v>
      </c>
      <c r="C75" s="21">
        <f>SUM(NhatkyNhap!$C75:C75)-SUM(NhatkyBan!$C75:C75)</f>
        <v>17</v>
      </c>
      <c r="D75" s="21">
        <f>SUM(NhatkyNhap!$C75:D75)-SUM(NhatkyBan!$C75:D75)</f>
        <v>17</v>
      </c>
      <c r="E75" s="21">
        <f>SUM(NhatkyNhap!$C75:E75)-SUM(NhatkyBan!$C75:E75)</f>
        <v>17</v>
      </c>
      <c r="F75" s="21">
        <f>SUM(NhatkyNhap!$C75:F75)-SUM(NhatkyBan!$C75:F75)</f>
        <v>17</v>
      </c>
      <c r="G75" s="21">
        <f>SUM(NhatkyNhap!$C75:G75)-SUM(NhatkyBan!$C75:G75)</f>
        <v>17</v>
      </c>
      <c r="H75" s="21">
        <f>SUM(NhatkyNhap!$C75:H75)-SUM(NhatkyBan!$C75:H75)</f>
        <v>17</v>
      </c>
      <c r="I75" s="21">
        <f>SUM(NhatkyNhap!$C75:I75)-SUM(NhatkyBan!$C75:I75)</f>
        <v>17</v>
      </c>
      <c r="J75" s="21">
        <f>SUM(NhatkyNhap!$C75:J75)-SUM(NhatkyBan!$C75:J75)</f>
        <v>17</v>
      </c>
      <c r="K75" s="21">
        <f>SUM(NhatkyNhap!$C75:K75)-SUM(NhatkyBan!$C75:K75)</f>
        <v>17</v>
      </c>
      <c r="L75" s="21">
        <f>SUM(NhatkyNhap!$C75:L75)-SUM(NhatkyBan!$C75:L75)</f>
        <v>17</v>
      </c>
      <c r="M75" s="21">
        <f>SUM(NhatkyNhap!$C75:M75)-SUM(NhatkyBan!$C75:M75)</f>
        <v>17</v>
      </c>
      <c r="N75" s="21">
        <f>SUM(NhatkyNhap!$C75:N75)-SUM(NhatkyBan!$C75:N75)</f>
        <v>17</v>
      </c>
      <c r="O75" s="21">
        <f>SUM(NhatkyNhap!$C75:O75)-SUM(NhatkyBan!$C75:O75)</f>
        <v>17</v>
      </c>
      <c r="P75" s="21">
        <f>SUM(NhatkyNhap!$C75:P75)-SUM(NhatkyBan!$C75:P75)</f>
        <v>17</v>
      </c>
      <c r="Q75" s="21">
        <f>SUM(NhatkyNhap!$C75:Q75)-SUM(NhatkyBan!$C75:Q75)</f>
        <v>17</v>
      </c>
      <c r="R75" s="21">
        <f>SUM(NhatkyNhap!$C75:R75)-SUM(NhatkyBan!$C75:R75)</f>
        <v>17</v>
      </c>
      <c r="S75" s="21">
        <f>SUM(NhatkyNhap!$C75:S75)-SUM(NhatkyBan!$C75:S75)</f>
        <v>17</v>
      </c>
      <c r="T75" s="21">
        <f>SUM(NhatkyNhap!$C75:T75)-SUM(NhatkyBan!$C75:T75)</f>
        <v>17</v>
      </c>
      <c r="U75" s="21">
        <f>SUM(NhatkyNhap!$C75:U75)-SUM(NhatkyBan!$C75:U75)</f>
        <v>17</v>
      </c>
      <c r="V75" s="21">
        <f>SUM(NhatkyNhap!$C75:V75)-SUM(NhatkyBan!$C75:V75)</f>
        <v>17</v>
      </c>
      <c r="W75" s="21">
        <f>SUM(NhatkyNhap!$C75:W75)-SUM(NhatkyBan!$C75:W75)</f>
        <v>17</v>
      </c>
      <c r="X75" s="21">
        <f>SUM(NhatkyNhap!$C75:X75)-SUM(NhatkyBan!$C75:X75)</f>
        <v>17</v>
      </c>
      <c r="Y75" s="21">
        <f>SUM(NhatkyNhap!$C75:Y75)-SUM(NhatkyBan!$C75:Y75)</f>
        <v>17</v>
      </c>
      <c r="Z75" s="21">
        <f>SUM(NhatkyNhap!$C75:Z75)-SUM(NhatkyBan!$C75:Z75)</f>
        <v>17</v>
      </c>
      <c r="AA75" s="21">
        <f>SUM(NhatkyNhap!$C75:AA75)-SUM(NhatkyBan!$C75:AA75)</f>
        <v>17</v>
      </c>
      <c r="AB75" s="21">
        <f>SUM(NhatkyNhap!$C75:AB75)-SUM(NhatkyBan!$C75:AB75)</f>
        <v>17</v>
      </c>
      <c r="AC75" s="21">
        <f>SUM(NhatkyNhap!$C75:AC75)-SUM(NhatkyBan!$C75:AC75)</f>
        <v>17</v>
      </c>
      <c r="AD75" s="21">
        <f>SUM(NhatkyNhap!$C75:AD75)-SUM(NhatkyBan!$C75:AD75)</f>
        <v>17</v>
      </c>
      <c r="AE75" s="21">
        <f>SUM(NhatkyNhap!$C75:AE75)-SUM(NhatkyBan!$C75:AE75)</f>
        <v>17</v>
      </c>
      <c r="AF75" s="21">
        <f>SUM(NhatkyNhap!$C75:AF75)-SUM(NhatkyBan!$C75:AF75)</f>
        <v>17</v>
      </c>
      <c r="AG75" s="21">
        <f>SUM(NhatkyNhap!$C75:AG75)-SUM(NhatkyBan!$C75:AG75)</f>
        <v>17</v>
      </c>
    </row>
    <row r="76" spans="1:33" ht="12.75" customHeight="1">
      <c r="A76" s="76" t="str">
        <f>DSSP!A75</f>
        <v>A160</v>
      </c>
      <c r="B76" s="25" t="str">
        <f>DSSP!B75</f>
        <v>Đầu lâu</v>
      </c>
      <c r="C76" s="21">
        <f>SUM(NhatkyNhap!$C76:C76)-SUM(NhatkyBan!$C76:C76)</f>
        <v>15</v>
      </c>
      <c r="D76" s="21">
        <f>SUM(NhatkyNhap!$C76:D76)-SUM(NhatkyBan!$C76:D76)</f>
        <v>15</v>
      </c>
      <c r="E76" s="21">
        <f>SUM(NhatkyNhap!$C76:E76)-SUM(NhatkyBan!$C76:E76)</f>
        <v>15</v>
      </c>
      <c r="F76" s="21">
        <f>SUM(NhatkyNhap!$C76:F76)-SUM(NhatkyBan!$C76:F76)</f>
        <v>15</v>
      </c>
      <c r="G76" s="21">
        <f>SUM(NhatkyNhap!$C76:G76)-SUM(NhatkyBan!$C76:G76)</f>
        <v>15</v>
      </c>
      <c r="H76" s="21">
        <f>SUM(NhatkyNhap!$C76:H76)-SUM(NhatkyBan!$C76:H76)</f>
        <v>15</v>
      </c>
      <c r="I76" s="21">
        <f>SUM(NhatkyNhap!$C76:I76)-SUM(NhatkyBan!$C76:I76)</f>
        <v>15</v>
      </c>
      <c r="J76" s="21">
        <f>SUM(NhatkyNhap!$C76:J76)-SUM(NhatkyBan!$C76:J76)</f>
        <v>15</v>
      </c>
      <c r="K76" s="21">
        <f>SUM(NhatkyNhap!$C76:K76)-SUM(NhatkyBan!$C76:K76)</f>
        <v>15</v>
      </c>
      <c r="L76" s="21">
        <f>SUM(NhatkyNhap!$C76:L76)-SUM(NhatkyBan!$C76:L76)</f>
        <v>15</v>
      </c>
      <c r="M76" s="21">
        <f>SUM(NhatkyNhap!$C76:M76)-SUM(NhatkyBan!$C76:M76)</f>
        <v>15</v>
      </c>
      <c r="N76" s="21">
        <f>SUM(NhatkyNhap!$C76:N76)-SUM(NhatkyBan!$C76:N76)</f>
        <v>15</v>
      </c>
      <c r="O76" s="21">
        <f>SUM(NhatkyNhap!$C76:O76)-SUM(NhatkyBan!$C76:O76)</f>
        <v>15</v>
      </c>
      <c r="P76" s="21">
        <f>SUM(NhatkyNhap!$C76:P76)-SUM(NhatkyBan!$C76:P76)</f>
        <v>15</v>
      </c>
      <c r="Q76" s="21">
        <f>SUM(NhatkyNhap!$C76:Q76)-SUM(NhatkyBan!$C76:Q76)</f>
        <v>15</v>
      </c>
      <c r="R76" s="21">
        <f>SUM(NhatkyNhap!$C76:R76)-SUM(NhatkyBan!$C76:R76)</f>
        <v>15</v>
      </c>
      <c r="S76" s="21">
        <f>SUM(NhatkyNhap!$C76:S76)-SUM(NhatkyBan!$C76:S76)</f>
        <v>15</v>
      </c>
      <c r="T76" s="21">
        <f>SUM(NhatkyNhap!$C76:T76)-SUM(NhatkyBan!$C76:T76)</f>
        <v>15</v>
      </c>
      <c r="U76" s="21">
        <f>SUM(NhatkyNhap!$C76:U76)-SUM(NhatkyBan!$C76:U76)</f>
        <v>15</v>
      </c>
      <c r="V76" s="21">
        <f>SUM(NhatkyNhap!$C76:V76)-SUM(NhatkyBan!$C76:V76)</f>
        <v>15</v>
      </c>
      <c r="W76" s="21">
        <f>SUM(NhatkyNhap!$C76:W76)-SUM(NhatkyBan!$C76:W76)</f>
        <v>15</v>
      </c>
      <c r="X76" s="21">
        <f>SUM(NhatkyNhap!$C76:X76)-SUM(NhatkyBan!$C76:X76)</f>
        <v>15</v>
      </c>
      <c r="Y76" s="21">
        <f>SUM(NhatkyNhap!$C76:Y76)-SUM(NhatkyBan!$C76:Y76)</f>
        <v>15</v>
      </c>
      <c r="Z76" s="21">
        <f>SUM(NhatkyNhap!$C76:Z76)-SUM(NhatkyBan!$C76:Z76)</f>
        <v>15</v>
      </c>
      <c r="AA76" s="21">
        <f>SUM(NhatkyNhap!$C76:AA76)-SUM(NhatkyBan!$C76:AA76)</f>
        <v>15</v>
      </c>
      <c r="AB76" s="21">
        <f>SUM(NhatkyNhap!$C76:AB76)-SUM(NhatkyBan!$C76:AB76)</f>
        <v>15</v>
      </c>
      <c r="AC76" s="21">
        <f>SUM(NhatkyNhap!$C76:AC76)-SUM(NhatkyBan!$C76:AC76)</f>
        <v>15</v>
      </c>
      <c r="AD76" s="21">
        <f>SUM(NhatkyNhap!$C76:AD76)-SUM(NhatkyBan!$C76:AD76)</f>
        <v>15</v>
      </c>
      <c r="AE76" s="21">
        <f>SUM(NhatkyNhap!$C76:AE76)-SUM(NhatkyBan!$C76:AE76)</f>
        <v>15</v>
      </c>
      <c r="AF76" s="21">
        <f>SUM(NhatkyNhap!$C76:AF76)-SUM(NhatkyBan!$C76:AF76)</f>
        <v>15</v>
      </c>
      <c r="AG76" s="21">
        <f>SUM(NhatkyNhap!$C76:AG76)-SUM(NhatkyBan!$C76:AG76)</f>
        <v>15</v>
      </c>
    </row>
    <row r="77" spans="1:33" ht="12.75" customHeight="1">
      <c r="A77" s="76" t="str">
        <f>DSSP!A76</f>
        <v>A161</v>
      </c>
      <c r="B77" s="25" t="str">
        <f>DSSP!B76</f>
        <v>Tuần lộc kute</v>
      </c>
      <c r="C77" s="21">
        <f>SUM(NhatkyNhap!$C77:C77)-SUM(NhatkyBan!$C77:C77)</f>
        <v>5</v>
      </c>
      <c r="D77" s="21">
        <f>SUM(NhatkyNhap!$C77:D77)-SUM(NhatkyBan!$C77:D77)</f>
        <v>5</v>
      </c>
      <c r="E77" s="21">
        <f>SUM(NhatkyNhap!$C77:E77)-SUM(NhatkyBan!$C77:E77)</f>
        <v>5</v>
      </c>
      <c r="F77" s="21">
        <f>SUM(NhatkyNhap!$C77:F77)-SUM(NhatkyBan!$C77:F77)</f>
        <v>5</v>
      </c>
      <c r="G77" s="21">
        <f>SUM(NhatkyNhap!$C77:G77)-SUM(NhatkyBan!$C77:G77)</f>
        <v>5</v>
      </c>
      <c r="H77" s="21">
        <f>SUM(NhatkyNhap!$C77:H77)-SUM(NhatkyBan!$C77:H77)</f>
        <v>5</v>
      </c>
      <c r="I77" s="21">
        <f>SUM(NhatkyNhap!$C77:I77)-SUM(NhatkyBan!$C77:I77)</f>
        <v>5</v>
      </c>
      <c r="J77" s="21">
        <f>SUM(NhatkyNhap!$C77:J77)-SUM(NhatkyBan!$C77:J77)</f>
        <v>5</v>
      </c>
      <c r="K77" s="21">
        <f>SUM(NhatkyNhap!$C77:K77)-SUM(NhatkyBan!$C77:K77)</f>
        <v>5</v>
      </c>
      <c r="L77" s="21">
        <f>SUM(NhatkyNhap!$C77:L77)-SUM(NhatkyBan!$C77:L77)</f>
        <v>5</v>
      </c>
      <c r="M77" s="21">
        <f>SUM(NhatkyNhap!$C77:M77)-SUM(NhatkyBan!$C77:M77)</f>
        <v>5</v>
      </c>
      <c r="N77" s="21">
        <f>SUM(NhatkyNhap!$C77:N77)-SUM(NhatkyBan!$C77:N77)</f>
        <v>5</v>
      </c>
      <c r="O77" s="21">
        <f>SUM(NhatkyNhap!$C77:O77)-SUM(NhatkyBan!$C77:O77)</f>
        <v>5</v>
      </c>
      <c r="P77" s="21">
        <f>SUM(NhatkyNhap!$C77:P77)-SUM(NhatkyBan!$C77:P77)</f>
        <v>5</v>
      </c>
      <c r="Q77" s="21">
        <f>SUM(NhatkyNhap!$C77:Q77)-SUM(NhatkyBan!$C77:Q77)</f>
        <v>5</v>
      </c>
      <c r="R77" s="21">
        <f>SUM(NhatkyNhap!$C77:R77)-SUM(NhatkyBan!$C77:R77)</f>
        <v>5</v>
      </c>
      <c r="S77" s="21">
        <f>SUM(NhatkyNhap!$C77:S77)-SUM(NhatkyBan!$C77:S77)</f>
        <v>5</v>
      </c>
      <c r="T77" s="21">
        <f>SUM(NhatkyNhap!$C77:T77)-SUM(NhatkyBan!$C77:T77)</f>
        <v>5</v>
      </c>
      <c r="U77" s="21">
        <f>SUM(NhatkyNhap!$C77:U77)-SUM(NhatkyBan!$C77:U77)</f>
        <v>5</v>
      </c>
      <c r="V77" s="21">
        <f>SUM(NhatkyNhap!$C77:V77)-SUM(NhatkyBan!$C77:V77)</f>
        <v>5</v>
      </c>
      <c r="W77" s="21">
        <f>SUM(NhatkyNhap!$C77:W77)-SUM(NhatkyBan!$C77:W77)</f>
        <v>5</v>
      </c>
      <c r="X77" s="21">
        <f>SUM(NhatkyNhap!$C77:X77)-SUM(NhatkyBan!$C77:X77)</f>
        <v>5</v>
      </c>
      <c r="Y77" s="21">
        <f>SUM(NhatkyNhap!$C77:Y77)-SUM(NhatkyBan!$C77:Y77)</f>
        <v>5</v>
      </c>
      <c r="Z77" s="21">
        <f>SUM(NhatkyNhap!$C77:Z77)-SUM(NhatkyBan!$C77:Z77)</f>
        <v>5</v>
      </c>
      <c r="AA77" s="21">
        <f>SUM(NhatkyNhap!$C77:AA77)-SUM(NhatkyBan!$C77:AA77)</f>
        <v>5</v>
      </c>
      <c r="AB77" s="21">
        <f>SUM(NhatkyNhap!$C77:AB77)-SUM(NhatkyBan!$C77:AB77)</f>
        <v>5</v>
      </c>
      <c r="AC77" s="21">
        <f>SUM(NhatkyNhap!$C77:AC77)-SUM(NhatkyBan!$C77:AC77)</f>
        <v>5</v>
      </c>
      <c r="AD77" s="21">
        <f>SUM(NhatkyNhap!$C77:AD77)-SUM(NhatkyBan!$C77:AD77)</f>
        <v>5</v>
      </c>
      <c r="AE77" s="21">
        <f>SUM(NhatkyNhap!$C77:AE77)-SUM(NhatkyBan!$C77:AE77)</f>
        <v>5</v>
      </c>
      <c r="AF77" s="21">
        <f>SUM(NhatkyNhap!$C77:AF77)-SUM(NhatkyBan!$C77:AF77)</f>
        <v>5</v>
      </c>
      <c r="AG77" s="21">
        <f>SUM(NhatkyNhap!$C77:AG77)-SUM(NhatkyBan!$C77:AG77)</f>
        <v>5</v>
      </c>
    </row>
    <row r="78" spans="1:33" ht="12.75" customHeight="1">
      <c r="A78" s="76" t="str">
        <f>DSSP!A77</f>
        <v>A162</v>
      </c>
      <c r="B78" s="25" t="str">
        <f>DSSP!B77</f>
        <v>Bóng Noel</v>
      </c>
      <c r="C78" s="21">
        <f>SUM(NhatkyNhap!$C78:C78)-SUM(NhatkyBan!$C78:C78)</f>
        <v>7</v>
      </c>
      <c r="D78" s="21">
        <f>SUM(NhatkyNhap!$C78:D78)-SUM(NhatkyBan!$C78:D78)</f>
        <v>7</v>
      </c>
      <c r="E78" s="21">
        <f>SUM(NhatkyNhap!$C78:E78)-SUM(NhatkyBan!$C78:E78)</f>
        <v>7</v>
      </c>
      <c r="F78" s="21">
        <f>SUM(NhatkyNhap!$C78:F78)-SUM(NhatkyBan!$C78:F78)</f>
        <v>7</v>
      </c>
      <c r="G78" s="21">
        <f>SUM(NhatkyNhap!$C78:G78)-SUM(NhatkyBan!$C78:G78)</f>
        <v>7</v>
      </c>
      <c r="H78" s="21">
        <f>SUM(NhatkyNhap!$C78:H78)-SUM(NhatkyBan!$C78:H78)</f>
        <v>7</v>
      </c>
      <c r="I78" s="21">
        <f>SUM(NhatkyNhap!$C78:I78)-SUM(NhatkyBan!$C78:I78)</f>
        <v>7</v>
      </c>
      <c r="J78" s="21">
        <f>SUM(NhatkyNhap!$C78:J78)-SUM(NhatkyBan!$C78:J78)</f>
        <v>7</v>
      </c>
      <c r="K78" s="21">
        <f>SUM(NhatkyNhap!$C78:K78)-SUM(NhatkyBan!$C78:K78)</f>
        <v>7</v>
      </c>
      <c r="L78" s="21">
        <f>SUM(NhatkyNhap!$C78:L78)-SUM(NhatkyBan!$C78:L78)</f>
        <v>7</v>
      </c>
      <c r="M78" s="21">
        <f>SUM(NhatkyNhap!$C78:M78)-SUM(NhatkyBan!$C78:M78)</f>
        <v>7</v>
      </c>
      <c r="N78" s="21">
        <f>SUM(NhatkyNhap!$C78:N78)-SUM(NhatkyBan!$C78:N78)</f>
        <v>7</v>
      </c>
      <c r="O78" s="21">
        <f>SUM(NhatkyNhap!$C78:O78)-SUM(NhatkyBan!$C78:O78)</f>
        <v>7</v>
      </c>
      <c r="P78" s="21">
        <f>SUM(NhatkyNhap!$C78:P78)-SUM(NhatkyBan!$C78:P78)</f>
        <v>7</v>
      </c>
      <c r="Q78" s="21">
        <f>SUM(NhatkyNhap!$C78:Q78)-SUM(NhatkyBan!$C78:Q78)</f>
        <v>7</v>
      </c>
      <c r="R78" s="21">
        <f>SUM(NhatkyNhap!$C78:R78)-SUM(NhatkyBan!$C78:R78)</f>
        <v>7</v>
      </c>
      <c r="S78" s="21">
        <f>SUM(NhatkyNhap!$C78:S78)-SUM(NhatkyBan!$C78:S78)</f>
        <v>7</v>
      </c>
      <c r="T78" s="21">
        <f>SUM(NhatkyNhap!$C78:T78)-SUM(NhatkyBan!$C78:T78)</f>
        <v>7</v>
      </c>
      <c r="U78" s="21">
        <f>SUM(NhatkyNhap!$C78:U78)-SUM(NhatkyBan!$C78:U78)</f>
        <v>7</v>
      </c>
      <c r="V78" s="21">
        <f>SUM(NhatkyNhap!$C78:V78)-SUM(NhatkyBan!$C78:V78)</f>
        <v>7</v>
      </c>
      <c r="W78" s="21">
        <f>SUM(NhatkyNhap!$C78:W78)-SUM(NhatkyBan!$C78:W78)</f>
        <v>7</v>
      </c>
      <c r="X78" s="21">
        <f>SUM(NhatkyNhap!$C78:X78)-SUM(NhatkyBan!$C78:X78)</f>
        <v>7</v>
      </c>
      <c r="Y78" s="21">
        <f>SUM(NhatkyNhap!$C78:Y78)-SUM(NhatkyBan!$C78:Y78)</f>
        <v>7</v>
      </c>
      <c r="Z78" s="21">
        <f>SUM(NhatkyNhap!$C78:Z78)-SUM(NhatkyBan!$C78:Z78)</f>
        <v>7</v>
      </c>
      <c r="AA78" s="21">
        <f>SUM(NhatkyNhap!$C78:AA78)-SUM(NhatkyBan!$C78:AA78)</f>
        <v>7</v>
      </c>
      <c r="AB78" s="21">
        <f>SUM(NhatkyNhap!$C78:AB78)-SUM(NhatkyBan!$C78:AB78)</f>
        <v>7</v>
      </c>
      <c r="AC78" s="21">
        <f>SUM(NhatkyNhap!$C78:AC78)-SUM(NhatkyBan!$C78:AC78)</f>
        <v>7</v>
      </c>
      <c r="AD78" s="21">
        <f>SUM(NhatkyNhap!$C78:AD78)-SUM(NhatkyBan!$C78:AD78)</f>
        <v>7</v>
      </c>
      <c r="AE78" s="21">
        <f>SUM(NhatkyNhap!$C78:AE78)-SUM(NhatkyBan!$C78:AE78)</f>
        <v>7</v>
      </c>
      <c r="AF78" s="21">
        <f>SUM(NhatkyNhap!$C78:AF78)-SUM(NhatkyBan!$C78:AF78)</f>
        <v>7</v>
      </c>
      <c r="AG78" s="21">
        <f>SUM(NhatkyNhap!$C78:AG78)-SUM(NhatkyBan!$C78:AG78)</f>
        <v>7</v>
      </c>
    </row>
    <row r="79" spans="1:33" ht="12.75" customHeight="1">
      <c r="A79" s="76" t="str">
        <f>DSSP!A78</f>
        <v>A163</v>
      </c>
      <c r="B79" s="25" t="str">
        <f>DSSP!B78</f>
        <v>Tuần lộc đỏ</v>
      </c>
      <c r="C79" s="21">
        <f>SUM(NhatkyNhap!$C79:C79)-SUM(NhatkyBan!$C79:C79)</f>
        <v>2</v>
      </c>
      <c r="D79" s="21">
        <f>SUM(NhatkyNhap!$C79:D79)-SUM(NhatkyBan!$C79:D79)</f>
        <v>2</v>
      </c>
      <c r="E79" s="21">
        <f>SUM(NhatkyNhap!$C79:E79)-SUM(NhatkyBan!$C79:E79)</f>
        <v>2</v>
      </c>
      <c r="F79" s="21">
        <f>SUM(NhatkyNhap!$C79:F79)-SUM(NhatkyBan!$C79:F79)</f>
        <v>2</v>
      </c>
      <c r="G79" s="21">
        <f>SUM(NhatkyNhap!$C79:G79)-SUM(NhatkyBan!$C79:G79)</f>
        <v>2</v>
      </c>
      <c r="H79" s="21">
        <f>SUM(NhatkyNhap!$C79:H79)-SUM(NhatkyBan!$C79:H79)</f>
        <v>2</v>
      </c>
      <c r="I79" s="21">
        <f>SUM(NhatkyNhap!$C79:I79)-SUM(NhatkyBan!$C79:I79)</f>
        <v>2</v>
      </c>
      <c r="J79" s="21">
        <f>SUM(NhatkyNhap!$C79:J79)-SUM(NhatkyBan!$C79:J79)</f>
        <v>2</v>
      </c>
      <c r="K79" s="21">
        <f>SUM(NhatkyNhap!$C79:K79)-SUM(NhatkyBan!$C79:K79)</f>
        <v>2</v>
      </c>
      <c r="L79" s="21">
        <f>SUM(NhatkyNhap!$C79:L79)-SUM(NhatkyBan!$C79:L79)</f>
        <v>2</v>
      </c>
      <c r="M79" s="21">
        <f>SUM(NhatkyNhap!$C79:M79)-SUM(NhatkyBan!$C79:M79)</f>
        <v>2</v>
      </c>
      <c r="N79" s="21">
        <f>SUM(NhatkyNhap!$C79:N79)-SUM(NhatkyBan!$C79:N79)</f>
        <v>2</v>
      </c>
      <c r="O79" s="21">
        <f>SUM(NhatkyNhap!$C79:O79)-SUM(NhatkyBan!$C79:O79)</f>
        <v>2</v>
      </c>
      <c r="P79" s="21">
        <f>SUM(NhatkyNhap!$C79:P79)-SUM(NhatkyBan!$C79:P79)</f>
        <v>2</v>
      </c>
      <c r="Q79" s="21">
        <f>SUM(NhatkyNhap!$C79:Q79)-SUM(NhatkyBan!$C79:Q79)</f>
        <v>2</v>
      </c>
      <c r="R79" s="21">
        <f>SUM(NhatkyNhap!$C79:R79)-SUM(NhatkyBan!$C79:R79)</f>
        <v>2</v>
      </c>
      <c r="S79" s="21">
        <f>SUM(NhatkyNhap!$C79:S79)-SUM(NhatkyBan!$C79:S79)</f>
        <v>2</v>
      </c>
      <c r="T79" s="21">
        <f>SUM(NhatkyNhap!$C79:T79)-SUM(NhatkyBan!$C79:T79)</f>
        <v>2</v>
      </c>
      <c r="U79" s="21">
        <f>SUM(NhatkyNhap!$C79:U79)-SUM(NhatkyBan!$C79:U79)</f>
        <v>2</v>
      </c>
      <c r="V79" s="21">
        <f>SUM(NhatkyNhap!$C79:V79)-SUM(NhatkyBan!$C79:V79)</f>
        <v>2</v>
      </c>
      <c r="W79" s="21">
        <f>SUM(NhatkyNhap!$C79:W79)-SUM(NhatkyBan!$C79:W79)</f>
        <v>2</v>
      </c>
      <c r="X79" s="21">
        <f>SUM(NhatkyNhap!$C79:X79)-SUM(NhatkyBan!$C79:X79)</f>
        <v>2</v>
      </c>
      <c r="Y79" s="21">
        <f>SUM(NhatkyNhap!$C79:Y79)-SUM(NhatkyBan!$C79:Y79)</f>
        <v>2</v>
      </c>
      <c r="Z79" s="21">
        <f>SUM(NhatkyNhap!$C79:Z79)-SUM(NhatkyBan!$C79:Z79)</f>
        <v>2</v>
      </c>
      <c r="AA79" s="21">
        <f>SUM(NhatkyNhap!$C79:AA79)-SUM(NhatkyBan!$C79:AA79)</f>
        <v>2</v>
      </c>
      <c r="AB79" s="21">
        <f>SUM(NhatkyNhap!$C79:AB79)-SUM(NhatkyBan!$C79:AB79)</f>
        <v>2</v>
      </c>
      <c r="AC79" s="21">
        <f>SUM(NhatkyNhap!$C79:AC79)-SUM(NhatkyBan!$C79:AC79)</f>
        <v>2</v>
      </c>
      <c r="AD79" s="21">
        <f>SUM(NhatkyNhap!$C79:AD79)-SUM(NhatkyBan!$C79:AD79)</f>
        <v>2</v>
      </c>
      <c r="AE79" s="21">
        <f>SUM(NhatkyNhap!$C79:AE79)-SUM(NhatkyBan!$C79:AE79)</f>
        <v>2</v>
      </c>
      <c r="AF79" s="21">
        <f>SUM(NhatkyNhap!$C79:AF79)-SUM(NhatkyBan!$C79:AF79)</f>
        <v>2</v>
      </c>
      <c r="AG79" s="21">
        <f>SUM(NhatkyNhap!$C79:AG79)-SUM(NhatkyBan!$C79:AG79)</f>
        <v>2</v>
      </c>
    </row>
    <row r="80" spans="1:33" ht="12.75" customHeight="1">
      <c r="A80" s="76" t="str">
        <f>DSSP!A79</f>
        <v>A164</v>
      </c>
      <c r="B80" s="25" t="str">
        <f>DSSP!B79</f>
        <v>Quả cầu Noel</v>
      </c>
      <c r="C80" s="21">
        <f>SUM(NhatkyNhap!$C80:C80)-SUM(NhatkyBan!$C80:C80)</f>
        <v>5</v>
      </c>
      <c r="D80" s="21">
        <f>SUM(NhatkyNhap!$C80:D80)-SUM(NhatkyBan!$C80:D80)</f>
        <v>5</v>
      </c>
      <c r="E80" s="21">
        <f>SUM(NhatkyNhap!$C80:E80)-SUM(NhatkyBan!$C80:E80)</f>
        <v>5</v>
      </c>
      <c r="F80" s="21">
        <f>SUM(NhatkyNhap!$C80:F80)-SUM(NhatkyBan!$C80:F80)</f>
        <v>5</v>
      </c>
      <c r="G80" s="21">
        <f>SUM(NhatkyNhap!$C80:G80)-SUM(NhatkyBan!$C80:G80)</f>
        <v>5</v>
      </c>
      <c r="H80" s="21">
        <f>SUM(NhatkyNhap!$C80:H80)-SUM(NhatkyBan!$C80:H80)</f>
        <v>5</v>
      </c>
      <c r="I80" s="21">
        <f>SUM(NhatkyNhap!$C80:I80)-SUM(NhatkyBan!$C80:I80)</f>
        <v>5</v>
      </c>
      <c r="J80" s="21">
        <f>SUM(NhatkyNhap!$C80:J80)-SUM(NhatkyBan!$C80:J80)</f>
        <v>5</v>
      </c>
      <c r="K80" s="21">
        <f>SUM(NhatkyNhap!$C80:K80)-SUM(NhatkyBan!$C80:K80)</f>
        <v>5</v>
      </c>
      <c r="L80" s="21">
        <f>SUM(NhatkyNhap!$C80:L80)-SUM(NhatkyBan!$C80:L80)</f>
        <v>5</v>
      </c>
      <c r="M80" s="21">
        <f>SUM(NhatkyNhap!$C80:M80)-SUM(NhatkyBan!$C80:M80)</f>
        <v>5</v>
      </c>
      <c r="N80" s="21">
        <f>SUM(NhatkyNhap!$C80:N80)-SUM(NhatkyBan!$C80:N80)</f>
        <v>5</v>
      </c>
      <c r="O80" s="21">
        <f>SUM(NhatkyNhap!$C80:O80)-SUM(NhatkyBan!$C80:O80)</f>
        <v>5</v>
      </c>
      <c r="P80" s="21">
        <f>SUM(NhatkyNhap!$C80:P80)-SUM(NhatkyBan!$C80:P80)</f>
        <v>5</v>
      </c>
      <c r="Q80" s="21">
        <f>SUM(NhatkyNhap!$C80:Q80)-SUM(NhatkyBan!$C80:Q80)</f>
        <v>5</v>
      </c>
      <c r="R80" s="21">
        <f>SUM(NhatkyNhap!$C80:R80)-SUM(NhatkyBan!$C80:R80)</f>
        <v>5</v>
      </c>
      <c r="S80" s="21">
        <f>SUM(NhatkyNhap!$C80:S80)-SUM(NhatkyBan!$C80:S80)</f>
        <v>5</v>
      </c>
      <c r="T80" s="21">
        <f>SUM(NhatkyNhap!$C80:T80)-SUM(NhatkyBan!$C80:T80)</f>
        <v>5</v>
      </c>
      <c r="U80" s="21">
        <f>SUM(NhatkyNhap!$C80:U80)-SUM(NhatkyBan!$C80:U80)</f>
        <v>5</v>
      </c>
      <c r="V80" s="21">
        <f>SUM(NhatkyNhap!$C80:V80)-SUM(NhatkyBan!$C80:V80)</f>
        <v>5</v>
      </c>
      <c r="W80" s="21">
        <f>SUM(NhatkyNhap!$C80:W80)-SUM(NhatkyBan!$C80:W80)</f>
        <v>5</v>
      </c>
      <c r="X80" s="21">
        <f>SUM(NhatkyNhap!$C80:X80)-SUM(NhatkyBan!$C80:X80)</f>
        <v>5</v>
      </c>
      <c r="Y80" s="21">
        <f>SUM(NhatkyNhap!$C80:Y80)-SUM(NhatkyBan!$C80:Y80)</f>
        <v>5</v>
      </c>
      <c r="Z80" s="21">
        <f>SUM(NhatkyNhap!$C80:Z80)-SUM(NhatkyBan!$C80:Z80)</f>
        <v>5</v>
      </c>
      <c r="AA80" s="21">
        <f>SUM(NhatkyNhap!$C80:AA80)-SUM(NhatkyBan!$C80:AA80)</f>
        <v>5</v>
      </c>
      <c r="AB80" s="21">
        <f>SUM(NhatkyNhap!$C80:AB80)-SUM(NhatkyBan!$C80:AB80)</f>
        <v>5</v>
      </c>
      <c r="AC80" s="21">
        <f>SUM(NhatkyNhap!$C80:AC80)-SUM(NhatkyBan!$C80:AC80)</f>
        <v>5</v>
      </c>
      <c r="AD80" s="21">
        <f>SUM(NhatkyNhap!$C80:AD80)-SUM(NhatkyBan!$C80:AD80)</f>
        <v>5</v>
      </c>
      <c r="AE80" s="21">
        <f>SUM(NhatkyNhap!$C80:AE80)-SUM(NhatkyBan!$C80:AE80)</f>
        <v>5</v>
      </c>
      <c r="AF80" s="21">
        <f>SUM(NhatkyNhap!$C80:AF80)-SUM(NhatkyBan!$C80:AF80)</f>
        <v>5</v>
      </c>
      <c r="AG80" s="21">
        <f>SUM(NhatkyNhap!$C80:AG80)-SUM(NhatkyBan!$C80:AG80)</f>
        <v>5</v>
      </c>
    </row>
    <row r="81" spans="1:33" ht="12.75" customHeight="1">
      <c r="A81" s="76" t="str">
        <f>DSSP!A80</f>
        <v>A165</v>
      </c>
      <c r="B81" s="25" t="str">
        <f>DSSP!B80</f>
        <v>Găng tất Noel</v>
      </c>
      <c r="C81" s="21">
        <f>SUM(NhatkyNhap!$C81:C81)-SUM(NhatkyBan!$C81:C81)</f>
        <v>0</v>
      </c>
      <c r="D81" s="21">
        <f>SUM(NhatkyNhap!$C81:D81)-SUM(NhatkyBan!$C81:D81)</f>
        <v>0</v>
      </c>
      <c r="E81" s="21">
        <f>SUM(NhatkyNhap!$C81:E81)-SUM(NhatkyBan!$C81:E81)</f>
        <v>0</v>
      </c>
      <c r="F81" s="21">
        <f>SUM(NhatkyNhap!$C81:F81)-SUM(NhatkyBan!$C81:F81)</f>
        <v>0</v>
      </c>
      <c r="G81" s="21">
        <f>SUM(NhatkyNhap!$C81:G81)-SUM(NhatkyBan!$C81:G81)</f>
        <v>0</v>
      </c>
      <c r="H81" s="21">
        <f>SUM(NhatkyNhap!$C81:H81)-SUM(NhatkyBan!$C81:H81)</f>
        <v>0</v>
      </c>
      <c r="I81" s="21">
        <f>SUM(NhatkyNhap!$C81:I81)-SUM(NhatkyBan!$C81:I81)</f>
        <v>0</v>
      </c>
      <c r="J81" s="21">
        <f>SUM(NhatkyNhap!$C81:J81)-SUM(NhatkyBan!$C81:J81)</f>
        <v>0</v>
      </c>
      <c r="K81" s="21">
        <f>SUM(NhatkyNhap!$C81:K81)-SUM(NhatkyBan!$C81:K81)</f>
        <v>0</v>
      </c>
      <c r="L81" s="21">
        <f>SUM(NhatkyNhap!$C81:L81)-SUM(NhatkyBan!$C81:L81)</f>
        <v>0</v>
      </c>
      <c r="M81" s="21">
        <f>SUM(NhatkyNhap!$C81:M81)-SUM(NhatkyBan!$C81:M81)</f>
        <v>0</v>
      </c>
      <c r="N81" s="21">
        <f>SUM(NhatkyNhap!$C81:N81)-SUM(NhatkyBan!$C81:N81)</f>
        <v>0</v>
      </c>
      <c r="O81" s="21">
        <f>SUM(NhatkyNhap!$C81:O81)-SUM(NhatkyBan!$C81:O81)</f>
        <v>0</v>
      </c>
      <c r="P81" s="21">
        <f>SUM(NhatkyNhap!$C81:P81)-SUM(NhatkyBan!$C81:P81)</f>
        <v>0</v>
      </c>
      <c r="Q81" s="21">
        <f>SUM(NhatkyNhap!$C81:Q81)-SUM(NhatkyBan!$C81:Q81)</f>
        <v>0</v>
      </c>
      <c r="R81" s="21">
        <f>SUM(NhatkyNhap!$C81:R81)-SUM(NhatkyBan!$C81:R81)</f>
        <v>0</v>
      </c>
      <c r="S81" s="21">
        <f>SUM(NhatkyNhap!$C81:S81)-SUM(NhatkyBan!$C81:S81)</f>
        <v>0</v>
      </c>
      <c r="T81" s="21">
        <f>SUM(NhatkyNhap!$C81:T81)-SUM(NhatkyBan!$C81:T81)</f>
        <v>0</v>
      </c>
      <c r="U81" s="21">
        <f>SUM(NhatkyNhap!$C81:U81)-SUM(NhatkyBan!$C81:U81)</f>
        <v>0</v>
      </c>
      <c r="V81" s="21">
        <f>SUM(NhatkyNhap!$C81:V81)-SUM(NhatkyBan!$C81:V81)</f>
        <v>0</v>
      </c>
      <c r="W81" s="21">
        <f>SUM(NhatkyNhap!$C81:W81)-SUM(NhatkyBan!$C81:W81)</f>
        <v>0</v>
      </c>
      <c r="X81" s="21">
        <f>SUM(NhatkyNhap!$C81:X81)-SUM(NhatkyBan!$C81:X81)</f>
        <v>0</v>
      </c>
      <c r="Y81" s="21">
        <f>SUM(NhatkyNhap!$C81:Y81)-SUM(NhatkyBan!$C81:Y81)</f>
        <v>0</v>
      </c>
      <c r="Z81" s="21">
        <f>SUM(NhatkyNhap!$C81:Z81)-SUM(NhatkyBan!$C81:Z81)</f>
        <v>0</v>
      </c>
      <c r="AA81" s="21">
        <f>SUM(NhatkyNhap!$C81:AA81)-SUM(NhatkyBan!$C81:AA81)</f>
        <v>0</v>
      </c>
      <c r="AB81" s="21">
        <f>SUM(NhatkyNhap!$C81:AB81)-SUM(NhatkyBan!$C81:AB81)</f>
        <v>0</v>
      </c>
      <c r="AC81" s="21">
        <f>SUM(NhatkyNhap!$C81:AC81)-SUM(NhatkyBan!$C81:AC81)</f>
        <v>0</v>
      </c>
      <c r="AD81" s="21">
        <f>SUM(NhatkyNhap!$C81:AD81)-SUM(NhatkyBan!$C81:AD81)</f>
        <v>0</v>
      </c>
      <c r="AE81" s="21">
        <f>SUM(NhatkyNhap!$C81:AE81)-SUM(NhatkyBan!$C81:AE81)</f>
        <v>0</v>
      </c>
      <c r="AF81" s="21">
        <f>SUM(NhatkyNhap!$C81:AF81)-SUM(NhatkyBan!$C81:AF81)</f>
        <v>0</v>
      </c>
      <c r="AG81" s="21">
        <f>SUM(NhatkyNhap!$C81:AG81)-SUM(NhatkyBan!$C81:AG81)</f>
        <v>0</v>
      </c>
    </row>
    <row r="82" spans="1:33" ht="12.75" customHeight="1">
      <c r="A82" s="76" t="str">
        <f>DSSP!A81</f>
        <v>A093</v>
      </c>
      <c r="B82" s="25" t="str">
        <f>DSSP!B81</f>
        <v>Cây thông</v>
      </c>
      <c r="C82" s="21">
        <f>SUM(NhatkyNhap!$C82:C82)-SUM(NhatkyBan!$C82:C82)</f>
        <v>0</v>
      </c>
      <c r="D82" s="21">
        <f>SUM(NhatkyNhap!$C82:D82)-SUM(NhatkyBan!$C82:D82)</f>
        <v>0</v>
      </c>
      <c r="E82" s="21">
        <f>SUM(NhatkyNhap!$C82:E82)-SUM(NhatkyBan!$C82:E82)</f>
        <v>0</v>
      </c>
      <c r="F82" s="21">
        <f>SUM(NhatkyNhap!$C82:F82)-SUM(NhatkyBan!$C82:F82)</f>
        <v>0</v>
      </c>
      <c r="G82" s="21">
        <f>SUM(NhatkyNhap!$C82:G82)-SUM(NhatkyBan!$C82:G82)</f>
        <v>0</v>
      </c>
      <c r="H82" s="21">
        <f>SUM(NhatkyNhap!$C82:H82)-SUM(NhatkyBan!$C82:H82)</f>
        <v>0</v>
      </c>
      <c r="I82" s="21">
        <f>SUM(NhatkyNhap!$C82:I82)-SUM(NhatkyBan!$C82:I82)</f>
        <v>0</v>
      </c>
      <c r="J82" s="21">
        <f>SUM(NhatkyNhap!$C82:J82)-SUM(NhatkyBan!$C82:J82)</f>
        <v>0</v>
      </c>
      <c r="K82" s="21">
        <f>SUM(NhatkyNhap!$C82:K82)-SUM(NhatkyBan!$C82:K82)</f>
        <v>0</v>
      </c>
      <c r="L82" s="21">
        <f>SUM(NhatkyNhap!$C82:L82)-SUM(NhatkyBan!$C82:L82)</f>
        <v>0</v>
      </c>
      <c r="M82" s="21">
        <f>SUM(NhatkyNhap!$C82:M82)-SUM(NhatkyBan!$C82:M82)</f>
        <v>0</v>
      </c>
      <c r="N82" s="21">
        <f>SUM(NhatkyNhap!$C82:N82)-SUM(NhatkyBan!$C82:N82)</f>
        <v>0</v>
      </c>
      <c r="O82" s="21">
        <f>SUM(NhatkyNhap!$C82:O82)-SUM(NhatkyBan!$C82:O82)</f>
        <v>0</v>
      </c>
      <c r="P82" s="21">
        <f>SUM(NhatkyNhap!$C82:P82)-SUM(NhatkyBan!$C82:P82)</f>
        <v>0</v>
      </c>
      <c r="Q82" s="21">
        <f>SUM(NhatkyNhap!$C82:Q82)-SUM(NhatkyBan!$C82:Q82)</f>
        <v>0</v>
      </c>
      <c r="R82" s="21">
        <f>SUM(NhatkyNhap!$C82:R82)-SUM(NhatkyBan!$C82:R82)</f>
        <v>0</v>
      </c>
      <c r="S82" s="21">
        <f>SUM(NhatkyNhap!$C82:S82)-SUM(NhatkyBan!$C82:S82)</f>
        <v>0</v>
      </c>
      <c r="T82" s="21">
        <f>SUM(NhatkyNhap!$C82:T82)-SUM(NhatkyBan!$C82:T82)</f>
        <v>0</v>
      </c>
      <c r="U82" s="21">
        <f>SUM(NhatkyNhap!$C82:U82)-SUM(NhatkyBan!$C82:U82)</f>
        <v>0</v>
      </c>
      <c r="V82" s="21">
        <f>SUM(NhatkyNhap!$C82:V82)-SUM(NhatkyBan!$C82:V82)</f>
        <v>0</v>
      </c>
      <c r="W82" s="21">
        <f>SUM(NhatkyNhap!$C82:W82)-SUM(NhatkyBan!$C82:W82)</f>
        <v>0</v>
      </c>
      <c r="X82" s="21">
        <f>SUM(NhatkyNhap!$C82:X82)-SUM(NhatkyBan!$C82:X82)</f>
        <v>0</v>
      </c>
      <c r="Y82" s="21">
        <f>SUM(NhatkyNhap!$C82:Y82)-SUM(NhatkyBan!$C82:Y82)</f>
        <v>0</v>
      </c>
      <c r="Z82" s="21">
        <f>SUM(NhatkyNhap!$C82:Z82)-SUM(NhatkyBan!$C82:Z82)</f>
        <v>0</v>
      </c>
      <c r="AA82" s="21">
        <f>SUM(NhatkyNhap!$C82:AA82)-SUM(NhatkyBan!$C82:AA82)</f>
        <v>0</v>
      </c>
      <c r="AB82" s="21">
        <f>SUM(NhatkyNhap!$C82:AB82)-SUM(NhatkyBan!$C82:AB82)</f>
        <v>0</v>
      </c>
      <c r="AC82" s="21">
        <f>SUM(NhatkyNhap!$C82:AC82)-SUM(NhatkyBan!$C82:AC82)</f>
        <v>0</v>
      </c>
      <c r="AD82" s="21">
        <f>SUM(NhatkyNhap!$C82:AD82)-SUM(NhatkyBan!$C82:AD82)</f>
        <v>0</v>
      </c>
      <c r="AE82" s="21">
        <f>SUM(NhatkyNhap!$C82:AE82)-SUM(NhatkyBan!$C82:AE82)</f>
        <v>0</v>
      </c>
      <c r="AF82" s="21">
        <f>SUM(NhatkyNhap!$C82:AF82)-SUM(NhatkyBan!$C82:AF82)</f>
        <v>0</v>
      </c>
      <c r="AG82" s="21">
        <f>SUM(NhatkyNhap!$C82:AG82)-SUM(NhatkyBan!$C82:AG82)</f>
        <v>0</v>
      </c>
    </row>
    <row r="83" spans="1:33" ht="12.75" customHeight="1">
      <c r="A83" s="76" t="str">
        <f>DSSP!A82</f>
        <v>A094</v>
      </c>
      <c r="B83" s="25" t="str">
        <f>DSSP!B82</f>
        <v>Người bánh gừng</v>
      </c>
      <c r="C83" s="21">
        <f>SUM(NhatkyNhap!$C83:C83)-SUM(NhatkyBan!$C83:C83)</f>
        <v>5</v>
      </c>
      <c r="D83" s="21">
        <f>SUM(NhatkyNhap!$C83:D83)-SUM(NhatkyBan!$C83:D83)</f>
        <v>5</v>
      </c>
      <c r="E83" s="21">
        <f>SUM(NhatkyNhap!$C83:E83)-SUM(NhatkyBan!$C83:E83)</f>
        <v>5</v>
      </c>
      <c r="F83" s="21">
        <f>SUM(NhatkyNhap!$C83:F83)-SUM(NhatkyBan!$C83:F83)</f>
        <v>5</v>
      </c>
      <c r="G83" s="21">
        <f>SUM(NhatkyNhap!$C83:G83)-SUM(NhatkyBan!$C83:G83)</f>
        <v>5</v>
      </c>
      <c r="H83" s="21">
        <f>SUM(NhatkyNhap!$C83:H83)-SUM(NhatkyBan!$C83:H83)</f>
        <v>5</v>
      </c>
      <c r="I83" s="21">
        <f>SUM(NhatkyNhap!$C83:I83)-SUM(NhatkyBan!$C83:I83)</f>
        <v>5</v>
      </c>
      <c r="J83" s="21">
        <f>SUM(NhatkyNhap!$C83:J83)-SUM(NhatkyBan!$C83:J83)</f>
        <v>5</v>
      </c>
      <c r="K83" s="21">
        <f>SUM(NhatkyNhap!$C83:K83)-SUM(NhatkyBan!$C83:K83)</f>
        <v>5</v>
      </c>
      <c r="L83" s="21">
        <f>SUM(NhatkyNhap!$C83:L83)-SUM(NhatkyBan!$C83:L83)</f>
        <v>5</v>
      </c>
      <c r="M83" s="21">
        <f>SUM(NhatkyNhap!$C83:M83)-SUM(NhatkyBan!$C83:M83)</f>
        <v>5</v>
      </c>
      <c r="N83" s="21">
        <f>SUM(NhatkyNhap!$C83:N83)-SUM(NhatkyBan!$C83:N83)</f>
        <v>5</v>
      </c>
      <c r="O83" s="21">
        <f>SUM(NhatkyNhap!$C83:O83)-SUM(NhatkyBan!$C83:O83)</f>
        <v>5</v>
      </c>
      <c r="P83" s="21">
        <f>SUM(NhatkyNhap!$C83:P83)-SUM(NhatkyBan!$C83:P83)</f>
        <v>5</v>
      </c>
      <c r="Q83" s="21">
        <f>SUM(NhatkyNhap!$C83:Q83)-SUM(NhatkyBan!$C83:Q83)</f>
        <v>5</v>
      </c>
      <c r="R83" s="21">
        <f>SUM(NhatkyNhap!$C83:R83)-SUM(NhatkyBan!$C83:R83)</f>
        <v>5</v>
      </c>
      <c r="S83" s="21">
        <f>SUM(NhatkyNhap!$C83:S83)-SUM(NhatkyBan!$C83:S83)</f>
        <v>5</v>
      </c>
      <c r="T83" s="21">
        <f>SUM(NhatkyNhap!$C83:T83)-SUM(NhatkyBan!$C83:T83)</f>
        <v>5</v>
      </c>
      <c r="U83" s="21">
        <f>SUM(NhatkyNhap!$C83:U83)-SUM(NhatkyBan!$C83:U83)</f>
        <v>5</v>
      </c>
      <c r="V83" s="21">
        <f>SUM(NhatkyNhap!$C83:V83)-SUM(NhatkyBan!$C83:V83)</f>
        <v>5</v>
      </c>
      <c r="W83" s="21">
        <f>SUM(NhatkyNhap!$C83:W83)-SUM(NhatkyBan!$C83:W83)</f>
        <v>5</v>
      </c>
      <c r="X83" s="21">
        <f>SUM(NhatkyNhap!$C83:X83)-SUM(NhatkyBan!$C83:X83)</f>
        <v>5</v>
      </c>
      <c r="Y83" s="21">
        <f>SUM(NhatkyNhap!$C83:Y83)-SUM(NhatkyBan!$C83:Y83)</f>
        <v>5</v>
      </c>
      <c r="Z83" s="21">
        <f>SUM(NhatkyNhap!$C83:Z83)-SUM(NhatkyBan!$C83:Z83)</f>
        <v>5</v>
      </c>
      <c r="AA83" s="21">
        <f>SUM(NhatkyNhap!$C83:AA83)-SUM(NhatkyBan!$C83:AA83)</f>
        <v>5</v>
      </c>
      <c r="AB83" s="21">
        <f>SUM(NhatkyNhap!$C83:AB83)-SUM(NhatkyBan!$C83:AB83)</f>
        <v>5</v>
      </c>
      <c r="AC83" s="21">
        <f>SUM(NhatkyNhap!$C83:AC83)-SUM(NhatkyBan!$C83:AC83)</f>
        <v>5</v>
      </c>
      <c r="AD83" s="21">
        <f>SUM(NhatkyNhap!$C83:AD83)-SUM(NhatkyBan!$C83:AD83)</f>
        <v>5</v>
      </c>
      <c r="AE83" s="21">
        <f>SUM(NhatkyNhap!$C83:AE83)-SUM(NhatkyBan!$C83:AE83)</f>
        <v>5</v>
      </c>
      <c r="AF83" s="21">
        <f>SUM(NhatkyNhap!$C83:AF83)-SUM(NhatkyBan!$C83:AF83)</f>
        <v>5</v>
      </c>
      <c r="AG83" s="21">
        <f>SUM(NhatkyNhap!$C83:AG83)-SUM(NhatkyBan!$C83:AG83)</f>
        <v>5</v>
      </c>
    </row>
    <row r="84" spans="1:33" ht="12.75" customHeight="1">
      <c r="A84" s="76" t="str">
        <f>DSSP!A83</f>
        <v>A095</v>
      </c>
      <c r="B84" s="25" t="str">
        <f>DSSP!B83</f>
        <v>Người tuyết</v>
      </c>
      <c r="C84" s="21">
        <f>SUM(NhatkyNhap!$C84:C84)-SUM(NhatkyBan!$C84:C84)</f>
        <v>2</v>
      </c>
      <c r="D84" s="21">
        <f>SUM(NhatkyNhap!$C84:D84)-SUM(NhatkyBan!$C84:D84)</f>
        <v>2</v>
      </c>
      <c r="E84" s="21">
        <f>SUM(NhatkyNhap!$C84:E84)-SUM(NhatkyBan!$C84:E84)</f>
        <v>2</v>
      </c>
      <c r="F84" s="21">
        <f>SUM(NhatkyNhap!$C84:F84)-SUM(NhatkyBan!$C84:F84)</f>
        <v>2</v>
      </c>
      <c r="G84" s="21">
        <f>SUM(NhatkyNhap!$C84:G84)-SUM(NhatkyBan!$C84:G84)</f>
        <v>2</v>
      </c>
      <c r="H84" s="21">
        <f>SUM(NhatkyNhap!$C84:H84)-SUM(NhatkyBan!$C84:H84)</f>
        <v>2</v>
      </c>
      <c r="I84" s="21">
        <f>SUM(NhatkyNhap!$C84:I84)-SUM(NhatkyBan!$C84:I84)</f>
        <v>2</v>
      </c>
      <c r="J84" s="21">
        <f>SUM(NhatkyNhap!$C84:J84)-SUM(NhatkyBan!$C84:J84)</f>
        <v>2</v>
      </c>
      <c r="K84" s="21">
        <f>SUM(NhatkyNhap!$C84:K84)-SUM(NhatkyBan!$C84:K84)</f>
        <v>2</v>
      </c>
      <c r="L84" s="21">
        <f>SUM(NhatkyNhap!$C84:L84)-SUM(NhatkyBan!$C84:L84)</f>
        <v>2</v>
      </c>
      <c r="M84" s="21">
        <f>SUM(NhatkyNhap!$C84:M84)-SUM(NhatkyBan!$C84:M84)</f>
        <v>2</v>
      </c>
      <c r="N84" s="21">
        <f>SUM(NhatkyNhap!$C84:N84)-SUM(NhatkyBan!$C84:N84)</f>
        <v>2</v>
      </c>
      <c r="O84" s="21">
        <f>SUM(NhatkyNhap!$C84:O84)-SUM(NhatkyBan!$C84:O84)</f>
        <v>2</v>
      </c>
      <c r="P84" s="21">
        <f>SUM(NhatkyNhap!$C84:P84)-SUM(NhatkyBan!$C84:P84)</f>
        <v>2</v>
      </c>
      <c r="Q84" s="21">
        <f>SUM(NhatkyNhap!$C84:Q84)-SUM(NhatkyBan!$C84:Q84)</f>
        <v>2</v>
      </c>
      <c r="R84" s="21">
        <f>SUM(NhatkyNhap!$C84:R84)-SUM(NhatkyBan!$C84:R84)</f>
        <v>2</v>
      </c>
      <c r="S84" s="21">
        <f>SUM(NhatkyNhap!$C84:S84)-SUM(NhatkyBan!$C84:S84)</f>
        <v>2</v>
      </c>
      <c r="T84" s="21">
        <f>SUM(NhatkyNhap!$C84:T84)-SUM(NhatkyBan!$C84:T84)</f>
        <v>2</v>
      </c>
      <c r="U84" s="21">
        <f>SUM(NhatkyNhap!$C84:U84)-SUM(NhatkyBan!$C84:U84)</f>
        <v>2</v>
      </c>
      <c r="V84" s="21">
        <f>SUM(NhatkyNhap!$C84:V84)-SUM(NhatkyBan!$C84:V84)</f>
        <v>2</v>
      </c>
      <c r="W84" s="21">
        <f>SUM(NhatkyNhap!$C84:W84)-SUM(NhatkyBan!$C84:W84)</f>
        <v>2</v>
      </c>
      <c r="X84" s="21">
        <f>SUM(NhatkyNhap!$C84:X84)-SUM(NhatkyBan!$C84:X84)</f>
        <v>2</v>
      </c>
      <c r="Y84" s="21">
        <f>SUM(NhatkyNhap!$C84:Y84)-SUM(NhatkyBan!$C84:Y84)</f>
        <v>2</v>
      </c>
      <c r="Z84" s="21">
        <f>SUM(NhatkyNhap!$C84:Z84)-SUM(NhatkyBan!$C84:Z84)</f>
        <v>2</v>
      </c>
      <c r="AA84" s="21">
        <f>SUM(NhatkyNhap!$C84:AA84)-SUM(NhatkyBan!$C84:AA84)</f>
        <v>2</v>
      </c>
      <c r="AB84" s="21">
        <f>SUM(NhatkyNhap!$C84:AB84)-SUM(NhatkyBan!$C84:AB84)</f>
        <v>2</v>
      </c>
      <c r="AC84" s="21">
        <f>SUM(NhatkyNhap!$C84:AC84)-SUM(NhatkyBan!$C84:AC84)</f>
        <v>2</v>
      </c>
      <c r="AD84" s="21">
        <f>SUM(NhatkyNhap!$C84:AD84)-SUM(NhatkyBan!$C84:AD84)</f>
        <v>2</v>
      </c>
      <c r="AE84" s="21">
        <f>SUM(NhatkyNhap!$C84:AE84)-SUM(NhatkyBan!$C84:AE84)</f>
        <v>2</v>
      </c>
      <c r="AF84" s="21">
        <f>SUM(NhatkyNhap!$C84:AF84)-SUM(NhatkyBan!$C84:AF84)</f>
        <v>2</v>
      </c>
      <c r="AG84" s="21">
        <f>SUM(NhatkyNhap!$C84:AG84)-SUM(NhatkyBan!$C84:AG84)</f>
        <v>2</v>
      </c>
    </row>
    <row r="85" spans="1:33" ht="12.75" customHeight="1">
      <c r="A85" s="76" t="str">
        <f>DSSP!A84</f>
        <v>A098</v>
      </c>
      <c r="B85" s="25" t="str">
        <f>DSSP!B84</f>
        <v>Kẹo que</v>
      </c>
      <c r="C85" s="21">
        <f>SUM(NhatkyNhap!$C85:C85)-SUM(NhatkyBan!$C85:C85)</f>
        <v>10</v>
      </c>
      <c r="D85" s="21">
        <f>SUM(NhatkyNhap!$C85:D85)-SUM(NhatkyBan!$C85:D85)</f>
        <v>10</v>
      </c>
      <c r="E85" s="21">
        <f>SUM(NhatkyNhap!$C85:E85)-SUM(NhatkyBan!$C85:E85)</f>
        <v>10</v>
      </c>
      <c r="F85" s="21">
        <f>SUM(NhatkyNhap!$C85:F85)-SUM(NhatkyBan!$C85:F85)</f>
        <v>10</v>
      </c>
      <c r="G85" s="21">
        <f>SUM(NhatkyNhap!$C85:G85)-SUM(NhatkyBan!$C85:G85)</f>
        <v>10</v>
      </c>
      <c r="H85" s="21">
        <f>SUM(NhatkyNhap!$C85:H85)-SUM(NhatkyBan!$C85:H85)</f>
        <v>10</v>
      </c>
      <c r="I85" s="21">
        <f>SUM(NhatkyNhap!$C85:I85)-SUM(NhatkyBan!$C85:I85)</f>
        <v>10</v>
      </c>
      <c r="J85" s="21">
        <f>SUM(NhatkyNhap!$C85:J85)-SUM(NhatkyBan!$C85:J85)</f>
        <v>10</v>
      </c>
      <c r="K85" s="21">
        <f>SUM(NhatkyNhap!$C85:K85)-SUM(NhatkyBan!$C85:K85)</f>
        <v>10</v>
      </c>
      <c r="L85" s="21">
        <f>SUM(NhatkyNhap!$C85:L85)-SUM(NhatkyBan!$C85:L85)</f>
        <v>10</v>
      </c>
      <c r="M85" s="21">
        <f>SUM(NhatkyNhap!$C85:M85)-SUM(NhatkyBan!$C85:M85)</f>
        <v>10</v>
      </c>
      <c r="N85" s="21">
        <f>SUM(NhatkyNhap!$C85:N85)-SUM(NhatkyBan!$C85:N85)</f>
        <v>10</v>
      </c>
      <c r="O85" s="21">
        <f>SUM(NhatkyNhap!$C85:O85)-SUM(NhatkyBan!$C85:O85)</f>
        <v>10</v>
      </c>
      <c r="P85" s="21">
        <f>SUM(NhatkyNhap!$C85:P85)-SUM(NhatkyBan!$C85:P85)</f>
        <v>10</v>
      </c>
      <c r="Q85" s="21">
        <f>SUM(NhatkyNhap!$C85:Q85)-SUM(NhatkyBan!$C85:Q85)</f>
        <v>10</v>
      </c>
      <c r="R85" s="21">
        <f>SUM(NhatkyNhap!$C85:R85)-SUM(NhatkyBan!$C85:R85)</f>
        <v>10</v>
      </c>
      <c r="S85" s="21">
        <f>SUM(NhatkyNhap!$C85:S85)-SUM(NhatkyBan!$C85:S85)</f>
        <v>10</v>
      </c>
      <c r="T85" s="21">
        <f>SUM(NhatkyNhap!$C85:T85)-SUM(NhatkyBan!$C85:T85)</f>
        <v>10</v>
      </c>
      <c r="U85" s="21">
        <f>SUM(NhatkyNhap!$C85:U85)-SUM(NhatkyBan!$C85:U85)</f>
        <v>10</v>
      </c>
      <c r="V85" s="21">
        <f>SUM(NhatkyNhap!$C85:V85)-SUM(NhatkyBan!$C85:V85)</f>
        <v>10</v>
      </c>
      <c r="W85" s="21">
        <f>SUM(NhatkyNhap!$C85:W85)-SUM(NhatkyBan!$C85:W85)</f>
        <v>10</v>
      </c>
      <c r="X85" s="21">
        <f>SUM(NhatkyNhap!$C85:X85)-SUM(NhatkyBan!$C85:X85)</f>
        <v>10</v>
      </c>
      <c r="Y85" s="21">
        <f>SUM(NhatkyNhap!$C85:Y85)-SUM(NhatkyBan!$C85:Y85)</f>
        <v>10</v>
      </c>
      <c r="Z85" s="21">
        <f>SUM(NhatkyNhap!$C85:Z85)-SUM(NhatkyBan!$C85:Z85)</f>
        <v>10</v>
      </c>
      <c r="AA85" s="21">
        <f>SUM(NhatkyNhap!$C85:AA85)-SUM(NhatkyBan!$C85:AA85)</f>
        <v>10</v>
      </c>
      <c r="AB85" s="21">
        <f>SUM(NhatkyNhap!$C85:AB85)-SUM(NhatkyBan!$C85:AB85)</f>
        <v>10</v>
      </c>
      <c r="AC85" s="21">
        <f>SUM(NhatkyNhap!$C85:AC85)-SUM(NhatkyBan!$C85:AC85)</f>
        <v>10</v>
      </c>
      <c r="AD85" s="21">
        <f>SUM(NhatkyNhap!$C85:AD85)-SUM(NhatkyBan!$C85:AD85)</f>
        <v>10</v>
      </c>
      <c r="AE85" s="21">
        <f>SUM(NhatkyNhap!$C85:AE85)-SUM(NhatkyBan!$C85:AE85)</f>
        <v>10</v>
      </c>
      <c r="AF85" s="21">
        <f>SUM(NhatkyNhap!$C85:AF85)-SUM(NhatkyBan!$C85:AF85)</f>
        <v>10</v>
      </c>
      <c r="AG85" s="21">
        <f>SUM(NhatkyNhap!$C85:AG85)-SUM(NhatkyBan!$C85:AG85)</f>
        <v>10</v>
      </c>
    </row>
    <row r="86" spans="1:33" ht="12.75" customHeight="1">
      <c r="A86" s="76" t="str">
        <f>DSSP!A85</f>
        <v>A101</v>
      </c>
      <c r="B86" s="25" t="str">
        <f>DSSP!B85</f>
        <v>Ông già Noel</v>
      </c>
      <c r="C86" s="21">
        <f>SUM(NhatkyNhap!$C86:C86)-SUM(NhatkyBan!$C86:C86)</f>
        <v>5</v>
      </c>
      <c r="D86" s="21">
        <f>SUM(NhatkyNhap!$C86:D86)-SUM(NhatkyBan!$C86:D86)</f>
        <v>5</v>
      </c>
      <c r="E86" s="21">
        <f>SUM(NhatkyNhap!$C86:E86)-SUM(NhatkyBan!$C86:E86)</f>
        <v>5</v>
      </c>
      <c r="F86" s="21">
        <f>SUM(NhatkyNhap!$C86:F86)-SUM(NhatkyBan!$C86:F86)</f>
        <v>5</v>
      </c>
      <c r="G86" s="21">
        <f>SUM(NhatkyNhap!$C86:G86)-SUM(NhatkyBan!$C86:G86)</f>
        <v>5</v>
      </c>
      <c r="H86" s="21">
        <f>SUM(NhatkyNhap!$C86:H86)-SUM(NhatkyBan!$C86:H86)</f>
        <v>5</v>
      </c>
      <c r="I86" s="21">
        <f>SUM(NhatkyNhap!$C86:I86)-SUM(NhatkyBan!$C86:I86)</f>
        <v>5</v>
      </c>
      <c r="J86" s="21">
        <f>SUM(NhatkyNhap!$C86:J86)-SUM(NhatkyBan!$C86:J86)</f>
        <v>5</v>
      </c>
      <c r="K86" s="21">
        <f>SUM(NhatkyNhap!$C86:K86)-SUM(NhatkyBan!$C86:K86)</f>
        <v>5</v>
      </c>
      <c r="L86" s="21">
        <f>SUM(NhatkyNhap!$C86:L86)-SUM(NhatkyBan!$C86:L86)</f>
        <v>5</v>
      </c>
      <c r="M86" s="21">
        <f>SUM(NhatkyNhap!$C86:M86)-SUM(NhatkyBan!$C86:M86)</f>
        <v>5</v>
      </c>
      <c r="N86" s="21">
        <f>SUM(NhatkyNhap!$C86:N86)-SUM(NhatkyBan!$C86:N86)</f>
        <v>5</v>
      </c>
      <c r="O86" s="21">
        <f>SUM(NhatkyNhap!$C86:O86)-SUM(NhatkyBan!$C86:O86)</f>
        <v>5</v>
      </c>
      <c r="P86" s="21">
        <f>SUM(NhatkyNhap!$C86:P86)-SUM(NhatkyBan!$C86:P86)</f>
        <v>5</v>
      </c>
      <c r="Q86" s="21">
        <f>SUM(NhatkyNhap!$C86:Q86)-SUM(NhatkyBan!$C86:Q86)</f>
        <v>5</v>
      </c>
      <c r="R86" s="21">
        <f>SUM(NhatkyNhap!$C86:R86)-SUM(NhatkyBan!$C86:R86)</f>
        <v>5</v>
      </c>
      <c r="S86" s="21">
        <f>SUM(NhatkyNhap!$C86:S86)-SUM(NhatkyBan!$C86:S86)</f>
        <v>5</v>
      </c>
      <c r="T86" s="21">
        <f>SUM(NhatkyNhap!$C86:T86)-SUM(NhatkyBan!$C86:T86)</f>
        <v>5</v>
      </c>
      <c r="U86" s="21">
        <f>SUM(NhatkyNhap!$C86:U86)-SUM(NhatkyBan!$C86:U86)</f>
        <v>5</v>
      </c>
      <c r="V86" s="21">
        <f>SUM(NhatkyNhap!$C86:V86)-SUM(NhatkyBan!$C86:V86)</f>
        <v>5</v>
      </c>
      <c r="W86" s="21">
        <f>SUM(NhatkyNhap!$C86:W86)-SUM(NhatkyBan!$C86:W86)</f>
        <v>5</v>
      </c>
      <c r="X86" s="21">
        <f>SUM(NhatkyNhap!$C86:X86)-SUM(NhatkyBan!$C86:X86)</f>
        <v>5</v>
      </c>
      <c r="Y86" s="21">
        <f>SUM(NhatkyNhap!$C86:Y86)-SUM(NhatkyBan!$C86:Y86)</f>
        <v>5</v>
      </c>
      <c r="Z86" s="21">
        <f>SUM(NhatkyNhap!$C86:Z86)-SUM(NhatkyBan!$C86:Z86)</f>
        <v>5</v>
      </c>
      <c r="AA86" s="21">
        <f>SUM(NhatkyNhap!$C86:AA86)-SUM(NhatkyBan!$C86:AA86)</f>
        <v>5</v>
      </c>
      <c r="AB86" s="21">
        <f>SUM(NhatkyNhap!$C86:AB86)-SUM(NhatkyBan!$C86:AB86)</f>
        <v>5</v>
      </c>
      <c r="AC86" s="21">
        <f>SUM(NhatkyNhap!$C86:AC86)-SUM(NhatkyBan!$C86:AC86)</f>
        <v>5</v>
      </c>
      <c r="AD86" s="21">
        <f>SUM(NhatkyNhap!$C86:AD86)-SUM(NhatkyBan!$C86:AD86)</f>
        <v>5</v>
      </c>
      <c r="AE86" s="21">
        <f>SUM(NhatkyNhap!$C86:AE86)-SUM(NhatkyBan!$C86:AE86)</f>
        <v>5</v>
      </c>
      <c r="AF86" s="21">
        <f>SUM(NhatkyNhap!$C86:AF86)-SUM(NhatkyBan!$C86:AF86)</f>
        <v>5</v>
      </c>
      <c r="AG86" s="21">
        <f>SUM(NhatkyNhap!$C86:AG86)-SUM(NhatkyBan!$C86:AG86)</f>
        <v>5</v>
      </c>
    </row>
    <row r="87" spans="1:33" ht="12.75" customHeight="1">
      <c r="A87" s="76" t="str">
        <f>DSSP!A86</f>
        <v>B01</v>
      </c>
      <c r="B87" s="25" t="str">
        <f>DSSP!B86</f>
        <v>Ấm trà tình yêu</v>
      </c>
      <c r="C87" s="21">
        <f>SUM(NhatkyNhap!$C87:C87)-SUM(NhatkyBan!$C87:C87)</f>
        <v>12</v>
      </c>
      <c r="D87" s="21">
        <f>SUM(NhatkyNhap!$C87:D87)-SUM(NhatkyBan!$C87:D87)</f>
        <v>12</v>
      </c>
      <c r="E87" s="21">
        <f>SUM(NhatkyNhap!$C87:E87)-SUM(NhatkyBan!$C87:E87)</f>
        <v>12</v>
      </c>
      <c r="F87" s="21">
        <f>SUM(NhatkyNhap!$C87:F87)-SUM(NhatkyBan!$C87:F87)</f>
        <v>12</v>
      </c>
      <c r="G87" s="21">
        <f>SUM(NhatkyNhap!$C87:G87)-SUM(NhatkyBan!$C87:G87)</f>
        <v>12</v>
      </c>
      <c r="H87" s="21">
        <f>SUM(NhatkyNhap!$C87:H87)-SUM(NhatkyBan!$C87:H87)</f>
        <v>12</v>
      </c>
      <c r="I87" s="21">
        <f>SUM(NhatkyNhap!$C87:I87)-SUM(NhatkyBan!$C87:I87)</f>
        <v>12</v>
      </c>
      <c r="J87" s="21">
        <f>SUM(NhatkyNhap!$C87:J87)-SUM(NhatkyBan!$C87:J87)</f>
        <v>12</v>
      </c>
      <c r="K87" s="21">
        <f>SUM(NhatkyNhap!$C87:K87)-SUM(NhatkyBan!$C87:K87)</f>
        <v>12</v>
      </c>
      <c r="L87" s="21">
        <f>SUM(NhatkyNhap!$C87:L87)-SUM(NhatkyBan!$C87:L87)</f>
        <v>12</v>
      </c>
      <c r="M87" s="21">
        <f>SUM(NhatkyNhap!$C87:M87)-SUM(NhatkyBan!$C87:M87)</f>
        <v>12</v>
      </c>
      <c r="N87" s="21">
        <f>SUM(NhatkyNhap!$C87:N87)-SUM(NhatkyBan!$C87:N87)</f>
        <v>12</v>
      </c>
      <c r="O87" s="21">
        <f>SUM(NhatkyNhap!$C87:O87)-SUM(NhatkyBan!$C87:O87)</f>
        <v>12</v>
      </c>
      <c r="P87" s="21">
        <f>SUM(NhatkyNhap!$C87:P87)-SUM(NhatkyBan!$C87:P87)</f>
        <v>12</v>
      </c>
      <c r="Q87" s="21">
        <f>SUM(NhatkyNhap!$C87:Q87)-SUM(NhatkyBan!$C87:Q87)</f>
        <v>12</v>
      </c>
      <c r="R87" s="21">
        <f>SUM(NhatkyNhap!$C87:R87)-SUM(NhatkyBan!$C87:R87)</f>
        <v>12</v>
      </c>
      <c r="S87" s="21">
        <f>SUM(NhatkyNhap!$C87:S87)-SUM(NhatkyBan!$C87:S87)</f>
        <v>12</v>
      </c>
      <c r="T87" s="21">
        <f>SUM(NhatkyNhap!$C87:T87)-SUM(NhatkyBan!$C87:T87)</f>
        <v>12</v>
      </c>
      <c r="U87" s="21">
        <f>SUM(NhatkyNhap!$C87:U87)-SUM(NhatkyBan!$C87:U87)</f>
        <v>12</v>
      </c>
      <c r="V87" s="21">
        <f>SUM(NhatkyNhap!$C87:V87)-SUM(NhatkyBan!$C87:V87)</f>
        <v>12</v>
      </c>
      <c r="W87" s="21">
        <f>SUM(NhatkyNhap!$C87:W87)-SUM(NhatkyBan!$C87:W87)</f>
        <v>12</v>
      </c>
      <c r="X87" s="21">
        <f>SUM(NhatkyNhap!$C87:X87)-SUM(NhatkyBan!$C87:X87)</f>
        <v>12</v>
      </c>
      <c r="Y87" s="21">
        <f>SUM(NhatkyNhap!$C87:Y87)-SUM(NhatkyBan!$C87:Y87)</f>
        <v>12</v>
      </c>
      <c r="Z87" s="21">
        <f>SUM(NhatkyNhap!$C87:Z87)-SUM(NhatkyBan!$C87:Z87)</f>
        <v>12</v>
      </c>
      <c r="AA87" s="21">
        <f>SUM(NhatkyNhap!$C87:AA87)-SUM(NhatkyBan!$C87:AA87)</f>
        <v>12</v>
      </c>
      <c r="AB87" s="21">
        <f>SUM(NhatkyNhap!$C87:AB87)-SUM(NhatkyBan!$C87:AB87)</f>
        <v>12</v>
      </c>
      <c r="AC87" s="21">
        <f>SUM(NhatkyNhap!$C87:AC87)-SUM(NhatkyBan!$C87:AC87)</f>
        <v>12</v>
      </c>
      <c r="AD87" s="21">
        <f>SUM(NhatkyNhap!$C87:AD87)-SUM(NhatkyBan!$C87:AD87)</f>
        <v>12</v>
      </c>
      <c r="AE87" s="21">
        <f>SUM(NhatkyNhap!$C87:AE87)-SUM(NhatkyBan!$C87:AE87)</f>
        <v>12</v>
      </c>
      <c r="AF87" s="21">
        <f>SUM(NhatkyNhap!$C87:AF87)-SUM(NhatkyBan!$C87:AF87)</f>
        <v>12</v>
      </c>
      <c r="AG87" s="21">
        <f>SUM(NhatkyNhap!$C87:AG87)-SUM(NhatkyBan!$C87:AG87)</f>
        <v>12</v>
      </c>
    </row>
    <row r="88" spans="1:33" ht="12.75" customHeight="1">
      <c r="A88" s="76" t="str">
        <f>DSSP!A87</f>
        <v>B02</v>
      </c>
      <c r="B88" s="25" t="str">
        <f>DSSP!B87</f>
        <v>Lò nướng kitty</v>
      </c>
      <c r="C88" s="21">
        <f>SUM(NhatkyNhap!$C88:C88)-SUM(NhatkyBan!$C88:C88)</f>
        <v>0</v>
      </c>
      <c r="D88" s="21">
        <f>SUM(NhatkyNhap!$C88:D88)-SUM(NhatkyBan!$C88:D88)</f>
        <v>0</v>
      </c>
      <c r="E88" s="21">
        <f>SUM(NhatkyNhap!$C88:E88)-SUM(NhatkyBan!$C88:E88)</f>
        <v>0</v>
      </c>
      <c r="F88" s="21">
        <f>SUM(NhatkyNhap!$C88:F88)-SUM(NhatkyBan!$C88:F88)</f>
        <v>0</v>
      </c>
      <c r="G88" s="21">
        <f>SUM(NhatkyNhap!$C88:G88)-SUM(NhatkyBan!$C88:G88)</f>
        <v>0</v>
      </c>
      <c r="H88" s="21">
        <f>SUM(NhatkyNhap!$C88:H88)-SUM(NhatkyBan!$C88:H88)</f>
        <v>0</v>
      </c>
      <c r="I88" s="21">
        <f>SUM(NhatkyNhap!$C88:I88)-SUM(NhatkyBan!$C88:I88)</f>
        <v>0</v>
      </c>
      <c r="J88" s="21">
        <f>SUM(NhatkyNhap!$C88:J88)-SUM(NhatkyBan!$C88:J88)</f>
        <v>0</v>
      </c>
      <c r="K88" s="21">
        <f>SUM(NhatkyNhap!$C88:K88)-SUM(NhatkyBan!$C88:K88)</f>
        <v>0</v>
      </c>
      <c r="L88" s="21">
        <f>SUM(NhatkyNhap!$C88:L88)-SUM(NhatkyBan!$C88:L88)</f>
        <v>0</v>
      </c>
      <c r="M88" s="21">
        <f>SUM(NhatkyNhap!$C88:M88)-SUM(NhatkyBan!$C88:M88)</f>
        <v>0</v>
      </c>
      <c r="N88" s="21">
        <f>SUM(NhatkyNhap!$C88:N88)-SUM(NhatkyBan!$C88:N88)</f>
        <v>0</v>
      </c>
      <c r="O88" s="21">
        <f>SUM(NhatkyNhap!$C88:O88)-SUM(NhatkyBan!$C88:O88)</f>
        <v>0</v>
      </c>
      <c r="P88" s="21">
        <f>SUM(NhatkyNhap!$C88:P88)-SUM(NhatkyBan!$C88:P88)</f>
        <v>0</v>
      </c>
      <c r="Q88" s="21">
        <f>SUM(NhatkyNhap!$C88:Q88)-SUM(NhatkyBan!$C88:Q88)</f>
        <v>0</v>
      </c>
      <c r="R88" s="21">
        <f>SUM(NhatkyNhap!$C88:R88)-SUM(NhatkyBan!$C88:R88)</f>
        <v>0</v>
      </c>
      <c r="S88" s="21">
        <f>SUM(NhatkyNhap!$C88:S88)-SUM(NhatkyBan!$C88:S88)</f>
        <v>0</v>
      </c>
      <c r="T88" s="21">
        <f>SUM(NhatkyNhap!$C88:T88)-SUM(NhatkyBan!$C88:T88)</f>
        <v>0</v>
      </c>
      <c r="U88" s="21">
        <f>SUM(NhatkyNhap!$C88:U88)-SUM(NhatkyBan!$C88:U88)</f>
        <v>0</v>
      </c>
      <c r="V88" s="21">
        <f>SUM(NhatkyNhap!$C88:V88)-SUM(NhatkyBan!$C88:V88)</f>
        <v>0</v>
      </c>
      <c r="W88" s="21">
        <f>SUM(NhatkyNhap!$C88:W88)-SUM(NhatkyBan!$C88:W88)</f>
        <v>0</v>
      </c>
      <c r="X88" s="21">
        <f>SUM(NhatkyNhap!$C88:X88)-SUM(NhatkyBan!$C88:X88)</f>
        <v>0</v>
      </c>
      <c r="Y88" s="21">
        <f>SUM(NhatkyNhap!$C88:Y88)-SUM(NhatkyBan!$C88:Y88)</f>
        <v>0</v>
      </c>
      <c r="Z88" s="21">
        <f>SUM(NhatkyNhap!$C88:Z88)-SUM(NhatkyBan!$C88:Z88)</f>
        <v>0</v>
      </c>
      <c r="AA88" s="21">
        <f>SUM(NhatkyNhap!$C88:AA88)-SUM(NhatkyBan!$C88:AA88)</f>
        <v>0</v>
      </c>
      <c r="AB88" s="21">
        <f>SUM(NhatkyNhap!$C88:AB88)-SUM(NhatkyBan!$C88:AB88)</f>
        <v>0</v>
      </c>
      <c r="AC88" s="21">
        <f>SUM(NhatkyNhap!$C88:AC88)-SUM(NhatkyBan!$C88:AC88)</f>
        <v>0</v>
      </c>
      <c r="AD88" s="21">
        <f>SUM(NhatkyNhap!$C88:AD88)-SUM(NhatkyBan!$C88:AD88)</f>
        <v>0</v>
      </c>
      <c r="AE88" s="21">
        <f>SUM(NhatkyNhap!$C88:AE88)-SUM(NhatkyBan!$C88:AE88)</f>
        <v>0</v>
      </c>
      <c r="AF88" s="21">
        <f>SUM(NhatkyNhap!$C88:AF88)-SUM(NhatkyBan!$C88:AF88)</f>
        <v>0</v>
      </c>
      <c r="AG88" s="21">
        <f>SUM(NhatkyNhap!$C88:AG88)-SUM(NhatkyBan!$C88:AG88)</f>
        <v>0</v>
      </c>
    </row>
    <row r="89" spans="1:33" ht="12.75" customHeight="1">
      <c r="A89" s="76" t="str">
        <f>DSSP!A88</f>
        <v>B03</v>
      </c>
      <c r="B89" s="25" t="str">
        <f>DSSP!B88</f>
        <v>Cafe hoa quả</v>
      </c>
      <c r="C89" s="21">
        <f>SUM(NhatkyNhap!$C89:C89)-SUM(NhatkyBan!$C89:C89)</f>
        <v>0</v>
      </c>
      <c r="D89" s="21">
        <f>SUM(NhatkyNhap!$C89:D89)-SUM(NhatkyBan!$C89:D89)</f>
        <v>0</v>
      </c>
      <c r="E89" s="21">
        <f>SUM(NhatkyNhap!$C89:E89)-SUM(NhatkyBan!$C89:E89)</f>
        <v>0</v>
      </c>
      <c r="F89" s="21">
        <f>SUM(NhatkyNhap!$C89:F89)-SUM(NhatkyBan!$C89:F89)</f>
        <v>0</v>
      </c>
      <c r="G89" s="21">
        <f>SUM(NhatkyNhap!$C89:G89)-SUM(NhatkyBan!$C89:G89)</f>
        <v>0</v>
      </c>
      <c r="H89" s="21">
        <f>SUM(NhatkyNhap!$C89:H89)-SUM(NhatkyBan!$C89:H89)</f>
        <v>0</v>
      </c>
      <c r="I89" s="21">
        <f>SUM(NhatkyNhap!$C89:I89)-SUM(NhatkyBan!$C89:I89)</f>
        <v>0</v>
      </c>
      <c r="J89" s="21">
        <f>SUM(NhatkyNhap!$C89:J89)-SUM(NhatkyBan!$C89:J89)</f>
        <v>0</v>
      </c>
      <c r="K89" s="21">
        <f>SUM(NhatkyNhap!$C89:K89)-SUM(NhatkyBan!$C89:K89)</f>
        <v>0</v>
      </c>
      <c r="L89" s="21">
        <f>SUM(NhatkyNhap!$C89:L89)-SUM(NhatkyBan!$C89:L89)</f>
        <v>0</v>
      </c>
      <c r="M89" s="21">
        <f>SUM(NhatkyNhap!$C89:M89)-SUM(NhatkyBan!$C89:M89)</f>
        <v>0</v>
      </c>
      <c r="N89" s="21">
        <f>SUM(NhatkyNhap!$C89:N89)-SUM(NhatkyBan!$C89:N89)</f>
        <v>0</v>
      </c>
      <c r="O89" s="21">
        <f>SUM(NhatkyNhap!$C89:O89)-SUM(NhatkyBan!$C89:O89)</f>
        <v>0</v>
      </c>
      <c r="P89" s="21">
        <f>SUM(NhatkyNhap!$C89:P89)-SUM(NhatkyBan!$C89:P89)</f>
        <v>0</v>
      </c>
      <c r="Q89" s="21">
        <f>SUM(NhatkyNhap!$C89:Q89)-SUM(NhatkyBan!$C89:Q89)</f>
        <v>0</v>
      </c>
      <c r="R89" s="21">
        <f>SUM(NhatkyNhap!$C89:R89)-SUM(NhatkyBan!$C89:R89)</f>
        <v>0</v>
      </c>
      <c r="S89" s="21">
        <f>SUM(NhatkyNhap!$C89:S89)-SUM(NhatkyBan!$C89:S89)</f>
        <v>0</v>
      </c>
      <c r="T89" s="21">
        <f>SUM(NhatkyNhap!$C89:T89)-SUM(NhatkyBan!$C89:T89)</f>
        <v>0</v>
      </c>
      <c r="U89" s="21">
        <f>SUM(NhatkyNhap!$C89:U89)-SUM(NhatkyBan!$C89:U89)</f>
        <v>0</v>
      </c>
      <c r="V89" s="21">
        <f>SUM(NhatkyNhap!$C89:V89)-SUM(NhatkyBan!$C89:V89)</f>
        <v>0</v>
      </c>
      <c r="W89" s="21">
        <f>SUM(NhatkyNhap!$C89:W89)-SUM(NhatkyBan!$C89:W89)</f>
        <v>0</v>
      </c>
      <c r="X89" s="21">
        <f>SUM(NhatkyNhap!$C89:X89)-SUM(NhatkyBan!$C89:X89)</f>
        <v>0</v>
      </c>
      <c r="Y89" s="21">
        <f>SUM(NhatkyNhap!$C89:Y89)-SUM(NhatkyBan!$C89:Y89)</f>
        <v>0</v>
      </c>
      <c r="Z89" s="21">
        <f>SUM(NhatkyNhap!$C89:Z89)-SUM(NhatkyBan!$C89:Z89)</f>
        <v>0</v>
      </c>
      <c r="AA89" s="21">
        <f>SUM(NhatkyNhap!$C89:AA89)-SUM(NhatkyBan!$C89:AA89)</f>
        <v>0</v>
      </c>
      <c r="AB89" s="21">
        <f>SUM(NhatkyNhap!$C89:AB89)-SUM(NhatkyBan!$C89:AB89)</f>
        <v>0</v>
      </c>
      <c r="AC89" s="21">
        <f>SUM(NhatkyNhap!$C89:AC89)-SUM(NhatkyBan!$C89:AC89)</f>
        <v>0</v>
      </c>
      <c r="AD89" s="21">
        <f>SUM(NhatkyNhap!$C89:AD89)-SUM(NhatkyBan!$C89:AD89)</f>
        <v>0</v>
      </c>
      <c r="AE89" s="21">
        <f>SUM(NhatkyNhap!$C89:AE89)-SUM(NhatkyBan!$C89:AE89)</f>
        <v>0</v>
      </c>
      <c r="AF89" s="21">
        <f>SUM(NhatkyNhap!$C89:AF89)-SUM(NhatkyBan!$C89:AF89)</f>
        <v>0</v>
      </c>
      <c r="AG89" s="21">
        <f>SUM(NhatkyNhap!$C89:AG89)-SUM(NhatkyBan!$C89:AG89)</f>
        <v>0</v>
      </c>
    </row>
    <row r="90" spans="1:33" ht="12.75" customHeight="1">
      <c r="A90" s="76" t="str">
        <f>DSSP!A89</f>
        <v>B04</v>
      </c>
      <c r="B90" s="25" t="str">
        <f>DSSP!B89</f>
        <v>Fastfood</v>
      </c>
      <c r="C90" s="21">
        <f>SUM(NhatkyNhap!$C90:C90)-SUM(NhatkyBan!$C90:C90)</f>
        <v>12</v>
      </c>
      <c r="D90" s="21">
        <f>SUM(NhatkyNhap!$C90:D90)-SUM(NhatkyBan!$C90:D90)</f>
        <v>12</v>
      </c>
      <c r="E90" s="21">
        <f>SUM(NhatkyNhap!$C90:E90)-SUM(NhatkyBan!$C90:E90)</f>
        <v>12</v>
      </c>
      <c r="F90" s="21">
        <f>SUM(NhatkyNhap!$C90:F90)-SUM(NhatkyBan!$C90:F90)</f>
        <v>12</v>
      </c>
      <c r="G90" s="21">
        <f>SUM(NhatkyNhap!$C90:G90)-SUM(NhatkyBan!$C90:G90)</f>
        <v>12</v>
      </c>
      <c r="H90" s="21">
        <f>SUM(NhatkyNhap!$C90:H90)-SUM(NhatkyBan!$C90:H90)</f>
        <v>12</v>
      </c>
      <c r="I90" s="21">
        <f>SUM(NhatkyNhap!$C90:I90)-SUM(NhatkyBan!$C90:I90)</f>
        <v>12</v>
      </c>
      <c r="J90" s="21">
        <f>SUM(NhatkyNhap!$C90:J90)-SUM(NhatkyBan!$C90:J90)</f>
        <v>12</v>
      </c>
      <c r="K90" s="21">
        <f>SUM(NhatkyNhap!$C90:K90)-SUM(NhatkyBan!$C90:K90)</f>
        <v>12</v>
      </c>
      <c r="L90" s="21">
        <f>SUM(NhatkyNhap!$C90:L90)-SUM(NhatkyBan!$C90:L90)</f>
        <v>12</v>
      </c>
      <c r="M90" s="21">
        <f>SUM(NhatkyNhap!$C90:M90)-SUM(NhatkyBan!$C90:M90)</f>
        <v>12</v>
      </c>
      <c r="N90" s="21">
        <f>SUM(NhatkyNhap!$C90:N90)-SUM(NhatkyBan!$C90:N90)</f>
        <v>12</v>
      </c>
      <c r="O90" s="21">
        <f>SUM(NhatkyNhap!$C90:O90)-SUM(NhatkyBan!$C90:O90)</f>
        <v>12</v>
      </c>
      <c r="P90" s="21">
        <f>SUM(NhatkyNhap!$C90:P90)-SUM(NhatkyBan!$C90:P90)</f>
        <v>12</v>
      </c>
      <c r="Q90" s="21">
        <f>SUM(NhatkyNhap!$C90:Q90)-SUM(NhatkyBan!$C90:Q90)</f>
        <v>12</v>
      </c>
      <c r="R90" s="21">
        <f>SUM(NhatkyNhap!$C90:R90)-SUM(NhatkyBan!$C90:R90)</f>
        <v>12</v>
      </c>
      <c r="S90" s="21">
        <f>SUM(NhatkyNhap!$C90:S90)-SUM(NhatkyBan!$C90:S90)</f>
        <v>12</v>
      </c>
      <c r="T90" s="21">
        <f>SUM(NhatkyNhap!$C90:T90)-SUM(NhatkyBan!$C90:T90)</f>
        <v>12</v>
      </c>
      <c r="U90" s="21">
        <f>SUM(NhatkyNhap!$C90:U90)-SUM(NhatkyBan!$C90:U90)</f>
        <v>12</v>
      </c>
      <c r="V90" s="21">
        <f>SUM(NhatkyNhap!$C90:V90)-SUM(NhatkyBan!$C90:V90)</f>
        <v>12</v>
      </c>
      <c r="W90" s="21">
        <f>SUM(NhatkyNhap!$C90:W90)-SUM(NhatkyBan!$C90:W90)</f>
        <v>12</v>
      </c>
      <c r="X90" s="21">
        <f>SUM(NhatkyNhap!$C90:X90)-SUM(NhatkyBan!$C90:X90)</f>
        <v>12</v>
      </c>
      <c r="Y90" s="21">
        <f>SUM(NhatkyNhap!$C90:Y90)-SUM(NhatkyBan!$C90:Y90)</f>
        <v>12</v>
      </c>
      <c r="Z90" s="21">
        <f>SUM(NhatkyNhap!$C90:Z90)-SUM(NhatkyBan!$C90:Z90)</f>
        <v>12</v>
      </c>
      <c r="AA90" s="21">
        <f>SUM(NhatkyNhap!$C90:AA90)-SUM(NhatkyBan!$C90:AA90)</f>
        <v>12</v>
      </c>
      <c r="AB90" s="21">
        <f>SUM(NhatkyNhap!$C90:AB90)-SUM(NhatkyBan!$C90:AB90)</f>
        <v>12</v>
      </c>
      <c r="AC90" s="21">
        <f>SUM(NhatkyNhap!$C90:AC90)-SUM(NhatkyBan!$C90:AC90)</f>
        <v>12</v>
      </c>
      <c r="AD90" s="21">
        <f>SUM(NhatkyNhap!$C90:AD90)-SUM(NhatkyBan!$C90:AD90)</f>
        <v>12</v>
      </c>
      <c r="AE90" s="21">
        <f>SUM(NhatkyNhap!$C90:AE90)-SUM(NhatkyBan!$C90:AE90)</f>
        <v>12</v>
      </c>
      <c r="AF90" s="21">
        <f>SUM(NhatkyNhap!$C90:AF90)-SUM(NhatkyBan!$C90:AF90)</f>
        <v>12</v>
      </c>
      <c r="AG90" s="21">
        <f>SUM(NhatkyNhap!$C90:AG90)-SUM(NhatkyBan!$C90:AG90)</f>
        <v>12</v>
      </c>
    </row>
    <row r="91" spans="1:33" ht="12.75" customHeight="1">
      <c r="A91" s="76" t="str">
        <f>DSSP!A90</f>
        <v>B06</v>
      </c>
      <c r="B91" s="25" t="str">
        <f>DSSP!B90</f>
        <v>Bàn cờ caro</v>
      </c>
      <c r="C91" s="21">
        <f>SUM(NhatkyNhap!$C91:C91)-SUM(NhatkyBan!$C91:C91)</f>
        <v>0</v>
      </c>
      <c r="D91" s="21">
        <f>SUM(NhatkyNhap!$C91:D91)-SUM(NhatkyBan!$C91:D91)</f>
        <v>0</v>
      </c>
      <c r="E91" s="21">
        <f>SUM(NhatkyNhap!$C91:E91)-SUM(NhatkyBan!$C91:E91)</f>
        <v>0</v>
      </c>
      <c r="F91" s="21">
        <f>SUM(NhatkyNhap!$C91:F91)-SUM(NhatkyBan!$C91:F91)</f>
        <v>0</v>
      </c>
      <c r="G91" s="21">
        <f>SUM(NhatkyNhap!$C91:G91)-SUM(NhatkyBan!$C91:G91)</f>
        <v>0</v>
      </c>
      <c r="H91" s="21">
        <f>SUM(NhatkyNhap!$C91:H91)-SUM(NhatkyBan!$C91:H91)</f>
        <v>0</v>
      </c>
      <c r="I91" s="21">
        <f>SUM(NhatkyNhap!$C91:I91)-SUM(NhatkyBan!$C91:I91)</f>
        <v>0</v>
      </c>
      <c r="J91" s="21">
        <f>SUM(NhatkyNhap!$C91:J91)-SUM(NhatkyBan!$C91:J91)</f>
        <v>0</v>
      </c>
      <c r="K91" s="21">
        <f>SUM(NhatkyNhap!$C91:K91)-SUM(NhatkyBan!$C91:K91)</f>
        <v>0</v>
      </c>
      <c r="L91" s="21">
        <f>SUM(NhatkyNhap!$C91:L91)-SUM(NhatkyBan!$C91:L91)</f>
        <v>0</v>
      </c>
      <c r="M91" s="21">
        <f>SUM(NhatkyNhap!$C91:M91)-SUM(NhatkyBan!$C91:M91)</f>
        <v>0</v>
      </c>
      <c r="N91" s="21">
        <f>SUM(NhatkyNhap!$C91:N91)-SUM(NhatkyBan!$C91:N91)</f>
        <v>0</v>
      </c>
      <c r="O91" s="21">
        <f>SUM(NhatkyNhap!$C91:O91)-SUM(NhatkyBan!$C91:O91)</f>
        <v>0</v>
      </c>
      <c r="P91" s="21">
        <f>SUM(NhatkyNhap!$C91:P91)-SUM(NhatkyBan!$C91:P91)</f>
        <v>0</v>
      </c>
      <c r="Q91" s="21">
        <f>SUM(NhatkyNhap!$C91:Q91)-SUM(NhatkyBan!$C91:Q91)</f>
        <v>0</v>
      </c>
      <c r="R91" s="21">
        <f>SUM(NhatkyNhap!$C91:R91)-SUM(NhatkyBan!$C91:R91)</f>
        <v>0</v>
      </c>
      <c r="S91" s="21">
        <f>SUM(NhatkyNhap!$C91:S91)-SUM(NhatkyBan!$C91:S91)</f>
        <v>0</v>
      </c>
      <c r="T91" s="21">
        <f>SUM(NhatkyNhap!$C91:T91)-SUM(NhatkyBan!$C91:T91)</f>
        <v>0</v>
      </c>
      <c r="U91" s="21">
        <f>SUM(NhatkyNhap!$C91:U91)-SUM(NhatkyBan!$C91:U91)</f>
        <v>0</v>
      </c>
      <c r="V91" s="21">
        <f>SUM(NhatkyNhap!$C91:V91)-SUM(NhatkyBan!$C91:V91)</f>
        <v>0</v>
      </c>
      <c r="W91" s="21">
        <f>SUM(NhatkyNhap!$C91:W91)-SUM(NhatkyBan!$C91:W91)</f>
        <v>0</v>
      </c>
      <c r="X91" s="21">
        <f>SUM(NhatkyNhap!$C91:X91)-SUM(NhatkyBan!$C91:X91)</f>
        <v>0</v>
      </c>
      <c r="Y91" s="21">
        <f>SUM(NhatkyNhap!$C91:Y91)-SUM(NhatkyBan!$C91:Y91)</f>
        <v>0</v>
      </c>
      <c r="Z91" s="21">
        <f>SUM(NhatkyNhap!$C91:Z91)-SUM(NhatkyBan!$C91:Z91)</f>
        <v>0</v>
      </c>
      <c r="AA91" s="21">
        <f>SUM(NhatkyNhap!$C91:AA91)-SUM(NhatkyBan!$C91:AA91)</f>
        <v>0</v>
      </c>
      <c r="AB91" s="21">
        <f>SUM(NhatkyNhap!$C91:AB91)-SUM(NhatkyBan!$C91:AB91)</f>
        <v>0</v>
      </c>
      <c r="AC91" s="21">
        <f>SUM(NhatkyNhap!$C91:AC91)-SUM(NhatkyBan!$C91:AC91)</f>
        <v>0</v>
      </c>
      <c r="AD91" s="21">
        <f>SUM(NhatkyNhap!$C91:AD91)-SUM(NhatkyBan!$C91:AD91)</f>
        <v>0</v>
      </c>
      <c r="AE91" s="21">
        <f>SUM(NhatkyNhap!$C91:AE91)-SUM(NhatkyBan!$C91:AE91)</f>
        <v>0</v>
      </c>
      <c r="AF91" s="21">
        <f>SUM(NhatkyNhap!$C91:AF91)-SUM(NhatkyBan!$C91:AF91)</f>
        <v>0</v>
      </c>
      <c r="AG91" s="21">
        <f>SUM(NhatkyNhap!$C91:AG91)-SUM(NhatkyBan!$C91:AG91)</f>
        <v>0</v>
      </c>
    </row>
    <row r="92" spans="1:33" ht="12.75" customHeight="1">
      <c r="A92" s="76" t="str">
        <f>DSSP!A91</f>
        <v>B07</v>
      </c>
      <c r="B92" s="25" t="str">
        <f>DSSP!B91</f>
        <v>Bánh dâu</v>
      </c>
      <c r="C92" s="21">
        <f>SUM(NhatkyNhap!$C92:C92)-SUM(NhatkyBan!$C92:C92)</f>
        <v>18</v>
      </c>
      <c r="D92" s="21">
        <f>SUM(NhatkyNhap!$C92:D92)-SUM(NhatkyBan!$C92:D92)</f>
        <v>18</v>
      </c>
      <c r="E92" s="21">
        <f>SUM(NhatkyNhap!$C92:E92)-SUM(NhatkyBan!$C92:E92)</f>
        <v>18</v>
      </c>
      <c r="F92" s="21">
        <f>SUM(NhatkyNhap!$C92:F92)-SUM(NhatkyBan!$C92:F92)</f>
        <v>18</v>
      </c>
      <c r="G92" s="21">
        <f>SUM(NhatkyNhap!$C92:G92)-SUM(NhatkyBan!$C92:G92)</f>
        <v>18</v>
      </c>
      <c r="H92" s="21">
        <f>SUM(NhatkyNhap!$C92:H92)-SUM(NhatkyBan!$C92:H92)</f>
        <v>18</v>
      </c>
      <c r="I92" s="21">
        <f>SUM(NhatkyNhap!$C92:I92)-SUM(NhatkyBan!$C92:I92)</f>
        <v>18</v>
      </c>
      <c r="J92" s="21">
        <f>SUM(NhatkyNhap!$C92:J92)-SUM(NhatkyBan!$C92:J92)</f>
        <v>18</v>
      </c>
      <c r="K92" s="21">
        <f>SUM(NhatkyNhap!$C92:K92)-SUM(NhatkyBan!$C92:K92)</f>
        <v>18</v>
      </c>
      <c r="L92" s="21">
        <f>SUM(NhatkyNhap!$C92:L92)-SUM(NhatkyBan!$C92:L92)</f>
        <v>18</v>
      </c>
      <c r="M92" s="21">
        <f>SUM(NhatkyNhap!$C92:M92)-SUM(NhatkyBan!$C92:M92)</f>
        <v>18</v>
      </c>
      <c r="N92" s="21">
        <f>SUM(NhatkyNhap!$C92:N92)-SUM(NhatkyBan!$C92:N92)</f>
        <v>18</v>
      </c>
      <c r="O92" s="21">
        <f>SUM(NhatkyNhap!$C92:O92)-SUM(NhatkyBan!$C92:O92)</f>
        <v>18</v>
      </c>
      <c r="P92" s="21">
        <f>SUM(NhatkyNhap!$C92:P92)-SUM(NhatkyBan!$C92:P92)</f>
        <v>18</v>
      </c>
      <c r="Q92" s="21">
        <f>SUM(NhatkyNhap!$C92:Q92)-SUM(NhatkyBan!$C92:Q92)</f>
        <v>18</v>
      </c>
      <c r="R92" s="21">
        <f>SUM(NhatkyNhap!$C92:R92)-SUM(NhatkyBan!$C92:R92)</f>
        <v>18</v>
      </c>
      <c r="S92" s="21">
        <f>SUM(NhatkyNhap!$C92:S92)-SUM(NhatkyBan!$C92:S92)</f>
        <v>18</v>
      </c>
      <c r="T92" s="21">
        <f>SUM(NhatkyNhap!$C92:T92)-SUM(NhatkyBan!$C92:T92)</f>
        <v>18</v>
      </c>
      <c r="U92" s="21">
        <f>SUM(NhatkyNhap!$C92:U92)-SUM(NhatkyBan!$C92:U92)</f>
        <v>18</v>
      </c>
      <c r="V92" s="21">
        <f>SUM(NhatkyNhap!$C92:V92)-SUM(NhatkyBan!$C92:V92)</f>
        <v>18</v>
      </c>
      <c r="W92" s="21">
        <f>SUM(NhatkyNhap!$C92:W92)-SUM(NhatkyBan!$C92:W92)</f>
        <v>18</v>
      </c>
      <c r="X92" s="21">
        <f>SUM(NhatkyNhap!$C92:X92)-SUM(NhatkyBan!$C92:X92)</f>
        <v>18</v>
      </c>
      <c r="Y92" s="21">
        <f>SUM(NhatkyNhap!$C92:Y92)-SUM(NhatkyBan!$C92:Y92)</f>
        <v>18</v>
      </c>
      <c r="Z92" s="21">
        <f>SUM(NhatkyNhap!$C92:Z92)-SUM(NhatkyBan!$C92:Z92)</f>
        <v>18</v>
      </c>
      <c r="AA92" s="21">
        <f>SUM(NhatkyNhap!$C92:AA92)-SUM(NhatkyBan!$C92:AA92)</f>
        <v>18</v>
      </c>
      <c r="AB92" s="21">
        <f>SUM(NhatkyNhap!$C92:AB92)-SUM(NhatkyBan!$C92:AB92)</f>
        <v>18</v>
      </c>
      <c r="AC92" s="21">
        <f>SUM(NhatkyNhap!$C92:AC92)-SUM(NhatkyBan!$C92:AC92)</f>
        <v>18</v>
      </c>
      <c r="AD92" s="21">
        <f>SUM(NhatkyNhap!$C92:AD92)-SUM(NhatkyBan!$C92:AD92)</f>
        <v>18</v>
      </c>
      <c r="AE92" s="21">
        <f>SUM(NhatkyNhap!$C92:AE92)-SUM(NhatkyBan!$C92:AE92)</f>
        <v>18</v>
      </c>
      <c r="AF92" s="21">
        <f>SUM(NhatkyNhap!$C92:AF92)-SUM(NhatkyBan!$C92:AF92)</f>
        <v>18</v>
      </c>
      <c r="AG92" s="21">
        <f>SUM(NhatkyNhap!$C92:AG92)-SUM(NhatkyBan!$C92:AG92)</f>
        <v>18</v>
      </c>
    </row>
    <row r="93" spans="1:33" ht="12.75" customHeight="1">
      <c r="A93" s="76" t="str">
        <f>DSSP!A92</f>
        <v>B08</v>
      </c>
      <c r="B93" s="25" t="str">
        <f>DSSP!B92</f>
        <v>Cơm Nhật</v>
      </c>
      <c r="C93" s="21">
        <f>SUM(NhatkyNhap!$C93:C93)-SUM(NhatkyBan!$C93:C93)</f>
        <v>7</v>
      </c>
      <c r="D93" s="21">
        <f>SUM(NhatkyNhap!$C93:D93)-SUM(NhatkyBan!$C93:D93)</f>
        <v>7</v>
      </c>
      <c r="E93" s="21">
        <f>SUM(NhatkyNhap!$C93:E93)-SUM(NhatkyBan!$C93:E93)</f>
        <v>7</v>
      </c>
      <c r="F93" s="21">
        <f>SUM(NhatkyNhap!$C93:F93)-SUM(NhatkyBan!$C93:F93)</f>
        <v>7</v>
      </c>
      <c r="G93" s="21">
        <f>SUM(NhatkyNhap!$C93:G93)-SUM(NhatkyBan!$C93:G93)</f>
        <v>7</v>
      </c>
      <c r="H93" s="21">
        <f>SUM(NhatkyNhap!$C93:H93)-SUM(NhatkyBan!$C93:H93)</f>
        <v>7</v>
      </c>
      <c r="I93" s="21">
        <f>SUM(NhatkyNhap!$C93:I93)-SUM(NhatkyBan!$C93:I93)</f>
        <v>7</v>
      </c>
      <c r="J93" s="21">
        <f>SUM(NhatkyNhap!$C93:J93)-SUM(NhatkyBan!$C93:J93)</f>
        <v>7</v>
      </c>
      <c r="K93" s="21">
        <f>SUM(NhatkyNhap!$C93:K93)-SUM(NhatkyBan!$C93:K93)</f>
        <v>7</v>
      </c>
      <c r="L93" s="21">
        <f>SUM(NhatkyNhap!$C93:L93)-SUM(NhatkyBan!$C93:L93)</f>
        <v>7</v>
      </c>
      <c r="M93" s="21">
        <f>SUM(NhatkyNhap!$C93:M93)-SUM(NhatkyBan!$C93:M93)</f>
        <v>7</v>
      </c>
      <c r="N93" s="21">
        <f>SUM(NhatkyNhap!$C93:N93)-SUM(NhatkyBan!$C93:N93)</f>
        <v>7</v>
      </c>
      <c r="O93" s="21">
        <f>SUM(NhatkyNhap!$C93:O93)-SUM(NhatkyBan!$C93:O93)</f>
        <v>7</v>
      </c>
      <c r="P93" s="21">
        <f>SUM(NhatkyNhap!$C93:P93)-SUM(NhatkyBan!$C93:P93)</f>
        <v>7</v>
      </c>
      <c r="Q93" s="21">
        <f>SUM(NhatkyNhap!$C93:Q93)-SUM(NhatkyBan!$C93:Q93)</f>
        <v>7</v>
      </c>
      <c r="R93" s="21">
        <f>SUM(NhatkyNhap!$C93:R93)-SUM(NhatkyBan!$C93:R93)</f>
        <v>7</v>
      </c>
      <c r="S93" s="21">
        <f>SUM(NhatkyNhap!$C93:S93)-SUM(NhatkyBan!$C93:S93)</f>
        <v>7</v>
      </c>
      <c r="T93" s="21">
        <f>SUM(NhatkyNhap!$C93:T93)-SUM(NhatkyBan!$C93:T93)</f>
        <v>7</v>
      </c>
      <c r="U93" s="21">
        <f>SUM(NhatkyNhap!$C93:U93)-SUM(NhatkyBan!$C93:U93)</f>
        <v>7</v>
      </c>
      <c r="V93" s="21">
        <f>SUM(NhatkyNhap!$C93:V93)-SUM(NhatkyBan!$C93:V93)</f>
        <v>7</v>
      </c>
      <c r="W93" s="21">
        <f>SUM(NhatkyNhap!$C93:W93)-SUM(NhatkyBan!$C93:W93)</f>
        <v>7</v>
      </c>
      <c r="X93" s="21">
        <f>SUM(NhatkyNhap!$C93:X93)-SUM(NhatkyBan!$C93:X93)</f>
        <v>7</v>
      </c>
      <c r="Y93" s="21">
        <f>SUM(NhatkyNhap!$C93:Y93)-SUM(NhatkyBan!$C93:Y93)</f>
        <v>7</v>
      </c>
      <c r="Z93" s="21">
        <f>SUM(NhatkyNhap!$C93:Z93)-SUM(NhatkyBan!$C93:Z93)</f>
        <v>7</v>
      </c>
      <c r="AA93" s="21">
        <f>SUM(NhatkyNhap!$C93:AA93)-SUM(NhatkyBan!$C93:AA93)</f>
        <v>7</v>
      </c>
      <c r="AB93" s="21">
        <f>SUM(NhatkyNhap!$C93:AB93)-SUM(NhatkyBan!$C93:AB93)</f>
        <v>7</v>
      </c>
      <c r="AC93" s="21">
        <f>SUM(NhatkyNhap!$C93:AC93)-SUM(NhatkyBan!$C93:AC93)</f>
        <v>7</v>
      </c>
      <c r="AD93" s="21">
        <f>SUM(NhatkyNhap!$C93:AD93)-SUM(NhatkyBan!$C93:AD93)</f>
        <v>7</v>
      </c>
      <c r="AE93" s="21">
        <f>SUM(NhatkyNhap!$C93:AE93)-SUM(NhatkyBan!$C93:AE93)</f>
        <v>7</v>
      </c>
      <c r="AF93" s="21">
        <f>SUM(NhatkyNhap!$C93:AF93)-SUM(NhatkyBan!$C93:AF93)</f>
        <v>7</v>
      </c>
      <c r="AG93" s="21">
        <f>SUM(NhatkyNhap!$C93:AG93)-SUM(NhatkyBan!$C93:AG93)</f>
        <v>7</v>
      </c>
    </row>
    <row r="94" spans="1:33" ht="12.75" customHeight="1">
      <c r="A94" s="76" t="str">
        <f>DSSP!A93</f>
        <v>B09</v>
      </c>
      <c r="B94" s="25" t="str">
        <f>DSSP!B93</f>
        <v>Pizza hoa quả</v>
      </c>
      <c r="C94" s="21">
        <f>SUM(NhatkyNhap!$C94:C94)-SUM(NhatkyBan!$C94:C94)</f>
        <v>3</v>
      </c>
      <c r="D94" s="21">
        <f>SUM(NhatkyNhap!$C94:D94)-SUM(NhatkyBan!$C94:D94)</f>
        <v>3</v>
      </c>
      <c r="E94" s="21">
        <f>SUM(NhatkyNhap!$C94:E94)-SUM(NhatkyBan!$C94:E94)</f>
        <v>3</v>
      </c>
      <c r="F94" s="21">
        <f>SUM(NhatkyNhap!$C94:F94)-SUM(NhatkyBan!$C94:F94)</f>
        <v>3</v>
      </c>
      <c r="G94" s="21">
        <f>SUM(NhatkyNhap!$C94:G94)-SUM(NhatkyBan!$C94:G94)</f>
        <v>3</v>
      </c>
      <c r="H94" s="21">
        <f>SUM(NhatkyNhap!$C94:H94)-SUM(NhatkyBan!$C94:H94)</f>
        <v>3</v>
      </c>
      <c r="I94" s="21">
        <f>SUM(NhatkyNhap!$C94:I94)-SUM(NhatkyBan!$C94:I94)</f>
        <v>3</v>
      </c>
      <c r="J94" s="21">
        <f>SUM(NhatkyNhap!$C94:J94)-SUM(NhatkyBan!$C94:J94)</f>
        <v>3</v>
      </c>
      <c r="K94" s="21">
        <f>SUM(NhatkyNhap!$C94:K94)-SUM(NhatkyBan!$C94:K94)</f>
        <v>3</v>
      </c>
      <c r="L94" s="21">
        <f>SUM(NhatkyNhap!$C94:L94)-SUM(NhatkyBan!$C94:L94)</f>
        <v>3</v>
      </c>
      <c r="M94" s="21">
        <f>SUM(NhatkyNhap!$C94:M94)-SUM(NhatkyBan!$C94:M94)</f>
        <v>3</v>
      </c>
      <c r="N94" s="21">
        <f>SUM(NhatkyNhap!$C94:N94)-SUM(NhatkyBan!$C94:N94)</f>
        <v>3</v>
      </c>
      <c r="O94" s="21">
        <f>SUM(NhatkyNhap!$C94:O94)-SUM(NhatkyBan!$C94:O94)</f>
        <v>3</v>
      </c>
      <c r="P94" s="21">
        <f>SUM(NhatkyNhap!$C94:P94)-SUM(NhatkyBan!$C94:P94)</f>
        <v>3</v>
      </c>
      <c r="Q94" s="21">
        <f>SUM(NhatkyNhap!$C94:Q94)-SUM(NhatkyBan!$C94:Q94)</f>
        <v>3</v>
      </c>
      <c r="R94" s="21">
        <f>SUM(NhatkyNhap!$C94:R94)-SUM(NhatkyBan!$C94:R94)</f>
        <v>3</v>
      </c>
      <c r="S94" s="21">
        <f>SUM(NhatkyNhap!$C94:S94)-SUM(NhatkyBan!$C94:S94)</f>
        <v>3</v>
      </c>
      <c r="T94" s="21">
        <f>SUM(NhatkyNhap!$C94:T94)-SUM(NhatkyBan!$C94:T94)</f>
        <v>3</v>
      </c>
      <c r="U94" s="21">
        <f>SUM(NhatkyNhap!$C94:U94)-SUM(NhatkyBan!$C94:U94)</f>
        <v>3</v>
      </c>
      <c r="V94" s="21">
        <f>SUM(NhatkyNhap!$C94:V94)-SUM(NhatkyBan!$C94:V94)</f>
        <v>3</v>
      </c>
      <c r="W94" s="21">
        <f>SUM(NhatkyNhap!$C94:W94)-SUM(NhatkyBan!$C94:W94)</f>
        <v>3</v>
      </c>
      <c r="X94" s="21">
        <f>SUM(NhatkyNhap!$C94:X94)-SUM(NhatkyBan!$C94:X94)</f>
        <v>3</v>
      </c>
      <c r="Y94" s="21">
        <f>SUM(NhatkyNhap!$C94:Y94)-SUM(NhatkyBan!$C94:Y94)</f>
        <v>3</v>
      </c>
      <c r="Z94" s="21">
        <f>SUM(NhatkyNhap!$C94:Z94)-SUM(NhatkyBan!$C94:Z94)</f>
        <v>3</v>
      </c>
      <c r="AA94" s="21">
        <f>SUM(NhatkyNhap!$C94:AA94)-SUM(NhatkyBan!$C94:AA94)</f>
        <v>3</v>
      </c>
      <c r="AB94" s="21">
        <f>SUM(NhatkyNhap!$C94:AB94)-SUM(NhatkyBan!$C94:AB94)</f>
        <v>3</v>
      </c>
      <c r="AC94" s="21">
        <f>SUM(NhatkyNhap!$C94:AC94)-SUM(NhatkyBan!$C94:AC94)</f>
        <v>3</v>
      </c>
      <c r="AD94" s="21">
        <f>SUM(NhatkyNhap!$C94:AD94)-SUM(NhatkyBan!$C94:AD94)</f>
        <v>3</v>
      </c>
      <c r="AE94" s="21">
        <f>SUM(NhatkyNhap!$C94:AE94)-SUM(NhatkyBan!$C94:AE94)</f>
        <v>3</v>
      </c>
      <c r="AF94" s="21">
        <f>SUM(NhatkyNhap!$C94:AF94)-SUM(NhatkyBan!$C94:AF94)</f>
        <v>3</v>
      </c>
      <c r="AG94" s="21">
        <f>SUM(NhatkyNhap!$C94:AG94)-SUM(NhatkyBan!$C94:AG94)</f>
        <v>3</v>
      </c>
    </row>
    <row r="95" spans="1:33" ht="12.75" customHeight="1">
      <c r="A95" s="76" t="str">
        <f>DSSP!A94</f>
        <v>B10</v>
      </c>
      <c r="B95" s="25" t="str">
        <f>DSSP!B94</f>
        <v>Bánh trái cây</v>
      </c>
      <c r="C95" s="21">
        <f>SUM(NhatkyNhap!$C95:C95)-SUM(NhatkyBan!$C95:C95)</f>
        <v>5</v>
      </c>
      <c r="D95" s="21">
        <f>SUM(NhatkyNhap!$C95:D95)-SUM(NhatkyBan!$C95:D95)</f>
        <v>5</v>
      </c>
      <c r="E95" s="21">
        <f>SUM(NhatkyNhap!$C95:E95)-SUM(NhatkyBan!$C95:E95)</f>
        <v>5</v>
      </c>
      <c r="F95" s="21">
        <f>SUM(NhatkyNhap!$C95:F95)-SUM(NhatkyBan!$C95:F95)</f>
        <v>5</v>
      </c>
      <c r="G95" s="21">
        <f>SUM(NhatkyNhap!$C95:G95)-SUM(NhatkyBan!$C95:G95)</f>
        <v>5</v>
      </c>
      <c r="H95" s="21">
        <f>SUM(NhatkyNhap!$C95:H95)-SUM(NhatkyBan!$C95:H95)</f>
        <v>5</v>
      </c>
      <c r="I95" s="21">
        <f>SUM(NhatkyNhap!$C95:I95)-SUM(NhatkyBan!$C95:I95)</f>
        <v>5</v>
      </c>
      <c r="J95" s="21">
        <f>SUM(NhatkyNhap!$C95:J95)-SUM(NhatkyBan!$C95:J95)</f>
        <v>5</v>
      </c>
      <c r="K95" s="21">
        <f>SUM(NhatkyNhap!$C95:K95)-SUM(NhatkyBan!$C95:K95)</f>
        <v>5</v>
      </c>
      <c r="L95" s="21">
        <f>SUM(NhatkyNhap!$C95:L95)-SUM(NhatkyBan!$C95:L95)</f>
        <v>5</v>
      </c>
      <c r="M95" s="21">
        <f>SUM(NhatkyNhap!$C95:M95)-SUM(NhatkyBan!$C95:M95)</f>
        <v>5</v>
      </c>
      <c r="N95" s="21">
        <f>SUM(NhatkyNhap!$C95:N95)-SUM(NhatkyBan!$C95:N95)</f>
        <v>5</v>
      </c>
      <c r="O95" s="21">
        <f>SUM(NhatkyNhap!$C95:O95)-SUM(NhatkyBan!$C95:O95)</f>
        <v>5</v>
      </c>
      <c r="P95" s="21">
        <f>SUM(NhatkyNhap!$C95:P95)-SUM(NhatkyBan!$C95:P95)</f>
        <v>5</v>
      </c>
      <c r="Q95" s="21">
        <f>SUM(NhatkyNhap!$C95:Q95)-SUM(NhatkyBan!$C95:Q95)</f>
        <v>5</v>
      </c>
      <c r="R95" s="21">
        <f>SUM(NhatkyNhap!$C95:R95)-SUM(NhatkyBan!$C95:R95)</f>
        <v>5</v>
      </c>
      <c r="S95" s="21">
        <f>SUM(NhatkyNhap!$C95:S95)-SUM(NhatkyBan!$C95:S95)</f>
        <v>5</v>
      </c>
      <c r="T95" s="21">
        <f>SUM(NhatkyNhap!$C95:T95)-SUM(NhatkyBan!$C95:T95)</f>
        <v>5</v>
      </c>
      <c r="U95" s="21">
        <f>SUM(NhatkyNhap!$C95:U95)-SUM(NhatkyBan!$C95:U95)</f>
        <v>5</v>
      </c>
      <c r="V95" s="21">
        <f>SUM(NhatkyNhap!$C95:V95)-SUM(NhatkyBan!$C95:V95)</f>
        <v>5</v>
      </c>
      <c r="W95" s="21">
        <f>SUM(NhatkyNhap!$C95:W95)-SUM(NhatkyBan!$C95:W95)</f>
        <v>5</v>
      </c>
      <c r="X95" s="21">
        <f>SUM(NhatkyNhap!$C95:X95)-SUM(NhatkyBan!$C95:X95)</f>
        <v>5</v>
      </c>
      <c r="Y95" s="21">
        <f>SUM(NhatkyNhap!$C95:Y95)-SUM(NhatkyBan!$C95:Y95)</f>
        <v>5</v>
      </c>
      <c r="Z95" s="21">
        <f>SUM(NhatkyNhap!$C95:Z95)-SUM(NhatkyBan!$C95:Z95)</f>
        <v>5</v>
      </c>
      <c r="AA95" s="21">
        <f>SUM(NhatkyNhap!$C95:AA95)-SUM(NhatkyBan!$C95:AA95)</f>
        <v>5</v>
      </c>
      <c r="AB95" s="21">
        <f>SUM(NhatkyNhap!$C95:AB95)-SUM(NhatkyBan!$C95:AB95)</f>
        <v>5</v>
      </c>
      <c r="AC95" s="21">
        <f>SUM(NhatkyNhap!$C95:AC95)-SUM(NhatkyBan!$C95:AC95)</f>
        <v>5</v>
      </c>
      <c r="AD95" s="21">
        <f>SUM(NhatkyNhap!$C95:AD95)-SUM(NhatkyBan!$C95:AD95)</f>
        <v>5</v>
      </c>
      <c r="AE95" s="21">
        <f>SUM(NhatkyNhap!$C95:AE95)-SUM(NhatkyBan!$C95:AE95)</f>
        <v>5</v>
      </c>
      <c r="AF95" s="21">
        <f>SUM(NhatkyNhap!$C95:AF95)-SUM(NhatkyBan!$C95:AF95)</f>
        <v>5</v>
      </c>
      <c r="AG95" s="21">
        <f>SUM(NhatkyNhap!$C95:AG95)-SUM(NhatkyBan!$C95:AG95)</f>
        <v>5</v>
      </c>
    </row>
    <row r="96" spans="1:33" ht="12.75" customHeight="1">
      <c r="A96" s="76" t="str">
        <f>DSSP!A95</f>
        <v>B11</v>
      </c>
      <c r="B96" s="25" t="str">
        <f>DSSP!B95</f>
        <v>Bánh quy</v>
      </c>
      <c r="C96" s="21">
        <f>SUM(NhatkyNhap!$C96:C96)-SUM(NhatkyBan!$C96:C96)</f>
        <v>16</v>
      </c>
      <c r="D96" s="21">
        <f>SUM(NhatkyNhap!$C96:D96)-SUM(NhatkyBan!$C96:D96)</f>
        <v>16</v>
      </c>
      <c r="E96" s="21">
        <f>SUM(NhatkyNhap!$C96:E96)-SUM(NhatkyBan!$C96:E96)</f>
        <v>16</v>
      </c>
      <c r="F96" s="21">
        <f>SUM(NhatkyNhap!$C96:F96)-SUM(NhatkyBan!$C96:F96)</f>
        <v>16</v>
      </c>
      <c r="G96" s="21">
        <f>SUM(NhatkyNhap!$C96:G96)-SUM(NhatkyBan!$C96:G96)</f>
        <v>16</v>
      </c>
      <c r="H96" s="21">
        <f>SUM(NhatkyNhap!$C96:H96)-SUM(NhatkyBan!$C96:H96)</f>
        <v>16</v>
      </c>
      <c r="I96" s="21">
        <f>SUM(NhatkyNhap!$C96:I96)-SUM(NhatkyBan!$C96:I96)</f>
        <v>16</v>
      </c>
      <c r="J96" s="21">
        <f>SUM(NhatkyNhap!$C96:J96)-SUM(NhatkyBan!$C96:J96)</f>
        <v>16</v>
      </c>
      <c r="K96" s="21">
        <f>SUM(NhatkyNhap!$C96:K96)-SUM(NhatkyBan!$C96:K96)</f>
        <v>16</v>
      </c>
      <c r="L96" s="21">
        <f>SUM(NhatkyNhap!$C96:L96)-SUM(NhatkyBan!$C96:L96)</f>
        <v>16</v>
      </c>
      <c r="M96" s="21">
        <f>SUM(NhatkyNhap!$C96:M96)-SUM(NhatkyBan!$C96:M96)</f>
        <v>16</v>
      </c>
      <c r="N96" s="21">
        <f>SUM(NhatkyNhap!$C96:N96)-SUM(NhatkyBan!$C96:N96)</f>
        <v>16</v>
      </c>
      <c r="O96" s="21">
        <f>SUM(NhatkyNhap!$C96:O96)-SUM(NhatkyBan!$C96:O96)</f>
        <v>16</v>
      </c>
      <c r="P96" s="21">
        <f>SUM(NhatkyNhap!$C96:P96)-SUM(NhatkyBan!$C96:P96)</f>
        <v>16</v>
      </c>
      <c r="Q96" s="21">
        <f>SUM(NhatkyNhap!$C96:Q96)-SUM(NhatkyBan!$C96:Q96)</f>
        <v>16</v>
      </c>
      <c r="R96" s="21">
        <f>SUM(NhatkyNhap!$C96:R96)-SUM(NhatkyBan!$C96:R96)</f>
        <v>16</v>
      </c>
      <c r="S96" s="21">
        <f>SUM(NhatkyNhap!$C96:S96)-SUM(NhatkyBan!$C96:S96)</f>
        <v>16</v>
      </c>
      <c r="T96" s="21">
        <f>SUM(NhatkyNhap!$C96:T96)-SUM(NhatkyBan!$C96:T96)</f>
        <v>16</v>
      </c>
      <c r="U96" s="21">
        <f>SUM(NhatkyNhap!$C96:U96)-SUM(NhatkyBan!$C96:U96)</f>
        <v>16</v>
      </c>
      <c r="V96" s="21">
        <f>SUM(NhatkyNhap!$C96:V96)-SUM(NhatkyBan!$C96:V96)</f>
        <v>16</v>
      </c>
      <c r="W96" s="21">
        <f>SUM(NhatkyNhap!$C96:W96)-SUM(NhatkyBan!$C96:W96)</f>
        <v>16</v>
      </c>
      <c r="X96" s="21">
        <f>SUM(NhatkyNhap!$C96:X96)-SUM(NhatkyBan!$C96:X96)</f>
        <v>16</v>
      </c>
      <c r="Y96" s="21">
        <f>SUM(NhatkyNhap!$C96:Y96)-SUM(NhatkyBan!$C96:Y96)</f>
        <v>16</v>
      </c>
      <c r="Z96" s="21">
        <f>SUM(NhatkyNhap!$C96:Z96)-SUM(NhatkyBan!$C96:Z96)</f>
        <v>16</v>
      </c>
      <c r="AA96" s="21">
        <f>SUM(NhatkyNhap!$C96:AA96)-SUM(NhatkyBan!$C96:AA96)</f>
        <v>16</v>
      </c>
      <c r="AB96" s="21">
        <f>SUM(NhatkyNhap!$C96:AB96)-SUM(NhatkyBan!$C96:AB96)</f>
        <v>16</v>
      </c>
      <c r="AC96" s="21">
        <f>SUM(NhatkyNhap!$C96:AC96)-SUM(NhatkyBan!$C96:AC96)</f>
        <v>16</v>
      </c>
      <c r="AD96" s="21">
        <f>SUM(NhatkyNhap!$C96:AD96)-SUM(NhatkyBan!$C96:AD96)</f>
        <v>16</v>
      </c>
      <c r="AE96" s="21">
        <f>SUM(NhatkyNhap!$C96:AE96)-SUM(NhatkyBan!$C96:AE96)</f>
        <v>16</v>
      </c>
      <c r="AF96" s="21">
        <f>SUM(NhatkyNhap!$C96:AF96)-SUM(NhatkyBan!$C96:AF96)</f>
        <v>16</v>
      </c>
      <c r="AG96" s="21">
        <f>SUM(NhatkyNhap!$C96:AG96)-SUM(NhatkyBan!$C96:AG96)</f>
        <v>16</v>
      </c>
    </row>
    <row r="97" spans="1:33" ht="12.75" customHeight="1">
      <c r="A97" s="76" t="str">
        <f>DSSP!A96</f>
        <v>B12</v>
      </c>
      <c r="B97" s="25" t="str">
        <f>DSSP!B96</f>
        <v>Bánh chocolate</v>
      </c>
      <c r="C97" s="21">
        <f>SUM(NhatkyNhap!$C97:C97)-SUM(NhatkyBan!$C97:C97)</f>
        <v>0</v>
      </c>
      <c r="D97" s="21">
        <f>SUM(NhatkyNhap!$C97:D97)-SUM(NhatkyBan!$C97:D97)</f>
        <v>0</v>
      </c>
      <c r="E97" s="21">
        <f>SUM(NhatkyNhap!$C97:E97)-SUM(NhatkyBan!$C97:E97)</f>
        <v>0</v>
      </c>
      <c r="F97" s="21">
        <f>SUM(NhatkyNhap!$C97:F97)-SUM(NhatkyBan!$C97:F97)</f>
        <v>0</v>
      </c>
      <c r="G97" s="21">
        <f>SUM(NhatkyNhap!$C97:G97)-SUM(NhatkyBan!$C97:G97)</f>
        <v>0</v>
      </c>
      <c r="H97" s="21">
        <f>SUM(NhatkyNhap!$C97:H97)-SUM(NhatkyBan!$C97:H97)</f>
        <v>0</v>
      </c>
      <c r="I97" s="21">
        <f>SUM(NhatkyNhap!$C97:I97)-SUM(NhatkyBan!$C97:I97)</f>
        <v>0</v>
      </c>
      <c r="J97" s="21">
        <f>SUM(NhatkyNhap!$C97:J97)-SUM(NhatkyBan!$C97:J97)</f>
        <v>0</v>
      </c>
      <c r="K97" s="21">
        <f>SUM(NhatkyNhap!$C97:K97)-SUM(NhatkyBan!$C97:K97)</f>
        <v>0</v>
      </c>
      <c r="L97" s="21">
        <f>SUM(NhatkyNhap!$C97:L97)-SUM(NhatkyBan!$C97:L97)</f>
        <v>0</v>
      </c>
      <c r="M97" s="21">
        <f>SUM(NhatkyNhap!$C97:M97)-SUM(NhatkyBan!$C97:M97)</f>
        <v>0</v>
      </c>
      <c r="N97" s="21">
        <f>SUM(NhatkyNhap!$C97:N97)-SUM(NhatkyBan!$C97:N97)</f>
        <v>0</v>
      </c>
      <c r="O97" s="21">
        <f>SUM(NhatkyNhap!$C97:O97)-SUM(NhatkyBan!$C97:O97)</f>
        <v>0</v>
      </c>
      <c r="P97" s="21">
        <f>SUM(NhatkyNhap!$C97:P97)-SUM(NhatkyBan!$C97:P97)</f>
        <v>0</v>
      </c>
      <c r="Q97" s="21">
        <f>SUM(NhatkyNhap!$C97:Q97)-SUM(NhatkyBan!$C97:Q97)</f>
        <v>0</v>
      </c>
      <c r="R97" s="21">
        <f>SUM(NhatkyNhap!$C97:R97)-SUM(NhatkyBan!$C97:R97)</f>
        <v>0</v>
      </c>
      <c r="S97" s="21">
        <f>SUM(NhatkyNhap!$C97:S97)-SUM(NhatkyBan!$C97:S97)</f>
        <v>0</v>
      </c>
      <c r="T97" s="21">
        <f>SUM(NhatkyNhap!$C97:T97)-SUM(NhatkyBan!$C97:T97)</f>
        <v>0</v>
      </c>
      <c r="U97" s="21">
        <f>SUM(NhatkyNhap!$C97:U97)-SUM(NhatkyBan!$C97:U97)</f>
        <v>0</v>
      </c>
      <c r="V97" s="21">
        <f>SUM(NhatkyNhap!$C97:V97)-SUM(NhatkyBan!$C97:V97)</f>
        <v>0</v>
      </c>
      <c r="W97" s="21">
        <f>SUM(NhatkyNhap!$C97:W97)-SUM(NhatkyBan!$C97:W97)</f>
        <v>0</v>
      </c>
      <c r="X97" s="21">
        <f>SUM(NhatkyNhap!$C97:X97)-SUM(NhatkyBan!$C97:X97)</f>
        <v>0</v>
      </c>
      <c r="Y97" s="21">
        <f>SUM(NhatkyNhap!$C97:Y97)-SUM(NhatkyBan!$C97:Y97)</f>
        <v>0</v>
      </c>
      <c r="Z97" s="21">
        <f>SUM(NhatkyNhap!$C97:Z97)-SUM(NhatkyBan!$C97:Z97)</f>
        <v>0</v>
      </c>
      <c r="AA97" s="21">
        <f>SUM(NhatkyNhap!$C97:AA97)-SUM(NhatkyBan!$C97:AA97)</f>
        <v>0</v>
      </c>
      <c r="AB97" s="21">
        <f>SUM(NhatkyNhap!$C97:AB97)-SUM(NhatkyBan!$C97:AB97)</f>
        <v>0</v>
      </c>
      <c r="AC97" s="21">
        <f>SUM(NhatkyNhap!$C97:AC97)-SUM(NhatkyBan!$C97:AC97)</f>
        <v>0</v>
      </c>
      <c r="AD97" s="21">
        <f>SUM(NhatkyNhap!$C97:AD97)-SUM(NhatkyBan!$C97:AD97)</f>
        <v>0</v>
      </c>
      <c r="AE97" s="21">
        <f>SUM(NhatkyNhap!$C97:AE97)-SUM(NhatkyBan!$C97:AE97)</f>
        <v>0</v>
      </c>
      <c r="AF97" s="21">
        <f>SUM(NhatkyNhap!$C97:AF97)-SUM(NhatkyBan!$C97:AF97)</f>
        <v>0</v>
      </c>
      <c r="AG97" s="21">
        <f>SUM(NhatkyNhap!$C97:AG97)-SUM(NhatkyBan!$C97:AG97)</f>
        <v>0</v>
      </c>
    </row>
    <row r="98" spans="1:33" ht="12.75" customHeight="1">
      <c r="A98" s="76" t="str">
        <f>DSSP!A97</f>
        <v>B13</v>
      </c>
      <c r="B98" s="25" t="str">
        <f>DSSP!B97</f>
        <v>Cheese cake</v>
      </c>
      <c r="C98" s="21">
        <f>SUM(NhatkyNhap!$C98:C98)-SUM(NhatkyBan!$C98:C98)</f>
        <v>18</v>
      </c>
      <c r="D98" s="21">
        <f>SUM(NhatkyNhap!$C98:D98)-SUM(NhatkyBan!$C98:D98)</f>
        <v>18</v>
      </c>
      <c r="E98" s="21">
        <f>SUM(NhatkyNhap!$C98:E98)-SUM(NhatkyBan!$C98:E98)</f>
        <v>18</v>
      </c>
      <c r="F98" s="21">
        <f>SUM(NhatkyNhap!$C98:F98)-SUM(NhatkyBan!$C98:F98)</f>
        <v>18</v>
      </c>
      <c r="G98" s="21">
        <f>SUM(NhatkyNhap!$C98:G98)-SUM(NhatkyBan!$C98:G98)</f>
        <v>18</v>
      </c>
      <c r="H98" s="21">
        <f>SUM(NhatkyNhap!$C98:H98)-SUM(NhatkyBan!$C98:H98)</f>
        <v>18</v>
      </c>
      <c r="I98" s="21">
        <f>SUM(NhatkyNhap!$C98:I98)-SUM(NhatkyBan!$C98:I98)</f>
        <v>18</v>
      </c>
      <c r="J98" s="21">
        <f>SUM(NhatkyNhap!$C98:J98)-SUM(NhatkyBan!$C98:J98)</f>
        <v>18</v>
      </c>
      <c r="K98" s="21">
        <f>SUM(NhatkyNhap!$C98:K98)-SUM(NhatkyBan!$C98:K98)</f>
        <v>18</v>
      </c>
      <c r="L98" s="21">
        <f>SUM(NhatkyNhap!$C98:L98)-SUM(NhatkyBan!$C98:L98)</f>
        <v>18</v>
      </c>
      <c r="M98" s="21">
        <f>SUM(NhatkyNhap!$C98:M98)-SUM(NhatkyBan!$C98:M98)</f>
        <v>18</v>
      </c>
      <c r="N98" s="21">
        <f>SUM(NhatkyNhap!$C98:N98)-SUM(NhatkyBan!$C98:N98)</f>
        <v>18</v>
      </c>
      <c r="O98" s="21">
        <f>SUM(NhatkyNhap!$C98:O98)-SUM(NhatkyBan!$C98:O98)</f>
        <v>18</v>
      </c>
      <c r="P98" s="21">
        <f>SUM(NhatkyNhap!$C98:P98)-SUM(NhatkyBan!$C98:P98)</f>
        <v>18</v>
      </c>
      <c r="Q98" s="21">
        <f>SUM(NhatkyNhap!$C98:Q98)-SUM(NhatkyBan!$C98:Q98)</f>
        <v>18</v>
      </c>
      <c r="R98" s="21">
        <f>SUM(NhatkyNhap!$C98:R98)-SUM(NhatkyBan!$C98:R98)</f>
        <v>18</v>
      </c>
      <c r="S98" s="21">
        <f>SUM(NhatkyNhap!$C98:S98)-SUM(NhatkyBan!$C98:S98)</f>
        <v>18</v>
      </c>
      <c r="T98" s="21">
        <f>SUM(NhatkyNhap!$C98:T98)-SUM(NhatkyBan!$C98:T98)</f>
        <v>18</v>
      </c>
      <c r="U98" s="21">
        <f>SUM(NhatkyNhap!$C98:U98)-SUM(NhatkyBan!$C98:U98)</f>
        <v>18</v>
      </c>
      <c r="V98" s="21">
        <f>SUM(NhatkyNhap!$C98:V98)-SUM(NhatkyBan!$C98:V98)</f>
        <v>18</v>
      </c>
      <c r="W98" s="21">
        <f>SUM(NhatkyNhap!$C98:W98)-SUM(NhatkyBan!$C98:W98)</f>
        <v>18</v>
      </c>
      <c r="X98" s="21">
        <f>SUM(NhatkyNhap!$C98:X98)-SUM(NhatkyBan!$C98:X98)</f>
        <v>18</v>
      </c>
      <c r="Y98" s="21">
        <f>SUM(NhatkyNhap!$C98:Y98)-SUM(NhatkyBan!$C98:Y98)</f>
        <v>18</v>
      </c>
      <c r="Z98" s="21">
        <f>SUM(NhatkyNhap!$C98:Z98)-SUM(NhatkyBan!$C98:Z98)</f>
        <v>18</v>
      </c>
      <c r="AA98" s="21">
        <f>SUM(NhatkyNhap!$C98:AA98)-SUM(NhatkyBan!$C98:AA98)</f>
        <v>18</v>
      </c>
      <c r="AB98" s="21">
        <f>SUM(NhatkyNhap!$C98:AB98)-SUM(NhatkyBan!$C98:AB98)</f>
        <v>18</v>
      </c>
      <c r="AC98" s="21">
        <f>SUM(NhatkyNhap!$C98:AC98)-SUM(NhatkyBan!$C98:AC98)</f>
        <v>18</v>
      </c>
      <c r="AD98" s="21">
        <f>SUM(NhatkyNhap!$C98:AD98)-SUM(NhatkyBan!$C98:AD98)</f>
        <v>18</v>
      </c>
      <c r="AE98" s="21">
        <f>SUM(NhatkyNhap!$C98:AE98)-SUM(NhatkyBan!$C98:AE98)</f>
        <v>18</v>
      </c>
      <c r="AF98" s="21">
        <f>SUM(NhatkyNhap!$C98:AF98)-SUM(NhatkyBan!$C98:AF98)</f>
        <v>18</v>
      </c>
      <c r="AG98" s="21">
        <f>SUM(NhatkyNhap!$C98:AG98)-SUM(NhatkyBan!$C98:AG98)</f>
        <v>18</v>
      </c>
    </row>
    <row r="99" spans="1:33" ht="12.75" customHeight="1">
      <c r="A99" s="76" t="str">
        <f>DSSP!A98</f>
        <v>B14</v>
      </c>
      <c r="B99" s="25" t="str">
        <f>DSSP!B98</f>
        <v>Tiramisu</v>
      </c>
      <c r="C99" s="21">
        <f>SUM(NhatkyNhap!$C99:C99)-SUM(NhatkyBan!$C99:C99)</f>
        <v>21</v>
      </c>
      <c r="D99" s="21">
        <f>SUM(NhatkyNhap!$C99:D99)-SUM(NhatkyBan!$C99:D99)</f>
        <v>21</v>
      </c>
      <c r="E99" s="21">
        <f>SUM(NhatkyNhap!$C99:E99)-SUM(NhatkyBan!$C99:E99)</f>
        <v>21</v>
      </c>
      <c r="F99" s="21">
        <f>SUM(NhatkyNhap!$C99:F99)-SUM(NhatkyBan!$C99:F99)</f>
        <v>21</v>
      </c>
      <c r="G99" s="21">
        <f>SUM(NhatkyNhap!$C99:G99)-SUM(NhatkyBan!$C99:G99)</f>
        <v>21</v>
      </c>
      <c r="H99" s="21">
        <f>SUM(NhatkyNhap!$C99:H99)-SUM(NhatkyBan!$C99:H99)</f>
        <v>21</v>
      </c>
      <c r="I99" s="21">
        <f>SUM(NhatkyNhap!$C99:I99)-SUM(NhatkyBan!$C99:I99)</f>
        <v>21</v>
      </c>
      <c r="J99" s="21">
        <f>SUM(NhatkyNhap!$C99:J99)-SUM(NhatkyBan!$C99:J99)</f>
        <v>21</v>
      </c>
      <c r="K99" s="21">
        <f>SUM(NhatkyNhap!$C99:K99)-SUM(NhatkyBan!$C99:K99)</f>
        <v>21</v>
      </c>
      <c r="L99" s="21">
        <f>SUM(NhatkyNhap!$C99:L99)-SUM(NhatkyBan!$C99:L99)</f>
        <v>21</v>
      </c>
      <c r="M99" s="21">
        <f>SUM(NhatkyNhap!$C99:M99)-SUM(NhatkyBan!$C99:M99)</f>
        <v>21</v>
      </c>
      <c r="N99" s="21">
        <f>SUM(NhatkyNhap!$C99:N99)-SUM(NhatkyBan!$C99:N99)</f>
        <v>21</v>
      </c>
      <c r="O99" s="21">
        <f>SUM(NhatkyNhap!$C99:O99)-SUM(NhatkyBan!$C99:O99)</f>
        <v>21</v>
      </c>
      <c r="P99" s="21">
        <f>SUM(NhatkyNhap!$C99:P99)-SUM(NhatkyBan!$C99:P99)</f>
        <v>21</v>
      </c>
      <c r="Q99" s="21">
        <f>SUM(NhatkyNhap!$C99:Q99)-SUM(NhatkyBan!$C99:Q99)</f>
        <v>21</v>
      </c>
      <c r="R99" s="21">
        <f>SUM(NhatkyNhap!$C99:R99)-SUM(NhatkyBan!$C99:R99)</f>
        <v>21</v>
      </c>
      <c r="S99" s="21">
        <f>SUM(NhatkyNhap!$C99:S99)-SUM(NhatkyBan!$C99:S99)</f>
        <v>21</v>
      </c>
      <c r="T99" s="21">
        <f>SUM(NhatkyNhap!$C99:T99)-SUM(NhatkyBan!$C99:T99)</f>
        <v>21</v>
      </c>
      <c r="U99" s="21">
        <f>SUM(NhatkyNhap!$C99:U99)-SUM(NhatkyBan!$C99:U99)</f>
        <v>21</v>
      </c>
      <c r="V99" s="21">
        <f>SUM(NhatkyNhap!$C99:V99)-SUM(NhatkyBan!$C99:V99)</f>
        <v>21</v>
      </c>
      <c r="W99" s="21">
        <f>SUM(NhatkyNhap!$C99:W99)-SUM(NhatkyBan!$C99:W99)</f>
        <v>21</v>
      </c>
      <c r="X99" s="21">
        <f>SUM(NhatkyNhap!$C99:X99)-SUM(NhatkyBan!$C99:X99)</f>
        <v>21</v>
      </c>
      <c r="Y99" s="21">
        <f>SUM(NhatkyNhap!$C99:Y99)-SUM(NhatkyBan!$C99:Y99)</f>
        <v>21</v>
      </c>
      <c r="Z99" s="21">
        <f>SUM(NhatkyNhap!$C99:Z99)-SUM(NhatkyBan!$C99:Z99)</f>
        <v>21</v>
      </c>
      <c r="AA99" s="21">
        <f>SUM(NhatkyNhap!$C99:AA99)-SUM(NhatkyBan!$C99:AA99)</f>
        <v>21</v>
      </c>
      <c r="AB99" s="21">
        <f>SUM(NhatkyNhap!$C99:AB99)-SUM(NhatkyBan!$C99:AB99)</f>
        <v>21</v>
      </c>
      <c r="AC99" s="21">
        <f>SUM(NhatkyNhap!$C99:AC99)-SUM(NhatkyBan!$C99:AC99)</f>
        <v>21</v>
      </c>
      <c r="AD99" s="21">
        <f>SUM(NhatkyNhap!$C99:AD99)-SUM(NhatkyBan!$C99:AD99)</f>
        <v>21</v>
      </c>
      <c r="AE99" s="21">
        <f>SUM(NhatkyNhap!$C99:AE99)-SUM(NhatkyBan!$C99:AE99)</f>
        <v>21</v>
      </c>
      <c r="AF99" s="21">
        <f>SUM(NhatkyNhap!$C99:AF99)-SUM(NhatkyBan!$C99:AF99)</f>
        <v>21</v>
      </c>
      <c r="AG99" s="21">
        <f>SUM(NhatkyNhap!$C99:AG99)-SUM(NhatkyBan!$C99:AG99)</f>
        <v>21</v>
      </c>
    </row>
    <row r="100" spans="1:33" ht="12.75" customHeight="1">
      <c r="A100" s="76" t="str">
        <f>DSSP!A99</f>
        <v>B15</v>
      </c>
      <c r="B100" s="25" t="str">
        <f>DSSP!B99</f>
        <v>Hộp chocolate</v>
      </c>
      <c r="C100" s="21">
        <f>SUM(NhatkyNhap!$C100:C100)-SUM(NhatkyBan!$C100:C100)</f>
        <v>0</v>
      </c>
      <c r="D100" s="21">
        <f>SUM(NhatkyNhap!$C100:D100)-SUM(NhatkyBan!$C100:D100)</f>
        <v>0</v>
      </c>
      <c r="E100" s="21">
        <f>SUM(NhatkyNhap!$C100:E100)-SUM(NhatkyBan!$C100:E100)</f>
        <v>0</v>
      </c>
      <c r="F100" s="21">
        <f>SUM(NhatkyNhap!$C100:F100)-SUM(NhatkyBan!$C100:F100)</f>
        <v>0</v>
      </c>
      <c r="G100" s="21">
        <f>SUM(NhatkyNhap!$C100:G100)-SUM(NhatkyBan!$C100:G100)</f>
        <v>0</v>
      </c>
      <c r="H100" s="21">
        <f>SUM(NhatkyNhap!$C100:H100)-SUM(NhatkyBan!$C100:H100)</f>
        <v>0</v>
      </c>
      <c r="I100" s="21">
        <f>SUM(NhatkyNhap!$C100:I100)-SUM(NhatkyBan!$C100:I100)</f>
        <v>0</v>
      </c>
      <c r="J100" s="21">
        <f>SUM(NhatkyNhap!$C100:J100)-SUM(NhatkyBan!$C100:J100)</f>
        <v>0</v>
      </c>
      <c r="K100" s="21">
        <f>SUM(NhatkyNhap!$C100:K100)-SUM(NhatkyBan!$C100:K100)</f>
        <v>0</v>
      </c>
      <c r="L100" s="21">
        <f>SUM(NhatkyNhap!$C100:L100)-SUM(NhatkyBan!$C100:L100)</f>
        <v>0</v>
      </c>
      <c r="M100" s="21">
        <f>SUM(NhatkyNhap!$C100:M100)-SUM(NhatkyBan!$C100:M100)</f>
        <v>0</v>
      </c>
      <c r="N100" s="21">
        <f>SUM(NhatkyNhap!$C100:N100)-SUM(NhatkyBan!$C100:N100)</f>
        <v>0</v>
      </c>
      <c r="O100" s="21">
        <f>SUM(NhatkyNhap!$C100:O100)-SUM(NhatkyBan!$C100:O100)</f>
        <v>0</v>
      </c>
      <c r="P100" s="21">
        <f>SUM(NhatkyNhap!$C100:P100)-SUM(NhatkyBan!$C100:P100)</f>
        <v>0</v>
      </c>
      <c r="Q100" s="21">
        <f>SUM(NhatkyNhap!$C100:Q100)-SUM(NhatkyBan!$C100:Q100)</f>
        <v>0</v>
      </c>
      <c r="R100" s="21">
        <f>SUM(NhatkyNhap!$C100:R100)-SUM(NhatkyBan!$C100:R100)</f>
        <v>0</v>
      </c>
      <c r="S100" s="21">
        <f>SUM(NhatkyNhap!$C100:S100)-SUM(NhatkyBan!$C100:S100)</f>
        <v>0</v>
      </c>
      <c r="T100" s="21">
        <f>SUM(NhatkyNhap!$C100:T100)-SUM(NhatkyBan!$C100:T100)</f>
        <v>0</v>
      </c>
      <c r="U100" s="21">
        <f>SUM(NhatkyNhap!$C100:U100)-SUM(NhatkyBan!$C100:U100)</f>
        <v>0</v>
      </c>
      <c r="V100" s="21">
        <f>SUM(NhatkyNhap!$C100:V100)-SUM(NhatkyBan!$C100:V100)</f>
        <v>0</v>
      </c>
      <c r="W100" s="21">
        <f>SUM(NhatkyNhap!$C100:W100)-SUM(NhatkyBan!$C100:W100)</f>
        <v>0</v>
      </c>
      <c r="X100" s="21">
        <f>SUM(NhatkyNhap!$C100:X100)-SUM(NhatkyBan!$C100:X100)</f>
        <v>0</v>
      </c>
      <c r="Y100" s="21">
        <f>SUM(NhatkyNhap!$C100:Y100)-SUM(NhatkyBan!$C100:Y100)</f>
        <v>0</v>
      </c>
      <c r="Z100" s="21">
        <f>SUM(NhatkyNhap!$C100:Z100)-SUM(NhatkyBan!$C100:Z100)</f>
        <v>0</v>
      </c>
      <c r="AA100" s="21">
        <f>SUM(NhatkyNhap!$C100:AA100)-SUM(NhatkyBan!$C100:AA100)</f>
        <v>0</v>
      </c>
      <c r="AB100" s="21">
        <f>SUM(NhatkyNhap!$C100:AB100)-SUM(NhatkyBan!$C100:AB100)</f>
        <v>0</v>
      </c>
      <c r="AC100" s="21">
        <f>SUM(NhatkyNhap!$C100:AC100)-SUM(NhatkyBan!$C100:AC100)</f>
        <v>0</v>
      </c>
      <c r="AD100" s="21">
        <f>SUM(NhatkyNhap!$C100:AD100)-SUM(NhatkyBan!$C100:AD100)</f>
        <v>0</v>
      </c>
      <c r="AE100" s="21">
        <f>SUM(NhatkyNhap!$C100:AE100)-SUM(NhatkyBan!$C100:AE100)</f>
        <v>0</v>
      </c>
      <c r="AF100" s="21">
        <f>SUM(NhatkyNhap!$C100:AF100)-SUM(NhatkyBan!$C100:AF100)</f>
        <v>0</v>
      </c>
      <c r="AG100" s="21">
        <f>SUM(NhatkyNhap!$C100:AG100)-SUM(NhatkyBan!$C100:AG100)</f>
        <v>0</v>
      </c>
    </row>
    <row r="101" spans="1:33" ht="12.75" customHeight="1">
      <c r="A101" s="76" t="str">
        <f>DSSP!A100</f>
        <v>C01</v>
      </c>
      <c r="B101" s="25" t="str">
        <f>DSSP!B100</f>
        <v>Thiệp</v>
      </c>
      <c r="C101" s="21">
        <f>SUM(NhatkyNhap!$C101:C101)-SUM(NhatkyBan!$C101:C101)</f>
        <v>-2</v>
      </c>
      <c r="D101" s="21">
        <f>SUM(NhatkyNhap!$C101:D101)-SUM(NhatkyBan!$C101:D101)</f>
        <v>-2</v>
      </c>
      <c r="E101" s="21">
        <f>SUM(NhatkyNhap!$C101:E101)-SUM(NhatkyBan!$C101:E101)</f>
        <v>-2</v>
      </c>
      <c r="F101" s="21">
        <f>SUM(NhatkyNhap!$C101:F101)-SUM(NhatkyBan!$C101:F101)</f>
        <v>-2</v>
      </c>
      <c r="G101" s="21">
        <f>SUM(NhatkyNhap!$C101:G101)-SUM(NhatkyBan!$C101:G101)</f>
        <v>-2</v>
      </c>
      <c r="H101" s="21">
        <f>SUM(NhatkyNhap!$C101:H101)-SUM(NhatkyBan!$C101:H101)</f>
        <v>-2</v>
      </c>
      <c r="I101" s="21">
        <f>SUM(NhatkyNhap!$C101:I101)-SUM(NhatkyBan!$C101:I101)</f>
        <v>-2</v>
      </c>
      <c r="J101" s="21">
        <f>SUM(NhatkyNhap!$C101:J101)-SUM(NhatkyBan!$C101:J101)</f>
        <v>-2</v>
      </c>
      <c r="K101" s="21">
        <f>SUM(NhatkyNhap!$C101:K101)-SUM(NhatkyBan!$C101:K101)</f>
        <v>-2</v>
      </c>
      <c r="L101" s="21">
        <f>SUM(NhatkyNhap!$C101:L101)-SUM(NhatkyBan!$C101:L101)</f>
        <v>-2</v>
      </c>
      <c r="M101" s="21">
        <f>SUM(NhatkyNhap!$C101:M101)-SUM(NhatkyBan!$C101:M101)</f>
        <v>-2</v>
      </c>
      <c r="N101" s="21">
        <f>SUM(NhatkyNhap!$C101:N101)-SUM(NhatkyBan!$C101:N101)</f>
        <v>-2</v>
      </c>
      <c r="O101" s="21">
        <f>SUM(NhatkyNhap!$C101:O101)-SUM(NhatkyBan!$C101:O101)</f>
        <v>-2</v>
      </c>
      <c r="P101" s="21">
        <f>SUM(NhatkyNhap!$C101:P101)-SUM(NhatkyBan!$C101:P101)</f>
        <v>-2</v>
      </c>
      <c r="Q101" s="21">
        <f>SUM(NhatkyNhap!$C101:Q101)-SUM(NhatkyBan!$C101:Q101)</f>
        <v>-2</v>
      </c>
      <c r="R101" s="21">
        <f>SUM(NhatkyNhap!$C101:R101)-SUM(NhatkyBan!$C101:R101)</f>
        <v>-2</v>
      </c>
      <c r="S101" s="21">
        <f>SUM(NhatkyNhap!$C101:S101)-SUM(NhatkyBan!$C101:S101)</f>
        <v>-2</v>
      </c>
      <c r="T101" s="21">
        <f>SUM(NhatkyNhap!$C101:T101)-SUM(NhatkyBan!$C101:T101)</f>
        <v>-2</v>
      </c>
      <c r="U101" s="21">
        <f>SUM(NhatkyNhap!$C101:U101)-SUM(NhatkyBan!$C101:U101)</f>
        <v>-2</v>
      </c>
      <c r="V101" s="21">
        <f>SUM(NhatkyNhap!$C101:V101)-SUM(NhatkyBan!$C101:V101)</f>
        <v>-2</v>
      </c>
      <c r="W101" s="21">
        <f>SUM(NhatkyNhap!$C101:W101)-SUM(NhatkyBan!$C101:W101)</f>
        <v>-2</v>
      </c>
      <c r="X101" s="21">
        <f>SUM(NhatkyNhap!$C101:X101)-SUM(NhatkyBan!$C101:X101)</f>
        <v>-2</v>
      </c>
      <c r="Y101" s="21">
        <f>SUM(NhatkyNhap!$C101:Y101)-SUM(NhatkyBan!$C101:Y101)</f>
        <v>-2</v>
      </c>
      <c r="Z101" s="21">
        <f>SUM(NhatkyNhap!$C101:Z101)-SUM(NhatkyBan!$C101:Z101)</f>
        <v>-2</v>
      </c>
      <c r="AA101" s="21">
        <f>SUM(NhatkyNhap!$C101:AA101)-SUM(NhatkyBan!$C101:AA101)</f>
        <v>-2</v>
      </c>
      <c r="AB101" s="21">
        <f>SUM(NhatkyNhap!$C101:AB101)-SUM(NhatkyBan!$C101:AB101)</f>
        <v>-2</v>
      </c>
      <c r="AC101" s="21">
        <f>SUM(NhatkyNhap!$C101:AC101)-SUM(NhatkyBan!$C101:AC101)</f>
        <v>-2</v>
      </c>
      <c r="AD101" s="21">
        <f>SUM(NhatkyNhap!$C101:AD101)-SUM(NhatkyBan!$C101:AD101)</f>
        <v>-2</v>
      </c>
      <c r="AE101" s="21">
        <f>SUM(NhatkyNhap!$C101:AE101)-SUM(NhatkyBan!$C101:AE101)</f>
        <v>-2</v>
      </c>
      <c r="AF101" s="21">
        <f>SUM(NhatkyNhap!$C101:AF101)-SUM(NhatkyBan!$C101:AF101)</f>
        <v>-2</v>
      </c>
      <c r="AG101" s="21">
        <f>SUM(NhatkyNhap!$C101:AG101)-SUM(NhatkyBan!$C101:AG101)</f>
        <v>-2</v>
      </c>
    </row>
    <row r="102" spans="1:33" s="5" customFormat="1" ht="12.75" customHeight="1">
      <c r="A102" s="76" t="str">
        <f>DSSP!A101</f>
        <v>D01</v>
      </c>
      <c r="B102" s="25" t="str">
        <f>DSSP!B101</f>
        <v>Bánh kem dâu tây</v>
      </c>
      <c r="C102" s="21">
        <f>SUM(NhatkyNhap!$C102:C102)-SUM(NhatkyBan!$C102:C102)</f>
        <v>9</v>
      </c>
      <c r="D102" s="21">
        <f>SUM(NhatkyNhap!$C102:D102)-SUM(NhatkyBan!$C102:D102)</f>
        <v>9</v>
      </c>
      <c r="E102" s="21">
        <f>SUM(NhatkyNhap!$C102:E102)-SUM(NhatkyBan!$C102:E102)</f>
        <v>9</v>
      </c>
      <c r="F102" s="21">
        <f>SUM(NhatkyNhap!$C102:F102)-SUM(NhatkyBan!$C102:F102)</f>
        <v>9</v>
      </c>
      <c r="G102" s="21">
        <f>SUM(NhatkyNhap!$C102:G102)-SUM(NhatkyBan!$C102:G102)</f>
        <v>9</v>
      </c>
      <c r="H102" s="21">
        <f>SUM(NhatkyNhap!$C102:H102)-SUM(NhatkyBan!$C102:H102)</f>
        <v>9</v>
      </c>
      <c r="I102" s="21">
        <f>SUM(NhatkyNhap!$C102:I102)-SUM(NhatkyBan!$C102:I102)</f>
        <v>9</v>
      </c>
      <c r="J102" s="21">
        <f>SUM(NhatkyNhap!$C102:J102)-SUM(NhatkyBan!$C102:J102)</f>
        <v>9</v>
      </c>
      <c r="K102" s="21">
        <f>SUM(NhatkyNhap!$C102:K102)-SUM(NhatkyBan!$C102:K102)</f>
        <v>9</v>
      </c>
      <c r="L102" s="21">
        <f>SUM(NhatkyNhap!$C102:L102)-SUM(NhatkyBan!$C102:L102)</f>
        <v>9</v>
      </c>
      <c r="M102" s="21">
        <f>SUM(NhatkyNhap!$C102:M102)-SUM(NhatkyBan!$C102:M102)</f>
        <v>9</v>
      </c>
      <c r="N102" s="21">
        <f>SUM(NhatkyNhap!$C102:N102)-SUM(NhatkyBan!$C102:N102)</f>
        <v>9</v>
      </c>
      <c r="O102" s="21">
        <f>SUM(NhatkyNhap!$C102:O102)-SUM(NhatkyBan!$C102:O102)</f>
        <v>9</v>
      </c>
      <c r="P102" s="21">
        <f>SUM(NhatkyNhap!$C102:P102)-SUM(NhatkyBan!$C102:P102)</f>
        <v>9</v>
      </c>
      <c r="Q102" s="21">
        <f>SUM(NhatkyNhap!$C102:Q102)-SUM(NhatkyBan!$C102:Q102)</f>
        <v>9</v>
      </c>
      <c r="R102" s="21">
        <f>SUM(NhatkyNhap!$C102:R102)-SUM(NhatkyBan!$C102:R102)</f>
        <v>9</v>
      </c>
      <c r="S102" s="21">
        <f>SUM(NhatkyNhap!$C102:S102)-SUM(NhatkyBan!$C102:S102)</f>
        <v>9</v>
      </c>
      <c r="T102" s="21">
        <f>SUM(NhatkyNhap!$C102:T102)-SUM(NhatkyBan!$C102:T102)</f>
        <v>9</v>
      </c>
      <c r="U102" s="21">
        <f>SUM(NhatkyNhap!$C102:U102)-SUM(NhatkyBan!$C102:U102)</f>
        <v>9</v>
      </c>
      <c r="V102" s="21">
        <f>SUM(NhatkyNhap!$C102:V102)-SUM(NhatkyBan!$C102:V102)</f>
        <v>9</v>
      </c>
      <c r="W102" s="21">
        <f>SUM(NhatkyNhap!$C102:W102)-SUM(NhatkyBan!$C102:W102)</f>
        <v>9</v>
      </c>
      <c r="X102" s="21">
        <f>SUM(NhatkyNhap!$C102:X102)-SUM(NhatkyBan!$C102:X102)</f>
        <v>9</v>
      </c>
      <c r="Y102" s="21">
        <f>SUM(NhatkyNhap!$C102:Y102)-SUM(NhatkyBan!$C102:Y102)</f>
        <v>9</v>
      </c>
      <c r="Z102" s="21">
        <f>SUM(NhatkyNhap!$C102:Z102)-SUM(NhatkyBan!$C102:Z102)</f>
        <v>9</v>
      </c>
      <c r="AA102" s="21">
        <f>SUM(NhatkyNhap!$C102:AA102)-SUM(NhatkyBan!$C102:AA102)</f>
        <v>9</v>
      </c>
      <c r="AB102" s="21">
        <f>SUM(NhatkyNhap!$C102:AB102)-SUM(NhatkyBan!$C102:AB102)</f>
        <v>9</v>
      </c>
      <c r="AC102" s="21">
        <f>SUM(NhatkyNhap!$C102:AC102)-SUM(NhatkyBan!$C102:AC102)</f>
        <v>9</v>
      </c>
      <c r="AD102" s="21">
        <f>SUM(NhatkyNhap!$C102:AD102)-SUM(NhatkyBan!$C102:AD102)</f>
        <v>9</v>
      </c>
      <c r="AE102" s="21">
        <f>SUM(NhatkyNhap!$C102:AE102)-SUM(NhatkyBan!$C102:AE102)</f>
        <v>9</v>
      </c>
      <c r="AF102" s="21">
        <f>SUM(NhatkyNhap!$C102:AF102)-SUM(NhatkyBan!$C102:AF102)</f>
        <v>9</v>
      </c>
      <c r="AG102" s="21">
        <f>SUM(NhatkyNhap!$C102:AG102)-SUM(NhatkyBan!$C102:AG102)</f>
        <v>9</v>
      </c>
    </row>
    <row r="103" spans="1:33" s="5" customFormat="1" ht="12.75" customHeight="1">
      <c r="A103" s="76" t="str">
        <f>DSSP!A102</f>
        <v>D03</v>
      </c>
      <c r="B103" s="25" t="str">
        <f>DSSP!B102</f>
        <v>Cupcake dâu tây</v>
      </c>
      <c r="C103" s="21">
        <f>SUM(NhatkyNhap!$C103:C103)-SUM(NhatkyBan!$C103:C103)</f>
        <v>6</v>
      </c>
      <c r="D103" s="21">
        <f>SUM(NhatkyNhap!$C103:D103)-SUM(NhatkyBan!$C103:D103)</f>
        <v>6</v>
      </c>
      <c r="E103" s="21">
        <f>SUM(NhatkyNhap!$C103:E103)-SUM(NhatkyBan!$C103:E103)</f>
        <v>6</v>
      </c>
      <c r="F103" s="21">
        <f>SUM(NhatkyNhap!$C103:F103)-SUM(NhatkyBan!$C103:F103)</f>
        <v>6</v>
      </c>
      <c r="G103" s="21">
        <f>SUM(NhatkyNhap!$C103:G103)-SUM(NhatkyBan!$C103:G103)</f>
        <v>6</v>
      </c>
      <c r="H103" s="21">
        <f>SUM(NhatkyNhap!$C103:H103)-SUM(NhatkyBan!$C103:H103)</f>
        <v>6</v>
      </c>
      <c r="I103" s="21">
        <f>SUM(NhatkyNhap!$C103:I103)-SUM(NhatkyBan!$C103:I103)</f>
        <v>6</v>
      </c>
      <c r="J103" s="21">
        <f>SUM(NhatkyNhap!$C103:J103)-SUM(NhatkyBan!$C103:J103)</f>
        <v>6</v>
      </c>
      <c r="K103" s="21">
        <f>SUM(NhatkyNhap!$C103:K103)-SUM(NhatkyBan!$C103:K103)</f>
        <v>6</v>
      </c>
      <c r="L103" s="21">
        <f>SUM(NhatkyNhap!$C103:L103)-SUM(NhatkyBan!$C103:L103)</f>
        <v>6</v>
      </c>
      <c r="M103" s="21">
        <f>SUM(NhatkyNhap!$C103:M103)-SUM(NhatkyBan!$C103:M103)</f>
        <v>6</v>
      </c>
      <c r="N103" s="21">
        <f>SUM(NhatkyNhap!$C103:N103)-SUM(NhatkyBan!$C103:N103)</f>
        <v>6</v>
      </c>
      <c r="O103" s="21">
        <f>SUM(NhatkyNhap!$C103:O103)-SUM(NhatkyBan!$C103:O103)</f>
        <v>6</v>
      </c>
      <c r="P103" s="21">
        <f>SUM(NhatkyNhap!$C103:P103)-SUM(NhatkyBan!$C103:P103)</f>
        <v>6</v>
      </c>
      <c r="Q103" s="21">
        <f>SUM(NhatkyNhap!$C103:Q103)-SUM(NhatkyBan!$C103:Q103)</f>
        <v>6</v>
      </c>
      <c r="R103" s="21">
        <f>SUM(NhatkyNhap!$C103:R103)-SUM(NhatkyBan!$C103:R103)</f>
        <v>6</v>
      </c>
      <c r="S103" s="21">
        <f>SUM(NhatkyNhap!$C103:S103)-SUM(NhatkyBan!$C103:S103)</f>
        <v>6</v>
      </c>
      <c r="T103" s="21">
        <f>SUM(NhatkyNhap!$C103:T103)-SUM(NhatkyBan!$C103:T103)</f>
        <v>6</v>
      </c>
      <c r="U103" s="21">
        <f>SUM(NhatkyNhap!$C103:U103)-SUM(NhatkyBan!$C103:U103)</f>
        <v>6</v>
      </c>
      <c r="V103" s="21">
        <f>SUM(NhatkyNhap!$C103:V103)-SUM(NhatkyBan!$C103:V103)</f>
        <v>6</v>
      </c>
      <c r="W103" s="21">
        <f>SUM(NhatkyNhap!$C103:W103)-SUM(NhatkyBan!$C103:W103)</f>
        <v>6</v>
      </c>
      <c r="X103" s="21">
        <f>SUM(NhatkyNhap!$C103:X103)-SUM(NhatkyBan!$C103:X103)</f>
        <v>6</v>
      </c>
      <c r="Y103" s="21">
        <f>SUM(NhatkyNhap!$C103:Y103)-SUM(NhatkyBan!$C103:Y103)</f>
        <v>6</v>
      </c>
      <c r="Z103" s="21">
        <f>SUM(NhatkyNhap!$C103:Z103)-SUM(NhatkyBan!$C103:Z103)</f>
        <v>6</v>
      </c>
      <c r="AA103" s="21">
        <f>SUM(NhatkyNhap!$C103:AA103)-SUM(NhatkyBan!$C103:AA103)</f>
        <v>6</v>
      </c>
      <c r="AB103" s="21">
        <f>SUM(NhatkyNhap!$C103:AB103)-SUM(NhatkyBan!$C103:AB103)</f>
        <v>6</v>
      </c>
      <c r="AC103" s="21">
        <f>SUM(NhatkyNhap!$C103:AC103)-SUM(NhatkyBan!$C103:AC103)</f>
        <v>6</v>
      </c>
      <c r="AD103" s="21">
        <f>SUM(NhatkyNhap!$C103:AD103)-SUM(NhatkyBan!$C103:AD103)</f>
        <v>6</v>
      </c>
      <c r="AE103" s="21">
        <f>SUM(NhatkyNhap!$C103:AE103)-SUM(NhatkyBan!$C103:AE103)</f>
        <v>6</v>
      </c>
      <c r="AF103" s="21">
        <f>SUM(NhatkyNhap!$C103:AF103)-SUM(NhatkyBan!$C103:AF103)</f>
        <v>6</v>
      </c>
      <c r="AG103" s="21">
        <f>SUM(NhatkyNhap!$C103:AG103)-SUM(NhatkyBan!$C103:AG103)</f>
        <v>6</v>
      </c>
    </row>
    <row r="104" spans="1:33" s="5" customFormat="1" ht="12.75" customHeight="1">
      <c r="A104" s="76" t="str">
        <f>DSSP!A103</f>
        <v>D04</v>
      </c>
      <c r="B104" s="25" t="str">
        <f>DSSP!B103</f>
        <v>Bánh kem chocolate</v>
      </c>
      <c r="C104" s="21">
        <f>SUM(NhatkyNhap!$C104:C104)-SUM(NhatkyBan!$C104:C104)</f>
        <v>7</v>
      </c>
      <c r="D104" s="21">
        <f>SUM(NhatkyNhap!$C104:D104)-SUM(NhatkyBan!$C104:D104)</f>
        <v>7</v>
      </c>
      <c r="E104" s="21">
        <f>SUM(NhatkyNhap!$C104:E104)-SUM(NhatkyBan!$C104:E104)</f>
        <v>7</v>
      </c>
      <c r="F104" s="21">
        <f>SUM(NhatkyNhap!$C104:F104)-SUM(NhatkyBan!$C104:F104)</f>
        <v>7</v>
      </c>
      <c r="G104" s="21">
        <f>SUM(NhatkyNhap!$C104:G104)-SUM(NhatkyBan!$C104:G104)</f>
        <v>7</v>
      </c>
      <c r="H104" s="21">
        <f>SUM(NhatkyNhap!$C104:H104)-SUM(NhatkyBan!$C104:H104)</f>
        <v>7</v>
      </c>
      <c r="I104" s="21">
        <f>SUM(NhatkyNhap!$C104:I104)-SUM(NhatkyBan!$C104:I104)</f>
        <v>7</v>
      </c>
      <c r="J104" s="21">
        <f>SUM(NhatkyNhap!$C104:J104)-SUM(NhatkyBan!$C104:J104)</f>
        <v>7</v>
      </c>
      <c r="K104" s="21">
        <f>SUM(NhatkyNhap!$C104:K104)-SUM(NhatkyBan!$C104:K104)</f>
        <v>7</v>
      </c>
      <c r="L104" s="21">
        <f>SUM(NhatkyNhap!$C104:L104)-SUM(NhatkyBan!$C104:L104)</f>
        <v>7</v>
      </c>
      <c r="M104" s="21">
        <f>SUM(NhatkyNhap!$C104:M104)-SUM(NhatkyBan!$C104:M104)</f>
        <v>7</v>
      </c>
      <c r="N104" s="21">
        <f>SUM(NhatkyNhap!$C104:N104)-SUM(NhatkyBan!$C104:N104)</f>
        <v>7</v>
      </c>
      <c r="O104" s="21">
        <f>SUM(NhatkyNhap!$C104:O104)-SUM(NhatkyBan!$C104:O104)</f>
        <v>7</v>
      </c>
      <c r="P104" s="21">
        <f>SUM(NhatkyNhap!$C104:P104)-SUM(NhatkyBan!$C104:P104)</f>
        <v>7</v>
      </c>
      <c r="Q104" s="21">
        <f>SUM(NhatkyNhap!$C104:Q104)-SUM(NhatkyBan!$C104:Q104)</f>
        <v>7</v>
      </c>
      <c r="R104" s="21">
        <f>SUM(NhatkyNhap!$C104:R104)-SUM(NhatkyBan!$C104:R104)</f>
        <v>7</v>
      </c>
      <c r="S104" s="21">
        <f>SUM(NhatkyNhap!$C104:S104)-SUM(NhatkyBan!$C104:S104)</f>
        <v>7</v>
      </c>
      <c r="T104" s="21">
        <f>SUM(NhatkyNhap!$C104:T104)-SUM(NhatkyBan!$C104:T104)</f>
        <v>7</v>
      </c>
      <c r="U104" s="21">
        <f>SUM(NhatkyNhap!$C104:U104)-SUM(NhatkyBan!$C104:U104)</f>
        <v>7</v>
      </c>
      <c r="V104" s="21">
        <f>SUM(NhatkyNhap!$C104:V104)-SUM(NhatkyBan!$C104:V104)</f>
        <v>7</v>
      </c>
      <c r="W104" s="21">
        <f>SUM(NhatkyNhap!$C104:W104)-SUM(NhatkyBan!$C104:W104)</f>
        <v>7</v>
      </c>
      <c r="X104" s="21">
        <f>SUM(NhatkyNhap!$C104:X104)-SUM(NhatkyBan!$C104:X104)</f>
        <v>7</v>
      </c>
      <c r="Y104" s="21">
        <f>SUM(NhatkyNhap!$C104:Y104)-SUM(NhatkyBan!$C104:Y104)</f>
        <v>7</v>
      </c>
      <c r="Z104" s="21">
        <f>SUM(NhatkyNhap!$C104:Z104)-SUM(NhatkyBan!$C104:Z104)</f>
        <v>7</v>
      </c>
      <c r="AA104" s="21">
        <f>SUM(NhatkyNhap!$C104:AA104)-SUM(NhatkyBan!$C104:AA104)</f>
        <v>7</v>
      </c>
      <c r="AB104" s="21">
        <f>SUM(NhatkyNhap!$C104:AB104)-SUM(NhatkyBan!$C104:AB104)</f>
        <v>7</v>
      </c>
      <c r="AC104" s="21">
        <f>SUM(NhatkyNhap!$C104:AC104)-SUM(NhatkyBan!$C104:AC104)</f>
        <v>7</v>
      </c>
      <c r="AD104" s="21">
        <f>SUM(NhatkyNhap!$C104:AD104)-SUM(NhatkyBan!$C104:AD104)</f>
        <v>7</v>
      </c>
      <c r="AE104" s="21">
        <f>SUM(NhatkyNhap!$C104:AE104)-SUM(NhatkyBan!$C104:AE104)</f>
        <v>7</v>
      </c>
      <c r="AF104" s="21">
        <f>SUM(NhatkyNhap!$C104:AF104)-SUM(NhatkyBan!$C104:AF104)</f>
        <v>7</v>
      </c>
      <c r="AG104" s="21">
        <f>SUM(NhatkyNhap!$C104:AG104)-SUM(NhatkyBan!$C104:AG104)</f>
        <v>7</v>
      </c>
    </row>
    <row r="105" spans="1:33" s="5" customFormat="1" ht="12.75" customHeight="1">
      <c r="A105" s="76" t="str">
        <f>DSSP!A104</f>
        <v>D05</v>
      </c>
      <c r="B105" s="25" t="str">
        <f>DSSP!B104</f>
        <v>Bánh kem trà xanh</v>
      </c>
      <c r="C105" s="21">
        <f>SUM(NhatkyNhap!$C105:C105)-SUM(NhatkyBan!$C105:C105)</f>
        <v>11</v>
      </c>
      <c r="D105" s="21">
        <f>SUM(NhatkyNhap!$C105:D105)-SUM(NhatkyBan!$C105:D105)</f>
        <v>11</v>
      </c>
      <c r="E105" s="21">
        <f>SUM(NhatkyNhap!$C105:E105)-SUM(NhatkyBan!$C105:E105)</f>
        <v>11</v>
      </c>
      <c r="F105" s="21">
        <f>SUM(NhatkyNhap!$C105:F105)-SUM(NhatkyBan!$C105:F105)</f>
        <v>11</v>
      </c>
      <c r="G105" s="21">
        <f>SUM(NhatkyNhap!$C105:G105)-SUM(NhatkyBan!$C105:G105)</f>
        <v>11</v>
      </c>
      <c r="H105" s="21">
        <f>SUM(NhatkyNhap!$C105:H105)-SUM(NhatkyBan!$C105:H105)</f>
        <v>11</v>
      </c>
      <c r="I105" s="21">
        <f>SUM(NhatkyNhap!$C105:I105)-SUM(NhatkyBan!$C105:I105)</f>
        <v>11</v>
      </c>
      <c r="J105" s="21">
        <f>SUM(NhatkyNhap!$C105:J105)-SUM(NhatkyBan!$C105:J105)</f>
        <v>11</v>
      </c>
      <c r="K105" s="21">
        <f>SUM(NhatkyNhap!$C105:K105)-SUM(NhatkyBan!$C105:K105)</f>
        <v>11</v>
      </c>
      <c r="L105" s="21">
        <f>SUM(NhatkyNhap!$C105:L105)-SUM(NhatkyBan!$C105:L105)</f>
        <v>11</v>
      </c>
      <c r="M105" s="21">
        <f>SUM(NhatkyNhap!$C105:M105)-SUM(NhatkyBan!$C105:M105)</f>
        <v>11</v>
      </c>
      <c r="N105" s="21">
        <f>SUM(NhatkyNhap!$C105:N105)-SUM(NhatkyBan!$C105:N105)</f>
        <v>11</v>
      </c>
      <c r="O105" s="21">
        <f>SUM(NhatkyNhap!$C105:O105)-SUM(NhatkyBan!$C105:O105)</f>
        <v>11</v>
      </c>
      <c r="P105" s="21">
        <f>SUM(NhatkyNhap!$C105:P105)-SUM(NhatkyBan!$C105:P105)</f>
        <v>11</v>
      </c>
      <c r="Q105" s="21">
        <f>SUM(NhatkyNhap!$C105:Q105)-SUM(NhatkyBan!$C105:Q105)</f>
        <v>11</v>
      </c>
      <c r="R105" s="21">
        <f>SUM(NhatkyNhap!$C105:R105)-SUM(NhatkyBan!$C105:R105)</f>
        <v>11</v>
      </c>
      <c r="S105" s="21">
        <f>SUM(NhatkyNhap!$C105:S105)-SUM(NhatkyBan!$C105:S105)</f>
        <v>11</v>
      </c>
      <c r="T105" s="21">
        <f>SUM(NhatkyNhap!$C105:T105)-SUM(NhatkyBan!$C105:T105)</f>
        <v>11</v>
      </c>
      <c r="U105" s="21">
        <f>SUM(NhatkyNhap!$C105:U105)-SUM(NhatkyBan!$C105:U105)</f>
        <v>11</v>
      </c>
      <c r="V105" s="21">
        <f>SUM(NhatkyNhap!$C105:V105)-SUM(NhatkyBan!$C105:V105)</f>
        <v>11</v>
      </c>
      <c r="W105" s="21">
        <f>SUM(NhatkyNhap!$C105:W105)-SUM(NhatkyBan!$C105:W105)</f>
        <v>11</v>
      </c>
      <c r="X105" s="21">
        <f>SUM(NhatkyNhap!$C105:X105)-SUM(NhatkyBan!$C105:X105)</f>
        <v>11</v>
      </c>
      <c r="Y105" s="21">
        <f>SUM(NhatkyNhap!$C105:Y105)-SUM(NhatkyBan!$C105:Y105)</f>
        <v>11</v>
      </c>
      <c r="Z105" s="21">
        <f>SUM(NhatkyNhap!$C105:Z105)-SUM(NhatkyBan!$C105:Z105)</f>
        <v>11</v>
      </c>
      <c r="AA105" s="21">
        <f>SUM(NhatkyNhap!$C105:AA105)-SUM(NhatkyBan!$C105:AA105)</f>
        <v>11</v>
      </c>
      <c r="AB105" s="21">
        <f>SUM(NhatkyNhap!$C105:AB105)-SUM(NhatkyBan!$C105:AB105)</f>
        <v>11</v>
      </c>
      <c r="AC105" s="21">
        <f>SUM(NhatkyNhap!$C105:AC105)-SUM(NhatkyBan!$C105:AC105)</f>
        <v>11</v>
      </c>
      <c r="AD105" s="21">
        <f>SUM(NhatkyNhap!$C105:AD105)-SUM(NhatkyBan!$C105:AD105)</f>
        <v>11</v>
      </c>
      <c r="AE105" s="21">
        <f>SUM(NhatkyNhap!$C105:AE105)-SUM(NhatkyBan!$C105:AE105)</f>
        <v>11</v>
      </c>
      <c r="AF105" s="21">
        <f>SUM(NhatkyNhap!$C105:AF105)-SUM(NhatkyBan!$C105:AF105)</f>
        <v>11</v>
      </c>
      <c r="AG105" s="21">
        <f>SUM(NhatkyNhap!$C105:AG105)-SUM(NhatkyBan!$C105:AG105)</f>
        <v>11</v>
      </c>
    </row>
    <row r="106" spans="1:33" s="5" customFormat="1" ht="12.75" customHeight="1">
      <c r="A106" s="76" t="str">
        <f>DSSP!A105</f>
        <v>D06</v>
      </c>
      <c r="B106" s="25" t="str">
        <f>DSSP!B105</f>
        <v>Bánh hoa quả</v>
      </c>
      <c r="C106" s="21">
        <f>SUM(NhatkyNhap!$C106:C106)-SUM(NhatkyBan!$C106:C106)</f>
        <v>12</v>
      </c>
      <c r="D106" s="21">
        <f>SUM(NhatkyNhap!$C106:D106)-SUM(NhatkyBan!$C106:D106)</f>
        <v>12</v>
      </c>
      <c r="E106" s="21">
        <f>SUM(NhatkyNhap!$C106:E106)-SUM(NhatkyBan!$C106:E106)</f>
        <v>12</v>
      </c>
      <c r="F106" s="21">
        <f>SUM(NhatkyNhap!$C106:F106)-SUM(NhatkyBan!$C106:F106)</f>
        <v>12</v>
      </c>
      <c r="G106" s="21">
        <f>SUM(NhatkyNhap!$C106:G106)-SUM(NhatkyBan!$C106:G106)</f>
        <v>12</v>
      </c>
      <c r="H106" s="21">
        <f>SUM(NhatkyNhap!$C106:H106)-SUM(NhatkyBan!$C106:H106)</f>
        <v>12</v>
      </c>
      <c r="I106" s="21">
        <f>SUM(NhatkyNhap!$C106:I106)-SUM(NhatkyBan!$C106:I106)</f>
        <v>12</v>
      </c>
      <c r="J106" s="21">
        <f>SUM(NhatkyNhap!$C106:J106)-SUM(NhatkyBan!$C106:J106)</f>
        <v>12</v>
      </c>
      <c r="K106" s="21">
        <f>SUM(NhatkyNhap!$C106:K106)-SUM(NhatkyBan!$C106:K106)</f>
        <v>12</v>
      </c>
      <c r="L106" s="21">
        <f>SUM(NhatkyNhap!$C106:L106)-SUM(NhatkyBan!$C106:L106)</f>
        <v>12</v>
      </c>
      <c r="M106" s="21">
        <f>SUM(NhatkyNhap!$C106:M106)-SUM(NhatkyBan!$C106:M106)</f>
        <v>12</v>
      </c>
      <c r="N106" s="21">
        <f>SUM(NhatkyNhap!$C106:N106)-SUM(NhatkyBan!$C106:N106)</f>
        <v>12</v>
      </c>
      <c r="O106" s="21">
        <f>SUM(NhatkyNhap!$C106:O106)-SUM(NhatkyBan!$C106:O106)</f>
        <v>12</v>
      </c>
      <c r="P106" s="21">
        <f>SUM(NhatkyNhap!$C106:P106)-SUM(NhatkyBan!$C106:P106)</f>
        <v>12</v>
      </c>
      <c r="Q106" s="21">
        <f>SUM(NhatkyNhap!$C106:Q106)-SUM(NhatkyBan!$C106:Q106)</f>
        <v>12</v>
      </c>
      <c r="R106" s="21">
        <f>SUM(NhatkyNhap!$C106:R106)-SUM(NhatkyBan!$C106:R106)</f>
        <v>12</v>
      </c>
      <c r="S106" s="21">
        <f>SUM(NhatkyNhap!$C106:S106)-SUM(NhatkyBan!$C106:S106)</f>
        <v>12</v>
      </c>
      <c r="T106" s="21">
        <f>SUM(NhatkyNhap!$C106:T106)-SUM(NhatkyBan!$C106:T106)</f>
        <v>12</v>
      </c>
      <c r="U106" s="21">
        <f>SUM(NhatkyNhap!$C106:U106)-SUM(NhatkyBan!$C106:U106)</f>
        <v>12</v>
      </c>
      <c r="V106" s="21">
        <f>SUM(NhatkyNhap!$C106:V106)-SUM(NhatkyBan!$C106:V106)</f>
        <v>12</v>
      </c>
      <c r="W106" s="21">
        <f>SUM(NhatkyNhap!$C106:W106)-SUM(NhatkyBan!$C106:W106)</f>
        <v>12</v>
      </c>
      <c r="X106" s="21">
        <f>SUM(NhatkyNhap!$C106:X106)-SUM(NhatkyBan!$C106:X106)</f>
        <v>12</v>
      </c>
      <c r="Y106" s="21">
        <f>SUM(NhatkyNhap!$C106:Y106)-SUM(NhatkyBan!$C106:Y106)</f>
        <v>12</v>
      </c>
      <c r="Z106" s="21">
        <f>SUM(NhatkyNhap!$C106:Z106)-SUM(NhatkyBan!$C106:Z106)</f>
        <v>12</v>
      </c>
      <c r="AA106" s="21">
        <f>SUM(NhatkyNhap!$C106:AA106)-SUM(NhatkyBan!$C106:AA106)</f>
        <v>12</v>
      </c>
      <c r="AB106" s="21">
        <f>SUM(NhatkyNhap!$C106:AB106)-SUM(NhatkyBan!$C106:AB106)</f>
        <v>12</v>
      </c>
      <c r="AC106" s="21">
        <f>SUM(NhatkyNhap!$C106:AC106)-SUM(NhatkyBan!$C106:AC106)</f>
        <v>12</v>
      </c>
      <c r="AD106" s="21">
        <f>SUM(NhatkyNhap!$C106:AD106)-SUM(NhatkyBan!$C106:AD106)</f>
        <v>12</v>
      </c>
      <c r="AE106" s="21">
        <f>SUM(NhatkyNhap!$C106:AE106)-SUM(NhatkyBan!$C106:AE106)</f>
        <v>12</v>
      </c>
      <c r="AF106" s="21">
        <f>SUM(NhatkyNhap!$C106:AF106)-SUM(NhatkyBan!$C106:AF106)</f>
        <v>12</v>
      </c>
      <c r="AG106" s="21">
        <f>SUM(NhatkyNhap!$C106:AG106)-SUM(NhatkyBan!$C106:AG106)</f>
        <v>12</v>
      </c>
    </row>
    <row r="107" spans="1:33" ht="12.75" customHeight="1">
      <c r="A107" s="76" t="str">
        <f>DSSP!A106</f>
        <v>R000</v>
      </c>
      <c r="B107" s="25" t="str">
        <f>DSSP!B106</f>
        <v>Rollygami làm sẵn</v>
      </c>
      <c r="C107" s="21">
        <f>SUM(NhatkyNhap!$C107:C107)-SUM(NhatkyBan!$C107:C107)</f>
        <v>44</v>
      </c>
      <c r="D107" s="21">
        <f>SUM(NhatkyNhap!$C107:D107)-SUM(NhatkyBan!$C107:D107)</f>
        <v>44</v>
      </c>
      <c r="E107" s="21">
        <f>SUM(NhatkyNhap!$C107:E107)-SUM(NhatkyBan!$C107:E107)</f>
        <v>44</v>
      </c>
      <c r="F107" s="21">
        <f>SUM(NhatkyNhap!$C107:F107)-SUM(NhatkyBan!$C107:F107)</f>
        <v>44</v>
      </c>
      <c r="G107" s="21">
        <f>SUM(NhatkyNhap!$C107:G107)-SUM(NhatkyBan!$C107:G107)</f>
        <v>44</v>
      </c>
      <c r="H107" s="21">
        <f>SUM(NhatkyNhap!$C107:H107)-SUM(NhatkyBan!$C107:H107)</f>
        <v>44</v>
      </c>
      <c r="I107" s="21">
        <f>SUM(NhatkyNhap!$C107:I107)-SUM(NhatkyBan!$C107:I107)</f>
        <v>44</v>
      </c>
      <c r="J107" s="21">
        <f>SUM(NhatkyNhap!$C107:J107)-SUM(NhatkyBan!$C107:J107)</f>
        <v>44</v>
      </c>
      <c r="K107" s="21">
        <f>SUM(NhatkyNhap!$C107:K107)-SUM(NhatkyBan!$C107:K107)</f>
        <v>44</v>
      </c>
      <c r="L107" s="21">
        <f>SUM(NhatkyNhap!$C107:L107)-SUM(NhatkyBan!$C107:L107)</f>
        <v>44</v>
      </c>
      <c r="M107" s="21">
        <f>SUM(NhatkyNhap!$C107:M107)-SUM(NhatkyBan!$C107:M107)</f>
        <v>44</v>
      </c>
      <c r="N107" s="21">
        <f>SUM(NhatkyNhap!$C107:N107)-SUM(NhatkyBan!$C107:N107)</f>
        <v>44</v>
      </c>
      <c r="O107" s="21">
        <f>SUM(NhatkyNhap!$C107:O107)-SUM(NhatkyBan!$C107:O107)</f>
        <v>44</v>
      </c>
      <c r="P107" s="21">
        <f>SUM(NhatkyNhap!$C107:P107)-SUM(NhatkyBan!$C107:P107)</f>
        <v>44</v>
      </c>
      <c r="Q107" s="21">
        <f>SUM(NhatkyNhap!$C107:Q107)-SUM(NhatkyBan!$C107:Q107)</f>
        <v>44</v>
      </c>
      <c r="R107" s="21">
        <f>SUM(NhatkyNhap!$C107:R107)-SUM(NhatkyBan!$C107:R107)</f>
        <v>44</v>
      </c>
      <c r="S107" s="21">
        <f>SUM(NhatkyNhap!$C107:S107)-SUM(NhatkyBan!$C107:S107)</f>
        <v>44</v>
      </c>
      <c r="T107" s="21">
        <f>SUM(NhatkyNhap!$C107:T107)-SUM(NhatkyBan!$C107:T107)</f>
        <v>44</v>
      </c>
      <c r="U107" s="21">
        <f>SUM(NhatkyNhap!$C107:U107)-SUM(NhatkyBan!$C107:U107)</f>
        <v>44</v>
      </c>
      <c r="V107" s="21">
        <f>SUM(NhatkyNhap!$C107:V107)-SUM(NhatkyBan!$C107:V107)</f>
        <v>44</v>
      </c>
      <c r="W107" s="21">
        <f>SUM(NhatkyNhap!$C107:W107)-SUM(NhatkyBan!$C107:W107)</f>
        <v>44</v>
      </c>
      <c r="X107" s="21">
        <f>SUM(NhatkyNhap!$C107:X107)-SUM(NhatkyBan!$C107:X107)</f>
        <v>44</v>
      </c>
      <c r="Y107" s="21">
        <f>SUM(NhatkyNhap!$C107:Y107)-SUM(NhatkyBan!$C107:Y107)</f>
        <v>44</v>
      </c>
      <c r="Z107" s="21">
        <f>SUM(NhatkyNhap!$C107:Z107)-SUM(NhatkyBan!$C107:Z107)</f>
        <v>44</v>
      </c>
      <c r="AA107" s="21">
        <f>SUM(NhatkyNhap!$C107:AA107)-SUM(NhatkyBan!$C107:AA107)</f>
        <v>44</v>
      </c>
      <c r="AB107" s="21">
        <f>SUM(NhatkyNhap!$C107:AB107)-SUM(NhatkyBan!$C107:AB107)</f>
        <v>44</v>
      </c>
      <c r="AC107" s="21">
        <f>SUM(NhatkyNhap!$C107:AC107)-SUM(NhatkyBan!$C107:AC107)</f>
        <v>44</v>
      </c>
      <c r="AD107" s="21">
        <f>SUM(NhatkyNhap!$C107:AD107)-SUM(NhatkyBan!$C107:AD107)</f>
        <v>44</v>
      </c>
      <c r="AE107" s="21">
        <f>SUM(NhatkyNhap!$C107:AE107)-SUM(NhatkyBan!$C107:AE107)</f>
        <v>44</v>
      </c>
      <c r="AF107" s="21">
        <f>SUM(NhatkyNhap!$C107:AF107)-SUM(NhatkyBan!$C107:AF107)</f>
        <v>44</v>
      </c>
      <c r="AG107" s="21">
        <f>SUM(NhatkyNhap!$C107:AG107)-SUM(NhatkyBan!$C107:AG107)</f>
        <v>44</v>
      </c>
    </row>
    <row r="108" spans="1:33" ht="12.75" customHeight="1">
      <c r="A108" s="76" t="str">
        <f>DSSP!A107</f>
        <v>R001</v>
      </c>
      <c r="B108" s="25" t="str">
        <f>DSSP!B107</f>
        <v>Gà bông</v>
      </c>
      <c r="C108" s="21">
        <f>SUM(NhatkyNhap!$C108:C108)-SUM(NhatkyBan!$C108:C108)</f>
        <v>0</v>
      </c>
      <c r="D108" s="21">
        <f>SUM(NhatkyNhap!$C108:D108)-SUM(NhatkyBan!$C108:D108)</f>
        <v>0</v>
      </c>
      <c r="E108" s="21">
        <f>SUM(NhatkyNhap!$C108:E108)-SUM(NhatkyBan!$C108:E108)</f>
        <v>0</v>
      </c>
      <c r="F108" s="21">
        <f>SUM(NhatkyNhap!$C108:F108)-SUM(NhatkyBan!$C108:F108)</f>
        <v>0</v>
      </c>
      <c r="G108" s="21">
        <f>SUM(NhatkyNhap!$C108:G108)-SUM(NhatkyBan!$C108:G108)</f>
        <v>0</v>
      </c>
      <c r="H108" s="21">
        <f>SUM(NhatkyNhap!$C108:H108)-SUM(NhatkyBan!$C108:H108)</f>
        <v>0</v>
      </c>
      <c r="I108" s="21">
        <f>SUM(NhatkyNhap!$C108:I108)-SUM(NhatkyBan!$C108:I108)</f>
        <v>0</v>
      </c>
      <c r="J108" s="21">
        <f>SUM(NhatkyNhap!$C108:J108)-SUM(NhatkyBan!$C108:J108)</f>
        <v>0</v>
      </c>
      <c r="K108" s="21">
        <f>SUM(NhatkyNhap!$C108:K108)-SUM(NhatkyBan!$C108:K108)</f>
        <v>0</v>
      </c>
      <c r="L108" s="21">
        <f>SUM(NhatkyNhap!$C108:L108)-SUM(NhatkyBan!$C108:L108)</f>
        <v>0</v>
      </c>
      <c r="M108" s="21">
        <f>SUM(NhatkyNhap!$C108:M108)-SUM(NhatkyBan!$C108:M108)</f>
        <v>0</v>
      </c>
      <c r="N108" s="21">
        <f>SUM(NhatkyNhap!$C108:N108)-SUM(NhatkyBan!$C108:N108)</f>
        <v>0</v>
      </c>
      <c r="O108" s="21">
        <f>SUM(NhatkyNhap!$C108:O108)-SUM(NhatkyBan!$C108:O108)</f>
        <v>0</v>
      </c>
      <c r="P108" s="21">
        <f>SUM(NhatkyNhap!$C108:P108)-SUM(NhatkyBan!$C108:P108)</f>
        <v>0</v>
      </c>
      <c r="Q108" s="21">
        <f>SUM(NhatkyNhap!$C108:Q108)-SUM(NhatkyBan!$C108:Q108)</f>
        <v>0</v>
      </c>
      <c r="R108" s="21">
        <f>SUM(NhatkyNhap!$C108:R108)-SUM(NhatkyBan!$C108:R108)</f>
        <v>0</v>
      </c>
      <c r="S108" s="21">
        <f>SUM(NhatkyNhap!$C108:S108)-SUM(NhatkyBan!$C108:S108)</f>
        <v>0</v>
      </c>
      <c r="T108" s="21">
        <f>SUM(NhatkyNhap!$C108:T108)-SUM(NhatkyBan!$C108:T108)</f>
        <v>0</v>
      </c>
      <c r="U108" s="21">
        <f>SUM(NhatkyNhap!$C108:U108)-SUM(NhatkyBan!$C108:U108)</f>
        <v>0</v>
      </c>
      <c r="V108" s="21">
        <f>SUM(NhatkyNhap!$C108:V108)-SUM(NhatkyBan!$C108:V108)</f>
        <v>0</v>
      </c>
      <c r="W108" s="21">
        <f>SUM(NhatkyNhap!$C108:W108)-SUM(NhatkyBan!$C108:W108)</f>
        <v>0</v>
      </c>
      <c r="X108" s="21">
        <f>SUM(NhatkyNhap!$C108:X108)-SUM(NhatkyBan!$C108:X108)</f>
        <v>0</v>
      </c>
      <c r="Y108" s="21">
        <f>SUM(NhatkyNhap!$C108:Y108)-SUM(NhatkyBan!$C108:Y108)</f>
        <v>0</v>
      </c>
      <c r="Z108" s="21">
        <f>SUM(NhatkyNhap!$C108:Z108)-SUM(NhatkyBan!$C108:Z108)</f>
        <v>0</v>
      </c>
      <c r="AA108" s="21">
        <f>SUM(NhatkyNhap!$C108:AA108)-SUM(NhatkyBan!$C108:AA108)</f>
        <v>0</v>
      </c>
      <c r="AB108" s="21">
        <f>SUM(NhatkyNhap!$C108:AB108)-SUM(NhatkyBan!$C108:AB108)</f>
        <v>0</v>
      </c>
      <c r="AC108" s="21">
        <f>SUM(NhatkyNhap!$C108:AC108)-SUM(NhatkyBan!$C108:AC108)</f>
        <v>0</v>
      </c>
      <c r="AD108" s="21">
        <f>SUM(NhatkyNhap!$C108:AD108)-SUM(NhatkyBan!$C108:AD108)</f>
        <v>0</v>
      </c>
      <c r="AE108" s="21">
        <f>SUM(NhatkyNhap!$C108:AE108)-SUM(NhatkyBan!$C108:AE108)</f>
        <v>0</v>
      </c>
      <c r="AF108" s="21">
        <f>SUM(NhatkyNhap!$C108:AF108)-SUM(NhatkyBan!$C108:AF108)</f>
        <v>0</v>
      </c>
      <c r="AG108" s="21">
        <f>SUM(NhatkyNhap!$C108:AG108)-SUM(NhatkyBan!$C108:AG108)</f>
        <v>0</v>
      </c>
    </row>
    <row r="109" spans="1:33" ht="12.75" customHeight="1">
      <c r="A109" s="76" t="str">
        <f>DSSP!A108</f>
        <v>R002</v>
      </c>
      <c r="B109" s="25" t="str">
        <f>DSSP!B108</f>
        <v>Ỉn hồng</v>
      </c>
      <c r="C109" s="21">
        <f>SUM(NhatkyNhap!$C109:C109)-SUM(NhatkyBan!$C109:C109)</f>
        <v>0</v>
      </c>
      <c r="D109" s="21">
        <f>SUM(NhatkyNhap!$C109:D109)-SUM(NhatkyBan!$C109:D109)</f>
        <v>0</v>
      </c>
      <c r="E109" s="21">
        <f>SUM(NhatkyNhap!$C109:E109)-SUM(NhatkyBan!$C109:E109)</f>
        <v>0</v>
      </c>
      <c r="F109" s="21">
        <f>SUM(NhatkyNhap!$C109:F109)-SUM(NhatkyBan!$C109:F109)</f>
        <v>0</v>
      </c>
      <c r="G109" s="21">
        <f>SUM(NhatkyNhap!$C109:G109)-SUM(NhatkyBan!$C109:G109)</f>
        <v>0</v>
      </c>
      <c r="H109" s="21">
        <f>SUM(NhatkyNhap!$C109:H109)-SUM(NhatkyBan!$C109:H109)</f>
        <v>0</v>
      </c>
      <c r="I109" s="21">
        <f>SUM(NhatkyNhap!$C109:I109)-SUM(NhatkyBan!$C109:I109)</f>
        <v>0</v>
      </c>
      <c r="J109" s="21">
        <f>SUM(NhatkyNhap!$C109:J109)-SUM(NhatkyBan!$C109:J109)</f>
        <v>0</v>
      </c>
      <c r="K109" s="21">
        <f>SUM(NhatkyNhap!$C109:K109)-SUM(NhatkyBan!$C109:K109)</f>
        <v>0</v>
      </c>
      <c r="L109" s="21">
        <f>SUM(NhatkyNhap!$C109:L109)-SUM(NhatkyBan!$C109:L109)</f>
        <v>0</v>
      </c>
      <c r="M109" s="21">
        <f>SUM(NhatkyNhap!$C109:M109)-SUM(NhatkyBan!$C109:M109)</f>
        <v>0</v>
      </c>
      <c r="N109" s="21">
        <f>SUM(NhatkyNhap!$C109:N109)-SUM(NhatkyBan!$C109:N109)</f>
        <v>0</v>
      </c>
      <c r="O109" s="21">
        <f>SUM(NhatkyNhap!$C109:O109)-SUM(NhatkyBan!$C109:O109)</f>
        <v>0</v>
      </c>
      <c r="P109" s="21">
        <f>SUM(NhatkyNhap!$C109:P109)-SUM(NhatkyBan!$C109:P109)</f>
        <v>0</v>
      </c>
      <c r="Q109" s="21">
        <f>SUM(NhatkyNhap!$C109:Q109)-SUM(NhatkyBan!$C109:Q109)</f>
        <v>0</v>
      </c>
      <c r="R109" s="21">
        <f>SUM(NhatkyNhap!$C109:R109)-SUM(NhatkyBan!$C109:R109)</f>
        <v>0</v>
      </c>
      <c r="S109" s="21">
        <f>SUM(NhatkyNhap!$C109:S109)-SUM(NhatkyBan!$C109:S109)</f>
        <v>0</v>
      </c>
      <c r="T109" s="21">
        <f>SUM(NhatkyNhap!$C109:T109)-SUM(NhatkyBan!$C109:T109)</f>
        <v>0</v>
      </c>
      <c r="U109" s="21">
        <f>SUM(NhatkyNhap!$C109:U109)-SUM(NhatkyBan!$C109:U109)</f>
        <v>0</v>
      </c>
      <c r="V109" s="21">
        <f>SUM(NhatkyNhap!$C109:V109)-SUM(NhatkyBan!$C109:V109)</f>
        <v>0</v>
      </c>
      <c r="W109" s="21">
        <f>SUM(NhatkyNhap!$C109:W109)-SUM(NhatkyBan!$C109:W109)</f>
        <v>0</v>
      </c>
      <c r="X109" s="21">
        <f>SUM(NhatkyNhap!$C109:X109)-SUM(NhatkyBan!$C109:X109)</f>
        <v>0</v>
      </c>
      <c r="Y109" s="21">
        <f>SUM(NhatkyNhap!$C109:Y109)-SUM(NhatkyBan!$C109:Y109)</f>
        <v>0</v>
      </c>
      <c r="Z109" s="21">
        <f>SUM(NhatkyNhap!$C109:Z109)-SUM(NhatkyBan!$C109:Z109)</f>
        <v>0</v>
      </c>
      <c r="AA109" s="21">
        <f>SUM(NhatkyNhap!$C109:AA109)-SUM(NhatkyBan!$C109:AA109)</f>
        <v>0</v>
      </c>
      <c r="AB109" s="21">
        <f>SUM(NhatkyNhap!$C109:AB109)-SUM(NhatkyBan!$C109:AB109)</f>
        <v>0</v>
      </c>
      <c r="AC109" s="21">
        <f>SUM(NhatkyNhap!$C109:AC109)-SUM(NhatkyBan!$C109:AC109)</f>
        <v>0</v>
      </c>
      <c r="AD109" s="21">
        <f>SUM(NhatkyNhap!$C109:AD109)-SUM(NhatkyBan!$C109:AD109)</f>
        <v>0</v>
      </c>
      <c r="AE109" s="21">
        <f>SUM(NhatkyNhap!$C109:AE109)-SUM(NhatkyBan!$C109:AE109)</f>
        <v>0</v>
      </c>
      <c r="AF109" s="21">
        <f>SUM(NhatkyNhap!$C109:AF109)-SUM(NhatkyBan!$C109:AF109)</f>
        <v>0</v>
      </c>
      <c r="AG109" s="21">
        <f>SUM(NhatkyNhap!$C109:AG109)-SUM(NhatkyBan!$C109:AG109)</f>
        <v>0</v>
      </c>
    </row>
    <row r="110" spans="1:33" ht="12.75" customHeight="1">
      <c r="A110" s="76" t="str">
        <f>DSSP!A109</f>
        <v>R003</v>
      </c>
      <c r="B110" s="25" t="str">
        <f>DSSP!B109</f>
        <v>Gấu Panda</v>
      </c>
      <c r="C110" s="21">
        <f>SUM(NhatkyNhap!$C110:C110)-SUM(NhatkyBan!$C110:C110)</f>
        <v>2</v>
      </c>
      <c r="D110" s="21">
        <f>SUM(NhatkyNhap!$C110:D110)-SUM(NhatkyBan!$C110:D110)</f>
        <v>2</v>
      </c>
      <c r="E110" s="21">
        <f>SUM(NhatkyNhap!$C110:E110)-SUM(NhatkyBan!$C110:E110)</f>
        <v>2</v>
      </c>
      <c r="F110" s="21">
        <f>SUM(NhatkyNhap!$C110:F110)-SUM(NhatkyBan!$C110:F110)</f>
        <v>2</v>
      </c>
      <c r="G110" s="21">
        <f>SUM(NhatkyNhap!$C110:G110)-SUM(NhatkyBan!$C110:G110)</f>
        <v>2</v>
      </c>
      <c r="H110" s="21">
        <f>SUM(NhatkyNhap!$C110:H110)-SUM(NhatkyBan!$C110:H110)</f>
        <v>2</v>
      </c>
      <c r="I110" s="21">
        <f>SUM(NhatkyNhap!$C110:I110)-SUM(NhatkyBan!$C110:I110)</f>
        <v>2</v>
      </c>
      <c r="J110" s="21">
        <f>SUM(NhatkyNhap!$C110:J110)-SUM(NhatkyBan!$C110:J110)</f>
        <v>2</v>
      </c>
      <c r="K110" s="21">
        <f>SUM(NhatkyNhap!$C110:K110)-SUM(NhatkyBan!$C110:K110)</f>
        <v>2</v>
      </c>
      <c r="L110" s="21">
        <f>SUM(NhatkyNhap!$C110:L110)-SUM(NhatkyBan!$C110:L110)</f>
        <v>2</v>
      </c>
      <c r="M110" s="21">
        <f>SUM(NhatkyNhap!$C110:M110)-SUM(NhatkyBan!$C110:M110)</f>
        <v>2</v>
      </c>
      <c r="N110" s="21">
        <f>SUM(NhatkyNhap!$C110:N110)-SUM(NhatkyBan!$C110:N110)</f>
        <v>2</v>
      </c>
      <c r="O110" s="21">
        <f>SUM(NhatkyNhap!$C110:O110)-SUM(NhatkyBan!$C110:O110)</f>
        <v>2</v>
      </c>
      <c r="P110" s="21">
        <f>SUM(NhatkyNhap!$C110:P110)-SUM(NhatkyBan!$C110:P110)</f>
        <v>2</v>
      </c>
      <c r="Q110" s="21">
        <f>SUM(NhatkyNhap!$C110:Q110)-SUM(NhatkyBan!$C110:Q110)</f>
        <v>2</v>
      </c>
      <c r="R110" s="21">
        <f>SUM(NhatkyNhap!$C110:R110)-SUM(NhatkyBan!$C110:R110)</f>
        <v>2</v>
      </c>
      <c r="S110" s="21">
        <f>SUM(NhatkyNhap!$C110:S110)-SUM(NhatkyBan!$C110:S110)</f>
        <v>2</v>
      </c>
      <c r="T110" s="21">
        <f>SUM(NhatkyNhap!$C110:T110)-SUM(NhatkyBan!$C110:T110)</f>
        <v>2</v>
      </c>
      <c r="U110" s="21">
        <f>SUM(NhatkyNhap!$C110:U110)-SUM(NhatkyBan!$C110:U110)</f>
        <v>2</v>
      </c>
      <c r="V110" s="21">
        <f>SUM(NhatkyNhap!$C110:V110)-SUM(NhatkyBan!$C110:V110)</f>
        <v>2</v>
      </c>
      <c r="W110" s="21">
        <f>SUM(NhatkyNhap!$C110:W110)-SUM(NhatkyBan!$C110:W110)</f>
        <v>2</v>
      </c>
      <c r="X110" s="21">
        <f>SUM(NhatkyNhap!$C110:X110)-SUM(NhatkyBan!$C110:X110)</f>
        <v>2</v>
      </c>
      <c r="Y110" s="21">
        <f>SUM(NhatkyNhap!$C110:Y110)-SUM(NhatkyBan!$C110:Y110)</f>
        <v>2</v>
      </c>
      <c r="Z110" s="21">
        <f>SUM(NhatkyNhap!$C110:Z110)-SUM(NhatkyBan!$C110:Z110)</f>
        <v>2</v>
      </c>
      <c r="AA110" s="21">
        <f>SUM(NhatkyNhap!$C110:AA110)-SUM(NhatkyBan!$C110:AA110)</f>
        <v>2</v>
      </c>
      <c r="AB110" s="21">
        <f>SUM(NhatkyNhap!$C110:AB110)-SUM(NhatkyBan!$C110:AB110)</f>
        <v>2</v>
      </c>
      <c r="AC110" s="21">
        <f>SUM(NhatkyNhap!$C110:AC110)-SUM(NhatkyBan!$C110:AC110)</f>
        <v>2</v>
      </c>
      <c r="AD110" s="21">
        <f>SUM(NhatkyNhap!$C110:AD110)-SUM(NhatkyBan!$C110:AD110)</f>
        <v>2</v>
      </c>
      <c r="AE110" s="21">
        <f>SUM(NhatkyNhap!$C110:AE110)-SUM(NhatkyBan!$C110:AE110)</f>
        <v>2</v>
      </c>
      <c r="AF110" s="21">
        <f>SUM(NhatkyNhap!$C110:AF110)-SUM(NhatkyBan!$C110:AF110)</f>
        <v>2</v>
      </c>
      <c r="AG110" s="21">
        <f>SUM(NhatkyNhap!$C110:AG110)-SUM(NhatkyBan!$C110:AG110)</f>
        <v>2</v>
      </c>
    </row>
    <row r="111" spans="1:33" ht="12.75" customHeight="1">
      <c r="A111" s="76" t="str">
        <f>DSSP!A110</f>
        <v>R004</v>
      </c>
      <c r="B111" s="25" t="str">
        <f>DSSP!B110</f>
        <v>Angry bird đen</v>
      </c>
      <c r="C111" s="21">
        <f>SUM(NhatkyNhap!$C111:C111)-SUM(NhatkyBan!$C111:C111)</f>
        <v>0</v>
      </c>
      <c r="D111" s="21">
        <f>SUM(NhatkyNhap!$C111:D111)-SUM(NhatkyBan!$C111:D111)</f>
        <v>0</v>
      </c>
      <c r="E111" s="21">
        <f>SUM(NhatkyNhap!$C111:E111)-SUM(NhatkyBan!$C111:E111)</f>
        <v>0</v>
      </c>
      <c r="F111" s="21">
        <f>SUM(NhatkyNhap!$C111:F111)-SUM(NhatkyBan!$C111:F111)</f>
        <v>0</v>
      </c>
      <c r="G111" s="21">
        <f>SUM(NhatkyNhap!$C111:G111)-SUM(NhatkyBan!$C111:G111)</f>
        <v>0</v>
      </c>
      <c r="H111" s="21">
        <f>SUM(NhatkyNhap!$C111:H111)-SUM(NhatkyBan!$C111:H111)</f>
        <v>0</v>
      </c>
      <c r="I111" s="21">
        <f>SUM(NhatkyNhap!$C111:I111)-SUM(NhatkyBan!$C111:I111)</f>
        <v>0</v>
      </c>
      <c r="J111" s="21">
        <f>SUM(NhatkyNhap!$C111:J111)-SUM(NhatkyBan!$C111:J111)</f>
        <v>0</v>
      </c>
      <c r="K111" s="21">
        <f>SUM(NhatkyNhap!$C111:K111)-SUM(NhatkyBan!$C111:K111)</f>
        <v>0</v>
      </c>
      <c r="L111" s="21">
        <f>SUM(NhatkyNhap!$C111:L111)-SUM(NhatkyBan!$C111:L111)</f>
        <v>0</v>
      </c>
      <c r="M111" s="21">
        <f>SUM(NhatkyNhap!$C111:M111)-SUM(NhatkyBan!$C111:M111)</f>
        <v>0</v>
      </c>
      <c r="N111" s="21">
        <f>SUM(NhatkyNhap!$C111:N111)-SUM(NhatkyBan!$C111:N111)</f>
        <v>0</v>
      </c>
      <c r="O111" s="21">
        <f>SUM(NhatkyNhap!$C111:O111)-SUM(NhatkyBan!$C111:O111)</f>
        <v>0</v>
      </c>
      <c r="P111" s="21">
        <f>SUM(NhatkyNhap!$C111:P111)-SUM(NhatkyBan!$C111:P111)</f>
        <v>0</v>
      </c>
      <c r="Q111" s="21">
        <f>SUM(NhatkyNhap!$C111:Q111)-SUM(NhatkyBan!$C111:Q111)</f>
        <v>0</v>
      </c>
      <c r="R111" s="21">
        <f>SUM(NhatkyNhap!$C111:R111)-SUM(NhatkyBan!$C111:R111)</f>
        <v>0</v>
      </c>
      <c r="S111" s="21">
        <f>SUM(NhatkyNhap!$C111:S111)-SUM(NhatkyBan!$C111:S111)</f>
        <v>0</v>
      </c>
      <c r="T111" s="21">
        <f>SUM(NhatkyNhap!$C111:T111)-SUM(NhatkyBan!$C111:T111)</f>
        <v>0</v>
      </c>
      <c r="U111" s="21">
        <f>SUM(NhatkyNhap!$C111:U111)-SUM(NhatkyBan!$C111:U111)</f>
        <v>0</v>
      </c>
      <c r="V111" s="21">
        <f>SUM(NhatkyNhap!$C111:V111)-SUM(NhatkyBan!$C111:V111)</f>
        <v>0</v>
      </c>
      <c r="W111" s="21">
        <f>SUM(NhatkyNhap!$C111:W111)-SUM(NhatkyBan!$C111:W111)</f>
        <v>0</v>
      </c>
      <c r="X111" s="21">
        <f>SUM(NhatkyNhap!$C111:X111)-SUM(NhatkyBan!$C111:X111)</f>
        <v>0</v>
      </c>
      <c r="Y111" s="21">
        <f>SUM(NhatkyNhap!$C111:Y111)-SUM(NhatkyBan!$C111:Y111)</f>
        <v>0</v>
      </c>
      <c r="Z111" s="21">
        <f>SUM(NhatkyNhap!$C111:Z111)-SUM(NhatkyBan!$C111:Z111)</f>
        <v>0</v>
      </c>
      <c r="AA111" s="21">
        <f>SUM(NhatkyNhap!$C111:AA111)-SUM(NhatkyBan!$C111:AA111)</f>
        <v>0</v>
      </c>
      <c r="AB111" s="21">
        <f>SUM(NhatkyNhap!$C111:AB111)-SUM(NhatkyBan!$C111:AB111)</f>
        <v>0</v>
      </c>
      <c r="AC111" s="21">
        <f>SUM(NhatkyNhap!$C111:AC111)-SUM(NhatkyBan!$C111:AC111)</f>
        <v>0</v>
      </c>
      <c r="AD111" s="21">
        <f>SUM(NhatkyNhap!$C111:AD111)-SUM(NhatkyBan!$C111:AD111)</f>
        <v>0</v>
      </c>
      <c r="AE111" s="21">
        <f>SUM(NhatkyNhap!$C111:AE111)-SUM(NhatkyBan!$C111:AE111)</f>
        <v>0</v>
      </c>
      <c r="AF111" s="21">
        <f>SUM(NhatkyNhap!$C111:AF111)-SUM(NhatkyBan!$C111:AF111)</f>
        <v>0</v>
      </c>
      <c r="AG111" s="21">
        <f>SUM(NhatkyNhap!$C111:AG111)-SUM(NhatkyBan!$C111:AG111)</f>
        <v>0</v>
      </c>
    </row>
    <row r="112" spans="1:33" ht="12.75" customHeight="1">
      <c r="A112" s="76" t="str">
        <f>DSSP!A111</f>
        <v>R005</v>
      </c>
      <c r="B112" s="25" t="str">
        <f>DSSP!B111</f>
        <v>Angry bird đỏ</v>
      </c>
      <c r="C112" s="21">
        <f>SUM(NhatkyNhap!$C112:C112)-SUM(NhatkyBan!$C112:C112)</f>
        <v>0</v>
      </c>
      <c r="D112" s="21">
        <f>SUM(NhatkyNhap!$C112:D112)-SUM(NhatkyBan!$C112:D112)</f>
        <v>0</v>
      </c>
      <c r="E112" s="21">
        <f>SUM(NhatkyNhap!$C112:E112)-SUM(NhatkyBan!$C112:E112)</f>
        <v>0</v>
      </c>
      <c r="F112" s="21">
        <f>SUM(NhatkyNhap!$C112:F112)-SUM(NhatkyBan!$C112:F112)</f>
        <v>0</v>
      </c>
      <c r="G112" s="21">
        <f>SUM(NhatkyNhap!$C112:G112)-SUM(NhatkyBan!$C112:G112)</f>
        <v>0</v>
      </c>
      <c r="H112" s="21">
        <f>SUM(NhatkyNhap!$C112:H112)-SUM(NhatkyBan!$C112:H112)</f>
        <v>0</v>
      </c>
      <c r="I112" s="21">
        <f>SUM(NhatkyNhap!$C112:I112)-SUM(NhatkyBan!$C112:I112)</f>
        <v>0</v>
      </c>
      <c r="J112" s="21">
        <f>SUM(NhatkyNhap!$C112:J112)-SUM(NhatkyBan!$C112:J112)</f>
        <v>0</v>
      </c>
      <c r="K112" s="21">
        <f>SUM(NhatkyNhap!$C112:K112)-SUM(NhatkyBan!$C112:K112)</f>
        <v>0</v>
      </c>
      <c r="L112" s="21">
        <f>SUM(NhatkyNhap!$C112:L112)-SUM(NhatkyBan!$C112:L112)</f>
        <v>0</v>
      </c>
      <c r="M112" s="21">
        <f>SUM(NhatkyNhap!$C112:M112)-SUM(NhatkyBan!$C112:M112)</f>
        <v>0</v>
      </c>
      <c r="N112" s="21">
        <f>SUM(NhatkyNhap!$C112:N112)-SUM(NhatkyBan!$C112:N112)</f>
        <v>0</v>
      </c>
      <c r="O112" s="21">
        <f>SUM(NhatkyNhap!$C112:O112)-SUM(NhatkyBan!$C112:O112)</f>
        <v>0</v>
      </c>
      <c r="P112" s="21">
        <f>SUM(NhatkyNhap!$C112:P112)-SUM(NhatkyBan!$C112:P112)</f>
        <v>0</v>
      </c>
      <c r="Q112" s="21">
        <f>SUM(NhatkyNhap!$C112:Q112)-SUM(NhatkyBan!$C112:Q112)</f>
        <v>0</v>
      </c>
      <c r="R112" s="21">
        <f>SUM(NhatkyNhap!$C112:R112)-SUM(NhatkyBan!$C112:R112)</f>
        <v>0</v>
      </c>
      <c r="S112" s="21">
        <f>SUM(NhatkyNhap!$C112:S112)-SUM(NhatkyBan!$C112:S112)</f>
        <v>0</v>
      </c>
      <c r="T112" s="21">
        <f>SUM(NhatkyNhap!$C112:T112)-SUM(NhatkyBan!$C112:T112)</f>
        <v>0</v>
      </c>
      <c r="U112" s="21">
        <f>SUM(NhatkyNhap!$C112:U112)-SUM(NhatkyBan!$C112:U112)</f>
        <v>0</v>
      </c>
      <c r="V112" s="21">
        <f>SUM(NhatkyNhap!$C112:V112)-SUM(NhatkyBan!$C112:V112)</f>
        <v>0</v>
      </c>
      <c r="W112" s="21">
        <f>SUM(NhatkyNhap!$C112:W112)-SUM(NhatkyBan!$C112:W112)</f>
        <v>0</v>
      </c>
      <c r="X112" s="21">
        <f>SUM(NhatkyNhap!$C112:X112)-SUM(NhatkyBan!$C112:X112)</f>
        <v>0</v>
      </c>
      <c r="Y112" s="21">
        <f>SUM(NhatkyNhap!$C112:Y112)-SUM(NhatkyBan!$C112:Y112)</f>
        <v>0</v>
      </c>
      <c r="Z112" s="21">
        <f>SUM(NhatkyNhap!$C112:Z112)-SUM(NhatkyBan!$C112:Z112)</f>
        <v>0</v>
      </c>
      <c r="AA112" s="21">
        <f>SUM(NhatkyNhap!$C112:AA112)-SUM(NhatkyBan!$C112:AA112)</f>
        <v>0</v>
      </c>
      <c r="AB112" s="21">
        <f>SUM(NhatkyNhap!$C112:AB112)-SUM(NhatkyBan!$C112:AB112)</f>
        <v>0</v>
      </c>
      <c r="AC112" s="21">
        <f>SUM(NhatkyNhap!$C112:AC112)-SUM(NhatkyBan!$C112:AC112)</f>
        <v>0</v>
      </c>
      <c r="AD112" s="21">
        <f>SUM(NhatkyNhap!$C112:AD112)-SUM(NhatkyBan!$C112:AD112)</f>
        <v>0</v>
      </c>
      <c r="AE112" s="21">
        <f>SUM(NhatkyNhap!$C112:AE112)-SUM(NhatkyBan!$C112:AE112)</f>
        <v>0</v>
      </c>
      <c r="AF112" s="21">
        <f>SUM(NhatkyNhap!$C112:AF112)-SUM(NhatkyBan!$C112:AF112)</f>
        <v>0</v>
      </c>
      <c r="AG112" s="21">
        <f>SUM(NhatkyNhap!$C112:AG112)-SUM(NhatkyBan!$C112:AG112)</f>
        <v>0</v>
      </c>
    </row>
    <row r="113" spans="1:33" ht="12.75" customHeight="1">
      <c r="A113" s="76" t="str">
        <f>DSSP!A112</f>
        <v>R006</v>
      </c>
      <c r="B113" s="25" t="str">
        <f>DSSP!B112</f>
        <v>Angry bird trắng</v>
      </c>
      <c r="C113" s="21">
        <f>SUM(NhatkyNhap!$C113:C113)-SUM(NhatkyBan!$C113:C113)</f>
        <v>1</v>
      </c>
      <c r="D113" s="21">
        <f>SUM(NhatkyNhap!$C113:D113)-SUM(NhatkyBan!$C113:D113)</f>
        <v>1</v>
      </c>
      <c r="E113" s="21">
        <f>SUM(NhatkyNhap!$C113:E113)-SUM(NhatkyBan!$C113:E113)</f>
        <v>1</v>
      </c>
      <c r="F113" s="21">
        <f>SUM(NhatkyNhap!$C113:F113)-SUM(NhatkyBan!$C113:F113)</f>
        <v>1</v>
      </c>
      <c r="G113" s="21">
        <f>SUM(NhatkyNhap!$C113:G113)-SUM(NhatkyBan!$C113:G113)</f>
        <v>1</v>
      </c>
      <c r="H113" s="21">
        <f>SUM(NhatkyNhap!$C113:H113)-SUM(NhatkyBan!$C113:H113)</f>
        <v>1</v>
      </c>
      <c r="I113" s="21">
        <f>SUM(NhatkyNhap!$C113:I113)-SUM(NhatkyBan!$C113:I113)</f>
        <v>1</v>
      </c>
      <c r="J113" s="21">
        <f>SUM(NhatkyNhap!$C113:J113)-SUM(NhatkyBan!$C113:J113)</f>
        <v>1</v>
      </c>
      <c r="K113" s="21">
        <f>SUM(NhatkyNhap!$C113:K113)-SUM(NhatkyBan!$C113:K113)</f>
        <v>1</v>
      </c>
      <c r="L113" s="21">
        <f>SUM(NhatkyNhap!$C113:L113)-SUM(NhatkyBan!$C113:L113)</f>
        <v>1</v>
      </c>
      <c r="M113" s="21">
        <f>SUM(NhatkyNhap!$C113:M113)-SUM(NhatkyBan!$C113:M113)</f>
        <v>1</v>
      </c>
      <c r="N113" s="21">
        <f>SUM(NhatkyNhap!$C113:N113)-SUM(NhatkyBan!$C113:N113)</f>
        <v>1</v>
      </c>
      <c r="O113" s="21">
        <f>SUM(NhatkyNhap!$C113:O113)-SUM(NhatkyBan!$C113:O113)</f>
        <v>1</v>
      </c>
      <c r="P113" s="21">
        <f>SUM(NhatkyNhap!$C113:P113)-SUM(NhatkyBan!$C113:P113)</f>
        <v>1</v>
      </c>
      <c r="Q113" s="21">
        <f>SUM(NhatkyNhap!$C113:Q113)-SUM(NhatkyBan!$C113:Q113)</f>
        <v>1</v>
      </c>
      <c r="R113" s="21">
        <f>SUM(NhatkyNhap!$C113:R113)-SUM(NhatkyBan!$C113:R113)</f>
        <v>1</v>
      </c>
      <c r="S113" s="21">
        <f>SUM(NhatkyNhap!$C113:S113)-SUM(NhatkyBan!$C113:S113)</f>
        <v>1</v>
      </c>
      <c r="T113" s="21">
        <f>SUM(NhatkyNhap!$C113:T113)-SUM(NhatkyBan!$C113:T113)</f>
        <v>1</v>
      </c>
      <c r="U113" s="21">
        <f>SUM(NhatkyNhap!$C113:U113)-SUM(NhatkyBan!$C113:U113)</f>
        <v>1</v>
      </c>
      <c r="V113" s="21">
        <f>SUM(NhatkyNhap!$C113:V113)-SUM(NhatkyBan!$C113:V113)</f>
        <v>1</v>
      </c>
      <c r="W113" s="21">
        <f>SUM(NhatkyNhap!$C113:W113)-SUM(NhatkyBan!$C113:W113)</f>
        <v>1</v>
      </c>
      <c r="X113" s="21">
        <f>SUM(NhatkyNhap!$C113:X113)-SUM(NhatkyBan!$C113:X113)</f>
        <v>1</v>
      </c>
      <c r="Y113" s="21">
        <f>SUM(NhatkyNhap!$C113:Y113)-SUM(NhatkyBan!$C113:Y113)</f>
        <v>1</v>
      </c>
      <c r="Z113" s="21">
        <f>SUM(NhatkyNhap!$C113:Z113)-SUM(NhatkyBan!$C113:Z113)</f>
        <v>1</v>
      </c>
      <c r="AA113" s="21">
        <f>SUM(NhatkyNhap!$C113:AA113)-SUM(NhatkyBan!$C113:AA113)</f>
        <v>1</v>
      </c>
      <c r="AB113" s="21">
        <f>SUM(NhatkyNhap!$C113:AB113)-SUM(NhatkyBan!$C113:AB113)</f>
        <v>1</v>
      </c>
      <c r="AC113" s="21">
        <f>SUM(NhatkyNhap!$C113:AC113)-SUM(NhatkyBan!$C113:AC113)</f>
        <v>1</v>
      </c>
      <c r="AD113" s="21">
        <f>SUM(NhatkyNhap!$C113:AD113)-SUM(NhatkyBan!$C113:AD113)</f>
        <v>1</v>
      </c>
      <c r="AE113" s="21">
        <f>SUM(NhatkyNhap!$C113:AE113)-SUM(NhatkyBan!$C113:AE113)</f>
        <v>1</v>
      </c>
      <c r="AF113" s="21">
        <f>SUM(NhatkyNhap!$C113:AF113)-SUM(NhatkyBan!$C113:AF113)</f>
        <v>1</v>
      </c>
      <c r="AG113" s="21">
        <f>SUM(NhatkyNhap!$C113:AG113)-SUM(NhatkyBan!$C113:AG113)</f>
        <v>1</v>
      </c>
    </row>
    <row r="114" spans="1:33" ht="12.75" customHeight="1">
      <c r="A114" s="76" t="str">
        <f>DSSP!A113</f>
        <v>R007</v>
      </c>
      <c r="B114" s="25" t="str">
        <f>DSSP!B113</f>
        <v>Angry bird vàng</v>
      </c>
      <c r="C114" s="21">
        <f>SUM(NhatkyNhap!$C114:C114)-SUM(NhatkyBan!$C114:C114)</f>
        <v>2</v>
      </c>
      <c r="D114" s="21">
        <f>SUM(NhatkyNhap!$C114:D114)-SUM(NhatkyBan!$C114:D114)</f>
        <v>2</v>
      </c>
      <c r="E114" s="21">
        <f>SUM(NhatkyNhap!$C114:E114)-SUM(NhatkyBan!$C114:E114)</f>
        <v>2</v>
      </c>
      <c r="F114" s="21">
        <f>SUM(NhatkyNhap!$C114:F114)-SUM(NhatkyBan!$C114:F114)</f>
        <v>2</v>
      </c>
      <c r="G114" s="21">
        <f>SUM(NhatkyNhap!$C114:G114)-SUM(NhatkyBan!$C114:G114)</f>
        <v>2</v>
      </c>
      <c r="H114" s="21">
        <f>SUM(NhatkyNhap!$C114:H114)-SUM(NhatkyBan!$C114:H114)</f>
        <v>2</v>
      </c>
      <c r="I114" s="21">
        <f>SUM(NhatkyNhap!$C114:I114)-SUM(NhatkyBan!$C114:I114)</f>
        <v>2</v>
      </c>
      <c r="J114" s="21">
        <f>SUM(NhatkyNhap!$C114:J114)-SUM(NhatkyBan!$C114:J114)</f>
        <v>2</v>
      </c>
      <c r="K114" s="21">
        <f>SUM(NhatkyNhap!$C114:K114)-SUM(NhatkyBan!$C114:K114)</f>
        <v>2</v>
      </c>
      <c r="L114" s="21">
        <f>SUM(NhatkyNhap!$C114:L114)-SUM(NhatkyBan!$C114:L114)</f>
        <v>2</v>
      </c>
      <c r="M114" s="21">
        <f>SUM(NhatkyNhap!$C114:M114)-SUM(NhatkyBan!$C114:M114)</f>
        <v>2</v>
      </c>
      <c r="N114" s="21">
        <f>SUM(NhatkyNhap!$C114:N114)-SUM(NhatkyBan!$C114:N114)</f>
        <v>2</v>
      </c>
      <c r="O114" s="21">
        <f>SUM(NhatkyNhap!$C114:O114)-SUM(NhatkyBan!$C114:O114)</f>
        <v>2</v>
      </c>
      <c r="P114" s="21">
        <f>SUM(NhatkyNhap!$C114:P114)-SUM(NhatkyBan!$C114:P114)</f>
        <v>2</v>
      </c>
      <c r="Q114" s="21">
        <f>SUM(NhatkyNhap!$C114:Q114)-SUM(NhatkyBan!$C114:Q114)</f>
        <v>2</v>
      </c>
      <c r="R114" s="21">
        <f>SUM(NhatkyNhap!$C114:R114)-SUM(NhatkyBan!$C114:R114)</f>
        <v>2</v>
      </c>
      <c r="S114" s="21">
        <f>SUM(NhatkyNhap!$C114:S114)-SUM(NhatkyBan!$C114:S114)</f>
        <v>2</v>
      </c>
      <c r="T114" s="21">
        <f>SUM(NhatkyNhap!$C114:T114)-SUM(NhatkyBan!$C114:T114)</f>
        <v>2</v>
      </c>
      <c r="U114" s="21">
        <f>SUM(NhatkyNhap!$C114:U114)-SUM(NhatkyBan!$C114:U114)</f>
        <v>2</v>
      </c>
      <c r="V114" s="21">
        <f>SUM(NhatkyNhap!$C114:V114)-SUM(NhatkyBan!$C114:V114)</f>
        <v>2</v>
      </c>
      <c r="W114" s="21">
        <f>SUM(NhatkyNhap!$C114:W114)-SUM(NhatkyBan!$C114:W114)</f>
        <v>2</v>
      </c>
      <c r="X114" s="21">
        <f>SUM(NhatkyNhap!$C114:X114)-SUM(NhatkyBan!$C114:X114)</f>
        <v>2</v>
      </c>
      <c r="Y114" s="21">
        <f>SUM(NhatkyNhap!$C114:Y114)-SUM(NhatkyBan!$C114:Y114)</f>
        <v>2</v>
      </c>
      <c r="Z114" s="21">
        <f>SUM(NhatkyNhap!$C114:Z114)-SUM(NhatkyBan!$C114:Z114)</f>
        <v>2</v>
      </c>
      <c r="AA114" s="21">
        <f>SUM(NhatkyNhap!$C114:AA114)-SUM(NhatkyBan!$C114:AA114)</f>
        <v>2</v>
      </c>
      <c r="AB114" s="21">
        <f>SUM(NhatkyNhap!$C114:AB114)-SUM(NhatkyBan!$C114:AB114)</f>
        <v>2</v>
      </c>
      <c r="AC114" s="21">
        <f>SUM(NhatkyNhap!$C114:AC114)-SUM(NhatkyBan!$C114:AC114)</f>
        <v>2</v>
      </c>
      <c r="AD114" s="21">
        <f>SUM(NhatkyNhap!$C114:AD114)-SUM(NhatkyBan!$C114:AD114)</f>
        <v>2</v>
      </c>
      <c r="AE114" s="21">
        <f>SUM(NhatkyNhap!$C114:AE114)-SUM(NhatkyBan!$C114:AE114)</f>
        <v>2</v>
      </c>
      <c r="AF114" s="21">
        <f>SUM(NhatkyNhap!$C114:AF114)-SUM(NhatkyBan!$C114:AF114)</f>
        <v>2</v>
      </c>
      <c r="AG114" s="21">
        <f>SUM(NhatkyNhap!$C114:AG114)-SUM(NhatkyBan!$C114:AG114)</f>
        <v>2</v>
      </c>
    </row>
    <row r="115" spans="1:33" ht="12.75" customHeight="1">
      <c r="A115" s="76" t="str">
        <f>DSSP!A114</f>
        <v>R008</v>
      </c>
      <c r="B115" s="25" t="str">
        <f>DSSP!B114</f>
        <v>Rùa</v>
      </c>
      <c r="C115" s="21">
        <f>SUM(NhatkyNhap!$C115:C115)-SUM(NhatkyBan!$C115:C115)</f>
        <v>0</v>
      </c>
      <c r="D115" s="21">
        <f>SUM(NhatkyNhap!$C115:D115)-SUM(NhatkyBan!$C115:D115)</f>
        <v>0</v>
      </c>
      <c r="E115" s="21">
        <f>SUM(NhatkyNhap!$C115:E115)-SUM(NhatkyBan!$C115:E115)</f>
        <v>0</v>
      </c>
      <c r="F115" s="21">
        <f>SUM(NhatkyNhap!$C115:F115)-SUM(NhatkyBan!$C115:F115)</f>
        <v>0</v>
      </c>
      <c r="G115" s="21">
        <f>SUM(NhatkyNhap!$C115:G115)-SUM(NhatkyBan!$C115:G115)</f>
        <v>0</v>
      </c>
      <c r="H115" s="21">
        <f>SUM(NhatkyNhap!$C115:H115)-SUM(NhatkyBan!$C115:H115)</f>
        <v>0</v>
      </c>
      <c r="I115" s="21">
        <f>SUM(NhatkyNhap!$C115:I115)-SUM(NhatkyBan!$C115:I115)</f>
        <v>0</v>
      </c>
      <c r="J115" s="21">
        <f>SUM(NhatkyNhap!$C115:J115)-SUM(NhatkyBan!$C115:J115)</f>
        <v>0</v>
      </c>
      <c r="K115" s="21">
        <f>SUM(NhatkyNhap!$C115:K115)-SUM(NhatkyBan!$C115:K115)</f>
        <v>0</v>
      </c>
      <c r="L115" s="21">
        <f>SUM(NhatkyNhap!$C115:L115)-SUM(NhatkyBan!$C115:L115)</f>
        <v>0</v>
      </c>
      <c r="M115" s="21">
        <f>SUM(NhatkyNhap!$C115:M115)-SUM(NhatkyBan!$C115:M115)</f>
        <v>0</v>
      </c>
      <c r="N115" s="21">
        <f>SUM(NhatkyNhap!$C115:N115)-SUM(NhatkyBan!$C115:N115)</f>
        <v>0</v>
      </c>
      <c r="O115" s="21">
        <f>SUM(NhatkyNhap!$C115:O115)-SUM(NhatkyBan!$C115:O115)</f>
        <v>0</v>
      </c>
      <c r="P115" s="21">
        <f>SUM(NhatkyNhap!$C115:P115)-SUM(NhatkyBan!$C115:P115)</f>
        <v>0</v>
      </c>
      <c r="Q115" s="21">
        <f>SUM(NhatkyNhap!$C115:Q115)-SUM(NhatkyBan!$C115:Q115)</f>
        <v>0</v>
      </c>
      <c r="R115" s="21">
        <f>SUM(NhatkyNhap!$C115:R115)-SUM(NhatkyBan!$C115:R115)</f>
        <v>0</v>
      </c>
      <c r="S115" s="21">
        <f>SUM(NhatkyNhap!$C115:S115)-SUM(NhatkyBan!$C115:S115)</f>
        <v>0</v>
      </c>
      <c r="T115" s="21">
        <f>SUM(NhatkyNhap!$C115:T115)-SUM(NhatkyBan!$C115:T115)</f>
        <v>0</v>
      </c>
      <c r="U115" s="21">
        <f>SUM(NhatkyNhap!$C115:U115)-SUM(NhatkyBan!$C115:U115)</f>
        <v>0</v>
      </c>
      <c r="V115" s="21">
        <f>SUM(NhatkyNhap!$C115:V115)-SUM(NhatkyBan!$C115:V115)</f>
        <v>0</v>
      </c>
      <c r="W115" s="21">
        <f>SUM(NhatkyNhap!$C115:W115)-SUM(NhatkyBan!$C115:W115)</f>
        <v>0</v>
      </c>
      <c r="X115" s="21">
        <f>SUM(NhatkyNhap!$C115:X115)-SUM(NhatkyBan!$C115:X115)</f>
        <v>0</v>
      </c>
      <c r="Y115" s="21">
        <f>SUM(NhatkyNhap!$C115:Y115)-SUM(NhatkyBan!$C115:Y115)</f>
        <v>0</v>
      </c>
      <c r="Z115" s="21">
        <f>SUM(NhatkyNhap!$C115:Z115)-SUM(NhatkyBan!$C115:Z115)</f>
        <v>0</v>
      </c>
      <c r="AA115" s="21">
        <f>SUM(NhatkyNhap!$C115:AA115)-SUM(NhatkyBan!$C115:AA115)</f>
        <v>0</v>
      </c>
      <c r="AB115" s="21">
        <f>SUM(NhatkyNhap!$C115:AB115)-SUM(NhatkyBan!$C115:AB115)</f>
        <v>0</v>
      </c>
      <c r="AC115" s="21">
        <f>SUM(NhatkyNhap!$C115:AC115)-SUM(NhatkyBan!$C115:AC115)</f>
        <v>0</v>
      </c>
      <c r="AD115" s="21">
        <f>SUM(NhatkyNhap!$C115:AD115)-SUM(NhatkyBan!$C115:AD115)</f>
        <v>0</v>
      </c>
      <c r="AE115" s="21">
        <f>SUM(NhatkyNhap!$C115:AE115)-SUM(NhatkyBan!$C115:AE115)</f>
        <v>0</v>
      </c>
      <c r="AF115" s="21">
        <f>SUM(NhatkyNhap!$C115:AF115)-SUM(NhatkyBan!$C115:AF115)</f>
        <v>0</v>
      </c>
      <c r="AG115" s="21">
        <f>SUM(NhatkyNhap!$C115:AG115)-SUM(NhatkyBan!$C115:AG115)</f>
        <v>0</v>
      </c>
    </row>
    <row r="116" spans="1:33" ht="12.75" customHeight="1">
      <c r="A116" s="76" t="str">
        <f>DSSP!A115</f>
        <v>VD1</v>
      </c>
      <c r="B116" s="25" t="str">
        <f>DSSP!B115</f>
        <v>Vải dạ 10x10</v>
      </c>
      <c r="C116" s="21">
        <f>SUM(NhatkyNhap!$C116:C116)-SUM(NhatkyBan!$C116:C116)</f>
        <v>736</v>
      </c>
      <c r="D116" s="21">
        <f>SUM(NhatkyNhap!$C116:D116)-SUM(NhatkyBan!$C116:D116)</f>
        <v>736</v>
      </c>
      <c r="E116" s="21">
        <f>SUM(NhatkyNhap!$C116:E116)-SUM(NhatkyBan!$C116:E116)</f>
        <v>736</v>
      </c>
      <c r="F116" s="21">
        <f>SUM(NhatkyNhap!$C116:F116)-SUM(NhatkyBan!$C116:F116)</f>
        <v>736</v>
      </c>
      <c r="G116" s="21">
        <f>SUM(NhatkyNhap!$C116:G116)-SUM(NhatkyBan!$C116:G116)</f>
        <v>736</v>
      </c>
      <c r="H116" s="21">
        <f>SUM(NhatkyNhap!$C116:H116)-SUM(NhatkyBan!$C116:H116)</f>
        <v>736</v>
      </c>
      <c r="I116" s="21">
        <f>SUM(NhatkyNhap!$C116:I116)-SUM(NhatkyBan!$C116:I116)</f>
        <v>736</v>
      </c>
      <c r="J116" s="21">
        <f>SUM(NhatkyNhap!$C116:J116)-SUM(NhatkyBan!$C116:J116)</f>
        <v>736</v>
      </c>
      <c r="K116" s="21">
        <f>SUM(NhatkyNhap!$C116:K116)-SUM(NhatkyBan!$C116:K116)</f>
        <v>736</v>
      </c>
      <c r="L116" s="21">
        <f>SUM(NhatkyNhap!$C116:L116)-SUM(NhatkyBan!$C116:L116)</f>
        <v>736</v>
      </c>
      <c r="M116" s="21">
        <f>SUM(NhatkyNhap!$C116:M116)-SUM(NhatkyBan!$C116:M116)</f>
        <v>736</v>
      </c>
      <c r="N116" s="21">
        <f>SUM(NhatkyNhap!$C116:N116)-SUM(NhatkyBan!$C116:N116)</f>
        <v>736</v>
      </c>
      <c r="O116" s="21">
        <f>SUM(NhatkyNhap!$C116:O116)-SUM(NhatkyBan!$C116:O116)</f>
        <v>736</v>
      </c>
      <c r="P116" s="21">
        <f>SUM(NhatkyNhap!$C116:P116)-SUM(NhatkyBan!$C116:P116)</f>
        <v>736</v>
      </c>
      <c r="Q116" s="21">
        <f>SUM(NhatkyNhap!$C116:Q116)-SUM(NhatkyBan!$C116:Q116)</f>
        <v>736</v>
      </c>
      <c r="R116" s="21">
        <f>SUM(NhatkyNhap!$C116:R116)-SUM(NhatkyBan!$C116:R116)</f>
        <v>736</v>
      </c>
      <c r="S116" s="21">
        <f>SUM(NhatkyNhap!$C116:S116)-SUM(NhatkyBan!$C116:S116)</f>
        <v>736</v>
      </c>
      <c r="T116" s="21">
        <f>SUM(NhatkyNhap!$C116:T116)-SUM(NhatkyBan!$C116:T116)</f>
        <v>736</v>
      </c>
      <c r="U116" s="21">
        <f>SUM(NhatkyNhap!$C116:U116)-SUM(NhatkyBan!$C116:U116)</f>
        <v>736</v>
      </c>
      <c r="V116" s="21">
        <f>SUM(NhatkyNhap!$C116:V116)-SUM(NhatkyBan!$C116:V116)</f>
        <v>736</v>
      </c>
      <c r="W116" s="21">
        <f>SUM(NhatkyNhap!$C116:W116)-SUM(NhatkyBan!$C116:W116)</f>
        <v>736</v>
      </c>
      <c r="X116" s="21">
        <f>SUM(NhatkyNhap!$C116:X116)-SUM(NhatkyBan!$C116:X116)</f>
        <v>736</v>
      </c>
      <c r="Y116" s="21">
        <f>SUM(NhatkyNhap!$C116:Y116)-SUM(NhatkyBan!$C116:Y116)</f>
        <v>736</v>
      </c>
      <c r="Z116" s="21">
        <f>SUM(NhatkyNhap!$C116:Z116)-SUM(NhatkyBan!$C116:Z116)</f>
        <v>736</v>
      </c>
      <c r="AA116" s="21">
        <f>SUM(NhatkyNhap!$C116:AA116)-SUM(NhatkyBan!$C116:AA116)</f>
        <v>736</v>
      </c>
      <c r="AB116" s="21">
        <f>SUM(NhatkyNhap!$C116:AB116)-SUM(NhatkyBan!$C116:AB116)</f>
        <v>736</v>
      </c>
      <c r="AC116" s="21">
        <f>SUM(NhatkyNhap!$C116:AC116)-SUM(NhatkyBan!$C116:AC116)</f>
        <v>736</v>
      </c>
      <c r="AD116" s="21">
        <f>SUM(NhatkyNhap!$C116:AD116)-SUM(NhatkyBan!$C116:AD116)</f>
        <v>736</v>
      </c>
      <c r="AE116" s="21">
        <f>SUM(NhatkyNhap!$C116:AE116)-SUM(NhatkyBan!$C116:AE116)</f>
        <v>736</v>
      </c>
      <c r="AF116" s="21">
        <f>SUM(NhatkyNhap!$C116:AF116)-SUM(NhatkyBan!$C116:AF116)</f>
        <v>736</v>
      </c>
      <c r="AG116" s="21">
        <f>SUM(NhatkyNhap!$C116:AG116)-SUM(NhatkyBan!$C116:AG116)</f>
        <v>736</v>
      </c>
    </row>
    <row r="117" spans="1:33" ht="12.75" customHeight="1">
      <c r="A117" s="76" t="str">
        <f>DSSP!A116</f>
        <v>VD2</v>
      </c>
      <c r="B117" s="25" t="str">
        <f>DSSP!B116</f>
        <v>Vải dạ 18x18</v>
      </c>
      <c r="C117" s="21">
        <f>SUM(NhatkyNhap!$C117:C117)-SUM(NhatkyBan!$C117:C117)</f>
        <v>422</v>
      </c>
      <c r="D117" s="21">
        <f>SUM(NhatkyNhap!$C117:D117)-SUM(NhatkyBan!$C117:D117)</f>
        <v>422</v>
      </c>
      <c r="E117" s="21">
        <f>SUM(NhatkyNhap!$C117:E117)-SUM(NhatkyBan!$C117:E117)</f>
        <v>422</v>
      </c>
      <c r="F117" s="21">
        <f>SUM(NhatkyNhap!$C117:F117)-SUM(NhatkyBan!$C117:F117)</f>
        <v>422</v>
      </c>
      <c r="G117" s="21">
        <f>SUM(NhatkyNhap!$C117:G117)-SUM(NhatkyBan!$C117:G117)</f>
        <v>422</v>
      </c>
      <c r="H117" s="21">
        <f>SUM(NhatkyNhap!$C117:H117)-SUM(NhatkyBan!$C117:H117)</f>
        <v>422</v>
      </c>
      <c r="I117" s="21">
        <f>SUM(NhatkyNhap!$C117:I117)-SUM(NhatkyBan!$C117:I117)</f>
        <v>422</v>
      </c>
      <c r="J117" s="21">
        <f>SUM(NhatkyNhap!$C117:J117)-SUM(NhatkyBan!$C117:J117)</f>
        <v>422</v>
      </c>
      <c r="K117" s="21">
        <f>SUM(NhatkyNhap!$C117:K117)-SUM(NhatkyBan!$C117:K117)</f>
        <v>422</v>
      </c>
      <c r="L117" s="21">
        <f>SUM(NhatkyNhap!$C117:L117)-SUM(NhatkyBan!$C117:L117)</f>
        <v>422</v>
      </c>
      <c r="M117" s="21">
        <f>SUM(NhatkyNhap!$C117:M117)-SUM(NhatkyBan!$C117:M117)</f>
        <v>422</v>
      </c>
      <c r="N117" s="21">
        <f>SUM(NhatkyNhap!$C117:N117)-SUM(NhatkyBan!$C117:N117)</f>
        <v>422</v>
      </c>
      <c r="O117" s="21">
        <f>SUM(NhatkyNhap!$C117:O117)-SUM(NhatkyBan!$C117:O117)</f>
        <v>422</v>
      </c>
      <c r="P117" s="21">
        <f>SUM(NhatkyNhap!$C117:P117)-SUM(NhatkyBan!$C117:P117)</f>
        <v>422</v>
      </c>
      <c r="Q117" s="21">
        <f>SUM(NhatkyNhap!$C117:Q117)-SUM(NhatkyBan!$C117:Q117)</f>
        <v>422</v>
      </c>
      <c r="R117" s="21">
        <f>SUM(NhatkyNhap!$C117:R117)-SUM(NhatkyBan!$C117:R117)</f>
        <v>422</v>
      </c>
      <c r="S117" s="21">
        <f>SUM(NhatkyNhap!$C117:S117)-SUM(NhatkyBan!$C117:S117)</f>
        <v>422</v>
      </c>
      <c r="T117" s="21">
        <f>SUM(NhatkyNhap!$C117:T117)-SUM(NhatkyBan!$C117:T117)</f>
        <v>422</v>
      </c>
      <c r="U117" s="21">
        <f>SUM(NhatkyNhap!$C117:U117)-SUM(NhatkyBan!$C117:U117)</f>
        <v>422</v>
      </c>
      <c r="V117" s="21">
        <f>SUM(NhatkyNhap!$C117:V117)-SUM(NhatkyBan!$C117:V117)</f>
        <v>422</v>
      </c>
      <c r="W117" s="21">
        <f>SUM(NhatkyNhap!$C117:W117)-SUM(NhatkyBan!$C117:W117)</f>
        <v>422</v>
      </c>
      <c r="X117" s="21">
        <f>SUM(NhatkyNhap!$C117:X117)-SUM(NhatkyBan!$C117:X117)</f>
        <v>422</v>
      </c>
      <c r="Y117" s="21">
        <f>SUM(NhatkyNhap!$C117:Y117)-SUM(NhatkyBan!$C117:Y117)</f>
        <v>422</v>
      </c>
      <c r="Z117" s="21">
        <f>SUM(NhatkyNhap!$C117:Z117)-SUM(NhatkyBan!$C117:Z117)</f>
        <v>422</v>
      </c>
      <c r="AA117" s="21">
        <f>SUM(NhatkyNhap!$C117:AA117)-SUM(NhatkyBan!$C117:AA117)</f>
        <v>422</v>
      </c>
      <c r="AB117" s="21">
        <f>SUM(NhatkyNhap!$C117:AB117)-SUM(NhatkyBan!$C117:AB117)</f>
        <v>422</v>
      </c>
      <c r="AC117" s="21">
        <f>SUM(NhatkyNhap!$C117:AC117)-SUM(NhatkyBan!$C117:AC117)</f>
        <v>422</v>
      </c>
      <c r="AD117" s="21">
        <f>SUM(NhatkyNhap!$C117:AD117)-SUM(NhatkyBan!$C117:AD117)</f>
        <v>422</v>
      </c>
      <c r="AE117" s="21">
        <f>SUM(NhatkyNhap!$C117:AE117)-SUM(NhatkyBan!$C117:AE117)</f>
        <v>422</v>
      </c>
      <c r="AF117" s="21">
        <f>SUM(NhatkyNhap!$C117:AF117)-SUM(NhatkyBan!$C117:AF117)</f>
        <v>422</v>
      </c>
      <c r="AG117" s="21">
        <f>SUM(NhatkyNhap!$C117:AG117)-SUM(NhatkyBan!$C117:AG117)</f>
        <v>422</v>
      </c>
    </row>
    <row r="118" spans="1:33" ht="12.75" customHeight="1">
      <c r="A118" s="76" t="str">
        <f>DSSP!A117</f>
        <v>VD3</v>
      </c>
      <c r="B118" s="25" t="str">
        <f>DSSP!B117</f>
        <v>Vải dạ 30x30</v>
      </c>
      <c r="C118" s="21">
        <f>SUM(NhatkyNhap!$C118:C118)-SUM(NhatkyBan!$C118:C118)</f>
        <v>199</v>
      </c>
      <c r="D118" s="21">
        <f>SUM(NhatkyNhap!$C118:D118)-SUM(NhatkyBan!$C118:D118)</f>
        <v>199</v>
      </c>
      <c r="E118" s="21">
        <f>SUM(NhatkyNhap!$C118:E118)-SUM(NhatkyBan!$C118:E118)</f>
        <v>199</v>
      </c>
      <c r="F118" s="21">
        <f>SUM(NhatkyNhap!$C118:F118)-SUM(NhatkyBan!$C118:F118)</f>
        <v>199</v>
      </c>
      <c r="G118" s="21">
        <f>SUM(NhatkyNhap!$C118:G118)-SUM(NhatkyBan!$C118:G118)</f>
        <v>199</v>
      </c>
      <c r="H118" s="21">
        <f>SUM(NhatkyNhap!$C118:H118)-SUM(NhatkyBan!$C118:H118)</f>
        <v>199</v>
      </c>
      <c r="I118" s="21">
        <f>SUM(NhatkyNhap!$C118:I118)-SUM(NhatkyBan!$C118:I118)</f>
        <v>199</v>
      </c>
      <c r="J118" s="21">
        <f>SUM(NhatkyNhap!$C118:J118)-SUM(NhatkyBan!$C118:J118)</f>
        <v>199</v>
      </c>
      <c r="K118" s="21">
        <f>SUM(NhatkyNhap!$C118:K118)-SUM(NhatkyBan!$C118:K118)</f>
        <v>199</v>
      </c>
      <c r="L118" s="21">
        <f>SUM(NhatkyNhap!$C118:L118)-SUM(NhatkyBan!$C118:L118)</f>
        <v>199</v>
      </c>
      <c r="M118" s="21">
        <f>SUM(NhatkyNhap!$C118:M118)-SUM(NhatkyBan!$C118:M118)</f>
        <v>199</v>
      </c>
      <c r="N118" s="21">
        <f>SUM(NhatkyNhap!$C118:N118)-SUM(NhatkyBan!$C118:N118)</f>
        <v>199</v>
      </c>
      <c r="O118" s="21">
        <f>SUM(NhatkyNhap!$C118:O118)-SUM(NhatkyBan!$C118:O118)</f>
        <v>199</v>
      </c>
      <c r="P118" s="21">
        <f>SUM(NhatkyNhap!$C118:P118)-SUM(NhatkyBan!$C118:P118)</f>
        <v>199</v>
      </c>
      <c r="Q118" s="21">
        <f>SUM(NhatkyNhap!$C118:Q118)-SUM(NhatkyBan!$C118:Q118)</f>
        <v>199</v>
      </c>
      <c r="R118" s="21">
        <f>SUM(NhatkyNhap!$C118:R118)-SUM(NhatkyBan!$C118:R118)</f>
        <v>199</v>
      </c>
      <c r="S118" s="21">
        <f>SUM(NhatkyNhap!$C118:S118)-SUM(NhatkyBan!$C118:S118)</f>
        <v>199</v>
      </c>
      <c r="T118" s="21">
        <f>SUM(NhatkyNhap!$C118:T118)-SUM(NhatkyBan!$C118:T118)</f>
        <v>199</v>
      </c>
      <c r="U118" s="21">
        <f>SUM(NhatkyNhap!$C118:U118)-SUM(NhatkyBan!$C118:U118)</f>
        <v>199</v>
      </c>
      <c r="V118" s="21">
        <f>SUM(NhatkyNhap!$C118:V118)-SUM(NhatkyBan!$C118:V118)</f>
        <v>199</v>
      </c>
      <c r="W118" s="21">
        <f>SUM(NhatkyNhap!$C118:W118)-SUM(NhatkyBan!$C118:W118)</f>
        <v>199</v>
      </c>
      <c r="X118" s="21">
        <f>SUM(NhatkyNhap!$C118:X118)-SUM(NhatkyBan!$C118:X118)</f>
        <v>199</v>
      </c>
      <c r="Y118" s="21">
        <f>SUM(NhatkyNhap!$C118:Y118)-SUM(NhatkyBan!$C118:Y118)</f>
        <v>199</v>
      </c>
      <c r="Z118" s="21">
        <f>SUM(NhatkyNhap!$C118:Z118)-SUM(NhatkyBan!$C118:Z118)</f>
        <v>199</v>
      </c>
      <c r="AA118" s="21">
        <f>SUM(NhatkyNhap!$C118:AA118)-SUM(NhatkyBan!$C118:AA118)</f>
        <v>199</v>
      </c>
      <c r="AB118" s="21">
        <f>SUM(NhatkyNhap!$C118:AB118)-SUM(NhatkyBan!$C118:AB118)</f>
        <v>199</v>
      </c>
      <c r="AC118" s="21">
        <f>SUM(NhatkyNhap!$C118:AC118)-SUM(NhatkyBan!$C118:AC118)</f>
        <v>199</v>
      </c>
      <c r="AD118" s="21">
        <f>SUM(NhatkyNhap!$C118:AD118)-SUM(NhatkyBan!$C118:AD118)</f>
        <v>199</v>
      </c>
      <c r="AE118" s="21">
        <f>SUM(NhatkyNhap!$C118:AE118)-SUM(NhatkyBan!$C118:AE118)</f>
        <v>199</v>
      </c>
      <c r="AF118" s="21">
        <f>SUM(NhatkyNhap!$C118:AF118)-SUM(NhatkyBan!$C118:AF118)</f>
        <v>199</v>
      </c>
      <c r="AG118" s="21">
        <f>SUM(NhatkyNhap!$C118:AG118)-SUM(NhatkyBan!$C118:AG118)</f>
        <v>199</v>
      </c>
    </row>
    <row r="119" spans="1:33" ht="12.75" customHeight="1">
      <c r="A119" s="76" t="str">
        <f>DSSP!A118</f>
        <v>VD4</v>
      </c>
      <c r="B119" s="25" t="str">
        <f>DSSP!B118</f>
        <v>Vải dạ 45x45</v>
      </c>
      <c r="C119" s="21">
        <f>SUM(NhatkyNhap!$C119:C119)-SUM(NhatkyBan!$C119:C119)</f>
        <v>123</v>
      </c>
      <c r="D119" s="21">
        <f>SUM(NhatkyNhap!$C119:D119)-SUM(NhatkyBan!$C119:D119)</f>
        <v>123</v>
      </c>
      <c r="E119" s="21">
        <f>SUM(NhatkyNhap!$C119:E119)-SUM(NhatkyBan!$C119:E119)</f>
        <v>123</v>
      </c>
      <c r="F119" s="21">
        <f>SUM(NhatkyNhap!$C119:F119)-SUM(NhatkyBan!$C119:F119)</f>
        <v>123</v>
      </c>
      <c r="G119" s="21">
        <f>SUM(NhatkyNhap!$C119:G119)-SUM(NhatkyBan!$C119:G119)</f>
        <v>123</v>
      </c>
      <c r="H119" s="21">
        <f>SUM(NhatkyNhap!$C119:H119)-SUM(NhatkyBan!$C119:H119)</f>
        <v>123</v>
      </c>
      <c r="I119" s="21">
        <f>SUM(NhatkyNhap!$C119:I119)-SUM(NhatkyBan!$C119:I119)</f>
        <v>123</v>
      </c>
      <c r="J119" s="21">
        <f>SUM(NhatkyNhap!$C119:J119)-SUM(NhatkyBan!$C119:J119)</f>
        <v>123</v>
      </c>
      <c r="K119" s="21">
        <f>SUM(NhatkyNhap!$C119:K119)-SUM(NhatkyBan!$C119:K119)</f>
        <v>123</v>
      </c>
      <c r="L119" s="21">
        <f>SUM(NhatkyNhap!$C119:L119)-SUM(NhatkyBan!$C119:L119)</f>
        <v>123</v>
      </c>
      <c r="M119" s="21">
        <f>SUM(NhatkyNhap!$C119:M119)-SUM(NhatkyBan!$C119:M119)</f>
        <v>123</v>
      </c>
      <c r="N119" s="21">
        <f>SUM(NhatkyNhap!$C119:N119)-SUM(NhatkyBan!$C119:N119)</f>
        <v>123</v>
      </c>
      <c r="O119" s="21">
        <f>SUM(NhatkyNhap!$C119:O119)-SUM(NhatkyBan!$C119:O119)</f>
        <v>123</v>
      </c>
      <c r="P119" s="21">
        <f>SUM(NhatkyNhap!$C119:P119)-SUM(NhatkyBan!$C119:P119)</f>
        <v>123</v>
      </c>
      <c r="Q119" s="21">
        <f>SUM(NhatkyNhap!$C119:Q119)-SUM(NhatkyBan!$C119:Q119)</f>
        <v>123</v>
      </c>
      <c r="R119" s="21">
        <f>SUM(NhatkyNhap!$C119:R119)-SUM(NhatkyBan!$C119:R119)</f>
        <v>123</v>
      </c>
      <c r="S119" s="21">
        <f>SUM(NhatkyNhap!$C119:S119)-SUM(NhatkyBan!$C119:S119)</f>
        <v>123</v>
      </c>
      <c r="T119" s="21">
        <f>SUM(NhatkyNhap!$C119:T119)-SUM(NhatkyBan!$C119:T119)</f>
        <v>123</v>
      </c>
      <c r="U119" s="21">
        <f>SUM(NhatkyNhap!$C119:U119)-SUM(NhatkyBan!$C119:U119)</f>
        <v>123</v>
      </c>
      <c r="V119" s="21">
        <f>SUM(NhatkyNhap!$C119:V119)-SUM(NhatkyBan!$C119:V119)</f>
        <v>123</v>
      </c>
      <c r="W119" s="21">
        <f>SUM(NhatkyNhap!$C119:W119)-SUM(NhatkyBan!$C119:W119)</f>
        <v>123</v>
      </c>
      <c r="X119" s="21">
        <f>SUM(NhatkyNhap!$C119:X119)-SUM(NhatkyBan!$C119:X119)</f>
        <v>123</v>
      </c>
      <c r="Y119" s="21">
        <f>SUM(NhatkyNhap!$C119:Y119)-SUM(NhatkyBan!$C119:Y119)</f>
        <v>123</v>
      </c>
      <c r="Z119" s="21">
        <f>SUM(NhatkyNhap!$C119:Z119)-SUM(NhatkyBan!$C119:Z119)</f>
        <v>123</v>
      </c>
      <c r="AA119" s="21">
        <f>SUM(NhatkyNhap!$C119:AA119)-SUM(NhatkyBan!$C119:AA119)</f>
        <v>123</v>
      </c>
      <c r="AB119" s="21">
        <f>SUM(NhatkyNhap!$C119:AB119)-SUM(NhatkyBan!$C119:AB119)</f>
        <v>123</v>
      </c>
      <c r="AC119" s="21">
        <f>SUM(NhatkyNhap!$C119:AC119)-SUM(NhatkyBan!$C119:AC119)</f>
        <v>123</v>
      </c>
      <c r="AD119" s="21">
        <f>SUM(NhatkyNhap!$C119:AD119)-SUM(NhatkyBan!$C119:AD119)</f>
        <v>123</v>
      </c>
      <c r="AE119" s="21">
        <f>SUM(NhatkyNhap!$C119:AE119)-SUM(NhatkyBan!$C119:AE119)</f>
        <v>123</v>
      </c>
      <c r="AF119" s="21">
        <f>SUM(NhatkyNhap!$C119:AF119)-SUM(NhatkyBan!$C119:AF119)</f>
        <v>123</v>
      </c>
      <c r="AG119" s="21">
        <f>SUM(NhatkyNhap!$C119:AG119)-SUM(NhatkyBan!$C119:AG119)</f>
        <v>123</v>
      </c>
    </row>
    <row r="120" spans="1:33" ht="12.75" customHeight="1">
      <c r="A120" s="76" t="str">
        <f>DSSP!A119</f>
        <v>VD5</v>
      </c>
      <c r="B120" s="25" t="str">
        <f>DSSP!B119</f>
        <v>Vải dạ 90x90</v>
      </c>
      <c r="C120" s="21">
        <f>SUM(NhatkyNhap!$C120:C120)-SUM(NhatkyBan!$C120:C120)</f>
        <v>0</v>
      </c>
      <c r="D120" s="21">
        <f>SUM(NhatkyNhap!$C120:D120)-SUM(NhatkyBan!$C120:D120)</f>
        <v>0</v>
      </c>
      <c r="E120" s="21">
        <f>SUM(NhatkyNhap!$C120:E120)-SUM(NhatkyBan!$C120:E120)</f>
        <v>0</v>
      </c>
      <c r="F120" s="21">
        <f>SUM(NhatkyNhap!$C120:F120)-SUM(NhatkyBan!$C120:F120)</f>
        <v>0</v>
      </c>
      <c r="G120" s="21">
        <f>SUM(NhatkyNhap!$C120:G120)-SUM(NhatkyBan!$C120:G120)</f>
        <v>0</v>
      </c>
      <c r="H120" s="21">
        <f>SUM(NhatkyNhap!$C120:H120)-SUM(NhatkyBan!$C120:H120)</f>
        <v>0</v>
      </c>
      <c r="I120" s="21">
        <f>SUM(NhatkyNhap!$C120:I120)-SUM(NhatkyBan!$C120:I120)</f>
        <v>0</v>
      </c>
      <c r="J120" s="21">
        <f>SUM(NhatkyNhap!$C120:J120)-SUM(NhatkyBan!$C120:J120)</f>
        <v>0</v>
      </c>
      <c r="K120" s="21">
        <f>SUM(NhatkyNhap!$C120:K120)-SUM(NhatkyBan!$C120:K120)</f>
        <v>0</v>
      </c>
      <c r="L120" s="21">
        <f>SUM(NhatkyNhap!$C120:L120)-SUM(NhatkyBan!$C120:L120)</f>
        <v>0</v>
      </c>
      <c r="M120" s="21">
        <f>SUM(NhatkyNhap!$C120:M120)-SUM(NhatkyBan!$C120:M120)</f>
        <v>0</v>
      </c>
      <c r="N120" s="21">
        <f>SUM(NhatkyNhap!$C120:N120)-SUM(NhatkyBan!$C120:N120)</f>
        <v>0</v>
      </c>
      <c r="O120" s="21">
        <f>SUM(NhatkyNhap!$C120:O120)-SUM(NhatkyBan!$C120:O120)</f>
        <v>0</v>
      </c>
      <c r="P120" s="21">
        <f>SUM(NhatkyNhap!$C120:P120)-SUM(NhatkyBan!$C120:P120)</f>
        <v>0</v>
      </c>
      <c r="Q120" s="21">
        <f>SUM(NhatkyNhap!$C120:Q120)-SUM(NhatkyBan!$C120:Q120)</f>
        <v>0</v>
      </c>
      <c r="R120" s="21">
        <f>SUM(NhatkyNhap!$C120:R120)-SUM(NhatkyBan!$C120:R120)</f>
        <v>0</v>
      </c>
      <c r="S120" s="21">
        <f>SUM(NhatkyNhap!$C120:S120)-SUM(NhatkyBan!$C120:S120)</f>
        <v>0</v>
      </c>
      <c r="T120" s="21">
        <f>SUM(NhatkyNhap!$C120:T120)-SUM(NhatkyBan!$C120:T120)</f>
        <v>0</v>
      </c>
      <c r="U120" s="21">
        <f>SUM(NhatkyNhap!$C120:U120)-SUM(NhatkyBan!$C120:U120)</f>
        <v>0</v>
      </c>
      <c r="V120" s="21">
        <f>SUM(NhatkyNhap!$C120:V120)-SUM(NhatkyBan!$C120:V120)</f>
        <v>0</v>
      </c>
      <c r="W120" s="21">
        <f>SUM(NhatkyNhap!$C120:W120)-SUM(NhatkyBan!$C120:W120)</f>
        <v>0</v>
      </c>
      <c r="X120" s="21">
        <f>SUM(NhatkyNhap!$C120:X120)-SUM(NhatkyBan!$C120:X120)</f>
        <v>0</v>
      </c>
      <c r="Y120" s="21">
        <f>SUM(NhatkyNhap!$C120:Y120)-SUM(NhatkyBan!$C120:Y120)</f>
        <v>0</v>
      </c>
      <c r="Z120" s="21">
        <f>SUM(NhatkyNhap!$C120:Z120)-SUM(NhatkyBan!$C120:Z120)</f>
        <v>0</v>
      </c>
      <c r="AA120" s="21">
        <f>SUM(NhatkyNhap!$C120:AA120)-SUM(NhatkyBan!$C120:AA120)</f>
        <v>0</v>
      </c>
      <c r="AB120" s="21">
        <f>SUM(NhatkyNhap!$C120:AB120)-SUM(NhatkyBan!$C120:AB120)</f>
        <v>0</v>
      </c>
      <c r="AC120" s="21">
        <f>SUM(NhatkyNhap!$C120:AC120)-SUM(NhatkyBan!$C120:AC120)</f>
        <v>0</v>
      </c>
      <c r="AD120" s="21">
        <f>SUM(NhatkyNhap!$C120:AD120)-SUM(NhatkyBan!$C120:AD120)</f>
        <v>0</v>
      </c>
      <c r="AE120" s="21">
        <f>SUM(NhatkyNhap!$C120:AE120)-SUM(NhatkyBan!$C120:AE120)</f>
        <v>0</v>
      </c>
      <c r="AF120" s="21">
        <f>SUM(NhatkyNhap!$C120:AF120)-SUM(NhatkyBan!$C120:AF120)</f>
        <v>0</v>
      </c>
      <c r="AG120" s="21">
        <f>SUM(NhatkyNhap!$C120:AG120)-SUM(NhatkyBan!$C120:AG120)</f>
        <v>0</v>
      </c>
    </row>
    <row r="121" spans="1:33" ht="12.75" customHeight="1">
      <c r="A121" s="76" t="str">
        <f>DSSP!A120</f>
        <v>VD6</v>
      </c>
      <c r="B121" s="25" t="str">
        <f>DSSP!B120</f>
        <v>Móc điện thoại</v>
      </c>
      <c r="C121" s="21">
        <f>SUM(NhatkyNhap!$C121:C121)-SUM(NhatkyBan!$C121:C121)</f>
        <v>937</v>
      </c>
      <c r="D121" s="21">
        <f>SUM(NhatkyNhap!$C121:D121)-SUM(NhatkyBan!$C121:D121)</f>
        <v>937</v>
      </c>
      <c r="E121" s="21">
        <f>SUM(NhatkyNhap!$C121:E121)-SUM(NhatkyBan!$C121:E121)</f>
        <v>937</v>
      </c>
      <c r="F121" s="21">
        <f>SUM(NhatkyNhap!$C121:F121)-SUM(NhatkyBan!$C121:F121)</f>
        <v>937</v>
      </c>
      <c r="G121" s="21">
        <f>SUM(NhatkyNhap!$C121:G121)-SUM(NhatkyBan!$C121:G121)</f>
        <v>937</v>
      </c>
      <c r="H121" s="21">
        <f>SUM(NhatkyNhap!$C121:H121)-SUM(NhatkyBan!$C121:H121)</f>
        <v>937</v>
      </c>
      <c r="I121" s="21">
        <f>SUM(NhatkyNhap!$C121:I121)-SUM(NhatkyBan!$C121:I121)</f>
        <v>937</v>
      </c>
      <c r="J121" s="21">
        <f>SUM(NhatkyNhap!$C121:J121)-SUM(NhatkyBan!$C121:J121)</f>
        <v>937</v>
      </c>
      <c r="K121" s="21">
        <f>SUM(NhatkyNhap!$C121:K121)-SUM(NhatkyBan!$C121:K121)</f>
        <v>937</v>
      </c>
      <c r="L121" s="21">
        <f>SUM(NhatkyNhap!$C121:L121)-SUM(NhatkyBan!$C121:L121)</f>
        <v>937</v>
      </c>
      <c r="M121" s="21">
        <f>SUM(NhatkyNhap!$C121:M121)-SUM(NhatkyBan!$C121:M121)</f>
        <v>937</v>
      </c>
      <c r="N121" s="21">
        <f>SUM(NhatkyNhap!$C121:N121)-SUM(NhatkyBan!$C121:N121)</f>
        <v>937</v>
      </c>
      <c r="O121" s="21">
        <f>SUM(NhatkyNhap!$C121:O121)-SUM(NhatkyBan!$C121:O121)</f>
        <v>937</v>
      </c>
      <c r="P121" s="21">
        <f>SUM(NhatkyNhap!$C121:P121)-SUM(NhatkyBan!$C121:P121)</f>
        <v>937</v>
      </c>
      <c r="Q121" s="21">
        <f>SUM(NhatkyNhap!$C121:Q121)-SUM(NhatkyBan!$C121:Q121)</f>
        <v>937</v>
      </c>
      <c r="R121" s="21">
        <f>SUM(NhatkyNhap!$C121:R121)-SUM(NhatkyBan!$C121:R121)</f>
        <v>937</v>
      </c>
      <c r="S121" s="21">
        <f>SUM(NhatkyNhap!$C121:S121)-SUM(NhatkyBan!$C121:S121)</f>
        <v>937</v>
      </c>
      <c r="T121" s="21">
        <f>SUM(NhatkyNhap!$C121:T121)-SUM(NhatkyBan!$C121:T121)</f>
        <v>937</v>
      </c>
      <c r="U121" s="21">
        <f>SUM(NhatkyNhap!$C121:U121)-SUM(NhatkyBan!$C121:U121)</f>
        <v>937</v>
      </c>
      <c r="V121" s="21">
        <f>SUM(NhatkyNhap!$C121:V121)-SUM(NhatkyBan!$C121:V121)</f>
        <v>937</v>
      </c>
      <c r="W121" s="21">
        <f>SUM(NhatkyNhap!$C121:W121)-SUM(NhatkyBan!$C121:W121)</f>
        <v>937</v>
      </c>
      <c r="X121" s="21">
        <f>SUM(NhatkyNhap!$C121:X121)-SUM(NhatkyBan!$C121:X121)</f>
        <v>937</v>
      </c>
      <c r="Y121" s="21">
        <f>SUM(NhatkyNhap!$C121:Y121)-SUM(NhatkyBan!$C121:Y121)</f>
        <v>937</v>
      </c>
      <c r="Z121" s="21">
        <f>SUM(NhatkyNhap!$C121:Z121)-SUM(NhatkyBan!$C121:Z121)</f>
        <v>937</v>
      </c>
      <c r="AA121" s="21">
        <f>SUM(NhatkyNhap!$C121:AA121)-SUM(NhatkyBan!$C121:AA121)</f>
        <v>937</v>
      </c>
      <c r="AB121" s="21">
        <f>SUM(NhatkyNhap!$C121:AB121)-SUM(NhatkyBan!$C121:AB121)</f>
        <v>937</v>
      </c>
      <c r="AC121" s="21">
        <f>SUM(NhatkyNhap!$C121:AC121)-SUM(NhatkyBan!$C121:AC121)</f>
        <v>937</v>
      </c>
      <c r="AD121" s="21">
        <f>SUM(NhatkyNhap!$C121:AD121)-SUM(NhatkyBan!$C121:AD121)</f>
        <v>937</v>
      </c>
      <c r="AE121" s="21">
        <f>SUM(NhatkyNhap!$C121:AE121)-SUM(NhatkyBan!$C121:AE121)</f>
        <v>937</v>
      </c>
      <c r="AF121" s="21">
        <f>SUM(NhatkyNhap!$C121:AF121)-SUM(NhatkyBan!$C121:AF121)</f>
        <v>937</v>
      </c>
      <c r="AG121" s="21">
        <f>SUM(NhatkyNhap!$C121:AG121)-SUM(NhatkyBan!$C121:AG121)</f>
        <v>937</v>
      </c>
    </row>
    <row r="122" spans="1:33" ht="12.75" customHeight="1">
      <c r="A122" s="76" t="str">
        <f>DSSP!A121</f>
        <v>VD7</v>
      </c>
      <c r="B122" s="25" t="str">
        <f>DSSP!B121</f>
        <v>Móc khóa</v>
      </c>
      <c r="C122" s="21">
        <f>SUM(NhatkyNhap!$C122:C122)-SUM(NhatkyBan!$C122:C122)</f>
        <v>241</v>
      </c>
      <c r="D122" s="21">
        <f>SUM(NhatkyNhap!$C122:D122)-SUM(NhatkyBan!$C122:D122)</f>
        <v>241</v>
      </c>
      <c r="E122" s="21">
        <f>SUM(NhatkyNhap!$C122:E122)-SUM(NhatkyBan!$C122:E122)</f>
        <v>241</v>
      </c>
      <c r="F122" s="21">
        <f>SUM(NhatkyNhap!$C122:F122)-SUM(NhatkyBan!$C122:F122)</f>
        <v>241</v>
      </c>
      <c r="G122" s="21">
        <f>SUM(NhatkyNhap!$C122:G122)-SUM(NhatkyBan!$C122:G122)</f>
        <v>241</v>
      </c>
      <c r="H122" s="21">
        <f>SUM(NhatkyNhap!$C122:H122)-SUM(NhatkyBan!$C122:H122)</f>
        <v>241</v>
      </c>
      <c r="I122" s="21">
        <f>SUM(NhatkyNhap!$C122:I122)-SUM(NhatkyBan!$C122:I122)</f>
        <v>241</v>
      </c>
      <c r="J122" s="21">
        <f>SUM(NhatkyNhap!$C122:J122)-SUM(NhatkyBan!$C122:J122)</f>
        <v>241</v>
      </c>
      <c r="K122" s="21">
        <f>SUM(NhatkyNhap!$C122:K122)-SUM(NhatkyBan!$C122:K122)</f>
        <v>241</v>
      </c>
      <c r="L122" s="21">
        <f>SUM(NhatkyNhap!$C122:L122)-SUM(NhatkyBan!$C122:L122)</f>
        <v>241</v>
      </c>
      <c r="M122" s="21">
        <f>SUM(NhatkyNhap!$C122:M122)-SUM(NhatkyBan!$C122:M122)</f>
        <v>241</v>
      </c>
      <c r="N122" s="21">
        <f>SUM(NhatkyNhap!$C122:N122)-SUM(NhatkyBan!$C122:N122)</f>
        <v>241</v>
      </c>
      <c r="O122" s="21">
        <f>SUM(NhatkyNhap!$C122:O122)-SUM(NhatkyBan!$C122:O122)</f>
        <v>241</v>
      </c>
      <c r="P122" s="21">
        <f>SUM(NhatkyNhap!$C122:P122)-SUM(NhatkyBan!$C122:P122)</f>
        <v>241</v>
      </c>
      <c r="Q122" s="21">
        <f>SUM(NhatkyNhap!$C122:Q122)-SUM(NhatkyBan!$C122:Q122)</f>
        <v>241</v>
      </c>
      <c r="R122" s="21">
        <f>SUM(NhatkyNhap!$C122:R122)-SUM(NhatkyBan!$C122:R122)</f>
        <v>241</v>
      </c>
      <c r="S122" s="21">
        <f>SUM(NhatkyNhap!$C122:S122)-SUM(NhatkyBan!$C122:S122)</f>
        <v>241</v>
      </c>
      <c r="T122" s="21">
        <f>SUM(NhatkyNhap!$C122:T122)-SUM(NhatkyBan!$C122:T122)</f>
        <v>241</v>
      </c>
      <c r="U122" s="21">
        <f>SUM(NhatkyNhap!$C122:U122)-SUM(NhatkyBan!$C122:U122)</f>
        <v>241</v>
      </c>
      <c r="V122" s="21">
        <f>SUM(NhatkyNhap!$C122:V122)-SUM(NhatkyBan!$C122:V122)</f>
        <v>241</v>
      </c>
      <c r="W122" s="21">
        <f>SUM(NhatkyNhap!$C122:W122)-SUM(NhatkyBan!$C122:W122)</f>
        <v>241</v>
      </c>
      <c r="X122" s="21">
        <f>SUM(NhatkyNhap!$C122:X122)-SUM(NhatkyBan!$C122:X122)</f>
        <v>241</v>
      </c>
      <c r="Y122" s="21">
        <f>SUM(NhatkyNhap!$C122:Y122)-SUM(NhatkyBan!$C122:Y122)</f>
        <v>241</v>
      </c>
      <c r="Z122" s="21">
        <f>SUM(NhatkyNhap!$C122:Z122)-SUM(NhatkyBan!$C122:Z122)</f>
        <v>241</v>
      </c>
      <c r="AA122" s="21">
        <f>SUM(NhatkyNhap!$C122:AA122)-SUM(NhatkyBan!$C122:AA122)</f>
        <v>241</v>
      </c>
      <c r="AB122" s="21">
        <f>SUM(NhatkyNhap!$C122:AB122)-SUM(NhatkyBan!$C122:AB122)</f>
        <v>241</v>
      </c>
      <c r="AC122" s="21">
        <f>SUM(NhatkyNhap!$C122:AC122)-SUM(NhatkyBan!$C122:AC122)</f>
        <v>241</v>
      </c>
      <c r="AD122" s="21">
        <f>SUM(NhatkyNhap!$C122:AD122)-SUM(NhatkyBan!$C122:AD122)</f>
        <v>241</v>
      </c>
      <c r="AE122" s="21">
        <f>SUM(NhatkyNhap!$C122:AE122)-SUM(NhatkyBan!$C122:AE122)</f>
        <v>241</v>
      </c>
      <c r="AF122" s="21">
        <f>SUM(NhatkyNhap!$C122:AF122)-SUM(NhatkyBan!$C122:AF122)</f>
        <v>241</v>
      </c>
      <c r="AG122" s="21">
        <f>SUM(NhatkyNhap!$C122:AG122)-SUM(NhatkyBan!$C122:AG122)</f>
        <v>241</v>
      </c>
    </row>
    <row r="123" spans="1:33" ht="12.75" customHeight="1">
      <c r="A123" s="76" t="str">
        <f>DSSP!A122</f>
        <v>VD8</v>
      </c>
      <c r="B123" s="25" t="str">
        <f>DSSP!B122</f>
        <v>Keo nến</v>
      </c>
      <c r="C123" s="21">
        <f>SUM(NhatkyNhap!$C123:C123)-SUM(NhatkyBan!$C123:C123)</f>
        <v>305</v>
      </c>
      <c r="D123" s="21">
        <f>SUM(NhatkyNhap!$C123:D123)-SUM(NhatkyBan!$C123:D123)</f>
        <v>305</v>
      </c>
      <c r="E123" s="21">
        <f>SUM(NhatkyNhap!$C123:E123)-SUM(NhatkyBan!$C123:E123)</f>
        <v>305</v>
      </c>
      <c r="F123" s="21">
        <f>SUM(NhatkyNhap!$C123:F123)-SUM(NhatkyBan!$C123:F123)</f>
        <v>305</v>
      </c>
      <c r="G123" s="21">
        <f>SUM(NhatkyNhap!$C123:G123)-SUM(NhatkyBan!$C123:G123)</f>
        <v>305</v>
      </c>
      <c r="H123" s="21">
        <f>SUM(NhatkyNhap!$C123:H123)-SUM(NhatkyBan!$C123:H123)</f>
        <v>305</v>
      </c>
      <c r="I123" s="21">
        <f>SUM(NhatkyNhap!$C123:I123)-SUM(NhatkyBan!$C123:I123)</f>
        <v>305</v>
      </c>
      <c r="J123" s="21">
        <f>SUM(NhatkyNhap!$C123:J123)-SUM(NhatkyBan!$C123:J123)</f>
        <v>305</v>
      </c>
      <c r="K123" s="21">
        <f>SUM(NhatkyNhap!$C123:K123)-SUM(NhatkyBan!$C123:K123)</f>
        <v>305</v>
      </c>
      <c r="L123" s="21">
        <f>SUM(NhatkyNhap!$C123:L123)-SUM(NhatkyBan!$C123:L123)</f>
        <v>305</v>
      </c>
      <c r="M123" s="21">
        <f>SUM(NhatkyNhap!$C123:M123)-SUM(NhatkyBan!$C123:M123)</f>
        <v>305</v>
      </c>
      <c r="N123" s="21">
        <f>SUM(NhatkyNhap!$C123:N123)-SUM(NhatkyBan!$C123:N123)</f>
        <v>305</v>
      </c>
      <c r="O123" s="21">
        <f>SUM(NhatkyNhap!$C123:O123)-SUM(NhatkyBan!$C123:O123)</f>
        <v>305</v>
      </c>
      <c r="P123" s="21">
        <f>SUM(NhatkyNhap!$C123:P123)-SUM(NhatkyBan!$C123:P123)</f>
        <v>305</v>
      </c>
      <c r="Q123" s="21">
        <f>SUM(NhatkyNhap!$C123:Q123)-SUM(NhatkyBan!$C123:Q123)</f>
        <v>305</v>
      </c>
      <c r="R123" s="21">
        <f>SUM(NhatkyNhap!$C123:R123)-SUM(NhatkyBan!$C123:R123)</f>
        <v>305</v>
      </c>
      <c r="S123" s="21">
        <f>SUM(NhatkyNhap!$C123:S123)-SUM(NhatkyBan!$C123:S123)</f>
        <v>305</v>
      </c>
      <c r="T123" s="21">
        <f>SUM(NhatkyNhap!$C123:T123)-SUM(NhatkyBan!$C123:T123)</f>
        <v>305</v>
      </c>
      <c r="U123" s="21">
        <f>SUM(NhatkyNhap!$C123:U123)-SUM(NhatkyBan!$C123:U123)</f>
        <v>305</v>
      </c>
      <c r="V123" s="21">
        <f>SUM(NhatkyNhap!$C123:V123)-SUM(NhatkyBan!$C123:V123)</f>
        <v>305</v>
      </c>
      <c r="W123" s="21">
        <f>SUM(NhatkyNhap!$C123:W123)-SUM(NhatkyBan!$C123:W123)</f>
        <v>305</v>
      </c>
      <c r="X123" s="21">
        <f>SUM(NhatkyNhap!$C123:X123)-SUM(NhatkyBan!$C123:X123)</f>
        <v>305</v>
      </c>
      <c r="Y123" s="21">
        <f>SUM(NhatkyNhap!$C123:Y123)-SUM(NhatkyBan!$C123:Y123)</f>
        <v>305</v>
      </c>
      <c r="Z123" s="21">
        <f>SUM(NhatkyNhap!$C123:Z123)-SUM(NhatkyBan!$C123:Z123)</f>
        <v>305</v>
      </c>
      <c r="AA123" s="21">
        <f>SUM(NhatkyNhap!$C123:AA123)-SUM(NhatkyBan!$C123:AA123)</f>
        <v>305</v>
      </c>
      <c r="AB123" s="21">
        <f>SUM(NhatkyNhap!$C123:AB123)-SUM(NhatkyBan!$C123:AB123)</f>
        <v>305</v>
      </c>
      <c r="AC123" s="21">
        <f>SUM(NhatkyNhap!$C123:AC123)-SUM(NhatkyBan!$C123:AC123)</f>
        <v>305</v>
      </c>
      <c r="AD123" s="21">
        <f>SUM(NhatkyNhap!$C123:AD123)-SUM(NhatkyBan!$C123:AD123)</f>
        <v>305</v>
      </c>
      <c r="AE123" s="21">
        <f>SUM(NhatkyNhap!$C123:AE123)-SUM(NhatkyBan!$C123:AE123)</f>
        <v>305</v>
      </c>
      <c r="AF123" s="21">
        <f>SUM(NhatkyNhap!$C123:AF123)-SUM(NhatkyBan!$C123:AF123)</f>
        <v>305</v>
      </c>
      <c r="AG123" s="21">
        <f>SUM(NhatkyNhap!$C123:AG123)-SUM(NhatkyBan!$C123:AG123)</f>
        <v>305</v>
      </c>
    </row>
    <row r="124" spans="1:33" ht="12.75" customHeight="1">
      <c r="A124" s="76" t="str">
        <f>DSSP!A123</f>
        <v>VD9</v>
      </c>
      <c r="B124" s="25" t="str">
        <f>DSSP!B123</f>
        <v>Set chỉ</v>
      </c>
      <c r="C124" s="21">
        <f>SUM(NhatkyNhap!$C124:C124)-SUM(NhatkyBan!$C124:C124)</f>
        <v>99</v>
      </c>
      <c r="D124" s="21">
        <f>SUM(NhatkyNhap!$C124:D124)-SUM(NhatkyBan!$C124:D124)</f>
        <v>99</v>
      </c>
      <c r="E124" s="21">
        <f>SUM(NhatkyNhap!$C124:E124)-SUM(NhatkyBan!$C124:E124)</f>
        <v>99</v>
      </c>
      <c r="F124" s="21">
        <f>SUM(NhatkyNhap!$C124:F124)-SUM(NhatkyBan!$C124:F124)</f>
        <v>99</v>
      </c>
      <c r="G124" s="21">
        <f>SUM(NhatkyNhap!$C124:G124)-SUM(NhatkyBan!$C124:G124)</f>
        <v>99</v>
      </c>
      <c r="H124" s="21">
        <f>SUM(NhatkyNhap!$C124:H124)-SUM(NhatkyBan!$C124:H124)</f>
        <v>99</v>
      </c>
      <c r="I124" s="21">
        <f>SUM(NhatkyNhap!$C124:I124)-SUM(NhatkyBan!$C124:I124)</f>
        <v>99</v>
      </c>
      <c r="J124" s="21">
        <f>SUM(NhatkyNhap!$C124:J124)-SUM(NhatkyBan!$C124:J124)</f>
        <v>99</v>
      </c>
      <c r="K124" s="21">
        <f>SUM(NhatkyNhap!$C124:K124)-SUM(NhatkyBan!$C124:K124)</f>
        <v>99</v>
      </c>
      <c r="L124" s="21">
        <f>SUM(NhatkyNhap!$C124:L124)-SUM(NhatkyBan!$C124:L124)</f>
        <v>99</v>
      </c>
      <c r="M124" s="21">
        <f>SUM(NhatkyNhap!$C124:M124)-SUM(NhatkyBan!$C124:M124)</f>
        <v>99</v>
      </c>
      <c r="N124" s="21">
        <f>SUM(NhatkyNhap!$C124:N124)-SUM(NhatkyBan!$C124:N124)</f>
        <v>99</v>
      </c>
      <c r="O124" s="21">
        <f>SUM(NhatkyNhap!$C124:O124)-SUM(NhatkyBan!$C124:O124)</f>
        <v>99</v>
      </c>
      <c r="P124" s="21">
        <f>SUM(NhatkyNhap!$C124:P124)-SUM(NhatkyBan!$C124:P124)</f>
        <v>99</v>
      </c>
      <c r="Q124" s="21">
        <f>SUM(NhatkyNhap!$C124:Q124)-SUM(NhatkyBan!$C124:Q124)</f>
        <v>99</v>
      </c>
      <c r="R124" s="21">
        <f>SUM(NhatkyNhap!$C124:R124)-SUM(NhatkyBan!$C124:R124)</f>
        <v>99</v>
      </c>
      <c r="S124" s="21">
        <f>SUM(NhatkyNhap!$C124:S124)-SUM(NhatkyBan!$C124:S124)</f>
        <v>99</v>
      </c>
      <c r="T124" s="21">
        <f>SUM(NhatkyNhap!$C124:T124)-SUM(NhatkyBan!$C124:T124)</f>
        <v>99</v>
      </c>
      <c r="U124" s="21">
        <f>SUM(NhatkyNhap!$C124:U124)-SUM(NhatkyBan!$C124:U124)</f>
        <v>99</v>
      </c>
      <c r="V124" s="21">
        <f>SUM(NhatkyNhap!$C124:V124)-SUM(NhatkyBan!$C124:V124)</f>
        <v>99</v>
      </c>
      <c r="W124" s="21">
        <f>SUM(NhatkyNhap!$C124:W124)-SUM(NhatkyBan!$C124:W124)</f>
        <v>99</v>
      </c>
      <c r="X124" s="21">
        <f>SUM(NhatkyNhap!$C124:X124)-SUM(NhatkyBan!$C124:X124)</f>
        <v>99</v>
      </c>
      <c r="Y124" s="21">
        <f>SUM(NhatkyNhap!$C124:Y124)-SUM(NhatkyBan!$C124:Y124)</f>
        <v>99</v>
      </c>
      <c r="Z124" s="21">
        <f>SUM(NhatkyNhap!$C124:Z124)-SUM(NhatkyBan!$C124:Z124)</f>
        <v>99</v>
      </c>
      <c r="AA124" s="21">
        <f>SUM(NhatkyNhap!$C124:AA124)-SUM(NhatkyBan!$C124:AA124)</f>
        <v>99</v>
      </c>
      <c r="AB124" s="21">
        <f>SUM(NhatkyNhap!$C124:AB124)-SUM(NhatkyBan!$C124:AB124)</f>
        <v>99</v>
      </c>
      <c r="AC124" s="21">
        <f>SUM(NhatkyNhap!$C124:AC124)-SUM(NhatkyBan!$C124:AC124)</f>
        <v>99</v>
      </c>
      <c r="AD124" s="21">
        <f>SUM(NhatkyNhap!$C124:AD124)-SUM(NhatkyBan!$C124:AD124)</f>
        <v>99</v>
      </c>
      <c r="AE124" s="21">
        <f>SUM(NhatkyNhap!$C124:AE124)-SUM(NhatkyBan!$C124:AE124)</f>
        <v>99</v>
      </c>
      <c r="AF124" s="21">
        <f>SUM(NhatkyNhap!$C124:AF124)-SUM(NhatkyBan!$C124:AF124)</f>
        <v>99</v>
      </c>
      <c r="AG124" s="21">
        <f>SUM(NhatkyNhap!$C124:AG124)-SUM(NhatkyBan!$C124:AG124)</f>
        <v>99</v>
      </c>
    </row>
    <row r="125" spans="1:33" ht="12.75" customHeight="1">
      <c r="A125" s="76" t="str">
        <f>DSSP!A124</f>
        <v>VD10</v>
      </c>
      <c r="B125" s="25" t="str">
        <f>DSSP!B124</f>
        <v>Chỉ đơn</v>
      </c>
      <c r="C125" s="21">
        <f>SUM(NhatkyNhap!$C125:C125)-SUM(NhatkyBan!$C125:C125)</f>
        <v>88</v>
      </c>
      <c r="D125" s="21">
        <f>SUM(NhatkyNhap!$C125:D125)-SUM(NhatkyBan!$C125:D125)</f>
        <v>88</v>
      </c>
      <c r="E125" s="21">
        <f>SUM(NhatkyNhap!$C125:E125)-SUM(NhatkyBan!$C125:E125)</f>
        <v>88</v>
      </c>
      <c r="F125" s="21">
        <f>SUM(NhatkyNhap!$C125:F125)-SUM(NhatkyBan!$C125:F125)</f>
        <v>88</v>
      </c>
      <c r="G125" s="21">
        <f>SUM(NhatkyNhap!$C125:G125)-SUM(NhatkyBan!$C125:G125)</f>
        <v>88</v>
      </c>
      <c r="H125" s="21">
        <f>SUM(NhatkyNhap!$C125:H125)-SUM(NhatkyBan!$C125:H125)</f>
        <v>88</v>
      </c>
      <c r="I125" s="21">
        <f>SUM(NhatkyNhap!$C125:I125)-SUM(NhatkyBan!$C125:I125)</f>
        <v>88</v>
      </c>
      <c r="J125" s="21">
        <f>SUM(NhatkyNhap!$C125:J125)-SUM(NhatkyBan!$C125:J125)</f>
        <v>88</v>
      </c>
      <c r="K125" s="21">
        <f>SUM(NhatkyNhap!$C125:K125)-SUM(NhatkyBan!$C125:K125)</f>
        <v>88</v>
      </c>
      <c r="L125" s="21">
        <f>SUM(NhatkyNhap!$C125:L125)-SUM(NhatkyBan!$C125:L125)</f>
        <v>88</v>
      </c>
      <c r="M125" s="21">
        <f>SUM(NhatkyNhap!$C125:M125)-SUM(NhatkyBan!$C125:M125)</f>
        <v>88</v>
      </c>
      <c r="N125" s="21">
        <f>SUM(NhatkyNhap!$C125:N125)-SUM(NhatkyBan!$C125:N125)</f>
        <v>88</v>
      </c>
      <c r="O125" s="21">
        <f>SUM(NhatkyNhap!$C125:O125)-SUM(NhatkyBan!$C125:O125)</f>
        <v>88</v>
      </c>
      <c r="P125" s="21">
        <f>SUM(NhatkyNhap!$C125:P125)-SUM(NhatkyBan!$C125:P125)</f>
        <v>88</v>
      </c>
      <c r="Q125" s="21">
        <f>SUM(NhatkyNhap!$C125:Q125)-SUM(NhatkyBan!$C125:Q125)</f>
        <v>88</v>
      </c>
      <c r="R125" s="21">
        <f>SUM(NhatkyNhap!$C125:R125)-SUM(NhatkyBan!$C125:R125)</f>
        <v>88</v>
      </c>
      <c r="S125" s="21">
        <f>SUM(NhatkyNhap!$C125:S125)-SUM(NhatkyBan!$C125:S125)</f>
        <v>88</v>
      </c>
      <c r="T125" s="21">
        <f>SUM(NhatkyNhap!$C125:T125)-SUM(NhatkyBan!$C125:T125)</f>
        <v>88</v>
      </c>
      <c r="U125" s="21">
        <f>SUM(NhatkyNhap!$C125:U125)-SUM(NhatkyBan!$C125:U125)</f>
        <v>88</v>
      </c>
      <c r="V125" s="21">
        <f>SUM(NhatkyNhap!$C125:V125)-SUM(NhatkyBan!$C125:V125)</f>
        <v>88</v>
      </c>
      <c r="W125" s="21">
        <f>SUM(NhatkyNhap!$C125:W125)-SUM(NhatkyBan!$C125:W125)</f>
        <v>88</v>
      </c>
      <c r="X125" s="21">
        <f>SUM(NhatkyNhap!$C125:X125)-SUM(NhatkyBan!$C125:X125)</f>
        <v>88</v>
      </c>
      <c r="Y125" s="21">
        <f>SUM(NhatkyNhap!$C125:Y125)-SUM(NhatkyBan!$C125:Y125)</f>
        <v>88</v>
      </c>
      <c r="Z125" s="21">
        <f>SUM(NhatkyNhap!$C125:Z125)-SUM(NhatkyBan!$C125:Z125)</f>
        <v>88</v>
      </c>
      <c r="AA125" s="21">
        <f>SUM(NhatkyNhap!$C125:AA125)-SUM(NhatkyBan!$C125:AA125)</f>
        <v>88</v>
      </c>
      <c r="AB125" s="21">
        <f>SUM(NhatkyNhap!$C125:AB125)-SUM(NhatkyBan!$C125:AB125)</f>
        <v>88</v>
      </c>
      <c r="AC125" s="21">
        <f>SUM(NhatkyNhap!$C125:AC125)-SUM(NhatkyBan!$C125:AC125)</f>
        <v>88</v>
      </c>
      <c r="AD125" s="21">
        <f>SUM(NhatkyNhap!$C125:AD125)-SUM(NhatkyBan!$C125:AD125)</f>
        <v>88</v>
      </c>
      <c r="AE125" s="21">
        <f>SUM(NhatkyNhap!$C125:AE125)-SUM(NhatkyBan!$C125:AE125)</f>
        <v>88</v>
      </c>
      <c r="AF125" s="21">
        <f>SUM(NhatkyNhap!$C125:AF125)-SUM(NhatkyBan!$C125:AF125)</f>
        <v>88</v>
      </c>
      <c r="AG125" s="21">
        <f>SUM(NhatkyNhap!$C125:AG125)-SUM(NhatkyBan!$C125:AG125)</f>
        <v>88</v>
      </c>
    </row>
    <row r="126" spans="1:33" ht="12.75" customHeight="1">
      <c r="A126" s="76" t="str">
        <f>DSSP!A125</f>
        <v>VD11</v>
      </c>
      <c r="B126" s="25" t="str">
        <f>DSSP!B125</f>
        <v>Bông túi</v>
      </c>
      <c r="C126" s="21">
        <f>SUM(NhatkyNhap!$C126:C126)-SUM(NhatkyBan!$C126:C126)</f>
        <v>83</v>
      </c>
      <c r="D126" s="21">
        <f>SUM(NhatkyNhap!$C126:D126)-SUM(NhatkyBan!$C126:D126)</f>
        <v>83</v>
      </c>
      <c r="E126" s="21">
        <f>SUM(NhatkyNhap!$C126:E126)-SUM(NhatkyBan!$C126:E126)</f>
        <v>83</v>
      </c>
      <c r="F126" s="21">
        <f>SUM(NhatkyNhap!$C126:F126)-SUM(NhatkyBan!$C126:F126)</f>
        <v>83</v>
      </c>
      <c r="G126" s="21">
        <f>SUM(NhatkyNhap!$C126:G126)-SUM(NhatkyBan!$C126:G126)</f>
        <v>83</v>
      </c>
      <c r="H126" s="21">
        <f>SUM(NhatkyNhap!$C126:H126)-SUM(NhatkyBan!$C126:H126)</f>
        <v>83</v>
      </c>
      <c r="I126" s="21">
        <f>SUM(NhatkyNhap!$C126:I126)-SUM(NhatkyBan!$C126:I126)</f>
        <v>83</v>
      </c>
      <c r="J126" s="21">
        <f>SUM(NhatkyNhap!$C126:J126)-SUM(NhatkyBan!$C126:J126)</f>
        <v>83</v>
      </c>
      <c r="K126" s="21">
        <f>SUM(NhatkyNhap!$C126:K126)-SUM(NhatkyBan!$C126:K126)</f>
        <v>83</v>
      </c>
      <c r="L126" s="21">
        <f>SUM(NhatkyNhap!$C126:L126)-SUM(NhatkyBan!$C126:L126)</f>
        <v>83</v>
      </c>
      <c r="M126" s="21">
        <f>SUM(NhatkyNhap!$C126:M126)-SUM(NhatkyBan!$C126:M126)</f>
        <v>83</v>
      </c>
      <c r="N126" s="21">
        <f>SUM(NhatkyNhap!$C126:N126)-SUM(NhatkyBan!$C126:N126)</f>
        <v>83</v>
      </c>
      <c r="O126" s="21">
        <f>SUM(NhatkyNhap!$C126:O126)-SUM(NhatkyBan!$C126:O126)</f>
        <v>83</v>
      </c>
      <c r="P126" s="21">
        <f>SUM(NhatkyNhap!$C126:P126)-SUM(NhatkyBan!$C126:P126)</f>
        <v>83</v>
      </c>
      <c r="Q126" s="21">
        <f>SUM(NhatkyNhap!$C126:Q126)-SUM(NhatkyBan!$C126:Q126)</f>
        <v>83</v>
      </c>
      <c r="R126" s="21">
        <f>SUM(NhatkyNhap!$C126:R126)-SUM(NhatkyBan!$C126:R126)</f>
        <v>83</v>
      </c>
      <c r="S126" s="21">
        <f>SUM(NhatkyNhap!$C126:S126)-SUM(NhatkyBan!$C126:S126)</f>
        <v>83</v>
      </c>
      <c r="T126" s="21">
        <f>SUM(NhatkyNhap!$C126:T126)-SUM(NhatkyBan!$C126:T126)</f>
        <v>83</v>
      </c>
      <c r="U126" s="21">
        <f>SUM(NhatkyNhap!$C126:U126)-SUM(NhatkyBan!$C126:U126)</f>
        <v>83</v>
      </c>
      <c r="V126" s="21">
        <f>SUM(NhatkyNhap!$C126:V126)-SUM(NhatkyBan!$C126:V126)</f>
        <v>83</v>
      </c>
      <c r="W126" s="21">
        <f>SUM(NhatkyNhap!$C126:W126)-SUM(NhatkyBan!$C126:W126)</f>
        <v>83</v>
      </c>
      <c r="X126" s="21">
        <f>SUM(NhatkyNhap!$C126:X126)-SUM(NhatkyBan!$C126:X126)</f>
        <v>83</v>
      </c>
      <c r="Y126" s="21">
        <f>SUM(NhatkyNhap!$C126:Y126)-SUM(NhatkyBan!$C126:Y126)</f>
        <v>83</v>
      </c>
      <c r="Z126" s="21">
        <f>SUM(NhatkyNhap!$C126:Z126)-SUM(NhatkyBan!$C126:Z126)</f>
        <v>83</v>
      </c>
      <c r="AA126" s="21">
        <f>SUM(NhatkyNhap!$C126:AA126)-SUM(NhatkyBan!$C126:AA126)</f>
        <v>83</v>
      </c>
      <c r="AB126" s="21">
        <f>SUM(NhatkyNhap!$C126:AB126)-SUM(NhatkyBan!$C126:AB126)</f>
        <v>83</v>
      </c>
      <c r="AC126" s="21">
        <f>SUM(NhatkyNhap!$C126:AC126)-SUM(NhatkyBan!$C126:AC126)</f>
        <v>83</v>
      </c>
      <c r="AD126" s="21">
        <f>SUM(NhatkyNhap!$C126:AD126)-SUM(NhatkyBan!$C126:AD126)</f>
        <v>83</v>
      </c>
      <c r="AE126" s="21">
        <f>SUM(NhatkyNhap!$C126:AE126)-SUM(NhatkyBan!$C126:AE126)</f>
        <v>83</v>
      </c>
      <c r="AF126" s="21">
        <f>SUM(NhatkyNhap!$C126:AF126)-SUM(NhatkyBan!$C126:AF126)</f>
        <v>83</v>
      </c>
      <c r="AG126" s="21">
        <f>SUM(NhatkyNhap!$C126:AG126)-SUM(NhatkyBan!$C126:AG126)</f>
        <v>83</v>
      </c>
    </row>
    <row r="127" spans="1:33" ht="12.75" customHeight="1">
      <c r="A127" s="76" t="str">
        <f>DSSP!A126</f>
        <v>VD12</v>
      </c>
      <c r="B127" s="25" t="str">
        <f>DSSP!B126</f>
        <v>Bông nửa cân</v>
      </c>
      <c r="C127" s="21">
        <f>SUM(NhatkyNhap!$C127:C127)-SUM(NhatkyBan!$C127:C127)</f>
        <v>0</v>
      </c>
      <c r="D127" s="21">
        <f>SUM(NhatkyNhap!$C127:D127)-SUM(NhatkyBan!$C127:D127)</f>
        <v>0</v>
      </c>
      <c r="E127" s="21">
        <f>SUM(NhatkyNhap!$C127:E127)-SUM(NhatkyBan!$C127:E127)</f>
        <v>0</v>
      </c>
      <c r="F127" s="21">
        <f>SUM(NhatkyNhap!$C127:F127)-SUM(NhatkyBan!$C127:F127)</f>
        <v>0</v>
      </c>
      <c r="G127" s="21">
        <f>SUM(NhatkyNhap!$C127:G127)-SUM(NhatkyBan!$C127:G127)</f>
        <v>0</v>
      </c>
      <c r="H127" s="21">
        <f>SUM(NhatkyNhap!$C127:H127)-SUM(NhatkyBan!$C127:H127)</f>
        <v>0</v>
      </c>
      <c r="I127" s="21">
        <f>SUM(NhatkyNhap!$C127:I127)-SUM(NhatkyBan!$C127:I127)</f>
        <v>0</v>
      </c>
      <c r="J127" s="21">
        <f>SUM(NhatkyNhap!$C127:J127)-SUM(NhatkyBan!$C127:J127)</f>
        <v>0</v>
      </c>
      <c r="K127" s="21">
        <f>SUM(NhatkyNhap!$C127:K127)-SUM(NhatkyBan!$C127:K127)</f>
        <v>0</v>
      </c>
      <c r="L127" s="21">
        <f>SUM(NhatkyNhap!$C127:L127)-SUM(NhatkyBan!$C127:L127)</f>
        <v>0</v>
      </c>
      <c r="M127" s="21">
        <f>SUM(NhatkyNhap!$C127:M127)-SUM(NhatkyBan!$C127:M127)</f>
        <v>0</v>
      </c>
      <c r="N127" s="21">
        <f>SUM(NhatkyNhap!$C127:N127)-SUM(NhatkyBan!$C127:N127)</f>
        <v>0</v>
      </c>
      <c r="O127" s="21">
        <f>SUM(NhatkyNhap!$C127:O127)-SUM(NhatkyBan!$C127:O127)</f>
        <v>0</v>
      </c>
      <c r="P127" s="21">
        <f>SUM(NhatkyNhap!$C127:P127)-SUM(NhatkyBan!$C127:P127)</f>
        <v>0</v>
      </c>
      <c r="Q127" s="21">
        <f>SUM(NhatkyNhap!$C127:Q127)-SUM(NhatkyBan!$C127:Q127)</f>
        <v>0</v>
      </c>
      <c r="R127" s="21">
        <f>SUM(NhatkyNhap!$C127:R127)-SUM(NhatkyBan!$C127:R127)</f>
        <v>0</v>
      </c>
      <c r="S127" s="21">
        <f>SUM(NhatkyNhap!$C127:S127)-SUM(NhatkyBan!$C127:S127)</f>
        <v>0</v>
      </c>
      <c r="T127" s="21">
        <f>SUM(NhatkyNhap!$C127:T127)-SUM(NhatkyBan!$C127:T127)</f>
        <v>0</v>
      </c>
      <c r="U127" s="21">
        <f>SUM(NhatkyNhap!$C127:U127)-SUM(NhatkyBan!$C127:U127)</f>
        <v>0</v>
      </c>
      <c r="V127" s="21">
        <f>SUM(NhatkyNhap!$C127:V127)-SUM(NhatkyBan!$C127:V127)</f>
        <v>0</v>
      </c>
      <c r="W127" s="21">
        <f>SUM(NhatkyNhap!$C127:W127)-SUM(NhatkyBan!$C127:W127)</f>
        <v>0</v>
      </c>
      <c r="X127" s="21">
        <f>SUM(NhatkyNhap!$C127:X127)-SUM(NhatkyBan!$C127:X127)</f>
        <v>0</v>
      </c>
      <c r="Y127" s="21">
        <f>SUM(NhatkyNhap!$C127:Y127)-SUM(NhatkyBan!$C127:Y127)</f>
        <v>0</v>
      </c>
      <c r="Z127" s="21">
        <f>SUM(NhatkyNhap!$C127:Z127)-SUM(NhatkyBan!$C127:Z127)</f>
        <v>0</v>
      </c>
      <c r="AA127" s="21">
        <f>SUM(NhatkyNhap!$C127:AA127)-SUM(NhatkyBan!$C127:AA127)</f>
        <v>0</v>
      </c>
      <c r="AB127" s="21">
        <f>SUM(NhatkyNhap!$C127:AB127)-SUM(NhatkyBan!$C127:AB127)</f>
        <v>0</v>
      </c>
      <c r="AC127" s="21">
        <f>SUM(NhatkyNhap!$C127:AC127)-SUM(NhatkyBan!$C127:AC127)</f>
        <v>0</v>
      </c>
      <c r="AD127" s="21">
        <f>SUM(NhatkyNhap!$C127:AD127)-SUM(NhatkyBan!$C127:AD127)</f>
        <v>0</v>
      </c>
      <c r="AE127" s="21">
        <f>SUM(NhatkyNhap!$C127:AE127)-SUM(NhatkyBan!$C127:AE127)</f>
        <v>0</v>
      </c>
      <c r="AF127" s="21">
        <f>SUM(NhatkyNhap!$C127:AF127)-SUM(NhatkyBan!$C127:AF127)</f>
        <v>0</v>
      </c>
      <c r="AG127" s="21">
        <f>SUM(NhatkyNhap!$C127:AG127)-SUM(NhatkyBan!$C127:AG127)</f>
        <v>0</v>
      </c>
    </row>
    <row r="128" spans="1:33" ht="12.75" customHeight="1">
      <c r="A128" s="76" t="str">
        <f>DSSP!A127</f>
        <v>VD13</v>
      </c>
      <c r="B128" s="25" t="str">
        <f>DSSP!B127</f>
        <v>Bông cân</v>
      </c>
      <c r="C128" s="21">
        <f>SUM(NhatkyNhap!$C128:C128)-SUM(NhatkyBan!$C128:C128)</f>
        <v>-28</v>
      </c>
      <c r="D128" s="21">
        <f>SUM(NhatkyNhap!$C128:D128)-SUM(NhatkyBan!$C128:D128)</f>
        <v>-28</v>
      </c>
      <c r="E128" s="21">
        <f>SUM(NhatkyNhap!$C128:E128)-SUM(NhatkyBan!$C128:E128)</f>
        <v>-28</v>
      </c>
      <c r="F128" s="21">
        <f>SUM(NhatkyNhap!$C128:F128)-SUM(NhatkyBan!$C128:F128)</f>
        <v>-28</v>
      </c>
      <c r="G128" s="21">
        <f>SUM(NhatkyNhap!$C128:G128)-SUM(NhatkyBan!$C128:G128)</f>
        <v>-28</v>
      </c>
      <c r="H128" s="21">
        <f>SUM(NhatkyNhap!$C128:H128)-SUM(NhatkyBan!$C128:H128)</f>
        <v>-28</v>
      </c>
      <c r="I128" s="21">
        <f>SUM(NhatkyNhap!$C128:I128)-SUM(NhatkyBan!$C128:I128)</f>
        <v>-28</v>
      </c>
      <c r="J128" s="21">
        <f>SUM(NhatkyNhap!$C128:J128)-SUM(NhatkyBan!$C128:J128)</f>
        <v>-28</v>
      </c>
      <c r="K128" s="21">
        <f>SUM(NhatkyNhap!$C128:K128)-SUM(NhatkyBan!$C128:K128)</f>
        <v>-28</v>
      </c>
      <c r="L128" s="21">
        <f>SUM(NhatkyNhap!$C128:L128)-SUM(NhatkyBan!$C128:L128)</f>
        <v>-28</v>
      </c>
      <c r="M128" s="21">
        <f>SUM(NhatkyNhap!$C128:M128)-SUM(NhatkyBan!$C128:M128)</f>
        <v>-28</v>
      </c>
      <c r="N128" s="21">
        <f>SUM(NhatkyNhap!$C128:N128)-SUM(NhatkyBan!$C128:N128)</f>
        <v>-28</v>
      </c>
      <c r="O128" s="21">
        <f>SUM(NhatkyNhap!$C128:O128)-SUM(NhatkyBan!$C128:O128)</f>
        <v>-28</v>
      </c>
      <c r="P128" s="21">
        <f>SUM(NhatkyNhap!$C128:P128)-SUM(NhatkyBan!$C128:P128)</f>
        <v>-28</v>
      </c>
      <c r="Q128" s="21">
        <f>SUM(NhatkyNhap!$C128:Q128)-SUM(NhatkyBan!$C128:Q128)</f>
        <v>-28</v>
      </c>
      <c r="R128" s="21">
        <f>SUM(NhatkyNhap!$C128:R128)-SUM(NhatkyBan!$C128:R128)</f>
        <v>-28</v>
      </c>
      <c r="S128" s="21">
        <f>SUM(NhatkyNhap!$C128:S128)-SUM(NhatkyBan!$C128:S128)</f>
        <v>-28</v>
      </c>
      <c r="T128" s="21">
        <f>SUM(NhatkyNhap!$C128:T128)-SUM(NhatkyBan!$C128:T128)</f>
        <v>-28</v>
      </c>
      <c r="U128" s="21">
        <f>SUM(NhatkyNhap!$C128:U128)-SUM(NhatkyBan!$C128:U128)</f>
        <v>-28</v>
      </c>
      <c r="V128" s="21">
        <f>SUM(NhatkyNhap!$C128:V128)-SUM(NhatkyBan!$C128:V128)</f>
        <v>-28</v>
      </c>
      <c r="W128" s="21">
        <f>SUM(NhatkyNhap!$C128:W128)-SUM(NhatkyBan!$C128:W128)</f>
        <v>-28</v>
      </c>
      <c r="X128" s="21">
        <f>SUM(NhatkyNhap!$C128:X128)-SUM(NhatkyBan!$C128:X128)</f>
        <v>-28</v>
      </c>
      <c r="Y128" s="21">
        <f>SUM(NhatkyNhap!$C128:Y128)-SUM(NhatkyBan!$C128:Y128)</f>
        <v>-28</v>
      </c>
      <c r="Z128" s="21">
        <f>SUM(NhatkyNhap!$C128:Z128)-SUM(NhatkyBan!$C128:Z128)</f>
        <v>-28</v>
      </c>
      <c r="AA128" s="21">
        <f>SUM(NhatkyNhap!$C128:AA128)-SUM(NhatkyBan!$C128:AA128)</f>
        <v>-28</v>
      </c>
      <c r="AB128" s="21">
        <f>SUM(NhatkyNhap!$C128:AB128)-SUM(NhatkyBan!$C128:AB128)</f>
        <v>-28</v>
      </c>
      <c r="AC128" s="21">
        <f>SUM(NhatkyNhap!$C128:AC128)-SUM(NhatkyBan!$C128:AC128)</f>
        <v>-28</v>
      </c>
      <c r="AD128" s="21">
        <f>SUM(NhatkyNhap!$C128:AD128)-SUM(NhatkyBan!$C128:AD128)</f>
        <v>-28</v>
      </c>
      <c r="AE128" s="21">
        <f>SUM(NhatkyNhap!$C128:AE128)-SUM(NhatkyBan!$C128:AE128)</f>
        <v>-28</v>
      </c>
      <c r="AF128" s="21">
        <f>SUM(NhatkyNhap!$C128:AF128)-SUM(NhatkyBan!$C128:AF128)</f>
        <v>-28</v>
      </c>
      <c r="AG128" s="21">
        <f>SUM(NhatkyNhap!$C128:AG128)-SUM(NhatkyBan!$C128:AG128)</f>
        <v>-28</v>
      </c>
    </row>
    <row r="129" spans="1:33" ht="12.75" customHeight="1">
      <c r="A129" s="76" t="str">
        <f>DSSP!A128</f>
        <v>VD14</v>
      </c>
      <c r="B129" s="25" t="str">
        <f>DSSP!B128</f>
        <v>Mắt nhựa</v>
      </c>
      <c r="C129" s="21">
        <f>SUM(NhatkyNhap!$C129:C129)-SUM(NhatkyBan!$C129:C129)</f>
        <v>0</v>
      </c>
      <c r="D129" s="21">
        <f>SUM(NhatkyNhap!$C129:D129)-SUM(NhatkyBan!$C129:D129)</f>
        <v>0</v>
      </c>
      <c r="E129" s="21">
        <f>SUM(NhatkyNhap!$C129:E129)-SUM(NhatkyBan!$C129:E129)</f>
        <v>0</v>
      </c>
      <c r="F129" s="21">
        <f>SUM(NhatkyNhap!$C129:F129)-SUM(NhatkyBan!$C129:F129)</f>
        <v>0</v>
      </c>
      <c r="G129" s="21">
        <f>SUM(NhatkyNhap!$C129:G129)-SUM(NhatkyBan!$C129:G129)</f>
        <v>0</v>
      </c>
      <c r="H129" s="21">
        <f>SUM(NhatkyNhap!$C129:H129)-SUM(NhatkyBan!$C129:H129)</f>
        <v>0</v>
      </c>
      <c r="I129" s="21">
        <f>SUM(NhatkyNhap!$C129:I129)-SUM(NhatkyBan!$C129:I129)</f>
        <v>0</v>
      </c>
      <c r="J129" s="21">
        <f>SUM(NhatkyNhap!$C129:J129)-SUM(NhatkyBan!$C129:J129)</f>
        <v>0</v>
      </c>
      <c r="K129" s="21">
        <f>SUM(NhatkyNhap!$C129:K129)-SUM(NhatkyBan!$C129:K129)</f>
        <v>0</v>
      </c>
      <c r="L129" s="21">
        <f>SUM(NhatkyNhap!$C129:L129)-SUM(NhatkyBan!$C129:L129)</f>
        <v>0</v>
      </c>
      <c r="M129" s="21">
        <f>SUM(NhatkyNhap!$C129:M129)-SUM(NhatkyBan!$C129:M129)</f>
        <v>0</v>
      </c>
      <c r="N129" s="21">
        <f>SUM(NhatkyNhap!$C129:N129)-SUM(NhatkyBan!$C129:N129)</f>
        <v>0</v>
      </c>
      <c r="O129" s="21">
        <f>SUM(NhatkyNhap!$C129:O129)-SUM(NhatkyBan!$C129:O129)</f>
        <v>0</v>
      </c>
      <c r="P129" s="21">
        <f>SUM(NhatkyNhap!$C129:P129)-SUM(NhatkyBan!$C129:P129)</f>
        <v>0</v>
      </c>
      <c r="Q129" s="21">
        <f>SUM(NhatkyNhap!$C129:Q129)-SUM(NhatkyBan!$C129:Q129)</f>
        <v>0</v>
      </c>
      <c r="R129" s="21">
        <f>SUM(NhatkyNhap!$C129:R129)-SUM(NhatkyBan!$C129:R129)</f>
        <v>0</v>
      </c>
      <c r="S129" s="21">
        <f>SUM(NhatkyNhap!$C129:S129)-SUM(NhatkyBan!$C129:S129)</f>
        <v>0</v>
      </c>
      <c r="T129" s="21">
        <f>SUM(NhatkyNhap!$C129:T129)-SUM(NhatkyBan!$C129:T129)</f>
        <v>0</v>
      </c>
      <c r="U129" s="21">
        <f>SUM(NhatkyNhap!$C129:U129)-SUM(NhatkyBan!$C129:U129)</f>
        <v>0</v>
      </c>
      <c r="V129" s="21">
        <f>SUM(NhatkyNhap!$C129:V129)-SUM(NhatkyBan!$C129:V129)</f>
        <v>0</v>
      </c>
      <c r="W129" s="21">
        <f>SUM(NhatkyNhap!$C129:W129)-SUM(NhatkyBan!$C129:W129)</f>
        <v>0</v>
      </c>
      <c r="X129" s="21">
        <f>SUM(NhatkyNhap!$C129:X129)-SUM(NhatkyBan!$C129:X129)</f>
        <v>0</v>
      </c>
      <c r="Y129" s="21">
        <f>SUM(NhatkyNhap!$C129:Y129)-SUM(NhatkyBan!$C129:Y129)</f>
        <v>0</v>
      </c>
      <c r="Z129" s="21">
        <f>SUM(NhatkyNhap!$C129:Z129)-SUM(NhatkyBan!$C129:Z129)</f>
        <v>0</v>
      </c>
      <c r="AA129" s="21">
        <f>SUM(NhatkyNhap!$C129:AA129)-SUM(NhatkyBan!$C129:AA129)</f>
        <v>0</v>
      </c>
      <c r="AB129" s="21">
        <f>SUM(NhatkyNhap!$C129:AB129)-SUM(NhatkyBan!$C129:AB129)</f>
        <v>0</v>
      </c>
      <c r="AC129" s="21">
        <f>SUM(NhatkyNhap!$C129:AC129)-SUM(NhatkyBan!$C129:AC129)</f>
        <v>0</v>
      </c>
      <c r="AD129" s="21">
        <f>SUM(NhatkyNhap!$C129:AD129)-SUM(NhatkyBan!$C129:AD129)</f>
        <v>0</v>
      </c>
      <c r="AE129" s="21">
        <f>SUM(NhatkyNhap!$C129:AE129)-SUM(NhatkyBan!$C129:AE129)</f>
        <v>0</v>
      </c>
      <c r="AF129" s="21">
        <f>SUM(NhatkyNhap!$C129:AF129)-SUM(NhatkyBan!$C129:AF129)</f>
        <v>0</v>
      </c>
      <c r="AG129" s="21">
        <f>SUM(NhatkyNhap!$C129:AG129)-SUM(NhatkyBan!$C129:AG129)</f>
        <v>0</v>
      </c>
    </row>
    <row r="130" spans="1:33" ht="12.75" customHeight="1">
      <c r="A130" s="76" t="str">
        <f>DSSP!A129</f>
        <v>VD15</v>
      </c>
      <c r="B130" s="25" t="str">
        <f>DSSP!B129</f>
        <v>Hoa tai móc ĐÔI</v>
      </c>
      <c r="C130" s="21">
        <f>SUM(NhatkyNhap!$C130:C130)-SUM(NhatkyBan!$C130:C130)</f>
        <v>0</v>
      </c>
      <c r="D130" s="21">
        <f>SUM(NhatkyNhap!$C130:D130)-SUM(NhatkyBan!$C130:D130)</f>
        <v>0</v>
      </c>
      <c r="E130" s="21">
        <f>SUM(NhatkyNhap!$C130:E130)-SUM(NhatkyBan!$C130:E130)</f>
        <v>0</v>
      </c>
      <c r="F130" s="21">
        <f>SUM(NhatkyNhap!$C130:F130)-SUM(NhatkyBan!$C130:F130)</f>
        <v>0</v>
      </c>
      <c r="G130" s="21">
        <f>SUM(NhatkyNhap!$C130:G130)-SUM(NhatkyBan!$C130:G130)</f>
        <v>0</v>
      </c>
      <c r="H130" s="21">
        <f>SUM(NhatkyNhap!$C130:H130)-SUM(NhatkyBan!$C130:H130)</f>
        <v>0</v>
      </c>
      <c r="I130" s="21">
        <f>SUM(NhatkyNhap!$C130:I130)-SUM(NhatkyBan!$C130:I130)</f>
        <v>0</v>
      </c>
      <c r="J130" s="21">
        <f>SUM(NhatkyNhap!$C130:J130)-SUM(NhatkyBan!$C130:J130)</f>
        <v>0</v>
      </c>
      <c r="K130" s="21">
        <f>SUM(NhatkyNhap!$C130:K130)-SUM(NhatkyBan!$C130:K130)</f>
        <v>0</v>
      </c>
      <c r="L130" s="21">
        <f>SUM(NhatkyNhap!$C130:L130)-SUM(NhatkyBan!$C130:L130)</f>
        <v>0</v>
      </c>
      <c r="M130" s="21">
        <f>SUM(NhatkyNhap!$C130:M130)-SUM(NhatkyBan!$C130:M130)</f>
        <v>0</v>
      </c>
      <c r="N130" s="21">
        <f>SUM(NhatkyNhap!$C130:N130)-SUM(NhatkyBan!$C130:N130)</f>
        <v>0</v>
      </c>
      <c r="O130" s="21">
        <f>SUM(NhatkyNhap!$C130:O130)-SUM(NhatkyBan!$C130:O130)</f>
        <v>0</v>
      </c>
      <c r="P130" s="21">
        <f>SUM(NhatkyNhap!$C130:P130)-SUM(NhatkyBan!$C130:P130)</f>
        <v>0</v>
      </c>
      <c r="Q130" s="21">
        <f>SUM(NhatkyNhap!$C130:Q130)-SUM(NhatkyBan!$C130:Q130)</f>
        <v>0</v>
      </c>
      <c r="R130" s="21">
        <f>SUM(NhatkyNhap!$C130:R130)-SUM(NhatkyBan!$C130:R130)</f>
        <v>0</v>
      </c>
      <c r="S130" s="21">
        <f>SUM(NhatkyNhap!$C130:S130)-SUM(NhatkyBan!$C130:S130)</f>
        <v>0</v>
      </c>
      <c r="T130" s="21">
        <f>SUM(NhatkyNhap!$C130:T130)-SUM(NhatkyBan!$C130:T130)</f>
        <v>0</v>
      </c>
      <c r="U130" s="21">
        <f>SUM(NhatkyNhap!$C130:U130)-SUM(NhatkyBan!$C130:U130)</f>
        <v>0</v>
      </c>
      <c r="V130" s="21">
        <f>SUM(NhatkyNhap!$C130:V130)-SUM(NhatkyBan!$C130:V130)</f>
        <v>0</v>
      </c>
      <c r="W130" s="21">
        <f>SUM(NhatkyNhap!$C130:W130)-SUM(NhatkyBan!$C130:W130)</f>
        <v>0</v>
      </c>
      <c r="X130" s="21">
        <f>SUM(NhatkyNhap!$C130:X130)-SUM(NhatkyBan!$C130:X130)</f>
        <v>0</v>
      </c>
      <c r="Y130" s="21">
        <f>SUM(NhatkyNhap!$C130:Y130)-SUM(NhatkyBan!$C130:Y130)</f>
        <v>0</v>
      </c>
      <c r="Z130" s="21">
        <f>SUM(NhatkyNhap!$C130:Z130)-SUM(NhatkyBan!$C130:Z130)</f>
        <v>0</v>
      </c>
      <c r="AA130" s="21">
        <f>SUM(NhatkyNhap!$C130:AA130)-SUM(NhatkyBan!$C130:AA130)</f>
        <v>0</v>
      </c>
      <c r="AB130" s="21">
        <f>SUM(NhatkyNhap!$C130:AB130)-SUM(NhatkyBan!$C130:AB130)</f>
        <v>0</v>
      </c>
      <c r="AC130" s="21">
        <f>SUM(NhatkyNhap!$C130:AC130)-SUM(NhatkyBan!$C130:AC130)</f>
        <v>0</v>
      </c>
      <c r="AD130" s="21">
        <f>SUM(NhatkyNhap!$C130:AD130)-SUM(NhatkyBan!$C130:AD130)</f>
        <v>0</v>
      </c>
      <c r="AE130" s="21">
        <f>SUM(NhatkyNhap!$C130:AE130)-SUM(NhatkyBan!$C130:AE130)</f>
        <v>0</v>
      </c>
      <c r="AF130" s="21">
        <f>SUM(NhatkyNhap!$C130:AF130)-SUM(NhatkyBan!$C130:AF130)</f>
        <v>0</v>
      </c>
      <c r="AG130" s="21">
        <f>SUM(NhatkyNhap!$C130:AG130)-SUM(NhatkyBan!$C130:AG130)</f>
        <v>0</v>
      </c>
    </row>
    <row r="131" spans="1:33" ht="12.75" customHeight="1">
      <c r="A131" s="76" t="str">
        <f>DSSP!A130</f>
        <v>VD16</v>
      </c>
      <c r="B131" s="25" t="str">
        <f>DSSP!B130</f>
        <v>Đế huy hiệu</v>
      </c>
      <c r="C131" s="21">
        <f>SUM(NhatkyNhap!$C131:C131)-SUM(NhatkyBan!$C131:C131)</f>
        <v>0</v>
      </c>
      <c r="D131" s="21">
        <f>SUM(NhatkyNhap!$C131:D131)-SUM(NhatkyBan!$C131:D131)</f>
        <v>0</v>
      </c>
      <c r="E131" s="21">
        <f>SUM(NhatkyNhap!$C131:E131)-SUM(NhatkyBan!$C131:E131)</f>
        <v>0</v>
      </c>
      <c r="F131" s="21">
        <f>SUM(NhatkyNhap!$C131:F131)-SUM(NhatkyBan!$C131:F131)</f>
        <v>0</v>
      </c>
      <c r="G131" s="21">
        <f>SUM(NhatkyNhap!$C131:G131)-SUM(NhatkyBan!$C131:G131)</f>
        <v>0</v>
      </c>
      <c r="H131" s="21">
        <f>SUM(NhatkyNhap!$C131:H131)-SUM(NhatkyBan!$C131:H131)</f>
        <v>0</v>
      </c>
      <c r="I131" s="21">
        <f>SUM(NhatkyNhap!$C131:I131)-SUM(NhatkyBan!$C131:I131)</f>
        <v>0</v>
      </c>
      <c r="J131" s="21">
        <f>SUM(NhatkyNhap!$C131:J131)-SUM(NhatkyBan!$C131:J131)</f>
        <v>0</v>
      </c>
      <c r="K131" s="21">
        <f>SUM(NhatkyNhap!$C131:K131)-SUM(NhatkyBan!$C131:K131)</f>
        <v>0</v>
      </c>
      <c r="L131" s="21">
        <f>SUM(NhatkyNhap!$C131:L131)-SUM(NhatkyBan!$C131:L131)</f>
        <v>0</v>
      </c>
      <c r="M131" s="21">
        <f>SUM(NhatkyNhap!$C131:M131)-SUM(NhatkyBan!$C131:M131)</f>
        <v>0</v>
      </c>
      <c r="N131" s="21">
        <f>SUM(NhatkyNhap!$C131:N131)-SUM(NhatkyBan!$C131:N131)</f>
        <v>0</v>
      </c>
      <c r="O131" s="21">
        <f>SUM(NhatkyNhap!$C131:O131)-SUM(NhatkyBan!$C131:O131)</f>
        <v>0</v>
      </c>
      <c r="P131" s="21">
        <f>SUM(NhatkyNhap!$C131:P131)-SUM(NhatkyBan!$C131:P131)</f>
        <v>0</v>
      </c>
      <c r="Q131" s="21">
        <f>SUM(NhatkyNhap!$C131:Q131)-SUM(NhatkyBan!$C131:Q131)</f>
        <v>0</v>
      </c>
      <c r="R131" s="21">
        <f>SUM(NhatkyNhap!$C131:R131)-SUM(NhatkyBan!$C131:R131)</f>
        <v>0</v>
      </c>
      <c r="S131" s="21">
        <f>SUM(NhatkyNhap!$C131:S131)-SUM(NhatkyBan!$C131:S131)</f>
        <v>0</v>
      </c>
      <c r="T131" s="21">
        <f>SUM(NhatkyNhap!$C131:T131)-SUM(NhatkyBan!$C131:T131)</f>
        <v>0</v>
      </c>
      <c r="U131" s="21">
        <f>SUM(NhatkyNhap!$C131:U131)-SUM(NhatkyBan!$C131:U131)</f>
        <v>0</v>
      </c>
      <c r="V131" s="21">
        <f>SUM(NhatkyNhap!$C131:V131)-SUM(NhatkyBan!$C131:V131)</f>
        <v>0</v>
      </c>
      <c r="W131" s="21">
        <f>SUM(NhatkyNhap!$C131:W131)-SUM(NhatkyBan!$C131:W131)</f>
        <v>0</v>
      </c>
      <c r="X131" s="21">
        <f>SUM(NhatkyNhap!$C131:X131)-SUM(NhatkyBan!$C131:X131)</f>
        <v>0</v>
      </c>
      <c r="Y131" s="21">
        <f>SUM(NhatkyNhap!$C131:Y131)-SUM(NhatkyBan!$C131:Y131)</f>
        <v>0</v>
      </c>
      <c r="Z131" s="21">
        <f>SUM(NhatkyNhap!$C131:Z131)-SUM(NhatkyBan!$C131:Z131)</f>
        <v>0</v>
      </c>
      <c r="AA131" s="21">
        <f>SUM(NhatkyNhap!$C131:AA131)-SUM(NhatkyBan!$C131:AA131)</f>
        <v>0</v>
      </c>
      <c r="AB131" s="21">
        <f>SUM(NhatkyNhap!$C131:AB131)-SUM(NhatkyBan!$C131:AB131)</f>
        <v>0</v>
      </c>
      <c r="AC131" s="21">
        <f>SUM(NhatkyNhap!$C131:AC131)-SUM(NhatkyBan!$C131:AC131)</f>
        <v>0</v>
      </c>
      <c r="AD131" s="21">
        <f>SUM(NhatkyNhap!$C131:AD131)-SUM(NhatkyBan!$C131:AD131)</f>
        <v>0</v>
      </c>
      <c r="AE131" s="21">
        <f>SUM(NhatkyNhap!$C131:AE131)-SUM(NhatkyBan!$C131:AE131)</f>
        <v>0</v>
      </c>
      <c r="AF131" s="21">
        <f>SUM(NhatkyNhap!$C131:AF131)-SUM(NhatkyBan!$C131:AF131)</f>
        <v>0</v>
      </c>
      <c r="AG131" s="21">
        <f>SUM(NhatkyNhap!$C131:AG131)-SUM(NhatkyBan!$C131:AG131)</f>
        <v>0</v>
      </c>
    </row>
    <row r="132" spans="1:33" ht="12.75" customHeight="1">
      <c r="A132" s="76" t="str">
        <f>DSSP!A131</f>
        <v>DS01</v>
      </c>
      <c r="B132" s="25" t="str">
        <f>DSSP!B131</f>
        <v>Đất sét Malay</v>
      </c>
      <c r="C132" s="21">
        <f>SUM(NhatkyNhap!$C132:C132)-SUM(NhatkyBan!$C132:C132)</f>
        <v>3</v>
      </c>
      <c r="D132" s="21">
        <f>SUM(NhatkyNhap!$C132:D132)-SUM(NhatkyBan!$C132:D132)</f>
        <v>3</v>
      </c>
      <c r="E132" s="21">
        <f>SUM(NhatkyNhap!$C132:E132)-SUM(NhatkyBan!$C132:E132)</f>
        <v>3</v>
      </c>
      <c r="F132" s="21">
        <f>SUM(NhatkyNhap!$C132:F132)-SUM(NhatkyBan!$C132:F132)</f>
        <v>3</v>
      </c>
      <c r="G132" s="21">
        <f>SUM(NhatkyNhap!$C132:G132)-SUM(NhatkyBan!$C132:G132)</f>
        <v>3</v>
      </c>
      <c r="H132" s="21">
        <f>SUM(NhatkyNhap!$C132:H132)-SUM(NhatkyBan!$C132:H132)</f>
        <v>3</v>
      </c>
      <c r="I132" s="21">
        <f>SUM(NhatkyNhap!$C132:I132)-SUM(NhatkyBan!$C132:I132)</f>
        <v>3</v>
      </c>
      <c r="J132" s="21">
        <f>SUM(NhatkyNhap!$C132:J132)-SUM(NhatkyBan!$C132:J132)</f>
        <v>3</v>
      </c>
      <c r="K132" s="21">
        <f>SUM(NhatkyNhap!$C132:K132)-SUM(NhatkyBan!$C132:K132)</f>
        <v>3</v>
      </c>
      <c r="L132" s="21">
        <f>SUM(NhatkyNhap!$C132:L132)-SUM(NhatkyBan!$C132:L132)</f>
        <v>3</v>
      </c>
      <c r="M132" s="21">
        <f>SUM(NhatkyNhap!$C132:M132)-SUM(NhatkyBan!$C132:M132)</f>
        <v>3</v>
      </c>
      <c r="N132" s="21">
        <f>SUM(NhatkyNhap!$C132:N132)-SUM(NhatkyBan!$C132:N132)</f>
        <v>3</v>
      </c>
      <c r="O132" s="21">
        <f>SUM(NhatkyNhap!$C132:O132)-SUM(NhatkyBan!$C132:O132)</f>
        <v>3</v>
      </c>
      <c r="P132" s="21">
        <f>SUM(NhatkyNhap!$C132:P132)-SUM(NhatkyBan!$C132:P132)</f>
        <v>3</v>
      </c>
      <c r="Q132" s="21">
        <f>SUM(NhatkyNhap!$C132:Q132)-SUM(NhatkyBan!$C132:Q132)</f>
        <v>3</v>
      </c>
      <c r="R132" s="21">
        <f>SUM(NhatkyNhap!$C132:R132)-SUM(NhatkyBan!$C132:R132)</f>
        <v>3</v>
      </c>
      <c r="S132" s="21">
        <f>SUM(NhatkyNhap!$C132:S132)-SUM(NhatkyBan!$C132:S132)</f>
        <v>3</v>
      </c>
      <c r="T132" s="21">
        <f>SUM(NhatkyNhap!$C132:T132)-SUM(NhatkyBan!$C132:T132)</f>
        <v>3</v>
      </c>
      <c r="U132" s="21">
        <f>SUM(NhatkyNhap!$C132:U132)-SUM(NhatkyBan!$C132:U132)</f>
        <v>3</v>
      </c>
      <c r="V132" s="21">
        <f>SUM(NhatkyNhap!$C132:V132)-SUM(NhatkyBan!$C132:V132)</f>
        <v>3</v>
      </c>
      <c r="W132" s="21">
        <f>SUM(NhatkyNhap!$C132:W132)-SUM(NhatkyBan!$C132:W132)</f>
        <v>3</v>
      </c>
      <c r="X132" s="21">
        <f>SUM(NhatkyNhap!$C132:X132)-SUM(NhatkyBan!$C132:X132)</f>
        <v>3</v>
      </c>
      <c r="Y132" s="21">
        <f>SUM(NhatkyNhap!$C132:Y132)-SUM(NhatkyBan!$C132:Y132)</f>
        <v>3</v>
      </c>
      <c r="Z132" s="21">
        <f>SUM(NhatkyNhap!$C132:Z132)-SUM(NhatkyBan!$C132:Z132)</f>
        <v>3</v>
      </c>
      <c r="AA132" s="21">
        <f>SUM(NhatkyNhap!$C132:AA132)-SUM(NhatkyBan!$C132:AA132)</f>
        <v>3</v>
      </c>
      <c r="AB132" s="21">
        <f>SUM(NhatkyNhap!$C132:AB132)-SUM(NhatkyBan!$C132:AB132)</f>
        <v>3</v>
      </c>
      <c r="AC132" s="21">
        <f>SUM(NhatkyNhap!$C132:AC132)-SUM(NhatkyBan!$C132:AC132)</f>
        <v>3</v>
      </c>
      <c r="AD132" s="21">
        <f>SUM(NhatkyNhap!$C132:AD132)-SUM(NhatkyBan!$C132:AD132)</f>
        <v>3</v>
      </c>
      <c r="AE132" s="21">
        <f>SUM(NhatkyNhap!$C132:AE132)-SUM(NhatkyBan!$C132:AE132)</f>
        <v>3</v>
      </c>
      <c r="AF132" s="21">
        <f>SUM(NhatkyNhap!$C132:AF132)-SUM(NhatkyBan!$C132:AF132)</f>
        <v>3</v>
      </c>
      <c r="AG132" s="21">
        <f>SUM(NhatkyNhap!$C132:AG132)-SUM(NhatkyBan!$C132:AG132)</f>
        <v>3</v>
      </c>
    </row>
    <row r="133" spans="1:33" ht="12.75" customHeight="1">
      <c r="A133" s="76" t="str">
        <f>DSSP!A132</f>
        <v>DS02</v>
      </c>
      <c r="B133" s="25" t="str">
        <f>DSSP!B132</f>
        <v>Đất sét Thái</v>
      </c>
      <c r="C133" s="21">
        <f>SUM(NhatkyNhap!$C133:C133)-SUM(NhatkyBan!$C133:C133)</f>
        <v>-1</v>
      </c>
      <c r="D133" s="21">
        <f>SUM(NhatkyNhap!$C133:D133)-SUM(NhatkyBan!$C133:D133)</f>
        <v>-1</v>
      </c>
      <c r="E133" s="21">
        <f>SUM(NhatkyNhap!$C133:E133)-SUM(NhatkyBan!$C133:E133)</f>
        <v>-1</v>
      </c>
      <c r="F133" s="21">
        <f>SUM(NhatkyNhap!$C133:F133)-SUM(NhatkyBan!$C133:F133)</f>
        <v>-1</v>
      </c>
      <c r="G133" s="21">
        <f>SUM(NhatkyNhap!$C133:G133)-SUM(NhatkyBan!$C133:G133)</f>
        <v>-1</v>
      </c>
      <c r="H133" s="21">
        <f>SUM(NhatkyNhap!$C133:H133)-SUM(NhatkyBan!$C133:H133)</f>
        <v>-1</v>
      </c>
      <c r="I133" s="21">
        <f>SUM(NhatkyNhap!$C133:I133)-SUM(NhatkyBan!$C133:I133)</f>
        <v>-1</v>
      </c>
      <c r="J133" s="21">
        <f>SUM(NhatkyNhap!$C133:J133)-SUM(NhatkyBan!$C133:J133)</f>
        <v>-1</v>
      </c>
      <c r="K133" s="21">
        <f>SUM(NhatkyNhap!$C133:K133)-SUM(NhatkyBan!$C133:K133)</f>
        <v>-1</v>
      </c>
      <c r="L133" s="21">
        <f>SUM(NhatkyNhap!$C133:L133)-SUM(NhatkyBan!$C133:L133)</f>
        <v>-1</v>
      </c>
      <c r="M133" s="21">
        <f>SUM(NhatkyNhap!$C133:M133)-SUM(NhatkyBan!$C133:M133)</f>
        <v>-1</v>
      </c>
      <c r="N133" s="21">
        <f>SUM(NhatkyNhap!$C133:N133)-SUM(NhatkyBan!$C133:N133)</f>
        <v>-1</v>
      </c>
      <c r="O133" s="21">
        <f>SUM(NhatkyNhap!$C133:O133)-SUM(NhatkyBan!$C133:O133)</f>
        <v>-1</v>
      </c>
      <c r="P133" s="21">
        <f>SUM(NhatkyNhap!$C133:P133)-SUM(NhatkyBan!$C133:P133)</f>
        <v>-1</v>
      </c>
      <c r="Q133" s="21">
        <f>SUM(NhatkyNhap!$C133:Q133)-SUM(NhatkyBan!$C133:Q133)</f>
        <v>-1</v>
      </c>
      <c r="R133" s="21">
        <f>SUM(NhatkyNhap!$C133:R133)-SUM(NhatkyBan!$C133:R133)</f>
        <v>-1</v>
      </c>
      <c r="S133" s="21">
        <f>SUM(NhatkyNhap!$C133:S133)-SUM(NhatkyBan!$C133:S133)</f>
        <v>-1</v>
      </c>
      <c r="T133" s="21">
        <f>SUM(NhatkyNhap!$C133:T133)-SUM(NhatkyBan!$C133:T133)</f>
        <v>-1</v>
      </c>
      <c r="U133" s="21">
        <f>SUM(NhatkyNhap!$C133:U133)-SUM(NhatkyBan!$C133:U133)</f>
        <v>-1</v>
      </c>
      <c r="V133" s="21">
        <f>SUM(NhatkyNhap!$C133:V133)-SUM(NhatkyBan!$C133:V133)</f>
        <v>-1</v>
      </c>
      <c r="W133" s="21">
        <f>SUM(NhatkyNhap!$C133:W133)-SUM(NhatkyBan!$C133:W133)</f>
        <v>-1</v>
      </c>
      <c r="X133" s="21">
        <f>SUM(NhatkyNhap!$C133:X133)-SUM(NhatkyBan!$C133:X133)</f>
        <v>-1</v>
      </c>
      <c r="Y133" s="21">
        <f>SUM(NhatkyNhap!$C133:Y133)-SUM(NhatkyBan!$C133:Y133)</f>
        <v>-1</v>
      </c>
      <c r="Z133" s="21">
        <f>SUM(NhatkyNhap!$C133:Z133)-SUM(NhatkyBan!$C133:Z133)</f>
        <v>-1</v>
      </c>
      <c r="AA133" s="21">
        <f>SUM(NhatkyNhap!$C133:AA133)-SUM(NhatkyBan!$C133:AA133)</f>
        <v>-1</v>
      </c>
      <c r="AB133" s="21">
        <f>SUM(NhatkyNhap!$C133:AB133)-SUM(NhatkyBan!$C133:AB133)</f>
        <v>-1</v>
      </c>
      <c r="AC133" s="21">
        <f>SUM(NhatkyNhap!$C133:AC133)-SUM(NhatkyBan!$C133:AC133)</f>
        <v>-1</v>
      </c>
      <c r="AD133" s="21">
        <f>SUM(NhatkyNhap!$C133:AD133)-SUM(NhatkyBan!$C133:AD133)</f>
        <v>-1</v>
      </c>
      <c r="AE133" s="21">
        <f>SUM(NhatkyNhap!$C133:AE133)-SUM(NhatkyBan!$C133:AE133)</f>
        <v>-1</v>
      </c>
      <c r="AF133" s="21">
        <f>SUM(NhatkyNhap!$C133:AF133)-SUM(NhatkyBan!$C133:AF133)</f>
        <v>-1</v>
      </c>
      <c r="AG133" s="21">
        <f>SUM(NhatkyNhap!$C133:AG133)-SUM(NhatkyBan!$C133:AG133)</f>
        <v>-1</v>
      </c>
    </row>
    <row r="134" spans="1:33" ht="12.75" customHeight="1">
      <c r="A134" s="76" t="str">
        <f>DSSP!A133</f>
        <v>DS03</v>
      </c>
      <c r="B134" s="25" t="str">
        <f>DSSP!B133</f>
        <v>Đất sét Hàn Quốc</v>
      </c>
      <c r="C134" s="21">
        <f>SUM(NhatkyNhap!$C134:C134)-SUM(NhatkyBan!$C134:C134)</f>
        <v>8</v>
      </c>
      <c r="D134" s="21">
        <f>SUM(NhatkyNhap!$C134:D134)-SUM(NhatkyBan!$C134:D134)</f>
        <v>8</v>
      </c>
      <c r="E134" s="21">
        <f>SUM(NhatkyNhap!$C134:E134)-SUM(NhatkyBan!$C134:E134)</f>
        <v>8</v>
      </c>
      <c r="F134" s="21">
        <f>SUM(NhatkyNhap!$C134:F134)-SUM(NhatkyBan!$C134:F134)</f>
        <v>8</v>
      </c>
      <c r="G134" s="21">
        <f>SUM(NhatkyNhap!$C134:G134)-SUM(NhatkyBan!$C134:G134)</f>
        <v>8</v>
      </c>
      <c r="H134" s="21">
        <f>SUM(NhatkyNhap!$C134:H134)-SUM(NhatkyBan!$C134:H134)</f>
        <v>8</v>
      </c>
      <c r="I134" s="21">
        <f>SUM(NhatkyNhap!$C134:I134)-SUM(NhatkyBan!$C134:I134)</f>
        <v>8</v>
      </c>
      <c r="J134" s="21">
        <f>SUM(NhatkyNhap!$C134:J134)-SUM(NhatkyBan!$C134:J134)</f>
        <v>8</v>
      </c>
      <c r="K134" s="21">
        <f>SUM(NhatkyNhap!$C134:K134)-SUM(NhatkyBan!$C134:K134)</f>
        <v>8</v>
      </c>
      <c r="L134" s="21">
        <f>SUM(NhatkyNhap!$C134:L134)-SUM(NhatkyBan!$C134:L134)</f>
        <v>8</v>
      </c>
      <c r="M134" s="21">
        <f>SUM(NhatkyNhap!$C134:M134)-SUM(NhatkyBan!$C134:M134)</f>
        <v>8</v>
      </c>
      <c r="N134" s="21">
        <f>SUM(NhatkyNhap!$C134:N134)-SUM(NhatkyBan!$C134:N134)</f>
        <v>8</v>
      </c>
      <c r="O134" s="21">
        <f>SUM(NhatkyNhap!$C134:O134)-SUM(NhatkyBan!$C134:O134)</f>
        <v>8</v>
      </c>
      <c r="P134" s="21">
        <f>SUM(NhatkyNhap!$C134:P134)-SUM(NhatkyBan!$C134:P134)</f>
        <v>8</v>
      </c>
      <c r="Q134" s="21">
        <f>SUM(NhatkyNhap!$C134:Q134)-SUM(NhatkyBan!$C134:Q134)</f>
        <v>8</v>
      </c>
      <c r="R134" s="21">
        <f>SUM(NhatkyNhap!$C134:R134)-SUM(NhatkyBan!$C134:R134)</f>
        <v>8</v>
      </c>
      <c r="S134" s="21">
        <f>SUM(NhatkyNhap!$C134:S134)-SUM(NhatkyBan!$C134:S134)</f>
        <v>8</v>
      </c>
      <c r="T134" s="21">
        <f>SUM(NhatkyNhap!$C134:T134)-SUM(NhatkyBan!$C134:T134)</f>
        <v>8</v>
      </c>
      <c r="U134" s="21">
        <f>SUM(NhatkyNhap!$C134:U134)-SUM(NhatkyBan!$C134:U134)</f>
        <v>8</v>
      </c>
      <c r="V134" s="21">
        <f>SUM(NhatkyNhap!$C134:V134)-SUM(NhatkyBan!$C134:V134)</f>
        <v>8</v>
      </c>
      <c r="W134" s="21">
        <f>SUM(NhatkyNhap!$C134:W134)-SUM(NhatkyBan!$C134:W134)</f>
        <v>8</v>
      </c>
      <c r="X134" s="21">
        <f>SUM(NhatkyNhap!$C134:X134)-SUM(NhatkyBan!$C134:X134)</f>
        <v>8</v>
      </c>
      <c r="Y134" s="21">
        <f>SUM(NhatkyNhap!$C134:Y134)-SUM(NhatkyBan!$C134:Y134)</f>
        <v>8</v>
      </c>
      <c r="Z134" s="21">
        <f>SUM(NhatkyNhap!$C134:Z134)-SUM(NhatkyBan!$C134:Z134)</f>
        <v>8</v>
      </c>
      <c r="AA134" s="21">
        <f>SUM(NhatkyNhap!$C134:AA134)-SUM(NhatkyBan!$C134:AA134)</f>
        <v>8</v>
      </c>
      <c r="AB134" s="21">
        <f>SUM(NhatkyNhap!$C134:AB134)-SUM(NhatkyBan!$C134:AB134)</f>
        <v>8</v>
      </c>
      <c r="AC134" s="21">
        <f>SUM(NhatkyNhap!$C134:AC134)-SUM(NhatkyBan!$C134:AC134)</f>
        <v>8</v>
      </c>
      <c r="AD134" s="21">
        <f>SUM(NhatkyNhap!$C134:AD134)-SUM(NhatkyBan!$C134:AD134)</f>
        <v>8</v>
      </c>
      <c r="AE134" s="21">
        <f>SUM(NhatkyNhap!$C134:AE134)-SUM(NhatkyBan!$C134:AE134)</f>
        <v>8</v>
      </c>
      <c r="AF134" s="21">
        <f>SUM(NhatkyNhap!$C134:AF134)-SUM(NhatkyBan!$C134:AF134)</f>
        <v>8</v>
      </c>
      <c r="AG134" s="21">
        <f>SUM(NhatkyNhap!$C134:AG134)-SUM(NhatkyBan!$C134:AG134)</f>
        <v>8</v>
      </c>
    </row>
    <row r="135" spans="1:33" ht="12.75" customHeight="1">
      <c r="A135" s="76" t="str">
        <f>DSSP!A134</f>
        <v>DS04</v>
      </c>
      <c r="B135" s="25" t="str">
        <f>DSSP!B134</f>
        <v>Túi khoen 10</v>
      </c>
      <c r="C135" s="21">
        <f>SUM(NhatkyNhap!$C135:C135)-SUM(NhatkyBan!$C135:C135)</f>
        <v>19</v>
      </c>
      <c r="D135" s="21">
        <f>SUM(NhatkyNhap!$C135:D135)-SUM(NhatkyBan!$C135:D135)</f>
        <v>19</v>
      </c>
      <c r="E135" s="21">
        <f>SUM(NhatkyNhap!$C135:E135)-SUM(NhatkyBan!$C135:E135)</f>
        <v>19</v>
      </c>
      <c r="F135" s="21">
        <f>SUM(NhatkyNhap!$C135:F135)-SUM(NhatkyBan!$C135:F135)</f>
        <v>19</v>
      </c>
      <c r="G135" s="21">
        <f>SUM(NhatkyNhap!$C135:G135)-SUM(NhatkyBan!$C135:G135)</f>
        <v>19</v>
      </c>
      <c r="H135" s="21">
        <f>SUM(NhatkyNhap!$C135:H135)-SUM(NhatkyBan!$C135:H135)</f>
        <v>19</v>
      </c>
      <c r="I135" s="21">
        <f>SUM(NhatkyNhap!$C135:I135)-SUM(NhatkyBan!$C135:I135)</f>
        <v>19</v>
      </c>
      <c r="J135" s="21">
        <f>SUM(NhatkyNhap!$C135:J135)-SUM(NhatkyBan!$C135:J135)</f>
        <v>19</v>
      </c>
      <c r="K135" s="21">
        <f>SUM(NhatkyNhap!$C135:K135)-SUM(NhatkyBan!$C135:K135)</f>
        <v>19</v>
      </c>
      <c r="L135" s="21">
        <f>SUM(NhatkyNhap!$C135:L135)-SUM(NhatkyBan!$C135:L135)</f>
        <v>19</v>
      </c>
      <c r="M135" s="21">
        <f>SUM(NhatkyNhap!$C135:M135)-SUM(NhatkyBan!$C135:M135)</f>
        <v>19</v>
      </c>
      <c r="N135" s="21">
        <f>SUM(NhatkyNhap!$C135:N135)-SUM(NhatkyBan!$C135:N135)</f>
        <v>19</v>
      </c>
      <c r="O135" s="21">
        <f>SUM(NhatkyNhap!$C135:O135)-SUM(NhatkyBan!$C135:O135)</f>
        <v>19</v>
      </c>
      <c r="P135" s="21">
        <f>SUM(NhatkyNhap!$C135:P135)-SUM(NhatkyBan!$C135:P135)</f>
        <v>19</v>
      </c>
      <c r="Q135" s="21">
        <f>SUM(NhatkyNhap!$C135:Q135)-SUM(NhatkyBan!$C135:Q135)</f>
        <v>19</v>
      </c>
      <c r="R135" s="21">
        <f>SUM(NhatkyNhap!$C135:R135)-SUM(NhatkyBan!$C135:R135)</f>
        <v>19</v>
      </c>
      <c r="S135" s="21">
        <f>SUM(NhatkyNhap!$C135:S135)-SUM(NhatkyBan!$C135:S135)</f>
        <v>19</v>
      </c>
      <c r="T135" s="21">
        <f>SUM(NhatkyNhap!$C135:T135)-SUM(NhatkyBan!$C135:T135)</f>
        <v>19</v>
      </c>
      <c r="U135" s="21">
        <f>SUM(NhatkyNhap!$C135:U135)-SUM(NhatkyBan!$C135:U135)</f>
        <v>19</v>
      </c>
      <c r="V135" s="21">
        <f>SUM(NhatkyNhap!$C135:V135)-SUM(NhatkyBan!$C135:V135)</f>
        <v>19</v>
      </c>
      <c r="W135" s="21">
        <f>SUM(NhatkyNhap!$C135:W135)-SUM(NhatkyBan!$C135:W135)</f>
        <v>19</v>
      </c>
      <c r="X135" s="21">
        <f>SUM(NhatkyNhap!$C135:X135)-SUM(NhatkyBan!$C135:X135)</f>
        <v>19</v>
      </c>
      <c r="Y135" s="21">
        <f>SUM(NhatkyNhap!$C135:Y135)-SUM(NhatkyBan!$C135:Y135)</f>
        <v>19</v>
      </c>
      <c r="Z135" s="21">
        <f>SUM(NhatkyNhap!$C135:Z135)-SUM(NhatkyBan!$C135:Z135)</f>
        <v>19</v>
      </c>
      <c r="AA135" s="21">
        <f>SUM(NhatkyNhap!$C135:AA135)-SUM(NhatkyBan!$C135:AA135)</f>
        <v>19</v>
      </c>
      <c r="AB135" s="21">
        <f>SUM(NhatkyNhap!$C135:AB135)-SUM(NhatkyBan!$C135:AB135)</f>
        <v>19</v>
      </c>
      <c r="AC135" s="21">
        <f>SUM(NhatkyNhap!$C135:AC135)-SUM(NhatkyBan!$C135:AC135)</f>
        <v>19</v>
      </c>
      <c r="AD135" s="21">
        <f>SUM(NhatkyNhap!$C135:AD135)-SUM(NhatkyBan!$C135:AD135)</f>
        <v>19</v>
      </c>
      <c r="AE135" s="21">
        <f>SUM(NhatkyNhap!$C135:AE135)-SUM(NhatkyBan!$C135:AE135)</f>
        <v>19</v>
      </c>
      <c r="AF135" s="21">
        <f>SUM(NhatkyNhap!$C135:AF135)-SUM(NhatkyBan!$C135:AF135)</f>
        <v>19</v>
      </c>
      <c r="AG135" s="21">
        <f>SUM(NhatkyNhap!$C135:AG135)-SUM(NhatkyBan!$C135:AG135)</f>
        <v>19</v>
      </c>
    </row>
    <row r="136" spans="1:33" ht="12.75" customHeight="1">
      <c r="A136" s="76" t="str">
        <f>DSSP!A135</f>
        <v>DS05</v>
      </c>
      <c r="B136" s="25" t="str">
        <f>DSSP!B135</f>
        <v>Kem ủ</v>
      </c>
      <c r="C136" s="21">
        <f>SUM(NhatkyNhap!$C136:C136)-SUM(NhatkyBan!$C136:C136)</f>
        <v>71</v>
      </c>
      <c r="D136" s="21">
        <f>SUM(NhatkyNhap!$C136:D136)-SUM(NhatkyBan!$C136:D136)</f>
        <v>71</v>
      </c>
      <c r="E136" s="21">
        <f>SUM(NhatkyNhap!$C136:E136)-SUM(NhatkyBan!$C136:E136)</f>
        <v>71</v>
      </c>
      <c r="F136" s="21">
        <f>SUM(NhatkyNhap!$C136:F136)-SUM(NhatkyBan!$C136:F136)</f>
        <v>71</v>
      </c>
      <c r="G136" s="21">
        <f>SUM(NhatkyNhap!$C136:G136)-SUM(NhatkyBan!$C136:G136)</f>
        <v>71</v>
      </c>
      <c r="H136" s="21">
        <f>SUM(NhatkyNhap!$C136:H136)-SUM(NhatkyBan!$C136:H136)</f>
        <v>71</v>
      </c>
      <c r="I136" s="21">
        <f>SUM(NhatkyNhap!$C136:I136)-SUM(NhatkyBan!$C136:I136)</f>
        <v>71</v>
      </c>
      <c r="J136" s="21">
        <f>SUM(NhatkyNhap!$C136:J136)-SUM(NhatkyBan!$C136:J136)</f>
        <v>71</v>
      </c>
      <c r="K136" s="21">
        <f>SUM(NhatkyNhap!$C136:K136)-SUM(NhatkyBan!$C136:K136)</f>
        <v>71</v>
      </c>
      <c r="L136" s="21">
        <f>SUM(NhatkyNhap!$C136:L136)-SUM(NhatkyBan!$C136:L136)</f>
        <v>71</v>
      </c>
      <c r="M136" s="21">
        <f>SUM(NhatkyNhap!$C136:M136)-SUM(NhatkyBan!$C136:M136)</f>
        <v>71</v>
      </c>
      <c r="N136" s="21">
        <f>SUM(NhatkyNhap!$C136:N136)-SUM(NhatkyBan!$C136:N136)</f>
        <v>71</v>
      </c>
      <c r="O136" s="21">
        <f>SUM(NhatkyNhap!$C136:O136)-SUM(NhatkyBan!$C136:O136)</f>
        <v>71</v>
      </c>
      <c r="P136" s="21">
        <f>SUM(NhatkyNhap!$C136:P136)-SUM(NhatkyBan!$C136:P136)</f>
        <v>71</v>
      </c>
      <c r="Q136" s="21">
        <f>SUM(NhatkyNhap!$C136:Q136)-SUM(NhatkyBan!$C136:Q136)</f>
        <v>71</v>
      </c>
      <c r="R136" s="21">
        <f>SUM(NhatkyNhap!$C136:R136)-SUM(NhatkyBan!$C136:R136)</f>
        <v>71</v>
      </c>
      <c r="S136" s="21">
        <f>SUM(NhatkyNhap!$C136:S136)-SUM(NhatkyBan!$C136:S136)</f>
        <v>71</v>
      </c>
      <c r="T136" s="21">
        <f>SUM(NhatkyNhap!$C136:T136)-SUM(NhatkyBan!$C136:T136)</f>
        <v>71</v>
      </c>
      <c r="U136" s="21">
        <f>SUM(NhatkyNhap!$C136:U136)-SUM(NhatkyBan!$C136:U136)</f>
        <v>71</v>
      </c>
      <c r="V136" s="21">
        <f>SUM(NhatkyNhap!$C136:V136)-SUM(NhatkyBan!$C136:V136)</f>
        <v>71</v>
      </c>
      <c r="W136" s="21">
        <f>SUM(NhatkyNhap!$C136:W136)-SUM(NhatkyBan!$C136:W136)</f>
        <v>71</v>
      </c>
      <c r="X136" s="21">
        <f>SUM(NhatkyNhap!$C136:X136)-SUM(NhatkyBan!$C136:X136)</f>
        <v>71</v>
      </c>
      <c r="Y136" s="21">
        <f>SUM(NhatkyNhap!$C136:Y136)-SUM(NhatkyBan!$C136:Y136)</f>
        <v>71</v>
      </c>
      <c r="Z136" s="21">
        <f>SUM(NhatkyNhap!$C136:Z136)-SUM(NhatkyBan!$C136:Z136)</f>
        <v>71</v>
      </c>
      <c r="AA136" s="21">
        <f>SUM(NhatkyNhap!$C136:AA136)-SUM(NhatkyBan!$C136:AA136)</f>
        <v>71</v>
      </c>
      <c r="AB136" s="21">
        <f>SUM(NhatkyNhap!$C136:AB136)-SUM(NhatkyBan!$C136:AB136)</f>
        <v>71</v>
      </c>
      <c r="AC136" s="21">
        <f>SUM(NhatkyNhap!$C136:AC136)-SUM(NhatkyBan!$C136:AC136)</f>
        <v>71</v>
      </c>
      <c r="AD136" s="21">
        <f>SUM(NhatkyNhap!$C136:AD136)-SUM(NhatkyBan!$C136:AD136)</f>
        <v>71</v>
      </c>
      <c r="AE136" s="21">
        <f>SUM(NhatkyNhap!$C136:AE136)-SUM(NhatkyBan!$C136:AE136)</f>
        <v>71</v>
      </c>
      <c r="AF136" s="21">
        <f>SUM(NhatkyNhap!$C136:AF136)-SUM(NhatkyBan!$C136:AF136)</f>
        <v>71</v>
      </c>
      <c r="AG136" s="21">
        <f>SUM(NhatkyNhap!$C136:AG136)-SUM(NhatkyBan!$C136:AG136)</f>
        <v>71</v>
      </c>
    </row>
    <row r="137" spans="1:33" ht="12.75" customHeight="1">
      <c r="A137" s="76" t="str">
        <f>DSSP!A136</f>
        <v>DS06</v>
      </c>
      <c r="B137" s="25" t="str">
        <f>DSSP!B136</f>
        <v>Kem mềm</v>
      </c>
      <c r="C137" s="21">
        <f>SUM(NhatkyNhap!$C137:C137)-SUM(NhatkyBan!$C137:C137)</f>
        <v>-1</v>
      </c>
      <c r="D137" s="21">
        <f>SUM(NhatkyNhap!$C137:D137)-SUM(NhatkyBan!$C137:D137)</f>
        <v>-1</v>
      </c>
      <c r="E137" s="21">
        <f>SUM(NhatkyNhap!$C137:E137)-SUM(NhatkyBan!$C137:E137)</f>
        <v>-1</v>
      </c>
      <c r="F137" s="21">
        <f>SUM(NhatkyNhap!$C137:F137)-SUM(NhatkyBan!$C137:F137)</f>
        <v>-1</v>
      </c>
      <c r="G137" s="21">
        <f>SUM(NhatkyNhap!$C137:G137)-SUM(NhatkyBan!$C137:G137)</f>
        <v>-1</v>
      </c>
      <c r="H137" s="21">
        <f>SUM(NhatkyNhap!$C137:H137)-SUM(NhatkyBan!$C137:H137)</f>
        <v>-1</v>
      </c>
      <c r="I137" s="21">
        <f>SUM(NhatkyNhap!$C137:I137)-SUM(NhatkyBan!$C137:I137)</f>
        <v>-1</v>
      </c>
      <c r="J137" s="21">
        <f>SUM(NhatkyNhap!$C137:J137)-SUM(NhatkyBan!$C137:J137)</f>
        <v>-1</v>
      </c>
      <c r="K137" s="21">
        <f>SUM(NhatkyNhap!$C137:K137)-SUM(NhatkyBan!$C137:K137)</f>
        <v>-1</v>
      </c>
      <c r="L137" s="21">
        <f>SUM(NhatkyNhap!$C137:L137)-SUM(NhatkyBan!$C137:L137)</f>
        <v>-1</v>
      </c>
      <c r="M137" s="21">
        <f>SUM(NhatkyNhap!$C137:M137)-SUM(NhatkyBan!$C137:M137)</f>
        <v>-1</v>
      </c>
      <c r="N137" s="21">
        <f>SUM(NhatkyNhap!$C137:N137)-SUM(NhatkyBan!$C137:N137)</f>
        <v>-1</v>
      </c>
      <c r="O137" s="21">
        <f>SUM(NhatkyNhap!$C137:O137)-SUM(NhatkyBan!$C137:O137)</f>
        <v>-1</v>
      </c>
      <c r="P137" s="21">
        <f>SUM(NhatkyNhap!$C137:P137)-SUM(NhatkyBan!$C137:P137)</f>
        <v>-1</v>
      </c>
      <c r="Q137" s="21">
        <f>SUM(NhatkyNhap!$C137:Q137)-SUM(NhatkyBan!$C137:Q137)</f>
        <v>-1</v>
      </c>
      <c r="R137" s="21">
        <f>SUM(NhatkyNhap!$C137:R137)-SUM(NhatkyBan!$C137:R137)</f>
        <v>-1</v>
      </c>
      <c r="S137" s="21">
        <f>SUM(NhatkyNhap!$C137:S137)-SUM(NhatkyBan!$C137:S137)</f>
        <v>-1</v>
      </c>
      <c r="T137" s="21">
        <f>SUM(NhatkyNhap!$C137:T137)-SUM(NhatkyBan!$C137:T137)</f>
        <v>-1</v>
      </c>
      <c r="U137" s="21">
        <f>SUM(NhatkyNhap!$C137:U137)-SUM(NhatkyBan!$C137:U137)</f>
        <v>-1</v>
      </c>
      <c r="V137" s="21">
        <f>SUM(NhatkyNhap!$C137:V137)-SUM(NhatkyBan!$C137:V137)</f>
        <v>-1</v>
      </c>
      <c r="W137" s="21">
        <f>SUM(NhatkyNhap!$C137:W137)-SUM(NhatkyBan!$C137:W137)</f>
        <v>-1</v>
      </c>
      <c r="X137" s="21">
        <f>SUM(NhatkyNhap!$C137:X137)-SUM(NhatkyBan!$C137:X137)</f>
        <v>-1</v>
      </c>
      <c r="Y137" s="21">
        <f>SUM(NhatkyNhap!$C137:Y137)-SUM(NhatkyBan!$C137:Y137)</f>
        <v>-1</v>
      </c>
      <c r="Z137" s="21">
        <f>SUM(NhatkyNhap!$C137:Z137)-SUM(NhatkyBan!$C137:Z137)</f>
        <v>-1</v>
      </c>
      <c r="AA137" s="21">
        <f>SUM(NhatkyNhap!$C137:AA137)-SUM(NhatkyBan!$C137:AA137)</f>
        <v>-1</v>
      </c>
      <c r="AB137" s="21">
        <f>SUM(NhatkyNhap!$C137:AB137)-SUM(NhatkyBan!$C137:AB137)</f>
        <v>-1</v>
      </c>
      <c r="AC137" s="21">
        <f>SUM(NhatkyNhap!$C137:AC137)-SUM(NhatkyBan!$C137:AC137)</f>
        <v>-1</v>
      </c>
      <c r="AD137" s="21">
        <f>SUM(NhatkyNhap!$C137:AD137)-SUM(NhatkyBan!$C137:AD137)</f>
        <v>-1</v>
      </c>
      <c r="AE137" s="21">
        <f>SUM(NhatkyNhap!$C137:AE137)-SUM(NhatkyBan!$C137:AE137)</f>
        <v>-1</v>
      </c>
      <c r="AF137" s="21">
        <f>SUM(NhatkyNhap!$C137:AF137)-SUM(NhatkyBan!$C137:AF137)</f>
        <v>-1</v>
      </c>
      <c r="AG137" s="21">
        <f>SUM(NhatkyNhap!$C137:AG137)-SUM(NhatkyBan!$C137:AG137)</f>
        <v>-1</v>
      </c>
    </row>
    <row r="138" spans="1:33" ht="12.75" customHeight="1">
      <c r="A138" s="76" t="str">
        <f>DSSP!A137</f>
        <v>DS07</v>
      </c>
      <c r="B138" s="25" t="str">
        <f>DSSP!B137</f>
        <v>Keo sữa</v>
      </c>
      <c r="C138" s="21">
        <f>SUM(NhatkyNhap!$C138:C138)-SUM(NhatkyBan!$C138:C138)</f>
        <v>31</v>
      </c>
      <c r="D138" s="21">
        <f>SUM(NhatkyNhap!$C138:D138)-SUM(NhatkyBan!$C138:D138)</f>
        <v>31</v>
      </c>
      <c r="E138" s="21">
        <f>SUM(NhatkyNhap!$C138:E138)-SUM(NhatkyBan!$C138:E138)</f>
        <v>31</v>
      </c>
      <c r="F138" s="21">
        <f>SUM(NhatkyNhap!$C138:F138)-SUM(NhatkyBan!$C138:F138)</f>
        <v>31</v>
      </c>
      <c r="G138" s="21">
        <f>SUM(NhatkyNhap!$C138:G138)-SUM(NhatkyBan!$C138:G138)</f>
        <v>31</v>
      </c>
      <c r="H138" s="21">
        <f>SUM(NhatkyNhap!$C138:H138)-SUM(NhatkyBan!$C138:H138)</f>
        <v>31</v>
      </c>
      <c r="I138" s="21">
        <f>SUM(NhatkyNhap!$C138:I138)-SUM(NhatkyBan!$C138:I138)</f>
        <v>31</v>
      </c>
      <c r="J138" s="21">
        <f>SUM(NhatkyNhap!$C138:J138)-SUM(NhatkyBan!$C138:J138)</f>
        <v>31</v>
      </c>
      <c r="K138" s="21">
        <f>SUM(NhatkyNhap!$C138:K138)-SUM(NhatkyBan!$C138:K138)</f>
        <v>31</v>
      </c>
      <c r="L138" s="21">
        <f>SUM(NhatkyNhap!$C138:L138)-SUM(NhatkyBan!$C138:L138)</f>
        <v>31</v>
      </c>
      <c r="M138" s="21">
        <f>SUM(NhatkyNhap!$C138:M138)-SUM(NhatkyBan!$C138:M138)</f>
        <v>31</v>
      </c>
      <c r="N138" s="21">
        <f>SUM(NhatkyNhap!$C138:N138)-SUM(NhatkyBan!$C138:N138)</f>
        <v>31</v>
      </c>
      <c r="O138" s="21">
        <f>SUM(NhatkyNhap!$C138:O138)-SUM(NhatkyBan!$C138:O138)</f>
        <v>31</v>
      </c>
      <c r="P138" s="21">
        <f>SUM(NhatkyNhap!$C138:P138)-SUM(NhatkyBan!$C138:P138)</f>
        <v>31</v>
      </c>
      <c r="Q138" s="21">
        <f>SUM(NhatkyNhap!$C138:Q138)-SUM(NhatkyBan!$C138:Q138)</f>
        <v>31</v>
      </c>
      <c r="R138" s="21">
        <f>SUM(NhatkyNhap!$C138:R138)-SUM(NhatkyBan!$C138:R138)</f>
        <v>31</v>
      </c>
      <c r="S138" s="21">
        <f>SUM(NhatkyNhap!$C138:S138)-SUM(NhatkyBan!$C138:S138)</f>
        <v>31</v>
      </c>
      <c r="T138" s="21">
        <f>SUM(NhatkyNhap!$C138:T138)-SUM(NhatkyBan!$C138:T138)</f>
        <v>31</v>
      </c>
      <c r="U138" s="21">
        <f>SUM(NhatkyNhap!$C138:U138)-SUM(NhatkyBan!$C138:U138)</f>
        <v>31</v>
      </c>
      <c r="V138" s="21">
        <f>SUM(NhatkyNhap!$C138:V138)-SUM(NhatkyBan!$C138:V138)</f>
        <v>31</v>
      </c>
      <c r="W138" s="21">
        <f>SUM(NhatkyNhap!$C138:W138)-SUM(NhatkyBan!$C138:W138)</f>
        <v>31</v>
      </c>
      <c r="X138" s="21">
        <f>SUM(NhatkyNhap!$C138:X138)-SUM(NhatkyBan!$C138:X138)</f>
        <v>31</v>
      </c>
      <c r="Y138" s="21">
        <f>SUM(NhatkyNhap!$C138:Y138)-SUM(NhatkyBan!$C138:Y138)</f>
        <v>31</v>
      </c>
      <c r="Z138" s="21">
        <f>SUM(NhatkyNhap!$C138:Z138)-SUM(NhatkyBan!$C138:Z138)</f>
        <v>31</v>
      </c>
      <c r="AA138" s="21">
        <f>SUM(NhatkyNhap!$C138:AA138)-SUM(NhatkyBan!$C138:AA138)</f>
        <v>31</v>
      </c>
      <c r="AB138" s="21">
        <f>SUM(NhatkyNhap!$C138:AB138)-SUM(NhatkyBan!$C138:AB138)</f>
        <v>31</v>
      </c>
      <c r="AC138" s="21">
        <f>SUM(NhatkyNhap!$C138:AC138)-SUM(NhatkyBan!$C138:AC138)</f>
        <v>31</v>
      </c>
      <c r="AD138" s="21">
        <f>SUM(NhatkyNhap!$C138:AD138)-SUM(NhatkyBan!$C138:AD138)</f>
        <v>31</v>
      </c>
      <c r="AE138" s="21">
        <f>SUM(NhatkyNhap!$C138:AE138)-SUM(NhatkyBan!$C138:AE138)</f>
        <v>31</v>
      </c>
      <c r="AF138" s="21">
        <f>SUM(NhatkyNhap!$C138:AF138)-SUM(NhatkyBan!$C138:AF138)</f>
        <v>31</v>
      </c>
      <c r="AG138" s="21">
        <f>SUM(NhatkyNhap!$C138:AG138)-SUM(NhatkyBan!$C138:AG138)</f>
        <v>31</v>
      </c>
    </row>
    <row r="139" spans="1:33" ht="12.75" customHeight="1">
      <c r="A139" s="76" t="str">
        <f>DSSP!A138</f>
        <v>DS08</v>
      </c>
      <c r="B139" s="25" t="str">
        <f>DSSP!B138</f>
        <v>Dung dịch đất sét</v>
      </c>
      <c r="C139" s="21">
        <f>SUM(NhatkyNhap!$C139:C139)-SUM(NhatkyBan!$C139:C139)</f>
        <v>26</v>
      </c>
      <c r="D139" s="21">
        <f>SUM(NhatkyNhap!$C139:D139)-SUM(NhatkyBan!$C139:D139)</f>
        <v>26</v>
      </c>
      <c r="E139" s="21">
        <f>SUM(NhatkyNhap!$C139:E139)-SUM(NhatkyBan!$C139:E139)</f>
        <v>26</v>
      </c>
      <c r="F139" s="21">
        <f>SUM(NhatkyNhap!$C139:F139)-SUM(NhatkyBan!$C139:F139)</f>
        <v>26</v>
      </c>
      <c r="G139" s="21">
        <f>SUM(NhatkyNhap!$C139:G139)-SUM(NhatkyBan!$C139:G139)</f>
        <v>26</v>
      </c>
      <c r="H139" s="21">
        <f>SUM(NhatkyNhap!$C139:H139)-SUM(NhatkyBan!$C139:H139)</f>
        <v>26</v>
      </c>
      <c r="I139" s="21">
        <f>SUM(NhatkyNhap!$C139:I139)-SUM(NhatkyBan!$C139:I139)</f>
        <v>26</v>
      </c>
      <c r="J139" s="21">
        <f>SUM(NhatkyNhap!$C139:J139)-SUM(NhatkyBan!$C139:J139)</f>
        <v>26</v>
      </c>
      <c r="K139" s="21">
        <f>SUM(NhatkyNhap!$C139:K139)-SUM(NhatkyBan!$C139:K139)</f>
        <v>26</v>
      </c>
      <c r="L139" s="21">
        <f>SUM(NhatkyNhap!$C139:L139)-SUM(NhatkyBan!$C139:L139)</f>
        <v>26</v>
      </c>
      <c r="M139" s="21">
        <f>SUM(NhatkyNhap!$C139:M139)-SUM(NhatkyBan!$C139:M139)</f>
        <v>26</v>
      </c>
      <c r="N139" s="21">
        <f>SUM(NhatkyNhap!$C139:N139)-SUM(NhatkyBan!$C139:N139)</f>
        <v>26</v>
      </c>
      <c r="O139" s="21">
        <f>SUM(NhatkyNhap!$C139:O139)-SUM(NhatkyBan!$C139:O139)</f>
        <v>26</v>
      </c>
      <c r="P139" s="21">
        <f>SUM(NhatkyNhap!$C139:P139)-SUM(NhatkyBan!$C139:P139)</f>
        <v>26</v>
      </c>
      <c r="Q139" s="21">
        <f>SUM(NhatkyNhap!$C139:Q139)-SUM(NhatkyBan!$C139:Q139)</f>
        <v>26</v>
      </c>
      <c r="R139" s="21">
        <f>SUM(NhatkyNhap!$C139:R139)-SUM(NhatkyBan!$C139:R139)</f>
        <v>26</v>
      </c>
      <c r="S139" s="21">
        <f>SUM(NhatkyNhap!$C139:S139)-SUM(NhatkyBan!$C139:S139)</f>
        <v>26</v>
      </c>
      <c r="T139" s="21">
        <f>SUM(NhatkyNhap!$C139:T139)-SUM(NhatkyBan!$C139:T139)</f>
        <v>26</v>
      </c>
      <c r="U139" s="21">
        <f>SUM(NhatkyNhap!$C139:U139)-SUM(NhatkyBan!$C139:U139)</f>
        <v>26</v>
      </c>
      <c r="V139" s="21">
        <f>SUM(NhatkyNhap!$C139:V139)-SUM(NhatkyBan!$C139:V139)</f>
        <v>26</v>
      </c>
      <c r="W139" s="21">
        <f>SUM(NhatkyNhap!$C139:W139)-SUM(NhatkyBan!$C139:W139)</f>
        <v>26</v>
      </c>
      <c r="X139" s="21">
        <f>SUM(NhatkyNhap!$C139:X139)-SUM(NhatkyBan!$C139:X139)</f>
        <v>26</v>
      </c>
      <c r="Y139" s="21">
        <f>SUM(NhatkyNhap!$C139:Y139)-SUM(NhatkyBan!$C139:Y139)</f>
        <v>26</v>
      </c>
      <c r="Z139" s="21">
        <f>SUM(NhatkyNhap!$C139:Z139)-SUM(NhatkyBan!$C139:Z139)</f>
        <v>26</v>
      </c>
      <c r="AA139" s="21">
        <f>SUM(NhatkyNhap!$C139:AA139)-SUM(NhatkyBan!$C139:AA139)</f>
        <v>26</v>
      </c>
      <c r="AB139" s="21">
        <f>SUM(NhatkyNhap!$C139:AB139)-SUM(NhatkyBan!$C139:AB139)</f>
        <v>26</v>
      </c>
      <c r="AC139" s="21">
        <f>SUM(NhatkyNhap!$C139:AC139)-SUM(NhatkyBan!$C139:AC139)</f>
        <v>26</v>
      </c>
      <c r="AD139" s="21">
        <f>SUM(NhatkyNhap!$C139:AD139)-SUM(NhatkyBan!$C139:AD139)</f>
        <v>26</v>
      </c>
      <c r="AE139" s="21">
        <f>SUM(NhatkyNhap!$C139:AE139)-SUM(NhatkyBan!$C139:AE139)</f>
        <v>26</v>
      </c>
      <c r="AF139" s="21">
        <f>SUM(NhatkyNhap!$C139:AF139)-SUM(NhatkyBan!$C139:AF139)</f>
        <v>26</v>
      </c>
      <c r="AG139" s="21">
        <f>SUM(NhatkyNhap!$C139:AG139)-SUM(NhatkyBan!$C139:AG139)</f>
        <v>26</v>
      </c>
    </row>
    <row r="140" spans="1:33" ht="12.75" customHeight="1">
      <c r="A140" s="76" t="str">
        <f>DSSP!A139</f>
        <v>DS09</v>
      </c>
      <c r="B140" s="25" t="str">
        <f>DSSP!B139</f>
        <v>Đầu tạo hình</v>
      </c>
      <c r="C140" s="21">
        <f>SUM(NhatkyNhap!$C140:C140)-SUM(NhatkyBan!$C140:C140)</f>
        <v>27</v>
      </c>
      <c r="D140" s="21">
        <f>SUM(NhatkyNhap!$C140:D140)-SUM(NhatkyBan!$C140:D140)</f>
        <v>27</v>
      </c>
      <c r="E140" s="21">
        <f>SUM(NhatkyNhap!$C140:E140)-SUM(NhatkyBan!$C140:E140)</f>
        <v>27</v>
      </c>
      <c r="F140" s="21">
        <f>SUM(NhatkyNhap!$C140:F140)-SUM(NhatkyBan!$C140:F140)</f>
        <v>27</v>
      </c>
      <c r="G140" s="21">
        <f>SUM(NhatkyNhap!$C140:G140)-SUM(NhatkyBan!$C140:G140)</f>
        <v>27</v>
      </c>
      <c r="H140" s="21">
        <f>SUM(NhatkyNhap!$C140:H140)-SUM(NhatkyBan!$C140:H140)</f>
        <v>27</v>
      </c>
      <c r="I140" s="21">
        <f>SUM(NhatkyNhap!$C140:I140)-SUM(NhatkyBan!$C140:I140)</f>
        <v>27</v>
      </c>
      <c r="J140" s="21">
        <f>SUM(NhatkyNhap!$C140:J140)-SUM(NhatkyBan!$C140:J140)</f>
        <v>27</v>
      </c>
      <c r="K140" s="21">
        <f>SUM(NhatkyNhap!$C140:K140)-SUM(NhatkyBan!$C140:K140)</f>
        <v>27</v>
      </c>
      <c r="L140" s="21">
        <f>SUM(NhatkyNhap!$C140:L140)-SUM(NhatkyBan!$C140:L140)</f>
        <v>27</v>
      </c>
      <c r="M140" s="21">
        <f>SUM(NhatkyNhap!$C140:M140)-SUM(NhatkyBan!$C140:M140)</f>
        <v>27</v>
      </c>
      <c r="N140" s="21">
        <f>SUM(NhatkyNhap!$C140:N140)-SUM(NhatkyBan!$C140:N140)</f>
        <v>27</v>
      </c>
      <c r="O140" s="21">
        <f>SUM(NhatkyNhap!$C140:O140)-SUM(NhatkyBan!$C140:O140)</f>
        <v>27</v>
      </c>
      <c r="P140" s="21">
        <f>SUM(NhatkyNhap!$C140:P140)-SUM(NhatkyBan!$C140:P140)</f>
        <v>27</v>
      </c>
      <c r="Q140" s="21">
        <f>SUM(NhatkyNhap!$C140:Q140)-SUM(NhatkyBan!$C140:Q140)</f>
        <v>27</v>
      </c>
      <c r="R140" s="21">
        <f>SUM(NhatkyNhap!$C140:R140)-SUM(NhatkyBan!$C140:R140)</f>
        <v>27</v>
      </c>
      <c r="S140" s="21">
        <f>SUM(NhatkyNhap!$C140:S140)-SUM(NhatkyBan!$C140:S140)</f>
        <v>27</v>
      </c>
      <c r="T140" s="21">
        <f>SUM(NhatkyNhap!$C140:T140)-SUM(NhatkyBan!$C140:T140)</f>
        <v>27</v>
      </c>
      <c r="U140" s="21">
        <f>SUM(NhatkyNhap!$C140:U140)-SUM(NhatkyBan!$C140:U140)</f>
        <v>27</v>
      </c>
      <c r="V140" s="21">
        <f>SUM(NhatkyNhap!$C140:V140)-SUM(NhatkyBan!$C140:V140)</f>
        <v>27</v>
      </c>
      <c r="W140" s="21">
        <f>SUM(NhatkyNhap!$C140:W140)-SUM(NhatkyBan!$C140:W140)</f>
        <v>27</v>
      </c>
      <c r="X140" s="21">
        <f>SUM(NhatkyNhap!$C140:X140)-SUM(NhatkyBan!$C140:X140)</f>
        <v>27</v>
      </c>
      <c r="Y140" s="21">
        <f>SUM(NhatkyNhap!$C140:Y140)-SUM(NhatkyBan!$C140:Y140)</f>
        <v>27</v>
      </c>
      <c r="Z140" s="21">
        <f>SUM(NhatkyNhap!$C140:Z140)-SUM(NhatkyBan!$C140:Z140)</f>
        <v>27</v>
      </c>
      <c r="AA140" s="21">
        <f>SUM(NhatkyNhap!$C140:AA140)-SUM(NhatkyBan!$C140:AA140)</f>
        <v>27</v>
      </c>
      <c r="AB140" s="21">
        <f>SUM(NhatkyNhap!$C140:AB140)-SUM(NhatkyBan!$C140:AB140)</f>
        <v>27</v>
      </c>
      <c r="AC140" s="21">
        <f>SUM(NhatkyNhap!$C140:AC140)-SUM(NhatkyBan!$C140:AC140)</f>
        <v>27</v>
      </c>
      <c r="AD140" s="21">
        <f>SUM(NhatkyNhap!$C140:AD140)-SUM(NhatkyBan!$C140:AD140)</f>
        <v>27</v>
      </c>
      <c r="AE140" s="21">
        <f>SUM(NhatkyNhap!$C140:AE140)-SUM(NhatkyBan!$C140:AE140)</f>
        <v>27</v>
      </c>
      <c r="AF140" s="21">
        <f>SUM(NhatkyNhap!$C140:AF140)-SUM(NhatkyBan!$C140:AF140)</f>
        <v>27</v>
      </c>
      <c r="AG140" s="21">
        <f>SUM(NhatkyNhap!$C140:AG140)-SUM(NhatkyBan!$C140:AG140)</f>
        <v>27</v>
      </c>
    </row>
    <row r="141" spans="1:33" ht="12.75" customHeight="1">
      <c r="A141" s="76" t="str">
        <f>DSSP!A140</f>
        <v>DS10</v>
      </c>
      <c r="B141" s="25" t="str">
        <f>DSSP!B140</f>
        <v>Sơn bóng</v>
      </c>
      <c r="C141" s="21">
        <f>SUM(NhatkyNhap!$C141:C141)-SUM(NhatkyBan!$C141:C141)</f>
        <v>13</v>
      </c>
      <c r="D141" s="21">
        <f>SUM(NhatkyNhap!$C141:D141)-SUM(NhatkyBan!$C141:D141)</f>
        <v>13</v>
      </c>
      <c r="E141" s="21">
        <f>SUM(NhatkyNhap!$C141:E141)-SUM(NhatkyBan!$C141:E141)</f>
        <v>13</v>
      </c>
      <c r="F141" s="21">
        <f>SUM(NhatkyNhap!$C141:F141)-SUM(NhatkyBan!$C141:F141)</f>
        <v>13</v>
      </c>
      <c r="G141" s="21">
        <f>SUM(NhatkyNhap!$C141:G141)-SUM(NhatkyBan!$C141:G141)</f>
        <v>13</v>
      </c>
      <c r="H141" s="21">
        <f>SUM(NhatkyNhap!$C141:H141)-SUM(NhatkyBan!$C141:H141)</f>
        <v>13</v>
      </c>
      <c r="I141" s="21">
        <f>SUM(NhatkyNhap!$C141:I141)-SUM(NhatkyBan!$C141:I141)</f>
        <v>13</v>
      </c>
      <c r="J141" s="21">
        <f>SUM(NhatkyNhap!$C141:J141)-SUM(NhatkyBan!$C141:J141)</f>
        <v>13</v>
      </c>
      <c r="K141" s="21">
        <f>SUM(NhatkyNhap!$C141:K141)-SUM(NhatkyBan!$C141:K141)</f>
        <v>13</v>
      </c>
      <c r="L141" s="21">
        <f>SUM(NhatkyNhap!$C141:L141)-SUM(NhatkyBan!$C141:L141)</f>
        <v>13</v>
      </c>
      <c r="M141" s="21">
        <f>SUM(NhatkyNhap!$C141:M141)-SUM(NhatkyBan!$C141:M141)</f>
        <v>13</v>
      </c>
      <c r="N141" s="21">
        <f>SUM(NhatkyNhap!$C141:N141)-SUM(NhatkyBan!$C141:N141)</f>
        <v>13</v>
      </c>
      <c r="O141" s="21">
        <f>SUM(NhatkyNhap!$C141:O141)-SUM(NhatkyBan!$C141:O141)</f>
        <v>13</v>
      </c>
      <c r="P141" s="21">
        <f>SUM(NhatkyNhap!$C141:P141)-SUM(NhatkyBan!$C141:P141)</f>
        <v>13</v>
      </c>
      <c r="Q141" s="21">
        <f>SUM(NhatkyNhap!$C141:Q141)-SUM(NhatkyBan!$C141:Q141)</f>
        <v>13</v>
      </c>
      <c r="R141" s="21">
        <f>SUM(NhatkyNhap!$C141:R141)-SUM(NhatkyBan!$C141:R141)</f>
        <v>13</v>
      </c>
      <c r="S141" s="21">
        <f>SUM(NhatkyNhap!$C141:S141)-SUM(NhatkyBan!$C141:S141)</f>
        <v>13</v>
      </c>
      <c r="T141" s="21">
        <f>SUM(NhatkyNhap!$C141:T141)-SUM(NhatkyBan!$C141:T141)</f>
        <v>13</v>
      </c>
      <c r="U141" s="21">
        <f>SUM(NhatkyNhap!$C141:U141)-SUM(NhatkyBan!$C141:U141)</f>
        <v>13</v>
      </c>
      <c r="V141" s="21">
        <f>SUM(NhatkyNhap!$C141:V141)-SUM(NhatkyBan!$C141:V141)</f>
        <v>13</v>
      </c>
      <c r="W141" s="21">
        <f>SUM(NhatkyNhap!$C141:W141)-SUM(NhatkyBan!$C141:W141)</f>
        <v>13</v>
      </c>
      <c r="X141" s="21">
        <f>SUM(NhatkyNhap!$C141:X141)-SUM(NhatkyBan!$C141:X141)</f>
        <v>13</v>
      </c>
      <c r="Y141" s="21">
        <f>SUM(NhatkyNhap!$C141:Y141)-SUM(NhatkyBan!$C141:Y141)</f>
        <v>13</v>
      </c>
      <c r="Z141" s="21">
        <f>SUM(NhatkyNhap!$C141:Z141)-SUM(NhatkyBan!$C141:Z141)</f>
        <v>13</v>
      </c>
      <c r="AA141" s="21">
        <f>SUM(NhatkyNhap!$C141:AA141)-SUM(NhatkyBan!$C141:AA141)</f>
        <v>13</v>
      </c>
      <c r="AB141" s="21">
        <f>SUM(NhatkyNhap!$C141:AB141)-SUM(NhatkyBan!$C141:AB141)</f>
        <v>13</v>
      </c>
      <c r="AC141" s="21">
        <f>SUM(NhatkyNhap!$C141:AC141)-SUM(NhatkyBan!$C141:AC141)</f>
        <v>13</v>
      </c>
      <c r="AD141" s="21">
        <f>SUM(NhatkyNhap!$C141:AD141)-SUM(NhatkyBan!$C141:AD141)</f>
        <v>13</v>
      </c>
      <c r="AE141" s="21">
        <f>SUM(NhatkyNhap!$C141:AE141)-SUM(NhatkyBan!$C141:AE141)</f>
        <v>13</v>
      </c>
      <c r="AF141" s="21">
        <f>SUM(NhatkyNhap!$C141:AF141)-SUM(NhatkyBan!$C141:AF141)</f>
        <v>13</v>
      </c>
      <c r="AG141" s="21">
        <f>SUM(NhatkyNhap!$C141:AG141)-SUM(NhatkyBan!$C141:AG141)</f>
        <v>13</v>
      </c>
    </row>
    <row r="142" spans="1:33" ht="12.75" customHeight="1">
      <c r="A142" s="76" t="str">
        <f>DSSP!A141</f>
        <v>DS11</v>
      </c>
      <c r="B142" s="25" t="str">
        <f>DSSP!B141</f>
        <v>Set màu</v>
      </c>
      <c r="C142" s="21">
        <f>SUM(NhatkyNhap!$C142:C142)-SUM(NhatkyBan!$C142:C142)</f>
        <v>22</v>
      </c>
      <c r="D142" s="21">
        <f>SUM(NhatkyNhap!$C142:D142)-SUM(NhatkyBan!$C142:D142)</f>
        <v>22</v>
      </c>
      <c r="E142" s="21">
        <f>SUM(NhatkyNhap!$C142:E142)-SUM(NhatkyBan!$C142:E142)</f>
        <v>22</v>
      </c>
      <c r="F142" s="21">
        <f>SUM(NhatkyNhap!$C142:F142)-SUM(NhatkyBan!$C142:F142)</f>
        <v>22</v>
      </c>
      <c r="G142" s="21">
        <f>SUM(NhatkyNhap!$C142:G142)-SUM(NhatkyBan!$C142:G142)</f>
        <v>22</v>
      </c>
      <c r="H142" s="21">
        <f>SUM(NhatkyNhap!$C142:H142)-SUM(NhatkyBan!$C142:H142)</f>
        <v>22</v>
      </c>
      <c r="I142" s="21">
        <f>SUM(NhatkyNhap!$C142:I142)-SUM(NhatkyBan!$C142:I142)</f>
        <v>22</v>
      </c>
      <c r="J142" s="21">
        <f>SUM(NhatkyNhap!$C142:J142)-SUM(NhatkyBan!$C142:J142)</f>
        <v>22</v>
      </c>
      <c r="K142" s="21">
        <f>SUM(NhatkyNhap!$C142:K142)-SUM(NhatkyBan!$C142:K142)</f>
        <v>22</v>
      </c>
      <c r="L142" s="21">
        <f>SUM(NhatkyNhap!$C142:L142)-SUM(NhatkyBan!$C142:L142)</f>
        <v>22</v>
      </c>
      <c r="M142" s="21">
        <f>SUM(NhatkyNhap!$C142:M142)-SUM(NhatkyBan!$C142:M142)</f>
        <v>22</v>
      </c>
      <c r="N142" s="21">
        <f>SUM(NhatkyNhap!$C142:N142)-SUM(NhatkyBan!$C142:N142)</f>
        <v>22</v>
      </c>
      <c r="O142" s="21">
        <f>SUM(NhatkyNhap!$C142:O142)-SUM(NhatkyBan!$C142:O142)</f>
        <v>22</v>
      </c>
      <c r="P142" s="21">
        <f>SUM(NhatkyNhap!$C142:P142)-SUM(NhatkyBan!$C142:P142)</f>
        <v>22</v>
      </c>
      <c r="Q142" s="21">
        <f>SUM(NhatkyNhap!$C142:Q142)-SUM(NhatkyBan!$C142:Q142)</f>
        <v>22</v>
      </c>
      <c r="R142" s="21">
        <f>SUM(NhatkyNhap!$C142:R142)-SUM(NhatkyBan!$C142:R142)</f>
        <v>22</v>
      </c>
      <c r="S142" s="21">
        <f>SUM(NhatkyNhap!$C142:S142)-SUM(NhatkyBan!$C142:S142)</f>
        <v>22</v>
      </c>
      <c r="T142" s="21">
        <f>SUM(NhatkyNhap!$C142:T142)-SUM(NhatkyBan!$C142:T142)</f>
        <v>22</v>
      </c>
      <c r="U142" s="21">
        <f>SUM(NhatkyNhap!$C142:U142)-SUM(NhatkyBan!$C142:U142)</f>
        <v>22</v>
      </c>
      <c r="V142" s="21">
        <f>SUM(NhatkyNhap!$C142:V142)-SUM(NhatkyBan!$C142:V142)</f>
        <v>22</v>
      </c>
      <c r="W142" s="21">
        <f>SUM(NhatkyNhap!$C142:W142)-SUM(NhatkyBan!$C142:W142)</f>
        <v>22</v>
      </c>
      <c r="X142" s="21">
        <f>SUM(NhatkyNhap!$C142:X142)-SUM(NhatkyBan!$C142:X142)</f>
        <v>22</v>
      </c>
      <c r="Y142" s="21">
        <f>SUM(NhatkyNhap!$C142:Y142)-SUM(NhatkyBan!$C142:Y142)</f>
        <v>22</v>
      </c>
      <c r="Z142" s="21">
        <f>SUM(NhatkyNhap!$C142:Z142)-SUM(NhatkyBan!$C142:Z142)</f>
        <v>22</v>
      </c>
      <c r="AA142" s="21">
        <f>SUM(NhatkyNhap!$C142:AA142)-SUM(NhatkyBan!$C142:AA142)</f>
        <v>22</v>
      </c>
      <c r="AB142" s="21">
        <f>SUM(NhatkyNhap!$C142:AB142)-SUM(NhatkyBan!$C142:AB142)</f>
        <v>22</v>
      </c>
      <c r="AC142" s="21">
        <f>SUM(NhatkyNhap!$C142:AC142)-SUM(NhatkyBan!$C142:AC142)</f>
        <v>22</v>
      </c>
      <c r="AD142" s="21">
        <f>SUM(NhatkyNhap!$C142:AD142)-SUM(NhatkyBan!$C142:AD142)</f>
        <v>22</v>
      </c>
      <c r="AE142" s="21">
        <f>SUM(NhatkyNhap!$C142:AE142)-SUM(NhatkyBan!$C142:AE142)</f>
        <v>22</v>
      </c>
      <c r="AF142" s="21">
        <f>SUM(NhatkyNhap!$C142:AF142)-SUM(NhatkyBan!$C142:AF142)</f>
        <v>22</v>
      </c>
      <c r="AG142" s="21">
        <f>SUM(NhatkyNhap!$C142:AG142)-SUM(NhatkyBan!$C142:AG142)</f>
        <v>22</v>
      </c>
    </row>
    <row r="143" spans="1:33" ht="12.75" customHeight="1">
      <c r="A143" s="76" t="str">
        <f>DSSP!A142</f>
        <v>DS12</v>
      </c>
      <c r="B143" s="25" t="str">
        <f>DSSP!B142</f>
        <v>Bút vẽ</v>
      </c>
      <c r="C143" s="21">
        <f>SUM(NhatkyNhap!$C143:C143)-SUM(NhatkyBan!$C143:C143)</f>
        <v>11</v>
      </c>
      <c r="D143" s="21">
        <f>SUM(NhatkyNhap!$C143:D143)-SUM(NhatkyBan!$C143:D143)</f>
        <v>11</v>
      </c>
      <c r="E143" s="21">
        <f>SUM(NhatkyNhap!$C143:E143)-SUM(NhatkyBan!$C143:E143)</f>
        <v>11</v>
      </c>
      <c r="F143" s="21">
        <f>SUM(NhatkyNhap!$C143:F143)-SUM(NhatkyBan!$C143:F143)</f>
        <v>11</v>
      </c>
      <c r="G143" s="21">
        <f>SUM(NhatkyNhap!$C143:G143)-SUM(NhatkyBan!$C143:G143)</f>
        <v>11</v>
      </c>
      <c r="H143" s="21">
        <f>SUM(NhatkyNhap!$C143:H143)-SUM(NhatkyBan!$C143:H143)</f>
        <v>11</v>
      </c>
      <c r="I143" s="21">
        <f>SUM(NhatkyNhap!$C143:I143)-SUM(NhatkyBan!$C143:I143)</f>
        <v>11</v>
      </c>
      <c r="J143" s="21">
        <f>SUM(NhatkyNhap!$C143:J143)-SUM(NhatkyBan!$C143:J143)</f>
        <v>11</v>
      </c>
      <c r="K143" s="21">
        <f>SUM(NhatkyNhap!$C143:K143)-SUM(NhatkyBan!$C143:K143)</f>
        <v>11</v>
      </c>
      <c r="L143" s="21">
        <f>SUM(NhatkyNhap!$C143:L143)-SUM(NhatkyBan!$C143:L143)</f>
        <v>11</v>
      </c>
      <c r="M143" s="21">
        <f>SUM(NhatkyNhap!$C143:M143)-SUM(NhatkyBan!$C143:M143)</f>
        <v>11</v>
      </c>
      <c r="N143" s="21">
        <f>SUM(NhatkyNhap!$C143:N143)-SUM(NhatkyBan!$C143:N143)</f>
        <v>11</v>
      </c>
      <c r="O143" s="21">
        <f>SUM(NhatkyNhap!$C143:O143)-SUM(NhatkyBan!$C143:O143)</f>
        <v>11</v>
      </c>
      <c r="P143" s="21">
        <f>SUM(NhatkyNhap!$C143:P143)-SUM(NhatkyBan!$C143:P143)</f>
        <v>11</v>
      </c>
      <c r="Q143" s="21">
        <f>SUM(NhatkyNhap!$C143:Q143)-SUM(NhatkyBan!$C143:Q143)</f>
        <v>11</v>
      </c>
      <c r="R143" s="21">
        <f>SUM(NhatkyNhap!$C143:R143)-SUM(NhatkyBan!$C143:R143)</f>
        <v>11</v>
      </c>
      <c r="S143" s="21">
        <f>SUM(NhatkyNhap!$C143:S143)-SUM(NhatkyBan!$C143:S143)</f>
        <v>11</v>
      </c>
      <c r="T143" s="21">
        <f>SUM(NhatkyNhap!$C143:T143)-SUM(NhatkyBan!$C143:T143)</f>
        <v>11</v>
      </c>
      <c r="U143" s="21">
        <f>SUM(NhatkyNhap!$C143:U143)-SUM(NhatkyBan!$C143:U143)</f>
        <v>11</v>
      </c>
      <c r="V143" s="21">
        <f>SUM(NhatkyNhap!$C143:V143)-SUM(NhatkyBan!$C143:V143)</f>
        <v>11</v>
      </c>
      <c r="W143" s="21">
        <f>SUM(NhatkyNhap!$C143:W143)-SUM(NhatkyBan!$C143:W143)</f>
        <v>11</v>
      </c>
      <c r="X143" s="21">
        <f>SUM(NhatkyNhap!$C143:X143)-SUM(NhatkyBan!$C143:X143)</f>
        <v>11</v>
      </c>
      <c r="Y143" s="21">
        <f>SUM(NhatkyNhap!$C143:Y143)-SUM(NhatkyBan!$C143:Y143)</f>
        <v>11</v>
      </c>
      <c r="Z143" s="21">
        <f>SUM(NhatkyNhap!$C143:Z143)-SUM(NhatkyBan!$C143:Z143)</f>
        <v>11</v>
      </c>
      <c r="AA143" s="21">
        <f>SUM(NhatkyNhap!$C143:AA143)-SUM(NhatkyBan!$C143:AA143)</f>
        <v>11</v>
      </c>
      <c r="AB143" s="21">
        <f>SUM(NhatkyNhap!$C143:AB143)-SUM(NhatkyBan!$C143:AB143)</f>
        <v>11</v>
      </c>
      <c r="AC143" s="21">
        <f>SUM(NhatkyNhap!$C143:AC143)-SUM(NhatkyBan!$C143:AC143)</f>
        <v>11</v>
      </c>
      <c r="AD143" s="21">
        <f>SUM(NhatkyNhap!$C143:AD143)-SUM(NhatkyBan!$C143:AD143)</f>
        <v>11</v>
      </c>
      <c r="AE143" s="21">
        <f>SUM(NhatkyNhap!$C143:AE143)-SUM(NhatkyBan!$C143:AE143)</f>
        <v>11</v>
      </c>
      <c r="AF143" s="21">
        <f>SUM(NhatkyNhap!$C143:AF143)-SUM(NhatkyBan!$C143:AF143)</f>
        <v>11</v>
      </c>
      <c r="AG143" s="21">
        <f>SUM(NhatkyNhap!$C143:AG143)-SUM(NhatkyBan!$C143:AG143)</f>
        <v>11</v>
      </c>
    </row>
    <row r="144" spans="1:33" ht="12.75" customHeight="1">
      <c r="A144" s="76" t="str">
        <f>DSSP!A143</f>
        <v>DS13</v>
      </c>
      <c r="B144" s="25" t="str">
        <f>DSSP!B143</f>
        <v>Đất sét hoa quả</v>
      </c>
      <c r="C144" s="21">
        <f>SUM(NhatkyNhap!$C144:C144)-SUM(NhatkyBan!$C144:C144)</f>
        <v>0</v>
      </c>
      <c r="D144" s="21">
        <f>SUM(NhatkyNhap!$C144:D144)-SUM(NhatkyBan!$C144:D144)</f>
        <v>0</v>
      </c>
      <c r="E144" s="21">
        <f>SUM(NhatkyNhap!$C144:E144)-SUM(NhatkyBan!$C144:E144)</f>
        <v>0</v>
      </c>
      <c r="F144" s="21">
        <f>SUM(NhatkyNhap!$C144:F144)-SUM(NhatkyBan!$C144:F144)</f>
        <v>0</v>
      </c>
      <c r="G144" s="21">
        <f>SUM(NhatkyNhap!$C144:G144)-SUM(NhatkyBan!$C144:G144)</f>
        <v>0</v>
      </c>
      <c r="H144" s="21">
        <f>SUM(NhatkyNhap!$C144:H144)-SUM(NhatkyBan!$C144:H144)</f>
        <v>0</v>
      </c>
      <c r="I144" s="21">
        <f>SUM(NhatkyNhap!$C144:I144)-SUM(NhatkyBan!$C144:I144)</f>
        <v>0</v>
      </c>
      <c r="J144" s="21">
        <f>SUM(NhatkyNhap!$C144:J144)-SUM(NhatkyBan!$C144:J144)</f>
        <v>0</v>
      </c>
      <c r="K144" s="21">
        <f>SUM(NhatkyNhap!$C144:K144)-SUM(NhatkyBan!$C144:K144)</f>
        <v>0</v>
      </c>
      <c r="L144" s="21">
        <f>SUM(NhatkyNhap!$C144:L144)-SUM(NhatkyBan!$C144:L144)</f>
        <v>0</v>
      </c>
      <c r="M144" s="21">
        <f>SUM(NhatkyNhap!$C144:M144)-SUM(NhatkyBan!$C144:M144)</f>
        <v>0</v>
      </c>
      <c r="N144" s="21">
        <f>SUM(NhatkyNhap!$C144:N144)-SUM(NhatkyBan!$C144:N144)</f>
        <v>0</v>
      </c>
      <c r="O144" s="21">
        <f>SUM(NhatkyNhap!$C144:O144)-SUM(NhatkyBan!$C144:O144)</f>
        <v>0</v>
      </c>
      <c r="P144" s="21">
        <f>SUM(NhatkyNhap!$C144:P144)-SUM(NhatkyBan!$C144:P144)</f>
        <v>0</v>
      </c>
      <c r="Q144" s="21">
        <f>SUM(NhatkyNhap!$C144:Q144)-SUM(NhatkyBan!$C144:Q144)</f>
        <v>0</v>
      </c>
      <c r="R144" s="21">
        <f>SUM(NhatkyNhap!$C144:R144)-SUM(NhatkyBan!$C144:R144)</f>
        <v>0</v>
      </c>
      <c r="S144" s="21">
        <f>SUM(NhatkyNhap!$C144:S144)-SUM(NhatkyBan!$C144:S144)</f>
        <v>0</v>
      </c>
      <c r="T144" s="21">
        <f>SUM(NhatkyNhap!$C144:T144)-SUM(NhatkyBan!$C144:T144)</f>
        <v>0</v>
      </c>
      <c r="U144" s="21">
        <f>SUM(NhatkyNhap!$C144:U144)-SUM(NhatkyBan!$C144:U144)</f>
        <v>0</v>
      </c>
      <c r="V144" s="21">
        <f>SUM(NhatkyNhap!$C144:V144)-SUM(NhatkyBan!$C144:V144)</f>
        <v>0</v>
      </c>
      <c r="W144" s="21">
        <f>SUM(NhatkyNhap!$C144:W144)-SUM(NhatkyBan!$C144:W144)</f>
        <v>0</v>
      </c>
      <c r="X144" s="21">
        <f>SUM(NhatkyNhap!$C144:X144)-SUM(NhatkyBan!$C144:X144)</f>
        <v>0</v>
      </c>
      <c r="Y144" s="21">
        <f>SUM(NhatkyNhap!$C144:Y144)-SUM(NhatkyBan!$C144:Y144)</f>
        <v>0</v>
      </c>
      <c r="Z144" s="21">
        <f>SUM(NhatkyNhap!$C144:Z144)-SUM(NhatkyBan!$C144:Z144)</f>
        <v>0</v>
      </c>
      <c r="AA144" s="21">
        <f>SUM(NhatkyNhap!$C144:AA144)-SUM(NhatkyBan!$C144:AA144)</f>
        <v>0</v>
      </c>
      <c r="AB144" s="21">
        <f>SUM(NhatkyNhap!$C144:AB144)-SUM(NhatkyBan!$C144:AB144)</f>
        <v>0</v>
      </c>
      <c r="AC144" s="21">
        <f>SUM(NhatkyNhap!$C144:AC144)-SUM(NhatkyBan!$C144:AC144)</f>
        <v>0</v>
      </c>
      <c r="AD144" s="21">
        <f>SUM(NhatkyNhap!$C144:AD144)-SUM(NhatkyBan!$C144:AD144)</f>
        <v>0</v>
      </c>
      <c r="AE144" s="21">
        <f>SUM(NhatkyNhap!$C144:AE144)-SUM(NhatkyBan!$C144:AE144)</f>
        <v>0</v>
      </c>
      <c r="AF144" s="21">
        <f>SUM(NhatkyNhap!$C144:AF144)-SUM(NhatkyBan!$C144:AF144)</f>
        <v>0</v>
      </c>
      <c r="AG144" s="21">
        <f>SUM(NhatkyNhap!$C144:AG144)-SUM(NhatkyBan!$C144:AG144)</f>
        <v>0</v>
      </c>
    </row>
    <row r="145" spans="1:33" ht="12.75" customHeight="1">
      <c r="A145" s="76" t="str">
        <f>DSSP!A144</f>
        <v>DS14</v>
      </c>
      <c r="B145" s="25" t="str">
        <f>DSSP!B144</f>
        <v>Đất sét hoa quả thanh</v>
      </c>
      <c r="C145" s="21">
        <f>SUM(NhatkyNhap!$C145:C145)-SUM(NhatkyBan!$C145:C145)</f>
        <v>1</v>
      </c>
      <c r="D145" s="21">
        <f>SUM(NhatkyNhap!$C145:D145)-SUM(NhatkyBan!$C145:D145)</f>
        <v>1</v>
      </c>
      <c r="E145" s="21">
        <f>SUM(NhatkyNhap!$C145:E145)-SUM(NhatkyBan!$C145:E145)</f>
        <v>1</v>
      </c>
      <c r="F145" s="21">
        <f>SUM(NhatkyNhap!$C145:F145)-SUM(NhatkyBan!$C145:F145)</f>
        <v>1</v>
      </c>
      <c r="G145" s="21">
        <f>SUM(NhatkyNhap!$C145:G145)-SUM(NhatkyBan!$C145:G145)</f>
        <v>1</v>
      </c>
      <c r="H145" s="21">
        <f>SUM(NhatkyNhap!$C145:H145)-SUM(NhatkyBan!$C145:H145)</f>
        <v>1</v>
      </c>
      <c r="I145" s="21">
        <f>SUM(NhatkyNhap!$C145:I145)-SUM(NhatkyBan!$C145:I145)</f>
        <v>1</v>
      </c>
      <c r="J145" s="21">
        <f>SUM(NhatkyNhap!$C145:J145)-SUM(NhatkyBan!$C145:J145)</f>
        <v>1</v>
      </c>
      <c r="K145" s="21">
        <f>SUM(NhatkyNhap!$C145:K145)-SUM(NhatkyBan!$C145:K145)</f>
        <v>1</v>
      </c>
      <c r="L145" s="21">
        <f>SUM(NhatkyNhap!$C145:L145)-SUM(NhatkyBan!$C145:L145)</f>
        <v>1</v>
      </c>
      <c r="M145" s="21">
        <f>SUM(NhatkyNhap!$C145:M145)-SUM(NhatkyBan!$C145:M145)</f>
        <v>1</v>
      </c>
      <c r="N145" s="21">
        <f>SUM(NhatkyNhap!$C145:N145)-SUM(NhatkyBan!$C145:N145)</f>
        <v>1</v>
      </c>
      <c r="O145" s="21">
        <f>SUM(NhatkyNhap!$C145:O145)-SUM(NhatkyBan!$C145:O145)</f>
        <v>1</v>
      </c>
      <c r="P145" s="21">
        <f>SUM(NhatkyNhap!$C145:P145)-SUM(NhatkyBan!$C145:P145)</f>
        <v>1</v>
      </c>
      <c r="Q145" s="21">
        <f>SUM(NhatkyNhap!$C145:Q145)-SUM(NhatkyBan!$C145:Q145)</f>
        <v>1</v>
      </c>
      <c r="R145" s="21">
        <f>SUM(NhatkyNhap!$C145:R145)-SUM(NhatkyBan!$C145:R145)</f>
        <v>1</v>
      </c>
      <c r="S145" s="21">
        <f>SUM(NhatkyNhap!$C145:S145)-SUM(NhatkyBan!$C145:S145)</f>
        <v>1</v>
      </c>
      <c r="T145" s="21">
        <f>SUM(NhatkyNhap!$C145:T145)-SUM(NhatkyBan!$C145:T145)</f>
        <v>1</v>
      </c>
      <c r="U145" s="21">
        <f>SUM(NhatkyNhap!$C145:U145)-SUM(NhatkyBan!$C145:U145)</f>
        <v>1</v>
      </c>
      <c r="V145" s="21">
        <f>SUM(NhatkyNhap!$C145:V145)-SUM(NhatkyBan!$C145:V145)</f>
        <v>1</v>
      </c>
      <c r="W145" s="21">
        <f>SUM(NhatkyNhap!$C145:W145)-SUM(NhatkyBan!$C145:W145)</f>
        <v>1</v>
      </c>
      <c r="X145" s="21">
        <f>SUM(NhatkyNhap!$C145:X145)-SUM(NhatkyBan!$C145:X145)</f>
        <v>1</v>
      </c>
      <c r="Y145" s="21">
        <f>SUM(NhatkyNhap!$C145:Y145)-SUM(NhatkyBan!$C145:Y145)</f>
        <v>1</v>
      </c>
      <c r="Z145" s="21">
        <f>SUM(NhatkyNhap!$C145:Z145)-SUM(NhatkyBan!$C145:Z145)</f>
        <v>1</v>
      </c>
      <c r="AA145" s="21">
        <f>SUM(NhatkyNhap!$C145:AA145)-SUM(NhatkyBan!$C145:AA145)</f>
        <v>1</v>
      </c>
      <c r="AB145" s="21">
        <f>SUM(NhatkyNhap!$C145:AB145)-SUM(NhatkyBan!$C145:AB145)</f>
        <v>1</v>
      </c>
      <c r="AC145" s="21">
        <f>SUM(NhatkyNhap!$C145:AC145)-SUM(NhatkyBan!$C145:AC145)</f>
        <v>1</v>
      </c>
      <c r="AD145" s="21">
        <f>SUM(NhatkyNhap!$C145:AD145)-SUM(NhatkyBan!$C145:AD145)</f>
        <v>1</v>
      </c>
      <c r="AE145" s="21">
        <f>SUM(NhatkyNhap!$C145:AE145)-SUM(NhatkyBan!$C145:AE145)</f>
        <v>1</v>
      </c>
      <c r="AF145" s="21">
        <f>SUM(NhatkyNhap!$C145:AF145)-SUM(NhatkyBan!$C145:AF145)</f>
        <v>1</v>
      </c>
      <c r="AG145" s="21">
        <f>SUM(NhatkyNhap!$C145:AG145)-SUM(NhatkyBan!$C145:AG145)</f>
        <v>1</v>
      </c>
    </row>
    <row r="146" spans="1:33" ht="12.75" customHeight="1">
      <c r="A146" s="76" t="str">
        <f>DSSP!A145</f>
        <v>DS15</v>
      </c>
      <c r="B146" s="25" t="str">
        <f>DSSP!B145</f>
        <v>Lọ thủy tinh</v>
      </c>
      <c r="C146" s="21">
        <f>SUM(NhatkyNhap!$C146:C146)-SUM(NhatkyBan!$C146:C146)</f>
        <v>-1</v>
      </c>
      <c r="D146" s="21">
        <f>SUM(NhatkyNhap!$C146:D146)-SUM(NhatkyBan!$C146:D146)</f>
        <v>-1</v>
      </c>
      <c r="E146" s="21">
        <f>SUM(NhatkyNhap!$C146:E146)-SUM(NhatkyBan!$C146:E146)</f>
        <v>-1</v>
      </c>
      <c r="F146" s="21">
        <f>SUM(NhatkyNhap!$C146:F146)-SUM(NhatkyBan!$C146:F146)</f>
        <v>-1</v>
      </c>
      <c r="G146" s="21">
        <f>SUM(NhatkyNhap!$C146:G146)-SUM(NhatkyBan!$C146:G146)</f>
        <v>-1</v>
      </c>
      <c r="H146" s="21">
        <f>SUM(NhatkyNhap!$C146:H146)-SUM(NhatkyBan!$C146:H146)</f>
        <v>-1</v>
      </c>
      <c r="I146" s="21">
        <f>SUM(NhatkyNhap!$C146:I146)-SUM(NhatkyBan!$C146:I146)</f>
        <v>-1</v>
      </c>
      <c r="J146" s="21">
        <f>SUM(NhatkyNhap!$C146:J146)-SUM(NhatkyBan!$C146:J146)</f>
        <v>-1</v>
      </c>
      <c r="K146" s="21">
        <f>SUM(NhatkyNhap!$C146:K146)-SUM(NhatkyBan!$C146:K146)</f>
        <v>-1</v>
      </c>
      <c r="L146" s="21">
        <f>SUM(NhatkyNhap!$C146:L146)-SUM(NhatkyBan!$C146:L146)</f>
        <v>-1</v>
      </c>
      <c r="M146" s="21">
        <f>SUM(NhatkyNhap!$C146:M146)-SUM(NhatkyBan!$C146:M146)</f>
        <v>-1</v>
      </c>
      <c r="N146" s="21">
        <f>SUM(NhatkyNhap!$C146:N146)-SUM(NhatkyBan!$C146:N146)</f>
        <v>-1</v>
      </c>
      <c r="O146" s="21">
        <f>SUM(NhatkyNhap!$C146:O146)-SUM(NhatkyBan!$C146:O146)</f>
        <v>-1</v>
      </c>
      <c r="P146" s="21">
        <f>SUM(NhatkyNhap!$C146:P146)-SUM(NhatkyBan!$C146:P146)</f>
        <v>-1</v>
      </c>
      <c r="Q146" s="21">
        <f>SUM(NhatkyNhap!$C146:Q146)-SUM(NhatkyBan!$C146:Q146)</f>
        <v>-1</v>
      </c>
      <c r="R146" s="21">
        <f>SUM(NhatkyNhap!$C146:R146)-SUM(NhatkyBan!$C146:R146)</f>
        <v>-1</v>
      </c>
      <c r="S146" s="21">
        <f>SUM(NhatkyNhap!$C146:S146)-SUM(NhatkyBan!$C146:S146)</f>
        <v>-1</v>
      </c>
      <c r="T146" s="21">
        <f>SUM(NhatkyNhap!$C146:T146)-SUM(NhatkyBan!$C146:T146)</f>
        <v>-1</v>
      </c>
      <c r="U146" s="21">
        <f>SUM(NhatkyNhap!$C146:U146)-SUM(NhatkyBan!$C146:U146)</f>
        <v>-1</v>
      </c>
      <c r="V146" s="21">
        <f>SUM(NhatkyNhap!$C146:V146)-SUM(NhatkyBan!$C146:V146)</f>
        <v>-1</v>
      </c>
      <c r="W146" s="21">
        <f>SUM(NhatkyNhap!$C146:W146)-SUM(NhatkyBan!$C146:W146)</f>
        <v>-1</v>
      </c>
      <c r="X146" s="21">
        <f>SUM(NhatkyNhap!$C146:X146)-SUM(NhatkyBan!$C146:X146)</f>
        <v>-1</v>
      </c>
      <c r="Y146" s="21">
        <f>SUM(NhatkyNhap!$C146:Y146)-SUM(NhatkyBan!$C146:Y146)</f>
        <v>-1</v>
      </c>
      <c r="Z146" s="21">
        <f>SUM(NhatkyNhap!$C146:Z146)-SUM(NhatkyBan!$C146:Z146)</f>
        <v>-1</v>
      </c>
      <c r="AA146" s="21">
        <f>SUM(NhatkyNhap!$C146:AA146)-SUM(NhatkyBan!$C146:AA146)</f>
        <v>-1</v>
      </c>
      <c r="AB146" s="21">
        <f>SUM(NhatkyNhap!$C146:AB146)-SUM(NhatkyBan!$C146:AB146)</f>
        <v>-1</v>
      </c>
      <c r="AC146" s="21">
        <f>SUM(NhatkyNhap!$C146:AC146)-SUM(NhatkyBan!$C146:AC146)</f>
        <v>-1</v>
      </c>
      <c r="AD146" s="21">
        <f>SUM(NhatkyNhap!$C146:AD146)-SUM(NhatkyBan!$C146:AD146)</f>
        <v>-1</v>
      </c>
      <c r="AE146" s="21">
        <f>SUM(NhatkyNhap!$C146:AE146)-SUM(NhatkyBan!$C146:AE146)</f>
        <v>-1</v>
      </c>
      <c r="AF146" s="21">
        <f>SUM(NhatkyNhap!$C146:AF146)-SUM(NhatkyBan!$C146:AF146)</f>
        <v>-1</v>
      </c>
      <c r="AG146" s="21">
        <f>SUM(NhatkyNhap!$C146:AG146)-SUM(NhatkyBan!$C146:AG146)</f>
        <v>-1</v>
      </c>
    </row>
    <row r="147" spans="1:33" ht="12.75" customHeight="1">
      <c r="A147" s="76" t="str">
        <f>DSSP!A146</f>
        <v>DS16</v>
      </c>
      <c r="B147" s="25" t="str">
        <f>DSSP!B146</f>
        <v>Combo classic</v>
      </c>
      <c r="C147" s="21">
        <f>SUM(NhatkyNhap!$C147:C147)-SUM(NhatkyBan!$C147:C147)</f>
        <v>0</v>
      </c>
      <c r="D147" s="21">
        <f>SUM(NhatkyNhap!$C147:D147)-SUM(NhatkyBan!$C147:D147)</f>
        <v>0</v>
      </c>
      <c r="E147" s="21">
        <f>SUM(NhatkyNhap!$C147:E147)-SUM(NhatkyBan!$C147:E147)</f>
        <v>0</v>
      </c>
      <c r="F147" s="21">
        <f>SUM(NhatkyNhap!$C147:F147)-SUM(NhatkyBan!$C147:F147)</f>
        <v>0</v>
      </c>
      <c r="G147" s="21">
        <f>SUM(NhatkyNhap!$C147:G147)-SUM(NhatkyBan!$C147:G147)</f>
        <v>0</v>
      </c>
      <c r="H147" s="21">
        <f>SUM(NhatkyNhap!$C147:H147)-SUM(NhatkyBan!$C147:H147)</f>
        <v>0</v>
      </c>
      <c r="I147" s="21">
        <f>SUM(NhatkyNhap!$C147:I147)-SUM(NhatkyBan!$C147:I147)</f>
        <v>0</v>
      </c>
      <c r="J147" s="21">
        <f>SUM(NhatkyNhap!$C147:J147)-SUM(NhatkyBan!$C147:J147)</f>
        <v>0</v>
      </c>
      <c r="K147" s="21">
        <f>SUM(NhatkyNhap!$C147:K147)-SUM(NhatkyBan!$C147:K147)</f>
        <v>0</v>
      </c>
      <c r="L147" s="21">
        <f>SUM(NhatkyNhap!$C147:L147)-SUM(NhatkyBan!$C147:L147)</f>
        <v>0</v>
      </c>
      <c r="M147" s="21">
        <f>SUM(NhatkyNhap!$C147:M147)-SUM(NhatkyBan!$C147:M147)</f>
        <v>0</v>
      </c>
      <c r="N147" s="21">
        <f>SUM(NhatkyNhap!$C147:N147)-SUM(NhatkyBan!$C147:N147)</f>
        <v>0</v>
      </c>
      <c r="O147" s="21">
        <f>SUM(NhatkyNhap!$C147:O147)-SUM(NhatkyBan!$C147:O147)</f>
        <v>0</v>
      </c>
      <c r="P147" s="21">
        <f>SUM(NhatkyNhap!$C147:P147)-SUM(NhatkyBan!$C147:P147)</f>
        <v>0</v>
      </c>
      <c r="Q147" s="21">
        <f>SUM(NhatkyNhap!$C147:Q147)-SUM(NhatkyBan!$C147:Q147)</f>
        <v>0</v>
      </c>
      <c r="R147" s="21">
        <f>SUM(NhatkyNhap!$C147:R147)-SUM(NhatkyBan!$C147:R147)</f>
        <v>0</v>
      </c>
      <c r="S147" s="21">
        <f>SUM(NhatkyNhap!$C147:S147)-SUM(NhatkyBan!$C147:S147)</f>
        <v>0</v>
      </c>
      <c r="T147" s="21">
        <f>SUM(NhatkyNhap!$C147:T147)-SUM(NhatkyBan!$C147:T147)</f>
        <v>0</v>
      </c>
      <c r="U147" s="21">
        <f>SUM(NhatkyNhap!$C147:U147)-SUM(NhatkyBan!$C147:U147)</f>
        <v>0</v>
      </c>
      <c r="V147" s="21">
        <f>SUM(NhatkyNhap!$C147:V147)-SUM(NhatkyBan!$C147:V147)</f>
        <v>0</v>
      </c>
      <c r="W147" s="21">
        <f>SUM(NhatkyNhap!$C147:W147)-SUM(NhatkyBan!$C147:W147)</f>
        <v>0</v>
      </c>
      <c r="X147" s="21">
        <f>SUM(NhatkyNhap!$C147:X147)-SUM(NhatkyBan!$C147:X147)</f>
        <v>0</v>
      </c>
      <c r="Y147" s="21">
        <f>SUM(NhatkyNhap!$C147:Y147)-SUM(NhatkyBan!$C147:Y147)</f>
        <v>0</v>
      </c>
      <c r="Z147" s="21">
        <f>SUM(NhatkyNhap!$C147:Z147)-SUM(NhatkyBan!$C147:Z147)</f>
        <v>0</v>
      </c>
      <c r="AA147" s="21">
        <f>SUM(NhatkyNhap!$C147:AA147)-SUM(NhatkyBan!$C147:AA147)</f>
        <v>0</v>
      </c>
      <c r="AB147" s="21">
        <f>SUM(NhatkyNhap!$C147:AB147)-SUM(NhatkyBan!$C147:AB147)</f>
        <v>0</v>
      </c>
      <c r="AC147" s="21">
        <f>SUM(NhatkyNhap!$C147:AC147)-SUM(NhatkyBan!$C147:AC147)</f>
        <v>0</v>
      </c>
      <c r="AD147" s="21">
        <f>SUM(NhatkyNhap!$C147:AD147)-SUM(NhatkyBan!$C147:AD147)</f>
        <v>0</v>
      </c>
      <c r="AE147" s="21">
        <f>SUM(NhatkyNhap!$C147:AE147)-SUM(NhatkyBan!$C147:AE147)</f>
        <v>0</v>
      </c>
      <c r="AF147" s="21">
        <f>SUM(NhatkyNhap!$C147:AF147)-SUM(NhatkyBan!$C147:AF147)</f>
        <v>0</v>
      </c>
      <c r="AG147" s="21">
        <f>SUM(NhatkyNhap!$C147:AG147)-SUM(NhatkyBan!$C147:AG147)</f>
        <v>0</v>
      </c>
    </row>
    <row r="148" spans="1:33" ht="12.75" customHeight="1">
      <c r="A148" s="76" t="str">
        <f>DSSP!A147</f>
        <v>DS17</v>
      </c>
      <c r="B148" s="25" t="str">
        <f>DSSP!B147</f>
        <v>Combo bánh</v>
      </c>
      <c r="C148" s="21">
        <f>SUM(NhatkyNhap!$C148:C148)-SUM(NhatkyBan!$C148:C148)</f>
        <v>0</v>
      </c>
      <c r="D148" s="21">
        <f>SUM(NhatkyNhap!$C148:D148)-SUM(NhatkyBan!$C148:D148)</f>
        <v>0</v>
      </c>
      <c r="E148" s="21">
        <f>SUM(NhatkyNhap!$C148:E148)-SUM(NhatkyBan!$C148:E148)</f>
        <v>0</v>
      </c>
      <c r="F148" s="21">
        <f>SUM(NhatkyNhap!$C148:F148)-SUM(NhatkyBan!$C148:F148)</f>
        <v>0</v>
      </c>
      <c r="G148" s="21">
        <f>SUM(NhatkyNhap!$C148:G148)-SUM(NhatkyBan!$C148:G148)</f>
        <v>0</v>
      </c>
      <c r="H148" s="21">
        <f>SUM(NhatkyNhap!$C148:H148)-SUM(NhatkyBan!$C148:H148)</f>
        <v>0</v>
      </c>
      <c r="I148" s="21">
        <f>SUM(NhatkyNhap!$C148:I148)-SUM(NhatkyBan!$C148:I148)</f>
        <v>0</v>
      </c>
      <c r="J148" s="21">
        <f>SUM(NhatkyNhap!$C148:J148)-SUM(NhatkyBan!$C148:J148)</f>
        <v>0</v>
      </c>
      <c r="K148" s="21">
        <f>SUM(NhatkyNhap!$C148:K148)-SUM(NhatkyBan!$C148:K148)</f>
        <v>0</v>
      </c>
      <c r="L148" s="21">
        <f>SUM(NhatkyNhap!$C148:L148)-SUM(NhatkyBan!$C148:L148)</f>
        <v>0</v>
      </c>
      <c r="M148" s="21">
        <f>SUM(NhatkyNhap!$C148:M148)-SUM(NhatkyBan!$C148:M148)</f>
        <v>0</v>
      </c>
      <c r="N148" s="21">
        <f>SUM(NhatkyNhap!$C148:N148)-SUM(NhatkyBan!$C148:N148)</f>
        <v>0</v>
      </c>
      <c r="O148" s="21">
        <f>SUM(NhatkyNhap!$C148:O148)-SUM(NhatkyBan!$C148:O148)</f>
        <v>0</v>
      </c>
      <c r="P148" s="21">
        <f>SUM(NhatkyNhap!$C148:P148)-SUM(NhatkyBan!$C148:P148)</f>
        <v>0</v>
      </c>
      <c r="Q148" s="21">
        <f>SUM(NhatkyNhap!$C148:Q148)-SUM(NhatkyBan!$C148:Q148)</f>
        <v>0</v>
      </c>
      <c r="R148" s="21">
        <f>SUM(NhatkyNhap!$C148:R148)-SUM(NhatkyBan!$C148:R148)</f>
        <v>0</v>
      </c>
      <c r="S148" s="21">
        <f>SUM(NhatkyNhap!$C148:S148)-SUM(NhatkyBan!$C148:S148)</f>
        <v>0</v>
      </c>
      <c r="T148" s="21">
        <f>SUM(NhatkyNhap!$C148:T148)-SUM(NhatkyBan!$C148:T148)</f>
        <v>0</v>
      </c>
      <c r="U148" s="21">
        <f>SUM(NhatkyNhap!$C148:U148)-SUM(NhatkyBan!$C148:U148)</f>
        <v>0</v>
      </c>
      <c r="V148" s="21">
        <f>SUM(NhatkyNhap!$C148:V148)-SUM(NhatkyBan!$C148:V148)</f>
        <v>0</v>
      </c>
      <c r="W148" s="21">
        <f>SUM(NhatkyNhap!$C148:W148)-SUM(NhatkyBan!$C148:W148)</f>
        <v>0</v>
      </c>
      <c r="X148" s="21">
        <f>SUM(NhatkyNhap!$C148:X148)-SUM(NhatkyBan!$C148:X148)</f>
        <v>0</v>
      </c>
      <c r="Y148" s="21">
        <f>SUM(NhatkyNhap!$C148:Y148)-SUM(NhatkyBan!$C148:Y148)</f>
        <v>0</v>
      </c>
      <c r="Z148" s="21">
        <f>SUM(NhatkyNhap!$C148:Z148)-SUM(NhatkyBan!$C148:Z148)</f>
        <v>0</v>
      </c>
      <c r="AA148" s="21">
        <f>SUM(NhatkyNhap!$C148:AA148)-SUM(NhatkyBan!$C148:AA148)</f>
        <v>0</v>
      </c>
      <c r="AB148" s="21">
        <f>SUM(NhatkyNhap!$C148:AB148)-SUM(NhatkyBan!$C148:AB148)</f>
        <v>0</v>
      </c>
      <c r="AC148" s="21">
        <f>SUM(NhatkyNhap!$C148:AC148)-SUM(NhatkyBan!$C148:AC148)</f>
        <v>0</v>
      </c>
      <c r="AD148" s="21">
        <f>SUM(NhatkyNhap!$C148:AD148)-SUM(NhatkyBan!$C148:AD148)</f>
        <v>0</v>
      </c>
      <c r="AE148" s="21">
        <f>SUM(NhatkyNhap!$C148:AE148)-SUM(NhatkyBan!$C148:AE148)</f>
        <v>0</v>
      </c>
      <c r="AF148" s="21">
        <f>SUM(NhatkyNhap!$C148:AF148)-SUM(NhatkyBan!$C148:AF148)</f>
        <v>0</v>
      </c>
      <c r="AG148" s="21">
        <f>SUM(NhatkyNhap!$C148:AG148)-SUM(NhatkyBan!$C148:AG148)</f>
        <v>0</v>
      </c>
    </row>
    <row r="149" spans="1:33" ht="12.75" customHeight="1">
      <c r="A149" s="76" t="str">
        <f>DSSP!A148</f>
        <v>DS18</v>
      </c>
      <c r="B149" s="25" t="str">
        <f>DSSP!B148</f>
        <v>Tấm phơi</v>
      </c>
      <c r="C149" s="21">
        <f>SUM(NhatkyNhap!$C149:C149)-SUM(NhatkyBan!$C149:C149)</f>
        <v>86</v>
      </c>
      <c r="D149" s="21">
        <f>SUM(NhatkyNhap!$C149:D149)-SUM(NhatkyBan!$C149:D149)</f>
        <v>86</v>
      </c>
      <c r="E149" s="21">
        <f>SUM(NhatkyNhap!$C149:E149)-SUM(NhatkyBan!$C149:E149)</f>
        <v>86</v>
      </c>
      <c r="F149" s="21">
        <f>SUM(NhatkyNhap!$C149:F149)-SUM(NhatkyBan!$C149:F149)</f>
        <v>86</v>
      </c>
      <c r="G149" s="21">
        <f>SUM(NhatkyNhap!$C149:G149)-SUM(NhatkyBan!$C149:G149)</f>
        <v>86</v>
      </c>
      <c r="H149" s="21">
        <f>SUM(NhatkyNhap!$C149:H149)-SUM(NhatkyBan!$C149:H149)</f>
        <v>86</v>
      </c>
      <c r="I149" s="21">
        <f>SUM(NhatkyNhap!$C149:I149)-SUM(NhatkyBan!$C149:I149)</f>
        <v>86</v>
      </c>
      <c r="J149" s="21">
        <f>SUM(NhatkyNhap!$C149:J149)-SUM(NhatkyBan!$C149:J149)</f>
        <v>86</v>
      </c>
      <c r="K149" s="21">
        <f>SUM(NhatkyNhap!$C149:K149)-SUM(NhatkyBan!$C149:K149)</f>
        <v>86</v>
      </c>
      <c r="L149" s="21">
        <f>SUM(NhatkyNhap!$C149:L149)-SUM(NhatkyBan!$C149:L149)</f>
        <v>86</v>
      </c>
      <c r="M149" s="21">
        <f>SUM(NhatkyNhap!$C149:M149)-SUM(NhatkyBan!$C149:M149)</f>
        <v>86</v>
      </c>
      <c r="N149" s="21">
        <f>SUM(NhatkyNhap!$C149:N149)-SUM(NhatkyBan!$C149:N149)</f>
        <v>86</v>
      </c>
      <c r="O149" s="21">
        <f>SUM(NhatkyNhap!$C149:O149)-SUM(NhatkyBan!$C149:O149)</f>
        <v>86</v>
      </c>
      <c r="P149" s="21">
        <f>SUM(NhatkyNhap!$C149:P149)-SUM(NhatkyBan!$C149:P149)</f>
        <v>86</v>
      </c>
      <c r="Q149" s="21">
        <f>SUM(NhatkyNhap!$C149:Q149)-SUM(NhatkyBan!$C149:Q149)</f>
        <v>86</v>
      </c>
      <c r="R149" s="21">
        <f>SUM(NhatkyNhap!$C149:R149)-SUM(NhatkyBan!$C149:R149)</f>
        <v>86</v>
      </c>
      <c r="S149" s="21">
        <f>SUM(NhatkyNhap!$C149:S149)-SUM(NhatkyBan!$C149:S149)</f>
        <v>86</v>
      </c>
      <c r="T149" s="21">
        <f>SUM(NhatkyNhap!$C149:T149)-SUM(NhatkyBan!$C149:T149)</f>
        <v>86</v>
      </c>
      <c r="U149" s="21">
        <f>SUM(NhatkyNhap!$C149:U149)-SUM(NhatkyBan!$C149:U149)</f>
        <v>86</v>
      </c>
      <c r="V149" s="21">
        <f>SUM(NhatkyNhap!$C149:V149)-SUM(NhatkyBan!$C149:V149)</f>
        <v>86</v>
      </c>
      <c r="W149" s="21">
        <f>SUM(NhatkyNhap!$C149:W149)-SUM(NhatkyBan!$C149:W149)</f>
        <v>86</v>
      </c>
      <c r="X149" s="21">
        <f>SUM(NhatkyNhap!$C149:X149)-SUM(NhatkyBan!$C149:X149)</f>
        <v>86</v>
      </c>
      <c r="Y149" s="21">
        <f>SUM(NhatkyNhap!$C149:Y149)-SUM(NhatkyBan!$C149:Y149)</f>
        <v>86</v>
      </c>
      <c r="Z149" s="21">
        <f>SUM(NhatkyNhap!$C149:Z149)-SUM(NhatkyBan!$C149:Z149)</f>
        <v>86</v>
      </c>
      <c r="AA149" s="21">
        <f>SUM(NhatkyNhap!$C149:AA149)-SUM(NhatkyBan!$C149:AA149)</f>
        <v>86</v>
      </c>
      <c r="AB149" s="21">
        <f>SUM(NhatkyNhap!$C149:AB149)-SUM(NhatkyBan!$C149:AB149)</f>
        <v>86</v>
      </c>
      <c r="AC149" s="21">
        <f>SUM(NhatkyNhap!$C149:AC149)-SUM(NhatkyBan!$C149:AC149)</f>
        <v>86</v>
      </c>
      <c r="AD149" s="21">
        <f>SUM(NhatkyNhap!$C149:AD149)-SUM(NhatkyBan!$C149:AD149)</f>
        <v>86</v>
      </c>
      <c r="AE149" s="21">
        <f>SUM(NhatkyNhap!$C149:AE149)-SUM(NhatkyBan!$C149:AE149)</f>
        <v>86</v>
      </c>
      <c r="AF149" s="21">
        <f>SUM(NhatkyNhap!$C149:AF149)-SUM(NhatkyBan!$C149:AF149)</f>
        <v>86</v>
      </c>
      <c r="AG149" s="21">
        <f>SUM(NhatkyNhap!$C149:AG149)-SUM(NhatkyBan!$C149:AG149)</f>
        <v>86</v>
      </c>
    </row>
    <row r="150" spans="1:33" ht="12.75" customHeight="1">
      <c r="A150" s="76" t="str">
        <f>DSSP!A149</f>
        <v>DS19</v>
      </c>
      <c r="B150" s="25" t="str">
        <f>DSSP!B149</f>
        <v>Khuôn dập chữ số</v>
      </c>
      <c r="C150" s="21">
        <f>SUM(NhatkyNhap!$C150:C150)-SUM(NhatkyBan!$C150:C150)</f>
        <v>0</v>
      </c>
      <c r="D150" s="21">
        <f>SUM(NhatkyNhap!$C150:D150)-SUM(NhatkyBan!$C150:D150)</f>
        <v>0</v>
      </c>
      <c r="E150" s="21">
        <f>SUM(NhatkyNhap!$C150:E150)-SUM(NhatkyBan!$C150:E150)</f>
        <v>0</v>
      </c>
      <c r="F150" s="21">
        <f>SUM(NhatkyNhap!$C150:F150)-SUM(NhatkyBan!$C150:F150)</f>
        <v>0</v>
      </c>
      <c r="G150" s="21">
        <f>SUM(NhatkyNhap!$C150:G150)-SUM(NhatkyBan!$C150:G150)</f>
        <v>0</v>
      </c>
      <c r="H150" s="21">
        <f>SUM(NhatkyNhap!$C150:H150)-SUM(NhatkyBan!$C150:H150)</f>
        <v>0</v>
      </c>
      <c r="I150" s="21">
        <f>SUM(NhatkyNhap!$C150:I150)-SUM(NhatkyBan!$C150:I150)</f>
        <v>0</v>
      </c>
      <c r="J150" s="21">
        <f>SUM(NhatkyNhap!$C150:J150)-SUM(NhatkyBan!$C150:J150)</f>
        <v>0</v>
      </c>
      <c r="K150" s="21">
        <f>SUM(NhatkyNhap!$C150:K150)-SUM(NhatkyBan!$C150:K150)</f>
        <v>0</v>
      </c>
      <c r="L150" s="21">
        <f>SUM(NhatkyNhap!$C150:L150)-SUM(NhatkyBan!$C150:L150)</f>
        <v>0</v>
      </c>
      <c r="M150" s="21">
        <f>SUM(NhatkyNhap!$C150:M150)-SUM(NhatkyBan!$C150:M150)</f>
        <v>0</v>
      </c>
      <c r="N150" s="21">
        <f>SUM(NhatkyNhap!$C150:N150)-SUM(NhatkyBan!$C150:N150)</f>
        <v>0</v>
      </c>
      <c r="O150" s="21">
        <f>SUM(NhatkyNhap!$C150:O150)-SUM(NhatkyBan!$C150:O150)</f>
        <v>0</v>
      </c>
      <c r="P150" s="21">
        <f>SUM(NhatkyNhap!$C150:P150)-SUM(NhatkyBan!$C150:P150)</f>
        <v>0</v>
      </c>
      <c r="Q150" s="21">
        <f>SUM(NhatkyNhap!$C150:Q150)-SUM(NhatkyBan!$C150:Q150)</f>
        <v>0</v>
      </c>
      <c r="R150" s="21">
        <f>SUM(NhatkyNhap!$C150:R150)-SUM(NhatkyBan!$C150:R150)</f>
        <v>0</v>
      </c>
      <c r="S150" s="21">
        <f>SUM(NhatkyNhap!$C150:S150)-SUM(NhatkyBan!$C150:S150)</f>
        <v>0</v>
      </c>
      <c r="T150" s="21">
        <f>SUM(NhatkyNhap!$C150:T150)-SUM(NhatkyBan!$C150:T150)</f>
        <v>0</v>
      </c>
      <c r="U150" s="21">
        <f>SUM(NhatkyNhap!$C150:U150)-SUM(NhatkyBan!$C150:U150)</f>
        <v>0</v>
      </c>
      <c r="V150" s="21">
        <f>SUM(NhatkyNhap!$C150:V150)-SUM(NhatkyBan!$C150:V150)</f>
        <v>0</v>
      </c>
      <c r="W150" s="21">
        <f>SUM(NhatkyNhap!$C150:W150)-SUM(NhatkyBan!$C150:W150)</f>
        <v>0</v>
      </c>
      <c r="X150" s="21">
        <f>SUM(NhatkyNhap!$C150:X150)-SUM(NhatkyBan!$C150:X150)</f>
        <v>0</v>
      </c>
      <c r="Y150" s="21">
        <f>SUM(NhatkyNhap!$C150:Y150)-SUM(NhatkyBan!$C150:Y150)</f>
        <v>0</v>
      </c>
      <c r="Z150" s="21">
        <f>SUM(NhatkyNhap!$C150:Z150)-SUM(NhatkyBan!$C150:Z150)</f>
        <v>0</v>
      </c>
      <c r="AA150" s="21">
        <f>SUM(NhatkyNhap!$C150:AA150)-SUM(NhatkyBan!$C150:AA150)</f>
        <v>0</v>
      </c>
      <c r="AB150" s="21">
        <f>SUM(NhatkyNhap!$C150:AB150)-SUM(NhatkyBan!$C150:AB150)</f>
        <v>0</v>
      </c>
      <c r="AC150" s="21">
        <f>SUM(NhatkyNhap!$C150:AC150)-SUM(NhatkyBan!$C150:AC150)</f>
        <v>0</v>
      </c>
      <c r="AD150" s="21">
        <f>SUM(NhatkyNhap!$C150:AD150)-SUM(NhatkyBan!$C150:AD150)</f>
        <v>0</v>
      </c>
      <c r="AE150" s="21">
        <f>SUM(NhatkyNhap!$C150:AE150)-SUM(NhatkyBan!$C150:AE150)</f>
        <v>0</v>
      </c>
      <c r="AF150" s="21">
        <f>SUM(NhatkyNhap!$C150:AF150)-SUM(NhatkyBan!$C150:AF150)</f>
        <v>0</v>
      </c>
      <c r="AG150" s="21">
        <f>SUM(NhatkyNhap!$C150:AG150)-SUM(NhatkyBan!$C150:AG150)</f>
        <v>0</v>
      </c>
    </row>
    <row r="151" spans="1:33" ht="12.75" customHeight="1">
      <c r="A151" s="76" t="str">
        <f>DSSP!A150</f>
        <v>DS20</v>
      </c>
      <c r="B151" s="25" t="str">
        <f>DSSP!B150</f>
        <v>Cây lăn</v>
      </c>
      <c r="C151" s="21">
        <f>SUM(NhatkyNhap!$C151:C151)-SUM(NhatkyBan!$C151:C151)</f>
        <v>3</v>
      </c>
      <c r="D151" s="21">
        <f>SUM(NhatkyNhap!$C151:D151)-SUM(NhatkyBan!$C151:D151)</f>
        <v>3</v>
      </c>
      <c r="E151" s="21">
        <f>SUM(NhatkyNhap!$C151:E151)-SUM(NhatkyBan!$C151:E151)</f>
        <v>3</v>
      </c>
      <c r="F151" s="21">
        <f>SUM(NhatkyNhap!$C151:F151)-SUM(NhatkyBan!$C151:F151)</f>
        <v>3</v>
      </c>
      <c r="G151" s="21">
        <f>SUM(NhatkyNhap!$C151:G151)-SUM(NhatkyBan!$C151:G151)</f>
        <v>3</v>
      </c>
      <c r="H151" s="21">
        <f>SUM(NhatkyNhap!$C151:H151)-SUM(NhatkyBan!$C151:H151)</f>
        <v>3</v>
      </c>
      <c r="I151" s="21">
        <f>SUM(NhatkyNhap!$C151:I151)-SUM(NhatkyBan!$C151:I151)</f>
        <v>3</v>
      </c>
      <c r="J151" s="21">
        <f>SUM(NhatkyNhap!$C151:J151)-SUM(NhatkyBan!$C151:J151)</f>
        <v>3</v>
      </c>
      <c r="K151" s="21">
        <f>SUM(NhatkyNhap!$C151:K151)-SUM(NhatkyBan!$C151:K151)</f>
        <v>3</v>
      </c>
      <c r="L151" s="21">
        <f>SUM(NhatkyNhap!$C151:L151)-SUM(NhatkyBan!$C151:L151)</f>
        <v>3</v>
      </c>
      <c r="M151" s="21">
        <f>SUM(NhatkyNhap!$C151:M151)-SUM(NhatkyBan!$C151:M151)</f>
        <v>3</v>
      </c>
      <c r="N151" s="21">
        <f>SUM(NhatkyNhap!$C151:N151)-SUM(NhatkyBan!$C151:N151)</f>
        <v>3</v>
      </c>
      <c r="O151" s="21">
        <f>SUM(NhatkyNhap!$C151:O151)-SUM(NhatkyBan!$C151:O151)</f>
        <v>3</v>
      </c>
      <c r="P151" s="21">
        <f>SUM(NhatkyNhap!$C151:P151)-SUM(NhatkyBan!$C151:P151)</f>
        <v>3</v>
      </c>
      <c r="Q151" s="21">
        <f>SUM(NhatkyNhap!$C151:Q151)-SUM(NhatkyBan!$C151:Q151)</f>
        <v>3</v>
      </c>
      <c r="R151" s="21">
        <f>SUM(NhatkyNhap!$C151:R151)-SUM(NhatkyBan!$C151:R151)</f>
        <v>3</v>
      </c>
      <c r="S151" s="21">
        <f>SUM(NhatkyNhap!$C151:S151)-SUM(NhatkyBan!$C151:S151)</f>
        <v>3</v>
      </c>
      <c r="T151" s="21">
        <f>SUM(NhatkyNhap!$C151:T151)-SUM(NhatkyBan!$C151:T151)</f>
        <v>3</v>
      </c>
      <c r="U151" s="21">
        <f>SUM(NhatkyNhap!$C151:U151)-SUM(NhatkyBan!$C151:U151)</f>
        <v>3</v>
      </c>
      <c r="V151" s="21">
        <f>SUM(NhatkyNhap!$C151:V151)-SUM(NhatkyBan!$C151:V151)</f>
        <v>3</v>
      </c>
      <c r="W151" s="21">
        <f>SUM(NhatkyNhap!$C151:W151)-SUM(NhatkyBan!$C151:W151)</f>
        <v>3</v>
      </c>
      <c r="X151" s="21">
        <f>SUM(NhatkyNhap!$C151:X151)-SUM(NhatkyBan!$C151:X151)</f>
        <v>3</v>
      </c>
      <c r="Y151" s="21">
        <f>SUM(NhatkyNhap!$C151:Y151)-SUM(NhatkyBan!$C151:Y151)</f>
        <v>3</v>
      </c>
      <c r="Z151" s="21">
        <f>SUM(NhatkyNhap!$C151:Z151)-SUM(NhatkyBan!$C151:Z151)</f>
        <v>3</v>
      </c>
      <c r="AA151" s="21">
        <f>SUM(NhatkyNhap!$C151:AA151)-SUM(NhatkyBan!$C151:AA151)</f>
        <v>3</v>
      </c>
      <c r="AB151" s="21">
        <f>SUM(NhatkyNhap!$C151:AB151)-SUM(NhatkyBan!$C151:AB151)</f>
        <v>3</v>
      </c>
      <c r="AC151" s="21">
        <f>SUM(NhatkyNhap!$C151:AC151)-SUM(NhatkyBan!$C151:AC151)</f>
        <v>3</v>
      </c>
      <c r="AD151" s="21">
        <f>SUM(NhatkyNhap!$C151:AD151)-SUM(NhatkyBan!$C151:AD151)</f>
        <v>3</v>
      </c>
      <c r="AE151" s="21">
        <f>SUM(NhatkyNhap!$C151:AE151)-SUM(NhatkyBan!$C151:AE151)</f>
        <v>3</v>
      </c>
      <c r="AF151" s="21">
        <f>SUM(NhatkyNhap!$C151:AF151)-SUM(NhatkyBan!$C151:AF151)</f>
        <v>3</v>
      </c>
      <c r="AG151" s="21">
        <f>SUM(NhatkyNhap!$C151:AG151)-SUM(NhatkyBan!$C151:AG151)</f>
        <v>3</v>
      </c>
    </row>
    <row r="152" spans="1:33" ht="12.75" customHeight="1">
      <c r="A152" s="76" t="str">
        <f>DSSP!A151</f>
        <v>GC01</v>
      </c>
      <c r="B152" s="25" t="str">
        <f>DSSP!B151</f>
        <v>Dây cói</v>
      </c>
      <c r="C152" s="21">
        <f>SUM(NhatkyNhap!$C152:C152)-SUM(NhatkyBan!$C152:C152)</f>
        <v>180</v>
      </c>
      <c r="D152" s="21">
        <f>SUM(NhatkyNhap!$C152:D152)-SUM(NhatkyBan!$C152:D152)</f>
        <v>180</v>
      </c>
      <c r="E152" s="21">
        <f>SUM(NhatkyNhap!$C152:E152)-SUM(NhatkyBan!$C152:E152)</f>
        <v>180</v>
      </c>
      <c r="F152" s="21">
        <f>SUM(NhatkyNhap!$C152:F152)-SUM(NhatkyBan!$C152:F152)</f>
        <v>180</v>
      </c>
      <c r="G152" s="21">
        <f>SUM(NhatkyNhap!$C152:G152)-SUM(NhatkyBan!$C152:G152)</f>
        <v>180</v>
      </c>
      <c r="H152" s="21">
        <f>SUM(NhatkyNhap!$C152:H152)-SUM(NhatkyBan!$C152:H152)</f>
        <v>180</v>
      </c>
      <c r="I152" s="21">
        <f>SUM(NhatkyNhap!$C152:I152)-SUM(NhatkyBan!$C152:I152)</f>
        <v>180</v>
      </c>
      <c r="J152" s="21">
        <f>SUM(NhatkyNhap!$C152:J152)-SUM(NhatkyBan!$C152:J152)</f>
        <v>180</v>
      </c>
      <c r="K152" s="21">
        <f>SUM(NhatkyNhap!$C152:K152)-SUM(NhatkyBan!$C152:K152)</f>
        <v>180</v>
      </c>
      <c r="L152" s="21">
        <f>SUM(NhatkyNhap!$C152:L152)-SUM(NhatkyBan!$C152:L152)</f>
        <v>180</v>
      </c>
      <c r="M152" s="21">
        <f>SUM(NhatkyNhap!$C152:M152)-SUM(NhatkyBan!$C152:M152)</f>
        <v>180</v>
      </c>
      <c r="N152" s="21">
        <f>SUM(NhatkyNhap!$C152:N152)-SUM(NhatkyBan!$C152:N152)</f>
        <v>180</v>
      </c>
      <c r="O152" s="21">
        <f>SUM(NhatkyNhap!$C152:O152)-SUM(NhatkyBan!$C152:O152)</f>
        <v>180</v>
      </c>
      <c r="P152" s="21">
        <f>SUM(NhatkyNhap!$C152:P152)-SUM(NhatkyBan!$C152:P152)</f>
        <v>180</v>
      </c>
      <c r="Q152" s="21">
        <f>SUM(NhatkyNhap!$C152:Q152)-SUM(NhatkyBan!$C152:Q152)</f>
        <v>180</v>
      </c>
      <c r="R152" s="21">
        <f>SUM(NhatkyNhap!$C152:R152)-SUM(NhatkyBan!$C152:R152)</f>
        <v>180</v>
      </c>
      <c r="S152" s="21">
        <f>SUM(NhatkyNhap!$C152:S152)-SUM(NhatkyBan!$C152:S152)</f>
        <v>180</v>
      </c>
      <c r="T152" s="21">
        <f>SUM(NhatkyNhap!$C152:T152)-SUM(NhatkyBan!$C152:T152)</f>
        <v>180</v>
      </c>
      <c r="U152" s="21">
        <f>SUM(NhatkyNhap!$C152:U152)-SUM(NhatkyBan!$C152:U152)</f>
        <v>180</v>
      </c>
      <c r="V152" s="21">
        <f>SUM(NhatkyNhap!$C152:V152)-SUM(NhatkyBan!$C152:V152)</f>
        <v>180</v>
      </c>
      <c r="W152" s="21">
        <f>SUM(NhatkyNhap!$C152:W152)-SUM(NhatkyBan!$C152:W152)</f>
        <v>180</v>
      </c>
      <c r="X152" s="21">
        <f>SUM(NhatkyNhap!$C152:X152)-SUM(NhatkyBan!$C152:X152)</f>
        <v>180</v>
      </c>
      <c r="Y152" s="21">
        <f>SUM(NhatkyNhap!$C152:Y152)-SUM(NhatkyBan!$C152:Y152)</f>
        <v>180</v>
      </c>
      <c r="Z152" s="21">
        <f>SUM(NhatkyNhap!$C152:Z152)-SUM(NhatkyBan!$C152:Z152)</f>
        <v>180</v>
      </c>
      <c r="AA152" s="21">
        <f>SUM(NhatkyNhap!$C152:AA152)-SUM(NhatkyBan!$C152:AA152)</f>
        <v>180</v>
      </c>
      <c r="AB152" s="21">
        <f>SUM(NhatkyNhap!$C152:AB152)-SUM(NhatkyBan!$C152:AB152)</f>
        <v>180</v>
      </c>
      <c r="AC152" s="21">
        <f>SUM(NhatkyNhap!$C152:AC152)-SUM(NhatkyBan!$C152:AC152)</f>
        <v>180</v>
      </c>
      <c r="AD152" s="21">
        <f>SUM(NhatkyNhap!$C152:AD152)-SUM(NhatkyBan!$C152:AD152)</f>
        <v>180</v>
      </c>
      <c r="AE152" s="21">
        <f>SUM(NhatkyNhap!$C152:AE152)-SUM(NhatkyBan!$C152:AE152)</f>
        <v>180</v>
      </c>
      <c r="AF152" s="21">
        <f>SUM(NhatkyNhap!$C152:AF152)-SUM(NhatkyBan!$C152:AF152)</f>
        <v>180</v>
      </c>
      <c r="AG152" s="21">
        <f>SUM(NhatkyNhap!$C152:AG152)-SUM(NhatkyBan!$C152:AG152)</f>
        <v>180</v>
      </c>
    </row>
    <row r="153" spans="1:33" ht="12.75" customHeight="1">
      <c r="A153" s="76" t="str">
        <f>DSSP!A152</f>
        <v>GC02</v>
      </c>
      <c r="B153" s="25" t="str">
        <f>DSSP!B152</f>
        <v>Dây da lộn</v>
      </c>
      <c r="C153" s="21">
        <f>SUM(NhatkyNhap!$C153:C153)-SUM(NhatkyBan!$C153:C153)</f>
        <v>-198</v>
      </c>
      <c r="D153" s="21">
        <f>SUM(NhatkyNhap!$C153:D153)-SUM(NhatkyBan!$C153:D153)</f>
        <v>-198</v>
      </c>
      <c r="E153" s="21">
        <f>SUM(NhatkyNhap!$C153:E153)-SUM(NhatkyBan!$C153:E153)</f>
        <v>-198</v>
      </c>
      <c r="F153" s="21">
        <f>SUM(NhatkyNhap!$C153:F153)-SUM(NhatkyBan!$C153:F153)</f>
        <v>-198</v>
      </c>
      <c r="G153" s="21">
        <f>SUM(NhatkyNhap!$C153:G153)-SUM(NhatkyBan!$C153:G153)</f>
        <v>-198</v>
      </c>
      <c r="H153" s="21">
        <f>SUM(NhatkyNhap!$C153:H153)-SUM(NhatkyBan!$C153:H153)</f>
        <v>-198</v>
      </c>
      <c r="I153" s="21">
        <f>SUM(NhatkyNhap!$C153:I153)-SUM(NhatkyBan!$C153:I153)</f>
        <v>-198</v>
      </c>
      <c r="J153" s="21">
        <f>SUM(NhatkyNhap!$C153:J153)-SUM(NhatkyBan!$C153:J153)</f>
        <v>-198</v>
      </c>
      <c r="K153" s="21">
        <f>SUM(NhatkyNhap!$C153:K153)-SUM(NhatkyBan!$C153:K153)</f>
        <v>-198</v>
      </c>
      <c r="L153" s="21">
        <f>SUM(NhatkyNhap!$C153:L153)-SUM(NhatkyBan!$C153:L153)</f>
        <v>-198</v>
      </c>
      <c r="M153" s="21">
        <f>SUM(NhatkyNhap!$C153:M153)-SUM(NhatkyBan!$C153:M153)</f>
        <v>-198</v>
      </c>
      <c r="N153" s="21">
        <f>SUM(NhatkyNhap!$C153:N153)-SUM(NhatkyBan!$C153:N153)</f>
        <v>-198</v>
      </c>
      <c r="O153" s="21">
        <f>SUM(NhatkyNhap!$C153:O153)-SUM(NhatkyBan!$C153:O153)</f>
        <v>-198</v>
      </c>
      <c r="P153" s="21">
        <f>SUM(NhatkyNhap!$C153:P153)-SUM(NhatkyBan!$C153:P153)</f>
        <v>-198</v>
      </c>
      <c r="Q153" s="21">
        <f>SUM(NhatkyNhap!$C153:Q153)-SUM(NhatkyBan!$C153:Q153)</f>
        <v>-198</v>
      </c>
      <c r="R153" s="21">
        <f>SUM(NhatkyNhap!$C153:R153)-SUM(NhatkyBan!$C153:R153)</f>
        <v>-198</v>
      </c>
      <c r="S153" s="21">
        <f>SUM(NhatkyNhap!$C153:S153)-SUM(NhatkyBan!$C153:S153)</f>
        <v>-198</v>
      </c>
      <c r="T153" s="21">
        <f>SUM(NhatkyNhap!$C153:T153)-SUM(NhatkyBan!$C153:T153)</f>
        <v>-198</v>
      </c>
      <c r="U153" s="21">
        <f>SUM(NhatkyNhap!$C153:U153)-SUM(NhatkyBan!$C153:U153)</f>
        <v>-198</v>
      </c>
      <c r="V153" s="21">
        <f>SUM(NhatkyNhap!$C153:V153)-SUM(NhatkyBan!$C153:V153)</f>
        <v>-198</v>
      </c>
      <c r="W153" s="21">
        <f>SUM(NhatkyNhap!$C153:W153)-SUM(NhatkyBan!$C153:W153)</f>
        <v>-198</v>
      </c>
      <c r="X153" s="21">
        <f>SUM(NhatkyNhap!$C153:X153)-SUM(NhatkyBan!$C153:X153)</f>
        <v>-198</v>
      </c>
      <c r="Y153" s="21">
        <f>SUM(NhatkyNhap!$C153:Y153)-SUM(NhatkyBan!$C153:Y153)</f>
        <v>-198</v>
      </c>
      <c r="Z153" s="21">
        <f>SUM(NhatkyNhap!$C153:Z153)-SUM(NhatkyBan!$C153:Z153)</f>
        <v>-198</v>
      </c>
      <c r="AA153" s="21">
        <f>SUM(NhatkyNhap!$C153:AA153)-SUM(NhatkyBan!$C153:AA153)</f>
        <v>-198</v>
      </c>
      <c r="AB153" s="21">
        <f>SUM(NhatkyNhap!$C153:AB153)-SUM(NhatkyBan!$C153:AB153)</f>
        <v>-198</v>
      </c>
      <c r="AC153" s="21">
        <f>SUM(NhatkyNhap!$C153:AC153)-SUM(NhatkyBan!$C153:AC153)</f>
        <v>-198</v>
      </c>
      <c r="AD153" s="21">
        <f>SUM(NhatkyNhap!$C153:AD153)-SUM(NhatkyBan!$C153:AD153)</f>
        <v>-198</v>
      </c>
      <c r="AE153" s="21">
        <f>SUM(NhatkyNhap!$C153:AE153)-SUM(NhatkyBan!$C153:AE153)</f>
        <v>-198</v>
      </c>
      <c r="AF153" s="21">
        <f>SUM(NhatkyNhap!$C153:AF153)-SUM(NhatkyBan!$C153:AF153)</f>
        <v>-198</v>
      </c>
      <c r="AG153" s="21">
        <f>SUM(NhatkyNhap!$C153:AG153)-SUM(NhatkyBan!$C153:AG153)</f>
        <v>-198</v>
      </c>
    </row>
    <row r="154" spans="1:33" ht="12.75" customHeight="1">
      <c r="A154" s="76" t="str">
        <f>DSSP!A153</f>
        <v>GC03</v>
      </c>
      <c r="B154" s="25" t="str">
        <f>DSSP!B153</f>
        <v>Dây xích</v>
      </c>
      <c r="C154" s="21">
        <f>SUM(NhatkyNhap!$C154:C154)-SUM(NhatkyBan!$C154:C154)</f>
        <v>0</v>
      </c>
      <c r="D154" s="21">
        <f>SUM(NhatkyNhap!$C154:D154)-SUM(NhatkyBan!$C154:D154)</f>
        <v>0</v>
      </c>
      <c r="E154" s="21">
        <f>SUM(NhatkyNhap!$C154:E154)-SUM(NhatkyBan!$C154:E154)</f>
        <v>0</v>
      </c>
      <c r="F154" s="21">
        <f>SUM(NhatkyNhap!$C154:F154)-SUM(NhatkyBan!$C154:F154)</f>
        <v>0</v>
      </c>
      <c r="G154" s="21">
        <f>SUM(NhatkyNhap!$C154:G154)-SUM(NhatkyBan!$C154:G154)</f>
        <v>0</v>
      </c>
      <c r="H154" s="21">
        <f>SUM(NhatkyNhap!$C154:H154)-SUM(NhatkyBan!$C154:H154)</f>
        <v>0</v>
      </c>
      <c r="I154" s="21">
        <f>SUM(NhatkyNhap!$C154:I154)-SUM(NhatkyBan!$C154:I154)</f>
        <v>0</v>
      </c>
      <c r="J154" s="21">
        <f>SUM(NhatkyNhap!$C154:J154)-SUM(NhatkyBan!$C154:J154)</f>
        <v>0</v>
      </c>
      <c r="K154" s="21">
        <f>SUM(NhatkyNhap!$C154:K154)-SUM(NhatkyBan!$C154:K154)</f>
        <v>0</v>
      </c>
      <c r="L154" s="21">
        <f>SUM(NhatkyNhap!$C154:L154)-SUM(NhatkyBan!$C154:L154)</f>
        <v>0</v>
      </c>
      <c r="M154" s="21">
        <f>SUM(NhatkyNhap!$C154:M154)-SUM(NhatkyBan!$C154:M154)</f>
        <v>0</v>
      </c>
      <c r="N154" s="21">
        <f>SUM(NhatkyNhap!$C154:N154)-SUM(NhatkyBan!$C154:N154)</f>
        <v>0</v>
      </c>
      <c r="O154" s="21">
        <f>SUM(NhatkyNhap!$C154:O154)-SUM(NhatkyBan!$C154:O154)</f>
        <v>0</v>
      </c>
      <c r="P154" s="21">
        <f>SUM(NhatkyNhap!$C154:P154)-SUM(NhatkyBan!$C154:P154)</f>
        <v>0</v>
      </c>
      <c r="Q154" s="21">
        <f>SUM(NhatkyNhap!$C154:Q154)-SUM(NhatkyBan!$C154:Q154)</f>
        <v>0</v>
      </c>
      <c r="R154" s="21">
        <f>SUM(NhatkyNhap!$C154:R154)-SUM(NhatkyBan!$C154:R154)</f>
        <v>0</v>
      </c>
      <c r="S154" s="21">
        <f>SUM(NhatkyNhap!$C154:S154)-SUM(NhatkyBan!$C154:S154)</f>
        <v>0</v>
      </c>
      <c r="T154" s="21">
        <f>SUM(NhatkyNhap!$C154:T154)-SUM(NhatkyBan!$C154:T154)</f>
        <v>0</v>
      </c>
      <c r="U154" s="21">
        <f>SUM(NhatkyNhap!$C154:U154)-SUM(NhatkyBan!$C154:U154)</f>
        <v>0</v>
      </c>
      <c r="V154" s="21">
        <f>SUM(NhatkyNhap!$C154:V154)-SUM(NhatkyBan!$C154:V154)</f>
        <v>0</v>
      </c>
      <c r="W154" s="21">
        <f>SUM(NhatkyNhap!$C154:W154)-SUM(NhatkyBan!$C154:W154)</f>
        <v>0</v>
      </c>
      <c r="X154" s="21">
        <f>SUM(NhatkyNhap!$C154:X154)-SUM(NhatkyBan!$C154:X154)</f>
        <v>0</v>
      </c>
      <c r="Y154" s="21">
        <f>SUM(NhatkyNhap!$C154:Y154)-SUM(NhatkyBan!$C154:Y154)</f>
        <v>0</v>
      </c>
      <c r="Z154" s="21">
        <f>SUM(NhatkyNhap!$C154:Z154)-SUM(NhatkyBan!$C154:Z154)</f>
        <v>0</v>
      </c>
      <c r="AA154" s="21">
        <f>SUM(NhatkyNhap!$C154:AA154)-SUM(NhatkyBan!$C154:AA154)</f>
        <v>0</v>
      </c>
      <c r="AB154" s="21">
        <f>SUM(NhatkyNhap!$C154:AB154)-SUM(NhatkyBan!$C154:AB154)</f>
        <v>0</v>
      </c>
      <c r="AC154" s="21">
        <f>SUM(NhatkyNhap!$C154:AC154)-SUM(NhatkyBan!$C154:AC154)</f>
        <v>0</v>
      </c>
      <c r="AD154" s="21">
        <f>SUM(NhatkyNhap!$C154:AD154)-SUM(NhatkyBan!$C154:AD154)</f>
        <v>0</v>
      </c>
      <c r="AE154" s="21">
        <f>SUM(NhatkyNhap!$C154:AE154)-SUM(NhatkyBan!$C154:AE154)</f>
        <v>0</v>
      </c>
      <c r="AF154" s="21">
        <f>SUM(NhatkyNhap!$C154:AF154)-SUM(NhatkyBan!$C154:AF154)</f>
        <v>0</v>
      </c>
      <c r="AG154" s="21">
        <f>SUM(NhatkyNhap!$C154:AG154)-SUM(NhatkyBan!$C154:AG154)</f>
        <v>0</v>
      </c>
    </row>
    <row r="155" spans="1:33" ht="12.75" customHeight="1">
      <c r="A155" s="76" t="str">
        <f>DSSP!A154</f>
        <v>GC04</v>
      </c>
      <c r="B155" s="25" t="str">
        <f>DSSP!B154</f>
        <v>Dây xích vàng</v>
      </c>
      <c r="C155" s="21">
        <f>SUM(NhatkyNhap!$C155:C155)-SUM(NhatkyBan!$C155:C155)</f>
        <v>0</v>
      </c>
      <c r="D155" s="21">
        <f>SUM(NhatkyNhap!$C155:D155)-SUM(NhatkyBan!$C155:D155)</f>
        <v>0</v>
      </c>
      <c r="E155" s="21">
        <f>SUM(NhatkyNhap!$C155:E155)-SUM(NhatkyBan!$C155:E155)</f>
        <v>0</v>
      </c>
      <c r="F155" s="21">
        <f>SUM(NhatkyNhap!$C155:F155)-SUM(NhatkyBan!$C155:F155)</f>
        <v>0</v>
      </c>
      <c r="G155" s="21">
        <f>SUM(NhatkyNhap!$C155:G155)-SUM(NhatkyBan!$C155:G155)</f>
        <v>0</v>
      </c>
      <c r="H155" s="21">
        <f>SUM(NhatkyNhap!$C155:H155)-SUM(NhatkyBan!$C155:H155)</f>
        <v>0</v>
      </c>
      <c r="I155" s="21">
        <f>SUM(NhatkyNhap!$C155:I155)-SUM(NhatkyBan!$C155:I155)</f>
        <v>0</v>
      </c>
      <c r="J155" s="21">
        <f>SUM(NhatkyNhap!$C155:J155)-SUM(NhatkyBan!$C155:J155)</f>
        <v>0</v>
      </c>
      <c r="K155" s="21">
        <f>SUM(NhatkyNhap!$C155:K155)-SUM(NhatkyBan!$C155:K155)</f>
        <v>0</v>
      </c>
      <c r="L155" s="21">
        <f>SUM(NhatkyNhap!$C155:L155)-SUM(NhatkyBan!$C155:L155)</f>
        <v>0</v>
      </c>
      <c r="M155" s="21">
        <f>SUM(NhatkyNhap!$C155:M155)-SUM(NhatkyBan!$C155:M155)</f>
        <v>0</v>
      </c>
      <c r="N155" s="21">
        <f>SUM(NhatkyNhap!$C155:N155)-SUM(NhatkyBan!$C155:N155)</f>
        <v>0</v>
      </c>
      <c r="O155" s="21">
        <f>SUM(NhatkyNhap!$C155:O155)-SUM(NhatkyBan!$C155:O155)</f>
        <v>0</v>
      </c>
      <c r="P155" s="21">
        <f>SUM(NhatkyNhap!$C155:P155)-SUM(NhatkyBan!$C155:P155)</f>
        <v>0</v>
      </c>
      <c r="Q155" s="21">
        <f>SUM(NhatkyNhap!$C155:Q155)-SUM(NhatkyBan!$C155:Q155)</f>
        <v>0</v>
      </c>
      <c r="R155" s="21">
        <f>SUM(NhatkyNhap!$C155:R155)-SUM(NhatkyBan!$C155:R155)</f>
        <v>0</v>
      </c>
      <c r="S155" s="21">
        <f>SUM(NhatkyNhap!$C155:S155)-SUM(NhatkyBan!$C155:S155)</f>
        <v>0</v>
      </c>
      <c r="T155" s="21">
        <f>SUM(NhatkyNhap!$C155:T155)-SUM(NhatkyBan!$C155:T155)</f>
        <v>0</v>
      </c>
      <c r="U155" s="21">
        <f>SUM(NhatkyNhap!$C155:U155)-SUM(NhatkyBan!$C155:U155)</f>
        <v>0</v>
      </c>
      <c r="V155" s="21">
        <f>SUM(NhatkyNhap!$C155:V155)-SUM(NhatkyBan!$C155:V155)</f>
        <v>0</v>
      </c>
      <c r="W155" s="21">
        <f>SUM(NhatkyNhap!$C155:W155)-SUM(NhatkyBan!$C155:W155)</f>
        <v>0</v>
      </c>
      <c r="X155" s="21">
        <f>SUM(NhatkyNhap!$C155:X155)-SUM(NhatkyBan!$C155:X155)</f>
        <v>0</v>
      </c>
      <c r="Y155" s="21">
        <f>SUM(NhatkyNhap!$C155:Y155)-SUM(NhatkyBan!$C155:Y155)</f>
        <v>0</v>
      </c>
      <c r="Z155" s="21">
        <f>SUM(NhatkyNhap!$C155:Z155)-SUM(NhatkyBan!$C155:Z155)</f>
        <v>0</v>
      </c>
      <c r="AA155" s="21">
        <f>SUM(NhatkyNhap!$C155:AA155)-SUM(NhatkyBan!$C155:AA155)</f>
        <v>0</v>
      </c>
      <c r="AB155" s="21">
        <f>SUM(NhatkyNhap!$C155:AB155)-SUM(NhatkyBan!$C155:AB155)</f>
        <v>0</v>
      </c>
      <c r="AC155" s="21">
        <f>SUM(NhatkyNhap!$C155:AC155)-SUM(NhatkyBan!$C155:AC155)</f>
        <v>0</v>
      </c>
      <c r="AD155" s="21">
        <f>SUM(NhatkyNhap!$C155:AD155)-SUM(NhatkyBan!$C155:AD155)</f>
        <v>0</v>
      </c>
      <c r="AE155" s="21">
        <f>SUM(NhatkyNhap!$C155:AE155)-SUM(NhatkyBan!$C155:AE155)</f>
        <v>0</v>
      </c>
      <c r="AF155" s="21">
        <f>SUM(NhatkyNhap!$C155:AF155)-SUM(NhatkyBan!$C155:AF155)</f>
        <v>0</v>
      </c>
      <c r="AG155" s="21">
        <f>SUM(NhatkyNhap!$C155:AG155)-SUM(NhatkyBan!$C155:AG155)</f>
        <v>0</v>
      </c>
    </row>
    <row r="156" spans="1:33" ht="12.75" customHeight="1">
      <c r="A156" s="76" t="str">
        <f>DSSP!A155</f>
        <v>GC05</v>
      </c>
      <c r="B156" s="25" t="str">
        <f>DSSP!B155</f>
        <v>Khoen tròn (lạng)</v>
      </c>
      <c r="C156" s="21">
        <f>SUM(NhatkyNhap!$C156:C156)-SUM(NhatkyBan!$C156:C156)</f>
        <v>8.1999999999999993</v>
      </c>
      <c r="D156" s="21">
        <f>SUM(NhatkyNhap!$C156:D156)-SUM(NhatkyBan!$C156:D156)</f>
        <v>8.1999999999999993</v>
      </c>
      <c r="E156" s="21">
        <f>SUM(NhatkyNhap!$C156:E156)-SUM(NhatkyBan!$C156:E156)</f>
        <v>8.1999999999999993</v>
      </c>
      <c r="F156" s="21">
        <f>SUM(NhatkyNhap!$C156:F156)-SUM(NhatkyBan!$C156:F156)</f>
        <v>8.1999999999999993</v>
      </c>
      <c r="G156" s="21">
        <f>SUM(NhatkyNhap!$C156:G156)-SUM(NhatkyBan!$C156:G156)</f>
        <v>8.1999999999999993</v>
      </c>
      <c r="H156" s="21">
        <f>SUM(NhatkyNhap!$C156:H156)-SUM(NhatkyBan!$C156:H156)</f>
        <v>8.1999999999999993</v>
      </c>
      <c r="I156" s="21">
        <f>SUM(NhatkyNhap!$C156:I156)-SUM(NhatkyBan!$C156:I156)</f>
        <v>8.1999999999999993</v>
      </c>
      <c r="J156" s="21">
        <f>SUM(NhatkyNhap!$C156:J156)-SUM(NhatkyBan!$C156:J156)</f>
        <v>8.1999999999999993</v>
      </c>
      <c r="K156" s="21">
        <f>SUM(NhatkyNhap!$C156:K156)-SUM(NhatkyBan!$C156:K156)</f>
        <v>8.1999999999999993</v>
      </c>
      <c r="L156" s="21">
        <f>SUM(NhatkyNhap!$C156:L156)-SUM(NhatkyBan!$C156:L156)</f>
        <v>8.1999999999999993</v>
      </c>
      <c r="M156" s="21">
        <f>SUM(NhatkyNhap!$C156:M156)-SUM(NhatkyBan!$C156:M156)</f>
        <v>8.1999999999999993</v>
      </c>
      <c r="N156" s="21">
        <f>SUM(NhatkyNhap!$C156:N156)-SUM(NhatkyBan!$C156:N156)</f>
        <v>8.1999999999999993</v>
      </c>
      <c r="O156" s="21">
        <f>SUM(NhatkyNhap!$C156:O156)-SUM(NhatkyBan!$C156:O156)</f>
        <v>8.1999999999999993</v>
      </c>
      <c r="P156" s="21">
        <f>SUM(NhatkyNhap!$C156:P156)-SUM(NhatkyBan!$C156:P156)</f>
        <v>8.1999999999999993</v>
      </c>
      <c r="Q156" s="21">
        <f>SUM(NhatkyNhap!$C156:Q156)-SUM(NhatkyBan!$C156:Q156)</f>
        <v>8.1999999999999993</v>
      </c>
      <c r="R156" s="21">
        <f>SUM(NhatkyNhap!$C156:R156)-SUM(NhatkyBan!$C156:R156)</f>
        <v>8.1999999999999993</v>
      </c>
      <c r="S156" s="21">
        <f>SUM(NhatkyNhap!$C156:S156)-SUM(NhatkyBan!$C156:S156)</f>
        <v>8.1999999999999993</v>
      </c>
      <c r="T156" s="21">
        <f>SUM(NhatkyNhap!$C156:T156)-SUM(NhatkyBan!$C156:T156)</f>
        <v>8.1999999999999993</v>
      </c>
      <c r="U156" s="21">
        <f>SUM(NhatkyNhap!$C156:U156)-SUM(NhatkyBan!$C156:U156)</f>
        <v>8.1999999999999993</v>
      </c>
      <c r="V156" s="21">
        <f>SUM(NhatkyNhap!$C156:V156)-SUM(NhatkyBan!$C156:V156)</f>
        <v>8.1999999999999993</v>
      </c>
      <c r="W156" s="21">
        <f>SUM(NhatkyNhap!$C156:W156)-SUM(NhatkyBan!$C156:W156)</f>
        <v>8.1999999999999993</v>
      </c>
      <c r="X156" s="21">
        <f>SUM(NhatkyNhap!$C156:X156)-SUM(NhatkyBan!$C156:X156)</f>
        <v>8.1999999999999993</v>
      </c>
      <c r="Y156" s="21">
        <f>SUM(NhatkyNhap!$C156:Y156)-SUM(NhatkyBan!$C156:Y156)</f>
        <v>8.1999999999999993</v>
      </c>
      <c r="Z156" s="21">
        <f>SUM(NhatkyNhap!$C156:Z156)-SUM(NhatkyBan!$C156:Z156)</f>
        <v>8.1999999999999993</v>
      </c>
      <c r="AA156" s="21">
        <f>SUM(NhatkyNhap!$C156:AA156)-SUM(NhatkyBan!$C156:AA156)</f>
        <v>8.1999999999999993</v>
      </c>
      <c r="AB156" s="21">
        <f>SUM(NhatkyNhap!$C156:AB156)-SUM(NhatkyBan!$C156:AB156)</f>
        <v>8.1999999999999993</v>
      </c>
      <c r="AC156" s="21">
        <f>SUM(NhatkyNhap!$C156:AC156)-SUM(NhatkyBan!$C156:AC156)</f>
        <v>8.1999999999999993</v>
      </c>
      <c r="AD156" s="21">
        <f>SUM(NhatkyNhap!$C156:AD156)-SUM(NhatkyBan!$C156:AD156)</f>
        <v>8.1999999999999993</v>
      </c>
      <c r="AE156" s="21">
        <f>SUM(NhatkyNhap!$C156:AE156)-SUM(NhatkyBan!$C156:AE156)</f>
        <v>8.1999999999999993</v>
      </c>
      <c r="AF156" s="21">
        <f>SUM(NhatkyNhap!$C156:AF156)-SUM(NhatkyBan!$C156:AF156)</f>
        <v>8.1999999999999993</v>
      </c>
      <c r="AG156" s="21">
        <f>SUM(NhatkyNhap!$C156:AG156)-SUM(NhatkyBan!$C156:AG156)</f>
        <v>8.1999999999999993</v>
      </c>
    </row>
    <row r="157" spans="1:33" ht="12.75" customHeight="1">
      <c r="A157" s="76" t="str">
        <f>DSSP!A156</f>
        <v>GC06</v>
      </c>
      <c r="B157" s="25" t="str">
        <f>DSSP!B156</f>
        <v>Mặt lớn</v>
      </c>
      <c r="C157" s="21">
        <f>SUM(NhatkyNhap!$C157:C157)-SUM(NhatkyBan!$C157:C157)</f>
        <v>0</v>
      </c>
      <c r="D157" s="21">
        <f>SUM(NhatkyNhap!$C157:D157)-SUM(NhatkyBan!$C157:D157)</f>
        <v>0</v>
      </c>
      <c r="E157" s="21">
        <f>SUM(NhatkyNhap!$C157:E157)-SUM(NhatkyBan!$C157:E157)</f>
        <v>0</v>
      </c>
      <c r="F157" s="21">
        <f>SUM(NhatkyNhap!$C157:F157)-SUM(NhatkyBan!$C157:F157)</f>
        <v>0</v>
      </c>
      <c r="G157" s="21">
        <f>SUM(NhatkyNhap!$C157:G157)-SUM(NhatkyBan!$C157:G157)</f>
        <v>0</v>
      </c>
      <c r="H157" s="21">
        <f>SUM(NhatkyNhap!$C157:H157)-SUM(NhatkyBan!$C157:H157)</f>
        <v>0</v>
      </c>
      <c r="I157" s="21">
        <f>SUM(NhatkyNhap!$C157:I157)-SUM(NhatkyBan!$C157:I157)</f>
        <v>0</v>
      </c>
      <c r="J157" s="21">
        <f>SUM(NhatkyNhap!$C157:J157)-SUM(NhatkyBan!$C157:J157)</f>
        <v>0</v>
      </c>
      <c r="K157" s="21">
        <f>SUM(NhatkyNhap!$C157:K157)-SUM(NhatkyBan!$C157:K157)</f>
        <v>0</v>
      </c>
      <c r="L157" s="21">
        <f>SUM(NhatkyNhap!$C157:L157)-SUM(NhatkyBan!$C157:L157)</f>
        <v>0</v>
      </c>
      <c r="M157" s="21">
        <f>SUM(NhatkyNhap!$C157:M157)-SUM(NhatkyBan!$C157:M157)</f>
        <v>0</v>
      </c>
      <c r="N157" s="21">
        <f>SUM(NhatkyNhap!$C157:N157)-SUM(NhatkyBan!$C157:N157)</f>
        <v>0</v>
      </c>
      <c r="O157" s="21">
        <f>SUM(NhatkyNhap!$C157:O157)-SUM(NhatkyBan!$C157:O157)</f>
        <v>0</v>
      </c>
      <c r="P157" s="21">
        <f>SUM(NhatkyNhap!$C157:P157)-SUM(NhatkyBan!$C157:P157)</f>
        <v>0</v>
      </c>
      <c r="Q157" s="21">
        <f>SUM(NhatkyNhap!$C157:Q157)-SUM(NhatkyBan!$C157:Q157)</f>
        <v>0</v>
      </c>
      <c r="R157" s="21">
        <f>SUM(NhatkyNhap!$C157:R157)-SUM(NhatkyBan!$C157:R157)</f>
        <v>0</v>
      </c>
      <c r="S157" s="21">
        <f>SUM(NhatkyNhap!$C157:S157)-SUM(NhatkyBan!$C157:S157)</f>
        <v>0</v>
      </c>
      <c r="T157" s="21">
        <f>SUM(NhatkyNhap!$C157:T157)-SUM(NhatkyBan!$C157:T157)</f>
        <v>0</v>
      </c>
      <c r="U157" s="21">
        <f>SUM(NhatkyNhap!$C157:U157)-SUM(NhatkyBan!$C157:U157)</f>
        <v>0</v>
      </c>
      <c r="V157" s="21">
        <f>SUM(NhatkyNhap!$C157:V157)-SUM(NhatkyBan!$C157:V157)</f>
        <v>0</v>
      </c>
      <c r="W157" s="21">
        <f>SUM(NhatkyNhap!$C157:W157)-SUM(NhatkyBan!$C157:W157)</f>
        <v>0</v>
      </c>
      <c r="X157" s="21">
        <f>SUM(NhatkyNhap!$C157:X157)-SUM(NhatkyBan!$C157:X157)</f>
        <v>0</v>
      </c>
      <c r="Y157" s="21">
        <f>SUM(NhatkyNhap!$C157:Y157)-SUM(NhatkyBan!$C157:Y157)</f>
        <v>0</v>
      </c>
      <c r="Z157" s="21">
        <f>SUM(NhatkyNhap!$C157:Z157)-SUM(NhatkyBan!$C157:Z157)</f>
        <v>0</v>
      </c>
      <c r="AA157" s="21">
        <f>SUM(NhatkyNhap!$C157:AA157)-SUM(NhatkyBan!$C157:AA157)</f>
        <v>0</v>
      </c>
      <c r="AB157" s="21">
        <f>SUM(NhatkyNhap!$C157:AB157)-SUM(NhatkyBan!$C157:AB157)</f>
        <v>0</v>
      </c>
      <c r="AC157" s="21">
        <f>SUM(NhatkyNhap!$C157:AC157)-SUM(NhatkyBan!$C157:AC157)</f>
        <v>0</v>
      </c>
      <c r="AD157" s="21">
        <f>SUM(NhatkyNhap!$C157:AD157)-SUM(NhatkyBan!$C157:AD157)</f>
        <v>0</v>
      </c>
      <c r="AE157" s="21">
        <f>SUM(NhatkyNhap!$C157:AE157)-SUM(NhatkyBan!$C157:AE157)</f>
        <v>0</v>
      </c>
      <c r="AF157" s="21">
        <f>SUM(NhatkyNhap!$C157:AF157)-SUM(NhatkyBan!$C157:AF157)</f>
        <v>0</v>
      </c>
      <c r="AG157" s="21">
        <f>SUM(NhatkyNhap!$C157:AG157)-SUM(NhatkyBan!$C157:AG157)</f>
        <v>0</v>
      </c>
    </row>
    <row r="158" spans="1:33" ht="12.75" customHeight="1">
      <c r="A158" s="76" t="str">
        <f>DSSP!A157</f>
        <v>GC07</v>
      </c>
      <c r="B158" s="25" t="str">
        <f>DSSP!B157</f>
        <v>Mặt vừa</v>
      </c>
      <c r="C158" s="21">
        <f>SUM(NhatkyNhap!$C158:C158)-SUM(NhatkyBan!$C158:C158)</f>
        <v>-5</v>
      </c>
      <c r="D158" s="21">
        <f>SUM(NhatkyNhap!$C158:D158)-SUM(NhatkyBan!$C158:D158)</f>
        <v>-5</v>
      </c>
      <c r="E158" s="21">
        <f>SUM(NhatkyNhap!$C158:E158)-SUM(NhatkyBan!$C158:E158)</f>
        <v>-5</v>
      </c>
      <c r="F158" s="21">
        <f>SUM(NhatkyNhap!$C158:F158)-SUM(NhatkyBan!$C158:F158)</f>
        <v>-5</v>
      </c>
      <c r="G158" s="21">
        <f>SUM(NhatkyNhap!$C158:G158)-SUM(NhatkyBan!$C158:G158)</f>
        <v>-5</v>
      </c>
      <c r="H158" s="21">
        <f>SUM(NhatkyNhap!$C158:H158)-SUM(NhatkyBan!$C158:H158)</f>
        <v>-5</v>
      </c>
      <c r="I158" s="21">
        <f>SUM(NhatkyNhap!$C158:I158)-SUM(NhatkyBan!$C158:I158)</f>
        <v>-5</v>
      </c>
      <c r="J158" s="21">
        <f>SUM(NhatkyNhap!$C158:J158)-SUM(NhatkyBan!$C158:J158)</f>
        <v>-5</v>
      </c>
      <c r="K158" s="21">
        <f>SUM(NhatkyNhap!$C158:K158)-SUM(NhatkyBan!$C158:K158)</f>
        <v>-5</v>
      </c>
      <c r="L158" s="21">
        <f>SUM(NhatkyNhap!$C158:L158)-SUM(NhatkyBan!$C158:L158)</f>
        <v>-5</v>
      </c>
      <c r="M158" s="21">
        <f>SUM(NhatkyNhap!$C158:M158)-SUM(NhatkyBan!$C158:M158)</f>
        <v>-5</v>
      </c>
      <c r="N158" s="21">
        <f>SUM(NhatkyNhap!$C158:N158)-SUM(NhatkyBan!$C158:N158)</f>
        <v>-5</v>
      </c>
      <c r="O158" s="21">
        <f>SUM(NhatkyNhap!$C158:O158)-SUM(NhatkyBan!$C158:O158)</f>
        <v>-5</v>
      </c>
      <c r="P158" s="21">
        <f>SUM(NhatkyNhap!$C158:P158)-SUM(NhatkyBan!$C158:P158)</f>
        <v>-5</v>
      </c>
      <c r="Q158" s="21">
        <f>SUM(NhatkyNhap!$C158:Q158)-SUM(NhatkyBan!$C158:Q158)</f>
        <v>-5</v>
      </c>
      <c r="R158" s="21">
        <f>SUM(NhatkyNhap!$C158:R158)-SUM(NhatkyBan!$C158:R158)</f>
        <v>-5</v>
      </c>
      <c r="S158" s="21">
        <f>SUM(NhatkyNhap!$C158:S158)-SUM(NhatkyBan!$C158:S158)</f>
        <v>-5</v>
      </c>
      <c r="T158" s="21">
        <f>SUM(NhatkyNhap!$C158:T158)-SUM(NhatkyBan!$C158:T158)</f>
        <v>-5</v>
      </c>
      <c r="U158" s="21">
        <f>SUM(NhatkyNhap!$C158:U158)-SUM(NhatkyBan!$C158:U158)</f>
        <v>-5</v>
      </c>
      <c r="V158" s="21">
        <f>SUM(NhatkyNhap!$C158:V158)-SUM(NhatkyBan!$C158:V158)</f>
        <v>-5</v>
      </c>
      <c r="W158" s="21">
        <f>SUM(NhatkyNhap!$C158:W158)-SUM(NhatkyBan!$C158:W158)</f>
        <v>-5</v>
      </c>
      <c r="X158" s="21">
        <f>SUM(NhatkyNhap!$C158:X158)-SUM(NhatkyBan!$C158:X158)</f>
        <v>-5</v>
      </c>
      <c r="Y158" s="21">
        <f>SUM(NhatkyNhap!$C158:Y158)-SUM(NhatkyBan!$C158:Y158)</f>
        <v>-5</v>
      </c>
      <c r="Z158" s="21">
        <f>SUM(NhatkyNhap!$C158:Z158)-SUM(NhatkyBan!$C158:Z158)</f>
        <v>-5</v>
      </c>
      <c r="AA158" s="21">
        <f>SUM(NhatkyNhap!$C158:AA158)-SUM(NhatkyBan!$C158:AA158)</f>
        <v>-5</v>
      </c>
      <c r="AB158" s="21">
        <f>SUM(NhatkyNhap!$C158:AB158)-SUM(NhatkyBan!$C158:AB158)</f>
        <v>-5</v>
      </c>
      <c r="AC158" s="21">
        <f>SUM(NhatkyNhap!$C158:AC158)-SUM(NhatkyBan!$C158:AC158)</f>
        <v>-5</v>
      </c>
      <c r="AD158" s="21">
        <f>SUM(NhatkyNhap!$C158:AD158)-SUM(NhatkyBan!$C158:AD158)</f>
        <v>-5</v>
      </c>
      <c r="AE158" s="21">
        <f>SUM(NhatkyNhap!$C158:AE158)-SUM(NhatkyBan!$C158:AE158)</f>
        <v>-5</v>
      </c>
      <c r="AF158" s="21">
        <f>SUM(NhatkyNhap!$C158:AF158)-SUM(NhatkyBan!$C158:AF158)</f>
        <v>-5</v>
      </c>
      <c r="AG158" s="21">
        <f>SUM(NhatkyNhap!$C158:AG158)-SUM(NhatkyBan!$C158:AG158)</f>
        <v>-5</v>
      </c>
    </row>
    <row r="159" spans="1:33" ht="12.75" customHeight="1">
      <c r="A159" s="76" t="str">
        <f>DSSP!A158</f>
        <v>GC08</v>
      </c>
      <c r="B159" s="25" t="str">
        <f>DSSP!B158</f>
        <v>Mặt nhỏ</v>
      </c>
      <c r="C159" s="21">
        <f>SUM(NhatkyNhap!$C159:C159)-SUM(NhatkyBan!$C159:C159)</f>
        <v>-1</v>
      </c>
      <c r="D159" s="21">
        <f>SUM(NhatkyNhap!$C159:D159)-SUM(NhatkyBan!$C159:D159)</f>
        <v>-1</v>
      </c>
      <c r="E159" s="21">
        <f>SUM(NhatkyNhap!$C159:E159)-SUM(NhatkyBan!$C159:E159)</f>
        <v>-1</v>
      </c>
      <c r="F159" s="21">
        <f>SUM(NhatkyNhap!$C159:F159)-SUM(NhatkyBan!$C159:F159)</f>
        <v>-1</v>
      </c>
      <c r="G159" s="21">
        <f>SUM(NhatkyNhap!$C159:G159)-SUM(NhatkyBan!$C159:G159)</f>
        <v>-1</v>
      </c>
      <c r="H159" s="21">
        <f>SUM(NhatkyNhap!$C159:H159)-SUM(NhatkyBan!$C159:H159)</f>
        <v>-1</v>
      </c>
      <c r="I159" s="21">
        <f>SUM(NhatkyNhap!$C159:I159)-SUM(NhatkyBan!$C159:I159)</f>
        <v>-1</v>
      </c>
      <c r="J159" s="21">
        <f>SUM(NhatkyNhap!$C159:J159)-SUM(NhatkyBan!$C159:J159)</f>
        <v>-1</v>
      </c>
      <c r="K159" s="21">
        <f>SUM(NhatkyNhap!$C159:K159)-SUM(NhatkyBan!$C159:K159)</f>
        <v>-1</v>
      </c>
      <c r="L159" s="21">
        <f>SUM(NhatkyNhap!$C159:L159)-SUM(NhatkyBan!$C159:L159)</f>
        <v>-1</v>
      </c>
      <c r="M159" s="21">
        <f>SUM(NhatkyNhap!$C159:M159)-SUM(NhatkyBan!$C159:M159)</f>
        <v>-1</v>
      </c>
      <c r="N159" s="21">
        <f>SUM(NhatkyNhap!$C159:N159)-SUM(NhatkyBan!$C159:N159)</f>
        <v>-1</v>
      </c>
      <c r="O159" s="21">
        <f>SUM(NhatkyNhap!$C159:O159)-SUM(NhatkyBan!$C159:O159)</f>
        <v>-1</v>
      </c>
      <c r="P159" s="21">
        <f>SUM(NhatkyNhap!$C159:P159)-SUM(NhatkyBan!$C159:P159)</f>
        <v>-1</v>
      </c>
      <c r="Q159" s="21">
        <f>SUM(NhatkyNhap!$C159:Q159)-SUM(NhatkyBan!$C159:Q159)</f>
        <v>-1</v>
      </c>
      <c r="R159" s="21">
        <f>SUM(NhatkyNhap!$C159:R159)-SUM(NhatkyBan!$C159:R159)</f>
        <v>-1</v>
      </c>
      <c r="S159" s="21">
        <f>SUM(NhatkyNhap!$C159:S159)-SUM(NhatkyBan!$C159:S159)</f>
        <v>-1</v>
      </c>
      <c r="T159" s="21">
        <f>SUM(NhatkyNhap!$C159:T159)-SUM(NhatkyBan!$C159:T159)</f>
        <v>-1</v>
      </c>
      <c r="U159" s="21">
        <f>SUM(NhatkyNhap!$C159:U159)-SUM(NhatkyBan!$C159:U159)</f>
        <v>-1</v>
      </c>
      <c r="V159" s="21">
        <f>SUM(NhatkyNhap!$C159:V159)-SUM(NhatkyBan!$C159:V159)</f>
        <v>-1</v>
      </c>
      <c r="W159" s="21">
        <f>SUM(NhatkyNhap!$C159:W159)-SUM(NhatkyBan!$C159:W159)</f>
        <v>-1</v>
      </c>
      <c r="X159" s="21">
        <f>SUM(NhatkyNhap!$C159:X159)-SUM(NhatkyBan!$C159:X159)</f>
        <v>-1</v>
      </c>
      <c r="Y159" s="21">
        <f>SUM(NhatkyNhap!$C159:Y159)-SUM(NhatkyBan!$C159:Y159)</f>
        <v>-1</v>
      </c>
      <c r="Z159" s="21">
        <f>SUM(NhatkyNhap!$C159:Z159)-SUM(NhatkyBan!$C159:Z159)</f>
        <v>-1</v>
      </c>
      <c r="AA159" s="21">
        <f>SUM(NhatkyNhap!$C159:AA159)-SUM(NhatkyBan!$C159:AA159)</f>
        <v>-1</v>
      </c>
      <c r="AB159" s="21">
        <f>SUM(NhatkyNhap!$C159:AB159)-SUM(NhatkyBan!$C159:AB159)</f>
        <v>-1</v>
      </c>
      <c r="AC159" s="21">
        <f>SUM(NhatkyNhap!$C159:AC159)-SUM(NhatkyBan!$C159:AC159)</f>
        <v>-1</v>
      </c>
      <c r="AD159" s="21">
        <f>SUM(NhatkyNhap!$C159:AD159)-SUM(NhatkyBan!$C159:AD159)</f>
        <v>-1</v>
      </c>
      <c r="AE159" s="21">
        <f>SUM(NhatkyNhap!$C159:AE159)-SUM(NhatkyBan!$C159:AE159)</f>
        <v>-1</v>
      </c>
      <c r="AF159" s="21">
        <f>SUM(NhatkyNhap!$C159:AF159)-SUM(NhatkyBan!$C159:AF159)</f>
        <v>-1</v>
      </c>
      <c r="AG159" s="21">
        <f>SUM(NhatkyNhap!$C159:AG159)-SUM(NhatkyBan!$C159:AG159)</f>
        <v>-1</v>
      </c>
    </row>
    <row r="160" spans="1:33" ht="12.75" customHeight="1">
      <c r="A160" s="76" t="str">
        <f>DSSP!A159</f>
        <v>GC09</v>
      </c>
      <c r="B160" s="25" t="str">
        <f>DSSP!B159</f>
        <v>Mặt cung</v>
      </c>
      <c r="C160" s="21">
        <f>SUM(NhatkyNhap!$C160:C160)-SUM(NhatkyBan!$C160:C160)</f>
        <v>217</v>
      </c>
      <c r="D160" s="21">
        <f>SUM(NhatkyNhap!$C160:D160)-SUM(NhatkyBan!$C160:D160)</f>
        <v>217</v>
      </c>
      <c r="E160" s="21">
        <f>SUM(NhatkyNhap!$C160:E160)-SUM(NhatkyBan!$C160:E160)</f>
        <v>217</v>
      </c>
      <c r="F160" s="21">
        <f>SUM(NhatkyNhap!$C160:F160)-SUM(NhatkyBan!$C160:F160)</f>
        <v>217</v>
      </c>
      <c r="G160" s="21">
        <f>SUM(NhatkyNhap!$C160:G160)-SUM(NhatkyBan!$C160:G160)</f>
        <v>217</v>
      </c>
      <c r="H160" s="21">
        <f>SUM(NhatkyNhap!$C160:H160)-SUM(NhatkyBan!$C160:H160)</f>
        <v>217</v>
      </c>
      <c r="I160" s="21">
        <f>SUM(NhatkyNhap!$C160:I160)-SUM(NhatkyBan!$C160:I160)</f>
        <v>217</v>
      </c>
      <c r="J160" s="21">
        <f>SUM(NhatkyNhap!$C160:J160)-SUM(NhatkyBan!$C160:J160)</f>
        <v>217</v>
      </c>
      <c r="K160" s="21">
        <f>SUM(NhatkyNhap!$C160:K160)-SUM(NhatkyBan!$C160:K160)</f>
        <v>217</v>
      </c>
      <c r="L160" s="21">
        <f>SUM(NhatkyNhap!$C160:L160)-SUM(NhatkyBan!$C160:L160)</f>
        <v>217</v>
      </c>
      <c r="M160" s="21">
        <f>SUM(NhatkyNhap!$C160:M160)-SUM(NhatkyBan!$C160:M160)</f>
        <v>217</v>
      </c>
      <c r="N160" s="21">
        <f>SUM(NhatkyNhap!$C160:N160)-SUM(NhatkyBan!$C160:N160)</f>
        <v>217</v>
      </c>
      <c r="O160" s="21">
        <f>SUM(NhatkyNhap!$C160:O160)-SUM(NhatkyBan!$C160:O160)</f>
        <v>217</v>
      </c>
      <c r="P160" s="21">
        <f>SUM(NhatkyNhap!$C160:P160)-SUM(NhatkyBan!$C160:P160)</f>
        <v>217</v>
      </c>
      <c r="Q160" s="21">
        <f>SUM(NhatkyNhap!$C160:Q160)-SUM(NhatkyBan!$C160:Q160)</f>
        <v>217</v>
      </c>
      <c r="R160" s="21">
        <f>SUM(NhatkyNhap!$C160:R160)-SUM(NhatkyBan!$C160:R160)</f>
        <v>217</v>
      </c>
      <c r="S160" s="21">
        <f>SUM(NhatkyNhap!$C160:S160)-SUM(NhatkyBan!$C160:S160)</f>
        <v>217</v>
      </c>
      <c r="T160" s="21">
        <f>SUM(NhatkyNhap!$C160:T160)-SUM(NhatkyBan!$C160:T160)</f>
        <v>217</v>
      </c>
      <c r="U160" s="21">
        <f>SUM(NhatkyNhap!$C160:U160)-SUM(NhatkyBan!$C160:U160)</f>
        <v>217</v>
      </c>
      <c r="V160" s="21">
        <f>SUM(NhatkyNhap!$C160:V160)-SUM(NhatkyBan!$C160:V160)</f>
        <v>217</v>
      </c>
      <c r="W160" s="21">
        <f>SUM(NhatkyNhap!$C160:W160)-SUM(NhatkyBan!$C160:W160)</f>
        <v>217</v>
      </c>
      <c r="X160" s="21">
        <f>SUM(NhatkyNhap!$C160:X160)-SUM(NhatkyBan!$C160:X160)</f>
        <v>217</v>
      </c>
      <c r="Y160" s="21">
        <f>SUM(NhatkyNhap!$C160:Y160)-SUM(NhatkyBan!$C160:Y160)</f>
        <v>217</v>
      </c>
      <c r="Z160" s="21">
        <f>SUM(NhatkyNhap!$C160:Z160)-SUM(NhatkyBan!$C160:Z160)</f>
        <v>217</v>
      </c>
      <c r="AA160" s="21">
        <f>SUM(NhatkyNhap!$C160:AA160)-SUM(NhatkyBan!$C160:AA160)</f>
        <v>217</v>
      </c>
      <c r="AB160" s="21">
        <f>SUM(NhatkyNhap!$C160:AB160)-SUM(NhatkyBan!$C160:AB160)</f>
        <v>217</v>
      </c>
      <c r="AC160" s="21">
        <f>SUM(NhatkyNhap!$C160:AC160)-SUM(NhatkyBan!$C160:AC160)</f>
        <v>217</v>
      </c>
      <c r="AD160" s="21">
        <f>SUM(NhatkyNhap!$C160:AD160)-SUM(NhatkyBan!$C160:AD160)</f>
        <v>217</v>
      </c>
      <c r="AE160" s="21">
        <f>SUM(NhatkyNhap!$C160:AE160)-SUM(NhatkyBan!$C160:AE160)</f>
        <v>217</v>
      </c>
      <c r="AF160" s="21">
        <f>SUM(NhatkyNhap!$C160:AF160)-SUM(NhatkyBan!$C160:AF160)</f>
        <v>217</v>
      </c>
      <c r="AG160" s="21">
        <f>SUM(NhatkyNhap!$C160:AG160)-SUM(NhatkyBan!$C160:AG160)</f>
        <v>217</v>
      </c>
    </row>
    <row r="161" spans="1:33" ht="12.75" customHeight="1">
      <c r="A161" s="76" t="str">
        <f>DSSP!A160</f>
        <v>GC10</v>
      </c>
      <c r="B161" s="25" t="str">
        <f>DSSP!B160</f>
        <v>Bộ 12 cung</v>
      </c>
      <c r="C161" s="21">
        <f>SUM(NhatkyNhap!$C161:C161)-SUM(NhatkyBan!$C161:C161)</f>
        <v>0</v>
      </c>
      <c r="D161" s="21">
        <f>SUM(NhatkyNhap!$C161:D161)-SUM(NhatkyBan!$C161:D161)</f>
        <v>0</v>
      </c>
      <c r="E161" s="21">
        <f>SUM(NhatkyNhap!$C161:E161)-SUM(NhatkyBan!$C161:E161)</f>
        <v>0</v>
      </c>
      <c r="F161" s="21">
        <f>SUM(NhatkyNhap!$C161:F161)-SUM(NhatkyBan!$C161:F161)</f>
        <v>0</v>
      </c>
      <c r="G161" s="21">
        <f>SUM(NhatkyNhap!$C161:G161)-SUM(NhatkyBan!$C161:G161)</f>
        <v>0</v>
      </c>
      <c r="H161" s="21">
        <f>SUM(NhatkyNhap!$C161:H161)-SUM(NhatkyBan!$C161:H161)</f>
        <v>0</v>
      </c>
      <c r="I161" s="21">
        <f>SUM(NhatkyNhap!$C161:I161)-SUM(NhatkyBan!$C161:I161)</f>
        <v>0</v>
      </c>
      <c r="J161" s="21">
        <f>SUM(NhatkyNhap!$C161:J161)-SUM(NhatkyBan!$C161:J161)</f>
        <v>0</v>
      </c>
      <c r="K161" s="21">
        <f>SUM(NhatkyNhap!$C161:K161)-SUM(NhatkyBan!$C161:K161)</f>
        <v>0</v>
      </c>
      <c r="L161" s="21">
        <f>SUM(NhatkyNhap!$C161:L161)-SUM(NhatkyBan!$C161:L161)</f>
        <v>0</v>
      </c>
      <c r="M161" s="21">
        <f>SUM(NhatkyNhap!$C161:M161)-SUM(NhatkyBan!$C161:M161)</f>
        <v>0</v>
      </c>
      <c r="N161" s="21">
        <f>SUM(NhatkyNhap!$C161:N161)-SUM(NhatkyBan!$C161:N161)</f>
        <v>0</v>
      </c>
      <c r="O161" s="21">
        <f>SUM(NhatkyNhap!$C161:O161)-SUM(NhatkyBan!$C161:O161)</f>
        <v>0</v>
      </c>
      <c r="P161" s="21">
        <f>SUM(NhatkyNhap!$C161:P161)-SUM(NhatkyBan!$C161:P161)</f>
        <v>0</v>
      </c>
      <c r="Q161" s="21">
        <f>SUM(NhatkyNhap!$C161:Q161)-SUM(NhatkyBan!$C161:Q161)</f>
        <v>0</v>
      </c>
      <c r="R161" s="21">
        <f>SUM(NhatkyNhap!$C161:R161)-SUM(NhatkyBan!$C161:R161)</f>
        <v>0</v>
      </c>
      <c r="S161" s="21">
        <f>SUM(NhatkyNhap!$C161:S161)-SUM(NhatkyBan!$C161:S161)</f>
        <v>0</v>
      </c>
      <c r="T161" s="21">
        <f>SUM(NhatkyNhap!$C161:T161)-SUM(NhatkyBan!$C161:T161)</f>
        <v>0</v>
      </c>
      <c r="U161" s="21">
        <f>SUM(NhatkyNhap!$C161:U161)-SUM(NhatkyBan!$C161:U161)</f>
        <v>0</v>
      </c>
      <c r="V161" s="21">
        <f>SUM(NhatkyNhap!$C161:V161)-SUM(NhatkyBan!$C161:V161)</f>
        <v>0</v>
      </c>
      <c r="W161" s="21">
        <f>SUM(NhatkyNhap!$C161:W161)-SUM(NhatkyBan!$C161:W161)</f>
        <v>0</v>
      </c>
      <c r="X161" s="21">
        <f>SUM(NhatkyNhap!$C161:X161)-SUM(NhatkyBan!$C161:X161)</f>
        <v>0</v>
      </c>
      <c r="Y161" s="21">
        <f>SUM(NhatkyNhap!$C161:Y161)-SUM(NhatkyBan!$C161:Y161)</f>
        <v>0</v>
      </c>
      <c r="Z161" s="21">
        <f>SUM(NhatkyNhap!$C161:Z161)-SUM(NhatkyBan!$C161:Z161)</f>
        <v>0</v>
      </c>
      <c r="AA161" s="21">
        <f>SUM(NhatkyNhap!$C161:AA161)-SUM(NhatkyBan!$C161:AA161)</f>
        <v>0</v>
      </c>
      <c r="AB161" s="21">
        <f>SUM(NhatkyNhap!$C161:AB161)-SUM(NhatkyBan!$C161:AB161)</f>
        <v>0</v>
      </c>
      <c r="AC161" s="21">
        <f>SUM(NhatkyNhap!$C161:AC161)-SUM(NhatkyBan!$C161:AC161)</f>
        <v>0</v>
      </c>
      <c r="AD161" s="21">
        <f>SUM(NhatkyNhap!$C161:AD161)-SUM(NhatkyBan!$C161:AD161)</f>
        <v>0</v>
      </c>
      <c r="AE161" s="21">
        <f>SUM(NhatkyNhap!$C161:AE161)-SUM(NhatkyBan!$C161:AE161)</f>
        <v>0</v>
      </c>
      <c r="AF161" s="21">
        <f>SUM(NhatkyNhap!$C161:AF161)-SUM(NhatkyBan!$C161:AF161)</f>
        <v>0</v>
      </c>
      <c r="AG161" s="21">
        <f>SUM(NhatkyNhap!$C161:AG161)-SUM(NhatkyBan!$C161:AG161)</f>
        <v>0</v>
      </c>
    </row>
    <row r="162" spans="1:33" ht="12.75" customHeight="1">
      <c r="A162" s="76" t="str">
        <f>DSSP!A161</f>
        <v>GC11</v>
      </c>
      <c r="B162" s="25" t="str">
        <f>DSSP!B161</f>
        <v>Kẹp ngang to (số 4)</v>
      </c>
      <c r="C162" s="21">
        <f>SUM(NhatkyNhap!$C162:C162)-SUM(NhatkyBan!$C162:C162)</f>
        <v>0</v>
      </c>
      <c r="D162" s="21">
        <f>SUM(NhatkyNhap!$C162:D162)-SUM(NhatkyBan!$C162:D162)</f>
        <v>0</v>
      </c>
      <c r="E162" s="21">
        <f>SUM(NhatkyNhap!$C162:E162)-SUM(NhatkyBan!$C162:E162)</f>
        <v>0</v>
      </c>
      <c r="F162" s="21">
        <f>SUM(NhatkyNhap!$C162:F162)-SUM(NhatkyBan!$C162:F162)</f>
        <v>0</v>
      </c>
      <c r="G162" s="21">
        <f>SUM(NhatkyNhap!$C162:G162)-SUM(NhatkyBan!$C162:G162)</f>
        <v>0</v>
      </c>
      <c r="H162" s="21">
        <f>SUM(NhatkyNhap!$C162:H162)-SUM(NhatkyBan!$C162:H162)</f>
        <v>0</v>
      </c>
      <c r="I162" s="21">
        <f>SUM(NhatkyNhap!$C162:I162)-SUM(NhatkyBan!$C162:I162)</f>
        <v>0</v>
      </c>
      <c r="J162" s="21">
        <f>SUM(NhatkyNhap!$C162:J162)-SUM(NhatkyBan!$C162:J162)</f>
        <v>0</v>
      </c>
      <c r="K162" s="21">
        <f>SUM(NhatkyNhap!$C162:K162)-SUM(NhatkyBan!$C162:K162)</f>
        <v>0</v>
      </c>
      <c r="L162" s="21">
        <f>SUM(NhatkyNhap!$C162:L162)-SUM(NhatkyBan!$C162:L162)</f>
        <v>0</v>
      </c>
      <c r="M162" s="21">
        <f>SUM(NhatkyNhap!$C162:M162)-SUM(NhatkyBan!$C162:M162)</f>
        <v>0</v>
      </c>
      <c r="N162" s="21">
        <f>SUM(NhatkyNhap!$C162:N162)-SUM(NhatkyBan!$C162:N162)</f>
        <v>0</v>
      </c>
      <c r="O162" s="21">
        <f>SUM(NhatkyNhap!$C162:O162)-SUM(NhatkyBan!$C162:O162)</f>
        <v>0</v>
      </c>
      <c r="P162" s="21">
        <f>SUM(NhatkyNhap!$C162:P162)-SUM(NhatkyBan!$C162:P162)</f>
        <v>0</v>
      </c>
      <c r="Q162" s="21">
        <f>SUM(NhatkyNhap!$C162:Q162)-SUM(NhatkyBan!$C162:Q162)</f>
        <v>0</v>
      </c>
      <c r="R162" s="21">
        <f>SUM(NhatkyNhap!$C162:R162)-SUM(NhatkyBan!$C162:R162)</f>
        <v>0</v>
      </c>
      <c r="S162" s="21">
        <f>SUM(NhatkyNhap!$C162:S162)-SUM(NhatkyBan!$C162:S162)</f>
        <v>0</v>
      </c>
      <c r="T162" s="21">
        <f>SUM(NhatkyNhap!$C162:T162)-SUM(NhatkyBan!$C162:T162)</f>
        <v>0</v>
      </c>
      <c r="U162" s="21">
        <f>SUM(NhatkyNhap!$C162:U162)-SUM(NhatkyBan!$C162:U162)</f>
        <v>0</v>
      </c>
      <c r="V162" s="21">
        <f>SUM(NhatkyNhap!$C162:V162)-SUM(NhatkyBan!$C162:V162)</f>
        <v>0</v>
      </c>
      <c r="W162" s="21">
        <f>SUM(NhatkyNhap!$C162:W162)-SUM(NhatkyBan!$C162:W162)</f>
        <v>0</v>
      </c>
      <c r="X162" s="21">
        <f>SUM(NhatkyNhap!$C162:X162)-SUM(NhatkyBan!$C162:X162)</f>
        <v>0</v>
      </c>
      <c r="Y162" s="21">
        <f>SUM(NhatkyNhap!$C162:Y162)-SUM(NhatkyBan!$C162:Y162)</f>
        <v>0</v>
      </c>
      <c r="Z162" s="21">
        <f>SUM(NhatkyNhap!$C162:Z162)-SUM(NhatkyBan!$C162:Z162)</f>
        <v>0</v>
      </c>
      <c r="AA162" s="21">
        <f>SUM(NhatkyNhap!$C162:AA162)-SUM(NhatkyBan!$C162:AA162)</f>
        <v>0</v>
      </c>
      <c r="AB162" s="21">
        <f>SUM(NhatkyNhap!$C162:AB162)-SUM(NhatkyBan!$C162:AB162)</f>
        <v>0</v>
      </c>
      <c r="AC162" s="21">
        <f>SUM(NhatkyNhap!$C162:AC162)-SUM(NhatkyBan!$C162:AC162)</f>
        <v>0</v>
      </c>
      <c r="AD162" s="21">
        <f>SUM(NhatkyNhap!$C162:AD162)-SUM(NhatkyBan!$C162:AD162)</f>
        <v>0</v>
      </c>
      <c r="AE162" s="21">
        <f>SUM(NhatkyNhap!$C162:AE162)-SUM(NhatkyBan!$C162:AE162)</f>
        <v>0</v>
      </c>
      <c r="AF162" s="21">
        <f>SUM(NhatkyNhap!$C162:AF162)-SUM(NhatkyBan!$C162:AF162)</f>
        <v>0</v>
      </c>
      <c r="AG162" s="21">
        <f>SUM(NhatkyNhap!$C162:AG162)-SUM(NhatkyBan!$C162:AG162)</f>
        <v>0</v>
      </c>
    </row>
    <row r="163" spans="1:33" ht="12.75" customHeight="1">
      <c r="A163" s="76" t="str">
        <f>DSSP!A162</f>
        <v>GC12</v>
      </c>
      <c r="B163" s="25" t="str">
        <f>DSSP!B162</f>
        <v>Kẹp ngang nhỏ(số 3)</v>
      </c>
      <c r="C163" s="21">
        <f>SUM(NhatkyNhap!$C163:C163)-SUM(NhatkyBan!$C163:C163)</f>
        <v>0</v>
      </c>
      <c r="D163" s="21">
        <f>SUM(NhatkyNhap!$C163:D163)-SUM(NhatkyBan!$C163:D163)</f>
        <v>0</v>
      </c>
      <c r="E163" s="21">
        <f>SUM(NhatkyNhap!$C163:E163)-SUM(NhatkyBan!$C163:E163)</f>
        <v>0</v>
      </c>
      <c r="F163" s="21">
        <f>SUM(NhatkyNhap!$C163:F163)-SUM(NhatkyBan!$C163:F163)</f>
        <v>0</v>
      </c>
      <c r="G163" s="21">
        <f>SUM(NhatkyNhap!$C163:G163)-SUM(NhatkyBan!$C163:G163)</f>
        <v>0</v>
      </c>
      <c r="H163" s="21">
        <f>SUM(NhatkyNhap!$C163:H163)-SUM(NhatkyBan!$C163:H163)</f>
        <v>0</v>
      </c>
      <c r="I163" s="21">
        <f>SUM(NhatkyNhap!$C163:I163)-SUM(NhatkyBan!$C163:I163)</f>
        <v>0</v>
      </c>
      <c r="J163" s="21">
        <f>SUM(NhatkyNhap!$C163:J163)-SUM(NhatkyBan!$C163:J163)</f>
        <v>0</v>
      </c>
      <c r="K163" s="21">
        <f>SUM(NhatkyNhap!$C163:K163)-SUM(NhatkyBan!$C163:K163)</f>
        <v>0</v>
      </c>
      <c r="L163" s="21">
        <f>SUM(NhatkyNhap!$C163:L163)-SUM(NhatkyBan!$C163:L163)</f>
        <v>0</v>
      </c>
      <c r="M163" s="21">
        <f>SUM(NhatkyNhap!$C163:M163)-SUM(NhatkyBan!$C163:M163)</f>
        <v>0</v>
      </c>
      <c r="N163" s="21">
        <f>SUM(NhatkyNhap!$C163:N163)-SUM(NhatkyBan!$C163:N163)</f>
        <v>0</v>
      </c>
      <c r="O163" s="21">
        <f>SUM(NhatkyNhap!$C163:O163)-SUM(NhatkyBan!$C163:O163)</f>
        <v>0</v>
      </c>
      <c r="P163" s="21">
        <f>SUM(NhatkyNhap!$C163:P163)-SUM(NhatkyBan!$C163:P163)</f>
        <v>0</v>
      </c>
      <c r="Q163" s="21">
        <f>SUM(NhatkyNhap!$C163:Q163)-SUM(NhatkyBan!$C163:Q163)</f>
        <v>0</v>
      </c>
      <c r="R163" s="21">
        <f>SUM(NhatkyNhap!$C163:R163)-SUM(NhatkyBan!$C163:R163)</f>
        <v>0</v>
      </c>
      <c r="S163" s="21">
        <f>SUM(NhatkyNhap!$C163:S163)-SUM(NhatkyBan!$C163:S163)</f>
        <v>0</v>
      </c>
      <c r="T163" s="21">
        <f>SUM(NhatkyNhap!$C163:T163)-SUM(NhatkyBan!$C163:T163)</f>
        <v>0</v>
      </c>
      <c r="U163" s="21">
        <f>SUM(NhatkyNhap!$C163:U163)-SUM(NhatkyBan!$C163:U163)</f>
        <v>0</v>
      </c>
      <c r="V163" s="21">
        <f>SUM(NhatkyNhap!$C163:V163)-SUM(NhatkyBan!$C163:V163)</f>
        <v>0</v>
      </c>
      <c r="W163" s="21">
        <f>SUM(NhatkyNhap!$C163:W163)-SUM(NhatkyBan!$C163:W163)</f>
        <v>0</v>
      </c>
      <c r="X163" s="21">
        <f>SUM(NhatkyNhap!$C163:X163)-SUM(NhatkyBan!$C163:X163)</f>
        <v>0</v>
      </c>
      <c r="Y163" s="21">
        <f>SUM(NhatkyNhap!$C163:Y163)-SUM(NhatkyBan!$C163:Y163)</f>
        <v>0</v>
      </c>
      <c r="Z163" s="21">
        <f>SUM(NhatkyNhap!$C163:Z163)-SUM(NhatkyBan!$C163:Z163)</f>
        <v>0</v>
      </c>
      <c r="AA163" s="21">
        <f>SUM(NhatkyNhap!$C163:AA163)-SUM(NhatkyBan!$C163:AA163)</f>
        <v>0</v>
      </c>
      <c r="AB163" s="21">
        <f>SUM(NhatkyNhap!$C163:AB163)-SUM(NhatkyBan!$C163:AB163)</f>
        <v>0</v>
      </c>
      <c r="AC163" s="21">
        <f>SUM(NhatkyNhap!$C163:AC163)-SUM(NhatkyBan!$C163:AC163)</f>
        <v>0</v>
      </c>
      <c r="AD163" s="21">
        <f>SUM(NhatkyNhap!$C163:AD163)-SUM(NhatkyBan!$C163:AD163)</f>
        <v>0</v>
      </c>
      <c r="AE163" s="21">
        <f>SUM(NhatkyNhap!$C163:AE163)-SUM(NhatkyBan!$C163:AE163)</f>
        <v>0</v>
      </c>
      <c r="AF163" s="21">
        <f>SUM(NhatkyNhap!$C163:AF163)-SUM(NhatkyBan!$C163:AF163)</f>
        <v>0</v>
      </c>
      <c r="AG163" s="21">
        <f>SUM(NhatkyNhap!$C163:AG163)-SUM(NhatkyBan!$C163:AG163)</f>
        <v>0</v>
      </c>
    </row>
    <row r="164" spans="1:33" ht="12.75" customHeight="1">
      <c r="A164" s="76" t="str">
        <f>DSSP!A163</f>
        <v>GC21</v>
      </c>
      <c r="B164" s="25" t="str">
        <f>DSSP!B163</f>
        <v>Kem ngang vừa (số 2)</v>
      </c>
      <c r="C164" s="21">
        <f>SUM(NhatkyNhap!$C164:C164)-SUM(NhatkyBan!$C164:C164)</f>
        <v>0</v>
      </c>
      <c r="D164" s="21">
        <f>SUM(NhatkyNhap!$C164:D164)-SUM(NhatkyBan!$C164:D164)</f>
        <v>0</v>
      </c>
      <c r="E164" s="21">
        <f>SUM(NhatkyNhap!$C164:E164)-SUM(NhatkyBan!$C164:E164)</f>
        <v>0</v>
      </c>
      <c r="F164" s="21">
        <f>SUM(NhatkyNhap!$C164:F164)-SUM(NhatkyBan!$C164:F164)</f>
        <v>0</v>
      </c>
      <c r="G164" s="21">
        <f>SUM(NhatkyNhap!$C164:G164)-SUM(NhatkyBan!$C164:G164)</f>
        <v>0</v>
      </c>
      <c r="H164" s="21">
        <f>SUM(NhatkyNhap!$C164:H164)-SUM(NhatkyBan!$C164:H164)</f>
        <v>0</v>
      </c>
      <c r="I164" s="21">
        <f>SUM(NhatkyNhap!$C164:I164)-SUM(NhatkyBan!$C164:I164)</f>
        <v>0</v>
      </c>
      <c r="J164" s="21">
        <f>SUM(NhatkyNhap!$C164:J164)-SUM(NhatkyBan!$C164:J164)</f>
        <v>0</v>
      </c>
      <c r="K164" s="21">
        <f>SUM(NhatkyNhap!$C164:K164)-SUM(NhatkyBan!$C164:K164)</f>
        <v>0</v>
      </c>
      <c r="L164" s="21">
        <f>SUM(NhatkyNhap!$C164:L164)-SUM(NhatkyBan!$C164:L164)</f>
        <v>0</v>
      </c>
      <c r="M164" s="21">
        <f>SUM(NhatkyNhap!$C164:M164)-SUM(NhatkyBan!$C164:M164)</f>
        <v>0</v>
      </c>
      <c r="N164" s="21">
        <f>SUM(NhatkyNhap!$C164:N164)-SUM(NhatkyBan!$C164:N164)</f>
        <v>0</v>
      </c>
      <c r="O164" s="21">
        <f>SUM(NhatkyNhap!$C164:O164)-SUM(NhatkyBan!$C164:O164)</f>
        <v>0</v>
      </c>
      <c r="P164" s="21">
        <f>SUM(NhatkyNhap!$C164:P164)-SUM(NhatkyBan!$C164:P164)</f>
        <v>0</v>
      </c>
      <c r="Q164" s="21">
        <f>SUM(NhatkyNhap!$C164:Q164)-SUM(NhatkyBan!$C164:Q164)</f>
        <v>0</v>
      </c>
      <c r="R164" s="21">
        <f>SUM(NhatkyNhap!$C164:R164)-SUM(NhatkyBan!$C164:R164)</f>
        <v>0</v>
      </c>
      <c r="S164" s="21">
        <f>SUM(NhatkyNhap!$C164:S164)-SUM(NhatkyBan!$C164:S164)</f>
        <v>0</v>
      </c>
      <c r="T164" s="21">
        <f>SUM(NhatkyNhap!$C164:T164)-SUM(NhatkyBan!$C164:T164)</f>
        <v>0</v>
      </c>
      <c r="U164" s="21">
        <f>SUM(NhatkyNhap!$C164:U164)-SUM(NhatkyBan!$C164:U164)</f>
        <v>0</v>
      </c>
      <c r="V164" s="21">
        <f>SUM(NhatkyNhap!$C164:V164)-SUM(NhatkyBan!$C164:V164)</f>
        <v>0</v>
      </c>
      <c r="W164" s="21">
        <f>SUM(NhatkyNhap!$C164:W164)-SUM(NhatkyBan!$C164:W164)</f>
        <v>0</v>
      </c>
      <c r="X164" s="21">
        <f>SUM(NhatkyNhap!$C164:X164)-SUM(NhatkyBan!$C164:X164)</f>
        <v>0</v>
      </c>
      <c r="Y164" s="21">
        <f>SUM(NhatkyNhap!$C164:Y164)-SUM(NhatkyBan!$C164:Y164)</f>
        <v>0</v>
      </c>
      <c r="Z164" s="21">
        <f>SUM(NhatkyNhap!$C164:Z164)-SUM(NhatkyBan!$C164:Z164)</f>
        <v>0</v>
      </c>
      <c r="AA164" s="21">
        <f>SUM(NhatkyNhap!$C164:AA164)-SUM(NhatkyBan!$C164:AA164)</f>
        <v>0</v>
      </c>
      <c r="AB164" s="21">
        <f>SUM(NhatkyNhap!$C164:AB164)-SUM(NhatkyBan!$C164:AB164)</f>
        <v>0</v>
      </c>
      <c r="AC164" s="21">
        <f>SUM(NhatkyNhap!$C164:AC164)-SUM(NhatkyBan!$C164:AC164)</f>
        <v>0</v>
      </c>
      <c r="AD164" s="21">
        <f>SUM(NhatkyNhap!$C164:AD164)-SUM(NhatkyBan!$C164:AD164)</f>
        <v>0</v>
      </c>
      <c r="AE164" s="21">
        <f>SUM(NhatkyNhap!$C164:AE164)-SUM(NhatkyBan!$C164:AE164)</f>
        <v>0</v>
      </c>
      <c r="AF164" s="21">
        <f>SUM(NhatkyNhap!$C164:AF164)-SUM(NhatkyBan!$C164:AF164)</f>
        <v>0</v>
      </c>
      <c r="AG164" s="21">
        <f>SUM(NhatkyNhap!$C164:AG164)-SUM(NhatkyBan!$C164:AG164)</f>
        <v>0</v>
      </c>
    </row>
    <row r="165" spans="1:33" ht="12.75" customHeight="1">
      <c r="A165" s="76" t="str">
        <f>DSSP!A164</f>
        <v>GC13</v>
      </c>
      <c r="B165" s="25" t="str">
        <f>DSSP!B164</f>
        <v>Kẹp dọc (số 1)</v>
      </c>
      <c r="C165" s="21">
        <f>SUM(NhatkyNhap!$C165:C165)-SUM(NhatkyBan!$C165:C165)</f>
        <v>0</v>
      </c>
      <c r="D165" s="21">
        <f>SUM(NhatkyNhap!$C165:D165)-SUM(NhatkyBan!$C165:D165)</f>
        <v>0</v>
      </c>
      <c r="E165" s="21">
        <f>SUM(NhatkyNhap!$C165:E165)-SUM(NhatkyBan!$C165:E165)</f>
        <v>0</v>
      </c>
      <c r="F165" s="21">
        <f>SUM(NhatkyNhap!$C165:F165)-SUM(NhatkyBan!$C165:F165)</f>
        <v>0</v>
      </c>
      <c r="G165" s="21">
        <f>SUM(NhatkyNhap!$C165:G165)-SUM(NhatkyBan!$C165:G165)</f>
        <v>0</v>
      </c>
      <c r="H165" s="21">
        <f>SUM(NhatkyNhap!$C165:H165)-SUM(NhatkyBan!$C165:H165)</f>
        <v>0</v>
      </c>
      <c r="I165" s="21">
        <f>SUM(NhatkyNhap!$C165:I165)-SUM(NhatkyBan!$C165:I165)</f>
        <v>0</v>
      </c>
      <c r="J165" s="21">
        <f>SUM(NhatkyNhap!$C165:J165)-SUM(NhatkyBan!$C165:J165)</f>
        <v>0</v>
      </c>
      <c r="K165" s="21">
        <f>SUM(NhatkyNhap!$C165:K165)-SUM(NhatkyBan!$C165:K165)</f>
        <v>0</v>
      </c>
      <c r="L165" s="21">
        <f>SUM(NhatkyNhap!$C165:L165)-SUM(NhatkyBan!$C165:L165)</f>
        <v>0</v>
      </c>
      <c r="M165" s="21">
        <f>SUM(NhatkyNhap!$C165:M165)-SUM(NhatkyBan!$C165:M165)</f>
        <v>0</v>
      </c>
      <c r="N165" s="21">
        <f>SUM(NhatkyNhap!$C165:N165)-SUM(NhatkyBan!$C165:N165)</f>
        <v>0</v>
      </c>
      <c r="O165" s="21">
        <f>SUM(NhatkyNhap!$C165:O165)-SUM(NhatkyBan!$C165:O165)</f>
        <v>0</v>
      </c>
      <c r="P165" s="21">
        <f>SUM(NhatkyNhap!$C165:P165)-SUM(NhatkyBan!$C165:P165)</f>
        <v>0</v>
      </c>
      <c r="Q165" s="21">
        <f>SUM(NhatkyNhap!$C165:Q165)-SUM(NhatkyBan!$C165:Q165)</f>
        <v>0</v>
      </c>
      <c r="R165" s="21">
        <f>SUM(NhatkyNhap!$C165:R165)-SUM(NhatkyBan!$C165:R165)</f>
        <v>0</v>
      </c>
      <c r="S165" s="21">
        <f>SUM(NhatkyNhap!$C165:S165)-SUM(NhatkyBan!$C165:S165)</f>
        <v>0</v>
      </c>
      <c r="T165" s="21">
        <f>SUM(NhatkyNhap!$C165:T165)-SUM(NhatkyBan!$C165:T165)</f>
        <v>0</v>
      </c>
      <c r="U165" s="21">
        <f>SUM(NhatkyNhap!$C165:U165)-SUM(NhatkyBan!$C165:U165)</f>
        <v>0</v>
      </c>
      <c r="V165" s="21">
        <f>SUM(NhatkyNhap!$C165:V165)-SUM(NhatkyBan!$C165:V165)</f>
        <v>0</v>
      </c>
      <c r="W165" s="21">
        <f>SUM(NhatkyNhap!$C165:W165)-SUM(NhatkyBan!$C165:W165)</f>
        <v>0</v>
      </c>
      <c r="X165" s="21">
        <f>SUM(NhatkyNhap!$C165:X165)-SUM(NhatkyBan!$C165:X165)</f>
        <v>0</v>
      </c>
      <c r="Y165" s="21">
        <f>SUM(NhatkyNhap!$C165:Y165)-SUM(NhatkyBan!$C165:Y165)</f>
        <v>0</v>
      </c>
      <c r="Z165" s="21">
        <f>SUM(NhatkyNhap!$C165:Z165)-SUM(NhatkyBan!$C165:Z165)</f>
        <v>0</v>
      </c>
      <c r="AA165" s="21">
        <f>SUM(NhatkyNhap!$C165:AA165)-SUM(NhatkyBan!$C165:AA165)</f>
        <v>0</v>
      </c>
      <c r="AB165" s="21">
        <f>SUM(NhatkyNhap!$C165:AB165)-SUM(NhatkyBan!$C165:AB165)</f>
        <v>0</v>
      </c>
      <c r="AC165" s="21">
        <f>SUM(NhatkyNhap!$C165:AC165)-SUM(NhatkyBan!$C165:AC165)</f>
        <v>0</v>
      </c>
      <c r="AD165" s="21">
        <f>SUM(NhatkyNhap!$C165:AD165)-SUM(NhatkyBan!$C165:AD165)</f>
        <v>0</v>
      </c>
      <c r="AE165" s="21">
        <f>SUM(NhatkyNhap!$C165:AE165)-SUM(NhatkyBan!$C165:AE165)</f>
        <v>0</v>
      </c>
      <c r="AF165" s="21">
        <f>SUM(NhatkyNhap!$C165:AF165)-SUM(NhatkyBan!$C165:AF165)</f>
        <v>0</v>
      </c>
      <c r="AG165" s="21">
        <f>SUM(NhatkyNhap!$C165:AG165)-SUM(NhatkyBan!$C165:AG165)</f>
        <v>0</v>
      </c>
    </row>
    <row r="166" spans="1:33" ht="12.75" customHeight="1">
      <c r="A166" s="76" t="str">
        <f>DSSP!A165</f>
        <v>GC22</v>
      </c>
      <c r="B166" s="25" t="str">
        <f>DSSP!B165</f>
        <v>Kẹp số 5</v>
      </c>
      <c r="C166" s="21">
        <f>SUM(NhatkyNhap!$C166:C166)-SUM(NhatkyBan!$C166:C166)</f>
        <v>72</v>
      </c>
      <c r="D166" s="21">
        <f>SUM(NhatkyNhap!$C166:D166)-SUM(NhatkyBan!$C166:D166)</f>
        <v>72</v>
      </c>
      <c r="E166" s="21">
        <f>SUM(NhatkyNhap!$C166:E166)-SUM(NhatkyBan!$C166:E166)</f>
        <v>72</v>
      </c>
      <c r="F166" s="21">
        <f>SUM(NhatkyNhap!$C166:F166)-SUM(NhatkyBan!$C166:F166)</f>
        <v>72</v>
      </c>
      <c r="G166" s="21">
        <f>SUM(NhatkyNhap!$C166:G166)-SUM(NhatkyBan!$C166:G166)</f>
        <v>72</v>
      </c>
      <c r="H166" s="21">
        <f>SUM(NhatkyNhap!$C166:H166)-SUM(NhatkyBan!$C166:H166)</f>
        <v>72</v>
      </c>
      <c r="I166" s="21">
        <f>SUM(NhatkyNhap!$C166:I166)-SUM(NhatkyBan!$C166:I166)</f>
        <v>72</v>
      </c>
      <c r="J166" s="21">
        <f>SUM(NhatkyNhap!$C166:J166)-SUM(NhatkyBan!$C166:J166)</f>
        <v>72</v>
      </c>
      <c r="K166" s="21">
        <f>SUM(NhatkyNhap!$C166:K166)-SUM(NhatkyBan!$C166:K166)</f>
        <v>72</v>
      </c>
      <c r="L166" s="21">
        <f>SUM(NhatkyNhap!$C166:L166)-SUM(NhatkyBan!$C166:L166)</f>
        <v>72</v>
      </c>
      <c r="M166" s="21">
        <f>SUM(NhatkyNhap!$C166:M166)-SUM(NhatkyBan!$C166:M166)</f>
        <v>72</v>
      </c>
      <c r="N166" s="21">
        <f>SUM(NhatkyNhap!$C166:N166)-SUM(NhatkyBan!$C166:N166)</f>
        <v>72</v>
      </c>
      <c r="O166" s="21">
        <f>SUM(NhatkyNhap!$C166:O166)-SUM(NhatkyBan!$C166:O166)</f>
        <v>72</v>
      </c>
      <c r="P166" s="21">
        <f>SUM(NhatkyNhap!$C166:P166)-SUM(NhatkyBan!$C166:P166)</f>
        <v>72</v>
      </c>
      <c r="Q166" s="21">
        <f>SUM(NhatkyNhap!$C166:Q166)-SUM(NhatkyBan!$C166:Q166)</f>
        <v>72</v>
      </c>
      <c r="R166" s="21">
        <f>SUM(NhatkyNhap!$C166:R166)-SUM(NhatkyBan!$C166:R166)</f>
        <v>72</v>
      </c>
      <c r="S166" s="21">
        <f>SUM(NhatkyNhap!$C166:S166)-SUM(NhatkyBan!$C166:S166)</f>
        <v>72</v>
      </c>
      <c r="T166" s="21">
        <f>SUM(NhatkyNhap!$C166:T166)-SUM(NhatkyBan!$C166:T166)</f>
        <v>72</v>
      </c>
      <c r="U166" s="21">
        <f>SUM(NhatkyNhap!$C166:U166)-SUM(NhatkyBan!$C166:U166)</f>
        <v>72</v>
      </c>
      <c r="V166" s="21">
        <f>SUM(NhatkyNhap!$C166:V166)-SUM(NhatkyBan!$C166:V166)</f>
        <v>72</v>
      </c>
      <c r="W166" s="21">
        <f>SUM(NhatkyNhap!$C166:W166)-SUM(NhatkyBan!$C166:W166)</f>
        <v>72</v>
      </c>
      <c r="X166" s="21">
        <f>SUM(NhatkyNhap!$C166:X166)-SUM(NhatkyBan!$C166:X166)</f>
        <v>72</v>
      </c>
      <c r="Y166" s="21">
        <f>SUM(NhatkyNhap!$C166:Y166)-SUM(NhatkyBan!$C166:Y166)</f>
        <v>72</v>
      </c>
      <c r="Z166" s="21">
        <f>SUM(NhatkyNhap!$C166:Z166)-SUM(NhatkyBan!$C166:Z166)</f>
        <v>72</v>
      </c>
      <c r="AA166" s="21">
        <f>SUM(NhatkyNhap!$C166:AA166)-SUM(NhatkyBan!$C166:AA166)</f>
        <v>72</v>
      </c>
      <c r="AB166" s="21">
        <f>SUM(NhatkyNhap!$C166:AB166)-SUM(NhatkyBan!$C166:AB166)</f>
        <v>72</v>
      </c>
      <c r="AC166" s="21">
        <f>SUM(NhatkyNhap!$C166:AC166)-SUM(NhatkyBan!$C166:AC166)</f>
        <v>72</v>
      </c>
      <c r="AD166" s="21">
        <f>SUM(NhatkyNhap!$C166:AD166)-SUM(NhatkyBan!$C166:AD166)</f>
        <v>72</v>
      </c>
      <c r="AE166" s="21">
        <f>SUM(NhatkyNhap!$C166:AE166)-SUM(NhatkyBan!$C166:AE166)</f>
        <v>72</v>
      </c>
      <c r="AF166" s="21">
        <f>SUM(NhatkyNhap!$C166:AF166)-SUM(NhatkyBan!$C166:AF166)</f>
        <v>72</v>
      </c>
      <c r="AG166" s="21">
        <f>SUM(NhatkyNhap!$C166:AG166)-SUM(NhatkyBan!$C166:AG166)</f>
        <v>72</v>
      </c>
    </row>
    <row r="167" spans="1:33" ht="12.75" customHeight="1">
      <c r="A167" s="76" t="str">
        <f>DSSP!A166</f>
        <v>GC14</v>
      </c>
      <c r="B167" s="25" t="str">
        <f>DSSP!B166</f>
        <v>Càng cua</v>
      </c>
      <c r="C167" s="21">
        <f>SUM(NhatkyNhap!$C167:C167)-SUM(NhatkyBan!$C167:C167)</f>
        <v>1533</v>
      </c>
      <c r="D167" s="21">
        <f>SUM(NhatkyNhap!$C167:D167)-SUM(NhatkyBan!$C167:D167)</f>
        <v>1533</v>
      </c>
      <c r="E167" s="21">
        <f>SUM(NhatkyNhap!$C167:E167)-SUM(NhatkyBan!$C167:E167)</f>
        <v>1533</v>
      </c>
      <c r="F167" s="21">
        <f>SUM(NhatkyNhap!$C167:F167)-SUM(NhatkyBan!$C167:F167)</f>
        <v>1533</v>
      </c>
      <c r="G167" s="21">
        <f>SUM(NhatkyNhap!$C167:G167)-SUM(NhatkyBan!$C167:G167)</f>
        <v>1533</v>
      </c>
      <c r="H167" s="21">
        <f>SUM(NhatkyNhap!$C167:H167)-SUM(NhatkyBan!$C167:H167)</f>
        <v>1533</v>
      </c>
      <c r="I167" s="21">
        <f>SUM(NhatkyNhap!$C167:I167)-SUM(NhatkyBan!$C167:I167)</f>
        <v>1533</v>
      </c>
      <c r="J167" s="21">
        <f>SUM(NhatkyNhap!$C167:J167)-SUM(NhatkyBan!$C167:J167)</f>
        <v>1533</v>
      </c>
      <c r="K167" s="21">
        <f>SUM(NhatkyNhap!$C167:K167)-SUM(NhatkyBan!$C167:K167)</f>
        <v>1533</v>
      </c>
      <c r="L167" s="21">
        <f>SUM(NhatkyNhap!$C167:L167)-SUM(NhatkyBan!$C167:L167)</f>
        <v>1533</v>
      </c>
      <c r="M167" s="21">
        <f>SUM(NhatkyNhap!$C167:M167)-SUM(NhatkyBan!$C167:M167)</f>
        <v>1533</v>
      </c>
      <c r="N167" s="21">
        <f>SUM(NhatkyNhap!$C167:N167)-SUM(NhatkyBan!$C167:N167)</f>
        <v>1533</v>
      </c>
      <c r="O167" s="21">
        <f>SUM(NhatkyNhap!$C167:O167)-SUM(NhatkyBan!$C167:O167)</f>
        <v>1533</v>
      </c>
      <c r="P167" s="21">
        <f>SUM(NhatkyNhap!$C167:P167)-SUM(NhatkyBan!$C167:P167)</f>
        <v>1533</v>
      </c>
      <c r="Q167" s="21">
        <f>SUM(NhatkyNhap!$C167:Q167)-SUM(NhatkyBan!$C167:Q167)</f>
        <v>1533</v>
      </c>
      <c r="R167" s="21">
        <f>SUM(NhatkyNhap!$C167:R167)-SUM(NhatkyBan!$C167:R167)</f>
        <v>1533</v>
      </c>
      <c r="S167" s="21">
        <f>SUM(NhatkyNhap!$C167:S167)-SUM(NhatkyBan!$C167:S167)</f>
        <v>1533</v>
      </c>
      <c r="T167" s="21">
        <f>SUM(NhatkyNhap!$C167:T167)-SUM(NhatkyBan!$C167:T167)</f>
        <v>1533</v>
      </c>
      <c r="U167" s="21">
        <f>SUM(NhatkyNhap!$C167:U167)-SUM(NhatkyBan!$C167:U167)</f>
        <v>1533</v>
      </c>
      <c r="V167" s="21">
        <f>SUM(NhatkyNhap!$C167:V167)-SUM(NhatkyBan!$C167:V167)</f>
        <v>1533</v>
      </c>
      <c r="W167" s="21">
        <f>SUM(NhatkyNhap!$C167:W167)-SUM(NhatkyBan!$C167:W167)</f>
        <v>1533</v>
      </c>
      <c r="X167" s="21">
        <f>SUM(NhatkyNhap!$C167:X167)-SUM(NhatkyBan!$C167:X167)</f>
        <v>1533</v>
      </c>
      <c r="Y167" s="21">
        <f>SUM(NhatkyNhap!$C167:Y167)-SUM(NhatkyBan!$C167:Y167)</f>
        <v>1533</v>
      </c>
      <c r="Z167" s="21">
        <f>SUM(NhatkyNhap!$C167:Z167)-SUM(NhatkyBan!$C167:Z167)</f>
        <v>1533</v>
      </c>
      <c r="AA167" s="21">
        <f>SUM(NhatkyNhap!$C167:AA167)-SUM(NhatkyBan!$C167:AA167)</f>
        <v>1533</v>
      </c>
      <c r="AB167" s="21">
        <f>SUM(NhatkyNhap!$C167:AB167)-SUM(NhatkyBan!$C167:AB167)</f>
        <v>1533</v>
      </c>
      <c r="AC167" s="21">
        <f>SUM(NhatkyNhap!$C167:AC167)-SUM(NhatkyBan!$C167:AC167)</f>
        <v>1533</v>
      </c>
      <c r="AD167" s="21">
        <f>SUM(NhatkyNhap!$C167:AD167)-SUM(NhatkyBan!$C167:AD167)</f>
        <v>1533</v>
      </c>
      <c r="AE167" s="21">
        <f>SUM(NhatkyNhap!$C167:AE167)-SUM(NhatkyBan!$C167:AE167)</f>
        <v>1533</v>
      </c>
      <c r="AF167" s="21">
        <f>SUM(NhatkyNhap!$C167:AF167)-SUM(NhatkyBan!$C167:AF167)</f>
        <v>1533</v>
      </c>
      <c r="AG167" s="21">
        <f>SUM(NhatkyNhap!$C167:AG167)-SUM(NhatkyBan!$C167:AG167)</f>
        <v>1533</v>
      </c>
    </row>
    <row r="168" spans="1:33" ht="12.75" customHeight="1">
      <c r="A168" s="76" t="str">
        <f>DSSP!A167</f>
        <v>GC15</v>
      </c>
      <c r="B168" s="25" t="str">
        <f>DSSP!B167</f>
        <v xml:space="preserve">Chuông bạc </v>
      </c>
      <c r="C168" s="21">
        <f>SUM(NhatkyNhap!$C168:C168)-SUM(NhatkyBan!$C168:C168)</f>
        <v>0</v>
      </c>
      <c r="D168" s="21">
        <f>SUM(NhatkyNhap!$C168:D168)-SUM(NhatkyBan!$C168:D168)</f>
        <v>0</v>
      </c>
      <c r="E168" s="21">
        <f>SUM(NhatkyNhap!$C168:E168)-SUM(NhatkyBan!$C168:E168)</f>
        <v>0</v>
      </c>
      <c r="F168" s="21">
        <f>SUM(NhatkyNhap!$C168:F168)-SUM(NhatkyBan!$C168:F168)</f>
        <v>0</v>
      </c>
      <c r="G168" s="21">
        <f>SUM(NhatkyNhap!$C168:G168)-SUM(NhatkyBan!$C168:G168)</f>
        <v>0</v>
      </c>
      <c r="H168" s="21">
        <f>SUM(NhatkyNhap!$C168:H168)-SUM(NhatkyBan!$C168:H168)</f>
        <v>0</v>
      </c>
      <c r="I168" s="21">
        <f>SUM(NhatkyNhap!$C168:I168)-SUM(NhatkyBan!$C168:I168)</f>
        <v>0</v>
      </c>
      <c r="J168" s="21">
        <f>SUM(NhatkyNhap!$C168:J168)-SUM(NhatkyBan!$C168:J168)</f>
        <v>0</v>
      </c>
      <c r="K168" s="21">
        <f>SUM(NhatkyNhap!$C168:K168)-SUM(NhatkyBan!$C168:K168)</f>
        <v>0</v>
      </c>
      <c r="L168" s="21">
        <f>SUM(NhatkyNhap!$C168:L168)-SUM(NhatkyBan!$C168:L168)</f>
        <v>0</v>
      </c>
      <c r="M168" s="21">
        <f>SUM(NhatkyNhap!$C168:M168)-SUM(NhatkyBan!$C168:M168)</f>
        <v>0</v>
      </c>
      <c r="N168" s="21">
        <f>SUM(NhatkyNhap!$C168:N168)-SUM(NhatkyBan!$C168:N168)</f>
        <v>0</v>
      </c>
      <c r="O168" s="21">
        <f>SUM(NhatkyNhap!$C168:O168)-SUM(NhatkyBan!$C168:O168)</f>
        <v>0</v>
      </c>
      <c r="P168" s="21">
        <f>SUM(NhatkyNhap!$C168:P168)-SUM(NhatkyBan!$C168:P168)</f>
        <v>0</v>
      </c>
      <c r="Q168" s="21">
        <f>SUM(NhatkyNhap!$C168:Q168)-SUM(NhatkyBan!$C168:Q168)</f>
        <v>0</v>
      </c>
      <c r="R168" s="21">
        <f>SUM(NhatkyNhap!$C168:R168)-SUM(NhatkyBan!$C168:R168)</f>
        <v>0</v>
      </c>
      <c r="S168" s="21">
        <f>SUM(NhatkyNhap!$C168:S168)-SUM(NhatkyBan!$C168:S168)</f>
        <v>0</v>
      </c>
      <c r="T168" s="21">
        <f>SUM(NhatkyNhap!$C168:T168)-SUM(NhatkyBan!$C168:T168)</f>
        <v>0</v>
      </c>
      <c r="U168" s="21">
        <f>SUM(NhatkyNhap!$C168:U168)-SUM(NhatkyBan!$C168:U168)</f>
        <v>0</v>
      </c>
      <c r="V168" s="21">
        <f>SUM(NhatkyNhap!$C168:V168)-SUM(NhatkyBan!$C168:V168)</f>
        <v>0</v>
      </c>
      <c r="W168" s="21">
        <f>SUM(NhatkyNhap!$C168:W168)-SUM(NhatkyBan!$C168:W168)</f>
        <v>0</v>
      </c>
      <c r="X168" s="21">
        <f>SUM(NhatkyNhap!$C168:X168)-SUM(NhatkyBan!$C168:X168)</f>
        <v>0</v>
      </c>
      <c r="Y168" s="21">
        <f>SUM(NhatkyNhap!$C168:Y168)-SUM(NhatkyBan!$C168:Y168)</f>
        <v>0</v>
      </c>
      <c r="Z168" s="21">
        <f>SUM(NhatkyNhap!$C168:Z168)-SUM(NhatkyBan!$C168:Z168)</f>
        <v>0</v>
      </c>
      <c r="AA168" s="21">
        <f>SUM(NhatkyNhap!$C168:AA168)-SUM(NhatkyBan!$C168:AA168)</f>
        <v>0</v>
      </c>
      <c r="AB168" s="21">
        <f>SUM(NhatkyNhap!$C168:AB168)-SUM(NhatkyBan!$C168:AB168)</f>
        <v>0</v>
      </c>
      <c r="AC168" s="21">
        <f>SUM(NhatkyNhap!$C168:AC168)-SUM(NhatkyBan!$C168:AC168)</f>
        <v>0</v>
      </c>
      <c r="AD168" s="21">
        <f>SUM(NhatkyNhap!$C168:AD168)-SUM(NhatkyBan!$C168:AD168)</f>
        <v>0</v>
      </c>
      <c r="AE168" s="21">
        <f>SUM(NhatkyNhap!$C168:AE168)-SUM(NhatkyBan!$C168:AE168)</f>
        <v>0</v>
      </c>
      <c r="AF168" s="21">
        <f>SUM(NhatkyNhap!$C168:AF168)-SUM(NhatkyBan!$C168:AF168)</f>
        <v>0</v>
      </c>
      <c r="AG168" s="21">
        <f>SUM(NhatkyNhap!$C168:AG168)-SUM(NhatkyBan!$C168:AG168)</f>
        <v>0</v>
      </c>
    </row>
    <row r="169" spans="1:33" ht="12.75" customHeight="1">
      <c r="A169" s="76" t="str">
        <f>DSSP!A168</f>
        <v>GC16</v>
      </c>
      <c r="B169" s="25" t="str">
        <f>DSSP!B168</f>
        <v>Chuông giả cổ</v>
      </c>
      <c r="C169" s="21">
        <f>SUM(NhatkyNhap!$C169:C169)-SUM(NhatkyBan!$C169:C169)</f>
        <v>0</v>
      </c>
      <c r="D169" s="21">
        <f>SUM(NhatkyNhap!$C169:D169)-SUM(NhatkyBan!$C169:D169)</f>
        <v>0</v>
      </c>
      <c r="E169" s="21">
        <f>SUM(NhatkyNhap!$C169:E169)-SUM(NhatkyBan!$C169:E169)</f>
        <v>0</v>
      </c>
      <c r="F169" s="21">
        <f>SUM(NhatkyNhap!$C169:F169)-SUM(NhatkyBan!$C169:F169)</f>
        <v>0</v>
      </c>
      <c r="G169" s="21">
        <f>SUM(NhatkyNhap!$C169:G169)-SUM(NhatkyBan!$C169:G169)</f>
        <v>0</v>
      </c>
      <c r="H169" s="21">
        <f>SUM(NhatkyNhap!$C169:H169)-SUM(NhatkyBan!$C169:H169)</f>
        <v>0</v>
      </c>
      <c r="I169" s="21">
        <f>SUM(NhatkyNhap!$C169:I169)-SUM(NhatkyBan!$C169:I169)</f>
        <v>0</v>
      </c>
      <c r="J169" s="21">
        <f>SUM(NhatkyNhap!$C169:J169)-SUM(NhatkyBan!$C169:J169)</f>
        <v>0</v>
      </c>
      <c r="K169" s="21">
        <f>SUM(NhatkyNhap!$C169:K169)-SUM(NhatkyBan!$C169:K169)</f>
        <v>0</v>
      </c>
      <c r="L169" s="21">
        <f>SUM(NhatkyNhap!$C169:L169)-SUM(NhatkyBan!$C169:L169)</f>
        <v>0</v>
      </c>
      <c r="M169" s="21">
        <f>SUM(NhatkyNhap!$C169:M169)-SUM(NhatkyBan!$C169:M169)</f>
        <v>0</v>
      </c>
      <c r="N169" s="21">
        <f>SUM(NhatkyNhap!$C169:N169)-SUM(NhatkyBan!$C169:N169)</f>
        <v>0</v>
      </c>
      <c r="O169" s="21">
        <f>SUM(NhatkyNhap!$C169:O169)-SUM(NhatkyBan!$C169:O169)</f>
        <v>0</v>
      </c>
      <c r="P169" s="21">
        <f>SUM(NhatkyNhap!$C169:P169)-SUM(NhatkyBan!$C169:P169)</f>
        <v>0</v>
      </c>
      <c r="Q169" s="21">
        <f>SUM(NhatkyNhap!$C169:Q169)-SUM(NhatkyBan!$C169:Q169)</f>
        <v>0</v>
      </c>
      <c r="R169" s="21">
        <f>SUM(NhatkyNhap!$C169:R169)-SUM(NhatkyBan!$C169:R169)</f>
        <v>0</v>
      </c>
      <c r="S169" s="21">
        <f>SUM(NhatkyNhap!$C169:S169)-SUM(NhatkyBan!$C169:S169)</f>
        <v>0</v>
      </c>
      <c r="T169" s="21">
        <f>SUM(NhatkyNhap!$C169:T169)-SUM(NhatkyBan!$C169:T169)</f>
        <v>0</v>
      </c>
      <c r="U169" s="21">
        <f>SUM(NhatkyNhap!$C169:U169)-SUM(NhatkyBan!$C169:U169)</f>
        <v>0</v>
      </c>
      <c r="V169" s="21">
        <f>SUM(NhatkyNhap!$C169:V169)-SUM(NhatkyBan!$C169:V169)</f>
        <v>0</v>
      </c>
      <c r="W169" s="21">
        <f>SUM(NhatkyNhap!$C169:W169)-SUM(NhatkyBan!$C169:W169)</f>
        <v>0</v>
      </c>
      <c r="X169" s="21">
        <f>SUM(NhatkyNhap!$C169:X169)-SUM(NhatkyBan!$C169:X169)</f>
        <v>0</v>
      </c>
      <c r="Y169" s="21">
        <f>SUM(NhatkyNhap!$C169:Y169)-SUM(NhatkyBan!$C169:Y169)</f>
        <v>0</v>
      </c>
      <c r="Z169" s="21">
        <f>SUM(NhatkyNhap!$C169:Z169)-SUM(NhatkyBan!$C169:Z169)</f>
        <v>0</v>
      </c>
      <c r="AA169" s="21">
        <f>SUM(NhatkyNhap!$C169:AA169)-SUM(NhatkyBan!$C169:AA169)</f>
        <v>0</v>
      </c>
      <c r="AB169" s="21">
        <f>SUM(NhatkyNhap!$C169:AB169)-SUM(NhatkyBan!$C169:AB169)</f>
        <v>0</v>
      </c>
      <c r="AC169" s="21">
        <f>SUM(NhatkyNhap!$C169:AC169)-SUM(NhatkyBan!$C169:AC169)</f>
        <v>0</v>
      </c>
      <c r="AD169" s="21">
        <f>SUM(NhatkyNhap!$C169:AD169)-SUM(NhatkyBan!$C169:AD169)</f>
        <v>0</v>
      </c>
      <c r="AE169" s="21">
        <f>SUM(NhatkyNhap!$C169:AE169)-SUM(NhatkyBan!$C169:AE169)</f>
        <v>0</v>
      </c>
      <c r="AF169" s="21">
        <f>SUM(NhatkyNhap!$C169:AF169)-SUM(NhatkyBan!$C169:AF169)</f>
        <v>0</v>
      </c>
      <c r="AG169" s="21">
        <f>SUM(NhatkyNhap!$C169:AG169)-SUM(NhatkyBan!$C169:AG169)</f>
        <v>0</v>
      </c>
    </row>
    <row r="170" spans="1:33" ht="12.75" customHeight="1">
      <c r="A170" s="76" t="str">
        <f>DSSP!A169</f>
        <v>GC17</v>
      </c>
      <c r="B170" s="25" t="str">
        <f>DSSP!B169</f>
        <v>Móc điện thoại giả cổ</v>
      </c>
      <c r="C170" s="21">
        <f>SUM(NhatkyNhap!$C170:C170)-SUM(NhatkyBan!$C170:C170)</f>
        <v>0</v>
      </c>
      <c r="D170" s="21">
        <f>SUM(NhatkyNhap!$C170:D170)-SUM(NhatkyBan!$C170:D170)</f>
        <v>0</v>
      </c>
      <c r="E170" s="21">
        <f>SUM(NhatkyNhap!$C170:E170)-SUM(NhatkyBan!$C170:E170)</f>
        <v>0</v>
      </c>
      <c r="F170" s="21">
        <f>SUM(NhatkyNhap!$C170:F170)-SUM(NhatkyBan!$C170:F170)</f>
        <v>0</v>
      </c>
      <c r="G170" s="21">
        <f>SUM(NhatkyNhap!$C170:G170)-SUM(NhatkyBan!$C170:G170)</f>
        <v>0</v>
      </c>
      <c r="H170" s="21">
        <f>SUM(NhatkyNhap!$C170:H170)-SUM(NhatkyBan!$C170:H170)</f>
        <v>0</v>
      </c>
      <c r="I170" s="21">
        <f>SUM(NhatkyNhap!$C170:I170)-SUM(NhatkyBan!$C170:I170)</f>
        <v>0</v>
      </c>
      <c r="J170" s="21">
        <f>SUM(NhatkyNhap!$C170:J170)-SUM(NhatkyBan!$C170:J170)</f>
        <v>0</v>
      </c>
      <c r="K170" s="21">
        <f>SUM(NhatkyNhap!$C170:K170)-SUM(NhatkyBan!$C170:K170)</f>
        <v>0</v>
      </c>
      <c r="L170" s="21">
        <f>SUM(NhatkyNhap!$C170:L170)-SUM(NhatkyBan!$C170:L170)</f>
        <v>0</v>
      </c>
      <c r="M170" s="21">
        <f>SUM(NhatkyNhap!$C170:M170)-SUM(NhatkyBan!$C170:M170)</f>
        <v>0</v>
      </c>
      <c r="N170" s="21">
        <f>SUM(NhatkyNhap!$C170:N170)-SUM(NhatkyBan!$C170:N170)</f>
        <v>0</v>
      </c>
      <c r="O170" s="21">
        <f>SUM(NhatkyNhap!$C170:O170)-SUM(NhatkyBan!$C170:O170)</f>
        <v>0</v>
      </c>
      <c r="P170" s="21">
        <f>SUM(NhatkyNhap!$C170:P170)-SUM(NhatkyBan!$C170:P170)</f>
        <v>0</v>
      </c>
      <c r="Q170" s="21">
        <f>SUM(NhatkyNhap!$C170:Q170)-SUM(NhatkyBan!$C170:Q170)</f>
        <v>0</v>
      </c>
      <c r="R170" s="21">
        <f>SUM(NhatkyNhap!$C170:R170)-SUM(NhatkyBan!$C170:R170)</f>
        <v>0</v>
      </c>
      <c r="S170" s="21">
        <f>SUM(NhatkyNhap!$C170:S170)-SUM(NhatkyBan!$C170:S170)</f>
        <v>0</v>
      </c>
      <c r="T170" s="21">
        <f>SUM(NhatkyNhap!$C170:T170)-SUM(NhatkyBan!$C170:T170)</f>
        <v>0</v>
      </c>
      <c r="U170" s="21">
        <f>SUM(NhatkyNhap!$C170:U170)-SUM(NhatkyBan!$C170:U170)</f>
        <v>0</v>
      </c>
      <c r="V170" s="21">
        <f>SUM(NhatkyNhap!$C170:V170)-SUM(NhatkyBan!$C170:V170)</f>
        <v>0</v>
      </c>
      <c r="W170" s="21">
        <f>SUM(NhatkyNhap!$C170:W170)-SUM(NhatkyBan!$C170:W170)</f>
        <v>0</v>
      </c>
      <c r="X170" s="21">
        <f>SUM(NhatkyNhap!$C170:X170)-SUM(NhatkyBan!$C170:X170)</f>
        <v>0</v>
      </c>
      <c r="Y170" s="21">
        <f>SUM(NhatkyNhap!$C170:Y170)-SUM(NhatkyBan!$C170:Y170)</f>
        <v>0</v>
      </c>
      <c r="Z170" s="21">
        <f>SUM(NhatkyNhap!$C170:Z170)-SUM(NhatkyBan!$C170:Z170)</f>
        <v>0</v>
      </c>
      <c r="AA170" s="21">
        <f>SUM(NhatkyNhap!$C170:AA170)-SUM(NhatkyBan!$C170:AA170)</f>
        <v>0</v>
      </c>
      <c r="AB170" s="21">
        <f>SUM(NhatkyNhap!$C170:AB170)-SUM(NhatkyBan!$C170:AB170)</f>
        <v>0</v>
      </c>
      <c r="AC170" s="21">
        <f>SUM(NhatkyNhap!$C170:AC170)-SUM(NhatkyBan!$C170:AC170)</f>
        <v>0</v>
      </c>
      <c r="AD170" s="21">
        <f>SUM(NhatkyNhap!$C170:AD170)-SUM(NhatkyBan!$C170:AD170)</f>
        <v>0</v>
      </c>
      <c r="AE170" s="21">
        <f>SUM(NhatkyNhap!$C170:AE170)-SUM(NhatkyBan!$C170:AE170)</f>
        <v>0</v>
      </c>
      <c r="AF170" s="21">
        <f>SUM(NhatkyNhap!$C170:AF170)-SUM(NhatkyBan!$C170:AF170)</f>
        <v>0</v>
      </c>
      <c r="AG170" s="21">
        <f>SUM(NhatkyNhap!$C170:AG170)-SUM(NhatkyBan!$C170:AG170)</f>
        <v>0</v>
      </c>
    </row>
    <row r="171" spans="1:33" ht="12.75" customHeight="1">
      <c r="A171" s="76" t="str">
        <f>DSSP!A170</f>
        <v>GC18</v>
      </c>
      <c r="B171" s="25" t="str">
        <f>DSSP!B170</f>
        <v>Đinh tán</v>
      </c>
      <c r="C171" s="21">
        <f>SUM(NhatkyNhap!$C171:C171)-SUM(NhatkyBan!$C171:C171)</f>
        <v>0</v>
      </c>
      <c r="D171" s="21">
        <f>SUM(NhatkyNhap!$C171:D171)-SUM(NhatkyBan!$C171:D171)</f>
        <v>0</v>
      </c>
      <c r="E171" s="21">
        <f>SUM(NhatkyNhap!$C171:E171)-SUM(NhatkyBan!$C171:E171)</f>
        <v>0</v>
      </c>
      <c r="F171" s="21">
        <f>SUM(NhatkyNhap!$C171:F171)-SUM(NhatkyBan!$C171:F171)</f>
        <v>0</v>
      </c>
      <c r="G171" s="21">
        <f>SUM(NhatkyNhap!$C171:G171)-SUM(NhatkyBan!$C171:G171)</f>
        <v>0</v>
      </c>
      <c r="H171" s="21">
        <f>SUM(NhatkyNhap!$C171:H171)-SUM(NhatkyBan!$C171:H171)</f>
        <v>0</v>
      </c>
      <c r="I171" s="21">
        <f>SUM(NhatkyNhap!$C171:I171)-SUM(NhatkyBan!$C171:I171)</f>
        <v>0</v>
      </c>
      <c r="J171" s="21">
        <f>SUM(NhatkyNhap!$C171:J171)-SUM(NhatkyBan!$C171:J171)</f>
        <v>0</v>
      </c>
      <c r="K171" s="21">
        <f>SUM(NhatkyNhap!$C171:K171)-SUM(NhatkyBan!$C171:K171)</f>
        <v>0</v>
      </c>
      <c r="L171" s="21">
        <f>SUM(NhatkyNhap!$C171:L171)-SUM(NhatkyBan!$C171:L171)</f>
        <v>0</v>
      </c>
      <c r="M171" s="21">
        <f>SUM(NhatkyNhap!$C171:M171)-SUM(NhatkyBan!$C171:M171)</f>
        <v>0</v>
      </c>
      <c r="N171" s="21">
        <f>SUM(NhatkyNhap!$C171:N171)-SUM(NhatkyBan!$C171:N171)</f>
        <v>0</v>
      </c>
      <c r="O171" s="21">
        <f>SUM(NhatkyNhap!$C171:O171)-SUM(NhatkyBan!$C171:O171)</f>
        <v>0</v>
      </c>
      <c r="P171" s="21">
        <f>SUM(NhatkyNhap!$C171:P171)-SUM(NhatkyBan!$C171:P171)</f>
        <v>0</v>
      </c>
      <c r="Q171" s="21">
        <f>SUM(NhatkyNhap!$C171:Q171)-SUM(NhatkyBan!$C171:Q171)</f>
        <v>0</v>
      </c>
      <c r="R171" s="21">
        <f>SUM(NhatkyNhap!$C171:R171)-SUM(NhatkyBan!$C171:R171)</f>
        <v>0</v>
      </c>
      <c r="S171" s="21">
        <f>SUM(NhatkyNhap!$C171:S171)-SUM(NhatkyBan!$C171:S171)</f>
        <v>0</v>
      </c>
      <c r="T171" s="21">
        <f>SUM(NhatkyNhap!$C171:T171)-SUM(NhatkyBan!$C171:T171)</f>
        <v>0</v>
      </c>
      <c r="U171" s="21">
        <f>SUM(NhatkyNhap!$C171:U171)-SUM(NhatkyBan!$C171:U171)</f>
        <v>0</v>
      </c>
      <c r="V171" s="21">
        <f>SUM(NhatkyNhap!$C171:V171)-SUM(NhatkyBan!$C171:V171)</f>
        <v>0</v>
      </c>
      <c r="W171" s="21">
        <f>SUM(NhatkyNhap!$C171:W171)-SUM(NhatkyBan!$C171:W171)</f>
        <v>0</v>
      </c>
      <c r="X171" s="21">
        <f>SUM(NhatkyNhap!$C171:X171)-SUM(NhatkyBan!$C171:X171)</f>
        <v>0</v>
      </c>
      <c r="Y171" s="21">
        <f>SUM(NhatkyNhap!$C171:Y171)-SUM(NhatkyBan!$C171:Y171)</f>
        <v>0</v>
      </c>
      <c r="Z171" s="21">
        <f>SUM(NhatkyNhap!$C171:Z171)-SUM(NhatkyBan!$C171:Z171)</f>
        <v>0</v>
      </c>
      <c r="AA171" s="21">
        <f>SUM(NhatkyNhap!$C171:AA171)-SUM(NhatkyBan!$C171:AA171)</f>
        <v>0</v>
      </c>
      <c r="AB171" s="21">
        <f>SUM(NhatkyNhap!$C171:AB171)-SUM(NhatkyBan!$C171:AB171)</f>
        <v>0</v>
      </c>
      <c r="AC171" s="21">
        <f>SUM(NhatkyNhap!$C171:AC171)-SUM(NhatkyBan!$C171:AC171)</f>
        <v>0</v>
      </c>
      <c r="AD171" s="21">
        <f>SUM(NhatkyNhap!$C171:AD171)-SUM(NhatkyBan!$C171:AD171)</f>
        <v>0</v>
      </c>
      <c r="AE171" s="21">
        <f>SUM(NhatkyNhap!$C171:AE171)-SUM(NhatkyBan!$C171:AE171)</f>
        <v>0</v>
      </c>
      <c r="AF171" s="21">
        <f>SUM(NhatkyNhap!$C171:AF171)-SUM(NhatkyBan!$C171:AF171)</f>
        <v>0</v>
      </c>
      <c r="AG171" s="21">
        <f>SUM(NhatkyNhap!$C171:AG171)-SUM(NhatkyBan!$C171:AG171)</f>
        <v>0</v>
      </c>
    </row>
    <row r="172" spans="1:33" ht="12.75" customHeight="1">
      <c r="A172" s="76" t="str">
        <f>DSSP!A171</f>
        <v>GC19</v>
      </c>
      <c r="B172" s="25" t="str">
        <f>DSSP!B171</f>
        <v>Mặt chữ</v>
      </c>
      <c r="C172" s="21">
        <f>SUM(NhatkyNhap!$C172:C172)-SUM(NhatkyBan!$C172:C172)</f>
        <v>1242</v>
      </c>
      <c r="D172" s="21">
        <f>SUM(NhatkyNhap!$C172:D172)-SUM(NhatkyBan!$C172:D172)</f>
        <v>1242</v>
      </c>
      <c r="E172" s="21">
        <f>SUM(NhatkyNhap!$C172:E172)-SUM(NhatkyBan!$C172:E172)</f>
        <v>1242</v>
      </c>
      <c r="F172" s="21">
        <f>SUM(NhatkyNhap!$C172:F172)-SUM(NhatkyBan!$C172:F172)</f>
        <v>1242</v>
      </c>
      <c r="G172" s="21">
        <f>SUM(NhatkyNhap!$C172:G172)-SUM(NhatkyBan!$C172:G172)</f>
        <v>1242</v>
      </c>
      <c r="H172" s="21">
        <f>SUM(NhatkyNhap!$C172:H172)-SUM(NhatkyBan!$C172:H172)</f>
        <v>1242</v>
      </c>
      <c r="I172" s="21">
        <f>SUM(NhatkyNhap!$C172:I172)-SUM(NhatkyBan!$C172:I172)</f>
        <v>1242</v>
      </c>
      <c r="J172" s="21">
        <f>SUM(NhatkyNhap!$C172:J172)-SUM(NhatkyBan!$C172:J172)</f>
        <v>1242</v>
      </c>
      <c r="K172" s="21">
        <f>SUM(NhatkyNhap!$C172:K172)-SUM(NhatkyBan!$C172:K172)</f>
        <v>1242</v>
      </c>
      <c r="L172" s="21">
        <f>SUM(NhatkyNhap!$C172:L172)-SUM(NhatkyBan!$C172:L172)</f>
        <v>1242</v>
      </c>
      <c r="M172" s="21">
        <f>SUM(NhatkyNhap!$C172:M172)-SUM(NhatkyBan!$C172:M172)</f>
        <v>1242</v>
      </c>
      <c r="N172" s="21">
        <f>SUM(NhatkyNhap!$C172:N172)-SUM(NhatkyBan!$C172:N172)</f>
        <v>1242</v>
      </c>
      <c r="O172" s="21">
        <f>SUM(NhatkyNhap!$C172:O172)-SUM(NhatkyBan!$C172:O172)</f>
        <v>1242</v>
      </c>
      <c r="P172" s="21">
        <f>SUM(NhatkyNhap!$C172:P172)-SUM(NhatkyBan!$C172:P172)</f>
        <v>1242</v>
      </c>
      <c r="Q172" s="21">
        <f>SUM(NhatkyNhap!$C172:Q172)-SUM(NhatkyBan!$C172:Q172)</f>
        <v>1242</v>
      </c>
      <c r="R172" s="21">
        <f>SUM(NhatkyNhap!$C172:R172)-SUM(NhatkyBan!$C172:R172)</f>
        <v>1242</v>
      </c>
      <c r="S172" s="21">
        <f>SUM(NhatkyNhap!$C172:S172)-SUM(NhatkyBan!$C172:S172)</f>
        <v>1242</v>
      </c>
      <c r="T172" s="21">
        <f>SUM(NhatkyNhap!$C172:T172)-SUM(NhatkyBan!$C172:T172)</f>
        <v>1242</v>
      </c>
      <c r="U172" s="21">
        <f>SUM(NhatkyNhap!$C172:U172)-SUM(NhatkyBan!$C172:U172)</f>
        <v>1242</v>
      </c>
      <c r="V172" s="21">
        <f>SUM(NhatkyNhap!$C172:V172)-SUM(NhatkyBan!$C172:V172)</f>
        <v>1242</v>
      </c>
      <c r="W172" s="21">
        <f>SUM(NhatkyNhap!$C172:W172)-SUM(NhatkyBan!$C172:W172)</f>
        <v>1242</v>
      </c>
      <c r="X172" s="21">
        <f>SUM(NhatkyNhap!$C172:X172)-SUM(NhatkyBan!$C172:X172)</f>
        <v>1242</v>
      </c>
      <c r="Y172" s="21">
        <f>SUM(NhatkyNhap!$C172:Y172)-SUM(NhatkyBan!$C172:Y172)</f>
        <v>1242</v>
      </c>
      <c r="Z172" s="21">
        <f>SUM(NhatkyNhap!$C172:Z172)-SUM(NhatkyBan!$C172:Z172)</f>
        <v>1242</v>
      </c>
      <c r="AA172" s="21">
        <f>SUM(NhatkyNhap!$C172:AA172)-SUM(NhatkyBan!$C172:AA172)</f>
        <v>1242</v>
      </c>
      <c r="AB172" s="21">
        <f>SUM(NhatkyNhap!$C172:AB172)-SUM(NhatkyBan!$C172:AB172)</f>
        <v>1242</v>
      </c>
      <c r="AC172" s="21">
        <f>SUM(NhatkyNhap!$C172:AC172)-SUM(NhatkyBan!$C172:AC172)</f>
        <v>1242</v>
      </c>
      <c r="AD172" s="21">
        <f>SUM(NhatkyNhap!$C172:AD172)-SUM(NhatkyBan!$C172:AD172)</f>
        <v>1242</v>
      </c>
      <c r="AE172" s="21">
        <f>SUM(NhatkyNhap!$C172:AE172)-SUM(NhatkyBan!$C172:AE172)</f>
        <v>1242</v>
      </c>
      <c r="AF172" s="21">
        <f>SUM(NhatkyNhap!$C172:AF172)-SUM(NhatkyBan!$C172:AF172)</f>
        <v>1242</v>
      </c>
      <c r="AG172" s="21">
        <f>SUM(NhatkyNhap!$C172:AG172)-SUM(NhatkyBan!$C172:AG172)</f>
        <v>1242</v>
      </c>
    </row>
    <row r="173" spans="1:33" ht="12.75" customHeight="1">
      <c r="A173" s="76" t="str">
        <f>DSSP!A172</f>
        <v>GC20</v>
      </c>
      <c r="B173" s="25" t="str">
        <f>DSSP!B172</f>
        <v>Mặt số</v>
      </c>
      <c r="C173" s="21">
        <f>SUM(NhatkyNhap!$C173:C173)-SUM(NhatkyBan!$C173:C173)</f>
        <v>325</v>
      </c>
      <c r="D173" s="21">
        <f>SUM(NhatkyNhap!$C173:D173)-SUM(NhatkyBan!$C173:D173)</f>
        <v>325</v>
      </c>
      <c r="E173" s="21">
        <f>SUM(NhatkyNhap!$C173:E173)-SUM(NhatkyBan!$C173:E173)</f>
        <v>325</v>
      </c>
      <c r="F173" s="21">
        <f>SUM(NhatkyNhap!$C173:F173)-SUM(NhatkyBan!$C173:F173)</f>
        <v>325</v>
      </c>
      <c r="G173" s="21">
        <f>SUM(NhatkyNhap!$C173:G173)-SUM(NhatkyBan!$C173:G173)</f>
        <v>325</v>
      </c>
      <c r="H173" s="21">
        <f>SUM(NhatkyNhap!$C173:H173)-SUM(NhatkyBan!$C173:H173)</f>
        <v>325</v>
      </c>
      <c r="I173" s="21">
        <f>SUM(NhatkyNhap!$C173:I173)-SUM(NhatkyBan!$C173:I173)</f>
        <v>325</v>
      </c>
      <c r="J173" s="21">
        <f>SUM(NhatkyNhap!$C173:J173)-SUM(NhatkyBan!$C173:J173)</f>
        <v>325</v>
      </c>
      <c r="K173" s="21">
        <f>SUM(NhatkyNhap!$C173:K173)-SUM(NhatkyBan!$C173:K173)</f>
        <v>325</v>
      </c>
      <c r="L173" s="21">
        <f>SUM(NhatkyNhap!$C173:L173)-SUM(NhatkyBan!$C173:L173)</f>
        <v>325</v>
      </c>
      <c r="M173" s="21">
        <f>SUM(NhatkyNhap!$C173:M173)-SUM(NhatkyBan!$C173:M173)</f>
        <v>325</v>
      </c>
      <c r="N173" s="21">
        <f>SUM(NhatkyNhap!$C173:N173)-SUM(NhatkyBan!$C173:N173)</f>
        <v>325</v>
      </c>
      <c r="O173" s="21">
        <f>SUM(NhatkyNhap!$C173:O173)-SUM(NhatkyBan!$C173:O173)</f>
        <v>325</v>
      </c>
      <c r="P173" s="21">
        <f>SUM(NhatkyNhap!$C173:P173)-SUM(NhatkyBan!$C173:P173)</f>
        <v>325</v>
      </c>
      <c r="Q173" s="21">
        <f>SUM(NhatkyNhap!$C173:Q173)-SUM(NhatkyBan!$C173:Q173)</f>
        <v>325</v>
      </c>
      <c r="R173" s="21">
        <f>SUM(NhatkyNhap!$C173:R173)-SUM(NhatkyBan!$C173:R173)</f>
        <v>325</v>
      </c>
      <c r="S173" s="21">
        <f>SUM(NhatkyNhap!$C173:S173)-SUM(NhatkyBan!$C173:S173)</f>
        <v>325</v>
      </c>
      <c r="T173" s="21">
        <f>SUM(NhatkyNhap!$C173:T173)-SUM(NhatkyBan!$C173:T173)</f>
        <v>325</v>
      </c>
      <c r="U173" s="21">
        <f>SUM(NhatkyNhap!$C173:U173)-SUM(NhatkyBan!$C173:U173)</f>
        <v>325</v>
      </c>
      <c r="V173" s="21">
        <f>SUM(NhatkyNhap!$C173:V173)-SUM(NhatkyBan!$C173:V173)</f>
        <v>325</v>
      </c>
      <c r="W173" s="21">
        <f>SUM(NhatkyNhap!$C173:W173)-SUM(NhatkyBan!$C173:W173)</f>
        <v>325</v>
      </c>
      <c r="X173" s="21">
        <f>SUM(NhatkyNhap!$C173:X173)-SUM(NhatkyBan!$C173:X173)</f>
        <v>325</v>
      </c>
      <c r="Y173" s="21">
        <f>SUM(NhatkyNhap!$C173:Y173)-SUM(NhatkyBan!$C173:Y173)</f>
        <v>325</v>
      </c>
      <c r="Z173" s="21">
        <f>SUM(NhatkyNhap!$C173:Z173)-SUM(NhatkyBan!$C173:Z173)</f>
        <v>325</v>
      </c>
      <c r="AA173" s="21">
        <f>SUM(NhatkyNhap!$C173:AA173)-SUM(NhatkyBan!$C173:AA173)</f>
        <v>325</v>
      </c>
      <c r="AB173" s="21">
        <f>SUM(NhatkyNhap!$C173:AB173)-SUM(NhatkyBan!$C173:AB173)</f>
        <v>325</v>
      </c>
      <c r="AC173" s="21">
        <f>SUM(NhatkyNhap!$C173:AC173)-SUM(NhatkyBan!$C173:AC173)</f>
        <v>325</v>
      </c>
      <c r="AD173" s="21">
        <f>SUM(NhatkyNhap!$C173:AD173)-SUM(NhatkyBan!$C173:AD173)</f>
        <v>325</v>
      </c>
      <c r="AE173" s="21">
        <f>SUM(NhatkyNhap!$C173:AE173)-SUM(NhatkyBan!$C173:AE173)</f>
        <v>325</v>
      </c>
      <c r="AF173" s="21">
        <f>SUM(NhatkyNhap!$C173:AF173)-SUM(NhatkyBan!$C173:AF173)</f>
        <v>325</v>
      </c>
      <c r="AG173" s="21">
        <f>SUM(NhatkyNhap!$C173:AG173)-SUM(NhatkyBan!$C173:AG173)</f>
        <v>325</v>
      </c>
    </row>
    <row r="174" spans="1:33" ht="12.75" customHeight="1">
      <c r="A174" s="76" t="str">
        <f>DSSP!A173</f>
        <v>GC23</v>
      </c>
      <c r="B174" s="25" t="str">
        <f>DSSP!B173</f>
        <v>Bộ 26 chữ</v>
      </c>
      <c r="C174" s="21">
        <f>SUM(NhatkyNhap!$C174:C174)-SUM(NhatkyBan!$C174:C174)</f>
        <v>0</v>
      </c>
      <c r="D174" s="21">
        <f>SUM(NhatkyNhap!$C174:D174)-SUM(NhatkyBan!$C174:D174)</f>
        <v>0</v>
      </c>
      <c r="E174" s="21">
        <f>SUM(NhatkyNhap!$C174:E174)-SUM(NhatkyBan!$C174:E174)</f>
        <v>0</v>
      </c>
      <c r="F174" s="21">
        <f>SUM(NhatkyNhap!$C174:F174)-SUM(NhatkyBan!$C174:F174)</f>
        <v>0</v>
      </c>
      <c r="G174" s="21">
        <f>SUM(NhatkyNhap!$C174:G174)-SUM(NhatkyBan!$C174:G174)</f>
        <v>0</v>
      </c>
      <c r="H174" s="21">
        <f>SUM(NhatkyNhap!$C174:H174)-SUM(NhatkyBan!$C174:H174)</f>
        <v>0</v>
      </c>
      <c r="I174" s="21">
        <f>SUM(NhatkyNhap!$C174:I174)-SUM(NhatkyBan!$C174:I174)</f>
        <v>0</v>
      </c>
      <c r="J174" s="21">
        <f>SUM(NhatkyNhap!$C174:J174)-SUM(NhatkyBan!$C174:J174)</f>
        <v>0</v>
      </c>
      <c r="K174" s="21">
        <f>SUM(NhatkyNhap!$C174:K174)-SUM(NhatkyBan!$C174:K174)</f>
        <v>0</v>
      </c>
      <c r="L174" s="21">
        <f>SUM(NhatkyNhap!$C174:L174)-SUM(NhatkyBan!$C174:L174)</f>
        <v>0</v>
      </c>
      <c r="M174" s="21">
        <f>SUM(NhatkyNhap!$C174:M174)-SUM(NhatkyBan!$C174:M174)</f>
        <v>0</v>
      </c>
      <c r="N174" s="21">
        <f>SUM(NhatkyNhap!$C174:N174)-SUM(NhatkyBan!$C174:N174)</f>
        <v>0</v>
      </c>
      <c r="O174" s="21">
        <f>SUM(NhatkyNhap!$C174:O174)-SUM(NhatkyBan!$C174:O174)</f>
        <v>0</v>
      </c>
      <c r="P174" s="21">
        <f>SUM(NhatkyNhap!$C174:P174)-SUM(NhatkyBan!$C174:P174)</f>
        <v>0</v>
      </c>
      <c r="Q174" s="21">
        <f>SUM(NhatkyNhap!$C174:Q174)-SUM(NhatkyBan!$C174:Q174)</f>
        <v>0</v>
      </c>
      <c r="R174" s="21">
        <f>SUM(NhatkyNhap!$C174:R174)-SUM(NhatkyBan!$C174:R174)</f>
        <v>0</v>
      </c>
      <c r="S174" s="21">
        <f>SUM(NhatkyNhap!$C174:S174)-SUM(NhatkyBan!$C174:S174)</f>
        <v>0</v>
      </c>
      <c r="T174" s="21">
        <f>SUM(NhatkyNhap!$C174:T174)-SUM(NhatkyBan!$C174:T174)</f>
        <v>0</v>
      </c>
      <c r="U174" s="21">
        <f>SUM(NhatkyNhap!$C174:U174)-SUM(NhatkyBan!$C174:U174)</f>
        <v>0</v>
      </c>
      <c r="V174" s="21">
        <f>SUM(NhatkyNhap!$C174:V174)-SUM(NhatkyBan!$C174:V174)</f>
        <v>0</v>
      </c>
      <c r="W174" s="21">
        <f>SUM(NhatkyNhap!$C174:W174)-SUM(NhatkyBan!$C174:W174)</f>
        <v>0</v>
      </c>
      <c r="X174" s="21">
        <f>SUM(NhatkyNhap!$C174:X174)-SUM(NhatkyBan!$C174:X174)</f>
        <v>0</v>
      </c>
      <c r="Y174" s="21">
        <f>SUM(NhatkyNhap!$C174:Y174)-SUM(NhatkyBan!$C174:Y174)</f>
        <v>0</v>
      </c>
      <c r="Z174" s="21">
        <f>SUM(NhatkyNhap!$C174:Z174)-SUM(NhatkyBan!$C174:Z174)</f>
        <v>0</v>
      </c>
      <c r="AA174" s="21">
        <f>SUM(NhatkyNhap!$C174:AA174)-SUM(NhatkyBan!$C174:AA174)</f>
        <v>0</v>
      </c>
      <c r="AB174" s="21">
        <f>SUM(NhatkyNhap!$C174:AB174)-SUM(NhatkyBan!$C174:AB174)</f>
        <v>0</v>
      </c>
      <c r="AC174" s="21">
        <f>SUM(NhatkyNhap!$C174:AC174)-SUM(NhatkyBan!$C174:AC174)</f>
        <v>0</v>
      </c>
      <c r="AD174" s="21">
        <f>SUM(NhatkyNhap!$C174:AD174)-SUM(NhatkyBan!$C174:AD174)</f>
        <v>0</v>
      </c>
      <c r="AE174" s="21">
        <f>SUM(NhatkyNhap!$C174:AE174)-SUM(NhatkyBan!$C174:AE174)</f>
        <v>0</v>
      </c>
      <c r="AF174" s="21">
        <f>SUM(NhatkyNhap!$C174:AF174)-SUM(NhatkyBan!$C174:AF174)</f>
        <v>0</v>
      </c>
      <c r="AG174" s="21">
        <f>SUM(NhatkyNhap!$C174:AG174)-SUM(NhatkyBan!$C174:AG174)</f>
        <v>0</v>
      </c>
    </row>
    <row r="175" spans="1:33" ht="12.75" customHeight="1">
      <c r="A175" s="76" t="str">
        <f>DSSP!A174</f>
        <v>GC24</v>
      </c>
      <c r="B175" s="25" t="str">
        <f>DSSP!B174</f>
        <v>Bộ 10 số</v>
      </c>
      <c r="C175" s="21">
        <f>SUM(NhatkyNhap!$C175:C175)-SUM(NhatkyBan!$C175:C175)</f>
        <v>0</v>
      </c>
      <c r="D175" s="21">
        <f>SUM(NhatkyNhap!$C175:D175)-SUM(NhatkyBan!$C175:D175)</f>
        <v>0</v>
      </c>
      <c r="E175" s="21">
        <f>SUM(NhatkyNhap!$C175:E175)-SUM(NhatkyBan!$C175:E175)</f>
        <v>0</v>
      </c>
      <c r="F175" s="21">
        <f>SUM(NhatkyNhap!$C175:F175)-SUM(NhatkyBan!$C175:F175)</f>
        <v>0</v>
      </c>
      <c r="G175" s="21">
        <f>SUM(NhatkyNhap!$C175:G175)-SUM(NhatkyBan!$C175:G175)</f>
        <v>0</v>
      </c>
      <c r="H175" s="21">
        <f>SUM(NhatkyNhap!$C175:H175)-SUM(NhatkyBan!$C175:H175)</f>
        <v>0</v>
      </c>
      <c r="I175" s="21">
        <f>SUM(NhatkyNhap!$C175:I175)-SUM(NhatkyBan!$C175:I175)</f>
        <v>0</v>
      </c>
      <c r="J175" s="21">
        <f>SUM(NhatkyNhap!$C175:J175)-SUM(NhatkyBan!$C175:J175)</f>
        <v>0</v>
      </c>
      <c r="K175" s="21">
        <f>SUM(NhatkyNhap!$C175:K175)-SUM(NhatkyBan!$C175:K175)</f>
        <v>0</v>
      </c>
      <c r="L175" s="21">
        <f>SUM(NhatkyNhap!$C175:L175)-SUM(NhatkyBan!$C175:L175)</f>
        <v>0</v>
      </c>
      <c r="M175" s="21">
        <f>SUM(NhatkyNhap!$C175:M175)-SUM(NhatkyBan!$C175:M175)</f>
        <v>0</v>
      </c>
      <c r="N175" s="21">
        <f>SUM(NhatkyNhap!$C175:N175)-SUM(NhatkyBan!$C175:N175)</f>
        <v>0</v>
      </c>
      <c r="O175" s="21">
        <f>SUM(NhatkyNhap!$C175:O175)-SUM(NhatkyBan!$C175:O175)</f>
        <v>0</v>
      </c>
      <c r="P175" s="21">
        <f>SUM(NhatkyNhap!$C175:P175)-SUM(NhatkyBan!$C175:P175)</f>
        <v>0</v>
      </c>
      <c r="Q175" s="21">
        <f>SUM(NhatkyNhap!$C175:Q175)-SUM(NhatkyBan!$C175:Q175)</f>
        <v>0</v>
      </c>
      <c r="R175" s="21">
        <f>SUM(NhatkyNhap!$C175:R175)-SUM(NhatkyBan!$C175:R175)</f>
        <v>0</v>
      </c>
      <c r="S175" s="21">
        <f>SUM(NhatkyNhap!$C175:S175)-SUM(NhatkyBan!$C175:S175)</f>
        <v>0</v>
      </c>
      <c r="T175" s="21">
        <f>SUM(NhatkyNhap!$C175:T175)-SUM(NhatkyBan!$C175:T175)</f>
        <v>0</v>
      </c>
      <c r="U175" s="21">
        <f>SUM(NhatkyNhap!$C175:U175)-SUM(NhatkyBan!$C175:U175)</f>
        <v>0</v>
      </c>
      <c r="V175" s="21">
        <f>SUM(NhatkyNhap!$C175:V175)-SUM(NhatkyBan!$C175:V175)</f>
        <v>0</v>
      </c>
      <c r="W175" s="21">
        <f>SUM(NhatkyNhap!$C175:W175)-SUM(NhatkyBan!$C175:W175)</f>
        <v>0</v>
      </c>
      <c r="X175" s="21">
        <f>SUM(NhatkyNhap!$C175:X175)-SUM(NhatkyBan!$C175:X175)</f>
        <v>0</v>
      </c>
      <c r="Y175" s="21">
        <f>SUM(NhatkyNhap!$C175:Y175)-SUM(NhatkyBan!$C175:Y175)</f>
        <v>0</v>
      </c>
      <c r="Z175" s="21">
        <f>SUM(NhatkyNhap!$C175:Z175)-SUM(NhatkyBan!$C175:Z175)</f>
        <v>0</v>
      </c>
      <c r="AA175" s="21">
        <f>SUM(NhatkyNhap!$C175:AA175)-SUM(NhatkyBan!$C175:AA175)</f>
        <v>0</v>
      </c>
      <c r="AB175" s="21">
        <f>SUM(NhatkyNhap!$C175:AB175)-SUM(NhatkyBan!$C175:AB175)</f>
        <v>0</v>
      </c>
      <c r="AC175" s="21">
        <f>SUM(NhatkyNhap!$C175:AC175)-SUM(NhatkyBan!$C175:AC175)</f>
        <v>0</v>
      </c>
      <c r="AD175" s="21">
        <f>SUM(NhatkyNhap!$C175:AD175)-SUM(NhatkyBan!$C175:AD175)</f>
        <v>0</v>
      </c>
      <c r="AE175" s="21">
        <f>SUM(NhatkyNhap!$C175:AE175)-SUM(NhatkyBan!$C175:AE175)</f>
        <v>0</v>
      </c>
      <c r="AF175" s="21">
        <f>SUM(NhatkyNhap!$C175:AF175)-SUM(NhatkyBan!$C175:AF175)</f>
        <v>0</v>
      </c>
      <c r="AG175" s="21">
        <f>SUM(NhatkyNhap!$C175:AG175)-SUM(NhatkyBan!$C175:AG175)</f>
        <v>0</v>
      </c>
    </row>
    <row r="176" spans="1:33" ht="12.75" customHeight="1">
      <c r="A176" s="76" t="str">
        <f>DSSP!A175</f>
        <v>GC25</v>
      </c>
      <c r="B176" s="25" t="str">
        <f>DSSP!B175</f>
        <v>Mặt BCS</v>
      </c>
      <c r="C176" s="21">
        <f>SUM(NhatkyNhap!$C176:C176)-SUM(NhatkyBan!$C176:C176)</f>
        <v>161</v>
      </c>
      <c r="D176" s="21">
        <f>SUM(NhatkyNhap!$C176:D176)-SUM(NhatkyBan!$C176:D176)</f>
        <v>161</v>
      </c>
      <c r="E176" s="21">
        <f>SUM(NhatkyNhap!$C176:E176)-SUM(NhatkyBan!$C176:E176)</f>
        <v>161</v>
      </c>
      <c r="F176" s="21">
        <f>SUM(NhatkyNhap!$C176:F176)-SUM(NhatkyBan!$C176:F176)</f>
        <v>161</v>
      </c>
      <c r="G176" s="21">
        <f>SUM(NhatkyNhap!$C176:G176)-SUM(NhatkyBan!$C176:G176)</f>
        <v>161</v>
      </c>
      <c r="H176" s="21">
        <f>SUM(NhatkyNhap!$C176:H176)-SUM(NhatkyBan!$C176:H176)</f>
        <v>161</v>
      </c>
      <c r="I176" s="21">
        <f>SUM(NhatkyNhap!$C176:I176)-SUM(NhatkyBan!$C176:I176)</f>
        <v>161</v>
      </c>
      <c r="J176" s="21">
        <f>SUM(NhatkyNhap!$C176:J176)-SUM(NhatkyBan!$C176:J176)</f>
        <v>161</v>
      </c>
      <c r="K176" s="21">
        <f>SUM(NhatkyNhap!$C176:K176)-SUM(NhatkyBan!$C176:K176)</f>
        <v>161</v>
      </c>
      <c r="L176" s="21">
        <f>SUM(NhatkyNhap!$C176:L176)-SUM(NhatkyBan!$C176:L176)</f>
        <v>161</v>
      </c>
      <c r="M176" s="21">
        <f>SUM(NhatkyNhap!$C176:M176)-SUM(NhatkyBan!$C176:M176)</f>
        <v>161</v>
      </c>
      <c r="N176" s="21">
        <f>SUM(NhatkyNhap!$C176:N176)-SUM(NhatkyBan!$C176:N176)</f>
        <v>161</v>
      </c>
      <c r="O176" s="21">
        <f>SUM(NhatkyNhap!$C176:O176)-SUM(NhatkyBan!$C176:O176)</f>
        <v>161</v>
      </c>
      <c r="P176" s="21">
        <f>SUM(NhatkyNhap!$C176:P176)-SUM(NhatkyBan!$C176:P176)</f>
        <v>161</v>
      </c>
      <c r="Q176" s="21">
        <f>SUM(NhatkyNhap!$C176:Q176)-SUM(NhatkyBan!$C176:Q176)</f>
        <v>161</v>
      </c>
      <c r="R176" s="21">
        <f>SUM(NhatkyNhap!$C176:R176)-SUM(NhatkyBan!$C176:R176)</f>
        <v>161</v>
      </c>
      <c r="S176" s="21">
        <f>SUM(NhatkyNhap!$C176:S176)-SUM(NhatkyBan!$C176:S176)</f>
        <v>161</v>
      </c>
      <c r="T176" s="21">
        <f>SUM(NhatkyNhap!$C176:T176)-SUM(NhatkyBan!$C176:T176)</f>
        <v>161</v>
      </c>
      <c r="U176" s="21">
        <f>SUM(NhatkyNhap!$C176:U176)-SUM(NhatkyBan!$C176:U176)</f>
        <v>161</v>
      </c>
      <c r="V176" s="21">
        <f>SUM(NhatkyNhap!$C176:V176)-SUM(NhatkyBan!$C176:V176)</f>
        <v>161</v>
      </c>
      <c r="W176" s="21">
        <f>SUM(NhatkyNhap!$C176:W176)-SUM(NhatkyBan!$C176:W176)</f>
        <v>161</v>
      </c>
      <c r="X176" s="21">
        <f>SUM(NhatkyNhap!$C176:X176)-SUM(NhatkyBan!$C176:X176)</f>
        <v>161</v>
      </c>
      <c r="Y176" s="21">
        <f>SUM(NhatkyNhap!$C176:Y176)-SUM(NhatkyBan!$C176:Y176)</f>
        <v>161</v>
      </c>
      <c r="Z176" s="21">
        <f>SUM(NhatkyNhap!$C176:Z176)-SUM(NhatkyBan!$C176:Z176)</f>
        <v>161</v>
      </c>
      <c r="AA176" s="21">
        <f>SUM(NhatkyNhap!$C176:AA176)-SUM(NhatkyBan!$C176:AA176)</f>
        <v>161</v>
      </c>
      <c r="AB176" s="21">
        <f>SUM(NhatkyNhap!$C176:AB176)-SUM(NhatkyBan!$C176:AB176)</f>
        <v>161</v>
      </c>
      <c r="AC176" s="21">
        <f>SUM(NhatkyNhap!$C176:AC176)-SUM(NhatkyBan!$C176:AC176)</f>
        <v>161</v>
      </c>
      <c r="AD176" s="21">
        <f>SUM(NhatkyNhap!$C176:AD176)-SUM(NhatkyBan!$C176:AD176)</f>
        <v>161</v>
      </c>
      <c r="AE176" s="21">
        <f>SUM(NhatkyNhap!$C176:AE176)-SUM(NhatkyBan!$C176:AE176)</f>
        <v>161</v>
      </c>
      <c r="AF176" s="21">
        <f>SUM(NhatkyNhap!$C176:AF176)-SUM(NhatkyBan!$C176:AF176)</f>
        <v>161</v>
      </c>
      <c r="AG176" s="21">
        <f>SUM(NhatkyNhap!$C176:AG176)-SUM(NhatkyBan!$C176:AG176)</f>
        <v>161</v>
      </c>
    </row>
    <row r="177" spans="1:33" ht="12.75" customHeight="1">
      <c r="A177" s="76" t="str">
        <f>DSSP!A176</f>
        <v>GC101</v>
      </c>
      <c r="B177" s="25" t="str">
        <f>DSSP!B176</f>
        <v>Bông tuyết</v>
      </c>
      <c r="C177" s="21">
        <f>SUM(NhatkyNhap!$C177:C177)-SUM(NhatkyBan!$C177:C177)</f>
        <v>0</v>
      </c>
      <c r="D177" s="21">
        <f>SUM(NhatkyNhap!$C177:D177)-SUM(NhatkyBan!$C177:D177)</f>
        <v>0</v>
      </c>
      <c r="E177" s="21">
        <f>SUM(NhatkyNhap!$C177:E177)-SUM(NhatkyBan!$C177:E177)</f>
        <v>0</v>
      </c>
      <c r="F177" s="21">
        <f>SUM(NhatkyNhap!$C177:F177)-SUM(NhatkyBan!$C177:F177)</f>
        <v>0</v>
      </c>
      <c r="G177" s="21">
        <f>SUM(NhatkyNhap!$C177:G177)-SUM(NhatkyBan!$C177:G177)</f>
        <v>0</v>
      </c>
      <c r="H177" s="21">
        <f>SUM(NhatkyNhap!$C177:H177)-SUM(NhatkyBan!$C177:H177)</f>
        <v>0</v>
      </c>
      <c r="I177" s="21">
        <f>SUM(NhatkyNhap!$C177:I177)-SUM(NhatkyBan!$C177:I177)</f>
        <v>0</v>
      </c>
      <c r="J177" s="21">
        <f>SUM(NhatkyNhap!$C177:J177)-SUM(NhatkyBan!$C177:J177)</f>
        <v>0</v>
      </c>
      <c r="K177" s="21">
        <f>SUM(NhatkyNhap!$C177:K177)-SUM(NhatkyBan!$C177:K177)</f>
        <v>0</v>
      </c>
      <c r="L177" s="21">
        <f>SUM(NhatkyNhap!$C177:L177)-SUM(NhatkyBan!$C177:L177)</f>
        <v>0</v>
      </c>
      <c r="M177" s="21">
        <f>SUM(NhatkyNhap!$C177:M177)-SUM(NhatkyBan!$C177:M177)</f>
        <v>0</v>
      </c>
      <c r="N177" s="21">
        <f>SUM(NhatkyNhap!$C177:N177)-SUM(NhatkyBan!$C177:N177)</f>
        <v>0</v>
      </c>
      <c r="O177" s="21">
        <f>SUM(NhatkyNhap!$C177:O177)-SUM(NhatkyBan!$C177:O177)</f>
        <v>0</v>
      </c>
      <c r="P177" s="21">
        <f>SUM(NhatkyNhap!$C177:P177)-SUM(NhatkyBan!$C177:P177)</f>
        <v>0</v>
      </c>
      <c r="Q177" s="21">
        <f>SUM(NhatkyNhap!$C177:Q177)-SUM(NhatkyBan!$C177:Q177)</f>
        <v>0</v>
      </c>
      <c r="R177" s="21">
        <f>SUM(NhatkyNhap!$C177:R177)-SUM(NhatkyBan!$C177:R177)</f>
        <v>0</v>
      </c>
      <c r="S177" s="21">
        <f>SUM(NhatkyNhap!$C177:S177)-SUM(NhatkyBan!$C177:S177)</f>
        <v>0</v>
      </c>
      <c r="T177" s="21">
        <f>SUM(NhatkyNhap!$C177:T177)-SUM(NhatkyBan!$C177:T177)</f>
        <v>0</v>
      </c>
      <c r="U177" s="21">
        <f>SUM(NhatkyNhap!$C177:U177)-SUM(NhatkyBan!$C177:U177)</f>
        <v>0</v>
      </c>
      <c r="V177" s="21">
        <f>SUM(NhatkyNhap!$C177:V177)-SUM(NhatkyBan!$C177:V177)</f>
        <v>0</v>
      </c>
      <c r="W177" s="21">
        <f>SUM(NhatkyNhap!$C177:W177)-SUM(NhatkyBan!$C177:W177)</f>
        <v>0</v>
      </c>
      <c r="X177" s="21">
        <f>SUM(NhatkyNhap!$C177:X177)-SUM(NhatkyBan!$C177:X177)</f>
        <v>0</v>
      </c>
      <c r="Y177" s="21">
        <f>SUM(NhatkyNhap!$C177:Y177)-SUM(NhatkyBan!$C177:Y177)</f>
        <v>0</v>
      </c>
      <c r="Z177" s="21">
        <f>SUM(NhatkyNhap!$C177:Z177)-SUM(NhatkyBan!$C177:Z177)</f>
        <v>0</v>
      </c>
      <c r="AA177" s="21">
        <f>SUM(NhatkyNhap!$C177:AA177)-SUM(NhatkyBan!$C177:AA177)</f>
        <v>0</v>
      </c>
      <c r="AB177" s="21">
        <f>SUM(NhatkyNhap!$C177:AB177)-SUM(NhatkyBan!$C177:AB177)</f>
        <v>0</v>
      </c>
      <c r="AC177" s="21">
        <f>SUM(NhatkyNhap!$C177:AC177)-SUM(NhatkyBan!$C177:AC177)</f>
        <v>0</v>
      </c>
      <c r="AD177" s="21">
        <f>SUM(NhatkyNhap!$C177:AD177)-SUM(NhatkyBan!$C177:AD177)</f>
        <v>0</v>
      </c>
      <c r="AE177" s="21">
        <f>SUM(NhatkyNhap!$C177:AE177)-SUM(NhatkyBan!$C177:AE177)</f>
        <v>0</v>
      </c>
      <c r="AF177" s="21">
        <f>SUM(NhatkyNhap!$C177:AF177)-SUM(NhatkyBan!$C177:AF177)</f>
        <v>0</v>
      </c>
      <c r="AG177" s="21">
        <f>SUM(NhatkyNhap!$C177:AG177)-SUM(NhatkyBan!$C177:AG177)</f>
        <v>0</v>
      </c>
    </row>
    <row r="178" spans="1:33" ht="12.75" customHeight="1">
      <c r="A178" s="76" t="str">
        <f>DSSP!A177</f>
        <v>GC102</v>
      </c>
      <c r="B178" s="25" t="str">
        <f>DSSP!B177</f>
        <v>Chùm chìa khoá</v>
      </c>
      <c r="C178" s="21">
        <f>SUM(NhatkyNhap!$C178:C178)-SUM(NhatkyBan!$C178:C178)</f>
        <v>0</v>
      </c>
      <c r="D178" s="21">
        <f>SUM(NhatkyNhap!$C178:D178)-SUM(NhatkyBan!$C178:D178)</f>
        <v>0</v>
      </c>
      <c r="E178" s="21">
        <f>SUM(NhatkyNhap!$C178:E178)-SUM(NhatkyBan!$C178:E178)</f>
        <v>0</v>
      </c>
      <c r="F178" s="21">
        <f>SUM(NhatkyNhap!$C178:F178)-SUM(NhatkyBan!$C178:F178)</f>
        <v>0</v>
      </c>
      <c r="G178" s="21">
        <f>SUM(NhatkyNhap!$C178:G178)-SUM(NhatkyBan!$C178:G178)</f>
        <v>0</v>
      </c>
      <c r="H178" s="21">
        <f>SUM(NhatkyNhap!$C178:H178)-SUM(NhatkyBan!$C178:H178)</f>
        <v>0</v>
      </c>
      <c r="I178" s="21">
        <f>SUM(NhatkyNhap!$C178:I178)-SUM(NhatkyBan!$C178:I178)</f>
        <v>0</v>
      </c>
      <c r="J178" s="21">
        <f>SUM(NhatkyNhap!$C178:J178)-SUM(NhatkyBan!$C178:J178)</f>
        <v>0</v>
      </c>
      <c r="K178" s="21">
        <f>SUM(NhatkyNhap!$C178:K178)-SUM(NhatkyBan!$C178:K178)</f>
        <v>0</v>
      </c>
      <c r="L178" s="21">
        <f>SUM(NhatkyNhap!$C178:L178)-SUM(NhatkyBan!$C178:L178)</f>
        <v>0</v>
      </c>
      <c r="M178" s="21">
        <f>SUM(NhatkyNhap!$C178:M178)-SUM(NhatkyBan!$C178:M178)</f>
        <v>0</v>
      </c>
      <c r="N178" s="21">
        <f>SUM(NhatkyNhap!$C178:N178)-SUM(NhatkyBan!$C178:N178)</f>
        <v>0</v>
      </c>
      <c r="O178" s="21">
        <f>SUM(NhatkyNhap!$C178:O178)-SUM(NhatkyBan!$C178:O178)</f>
        <v>0</v>
      </c>
      <c r="P178" s="21">
        <f>SUM(NhatkyNhap!$C178:P178)-SUM(NhatkyBan!$C178:P178)</f>
        <v>0</v>
      </c>
      <c r="Q178" s="21">
        <f>SUM(NhatkyNhap!$C178:Q178)-SUM(NhatkyBan!$C178:Q178)</f>
        <v>0</v>
      </c>
      <c r="R178" s="21">
        <f>SUM(NhatkyNhap!$C178:R178)-SUM(NhatkyBan!$C178:R178)</f>
        <v>0</v>
      </c>
      <c r="S178" s="21">
        <f>SUM(NhatkyNhap!$C178:S178)-SUM(NhatkyBan!$C178:S178)</f>
        <v>0</v>
      </c>
      <c r="T178" s="21">
        <f>SUM(NhatkyNhap!$C178:T178)-SUM(NhatkyBan!$C178:T178)</f>
        <v>0</v>
      </c>
      <c r="U178" s="21">
        <f>SUM(NhatkyNhap!$C178:U178)-SUM(NhatkyBan!$C178:U178)</f>
        <v>0</v>
      </c>
      <c r="V178" s="21">
        <f>SUM(NhatkyNhap!$C178:V178)-SUM(NhatkyBan!$C178:V178)</f>
        <v>0</v>
      </c>
      <c r="W178" s="21">
        <f>SUM(NhatkyNhap!$C178:W178)-SUM(NhatkyBan!$C178:W178)</f>
        <v>0</v>
      </c>
      <c r="X178" s="21">
        <f>SUM(NhatkyNhap!$C178:X178)-SUM(NhatkyBan!$C178:X178)</f>
        <v>0</v>
      </c>
      <c r="Y178" s="21">
        <f>SUM(NhatkyNhap!$C178:Y178)-SUM(NhatkyBan!$C178:Y178)</f>
        <v>0</v>
      </c>
      <c r="Z178" s="21">
        <f>SUM(NhatkyNhap!$C178:Z178)-SUM(NhatkyBan!$C178:Z178)</f>
        <v>0</v>
      </c>
      <c r="AA178" s="21">
        <f>SUM(NhatkyNhap!$C178:AA178)-SUM(NhatkyBan!$C178:AA178)</f>
        <v>0</v>
      </c>
      <c r="AB178" s="21">
        <f>SUM(NhatkyNhap!$C178:AB178)-SUM(NhatkyBan!$C178:AB178)</f>
        <v>0</v>
      </c>
      <c r="AC178" s="21">
        <f>SUM(NhatkyNhap!$C178:AC178)-SUM(NhatkyBan!$C178:AC178)</f>
        <v>0</v>
      </c>
      <c r="AD178" s="21">
        <f>SUM(NhatkyNhap!$C178:AD178)-SUM(NhatkyBan!$C178:AD178)</f>
        <v>0</v>
      </c>
      <c r="AE178" s="21">
        <f>SUM(NhatkyNhap!$C178:AE178)-SUM(NhatkyBan!$C178:AE178)</f>
        <v>0</v>
      </c>
      <c r="AF178" s="21">
        <f>SUM(NhatkyNhap!$C178:AF178)-SUM(NhatkyBan!$C178:AF178)</f>
        <v>0</v>
      </c>
      <c r="AG178" s="21">
        <f>SUM(NhatkyNhap!$C178:AG178)-SUM(NhatkyBan!$C178:AG178)</f>
        <v>0</v>
      </c>
    </row>
    <row r="179" spans="1:33" ht="12.75" customHeight="1">
      <c r="A179" s="76" t="str">
        <f>DSSP!A178</f>
        <v>GC103</v>
      </c>
      <c r="B179" s="25" t="str">
        <f>DSSP!B178</f>
        <v>Chìa khoá</v>
      </c>
      <c r="C179" s="21">
        <f>SUM(NhatkyNhap!$C179:C179)-SUM(NhatkyBan!$C179:C179)</f>
        <v>2</v>
      </c>
      <c r="D179" s="21">
        <f>SUM(NhatkyNhap!$C179:D179)-SUM(NhatkyBan!$C179:D179)</f>
        <v>2</v>
      </c>
      <c r="E179" s="21">
        <f>SUM(NhatkyNhap!$C179:E179)-SUM(NhatkyBan!$C179:E179)</f>
        <v>2</v>
      </c>
      <c r="F179" s="21">
        <f>SUM(NhatkyNhap!$C179:F179)-SUM(NhatkyBan!$C179:F179)</f>
        <v>2</v>
      </c>
      <c r="G179" s="21">
        <f>SUM(NhatkyNhap!$C179:G179)-SUM(NhatkyBan!$C179:G179)</f>
        <v>2</v>
      </c>
      <c r="H179" s="21">
        <f>SUM(NhatkyNhap!$C179:H179)-SUM(NhatkyBan!$C179:H179)</f>
        <v>2</v>
      </c>
      <c r="I179" s="21">
        <f>SUM(NhatkyNhap!$C179:I179)-SUM(NhatkyBan!$C179:I179)</f>
        <v>2</v>
      </c>
      <c r="J179" s="21">
        <f>SUM(NhatkyNhap!$C179:J179)-SUM(NhatkyBan!$C179:J179)</f>
        <v>2</v>
      </c>
      <c r="K179" s="21">
        <f>SUM(NhatkyNhap!$C179:K179)-SUM(NhatkyBan!$C179:K179)</f>
        <v>2</v>
      </c>
      <c r="L179" s="21">
        <f>SUM(NhatkyNhap!$C179:L179)-SUM(NhatkyBan!$C179:L179)</f>
        <v>2</v>
      </c>
      <c r="M179" s="21">
        <f>SUM(NhatkyNhap!$C179:M179)-SUM(NhatkyBan!$C179:M179)</f>
        <v>2</v>
      </c>
      <c r="N179" s="21">
        <f>SUM(NhatkyNhap!$C179:N179)-SUM(NhatkyBan!$C179:N179)</f>
        <v>2</v>
      </c>
      <c r="O179" s="21">
        <f>SUM(NhatkyNhap!$C179:O179)-SUM(NhatkyBan!$C179:O179)</f>
        <v>2</v>
      </c>
      <c r="P179" s="21">
        <f>SUM(NhatkyNhap!$C179:P179)-SUM(NhatkyBan!$C179:P179)</f>
        <v>2</v>
      </c>
      <c r="Q179" s="21">
        <f>SUM(NhatkyNhap!$C179:Q179)-SUM(NhatkyBan!$C179:Q179)</f>
        <v>2</v>
      </c>
      <c r="R179" s="21">
        <f>SUM(NhatkyNhap!$C179:R179)-SUM(NhatkyBan!$C179:R179)</f>
        <v>2</v>
      </c>
      <c r="S179" s="21">
        <f>SUM(NhatkyNhap!$C179:S179)-SUM(NhatkyBan!$C179:S179)</f>
        <v>2</v>
      </c>
      <c r="T179" s="21">
        <f>SUM(NhatkyNhap!$C179:T179)-SUM(NhatkyBan!$C179:T179)</f>
        <v>2</v>
      </c>
      <c r="U179" s="21">
        <f>SUM(NhatkyNhap!$C179:U179)-SUM(NhatkyBan!$C179:U179)</f>
        <v>2</v>
      </c>
      <c r="V179" s="21">
        <f>SUM(NhatkyNhap!$C179:V179)-SUM(NhatkyBan!$C179:V179)</f>
        <v>2</v>
      </c>
      <c r="W179" s="21">
        <f>SUM(NhatkyNhap!$C179:W179)-SUM(NhatkyBan!$C179:W179)</f>
        <v>2</v>
      </c>
      <c r="X179" s="21">
        <f>SUM(NhatkyNhap!$C179:X179)-SUM(NhatkyBan!$C179:X179)</f>
        <v>2</v>
      </c>
      <c r="Y179" s="21">
        <f>SUM(NhatkyNhap!$C179:Y179)-SUM(NhatkyBan!$C179:Y179)</f>
        <v>2</v>
      </c>
      <c r="Z179" s="21">
        <f>SUM(NhatkyNhap!$C179:Z179)-SUM(NhatkyBan!$C179:Z179)</f>
        <v>2</v>
      </c>
      <c r="AA179" s="21">
        <f>SUM(NhatkyNhap!$C179:AA179)-SUM(NhatkyBan!$C179:AA179)</f>
        <v>2</v>
      </c>
      <c r="AB179" s="21">
        <f>SUM(NhatkyNhap!$C179:AB179)-SUM(NhatkyBan!$C179:AB179)</f>
        <v>2</v>
      </c>
      <c r="AC179" s="21">
        <f>SUM(NhatkyNhap!$C179:AC179)-SUM(NhatkyBan!$C179:AC179)</f>
        <v>2</v>
      </c>
      <c r="AD179" s="21">
        <f>SUM(NhatkyNhap!$C179:AD179)-SUM(NhatkyBan!$C179:AD179)</f>
        <v>2</v>
      </c>
      <c r="AE179" s="21">
        <f>SUM(NhatkyNhap!$C179:AE179)-SUM(NhatkyBan!$C179:AE179)</f>
        <v>2</v>
      </c>
      <c r="AF179" s="21">
        <f>SUM(NhatkyNhap!$C179:AF179)-SUM(NhatkyBan!$C179:AF179)</f>
        <v>2</v>
      </c>
      <c r="AG179" s="21">
        <f>SUM(NhatkyNhap!$C179:AG179)-SUM(NhatkyBan!$C179:AG179)</f>
        <v>2</v>
      </c>
    </row>
    <row r="180" spans="1:33" ht="12.75" customHeight="1">
      <c r="A180" s="76" t="str">
        <f>DSSP!A179</f>
        <v>GC104</v>
      </c>
      <c r="B180" s="25" t="str">
        <f>DSSP!B179</f>
        <v>Ổ khoá</v>
      </c>
      <c r="C180" s="21">
        <f>SUM(NhatkyNhap!$C180:C180)-SUM(NhatkyBan!$C180:C180)</f>
        <v>0</v>
      </c>
      <c r="D180" s="21">
        <f>SUM(NhatkyNhap!$C180:D180)-SUM(NhatkyBan!$C180:D180)</f>
        <v>0</v>
      </c>
      <c r="E180" s="21">
        <f>SUM(NhatkyNhap!$C180:E180)-SUM(NhatkyBan!$C180:E180)</f>
        <v>0</v>
      </c>
      <c r="F180" s="21">
        <f>SUM(NhatkyNhap!$C180:F180)-SUM(NhatkyBan!$C180:F180)</f>
        <v>0</v>
      </c>
      <c r="G180" s="21">
        <f>SUM(NhatkyNhap!$C180:G180)-SUM(NhatkyBan!$C180:G180)</f>
        <v>0</v>
      </c>
      <c r="H180" s="21">
        <f>SUM(NhatkyNhap!$C180:H180)-SUM(NhatkyBan!$C180:H180)</f>
        <v>0</v>
      </c>
      <c r="I180" s="21">
        <f>SUM(NhatkyNhap!$C180:I180)-SUM(NhatkyBan!$C180:I180)</f>
        <v>0</v>
      </c>
      <c r="J180" s="21">
        <f>SUM(NhatkyNhap!$C180:J180)-SUM(NhatkyBan!$C180:J180)</f>
        <v>0</v>
      </c>
      <c r="K180" s="21">
        <f>SUM(NhatkyNhap!$C180:K180)-SUM(NhatkyBan!$C180:K180)</f>
        <v>0</v>
      </c>
      <c r="L180" s="21">
        <f>SUM(NhatkyNhap!$C180:L180)-SUM(NhatkyBan!$C180:L180)</f>
        <v>0</v>
      </c>
      <c r="M180" s="21">
        <f>SUM(NhatkyNhap!$C180:M180)-SUM(NhatkyBan!$C180:M180)</f>
        <v>0</v>
      </c>
      <c r="N180" s="21">
        <f>SUM(NhatkyNhap!$C180:N180)-SUM(NhatkyBan!$C180:N180)</f>
        <v>0</v>
      </c>
      <c r="O180" s="21">
        <f>SUM(NhatkyNhap!$C180:O180)-SUM(NhatkyBan!$C180:O180)</f>
        <v>0</v>
      </c>
      <c r="P180" s="21">
        <f>SUM(NhatkyNhap!$C180:P180)-SUM(NhatkyBan!$C180:P180)</f>
        <v>0</v>
      </c>
      <c r="Q180" s="21">
        <f>SUM(NhatkyNhap!$C180:Q180)-SUM(NhatkyBan!$C180:Q180)</f>
        <v>0</v>
      </c>
      <c r="R180" s="21">
        <f>SUM(NhatkyNhap!$C180:R180)-SUM(NhatkyBan!$C180:R180)</f>
        <v>0</v>
      </c>
      <c r="S180" s="21">
        <f>SUM(NhatkyNhap!$C180:S180)-SUM(NhatkyBan!$C180:S180)</f>
        <v>0</v>
      </c>
      <c r="T180" s="21">
        <f>SUM(NhatkyNhap!$C180:T180)-SUM(NhatkyBan!$C180:T180)</f>
        <v>0</v>
      </c>
      <c r="U180" s="21">
        <f>SUM(NhatkyNhap!$C180:U180)-SUM(NhatkyBan!$C180:U180)</f>
        <v>0</v>
      </c>
      <c r="V180" s="21">
        <f>SUM(NhatkyNhap!$C180:V180)-SUM(NhatkyBan!$C180:V180)</f>
        <v>0</v>
      </c>
      <c r="W180" s="21">
        <f>SUM(NhatkyNhap!$C180:W180)-SUM(NhatkyBan!$C180:W180)</f>
        <v>0</v>
      </c>
      <c r="X180" s="21">
        <f>SUM(NhatkyNhap!$C180:X180)-SUM(NhatkyBan!$C180:X180)</f>
        <v>0</v>
      </c>
      <c r="Y180" s="21">
        <f>SUM(NhatkyNhap!$C180:Y180)-SUM(NhatkyBan!$C180:Y180)</f>
        <v>0</v>
      </c>
      <c r="Z180" s="21">
        <f>SUM(NhatkyNhap!$C180:Z180)-SUM(NhatkyBan!$C180:Z180)</f>
        <v>0</v>
      </c>
      <c r="AA180" s="21">
        <f>SUM(NhatkyNhap!$C180:AA180)-SUM(NhatkyBan!$C180:AA180)</f>
        <v>0</v>
      </c>
      <c r="AB180" s="21">
        <f>SUM(NhatkyNhap!$C180:AB180)-SUM(NhatkyBan!$C180:AB180)</f>
        <v>0</v>
      </c>
      <c r="AC180" s="21">
        <f>SUM(NhatkyNhap!$C180:AC180)-SUM(NhatkyBan!$C180:AC180)</f>
        <v>0</v>
      </c>
      <c r="AD180" s="21">
        <f>SUM(NhatkyNhap!$C180:AD180)-SUM(NhatkyBan!$C180:AD180)</f>
        <v>0</v>
      </c>
      <c r="AE180" s="21">
        <f>SUM(NhatkyNhap!$C180:AE180)-SUM(NhatkyBan!$C180:AE180)</f>
        <v>0</v>
      </c>
      <c r="AF180" s="21">
        <f>SUM(NhatkyNhap!$C180:AF180)-SUM(NhatkyBan!$C180:AF180)</f>
        <v>0</v>
      </c>
      <c r="AG180" s="21">
        <f>SUM(NhatkyNhap!$C180:AG180)-SUM(NhatkyBan!$C180:AG180)</f>
        <v>0</v>
      </c>
    </row>
    <row r="181" spans="1:33" ht="12.75" customHeight="1">
      <c r="A181" s="76" t="str">
        <f>DSSP!A180</f>
        <v>GC105</v>
      </c>
      <c r="B181" s="25" t="str">
        <f>DSSP!B180</f>
        <v>Nhẫn cú</v>
      </c>
      <c r="C181" s="21">
        <f>SUM(NhatkyNhap!$C181:C181)-SUM(NhatkyBan!$C181:C181)</f>
        <v>0</v>
      </c>
      <c r="D181" s="21">
        <f>SUM(NhatkyNhap!$C181:D181)-SUM(NhatkyBan!$C181:D181)</f>
        <v>0</v>
      </c>
      <c r="E181" s="21">
        <f>SUM(NhatkyNhap!$C181:E181)-SUM(NhatkyBan!$C181:E181)</f>
        <v>0</v>
      </c>
      <c r="F181" s="21">
        <f>SUM(NhatkyNhap!$C181:F181)-SUM(NhatkyBan!$C181:F181)</f>
        <v>0</v>
      </c>
      <c r="G181" s="21">
        <f>SUM(NhatkyNhap!$C181:G181)-SUM(NhatkyBan!$C181:G181)</f>
        <v>0</v>
      </c>
      <c r="H181" s="21">
        <f>SUM(NhatkyNhap!$C181:H181)-SUM(NhatkyBan!$C181:H181)</f>
        <v>0</v>
      </c>
      <c r="I181" s="21">
        <f>SUM(NhatkyNhap!$C181:I181)-SUM(NhatkyBan!$C181:I181)</f>
        <v>0</v>
      </c>
      <c r="J181" s="21">
        <f>SUM(NhatkyNhap!$C181:J181)-SUM(NhatkyBan!$C181:J181)</f>
        <v>0</v>
      </c>
      <c r="K181" s="21">
        <f>SUM(NhatkyNhap!$C181:K181)-SUM(NhatkyBan!$C181:K181)</f>
        <v>0</v>
      </c>
      <c r="L181" s="21">
        <f>SUM(NhatkyNhap!$C181:L181)-SUM(NhatkyBan!$C181:L181)</f>
        <v>0</v>
      </c>
      <c r="M181" s="21">
        <f>SUM(NhatkyNhap!$C181:M181)-SUM(NhatkyBan!$C181:M181)</f>
        <v>0</v>
      </c>
      <c r="N181" s="21">
        <f>SUM(NhatkyNhap!$C181:N181)-SUM(NhatkyBan!$C181:N181)</f>
        <v>0</v>
      </c>
      <c r="O181" s="21">
        <f>SUM(NhatkyNhap!$C181:O181)-SUM(NhatkyBan!$C181:O181)</f>
        <v>0</v>
      </c>
      <c r="P181" s="21">
        <f>SUM(NhatkyNhap!$C181:P181)-SUM(NhatkyBan!$C181:P181)</f>
        <v>0</v>
      </c>
      <c r="Q181" s="21">
        <f>SUM(NhatkyNhap!$C181:Q181)-SUM(NhatkyBan!$C181:Q181)</f>
        <v>0</v>
      </c>
      <c r="R181" s="21">
        <f>SUM(NhatkyNhap!$C181:R181)-SUM(NhatkyBan!$C181:R181)</f>
        <v>0</v>
      </c>
      <c r="S181" s="21">
        <f>SUM(NhatkyNhap!$C181:S181)-SUM(NhatkyBan!$C181:S181)</f>
        <v>0</v>
      </c>
      <c r="T181" s="21">
        <f>SUM(NhatkyNhap!$C181:T181)-SUM(NhatkyBan!$C181:T181)</f>
        <v>0</v>
      </c>
      <c r="U181" s="21">
        <f>SUM(NhatkyNhap!$C181:U181)-SUM(NhatkyBan!$C181:U181)</f>
        <v>0</v>
      </c>
      <c r="V181" s="21">
        <f>SUM(NhatkyNhap!$C181:V181)-SUM(NhatkyBan!$C181:V181)</f>
        <v>0</v>
      </c>
      <c r="W181" s="21">
        <f>SUM(NhatkyNhap!$C181:W181)-SUM(NhatkyBan!$C181:W181)</f>
        <v>0</v>
      </c>
      <c r="X181" s="21">
        <f>SUM(NhatkyNhap!$C181:X181)-SUM(NhatkyBan!$C181:X181)</f>
        <v>0</v>
      </c>
      <c r="Y181" s="21">
        <f>SUM(NhatkyNhap!$C181:Y181)-SUM(NhatkyBan!$C181:Y181)</f>
        <v>0</v>
      </c>
      <c r="Z181" s="21">
        <f>SUM(NhatkyNhap!$C181:Z181)-SUM(NhatkyBan!$C181:Z181)</f>
        <v>0</v>
      </c>
      <c r="AA181" s="21">
        <f>SUM(NhatkyNhap!$C181:AA181)-SUM(NhatkyBan!$C181:AA181)</f>
        <v>0</v>
      </c>
      <c r="AB181" s="21">
        <f>SUM(NhatkyNhap!$C181:AB181)-SUM(NhatkyBan!$C181:AB181)</f>
        <v>0</v>
      </c>
      <c r="AC181" s="21">
        <f>SUM(NhatkyNhap!$C181:AC181)-SUM(NhatkyBan!$C181:AC181)</f>
        <v>0</v>
      </c>
      <c r="AD181" s="21">
        <f>SUM(NhatkyNhap!$C181:AD181)-SUM(NhatkyBan!$C181:AD181)</f>
        <v>0</v>
      </c>
      <c r="AE181" s="21">
        <f>SUM(NhatkyNhap!$C181:AE181)-SUM(NhatkyBan!$C181:AE181)</f>
        <v>0</v>
      </c>
      <c r="AF181" s="21">
        <f>SUM(NhatkyNhap!$C181:AF181)-SUM(NhatkyBan!$C181:AF181)</f>
        <v>0</v>
      </c>
      <c r="AG181" s="21">
        <f>SUM(NhatkyNhap!$C181:AG181)-SUM(NhatkyBan!$C181:AG181)</f>
        <v>0</v>
      </c>
    </row>
    <row r="182" spans="1:33" ht="12.75" customHeight="1">
      <c r="A182" s="76" t="str">
        <f>DSSP!A181</f>
        <v>GC106</v>
      </c>
      <c r="B182" s="25" t="str">
        <f>DSSP!B181</f>
        <v>Đôi cú trái tim</v>
      </c>
      <c r="C182" s="21">
        <f>SUM(NhatkyNhap!$C182:C182)-SUM(NhatkyBan!$C182:C182)</f>
        <v>0</v>
      </c>
      <c r="D182" s="21">
        <f>SUM(NhatkyNhap!$C182:D182)-SUM(NhatkyBan!$C182:D182)</f>
        <v>0</v>
      </c>
      <c r="E182" s="21">
        <f>SUM(NhatkyNhap!$C182:E182)-SUM(NhatkyBan!$C182:E182)</f>
        <v>0</v>
      </c>
      <c r="F182" s="21">
        <f>SUM(NhatkyNhap!$C182:F182)-SUM(NhatkyBan!$C182:F182)</f>
        <v>0</v>
      </c>
      <c r="G182" s="21">
        <f>SUM(NhatkyNhap!$C182:G182)-SUM(NhatkyBan!$C182:G182)</f>
        <v>0</v>
      </c>
      <c r="H182" s="21">
        <f>SUM(NhatkyNhap!$C182:H182)-SUM(NhatkyBan!$C182:H182)</f>
        <v>0</v>
      </c>
      <c r="I182" s="21">
        <f>SUM(NhatkyNhap!$C182:I182)-SUM(NhatkyBan!$C182:I182)</f>
        <v>0</v>
      </c>
      <c r="J182" s="21">
        <f>SUM(NhatkyNhap!$C182:J182)-SUM(NhatkyBan!$C182:J182)</f>
        <v>0</v>
      </c>
      <c r="K182" s="21">
        <f>SUM(NhatkyNhap!$C182:K182)-SUM(NhatkyBan!$C182:K182)</f>
        <v>0</v>
      </c>
      <c r="L182" s="21">
        <f>SUM(NhatkyNhap!$C182:L182)-SUM(NhatkyBan!$C182:L182)</f>
        <v>0</v>
      </c>
      <c r="M182" s="21">
        <f>SUM(NhatkyNhap!$C182:M182)-SUM(NhatkyBan!$C182:M182)</f>
        <v>0</v>
      </c>
      <c r="N182" s="21">
        <f>SUM(NhatkyNhap!$C182:N182)-SUM(NhatkyBan!$C182:N182)</f>
        <v>0</v>
      </c>
      <c r="O182" s="21">
        <f>SUM(NhatkyNhap!$C182:O182)-SUM(NhatkyBan!$C182:O182)</f>
        <v>0</v>
      </c>
      <c r="P182" s="21">
        <f>SUM(NhatkyNhap!$C182:P182)-SUM(NhatkyBan!$C182:P182)</f>
        <v>0</v>
      </c>
      <c r="Q182" s="21">
        <f>SUM(NhatkyNhap!$C182:Q182)-SUM(NhatkyBan!$C182:Q182)</f>
        <v>0</v>
      </c>
      <c r="R182" s="21">
        <f>SUM(NhatkyNhap!$C182:R182)-SUM(NhatkyBan!$C182:R182)</f>
        <v>0</v>
      </c>
      <c r="S182" s="21">
        <f>SUM(NhatkyNhap!$C182:S182)-SUM(NhatkyBan!$C182:S182)</f>
        <v>0</v>
      </c>
      <c r="T182" s="21">
        <f>SUM(NhatkyNhap!$C182:T182)-SUM(NhatkyBan!$C182:T182)</f>
        <v>0</v>
      </c>
      <c r="U182" s="21">
        <f>SUM(NhatkyNhap!$C182:U182)-SUM(NhatkyBan!$C182:U182)</f>
        <v>0</v>
      </c>
      <c r="V182" s="21">
        <f>SUM(NhatkyNhap!$C182:V182)-SUM(NhatkyBan!$C182:V182)</f>
        <v>0</v>
      </c>
      <c r="W182" s="21">
        <f>SUM(NhatkyNhap!$C182:W182)-SUM(NhatkyBan!$C182:W182)</f>
        <v>0</v>
      </c>
      <c r="X182" s="21">
        <f>SUM(NhatkyNhap!$C182:X182)-SUM(NhatkyBan!$C182:X182)</f>
        <v>0</v>
      </c>
      <c r="Y182" s="21">
        <f>SUM(NhatkyNhap!$C182:Y182)-SUM(NhatkyBan!$C182:Y182)</f>
        <v>0</v>
      </c>
      <c r="Z182" s="21">
        <f>SUM(NhatkyNhap!$C182:Z182)-SUM(NhatkyBan!$C182:Z182)</f>
        <v>0</v>
      </c>
      <c r="AA182" s="21">
        <f>SUM(NhatkyNhap!$C182:AA182)-SUM(NhatkyBan!$C182:AA182)</f>
        <v>0</v>
      </c>
      <c r="AB182" s="21">
        <f>SUM(NhatkyNhap!$C182:AB182)-SUM(NhatkyBan!$C182:AB182)</f>
        <v>0</v>
      </c>
      <c r="AC182" s="21">
        <f>SUM(NhatkyNhap!$C182:AC182)-SUM(NhatkyBan!$C182:AC182)</f>
        <v>0</v>
      </c>
      <c r="AD182" s="21">
        <f>SUM(NhatkyNhap!$C182:AD182)-SUM(NhatkyBan!$C182:AD182)</f>
        <v>0</v>
      </c>
      <c r="AE182" s="21">
        <f>SUM(NhatkyNhap!$C182:AE182)-SUM(NhatkyBan!$C182:AE182)</f>
        <v>0</v>
      </c>
      <c r="AF182" s="21">
        <f>SUM(NhatkyNhap!$C182:AF182)-SUM(NhatkyBan!$C182:AF182)</f>
        <v>0</v>
      </c>
      <c r="AG182" s="21">
        <f>SUM(NhatkyNhap!$C182:AG182)-SUM(NhatkyBan!$C182:AG182)</f>
        <v>0</v>
      </c>
    </row>
    <row r="183" spans="1:33" ht="12.75" customHeight="1">
      <c r="A183" s="76" t="str">
        <f>DSSP!A182</f>
        <v>GC107</v>
      </c>
      <c r="B183" s="25" t="str">
        <f>DSSP!B182</f>
        <v>Mặt giả cổ mỏ neo</v>
      </c>
      <c r="C183" s="21">
        <f>SUM(NhatkyNhap!$C183:C183)-SUM(NhatkyBan!$C183:C183)</f>
        <v>0</v>
      </c>
      <c r="D183" s="21">
        <f>SUM(NhatkyNhap!$C183:D183)-SUM(NhatkyBan!$C183:D183)</f>
        <v>0</v>
      </c>
      <c r="E183" s="21">
        <f>SUM(NhatkyNhap!$C183:E183)-SUM(NhatkyBan!$C183:E183)</f>
        <v>0</v>
      </c>
      <c r="F183" s="21">
        <f>SUM(NhatkyNhap!$C183:F183)-SUM(NhatkyBan!$C183:F183)</f>
        <v>0</v>
      </c>
      <c r="G183" s="21">
        <f>SUM(NhatkyNhap!$C183:G183)-SUM(NhatkyBan!$C183:G183)</f>
        <v>0</v>
      </c>
      <c r="H183" s="21">
        <f>SUM(NhatkyNhap!$C183:H183)-SUM(NhatkyBan!$C183:H183)</f>
        <v>0</v>
      </c>
      <c r="I183" s="21">
        <f>SUM(NhatkyNhap!$C183:I183)-SUM(NhatkyBan!$C183:I183)</f>
        <v>0</v>
      </c>
      <c r="J183" s="21">
        <f>SUM(NhatkyNhap!$C183:J183)-SUM(NhatkyBan!$C183:J183)</f>
        <v>0</v>
      </c>
      <c r="K183" s="21">
        <f>SUM(NhatkyNhap!$C183:K183)-SUM(NhatkyBan!$C183:K183)</f>
        <v>0</v>
      </c>
      <c r="L183" s="21">
        <f>SUM(NhatkyNhap!$C183:L183)-SUM(NhatkyBan!$C183:L183)</f>
        <v>0</v>
      </c>
      <c r="M183" s="21">
        <f>SUM(NhatkyNhap!$C183:M183)-SUM(NhatkyBan!$C183:M183)</f>
        <v>0</v>
      </c>
      <c r="N183" s="21">
        <f>SUM(NhatkyNhap!$C183:N183)-SUM(NhatkyBan!$C183:N183)</f>
        <v>0</v>
      </c>
      <c r="O183" s="21">
        <f>SUM(NhatkyNhap!$C183:O183)-SUM(NhatkyBan!$C183:O183)</f>
        <v>0</v>
      </c>
      <c r="P183" s="21">
        <f>SUM(NhatkyNhap!$C183:P183)-SUM(NhatkyBan!$C183:P183)</f>
        <v>0</v>
      </c>
      <c r="Q183" s="21">
        <f>SUM(NhatkyNhap!$C183:Q183)-SUM(NhatkyBan!$C183:Q183)</f>
        <v>0</v>
      </c>
      <c r="R183" s="21">
        <f>SUM(NhatkyNhap!$C183:R183)-SUM(NhatkyBan!$C183:R183)</f>
        <v>0</v>
      </c>
      <c r="S183" s="21">
        <f>SUM(NhatkyNhap!$C183:S183)-SUM(NhatkyBan!$C183:S183)</f>
        <v>0</v>
      </c>
      <c r="T183" s="21">
        <f>SUM(NhatkyNhap!$C183:T183)-SUM(NhatkyBan!$C183:T183)</f>
        <v>0</v>
      </c>
      <c r="U183" s="21">
        <f>SUM(NhatkyNhap!$C183:U183)-SUM(NhatkyBan!$C183:U183)</f>
        <v>0</v>
      </c>
      <c r="V183" s="21">
        <f>SUM(NhatkyNhap!$C183:V183)-SUM(NhatkyBan!$C183:V183)</f>
        <v>0</v>
      </c>
      <c r="W183" s="21">
        <f>SUM(NhatkyNhap!$C183:W183)-SUM(NhatkyBan!$C183:W183)</f>
        <v>0</v>
      </c>
      <c r="X183" s="21">
        <f>SUM(NhatkyNhap!$C183:X183)-SUM(NhatkyBan!$C183:X183)</f>
        <v>0</v>
      </c>
      <c r="Y183" s="21">
        <f>SUM(NhatkyNhap!$C183:Y183)-SUM(NhatkyBan!$C183:Y183)</f>
        <v>0</v>
      </c>
      <c r="Z183" s="21">
        <f>SUM(NhatkyNhap!$C183:Z183)-SUM(NhatkyBan!$C183:Z183)</f>
        <v>0</v>
      </c>
      <c r="AA183" s="21">
        <f>SUM(NhatkyNhap!$C183:AA183)-SUM(NhatkyBan!$C183:AA183)</f>
        <v>0</v>
      </c>
      <c r="AB183" s="21">
        <f>SUM(NhatkyNhap!$C183:AB183)-SUM(NhatkyBan!$C183:AB183)</f>
        <v>0</v>
      </c>
      <c r="AC183" s="21">
        <f>SUM(NhatkyNhap!$C183:AC183)-SUM(NhatkyBan!$C183:AC183)</f>
        <v>0</v>
      </c>
      <c r="AD183" s="21">
        <f>SUM(NhatkyNhap!$C183:AD183)-SUM(NhatkyBan!$C183:AD183)</f>
        <v>0</v>
      </c>
      <c r="AE183" s="21">
        <f>SUM(NhatkyNhap!$C183:AE183)-SUM(NhatkyBan!$C183:AE183)</f>
        <v>0</v>
      </c>
      <c r="AF183" s="21">
        <f>SUM(NhatkyNhap!$C183:AF183)-SUM(NhatkyBan!$C183:AF183)</f>
        <v>0</v>
      </c>
      <c r="AG183" s="21">
        <f>SUM(NhatkyNhap!$C183:AG183)-SUM(NhatkyBan!$C183:AG183)</f>
        <v>0</v>
      </c>
    </row>
    <row r="184" spans="1:33" ht="12.75" customHeight="1">
      <c r="A184" s="76" t="str">
        <f>DSSP!A183</f>
        <v>GC108</v>
      </c>
      <c r="B184" s="25" t="str">
        <f>DSSP!B183</f>
        <v>Mặt giả cổ mèo</v>
      </c>
      <c r="C184" s="21">
        <f>SUM(NhatkyNhap!$C184:C184)-SUM(NhatkyBan!$C184:C184)</f>
        <v>0</v>
      </c>
      <c r="D184" s="21">
        <f>SUM(NhatkyNhap!$C184:D184)-SUM(NhatkyBan!$C184:D184)</f>
        <v>0</v>
      </c>
      <c r="E184" s="21">
        <f>SUM(NhatkyNhap!$C184:E184)-SUM(NhatkyBan!$C184:E184)</f>
        <v>0</v>
      </c>
      <c r="F184" s="21">
        <f>SUM(NhatkyNhap!$C184:F184)-SUM(NhatkyBan!$C184:F184)</f>
        <v>0</v>
      </c>
      <c r="G184" s="21">
        <f>SUM(NhatkyNhap!$C184:G184)-SUM(NhatkyBan!$C184:G184)</f>
        <v>0</v>
      </c>
      <c r="H184" s="21">
        <f>SUM(NhatkyNhap!$C184:H184)-SUM(NhatkyBan!$C184:H184)</f>
        <v>0</v>
      </c>
      <c r="I184" s="21">
        <f>SUM(NhatkyNhap!$C184:I184)-SUM(NhatkyBan!$C184:I184)</f>
        <v>0</v>
      </c>
      <c r="J184" s="21">
        <f>SUM(NhatkyNhap!$C184:J184)-SUM(NhatkyBan!$C184:J184)</f>
        <v>0</v>
      </c>
      <c r="K184" s="21">
        <f>SUM(NhatkyNhap!$C184:K184)-SUM(NhatkyBan!$C184:K184)</f>
        <v>0</v>
      </c>
      <c r="L184" s="21">
        <f>SUM(NhatkyNhap!$C184:L184)-SUM(NhatkyBan!$C184:L184)</f>
        <v>0</v>
      </c>
      <c r="M184" s="21">
        <f>SUM(NhatkyNhap!$C184:M184)-SUM(NhatkyBan!$C184:M184)</f>
        <v>0</v>
      </c>
      <c r="N184" s="21">
        <f>SUM(NhatkyNhap!$C184:N184)-SUM(NhatkyBan!$C184:N184)</f>
        <v>0</v>
      </c>
      <c r="O184" s="21">
        <f>SUM(NhatkyNhap!$C184:O184)-SUM(NhatkyBan!$C184:O184)</f>
        <v>0</v>
      </c>
      <c r="P184" s="21">
        <f>SUM(NhatkyNhap!$C184:P184)-SUM(NhatkyBan!$C184:P184)</f>
        <v>0</v>
      </c>
      <c r="Q184" s="21">
        <f>SUM(NhatkyNhap!$C184:Q184)-SUM(NhatkyBan!$C184:Q184)</f>
        <v>0</v>
      </c>
      <c r="R184" s="21">
        <f>SUM(NhatkyNhap!$C184:R184)-SUM(NhatkyBan!$C184:R184)</f>
        <v>0</v>
      </c>
      <c r="S184" s="21">
        <f>SUM(NhatkyNhap!$C184:S184)-SUM(NhatkyBan!$C184:S184)</f>
        <v>0</v>
      </c>
      <c r="T184" s="21">
        <f>SUM(NhatkyNhap!$C184:T184)-SUM(NhatkyBan!$C184:T184)</f>
        <v>0</v>
      </c>
      <c r="U184" s="21">
        <f>SUM(NhatkyNhap!$C184:U184)-SUM(NhatkyBan!$C184:U184)</f>
        <v>0</v>
      </c>
      <c r="V184" s="21">
        <f>SUM(NhatkyNhap!$C184:V184)-SUM(NhatkyBan!$C184:V184)</f>
        <v>0</v>
      </c>
      <c r="W184" s="21">
        <f>SUM(NhatkyNhap!$C184:W184)-SUM(NhatkyBan!$C184:W184)</f>
        <v>0</v>
      </c>
      <c r="X184" s="21">
        <f>SUM(NhatkyNhap!$C184:X184)-SUM(NhatkyBan!$C184:X184)</f>
        <v>0</v>
      </c>
      <c r="Y184" s="21">
        <f>SUM(NhatkyNhap!$C184:Y184)-SUM(NhatkyBan!$C184:Y184)</f>
        <v>0</v>
      </c>
      <c r="Z184" s="21">
        <f>SUM(NhatkyNhap!$C184:Z184)-SUM(NhatkyBan!$C184:Z184)</f>
        <v>0</v>
      </c>
      <c r="AA184" s="21">
        <f>SUM(NhatkyNhap!$C184:AA184)-SUM(NhatkyBan!$C184:AA184)</f>
        <v>0</v>
      </c>
      <c r="AB184" s="21">
        <f>SUM(NhatkyNhap!$C184:AB184)-SUM(NhatkyBan!$C184:AB184)</f>
        <v>0</v>
      </c>
      <c r="AC184" s="21">
        <f>SUM(NhatkyNhap!$C184:AC184)-SUM(NhatkyBan!$C184:AC184)</f>
        <v>0</v>
      </c>
      <c r="AD184" s="21">
        <f>SUM(NhatkyNhap!$C184:AD184)-SUM(NhatkyBan!$C184:AD184)</f>
        <v>0</v>
      </c>
      <c r="AE184" s="21">
        <f>SUM(NhatkyNhap!$C184:AE184)-SUM(NhatkyBan!$C184:AE184)</f>
        <v>0</v>
      </c>
      <c r="AF184" s="21">
        <f>SUM(NhatkyNhap!$C184:AF184)-SUM(NhatkyBan!$C184:AF184)</f>
        <v>0</v>
      </c>
      <c r="AG184" s="21">
        <f>SUM(NhatkyNhap!$C184:AG184)-SUM(NhatkyBan!$C184:AG184)</f>
        <v>0</v>
      </c>
    </row>
    <row r="185" spans="1:33" ht="12.75" customHeight="1">
      <c r="A185" s="76" t="str">
        <f>DSSP!A184</f>
        <v>GC109</v>
      </c>
      <c r="B185" s="25" t="str">
        <f>DSSP!B184</f>
        <v>Đèn dầu thần</v>
      </c>
      <c r="C185" s="21">
        <f>SUM(NhatkyNhap!$C185:C185)-SUM(NhatkyBan!$C185:C185)</f>
        <v>14</v>
      </c>
      <c r="D185" s="21">
        <f>SUM(NhatkyNhap!$C185:D185)-SUM(NhatkyBan!$C185:D185)</f>
        <v>14</v>
      </c>
      <c r="E185" s="21">
        <f>SUM(NhatkyNhap!$C185:E185)-SUM(NhatkyBan!$C185:E185)</f>
        <v>14</v>
      </c>
      <c r="F185" s="21">
        <f>SUM(NhatkyNhap!$C185:F185)-SUM(NhatkyBan!$C185:F185)</f>
        <v>14</v>
      </c>
      <c r="G185" s="21">
        <f>SUM(NhatkyNhap!$C185:G185)-SUM(NhatkyBan!$C185:G185)</f>
        <v>14</v>
      </c>
      <c r="H185" s="21">
        <f>SUM(NhatkyNhap!$C185:H185)-SUM(NhatkyBan!$C185:H185)</f>
        <v>14</v>
      </c>
      <c r="I185" s="21">
        <f>SUM(NhatkyNhap!$C185:I185)-SUM(NhatkyBan!$C185:I185)</f>
        <v>14</v>
      </c>
      <c r="J185" s="21">
        <f>SUM(NhatkyNhap!$C185:J185)-SUM(NhatkyBan!$C185:J185)</f>
        <v>14</v>
      </c>
      <c r="K185" s="21">
        <f>SUM(NhatkyNhap!$C185:K185)-SUM(NhatkyBan!$C185:K185)</f>
        <v>14</v>
      </c>
      <c r="L185" s="21">
        <f>SUM(NhatkyNhap!$C185:L185)-SUM(NhatkyBan!$C185:L185)</f>
        <v>14</v>
      </c>
      <c r="M185" s="21">
        <f>SUM(NhatkyNhap!$C185:M185)-SUM(NhatkyBan!$C185:M185)</f>
        <v>14</v>
      </c>
      <c r="N185" s="21">
        <f>SUM(NhatkyNhap!$C185:N185)-SUM(NhatkyBan!$C185:N185)</f>
        <v>14</v>
      </c>
      <c r="O185" s="21">
        <f>SUM(NhatkyNhap!$C185:O185)-SUM(NhatkyBan!$C185:O185)</f>
        <v>14</v>
      </c>
      <c r="P185" s="21">
        <f>SUM(NhatkyNhap!$C185:P185)-SUM(NhatkyBan!$C185:P185)</f>
        <v>14</v>
      </c>
      <c r="Q185" s="21">
        <f>SUM(NhatkyNhap!$C185:Q185)-SUM(NhatkyBan!$C185:Q185)</f>
        <v>14</v>
      </c>
      <c r="R185" s="21">
        <f>SUM(NhatkyNhap!$C185:R185)-SUM(NhatkyBan!$C185:R185)</f>
        <v>14</v>
      </c>
      <c r="S185" s="21">
        <f>SUM(NhatkyNhap!$C185:S185)-SUM(NhatkyBan!$C185:S185)</f>
        <v>14</v>
      </c>
      <c r="T185" s="21">
        <f>SUM(NhatkyNhap!$C185:T185)-SUM(NhatkyBan!$C185:T185)</f>
        <v>14</v>
      </c>
      <c r="U185" s="21">
        <f>SUM(NhatkyNhap!$C185:U185)-SUM(NhatkyBan!$C185:U185)</f>
        <v>14</v>
      </c>
      <c r="V185" s="21">
        <f>SUM(NhatkyNhap!$C185:V185)-SUM(NhatkyBan!$C185:V185)</f>
        <v>14</v>
      </c>
      <c r="W185" s="21">
        <f>SUM(NhatkyNhap!$C185:W185)-SUM(NhatkyBan!$C185:W185)</f>
        <v>14</v>
      </c>
      <c r="X185" s="21">
        <f>SUM(NhatkyNhap!$C185:X185)-SUM(NhatkyBan!$C185:X185)</f>
        <v>14</v>
      </c>
      <c r="Y185" s="21">
        <f>SUM(NhatkyNhap!$C185:Y185)-SUM(NhatkyBan!$C185:Y185)</f>
        <v>14</v>
      </c>
      <c r="Z185" s="21">
        <f>SUM(NhatkyNhap!$C185:Z185)-SUM(NhatkyBan!$C185:Z185)</f>
        <v>14</v>
      </c>
      <c r="AA185" s="21">
        <f>SUM(NhatkyNhap!$C185:AA185)-SUM(NhatkyBan!$C185:AA185)</f>
        <v>14</v>
      </c>
      <c r="AB185" s="21">
        <f>SUM(NhatkyNhap!$C185:AB185)-SUM(NhatkyBan!$C185:AB185)</f>
        <v>14</v>
      </c>
      <c r="AC185" s="21">
        <f>SUM(NhatkyNhap!$C185:AC185)-SUM(NhatkyBan!$C185:AC185)</f>
        <v>14</v>
      </c>
      <c r="AD185" s="21">
        <f>SUM(NhatkyNhap!$C185:AD185)-SUM(NhatkyBan!$C185:AD185)</f>
        <v>14</v>
      </c>
      <c r="AE185" s="21">
        <f>SUM(NhatkyNhap!$C185:AE185)-SUM(NhatkyBan!$C185:AE185)</f>
        <v>14</v>
      </c>
      <c r="AF185" s="21">
        <f>SUM(NhatkyNhap!$C185:AF185)-SUM(NhatkyBan!$C185:AF185)</f>
        <v>14</v>
      </c>
      <c r="AG185" s="21">
        <f>SUM(NhatkyNhap!$C185:AG185)-SUM(NhatkyBan!$C185:AG185)</f>
        <v>14</v>
      </c>
    </row>
    <row r="186" spans="1:33" ht="12.75" customHeight="1">
      <c r="A186" s="76" t="str">
        <f>DSSP!A185</f>
        <v>GC110</v>
      </c>
      <c r="B186" s="25" t="str">
        <f>DSSP!B185</f>
        <v>Máy ảnh cổ</v>
      </c>
      <c r="C186" s="21">
        <f>SUM(NhatkyNhap!$C186:C186)-SUM(NhatkyBan!$C186:C186)</f>
        <v>93</v>
      </c>
      <c r="D186" s="21">
        <f>SUM(NhatkyNhap!$C186:D186)-SUM(NhatkyBan!$C186:D186)</f>
        <v>93</v>
      </c>
      <c r="E186" s="21">
        <f>SUM(NhatkyNhap!$C186:E186)-SUM(NhatkyBan!$C186:E186)</f>
        <v>93</v>
      </c>
      <c r="F186" s="21">
        <f>SUM(NhatkyNhap!$C186:F186)-SUM(NhatkyBan!$C186:F186)</f>
        <v>93</v>
      </c>
      <c r="G186" s="21">
        <f>SUM(NhatkyNhap!$C186:G186)-SUM(NhatkyBan!$C186:G186)</f>
        <v>93</v>
      </c>
      <c r="H186" s="21">
        <f>SUM(NhatkyNhap!$C186:H186)-SUM(NhatkyBan!$C186:H186)</f>
        <v>93</v>
      </c>
      <c r="I186" s="21">
        <f>SUM(NhatkyNhap!$C186:I186)-SUM(NhatkyBan!$C186:I186)</f>
        <v>93</v>
      </c>
      <c r="J186" s="21">
        <f>SUM(NhatkyNhap!$C186:J186)-SUM(NhatkyBan!$C186:J186)</f>
        <v>93</v>
      </c>
      <c r="K186" s="21">
        <f>SUM(NhatkyNhap!$C186:K186)-SUM(NhatkyBan!$C186:K186)</f>
        <v>93</v>
      </c>
      <c r="L186" s="21">
        <f>SUM(NhatkyNhap!$C186:L186)-SUM(NhatkyBan!$C186:L186)</f>
        <v>93</v>
      </c>
      <c r="M186" s="21">
        <f>SUM(NhatkyNhap!$C186:M186)-SUM(NhatkyBan!$C186:M186)</f>
        <v>93</v>
      </c>
      <c r="N186" s="21">
        <f>SUM(NhatkyNhap!$C186:N186)-SUM(NhatkyBan!$C186:N186)</f>
        <v>93</v>
      </c>
      <c r="O186" s="21">
        <f>SUM(NhatkyNhap!$C186:O186)-SUM(NhatkyBan!$C186:O186)</f>
        <v>93</v>
      </c>
      <c r="P186" s="21">
        <f>SUM(NhatkyNhap!$C186:P186)-SUM(NhatkyBan!$C186:P186)</f>
        <v>93</v>
      </c>
      <c r="Q186" s="21">
        <f>SUM(NhatkyNhap!$C186:Q186)-SUM(NhatkyBan!$C186:Q186)</f>
        <v>93</v>
      </c>
      <c r="R186" s="21">
        <f>SUM(NhatkyNhap!$C186:R186)-SUM(NhatkyBan!$C186:R186)</f>
        <v>93</v>
      </c>
      <c r="S186" s="21">
        <f>SUM(NhatkyNhap!$C186:S186)-SUM(NhatkyBan!$C186:S186)</f>
        <v>93</v>
      </c>
      <c r="T186" s="21">
        <f>SUM(NhatkyNhap!$C186:T186)-SUM(NhatkyBan!$C186:T186)</f>
        <v>93</v>
      </c>
      <c r="U186" s="21">
        <f>SUM(NhatkyNhap!$C186:U186)-SUM(NhatkyBan!$C186:U186)</f>
        <v>93</v>
      </c>
      <c r="V186" s="21">
        <f>SUM(NhatkyNhap!$C186:V186)-SUM(NhatkyBan!$C186:V186)</f>
        <v>93</v>
      </c>
      <c r="W186" s="21">
        <f>SUM(NhatkyNhap!$C186:W186)-SUM(NhatkyBan!$C186:W186)</f>
        <v>93</v>
      </c>
      <c r="X186" s="21">
        <f>SUM(NhatkyNhap!$C186:X186)-SUM(NhatkyBan!$C186:X186)</f>
        <v>93</v>
      </c>
      <c r="Y186" s="21">
        <f>SUM(NhatkyNhap!$C186:Y186)-SUM(NhatkyBan!$C186:Y186)</f>
        <v>93</v>
      </c>
      <c r="Z186" s="21">
        <f>SUM(NhatkyNhap!$C186:Z186)-SUM(NhatkyBan!$C186:Z186)</f>
        <v>93</v>
      </c>
      <c r="AA186" s="21">
        <f>SUM(NhatkyNhap!$C186:AA186)-SUM(NhatkyBan!$C186:AA186)</f>
        <v>93</v>
      </c>
      <c r="AB186" s="21">
        <f>SUM(NhatkyNhap!$C186:AB186)-SUM(NhatkyBan!$C186:AB186)</f>
        <v>93</v>
      </c>
      <c r="AC186" s="21">
        <f>SUM(NhatkyNhap!$C186:AC186)-SUM(NhatkyBan!$C186:AC186)</f>
        <v>93</v>
      </c>
      <c r="AD186" s="21">
        <f>SUM(NhatkyNhap!$C186:AD186)-SUM(NhatkyBan!$C186:AD186)</f>
        <v>93</v>
      </c>
      <c r="AE186" s="21">
        <f>SUM(NhatkyNhap!$C186:AE186)-SUM(NhatkyBan!$C186:AE186)</f>
        <v>93</v>
      </c>
      <c r="AF186" s="21">
        <f>SUM(NhatkyNhap!$C186:AF186)-SUM(NhatkyBan!$C186:AF186)</f>
        <v>93</v>
      </c>
      <c r="AG186" s="21">
        <f>SUM(NhatkyNhap!$C186:AG186)-SUM(NhatkyBan!$C186:AG186)</f>
        <v>93</v>
      </c>
    </row>
    <row r="187" spans="1:33" ht="12.75" customHeight="1">
      <c r="A187" s="76" t="str">
        <f>DSSP!A186</f>
        <v>GC111</v>
      </c>
      <c r="B187" s="25" t="str">
        <f>DSSP!B186</f>
        <v>Máy ảnh hiện đại</v>
      </c>
      <c r="C187" s="21">
        <f>SUM(NhatkyNhap!$C187:C187)-SUM(NhatkyBan!$C187:C187)</f>
        <v>0</v>
      </c>
      <c r="D187" s="21">
        <f>SUM(NhatkyNhap!$C187:D187)-SUM(NhatkyBan!$C187:D187)</f>
        <v>0</v>
      </c>
      <c r="E187" s="21">
        <f>SUM(NhatkyNhap!$C187:E187)-SUM(NhatkyBan!$C187:E187)</f>
        <v>0</v>
      </c>
      <c r="F187" s="21">
        <f>SUM(NhatkyNhap!$C187:F187)-SUM(NhatkyBan!$C187:F187)</f>
        <v>0</v>
      </c>
      <c r="G187" s="21">
        <f>SUM(NhatkyNhap!$C187:G187)-SUM(NhatkyBan!$C187:G187)</f>
        <v>0</v>
      </c>
      <c r="H187" s="21">
        <f>SUM(NhatkyNhap!$C187:H187)-SUM(NhatkyBan!$C187:H187)</f>
        <v>0</v>
      </c>
      <c r="I187" s="21">
        <f>SUM(NhatkyNhap!$C187:I187)-SUM(NhatkyBan!$C187:I187)</f>
        <v>0</v>
      </c>
      <c r="J187" s="21">
        <f>SUM(NhatkyNhap!$C187:J187)-SUM(NhatkyBan!$C187:J187)</f>
        <v>0</v>
      </c>
      <c r="K187" s="21">
        <f>SUM(NhatkyNhap!$C187:K187)-SUM(NhatkyBan!$C187:K187)</f>
        <v>0</v>
      </c>
      <c r="L187" s="21">
        <f>SUM(NhatkyNhap!$C187:L187)-SUM(NhatkyBan!$C187:L187)</f>
        <v>0</v>
      </c>
      <c r="M187" s="21">
        <f>SUM(NhatkyNhap!$C187:M187)-SUM(NhatkyBan!$C187:M187)</f>
        <v>0</v>
      </c>
      <c r="N187" s="21">
        <f>SUM(NhatkyNhap!$C187:N187)-SUM(NhatkyBan!$C187:N187)</f>
        <v>0</v>
      </c>
      <c r="O187" s="21">
        <f>SUM(NhatkyNhap!$C187:O187)-SUM(NhatkyBan!$C187:O187)</f>
        <v>0</v>
      </c>
      <c r="P187" s="21">
        <f>SUM(NhatkyNhap!$C187:P187)-SUM(NhatkyBan!$C187:P187)</f>
        <v>0</v>
      </c>
      <c r="Q187" s="21">
        <f>SUM(NhatkyNhap!$C187:Q187)-SUM(NhatkyBan!$C187:Q187)</f>
        <v>0</v>
      </c>
      <c r="R187" s="21">
        <f>SUM(NhatkyNhap!$C187:R187)-SUM(NhatkyBan!$C187:R187)</f>
        <v>0</v>
      </c>
      <c r="S187" s="21">
        <f>SUM(NhatkyNhap!$C187:S187)-SUM(NhatkyBan!$C187:S187)</f>
        <v>0</v>
      </c>
      <c r="T187" s="21">
        <f>SUM(NhatkyNhap!$C187:T187)-SUM(NhatkyBan!$C187:T187)</f>
        <v>0</v>
      </c>
      <c r="U187" s="21">
        <f>SUM(NhatkyNhap!$C187:U187)-SUM(NhatkyBan!$C187:U187)</f>
        <v>0</v>
      </c>
      <c r="V187" s="21">
        <f>SUM(NhatkyNhap!$C187:V187)-SUM(NhatkyBan!$C187:V187)</f>
        <v>0</v>
      </c>
      <c r="W187" s="21">
        <f>SUM(NhatkyNhap!$C187:W187)-SUM(NhatkyBan!$C187:W187)</f>
        <v>0</v>
      </c>
      <c r="X187" s="21">
        <f>SUM(NhatkyNhap!$C187:X187)-SUM(NhatkyBan!$C187:X187)</f>
        <v>0</v>
      </c>
      <c r="Y187" s="21">
        <f>SUM(NhatkyNhap!$C187:Y187)-SUM(NhatkyBan!$C187:Y187)</f>
        <v>0</v>
      </c>
      <c r="Z187" s="21">
        <f>SUM(NhatkyNhap!$C187:Z187)-SUM(NhatkyBan!$C187:Z187)</f>
        <v>0</v>
      </c>
      <c r="AA187" s="21">
        <f>SUM(NhatkyNhap!$C187:AA187)-SUM(NhatkyBan!$C187:AA187)</f>
        <v>0</v>
      </c>
      <c r="AB187" s="21">
        <f>SUM(NhatkyNhap!$C187:AB187)-SUM(NhatkyBan!$C187:AB187)</f>
        <v>0</v>
      </c>
      <c r="AC187" s="21">
        <f>SUM(NhatkyNhap!$C187:AC187)-SUM(NhatkyBan!$C187:AC187)</f>
        <v>0</v>
      </c>
      <c r="AD187" s="21">
        <f>SUM(NhatkyNhap!$C187:AD187)-SUM(NhatkyBan!$C187:AD187)</f>
        <v>0</v>
      </c>
      <c r="AE187" s="21">
        <f>SUM(NhatkyNhap!$C187:AE187)-SUM(NhatkyBan!$C187:AE187)</f>
        <v>0</v>
      </c>
      <c r="AF187" s="21">
        <f>SUM(NhatkyNhap!$C187:AF187)-SUM(NhatkyBan!$C187:AF187)</f>
        <v>0</v>
      </c>
      <c r="AG187" s="21">
        <f>SUM(NhatkyNhap!$C187:AG187)-SUM(NhatkyBan!$C187:AG187)</f>
        <v>0</v>
      </c>
    </row>
    <row r="188" spans="1:33" ht="12.75" customHeight="1">
      <c r="A188" s="76" t="str">
        <f>DSSP!A187</f>
        <v>GC112</v>
      </c>
      <c r="B188" s="25" t="str">
        <f>DSSP!B187</f>
        <v>Giày Converse</v>
      </c>
      <c r="C188" s="21">
        <f>SUM(NhatkyNhap!$C188:C188)-SUM(NhatkyBan!$C188:C188)</f>
        <v>0</v>
      </c>
      <c r="D188" s="21">
        <f>SUM(NhatkyNhap!$C188:D188)-SUM(NhatkyBan!$C188:D188)</f>
        <v>0</v>
      </c>
      <c r="E188" s="21">
        <f>SUM(NhatkyNhap!$C188:E188)-SUM(NhatkyBan!$C188:E188)</f>
        <v>0</v>
      </c>
      <c r="F188" s="21">
        <f>SUM(NhatkyNhap!$C188:F188)-SUM(NhatkyBan!$C188:F188)</f>
        <v>0</v>
      </c>
      <c r="G188" s="21">
        <f>SUM(NhatkyNhap!$C188:G188)-SUM(NhatkyBan!$C188:G188)</f>
        <v>0</v>
      </c>
      <c r="H188" s="21">
        <f>SUM(NhatkyNhap!$C188:H188)-SUM(NhatkyBan!$C188:H188)</f>
        <v>0</v>
      </c>
      <c r="I188" s="21">
        <f>SUM(NhatkyNhap!$C188:I188)-SUM(NhatkyBan!$C188:I188)</f>
        <v>0</v>
      </c>
      <c r="J188" s="21">
        <f>SUM(NhatkyNhap!$C188:J188)-SUM(NhatkyBan!$C188:J188)</f>
        <v>0</v>
      </c>
      <c r="K188" s="21">
        <f>SUM(NhatkyNhap!$C188:K188)-SUM(NhatkyBan!$C188:K188)</f>
        <v>0</v>
      </c>
      <c r="L188" s="21">
        <f>SUM(NhatkyNhap!$C188:L188)-SUM(NhatkyBan!$C188:L188)</f>
        <v>0</v>
      </c>
      <c r="M188" s="21">
        <f>SUM(NhatkyNhap!$C188:M188)-SUM(NhatkyBan!$C188:M188)</f>
        <v>0</v>
      </c>
      <c r="N188" s="21">
        <f>SUM(NhatkyNhap!$C188:N188)-SUM(NhatkyBan!$C188:N188)</f>
        <v>0</v>
      </c>
      <c r="O188" s="21">
        <f>SUM(NhatkyNhap!$C188:O188)-SUM(NhatkyBan!$C188:O188)</f>
        <v>0</v>
      </c>
      <c r="P188" s="21">
        <f>SUM(NhatkyNhap!$C188:P188)-SUM(NhatkyBan!$C188:P188)</f>
        <v>0</v>
      </c>
      <c r="Q188" s="21">
        <f>SUM(NhatkyNhap!$C188:Q188)-SUM(NhatkyBan!$C188:Q188)</f>
        <v>0</v>
      </c>
      <c r="R188" s="21">
        <f>SUM(NhatkyNhap!$C188:R188)-SUM(NhatkyBan!$C188:R188)</f>
        <v>0</v>
      </c>
      <c r="S188" s="21">
        <f>SUM(NhatkyNhap!$C188:S188)-SUM(NhatkyBan!$C188:S188)</f>
        <v>0</v>
      </c>
      <c r="T188" s="21">
        <f>SUM(NhatkyNhap!$C188:T188)-SUM(NhatkyBan!$C188:T188)</f>
        <v>0</v>
      </c>
      <c r="U188" s="21">
        <f>SUM(NhatkyNhap!$C188:U188)-SUM(NhatkyBan!$C188:U188)</f>
        <v>0</v>
      </c>
      <c r="V188" s="21">
        <f>SUM(NhatkyNhap!$C188:V188)-SUM(NhatkyBan!$C188:V188)</f>
        <v>0</v>
      </c>
      <c r="W188" s="21">
        <f>SUM(NhatkyNhap!$C188:W188)-SUM(NhatkyBan!$C188:W188)</f>
        <v>0</v>
      </c>
      <c r="X188" s="21">
        <f>SUM(NhatkyNhap!$C188:X188)-SUM(NhatkyBan!$C188:X188)</f>
        <v>0</v>
      </c>
      <c r="Y188" s="21">
        <f>SUM(NhatkyNhap!$C188:Y188)-SUM(NhatkyBan!$C188:Y188)</f>
        <v>0</v>
      </c>
      <c r="Z188" s="21">
        <f>SUM(NhatkyNhap!$C188:Z188)-SUM(NhatkyBan!$C188:Z188)</f>
        <v>0</v>
      </c>
      <c r="AA188" s="21">
        <f>SUM(NhatkyNhap!$C188:AA188)-SUM(NhatkyBan!$C188:AA188)</f>
        <v>0</v>
      </c>
      <c r="AB188" s="21">
        <f>SUM(NhatkyNhap!$C188:AB188)-SUM(NhatkyBan!$C188:AB188)</f>
        <v>0</v>
      </c>
      <c r="AC188" s="21">
        <f>SUM(NhatkyNhap!$C188:AC188)-SUM(NhatkyBan!$C188:AC188)</f>
        <v>0</v>
      </c>
      <c r="AD188" s="21">
        <f>SUM(NhatkyNhap!$C188:AD188)-SUM(NhatkyBan!$C188:AD188)</f>
        <v>0</v>
      </c>
      <c r="AE188" s="21">
        <f>SUM(NhatkyNhap!$C188:AE188)-SUM(NhatkyBan!$C188:AE188)</f>
        <v>0</v>
      </c>
      <c r="AF188" s="21">
        <f>SUM(NhatkyNhap!$C188:AF188)-SUM(NhatkyBan!$C188:AF188)</f>
        <v>0</v>
      </c>
      <c r="AG188" s="21">
        <f>SUM(NhatkyNhap!$C188:AG188)-SUM(NhatkyBan!$C188:AG188)</f>
        <v>0</v>
      </c>
    </row>
    <row r="189" spans="1:33" ht="12.75" customHeight="1">
      <c r="A189" s="76" t="str">
        <f>DSSP!A188</f>
        <v>GC113</v>
      </c>
      <c r="B189" s="25" t="str">
        <f>DSSP!B188</f>
        <v>Bánh Happy Birthday</v>
      </c>
      <c r="C189" s="21">
        <f>SUM(NhatkyNhap!$C189:C189)-SUM(NhatkyBan!$C189:C189)</f>
        <v>0</v>
      </c>
      <c r="D189" s="21">
        <f>SUM(NhatkyNhap!$C189:D189)-SUM(NhatkyBan!$C189:D189)</f>
        <v>0</v>
      </c>
      <c r="E189" s="21">
        <f>SUM(NhatkyNhap!$C189:E189)-SUM(NhatkyBan!$C189:E189)</f>
        <v>0</v>
      </c>
      <c r="F189" s="21">
        <f>SUM(NhatkyNhap!$C189:F189)-SUM(NhatkyBan!$C189:F189)</f>
        <v>0</v>
      </c>
      <c r="G189" s="21">
        <f>SUM(NhatkyNhap!$C189:G189)-SUM(NhatkyBan!$C189:G189)</f>
        <v>0</v>
      </c>
      <c r="H189" s="21">
        <f>SUM(NhatkyNhap!$C189:H189)-SUM(NhatkyBan!$C189:H189)</f>
        <v>0</v>
      </c>
      <c r="I189" s="21">
        <f>SUM(NhatkyNhap!$C189:I189)-SUM(NhatkyBan!$C189:I189)</f>
        <v>0</v>
      </c>
      <c r="J189" s="21">
        <f>SUM(NhatkyNhap!$C189:J189)-SUM(NhatkyBan!$C189:J189)</f>
        <v>0</v>
      </c>
      <c r="K189" s="21">
        <f>SUM(NhatkyNhap!$C189:K189)-SUM(NhatkyBan!$C189:K189)</f>
        <v>0</v>
      </c>
      <c r="L189" s="21">
        <f>SUM(NhatkyNhap!$C189:L189)-SUM(NhatkyBan!$C189:L189)</f>
        <v>0</v>
      </c>
      <c r="M189" s="21">
        <f>SUM(NhatkyNhap!$C189:M189)-SUM(NhatkyBan!$C189:M189)</f>
        <v>0</v>
      </c>
      <c r="N189" s="21">
        <f>SUM(NhatkyNhap!$C189:N189)-SUM(NhatkyBan!$C189:N189)</f>
        <v>0</v>
      </c>
      <c r="O189" s="21">
        <f>SUM(NhatkyNhap!$C189:O189)-SUM(NhatkyBan!$C189:O189)</f>
        <v>0</v>
      </c>
      <c r="P189" s="21">
        <f>SUM(NhatkyNhap!$C189:P189)-SUM(NhatkyBan!$C189:P189)</f>
        <v>0</v>
      </c>
      <c r="Q189" s="21">
        <f>SUM(NhatkyNhap!$C189:Q189)-SUM(NhatkyBan!$C189:Q189)</f>
        <v>0</v>
      </c>
      <c r="R189" s="21">
        <f>SUM(NhatkyNhap!$C189:R189)-SUM(NhatkyBan!$C189:R189)</f>
        <v>0</v>
      </c>
      <c r="S189" s="21">
        <f>SUM(NhatkyNhap!$C189:S189)-SUM(NhatkyBan!$C189:S189)</f>
        <v>0</v>
      </c>
      <c r="T189" s="21">
        <f>SUM(NhatkyNhap!$C189:T189)-SUM(NhatkyBan!$C189:T189)</f>
        <v>0</v>
      </c>
      <c r="U189" s="21">
        <f>SUM(NhatkyNhap!$C189:U189)-SUM(NhatkyBan!$C189:U189)</f>
        <v>0</v>
      </c>
      <c r="V189" s="21">
        <f>SUM(NhatkyNhap!$C189:V189)-SUM(NhatkyBan!$C189:V189)</f>
        <v>0</v>
      </c>
      <c r="W189" s="21">
        <f>SUM(NhatkyNhap!$C189:W189)-SUM(NhatkyBan!$C189:W189)</f>
        <v>0</v>
      </c>
      <c r="X189" s="21">
        <f>SUM(NhatkyNhap!$C189:X189)-SUM(NhatkyBan!$C189:X189)</f>
        <v>0</v>
      </c>
      <c r="Y189" s="21">
        <f>SUM(NhatkyNhap!$C189:Y189)-SUM(NhatkyBan!$C189:Y189)</f>
        <v>0</v>
      </c>
      <c r="Z189" s="21">
        <f>SUM(NhatkyNhap!$C189:Z189)-SUM(NhatkyBan!$C189:Z189)</f>
        <v>0</v>
      </c>
      <c r="AA189" s="21">
        <f>SUM(NhatkyNhap!$C189:AA189)-SUM(NhatkyBan!$C189:AA189)</f>
        <v>0</v>
      </c>
      <c r="AB189" s="21">
        <f>SUM(NhatkyNhap!$C189:AB189)-SUM(NhatkyBan!$C189:AB189)</f>
        <v>0</v>
      </c>
      <c r="AC189" s="21">
        <f>SUM(NhatkyNhap!$C189:AC189)-SUM(NhatkyBan!$C189:AC189)</f>
        <v>0</v>
      </c>
      <c r="AD189" s="21">
        <f>SUM(NhatkyNhap!$C189:AD189)-SUM(NhatkyBan!$C189:AD189)</f>
        <v>0</v>
      </c>
      <c r="AE189" s="21">
        <f>SUM(NhatkyNhap!$C189:AE189)-SUM(NhatkyBan!$C189:AE189)</f>
        <v>0</v>
      </c>
      <c r="AF189" s="21">
        <f>SUM(NhatkyNhap!$C189:AF189)-SUM(NhatkyBan!$C189:AF189)</f>
        <v>0</v>
      </c>
      <c r="AG189" s="21">
        <f>SUM(NhatkyNhap!$C189:AG189)-SUM(NhatkyBan!$C189:AG189)</f>
        <v>0</v>
      </c>
    </row>
    <row r="190" spans="1:33" ht="12.75" customHeight="1">
      <c r="A190" s="76" t="str">
        <f>DSSP!A189</f>
        <v>GC114</v>
      </c>
      <c r="B190" s="25" t="str">
        <f>DSSP!B189</f>
        <v>Chữ Love</v>
      </c>
      <c r="C190" s="21">
        <f>SUM(NhatkyNhap!$C190:C190)-SUM(NhatkyBan!$C190:C190)</f>
        <v>0</v>
      </c>
      <c r="D190" s="21">
        <f>SUM(NhatkyNhap!$C190:D190)-SUM(NhatkyBan!$C190:D190)</f>
        <v>0</v>
      </c>
      <c r="E190" s="21">
        <f>SUM(NhatkyNhap!$C190:E190)-SUM(NhatkyBan!$C190:E190)</f>
        <v>0</v>
      </c>
      <c r="F190" s="21">
        <f>SUM(NhatkyNhap!$C190:F190)-SUM(NhatkyBan!$C190:F190)</f>
        <v>0</v>
      </c>
      <c r="G190" s="21">
        <f>SUM(NhatkyNhap!$C190:G190)-SUM(NhatkyBan!$C190:G190)</f>
        <v>0</v>
      </c>
      <c r="H190" s="21">
        <f>SUM(NhatkyNhap!$C190:H190)-SUM(NhatkyBan!$C190:H190)</f>
        <v>0</v>
      </c>
      <c r="I190" s="21">
        <f>SUM(NhatkyNhap!$C190:I190)-SUM(NhatkyBan!$C190:I190)</f>
        <v>0</v>
      </c>
      <c r="J190" s="21">
        <f>SUM(NhatkyNhap!$C190:J190)-SUM(NhatkyBan!$C190:J190)</f>
        <v>0</v>
      </c>
      <c r="K190" s="21">
        <f>SUM(NhatkyNhap!$C190:K190)-SUM(NhatkyBan!$C190:K190)</f>
        <v>0</v>
      </c>
      <c r="L190" s="21">
        <f>SUM(NhatkyNhap!$C190:L190)-SUM(NhatkyBan!$C190:L190)</f>
        <v>0</v>
      </c>
      <c r="M190" s="21">
        <f>SUM(NhatkyNhap!$C190:M190)-SUM(NhatkyBan!$C190:M190)</f>
        <v>0</v>
      </c>
      <c r="N190" s="21">
        <f>SUM(NhatkyNhap!$C190:N190)-SUM(NhatkyBan!$C190:N190)</f>
        <v>0</v>
      </c>
      <c r="O190" s="21">
        <f>SUM(NhatkyNhap!$C190:O190)-SUM(NhatkyBan!$C190:O190)</f>
        <v>0</v>
      </c>
      <c r="P190" s="21">
        <f>SUM(NhatkyNhap!$C190:P190)-SUM(NhatkyBan!$C190:P190)</f>
        <v>0</v>
      </c>
      <c r="Q190" s="21">
        <f>SUM(NhatkyNhap!$C190:Q190)-SUM(NhatkyBan!$C190:Q190)</f>
        <v>0</v>
      </c>
      <c r="R190" s="21">
        <f>SUM(NhatkyNhap!$C190:R190)-SUM(NhatkyBan!$C190:R190)</f>
        <v>0</v>
      </c>
      <c r="S190" s="21">
        <f>SUM(NhatkyNhap!$C190:S190)-SUM(NhatkyBan!$C190:S190)</f>
        <v>0</v>
      </c>
      <c r="T190" s="21">
        <f>SUM(NhatkyNhap!$C190:T190)-SUM(NhatkyBan!$C190:T190)</f>
        <v>0</v>
      </c>
      <c r="U190" s="21">
        <f>SUM(NhatkyNhap!$C190:U190)-SUM(NhatkyBan!$C190:U190)</f>
        <v>0</v>
      </c>
      <c r="V190" s="21">
        <f>SUM(NhatkyNhap!$C190:V190)-SUM(NhatkyBan!$C190:V190)</f>
        <v>0</v>
      </c>
      <c r="W190" s="21">
        <f>SUM(NhatkyNhap!$C190:W190)-SUM(NhatkyBan!$C190:W190)</f>
        <v>0</v>
      </c>
      <c r="X190" s="21">
        <f>SUM(NhatkyNhap!$C190:X190)-SUM(NhatkyBan!$C190:X190)</f>
        <v>0</v>
      </c>
      <c r="Y190" s="21">
        <f>SUM(NhatkyNhap!$C190:Y190)-SUM(NhatkyBan!$C190:Y190)</f>
        <v>0</v>
      </c>
      <c r="Z190" s="21">
        <f>SUM(NhatkyNhap!$C190:Z190)-SUM(NhatkyBan!$C190:Z190)</f>
        <v>0</v>
      </c>
      <c r="AA190" s="21">
        <f>SUM(NhatkyNhap!$C190:AA190)-SUM(NhatkyBan!$C190:AA190)</f>
        <v>0</v>
      </c>
      <c r="AB190" s="21">
        <f>SUM(NhatkyNhap!$C190:AB190)-SUM(NhatkyBan!$C190:AB190)</f>
        <v>0</v>
      </c>
      <c r="AC190" s="21">
        <f>SUM(NhatkyNhap!$C190:AC190)-SUM(NhatkyBan!$C190:AC190)</f>
        <v>0</v>
      </c>
      <c r="AD190" s="21">
        <f>SUM(NhatkyNhap!$C190:AD190)-SUM(NhatkyBan!$C190:AD190)</f>
        <v>0</v>
      </c>
      <c r="AE190" s="21">
        <f>SUM(NhatkyNhap!$C190:AE190)-SUM(NhatkyBan!$C190:AE190)</f>
        <v>0</v>
      </c>
      <c r="AF190" s="21">
        <f>SUM(NhatkyNhap!$C190:AF190)-SUM(NhatkyBan!$C190:AF190)</f>
        <v>0</v>
      </c>
      <c r="AG190" s="21">
        <f>SUM(NhatkyNhap!$C190:AG190)-SUM(NhatkyBan!$C190:AG190)</f>
        <v>0</v>
      </c>
    </row>
    <row r="191" spans="1:33" ht="12.75" customHeight="1">
      <c r="A191" s="76" t="str">
        <f>DSSP!A190</f>
        <v>GC115</v>
      </c>
      <c r="B191" s="25" t="str">
        <f>DSSP!B190</f>
        <v>Chó con</v>
      </c>
      <c r="C191" s="21">
        <f>SUM(NhatkyNhap!$C191:C191)-SUM(NhatkyBan!$C191:C191)</f>
        <v>0</v>
      </c>
      <c r="D191" s="21">
        <f>SUM(NhatkyNhap!$C191:D191)-SUM(NhatkyBan!$C191:D191)</f>
        <v>0</v>
      </c>
      <c r="E191" s="21">
        <f>SUM(NhatkyNhap!$C191:E191)-SUM(NhatkyBan!$C191:E191)</f>
        <v>0</v>
      </c>
      <c r="F191" s="21">
        <f>SUM(NhatkyNhap!$C191:F191)-SUM(NhatkyBan!$C191:F191)</f>
        <v>0</v>
      </c>
      <c r="G191" s="21">
        <f>SUM(NhatkyNhap!$C191:G191)-SUM(NhatkyBan!$C191:G191)</f>
        <v>0</v>
      </c>
      <c r="H191" s="21">
        <f>SUM(NhatkyNhap!$C191:H191)-SUM(NhatkyBan!$C191:H191)</f>
        <v>0</v>
      </c>
      <c r="I191" s="21">
        <f>SUM(NhatkyNhap!$C191:I191)-SUM(NhatkyBan!$C191:I191)</f>
        <v>0</v>
      </c>
      <c r="J191" s="21">
        <f>SUM(NhatkyNhap!$C191:J191)-SUM(NhatkyBan!$C191:J191)</f>
        <v>0</v>
      </c>
      <c r="K191" s="21">
        <f>SUM(NhatkyNhap!$C191:K191)-SUM(NhatkyBan!$C191:K191)</f>
        <v>0</v>
      </c>
      <c r="L191" s="21">
        <f>SUM(NhatkyNhap!$C191:L191)-SUM(NhatkyBan!$C191:L191)</f>
        <v>0</v>
      </c>
      <c r="M191" s="21">
        <f>SUM(NhatkyNhap!$C191:M191)-SUM(NhatkyBan!$C191:M191)</f>
        <v>0</v>
      </c>
      <c r="N191" s="21">
        <f>SUM(NhatkyNhap!$C191:N191)-SUM(NhatkyBan!$C191:N191)</f>
        <v>0</v>
      </c>
      <c r="O191" s="21">
        <f>SUM(NhatkyNhap!$C191:O191)-SUM(NhatkyBan!$C191:O191)</f>
        <v>0</v>
      </c>
      <c r="P191" s="21">
        <f>SUM(NhatkyNhap!$C191:P191)-SUM(NhatkyBan!$C191:P191)</f>
        <v>0</v>
      </c>
      <c r="Q191" s="21">
        <f>SUM(NhatkyNhap!$C191:Q191)-SUM(NhatkyBan!$C191:Q191)</f>
        <v>0</v>
      </c>
      <c r="R191" s="21">
        <f>SUM(NhatkyNhap!$C191:R191)-SUM(NhatkyBan!$C191:R191)</f>
        <v>0</v>
      </c>
      <c r="S191" s="21">
        <f>SUM(NhatkyNhap!$C191:S191)-SUM(NhatkyBan!$C191:S191)</f>
        <v>0</v>
      </c>
      <c r="T191" s="21">
        <f>SUM(NhatkyNhap!$C191:T191)-SUM(NhatkyBan!$C191:T191)</f>
        <v>0</v>
      </c>
      <c r="U191" s="21">
        <f>SUM(NhatkyNhap!$C191:U191)-SUM(NhatkyBan!$C191:U191)</f>
        <v>0</v>
      </c>
      <c r="V191" s="21">
        <f>SUM(NhatkyNhap!$C191:V191)-SUM(NhatkyBan!$C191:V191)</f>
        <v>0</v>
      </c>
      <c r="W191" s="21">
        <f>SUM(NhatkyNhap!$C191:W191)-SUM(NhatkyBan!$C191:W191)</f>
        <v>0</v>
      </c>
      <c r="X191" s="21">
        <f>SUM(NhatkyNhap!$C191:X191)-SUM(NhatkyBan!$C191:X191)</f>
        <v>0</v>
      </c>
      <c r="Y191" s="21">
        <f>SUM(NhatkyNhap!$C191:Y191)-SUM(NhatkyBan!$C191:Y191)</f>
        <v>0</v>
      </c>
      <c r="Z191" s="21">
        <f>SUM(NhatkyNhap!$C191:Z191)-SUM(NhatkyBan!$C191:Z191)</f>
        <v>0</v>
      </c>
      <c r="AA191" s="21">
        <f>SUM(NhatkyNhap!$C191:AA191)-SUM(NhatkyBan!$C191:AA191)</f>
        <v>0</v>
      </c>
      <c r="AB191" s="21">
        <f>SUM(NhatkyNhap!$C191:AB191)-SUM(NhatkyBan!$C191:AB191)</f>
        <v>0</v>
      </c>
      <c r="AC191" s="21">
        <f>SUM(NhatkyNhap!$C191:AC191)-SUM(NhatkyBan!$C191:AC191)</f>
        <v>0</v>
      </c>
      <c r="AD191" s="21">
        <f>SUM(NhatkyNhap!$C191:AD191)-SUM(NhatkyBan!$C191:AD191)</f>
        <v>0</v>
      </c>
      <c r="AE191" s="21">
        <f>SUM(NhatkyNhap!$C191:AE191)-SUM(NhatkyBan!$C191:AE191)</f>
        <v>0</v>
      </c>
      <c r="AF191" s="21">
        <f>SUM(NhatkyNhap!$C191:AF191)-SUM(NhatkyBan!$C191:AF191)</f>
        <v>0</v>
      </c>
      <c r="AG191" s="21">
        <f>SUM(NhatkyNhap!$C191:AG191)-SUM(NhatkyBan!$C191:AG191)</f>
        <v>0</v>
      </c>
    </row>
    <row r="192" spans="1:33" ht="12.75" customHeight="1">
      <c r="A192" s="76" t="str">
        <f>DSSP!A191</f>
        <v>GC116</v>
      </c>
      <c r="B192" s="25" t="str">
        <f>DSSP!B191</f>
        <v>Cỏ bốn lá nhỏ</v>
      </c>
      <c r="C192" s="21">
        <f>SUM(NhatkyNhap!$C192:C192)-SUM(NhatkyBan!$C192:C192)</f>
        <v>0</v>
      </c>
      <c r="D192" s="21">
        <f>SUM(NhatkyNhap!$C192:D192)-SUM(NhatkyBan!$C192:D192)</f>
        <v>0</v>
      </c>
      <c r="E192" s="21">
        <f>SUM(NhatkyNhap!$C192:E192)-SUM(NhatkyBan!$C192:E192)</f>
        <v>0</v>
      </c>
      <c r="F192" s="21">
        <f>SUM(NhatkyNhap!$C192:F192)-SUM(NhatkyBan!$C192:F192)</f>
        <v>0</v>
      </c>
      <c r="G192" s="21">
        <f>SUM(NhatkyNhap!$C192:G192)-SUM(NhatkyBan!$C192:G192)</f>
        <v>0</v>
      </c>
      <c r="H192" s="21">
        <f>SUM(NhatkyNhap!$C192:H192)-SUM(NhatkyBan!$C192:H192)</f>
        <v>0</v>
      </c>
      <c r="I192" s="21">
        <f>SUM(NhatkyNhap!$C192:I192)-SUM(NhatkyBan!$C192:I192)</f>
        <v>0</v>
      </c>
      <c r="J192" s="21">
        <f>SUM(NhatkyNhap!$C192:J192)-SUM(NhatkyBan!$C192:J192)</f>
        <v>0</v>
      </c>
      <c r="K192" s="21">
        <f>SUM(NhatkyNhap!$C192:K192)-SUM(NhatkyBan!$C192:K192)</f>
        <v>0</v>
      </c>
      <c r="L192" s="21">
        <f>SUM(NhatkyNhap!$C192:L192)-SUM(NhatkyBan!$C192:L192)</f>
        <v>0</v>
      </c>
      <c r="M192" s="21">
        <f>SUM(NhatkyNhap!$C192:M192)-SUM(NhatkyBan!$C192:M192)</f>
        <v>0</v>
      </c>
      <c r="N192" s="21">
        <f>SUM(NhatkyNhap!$C192:N192)-SUM(NhatkyBan!$C192:N192)</f>
        <v>0</v>
      </c>
      <c r="O192" s="21">
        <f>SUM(NhatkyNhap!$C192:O192)-SUM(NhatkyBan!$C192:O192)</f>
        <v>0</v>
      </c>
      <c r="P192" s="21">
        <f>SUM(NhatkyNhap!$C192:P192)-SUM(NhatkyBan!$C192:P192)</f>
        <v>0</v>
      </c>
      <c r="Q192" s="21">
        <f>SUM(NhatkyNhap!$C192:Q192)-SUM(NhatkyBan!$C192:Q192)</f>
        <v>0</v>
      </c>
      <c r="R192" s="21">
        <f>SUM(NhatkyNhap!$C192:R192)-SUM(NhatkyBan!$C192:R192)</f>
        <v>0</v>
      </c>
      <c r="S192" s="21">
        <f>SUM(NhatkyNhap!$C192:S192)-SUM(NhatkyBan!$C192:S192)</f>
        <v>0</v>
      </c>
      <c r="T192" s="21">
        <f>SUM(NhatkyNhap!$C192:T192)-SUM(NhatkyBan!$C192:T192)</f>
        <v>0</v>
      </c>
      <c r="U192" s="21">
        <f>SUM(NhatkyNhap!$C192:U192)-SUM(NhatkyBan!$C192:U192)</f>
        <v>0</v>
      </c>
      <c r="V192" s="21">
        <f>SUM(NhatkyNhap!$C192:V192)-SUM(NhatkyBan!$C192:V192)</f>
        <v>0</v>
      </c>
      <c r="W192" s="21">
        <f>SUM(NhatkyNhap!$C192:W192)-SUM(NhatkyBan!$C192:W192)</f>
        <v>0</v>
      </c>
      <c r="X192" s="21">
        <f>SUM(NhatkyNhap!$C192:X192)-SUM(NhatkyBan!$C192:X192)</f>
        <v>0</v>
      </c>
      <c r="Y192" s="21">
        <f>SUM(NhatkyNhap!$C192:Y192)-SUM(NhatkyBan!$C192:Y192)</f>
        <v>0</v>
      </c>
      <c r="Z192" s="21">
        <f>SUM(NhatkyNhap!$C192:Z192)-SUM(NhatkyBan!$C192:Z192)</f>
        <v>0</v>
      </c>
      <c r="AA192" s="21">
        <f>SUM(NhatkyNhap!$C192:AA192)-SUM(NhatkyBan!$C192:AA192)</f>
        <v>0</v>
      </c>
      <c r="AB192" s="21">
        <f>SUM(NhatkyNhap!$C192:AB192)-SUM(NhatkyBan!$C192:AB192)</f>
        <v>0</v>
      </c>
      <c r="AC192" s="21">
        <f>SUM(NhatkyNhap!$C192:AC192)-SUM(NhatkyBan!$C192:AC192)</f>
        <v>0</v>
      </c>
      <c r="AD192" s="21">
        <f>SUM(NhatkyNhap!$C192:AD192)-SUM(NhatkyBan!$C192:AD192)</f>
        <v>0</v>
      </c>
      <c r="AE192" s="21">
        <f>SUM(NhatkyNhap!$C192:AE192)-SUM(NhatkyBan!$C192:AE192)</f>
        <v>0</v>
      </c>
      <c r="AF192" s="21">
        <f>SUM(NhatkyNhap!$C192:AF192)-SUM(NhatkyBan!$C192:AF192)</f>
        <v>0</v>
      </c>
      <c r="AG192" s="21">
        <f>SUM(NhatkyNhap!$C192:AG192)-SUM(NhatkyBan!$C192:AG192)</f>
        <v>0</v>
      </c>
    </row>
    <row r="193" spans="1:33" ht="12.75" customHeight="1">
      <c r="A193" s="76" t="str">
        <f>DSSP!A192</f>
        <v>GC117</v>
      </c>
      <c r="B193" s="25" t="str">
        <f>DSSP!B192</f>
        <v>Cây nhiều lá</v>
      </c>
      <c r="C193" s="21">
        <f>SUM(NhatkyNhap!$C193:C193)-SUM(NhatkyBan!$C193:C193)</f>
        <v>0</v>
      </c>
      <c r="D193" s="21">
        <f>SUM(NhatkyNhap!$C193:D193)-SUM(NhatkyBan!$C193:D193)</f>
        <v>0</v>
      </c>
      <c r="E193" s="21">
        <f>SUM(NhatkyNhap!$C193:E193)-SUM(NhatkyBan!$C193:E193)</f>
        <v>0</v>
      </c>
      <c r="F193" s="21">
        <f>SUM(NhatkyNhap!$C193:F193)-SUM(NhatkyBan!$C193:F193)</f>
        <v>0</v>
      </c>
      <c r="G193" s="21">
        <f>SUM(NhatkyNhap!$C193:G193)-SUM(NhatkyBan!$C193:G193)</f>
        <v>0</v>
      </c>
      <c r="H193" s="21">
        <f>SUM(NhatkyNhap!$C193:H193)-SUM(NhatkyBan!$C193:H193)</f>
        <v>0</v>
      </c>
      <c r="I193" s="21">
        <f>SUM(NhatkyNhap!$C193:I193)-SUM(NhatkyBan!$C193:I193)</f>
        <v>0</v>
      </c>
      <c r="J193" s="21">
        <f>SUM(NhatkyNhap!$C193:J193)-SUM(NhatkyBan!$C193:J193)</f>
        <v>0</v>
      </c>
      <c r="K193" s="21">
        <f>SUM(NhatkyNhap!$C193:K193)-SUM(NhatkyBan!$C193:K193)</f>
        <v>0</v>
      </c>
      <c r="L193" s="21">
        <f>SUM(NhatkyNhap!$C193:L193)-SUM(NhatkyBan!$C193:L193)</f>
        <v>0</v>
      </c>
      <c r="M193" s="21">
        <f>SUM(NhatkyNhap!$C193:M193)-SUM(NhatkyBan!$C193:M193)</f>
        <v>0</v>
      </c>
      <c r="N193" s="21">
        <f>SUM(NhatkyNhap!$C193:N193)-SUM(NhatkyBan!$C193:N193)</f>
        <v>0</v>
      </c>
      <c r="O193" s="21">
        <f>SUM(NhatkyNhap!$C193:O193)-SUM(NhatkyBan!$C193:O193)</f>
        <v>0</v>
      </c>
      <c r="P193" s="21">
        <f>SUM(NhatkyNhap!$C193:P193)-SUM(NhatkyBan!$C193:P193)</f>
        <v>0</v>
      </c>
      <c r="Q193" s="21">
        <f>SUM(NhatkyNhap!$C193:Q193)-SUM(NhatkyBan!$C193:Q193)</f>
        <v>0</v>
      </c>
      <c r="R193" s="21">
        <f>SUM(NhatkyNhap!$C193:R193)-SUM(NhatkyBan!$C193:R193)</f>
        <v>0</v>
      </c>
      <c r="S193" s="21">
        <f>SUM(NhatkyNhap!$C193:S193)-SUM(NhatkyBan!$C193:S193)</f>
        <v>0</v>
      </c>
      <c r="T193" s="21">
        <f>SUM(NhatkyNhap!$C193:T193)-SUM(NhatkyBan!$C193:T193)</f>
        <v>0</v>
      </c>
      <c r="U193" s="21">
        <f>SUM(NhatkyNhap!$C193:U193)-SUM(NhatkyBan!$C193:U193)</f>
        <v>0</v>
      </c>
      <c r="V193" s="21">
        <f>SUM(NhatkyNhap!$C193:V193)-SUM(NhatkyBan!$C193:V193)</f>
        <v>0</v>
      </c>
      <c r="W193" s="21">
        <f>SUM(NhatkyNhap!$C193:W193)-SUM(NhatkyBan!$C193:W193)</f>
        <v>0</v>
      </c>
      <c r="X193" s="21">
        <f>SUM(NhatkyNhap!$C193:X193)-SUM(NhatkyBan!$C193:X193)</f>
        <v>0</v>
      </c>
      <c r="Y193" s="21">
        <f>SUM(NhatkyNhap!$C193:Y193)-SUM(NhatkyBan!$C193:Y193)</f>
        <v>0</v>
      </c>
      <c r="Z193" s="21">
        <f>SUM(NhatkyNhap!$C193:Z193)-SUM(NhatkyBan!$C193:Z193)</f>
        <v>0</v>
      </c>
      <c r="AA193" s="21">
        <f>SUM(NhatkyNhap!$C193:AA193)-SUM(NhatkyBan!$C193:AA193)</f>
        <v>0</v>
      </c>
      <c r="AB193" s="21">
        <f>SUM(NhatkyNhap!$C193:AB193)-SUM(NhatkyBan!$C193:AB193)</f>
        <v>0</v>
      </c>
      <c r="AC193" s="21">
        <f>SUM(NhatkyNhap!$C193:AC193)-SUM(NhatkyBan!$C193:AC193)</f>
        <v>0</v>
      </c>
      <c r="AD193" s="21">
        <f>SUM(NhatkyNhap!$C193:AD193)-SUM(NhatkyBan!$C193:AD193)</f>
        <v>0</v>
      </c>
      <c r="AE193" s="21">
        <f>SUM(NhatkyNhap!$C193:AE193)-SUM(NhatkyBan!$C193:AE193)</f>
        <v>0</v>
      </c>
      <c r="AF193" s="21">
        <f>SUM(NhatkyNhap!$C193:AF193)-SUM(NhatkyBan!$C193:AF193)</f>
        <v>0</v>
      </c>
      <c r="AG193" s="21">
        <f>SUM(NhatkyNhap!$C193:AG193)-SUM(NhatkyBan!$C193:AG193)</f>
        <v>0</v>
      </c>
    </row>
    <row r="194" spans="1:33" ht="12.75" customHeight="1">
      <c r="A194" s="76" t="str">
        <f>DSSP!A193</f>
        <v>GC118</v>
      </c>
      <c r="B194" s="25" t="str">
        <f>DSSP!B193</f>
        <v>Cánh bướm</v>
      </c>
      <c r="C194" s="21">
        <f>SUM(NhatkyNhap!$C194:C194)-SUM(NhatkyBan!$C194:C194)</f>
        <v>0</v>
      </c>
      <c r="D194" s="21">
        <f>SUM(NhatkyNhap!$C194:D194)-SUM(NhatkyBan!$C194:D194)</f>
        <v>0</v>
      </c>
      <c r="E194" s="21">
        <f>SUM(NhatkyNhap!$C194:E194)-SUM(NhatkyBan!$C194:E194)</f>
        <v>0</v>
      </c>
      <c r="F194" s="21">
        <f>SUM(NhatkyNhap!$C194:F194)-SUM(NhatkyBan!$C194:F194)</f>
        <v>0</v>
      </c>
      <c r="G194" s="21">
        <f>SUM(NhatkyNhap!$C194:G194)-SUM(NhatkyBan!$C194:G194)</f>
        <v>0</v>
      </c>
      <c r="H194" s="21">
        <f>SUM(NhatkyNhap!$C194:H194)-SUM(NhatkyBan!$C194:H194)</f>
        <v>0</v>
      </c>
      <c r="I194" s="21">
        <f>SUM(NhatkyNhap!$C194:I194)-SUM(NhatkyBan!$C194:I194)</f>
        <v>0</v>
      </c>
      <c r="J194" s="21">
        <f>SUM(NhatkyNhap!$C194:J194)-SUM(NhatkyBan!$C194:J194)</f>
        <v>0</v>
      </c>
      <c r="K194" s="21">
        <f>SUM(NhatkyNhap!$C194:K194)-SUM(NhatkyBan!$C194:K194)</f>
        <v>0</v>
      </c>
      <c r="L194" s="21">
        <f>SUM(NhatkyNhap!$C194:L194)-SUM(NhatkyBan!$C194:L194)</f>
        <v>0</v>
      </c>
      <c r="M194" s="21">
        <f>SUM(NhatkyNhap!$C194:M194)-SUM(NhatkyBan!$C194:M194)</f>
        <v>0</v>
      </c>
      <c r="N194" s="21">
        <f>SUM(NhatkyNhap!$C194:N194)-SUM(NhatkyBan!$C194:N194)</f>
        <v>0</v>
      </c>
      <c r="O194" s="21">
        <f>SUM(NhatkyNhap!$C194:O194)-SUM(NhatkyBan!$C194:O194)</f>
        <v>0</v>
      </c>
      <c r="P194" s="21">
        <f>SUM(NhatkyNhap!$C194:P194)-SUM(NhatkyBan!$C194:P194)</f>
        <v>0</v>
      </c>
      <c r="Q194" s="21">
        <f>SUM(NhatkyNhap!$C194:Q194)-SUM(NhatkyBan!$C194:Q194)</f>
        <v>0</v>
      </c>
      <c r="R194" s="21">
        <f>SUM(NhatkyNhap!$C194:R194)-SUM(NhatkyBan!$C194:R194)</f>
        <v>0</v>
      </c>
      <c r="S194" s="21">
        <f>SUM(NhatkyNhap!$C194:S194)-SUM(NhatkyBan!$C194:S194)</f>
        <v>0</v>
      </c>
      <c r="T194" s="21">
        <f>SUM(NhatkyNhap!$C194:T194)-SUM(NhatkyBan!$C194:T194)</f>
        <v>0</v>
      </c>
      <c r="U194" s="21">
        <f>SUM(NhatkyNhap!$C194:U194)-SUM(NhatkyBan!$C194:U194)</f>
        <v>0</v>
      </c>
      <c r="V194" s="21">
        <f>SUM(NhatkyNhap!$C194:V194)-SUM(NhatkyBan!$C194:V194)</f>
        <v>0</v>
      </c>
      <c r="W194" s="21">
        <f>SUM(NhatkyNhap!$C194:W194)-SUM(NhatkyBan!$C194:W194)</f>
        <v>0</v>
      </c>
      <c r="X194" s="21">
        <f>SUM(NhatkyNhap!$C194:X194)-SUM(NhatkyBan!$C194:X194)</f>
        <v>0</v>
      </c>
      <c r="Y194" s="21">
        <f>SUM(NhatkyNhap!$C194:Y194)-SUM(NhatkyBan!$C194:Y194)</f>
        <v>0</v>
      </c>
      <c r="Z194" s="21">
        <f>SUM(NhatkyNhap!$C194:Z194)-SUM(NhatkyBan!$C194:Z194)</f>
        <v>0</v>
      </c>
      <c r="AA194" s="21">
        <f>SUM(NhatkyNhap!$C194:AA194)-SUM(NhatkyBan!$C194:AA194)</f>
        <v>0</v>
      </c>
      <c r="AB194" s="21">
        <f>SUM(NhatkyNhap!$C194:AB194)-SUM(NhatkyBan!$C194:AB194)</f>
        <v>0</v>
      </c>
      <c r="AC194" s="21">
        <f>SUM(NhatkyNhap!$C194:AC194)-SUM(NhatkyBan!$C194:AC194)</f>
        <v>0</v>
      </c>
      <c r="AD194" s="21">
        <f>SUM(NhatkyNhap!$C194:AD194)-SUM(NhatkyBan!$C194:AD194)</f>
        <v>0</v>
      </c>
      <c r="AE194" s="21">
        <f>SUM(NhatkyNhap!$C194:AE194)-SUM(NhatkyBan!$C194:AE194)</f>
        <v>0</v>
      </c>
      <c r="AF194" s="21">
        <f>SUM(NhatkyNhap!$C194:AF194)-SUM(NhatkyBan!$C194:AF194)</f>
        <v>0</v>
      </c>
      <c r="AG194" s="21">
        <f>SUM(NhatkyNhap!$C194:AG194)-SUM(NhatkyBan!$C194:AG194)</f>
        <v>0</v>
      </c>
    </row>
    <row r="195" spans="1:33" ht="12.75" customHeight="1">
      <c r="A195" s="76" t="str">
        <f>DSSP!A194</f>
        <v>GC119</v>
      </c>
      <c r="B195" s="25" t="str">
        <f>DSSP!B194</f>
        <v>Ngôi sao nhỏ</v>
      </c>
      <c r="C195" s="21">
        <f>SUM(NhatkyNhap!$C195:C195)-SUM(NhatkyBan!$C195:C195)</f>
        <v>0</v>
      </c>
      <c r="D195" s="21">
        <f>SUM(NhatkyNhap!$C195:D195)-SUM(NhatkyBan!$C195:D195)</f>
        <v>0</v>
      </c>
      <c r="E195" s="21">
        <f>SUM(NhatkyNhap!$C195:E195)-SUM(NhatkyBan!$C195:E195)</f>
        <v>0</v>
      </c>
      <c r="F195" s="21">
        <f>SUM(NhatkyNhap!$C195:F195)-SUM(NhatkyBan!$C195:F195)</f>
        <v>0</v>
      </c>
      <c r="G195" s="21">
        <f>SUM(NhatkyNhap!$C195:G195)-SUM(NhatkyBan!$C195:G195)</f>
        <v>0</v>
      </c>
      <c r="H195" s="21">
        <f>SUM(NhatkyNhap!$C195:H195)-SUM(NhatkyBan!$C195:H195)</f>
        <v>0</v>
      </c>
      <c r="I195" s="21">
        <f>SUM(NhatkyNhap!$C195:I195)-SUM(NhatkyBan!$C195:I195)</f>
        <v>0</v>
      </c>
      <c r="J195" s="21">
        <f>SUM(NhatkyNhap!$C195:J195)-SUM(NhatkyBan!$C195:J195)</f>
        <v>0</v>
      </c>
      <c r="K195" s="21">
        <f>SUM(NhatkyNhap!$C195:K195)-SUM(NhatkyBan!$C195:K195)</f>
        <v>0</v>
      </c>
      <c r="L195" s="21">
        <f>SUM(NhatkyNhap!$C195:L195)-SUM(NhatkyBan!$C195:L195)</f>
        <v>0</v>
      </c>
      <c r="M195" s="21">
        <f>SUM(NhatkyNhap!$C195:M195)-SUM(NhatkyBan!$C195:M195)</f>
        <v>0</v>
      </c>
      <c r="N195" s="21">
        <f>SUM(NhatkyNhap!$C195:N195)-SUM(NhatkyBan!$C195:N195)</f>
        <v>0</v>
      </c>
      <c r="O195" s="21">
        <f>SUM(NhatkyNhap!$C195:O195)-SUM(NhatkyBan!$C195:O195)</f>
        <v>0</v>
      </c>
      <c r="P195" s="21">
        <f>SUM(NhatkyNhap!$C195:P195)-SUM(NhatkyBan!$C195:P195)</f>
        <v>0</v>
      </c>
      <c r="Q195" s="21">
        <f>SUM(NhatkyNhap!$C195:Q195)-SUM(NhatkyBan!$C195:Q195)</f>
        <v>0</v>
      </c>
      <c r="R195" s="21">
        <f>SUM(NhatkyNhap!$C195:R195)-SUM(NhatkyBan!$C195:R195)</f>
        <v>0</v>
      </c>
      <c r="S195" s="21">
        <f>SUM(NhatkyNhap!$C195:S195)-SUM(NhatkyBan!$C195:S195)</f>
        <v>0</v>
      </c>
      <c r="T195" s="21">
        <f>SUM(NhatkyNhap!$C195:T195)-SUM(NhatkyBan!$C195:T195)</f>
        <v>0</v>
      </c>
      <c r="U195" s="21">
        <f>SUM(NhatkyNhap!$C195:U195)-SUM(NhatkyBan!$C195:U195)</f>
        <v>0</v>
      </c>
      <c r="V195" s="21">
        <f>SUM(NhatkyNhap!$C195:V195)-SUM(NhatkyBan!$C195:V195)</f>
        <v>0</v>
      </c>
      <c r="W195" s="21">
        <f>SUM(NhatkyNhap!$C195:W195)-SUM(NhatkyBan!$C195:W195)</f>
        <v>0</v>
      </c>
      <c r="X195" s="21">
        <f>SUM(NhatkyNhap!$C195:X195)-SUM(NhatkyBan!$C195:X195)</f>
        <v>0</v>
      </c>
      <c r="Y195" s="21">
        <f>SUM(NhatkyNhap!$C195:Y195)-SUM(NhatkyBan!$C195:Y195)</f>
        <v>0</v>
      </c>
      <c r="Z195" s="21">
        <f>SUM(NhatkyNhap!$C195:Z195)-SUM(NhatkyBan!$C195:Z195)</f>
        <v>0</v>
      </c>
      <c r="AA195" s="21">
        <f>SUM(NhatkyNhap!$C195:AA195)-SUM(NhatkyBan!$C195:AA195)</f>
        <v>0</v>
      </c>
      <c r="AB195" s="21">
        <f>SUM(NhatkyNhap!$C195:AB195)-SUM(NhatkyBan!$C195:AB195)</f>
        <v>0</v>
      </c>
      <c r="AC195" s="21">
        <f>SUM(NhatkyNhap!$C195:AC195)-SUM(NhatkyBan!$C195:AC195)</f>
        <v>0</v>
      </c>
      <c r="AD195" s="21">
        <f>SUM(NhatkyNhap!$C195:AD195)-SUM(NhatkyBan!$C195:AD195)</f>
        <v>0</v>
      </c>
      <c r="AE195" s="21">
        <f>SUM(NhatkyNhap!$C195:AE195)-SUM(NhatkyBan!$C195:AE195)</f>
        <v>0</v>
      </c>
      <c r="AF195" s="21">
        <f>SUM(NhatkyNhap!$C195:AF195)-SUM(NhatkyBan!$C195:AF195)</f>
        <v>0</v>
      </c>
      <c r="AG195" s="21">
        <f>SUM(NhatkyNhap!$C195:AG195)-SUM(NhatkyBan!$C195:AG195)</f>
        <v>0</v>
      </c>
    </row>
    <row r="196" spans="1:33" ht="12.75" customHeight="1">
      <c r="A196" s="76" t="str">
        <f>DSSP!A195</f>
        <v>GC120</v>
      </c>
      <c r="B196" s="25" t="str">
        <f>DSSP!B195</f>
        <v>Ngôi sao nổi</v>
      </c>
      <c r="C196" s="21">
        <f>SUM(NhatkyNhap!$C196:C196)-SUM(NhatkyBan!$C196:C196)</f>
        <v>103</v>
      </c>
      <c r="D196" s="21">
        <f>SUM(NhatkyNhap!$C196:D196)-SUM(NhatkyBan!$C196:D196)</f>
        <v>103</v>
      </c>
      <c r="E196" s="21">
        <f>SUM(NhatkyNhap!$C196:E196)-SUM(NhatkyBan!$C196:E196)</f>
        <v>103</v>
      </c>
      <c r="F196" s="21">
        <f>SUM(NhatkyNhap!$C196:F196)-SUM(NhatkyBan!$C196:F196)</f>
        <v>103</v>
      </c>
      <c r="G196" s="21">
        <f>SUM(NhatkyNhap!$C196:G196)-SUM(NhatkyBan!$C196:G196)</f>
        <v>103</v>
      </c>
      <c r="H196" s="21">
        <f>SUM(NhatkyNhap!$C196:H196)-SUM(NhatkyBan!$C196:H196)</f>
        <v>103</v>
      </c>
      <c r="I196" s="21">
        <f>SUM(NhatkyNhap!$C196:I196)-SUM(NhatkyBan!$C196:I196)</f>
        <v>103</v>
      </c>
      <c r="J196" s="21">
        <f>SUM(NhatkyNhap!$C196:J196)-SUM(NhatkyBan!$C196:J196)</f>
        <v>103</v>
      </c>
      <c r="K196" s="21">
        <f>SUM(NhatkyNhap!$C196:K196)-SUM(NhatkyBan!$C196:K196)</f>
        <v>103</v>
      </c>
      <c r="L196" s="21">
        <f>SUM(NhatkyNhap!$C196:L196)-SUM(NhatkyBan!$C196:L196)</f>
        <v>103</v>
      </c>
      <c r="M196" s="21">
        <f>SUM(NhatkyNhap!$C196:M196)-SUM(NhatkyBan!$C196:M196)</f>
        <v>103</v>
      </c>
      <c r="N196" s="21">
        <f>SUM(NhatkyNhap!$C196:N196)-SUM(NhatkyBan!$C196:N196)</f>
        <v>103</v>
      </c>
      <c r="O196" s="21">
        <f>SUM(NhatkyNhap!$C196:O196)-SUM(NhatkyBan!$C196:O196)</f>
        <v>103</v>
      </c>
      <c r="P196" s="21">
        <f>SUM(NhatkyNhap!$C196:P196)-SUM(NhatkyBan!$C196:P196)</f>
        <v>103</v>
      </c>
      <c r="Q196" s="21">
        <f>SUM(NhatkyNhap!$C196:Q196)-SUM(NhatkyBan!$C196:Q196)</f>
        <v>103</v>
      </c>
      <c r="R196" s="21">
        <f>SUM(NhatkyNhap!$C196:R196)-SUM(NhatkyBan!$C196:R196)</f>
        <v>103</v>
      </c>
      <c r="S196" s="21">
        <f>SUM(NhatkyNhap!$C196:S196)-SUM(NhatkyBan!$C196:S196)</f>
        <v>103</v>
      </c>
      <c r="T196" s="21">
        <f>SUM(NhatkyNhap!$C196:T196)-SUM(NhatkyBan!$C196:T196)</f>
        <v>103</v>
      </c>
      <c r="U196" s="21">
        <f>SUM(NhatkyNhap!$C196:U196)-SUM(NhatkyBan!$C196:U196)</f>
        <v>103</v>
      </c>
      <c r="V196" s="21">
        <f>SUM(NhatkyNhap!$C196:V196)-SUM(NhatkyBan!$C196:V196)</f>
        <v>103</v>
      </c>
      <c r="W196" s="21">
        <f>SUM(NhatkyNhap!$C196:W196)-SUM(NhatkyBan!$C196:W196)</f>
        <v>103</v>
      </c>
      <c r="X196" s="21">
        <f>SUM(NhatkyNhap!$C196:X196)-SUM(NhatkyBan!$C196:X196)</f>
        <v>103</v>
      </c>
      <c r="Y196" s="21">
        <f>SUM(NhatkyNhap!$C196:Y196)-SUM(NhatkyBan!$C196:Y196)</f>
        <v>103</v>
      </c>
      <c r="Z196" s="21">
        <f>SUM(NhatkyNhap!$C196:Z196)-SUM(NhatkyBan!$C196:Z196)</f>
        <v>103</v>
      </c>
      <c r="AA196" s="21">
        <f>SUM(NhatkyNhap!$C196:AA196)-SUM(NhatkyBan!$C196:AA196)</f>
        <v>103</v>
      </c>
      <c r="AB196" s="21">
        <f>SUM(NhatkyNhap!$C196:AB196)-SUM(NhatkyBan!$C196:AB196)</f>
        <v>103</v>
      </c>
      <c r="AC196" s="21">
        <f>SUM(NhatkyNhap!$C196:AC196)-SUM(NhatkyBan!$C196:AC196)</f>
        <v>103</v>
      </c>
      <c r="AD196" s="21">
        <f>SUM(NhatkyNhap!$C196:AD196)-SUM(NhatkyBan!$C196:AD196)</f>
        <v>103</v>
      </c>
      <c r="AE196" s="21">
        <f>SUM(NhatkyNhap!$C196:AE196)-SUM(NhatkyBan!$C196:AE196)</f>
        <v>103</v>
      </c>
      <c r="AF196" s="21">
        <f>SUM(NhatkyNhap!$C196:AF196)-SUM(NhatkyBan!$C196:AF196)</f>
        <v>103</v>
      </c>
      <c r="AG196" s="21">
        <f>SUM(NhatkyNhap!$C196:AG196)-SUM(NhatkyBan!$C196:AG196)</f>
        <v>103</v>
      </c>
    </row>
    <row r="197" spans="1:33" ht="12.75" customHeight="1">
      <c r="A197" s="76" t="str">
        <f>DSSP!A196</f>
        <v>GC121</v>
      </c>
      <c r="B197" s="25" t="str">
        <f>DSSP!B196</f>
        <v>Cánh thiên thần</v>
      </c>
      <c r="C197" s="21">
        <f>SUM(NhatkyNhap!$C197:C197)-SUM(NhatkyBan!$C197:C197)</f>
        <v>0</v>
      </c>
      <c r="D197" s="21">
        <f>SUM(NhatkyNhap!$C197:D197)-SUM(NhatkyBan!$C197:D197)</f>
        <v>0</v>
      </c>
      <c r="E197" s="21">
        <f>SUM(NhatkyNhap!$C197:E197)-SUM(NhatkyBan!$C197:E197)</f>
        <v>0</v>
      </c>
      <c r="F197" s="21">
        <f>SUM(NhatkyNhap!$C197:F197)-SUM(NhatkyBan!$C197:F197)</f>
        <v>0</v>
      </c>
      <c r="G197" s="21">
        <f>SUM(NhatkyNhap!$C197:G197)-SUM(NhatkyBan!$C197:G197)</f>
        <v>0</v>
      </c>
      <c r="H197" s="21">
        <f>SUM(NhatkyNhap!$C197:H197)-SUM(NhatkyBan!$C197:H197)</f>
        <v>0</v>
      </c>
      <c r="I197" s="21">
        <f>SUM(NhatkyNhap!$C197:I197)-SUM(NhatkyBan!$C197:I197)</f>
        <v>0</v>
      </c>
      <c r="J197" s="21">
        <f>SUM(NhatkyNhap!$C197:J197)-SUM(NhatkyBan!$C197:J197)</f>
        <v>0</v>
      </c>
      <c r="K197" s="21">
        <f>SUM(NhatkyNhap!$C197:K197)-SUM(NhatkyBan!$C197:K197)</f>
        <v>0</v>
      </c>
      <c r="L197" s="21">
        <f>SUM(NhatkyNhap!$C197:L197)-SUM(NhatkyBan!$C197:L197)</f>
        <v>0</v>
      </c>
      <c r="M197" s="21">
        <f>SUM(NhatkyNhap!$C197:M197)-SUM(NhatkyBan!$C197:M197)</f>
        <v>0</v>
      </c>
      <c r="N197" s="21">
        <f>SUM(NhatkyNhap!$C197:N197)-SUM(NhatkyBan!$C197:N197)</f>
        <v>0</v>
      </c>
      <c r="O197" s="21">
        <f>SUM(NhatkyNhap!$C197:O197)-SUM(NhatkyBan!$C197:O197)</f>
        <v>0</v>
      </c>
      <c r="P197" s="21">
        <f>SUM(NhatkyNhap!$C197:P197)-SUM(NhatkyBan!$C197:P197)</f>
        <v>0</v>
      </c>
      <c r="Q197" s="21">
        <f>SUM(NhatkyNhap!$C197:Q197)-SUM(NhatkyBan!$C197:Q197)</f>
        <v>0</v>
      </c>
      <c r="R197" s="21">
        <f>SUM(NhatkyNhap!$C197:R197)-SUM(NhatkyBan!$C197:R197)</f>
        <v>0</v>
      </c>
      <c r="S197" s="21">
        <f>SUM(NhatkyNhap!$C197:S197)-SUM(NhatkyBan!$C197:S197)</f>
        <v>0</v>
      </c>
      <c r="T197" s="21">
        <f>SUM(NhatkyNhap!$C197:T197)-SUM(NhatkyBan!$C197:T197)</f>
        <v>0</v>
      </c>
      <c r="U197" s="21">
        <f>SUM(NhatkyNhap!$C197:U197)-SUM(NhatkyBan!$C197:U197)</f>
        <v>0</v>
      </c>
      <c r="V197" s="21">
        <f>SUM(NhatkyNhap!$C197:V197)-SUM(NhatkyBan!$C197:V197)</f>
        <v>0</v>
      </c>
      <c r="W197" s="21">
        <f>SUM(NhatkyNhap!$C197:W197)-SUM(NhatkyBan!$C197:W197)</f>
        <v>0</v>
      </c>
      <c r="X197" s="21">
        <f>SUM(NhatkyNhap!$C197:X197)-SUM(NhatkyBan!$C197:X197)</f>
        <v>0</v>
      </c>
      <c r="Y197" s="21">
        <f>SUM(NhatkyNhap!$C197:Y197)-SUM(NhatkyBan!$C197:Y197)</f>
        <v>0</v>
      </c>
      <c r="Z197" s="21">
        <f>SUM(NhatkyNhap!$C197:Z197)-SUM(NhatkyBan!$C197:Z197)</f>
        <v>0</v>
      </c>
      <c r="AA197" s="21">
        <f>SUM(NhatkyNhap!$C197:AA197)-SUM(NhatkyBan!$C197:AA197)</f>
        <v>0</v>
      </c>
      <c r="AB197" s="21">
        <f>SUM(NhatkyNhap!$C197:AB197)-SUM(NhatkyBan!$C197:AB197)</f>
        <v>0</v>
      </c>
      <c r="AC197" s="21">
        <f>SUM(NhatkyNhap!$C197:AC197)-SUM(NhatkyBan!$C197:AC197)</f>
        <v>0</v>
      </c>
      <c r="AD197" s="21">
        <f>SUM(NhatkyNhap!$C197:AD197)-SUM(NhatkyBan!$C197:AD197)</f>
        <v>0</v>
      </c>
      <c r="AE197" s="21">
        <f>SUM(NhatkyNhap!$C197:AE197)-SUM(NhatkyBan!$C197:AE197)</f>
        <v>0</v>
      </c>
      <c r="AF197" s="21">
        <f>SUM(NhatkyNhap!$C197:AF197)-SUM(NhatkyBan!$C197:AF197)</f>
        <v>0</v>
      </c>
      <c r="AG197" s="21">
        <f>SUM(NhatkyNhap!$C197:AG197)-SUM(NhatkyBan!$C197:AG197)</f>
        <v>0</v>
      </c>
    </row>
    <row r="198" spans="1:33" ht="12.75" customHeight="1">
      <c r="A198" s="76" t="str">
        <f>DSSP!A197</f>
        <v>GC122</v>
      </c>
      <c r="B198" s="25" t="str">
        <f>DSSP!B197</f>
        <v>Thư trái tim</v>
      </c>
      <c r="C198" s="21">
        <f>SUM(NhatkyNhap!$C198:C198)-SUM(NhatkyBan!$C198:C198)</f>
        <v>43</v>
      </c>
      <c r="D198" s="21">
        <f>SUM(NhatkyNhap!$C198:D198)-SUM(NhatkyBan!$C198:D198)</f>
        <v>43</v>
      </c>
      <c r="E198" s="21">
        <f>SUM(NhatkyNhap!$C198:E198)-SUM(NhatkyBan!$C198:E198)</f>
        <v>43</v>
      </c>
      <c r="F198" s="21">
        <f>SUM(NhatkyNhap!$C198:F198)-SUM(NhatkyBan!$C198:F198)</f>
        <v>43</v>
      </c>
      <c r="G198" s="21">
        <f>SUM(NhatkyNhap!$C198:G198)-SUM(NhatkyBan!$C198:G198)</f>
        <v>43</v>
      </c>
      <c r="H198" s="21">
        <f>SUM(NhatkyNhap!$C198:H198)-SUM(NhatkyBan!$C198:H198)</f>
        <v>43</v>
      </c>
      <c r="I198" s="21">
        <f>SUM(NhatkyNhap!$C198:I198)-SUM(NhatkyBan!$C198:I198)</f>
        <v>43</v>
      </c>
      <c r="J198" s="21">
        <f>SUM(NhatkyNhap!$C198:J198)-SUM(NhatkyBan!$C198:J198)</f>
        <v>43</v>
      </c>
      <c r="K198" s="21">
        <f>SUM(NhatkyNhap!$C198:K198)-SUM(NhatkyBan!$C198:K198)</f>
        <v>43</v>
      </c>
      <c r="L198" s="21">
        <f>SUM(NhatkyNhap!$C198:L198)-SUM(NhatkyBan!$C198:L198)</f>
        <v>43</v>
      </c>
      <c r="M198" s="21">
        <f>SUM(NhatkyNhap!$C198:M198)-SUM(NhatkyBan!$C198:M198)</f>
        <v>43</v>
      </c>
      <c r="N198" s="21">
        <f>SUM(NhatkyNhap!$C198:N198)-SUM(NhatkyBan!$C198:N198)</f>
        <v>43</v>
      </c>
      <c r="O198" s="21">
        <f>SUM(NhatkyNhap!$C198:O198)-SUM(NhatkyBan!$C198:O198)</f>
        <v>43</v>
      </c>
      <c r="P198" s="21">
        <f>SUM(NhatkyNhap!$C198:P198)-SUM(NhatkyBan!$C198:P198)</f>
        <v>43</v>
      </c>
      <c r="Q198" s="21">
        <f>SUM(NhatkyNhap!$C198:Q198)-SUM(NhatkyBan!$C198:Q198)</f>
        <v>43</v>
      </c>
      <c r="R198" s="21">
        <f>SUM(NhatkyNhap!$C198:R198)-SUM(NhatkyBan!$C198:R198)</f>
        <v>43</v>
      </c>
      <c r="S198" s="21">
        <f>SUM(NhatkyNhap!$C198:S198)-SUM(NhatkyBan!$C198:S198)</f>
        <v>43</v>
      </c>
      <c r="T198" s="21">
        <f>SUM(NhatkyNhap!$C198:T198)-SUM(NhatkyBan!$C198:T198)</f>
        <v>43</v>
      </c>
      <c r="U198" s="21">
        <f>SUM(NhatkyNhap!$C198:U198)-SUM(NhatkyBan!$C198:U198)</f>
        <v>43</v>
      </c>
      <c r="V198" s="21">
        <f>SUM(NhatkyNhap!$C198:V198)-SUM(NhatkyBan!$C198:V198)</f>
        <v>43</v>
      </c>
      <c r="W198" s="21">
        <f>SUM(NhatkyNhap!$C198:W198)-SUM(NhatkyBan!$C198:W198)</f>
        <v>43</v>
      </c>
      <c r="X198" s="21">
        <f>SUM(NhatkyNhap!$C198:X198)-SUM(NhatkyBan!$C198:X198)</f>
        <v>43</v>
      </c>
      <c r="Y198" s="21">
        <f>SUM(NhatkyNhap!$C198:Y198)-SUM(NhatkyBan!$C198:Y198)</f>
        <v>43</v>
      </c>
      <c r="Z198" s="21">
        <f>SUM(NhatkyNhap!$C198:Z198)-SUM(NhatkyBan!$C198:Z198)</f>
        <v>43</v>
      </c>
      <c r="AA198" s="21">
        <f>SUM(NhatkyNhap!$C198:AA198)-SUM(NhatkyBan!$C198:AA198)</f>
        <v>43</v>
      </c>
      <c r="AB198" s="21">
        <f>SUM(NhatkyNhap!$C198:AB198)-SUM(NhatkyBan!$C198:AB198)</f>
        <v>43</v>
      </c>
      <c r="AC198" s="21">
        <f>SUM(NhatkyNhap!$C198:AC198)-SUM(NhatkyBan!$C198:AC198)</f>
        <v>43</v>
      </c>
      <c r="AD198" s="21">
        <f>SUM(NhatkyNhap!$C198:AD198)-SUM(NhatkyBan!$C198:AD198)</f>
        <v>43</v>
      </c>
      <c r="AE198" s="21">
        <f>SUM(NhatkyNhap!$C198:AE198)-SUM(NhatkyBan!$C198:AE198)</f>
        <v>43</v>
      </c>
      <c r="AF198" s="21">
        <f>SUM(NhatkyNhap!$C198:AF198)-SUM(NhatkyBan!$C198:AF198)</f>
        <v>43</v>
      </c>
      <c r="AG198" s="21">
        <f>SUM(NhatkyNhap!$C198:AG198)-SUM(NhatkyBan!$C198:AG198)</f>
        <v>43</v>
      </c>
    </row>
    <row r="199" spans="1:33" ht="12.75" customHeight="1">
      <c r="A199" s="76" t="str">
        <f>DSSP!A198</f>
        <v>GC123</v>
      </c>
      <c r="B199" s="25" t="str">
        <f>DSSP!B198</f>
        <v>Hai chú chim</v>
      </c>
      <c r="C199" s="21">
        <f>SUM(NhatkyNhap!$C199:C199)-SUM(NhatkyBan!$C199:C199)</f>
        <v>0</v>
      </c>
      <c r="D199" s="21">
        <f>SUM(NhatkyNhap!$C199:D199)-SUM(NhatkyBan!$C199:D199)</f>
        <v>0</v>
      </c>
      <c r="E199" s="21">
        <f>SUM(NhatkyNhap!$C199:E199)-SUM(NhatkyBan!$C199:E199)</f>
        <v>0</v>
      </c>
      <c r="F199" s="21">
        <f>SUM(NhatkyNhap!$C199:F199)-SUM(NhatkyBan!$C199:F199)</f>
        <v>0</v>
      </c>
      <c r="G199" s="21">
        <f>SUM(NhatkyNhap!$C199:G199)-SUM(NhatkyBan!$C199:G199)</f>
        <v>0</v>
      </c>
      <c r="H199" s="21">
        <f>SUM(NhatkyNhap!$C199:H199)-SUM(NhatkyBan!$C199:H199)</f>
        <v>0</v>
      </c>
      <c r="I199" s="21">
        <f>SUM(NhatkyNhap!$C199:I199)-SUM(NhatkyBan!$C199:I199)</f>
        <v>0</v>
      </c>
      <c r="J199" s="21">
        <f>SUM(NhatkyNhap!$C199:J199)-SUM(NhatkyBan!$C199:J199)</f>
        <v>0</v>
      </c>
      <c r="K199" s="21">
        <f>SUM(NhatkyNhap!$C199:K199)-SUM(NhatkyBan!$C199:K199)</f>
        <v>0</v>
      </c>
      <c r="L199" s="21">
        <f>SUM(NhatkyNhap!$C199:L199)-SUM(NhatkyBan!$C199:L199)</f>
        <v>0</v>
      </c>
      <c r="M199" s="21">
        <f>SUM(NhatkyNhap!$C199:M199)-SUM(NhatkyBan!$C199:M199)</f>
        <v>0</v>
      </c>
      <c r="N199" s="21">
        <f>SUM(NhatkyNhap!$C199:N199)-SUM(NhatkyBan!$C199:N199)</f>
        <v>0</v>
      </c>
      <c r="O199" s="21">
        <f>SUM(NhatkyNhap!$C199:O199)-SUM(NhatkyBan!$C199:O199)</f>
        <v>0</v>
      </c>
      <c r="P199" s="21">
        <f>SUM(NhatkyNhap!$C199:P199)-SUM(NhatkyBan!$C199:P199)</f>
        <v>0</v>
      </c>
      <c r="Q199" s="21">
        <f>SUM(NhatkyNhap!$C199:Q199)-SUM(NhatkyBan!$C199:Q199)</f>
        <v>0</v>
      </c>
      <c r="R199" s="21">
        <f>SUM(NhatkyNhap!$C199:R199)-SUM(NhatkyBan!$C199:R199)</f>
        <v>0</v>
      </c>
      <c r="S199" s="21">
        <f>SUM(NhatkyNhap!$C199:S199)-SUM(NhatkyBan!$C199:S199)</f>
        <v>0</v>
      </c>
      <c r="T199" s="21">
        <f>SUM(NhatkyNhap!$C199:T199)-SUM(NhatkyBan!$C199:T199)</f>
        <v>0</v>
      </c>
      <c r="U199" s="21">
        <f>SUM(NhatkyNhap!$C199:U199)-SUM(NhatkyBan!$C199:U199)</f>
        <v>0</v>
      </c>
      <c r="V199" s="21">
        <f>SUM(NhatkyNhap!$C199:V199)-SUM(NhatkyBan!$C199:V199)</f>
        <v>0</v>
      </c>
      <c r="W199" s="21">
        <f>SUM(NhatkyNhap!$C199:W199)-SUM(NhatkyBan!$C199:W199)</f>
        <v>0</v>
      </c>
      <c r="X199" s="21">
        <f>SUM(NhatkyNhap!$C199:X199)-SUM(NhatkyBan!$C199:X199)</f>
        <v>0</v>
      </c>
      <c r="Y199" s="21">
        <f>SUM(NhatkyNhap!$C199:Y199)-SUM(NhatkyBan!$C199:Y199)</f>
        <v>0</v>
      </c>
      <c r="Z199" s="21">
        <f>SUM(NhatkyNhap!$C199:Z199)-SUM(NhatkyBan!$C199:Z199)</f>
        <v>0</v>
      </c>
      <c r="AA199" s="21">
        <f>SUM(NhatkyNhap!$C199:AA199)-SUM(NhatkyBan!$C199:AA199)</f>
        <v>0</v>
      </c>
      <c r="AB199" s="21">
        <f>SUM(NhatkyNhap!$C199:AB199)-SUM(NhatkyBan!$C199:AB199)</f>
        <v>0</v>
      </c>
      <c r="AC199" s="21">
        <f>SUM(NhatkyNhap!$C199:AC199)-SUM(NhatkyBan!$C199:AC199)</f>
        <v>0</v>
      </c>
      <c r="AD199" s="21">
        <f>SUM(NhatkyNhap!$C199:AD199)-SUM(NhatkyBan!$C199:AD199)</f>
        <v>0</v>
      </c>
      <c r="AE199" s="21">
        <f>SUM(NhatkyNhap!$C199:AE199)-SUM(NhatkyBan!$C199:AE199)</f>
        <v>0</v>
      </c>
      <c r="AF199" s="21">
        <f>SUM(NhatkyNhap!$C199:AF199)-SUM(NhatkyBan!$C199:AF199)</f>
        <v>0</v>
      </c>
      <c r="AG199" s="21">
        <f>SUM(NhatkyNhap!$C199:AG199)-SUM(NhatkyBan!$C199:AG199)</f>
        <v>0</v>
      </c>
    </row>
    <row r="200" spans="1:33" ht="12.75" customHeight="1">
      <c r="A200" s="76" t="str">
        <f>DSSP!A199</f>
        <v>GC124</v>
      </c>
      <c r="B200" s="25" t="str">
        <f>DSSP!B199</f>
        <v>Tháp Eiffel mini</v>
      </c>
      <c r="C200" s="21">
        <f>SUM(NhatkyNhap!$C200:C200)-SUM(NhatkyBan!$C200:C200)</f>
        <v>0</v>
      </c>
      <c r="D200" s="21">
        <f>SUM(NhatkyNhap!$C200:D200)-SUM(NhatkyBan!$C200:D200)</f>
        <v>0</v>
      </c>
      <c r="E200" s="21">
        <f>SUM(NhatkyNhap!$C200:E200)-SUM(NhatkyBan!$C200:E200)</f>
        <v>0</v>
      </c>
      <c r="F200" s="21">
        <f>SUM(NhatkyNhap!$C200:F200)-SUM(NhatkyBan!$C200:F200)</f>
        <v>0</v>
      </c>
      <c r="G200" s="21">
        <f>SUM(NhatkyNhap!$C200:G200)-SUM(NhatkyBan!$C200:G200)</f>
        <v>0</v>
      </c>
      <c r="H200" s="21">
        <f>SUM(NhatkyNhap!$C200:H200)-SUM(NhatkyBan!$C200:H200)</f>
        <v>0</v>
      </c>
      <c r="I200" s="21">
        <f>SUM(NhatkyNhap!$C200:I200)-SUM(NhatkyBan!$C200:I200)</f>
        <v>0</v>
      </c>
      <c r="J200" s="21">
        <f>SUM(NhatkyNhap!$C200:J200)-SUM(NhatkyBan!$C200:J200)</f>
        <v>0</v>
      </c>
      <c r="K200" s="21">
        <f>SUM(NhatkyNhap!$C200:K200)-SUM(NhatkyBan!$C200:K200)</f>
        <v>0</v>
      </c>
      <c r="L200" s="21">
        <f>SUM(NhatkyNhap!$C200:L200)-SUM(NhatkyBan!$C200:L200)</f>
        <v>0</v>
      </c>
      <c r="M200" s="21">
        <f>SUM(NhatkyNhap!$C200:M200)-SUM(NhatkyBan!$C200:M200)</f>
        <v>0</v>
      </c>
      <c r="N200" s="21">
        <f>SUM(NhatkyNhap!$C200:N200)-SUM(NhatkyBan!$C200:N200)</f>
        <v>0</v>
      </c>
      <c r="O200" s="21">
        <f>SUM(NhatkyNhap!$C200:O200)-SUM(NhatkyBan!$C200:O200)</f>
        <v>0</v>
      </c>
      <c r="P200" s="21">
        <f>SUM(NhatkyNhap!$C200:P200)-SUM(NhatkyBan!$C200:P200)</f>
        <v>0</v>
      </c>
      <c r="Q200" s="21">
        <f>SUM(NhatkyNhap!$C200:Q200)-SUM(NhatkyBan!$C200:Q200)</f>
        <v>0</v>
      </c>
      <c r="R200" s="21">
        <f>SUM(NhatkyNhap!$C200:R200)-SUM(NhatkyBan!$C200:R200)</f>
        <v>0</v>
      </c>
      <c r="S200" s="21">
        <f>SUM(NhatkyNhap!$C200:S200)-SUM(NhatkyBan!$C200:S200)</f>
        <v>0</v>
      </c>
      <c r="T200" s="21">
        <f>SUM(NhatkyNhap!$C200:T200)-SUM(NhatkyBan!$C200:T200)</f>
        <v>0</v>
      </c>
      <c r="U200" s="21">
        <f>SUM(NhatkyNhap!$C200:U200)-SUM(NhatkyBan!$C200:U200)</f>
        <v>0</v>
      </c>
      <c r="V200" s="21">
        <f>SUM(NhatkyNhap!$C200:V200)-SUM(NhatkyBan!$C200:V200)</f>
        <v>0</v>
      </c>
      <c r="W200" s="21">
        <f>SUM(NhatkyNhap!$C200:W200)-SUM(NhatkyBan!$C200:W200)</f>
        <v>0</v>
      </c>
      <c r="X200" s="21">
        <f>SUM(NhatkyNhap!$C200:X200)-SUM(NhatkyBan!$C200:X200)</f>
        <v>0</v>
      </c>
      <c r="Y200" s="21">
        <f>SUM(NhatkyNhap!$C200:Y200)-SUM(NhatkyBan!$C200:Y200)</f>
        <v>0</v>
      </c>
      <c r="Z200" s="21">
        <f>SUM(NhatkyNhap!$C200:Z200)-SUM(NhatkyBan!$C200:Z200)</f>
        <v>0</v>
      </c>
      <c r="AA200" s="21">
        <f>SUM(NhatkyNhap!$C200:AA200)-SUM(NhatkyBan!$C200:AA200)</f>
        <v>0</v>
      </c>
      <c r="AB200" s="21">
        <f>SUM(NhatkyNhap!$C200:AB200)-SUM(NhatkyBan!$C200:AB200)</f>
        <v>0</v>
      </c>
      <c r="AC200" s="21">
        <f>SUM(NhatkyNhap!$C200:AC200)-SUM(NhatkyBan!$C200:AC200)</f>
        <v>0</v>
      </c>
      <c r="AD200" s="21">
        <f>SUM(NhatkyNhap!$C200:AD200)-SUM(NhatkyBan!$C200:AD200)</f>
        <v>0</v>
      </c>
      <c r="AE200" s="21">
        <f>SUM(NhatkyNhap!$C200:AE200)-SUM(NhatkyBan!$C200:AE200)</f>
        <v>0</v>
      </c>
      <c r="AF200" s="21">
        <f>SUM(NhatkyNhap!$C200:AF200)-SUM(NhatkyBan!$C200:AF200)</f>
        <v>0</v>
      </c>
      <c r="AG200" s="21">
        <f>SUM(NhatkyNhap!$C200:AG200)-SUM(NhatkyBan!$C200:AG200)</f>
        <v>0</v>
      </c>
    </row>
    <row r="201" spans="1:33" ht="12.75" customHeight="1">
      <c r="A201" s="76" t="str">
        <f>DSSP!A200</f>
        <v>GC125</v>
      </c>
      <c r="B201" s="25" t="str">
        <f>DSSP!B200</f>
        <v>Thỏ con tai dài</v>
      </c>
      <c r="C201" s="21">
        <f>SUM(NhatkyNhap!$C201:C201)-SUM(NhatkyBan!$C201:C201)</f>
        <v>22</v>
      </c>
      <c r="D201" s="21">
        <f>SUM(NhatkyNhap!$C201:D201)-SUM(NhatkyBan!$C201:D201)</f>
        <v>22</v>
      </c>
      <c r="E201" s="21">
        <f>SUM(NhatkyNhap!$C201:E201)-SUM(NhatkyBan!$C201:E201)</f>
        <v>22</v>
      </c>
      <c r="F201" s="21">
        <f>SUM(NhatkyNhap!$C201:F201)-SUM(NhatkyBan!$C201:F201)</f>
        <v>22</v>
      </c>
      <c r="G201" s="21">
        <f>SUM(NhatkyNhap!$C201:G201)-SUM(NhatkyBan!$C201:G201)</f>
        <v>22</v>
      </c>
      <c r="H201" s="21">
        <f>SUM(NhatkyNhap!$C201:H201)-SUM(NhatkyBan!$C201:H201)</f>
        <v>22</v>
      </c>
      <c r="I201" s="21">
        <f>SUM(NhatkyNhap!$C201:I201)-SUM(NhatkyBan!$C201:I201)</f>
        <v>22</v>
      </c>
      <c r="J201" s="21">
        <f>SUM(NhatkyNhap!$C201:J201)-SUM(NhatkyBan!$C201:J201)</f>
        <v>22</v>
      </c>
      <c r="K201" s="21">
        <f>SUM(NhatkyNhap!$C201:K201)-SUM(NhatkyBan!$C201:K201)</f>
        <v>22</v>
      </c>
      <c r="L201" s="21">
        <f>SUM(NhatkyNhap!$C201:L201)-SUM(NhatkyBan!$C201:L201)</f>
        <v>22</v>
      </c>
      <c r="M201" s="21">
        <f>SUM(NhatkyNhap!$C201:M201)-SUM(NhatkyBan!$C201:M201)</f>
        <v>22</v>
      </c>
      <c r="N201" s="21">
        <f>SUM(NhatkyNhap!$C201:N201)-SUM(NhatkyBan!$C201:N201)</f>
        <v>22</v>
      </c>
      <c r="O201" s="21">
        <f>SUM(NhatkyNhap!$C201:O201)-SUM(NhatkyBan!$C201:O201)</f>
        <v>22</v>
      </c>
      <c r="P201" s="21">
        <f>SUM(NhatkyNhap!$C201:P201)-SUM(NhatkyBan!$C201:P201)</f>
        <v>22</v>
      </c>
      <c r="Q201" s="21">
        <f>SUM(NhatkyNhap!$C201:Q201)-SUM(NhatkyBan!$C201:Q201)</f>
        <v>22</v>
      </c>
      <c r="R201" s="21">
        <f>SUM(NhatkyNhap!$C201:R201)-SUM(NhatkyBan!$C201:R201)</f>
        <v>22</v>
      </c>
      <c r="S201" s="21">
        <f>SUM(NhatkyNhap!$C201:S201)-SUM(NhatkyBan!$C201:S201)</f>
        <v>22</v>
      </c>
      <c r="T201" s="21">
        <f>SUM(NhatkyNhap!$C201:T201)-SUM(NhatkyBan!$C201:T201)</f>
        <v>22</v>
      </c>
      <c r="U201" s="21">
        <f>SUM(NhatkyNhap!$C201:U201)-SUM(NhatkyBan!$C201:U201)</f>
        <v>22</v>
      </c>
      <c r="V201" s="21">
        <f>SUM(NhatkyNhap!$C201:V201)-SUM(NhatkyBan!$C201:V201)</f>
        <v>22</v>
      </c>
      <c r="W201" s="21">
        <f>SUM(NhatkyNhap!$C201:W201)-SUM(NhatkyBan!$C201:W201)</f>
        <v>22</v>
      </c>
      <c r="X201" s="21">
        <f>SUM(NhatkyNhap!$C201:X201)-SUM(NhatkyBan!$C201:X201)</f>
        <v>22</v>
      </c>
      <c r="Y201" s="21">
        <f>SUM(NhatkyNhap!$C201:Y201)-SUM(NhatkyBan!$C201:Y201)</f>
        <v>22</v>
      </c>
      <c r="Z201" s="21">
        <f>SUM(NhatkyNhap!$C201:Z201)-SUM(NhatkyBan!$C201:Z201)</f>
        <v>22</v>
      </c>
      <c r="AA201" s="21">
        <f>SUM(NhatkyNhap!$C201:AA201)-SUM(NhatkyBan!$C201:AA201)</f>
        <v>22</v>
      </c>
      <c r="AB201" s="21">
        <f>SUM(NhatkyNhap!$C201:AB201)-SUM(NhatkyBan!$C201:AB201)</f>
        <v>22</v>
      </c>
      <c r="AC201" s="21">
        <f>SUM(NhatkyNhap!$C201:AC201)-SUM(NhatkyBan!$C201:AC201)</f>
        <v>22</v>
      </c>
      <c r="AD201" s="21">
        <f>SUM(NhatkyNhap!$C201:AD201)-SUM(NhatkyBan!$C201:AD201)</f>
        <v>22</v>
      </c>
      <c r="AE201" s="21">
        <f>SUM(NhatkyNhap!$C201:AE201)-SUM(NhatkyBan!$C201:AE201)</f>
        <v>22</v>
      </c>
      <c r="AF201" s="21">
        <f>SUM(NhatkyNhap!$C201:AF201)-SUM(NhatkyBan!$C201:AF201)</f>
        <v>22</v>
      </c>
      <c r="AG201" s="21">
        <f>SUM(NhatkyNhap!$C201:AG201)-SUM(NhatkyBan!$C201:AG201)</f>
        <v>22</v>
      </c>
    </row>
    <row r="202" spans="1:33" ht="12.75" customHeight="1">
      <c r="A202" s="76" t="str">
        <f>DSSP!A201</f>
        <v>GC126</v>
      </c>
      <c r="B202" s="25" t="str">
        <f>DSSP!B201</f>
        <v>Móc có hoa văn</v>
      </c>
      <c r="C202" s="21">
        <f>SUM(NhatkyNhap!$C202:C202)-SUM(NhatkyBan!$C202:C202)</f>
        <v>0</v>
      </c>
      <c r="D202" s="21">
        <f>SUM(NhatkyNhap!$C202:D202)-SUM(NhatkyBan!$C202:D202)</f>
        <v>0</v>
      </c>
      <c r="E202" s="21">
        <f>SUM(NhatkyNhap!$C202:E202)-SUM(NhatkyBan!$C202:E202)</f>
        <v>0</v>
      </c>
      <c r="F202" s="21">
        <f>SUM(NhatkyNhap!$C202:F202)-SUM(NhatkyBan!$C202:F202)</f>
        <v>0</v>
      </c>
      <c r="G202" s="21">
        <f>SUM(NhatkyNhap!$C202:G202)-SUM(NhatkyBan!$C202:G202)</f>
        <v>0</v>
      </c>
      <c r="H202" s="21">
        <f>SUM(NhatkyNhap!$C202:H202)-SUM(NhatkyBan!$C202:H202)</f>
        <v>0</v>
      </c>
      <c r="I202" s="21">
        <f>SUM(NhatkyNhap!$C202:I202)-SUM(NhatkyBan!$C202:I202)</f>
        <v>0</v>
      </c>
      <c r="J202" s="21">
        <f>SUM(NhatkyNhap!$C202:J202)-SUM(NhatkyBan!$C202:J202)</f>
        <v>0</v>
      </c>
      <c r="K202" s="21">
        <f>SUM(NhatkyNhap!$C202:K202)-SUM(NhatkyBan!$C202:K202)</f>
        <v>0</v>
      </c>
      <c r="L202" s="21">
        <f>SUM(NhatkyNhap!$C202:L202)-SUM(NhatkyBan!$C202:L202)</f>
        <v>0</v>
      </c>
      <c r="M202" s="21">
        <f>SUM(NhatkyNhap!$C202:M202)-SUM(NhatkyBan!$C202:M202)</f>
        <v>0</v>
      </c>
      <c r="N202" s="21">
        <f>SUM(NhatkyNhap!$C202:N202)-SUM(NhatkyBan!$C202:N202)</f>
        <v>0</v>
      </c>
      <c r="O202" s="21">
        <f>SUM(NhatkyNhap!$C202:O202)-SUM(NhatkyBan!$C202:O202)</f>
        <v>0</v>
      </c>
      <c r="P202" s="21">
        <f>SUM(NhatkyNhap!$C202:P202)-SUM(NhatkyBan!$C202:P202)</f>
        <v>0</v>
      </c>
      <c r="Q202" s="21">
        <f>SUM(NhatkyNhap!$C202:Q202)-SUM(NhatkyBan!$C202:Q202)</f>
        <v>0</v>
      </c>
      <c r="R202" s="21">
        <f>SUM(NhatkyNhap!$C202:R202)-SUM(NhatkyBan!$C202:R202)</f>
        <v>0</v>
      </c>
      <c r="S202" s="21">
        <f>SUM(NhatkyNhap!$C202:S202)-SUM(NhatkyBan!$C202:S202)</f>
        <v>0</v>
      </c>
      <c r="T202" s="21">
        <f>SUM(NhatkyNhap!$C202:T202)-SUM(NhatkyBan!$C202:T202)</f>
        <v>0</v>
      </c>
      <c r="U202" s="21">
        <f>SUM(NhatkyNhap!$C202:U202)-SUM(NhatkyBan!$C202:U202)</f>
        <v>0</v>
      </c>
      <c r="V202" s="21">
        <f>SUM(NhatkyNhap!$C202:V202)-SUM(NhatkyBan!$C202:V202)</f>
        <v>0</v>
      </c>
      <c r="W202" s="21">
        <f>SUM(NhatkyNhap!$C202:W202)-SUM(NhatkyBan!$C202:W202)</f>
        <v>0</v>
      </c>
      <c r="X202" s="21">
        <f>SUM(NhatkyNhap!$C202:X202)-SUM(NhatkyBan!$C202:X202)</f>
        <v>0</v>
      </c>
      <c r="Y202" s="21">
        <f>SUM(NhatkyNhap!$C202:Y202)-SUM(NhatkyBan!$C202:Y202)</f>
        <v>0</v>
      </c>
      <c r="Z202" s="21">
        <f>SUM(NhatkyNhap!$C202:Z202)-SUM(NhatkyBan!$C202:Z202)</f>
        <v>0</v>
      </c>
      <c r="AA202" s="21">
        <f>SUM(NhatkyNhap!$C202:AA202)-SUM(NhatkyBan!$C202:AA202)</f>
        <v>0</v>
      </c>
      <c r="AB202" s="21">
        <f>SUM(NhatkyNhap!$C202:AB202)-SUM(NhatkyBan!$C202:AB202)</f>
        <v>0</v>
      </c>
      <c r="AC202" s="21">
        <f>SUM(NhatkyNhap!$C202:AC202)-SUM(NhatkyBan!$C202:AC202)</f>
        <v>0</v>
      </c>
      <c r="AD202" s="21">
        <f>SUM(NhatkyNhap!$C202:AD202)-SUM(NhatkyBan!$C202:AD202)</f>
        <v>0</v>
      </c>
      <c r="AE202" s="21">
        <f>SUM(NhatkyNhap!$C202:AE202)-SUM(NhatkyBan!$C202:AE202)</f>
        <v>0</v>
      </c>
      <c r="AF202" s="21">
        <f>SUM(NhatkyNhap!$C202:AF202)-SUM(NhatkyBan!$C202:AF202)</f>
        <v>0</v>
      </c>
      <c r="AG202" s="21">
        <f>SUM(NhatkyNhap!$C202:AG202)-SUM(NhatkyBan!$C202:AG202)</f>
        <v>0</v>
      </c>
    </row>
    <row r="203" spans="1:33" ht="12.75" customHeight="1">
      <c r="A203" s="76" t="str">
        <f>DSSP!A202</f>
        <v>GC127</v>
      </c>
      <c r="B203" s="25" t="str">
        <f>DSSP!B202</f>
        <v>Ghế tiểu thư mini</v>
      </c>
      <c r="C203" s="21">
        <f>SUM(NhatkyNhap!$C203:C203)-SUM(NhatkyBan!$C203:C203)</f>
        <v>28</v>
      </c>
      <c r="D203" s="21">
        <f>SUM(NhatkyNhap!$C203:D203)-SUM(NhatkyBan!$C203:D203)</f>
        <v>28</v>
      </c>
      <c r="E203" s="21">
        <f>SUM(NhatkyNhap!$C203:E203)-SUM(NhatkyBan!$C203:E203)</f>
        <v>28</v>
      </c>
      <c r="F203" s="21">
        <f>SUM(NhatkyNhap!$C203:F203)-SUM(NhatkyBan!$C203:F203)</f>
        <v>28</v>
      </c>
      <c r="G203" s="21">
        <f>SUM(NhatkyNhap!$C203:G203)-SUM(NhatkyBan!$C203:G203)</f>
        <v>28</v>
      </c>
      <c r="H203" s="21">
        <f>SUM(NhatkyNhap!$C203:H203)-SUM(NhatkyBan!$C203:H203)</f>
        <v>28</v>
      </c>
      <c r="I203" s="21">
        <f>SUM(NhatkyNhap!$C203:I203)-SUM(NhatkyBan!$C203:I203)</f>
        <v>28</v>
      </c>
      <c r="J203" s="21">
        <f>SUM(NhatkyNhap!$C203:J203)-SUM(NhatkyBan!$C203:J203)</f>
        <v>28</v>
      </c>
      <c r="K203" s="21">
        <f>SUM(NhatkyNhap!$C203:K203)-SUM(NhatkyBan!$C203:K203)</f>
        <v>28</v>
      </c>
      <c r="L203" s="21">
        <f>SUM(NhatkyNhap!$C203:L203)-SUM(NhatkyBan!$C203:L203)</f>
        <v>28</v>
      </c>
      <c r="M203" s="21">
        <f>SUM(NhatkyNhap!$C203:M203)-SUM(NhatkyBan!$C203:M203)</f>
        <v>28</v>
      </c>
      <c r="N203" s="21">
        <f>SUM(NhatkyNhap!$C203:N203)-SUM(NhatkyBan!$C203:N203)</f>
        <v>28</v>
      </c>
      <c r="O203" s="21">
        <f>SUM(NhatkyNhap!$C203:O203)-SUM(NhatkyBan!$C203:O203)</f>
        <v>28</v>
      </c>
      <c r="P203" s="21">
        <f>SUM(NhatkyNhap!$C203:P203)-SUM(NhatkyBan!$C203:P203)</f>
        <v>28</v>
      </c>
      <c r="Q203" s="21">
        <f>SUM(NhatkyNhap!$C203:Q203)-SUM(NhatkyBan!$C203:Q203)</f>
        <v>28</v>
      </c>
      <c r="R203" s="21">
        <f>SUM(NhatkyNhap!$C203:R203)-SUM(NhatkyBan!$C203:R203)</f>
        <v>28</v>
      </c>
      <c r="S203" s="21">
        <f>SUM(NhatkyNhap!$C203:S203)-SUM(NhatkyBan!$C203:S203)</f>
        <v>28</v>
      </c>
      <c r="T203" s="21">
        <f>SUM(NhatkyNhap!$C203:T203)-SUM(NhatkyBan!$C203:T203)</f>
        <v>28</v>
      </c>
      <c r="U203" s="21">
        <f>SUM(NhatkyNhap!$C203:U203)-SUM(NhatkyBan!$C203:U203)</f>
        <v>28</v>
      </c>
      <c r="V203" s="21">
        <f>SUM(NhatkyNhap!$C203:V203)-SUM(NhatkyBan!$C203:V203)</f>
        <v>28</v>
      </c>
      <c r="W203" s="21">
        <f>SUM(NhatkyNhap!$C203:W203)-SUM(NhatkyBan!$C203:W203)</f>
        <v>28</v>
      </c>
      <c r="X203" s="21">
        <f>SUM(NhatkyNhap!$C203:X203)-SUM(NhatkyBan!$C203:X203)</f>
        <v>28</v>
      </c>
      <c r="Y203" s="21">
        <f>SUM(NhatkyNhap!$C203:Y203)-SUM(NhatkyBan!$C203:Y203)</f>
        <v>28</v>
      </c>
      <c r="Z203" s="21">
        <f>SUM(NhatkyNhap!$C203:Z203)-SUM(NhatkyBan!$C203:Z203)</f>
        <v>28</v>
      </c>
      <c r="AA203" s="21">
        <f>SUM(NhatkyNhap!$C203:AA203)-SUM(NhatkyBan!$C203:AA203)</f>
        <v>28</v>
      </c>
      <c r="AB203" s="21">
        <f>SUM(NhatkyNhap!$C203:AB203)-SUM(NhatkyBan!$C203:AB203)</f>
        <v>28</v>
      </c>
      <c r="AC203" s="21">
        <f>SUM(NhatkyNhap!$C203:AC203)-SUM(NhatkyBan!$C203:AC203)</f>
        <v>28</v>
      </c>
      <c r="AD203" s="21">
        <f>SUM(NhatkyNhap!$C203:AD203)-SUM(NhatkyBan!$C203:AD203)</f>
        <v>28</v>
      </c>
      <c r="AE203" s="21">
        <f>SUM(NhatkyNhap!$C203:AE203)-SUM(NhatkyBan!$C203:AE203)</f>
        <v>28</v>
      </c>
      <c r="AF203" s="21">
        <f>SUM(NhatkyNhap!$C203:AF203)-SUM(NhatkyBan!$C203:AF203)</f>
        <v>28</v>
      </c>
      <c r="AG203" s="21">
        <f>SUM(NhatkyNhap!$C203:AG203)-SUM(NhatkyBan!$C203:AG203)</f>
        <v>28</v>
      </c>
    </row>
    <row r="204" spans="1:33" ht="12.75" customHeight="1">
      <c r="A204" s="76" t="str">
        <f>DSSP!A203</f>
        <v>GC128</v>
      </c>
      <c r="B204" s="25" t="str">
        <f>DSSP!B203</f>
        <v>Love heart</v>
      </c>
      <c r="C204" s="21">
        <f>SUM(NhatkyNhap!$C204:C204)-SUM(NhatkyBan!$C204:C204)</f>
        <v>0</v>
      </c>
      <c r="D204" s="21">
        <f>SUM(NhatkyNhap!$C204:D204)-SUM(NhatkyBan!$C204:D204)</f>
        <v>0</v>
      </c>
      <c r="E204" s="21">
        <f>SUM(NhatkyNhap!$C204:E204)-SUM(NhatkyBan!$C204:E204)</f>
        <v>0</v>
      </c>
      <c r="F204" s="21">
        <f>SUM(NhatkyNhap!$C204:F204)-SUM(NhatkyBan!$C204:F204)</f>
        <v>0</v>
      </c>
      <c r="G204" s="21">
        <f>SUM(NhatkyNhap!$C204:G204)-SUM(NhatkyBan!$C204:G204)</f>
        <v>0</v>
      </c>
      <c r="H204" s="21">
        <f>SUM(NhatkyNhap!$C204:H204)-SUM(NhatkyBan!$C204:H204)</f>
        <v>0</v>
      </c>
      <c r="I204" s="21">
        <f>SUM(NhatkyNhap!$C204:I204)-SUM(NhatkyBan!$C204:I204)</f>
        <v>0</v>
      </c>
      <c r="J204" s="21">
        <f>SUM(NhatkyNhap!$C204:J204)-SUM(NhatkyBan!$C204:J204)</f>
        <v>0</v>
      </c>
      <c r="K204" s="21">
        <f>SUM(NhatkyNhap!$C204:K204)-SUM(NhatkyBan!$C204:K204)</f>
        <v>0</v>
      </c>
      <c r="L204" s="21">
        <f>SUM(NhatkyNhap!$C204:L204)-SUM(NhatkyBan!$C204:L204)</f>
        <v>0</v>
      </c>
      <c r="M204" s="21">
        <f>SUM(NhatkyNhap!$C204:M204)-SUM(NhatkyBan!$C204:M204)</f>
        <v>0</v>
      </c>
      <c r="N204" s="21">
        <f>SUM(NhatkyNhap!$C204:N204)-SUM(NhatkyBan!$C204:N204)</f>
        <v>0</v>
      </c>
      <c r="O204" s="21">
        <f>SUM(NhatkyNhap!$C204:O204)-SUM(NhatkyBan!$C204:O204)</f>
        <v>0</v>
      </c>
      <c r="P204" s="21">
        <f>SUM(NhatkyNhap!$C204:P204)-SUM(NhatkyBan!$C204:P204)</f>
        <v>0</v>
      </c>
      <c r="Q204" s="21">
        <f>SUM(NhatkyNhap!$C204:Q204)-SUM(NhatkyBan!$C204:Q204)</f>
        <v>0</v>
      </c>
      <c r="R204" s="21">
        <f>SUM(NhatkyNhap!$C204:R204)-SUM(NhatkyBan!$C204:R204)</f>
        <v>0</v>
      </c>
      <c r="S204" s="21">
        <f>SUM(NhatkyNhap!$C204:S204)-SUM(NhatkyBan!$C204:S204)</f>
        <v>0</v>
      </c>
      <c r="T204" s="21">
        <f>SUM(NhatkyNhap!$C204:T204)-SUM(NhatkyBan!$C204:T204)</f>
        <v>0</v>
      </c>
      <c r="U204" s="21">
        <f>SUM(NhatkyNhap!$C204:U204)-SUM(NhatkyBan!$C204:U204)</f>
        <v>0</v>
      </c>
      <c r="V204" s="21">
        <f>SUM(NhatkyNhap!$C204:V204)-SUM(NhatkyBan!$C204:V204)</f>
        <v>0</v>
      </c>
      <c r="W204" s="21">
        <f>SUM(NhatkyNhap!$C204:W204)-SUM(NhatkyBan!$C204:W204)</f>
        <v>0</v>
      </c>
      <c r="X204" s="21">
        <f>SUM(NhatkyNhap!$C204:X204)-SUM(NhatkyBan!$C204:X204)</f>
        <v>0</v>
      </c>
      <c r="Y204" s="21">
        <f>SUM(NhatkyNhap!$C204:Y204)-SUM(NhatkyBan!$C204:Y204)</f>
        <v>0</v>
      </c>
      <c r="Z204" s="21">
        <f>SUM(NhatkyNhap!$C204:Z204)-SUM(NhatkyBan!$C204:Z204)</f>
        <v>0</v>
      </c>
      <c r="AA204" s="21">
        <f>SUM(NhatkyNhap!$C204:AA204)-SUM(NhatkyBan!$C204:AA204)</f>
        <v>0</v>
      </c>
      <c r="AB204" s="21">
        <f>SUM(NhatkyNhap!$C204:AB204)-SUM(NhatkyBan!$C204:AB204)</f>
        <v>0</v>
      </c>
      <c r="AC204" s="21">
        <f>SUM(NhatkyNhap!$C204:AC204)-SUM(NhatkyBan!$C204:AC204)</f>
        <v>0</v>
      </c>
      <c r="AD204" s="21">
        <f>SUM(NhatkyNhap!$C204:AD204)-SUM(NhatkyBan!$C204:AD204)</f>
        <v>0</v>
      </c>
      <c r="AE204" s="21">
        <f>SUM(NhatkyNhap!$C204:AE204)-SUM(NhatkyBan!$C204:AE204)</f>
        <v>0</v>
      </c>
      <c r="AF204" s="21">
        <f>SUM(NhatkyNhap!$C204:AF204)-SUM(NhatkyBan!$C204:AF204)</f>
        <v>0</v>
      </c>
      <c r="AG204" s="21">
        <f>SUM(NhatkyNhap!$C204:AG204)-SUM(NhatkyBan!$C204:AG204)</f>
        <v>0</v>
      </c>
    </row>
    <row r="205" spans="1:33" ht="12.75" customHeight="1">
      <c r="A205" s="76" t="str">
        <f>DSSP!A204</f>
        <v>GC129</v>
      </c>
      <c r="B205" s="25" t="str">
        <f>DSSP!B204</f>
        <v>Vespa mini</v>
      </c>
      <c r="C205" s="21">
        <f>SUM(NhatkyNhap!$C205:C205)-SUM(NhatkyBan!$C205:C205)</f>
        <v>84</v>
      </c>
      <c r="D205" s="21">
        <f>SUM(NhatkyNhap!$C205:D205)-SUM(NhatkyBan!$C205:D205)</f>
        <v>84</v>
      </c>
      <c r="E205" s="21">
        <f>SUM(NhatkyNhap!$C205:E205)-SUM(NhatkyBan!$C205:E205)</f>
        <v>84</v>
      </c>
      <c r="F205" s="21">
        <f>SUM(NhatkyNhap!$C205:F205)-SUM(NhatkyBan!$C205:F205)</f>
        <v>84</v>
      </c>
      <c r="G205" s="21">
        <f>SUM(NhatkyNhap!$C205:G205)-SUM(NhatkyBan!$C205:G205)</f>
        <v>84</v>
      </c>
      <c r="H205" s="21">
        <f>SUM(NhatkyNhap!$C205:H205)-SUM(NhatkyBan!$C205:H205)</f>
        <v>84</v>
      </c>
      <c r="I205" s="21">
        <f>SUM(NhatkyNhap!$C205:I205)-SUM(NhatkyBan!$C205:I205)</f>
        <v>84</v>
      </c>
      <c r="J205" s="21">
        <f>SUM(NhatkyNhap!$C205:J205)-SUM(NhatkyBan!$C205:J205)</f>
        <v>84</v>
      </c>
      <c r="K205" s="21">
        <f>SUM(NhatkyNhap!$C205:K205)-SUM(NhatkyBan!$C205:K205)</f>
        <v>84</v>
      </c>
      <c r="L205" s="21">
        <f>SUM(NhatkyNhap!$C205:L205)-SUM(NhatkyBan!$C205:L205)</f>
        <v>84</v>
      </c>
      <c r="M205" s="21">
        <f>SUM(NhatkyNhap!$C205:M205)-SUM(NhatkyBan!$C205:M205)</f>
        <v>84</v>
      </c>
      <c r="N205" s="21">
        <f>SUM(NhatkyNhap!$C205:N205)-SUM(NhatkyBan!$C205:N205)</f>
        <v>84</v>
      </c>
      <c r="O205" s="21">
        <f>SUM(NhatkyNhap!$C205:O205)-SUM(NhatkyBan!$C205:O205)</f>
        <v>84</v>
      </c>
      <c r="P205" s="21">
        <f>SUM(NhatkyNhap!$C205:P205)-SUM(NhatkyBan!$C205:P205)</f>
        <v>84</v>
      </c>
      <c r="Q205" s="21">
        <f>SUM(NhatkyNhap!$C205:Q205)-SUM(NhatkyBan!$C205:Q205)</f>
        <v>84</v>
      </c>
      <c r="R205" s="21">
        <f>SUM(NhatkyNhap!$C205:R205)-SUM(NhatkyBan!$C205:R205)</f>
        <v>84</v>
      </c>
      <c r="S205" s="21">
        <f>SUM(NhatkyNhap!$C205:S205)-SUM(NhatkyBan!$C205:S205)</f>
        <v>84</v>
      </c>
      <c r="T205" s="21">
        <f>SUM(NhatkyNhap!$C205:T205)-SUM(NhatkyBan!$C205:T205)</f>
        <v>84</v>
      </c>
      <c r="U205" s="21">
        <f>SUM(NhatkyNhap!$C205:U205)-SUM(NhatkyBan!$C205:U205)</f>
        <v>84</v>
      </c>
      <c r="V205" s="21">
        <f>SUM(NhatkyNhap!$C205:V205)-SUM(NhatkyBan!$C205:V205)</f>
        <v>84</v>
      </c>
      <c r="W205" s="21">
        <f>SUM(NhatkyNhap!$C205:W205)-SUM(NhatkyBan!$C205:W205)</f>
        <v>84</v>
      </c>
      <c r="X205" s="21">
        <f>SUM(NhatkyNhap!$C205:X205)-SUM(NhatkyBan!$C205:X205)</f>
        <v>84</v>
      </c>
      <c r="Y205" s="21">
        <f>SUM(NhatkyNhap!$C205:Y205)-SUM(NhatkyBan!$C205:Y205)</f>
        <v>84</v>
      </c>
      <c r="Z205" s="21">
        <f>SUM(NhatkyNhap!$C205:Z205)-SUM(NhatkyBan!$C205:Z205)</f>
        <v>84</v>
      </c>
      <c r="AA205" s="21">
        <f>SUM(NhatkyNhap!$C205:AA205)-SUM(NhatkyBan!$C205:AA205)</f>
        <v>84</v>
      </c>
      <c r="AB205" s="21">
        <f>SUM(NhatkyNhap!$C205:AB205)-SUM(NhatkyBan!$C205:AB205)</f>
        <v>84</v>
      </c>
      <c r="AC205" s="21">
        <f>SUM(NhatkyNhap!$C205:AC205)-SUM(NhatkyBan!$C205:AC205)</f>
        <v>84</v>
      </c>
      <c r="AD205" s="21">
        <f>SUM(NhatkyNhap!$C205:AD205)-SUM(NhatkyBan!$C205:AD205)</f>
        <v>84</v>
      </c>
      <c r="AE205" s="21">
        <f>SUM(NhatkyNhap!$C205:AE205)-SUM(NhatkyBan!$C205:AE205)</f>
        <v>84</v>
      </c>
      <c r="AF205" s="21">
        <f>SUM(NhatkyNhap!$C205:AF205)-SUM(NhatkyBan!$C205:AF205)</f>
        <v>84</v>
      </c>
      <c r="AG205" s="21">
        <f>SUM(NhatkyNhap!$C205:AG205)-SUM(NhatkyBan!$C205:AG205)</f>
        <v>84</v>
      </c>
    </row>
    <row r="206" spans="1:33" ht="12.75" customHeight="1">
      <c r="A206" s="76" t="str">
        <f>DSSP!A205</f>
        <v>GC130</v>
      </c>
      <c r="B206" s="25" t="str">
        <f>DSSP!B205</f>
        <v>Trái tim có cánh</v>
      </c>
      <c r="C206" s="21">
        <f>SUM(NhatkyNhap!$C206:C206)-SUM(NhatkyBan!$C206:C206)</f>
        <v>0</v>
      </c>
      <c r="D206" s="21">
        <f>SUM(NhatkyNhap!$C206:D206)-SUM(NhatkyBan!$C206:D206)</f>
        <v>0</v>
      </c>
      <c r="E206" s="21">
        <f>SUM(NhatkyNhap!$C206:E206)-SUM(NhatkyBan!$C206:E206)</f>
        <v>0</v>
      </c>
      <c r="F206" s="21">
        <f>SUM(NhatkyNhap!$C206:F206)-SUM(NhatkyBan!$C206:F206)</f>
        <v>0</v>
      </c>
      <c r="G206" s="21">
        <f>SUM(NhatkyNhap!$C206:G206)-SUM(NhatkyBan!$C206:G206)</f>
        <v>0</v>
      </c>
      <c r="H206" s="21">
        <f>SUM(NhatkyNhap!$C206:H206)-SUM(NhatkyBan!$C206:H206)</f>
        <v>0</v>
      </c>
      <c r="I206" s="21">
        <f>SUM(NhatkyNhap!$C206:I206)-SUM(NhatkyBan!$C206:I206)</f>
        <v>0</v>
      </c>
      <c r="J206" s="21">
        <f>SUM(NhatkyNhap!$C206:J206)-SUM(NhatkyBan!$C206:J206)</f>
        <v>0</v>
      </c>
      <c r="K206" s="21">
        <f>SUM(NhatkyNhap!$C206:K206)-SUM(NhatkyBan!$C206:K206)</f>
        <v>0</v>
      </c>
      <c r="L206" s="21">
        <f>SUM(NhatkyNhap!$C206:L206)-SUM(NhatkyBan!$C206:L206)</f>
        <v>0</v>
      </c>
      <c r="M206" s="21">
        <f>SUM(NhatkyNhap!$C206:M206)-SUM(NhatkyBan!$C206:M206)</f>
        <v>0</v>
      </c>
      <c r="N206" s="21">
        <f>SUM(NhatkyNhap!$C206:N206)-SUM(NhatkyBan!$C206:N206)</f>
        <v>0</v>
      </c>
      <c r="O206" s="21">
        <f>SUM(NhatkyNhap!$C206:O206)-SUM(NhatkyBan!$C206:O206)</f>
        <v>0</v>
      </c>
      <c r="P206" s="21">
        <f>SUM(NhatkyNhap!$C206:P206)-SUM(NhatkyBan!$C206:P206)</f>
        <v>0</v>
      </c>
      <c r="Q206" s="21">
        <f>SUM(NhatkyNhap!$C206:Q206)-SUM(NhatkyBan!$C206:Q206)</f>
        <v>0</v>
      </c>
      <c r="R206" s="21">
        <f>SUM(NhatkyNhap!$C206:R206)-SUM(NhatkyBan!$C206:R206)</f>
        <v>0</v>
      </c>
      <c r="S206" s="21">
        <f>SUM(NhatkyNhap!$C206:S206)-SUM(NhatkyBan!$C206:S206)</f>
        <v>0</v>
      </c>
      <c r="T206" s="21">
        <f>SUM(NhatkyNhap!$C206:T206)-SUM(NhatkyBan!$C206:T206)</f>
        <v>0</v>
      </c>
      <c r="U206" s="21">
        <f>SUM(NhatkyNhap!$C206:U206)-SUM(NhatkyBan!$C206:U206)</f>
        <v>0</v>
      </c>
      <c r="V206" s="21">
        <f>SUM(NhatkyNhap!$C206:V206)-SUM(NhatkyBan!$C206:V206)</f>
        <v>0</v>
      </c>
      <c r="W206" s="21">
        <f>SUM(NhatkyNhap!$C206:W206)-SUM(NhatkyBan!$C206:W206)</f>
        <v>0</v>
      </c>
      <c r="X206" s="21">
        <f>SUM(NhatkyNhap!$C206:X206)-SUM(NhatkyBan!$C206:X206)</f>
        <v>0</v>
      </c>
      <c r="Y206" s="21">
        <f>SUM(NhatkyNhap!$C206:Y206)-SUM(NhatkyBan!$C206:Y206)</f>
        <v>0</v>
      </c>
      <c r="Z206" s="21">
        <f>SUM(NhatkyNhap!$C206:Z206)-SUM(NhatkyBan!$C206:Z206)</f>
        <v>0</v>
      </c>
      <c r="AA206" s="21">
        <f>SUM(NhatkyNhap!$C206:AA206)-SUM(NhatkyBan!$C206:AA206)</f>
        <v>0</v>
      </c>
      <c r="AB206" s="21">
        <f>SUM(NhatkyNhap!$C206:AB206)-SUM(NhatkyBan!$C206:AB206)</f>
        <v>0</v>
      </c>
      <c r="AC206" s="21">
        <f>SUM(NhatkyNhap!$C206:AC206)-SUM(NhatkyBan!$C206:AC206)</f>
        <v>0</v>
      </c>
      <c r="AD206" s="21">
        <f>SUM(NhatkyNhap!$C206:AD206)-SUM(NhatkyBan!$C206:AD206)</f>
        <v>0</v>
      </c>
      <c r="AE206" s="21">
        <f>SUM(NhatkyNhap!$C206:AE206)-SUM(NhatkyBan!$C206:AE206)</f>
        <v>0</v>
      </c>
      <c r="AF206" s="21">
        <f>SUM(NhatkyNhap!$C206:AF206)-SUM(NhatkyBan!$C206:AF206)</f>
        <v>0</v>
      </c>
      <c r="AG206" s="21">
        <f>SUM(NhatkyNhap!$C206:AG206)-SUM(NhatkyBan!$C206:AG206)</f>
        <v>0</v>
      </c>
    </row>
    <row r="207" spans="1:33" ht="12.75" customHeight="1">
      <c r="A207" s="76" t="str">
        <f>DSSP!A206</f>
        <v>GC131</v>
      </c>
      <c r="B207" s="25" t="str">
        <f>DSSP!B206</f>
        <v>Mề đay chữ ovan</v>
      </c>
      <c r="C207" s="21">
        <f>SUM(NhatkyNhap!$C207:C207)-SUM(NhatkyBan!$C207:C207)</f>
        <v>9</v>
      </c>
      <c r="D207" s="21">
        <f>SUM(NhatkyNhap!$C207:D207)-SUM(NhatkyBan!$C207:D207)</f>
        <v>9</v>
      </c>
      <c r="E207" s="21">
        <f>SUM(NhatkyNhap!$C207:E207)-SUM(NhatkyBan!$C207:E207)</f>
        <v>9</v>
      </c>
      <c r="F207" s="21">
        <f>SUM(NhatkyNhap!$C207:F207)-SUM(NhatkyBan!$C207:F207)</f>
        <v>9</v>
      </c>
      <c r="G207" s="21">
        <f>SUM(NhatkyNhap!$C207:G207)-SUM(NhatkyBan!$C207:G207)</f>
        <v>9</v>
      </c>
      <c r="H207" s="21">
        <f>SUM(NhatkyNhap!$C207:H207)-SUM(NhatkyBan!$C207:H207)</f>
        <v>9</v>
      </c>
      <c r="I207" s="21">
        <f>SUM(NhatkyNhap!$C207:I207)-SUM(NhatkyBan!$C207:I207)</f>
        <v>9</v>
      </c>
      <c r="J207" s="21">
        <f>SUM(NhatkyNhap!$C207:J207)-SUM(NhatkyBan!$C207:J207)</f>
        <v>9</v>
      </c>
      <c r="K207" s="21">
        <f>SUM(NhatkyNhap!$C207:K207)-SUM(NhatkyBan!$C207:K207)</f>
        <v>9</v>
      </c>
      <c r="L207" s="21">
        <f>SUM(NhatkyNhap!$C207:L207)-SUM(NhatkyBan!$C207:L207)</f>
        <v>9</v>
      </c>
      <c r="M207" s="21">
        <f>SUM(NhatkyNhap!$C207:M207)-SUM(NhatkyBan!$C207:M207)</f>
        <v>9</v>
      </c>
      <c r="N207" s="21">
        <f>SUM(NhatkyNhap!$C207:N207)-SUM(NhatkyBan!$C207:N207)</f>
        <v>9</v>
      </c>
      <c r="O207" s="21">
        <f>SUM(NhatkyNhap!$C207:O207)-SUM(NhatkyBan!$C207:O207)</f>
        <v>9</v>
      </c>
      <c r="P207" s="21">
        <f>SUM(NhatkyNhap!$C207:P207)-SUM(NhatkyBan!$C207:P207)</f>
        <v>9</v>
      </c>
      <c r="Q207" s="21">
        <f>SUM(NhatkyNhap!$C207:Q207)-SUM(NhatkyBan!$C207:Q207)</f>
        <v>9</v>
      </c>
      <c r="R207" s="21">
        <f>SUM(NhatkyNhap!$C207:R207)-SUM(NhatkyBan!$C207:R207)</f>
        <v>9</v>
      </c>
      <c r="S207" s="21">
        <f>SUM(NhatkyNhap!$C207:S207)-SUM(NhatkyBan!$C207:S207)</f>
        <v>9</v>
      </c>
      <c r="T207" s="21">
        <f>SUM(NhatkyNhap!$C207:T207)-SUM(NhatkyBan!$C207:T207)</f>
        <v>9</v>
      </c>
      <c r="U207" s="21">
        <f>SUM(NhatkyNhap!$C207:U207)-SUM(NhatkyBan!$C207:U207)</f>
        <v>9</v>
      </c>
      <c r="V207" s="21">
        <f>SUM(NhatkyNhap!$C207:V207)-SUM(NhatkyBan!$C207:V207)</f>
        <v>9</v>
      </c>
      <c r="W207" s="21">
        <f>SUM(NhatkyNhap!$C207:W207)-SUM(NhatkyBan!$C207:W207)</f>
        <v>9</v>
      </c>
      <c r="X207" s="21">
        <f>SUM(NhatkyNhap!$C207:X207)-SUM(NhatkyBan!$C207:X207)</f>
        <v>9</v>
      </c>
      <c r="Y207" s="21">
        <f>SUM(NhatkyNhap!$C207:Y207)-SUM(NhatkyBan!$C207:Y207)</f>
        <v>9</v>
      </c>
      <c r="Z207" s="21">
        <f>SUM(NhatkyNhap!$C207:Z207)-SUM(NhatkyBan!$C207:Z207)</f>
        <v>9</v>
      </c>
      <c r="AA207" s="21">
        <f>SUM(NhatkyNhap!$C207:AA207)-SUM(NhatkyBan!$C207:AA207)</f>
        <v>9</v>
      </c>
      <c r="AB207" s="21">
        <f>SUM(NhatkyNhap!$C207:AB207)-SUM(NhatkyBan!$C207:AB207)</f>
        <v>9</v>
      </c>
      <c r="AC207" s="21">
        <f>SUM(NhatkyNhap!$C207:AC207)-SUM(NhatkyBan!$C207:AC207)</f>
        <v>9</v>
      </c>
      <c r="AD207" s="21">
        <f>SUM(NhatkyNhap!$C207:AD207)-SUM(NhatkyBan!$C207:AD207)</f>
        <v>9</v>
      </c>
      <c r="AE207" s="21">
        <f>SUM(NhatkyNhap!$C207:AE207)-SUM(NhatkyBan!$C207:AE207)</f>
        <v>9</v>
      </c>
      <c r="AF207" s="21">
        <f>SUM(NhatkyNhap!$C207:AF207)-SUM(NhatkyBan!$C207:AF207)</f>
        <v>9</v>
      </c>
      <c r="AG207" s="21">
        <f>SUM(NhatkyNhap!$C207:AG207)-SUM(NhatkyBan!$C207:AG207)</f>
        <v>9</v>
      </c>
    </row>
    <row r="208" spans="1:33" ht="12.75" customHeight="1">
      <c r="A208" s="76" t="str">
        <f>DSSP!A207</f>
        <v>GC132</v>
      </c>
      <c r="B208" s="25" t="str">
        <f>DSSP!B207</f>
        <v>Trái tim cách điệu</v>
      </c>
      <c r="C208" s="21">
        <f>SUM(NhatkyNhap!$C208:C208)-SUM(NhatkyBan!$C208:C208)</f>
        <v>8</v>
      </c>
      <c r="D208" s="21">
        <f>SUM(NhatkyNhap!$C208:D208)-SUM(NhatkyBan!$C208:D208)</f>
        <v>8</v>
      </c>
      <c r="E208" s="21">
        <f>SUM(NhatkyNhap!$C208:E208)-SUM(NhatkyBan!$C208:E208)</f>
        <v>8</v>
      </c>
      <c r="F208" s="21">
        <f>SUM(NhatkyNhap!$C208:F208)-SUM(NhatkyBan!$C208:F208)</f>
        <v>8</v>
      </c>
      <c r="G208" s="21">
        <f>SUM(NhatkyNhap!$C208:G208)-SUM(NhatkyBan!$C208:G208)</f>
        <v>8</v>
      </c>
      <c r="H208" s="21">
        <f>SUM(NhatkyNhap!$C208:H208)-SUM(NhatkyBan!$C208:H208)</f>
        <v>8</v>
      </c>
      <c r="I208" s="21">
        <f>SUM(NhatkyNhap!$C208:I208)-SUM(NhatkyBan!$C208:I208)</f>
        <v>8</v>
      </c>
      <c r="J208" s="21">
        <f>SUM(NhatkyNhap!$C208:J208)-SUM(NhatkyBan!$C208:J208)</f>
        <v>8</v>
      </c>
      <c r="K208" s="21">
        <f>SUM(NhatkyNhap!$C208:K208)-SUM(NhatkyBan!$C208:K208)</f>
        <v>8</v>
      </c>
      <c r="L208" s="21">
        <f>SUM(NhatkyNhap!$C208:L208)-SUM(NhatkyBan!$C208:L208)</f>
        <v>8</v>
      </c>
      <c r="M208" s="21">
        <f>SUM(NhatkyNhap!$C208:M208)-SUM(NhatkyBan!$C208:M208)</f>
        <v>8</v>
      </c>
      <c r="N208" s="21">
        <f>SUM(NhatkyNhap!$C208:N208)-SUM(NhatkyBan!$C208:N208)</f>
        <v>8</v>
      </c>
      <c r="O208" s="21">
        <f>SUM(NhatkyNhap!$C208:O208)-SUM(NhatkyBan!$C208:O208)</f>
        <v>8</v>
      </c>
      <c r="P208" s="21">
        <f>SUM(NhatkyNhap!$C208:P208)-SUM(NhatkyBan!$C208:P208)</f>
        <v>8</v>
      </c>
      <c r="Q208" s="21">
        <f>SUM(NhatkyNhap!$C208:Q208)-SUM(NhatkyBan!$C208:Q208)</f>
        <v>8</v>
      </c>
      <c r="R208" s="21">
        <f>SUM(NhatkyNhap!$C208:R208)-SUM(NhatkyBan!$C208:R208)</f>
        <v>8</v>
      </c>
      <c r="S208" s="21">
        <f>SUM(NhatkyNhap!$C208:S208)-SUM(NhatkyBan!$C208:S208)</f>
        <v>8</v>
      </c>
      <c r="T208" s="21">
        <f>SUM(NhatkyNhap!$C208:T208)-SUM(NhatkyBan!$C208:T208)</f>
        <v>8</v>
      </c>
      <c r="U208" s="21">
        <f>SUM(NhatkyNhap!$C208:U208)-SUM(NhatkyBan!$C208:U208)</f>
        <v>8</v>
      </c>
      <c r="V208" s="21">
        <f>SUM(NhatkyNhap!$C208:V208)-SUM(NhatkyBan!$C208:V208)</f>
        <v>8</v>
      </c>
      <c r="W208" s="21">
        <f>SUM(NhatkyNhap!$C208:W208)-SUM(NhatkyBan!$C208:W208)</f>
        <v>8</v>
      </c>
      <c r="X208" s="21">
        <f>SUM(NhatkyNhap!$C208:X208)-SUM(NhatkyBan!$C208:X208)</f>
        <v>8</v>
      </c>
      <c r="Y208" s="21">
        <f>SUM(NhatkyNhap!$C208:Y208)-SUM(NhatkyBan!$C208:Y208)</f>
        <v>8</v>
      </c>
      <c r="Z208" s="21">
        <f>SUM(NhatkyNhap!$C208:Z208)-SUM(NhatkyBan!$C208:Z208)</f>
        <v>8</v>
      </c>
      <c r="AA208" s="21">
        <f>SUM(NhatkyNhap!$C208:AA208)-SUM(NhatkyBan!$C208:AA208)</f>
        <v>8</v>
      </c>
      <c r="AB208" s="21">
        <f>SUM(NhatkyNhap!$C208:AB208)-SUM(NhatkyBan!$C208:AB208)</f>
        <v>8</v>
      </c>
      <c r="AC208" s="21">
        <f>SUM(NhatkyNhap!$C208:AC208)-SUM(NhatkyBan!$C208:AC208)</f>
        <v>8</v>
      </c>
      <c r="AD208" s="21">
        <f>SUM(NhatkyNhap!$C208:AD208)-SUM(NhatkyBan!$C208:AD208)</f>
        <v>8</v>
      </c>
      <c r="AE208" s="21">
        <f>SUM(NhatkyNhap!$C208:AE208)-SUM(NhatkyBan!$C208:AE208)</f>
        <v>8</v>
      </c>
      <c r="AF208" s="21">
        <f>SUM(NhatkyNhap!$C208:AF208)-SUM(NhatkyBan!$C208:AF208)</f>
        <v>8</v>
      </c>
      <c r="AG208" s="21">
        <f>SUM(NhatkyNhap!$C208:AG208)-SUM(NhatkyBan!$C208:AG208)</f>
        <v>8</v>
      </c>
    </row>
    <row r="209" spans="1:33" ht="12.75" customHeight="1">
      <c r="A209" s="76" t="str">
        <f>DSSP!A208</f>
        <v>GC133</v>
      </c>
      <c r="B209" s="25" t="str">
        <f>DSSP!B208</f>
        <v>Chìa khóa hoa</v>
      </c>
      <c r="C209" s="21">
        <f>SUM(NhatkyNhap!$C209:C209)-SUM(NhatkyBan!$C209:C209)</f>
        <v>10</v>
      </c>
      <c r="D209" s="21">
        <f>SUM(NhatkyNhap!$C209:D209)-SUM(NhatkyBan!$C209:D209)</f>
        <v>10</v>
      </c>
      <c r="E209" s="21">
        <f>SUM(NhatkyNhap!$C209:E209)-SUM(NhatkyBan!$C209:E209)</f>
        <v>10</v>
      </c>
      <c r="F209" s="21">
        <f>SUM(NhatkyNhap!$C209:F209)-SUM(NhatkyBan!$C209:F209)</f>
        <v>10</v>
      </c>
      <c r="G209" s="21">
        <f>SUM(NhatkyNhap!$C209:G209)-SUM(NhatkyBan!$C209:G209)</f>
        <v>10</v>
      </c>
      <c r="H209" s="21">
        <f>SUM(NhatkyNhap!$C209:H209)-SUM(NhatkyBan!$C209:H209)</f>
        <v>10</v>
      </c>
      <c r="I209" s="21">
        <f>SUM(NhatkyNhap!$C209:I209)-SUM(NhatkyBan!$C209:I209)</f>
        <v>10</v>
      </c>
      <c r="J209" s="21">
        <f>SUM(NhatkyNhap!$C209:J209)-SUM(NhatkyBan!$C209:J209)</f>
        <v>10</v>
      </c>
      <c r="K209" s="21">
        <f>SUM(NhatkyNhap!$C209:K209)-SUM(NhatkyBan!$C209:K209)</f>
        <v>10</v>
      </c>
      <c r="L209" s="21">
        <f>SUM(NhatkyNhap!$C209:L209)-SUM(NhatkyBan!$C209:L209)</f>
        <v>10</v>
      </c>
      <c r="M209" s="21">
        <f>SUM(NhatkyNhap!$C209:M209)-SUM(NhatkyBan!$C209:M209)</f>
        <v>10</v>
      </c>
      <c r="N209" s="21">
        <f>SUM(NhatkyNhap!$C209:N209)-SUM(NhatkyBan!$C209:N209)</f>
        <v>10</v>
      </c>
      <c r="O209" s="21">
        <f>SUM(NhatkyNhap!$C209:O209)-SUM(NhatkyBan!$C209:O209)</f>
        <v>10</v>
      </c>
      <c r="P209" s="21">
        <f>SUM(NhatkyNhap!$C209:P209)-SUM(NhatkyBan!$C209:P209)</f>
        <v>10</v>
      </c>
      <c r="Q209" s="21">
        <f>SUM(NhatkyNhap!$C209:Q209)-SUM(NhatkyBan!$C209:Q209)</f>
        <v>10</v>
      </c>
      <c r="R209" s="21">
        <f>SUM(NhatkyNhap!$C209:R209)-SUM(NhatkyBan!$C209:R209)</f>
        <v>10</v>
      </c>
      <c r="S209" s="21">
        <f>SUM(NhatkyNhap!$C209:S209)-SUM(NhatkyBan!$C209:S209)</f>
        <v>10</v>
      </c>
      <c r="T209" s="21">
        <f>SUM(NhatkyNhap!$C209:T209)-SUM(NhatkyBan!$C209:T209)</f>
        <v>10</v>
      </c>
      <c r="U209" s="21">
        <f>SUM(NhatkyNhap!$C209:U209)-SUM(NhatkyBan!$C209:U209)</f>
        <v>10</v>
      </c>
      <c r="V209" s="21">
        <f>SUM(NhatkyNhap!$C209:V209)-SUM(NhatkyBan!$C209:V209)</f>
        <v>10</v>
      </c>
      <c r="W209" s="21">
        <f>SUM(NhatkyNhap!$C209:W209)-SUM(NhatkyBan!$C209:W209)</f>
        <v>10</v>
      </c>
      <c r="X209" s="21">
        <f>SUM(NhatkyNhap!$C209:X209)-SUM(NhatkyBan!$C209:X209)</f>
        <v>10</v>
      </c>
      <c r="Y209" s="21">
        <f>SUM(NhatkyNhap!$C209:Y209)-SUM(NhatkyBan!$C209:Y209)</f>
        <v>10</v>
      </c>
      <c r="Z209" s="21">
        <f>SUM(NhatkyNhap!$C209:Z209)-SUM(NhatkyBan!$C209:Z209)</f>
        <v>10</v>
      </c>
      <c r="AA209" s="21">
        <f>SUM(NhatkyNhap!$C209:AA209)-SUM(NhatkyBan!$C209:AA209)</f>
        <v>10</v>
      </c>
      <c r="AB209" s="21">
        <f>SUM(NhatkyNhap!$C209:AB209)-SUM(NhatkyBan!$C209:AB209)</f>
        <v>10</v>
      </c>
      <c r="AC209" s="21">
        <f>SUM(NhatkyNhap!$C209:AC209)-SUM(NhatkyBan!$C209:AC209)</f>
        <v>10</v>
      </c>
      <c r="AD209" s="21">
        <f>SUM(NhatkyNhap!$C209:AD209)-SUM(NhatkyBan!$C209:AD209)</f>
        <v>10</v>
      </c>
      <c r="AE209" s="21">
        <f>SUM(NhatkyNhap!$C209:AE209)-SUM(NhatkyBan!$C209:AE209)</f>
        <v>10</v>
      </c>
      <c r="AF209" s="21">
        <f>SUM(NhatkyNhap!$C209:AF209)-SUM(NhatkyBan!$C209:AF209)</f>
        <v>10</v>
      </c>
      <c r="AG209" s="21">
        <f>SUM(NhatkyNhap!$C209:AG209)-SUM(NhatkyBan!$C209:AG209)</f>
        <v>10</v>
      </c>
    </row>
    <row r="210" spans="1:33" ht="12.75" customHeight="1">
      <c r="A210" s="76" t="str">
        <f>DSSP!A209</f>
        <v>GC134</v>
      </c>
      <c r="B210" s="25" t="str">
        <f>DSSP!B209</f>
        <v>Cỏ 4 lá</v>
      </c>
      <c r="C210" s="21">
        <f>SUM(NhatkyNhap!$C210:C210)-SUM(NhatkyBan!$C210:C210)</f>
        <v>1</v>
      </c>
      <c r="D210" s="21">
        <f>SUM(NhatkyNhap!$C210:D210)-SUM(NhatkyBan!$C210:D210)</f>
        <v>1</v>
      </c>
      <c r="E210" s="21">
        <f>SUM(NhatkyNhap!$C210:E210)-SUM(NhatkyBan!$C210:E210)</f>
        <v>1</v>
      </c>
      <c r="F210" s="21">
        <f>SUM(NhatkyNhap!$C210:F210)-SUM(NhatkyBan!$C210:F210)</f>
        <v>1</v>
      </c>
      <c r="G210" s="21">
        <f>SUM(NhatkyNhap!$C210:G210)-SUM(NhatkyBan!$C210:G210)</f>
        <v>1</v>
      </c>
      <c r="H210" s="21">
        <f>SUM(NhatkyNhap!$C210:H210)-SUM(NhatkyBan!$C210:H210)</f>
        <v>1</v>
      </c>
      <c r="I210" s="21">
        <f>SUM(NhatkyNhap!$C210:I210)-SUM(NhatkyBan!$C210:I210)</f>
        <v>1</v>
      </c>
      <c r="J210" s="21">
        <f>SUM(NhatkyNhap!$C210:J210)-SUM(NhatkyBan!$C210:J210)</f>
        <v>1</v>
      </c>
      <c r="K210" s="21">
        <f>SUM(NhatkyNhap!$C210:K210)-SUM(NhatkyBan!$C210:K210)</f>
        <v>1</v>
      </c>
      <c r="L210" s="21">
        <f>SUM(NhatkyNhap!$C210:L210)-SUM(NhatkyBan!$C210:L210)</f>
        <v>1</v>
      </c>
      <c r="M210" s="21">
        <f>SUM(NhatkyNhap!$C210:M210)-SUM(NhatkyBan!$C210:M210)</f>
        <v>1</v>
      </c>
      <c r="N210" s="21">
        <f>SUM(NhatkyNhap!$C210:N210)-SUM(NhatkyBan!$C210:N210)</f>
        <v>1</v>
      </c>
      <c r="O210" s="21">
        <f>SUM(NhatkyNhap!$C210:O210)-SUM(NhatkyBan!$C210:O210)</f>
        <v>1</v>
      </c>
      <c r="P210" s="21">
        <f>SUM(NhatkyNhap!$C210:P210)-SUM(NhatkyBan!$C210:P210)</f>
        <v>1</v>
      </c>
      <c r="Q210" s="21">
        <f>SUM(NhatkyNhap!$C210:Q210)-SUM(NhatkyBan!$C210:Q210)</f>
        <v>1</v>
      </c>
      <c r="R210" s="21">
        <f>SUM(NhatkyNhap!$C210:R210)-SUM(NhatkyBan!$C210:R210)</f>
        <v>1</v>
      </c>
      <c r="S210" s="21">
        <f>SUM(NhatkyNhap!$C210:S210)-SUM(NhatkyBan!$C210:S210)</f>
        <v>1</v>
      </c>
      <c r="T210" s="21">
        <f>SUM(NhatkyNhap!$C210:T210)-SUM(NhatkyBan!$C210:T210)</f>
        <v>1</v>
      </c>
      <c r="U210" s="21">
        <f>SUM(NhatkyNhap!$C210:U210)-SUM(NhatkyBan!$C210:U210)</f>
        <v>1</v>
      </c>
      <c r="V210" s="21">
        <f>SUM(NhatkyNhap!$C210:V210)-SUM(NhatkyBan!$C210:V210)</f>
        <v>1</v>
      </c>
      <c r="W210" s="21">
        <f>SUM(NhatkyNhap!$C210:W210)-SUM(NhatkyBan!$C210:W210)</f>
        <v>1</v>
      </c>
      <c r="X210" s="21">
        <f>SUM(NhatkyNhap!$C210:X210)-SUM(NhatkyBan!$C210:X210)</f>
        <v>1</v>
      </c>
      <c r="Y210" s="21">
        <f>SUM(NhatkyNhap!$C210:Y210)-SUM(NhatkyBan!$C210:Y210)</f>
        <v>1</v>
      </c>
      <c r="Z210" s="21">
        <f>SUM(NhatkyNhap!$C210:Z210)-SUM(NhatkyBan!$C210:Z210)</f>
        <v>1</v>
      </c>
      <c r="AA210" s="21">
        <f>SUM(NhatkyNhap!$C210:AA210)-SUM(NhatkyBan!$C210:AA210)</f>
        <v>1</v>
      </c>
      <c r="AB210" s="21">
        <f>SUM(NhatkyNhap!$C210:AB210)-SUM(NhatkyBan!$C210:AB210)</f>
        <v>1</v>
      </c>
      <c r="AC210" s="21">
        <f>SUM(NhatkyNhap!$C210:AC210)-SUM(NhatkyBan!$C210:AC210)</f>
        <v>1</v>
      </c>
      <c r="AD210" s="21">
        <f>SUM(NhatkyNhap!$C210:AD210)-SUM(NhatkyBan!$C210:AD210)</f>
        <v>1</v>
      </c>
      <c r="AE210" s="21">
        <f>SUM(NhatkyNhap!$C210:AE210)-SUM(NhatkyBan!$C210:AE210)</f>
        <v>1</v>
      </c>
      <c r="AF210" s="21">
        <f>SUM(NhatkyNhap!$C210:AF210)-SUM(NhatkyBan!$C210:AF210)</f>
        <v>1</v>
      </c>
      <c r="AG210" s="21">
        <f>SUM(NhatkyNhap!$C210:AG210)-SUM(NhatkyBan!$C210:AG210)</f>
        <v>1</v>
      </c>
    </row>
    <row r="211" spans="1:33" ht="12.75" customHeight="1">
      <c r="A211" s="76" t="str">
        <f>DSSP!A210</f>
        <v>GC135</v>
      </c>
      <c r="B211" s="25" t="str">
        <f>DSSP!B210</f>
        <v>Đôi cánh</v>
      </c>
      <c r="C211" s="21">
        <f>SUM(NhatkyNhap!$C211:C211)-SUM(NhatkyBan!$C211:C211)</f>
        <v>3</v>
      </c>
      <c r="D211" s="21">
        <f>SUM(NhatkyNhap!$C211:D211)-SUM(NhatkyBan!$C211:D211)</f>
        <v>3</v>
      </c>
      <c r="E211" s="21">
        <f>SUM(NhatkyNhap!$C211:E211)-SUM(NhatkyBan!$C211:E211)</f>
        <v>3</v>
      </c>
      <c r="F211" s="21">
        <f>SUM(NhatkyNhap!$C211:F211)-SUM(NhatkyBan!$C211:F211)</f>
        <v>3</v>
      </c>
      <c r="G211" s="21">
        <f>SUM(NhatkyNhap!$C211:G211)-SUM(NhatkyBan!$C211:G211)</f>
        <v>3</v>
      </c>
      <c r="H211" s="21">
        <f>SUM(NhatkyNhap!$C211:H211)-SUM(NhatkyBan!$C211:H211)</f>
        <v>3</v>
      </c>
      <c r="I211" s="21">
        <f>SUM(NhatkyNhap!$C211:I211)-SUM(NhatkyBan!$C211:I211)</f>
        <v>3</v>
      </c>
      <c r="J211" s="21">
        <f>SUM(NhatkyNhap!$C211:J211)-SUM(NhatkyBan!$C211:J211)</f>
        <v>3</v>
      </c>
      <c r="K211" s="21">
        <f>SUM(NhatkyNhap!$C211:K211)-SUM(NhatkyBan!$C211:K211)</f>
        <v>3</v>
      </c>
      <c r="L211" s="21">
        <f>SUM(NhatkyNhap!$C211:L211)-SUM(NhatkyBan!$C211:L211)</f>
        <v>3</v>
      </c>
      <c r="M211" s="21">
        <f>SUM(NhatkyNhap!$C211:M211)-SUM(NhatkyBan!$C211:M211)</f>
        <v>3</v>
      </c>
      <c r="N211" s="21">
        <f>SUM(NhatkyNhap!$C211:N211)-SUM(NhatkyBan!$C211:N211)</f>
        <v>3</v>
      </c>
      <c r="O211" s="21">
        <f>SUM(NhatkyNhap!$C211:O211)-SUM(NhatkyBan!$C211:O211)</f>
        <v>3</v>
      </c>
      <c r="P211" s="21">
        <f>SUM(NhatkyNhap!$C211:P211)-SUM(NhatkyBan!$C211:P211)</f>
        <v>3</v>
      </c>
      <c r="Q211" s="21">
        <f>SUM(NhatkyNhap!$C211:Q211)-SUM(NhatkyBan!$C211:Q211)</f>
        <v>3</v>
      </c>
      <c r="R211" s="21">
        <f>SUM(NhatkyNhap!$C211:R211)-SUM(NhatkyBan!$C211:R211)</f>
        <v>3</v>
      </c>
      <c r="S211" s="21">
        <f>SUM(NhatkyNhap!$C211:S211)-SUM(NhatkyBan!$C211:S211)</f>
        <v>3</v>
      </c>
      <c r="T211" s="21">
        <f>SUM(NhatkyNhap!$C211:T211)-SUM(NhatkyBan!$C211:T211)</f>
        <v>3</v>
      </c>
      <c r="U211" s="21">
        <f>SUM(NhatkyNhap!$C211:U211)-SUM(NhatkyBan!$C211:U211)</f>
        <v>3</v>
      </c>
      <c r="V211" s="21">
        <f>SUM(NhatkyNhap!$C211:V211)-SUM(NhatkyBan!$C211:V211)</f>
        <v>3</v>
      </c>
      <c r="W211" s="21">
        <f>SUM(NhatkyNhap!$C211:W211)-SUM(NhatkyBan!$C211:W211)</f>
        <v>3</v>
      </c>
      <c r="X211" s="21">
        <f>SUM(NhatkyNhap!$C211:X211)-SUM(NhatkyBan!$C211:X211)</f>
        <v>3</v>
      </c>
      <c r="Y211" s="21">
        <f>SUM(NhatkyNhap!$C211:Y211)-SUM(NhatkyBan!$C211:Y211)</f>
        <v>3</v>
      </c>
      <c r="Z211" s="21">
        <f>SUM(NhatkyNhap!$C211:Z211)-SUM(NhatkyBan!$C211:Z211)</f>
        <v>3</v>
      </c>
      <c r="AA211" s="21">
        <f>SUM(NhatkyNhap!$C211:AA211)-SUM(NhatkyBan!$C211:AA211)</f>
        <v>3</v>
      </c>
      <c r="AB211" s="21">
        <f>SUM(NhatkyNhap!$C211:AB211)-SUM(NhatkyBan!$C211:AB211)</f>
        <v>3</v>
      </c>
      <c r="AC211" s="21">
        <f>SUM(NhatkyNhap!$C211:AC211)-SUM(NhatkyBan!$C211:AC211)</f>
        <v>3</v>
      </c>
      <c r="AD211" s="21">
        <f>SUM(NhatkyNhap!$C211:AD211)-SUM(NhatkyBan!$C211:AD211)</f>
        <v>3</v>
      </c>
      <c r="AE211" s="21">
        <f>SUM(NhatkyNhap!$C211:AE211)-SUM(NhatkyBan!$C211:AE211)</f>
        <v>3</v>
      </c>
      <c r="AF211" s="21">
        <f>SUM(NhatkyNhap!$C211:AF211)-SUM(NhatkyBan!$C211:AF211)</f>
        <v>3</v>
      </c>
      <c r="AG211" s="21">
        <f>SUM(NhatkyNhap!$C211:AG211)-SUM(NhatkyBan!$C211:AG211)</f>
        <v>3</v>
      </c>
    </row>
    <row r="212" spans="1:33" ht="12.75" customHeight="1">
      <c r="A212" s="76" t="str">
        <f>DSSP!A211</f>
        <v>GC136</v>
      </c>
      <c r="B212" s="25" t="str">
        <f>DSSP!B211</f>
        <v>Ấm trà</v>
      </c>
      <c r="C212" s="21">
        <f>SUM(NhatkyNhap!$C212:C212)-SUM(NhatkyBan!$C212:C212)</f>
        <v>38</v>
      </c>
      <c r="D212" s="21">
        <f>SUM(NhatkyNhap!$C212:D212)-SUM(NhatkyBan!$C212:D212)</f>
        <v>38</v>
      </c>
      <c r="E212" s="21">
        <f>SUM(NhatkyNhap!$C212:E212)-SUM(NhatkyBan!$C212:E212)</f>
        <v>38</v>
      </c>
      <c r="F212" s="21">
        <f>SUM(NhatkyNhap!$C212:F212)-SUM(NhatkyBan!$C212:F212)</f>
        <v>38</v>
      </c>
      <c r="G212" s="21">
        <f>SUM(NhatkyNhap!$C212:G212)-SUM(NhatkyBan!$C212:G212)</f>
        <v>38</v>
      </c>
      <c r="H212" s="21">
        <f>SUM(NhatkyNhap!$C212:H212)-SUM(NhatkyBan!$C212:H212)</f>
        <v>38</v>
      </c>
      <c r="I212" s="21">
        <f>SUM(NhatkyNhap!$C212:I212)-SUM(NhatkyBan!$C212:I212)</f>
        <v>38</v>
      </c>
      <c r="J212" s="21">
        <f>SUM(NhatkyNhap!$C212:J212)-SUM(NhatkyBan!$C212:J212)</f>
        <v>38</v>
      </c>
      <c r="K212" s="21">
        <f>SUM(NhatkyNhap!$C212:K212)-SUM(NhatkyBan!$C212:K212)</f>
        <v>38</v>
      </c>
      <c r="L212" s="21">
        <f>SUM(NhatkyNhap!$C212:L212)-SUM(NhatkyBan!$C212:L212)</f>
        <v>38</v>
      </c>
      <c r="M212" s="21">
        <f>SUM(NhatkyNhap!$C212:M212)-SUM(NhatkyBan!$C212:M212)</f>
        <v>38</v>
      </c>
      <c r="N212" s="21">
        <f>SUM(NhatkyNhap!$C212:N212)-SUM(NhatkyBan!$C212:N212)</f>
        <v>38</v>
      </c>
      <c r="O212" s="21">
        <f>SUM(NhatkyNhap!$C212:O212)-SUM(NhatkyBan!$C212:O212)</f>
        <v>38</v>
      </c>
      <c r="P212" s="21">
        <f>SUM(NhatkyNhap!$C212:P212)-SUM(NhatkyBan!$C212:P212)</f>
        <v>38</v>
      </c>
      <c r="Q212" s="21">
        <f>SUM(NhatkyNhap!$C212:Q212)-SUM(NhatkyBan!$C212:Q212)</f>
        <v>38</v>
      </c>
      <c r="R212" s="21">
        <f>SUM(NhatkyNhap!$C212:R212)-SUM(NhatkyBan!$C212:R212)</f>
        <v>38</v>
      </c>
      <c r="S212" s="21">
        <f>SUM(NhatkyNhap!$C212:S212)-SUM(NhatkyBan!$C212:S212)</f>
        <v>38</v>
      </c>
      <c r="T212" s="21">
        <f>SUM(NhatkyNhap!$C212:T212)-SUM(NhatkyBan!$C212:T212)</f>
        <v>38</v>
      </c>
      <c r="U212" s="21">
        <f>SUM(NhatkyNhap!$C212:U212)-SUM(NhatkyBan!$C212:U212)</f>
        <v>38</v>
      </c>
      <c r="V212" s="21">
        <f>SUM(NhatkyNhap!$C212:V212)-SUM(NhatkyBan!$C212:V212)</f>
        <v>38</v>
      </c>
      <c r="W212" s="21">
        <f>SUM(NhatkyNhap!$C212:W212)-SUM(NhatkyBan!$C212:W212)</f>
        <v>38</v>
      </c>
      <c r="X212" s="21">
        <f>SUM(NhatkyNhap!$C212:X212)-SUM(NhatkyBan!$C212:X212)</f>
        <v>38</v>
      </c>
      <c r="Y212" s="21">
        <f>SUM(NhatkyNhap!$C212:Y212)-SUM(NhatkyBan!$C212:Y212)</f>
        <v>38</v>
      </c>
      <c r="Z212" s="21">
        <f>SUM(NhatkyNhap!$C212:Z212)-SUM(NhatkyBan!$C212:Z212)</f>
        <v>38</v>
      </c>
      <c r="AA212" s="21">
        <f>SUM(NhatkyNhap!$C212:AA212)-SUM(NhatkyBan!$C212:AA212)</f>
        <v>38</v>
      </c>
      <c r="AB212" s="21">
        <f>SUM(NhatkyNhap!$C212:AB212)-SUM(NhatkyBan!$C212:AB212)</f>
        <v>38</v>
      </c>
      <c r="AC212" s="21">
        <f>SUM(NhatkyNhap!$C212:AC212)-SUM(NhatkyBan!$C212:AC212)</f>
        <v>38</v>
      </c>
      <c r="AD212" s="21">
        <f>SUM(NhatkyNhap!$C212:AD212)-SUM(NhatkyBan!$C212:AD212)</f>
        <v>38</v>
      </c>
      <c r="AE212" s="21">
        <f>SUM(NhatkyNhap!$C212:AE212)-SUM(NhatkyBan!$C212:AE212)</f>
        <v>38</v>
      </c>
      <c r="AF212" s="21">
        <f>SUM(NhatkyNhap!$C212:AF212)-SUM(NhatkyBan!$C212:AF212)</f>
        <v>38</v>
      </c>
      <c r="AG212" s="21">
        <f>SUM(NhatkyNhap!$C212:AG212)-SUM(NhatkyBan!$C212:AG212)</f>
        <v>38</v>
      </c>
    </row>
    <row r="213" spans="1:33" ht="12.75" customHeight="1">
      <c r="A213" s="76" t="str">
        <f>DSSP!A212</f>
        <v>GC137</v>
      </c>
      <c r="B213" s="25" t="str">
        <f>DSSP!B212</f>
        <v>Chìa khoá đôi</v>
      </c>
      <c r="C213" s="21">
        <f>SUM(NhatkyNhap!$C213:C213)-SUM(NhatkyBan!$C213:C213)</f>
        <v>71</v>
      </c>
      <c r="D213" s="21">
        <f>SUM(NhatkyNhap!$C213:D213)-SUM(NhatkyBan!$C213:D213)</f>
        <v>71</v>
      </c>
      <c r="E213" s="21">
        <f>SUM(NhatkyNhap!$C213:E213)-SUM(NhatkyBan!$C213:E213)</f>
        <v>71</v>
      </c>
      <c r="F213" s="21">
        <f>SUM(NhatkyNhap!$C213:F213)-SUM(NhatkyBan!$C213:F213)</f>
        <v>71</v>
      </c>
      <c r="G213" s="21">
        <f>SUM(NhatkyNhap!$C213:G213)-SUM(NhatkyBan!$C213:G213)</f>
        <v>71</v>
      </c>
      <c r="H213" s="21">
        <f>SUM(NhatkyNhap!$C213:H213)-SUM(NhatkyBan!$C213:H213)</f>
        <v>71</v>
      </c>
      <c r="I213" s="21">
        <f>SUM(NhatkyNhap!$C213:I213)-SUM(NhatkyBan!$C213:I213)</f>
        <v>71</v>
      </c>
      <c r="J213" s="21">
        <f>SUM(NhatkyNhap!$C213:J213)-SUM(NhatkyBan!$C213:J213)</f>
        <v>71</v>
      </c>
      <c r="K213" s="21">
        <f>SUM(NhatkyNhap!$C213:K213)-SUM(NhatkyBan!$C213:K213)</f>
        <v>71</v>
      </c>
      <c r="L213" s="21">
        <f>SUM(NhatkyNhap!$C213:L213)-SUM(NhatkyBan!$C213:L213)</f>
        <v>71</v>
      </c>
      <c r="M213" s="21">
        <f>SUM(NhatkyNhap!$C213:M213)-SUM(NhatkyBan!$C213:M213)</f>
        <v>71</v>
      </c>
      <c r="N213" s="21">
        <f>SUM(NhatkyNhap!$C213:N213)-SUM(NhatkyBan!$C213:N213)</f>
        <v>71</v>
      </c>
      <c r="O213" s="21">
        <f>SUM(NhatkyNhap!$C213:O213)-SUM(NhatkyBan!$C213:O213)</f>
        <v>71</v>
      </c>
      <c r="P213" s="21">
        <f>SUM(NhatkyNhap!$C213:P213)-SUM(NhatkyBan!$C213:P213)</f>
        <v>71</v>
      </c>
      <c r="Q213" s="21">
        <f>SUM(NhatkyNhap!$C213:Q213)-SUM(NhatkyBan!$C213:Q213)</f>
        <v>71</v>
      </c>
      <c r="R213" s="21">
        <f>SUM(NhatkyNhap!$C213:R213)-SUM(NhatkyBan!$C213:R213)</f>
        <v>71</v>
      </c>
      <c r="S213" s="21">
        <f>SUM(NhatkyNhap!$C213:S213)-SUM(NhatkyBan!$C213:S213)</f>
        <v>71</v>
      </c>
      <c r="T213" s="21">
        <f>SUM(NhatkyNhap!$C213:T213)-SUM(NhatkyBan!$C213:T213)</f>
        <v>71</v>
      </c>
      <c r="U213" s="21">
        <f>SUM(NhatkyNhap!$C213:U213)-SUM(NhatkyBan!$C213:U213)</f>
        <v>71</v>
      </c>
      <c r="V213" s="21">
        <f>SUM(NhatkyNhap!$C213:V213)-SUM(NhatkyBan!$C213:V213)</f>
        <v>71</v>
      </c>
      <c r="W213" s="21">
        <f>SUM(NhatkyNhap!$C213:W213)-SUM(NhatkyBan!$C213:W213)</f>
        <v>71</v>
      </c>
      <c r="X213" s="21">
        <f>SUM(NhatkyNhap!$C213:X213)-SUM(NhatkyBan!$C213:X213)</f>
        <v>71</v>
      </c>
      <c r="Y213" s="21">
        <f>SUM(NhatkyNhap!$C213:Y213)-SUM(NhatkyBan!$C213:Y213)</f>
        <v>71</v>
      </c>
      <c r="Z213" s="21">
        <f>SUM(NhatkyNhap!$C213:Z213)-SUM(NhatkyBan!$C213:Z213)</f>
        <v>71</v>
      </c>
      <c r="AA213" s="21">
        <f>SUM(NhatkyNhap!$C213:AA213)-SUM(NhatkyBan!$C213:AA213)</f>
        <v>71</v>
      </c>
      <c r="AB213" s="21">
        <f>SUM(NhatkyNhap!$C213:AB213)-SUM(NhatkyBan!$C213:AB213)</f>
        <v>71</v>
      </c>
      <c r="AC213" s="21">
        <f>SUM(NhatkyNhap!$C213:AC213)-SUM(NhatkyBan!$C213:AC213)</f>
        <v>71</v>
      </c>
      <c r="AD213" s="21">
        <f>SUM(NhatkyNhap!$C213:AD213)-SUM(NhatkyBan!$C213:AD213)</f>
        <v>71</v>
      </c>
      <c r="AE213" s="21">
        <f>SUM(NhatkyNhap!$C213:AE213)-SUM(NhatkyBan!$C213:AE213)</f>
        <v>71</v>
      </c>
      <c r="AF213" s="21">
        <f>SUM(NhatkyNhap!$C213:AF213)-SUM(NhatkyBan!$C213:AF213)</f>
        <v>71</v>
      </c>
      <c r="AG213" s="21">
        <f>SUM(NhatkyNhap!$C213:AG213)-SUM(NhatkyBan!$C213:AG213)</f>
        <v>71</v>
      </c>
    </row>
    <row r="214" spans="1:33" ht="12.75" customHeight="1">
      <c r="A214" s="76" t="str">
        <f>DSSP!A213</f>
        <v>GC138</v>
      </c>
      <c r="B214" s="25" t="str">
        <f>DSSP!B213</f>
        <v>Vòng tròn peace</v>
      </c>
      <c r="C214" s="21">
        <f>SUM(NhatkyNhap!$C214:C214)-SUM(NhatkyBan!$C214:C214)</f>
        <v>10</v>
      </c>
      <c r="D214" s="21">
        <f>SUM(NhatkyNhap!$C214:D214)-SUM(NhatkyBan!$C214:D214)</f>
        <v>10</v>
      </c>
      <c r="E214" s="21">
        <f>SUM(NhatkyNhap!$C214:E214)-SUM(NhatkyBan!$C214:E214)</f>
        <v>10</v>
      </c>
      <c r="F214" s="21">
        <f>SUM(NhatkyNhap!$C214:F214)-SUM(NhatkyBan!$C214:F214)</f>
        <v>10</v>
      </c>
      <c r="G214" s="21">
        <f>SUM(NhatkyNhap!$C214:G214)-SUM(NhatkyBan!$C214:G214)</f>
        <v>10</v>
      </c>
      <c r="H214" s="21">
        <f>SUM(NhatkyNhap!$C214:H214)-SUM(NhatkyBan!$C214:H214)</f>
        <v>10</v>
      </c>
      <c r="I214" s="21">
        <f>SUM(NhatkyNhap!$C214:I214)-SUM(NhatkyBan!$C214:I214)</f>
        <v>10</v>
      </c>
      <c r="J214" s="21">
        <f>SUM(NhatkyNhap!$C214:J214)-SUM(NhatkyBan!$C214:J214)</f>
        <v>10</v>
      </c>
      <c r="K214" s="21">
        <f>SUM(NhatkyNhap!$C214:K214)-SUM(NhatkyBan!$C214:K214)</f>
        <v>10</v>
      </c>
      <c r="L214" s="21">
        <f>SUM(NhatkyNhap!$C214:L214)-SUM(NhatkyBan!$C214:L214)</f>
        <v>10</v>
      </c>
      <c r="M214" s="21">
        <f>SUM(NhatkyNhap!$C214:M214)-SUM(NhatkyBan!$C214:M214)</f>
        <v>10</v>
      </c>
      <c r="N214" s="21">
        <f>SUM(NhatkyNhap!$C214:N214)-SUM(NhatkyBan!$C214:N214)</f>
        <v>10</v>
      </c>
      <c r="O214" s="21">
        <f>SUM(NhatkyNhap!$C214:O214)-SUM(NhatkyBan!$C214:O214)</f>
        <v>10</v>
      </c>
      <c r="P214" s="21">
        <f>SUM(NhatkyNhap!$C214:P214)-SUM(NhatkyBan!$C214:P214)</f>
        <v>10</v>
      </c>
      <c r="Q214" s="21">
        <f>SUM(NhatkyNhap!$C214:Q214)-SUM(NhatkyBan!$C214:Q214)</f>
        <v>10</v>
      </c>
      <c r="R214" s="21">
        <f>SUM(NhatkyNhap!$C214:R214)-SUM(NhatkyBan!$C214:R214)</f>
        <v>10</v>
      </c>
      <c r="S214" s="21">
        <f>SUM(NhatkyNhap!$C214:S214)-SUM(NhatkyBan!$C214:S214)</f>
        <v>10</v>
      </c>
      <c r="T214" s="21">
        <f>SUM(NhatkyNhap!$C214:T214)-SUM(NhatkyBan!$C214:T214)</f>
        <v>10</v>
      </c>
      <c r="U214" s="21">
        <f>SUM(NhatkyNhap!$C214:U214)-SUM(NhatkyBan!$C214:U214)</f>
        <v>10</v>
      </c>
      <c r="V214" s="21">
        <f>SUM(NhatkyNhap!$C214:V214)-SUM(NhatkyBan!$C214:V214)</f>
        <v>10</v>
      </c>
      <c r="W214" s="21">
        <f>SUM(NhatkyNhap!$C214:W214)-SUM(NhatkyBan!$C214:W214)</f>
        <v>10</v>
      </c>
      <c r="X214" s="21">
        <f>SUM(NhatkyNhap!$C214:X214)-SUM(NhatkyBan!$C214:X214)</f>
        <v>10</v>
      </c>
      <c r="Y214" s="21">
        <f>SUM(NhatkyNhap!$C214:Y214)-SUM(NhatkyBan!$C214:Y214)</f>
        <v>10</v>
      </c>
      <c r="Z214" s="21">
        <f>SUM(NhatkyNhap!$C214:Z214)-SUM(NhatkyBan!$C214:Z214)</f>
        <v>10</v>
      </c>
      <c r="AA214" s="21">
        <f>SUM(NhatkyNhap!$C214:AA214)-SUM(NhatkyBan!$C214:AA214)</f>
        <v>10</v>
      </c>
      <c r="AB214" s="21">
        <f>SUM(NhatkyNhap!$C214:AB214)-SUM(NhatkyBan!$C214:AB214)</f>
        <v>10</v>
      </c>
      <c r="AC214" s="21">
        <f>SUM(NhatkyNhap!$C214:AC214)-SUM(NhatkyBan!$C214:AC214)</f>
        <v>10</v>
      </c>
      <c r="AD214" s="21">
        <f>SUM(NhatkyNhap!$C214:AD214)-SUM(NhatkyBan!$C214:AD214)</f>
        <v>10</v>
      </c>
      <c r="AE214" s="21">
        <f>SUM(NhatkyNhap!$C214:AE214)-SUM(NhatkyBan!$C214:AE214)</f>
        <v>10</v>
      </c>
      <c r="AF214" s="21">
        <f>SUM(NhatkyNhap!$C214:AF214)-SUM(NhatkyBan!$C214:AF214)</f>
        <v>10</v>
      </c>
      <c r="AG214" s="21">
        <f>SUM(NhatkyNhap!$C214:AG214)-SUM(NhatkyBan!$C214:AG214)</f>
        <v>10</v>
      </c>
    </row>
    <row r="215" spans="1:33" ht="12.75" customHeight="1">
      <c r="A215" s="76" t="str">
        <f>DSSP!A214</f>
        <v>GC139</v>
      </c>
      <c r="B215" s="25" t="str">
        <f>DSSP!B214</f>
        <v>Be proud</v>
      </c>
      <c r="C215" s="21">
        <f>SUM(NhatkyNhap!$C215:C215)-SUM(NhatkyBan!$C215:C215)</f>
        <v>0</v>
      </c>
      <c r="D215" s="21">
        <f>SUM(NhatkyNhap!$C215:D215)-SUM(NhatkyBan!$C215:D215)</f>
        <v>0</v>
      </c>
      <c r="E215" s="21">
        <f>SUM(NhatkyNhap!$C215:E215)-SUM(NhatkyBan!$C215:E215)</f>
        <v>0</v>
      </c>
      <c r="F215" s="21">
        <f>SUM(NhatkyNhap!$C215:F215)-SUM(NhatkyBan!$C215:F215)</f>
        <v>0</v>
      </c>
      <c r="G215" s="21">
        <f>SUM(NhatkyNhap!$C215:G215)-SUM(NhatkyBan!$C215:G215)</f>
        <v>0</v>
      </c>
      <c r="H215" s="21">
        <f>SUM(NhatkyNhap!$C215:H215)-SUM(NhatkyBan!$C215:H215)</f>
        <v>0</v>
      </c>
      <c r="I215" s="21">
        <f>SUM(NhatkyNhap!$C215:I215)-SUM(NhatkyBan!$C215:I215)</f>
        <v>0</v>
      </c>
      <c r="J215" s="21">
        <f>SUM(NhatkyNhap!$C215:J215)-SUM(NhatkyBan!$C215:J215)</f>
        <v>0</v>
      </c>
      <c r="K215" s="21">
        <f>SUM(NhatkyNhap!$C215:K215)-SUM(NhatkyBan!$C215:K215)</f>
        <v>0</v>
      </c>
      <c r="L215" s="21">
        <f>SUM(NhatkyNhap!$C215:L215)-SUM(NhatkyBan!$C215:L215)</f>
        <v>0</v>
      </c>
      <c r="M215" s="21">
        <f>SUM(NhatkyNhap!$C215:M215)-SUM(NhatkyBan!$C215:M215)</f>
        <v>0</v>
      </c>
      <c r="N215" s="21">
        <f>SUM(NhatkyNhap!$C215:N215)-SUM(NhatkyBan!$C215:N215)</f>
        <v>0</v>
      </c>
      <c r="O215" s="21">
        <f>SUM(NhatkyNhap!$C215:O215)-SUM(NhatkyBan!$C215:O215)</f>
        <v>0</v>
      </c>
      <c r="P215" s="21">
        <f>SUM(NhatkyNhap!$C215:P215)-SUM(NhatkyBan!$C215:P215)</f>
        <v>0</v>
      </c>
      <c r="Q215" s="21">
        <f>SUM(NhatkyNhap!$C215:Q215)-SUM(NhatkyBan!$C215:Q215)</f>
        <v>0</v>
      </c>
      <c r="R215" s="21">
        <f>SUM(NhatkyNhap!$C215:R215)-SUM(NhatkyBan!$C215:R215)</f>
        <v>0</v>
      </c>
      <c r="S215" s="21">
        <f>SUM(NhatkyNhap!$C215:S215)-SUM(NhatkyBan!$C215:S215)</f>
        <v>0</v>
      </c>
      <c r="T215" s="21">
        <f>SUM(NhatkyNhap!$C215:T215)-SUM(NhatkyBan!$C215:T215)</f>
        <v>0</v>
      </c>
      <c r="U215" s="21">
        <f>SUM(NhatkyNhap!$C215:U215)-SUM(NhatkyBan!$C215:U215)</f>
        <v>0</v>
      </c>
      <c r="V215" s="21">
        <f>SUM(NhatkyNhap!$C215:V215)-SUM(NhatkyBan!$C215:V215)</f>
        <v>0</v>
      </c>
      <c r="W215" s="21">
        <f>SUM(NhatkyNhap!$C215:W215)-SUM(NhatkyBan!$C215:W215)</f>
        <v>0</v>
      </c>
      <c r="X215" s="21">
        <f>SUM(NhatkyNhap!$C215:X215)-SUM(NhatkyBan!$C215:X215)</f>
        <v>0</v>
      </c>
      <c r="Y215" s="21">
        <f>SUM(NhatkyNhap!$C215:Y215)-SUM(NhatkyBan!$C215:Y215)</f>
        <v>0</v>
      </c>
      <c r="Z215" s="21">
        <f>SUM(NhatkyNhap!$C215:Z215)-SUM(NhatkyBan!$C215:Z215)</f>
        <v>0</v>
      </c>
      <c r="AA215" s="21">
        <f>SUM(NhatkyNhap!$C215:AA215)-SUM(NhatkyBan!$C215:AA215)</f>
        <v>0</v>
      </c>
      <c r="AB215" s="21">
        <f>SUM(NhatkyNhap!$C215:AB215)-SUM(NhatkyBan!$C215:AB215)</f>
        <v>0</v>
      </c>
      <c r="AC215" s="21">
        <f>SUM(NhatkyNhap!$C215:AC215)-SUM(NhatkyBan!$C215:AC215)</f>
        <v>0</v>
      </c>
      <c r="AD215" s="21">
        <f>SUM(NhatkyNhap!$C215:AD215)-SUM(NhatkyBan!$C215:AD215)</f>
        <v>0</v>
      </c>
      <c r="AE215" s="21">
        <f>SUM(NhatkyNhap!$C215:AE215)-SUM(NhatkyBan!$C215:AE215)</f>
        <v>0</v>
      </c>
      <c r="AF215" s="21">
        <f>SUM(NhatkyNhap!$C215:AF215)-SUM(NhatkyBan!$C215:AF215)</f>
        <v>0</v>
      </c>
      <c r="AG215" s="21">
        <f>SUM(NhatkyNhap!$C215:AG215)-SUM(NhatkyBan!$C215:AG215)</f>
        <v>0</v>
      </c>
    </row>
    <row r="216" spans="1:33" ht="12.75" customHeight="1">
      <c r="A216" s="76" t="str">
        <f>DSSP!A215</f>
        <v>GC140</v>
      </c>
      <c r="B216" s="25" t="str">
        <f>DSSP!B215</f>
        <v>Vòng tròn 3 lá đeo cổ</v>
      </c>
      <c r="C216" s="21">
        <f>SUM(NhatkyNhap!$C216:C216)-SUM(NhatkyBan!$C216:C216)</f>
        <v>20</v>
      </c>
      <c r="D216" s="21">
        <f>SUM(NhatkyNhap!$C216:D216)-SUM(NhatkyBan!$C216:D216)</f>
        <v>20</v>
      </c>
      <c r="E216" s="21">
        <f>SUM(NhatkyNhap!$C216:E216)-SUM(NhatkyBan!$C216:E216)</f>
        <v>20</v>
      </c>
      <c r="F216" s="21">
        <f>SUM(NhatkyNhap!$C216:F216)-SUM(NhatkyBan!$C216:F216)</f>
        <v>20</v>
      </c>
      <c r="G216" s="21">
        <f>SUM(NhatkyNhap!$C216:G216)-SUM(NhatkyBan!$C216:G216)</f>
        <v>20</v>
      </c>
      <c r="H216" s="21">
        <f>SUM(NhatkyNhap!$C216:H216)-SUM(NhatkyBan!$C216:H216)</f>
        <v>20</v>
      </c>
      <c r="I216" s="21">
        <f>SUM(NhatkyNhap!$C216:I216)-SUM(NhatkyBan!$C216:I216)</f>
        <v>20</v>
      </c>
      <c r="J216" s="21">
        <f>SUM(NhatkyNhap!$C216:J216)-SUM(NhatkyBan!$C216:J216)</f>
        <v>20</v>
      </c>
      <c r="K216" s="21">
        <f>SUM(NhatkyNhap!$C216:K216)-SUM(NhatkyBan!$C216:K216)</f>
        <v>20</v>
      </c>
      <c r="L216" s="21">
        <f>SUM(NhatkyNhap!$C216:L216)-SUM(NhatkyBan!$C216:L216)</f>
        <v>20</v>
      </c>
      <c r="M216" s="21">
        <f>SUM(NhatkyNhap!$C216:M216)-SUM(NhatkyBan!$C216:M216)</f>
        <v>20</v>
      </c>
      <c r="N216" s="21">
        <f>SUM(NhatkyNhap!$C216:N216)-SUM(NhatkyBan!$C216:N216)</f>
        <v>20</v>
      </c>
      <c r="O216" s="21">
        <f>SUM(NhatkyNhap!$C216:O216)-SUM(NhatkyBan!$C216:O216)</f>
        <v>20</v>
      </c>
      <c r="P216" s="21">
        <f>SUM(NhatkyNhap!$C216:P216)-SUM(NhatkyBan!$C216:P216)</f>
        <v>20</v>
      </c>
      <c r="Q216" s="21">
        <f>SUM(NhatkyNhap!$C216:Q216)-SUM(NhatkyBan!$C216:Q216)</f>
        <v>20</v>
      </c>
      <c r="R216" s="21">
        <f>SUM(NhatkyNhap!$C216:R216)-SUM(NhatkyBan!$C216:R216)</f>
        <v>20</v>
      </c>
      <c r="S216" s="21">
        <f>SUM(NhatkyNhap!$C216:S216)-SUM(NhatkyBan!$C216:S216)</f>
        <v>20</v>
      </c>
      <c r="T216" s="21">
        <f>SUM(NhatkyNhap!$C216:T216)-SUM(NhatkyBan!$C216:T216)</f>
        <v>20</v>
      </c>
      <c r="U216" s="21">
        <f>SUM(NhatkyNhap!$C216:U216)-SUM(NhatkyBan!$C216:U216)</f>
        <v>20</v>
      </c>
      <c r="V216" s="21">
        <f>SUM(NhatkyNhap!$C216:V216)-SUM(NhatkyBan!$C216:V216)</f>
        <v>20</v>
      </c>
      <c r="W216" s="21">
        <f>SUM(NhatkyNhap!$C216:W216)-SUM(NhatkyBan!$C216:W216)</f>
        <v>20</v>
      </c>
      <c r="X216" s="21">
        <f>SUM(NhatkyNhap!$C216:X216)-SUM(NhatkyBan!$C216:X216)</f>
        <v>20</v>
      </c>
      <c r="Y216" s="21">
        <f>SUM(NhatkyNhap!$C216:Y216)-SUM(NhatkyBan!$C216:Y216)</f>
        <v>20</v>
      </c>
      <c r="Z216" s="21">
        <f>SUM(NhatkyNhap!$C216:Z216)-SUM(NhatkyBan!$C216:Z216)</f>
        <v>20</v>
      </c>
      <c r="AA216" s="21">
        <f>SUM(NhatkyNhap!$C216:AA216)-SUM(NhatkyBan!$C216:AA216)</f>
        <v>20</v>
      </c>
      <c r="AB216" s="21">
        <f>SUM(NhatkyNhap!$C216:AB216)-SUM(NhatkyBan!$C216:AB216)</f>
        <v>20</v>
      </c>
      <c r="AC216" s="21">
        <f>SUM(NhatkyNhap!$C216:AC216)-SUM(NhatkyBan!$C216:AC216)</f>
        <v>20</v>
      </c>
      <c r="AD216" s="21">
        <f>SUM(NhatkyNhap!$C216:AD216)-SUM(NhatkyBan!$C216:AD216)</f>
        <v>20</v>
      </c>
      <c r="AE216" s="21">
        <f>SUM(NhatkyNhap!$C216:AE216)-SUM(NhatkyBan!$C216:AE216)</f>
        <v>20</v>
      </c>
      <c r="AF216" s="21">
        <f>SUM(NhatkyNhap!$C216:AF216)-SUM(NhatkyBan!$C216:AF216)</f>
        <v>20</v>
      </c>
      <c r="AG216" s="21">
        <f>SUM(NhatkyNhap!$C216:AG216)-SUM(NhatkyBan!$C216:AG216)</f>
        <v>20</v>
      </c>
    </row>
    <row r="217" spans="1:33" ht="12.75" customHeight="1">
      <c r="A217" s="76" t="str">
        <f>DSSP!A216</f>
        <v>GC141</v>
      </c>
      <c r="B217" s="25" t="str">
        <f>DSSP!B216</f>
        <v>Tháp eiffel 1 mặt</v>
      </c>
      <c r="C217" s="21">
        <f>SUM(NhatkyNhap!$C217:C217)-SUM(NhatkyBan!$C217:C217)</f>
        <v>0</v>
      </c>
      <c r="D217" s="21">
        <f>SUM(NhatkyNhap!$C217:D217)-SUM(NhatkyBan!$C217:D217)</f>
        <v>0</v>
      </c>
      <c r="E217" s="21">
        <f>SUM(NhatkyNhap!$C217:E217)-SUM(NhatkyBan!$C217:E217)</f>
        <v>0</v>
      </c>
      <c r="F217" s="21">
        <f>SUM(NhatkyNhap!$C217:F217)-SUM(NhatkyBan!$C217:F217)</f>
        <v>0</v>
      </c>
      <c r="G217" s="21">
        <f>SUM(NhatkyNhap!$C217:G217)-SUM(NhatkyBan!$C217:G217)</f>
        <v>0</v>
      </c>
      <c r="H217" s="21">
        <f>SUM(NhatkyNhap!$C217:H217)-SUM(NhatkyBan!$C217:H217)</f>
        <v>0</v>
      </c>
      <c r="I217" s="21">
        <f>SUM(NhatkyNhap!$C217:I217)-SUM(NhatkyBan!$C217:I217)</f>
        <v>0</v>
      </c>
      <c r="J217" s="21">
        <f>SUM(NhatkyNhap!$C217:J217)-SUM(NhatkyBan!$C217:J217)</f>
        <v>0</v>
      </c>
      <c r="K217" s="21">
        <f>SUM(NhatkyNhap!$C217:K217)-SUM(NhatkyBan!$C217:K217)</f>
        <v>0</v>
      </c>
      <c r="L217" s="21">
        <f>SUM(NhatkyNhap!$C217:L217)-SUM(NhatkyBan!$C217:L217)</f>
        <v>0</v>
      </c>
      <c r="M217" s="21">
        <f>SUM(NhatkyNhap!$C217:M217)-SUM(NhatkyBan!$C217:M217)</f>
        <v>0</v>
      </c>
      <c r="N217" s="21">
        <f>SUM(NhatkyNhap!$C217:N217)-SUM(NhatkyBan!$C217:N217)</f>
        <v>0</v>
      </c>
      <c r="O217" s="21">
        <f>SUM(NhatkyNhap!$C217:O217)-SUM(NhatkyBan!$C217:O217)</f>
        <v>0</v>
      </c>
      <c r="P217" s="21">
        <f>SUM(NhatkyNhap!$C217:P217)-SUM(NhatkyBan!$C217:P217)</f>
        <v>0</v>
      </c>
      <c r="Q217" s="21">
        <f>SUM(NhatkyNhap!$C217:Q217)-SUM(NhatkyBan!$C217:Q217)</f>
        <v>0</v>
      </c>
      <c r="R217" s="21">
        <f>SUM(NhatkyNhap!$C217:R217)-SUM(NhatkyBan!$C217:R217)</f>
        <v>0</v>
      </c>
      <c r="S217" s="21">
        <f>SUM(NhatkyNhap!$C217:S217)-SUM(NhatkyBan!$C217:S217)</f>
        <v>0</v>
      </c>
      <c r="T217" s="21">
        <f>SUM(NhatkyNhap!$C217:T217)-SUM(NhatkyBan!$C217:T217)</f>
        <v>0</v>
      </c>
      <c r="U217" s="21">
        <f>SUM(NhatkyNhap!$C217:U217)-SUM(NhatkyBan!$C217:U217)</f>
        <v>0</v>
      </c>
      <c r="V217" s="21">
        <f>SUM(NhatkyNhap!$C217:V217)-SUM(NhatkyBan!$C217:V217)</f>
        <v>0</v>
      </c>
      <c r="W217" s="21">
        <f>SUM(NhatkyNhap!$C217:W217)-SUM(NhatkyBan!$C217:W217)</f>
        <v>0</v>
      </c>
      <c r="X217" s="21">
        <f>SUM(NhatkyNhap!$C217:X217)-SUM(NhatkyBan!$C217:X217)</f>
        <v>0</v>
      </c>
      <c r="Y217" s="21">
        <f>SUM(NhatkyNhap!$C217:Y217)-SUM(NhatkyBan!$C217:Y217)</f>
        <v>0</v>
      </c>
      <c r="Z217" s="21">
        <f>SUM(NhatkyNhap!$C217:Z217)-SUM(NhatkyBan!$C217:Z217)</f>
        <v>0</v>
      </c>
      <c r="AA217" s="21">
        <f>SUM(NhatkyNhap!$C217:AA217)-SUM(NhatkyBan!$C217:AA217)</f>
        <v>0</v>
      </c>
      <c r="AB217" s="21">
        <f>SUM(NhatkyNhap!$C217:AB217)-SUM(NhatkyBan!$C217:AB217)</f>
        <v>0</v>
      </c>
      <c r="AC217" s="21">
        <f>SUM(NhatkyNhap!$C217:AC217)-SUM(NhatkyBan!$C217:AC217)</f>
        <v>0</v>
      </c>
      <c r="AD217" s="21">
        <f>SUM(NhatkyNhap!$C217:AD217)-SUM(NhatkyBan!$C217:AD217)</f>
        <v>0</v>
      </c>
      <c r="AE217" s="21">
        <f>SUM(NhatkyNhap!$C217:AE217)-SUM(NhatkyBan!$C217:AE217)</f>
        <v>0</v>
      </c>
      <c r="AF217" s="21">
        <f>SUM(NhatkyNhap!$C217:AF217)-SUM(NhatkyBan!$C217:AF217)</f>
        <v>0</v>
      </c>
      <c r="AG217" s="21">
        <f>SUM(NhatkyNhap!$C217:AG217)-SUM(NhatkyBan!$C217:AG217)</f>
        <v>0</v>
      </c>
    </row>
    <row r="218" spans="1:33" ht="12.75" customHeight="1">
      <c r="A218" s="76" t="str">
        <f>DSSP!A217</f>
        <v>GC142</v>
      </c>
      <c r="B218" s="25" t="str">
        <f>DSSP!B217</f>
        <v>Bánh lái</v>
      </c>
      <c r="C218" s="21">
        <f>SUM(NhatkyNhap!$C218:C218)-SUM(NhatkyBan!$C218:C218)</f>
        <v>26</v>
      </c>
      <c r="D218" s="21">
        <f>SUM(NhatkyNhap!$C218:D218)-SUM(NhatkyBan!$C218:D218)</f>
        <v>26</v>
      </c>
      <c r="E218" s="21">
        <f>SUM(NhatkyNhap!$C218:E218)-SUM(NhatkyBan!$C218:E218)</f>
        <v>26</v>
      </c>
      <c r="F218" s="21">
        <f>SUM(NhatkyNhap!$C218:F218)-SUM(NhatkyBan!$C218:F218)</f>
        <v>26</v>
      </c>
      <c r="G218" s="21">
        <f>SUM(NhatkyNhap!$C218:G218)-SUM(NhatkyBan!$C218:G218)</f>
        <v>26</v>
      </c>
      <c r="H218" s="21">
        <f>SUM(NhatkyNhap!$C218:H218)-SUM(NhatkyBan!$C218:H218)</f>
        <v>26</v>
      </c>
      <c r="I218" s="21">
        <f>SUM(NhatkyNhap!$C218:I218)-SUM(NhatkyBan!$C218:I218)</f>
        <v>26</v>
      </c>
      <c r="J218" s="21">
        <f>SUM(NhatkyNhap!$C218:J218)-SUM(NhatkyBan!$C218:J218)</f>
        <v>26</v>
      </c>
      <c r="K218" s="21">
        <f>SUM(NhatkyNhap!$C218:K218)-SUM(NhatkyBan!$C218:K218)</f>
        <v>26</v>
      </c>
      <c r="L218" s="21">
        <f>SUM(NhatkyNhap!$C218:L218)-SUM(NhatkyBan!$C218:L218)</f>
        <v>26</v>
      </c>
      <c r="M218" s="21">
        <f>SUM(NhatkyNhap!$C218:M218)-SUM(NhatkyBan!$C218:M218)</f>
        <v>26</v>
      </c>
      <c r="N218" s="21">
        <f>SUM(NhatkyNhap!$C218:N218)-SUM(NhatkyBan!$C218:N218)</f>
        <v>26</v>
      </c>
      <c r="O218" s="21">
        <f>SUM(NhatkyNhap!$C218:O218)-SUM(NhatkyBan!$C218:O218)</f>
        <v>26</v>
      </c>
      <c r="P218" s="21">
        <f>SUM(NhatkyNhap!$C218:P218)-SUM(NhatkyBan!$C218:P218)</f>
        <v>26</v>
      </c>
      <c r="Q218" s="21">
        <f>SUM(NhatkyNhap!$C218:Q218)-SUM(NhatkyBan!$C218:Q218)</f>
        <v>26</v>
      </c>
      <c r="R218" s="21">
        <f>SUM(NhatkyNhap!$C218:R218)-SUM(NhatkyBan!$C218:R218)</f>
        <v>26</v>
      </c>
      <c r="S218" s="21">
        <f>SUM(NhatkyNhap!$C218:S218)-SUM(NhatkyBan!$C218:S218)</f>
        <v>26</v>
      </c>
      <c r="T218" s="21">
        <f>SUM(NhatkyNhap!$C218:T218)-SUM(NhatkyBan!$C218:T218)</f>
        <v>26</v>
      </c>
      <c r="U218" s="21">
        <f>SUM(NhatkyNhap!$C218:U218)-SUM(NhatkyBan!$C218:U218)</f>
        <v>26</v>
      </c>
      <c r="V218" s="21">
        <f>SUM(NhatkyNhap!$C218:V218)-SUM(NhatkyBan!$C218:V218)</f>
        <v>26</v>
      </c>
      <c r="W218" s="21">
        <f>SUM(NhatkyNhap!$C218:W218)-SUM(NhatkyBan!$C218:W218)</f>
        <v>26</v>
      </c>
      <c r="X218" s="21">
        <f>SUM(NhatkyNhap!$C218:X218)-SUM(NhatkyBan!$C218:X218)</f>
        <v>26</v>
      </c>
      <c r="Y218" s="21">
        <f>SUM(NhatkyNhap!$C218:Y218)-SUM(NhatkyBan!$C218:Y218)</f>
        <v>26</v>
      </c>
      <c r="Z218" s="21">
        <f>SUM(NhatkyNhap!$C218:Z218)-SUM(NhatkyBan!$C218:Z218)</f>
        <v>26</v>
      </c>
      <c r="AA218" s="21">
        <f>SUM(NhatkyNhap!$C218:AA218)-SUM(NhatkyBan!$C218:AA218)</f>
        <v>26</v>
      </c>
      <c r="AB218" s="21">
        <f>SUM(NhatkyNhap!$C218:AB218)-SUM(NhatkyBan!$C218:AB218)</f>
        <v>26</v>
      </c>
      <c r="AC218" s="21">
        <f>SUM(NhatkyNhap!$C218:AC218)-SUM(NhatkyBan!$C218:AC218)</f>
        <v>26</v>
      </c>
      <c r="AD218" s="21">
        <f>SUM(NhatkyNhap!$C218:AD218)-SUM(NhatkyBan!$C218:AD218)</f>
        <v>26</v>
      </c>
      <c r="AE218" s="21">
        <f>SUM(NhatkyNhap!$C218:AE218)-SUM(NhatkyBan!$C218:AE218)</f>
        <v>26</v>
      </c>
      <c r="AF218" s="21">
        <f>SUM(NhatkyNhap!$C218:AF218)-SUM(NhatkyBan!$C218:AF218)</f>
        <v>26</v>
      </c>
      <c r="AG218" s="21">
        <f>SUM(NhatkyNhap!$C218:AG218)-SUM(NhatkyBan!$C218:AG218)</f>
        <v>26</v>
      </c>
    </row>
    <row r="219" spans="1:33" ht="12.75" customHeight="1">
      <c r="A219" s="76" t="str">
        <f>DSSP!A218</f>
        <v>GC143</v>
      </c>
      <c r="B219" s="25" t="str">
        <f>DSSP!B218</f>
        <v>Mỏ neo cách điệu</v>
      </c>
      <c r="C219" s="21">
        <f>SUM(NhatkyNhap!$C219:C219)-SUM(NhatkyBan!$C219:C219)</f>
        <v>41</v>
      </c>
      <c r="D219" s="21">
        <f>SUM(NhatkyNhap!$C219:D219)-SUM(NhatkyBan!$C219:D219)</f>
        <v>41</v>
      </c>
      <c r="E219" s="21">
        <f>SUM(NhatkyNhap!$C219:E219)-SUM(NhatkyBan!$C219:E219)</f>
        <v>41</v>
      </c>
      <c r="F219" s="21">
        <f>SUM(NhatkyNhap!$C219:F219)-SUM(NhatkyBan!$C219:F219)</f>
        <v>41</v>
      </c>
      <c r="G219" s="21">
        <f>SUM(NhatkyNhap!$C219:G219)-SUM(NhatkyBan!$C219:G219)</f>
        <v>41</v>
      </c>
      <c r="H219" s="21">
        <f>SUM(NhatkyNhap!$C219:H219)-SUM(NhatkyBan!$C219:H219)</f>
        <v>41</v>
      </c>
      <c r="I219" s="21">
        <f>SUM(NhatkyNhap!$C219:I219)-SUM(NhatkyBan!$C219:I219)</f>
        <v>41</v>
      </c>
      <c r="J219" s="21">
        <f>SUM(NhatkyNhap!$C219:J219)-SUM(NhatkyBan!$C219:J219)</f>
        <v>41</v>
      </c>
      <c r="K219" s="21">
        <f>SUM(NhatkyNhap!$C219:K219)-SUM(NhatkyBan!$C219:K219)</f>
        <v>41</v>
      </c>
      <c r="L219" s="21">
        <f>SUM(NhatkyNhap!$C219:L219)-SUM(NhatkyBan!$C219:L219)</f>
        <v>41</v>
      </c>
      <c r="M219" s="21">
        <f>SUM(NhatkyNhap!$C219:M219)-SUM(NhatkyBan!$C219:M219)</f>
        <v>41</v>
      </c>
      <c r="N219" s="21">
        <f>SUM(NhatkyNhap!$C219:N219)-SUM(NhatkyBan!$C219:N219)</f>
        <v>41</v>
      </c>
      <c r="O219" s="21">
        <f>SUM(NhatkyNhap!$C219:O219)-SUM(NhatkyBan!$C219:O219)</f>
        <v>41</v>
      </c>
      <c r="P219" s="21">
        <f>SUM(NhatkyNhap!$C219:P219)-SUM(NhatkyBan!$C219:P219)</f>
        <v>41</v>
      </c>
      <c r="Q219" s="21">
        <f>SUM(NhatkyNhap!$C219:Q219)-SUM(NhatkyBan!$C219:Q219)</f>
        <v>41</v>
      </c>
      <c r="R219" s="21">
        <f>SUM(NhatkyNhap!$C219:R219)-SUM(NhatkyBan!$C219:R219)</f>
        <v>41</v>
      </c>
      <c r="S219" s="21">
        <f>SUM(NhatkyNhap!$C219:S219)-SUM(NhatkyBan!$C219:S219)</f>
        <v>41</v>
      </c>
      <c r="T219" s="21">
        <f>SUM(NhatkyNhap!$C219:T219)-SUM(NhatkyBan!$C219:T219)</f>
        <v>41</v>
      </c>
      <c r="U219" s="21">
        <f>SUM(NhatkyNhap!$C219:U219)-SUM(NhatkyBan!$C219:U219)</f>
        <v>41</v>
      </c>
      <c r="V219" s="21">
        <f>SUM(NhatkyNhap!$C219:V219)-SUM(NhatkyBan!$C219:V219)</f>
        <v>41</v>
      </c>
      <c r="W219" s="21">
        <f>SUM(NhatkyNhap!$C219:W219)-SUM(NhatkyBan!$C219:W219)</f>
        <v>41</v>
      </c>
      <c r="X219" s="21">
        <f>SUM(NhatkyNhap!$C219:X219)-SUM(NhatkyBan!$C219:X219)</f>
        <v>41</v>
      </c>
      <c r="Y219" s="21">
        <f>SUM(NhatkyNhap!$C219:Y219)-SUM(NhatkyBan!$C219:Y219)</f>
        <v>41</v>
      </c>
      <c r="Z219" s="21">
        <f>SUM(NhatkyNhap!$C219:Z219)-SUM(NhatkyBan!$C219:Z219)</f>
        <v>41</v>
      </c>
      <c r="AA219" s="21">
        <f>SUM(NhatkyNhap!$C219:AA219)-SUM(NhatkyBan!$C219:AA219)</f>
        <v>41</v>
      </c>
      <c r="AB219" s="21">
        <f>SUM(NhatkyNhap!$C219:AB219)-SUM(NhatkyBan!$C219:AB219)</f>
        <v>41</v>
      </c>
      <c r="AC219" s="21">
        <f>SUM(NhatkyNhap!$C219:AC219)-SUM(NhatkyBan!$C219:AC219)</f>
        <v>41</v>
      </c>
      <c r="AD219" s="21">
        <f>SUM(NhatkyNhap!$C219:AD219)-SUM(NhatkyBan!$C219:AD219)</f>
        <v>41</v>
      </c>
      <c r="AE219" s="21">
        <f>SUM(NhatkyNhap!$C219:AE219)-SUM(NhatkyBan!$C219:AE219)</f>
        <v>41</v>
      </c>
      <c r="AF219" s="21">
        <f>SUM(NhatkyNhap!$C219:AF219)-SUM(NhatkyBan!$C219:AF219)</f>
        <v>41</v>
      </c>
      <c r="AG219" s="21">
        <f>SUM(NhatkyNhap!$C219:AG219)-SUM(NhatkyBan!$C219:AG219)</f>
        <v>41</v>
      </c>
    </row>
    <row r="220" spans="1:33" ht="12.75" customHeight="1">
      <c r="A220" s="76" t="str">
        <f>DSSP!A219</f>
        <v>GC144</v>
      </c>
      <c r="B220" s="25" t="str">
        <f>DSSP!B219</f>
        <v>Vương miện</v>
      </c>
      <c r="C220" s="21">
        <f>SUM(NhatkyNhap!$C220:C220)-SUM(NhatkyBan!$C220:C220)</f>
        <v>0</v>
      </c>
      <c r="D220" s="21">
        <f>SUM(NhatkyNhap!$C220:D220)-SUM(NhatkyBan!$C220:D220)</f>
        <v>0</v>
      </c>
      <c r="E220" s="21">
        <f>SUM(NhatkyNhap!$C220:E220)-SUM(NhatkyBan!$C220:E220)</f>
        <v>0</v>
      </c>
      <c r="F220" s="21">
        <f>SUM(NhatkyNhap!$C220:F220)-SUM(NhatkyBan!$C220:F220)</f>
        <v>0</v>
      </c>
      <c r="G220" s="21">
        <f>SUM(NhatkyNhap!$C220:G220)-SUM(NhatkyBan!$C220:G220)</f>
        <v>0</v>
      </c>
      <c r="H220" s="21">
        <f>SUM(NhatkyNhap!$C220:H220)-SUM(NhatkyBan!$C220:H220)</f>
        <v>0</v>
      </c>
      <c r="I220" s="21">
        <f>SUM(NhatkyNhap!$C220:I220)-SUM(NhatkyBan!$C220:I220)</f>
        <v>0</v>
      </c>
      <c r="J220" s="21">
        <f>SUM(NhatkyNhap!$C220:J220)-SUM(NhatkyBan!$C220:J220)</f>
        <v>0</v>
      </c>
      <c r="K220" s="21">
        <f>SUM(NhatkyNhap!$C220:K220)-SUM(NhatkyBan!$C220:K220)</f>
        <v>0</v>
      </c>
      <c r="L220" s="21">
        <f>SUM(NhatkyNhap!$C220:L220)-SUM(NhatkyBan!$C220:L220)</f>
        <v>0</v>
      </c>
      <c r="M220" s="21">
        <f>SUM(NhatkyNhap!$C220:M220)-SUM(NhatkyBan!$C220:M220)</f>
        <v>0</v>
      </c>
      <c r="N220" s="21">
        <f>SUM(NhatkyNhap!$C220:N220)-SUM(NhatkyBan!$C220:N220)</f>
        <v>0</v>
      </c>
      <c r="O220" s="21">
        <f>SUM(NhatkyNhap!$C220:O220)-SUM(NhatkyBan!$C220:O220)</f>
        <v>0</v>
      </c>
      <c r="P220" s="21">
        <f>SUM(NhatkyNhap!$C220:P220)-SUM(NhatkyBan!$C220:P220)</f>
        <v>0</v>
      </c>
      <c r="Q220" s="21">
        <f>SUM(NhatkyNhap!$C220:Q220)-SUM(NhatkyBan!$C220:Q220)</f>
        <v>0</v>
      </c>
      <c r="R220" s="21">
        <f>SUM(NhatkyNhap!$C220:R220)-SUM(NhatkyBan!$C220:R220)</f>
        <v>0</v>
      </c>
      <c r="S220" s="21">
        <f>SUM(NhatkyNhap!$C220:S220)-SUM(NhatkyBan!$C220:S220)</f>
        <v>0</v>
      </c>
      <c r="T220" s="21">
        <f>SUM(NhatkyNhap!$C220:T220)-SUM(NhatkyBan!$C220:T220)</f>
        <v>0</v>
      </c>
      <c r="U220" s="21">
        <f>SUM(NhatkyNhap!$C220:U220)-SUM(NhatkyBan!$C220:U220)</f>
        <v>0</v>
      </c>
      <c r="V220" s="21">
        <f>SUM(NhatkyNhap!$C220:V220)-SUM(NhatkyBan!$C220:V220)</f>
        <v>0</v>
      </c>
      <c r="W220" s="21">
        <f>SUM(NhatkyNhap!$C220:W220)-SUM(NhatkyBan!$C220:W220)</f>
        <v>0</v>
      </c>
      <c r="X220" s="21">
        <f>SUM(NhatkyNhap!$C220:X220)-SUM(NhatkyBan!$C220:X220)</f>
        <v>0</v>
      </c>
      <c r="Y220" s="21">
        <f>SUM(NhatkyNhap!$C220:Y220)-SUM(NhatkyBan!$C220:Y220)</f>
        <v>0</v>
      </c>
      <c r="Z220" s="21">
        <f>SUM(NhatkyNhap!$C220:Z220)-SUM(NhatkyBan!$C220:Z220)</f>
        <v>0</v>
      </c>
      <c r="AA220" s="21">
        <f>SUM(NhatkyNhap!$C220:AA220)-SUM(NhatkyBan!$C220:AA220)</f>
        <v>0</v>
      </c>
      <c r="AB220" s="21">
        <f>SUM(NhatkyNhap!$C220:AB220)-SUM(NhatkyBan!$C220:AB220)</f>
        <v>0</v>
      </c>
      <c r="AC220" s="21">
        <f>SUM(NhatkyNhap!$C220:AC220)-SUM(NhatkyBan!$C220:AC220)</f>
        <v>0</v>
      </c>
      <c r="AD220" s="21">
        <f>SUM(NhatkyNhap!$C220:AD220)-SUM(NhatkyBan!$C220:AD220)</f>
        <v>0</v>
      </c>
      <c r="AE220" s="21">
        <f>SUM(NhatkyNhap!$C220:AE220)-SUM(NhatkyBan!$C220:AE220)</f>
        <v>0</v>
      </c>
      <c r="AF220" s="21">
        <f>SUM(NhatkyNhap!$C220:AF220)-SUM(NhatkyBan!$C220:AF220)</f>
        <v>0</v>
      </c>
      <c r="AG220" s="21">
        <f>SUM(NhatkyNhap!$C220:AG220)-SUM(NhatkyBan!$C220:AG220)</f>
        <v>0</v>
      </c>
    </row>
    <row r="221" spans="1:33" ht="12.75" customHeight="1">
      <c r="A221" s="76" t="str">
        <f>DSSP!A220</f>
        <v>GC145</v>
      </c>
      <c r="B221" s="25" t="str">
        <f>DSSP!B220</f>
        <v>Cú đặc có cành cây</v>
      </c>
      <c r="C221" s="21">
        <f>SUM(NhatkyNhap!$C221:C221)-SUM(NhatkyBan!$C221:C221)</f>
        <v>65</v>
      </c>
      <c r="D221" s="21">
        <f>SUM(NhatkyNhap!$C221:D221)-SUM(NhatkyBan!$C221:D221)</f>
        <v>65</v>
      </c>
      <c r="E221" s="21">
        <f>SUM(NhatkyNhap!$C221:E221)-SUM(NhatkyBan!$C221:E221)</f>
        <v>65</v>
      </c>
      <c r="F221" s="21">
        <f>SUM(NhatkyNhap!$C221:F221)-SUM(NhatkyBan!$C221:F221)</f>
        <v>65</v>
      </c>
      <c r="G221" s="21">
        <f>SUM(NhatkyNhap!$C221:G221)-SUM(NhatkyBan!$C221:G221)</f>
        <v>65</v>
      </c>
      <c r="H221" s="21">
        <f>SUM(NhatkyNhap!$C221:H221)-SUM(NhatkyBan!$C221:H221)</f>
        <v>65</v>
      </c>
      <c r="I221" s="21">
        <f>SUM(NhatkyNhap!$C221:I221)-SUM(NhatkyBan!$C221:I221)</f>
        <v>65</v>
      </c>
      <c r="J221" s="21">
        <f>SUM(NhatkyNhap!$C221:J221)-SUM(NhatkyBan!$C221:J221)</f>
        <v>65</v>
      </c>
      <c r="K221" s="21">
        <f>SUM(NhatkyNhap!$C221:K221)-SUM(NhatkyBan!$C221:K221)</f>
        <v>65</v>
      </c>
      <c r="L221" s="21">
        <f>SUM(NhatkyNhap!$C221:L221)-SUM(NhatkyBan!$C221:L221)</f>
        <v>65</v>
      </c>
      <c r="M221" s="21">
        <f>SUM(NhatkyNhap!$C221:M221)-SUM(NhatkyBan!$C221:M221)</f>
        <v>65</v>
      </c>
      <c r="N221" s="21">
        <f>SUM(NhatkyNhap!$C221:N221)-SUM(NhatkyBan!$C221:N221)</f>
        <v>65</v>
      </c>
      <c r="O221" s="21">
        <f>SUM(NhatkyNhap!$C221:O221)-SUM(NhatkyBan!$C221:O221)</f>
        <v>65</v>
      </c>
      <c r="P221" s="21">
        <f>SUM(NhatkyNhap!$C221:P221)-SUM(NhatkyBan!$C221:P221)</f>
        <v>65</v>
      </c>
      <c r="Q221" s="21">
        <f>SUM(NhatkyNhap!$C221:Q221)-SUM(NhatkyBan!$C221:Q221)</f>
        <v>65</v>
      </c>
      <c r="R221" s="21">
        <f>SUM(NhatkyNhap!$C221:R221)-SUM(NhatkyBan!$C221:R221)</f>
        <v>65</v>
      </c>
      <c r="S221" s="21">
        <f>SUM(NhatkyNhap!$C221:S221)-SUM(NhatkyBan!$C221:S221)</f>
        <v>65</v>
      </c>
      <c r="T221" s="21">
        <f>SUM(NhatkyNhap!$C221:T221)-SUM(NhatkyBan!$C221:T221)</f>
        <v>65</v>
      </c>
      <c r="U221" s="21">
        <f>SUM(NhatkyNhap!$C221:U221)-SUM(NhatkyBan!$C221:U221)</f>
        <v>65</v>
      </c>
      <c r="V221" s="21">
        <f>SUM(NhatkyNhap!$C221:V221)-SUM(NhatkyBan!$C221:V221)</f>
        <v>65</v>
      </c>
      <c r="W221" s="21">
        <f>SUM(NhatkyNhap!$C221:W221)-SUM(NhatkyBan!$C221:W221)</f>
        <v>65</v>
      </c>
      <c r="X221" s="21">
        <f>SUM(NhatkyNhap!$C221:X221)-SUM(NhatkyBan!$C221:X221)</f>
        <v>65</v>
      </c>
      <c r="Y221" s="21">
        <f>SUM(NhatkyNhap!$C221:Y221)-SUM(NhatkyBan!$C221:Y221)</f>
        <v>65</v>
      </c>
      <c r="Z221" s="21">
        <f>SUM(NhatkyNhap!$C221:Z221)-SUM(NhatkyBan!$C221:Z221)</f>
        <v>65</v>
      </c>
      <c r="AA221" s="21">
        <f>SUM(NhatkyNhap!$C221:AA221)-SUM(NhatkyBan!$C221:AA221)</f>
        <v>65</v>
      </c>
      <c r="AB221" s="21">
        <f>SUM(NhatkyNhap!$C221:AB221)-SUM(NhatkyBan!$C221:AB221)</f>
        <v>65</v>
      </c>
      <c r="AC221" s="21">
        <f>SUM(NhatkyNhap!$C221:AC221)-SUM(NhatkyBan!$C221:AC221)</f>
        <v>65</v>
      </c>
      <c r="AD221" s="21">
        <f>SUM(NhatkyNhap!$C221:AD221)-SUM(NhatkyBan!$C221:AD221)</f>
        <v>65</v>
      </c>
      <c r="AE221" s="21">
        <f>SUM(NhatkyNhap!$C221:AE221)-SUM(NhatkyBan!$C221:AE221)</f>
        <v>65</v>
      </c>
      <c r="AF221" s="21">
        <f>SUM(NhatkyNhap!$C221:AF221)-SUM(NhatkyBan!$C221:AF221)</f>
        <v>65</v>
      </c>
      <c r="AG221" s="21">
        <f>SUM(NhatkyNhap!$C221:AG221)-SUM(NhatkyBan!$C221:AG221)</f>
        <v>65</v>
      </c>
    </row>
    <row r="222" spans="1:33" ht="12.75" customHeight="1">
      <c r="A222" s="76" t="str">
        <f>DSSP!A221</f>
        <v>GC146</v>
      </c>
      <c r="B222" s="25" t="str">
        <f>DSSP!B221</f>
        <v>Cú đặc xòe cánh</v>
      </c>
      <c r="C222" s="21">
        <f>SUM(NhatkyNhap!$C222:C222)-SUM(NhatkyBan!$C222:C222)</f>
        <v>56</v>
      </c>
      <c r="D222" s="21">
        <f>SUM(NhatkyNhap!$C222:D222)-SUM(NhatkyBan!$C222:D222)</f>
        <v>56</v>
      </c>
      <c r="E222" s="21">
        <f>SUM(NhatkyNhap!$C222:E222)-SUM(NhatkyBan!$C222:E222)</f>
        <v>56</v>
      </c>
      <c r="F222" s="21">
        <f>SUM(NhatkyNhap!$C222:F222)-SUM(NhatkyBan!$C222:F222)</f>
        <v>56</v>
      </c>
      <c r="G222" s="21">
        <f>SUM(NhatkyNhap!$C222:G222)-SUM(NhatkyBan!$C222:G222)</f>
        <v>56</v>
      </c>
      <c r="H222" s="21">
        <f>SUM(NhatkyNhap!$C222:H222)-SUM(NhatkyBan!$C222:H222)</f>
        <v>56</v>
      </c>
      <c r="I222" s="21">
        <f>SUM(NhatkyNhap!$C222:I222)-SUM(NhatkyBan!$C222:I222)</f>
        <v>56</v>
      </c>
      <c r="J222" s="21">
        <f>SUM(NhatkyNhap!$C222:J222)-SUM(NhatkyBan!$C222:J222)</f>
        <v>56</v>
      </c>
      <c r="K222" s="21">
        <f>SUM(NhatkyNhap!$C222:K222)-SUM(NhatkyBan!$C222:K222)</f>
        <v>56</v>
      </c>
      <c r="L222" s="21">
        <f>SUM(NhatkyNhap!$C222:L222)-SUM(NhatkyBan!$C222:L222)</f>
        <v>56</v>
      </c>
      <c r="M222" s="21">
        <f>SUM(NhatkyNhap!$C222:M222)-SUM(NhatkyBan!$C222:M222)</f>
        <v>56</v>
      </c>
      <c r="N222" s="21">
        <f>SUM(NhatkyNhap!$C222:N222)-SUM(NhatkyBan!$C222:N222)</f>
        <v>56</v>
      </c>
      <c r="O222" s="21">
        <f>SUM(NhatkyNhap!$C222:O222)-SUM(NhatkyBan!$C222:O222)</f>
        <v>56</v>
      </c>
      <c r="P222" s="21">
        <f>SUM(NhatkyNhap!$C222:P222)-SUM(NhatkyBan!$C222:P222)</f>
        <v>56</v>
      </c>
      <c r="Q222" s="21">
        <f>SUM(NhatkyNhap!$C222:Q222)-SUM(NhatkyBan!$C222:Q222)</f>
        <v>56</v>
      </c>
      <c r="R222" s="21">
        <f>SUM(NhatkyNhap!$C222:R222)-SUM(NhatkyBan!$C222:R222)</f>
        <v>56</v>
      </c>
      <c r="S222" s="21">
        <f>SUM(NhatkyNhap!$C222:S222)-SUM(NhatkyBan!$C222:S222)</f>
        <v>56</v>
      </c>
      <c r="T222" s="21">
        <f>SUM(NhatkyNhap!$C222:T222)-SUM(NhatkyBan!$C222:T222)</f>
        <v>56</v>
      </c>
      <c r="U222" s="21">
        <f>SUM(NhatkyNhap!$C222:U222)-SUM(NhatkyBan!$C222:U222)</f>
        <v>56</v>
      </c>
      <c r="V222" s="21">
        <f>SUM(NhatkyNhap!$C222:V222)-SUM(NhatkyBan!$C222:V222)</f>
        <v>56</v>
      </c>
      <c r="W222" s="21">
        <f>SUM(NhatkyNhap!$C222:W222)-SUM(NhatkyBan!$C222:W222)</f>
        <v>56</v>
      </c>
      <c r="X222" s="21">
        <f>SUM(NhatkyNhap!$C222:X222)-SUM(NhatkyBan!$C222:X222)</f>
        <v>56</v>
      </c>
      <c r="Y222" s="21">
        <f>SUM(NhatkyNhap!$C222:Y222)-SUM(NhatkyBan!$C222:Y222)</f>
        <v>56</v>
      </c>
      <c r="Z222" s="21">
        <f>SUM(NhatkyNhap!$C222:Z222)-SUM(NhatkyBan!$C222:Z222)</f>
        <v>56</v>
      </c>
      <c r="AA222" s="21">
        <f>SUM(NhatkyNhap!$C222:AA222)-SUM(NhatkyBan!$C222:AA222)</f>
        <v>56</v>
      </c>
      <c r="AB222" s="21">
        <f>SUM(NhatkyNhap!$C222:AB222)-SUM(NhatkyBan!$C222:AB222)</f>
        <v>56</v>
      </c>
      <c r="AC222" s="21">
        <f>SUM(NhatkyNhap!$C222:AC222)-SUM(NhatkyBan!$C222:AC222)</f>
        <v>56</v>
      </c>
      <c r="AD222" s="21">
        <f>SUM(NhatkyNhap!$C222:AD222)-SUM(NhatkyBan!$C222:AD222)</f>
        <v>56</v>
      </c>
      <c r="AE222" s="21">
        <f>SUM(NhatkyNhap!$C222:AE222)-SUM(NhatkyBan!$C222:AE222)</f>
        <v>56</v>
      </c>
      <c r="AF222" s="21">
        <f>SUM(NhatkyNhap!$C222:AF222)-SUM(NhatkyBan!$C222:AF222)</f>
        <v>56</v>
      </c>
      <c r="AG222" s="21">
        <f>SUM(NhatkyNhap!$C222:AG222)-SUM(NhatkyBan!$C222:AG222)</f>
        <v>56</v>
      </c>
    </row>
    <row r="223" spans="1:33" ht="12.75" customHeight="1">
      <c r="A223" s="76" t="str">
        <f>DSSP!A222</f>
        <v>GC147</v>
      </c>
      <c r="B223" s="25" t="str">
        <f>DSSP!B222</f>
        <v>Cú đặc mắt tròn</v>
      </c>
      <c r="C223" s="21">
        <f>SUM(NhatkyNhap!$C223:C223)-SUM(NhatkyBan!$C223:C223)</f>
        <v>63</v>
      </c>
      <c r="D223" s="21">
        <f>SUM(NhatkyNhap!$C223:D223)-SUM(NhatkyBan!$C223:D223)</f>
        <v>63</v>
      </c>
      <c r="E223" s="21">
        <f>SUM(NhatkyNhap!$C223:E223)-SUM(NhatkyBan!$C223:E223)</f>
        <v>63</v>
      </c>
      <c r="F223" s="21">
        <f>SUM(NhatkyNhap!$C223:F223)-SUM(NhatkyBan!$C223:F223)</f>
        <v>63</v>
      </c>
      <c r="G223" s="21">
        <f>SUM(NhatkyNhap!$C223:G223)-SUM(NhatkyBan!$C223:G223)</f>
        <v>63</v>
      </c>
      <c r="H223" s="21">
        <f>SUM(NhatkyNhap!$C223:H223)-SUM(NhatkyBan!$C223:H223)</f>
        <v>63</v>
      </c>
      <c r="I223" s="21">
        <f>SUM(NhatkyNhap!$C223:I223)-SUM(NhatkyBan!$C223:I223)</f>
        <v>63</v>
      </c>
      <c r="J223" s="21">
        <f>SUM(NhatkyNhap!$C223:J223)-SUM(NhatkyBan!$C223:J223)</f>
        <v>63</v>
      </c>
      <c r="K223" s="21">
        <f>SUM(NhatkyNhap!$C223:K223)-SUM(NhatkyBan!$C223:K223)</f>
        <v>63</v>
      </c>
      <c r="L223" s="21">
        <f>SUM(NhatkyNhap!$C223:L223)-SUM(NhatkyBan!$C223:L223)</f>
        <v>63</v>
      </c>
      <c r="M223" s="21">
        <f>SUM(NhatkyNhap!$C223:M223)-SUM(NhatkyBan!$C223:M223)</f>
        <v>63</v>
      </c>
      <c r="N223" s="21">
        <f>SUM(NhatkyNhap!$C223:N223)-SUM(NhatkyBan!$C223:N223)</f>
        <v>63</v>
      </c>
      <c r="O223" s="21">
        <f>SUM(NhatkyNhap!$C223:O223)-SUM(NhatkyBan!$C223:O223)</f>
        <v>63</v>
      </c>
      <c r="P223" s="21">
        <f>SUM(NhatkyNhap!$C223:P223)-SUM(NhatkyBan!$C223:P223)</f>
        <v>63</v>
      </c>
      <c r="Q223" s="21">
        <f>SUM(NhatkyNhap!$C223:Q223)-SUM(NhatkyBan!$C223:Q223)</f>
        <v>63</v>
      </c>
      <c r="R223" s="21">
        <f>SUM(NhatkyNhap!$C223:R223)-SUM(NhatkyBan!$C223:R223)</f>
        <v>63</v>
      </c>
      <c r="S223" s="21">
        <f>SUM(NhatkyNhap!$C223:S223)-SUM(NhatkyBan!$C223:S223)</f>
        <v>63</v>
      </c>
      <c r="T223" s="21">
        <f>SUM(NhatkyNhap!$C223:T223)-SUM(NhatkyBan!$C223:T223)</f>
        <v>63</v>
      </c>
      <c r="U223" s="21">
        <f>SUM(NhatkyNhap!$C223:U223)-SUM(NhatkyBan!$C223:U223)</f>
        <v>63</v>
      </c>
      <c r="V223" s="21">
        <f>SUM(NhatkyNhap!$C223:V223)-SUM(NhatkyBan!$C223:V223)</f>
        <v>63</v>
      </c>
      <c r="W223" s="21">
        <f>SUM(NhatkyNhap!$C223:W223)-SUM(NhatkyBan!$C223:W223)</f>
        <v>63</v>
      </c>
      <c r="X223" s="21">
        <f>SUM(NhatkyNhap!$C223:X223)-SUM(NhatkyBan!$C223:X223)</f>
        <v>63</v>
      </c>
      <c r="Y223" s="21">
        <f>SUM(NhatkyNhap!$C223:Y223)-SUM(NhatkyBan!$C223:Y223)</f>
        <v>63</v>
      </c>
      <c r="Z223" s="21">
        <f>SUM(NhatkyNhap!$C223:Z223)-SUM(NhatkyBan!$C223:Z223)</f>
        <v>63</v>
      </c>
      <c r="AA223" s="21">
        <f>SUM(NhatkyNhap!$C223:AA223)-SUM(NhatkyBan!$C223:AA223)</f>
        <v>63</v>
      </c>
      <c r="AB223" s="21">
        <f>SUM(NhatkyNhap!$C223:AB223)-SUM(NhatkyBan!$C223:AB223)</f>
        <v>63</v>
      </c>
      <c r="AC223" s="21">
        <f>SUM(NhatkyNhap!$C223:AC223)-SUM(NhatkyBan!$C223:AC223)</f>
        <v>63</v>
      </c>
      <c r="AD223" s="21">
        <f>SUM(NhatkyNhap!$C223:AD223)-SUM(NhatkyBan!$C223:AD223)</f>
        <v>63</v>
      </c>
      <c r="AE223" s="21">
        <f>SUM(NhatkyNhap!$C223:AE223)-SUM(NhatkyBan!$C223:AE223)</f>
        <v>63</v>
      </c>
      <c r="AF223" s="21">
        <f>SUM(NhatkyNhap!$C223:AF223)-SUM(NhatkyBan!$C223:AF223)</f>
        <v>63</v>
      </c>
      <c r="AG223" s="21">
        <f>SUM(NhatkyNhap!$C223:AG223)-SUM(NhatkyBan!$C223:AG223)</f>
        <v>63</v>
      </c>
    </row>
    <row r="224" spans="1:33" ht="12.75" customHeight="1">
      <c r="A224" s="76" t="str">
        <f>DSSP!A223</f>
        <v>GC148</v>
      </c>
      <c r="B224" s="25" t="str">
        <f>DSSP!B223</f>
        <v>Ô dài 1 mặt</v>
      </c>
      <c r="C224" s="21">
        <f>SUM(NhatkyNhap!$C224:C224)-SUM(NhatkyBan!$C224:C224)</f>
        <v>32</v>
      </c>
      <c r="D224" s="21">
        <f>SUM(NhatkyNhap!$C224:D224)-SUM(NhatkyBan!$C224:D224)</f>
        <v>32</v>
      </c>
      <c r="E224" s="21">
        <f>SUM(NhatkyNhap!$C224:E224)-SUM(NhatkyBan!$C224:E224)</f>
        <v>32</v>
      </c>
      <c r="F224" s="21">
        <f>SUM(NhatkyNhap!$C224:F224)-SUM(NhatkyBan!$C224:F224)</f>
        <v>32</v>
      </c>
      <c r="G224" s="21">
        <f>SUM(NhatkyNhap!$C224:G224)-SUM(NhatkyBan!$C224:G224)</f>
        <v>32</v>
      </c>
      <c r="H224" s="21">
        <f>SUM(NhatkyNhap!$C224:H224)-SUM(NhatkyBan!$C224:H224)</f>
        <v>32</v>
      </c>
      <c r="I224" s="21">
        <f>SUM(NhatkyNhap!$C224:I224)-SUM(NhatkyBan!$C224:I224)</f>
        <v>32</v>
      </c>
      <c r="J224" s="21">
        <f>SUM(NhatkyNhap!$C224:J224)-SUM(NhatkyBan!$C224:J224)</f>
        <v>32</v>
      </c>
      <c r="K224" s="21">
        <f>SUM(NhatkyNhap!$C224:K224)-SUM(NhatkyBan!$C224:K224)</f>
        <v>32</v>
      </c>
      <c r="L224" s="21">
        <f>SUM(NhatkyNhap!$C224:L224)-SUM(NhatkyBan!$C224:L224)</f>
        <v>32</v>
      </c>
      <c r="M224" s="21">
        <f>SUM(NhatkyNhap!$C224:M224)-SUM(NhatkyBan!$C224:M224)</f>
        <v>32</v>
      </c>
      <c r="N224" s="21">
        <f>SUM(NhatkyNhap!$C224:N224)-SUM(NhatkyBan!$C224:N224)</f>
        <v>32</v>
      </c>
      <c r="O224" s="21">
        <f>SUM(NhatkyNhap!$C224:O224)-SUM(NhatkyBan!$C224:O224)</f>
        <v>32</v>
      </c>
      <c r="P224" s="21">
        <f>SUM(NhatkyNhap!$C224:P224)-SUM(NhatkyBan!$C224:P224)</f>
        <v>32</v>
      </c>
      <c r="Q224" s="21">
        <f>SUM(NhatkyNhap!$C224:Q224)-SUM(NhatkyBan!$C224:Q224)</f>
        <v>32</v>
      </c>
      <c r="R224" s="21">
        <f>SUM(NhatkyNhap!$C224:R224)-SUM(NhatkyBan!$C224:R224)</f>
        <v>32</v>
      </c>
      <c r="S224" s="21">
        <f>SUM(NhatkyNhap!$C224:S224)-SUM(NhatkyBan!$C224:S224)</f>
        <v>32</v>
      </c>
      <c r="T224" s="21">
        <f>SUM(NhatkyNhap!$C224:T224)-SUM(NhatkyBan!$C224:T224)</f>
        <v>32</v>
      </c>
      <c r="U224" s="21">
        <f>SUM(NhatkyNhap!$C224:U224)-SUM(NhatkyBan!$C224:U224)</f>
        <v>32</v>
      </c>
      <c r="V224" s="21">
        <f>SUM(NhatkyNhap!$C224:V224)-SUM(NhatkyBan!$C224:V224)</f>
        <v>32</v>
      </c>
      <c r="W224" s="21">
        <f>SUM(NhatkyNhap!$C224:W224)-SUM(NhatkyBan!$C224:W224)</f>
        <v>32</v>
      </c>
      <c r="X224" s="21">
        <f>SUM(NhatkyNhap!$C224:X224)-SUM(NhatkyBan!$C224:X224)</f>
        <v>32</v>
      </c>
      <c r="Y224" s="21">
        <f>SUM(NhatkyNhap!$C224:Y224)-SUM(NhatkyBan!$C224:Y224)</f>
        <v>32</v>
      </c>
      <c r="Z224" s="21">
        <f>SUM(NhatkyNhap!$C224:Z224)-SUM(NhatkyBan!$C224:Z224)</f>
        <v>32</v>
      </c>
      <c r="AA224" s="21">
        <f>SUM(NhatkyNhap!$C224:AA224)-SUM(NhatkyBan!$C224:AA224)</f>
        <v>32</v>
      </c>
      <c r="AB224" s="21">
        <f>SUM(NhatkyNhap!$C224:AB224)-SUM(NhatkyBan!$C224:AB224)</f>
        <v>32</v>
      </c>
      <c r="AC224" s="21">
        <f>SUM(NhatkyNhap!$C224:AC224)-SUM(NhatkyBan!$C224:AC224)</f>
        <v>32</v>
      </c>
      <c r="AD224" s="21">
        <f>SUM(NhatkyNhap!$C224:AD224)-SUM(NhatkyBan!$C224:AD224)</f>
        <v>32</v>
      </c>
      <c r="AE224" s="21">
        <f>SUM(NhatkyNhap!$C224:AE224)-SUM(NhatkyBan!$C224:AE224)</f>
        <v>32</v>
      </c>
      <c r="AF224" s="21">
        <f>SUM(NhatkyNhap!$C224:AF224)-SUM(NhatkyBan!$C224:AF224)</f>
        <v>32</v>
      </c>
      <c r="AG224" s="21">
        <f>SUM(NhatkyNhap!$C224:AG224)-SUM(NhatkyBan!$C224:AG224)</f>
        <v>32</v>
      </c>
    </row>
    <row r="225" spans="1:33" ht="12.75" customHeight="1">
      <c r="A225" s="76" t="str">
        <f>DSSP!A224</f>
        <v>GC149</v>
      </c>
      <c r="B225" s="25" t="str">
        <f>DSSP!B224</f>
        <v>Ô ngắn</v>
      </c>
      <c r="C225" s="21">
        <f>SUM(NhatkyNhap!$C225:C225)-SUM(NhatkyBan!$C225:C225)</f>
        <v>35</v>
      </c>
      <c r="D225" s="21">
        <f>SUM(NhatkyNhap!$C225:D225)-SUM(NhatkyBan!$C225:D225)</f>
        <v>35</v>
      </c>
      <c r="E225" s="21">
        <f>SUM(NhatkyNhap!$C225:E225)-SUM(NhatkyBan!$C225:E225)</f>
        <v>35</v>
      </c>
      <c r="F225" s="21">
        <f>SUM(NhatkyNhap!$C225:F225)-SUM(NhatkyBan!$C225:F225)</f>
        <v>35</v>
      </c>
      <c r="G225" s="21">
        <f>SUM(NhatkyNhap!$C225:G225)-SUM(NhatkyBan!$C225:G225)</f>
        <v>35</v>
      </c>
      <c r="H225" s="21">
        <f>SUM(NhatkyNhap!$C225:H225)-SUM(NhatkyBan!$C225:H225)</f>
        <v>35</v>
      </c>
      <c r="I225" s="21">
        <f>SUM(NhatkyNhap!$C225:I225)-SUM(NhatkyBan!$C225:I225)</f>
        <v>35</v>
      </c>
      <c r="J225" s="21">
        <f>SUM(NhatkyNhap!$C225:J225)-SUM(NhatkyBan!$C225:J225)</f>
        <v>35</v>
      </c>
      <c r="K225" s="21">
        <f>SUM(NhatkyNhap!$C225:K225)-SUM(NhatkyBan!$C225:K225)</f>
        <v>35</v>
      </c>
      <c r="L225" s="21">
        <f>SUM(NhatkyNhap!$C225:L225)-SUM(NhatkyBan!$C225:L225)</f>
        <v>35</v>
      </c>
      <c r="M225" s="21">
        <f>SUM(NhatkyNhap!$C225:M225)-SUM(NhatkyBan!$C225:M225)</f>
        <v>35</v>
      </c>
      <c r="N225" s="21">
        <f>SUM(NhatkyNhap!$C225:N225)-SUM(NhatkyBan!$C225:N225)</f>
        <v>35</v>
      </c>
      <c r="O225" s="21">
        <f>SUM(NhatkyNhap!$C225:O225)-SUM(NhatkyBan!$C225:O225)</f>
        <v>35</v>
      </c>
      <c r="P225" s="21">
        <f>SUM(NhatkyNhap!$C225:P225)-SUM(NhatkyBan!$C225:P225)</f>
        <v>35</v>
      </c>
      <c r="Q225" s="21">
        <f>SUM(NhatkyNhap!$C225:Q225)-SUM(NhatkyBan!$C225:Q225)</f>
        <v>35</v>
      </c>
      <c r="R225" s="21">
        <f>SUM(NhatkyNhap!$C225:R225)-SUM(NhatkyBan!$C225:R225)</f>
        <v>35</v>
      </c>
      <c r="S225" s="21">
        <f>SUM(NhatkyNhap!$C225:S225)-SUM(NhatkyBan!$C225:S225)</f>
        <v>35</v>
      </c>
      <c r="T225" s="21">
        <f>SUM(NhatkyNhap!$C225:T225)-SUM(NhatkyBan!$C225:T225)</f>
        <v>35</v>
      </c>
      <c r="U225" s="21">
        <f>SUM(NhatkyNhap!$C225:U225)-SUM(NhatkyBan!$C225:U225)</f>
        <v>35</v>
      </c>
      <c r="V225" s="21">
        <f>SUM(NhatkyNhap!$C225:V225)-SUM(NhatkyBan!$C225:V225)</f>
        <v>35</v>
      </c>
      <c r="W225" s="21">
        <f>SUM(NhatkyNhap!$C225:W225)-SUM(NhatkyBan!$C225:W225)</f>
        <v>35</v>
      </c>
      <c r="X225" s="21">
        <f>SUM(NhatkyNhap!$C225:X225)-SUM(NhatkyBan!$C225:X225)</f>
        <v>35</v>
      </c>
      <c r="Y225" s="21">
        <f>SUM(NhatkyNhap!$C225:Y225)-SUM(NhatkyBan!$C225:Y225)</f>
        <v>35</v>
      </c>
      <c r="Z225" s="21">
        <f>SUM(NhatkyNhap!$C225:Z225)-SUM(NhatkyBan!$C225:Z225)</f>
        <v>35</v>
      </c>
      <c r="AA225" s="21">
        <f>SUM(NhatkyNhap!$C225:AA225)-SUM(NhatkyBan!$C225:AA225)</f>
        <v>35</v>
      </c>
      <c r="AB225" s="21">
        <f>SUM(NhatkyNhap!$C225:AB225)-SUM(NhatkyBan!$C225:AB225)</f>
        <v>35</v>
      </c>
      <c r="AC225" s="21">
        <f>SUM(NhatkyNhap!$C225:AC225)-SUM(NhatkyBan!$C225:AC225)</f>
        <v>35</v>
      </c>
      <c r="AD225" s="21">
        <f>SUM(NhatkyNhap!$C225:AD225)-SUM(NhatkyBan!$C225:AD225)</f>
        <v>35</v>
      </c>
      <c r="AE225" s="21">
        <f>SUM(NhatkyNhap!$C225:AE225)-SUM(NhatkyBan!$C225:AE225)</f>
        <v>35</v>
      </c>
      <c r="AF225" s="21">
        <f>SUM(NhatkyNhap!$C225:AF225)-SUM(NhatkyBan!$C225:AF225)</f>
        <v>35</v>
      </c>
      <c r="AG225" s="21">
        <f>SUM(NhatkyNhap!$C225:AG225)-SUM(NhatkyBan!$C225:AG225)</f>
        <v>35</v>
      </c>
    </row>
    <row r="226" spans="1:33" ht="12.75" customHeight="1">
      <c r="A226" s="76" t="str">
        <f>DSSP!A225</f>
        <v>GC150</v>
      </c>
      <c r="B226" s="25" t="str">
        <f>DSSP!B225</f>
        <v>Lược</v>
      </c>
      <c r="C226" s="21">
        <f>SUM(NhatkyNhap!$C226:C226)-SUM(NhatkyBan!$C226:C226)</f>
        <v>17</v>
      </c>
      <c r="D226" s="21">
        <f>SUM(NhatkyNhap!$C226:D226)-SUM(NhatkyBan!$C226:D226)</f>
        <v>17</v>
      </c>
      <c r="E226" s="21">
        <f>SUM(NhatkyNhap!$C226:E226)-SUM(NhatkyBan!$C226:E226)</f>
        <v>17</v>
      </c>
      <c r="F226" s="21">
        <f>SUM(NhatkyNhap!$C226:F226)-SUM(NhatkyBan!$C226:F226)</f>
        <v>17</v>
      </c>
      <c r="G226" s="21">
        <f>SUM(NhatkyNhap!$C226:G226)-SUM(NhatkyBan!$C226:G226)</f>
        <v>17</v>
      </c>
      <c r="H226" s="21">
        <f>SUM(NhatkyNhap!$C226:H226)-SUM(NhatkyBan!$C226:H226)</f>
        <v>17</v>
      </c>
      <c r="I226" s="21">
        <f>SUM(NhatkyNhap!$C226:I226)-SUM(NhatkyBan!$C226:I226)</f>
        <v>17</v>
      </c>
      <c r="J226" s="21">
        <f>SUM(NhatkyNhap!$C226:J226)-SUM(NhatkyBan!$C226:J226)</f>
        <v>17</v>
      </c>
      <c r="K226" s="21">
        <f>SUM(NhatkyNhap!$C226:K226)-SUM(NhatkyBan!$C226:K226)</f>
        <v>17</v>
      </c>
      <c r="L226" s="21">
        <f>SUM(NhatkyNhap!$C226:L226)-SUM(NhatkyBan!$C226:L226)</f>
        <v>17</v>
      </c>
      <c r="M226" s="21">
        <f>SUM(NhatkyNhap!$C226:M226)-SUM(NhatkyBan!$C226:M226)</f>
        <v>17</v>
      </c>
      <c r="N226" s="21">
        <f>SUM(NhatkyNhap!$C226:N226)-SUM(NhatkyBan!$C226:N226)</f>
        <v>17</v>
      </c>
      <c r="O226" s="21">
        <f>SUM(NhatkyNhap!$C226:O226)-SUM(NhatkyBan!$C226:O226)</f>
        <v>17</v>
      </c>
      <c r="P226" s="21">
        <f>SUM(NhatkyNhap!$C226:P226)-SUM(NhatkyBan!$C226:P226)</f>
        <v>17</v>
      </c>
      <c r="Q226" s="21">
        <f>SUM(NhatkyNhap!$C226:Q226)-SUM(NhatkyBan!$C226:Q226)</f>
        <v>17</v>
      </c>
      <c r="R226" s="21">
        <f>SUM(NhatkyNhap!$C226:R226)-SUM(NhatkyBan!$C226:R226)</f>
        <v>17</v>
      </c>
      <c r="S226" s="21">
        <f>SUM(NhatkyNhap!$C226:S226)-SUM(NhatkyBan!$C226:S226)</f>
        <v>17</v>
      </c>
      <c r="T226" s="21">
        <f>SUM(NhatkyNhap!$C226:T226)-SUM(NhatkyBan!$C226:T226)</f>
        <v>17</v>
      </c>
      <c r="U226" s="21">
        <f>SUM(NhatkyNhap!$C226:U226)-SUM(NhatkyBan!$C226:U226)</f>
        <v>17</v>
      </c>
      <c r="V226" s="21">
        <f>SUM(NhatkyNhap!$C226:V226)-SUM(NhatkyBan!$C226:V226)</f>
        <v>17</v>
      </c>
      <c r="W226" s="21">
        <f>SUM(NhatkyNhap!$C226:W226)-SUM(NhatkyBan!$C226:W226)</f>
        <v>17</v>
      </c>
      <c r="X226" s="21">
        <f>SUM(NhatkyNhap!$C226:X226)-SUM(NhatkyBan!$C226:X226)</f>
        <v>17</v>
      </c>
      <c r="Y226" s="21">
        <f>SUM(NhatkyNhap!$C226:Y226)-SUM(NhatkyBan!$C226:Y226)</f>
        <v>17</v>
      </c>
      <c r="Z226" s="21">
        <f>SUM(NhatkyNhap!$C226:Z226)-SUM(NhatkyBan!$C226:Z226)</f>
        <v>17</v>
      </c>
      <c r="AA226" s="21">
        <f>SUM(NhatkyNhap!$C226:AA226)-SUM(NhatkyBan!$C226:AA226)</f>
        <v>17</v>
      </c>
      <c r="AB226" s="21">
        <f>SUM(NhatkyNhap!$C226:AB226)-SUM(NhatkyBan!$C226:AB226)</f>
        <v>17</v>
      </c>
      <c r="AC226" s="21">
        <f>SUM(NhatkyNhap!$C226:AC226)-SUM(NhatkyBan!$C226:AC226)</f>
        <v>17</v>
      </c>
      <c r="AD226" s="21">
        <f>SUM(NhatkyNhap!$C226:AD226)-SUM(NhatkyBan!$C226:AD226)</f>
        <v>17</v>
      </c>
      <c r="AE226" s="21">
        <f>SUM(NhatkyNhap!$C226:AE226)-SUM(NhatkyBan!$C226:AE226)</f>
        <v>17</v>
      </c>
      <c r="AF226" s="21">
        <f>SUM(NhatkyNhap!$C226:AF226)-SUM(NhatkyBan!$C226:AF226)</f>
        <v>17</v>
      </c>
      <c r="AG226" s="21">
        <f>SUM(NhatkyNhap!$C226:AG226)-SUM(NhatkyBan!$C226:AG226)</f>
        <v>17</v>
      </c>
    </row>
    <row r="227" spans="1:33" ht="12.75" customHeight="1">
      <c r="A227" s="76" t="str">
        <f>DSSP!A226</f>
        <v>GC151</v>
      </c>
      <c r="B227" s="25" t="str">
        <f>DSSP!B226</f>
        <v>Quạt</v>
      </c>
      <c r="C227" s="21">
        <f>SUM(NhatkyNhap!$C227:C227)-SUM(NhatkyBan!$C227:C227)</f>
        <v>9</v>
      </c>
      <c r="D227" s="21">
        <f>SUM(NhatkyNhap!$C227:D227)-SUM(NhatkyBan!$C227:D227)</f>
        <v>9</v>
      </c>
      <c r="E227" s="21">
        <f>SUM(NhatkyNhap!$C227:E227)-SUM(NhatkyBan!$C227:E227)</f>
        <v>9</v>
      </c>
      <c r="F227" s="21">
        <f>SUM(NhatkyNhap!$C227:F227)-SUM(NhatkyBan!$C227:F227)</f>
        <v>9</v>
      </c>
      <c r="G227" s="21">
        <f>SUM(NhatkyNhap!$C227:G227)-SUM(NhatkyBan!$C227:G227)</f>
        <v>9</v>
      </c>
      <c r="H227" s="21">
        <f>SUM(NhatkyNhap!$C227:H227)-SUM(NhatkyBan!$C227:H227)</f>
        <v>9</v>
      </c>
      <c r="I227" s="21">
        <f>SUM(NhatkyNhap!$C227:I227)-SUM(NhatkyBan!$C227:I227)</f>
        <v>9</v>
      </c>
      <c r="J227" s="21">
        <f>SUM(NhatkyNhap!$C227:J227)-SUM(NhatkyBan!$C227:J227)</f>
        <v>9</v>
      </c>
      <c r="K227" s="21">
        <f>SUM(NhatkyNhap!$C227:K227)-SUM(NhatkyBan!$C227:K227)</f>
        <v>9</v>
      </c>
      <c r="L227" s="21">
        <f>SUM(NhatkyNhap!$C227:L227)-SUM(NhatkyBan!$C227:L227)</f>
        <v>9</v>
      </c>
      <c r="M227" s="21">
        <f>SUM(NhatkyNhap!$C227:M227)-SUM(NhatkyBan!$C227:M227)</f>
        <v>9</v>
      </c>
      <c r="N227" s="21">
        <f>SUM(NhatkyNhap!$C227:N227)-SUM(NhatkyBan!$C227:N227)</f>
        <v>9</v>
      </c>
      <c r="O227" s="21">
        <f>SUM(NhatkyNhap!$C227:O227)-SUM(NhatkyBan!$C227:O227)</f>
        <v>9</v>
      </c>
      <c r="P227" s="21">
        <f>SUM(NhatkyNhap!$C227:P227)-SUM(NhatkyBan!$C227:P227)</f>
        <v>9</v>
      </c>
      <c r="Q227" s="21">
        <f>SUM(NhatkyNhap!$C227:Q227)-SUM(NhatkyBan!$C227:Q227)</f>
        <v>9</v>
      </c>
      <c r="R227" s="21">
        <f>SUM(NhatkyNhap!$C227:R227)-SUM(NhatkyBan!$C227:R227)</f>
        <v>9</v>
      </c>
      <c r="S227" s="21">
        <f>SUM(NhatkyNhap!$C227:S227)-SUM(NhatkyBan!$C227:S227)</f>
        <v>9</v>
      </c>
      <c r="T227" s="21">
        <f>SUM(NhatkyNhap!$C227:T227)-SUM(NhatkyBan!$C227:T227)</f>
        <v>9</v>
      </c>
      <c r="U227" s="21">
        <f>SUM(NhatkyNhap!$C227:U227)-SUM(NhatkyBan!$C227:U227)</f>
        <v>9</v>
      </c>
      <c r="V227" s="21">
        <f>SUM(NhatkyNhap!$C227:V227)-SUM(NhatkyBan!$C227:V227)</f>
        <v>9</v>
      </c>
      <c r="W227" s="21">
        <f>SUM(NhatkyNhap!$C227:W227)-SUM(NhatkyBan!$C227:W227)</f>
        <v>9</v>
      </c>
      <c r="X227" s="21">
        <f>SUM(NhatkyNhap!$C227:X227)-SUM(NhatkyBan!$C227:X227)</f>
        <v>9</v>
      </c>
      <c r="Y227" s="21">
        <f>SUM(NhatkyNhap!$C227:Y227)-SUM(NhatkyBan!$C227:Y227)</f>
        <v>9</v>
      </c>
      <c r="Z227" s="21">
        <f>SUM(NhatkyNhap!$C227:Z227)-SUM(NhatkyBan!$C227:Z227)</f>
        <v>9</v>
      </c>
      <c r="AA227" s="21">
        <f>SUM(NhatkyNhap!$C227:AA227)-SUM(NhatkyBan!$C227:AA227)</f>
        <v>9</v>
      </c>
      <c r="AB227" s="21">
        <f>SUM(NhatkyNhap!$C227:AB227)-SUM(NhatkyBan!$C227:AB227)</f>
        <v>9</v>
      </c>
      <c r="AC227" s="21">
        <f>SUM(NhatkyNhap!$C227:AC227)-SUM(NhatkyBan!$C227:AC227)</f>
        <v>9</v>
      </c>
      <c r="AD227" s="21">
        <f>SUM(NhatkyNhap!$C227:AD227)-SUM(NhatkyBan!$C227:AD227)</f>
        <v>9</v>
      </c>
      <c r="AE227" s="21">
        <f>SUM(NhatkyNhap!$C227:AE227)-SUM(NhatkyBan!$C227:AE227)</f>
        <v>9</v>
      </c>
      <c r="AF227" s="21">
        <f>SUM(NhatkyNhap!$C227:AF227)-SUM(NhatkyBan!$C227:AF227)</f>
        <v>9</v>
      </c>
      <c r="AG227" s="21">
        <f>SUM(NhatkyNhap!$C227:AG227)-SUM(NhatkyBan!$C227:AG227)</f>
        <v>9</v>
      </c>
    </row>
    <row r="228" spans="1:33" ht="12.75" customHeight="1">
      <c r="A228" s="76" t="str">
        <f>DSSP!A227</f>
        <v>GC152</v>
      </c>
      <c r="B228" s="25" t="str">
        <f>DSSP!B227</f>
        <v>Điện thoại bàn</v>
      </c>
      <c r="C228" s="21">
        <f>SUM(NhatkyNhap!$C228:C228)-SUM(NhatkyBan!$C228:C228)</f>
        <v>56</v>
      </c>
      <c r="D228" s="21">
        <f>SUM(NhatkyNhap!$C228:D228)-SUM(NhatkyBan!$C228:D228)</f>
        <v>56</v>
      </c>
      <c r="E228" s="21">
        <f>SUM(NhatkyNhap!$C228:E228)-SUM(NhatkyBan!$C228:E228)</f>
        <v>56</v>
      </c>
      <c r="F228" s="21">
        <f>SUM(NhatkyNhap!$C228:F228)-SUM(NhatkyBan!$C228:F228)</f>
        <v>56</v>
      </c>
      <c r="G228" s="21">
        <f>SUM(NhatkyNhap!$C228:G228)-SUM(NhatkyBan!$C228:G228)</f>
        <v>56</v>
      </c>
      <c r="H228" s="21">
        <f>SUM(NhatkyNhap!$C228:H228)-SUM(NhatkyBan!$C228:H228)</f>
        <v>56</v>
      </c>
      <c r="I228" s="21">
        <f>SUM(NhatkyNhap!$C228:I228)-SUM(NhatkyBan!$C228:I228)</f>
        <v>56</v>
      </c>
      <c r="J228" s="21">
        <f>SUM(NhatkyNhap!$C228:J228)-SUM(NhatkyBan!$C228:J228)</f>
        <v>56</v>
      </c>
      <c r="K228" s="21">
        <f>SUM(NhatkyNhap!$C228:K228)-SUM(NhatkyBan!$C228:K228)</f>
        <v>56</v>
      </c>
      <c r="L228" s="21">
        <f>SUM(NhatkyNhap!$C228:L228)-SUM(NhatkyBan!$C228:L228)</f>
        <v>56</v>
      </c>
      <c r="M228" s="21">
        <f>SUM(NhatkyNhap!$C228:M228)-SUM(NhatkyBan!$C228:M228)</f>
        <v>56</v>
      </c>
      <c r="N228" s="21">
        <f>SUM(NhatkyNhap!$C228:N228)-SUM(NhatkyBan!$C228:N228)</f>
        <v>56</v>
      </c>
      <c r="O228" s="21">
        <f>SUM(NhatkyNhap!$C228:O228)-SUM(NhatkyBan!$C228:O228)</f>
        <v>56</v>
      </c>
      <c r="P228" s="21">
        <f>SUM(NhatkyNhap!$C228:P228)-SUM(NhatkyBan!$C228:P228)</f>
        <v>56</v>
      </c>
      <c r="Q228" s="21">
        <f>SUM(NhatkyNhap!$C228:Q228)-SUM(NhatkyBan!$C228:Q228)</f>
        <v>56</v>
      </c>
      <c r="R228" s="21">
        <f>SUM(NhatkyNhap!$C228:R228)-SUM(NhatkyBan!$C228:R228)</f>
        <v>56</v>
      </c>
      <c r="S228" s="21">
        <f>SUM(NhatkyNhap!$C228:S228)-SUM(NhatkyBan!$C228:S228)</f>
        <v>56</v>
      </c>
      <c r="T228" s="21">
        <f>SUM(NhatkyNhap!$C228:T228)-SUM(NhatkyBan!$C228:T228)</f>
        <v>56</v>
      </c>
      <c r="U228" s="21">
        <f>SUM(NhatkyNhap!$C228:U228)-SUM(NhatkyBan!$C228:U228)</f>
        <v>56</v>
      </c>
      <c r="V228" s="21">
        <f>SUM(NhatkyNhap!$C228:V228)-SUM(NhatkyBan!$C228:V228)</f>
        <v>56</v>
      </c>
      <c r="W228" s="21">
        <f>SUM(NhatkyNhap!$C228:W228)-SUM(NhatkyBan!$C228:W228)</f>
        <v>56</v>
      </c>
      <c r="X228" s="21">
        <f>SUM(NhatkyNhap!$C228:X228)-SUM(NhatkyBan!$C228:X228)</f>
        <v>56</v>
      </c>
      <c r="Y228" s="21">
        <f>SUM(NhatkyNhap!$C228:Y228)-SUM(NhatkyBan!$C228:Y228)</f>
        <v>56</v>
      </c>
      <c r="Z228" s="21">
        <f>SUM(NhatkyNhap!$C228:Z228)-SUM(NhatkyBan!$C228:Z228)</f>
        <v>56</v>
      </c>
      <c r="AA228" s="21">
        <f>SUM(NhatkyNhap!$C228:AA228)-SUM(NhatkyBan!$C228:AA228)</f>
        <v>56</v>
      </c>
      <c r="AB228" s="21">
        <f>SUM(NhatkyNhap!$C228:AB228)-SUM(NhatkyBan!$C228:AB228)</f>
        <v>56</v>
      </c>
      <c r="AC228" s="21">
        <f>SUM(NhatkyNhap!$C228:AC228)-SUM(NhatkyBan!$C228:AC228)</f>
        <v>56</v>
      </c>
      <c r="AD228" s="21">
        <f>SUM(NhatkyNhap!$C228:AD228)-SUM(NhatkyBan!$C228:AD228)</f>
        <v>56</v>
      </c>
      <c r="AE228" s="21">
        <f>SUM(NhatkyNhap!$C228:AE228)-SUM(NhatkyBan!$C228:AE228)</f>
        <v>56</v>
      </c>
      <c r="AF228" s="21">
        <f>SUM(NhatkyNhap!$C228:AF228)-SUM(NhatkyBan!$C228:AF228)</f>
        <v>56</v>
      </c>
      <c r="AG228" s="21">
        <f>SUM(NhatkyNhap!$C228:AG228)-SUM(NhatkyBan!$C228:AG228)</f>
        <v>56</v>
      </c>
    </row>
    <row r="229" spans="1:33" ht="12.75" customHeight="1">
      <c r="A229" s="76" t="str">
        <f>DSSP!A228</f>
        <v>GC153</v>
      </c>
      <c r="B229" s="25" t="str">
        <f>DSSP!B228</f>
        <v>Nấm</v>
      </c>
      <c r="C229" s="21">
        <f>SUM(NhatkyNhap!$C229:C229)-SUM(NhatkyBan!$C229:C229)</f>
        <v>26</v>
      </c>
      <c r="D229" s="21">
        <f>SUM(NhatkyNhap!$C229:D229)-SUM(NhatkyBan!$C229:D229)</f>
        <v>26</v>
      </c>
      <c r="E229" s="21">
        <f>SUM(NhatkyNhap!$C229:E229)-SUM(NhatkyBan!$C229:E229)</f>
        <v>26</v>
      </c>
      <c r="F229" s="21">
        <f>SUM(NhatkyNhap!$C229:F229)-SUM(NhatkyBan!$C229:F229)</f>
        <v>26</v>
      </c>
      <c r="G229" s="21">
        <f>SUM(NhatkyNhap!$C229:G229)-SUM(NhatkyBan!$C229:G229)</f>
        <v>26</v>
      </c>
      <c r="H229" s="21">
        <f>SUM(NhatkyNhap!$C229:H229)-SUM(NhatkyBan!$C229:H229)</f>
        <v>26</v>
      </c>
      <c r="I229" s="21">
        <f>SUM(NhatkyNhap!$C229:I229)-SUM(NhatkyBan!$C229:I229)</f>
        <v>26</v>
      </c>
      <c r="J229" s="21">
        <f>SUM(NhatkyNhap!$C229:J229)-SUM(NhatkyBan!$C229:J229)</f>
        <v>26</v>
      </c>
      <c r="K229" s="21">
        <f>SUM(NhatkyNhap!$C229:K229)-SUM(NhatkyBan!$C229:K229)</f>
        <v>26</v>
      </c>
      <c r="L229" s="21">
        <f>SUM(NhatkyNhap!$C229:L229)-SUM(NhatkyBan!$C229:L229)</f>
        <v>26</v>
      </c>
      <c r="M229" s="21">
        <f>SUM(NhatkyNhap!$C229:M229)-SUM(NhatkyBan!$C229:M229)</f>
        <v>26</v>
      </c>
      <c r="N229" s="21">
        <f>SUM(NhatkyNhap!$C229:N229)-SUM(NhatkyBan!$C229:N229)</f>
        <v>26</v>
      </c>
      <c r="O229" s="21">
        <f>SUM(NhatkyNhap!$C229:O229)-SUM(NhatkyBan!$C229:O229)</f>
        <v>26</v>
      </c>
      <c r="P229" s="21">
        <f>SUM(NhatkyNhap!$C229:P229)-SUM(NhatkyBan!$C229:P229)</f>
        <v>26</v>
      </c>
      <c r="Q229" s="21">
        <f>SUM(NhatkyNhap!$C229:Q229)-SUM(NhatkyBan!$C229:Q229)</f>
        <v>26</v>
      </c>
      <c r="R229" s="21">
        <f>SUM(NhatkyNhap!$C229:R229)-SUM(NhatkyBan!$C229:R229)</f>
        <v>26</v>
      </c>
      <c r="S229" s="21">
        <f>SUM(NhatkyNhap!$C229:S229)-SUM(NhatkyBan!$C229:S229)</f>
        <v>26</v>
      </c>
      <c r="T229" s="21">
        <f>SUM(NhatkyNhap!$C229:T229)-SUM(NhatkyBan!$C229:T229)</f>
        <v>26</v>
      </c>
      <c r="U229" s="21">
        <f>SUM(NhatkyNhap!$C229:U229)-SUM(NhatkyBan!$C229:U229)</f>
        <v>26</v>
      </c>
      <c r="V229" s="21">
        <f>SUM(NhatkyNhap!$C229:V229)-SUM(NhatkyBan!$C229:V229)</f>
        <v>26</v>
      </c>
      <c r="W229" s="21">
        <f>SUM(NhatkyNhap!$C229:W229)-SUM(NhatkyBan!$C229:W229)</f>
        <v>26</v>
      </c>
      <c r="X229" s="21">
        <f>SUM(NhatkyNhap!$C229:X229)-SUM(NhatkyBan!$C229:X229)</f>
        <v>26</v>
      </c>
      <c r="Y229" s="21">
        <f>SUM(NhatkyNhap!$C229:Y229)-SUM(NhatkyBan!$C229:Y229)</f>
        <v>26</v>
      </c>
      <c r="Z229" s="21">
        <f>SUM(NhatkyNhap!$C229:Z229)-SUM(NhatkyBan!$C229:Z229)</f>
        <v>26</v>
      </c>
      <c r="AA229" s="21">
        <f>SUM(NhatkyNhap!$C229:AA229)-SUM(NhatkyBan!$C229:AA229)</f>
        <v>26</v>
      </c>
      <c r="AB229" s="21">
        <f>SUM(NhatkyNhap!$C229:AB229)-SUM(NhatkyBan!$C229:AB229)</f>
        <v>26</v>
      </c>
      <c r="AC229" s="21">
        <f>SUM(NhatkyNhap!$C229:AC229)-SUM(NhatkyBan!$C229:AC229)</f>
        <v>26</v>
      </c>
      <c r="AD229" s="21">
        <f>SUM(NhatkyNhap!$C229:AD229)-SUM(NhatkyBan!$C229:AD229)</f>
        <v>26</v>
      </c>
      <c r="AE229" s="21">
        <f>SUM(NhatkyNhap!$C229:AE229)-SUM(NhatkyBan!$C229:AE229)</f>
        <v>26</v>
      </c>
      <c r="AF229" s="21">
        <f>SUM(NhatkyNhap!$C229:AF229)-SUM(NhatkyBan!$C229:AF229)</f>
        <v>26</v>
      </c>
      <c r="AG229" s="21">
        <f>SUM(NhatkyNhap!$C229:AG229)-SUM(NhatkyBan!$C229:AG229)</f>
        <v>26</v>
      </c>
    </row>
    <row r="230" spans="1:33" ht="12.75" customHeight="1">
      <c r="A230" s="76" t="str">
        <f>DSSP!A229</f>
        <v>GC154</v>
      </c>
      <c r="B230" s="25" t="str">
        <f>DSSP!B229</f>
        <v>Mặt người tròn mắt sao mắt tròn</v>
      </c>
      <c r="C230" s="21">
        <f>SUM(NhatkyNhap!$C230:C230)-SUM(NhatkyBan!$C230:C230)</f>
        <v>5</v>
      </c>
      <c r="D230" s="21">
        <f>SUM(NhatkyNhap!$C230:D230)-SUM(NhatkyBan!$C230:D230)</f>
        <v>5</v>
      </c>
      <c r="E230" s="21">
        <f>SUM(NhatkyNhap!$C230:E230)-SUM(NhatkyBan!$C230:E230)</f>
        <v>5</v>
      </c>
      <c r="F230" s="21">
        <f>SUM(NhatkyNhap!$C230:F230)-SUM(NhatkyBan!$C230:F230)</f>
        <v>5</v>
      </c>
      <c r="G230" s="21">
        <f>SUM(NhatkyNhap!$C230:G230)-SUM(NhatkyBan!$C230:G230)</f>
        <v>5</v>
      </c>
      <c r="H230" s="21">
        <f>SUM(NhatkyNhap!$C230:H230)-SUM(NhatkyBan!$C230:H230)</f>
        <v>5</v>
      </c>
      <c r="I230" s="21">
        <f>SUM(NhatkyNhap!$C230:I230)-SUM(NhatkyBan!$C230:I230)</f>
        <v>5</v>
      </c>
      <c r="J230" s="21">
        <f>SUM(NhatkyNhap!$C230:J230)-SUM(NhatkyBan!$C230:J230)</f>
        <v>5</v>
      </c>
      <c r="K230" s="21">
        <f>SUM(NhatkyNhap!$C230:K230)-SUM(NhatkyBan!$C230:K230)</f>
        <v>5</v>
      </c>
      <c r="L230" s="21">
        <f>SUM(NhatkyNhap!$C230:L230)-SUM(NhatkyBan!$C230:L230)</f>
        <v>5</v>
      </c>
      <c r="M230" s="21">
        <f>SUM(NhatkyNhap!$C230:M230)-SUM(NhatkyBan!$C230:M230)</f>
        <v>5</v>
      </c>
      <c r="N230" s="21">
        <f>SUM(NhatkyNhap!$C230:N230)-SUM(NhatkyBan!$C230:N230)</f>
        <v>5</v>
      </c>
      <c r="O230" s="21">
        <f>SUM(NhatkyNhap!$C230:O230)-SUM(NhatkyBan!$C230:O230)</f>
        <v>5</v>
      </c>
      <c r="P230" s="21">
        <f>SUM(NhatkyNhap!$C230:P230)-SUM(NhatkyBan!$C230:P230)</f>
        <v>5</v>
      </c>
      <c r="Q230" s="21">
        <f>SUM(NhatkyNhap!$C230:Q230)-SUM(NhatkyBan!$C230:Q230)</f>
        <v>5</v>
      </c>
      <c r="R230" s="21">
        <f>SUM(NhatkyNhap!$C230:R230)-SUM(NhatkyBan!$C230:R230)</f>
        <v>5</v>
      </c>
      <c r="S230" s="21">
        <f>SUM(NhatkyNhap!$C230:S230)-SUM(NhatkyBan!$C230:S230)</f>
        <v>5</v>
      </c>
      <c r="T230" s="21">
        <f>SUM(NhatkyNhap!$C230:T230)-SUM(NhatkyBan!$C230:T230)</f>
        <v>5</v>
      </c>
      <c r="U230" s="21">
        <f>SUM(NhatkyNhap!$C230:U230)-SUM(NhatkyBan!$C230:U230)</f>
        <v>5</v>
      </c>
      <c r="V230" s="21">
        <f>SUM(NhatkyNhap!$C230:V230)-SUM(NhatkyBan!$C230:V230)</f>
        <v>5</v>
      </c>
      <c r="W230" s="21">
        <f>SUM(NhatkyNhap!$C230:W230)-SUM(NhatkyBan!$C230:W230)</f>
        <v>5</v>
      </c>
      <c r="X230" s="21">
        <f>SUM(NhatkyNhap!$C230:X230)-SUM(NhatkyBan!$C230:X230)</f>
        <v>5</v>
      </c>
      <c r="Y230" s="21">
        <f>SUM(NhatkyNhap!$C230:Y230)-SUM(NhatkyBan!$C230:Y230)</f>
        <v>5</v>
      </c>
      <c r="Z230" s="21">
        <f>SUM(NhatkyNhap!$C230:Z230)-SUM(NhatkyBan!$C230:Z230)</f>
        <v>5</v>
      </c>
      <c r="AA230" s="21">
        <f>SUM(NhatkyNhap!$C230:AA230)-SUM(NhatkyBan!$C230:AA230)</f>
        <v>5</v>
      </c>
      <c r="AB230" s="21">
        <f>SUM(NhatkyNhap!$C230:AB230)-SUM(NhatkyBan!$C230:AB230)</f>
        <v>5</v>
      </c>
      <c r="AC230" s="21">
        <f>SUM(NhatkyNhap!$C230:AC230)-SUM(NhatkyBan!$C230:AC230)</f>
        <v>5</v>
      </c>
      <c r="AD230" s="21">
        <f>SUM(NhatkyNhap!$C230:AD230)-SUM(NhatkyBan!$C230:AD230)</f>
        <v>5</v>
      </c>
      <c r="AE230" s="21">
        <f>SUM(NhatkyNhap!$C230:AE230)-SUM(NhatkyBan!$C230:AE230)</f>
        <v>5</v>
      </c>
      <c r="AF230" s="21">
        <f>SUM(NhatkyNhap!$C230:AF230)-SUM(NhatkyBan!$C230:AF230)</f>
        <v>5</v>
      </c>
      <c r="AG230" s="21">
        <f>SUM(NhatkyNhap!$C230:AG230)-SUM(NhatkyBan!$C230:AG230)</f>
        <v>5</v>
      </c>
    </row>
    <row r="231" spans="1:33" ht="12.75" customHeight="1">
      <c r="A231" s="76" t="str">
        <f>DSSP!A230</f>
        <v>GC155</v>
      </c>
      <c r="B231" s="25" t="str">
        <f>DSSP!B230</f>
        <v>Thỏ nhắm mắt</v>
      </c>
      <c r="C231" s="21">
        <f>SUM(NhatkyNhap!$C231:C231)-SUM(NhatkyBan!$C231:C231)</f>
        <v>6</v>
      </c>
      <c r="D231" s="21">
        <f>SUM(NhatkyNhap!$C231:D231)-SUM(NhatkyBan!$C231:D231)</f>
        <v>6</v>
      </c>
      <c r="E231" s="21">
        <f>SUM(NhatkyNhap!$C231:E231)-SUM(NhatkyBan!$C231:E231)</f>
        <v>6</v>
      </c>
      <c r="F231" s="21">
        <f>SUM(NhatkyNhap!$C231:F231)-SUM(NhatkyBan!$C231:F231)</f>
        <v>6</v>
      </c>
      <c r="G231" s="21">
        <f>SUM(NhatkyNhap!$C231:G231)-SUM(NhatkyBan!$C231:G231)</f>
        <v>6</v>
      </c>
      <c r="H231" s="21">
        <f>SUM(NhatkyNhap!$C231:H231)-SUM(NhatkyBan!$C231:H231)</f>
        <v>6</v>
      </c>
      <c r="I231" s="21">
        <f>SUM(NhatkyNhap!$C231:I231)-SUM(NhatkyBan!$C231:I231)</f>
        <v>6</v>
      </c>
      <c r="J231" s="21">
        <f>SUM(NhatkyNhap!$C231:J231)-SUM(NhatkyBan!$C231:J231)</f>
        <v>6</v>
      </c>
      <c r="K231" s="21">
        <f>SUM(NhatkyNhap!$C231:K231)-SUM(NhatkyBan!$C231:K231)</f>
        <v>6</v>
      </c>
      <c r="L231" s="21">
        <f>SUM(NhatkyNhap!$C231:L231)-SUM(NhatkyBan!$C231:L231)</f>
        <v>6</v>
      </c>
      <c r="M231" s="21">
        <f>SUM(NhatkyNhap!$C231:M231)-SUM(NhatkyBan!$C231:M231)</f>
        <v>6</v>
      </c>
      <c r="N231" s="21">
        <f>SUM(NhatkyNhap!$C231:N231)-SUM(NhatkyBan!$C231:N231)</f>
        <v>6</v>
      </c>
      <c r="O231" s="21">
        <f>SUM(NhatkyNhap!$C231:O231)-SUM(NhatkyBan!$C231:O231)</f>
        <v>6</v>
      </c>
      <c r="P231" s="21">
        <f>SUM(NhatkyNhap!$C231:P231)-SUM(NhatkyBan!$C231:P231)</f>
        <v>6</v>
      </c>
      <c r="Q231" s="21">
        <f>SUM(NhatkyNhap!$C231:Q231)-SUM(NhatkyBan!$C231:Q231)</f>
        <v>6</v>
      </c>
      <c r="R231" s="21">
        <f>SUM(NhatkyNhap!$C231:R231)-SUM(NhatkyBan!$C231:R231)</f>
        <v>6</v>
      </c>
      <c r="S231" s="21">
        <f>SUM(NhatkyNhap!$C231:S231)-SUM(NhatkyBan!$C231:S231)</f>
        <v>6</v>
      </c>
      <c r="T231" s="21">
        <f>SUM(NhatkyNhap!$C231:T231)-SUM(NhatkyBan!$C231:T231)</f>
        <v>6</v>
      </c>
      <c r="U231" s="21">
        <f>SUM(NhatkyNhap!$C231:U231)-SUM(NhatkyBan!$C231:U231)</f>
        <v>6</v>
      </c>
      <c r="V231" s="21">
        <f>SUM(NhatkyNhap!$C231:V231)-SUM(NhatkyBan!$C231:V231)</f>
        <v>6</v>
      </c>
      <c r="W231" s="21">
        <f>SUM(NhatkyNhap!$C231:W231)-SUM(NhatkyBan!$C231:W231)</f>
        <v>6</v>
      </c>
      <c r="X231" s="21">
        <f>SUM(NhatkyNhap!$C231:X231)-SUM(NhatkyBan!$C231:X231)</f>
        <v>6</v>
      </c>
      <c r="Y231" s="21">
        <f>SUM(NhatkyNhap!$C231:Y231)-SUM(NhatkyBan!$C231:Y231)</f>
        <v>6</v>
      </c>
      <c r="Z231" s="21">
        <f>SUM(NhatkyNhap!$C231:Z231)-SUM(NhatkyBan!$C231:Z231)</f>
        <v>6</v>
      </c>
      <c r="AA231" s="21">
        <f>SUM(NhatkyNhap!$C231:AA231)-SUM(NhatkyBan!$C231:AA231)</f>
        <v>6</v>
      </c>
      <c r="AB231" s="21">
        <f>SUM(NhatkyNhap!$C231:AB231)-SUM(NhatkyBan!$C231:AB231)</f>
        <v>6</v>
      </c>
      <c r="AC231" s="21">
        <f>SUM(NhatkyNhap!$C231:AC231)-SUM(NhatkyBan!$C231:AC231)</f>
        <v>6</v>
      </c>
      <c r="AD231" s="21">
        <f>SUM(NhatkyNhap!$C231:AD231)-SUM(NhatkyBan!$C231:AD231)</f>
        <v>6</v>
      </c>
      <c r="AE231" s="21">
        <f>SUM(NhatkyNhap!$C231:AE231)-SUM(NhatkyBan!$C231:AE231)</f>
        <v>6</v>
      </c>
      <c r="AF231" s="21">
        <f>SUM(NhatkyNhap!$C231:AF231)-SUM(NhatkyBan!$C231:AF231)</f>
        <v>6</v>
      </c>
      <c r="AG231" s="21">
        <f>SUM(NhatkyNhap!$C231:AG231)-SUM(NhatkyBan!$C231:AG231)</f>
        <v>6</v>
      </c>
    </row>
    <row r="232" spans="1:33" ht="12.75" customHeight="1">
      <c r="A232" s="76" t="str">
        <f>DSSP!A231</f>
        <v>GC156</v>
      </c>
      <c r="B232" s="25" t="str">
        <f>DSSP!B231</f>
        <v>Tàu hỏa</v>
      </c>
      <c r="C232" s="21">
        <f>SUM(NhatkyNhap!$C232:C232)-SUM(NhatkyBan!$C232:C232)</f>
        <v>19</v>
      </c>
      <c r="D232" s="21">
        <f>SUM(NhatkyNhap!$C232:D232)-SUM(NhatkyBan!$C232:D232)</f>
        <v>19</v>
      </c>
      <c r="E232" s="21">
        <f>SUM(NhatkyNhap!$C232:E232)-SUM(NhatkyBan!$C232:E232)</f>
        <v>19</v>
      </c>
      <c r="F232" s="21">
        <f>SUM(NhatkyNhap!$C232:F232)-SUM(NhatkyBan!$C232:F232)</f>
        <v>19</v>
      </c>
      <c r="G232" s="21">
        <f>SUM(NhatkyNhap!$C232:G232)-SUM(NhatkyBan!$C232:G232)</f>
        <v>19</v>
      </c>
      <c r="H232" s="21">
        <f>SUM(NhatkyNhap!$C232:H232)-SUM(NhatkyBan!$C232:H232)</f>
        <v>19</v>
      </c>
      <c r="I232" s="21">
        <f>SUM(NhatkyNhap!$C232:I232)-SUM(NhatkyBan!$C232:I232)</f>
        <v>19</v>
      </c>
      <c r="J232" s="21">
        <f>SUM(NhatkyNhap!$C232:J232)-SUM(NhatkyBan!$C232:J232)</f>
        <v>19</v>
      </c>
      <c r="K232" s="21">
        <f>SUM(NhatkyNhap!$C232:K232)-SUM(NhatkyBan!$C232:K232)</f>
        <v>19</v>
      </c>
      <c r="L232" s="21">
        <f>SUM(NhatkyNhap!$C232:L232)-SUM(NhatkyBan!$C232:L232)</f>
        <v>19</v>
      </c>
      <c r="M232" s="21">
        <f>SUM(NhatkyNhap!$C232:M232)-SUM(NhatkyBan!$C232:M232)</f>
        <v>19</v>
      </c>
      <c r="N232" s="21">
        <f>SUM(NhatkyNhap!$C232:N232)-SUM(NhatkyBan!$C232:N232)</f>
        <v>19</v>
      </c>
      <c r="O232" s="21">
        <f>SUM(NhatkyNhap!$C232:O232)-SUM(NhatkyBan!$C232:O232)</f>
        <v>19</v>
      </c>
      <c r="P232" s="21">
        <f>SUM(NhatkyNhap!$C232:P232)-SUM(NhatkyBan!$C232:P232)</f>
        <v>19</v>
      </c>
      <c r="Q232" s="21">
        <f>SUM(NhatkyNhap!$C232:Q232)-SUM(NhatkyBan!$C232:Q232)</f>
        <v>19</v>
      </c>
      <c r="R232" s="21">
        <f>SUM(NhatkyNhap!$C232:R232)-SUM(NhatkyBan!$C232:R232)</f>
        <v>19</v>
      </c>
      <c r="S232" s="21">
        <f>SUM(NhatkyNhap!$C232:S232)-SUM(NhatkyBan!$C232:S232)</f>
        <v>19</v>
      </c>
      <c r="T232" s="21">
        <f>SUM(NhatkyNhap!$C232:T232)-SUM(NhatkyBan!$C232:T232)</f>
        <v>19</v>
      </c>
      <c r="U232" s="21">
        <f>SUM(NhatkyNhap!$C232:U232)-SUM(NhatkyBan!$C232:U232)</f>
        <v>19</v>
      </c>
      <c r="V232" s="21">
        <f>SUM(NhatkyNhap!$C232:V232)-SUM(NhatkyBan!$C232:V232)</f>
        <v>19</v>
      </c>
      <c r="W232" s="21">
        <f>SUM(NhatkyNhap!$C232:W232)-SUM(NhatkyBan!$C232:W232)</f>
        <v>19</v>
      </c>
      <c r="X232" s="21">
        <f>SUM(NhatkyNhap!$C232:X232)-SUM(NhatkyBan!$C232:X232)</f>
        <v>19</v>
      </c>
      <c r="Y232" s="21">
        <f>SUM(NhatkyNhap!$C232:Y232)-SUM(NhatkyBan!$C232:Y232)</f>
        <v>19</v>
      </c>
      <c r="Z232" s="21">
        <f>SUM(NhatkyNhap!$C232:Z232)-SUM(NhatkyBan!$C232:Z232)</f>
        <v>19</v>
      </c>
      <c r="AA232" s="21">
        <f>SUM(NhatkyNhap!$C232:AA232)-SUM(NhatkyBan!$C232:AA232)</f>
        <v>19</v>
      </c>
      <c r="AB232" s="21">
        <f>SUM(NhatkyNhap!$C232:AB232)-SUM(NhatkyBan!$C232:AB232)</f>
        <v>19</v>
      </c>
      <c r="AC232" s="21">
        <f>SUM(NhatkyNhap!$C232:AC232)-SUM(NhatkyBan!$C232:AC232)</f>
        <v>19</v>
      </c>
      <c r="AD232" s="21">
        <f>SUM(NhatkyNhap!$C232:AD232)-SUM(NhatkyBan!$C232:AD232)</f>
        <v>19</v>
      </c>
      <c r="AE232" s="21">
        <f>SUM(NhatkyNhap!$C232:AE232)-SUM(NhatkyBan!$C232:AE232)</f>
        <v>19</v>
      </c>
      <c r="AF232" s="21">
        <f>SUM(NhatkyNhap!$C232:AF232)-SUM(NhatkyBan!$C232:AF232)</f>
        <v>19</v>
      </c>
      <c r="AG232" s="21">
        <f>SUM(NhatkyNhap!$C232:AG232)-SUM(NhatkyBan!$C232:AG232)</f>
        <v>19</v>
      </c>
    </row>
    <row r="233" spans="1:33" ht="12.75" customHeight="1">
      <c r="A233" s="76" t="str">
        <f>DSSP!A232</f>
        <v>GC157</v>
      </c>
      <c r="B233" s="25" t="str">
        <f>DSSP!B232</f>
        <v>Cánh chim</v>
      </c>
      <c r="C233" s="21">
        <f>SUM(NhatkyNhap!$C233:C233)-SUM(NhatkyBan!$C233:C233)</f>
        <v>52</v>
      </c>
      <c r="D233" s="21">
        <f>SUM(NhatkyNhap!$C233:D233)-SUM(NhatkyBan!$C233:D233)</f>
        <v>52</v>
      </c>
      <c r="E233" s="21">
        <f>SUM(NhatkyNhap!$C233:E233)-SUM(NhatkyBan!$C233:E233)</f>
        <v>52</v>
      </c>
      <c r="F233" s="21">
        <f>SUM(NhatkyNhap!$C233:F233)-SUM(NhatkyBan!$C233:F233)</f>
        <v>52</v>
      </c>
      <c r="G233" s="21">
        <f>SUM(NhatkyNhap!$C233:G233)-SUM(NhatkyBan!$C233:G233)</f>
        <v>52</v>
      </c>
      <c r="H233" s="21">
        <f>SUM(NhatkyNhap!$C233:H233)-SUM(NhatkyBan!$C233:H233)</f>
        <v>52</v>
      </c>
      <c r="I233" s="21">
        <f>SUM(NhatkyNhap!$C233:I233)-SUM(NhatkyBan!$C233:I233)</f>
        <v>52</v>
      </c>
      <c r="J233" s="21">
        <f>SUM(NhatkyNhap!$C233:J233)-SUM(NhatkyBan!$C233:J233)</f>
        <v>52</v>
      </c>
      <c r="K233" s="21">
        <f>SUM(NhatkyNhap!$C233:K233)-SUM(NhatkyBan!$C233:K233)</f>
        <v>52</v>
      </c>
      <c r="L233" s="21">
        <f>SUM(NhatkyNhap!$C233:L233)-SUM(NhatkyBan!$C233:L233)</f>
        <v>52</v>
      </c>
      <c r="M233" s="21">
        <f>SUM(NhatkyNhap!$C233:M233)-SUM(NhatkyBan!$C233:M233)</f>
        <v>52</v>
      </c>
      <c r="N233" s="21">
        <f>SUM(NhatkyNhap!$C233:N233)-SUM(NhatkyBan!$C233:N233)</f>
        <v>52</v>
      </c>
      <c r="O233" s="21">
        <f>SUM(NhatkyNhap!$C233:O233)-SUM(NhatkyBan!$C233:O233)</f>
        <v>52</v>
      </c>
      <c r="P233" s="21">
        <f>SUM(NhatkyNhap!$C233:P233)-SUM(NhatkyBan!$C233:P233)</f>
        <v>52</v>
      </c>
      <c r="Q233" s="21">
        <f>SUM(NhatkyNhap!$C233:Q233)-SUM(NhatkyBan!$C233:Q233)</f>
        <v>52</v>
      </c>
      <c r="R233" s="21">
        <f>SUM(NhatkyNhap!$C233:R233)-SUM(NhatkyBan!$C233:R233)</f>
        <v>52</v>
      </c>
      <c r="S233" s="21">
        <f>SUM(NhatkyNhap!$C233:S233)-SUM(NhatkyBan!$C233:S233)</f>
        <v>52</v>
      </c>
      <c r="T233" s="21">
        <f>SUM(NhatkyNhap!$C233:T233)-SUM(NhatkyBan!$C233:T233)</f>
        <v>52</v>
      </c>
      <c r="U233" s="21">
        <f>SUM(NhatkyNhap!$C233:U233)-SUM(NhatkyBan!$C233:U233)</f>
        <v>52</v>
      </c>
      <c r="V233" s="21">
        <f>SUM(NhatkyNhap!$C233:V233)-SUM(NhatkyBan!$C233:V233)</f>
        <v>52</v>
      </c>
      <c r="W233" s="21">
        <f>SUM(NhatkyNhap!$C233:W233)-SUM(NhatkyBan!$C233:W233)</f>
        <v>52</v>
      </c>
      <c r="X233" s="21">
        <f>SUM(NhatkyNhap!$C233:X233)-SUM(NhatkyBan!$C233:X233)</f>
        <v>52</v>
      </c>
      <c r="Y233" s="21">
        <f>SUM(NhatkyNhap!$C233:Y233)-SUM(NhatkyBan!$C233:Y233)</f>
        <v>52</v>
      </c>
      <c r="Z233" s="21">
        <f>SUM(NhatkyNhap!$C233:Z233)-SUM(NhatkyBan!$C233:Z233)</f>
        <v>52</v>
      </c>
      <c r="AA233" s="21">
        <f>SUM(NhatkyNhap!$C233:AA233)-SUM(NhatkyBan!$C233:AA233)</f>
        <v>52</v>
      </c>
      <c r="AB233" s="21">
        <f>SUM(NhatkyNhap!$C233:AB233)-SUM(NhatkyBan!$C233:AB233)</f>
        <v>52</v>
      </c>
      <c r="AC233" s="21">
        <f>SUM(NhatkyNhap!$C233:AC233)-SUM(NhatkyBan!$C233:AC233)</f>
        <v>52</v>
      </c>
      <c r="AD233" s="21">
        <f>SUM(NhatkyNhap!$C233:AD233)-SUM(NhatkyBan!$C233:AD233)</f>
        <v>52</v>
      </c>
      <c r="AE233" s="21">
        <f>SUM(NhatkyNhap!$C233:AE233)-SUM(NhatkyBan!$C233:AE233)</f>
        <v>52</v>
      </c>
      <c r="AF233" s="21">
        <f>SUM(NhatkyNhap!$C233:AF233)-SUM(NhatkyBan!$C233:AF233)</f>
        <v>52</v>
      </c>
      <c r="AG233" s="21">
        <f>SUM(NhatkyNhap!$C233:AG233)-SUM(NhatkyBan!$C233:AG233)</f>
        <v>52</v>
      </c>
    </row>
    <row r="234" spans="1:33" ht="12.75" customHeight="1">
      <c r="A234" s="76" t="str">
        <f>DSSP!A233</f>
        <v>GC158</v>
      </c>
      <c r="B234" s="25" t="str">
        <f>DSSP!B233</f>
        <v>Sao 1 mặt có vân</v>
      </c>
      <c r="C234" s="21">
        <f>SUM(NhatkyNhap!$C234:C234)-SUM(NhatkyBan!$C234:C234)</f>
        <v>3</v>
      </c>
      <c r="D234" s="21">
        <f>SUM(NhatkyNhap!$C234:D234)-SUM(NhatkyBan!$C234:D234)</f>
        <v>3</v>
      </c>
      <c r="E234" s="21">
        <f>SUM(NhatkyNhap!$C234:E234)-SUM(NhatkyBan!$C234:E234)</f>
        <v>3</v>
      </c>
      <c r="F234" s="21">
        <f>SUM(NhatkyNhap!$C234:F234)-SUM(NhatkyBan!$C234:F234)</f>
        <v>3</v>
      </c>
      <c r="G234" s="21">
        <f>SUM(NhatkyNhap!$C234:G234)-SUM(NhatkyBan!$C234:G234)</f>
        <v>3</v>
      </c>
      <c r="H234" s="21">
        <f>SUM(NhatkyNhap!$C234:H234)-SUM(NhatkyBan!$C234:H234)</f>
        <v>3</v>
      </c>
      <c r="I234" s="21">
        <f>SUM(NhatkyNhap!$C234:I234)-SUM(NhatkyBan!$C234:I234)</f>
        <v>3</v>
      </c>
      <c r="J234" s="21">
        <f>SUM(NhatkyNhap!$C234:J234)-SUM(NhatkyBan!$C234:J234)</f>
        <v>3</v>
      </c>
      <c r="K234" s="21">
        <f>SUM(NhatkyNhap!$C234:K234)-SUM(NhatkyBan!$C234:K234)</f>
        <v>3</v>
      </c>
      <c r="L234" s="21">
        <f>SUM(NhatkyNhap!$C234:L234)-SUM(NhatkyBan!$C234:L234)</f>
        <v>3</v>
      </c>
      <c r="M234" s="21">
        <f>SUM(NhatkyNhap!$C234:M234)-SUM(NhatkyBan!$C234:M234)</f>
        <v>3</v>
      </c>
      <c r="N234" s="21">
        <f>SUM(NhatkyNhap!$C234:N234)-SUM(NhatkyBan!$C234:N234)</f>
        <v>3</v>
      </c>
      <c r="O234" s="21">
        <f>SUM(NhatkyNhap!$C234:O234)-SUM(NhatkyBan!$C234:O234)</f>
        <v>3</v>
      </c>
      <c r="P234" s="21">
        <f>SUM(NhatkyNhap!$C234:P234)-SUM(NhatkyBan!$C234:P234)</f>
        <v>3</v>
      </c>
      <c r="Q234" s="21">
        <f>SUM(NhatkyNhap!$C234:Q234)-SUM(NhatkyBan!$C234:Q234)</f>
        <v>3</v>
      </c>
      <c r="R234" s="21">
        <f>SUM(NhatkyNhap!$C234:R234)-SUM(NhatkyBan!$C234:R234)</f>
        <v>3</v>
      </c>
      <c r="S234" s="21">
        <f>SUM(NhatkyNhap!$C234:S234)-SUM(NhatkyBan!$C234:S234)</f>
        <v>3</v>
      </c>
      <c r="T234" s="21">
        <f>SUM(NhatkyNhap!$C234:T234)-SUM(NhatkyBan!$C234:T234)</f>
        <v>3</v>
      </c>
      <c r="U234" s="21">
        <f>SUM(NhatkyNhap!$C234:U234)-SUM(NhatkyBan!$C234:U234)</f>
        <v>3</v>
      </c>
      <c r="V234" s="21">
        <f>SUM(NhatkyNhap!$C234:V234)-SUM(NhatkyBan!$C234:V234)</f>
        <v>3</v>
      </c>
      <c r="W234" s="21">
        <f>SUM(NhatkyNhap!$C234:W234)-SUM(NhatkyBan!$C234:W234)</f>
        <v>3</v>
      </c>
      <c r="X234" s="21">
        <f>SUM(NhatkyNhap!$C234:X234)-SUM(NhatkyBan!$C234:X234)</f>
        <v>3</v>
      </c>
      <c r="Y234" s="21">
        <f>SUM(NhatkyNhap!$C234:Y234)-SUM(NhatkyBan!$C234:Y234)</f>
        <v>3</v>
      </c>
      <c r="Z234" s="21">
        <f>SUM(NhatkyNhap!$C234:Z234)-SUM(NhatkyBan!$C234:Z234)</f>
        <v>3</v>
      </c>
      <c r="AA234" s="21">
        <f>SUM(NhatkyNhap!$C234:AA234)-SUM(NhatkyBan!$C234:AA234)</f>
        <v>3</v>
      </c>
      <c r="AB234" s="21">
        <f>SUM(NhatkyNhap!$C234:AB234)-SUM(NhatkyBan!$C234:AB234)</f>
        <v>3</v>
      </c>
      <c r="AC234" s="21">
        <f>SUM(NhatkyNhap!$C234:AC234)-SUM(NhatkyBan!$C234:AC234)</f>
        <v>3</v>
      </c>
      <c r="AD234" s="21">
        <f>SUM(NhatkyNhap!$C234:AD234)-SUM(NhatkyBan!$C234:AD234)</f>
        <v>3</v>
      </c>
      <c r="AE234" s="21">
        <f>SUM(NhatkyNhap!$C234:AE234)-SUM(NhatkyBan!$C234:AE234)</f>
        <v>3</v>
      </c>
      <c r="AF234" s="21">
        <f>SUM(NhatkyNhap!$C234:AF234)-SUM(NhatkyBan!$C234:AF234)</f>
        <v>3</v>
      </c>
      <c r="AG234" s="21">
        <f>SUM(NhatkyNhap!$C234:AG234)-SUM(NhatkyBan!$C234:AG234)</f>
        <v>3</v>
      </c>
    </row>
    <row r="235" spans="1:33" ht="12.75" customHeight="1">
      <c r="A235" s="76" t="str">
        <f>DSSP!A234</f>
        <v>GC159</v>
      </c>
      <c r="B235" s="25" t="str">
        <f>DSSP!B234</f>
        <v>Trái tim Thank u nhỏ</v>
      </c>
      <c r="C235" s="21">
        <f>SUM(NhatkyNhap!$C235:C235)-SUM(NhatkyBan!$C235:C235)</f>
        <v>2</v>
      </c>
      <c r="D235" s="21">
        <f>SUM(NhatkyNhap!$C235:D235)-SUM(NhatkyBan!$C235:D235)</f>
        <v>2</v>
      </c>
      <c r="E235" s="21">
        <f>SUM(NhatkyNhap!$C235:E235)-SUM(NhatkyBan!$C235:E235)</f>
        <v>2</v>
      </c>
      <c r="F235" s="21">
        <f>SUM(NhatkyNhap!$C235:F235)-SUM(NhatkyBan!$C235:F235)</f>
        <v>2</v>
      </c>
      <c r="G235" s="21">
        <f>SUM(NhatkyNhap!$C235:G235)-SUM(NhatkyBan!$C235:G235)</f>
        <v>2</v>
      </c>
      <c r="H235" s="21">
        <f>SUM(NhatkyNhap!$C235:H235)-SUM(NhatkyBan!$C235:H235)</f>
        <v>2</v>
      </c>
      <c r="I235" s="21">
        <f>SUM(NhatkyNhap!$C235:I235)-SUM(NhatkyBan!$C235:I235)</f>
        <v>2</v>
      </c>
      <c r="J235" s="21">
        <f>SUM(NhatkyNhap!$C235:J235)-SUM(NhatkyBan!$C235:J235)</f>
        <v>2</v>
      </c>
      <c r="K235" s="21">
        <f>SUM(NhatkyNhap!$C235:K235)-SUM(NhatkyBan!$C235:K235)</f>
        <v>2</v>
      </c>
      <c r="L235" s="21">
        <f>SUM(NhatkyNhap!$C235:L235)-SUM(NhatkyBan!$C235:L235)</f>
        <v>2</v>
      </c>
      <c r="M235" s="21">
        <f>SUM(NhatkyNhap!$C235:M235)-SUM(NhatkyBan!$C235:M235)</f>
        <v>2</v>
      </c>
      <c r="N235" s="21">
        <f>SUM(NhatkyNhap!$C235:N235)-SUM(NhatkyBan!$C235:N235)</f>
        <v>2</v>
      </c>
      <c r="O235" s="21">
        <f>SUM(NhatkyNhap!$C235:O235)-SUM(NhatkyBan!$C235:O235)</f>
        <v>2</v>
      </c>
      <c r="P235" s="21">
        <f>SUM(NhatkyNhap!$C235:P235)-SUM(NhatkyBan!$C235:P235)</f>
        <v>2</v>
      </c>
      <c r="Q235" s="21">
        <f>SUM(NhatkyNhap!$C235:Q235)-SUM(NhatkyBan!$C235:Q235)</f>
        <v>2</v>
      </c>
      <c r="R235" s="21">
        <f>SUM(NhatkyNhap!$C235:R235)-SUM(NhatkyBan!$C235:R235)</f>
        <v>2</v>
      </c>
      <c r="S235" s="21">
        <f>SUM(NhatkyNhap!$C235:S235)-SUM(NhatkyBan!$C235:S235)</f>
        <v>2</v>
      </c>
      <c r="T235" s="21">
        <f>SUM(NhatkyNhap!$C235:T235)-SUM(NhatkyBan!$C235:T235)</f>
        <v>2</v>
      </c>
      <c r="U235" s="21">
        <f>SUM(NhatkyNhap!$C235:U235)-SUM(NhatkyBan!$C235:U235)</f>
        <v>2</v>
      </c>
      <c r="V235" s="21">
        <f>SUM(NhatkyNhap!$C235:V235)-SUM(NhatkyBan!$C235:V235)</f>
        <v>2</v>
      </c>
      <c r="W235" s="21">
        <f>SUM(NhatkyNhap!$C235:W235)-SUM(NhatkyBan!$C235:W235)</f>
        <v>2</v>
      </c>
      <c r="X235" s="21">
        <f>SUM(NhatkyNhap!$C235:X235)-SUM(NhatkyBan!$C235:X235)</f>
        <v>2</v>
      </c>
      <c r="Y235" s="21">
        <f>SUM(NhatkyNhap!$C235:Y235)-SUM(NhatkyBan!$C235:Y235)</f>
        <v>2</v>
      </c>
      <c r="Z235" s="21">
        <f>SUM(NhatkyNhap!$C235:Z235)-SUM(NhatkyBan!$C235:Z235)</f>
        <v>2</v>
      </c>
      <c r="AA235" s="21">
        <f>SUM(NhatkyNhap!$C235:AA235)-SUM(NhatkyBan!$C235:AA235)</f>
        <v>2</v>
      </c>
      <c r="AB235" s="21">
        <f>SUM(NhatkyNhap!$C235:AB235)-SUM(NhatkyBan!$C235:AB235)</f>
        <v>2</v>
      </c>
      <c r="AC235" s="21">
        <f>SUM(NhatkyNhap!$C235:AC235)-SUM(NhatkyBan!$C235:AC235)</f>
        <v>2</v>
      </c>
      <c r="AD235" s="21">
        <f>SUM(NhatkyNhap!$C235:AD235)-SUM(NhatkyBan!$C235:AD235)</f>
        <v>2</v>
      </c>
      <c r="AE235" s="21">
        <f>SUM(NhatkyNhap!$C235:AE235)-SUM(NhatkyBan!$C235:AE235)</f>
        <v>2</v>
      </c>
      <c r="AF235" s="21">
        <f>SUM(NhatkyNhap!$C235:AF235)-SUM(NhatkyBan!$C235:AF235)</f>
        <v>2</v>
      </c>
      <c r="AG235" s="21">
        <f>SUM(NhatkyNhap!$C235:AG235)-SUM(NhatkyBan!$C235:AG235)</f>
        <v>2</v>
      </c>
    </row>
    <row r="236" spans="1:33" ht="12.75" customHeight="1">
      <c r="A236" s="76" t="str">
        <f>DSSP!A235</f>
        <v>GC160</v>
      </c>
      <c r="B236" s="25" t="str">
        <f>DSSP!B235</f>
        <v>Ovan made with love</v>
      </c>
      <c r="C236" s="21">
        <f>SUM(NhatkyNhap!$C236:C236)-SUM(NhatkyBan!$C236:C236)</f>
        <v>1</v>
      </c>
      <c r="D236" s="21">
        <f>SUM(NhatkyNhap!$C236:D236)-SUM(NhatkyBan!$C236:D236)</f>
        <v>1</v>
      </c>
      <c r="E236" s="21">
        <f>SUM(NhatkyNhap!$C236:E236)-SUM(NhatkyBan!$C236:E236)</f>
        <v>1</v>
      </c>
      <c r="F236" s="21">
        <f>SUM(NhatkyNhap!$C236:F236)-SUM(NhatkyBan!$C236:F236)</f>
        <v>1</v>
      </c>
      <c r="G236" s="21">
        <f>SUM(NhatkyNhap!$C236:G236)-SUM(NhatkyBan!$C236:G236)</f>
        <v>1</v>
      </c>
      <c r="H236" s="21">
        <f>SUM(NhatkyNhap!$C236:H236)-SUM(NhatkyBan!$C236:H236)</f>
        <v>1</v>
      </c>
      <c r="I236" s="21">
        <f>SUM(NhatkyNhap!$C236:I236)-SUM(NhatkyBan!$C236:I236)</f>
        <v>1</v>
      </c>
      <c r="J236" s="21">
        <f>SUM(NhatkyNhap!$C236:J236)-SUM(NhatkyBan!$C236:J236)</f>
        <v>1</v>
      </c>
      <c r="K236" s="21">
        <f>SUM(NhatkyNhap!$C236:K236)-SUM(NhatkyBan!$C236:K236)</f>
        <v>1</v>
      </c>
      <c r="L236" s="21">
        <f>SUM(NhatkyNhap!$C236:L236)-SUM(NhatkyBan!$C236:L236)</f>
        <v>1</v>
      </c>
      <c r="M236" s="21">
        <f>SUM(NhatkyNhap!$C236:M236)-SUM(NhatkyBan!$C236:M236)</f>
        <v>1</v>
      </c>
      <c r="N236" s="21">
        <f>SUM(NhatkyNhap!$C236:N236)-SUM(NhatkyBan!$C236:N236)</f>
        <v>1</v>
      </c>
      <c r="O236" s="21">
        <f>SUM(NhatkyNhap!$C236:O236)-SUM(NhatkyBan!$C236:O236)</f>
        <v>1</v>
      </c>
      <c r="P236" s="21">
        <f>SUM(NhatkyNhap!$C236:P236)-SUM(NhatkyBan!$C236:P236)</f>
        <v>1</v>
      </c>
      <c r="Q236" s="21">
        <f>SUM(NhatkyNhap!$C236:Q236)-SUM(NhatkyBan!$C236:Q236)</f>
        <v>1</v>
      </c>
      <c r="R236" s="21">
        <f>SUM(NhatkyNhap!$C236:R236)-SUM(NhatkyBan!$C236:R236)</f>
        <v>1</v>
      </c>
      <c r="S236" s="21">
        <f>SUM(NhatkyNhap!$C236:S236)-SUM(NhatkyBan!$C236:S236)</f>
        <v>1</v>
      </c>
      <c r="T236" s="21">
        <f>SUM(NhatkyNhap!$C236:T236)-SUM(NhatkyBan!$C236:T236)</f>
        <v>1</v>
      </c>
      <c r="U236" s="21">
        <f>SUM(NhatkyNhap!$C236:U236)-SUM(NhatkyBan!$C236:U236)</f>
        <v>1</v>
      </c>
      <c r="V236" s="21">
        <f>SUM(NhatkyNhap!$C236:V236)-SUM(NhatkyBan!$C236:V236)</f>
        <v>1</v>
      </c>
      <c r="W236" s="21">
        <f>SUM(NhatkyNhap!$C236:W236)-SUM(NhatkyBan!$C236:W236)</f>
        <v>1</v>
      </c>
      <c r="X236" s="21">
        <f>SUM(NhatkyNhap!$C236:X236)-SUM(NhatkyBan!$C236:X236)</f>
        <v>1</v>
      </c>
      <c r="Y236" s="21">
        <f>SUM(NhatkyNhap!$C236:Y236)-SUM(NhatkyBan!$C236:Y236)</f>
        <v>1</v>
      </c>
      <c r="Z236" s="21">
        <f>SUM(NhatkyNhap!$C236:Z236)-SUM(NhatkyBan!$C236:Z236)</f>
        <v>1</v>
      </c>
      <c r="AA236" s="21">
        <f>SUM(NhatkyNhap!$C236:AA236)-SUM(NhatkyBan!$C236:AA236)</f>
        <v>1</v>
      </c>
      <c r="AB236" s="21">
        <f>SUM(NhatkyNhap!$C236:AB236)-SUM(NhatkyBan!$C236:AB236)</f>
        <v>1</v>
      </c>
      <c r="AC236" s="21">
        <f>SUM(NhatkyNhap!$C236:AC236)-SUM(NhatkyBan!$C236:AC236)</f>
        <v>1</v>
      </c>
      <c r="AD236" s="21">
        <f>SUM(NhatkyNhap!$C236:AD236)-SUM(NhatkyBan!$C236:AD236)</f>
        <v>1</v>
      </c>
      <c r="AE236" s="21">
        <f>SUM(NhatkyNhap!$C236:AE236)-SUM(NhatkyBan!$C236:AE236)</f>
        <v>1</v>
      </c>
      <c r="AF236" s="21">
        <f>SUM(NhatkyNhap!$C236:AF236)-SUM(NhatkyBan!$C236:AF236)</f>
        <v>1</v>
      </c>
      <c r="AG236" s="21">
        <f>SUM(NhatkyNhap!$C236:AG236)-SUM(NhatkyBan!$C236:AG236)</f>
        <v>1</v>
      </c>
    </row>
    <row r="237" spans="1:33" ht="12.75" customHeight="1">
      <c r="A237" s="76" t="str">
        <f>DSSP!A236</f>
        <v>GC161</v>
      </c>
      <c r="B237" s="25" t="str">
        <f>DSSP!B236</f>
        <v>Sao mặt cười nhỏ</v>
      </c>
      <c r="C237" s="21">
        <f>SUM(NhatkyNhap!$C237:C237)-SUM(NhatkyBan!$C237:C237)</f>
        <v>0</v>
      </c>
      <c r="D237" s="21">
        <f>SUM(NhatkyNhap!$C237:D237)-SUM(NhatkyBan!$C237:D237)</f>
        <v>0</v>
      </c>
      <c r="E237" s="21">
        <f>SUM(NhatkyNhap!$C237:E237)-SUM(NhatkyBan!$C237:E237)</f>
        <v>0</v>
      </c>
      <c r="F237" s="21">
        <f>SUM(NhatkyNhap!$C237:F237)-SUM(NhatkyBan!$C237:F237)</f>
        <v>0</v>
      </c>
      <c r="G237" s="21">
        <f>SUM(NhatkyNhap!$C237:G237)-SUM(NhatkyBan!$C237:G237)</f>
        <v>0</v>
      </c>
      <c r="H237" s="21">
        <f>SUM(NhatkyNhap!$C237:H237)-SUM(NhatkyBan!$C237:H237)</f>
        <v>0</v>
      </c>
      <c r="I237" s="21">
        <f>SUM(NhatkyNhap!$C237:I237)-SUM(NhatkyBan!$C237:I237)</f>
        <v>0</v>
      </c>
      <c r="J237" s="21">
        <f>SUM(NhatkyNhap!$C237:J237)-SUM(NhatkyBan!$C237:J237)</f>
        <v>0</v>
      </c>
      <c r="K237" s="21">
        <f>SUM(NhatkyNhap!$C237:K237)-SUM(NhatkyBan!$C237:K237)</f>
        <v>0</v>
      </c>
      <c r="L237" s="21">
        <f>SUM(NhatkyNhap!$C237:L237)-SUM(NhatkyBan!$C237:L237)</f>
        <v>0</v>
      </c>
      <c r="M237" s="21">
        <f>SUM(NhatkyNhap!$C237:M237)-SUM(NhatkyBan!$C237:M237)</f>
        <v>0</v>
      </c>
      <c r="N237" s="21">
        <f>SUM(NhatkyNhap!$C237:N237)-SUM(NhatkyBan!$C237:N237)</f>
        <v>0</v>
      </c>
      <c r="O237" s="21">
        <f>SUM(NhatkyNhap!$C237:O237)-SUM(NhatkyBan!$C237:O237)</f>
        <v>0</v>
      </c>
      <c r="P237" s="21">
        <f>SUM(NhatkyNhap!$C237:P237)-SUM(NhatkyBan!$C237:P237)</f>
        <v>0</v>
      </c>
      <c r="Q237" s="21">
        <f>SUM(NhatkyNhap!$C237:Q237)-SUM(NhatkyBan!$C237:Q237)</f>
        <v>0</v>
      </c>
      <c r="R237" s="21">
        <f>SUM(NhatkyNhap!$C237:R237)-SUM(NhatkyBan!$C237:R237)</f>
        <v>0</v>
      </c>
      <c r="S237" s="21">
        <f>SUM(NhatkyNhap!$C237:S237)-SUM(NhatkyBan!$C237:S237)</f>
        <v>0</v>
      </c>
      <c r="T237" s="21">
        <f>SUM(NhatkyNhap!$C237:T237)-SUM(NhatkyBan!$C237:T237)</f>
        <v>0</v>
      </c>
      <c r="U237" s="21">
        <f>SUM(NhatkyNhap!$C237:U237)-SUM(NhatkyBan!$C237:U237)</f>
        <v>0</v>
      </c>
      <c r="V237" s="21">
        <f>SUM(NhatkyNhap!$C237:V237)-SUM(NhatkyBan!$C237:V237)</f>
        <v>0</v>
      </c>
      <c r="W237" s="21">
        <f>SUM(NhatkyNhap!$C237:W237)-SUM(NhatkyBan!$C237:W237)</f>
        <v>0</v>
      </c>
      <c r="X237" s="21">
        <f>SUM(NhatkyNhap!$C237:X237)-SUM(NhatkyBan!$C237:X237)</f>
        <v>0</v>
      </c>
      <c r="Y237" s="21">
        <f>SUM(NhatkyNhap!$C237:Y237)-SUM(NhatkyBan!$C237:Y237)</f>
        <v>0</v>
      </c>
      <c r="Z237" s="21">
        <f>SUM(NhatkyNhap!$C237:Z237)-SUM(NhatkyBan!$C237:Z237)</f>
        <v>0</v>
      </c>
      <c r="AA237" s="21">
        <f>SUM(NhatkyNhap!$C237:AA237)-SUM(NhatkyBan!$C237:AA237)</f>
        <v>0</v>
      </c>
      <c r="AB237" s="21">
        <f>SUM(NhatkyNhap!$C237:AB237)-SUM(NhatkyBan!$C237:AB237)</f>
        <v>0</v>
      </c>
      <c r="AC237" s="21">
        <f>SUM(NhatkyNhap!$C237:AC237)-SUM(NhatkyBan!$C237:AC237)</f>
        <v>0</v>
      </c>
      <c r="AD237" s="21">
        <f>SUM(NhatkyNhap!$C237:AD237)-SUM(NhatkyBan!$C237:AD237)</f>
        <v>0</v>
      </c>
      <c r="AE237" s="21">
        <f>SUM(NhatkyNhap!$C237:AE237)-SUM(NhatkyBan!$C237:AE237)</f>
        <v>0</v>
      </c>
      <c r="AF237" s="21">
        <f>SUM(NhatkyNhap!$C237:AF237)-SUM(NhatkyBan!$C237:AF237)</f>
        <v>0</v>
      </c>
      <c r="AG237" s="21">
        <f>SUM(NhatkyNhap!$C237:AG237)-SUM(NhatkyBan!$C237:AG237)</f>
        <v>0</v>
      </c>
    </row>
    <row r="238" spans="1:33" ht="12.75" customHeight="1">
      <c r="A238" s="76" t="str">
        <f>DSSP!A237</f>
        <v>GC162</v>
      </c>
      <c r="B238" s="25" t="str">
        <f>DSSP!B237</f>
        <v>Tháp Eiffel trong tranh</v>
      </c>
      <c r="C238" s="21">
        <f>SUM(NhatkyNhap!$C238:C238)-SUM(NhatkyBan!$C238:C238)</f>
        <v>32</v>
      </c>
      <c r="D238" s="21">
        <f>SUM(NhatkyNhap!$C238:D238)-SUM(NhatkyBan!$C238:D238)</f>
        <v>32</v>
      </c>
      <c r="E238" s="21">
        <f>SUM(NhatkyNhap!$C238:E238)-SUM(NhatkyBan!$C238:E238)</f>
        <v>32</v>
      </c>
      <c r="F238" s="21">
        <f>SUM(NhatkyNhap!$C238:F238)-SUM(NhatkyBan!$C238:F238)</f>
        <v>32</v>
      </c>
      <c r="G238" s="21">
        <f>SUM(NhatkyNhap!$C238:G238)-SUM(NhatkyBan!$C238:G238)</f>
        <v>32</v>
      </c>
      <c r="H238" s="21">
        <f>SUM(NhatkyNhap!$C238:H238)-SUM(NhatkyBan!$C238:H238)</f>
        <v>32</v>
      </c>
      <c r="I238" s="21">
        <f>SUM(NhatkyNhap!$C238:I238)-SUM(NhatkyBan!$C238:I238)</f>
        <v>32</v>
      </c>
      <c r="J238" s="21">
        <f>SUM(NhatkyNhap!$C238:J238)-SUM(NhatkyBan!$C238:J238)</f>
        <v>32</v>
      </c>
      <c r="K238" s="21">
        <f>SUM(NhatkyNhap!$C238:K238)-SUM(NhatkyBan!$C238:K238)</f>
        <v>32</v>
      </c>
      <c r="L238" s="21">
        <f>SUM(NhatkyNhap!$C238:L238)-SUM(NhatkyBan!$C238:L238)</f>
        <v>32</v>
      </c>
      <c r="M238" s="21">
        <f>SUM(NhatkyNhap!$C238:M238)-SUM(NhatkyBan!$C238:M238)</f>
        <v>32</v>
      </c>
      <c r="N238" s="21">
        <f>SUM(NhatkyNhap!$C238:N238)-SUM(NhatkyBan!$C238:N238)</f>
        <v>32</v>
      </c>
      <c r="O238" s="21">
        <f>SUM(NhatkyNhap!$C238:O238)-SUM(NhatkyBan!$C238:O238)</f>
        <v>32</v>
      </c>
      <c r="P238" s="21">
        <f>SUM(NhatkyNhap!$C238:P238)-SUM(NhatkyBan!$C238:P238)</f>
        <v>32</v>
      </c>
      <c r="Q238" s="21">
        <f>SUM(NhatkyNhap!$C238:Q238)-SUM(NhatkyBan!$C238:Q238)</f>
        <v>32</v>
      </c>
      <c r="R238" s="21">
        <f>SUM(NhatkyNhap!$C238:R238)-SUM(NhatkyBan!$C238:R238)</f>
        <v>32</v>
      </c>
      <c r="S238" s="21">
        <f>SUM(NhatkyNhap!$C238:S238)-SUM(NhatkyBan!$C238:S238)</f>
        <v>32</v>
      </c>
      <c r="T238" s="21">
        <f>SUM(NhatkyNhap!$C238:T238)-SUM(NhatkyBan!$C238:T238)</f>
        <v>32</v>
      </c>
      <c r="U238" s="21">
        <f>SUM(NhatkyNhap!$C238:U238)-SUM(NhatkyBan!$C238:U238)</f>
        <v>32</v>
      </c>
      <c r="V238" s="21">
        <f>SUM(NhatkyNhap!$C238:V238)-SUM(NhatkyBan!$C238:V238)</f>
        <v>32</v>
      </c>
      <c r="W238" s="21">
        <f>SUM(NhatkyNhap!$C238:W238)-SUM(NhatkyBan!$C238:W238)</f>
        <v>32</v>
      </c>
      <c r="X238" s="21">
        <f>SUM(NhatkyNhap!$C238:X238)-SUM(NhatkyBan!$C238:X238)</f>
        <v>32</v>
      </c>
      <c r="Y238" s="21">
        <f>SUM(NhatkyNhap!$C238:Y238)-SUM(NhatkyBan!$C238:Y238)</f>
        <v>32</v>
      </c>
      <c r="Z238" s="21">
        <f>SUM(NhatkyNhap!$C238:Z238)-SUM(NhatkyBan!$C238:Z238)</f>
        <v>32</v>
      </c>
      <c r="AA238" s="21">
        <f>SUM(NhatkyNhap!$C238:AA238)-SUM(NhatkyBan!$C238:AA238)</f>
        <v>32</v>
      </c>
      <c r="AB238" s="21">
        <f>SUM(NhatkyNhap!$C238:AB238)-SUM(NhatkyBan!$C238:AB238)</f>
        <v>32</v>
      </c>
      <c r="AC238" s="21">
        <f>SUM(NhatkyNhap!$C238:AC238)-SUM(NhatkyBan!$C238:AC238)</f>
        <v>32</v>
      </c>
      <c r="AD238" s="21">
        <f>SUM(NhatkyNhap!$C238:AD238)-SUM(NhatkyBan!$C238:AD238)</f>
        <v>32</v>
      </c>
      <c r="AE238" s="21">
        <f>SUM(NhatkyNhap!$C238:AE238)-SUM(NhatkyBan!$C238:AE238)</f>
        <v>32</v>
      </c>
      <c r="AF238" s="21">
        <f>SUM(NhatkyNhap!$C238:AF238)-SUM(NhatkyBan!$C238:AF238)</f>
        <v>32</v>
      </c>
      <c r="AG238" s="21">
        <f>SUM(NhatkyNhap!$C238:AG238)-SUM(NhatkyBan!$C238:AG238)</f>
        <v>32</v>
      </c>
    </row>
    <row r="239" spans="1:33" ht="12.75" customHeight="1">
      <c r="A239" s="76" t="str">
        <f>DSSP!A238</f>
        <v>GC163</v>
      </c>
      <c r="B239" s="25" t="str">
        <f>DSSP!B238</f>
        <v>Cỏ bốn lá viền nhỏ xinh</v>
      </c>
      <c r="C239" s="21">
        <f>SUM(NhatkyNhap!$C239:C239)-SUM(NhatkyBan!$C239:C239)</f>
        <v>82</v>
      </c>
      <c r="D239" s="21">
        <f>SUM(NhatkyNhap!$C239:D239)-SUM(NhatkyBan!$C239:D239)</f>
        <v>82</v>
      </c>
      <c r="E239" s="21">
        <f>SUM(NhatkyNhap!$C239:E239)-SUM(NhatkyBan!$C239:E239)</f>
        <v>82</v>
      </c>
      <c r="F239" s="21">
        <f>SUM(NhatkyNhap!$C239:F239)-SUM(NhatkyBan!$C239:F239)</f>
        <v>82</v>
      </c>
      <c r="G239" s="21">
        <f>SUM(NhatkyNhap!$C239:G239)-SUM(NhatkyBan!$C239:G239)</f>
        <v>82</v>
      </c>
      <c r="H239" s="21">
        <f>SUM(NhatkyNhap!$C239:H239)-SUM(NhatkyBan!$C239:H239)</f>
        <v>82</v>
      </c>
      <c r="I239" s="21">
        <f>SUM(NhatkyNhap!$C239:I239)-SUM(NhatkyBan!$C239:I239)</f>
        <v>82</v>
      </c>
      <c r="J239" s="21">
        <f>SUM(NhatkyNhap!$C239:J239)-SUM(NhatkyBan!$C239:J239)</f>
        <v>82</v>
      </c>
      <c r="K239" s="21">
        <f>SUM(NhatkyNhap!$C239:K239)-SUM(NhatkyBan!$C239:K239)</f>
        <v>82</v>
      </c>
      <c r="L239" s="21">
        <f>SUM(NhatkyNhap!$C239:L239)-SUM(NhatkyBan!$C239:L239)</f>
        <v>82</v>
      </c>
      <c r="M239" s="21">
        <f>SUM(NhatkyNhap!$C239:M239)-SUM(NhatkyBan!$C239:M239)</f>
        <v>82</v>
      </c>
      <c r="N239" s="21">
        <f>SUM(NhatkyNhap!$C239:N239)-SUM(NhatkyBan!$C239:N239)</f>
        <v>82</v>
      </c>
      <c r="O239" s="21">
        <f>SUM(NhatkyNhap!$C239:O239)-SUM(NhatkyBan!$C239:O239)</f>
        <v>82</v>
      </c>
      <c r="P239" s="21">
        <f>SUM(NhatkyNhap!$C239:P239)-SUM(NhatkyBan!$C239:P239)</f>
        <v>82</v>
      </c>
      <c r="Q239" s="21">
        <f>SUM(NhatkyNhap!$C239:Q239)-SUM(NhatkyBan!$C239:Q239)</f>
        <v>82</v>
      </c>
      <c r="R239" s="21">
        <f>SUM(NhatkyNhap!$C239:R239)-SUM(NhatkyBan!$C239:R239)</f>
        <v>82</v>
      </c>
      <c r="S239" s="21">
        <f>SUM(NhatkyNhap!$C239:S239)-SUM(NhatkyBan!$C239:S239)</f>
        <v>82</v>
      </c>
      <c r="T239" s="21">
        <f>SUM(NhatkyNhap!$C239:T239)-SUM(NhatkyBan!$C239:T239)</f>
        <v>82</v>
      </c>
      <c r="U239" s="21">
        <f>SUM(NhatkyNhap!$C239:U239)-SUM(NhatkyBan!$C239:U239)</f>
        <v>82</v>
      </c>
      <c r="V239" s="21">
        <f>SUM(NhatkyNhap!$C239:V239)-SUM(NhatkyBan!$C239:V239)</f>
        <v>82</v>
      </c>
      <c r="W239" s="21">
        <f>SUM(NhatkyNhap!$C239:W239)-SUM(NhatkyBan!$C239:W239)</f>
        <v>82</v>
      </c>
      <c r="X239" s="21">
        <f>SUM(NhatkyNhap!$C239:X239)-SUM(NhatkyBan!$C239:X239)</f>
        <v>82</v>
      </c>
      <c r="Y239" s="21">
        <f>SUM(NhatkyNhap!$C239:Y239)-SUM(NhatkyBan!$C239:Y239)</f>
        <v>82</v>
      </c>
      <c r="Z239" s="21">
        <f>SUM(NhatkyNhap!$C239:Z239)-SUM(NhatkyBan!$C239:Z239)</f>
        <v>82</v>
      </c>
      <c r="AA239" s="21">
        <f>SUM(NhatkyNhap!$C239:AA239)-SUM(NhatkyBan!$C239:AA239)</f>
        <v>82</v>
      </c>
      <c r="AB239" s="21">
        <f>SUM(NhatkyNhap!$C239:AB239)-SUM(NhatkyBan!$C239:AB239)</f>
        <v>82</v>
      </c>
      <c r="AC239" s="21">
        <f>SUM(NhatkyNhap!$C239:AC239)-SUM(NhatkyBan!$C239:AC239)</f>
        <v>82</v>
      </c>
      <c r="AD239" s="21">
        <f>SUM(NhatkyNhap!$C239:AD239)-SUM(NhatkyBan!$C239:AD239)</f>
        <v>82</v>
      </c>
      <c r="AE239" s="21">
        <f>SUM(NhatkyNhap!$C239:AE239)-SUM(NhatkyBan!$C239:AE239)</f>
        <v>82</v>
      </c>
      <c r="AF239" s="21">
        <f>SUM(NhatkyNhap!$C239:AF239)-SUM(NhatkyBan!$C239:AF239)</f>
        <v>82</v>
      </c>
      <c r="AG239" s="21">
        <f>SUM(NhatkyNhap!$C239:AG239)-SUM(NhatkyBan!$C239:AG239)</f>
        <v>82</v>
      </c>
    </row>
    <row r="240" spans="1:33" ht="12.75" customHeight="1">
      <c r="A240" s="76" t="str">
        <f>DSSP!A239</f>
        <v>GC164</v>
      </c>
      <c r="B240" s="25" t="str">
        <f>DSSP!B239</f>
        <v>Đồng hồ báo thức</v>
      </c>
      <c r="C240" s="21">
        <f>SUM(NhatkyNhap!$C240:C240)-SUM(NhatkyBan!$C240:C240)</f>
        <v>36</v>
      </c>
      <c r="D240" s="21">
        <f>SUM(NhatkyNhap!$C240:D240)-SUM(NhatkyBan!$C240:D240)</f>
        <v>36</v>
      </c>
      <c r="E240" s="21">
        <f>SUM(NhatkyNhap!$C240:E240)-SUM(NhatkyBan!$C240:E240)</f>
        <v>36</v>
      </c>
      <c r="F240" s="21">
        <f>SUM(NhatkyNhap!$C240:F240)-SUM(NhatkyBan!$C240:F240)</f>
        <v>36</v>
      </c>
      <c r="G240" s="21">
        <f>SUM(NhatkyNhap!$C240:G240)-SUM(NhatkyBan!$C240:G240)</f>
        <v>36</v>
      </c>
      <c r="H240" s="21">
        <f>SUM(NhatkyNhap!$C240:H240)-SUM(NhatkyBan!$C240:H240)</f>
        <v>36</v>
      </c>
      <c r="I240" s="21">
        <f>SUM(NhatkyNhap!$C240:I240)-SUM(NhatkyBan!$C240:I240)</f>
        <v>36</v>
      </c>
      <c r="J240" s="21">
        <f>SUM(NhatkyNhap!$C240:J240)-SUM(NhatkyBan!$C240:J240)</f>
        <v>36</v>
      </c>
      <c r="K240" s="21">
        <f>SUM(NhatkyNhap!$C240:K240)-SUM(NhatkyBan!$C240:K240)</f>
        <v>36</v>
      </c>
      <c r="L240" s="21">
        <f>SUM(NhatkyNhap!$C240:L240)-SUM(NhatkyBan!$C240:L240)</f>
        <v>36</v>
      </c>
      <c r="M240" s="21">
        <f>SUM(NhatkyNhap!$C240:M240)-SUM(NhatkyBan!$C240:M240)</f>
        <v>36</v>
      </c>
      <c r="N240" s="21">
        <f>SUM(NhatkyNhap!$C240:N240)-SUM(NhatkyBan!$C240:N240)</f>
        <v>36</v>
      </c>
      <c r="O240" s="21">
        <f>SUM(NhatkyNhap!$C240:O240)-SUM(NhatkyBan!$C240:O240)</f>
        <v>36</v>
      </c>
      <c r="P240" s="21">
        <f>SUM(NhatkyNhap!$C240:P240)-SUM(NhatkyBan!$C240:P240)</f>
        <v>36</v>
      </c>
      <c r="Q240" s="21">
        <f>SUM(NhatkyNhap!$C240:Q240)-SUM(NhatkyBan!$C240:Q240)</f>
        <v>36</v>
      </c>
      <c r="R240" s="21">
        <f>SUM(NhatkyNhap!$C240:R240)-SUM(NhatkyBan!$C240:R240)</f>
        <v>36</v>
      </c>
      <c r="S240" s="21">
        <f>SUM(NhatkyNhap!$C240:S240)-SUM(NhatkyBan!$C240:S240)</f>
        <v>36</v>
      </c>
      <c r="T240" s="21">
        <f>SUM(NhatkyNhap!$C240:T240)-SUM(NhatkyBan!$C240:T240)</f>
        <v>36</v>
      </c>
      <c r="U240" s="21">
        <f>SUM(NhatkyNhap!$C240:U240)-SUM(NhatkyBan!$C240:U240)</f>
        <v>36</v>
      </c>
      <c r="V240" s="21">
        <f>SUM(NhatkyNhap!$C240:V240)-SUM(NhatkyBan!$C240:V240)</f>
        <v>36</v>
      </c>
      <c r="W240" s="21">
        <f>SUM(NhatkyNhap!$C240:W240)-SUM(NhatkyBan!$C240:W240)</f>
        <v>36</v>
      </c>
      <c r="X240" s="21">
        <f>SUM(NhatkyNhap!$C240:X240)-SUM(NhatkyBan!$C240:X240)</f>
        <v>36</v>
      </c>
      <c r="Y240" s="21">
        <f>SUM(NhatkyNhap!$C240:Y240)-SUM(NhatkyBan!$C240:Y240)</f>
        <v>36</v>
      </c>
      <c r="Z240" s="21">
        <f>SUM(NhatkyNhap!$C240:Z240)-SUM(NhatkyBan!$C240:Z240)</f>
        <v>36</v>
      </c>
      <c r="AA240" s="21">
        <f>SUM(NhatkyNhap!$C240:AA240)-SUM(NhatkyBan!$C240:AA240)</f>
        <v>36</v>
      </c>
      <c r="AB240" s="21">
        <f>SUM(NhatkyNhap!$C240:AB240)-SUM(NhatkyBan!$C240:AB240)</f>
        <v>36</v>
      </c>
      <c r="AC240" s="21">
        <f>SUM(NhatkyNhap!$C240:AC240)-SUM(NhatkyBan!$C240:AC240)</f>
        <v>36</v>
      </c>
      <c r="AD240" s="21">
        <f>SUM(NhatkyNhap!$C240:AD240)-SUM(NhatkyBan!$C240:AD240)</f>
        <v>36</v>
      </c>
      <c r="AE240" s="21">
        <f>SUM(NhatkyNhap!$C240:AE240)-SUM(NhatkyBan!$C240:AE240)</f>
        <v>36</v>
      </c>
      <c r="AF240" s="21">
        <f>SUM(NhatkyNhap!$C240:AF240)-SUM(NhatkyBan!$C240:AF240)</f>
        <v>36</v>
      </c>
      <c r="AG240" s="21">
        <f>SUM(NhatkyNhap!$C240:AG240)-SUM(NhatkyBan!$C240:AG240)</f>
        <v>36</v>
      </c>
    </row>
    <row r="241" spans="1:33" ht="12.75" customHeight="1">
      <c r="A241" s="76" t="str">
        <f>DSSP!A240</f>
        <v>GC165</v>
      </c>
      <c r="B241" s="25" t="str">
        <f>DSSP!B240</f>
        <v>Đồng hồ quả lắc</v>
      </c>
      <c r="C241" s="21">
        <f>SUM(NhatkyNhap!$C241:C241)-SUM(NhatkyBan!$C241:C241)</f>
        <v>2</v>
      </c>
      <c r="D241" s="21">
        <f>SUM(NhatkyNhap!$C241:D241)-SUM(NhatkyBan!$C241:D241)</f>
        <v>2</v>
      </c>
      <c r="E241" s="21">
        <f>SUM(NhatkyNhap!$C241:E241)-SUM(NhatkyBan!$C241:E241)</f>
        <v>2</v>
      </c>
      <c r="F241" s="21">
        <f>SUM(NhatkyNhap!$C241:F241)-SUM(NhatkyBan!$C241:F241)</f>
        <v>2</v>
      </c>
      <c r="G241" s="21">
        <f>SUM(NhatkyNhap!$C241:G241)-SUM(NhatkyBan!$C241:G241)</f>
        <v>2</v>
      </c>
      <c r="H241" s="21">
        <f>SUM(NhatkyNhap!$C241:H241)-SUM(NhatkyBan!$C241:H241)</f>
        <v>2</v>
      </c>
      <c r="I241" s="21">
        <f>SUM(NhatkyNhap!$C241:I241)-SUM(NhatkyBan!$C241:I241)</f>
        <v>2</v>
      </c>
      <c r="J241" s="21">
        <f>SUM(NhatkyNhap!$C241:J241)-SUM(NhatkyBan!$C241:J241)</f>
        <v>2</v>
      </c>
      <c r="K241" s="21">
        <f>SUM(NhatkyNhap!$C241:K241)-SUM(NhatkyBan!$C241:K241)</f>
        <v>2</v>
      </c>
      <c r="L241" s="21">
        <f>SUM(NhatkyNhap!$C241:L241)-SUM(NhatkyBan!$C241:L241)</f>
        <v>2</v>
      </c>
      <c r="M241" s="21">
        <f>SUM(NhatkyNhap!$C241:M241)-SUM(NhatkyBan!$C241:M241)</f>
        <v>2</v>
      </c>
      <c r="N241" s="21">
        <f>SUM(NhatkyNhap!$C241:N241)-SUM(NhatkyBan!$C241:N241)</f>
        <v>2</v>
      </c>
      <c r="O241" s="21">
        <f>SUM(NhatkyNhap!$C241:O241)-SUM(NhatkyBan!$C241:O241)</f>
        <v>2</v>
      </c>
      <c r="P241" s="21">
        <f>SUM(NhatkyNhap!$C241:P241)-SUM(NhatkyBan!$C241:P241)</f>
        <v>2</v>
      </c>
      <c r="Q241" s="21">
        <f>SUM(NhatkyNhap!$C241:Q241)-SUM(NhatkyBan!$C241:Q241)</f>
        <v>2</v>
      </c>
      <c r="R241" s="21">
        <f>SUM(NhatkyNhap!$C241:R241)-SUM(NhatkyBan!$C241:R241)</f>
        <v>2</v>
      </c>
      <c r="S241" s="21">
        <f>SUM(NhatkyNhap!$C241:S241)-SUM(NhatkyBan!$C241:S241)</f>
        <v>2</v>
      </c>
      <c r="T241" s="21">
        <f>SUM(NhatkyNhap!$C241:T241)-SUM(NhatkyBan!$C241:T241)</f>
        <v>2</v>
      </c>
      <c r="U241" s="21">
        <f>SUM(NhatkyNhap!$C241:U241)-SUM(NhatkyBan!$C241:U241)</f>
        <v>2</v>
      </c>
      <c r="V241" s="21">
        <f>SUM(NhatkyNhap!$C241:V241)-SUM(NhatkyBan!$C241:V241)</f>
        <v>2</v>
      </c>
      <c r="W241" s="21">
        <f>SUM(NhatkyNhap!$C241:W241)-SUM(NhatkyBan!$C241:W241)</f>
        <v>2</v>
      </c>
      <c r="X241" s="21">
        <f>SUM(NhatkyNhap!$C241:X241)-SUM(NhatkyBan!$C241:X241)</f>
        <v>2</v>
      </c>
      <c r="Y241" s="21">
        <f>SUM(NhatkyNhap!$C241:Y241)-SUM(NhatkyBan!$C241:Y241)</f>
        <v>2</v>
      </c>
      <c r="Z241" s="21">
        <f>SUM(NhatkyNhap!$C241:Z241)-SUM(NhatkyBan!$C241:Z241)</f>
        <v>2</v>
      </c>
      <c r="AA241" s="21">
        <f>SUM(NhatkyNhap!$C241:AA241)-SUM(NhatkyBan!$C241:AA241)</f>
        <v>2</v>
      </c>
      <c r="AB241" s="21">
        <f>SUM(NhatkyNhap!$C241:AB241)-SUM(NhatkyBan!$C241:AB241)</f>
        <v>2</v>
      </c>
      <c r="AC241" s="21">
        <f>SUM(NhatkyNhap!$C241:AC241)-SUM(NhatkyBan!$C241:AC241)</f>
        <v>2</v>
      </c>
      <c r="AD241" s="21">
        <f>SUM(NhatkyNhap!$C241:AD241)-SUM(NhatkyBan!$C241:AD241)</f>
        <v>2</v>
      </c>
      <c r="AE241" s="21">
        <f>SUM(NhatkyNhap!$C241:AE241)-SUM(NhatkyBan!$C241:AE241)</f>
        <v>2</v>
      </c>
      <c r="AF241" s="21">
        <f>SUM(NhatkyNhap!$C241:AF241)-SUM(NhatkyBan!$C241:AF241)</f>
        <v>2</v>
      </c>
      <c r="AG241" s="21">
        <f>SUM(NhatkyNhap!$C241:AG241)-SUM(NhatkyBan!$C241:AG241)</f>
        <v>2</v>
      </c>
    </row>
    <row r="242" spans="1:33" ht="12.75" customHeight="1">
      <c r="A242" s="76" t="str">
        <f>DSSP!A241</f>
        <v>GC166</v>
      </c>
      <c r="B242" s="25" t="str">
        <f>DSSP!B241</f>
        <v>Trái tim có cánh chim</v>
      </c>
      <c r="C242" s="21">
        <f>SUM(NhatkyNhap!$C242:C242)-SUM(NhatkyBan!$C242:C242)</f>
        <v>0</v>
      </c>
      <c r="D242" s="21">
        <f>SUM(NhatkyNhap!$C242:D242)-SUM(NhatkyBan!$C242:D242)</f>
        <v>0</v>
      </c>
      <c r="E242" s="21">
        <f>SUM(NhatkyNhap!$C242:E242)-SUM(NhatkyBan!$C242:E242)</f>
        <v>0</v>
      </c>
      <c r="F242" s="21">
        <f>SUM(NhatkyNhap!$C242:F242)-SUM(NhatkyBan!$C242:F242)</f>
        <v>0</v>
      </c>
      <c r="G242" s="21">
        <f>SUM(NhatkyNhap!$C242:G242)-SUM(NhatkyBan!$C242:G242)</f>
        <v>0</v>
      </c>
      <c r="H242" s="21">
        <f>SUM(NhatkyNhap!$C242:H242)-SUM(NhatkyBan!$C242:H242)</f>
        <v>0</v>
      </c>
      <c r="I242" s="21">
        <f>SUM(NhatkyNhap!$C242:I242)-SUM(NhatkyBan!$C242:I242)</f>
        <v>0</v>
      </c>
      <c r="J242" s="21">
        <f>SUM(NhatkyNhap!$C242:J242)-SUM(NhatkyBan!$C242:J242)</f>
        <v>0</v>
      </c>
      <c r="K242" s="21">
        <f>SUM(NhatkyNhap!$C242:K242)-SUM(NhatkyBan!$C242:K242)</f>
        <v>0</v>
      </c>
      <c r="L242" s="21">
        <f>SUM(NhatkyNhap!$C242:L242)-SUM(NhatkyBan!$C242:L242)</f>
        <v>0</v>
      </c>
      <c r="M242" s="21">
        <f>SUM(NhatkyNhap!$C242:M242)-SUM(NhatkyBan!$C242:M242)</f>
        <v>0</v>
      </c>
      <c r="N242" s="21">
        <f>SUM(NhatkyNhap!$C242:N242)-SUM(NhatkyBan!$C242:N242)</f>
        <v>0</v>
      </c>
      <c r="O242" s="21">
        <f>SUM(NhatkyNhap!$C242:O242)-SUM(NhatkyBan!$C242:O242)</f>
        <v>0</v>
      </c>
      <c r="P242" s="21">
        <f>SUM(NhatkyNhap!$C242:P242)-SUM(NhatkyBan!$C242:P242)</f>
        <v>0</v>
      </c>
      <c r="Q242" s="21">
        <f>SUM(NhatkyNhap!$C242:Q242)-SUM(NhatkyBan!$C242:Q242)</f>
        <v>0</v>
      </c>
      <c r="R242" s="21">
        <f>SUM(NhatkyNhap!$C242:R242)-SUM(NhatkyBan!$C242:R242)</f>
        <v>0</v>
      </c>
      <c r="S242" s="21">
        <f>SUM(NhatkyNhap!$C242:S242)-SUM(NhatkyBan!$C242:S242)</f>
        <v>0</v>
      </c>
      <c r="T242" s="21">
        <f>SUM(NhatkyNhap!$C242:T242)-SUM(NhatkyBan!$C242:T242)</f>
        <v>0</v>
      </c>
      <c r="U242" s="21">
        <f>SUM(NhatkyNhap!$C242:U242)-SUM(NhatkyBan!$C242:U242)</f>
        <v>0</v>
      </c>
      <c r="V242" s="21">
        <f>SUM(NhatkyNhap!$C242:V242)-SUM(NhatkyBan!$C242:V242)</f>
        <v>0</v>
      </c>
      <c r="W242" s="21">
        <f>SUM(NhatkyNhap!$C242:W242)-SUM(NhatkyBan!$C242:W242)</f>
        <v>0</v>
      </c>
      <c r="X242" s="21">
        <f>SUM(NhatkyNhap!$C242:X242)-SUM(NhatkyBan!$C242:X242)</f>
        <v>0</v>
      </c>
      <c r="Y242" s="21">
        <f>SUM(NhatkyNhap!$C242:Y242)-SUM(NhatkyBan!$C242:Y242)</f>
        <v>0</v>
      </c>
      <c r="Z242" s="21">
        <f>SUM(NhatkyNhap!$C242:Z242)-SUM(NhatkyBan!$C242:Z242)</f>
        <v>0</v>
      </c>
      <c r="AA242" s="21">
        <f>SUM(NhatkyNhap!$C242:AA242)-SUM(NhatkyBan!$C242:AA242)</f>
        <v>0</v>
      </c>
      <c r="AB242" s="21">
        <f>SUM(NhatkyNhap!$C242:AB242)-SUM(NhatkyBan!$C242:AB242)</f>
        <v>0</v>
      </c>
      <c r="AC242" s="21">
        <f>SUM(NhatkyNhap!$C242:AC242)-SUM(NhatkyBan!$C242:AC242)</f>
        <v>0</v>
      </c>
      <c r="AD242" s="21">
        <f>SUM(NhatkyNhap!$C242:AD242)-SUM(NhatkyBan!$C242:AD242)</f>
        <v>0</v>
      </c>
      <c r="AE242" s="21">
        <f>SUM(NhatkyNhap!$C242:AE242)-SUM(NhatkyBan!$C242:AE242)</f>
        <v>0</v>
      </c>
      <c r="AF242" s="21">
        <f>SUM(NhatkyNhap!$C242:AF242)-SUM(NhatkyBan!$C242:AF242)</f>
        <v>0</v>
      </c>
      <c r="AG242" s="21">
        <f>SUM(NhatkyNhap!$C242:AG242)-SUM(NhatkyBan!$C242:AG242)</f>
        <v>0</v>
      </c>
    </row>
    <row r="243" spans="1:33" ht="12.75" customHeight="1">
      <c r="A243" s="76" t="str">
        <f>DSSP!A242</f>
        <v>GC167</v>
      </c>
      <c r="B243" s="25" t="str">
        <f>DSSP!B242</f>
        <v>Cánh chim rỗng</v>
      </c>
      <c r="C243" s="21">
        <f>SUM(NhatkyNhap!$C243:C243)-SUM(NhatkyBan!$C243:C243)</f>
        <v>80</v>
      </c>
      <c r="D243" s="21">
        <f>SUM(NhatkyNhap!$C243:D243)-SUM(NhatkyBan!$C243:D243)</f>
        <v>80</v>
      </c>
      <c r="E243" s="21">
        <f>SUM(NhatkyNhap!$C243:E243)-SUM(NhatkyBan!$C243:E243)</f>
        <v>80</v>
      </c>
      <c r="F243" s="21">
        <f>SUM(NhatkyNhap!$C243:F243)-SUM(NhatkyBan!$C243:F243)</f>
        <v>80</v>
      </c>
      <c r="G243" s="21">
        <f>SUM(NhatkyNhap!$C243:G243)-SUM(NhatkyBan!$C243:G243)</f>
        <v>80</v>
      </c>
      <c r="H243" s="21">
        <f>SUM(NhatkyNhap!$C243:H243)-SUM(NhatkyBan!$C243:H243)</f>
        <v>80</v>
      </c>
      <c r="I243" s="21">
        <f>SUM(NhatkyNhap!$C243:I243)-SUM(NhatkyBan!$C243:I243)</f>
        <v>80</v>
      </c>
      <c r="J243" s="21">
        <f>SUM(NhatkyNhap!$C243:J243)-SUM(NhatkyBan!$C243:J243)</f>
        <v>80</v>
      </c>
      <c r="K243" s="21">
        <f>SUM(NhatkyNhap!$C243:K243)-SUM(NhatkyBan!$C243:K243)</f>
        <v>80</v>
      </c>
      <c r="L243" s="21">
        <f>SUM(NhatkyNhap!$C243:L243)-SUM(NhatkyBan!$C243:L243)</f>
        <v>80</v>
      </c>
      <c r="M243" s="21">
        <f>SUM(NhatkyNhap!$C243:M243)-SUM(NhatkyBan!$C243:M243)</f>
        <v>80</v>
      </c>
      <c r="N243" s="21">
        <f>SUM(NhatkyNhap!$C243:N243)-SUM(NhatkyBan!$C243:N243)</f>
        <v>80</v>
      </c>
      <c r="O243" s="21">
        <f>SUM(NhatkyNhap!$C243:O243)-SUM(NhatkyBan!$C243:O243)</f>
        <v>80</v>
      </c>
      <c r="P243" s="21">
        <f>SUM(NhatkyNhap!$C243:P243)-SUM(NhatkyBan!$C243:P243)</f>
        <v>80</v>
      </c>
      <c r="Q243" s="21">
        <f>SUM(NhatkyNhap!$C243:Q243)-SUM(NhatkyBan!$C243:Q243)</f>
        <v>80</v>
      </c>
      <c r="R243" s="21">
        <f>SUM(NhatkyNhap!$C243:R243)-SUM(NhatkyBan!$C243:R243)</f>
        <v>80</v>
      </c>
      <c r="S243" s="21">
        <f>SUM(NhatkyNhap!$C243:S243)-SUM(NhatkyBan!$C243:S243)</f>
        <v>80</v>
      </c>
      <c r="T243" s="21">
        <f>SUM(NhatkyNhap!$C243:T243)-SUM(NhatkyBan!$C243:T243)</f>
        <v>80</v>
      </c>
      <c r="U243" s="21">
        <f>SUM(NhatkyNhap!$C243:U243)-SUM(NhatkyBan!$C243:U243)</f>
        <v>80</v>
      </c>
      <c r="V243" s="21">
        <f>SUM(NhatkyNhap!$C243:V243)-SUM(NhatkyBan!$C243:V243)</f>
        <v>80</v>
      </c>
      <c r="W243" s="21">
        <f>SUM(NhatkyNhap!$C243:W243)-SUM(NhatkyBan!$C243:W243)</f>
        <v>80</v>
      </c>
      <c r="X243" s="21">
        <f>SUM(NhatkyNhap!$C243:X243)-SUM(NhatkyBan!$C243:X243)</f>
        <v>80</v>
      </c>
      <c r="Y243" s="21">
        <f>SUM(NhatkyNhap!$C243:Y243)-SUM(NhatkyBan!$C243:Y243)</f>
        <v>80</v>
      </c>
      <c r="Z243" s="21">
        <f>SUM(NhatkyNhap!$C243:Z243)-SUM(NhatkyBan!$C243:Z243)</f>
        <v>80</v>
      </c>
      <c r="AA243" s="21">
        <f>SUM(NhatkyNhap!$C243:AA243)-SUM(NhatkyBan!$C243:AA243)</f>
        <v>80</v>
      </c>
      <c r="AB243" s="21">
        <f>SUM(NhatkyNhap!$C243:AB243)-SUM(NhatkyBan!$C243:AB243)</f>
        <v>80</v>
      </c>
      <c r="AC243" s="21">
        <f>SUM(NhatkyNhap!$C243:AC243)-SUM(NhatkyBan!$C243:AC243)</f>
        <v>80</v>
      </c>
      <c r="AD243" s="21">
        <f>SUM(NhatkyNhap!$C243:AD243)-SUM(NhatkyBan!$C243:AD243)</f>
        <v>80</v>
      </c>
      <c r="AE243" s="21">
        <f>SUM(NhatkyNhap!$C243:AE243)-SUM(NhatkyBan!$C243:AE243)</f>
        <v>80</v>
      </c>
      <c r="AF243" s="21">
        <f>SUM(NhatkyNhap!$C243:AF243)-SUM(NhatkyBan!$C243:AF243)</f>
        <v>80</v>
      </c>
      <c r="AG243" s="21">
        <f>SUM(NhatkyNhap!$C243:AG243)-SUM(NhatkyBan!$C243:AG243)</f>
        <v>80</v>
      </c>
    </row>
    <row r="244" spans="1:33" ht="12.75" customHeight="1">
      <c r="A244" s="76" t="str">
        <f>DSSP!A243</f>
        <v>GC168</v>
      </c>
      <c r="B244" s="25" t="str">
        <f>DSSP!B243</f>
        <v>Bàn tay Handmade</v>
      </c>
      <c r="C244" s="21">
        <f>SUM(NhatkyNhap!$C244:C244)-SUM(NhatkyBan!$C244:C244)</f>
        <v>31</v>
      </c>
      <c r="D244" s="21">
        <f>SUM(NhatkyNhap!$C244:D244)-SUM(NhatkyBan!$C244:D244)</f>
        <v>31</v>
      </c>
      <c r="E244" s="21">
        <f>SUM(NhatkyNhap!$C244:E244)-SUM(NhatkyBan!$C244:E244)</f>
        <v>31</v>
      </c>
      <c r="F244" s="21">
        <f>SUM(NhatkyNhap!$C244:F244)-SUM(NhatkyBan!$C244:F244)</f>
        <v>31</v>
      </c>
      <c r="G244" s="21">
        <f>SUM(NhatkyNhap!$C244:G244)-SUM(NhatkyBan!$C244:G244)</f>
        <v>31</v>
      </c>
      <c r="H244" s="21">
        <f>SUM(NhatkyNhap!$C244:H244)-SUM(NhatkyBan!$C244:H244)</f>
        <v>31</v>
      </c>
      <c r="I244" s="21">
        <f>SUM(NhatkyNhap!$C244:I244)-SUM(NhatkyBan!$C244:I244)</f>
        <v>31</v>
      </c>
      <c r="J244" s="21">
        <f>SUM(NhatkyNhap!$C244:J244)-SUM(NhatkyBan!$C244:J244)</f>
        <v>31</v>
      </c>
      <c r="K244" s="21">
        <f>SUM(NhatkyNhap!$C244:K244)-SUM(NhatkyBan!$C244:K244)</f>
        <v>31</v>
      </c>
      <c r="L244" s="21">
        <f>SUM(NhatkyNhap!$C244:L244)-SUM(NhatkyBan!$C244:L244)</f>
        <v>31</v>
      </c>
      <c r="M244" s="21">
        <f>SUM(NhatkyNhap!$C244:M244)-SUM(NhatkyBan!$C244:M244)</f>
        <v>31</v>
      </c>
      <c r="N244" s="21">
        <f>SUM(NhatkyNhap!$C244:N244)-SUM(NhatkyBan!$C244:N244)</f>
        <v>31</v>
      </c>
      <c r="O244" s="21">
        <f>SUM(NhatkyNhap!$C244:O244)-SUM(NhatkyBan!$C244:O244)</f>
        <v>31</v>
      </c>
      <c r="P244" s="21">
        <f>SUM(NhatkyNhap!$C244:P244)-SUM(NhatkyBan!$C244:P244)</f>
        <v>31</v>
      </c>
      <c r="Q244" s="21">
        <f>SUM(NhatkyNhap!$C244:Q244)-SUM(NhatkyBan!$C244:Q244)</f>
        <v>31</v>
      </c>
      <c r="R244" s="21">
        <f>SUM(NhatkyNhap!$C244:R244)-SUM(NhatkyBan!$C244:R244)</f>
        <v>31</v>
      </c>
      <c r="S244" s="21">
        <f>SUM(NhatkyNhap!$C244:S244)-SUM(NhatkyBan!$C244:S244)</f>
        <v>31</v>
      </c>
      <c r="T244" s="21">
        <f>SUM(NhatkyNhap!$C244:T244)-SUM(NhatkyBan!$C244:T244)</f>
        <v>31</v>
      </c>
      <c r="U244" s="21">
        <f>SUM(NhatkyNhap!$C244:U244)-SUM(NhatkyBan!$C244:U244)</f>
        <v>31</v>
      </c>
      <c r="V244" s="21">
        <f>SUM(NhatkyNhap!$C244:V244)-SUM(NhatkyBan!$C244:V244)</f>
        <v>31</v>
      </c>
      <c r="W244" s="21">
        <f>SUM(NhatkyNhap!$C244:W244)-SUM(NhatkyBan!$C244:W244)</f>
        <v>31</v>
      </c>
      <c r="X244" s="21">
        <f>SUM(NhatkyNhap!$C244:X244)-SUM(NhatkyBan!$C244:X244)</f>
        <v>31</v>
      </c>
      <c r="Y244" s="21">
        <f>SUM(NhatkyNhap!$C244:Y244)-SUM(NhatkyBan!$C244:Y244)</f>
        <v>31</v>
      </c>
      <c r="Z244" s="21">
        <f>SUM(NhatkyNhap!$C244:Z244)-SUM(NhatkyBan!$C244:Z244)</f>
        <v>31</v>
      </c>
      <c r="AA244" s="21">
        <f>SUM(NhatkyNhap!$C244:AA244)-SUM(NhatkyBan!$C244:AA244)</f>
        <v>31</v>
      </c>
      <c r="AB244" s="21">
        <f>SUM(NhatkyNhap!$C244:AB244)-SUM(NhatkyBan!$C244:AB244)</f>
        <v>31</v>
      </c>
      <c r="AC244" s="21">
        <f>SUM(NhatkyNhap!$C244:AC244)-SUM(NhatkyBan!$C244:AC244)</f>
        <v>31</v>
      </c>
      <c r="AD244" s="21">
        <f>SUM(NhatkyNhap!$C244:AD244)-SUM(NhatkyBan!$C244:AD244)</f>
        <v>31</v>
      </c>
      <c r="AE244" s="21">
        <f>SUM(NhatkyNhap!$C244:AE244)-SUM(NhatkyBan!$C244:AE244)</f>
        <v>31</v>
      </c>
      <c r="AF244" s="21">
        <f>SUM(NhatkyNhap!$C244:AF244)-SUM(NhatkyBan!$C244:AF244)</f>
        <v>31</v>
      </c>
      <c r="AG244" s="21">
        <f>SUM(NhatkyNhap!$C244:AG244)-SUM(NhatkyBan!$C244:AG244)</f>
        <v>31</v>
      </c>
    </row>
    <row r="245" spans="1:33" ht="12.75" customHeight="1">
      <c r="A245" s="80" t="str">
        <f>DSSP!A244</f>
        <v>GC169</v>
      </c>
      <c r="B245" s="21" t="str">
        <f>DSSP!B244</f>
        <v>Hộp nhẫn kim cương</v>
      </c>
      <c r="C245" s="21">
        <f>SUM(NhatkyNhap!$C245:C245)-SUM(NhatkyBan!$C245:C245)</f>
        <v>99</v>
      </c>
      <c r="D245" s="21">
        <f>SUM(NhatkyNhap!$C245:D245)-SUM(NhatkyBan!$C245:D245)</f>
        <v>99</v>
      </c>
      <c r="E245" s="21">
        <f>SUM(NhatkyNhap!$C245:E245)-SUM(NhatkyBan!$C245:E245)</f>
        <v>99</v>
      </c>
      <c r="F245" s="21">
        <f>SUM(NhatkyNhap!$C245:F245)-SUM(NhatkyBan!$C245:F245)</f>
        <v>99</v>
      </c>
      <c r="G245" s="21">
        <f>SUM(NhatkyNhap!$C245:G245)-SUM(NhatkyBan!$C245:G245)</f>
        <v>99</v>
      </c>
      <c r="H245" s="21">
        <f>SUM(NhatkyNhap!$C245:H245)-SUM(NhatkyBan!$C245:H245)</f>
        <v>99</v>
      </c>
      <c r="I245" s="21">
        <f>SUM(NhatkyNhap!$C245:I245)-SUM(NhatkyBan!$C245:I245)</f>
        <v>99</v>
      </c>
      <c r="J245" s="21">
        <f>SUM(NhatkyNhap!$C245:J245)-SUM(NhatkyBan!$C245:J245)</f>
        <v>99</v>
      </c>
      <c r="K245" s="21">
        <f>SUM(NhatkyNhap!$C245:K245)-SUM(NhatkyBan!$C245:K245)</f>
        <v>99</v>
      </c>
      <c r="L245" s="21">
        <f>SUM(NhatkyNhap!$C245:L245)-SUM(NhatkyBan!$C245:L245)</f>
        <v>99</v>
      </c>
      <c r="M245" s="21">
        <f>SUM(NhatkyNhap!$C245:M245)-SUM(NhatkyBan!$C245:M245)</f>
        <v>99</v>
      </c>
      <c r="N245" s="21">
        <f>SUM(NhatkyNhap!$C245:N245)-SUM(NhatkyBan!$C245:N245)</f>
        <v>99</v>
      </c>
      <c r="O245" s="21">
        <f>SUM(NhatkyNhap!$C245:O245)-SUM(NhatkyBan!$C245:O245)</f>
        <v>99</v>
      </c>
      <c r="P245" s="21">
        <f>SUM(NhatkyNhap!$C245:P245)-SUM(NhatkyBan!$C245:P245)</f>
        <v>99</v>
      </c>
      <c r="Q245" s="21">
        <f>SUM(NhatkyNhap!$C245:Q245)-SUM(NhatkyBan!$C245:Q245)</f>
        <v>99</v>
      </c>
      <c r="R245" s="21">
        <f>SUM(NhatkyNhap!$C245:R245)-SUM(NhatkyBan!$C245:R245)</f>
        <v>99</v>
      </c>
      <c r="S245" s="21">
        <f>SUM(NhatkyNhap!$C245:S245)-SUM(NhatkyBan!$C245:S245)</f>
        <v>99</v>
      </c>
      <c r="T245" s="21">
        <f>SUM(NhatkyNhap!$C245:T245)-SUM(NhatkyBan!$C245:T245)</f>
        <v>99</v>
      </c>
      <c r="U245" s="21">
        <f>SUM(NhatkyNhap!$C245:U245)-SUM(NhatkyBan!$C245:U245)</f>
        <v>99</v>
      </c>
      <c r="V245" s="21">
        <f>SUM(NhatkyNhap!$C245:V245)-SUM(NhatkyBan!$C245:V245)</f>
        <v>99</v>
      </c>
      <c r="W245" s="21">
        <f>SUM(NhatkyNhap!$C245:W245)-SUM(NhatkyBan!$C245:W245)</f>
        <v>99</v>
      </c>
      <c r="X245" s="21">
        <f>SUM(NhatkyNhap!$C245:X245)-SUM(NhatkyBan!$C245:X245)</f>
        <v>99</v>
      </c>
      <c r="Y245" s="21">
        <f>SUM(NhatkyNhap!$C245:Y245)-SUM(NhatkyBan!$C245:Y245)</f>
        <v>99</v>
      </c>
      <c r="Z245" s="21">
        <f>SUM(NhatkyNhap!$C245:Z245)-SUM(NhatkyBan!$C245:Z245)</f>
        <v>99</v>
      </c>
      <c r="AA245" s="21">
        <f>SUM(NhatkyNhap!$C245:AA245)-SUM(NhatkyBan!$C245:AA245)</f>
        <v>99</v>
      </c>
      <c r="AB245" s="21">
        <f>SUM(NhatkyNhap!$C245:AB245)-SUM(NhatkyBan!$C245:AB245)</f>
        <v>99</v>
      </c>
      <c r="AC245" s="21">
        <f>SUM(NhatkyNhap!$C245:AC245)-SUM(NhatkyBan!$C245:AC245)</f>
        <v>99</v>
      </c>
      <c r="AD245" s="21">
        <f>SUM(NhatkyNhap!$C245:AD245)-SUM(NhatkyBan!$C245:AD245)</f>
        <v>99</v>
      </c>
      <c r="AE245" s="21">
        <f>SUM(NhatkyNhap!$C245:AE245)-SUM(NhatkyBan!$C245:AE245)</f>
        <v>99</v>
      </c>
      <c r="AF245" s="21">
        <f>SUM(NhatkyNhap!$C245:AF245)-SUM(NhatkyBan!$C245:AF245)</f>
        <v>99</v>
      </c>
      <c r="AG245" s="21">
        <f>SUM(NhatkyNhap!$C245:AG245)-SUM(NhatkyBan!$C245:AG245)</f>
        <v>99</v>
      </c>
    </row>
    <row r="246" spans="1:33" ht="12.75" customHeight="1">
      <c r="A246" s="80" t="str">
        <f>DSSP!A245</f>
        <v>GC170</v>
      </c>
      <c r="B246" s="21" t="str">
        <f>DSSP!B245</f>
        <v>Thuyền buồm</v>
      </c>
      <c r="C246" s="21">
        <f>SUM(NhatkyNhap!$C246:C246)-SUM(NhatkyBan!$C246:C246)</f>
        <v>40</v>
      </c>
      <c r="D246" s="21">
        <f>SUM(NhatkyNhap!$C246:D246)-SUM(NhatkyBan!$C246:D246)</f>
        <v>40</v>
      </c>
      <c r="E246" s="21">
        <f>SUM(NhatkyNhap!$C246:E246)-SUM(NhatkyBan!$C246:E246)</f>
        <v>40</v>
      </c>
      <c r="F246" s="21">
        <f>SUM(NhatkyNhap!$C246:F246)-SUM(NhatkyBan!$C246:F246)</f>
        <v>40</v>
      </c>
      <c r="G246" s="21">
        <f>SUM(NhatkyNhap!$C246:G246)-SUM(NhatkyBan!$C246:G246)</f>
        <v>40</v>
      </c>
      <c r="H246" s="21">
        <f>SUM(NhatkyNhap!$C246:H246)-SUM(NhatkyBan!$C246:H246)</f>
        <v>40</v>
      </c>
      <c r="I246" s="21">
        <f>SUM(NhatkyNhap!$C246:I246)-SUM(NhatkyBan!$C246:I246)</f>
        <v>40</v>
      </c>
      <c r="J246" s="21">
        <f>SUM(NhatkyNhap!$C246:J246)-SUM(NhatkyBan!$C246:J246)</f>
        <v>40</v>
      </c>
      <c r="K246" s="21">
        <f>SUM(NhatkyNhap!$C246:K246)-SUM(NhatkyBan!$C246:K246)</f>
        <v>40</v>
      </c>
      <c r="L246" s="21">
        <f>SUM(NhatkyNhap!$C246:L246)-SUM(NhatkyBan!$C246:L246)</f>
        <v>40</v>
      </c>
      <c r="M246" s="21">
        <f>SUM(NhatkyNhap!$C246:M246)-SUM(NhatkyBan!$C246:M246)</f>
        <v>40</v>
      </c>
      <c r="N246" s="21">
        <f>SUM(NhatkyNhap!$C246:N246)-SUM(NhatkyBan!$C246:N246)</f>
        <v>40</v>
      </c>
      <c r="O246" s="21">
        <f>SUM(NhatkyNhap!$C246:O246)-SUM(NhatkyBan!$C246:O246)</f>
        <v>40</v>
      </c>
      <c r="P246" s="21">
        <f>SUM(NhatkyNhap!$C246:P246)-SUM(NhatkyBan!$C246:P246)</f>
        <v>40</v>
      </c>
      <c r="Q246" s="21">
        <f>SUM(NhatkyNhap!$C246:Q246)-SUM(NhatkyBan!$C246:Q246)</f>
        <v>40</v>
      </c>
      <c r="R246" s="21">
        <f>SUM(NhatkyNhap!$C246:R246)-SUM(NhatkyBan!$C246:R246)</f>
        <v>40</v>
      </c>
      <c r="S246" s="21">
        <f>SUM(NhatkyNhap!$C246:S246)-SUM(NhatkyBan!$C246:S246)</f>
        <v>40</v>
      </c>
      <c r="T246" s="21">
        <f>SUM(NhatkyNhap!$C246:T246)-SUM(NhatkyBan!$C246:T246)</f>
        <v>40</v>
      </c>
      <c r="U246" s="21">
        <f>SUM(NhatkyNhap!$C246:U246)-SUM(NhatkyBan!$C246:U246)</f>
        <v>40</v>
      </c>
      <c r="V246" s="21">
        <f>SUM(NhatkyNhap!$C246:V246)-SUM(NhatkyBan!$C246:V246)</f>
        <v>40</v>
      </c>
      <c r="W246" s="21">
        <f>SUM(NhatkyNhap!$C246:W246)-SUM(NhatkyBan!$C246:W246)</f>
        <v>40</v>
      </c>
      <c r="X246" s="21">
        <f>SUM(NhatkyNhap!$C246:X246)-SUM(NhatkyBan!$C246:X246)</f>
        <v>40</v>
      </c>
      <c r="Y246" s="21">
        <f>SUM(NhatkyNhap!$C246:Y246)-SUM(NhatkyBan!$C246:Y246)</f>
        <v>40</v>
      </c>
      <c r="Z246" s="21">
        <f>SUM(NhatkyNhap!$C246:Z246)-SUM(NhatkyBan!$C246:Z246)</f>
        <v>40</v>
      </c>
      <c r="AA246" s="21">
        <f>SUM(NhatkyNhap!$C246:AA246)-SUM(NhatkyBan!$C246:AA246)</f>
        <v>40</v>
      </c>
      <c r="AB246" s="21">
        <f>SUM(NhatkyNhap!$C246:AB246)-SUM(NhatkyBan!$C246:AB246)</f>
        <v>40</v>
      </c>
      <c r="AC246" s="21">
        <f>SUM(NhatkyNhap!$C246:AC246)-SUM(NhatkyBan!$C246:AC246)</f>
        <v>40</v>
      </c>
      <c r="AD246" s="21">
        <f>SUM(NhatkyNhap!$C246:AD246)-SUM(NhatkyBan!$C246:AD246)</f>
        <v>40</v>
      </c>
      <c r="AE246" s="21">
        <f>SUM(NhatkyNhap!$C246:AE246)-SUM(NhatkyBan!$C246:AE246)</f>
        <v>40</v>
      </c>
      <c r="AF246" s="21">
        <f>SUM(NhatkyNhap!$C246:AF246)-SUM(NhatkyBan!$C246:AF246)</f>
        <v>40</v>
      </c>
      <c r="AG246" s="21">
        <f>SUM(NhatkyNhap!$C246:AG246)-SUM(NhatkyBan!$C246:AG246)</f>
        <v>40</v>
      </c>
    </row>
    <row r="247" spans="1:33" ht="12.75" customHeight="1">
      <c r="A247" s="80" t="str">
        <f>DSSP!A246</f>
        <v>GC171</v>
      </c>
      <c r="B247" s="21" t="str">
        <f>DSSP!B246</f>
        <v>Súng</v>
      </c>
      <c r="C247" s="21">
        <f>SUM(NhatkyNhap!$C247:C247)-SUM(NhatkyBan!$C247:C247)</f>
        <v>45</v>
      </c>
      <c r="D247" s="21">
        <f>SUM(NhatkyNhap!$C247:D247)-SUM(NhatkyBan!$C247:D247)</f>
        <v>45</v>
      </c>
      <c r="E247" s="21">
        <f>SUM(NhatkyNhap!$C247:E247)-SUM(NhatkyBan!$C247:E247)</f>
        <v>45</v>
      </c>
      <c r="F247" s="21">
        <f>SUM(NhatkyNhap!$C247:F247)-SUM(NhatkyBan!$C247:F247)</f>
        <v>45</v>
      </c>
      <c r="G247" s="21">
        <f>SUM(NhatkyNhap!$C247:G247)-SUM(NhatkyBan!$C247:G247)</f>
        <v>45</v>
      </c>
      <c r="H247" s="21">
        <f>SUM(NhatkyNhap!$C247:H247)-SUM(NhatkyBan!$C247:H247)</f>
        <v>45</v>
      </c>
      <c r="I247" s="21">
        <f>SUM(NhatkyNhap!$C247:I247)-SUM(NhatkyBan!$C247:I247)</f>
        <v>45</v>
      </c>
      <c r="J247" s="21">
        <f>SUM(NhatkyNhap!$C247:J247)-SUM(NhatkyBan!$C247:J247)</f>
        <v>45</v>
      </c>
      <c r="K247" s="21">
        <f>SUM(NhatkyNhap!$C247:K247)-SUM(NhatkyBan!$C247:K247)</f>
        <v>45</v>
      </c>
      <c r="L247" s="21">
        <f>SUM(NhatkyNhap!$C247:L247)-SUM(NhatkyBan!$C247:L247)</f>
        <v>45</v>
      </c>
      <c r="M247" s="21">
        <f>SUM(NhatkyNhap!$C247:M247)-SUM(NhatkyBan!$C247:M247)</f>
        <v>45</v>
      </c>
      <c r="N247" s="21">
        <f>SUM(NhatkyNhap!$C247:N247)-SUM(NhatkyBan!$C247:N247)</f>
        <v>45</v>
      </c>
      <c r="O247" s="21">
        <f>SUM(NhatkyNhap!$C247:O247)-SUM(NhatkyBan!$C247:O247)</f>
        <v>45</v>
      </c>
      <c r="P247" s="21">
        <f>SUM(NhatkyNhap!$C247:P247)-SUM(NhatkyBan!$C247:P247)</f>
        <v>45</v>
      </c>
      <c r="Q247" s="21">
        <f>SUM(NhatkyNhap!$C247:Q247)-SUM(NhatkyBan!$C247:Q247)</f>
        <v>45</v>
      </c>
      <c r="R247" s="21">
        <f>SUM(NhatkyNhap!$C247:R247)-SUM(NhatkyBan!$C247:R247)</f>
        <v>45</v>
      </c>
      <c r="S247" s="21">
        <f>SUM(NhatkyNhap!$C247:S247)-SUM(NhatkyBan!$C247:S247)</f>
        <v>45</v>
      </c>
      <c r="T247" s="21">
        <f>SUM(NhatkyNhap!$C247:T247)-SUM(NhatkyBan!$C247:T247)</f>
        <v>45</v>
      </c>
      <c r="U247" s="21">
        <f>SUM(NhatkyNhap!$C247:U247)-SUM(NhatkyBan!$C247:U247)</f>
        <v>45</v>
      </c>
      <c r="V247" s="21">
        <f>SUM(NhatkyNhap!$C247:V247)-SUM(NhatkyBan!$C247:V247)</f>
        <v>45</v>
      </c>
      <c r="W247" s="21">
        <f>SUM(NhatkyNhap!$C247:W247)-SUM(NhatkyBan!$C247:W247)</f>
        <v>45</v>
      </c>
      <c r="X247" s="21">
        <f>SUM(NhatkyNhap!$C247:X247)-SUM(NhatkyBan!$C247:X247)</f>
        <v>45</v>
      </c>
      <c r="Y247" s="21">
        <f>SUM(NhatkyNhap!$C247:Y247)-SUM(NhatkyBan!$C247:Y247)</f>
        <v>45</v>
      </c>
      <c r="Z247" s="21">
        <f>SUM(NhatkyNhap!$C247:Z247)-SUM(NhatkyBan!$C247:Z247)</f>
        <v>45</v>
      </c>
      <c r="AA247" s="21">
        <f>SUM(NhatkyNhap!$C247:AA247)-SUM(NhatkyBan!$C247:AA247)</f>
        <v>45</v>
      </c>
      <c r="AB247" s="21">
        <f>SUM(NhatkyNhap!$C247:AB247)-SUM(NhatkyBan!$C247:AB247)</f>
        <v>45</v>
      </c>
      <c r="AC247" s="21">
        <f>SUM(NhatkyNhap!$C247:AC247)-SUM(NhatkyBan!$C247:AC247)</f>
        <v>45</v>
      </c>
      <c r="AD247" s="21">
        <f>SUM(NhatkyNhap!$C247:AD247)-SUM(NhatkyBan!$C247:AD247)</f>
        <v>45</v>
      </c>
      <c r="AE247" s="21">
        <f>SUM(NhatkyNhap!$C247:AE247)-SUM(NhatkyBan!$C247:AE247)</f>
        <v>45</v>
      </c>
      <c r="AF247" s="21">
        <f>SUM(NhatkyNhap!$C247:AF247)-SUM(NhatkyBan!$C247:AF247)</f>
        <v>45</v>
      </c>
      <c r="AG247" s="21">
        <f>SUM(NhatkyNhap!$C247:AG247)-SUM(NhatkyBan!$C247:AG247)</f>
        <v>45</v>
      </c>
    </row>
    <row r="248" spans="1:33" ht="12.75" customHeight="1">
      <c r="A248" s="80" t="str">
        <f>DSSP!A247</f>
        <v>GC172</v>
      </c>
      <c r="B248" s="21" t="str">
        <f>DSSP!B247</f>
        <v>Tháp Effeil Trăng</v>
      </c>
      <c r="C248" s="21">
        <f>SUM(NhatkyNhap!$C248:C248)-SUM(NhatkyBan!$C248:C248)</f>
        <v>39</v>
      </c>
      <c r="D248" s="21">
        <f>SUM(NhatkyNhap!$C248:D248)-SUM(NhatkyBan!$C248:D248)</f>
        <v>39</v>
      </c>
      <c r="E248" s="21">
        <f>SUM(NhatkyNhap!$C248:E248)-SUM(NhatkyBan!$C248:E248)</f>
        <v>39</v>
      </c>
      <c r="F248" s="21">
        <f>SUM(NhatkyNhap!$C248:F248)-SUM(NhatkyBan!$C248:F248)</f>
        <v>39</v>
      </c>
      <c r="G248" s="21">
        <f>SUM(NhatkyNhap!$C248:G248)-SUM(NhatkyBan!$C248:G248)</f>
        <v>39</v>
      </c>
      <c r="H248" s="21">
        <f>SUM(NhatkyNhap!$C248:H248)-SUM(NhatkyBan!$C248:H248)</f>
        <v>39</v>
      </c>
      <c r="I248" s="21">
        <f>SUM(NhatkyNhap!$C248:I248)-SUM(NhatkyBan!$C248:I248)</f>
        <v>39</v>
      </c>
      <c r="J248" s="21">
        <f>SUM(NhatkyNhap!$C248:J248)-SUM(NhatkyBan!$C248:J248)</f>
        <v>39</v>
      </c>
      <c r="K248" s="21">
        <f>SUM(NhatkyNhap!$C248:K248)-SUM(NhatkyBan!$C248:K248)</f>
        <v>39</v>
      </c>
      <c r="L248" s="21">
        <f>SUM(NhatkyNhap!$C248:L248)-SUM(NhatkyBan!$C248:L248)</f>
        <v>39</v>
      </c>
      <c r="M248" s="21">
        <f>SUM(NhatkyNhap!$C248:M248)-SUM(NhatkyBan!$C248:M248)</f>
        <v>39</v>
      </c>
      <c r="N248" s="21">
        <f>SUM(NhatkyNhap!$C248:N248)-SUM(NhatkyBan!$C248:N248)</f>
        <v>39</v>
      </c>
      <c r="O248" s="21">
        <f>SUM(NhatkyNhap!$C248:O248)-SUM(NhatkyBan!$C248:O248)</f>
        <v>39</v>
      </c>
      <c r="P248" s="21">
        <f>SUM(NhatkyNhap!$C248:P248)-SUM(NhatkyBan!$C248:P248)</f>
        <v>39</v>
      </c>
      <c r="Q248" s="21">
        <f>SUM(NhatkyNhap!$C248:Q248)-SUM(NhatkyBan!$C248:Q248)</f>
        <v>39</v>
      </c>
      <c r="R248" s="21">
        <f>SUM(NhatkyNhap!$C248:R248)-SUM(NhatkyBan!$C248:R248)</f>
        <v>39</v>
      </c>
      <c r="S248" s="21">
        <f>SUM(NhatkyNhap!$C248:S248)-SUM(NhatkyBan!$C248:S248)</f>
        <v>39</v>
      </c>
      <c r="T248" s="21">
        <f>SUM(NhatkyNhap!$C248:T248)-SUM(NhatkyBan!$C248:T248)</f>
        <v>39</v>
      </c>
      <c r="U248" s="21">
        <f>SUM(NhatkyNhap!$C248:U248)-SUM(NhatkyBan!$C248:U248)</f>
        <v>39</v>
      </c>
      <c r="V248" s="21">
        <f>SUM(NhatkyNhap!$C248:V248)-SUM(NhatkyBan!$C248:V248)</f>
        <v>39</v>
      </c>
      <c r="W248" s="21">
        <f>SUM(NhatkyNhap!$C248:W248)-SUM(NhatkyBan!$C248:W248)</f>
        <v>39</v>
      </c>
      <c r="X248" s="21">
        <f>SUM(NhatkyNhap!$C248:X248)-SUM(NhatkyBan!$C248:X248)</f>
        <v>39</v>
      </c>
      <c r="Y248" s="21">
        <f>SUM(NhatkyNhap!$C248:Y248)-SUM(NhatkyBan!$C248:Y248)</f>
        <v>39</v>
      </c>
      <c r="Z248" s="21">
        <f>SUM(NhatkyNhap!$C248:Z248)-SUM(NhatkyBan!$C248:Z248)</f>
        <v>39</v>
      </c>
      <c r="AA248" s="21">
        <f>SUM(NhatkyNhap!$C248:AA248)-SUM(NhatkyBan!$C248:AA248)</f>
        <v>39</v>
      </c>
      <c r="AB248" s="21">
        <f>SUM(NhatkyNhap!$C248:AB248)-SUM(NhatkyBan!$C248:AB248)</f>
        <v>39</v>
      </c>
      <c r="AC248" s="21">
        <f>SUM(NhatkyNhap!$C248:AC248)-SUM(NhatkyBan!$C248:AC248)</f>
        <v>39</v>
      </c>
      <c r="AD248" s="21">
        <f>SUM(NhatkyNhap!$C248:AD248)-SUM(NhatkyBan!$C248:AD248)</f>
        <v>39</v>
      </c>
      <c r="AE248" s="21">
        <f>SUM(NhatkyNhap!$C248:AE248)-SUM(NhatkyBan!$C248:AE248)</f>
        <v>39</v>
      </c>
      <c r="AF248" s="21">
        <f>SUM(NhatkyNhap!$C248:AF248)-SUM(NhatkyBan!$C248:AF248)</f>
        <v>39</v>
      </c>
      <c r="AG248" s="21">
        <f>SUM(NhatkyNhap!$C248:AG248)-SUM(NhatkyBan!$C248:AG248)</f>
        <v>39</v>
      </c>
    </row>
    <row r="249" spans="1:33" ht="12.75" customHeight="1">
      <c r="A249" s="80" t="str">
        <f>DSSP!A248</f>
        <v>GC173</v>
      </c>
      <c r="B249" s="21" t="str">
        <f>DSSP!B248</f>
        <v>Nốt nhạc</v>
      </c>
      <c r="C249" s="21">
        <f>SUM(NhatkyNhap!$C249:C249)-SUM(NhatkyBan!$C249:C249)</f>
        <v>41</v>
      </c>
      <c r="D249" s="21">
        <f>SUM(NhatkyNhap!$C249:D249)-SUM(NhatkyBan!$C249:D249)</f>
        <v>41</v>
      </c>
      <c r="E249" s="21">
        <f>SUM(NhatkyNhap!$C249:E249)-SUM(NhatkyBan!$C249:E249)</f>
        <v>41</v>
      </c>
      <c r="F249" s="21">
        <f>SUM(NhatkyNhap!$C249:F249)-SUM(NhatkyBan!$C249:F249)</f>
        <v>41</v>
      </c>
      <c r="G249" s="21">
        <f>SUM(NhatkyNhap!$C249:G249)-SUM(NhatkyBan!$C249:G249)</f>
        <v>41</v>
      </c>
      <c r="H249" s="21">
        <f>SUM(NhatkyNhap!$C249:H249)-SUM(NhatkyBan!$C249:H249)</f>
        <v>41</v>
      </c>
      <c r="I249" s="21">
        <f>SUM(NhatkyNhap!$C249:I249)-SUM(NhatkyBan!$C249:I249)</f>
        <v>41</v>
      </c>
      <c r="J249" s="21">
        <f>SUM(NhatkyNhap!$C249:J249)-SUM(NhatkyBan!$C249:J249)</f>
        <v>41</v>
      </c>
      <c r="K249" s="21">
        <f>SUM(NhatkyNhap!$C249:K249)-SUM(NhatkyBan!$C249:K249)</f>
        <v>41</v>
      </c>
      <c r="L249" s="21">
        <f>SUM(NhatkyNhap!$C249:L249)-SUM(NhatkyBan!$C249:L249)</f>
        <v>41</v>
      </c>
      <c r="M249" s="21">
        <f>SUM(NhatkyNhap!$C249:M249)-SUM(NhatkyBan!$C249:M249)</f>
        <v>41</v>
      </c>
      <c r="N249" s="21">
        <f>SUM(NhatkyNhap!$C249:N249)-SUM(NhatkyBan!$C249:N249)</f>
        <v>41</v>
      </c>
      <c r="O249" s="21">
        <f>SUM(NhatkyNhap!$C249:O249)-SUM(NhatkyBan!$C249:O249)</f>
        <v>41</v>
      </c>
      <c r="P249" s="21">
        <f>SUM(NhatkyNhap!$C249:P249)-SUM(NhatkyBan!$C249:P249)</f>
        <v>41</v>
      </c>
      <c r="Q249" s="21">
        <f>SUM(NhatkyNhap!$C249:Q249)-SUM(NhatkyBan!$C249:Q249)</f>
        <v>41</v>
      </c>
      <c r="R249" s="21">
        <f>SUM(NhatkyNhap!$C249:R249)-SUM(NhatkyBan!$C249:R249)</f>
        <v>41</v>
      </c>
      <c r="S249" s="21">
        <f>SUM(NhatkyNhap!$C249:S249)-SUM(NhatkyBan!$C249:S249)</f>
        <v>41</v>
      </c>
      <c r="T249" s="21">
        <f>SUM(NhatkyNhap!$C249:T249)-SUM(NhatkyBan!$C249:T249)</f>
        <v>41</v>
      </c>
      <c r="U249" s="21">
        <f>SUM(NhatkyNhap!$C249:U249)-SUM(NhatkyBan!$C249:U249)</f>
        <v>41</v>
      </c>
      <c r="V249" s="21">
        <f>SUM(NhatkyNhap!$C249:V249)-SUM(NhatkyBan!$C249:V249)</f>
        <v>41</v>
      </c>
      <c r="W249" s="21">
        <f>SUM(NhatkyNhap!$C249:W249)-SUM(NhatkyBan!$C249:W249)</f>
        <v>41</v>
      </c>
      <c r="X249" s="21">
        <f>SUM(NhatkyNhap!$C249:X249)-SUM(NhatkyBan!$C249:X249)</f>
        <v>41</v>
      </c>
      <c r="Y249" s="21">
        <f>SUM(NhatkyNhap!$C249:Y249)-SUM(NhatkyBan!$C249:Y249)</f>
        <v>41</v>
      </c>
      <c r="Z249" s="21">
        <f>SUM(NhatkyNhap!$C249:Z249)-SUM(NhatkyBan!$C249:Z249)</f>
        <v>41</v>
      </c>
      <c r="AA249" s="21">
        <f>SUM(NhatkyNhap!$C249:AA249)-SUM(NhatkyBan!$C249:AA249)</f>
        <v>41</v>
      </c>
      <c r="AB249" s="21">
        <f>SUM(NhatkyNhap!$C249:AB249)-SUM(NhatkyBan!$C249:AB249)</f>
        <v>41</v>
      </c>
      <c r="AC249" s="21">
        <f>SUM(NhatkyNhap!$C249:AC249)-SUM(NhatkyBan!$C249:AC249)</f>
        <v>41</v>
      </c>
      <c r="AD249" s="21">
        <f>SUM(NhatkyNhap!$C249:AD249)-SUM(NhatkyBan!$C249:AD249)</f>
        <v>41</v>
      </c>
      <c r="AE249" s="21">
        <f>SUM(NhatkyNhap!$C249:AE249)-SUM(NhatkyBan!$C249:AE249)</f>
        <v>41</v>
      </c>
      <c r="AF249" s="21">
        <f>SUM(NhatkyNhap!$C249:AF249)-SUM(NhatkyBan!$C249:AF249)</f>
        <v>41</v>
      </c>
      <c r="AG249" s="21">
        <f>SUM(NhatkyNhap!$C249:AG249)-SUM(NhatkyBan!$C249:AG249)</f>
        <v>41</v>
      </c>
    </row>
    <row r="250" spans="1:33" ht="12.75" customHeight="1">
      <c r="A250" s="80" t="str">
        <f>DSSP!A249</f>
        <v>GC174</v>
      </c>
      <c r="B250" s="21" t="str">
        <f>DSSP!B249</f>
        <v>Bông tuyết mới</v>
      </c>
      <c r="C250" s="21">
        <f>SUM(NhatkyNhap!$C250:C250)-SUM(NhatkyBan!$C250:C250)</f>
        <v>77</v>
      </c>
      <c r="D250" s="21">
        <f>SUM(NhatkyNhap!$C250:D250)-SUM(NhatkyBan!$C250:D250)</f>
        <v>77</v>
      </c>
      <c r="E250" s="21">
        <f>SUM(NhatkyNhap!$C250:E250)-SUM(NhatkyBan!$C250:E250)</f>
        <v>77</v>
      </c>
      <c r="F250" s="21">
        <f>SUM(NhatkyNhap!$C250:F250)-SUM(NhatkyBan!$C250:F250)</f>
        <v>77</v>
      </c>
      <c r="G250" s="21">
        <f>SUM(NhatkyNhap!$C250:G250)-SUM(NhatkyBan!$C250:G250)</f>
        <v>77</v>
      </c>
      <c r="H250" s="21">
        <f>SUM(NhatkyNhap!$C250:H250)-SUM(NhatkyBan!$C250:H250)</f>
        <v>77</v>
      </c>
      <c r="I250" s="21">
        <f>SUM(NhatkyNhap!$C250:I250)-SUM(NhatkyBan!$C250:I250)</f>
        <v>77</v>
      </c>
      <c r="J250" s="21">
        <f>SUM(NhatkyNhap!$C250:J250)-SUM(NhatkyBan!$C250:J250)</f>
        <v>77</v>
      </c>
      <c r="K250" s="21">
        <f>SUM(NhatkyNhap!$C250:K250)-SUM(NhatkyBan!$C250:K250)</f>
        <v>77</v>
      </c>
      <c r="L250" s="21">
        <f>SUM(NhatkyNhap!$C250:L250)-SUM(NhatkyBan!$C250:L250)</f>
        <v>77</v>
      </c>
      <c r="M250" s="21">
        <f>SUM(NhatkyNhap!$C250:M250)-SUM(NhatkyBan!$C250:M250)</f>
        <v>77</v>
      </c>
      <c r="N250" s="21">
        <f>SUM(NhatkyNhap!$C250:N250)-SUM(NhatkyBan!$C250:N250)</f>
        <v>77</v>
      </c>
      <c r="O250" s="21">
        <f>SUM(NhatkyNhap!$C250:O250)-SUM(NhatkyBan!$C250:O250)</f>
        <v>77</v>
      </c>
      <c r="P250" s="21">
        <f>SUM(NhatkyNhap!$C250:P250)-SUM(NhatkyBan!$C250:P250)</f>
        <v>77</v>
      </c>
      <c r="Q250" s="21">
        <f>SUM(NhatkyNhap!$C250:Q250)-SUM(NhatkyBan!$C250:Q250)</f>
        <v>77</v>
      </c>
      <c r="R250" s="21">
        <f>SUM(NhatkyNhap!$C250:R250)-SUM(NhatkyBan!$C250:R250)</f>
        <v>77</v>
      </c>
      <c r="S250" s="21">
        <f>SUM(NhatkyNhap!$C250:S250)-SUM(NhatkyBan!$C250:S250)</f>
        <v>77</v>
      </c>
      <c r="T250" s="21">
        <f>SUM(NhatkyNhap!$C250:T250)-SUM(NhatkyBan!$C250:T250)</f>
        <v>77</v>
      </c>
      <c r="U250" s="21">
        <f>SUM(NhatkyNhap!$C250:U250)-SUM(NhatkyBan!$C250:U250)</f>
        <v>77</v>
      </c>
      <c r="V250" s="21">
        <f>SUM(NhatkyNhap!$C250:V250)-SUM(NhatkyBan!$C250:V250)</f>
        <v>77</v>
      </c>
      <c r="W250" s="21">
        <f>SUM(NhatkyNhap!$C250:W250)-SUM(NhatkyBan!$C250:W250)</f>
        <v>77</v>
      </c>
      <c r="X250" s="21">
        <f>SUM(NhatkyNhap!$C250:X250)-SUM(NhatkyBan!$C250:X250)</f>
        <v>77</v>
      </c>
      <c r="Y250" s="21">
        <f>SUM(NhatkyNhap!$C250:Y250)-SUM(NhatkyBan!$C250:Y250)</f>
        <v>77</v>
      </c>
      <c r="Z250" s="21">
        <f>SUM(NhatkyNhap!$C250:Z250)-SUM(NhatkyBan!$C250:Z250)</f>
        <v>77</v>
      </c>
      <c r="AA250" s="21">
        <f>SUM(NhatkyNhap!$C250:AA250)-SUM(NhatkyBan!$C250:AA250)</f>
        <v>77</v>
      </c>
      <c r="AB250" s="21">
        <f>SUM(NhatkyNhap!$C250:AB250)-SUM(NhatkyBan!$C250:AB250)</f>
        <v>77</v>
      </c>
      <c r="AC250" s="21">
        <f>SUM(NhatkyNhap!$C250:AC250)-SUM(NhatkyBan!$C250:AC250)</f>
        <v>77</v>
      </c>
      <c r="AD250" s="21">
        <f>SUM(NhatkyNhap!$C250:AD250)-SUM(NhatkyBan!$C250:AD250)</f>
        <v>77</v>
      </c>
      <c r="AE250" s="21">
        <f>SUM(NhatkyNhap!$C250:AE250)-SUM(NhatkyBan!$C250:AE250)</f>
        <v>77</v>
      </c>
      <c r="AF250" s="21">
        <f>SUM(NhatkyNhap!$C250:AF250)-SUM(NhatkyBan!$C250:AF250)</f>
        <v>77</v>
      </c>
      <c r="AG250" s="21">
        <f>SUM(NhatkyNhap!$C250:AG250)-SUM(NhatkyBan!$C250:AG250)</f>
        <v>77</v>
      </c>
    </row>
    <row r="251" spans="1:33" ht="12.75" customHeight="1">
      <c r="A251" s="76" t="str">
        <f>DSSP!A250</f>
        <v>CT01</v>
      </c>
      <c r="B251" s="25" t="str">
        <f>DSSP!B250</f>
        <v>Chỉ DC</v>
      </c>
      <c r="C251" s="21">
        <f>SUM(NhatkyNhap!$C251:C251)-SUM(NhatkyBan!$C251:C251)</f>
        <v>9</v>
      </c>
      <c r="D251" s="21">
        <f>SUM(NhatkyNhap!$C251:D251)-SUM(NhatkyBan!$C251:D251)</f>
        <v>9</v>
      </c>
      <c r="E251" s="21">
        <f>SUM(NhatkyNhap!$C251:E251)-SUM(NhatkyBan!$C251:E251)</f>
        <v>9</v>
      </c>
      <c r="F251" s="21">
        <f>SUM(NhatkyNhap!$C251:F251)-SUM(NhatkyBan!$C251:F251)</f>
        <v>9</v>
      </c>
      <c r="G251" s="21">
        <f>SUM(NhatkyNhap!$C251:G251)-SUM(NhatkyBan!$C251:G251)</f>
        <v>9</v>
      </c>
      <c r="H251" s="21">
        <f>SUM(NhatkyNhap!$C251:H251)-SUM(NhatkyBan!$C251:H251)</f>
        <v>9</v>
      </c>
      <c r="I251" s="21">
        <f>SUM(NhatkyNhap!$C251:I251)-SUM(NhatkyBan!$C251:I251)</f>
        <v>9</v>
      </c>
      <c r="J251" s="21">
        <f>SUM(NhatkyNhap!$C251:J251)-SUM(NhatkyBan!$C251:J251)</f>
        <v>9</v>
      </c>
      <c r="K251" s="21">
        <f>SUM(NhatkyNhap!$C251:K251)-SUM(NhatkyBan!$C251:K251)</f>
        <v>9</v>
      </c>
      <c r="L251" s="21">
        <f>SUM(NhatkyNhap!$C251:L251)-SUM(NhatkyBan!$C251:L251)</f>
        <v>9</v>
      </c>
      <c r="M251" s="21">
        <f>SUM(NhatkyNhap!$C251:M251)-SUM(NhatkyBan!$C251:M251)</f>
        <v>9</v>
      </c>
      <c r="N251" s="21">
        <f>SUM(NhatkyNhap!$C251:N251)-SUM(NhatkyBan!$C251:N251)</f>
        <v>9</v>
      </c>
      <c r="O251" s="21">
        <f>SUM(NhatkyNhap!$C251:O251)-SUM(NhatkyBan!$C251:O251)</f>
        <v>9</v>
      </c>
      <c r="P251" s="21">
        <f>SUM(NhatkyNhap!$C251:P251)-SUM(NhatkyBan!$C251:P251)</f>
        <v>9</v>
      </c>
      <c r="Q251" s="21">
        <f>SUM(NhatkyNhap!$C251:Q251)-SUM(NhatkyBan!$C251:Q251)</f>
        <v>9</v>
      </c>
      <c r="R251" s="21">
        <f>SUM(NhatkyNhap!$C251:R251)-SUM(NhatkyBan!$C251:R251)</f>
        <v>9</v>
      </c>
      <c r="S251" s="21">
        <f>SUM(NhatkyNhap!$C251:S251)-SUM(NhatkyBan!$C251:S251)</f>
        <v>9</v>
      </c>
      <c r="T251" s="21">
        <f>SUM(NhatkyNhap!$C251:T251)-SUM(NhatkyBan!$C251:T251)</f>
        <v>9</v>
      </c>
      <c r="U251" s="21">
        <f>SUM(NhatkyNhap!$C251:U251)-SUM(NhatkyBan!$C251:U251)</f>
        <v>9</v>
      </c>
      <c r="V251" s="21">
        <f>SUM(NhatkyNhap!$C251:V251)-SUM(NhatkyBan!$C251:V251)</f>
        <v>9</v>
      </c>
      <c r="W251" s="21">
        <f>SUM(NhatkyNhap!$C251:W251)-SUM(NhatkyBan!$C251:W251)</f>
        <v>9</v>
      </c>
      <c r="X251" s="21">
        <f>SUM(NhatkyNhap!$C251:X251)-SUM(NhatkyBan!$C251:X251)</f>
        <v>9</v>
      </c>
      <c r="Y251" s="21">
        <f>SUM(NhatkyNhap!$C251:Y251)-SUM(NhatkyBan!$C251:Y251)</f>
        <v>9</v>
      </c>
      <c r="Z251" s="21">
        <f>SUM(NhatkyNhap!$C251:Z251)-SUM(NhatkyBan!$C251:Z251)</f>
        <v>9</v>
      </c>
      <c r="AA251" s="21">
        <f>SUM(NhatkyNhap!$C251:AA251)-SUM(NhatkyBan!$C251:AA251)</f>
        <v>9</v>
      </c>
      <c r="AB251" s="21">
        <f>SUM(NhatkyNhap!$C251:AB251)-SUM(NhatkyBan!$C251:AB251)</f>
        <v>9</v>
      </c>
      <c r="AC251" s="21">
        <f>SUM(NhatkyNhap!$C251:AC251)-SUM(NhatkyBan!$C251:AC251)</f>
        <v>9</v>
      </c>
      <c r="AD251" s="21">
        <f>SUM(NhatkyNhap!$C251:AD251)-SUM(NhatkyBan!$C251:AD251)</f>
        <v>9</v>
      </c>
      <c r="AE251" s="21">
        <f>SUM(NhatkyNhap!$C251:AE251)-SUM(NhatkyBan!$C251:AE251)</f>
        <v>9</v>
      </c>
      <c r="AF251" s="21">
        <f>SUM(NhatkyNhap!$C251:AF251)-SUM(NhatkyBan!$C251:AF251)</f>
        <v>9</v>
      </c>
      <c r="AG251" s="21">
        <f>SUM(NhatkyNhap!$C251:AG251)-SUM(NhatkyBan!$C251:AG251)</f>
        <v>9</v>
      </c>
    </row>
    <row r="252" spans="1:33" ht="12.75" customHeight="1">
      <c r="A252" s="76" t="str">
        <f>DSSP!A251</f>
        <v>VN01</v>
      </c>
      <c r="B252" s="25" t="str">
        <f>DSSP!B251</f>
        <v>Vải mét</v>
      </c>
      <c r="C252" s="21">
        <f>SUM(NhatkyNhap!$C252:C252)-SUM(NhatkyBan!$C252:C252)</f>
        <v>0</v>
      </c>
      <c r="D252" s="21">
        <f>SUM(NhatkyNhap!$C252:D252)-SUM(NhatkyBan!$C252:D252)</f>
        <v>0</v>
      </c>
      <c r="E252" s="21">
        <f>SUM(NhatkyNhap!$C252:E252)-SUM(NhatkyBan!$C252:E252)</f>
        <v>0</v>
      </c>
      <c r="F252" s="21">
        <f>SUM(NhatkyNhap!$C252:F252)-SUM(NhatkyBan!$C252:F252)</f>
        <v>0</v>
      </c>
      <c r="G252" s="21">
        <f>SUM(NhatkyNhap!$C252:G252)-SUM(NhatkyBan!$C252:G252)</f>
        <v>0</v>
      </c>
      <c r="H252" s="21">
        <f>SUM(NhatkyNhap!$C252:H252)-SUM(NhatkyBan!$C252:H252)</f>
        <v>0</v>
      </c>
      <c r="I252" s="21">
        <f>SUM(NhatkyNhap!$C252:I252)-SUM(NhatkyBan!$C252:I252)</f>
        <v>0</v>
      </c>
      <c r="J252" s="21">
        <f>SUM(NhatkyNhap!$C252:J252)-SUM(NhatkyBan!$C252:J252)</f>
        <v>0</v>
      </c>
      <c r="K252" s="21">
        <f>SUM(NhatkyNhap!$C252:K252)-SUM(NhatkyBan!$C252:K252)</f>
        <v>0</v>
      </c>
      <c r="L252" s="21">
        <f>SUM(NhatkyNhap!$C252:L252)-SUM(NhatkyBan!$C252:L252)</f>
        <v>0</v>
      </c>
      <c r="M252" s="21">
        <f>SUM(NhatkyNhap!$C252:M252)-SUM(NhatkyBan!$C252:M252)</f>
        <v>0</v>
      </c>
      <c r="N252" s="21">
        <f>SUM(NhatkyNhap!$C252:N252)-SUM(NhatkyBan!$C252:N252)</f>
        <v>0</v>
      </c>
      <c r="O252" s="21">
        <f>SUM(NhatkyNhap!$C252:O252)-SUM(NhatkyBan!$C252:O252)</f>
        <v>0</v>
      </c>
      <c r="P252" s="21">
        <f>SUM(NhatkyNhap!$C252:P252)-SUM(NhatkyBan!$C252:P252)</f>
        <v>0</v>
      </c>
      <c r="Q252" s="21">
        <f>SUM(NhatkyNhap!$C252:Q252)-SUM(NhatkyBan!$C252:Q252)</f>
        <v>0</v>
      </c>
      <c r="R252" s="21">
        <f>SUM(NhatkyNhap!$C252:R252)-SUM(NhatkyBan!$C252:R252)</f>
        <v>0</v>
      </c>
      <c r="S252" s="21">
        <f>SUM(NhatkyNhap!$C252:S252)-SUM(NhatkyBan!$C252:S252)</f>
        <v>0</v>
      </c>
      <c r="T252" s="21">
        <f>SUM(NhatkyNhap!$C252:T252)-SUM(NhatkyBan!$C252:T252)</f>
        <v>0</v>
      </c>
      <c r="U252" s="21">
        <f>SUM(NhatkyNhap!$C252:U252)-SUM(NhatkyBan!$C252:U252)</f>
        <v>0</v>
      </c>
      <c r="V252" s="21">
        <f>SUM(NhatkyNhap!$C252:V252)-SUM(NhatkyBan!$C252:V252)</f>
        <v>0</v>
      </c>
      <c r="W252" s="21">
        <f>SUM(NhatkyNhap!$C252:W252)-SUM(NhatkyBan!$C252:W252)</f>
        <v>0</v>
      </c>
      <c r="X252" s="21">
        <f>SUM(NhatkyNhap!$C252:X252)-SUM(NhatkyBan!$C252:X252)</f>
        <v>0</v>
      </c>
      <c r="Y252" s="21">
        <f>SUM(NhatkyNhap!$C252:Y252)-SUM(NhatkyBan!$C252:Y252)</f>
        <v>0</v>
      </c>
      <c r="Z252" s="21">
        <f>SUM(NhatkyNhap!$C252:Z252)-SUM(NhatkyBan!$C252:Z252)</f>
        <v>0</v>
      </c>
      <c r="AA252" s="21">
        <f>SUM(NhatkyNhap!$C252:AA252)-SUM(NhatkyBan!$C252:AA252)</f>
        <v>0</v>
      </c>
      <c r="AB252" s="21">
        <f>SUM(NhatkyNhap!$C252:AB252)-SUM(NhatkyBan!$C252:AB252)</f>
        <v>0</v>
      </c>
      <c r="AC252" s="21">
        <f>SUM(NhatkyNhap!$C252:AC252)-SUM(NhatkyBan!$C252:AC252)</f>
        <v>0</v>
      </c>
      <c r="AD252" s="21">
        <f>SUM(NhatkyNhap!$C252:AD252)-SUM(NhatkyBan!$C252:AD252)</f>
        <v>0</v>
      </c>
      <c r="AE252" s="21">
        <f>SUM(NhatkyNhap!$C252:AE252)-SUM(NhatkyBan!$C252:AE252)</f>
        <v>0</v>
      </c>
      <c r="AF252" s="21">
        <f>SUM(NhatkyNhap!$C252:AF252)-SUM(NhatkyBan!$C252:AF252)</f>
        <v>0</v>
      </c>
      <c r="AG252" s="21">
        <f>SUM(NhatkyNhap!$C252:AG252)-SUM(NhatkyBan!$C252:AG252)</f>
        <v>0</v>
      </c>
    </row>
    <row r="253" spans="1:33" ht="12.75" customHeight="1">
      <c r="A253" s="76" t="str">
        <f>DSSP!A252</f>
        <v>VN02</v>
      </c>
      <c r="B253" s="25" t="str">
        <f>DSSP!B252</f>
        <v>Vải nỉ làm gối 1.6 x 0.5m</v>
      </c>
      <c r="C253" s="21">
        <f>SUM(NhatkyNhap!$C253:C253)-SUM(NhatkyBan!$C253:C253)</f>
        <v>0</v>
      </c>
      <c r="D253" s="21">
        <f>SUM(NhatkyNhap!$C253:D253)-SUM(NhatkyBan!$C253:D253)</f>
        <v>0</v>
      </c>
      <c r="E253" s="21">
        <f>SUM(NhatkyNhap!$C253:E253)-SUM(NhatkyBan!$C253:E253)</f>
        <v>0</v>
      </c>
      <c r="F253" s="21">
        <f>SUM(NhatkyNhap!$C253:F253)-SUM(NhatkyBan!$C253:F253)</f>
        <v>0</v>
      </c>
      <c r="G253" s="21">
        <f>SUM(NhatkyNhap!$C253:G253)-SUM(NhatkyBan!$C253:G253)</f>
        <v>0</v>
      </c>
      <c r="H253" s="21">
        <f>SUM(NhatkyNhap!$C253:H253)-SUM(NhatkyBan!$C253:H253)</f>
        <v>0</v>
      </c>
      <c r="I253" s="21">
        <f>SUM(NhatkyNhap!$C253:I253)-SUM(NhatkyBan!$C253:I253)</f>
        <v>0</v>
      </c>
      <c r="J253" s="21">
        <f>SUM(NhatkyNhap!$C253:J253)-SUM(NhatkyBan!$C253:J253)</f>
        <v>0</v>
      </c>
      <c r="K253" s="21">
        <f>SUM(NhatkyNhap!$C253:K253)-SUM(NhatkyBan!$C253:K253)</f>
        <v>0</v>
      </c>
      <c r="L253" s="21">
        <f>SUM(NhatkyNhap!$C253:L253)-SUM(NhatkyBan!$C253:L253)</f>
        <v>0</v>
      </c>
      <c r="M253" s="21">
        <f>SUM(NhatkyNhap!$C253:M253)-SUM(NhatkyBan!$C253:M253)</f>
        <v>0</v>
      </c>
      <c r="N253" s="21">
        <f>SUM(NhatkyNhap!$C253:N253)-SUM(NhatkyBan!$C253:N253)</f>
        <v>0</v>
      </c>
      <c r="O253" s="21">
        <f>SUM(NhatkyNhap!$C253:O253)-SUM(NhatkyBan!$C253:O253)</f>
        <v>0</v>
      </c>
      <c r="P253" s="21">
        <f>SUM(NhatkyNhap!$C253:P253)-SUM(NhatkyBan!$C253:P253)</f>
        <v>0</v>
      </c>
      <c r="Q253" s="21">
        <f>SUM(NhatkyNhap!$C253:Q253)-SUM(NhatkyBan!$C253:Q253)</f>
        <v>0</v>
      </c>
      <c r="R253" s="21">
        <f>SUM(NhatkyNhap!$C253:R253)-SUM(NhatkyBan!$C253:R253)</f>
        <v>0</v>
      </c>
      <c r="S253" s="21">
        <f>SUM(NhatkyNhap!$C253:S253)-SUM(NhatkyBan!$C253:S253)</f>
        <v>0</v>
      </c>
      <c r="T253" s="21">
        <f>SUM(NhatkyNhap!$C253:T253)-SUM(NhatkyBan!$C253:T253)</f>
        <v>0</v>
      </c>
      <c r="U253" s="21">
        <f>SUM(NhatkyNhap!$C253:U253)-SUM(NhatkyBan!$C253:U253)</f>
        <v>0</v>
      </c>
      <c r="V253" s="21">
        <f>SUM(NhatkyNhap!$C253:V253)-SUM(NhatkyBan!$C253:V253)</f>
        <v>0</v>
      </c>
      <c r="W253" s="21">
        <f>SUM(NhatkyNhap!$C253:W253)-SUM(NhatkyBan!$C253:W253)</f>
        <v>0</v>
      </c>
      <c r="X253" s="21">
        <f>SUM(NhatkyNhap!$C253:X253)-SUM(NhatkyBan!$C253:X253)</f>
        <v>0</v>
      </c>
      <c r="Y253" s="21">
        <f>SUM(NhatkyNhap!$C253:Y253)-SUM(NhatkyBan!$C253:Y253)</f>
        <v>0</v>
      </c>
      <c r="Z253" s="21">
        <f>SUM(NhatkyNhap!$C253:Z253)-SUM(NhatkyBan!$C253:Z253)</f>
        <v>0</v>
      </c>
      <c r="AA253" s="21">
        <f>SUM(NhatkyNhap!$C253:AA253)-SUM(NhatkyBan!$C253:AA253)</f>
        <v>0</v>
      </c>
      <c r="AB253" s="21">
        <f>SUM(NhatkyNhap!$C253:AB253)-SUM(NhatkyBan!$C253:AB253)</f>
        <v>0</v>
      </c>
      <c r="AC253" s="21">
        <f>SUM(NhatkyNhap!$C253:AC253)-SUM(NhatkyBan!$C253:AC253)</f>
        <v>0</v>
      </c>
      <c r="AD253" s="21">
        <f>SUM(NhatkyNhap!$C253:AD253)-SUM(NhatkyBan!$C253:AD253)</f>
        <v>0</v>
      </c>
      <c r="AE253" s="21">
        <f>SUM(NhatkyNhap!$C253:AE253)-SUM(NhatkyBan!$C253:AE253)</f>
        <v>0</v>
      </c>
      <c r="AF253" s="21">
        <f>SUM(NhatkyNhap!$C253:AF253)-SUM(NhatkyBan!$C253:AF253)</f>
        <v>0</v>
      </c>
      <c r="AG253" s="21">
        <f>SUM(NhatkyNhap!$C253:AG253)-SUM(NhatkyBan!$C253:AG253)</f>
        <v>0</v>
      </c>
    </row>
    <row r="254" spans="1:33" ht="12.75" customHeight="1">
      <c r="A254" s="76" t="str">
        <f>DSSP!A253</f>
        <v>VN03</v>
      </c>
      <c r="B254" s="25" t="str">
        <f>DSSP!B253</f>
        <v>Vải nỉ làm gối 1.6 x 1m</v>
      </c>
      <c r="C254" s="21">
        <f>SUM(NhatkyNhap!$C254:C254)-SUM(NhatkyBan!$C254:C254)</f>
        <v>0</v>
      </c>
      <c r="D254" s="21">
        <f>SUM(NhatkyNhap!$C254:D254)-SUM(NhatkyBan!$C254:D254)</f>
        <v>0</v>
      </c>
      <c r="E254" s="21">
        <f>SUM(NhatkyNhap!$C254:E254)-SUM(NhatkyBan!$C254:E254)</f>
        <v>0</v>
      </c>
      <c r="F254" s="21">
        <f>SUM(NhatkyNhap!$C254:F254)-SUM(NhatkyBan!$C254:F254)</f>
        <v>0</v>
      </c>
      <c r="G254" s="21">
        <f>SUM(NhatkyNhap!$C254:G254)-SUM(NhatkyBan!$C254:G254)</f>
        <v>0</v>
      </c>
      <c r="H254" s="21">
        <f>SUM(NhatkyNhap!$C254:H254)-SUM(NhatkyBan!$C254:H254)</f>
        <v>0</v>
      </c>
      <c r="I254" s="21">
        <f>SUM(NhatkyNhap!$C254:I254)-SUM(NhatkyBan!$C254:I254)</f>
        <v>0</v>
      </c>
      <c r="J254" s="21">
        <f>SUM(NhatkyNhap!$C254:J254)-SUM(NhatkyBan!$C254:J254)</f>
        <v>0</v>
      </c>
      <c r="K254" s="21">
        <f>SUM(NhatkyNhap!$C254:K254)-SUM(NhatkyBan!$C254:K254)</f>
        <v>0</v>
      </c>
      <c r="L254" s="21">
        <f>SUM(NhatkyNhap!$C254:L254)-SUM(NhatkyBan!$C254:L254)</f>
        <v>0</v>
      </c>
      <c r="M254" s="21">
        <f>SUM(NhatkyNhap!$C254:M254)-SUM(NhatkyBan!$C254:M254)</f>
        <v>0</v>
      </c>
      <c r="N254" s="21">
        <f>SUM(NhatkyNhap!$C254:N254)-SUM(NhatkyBan!$C254:N254)</f>
        <v>0</v>
      </c>
      <c r="O254" s="21">
        <f>SUM(NhatkyNhap!$C254:O254)-SUM(NhatkyBan!$C254:O254)</f>
        <v>0</v>
      </c>
      <c r="P254" s="21">
        <f>SUM(NhatkyNhap!$C254:P254)-SUM(NhatkyBan!$C254:P254)</f>
        <v>0</v>
      </c>
      <c r="Q254" s="21">
        <f>SUM(NhatkyNhap!$C254:Q254)-SUM(NhatkyBan!$C254:Q254)</f>
        <v>0</v>
      </c>
      <c r="R254" s="21">
        <f>SUM(NhatkyNhap!$C254:R254)-SUM(NhatkyBan!$C254:R254)</f>
        <v>0</v>
      </c>
      <c r="S254" s="21">
        <f>SUM(NhatkyNhap!$C254:S254)-SUM(NhatkyBan!$C254:S254)</f>
        <v>0</v>
      </c>
      <c r="T254" s="21">
        <f>SUM(NhatkyNhap!$C254:T254)-SUM(NhatkyBan!$C254:T254)</f>
        <v>0</v>
      </c>
      <c r="U254" s="21">
        <f>SUM(NhatkyNhap!$C254:U254)-SUM(NhatkyBan!$C254:U254)</f>
        <v>0</v>
      </c>
      <c r="V254" s="21">
        <f>SUM(NhatkyNhap!$C254:V254)-SUM(NhatkyBan!$C254:V254)</f>
        <v>0</v>
      </c>
      <c r="W254" s="21">
        <f>SUM(NhatkyNhap!$C254:W254)-SUM(NhatkyBan!$C254:W254)</f>
        <v>0</v>
      </c>
      <c r="X254" s="21">
        <f>SUM(NhatkyNhap!$C254:X254)-SUM(NhatkyBan!$C254:X254)</f>
        <v>0</v>
      </c>
      <c r="Y254" s="21">
        <f>SUM(NhatkyNhap!$C254:Y254)-SUM(NhatkyBan!$C254:Y254)</f>
        <v>0</v>
      </c>
      <c r="Z254" s="21">
        <f>SUM(NhatkyNhap!$C254:Z254)-SUM(NhatkyBan!$C254:Z254)</f>
        <v>0</v>
      </c>
      <c r="AA254" s="21">
        <f>SUM(NhatkyNhap!$C254:AA254)-SUM(NhatkyBan!$C254:AA254)</f>
        <v>0</v>
      </c>
      <c r="AB254" s="21">
        <f>SUM(NhatkyNhap!$C254:AB254)-SUM(NhatkyBan!$C254:AB254)</f>
        <v>0</v>
      </c>
      <c r="AC254" s="21">
        <f>SUM(NhatkyNhap!$C254:AC254)-SUM(NhatkyBan!$C254:AC254)</f>
        <v>0</v>
      </c>
      <c r="AD254" s="21">
        <f>SUM(NhatkyNhap!$C254:AD254)-SUM(NhatkyBan!$C254:AD254)</f>
        <v>0</v>
      </c>
      <c r="AE254" s="21">
        <f>SUM(NhatkyNhap!$C254:AE254)-SUM(NhatkyBan!$C254:AE254)</f>
        <v>0</v>
      </c>
      <c r="AF254" s="21">
        <f>SUM(NhatkyNhap!$C254:AF254)-SUM(NhatkyBan!$C254:AF254)</f>
        <v>0</v>
      </c>
      <c r="AG254" s="21">
        <f>SUM(NhatkyNhap!$C254:AG254)-SUM(NhatkyBan!$C254:AG254)</f>
        <v>0</v>
      </c>
    </row>
    <row r="255" spans="1:33" ht="12.75" customHeight="1">
      <c r="A255" s="76" t="str">
        <f>DSSP!A254</f>
        <v>VN04</v>
      </c>
      <c r="B255" s="25" t="str">
        <f>DSSP!B254</f>
        <v>Vải 40x40</v>
      </c>
      <c r="C255" s="21">
        <f>SUM(NhatkyNhap!$C255:C255)-SUM(NhatkyBan!$C255:C255)</f>
        <v>0</v>
      </c>
      <c r="D255" s="21">
        <f>SUM(NhatkyNhap!$C255:D255)-SUM(NhatkyBan!$C255:D255)</f>
        <v>0</v>
      </c>
      <c r="E255" s="21">
        <f>SUM(NhatkyNhap!$C255:E255)-SUM(NhatkyBan!$C255:E255)</f>
        <v>0</v>
      </c>
      <c r="F255" s="21">
        <f>SUM(NhatkyNhap!$C255:F255)-SUM(NhatkyBan!$C255:F255)</f>
        <v>0</v>
      </c>
      <c r="G255" s="21">
        <f>SUM(NhatkyNhap!$C255:G255)-SUM(NhatkyBan!$C255:G255)</f>
        <v>0</v>
      </c>
      <c r="H255" s="21">
        <f>SUM(NhatkyNhap!$C255:H255)-SUM(NhatkyBan!$C255:H255)</f>
        <v>0</v>
      </c>
      <c r="I255" s="21">
        <f>SUM(NhatkyNhap!$C255:I255)-SUM(NhatkyBan!$C255:I255)</f>
        <v>0</v>
      </c>
      <c r="J255" s="21">
        <f>SUM(NhatkyNhap!$C255:J255)-SUM(NhatkyBan!$C255:J255)</f>
        <v>0</v>
      </c>
      <c r="K255" s="21">
        <f>SUM(NhatkyNhap!$C255:K255)-SUM(NhatkyBan!$C255:K255)</f>
        <v>0</v>
      </c>
      <c r="L255" s="21">
        <f>SUM(NhatkyNhap!$C255:L255)-SUM(NhatkyBan!$C255:L255)</f>
        <v>0</v>
      </c>
      <c r="M255" s="21">
        <f>SUM(NhatkyNhap!$C255:M255)-SUM(NhatkyBan!$C255:M255)</f>
        <v>0</v>
      </c>
      <c r="N255" s="21">
        <f>SUM(NhatkyNhap!$C255:N255)-SUM(NhatkyBan!$C255:N255)</f>
        <v>0</v>
      </c>
      <c r="O255" s="21">
        <f>SUM(NhatkyNhap!$C255:O255)-SUM(NhatkyBan!$C255:O255)</f>
        <v>0</v>
      </c>
      <c r="P255" s="21">
        <f>SUM(NhatkyNhap!$C255:P255)-SUM(NhatkyBan!$C255:P255)</f>
        <v>0</v>
      </c>
      <c r="Q255" s="21">
        <f>SUM(NhatkyNhap!$C255:Q255)-SUM(NhatkyBan!$C255:Q255)</f>
        <v>0</v>
      </c>
      <c r="R255" s="21">
        <f>SUM(NhatkyNhap!$C255:R255)-SUM(NhatkyBan!$C255:R255)</f>
        <v>0</v>
      </c>
      <c r="S255" s="21">
        <f>SUM(NhatkyNhap!$C255:S255)-SUM(NhatkyBan!$C255:S255)</f>
        <v>0</v>
      </c>
      <c r="T255" s="21">
        <f>SUM(NhatkyNhap!$C255:T255)-SUM(NhatkyBan!$C255:T255)</f>
        <v>0</v>
      </c>
      <c r="U255" s="21">
        <f>SUM(NhatkyNhap!$C255:U255)-SUM(NhatkyBan!$C255:U255)</f>
        <v>0</v>
      </c>
      <c r="V255" s="21">
        <f>SUM(NhatkyNhap!$C255:V255)-SUM(NhatkyBan!$C255:V255)</f>
        <v>0</v>
      </c>
      <c r="W255" s="21">
        <f>SUM(NhatkyNhap!$C255:W255)-SUM(NhatkyBan!$C255:W255)</f>
        <v>0</v>
      </c>
      <c r="X255" s="21">
        <f>SUM(NhatkyNhap!$C255:X255)-SUM(NhatkyBan!$C255:X255)</f>
        <v>0</v>
      </c>
      <c r="Y255" s="21">
        <f>SUM(NhatkyNhap!$C255:Y255)-SUM(NhatkyBan!$C255:Y255)</f>
        <v>0</v>
      </c>
      <c r="Z255" s="21">
        <f>SUM(NhatkyNhap!$C255:Z255)-SUM(NhatkyBan!$C255:Z255)</f>
        <v>0</v>
      </c>
      <c r="AA255" s="21">
        <f>SUM(NhatkyNhap!$C255:AA255)-SUM(NhatkyBan!$C255:AA255)</f>
        <v>0</v>
      </c>
      <c r="AB255" s="21">
        <f>SUM(NhatkyNhap!$C255:AB255)-SUM(NhatkyBan!$C255:AB255)</f>
        <v>0</v>
      </c>
      <c r="AC255" s="21">
        <f>SUM(NhatkyNhap!$C255:AC255)-SUM(NhatkyBan!$C255:AC255)</f>
        <v>0</v>
      </c>
      <c r="AD255" s="21">
        <f>SUM(NhatkyNhap!$C255:AD255)-SUM(NhatkyBan!$C255:AD255)</f>
        <v>0</v>
      </c>
      <c r="AE255" s="21">
        <f>SUM(NhatkyNhap!$C255:AE255)-SUM(NhatkyBan!$C255:AE255)</f>
        <v>0</v>
      </c>
      <c r="AF255" s="21">
        <f>SUM(NhatkyNhap!$C255:AF255)-SUM(NhatkyBan!$C255:AF255)</f>
        <v>0</v>
      </c>
      <c r="AG255" s="21">
        <f>SUM(NhatkyNhap!$C255:AG255)-SUM(NhatkyBan!$C255:AG255)</f>
        <v>0</v>
      </c>
    </row>
    <row r="256" spans="1:33" ht="12.75" customHeight="1">
      <c r="A256" s="76" t="str">
        <f>DSSP!A255</f>
        <v>VN05</v>
      </c>
      <c r="B256" s="25" t="str">
        <f>DSSP!B255</f>
        <v>Vải vụn 1 LẠNG</v>
      </c>
      <c r="C256" s="21">
        <f>SUM(NhatkyNhap!$C256:C256)-SUM(NhatkyBan!$C256:C256)</f>
        <v>0</v>
      </c>
      <c r="D256" s="21">
        <f>SUM(NhatkyNhap!$C256:D256)-SUM(NhatkyBan!$C256:D256)</f>
        <v>0</v>
      </c>
      <c r="E256" s="21">
        <f>SUM(NhatkyNhap!$C256:E256)-SUM(NhatkyBan!$C256:E256)</f>
        <v>0</v>
      </c>
      <c r="F256" s="21">
        <f>SUM(NhatkyNhap!$C256:F256)-SUM(NhatkyBan!$C256:F256)</f>
        <v>0</v>
      </c>
      <c r="G256" s="21">
        <f>SUM(NhatkyNhap!$C256:G256)-SUM(NhatkyBan!$C256:G256)</f>
        <v>0</v>
      </c>
      <c r="H256" s="21">
        <f>SUM(NhatkyNhap!$C256:H256)-SUM(NhatkyBan!$C256:H256)</f>
        <v>0</v>
      </c>
      <c r="I256" s="21">
        <f>SUM(NhatkyNhap!$C256:I256)-SUM(NhatkyBan!$C256:I256)</f>
        <v>0</v>
      </c>
      <c r="J256" s="21">
        <f>SUM(NhatkyNhap!$C256:J256)-SUM(NhatkyBan!$C256:J256)</f>
        <v>0</v>
      </c>
      <c r="K256" s="21">
        <f>SUM(NhatkyNhap!$C256:K256)-SUM(NhatkyBan!$C256:K256)</f>
        <v>0</v>
      </c>
      <c r="L256" s="21">
        <f>SUM(NhatkyNhap!$C256:L256)-SUM(NhatkyBan!$C256:L256)</f>
        <v>0</v>
      </c>
      <c r="M256" s="21">
        <f>SUM(NhatkyNhap!$C256:M256)-SUM(NhatkyBan!$C256:M256)</f>
        <v>0</v>
      </c>
      <c r="N256" s="21">
        <f>SUM(NhatkyNhap!$C256:N256)-SUM(NhatkyBan!$C256:N256)</f>
        <v>0</v>
      </c>
      <c r="O256" s="21">
        <f>SUM(NhatkyNhap!$C256:O256)-SUM(NhatkyBan!$C256:O256)</f>
        <v>0</v>
      </c>
      <c r="P256" s="21">
        <f>SUM(NhatkyNhap!$C256:P256)-SUM(NhatkyBan!$C256:P256)</f>
        <v>0</v>
      </c>
      <c r="Q256" s="21">
        <f>SUM(NhatkyNhap!$C256:Q256)-SUM(NhatkyBan!$C256:Q256)</f>
        <v>0</v>
      </c>
      <c r="R256" s="21">
        <f>SUM(NhatkyNhap!$C256:R256)-SUM(NhatkyBan!$C256:R256)</f>
        <v>0</v>
      </c>
      <c r="S256" s="21">
        <f>SUM(NhatkyNhap!$C256:S256)-SUM(NhatkyBan!$C256:S256)</f>
        <v>0</v>
      </c>
      <c r="T256" s="21">
        <f>SUM(NhatkyNhap!$C256:T256)-SUM(NhatkyBan!$C256:T256)</f>
        <v>0</v>
      </c>
      <c r="U256" s="21">
        <f>SUM(NhatkyNhap!$C256:U256)-SUM(NhatkyBan!$C256:U256)</f>
        <v>0</v>
      </c>
      <c r="V256" s="21">
        <f>SUM(NhatkyNhap!$C256:V256)-SUM(NhatkyBan!$C256:V256)</f>
        <v>0</v>
      </c>
      <c r="W256" s="21">
        <f>SUM(NhatkyNhap!$C256:W256)-SUM(NhatkyBan!$C256:W256)</f>
        <v>0</v>
      </c>
      <c r="X256" s="21">
        <f>SUM(NhatkyNhap!$C256:X256)-SUM(NhatkyBan!$C256:X256)</f>
        <v>0</v>
      </c>
      <c r="Y256" s="21">
        <f>SUM(NhatkyNhap!$C256:Y256)-SUM(NhatkyBan!$C256:Y256)</f>
        <v>0</v>
      </c>
      <c r="Z256" s="21">
        <f>SUM(NhatkyNhap!$C256:Z256)-SUM(NhatkyBan!$C256:Z256)</f>
        <v>0</v>
      </c>
      <c r="AA256" s="21">
        <f>SUM(NhatkyNhap!$C256:AA256)-SUM(NhatkyBan!$C256:AA256)</f>
        <v>0</v>
      </c>
      <c r="AB256" s="21">
        <f>SUM(NhatkyNhap!$C256:AB256)-SUM(NhatkyBan!$C256:AB256)</f>
        <v>0</v>
      </c>
      <c r="AC256" s="21">
        <f>SUM(NhatkyNhap!$C256:AC256)-SUM(NhatkyBan!$C256:AC256)</f>
        <v>0</v>
      </c>
      <c r="AD256" s="21">
        <f>SUM(NhatkyNhap!$C256:AD256)-SUM(NhatkyBan!$C256:AD256)</f>
        <v>0</v>
      </c>
      <c r="AE256" s="21">
        <f>SUM(NhatkyNhap!$C256:AE256)-SUM(NhatkyBan!$C256:AE256)</f>
        <v>0</v>
      </c>
      <c r="AF256" s="21">
        <f>SUM(NhatkyNhap!$C256:AF256)-SUM(NhatkyBan!$C256:AF256)</f>
        <v>0</v>
      </c>
      <c r="AG256" s="21">
        <f>SUM(NhatkyNhap!$C256:AG256)-SUM(NhatkyBan!$C256:AG256)</f>
        <v>0</v>
      </c>
    </row>
    <row r="257" spans="1:33" ht="12.75" customHeight="1">
      <c r="A257" s="76" t="str">
        <f>DSSP!A256</f>
        <v>VN06</v>
      </c>
      <c r="B257" s="25" t="str">
        <f>DSSP!B256</f>
        <v>Khóa trắng</v>
      </c>
      <c r="C257" s="21">
        <f>SUM(NhatkyNhap!$C257:C257)-SUM(NhatkyBan!$C257:C257)</f>
        <v>6</v>
      </c>
      <c r="D257" s="21">
        <f>SUM(NhatkyNhap!$C257:D257)-SUM(NhatkyBan!$C257:D257)</f>
        <v>6</v>
      </c>
      <c r="E257" s="21">
        <f>SUM(NhatkyNhap!$C257:E257)-SUM(NhatkyBan!$C257:E257)</f>
        <v>6</v>
      </c>
      <c r="F257" s="21">
        <f>SUM(NhatkyNhap!$C257:F257)-SUM(NhatkyBan!$C257:F257)</f>
        <v>6</v>
      </c>
      <c r="G257" s="21">
        <f>SUM(NhatkyNhap!$C257:G257)-SUM(NhatkyBan!$C257:G257)</f>
        <v>6</v>
      </c>
      <c r="H257" s="21">
        <f>SUM(NhatkyNhap!$C257:H257)-SUM(NhatkyBan!$C257:H257)</f>
        <v>6</v>
      </c>
      <c r="I257" s="21">
        <f>SUM(NhatkyNhap!$C257:I257)-SUM(NhatkyBan!$C257:I257)</f>
        <v>6</v>
      </c>
      <c r="J257" s="21">
        <f>SUM(NhatkyNhap!$C257:J257)-SUM(NhatkyBan!$C257:J257)</f>
        <v>6</v>
      </c>
      <c r="K257" s="21">
        <f>SUM(NhatkyNhap!$C257:K257)-SUM(NhatkyBan!$C257:K257)</f>
        <v>6</v>
      </c>
      <c r="L257" s="21">
        <f>SUM(NhatkyNhap!$C257:L257)-SUM(NhatkyBan!$C257:L257)</f>
        <v>6</v>
      </c>
      <c r="M257" s="21">
        <f>SUM(NhatkyNhap!$C257:M257)-SUM(NhatkyBan!$C257:M257)</f>
        <v>6</v>
      </c>
      <c r="N257" s="21">
        <f>SUM(NhatkyNhap!$C257:N257)-SUM(NhatkyBan!$C257:N257)</f>
        <v>6</v>
      </c>
      <c r="O257" s="21">
        <f>SUM(NhatkyNhap!$C257:O257)-SUM(NhatkyBan!$C257:O257)</f>
        <v>6</v>
      </c>
      <c r="P257" s="21">
        <f>SUM(NhatkyNhap!$C257:P257)-SUM(NhatkyBan!$C257:P257)</f>
        <v>6</v>
      </c>
      <c r="Q257" s="21">
        <f>SUM(NhatkyNhap!$C257:Q257)-SUM(NhatkyBan!$C257:Q257)</f>
        <v>6</v>
      </c>
      <c r="R257" s="21">
        <f>SUM(NhatkyNhap!$C257:R257)-SUM(NhatkyBan!$C257:R257)</f>
        <v>6</v>
      </c>
      <c r="S257" s="21">
        <f>SUM(NhatkyNhap!$C257:S257)-SUM(NhatkyBan!$C257:S257)</f>
        <v>6</v>
      </c>
      <c r="T257" s="21">
        <f>SUM(NhatkyNhap!$C257:T257)-SUM(NhatkyBan!$C257:T257)</f>
        <v>6</v>
      </c>
      <c r="U257" s="21">
        <f>SUM(NhatkyNhap!$C257:U257)-SUM(NhatkyBan!$C257:U257)</f>
        <v>6</v>
      </c>
      <c r="V257" s="21">
        <f>SUM(NhatkyNhap!$C257:V257)-SUM(NhatkyBan!$C257:V257)</f>
        <v>6</v>
      </c>
      <c r="W257" s="21">
        <f>SUM(NhatkyNhap!$C257:W257)-SUM(NhatkyBan!$C257:W257)</f>
        <v>6</v>
      </c>
      <c r="X257" s="21">
        <f>SUM(NhatkyNhap!$C257:X257)-SUM(NhatkyBan!$C257:X257)</f>
        <v>6</v>
      </c>
      <c r="Y257" s="21">
        <f>SUM(NhatkyNhap!$C257:Y257)-SUM(NhatkyBan!$C257:Y257)</f>
        <v>6</v>
      </c>
      <c r="Z257" s="21">
        <f>SUM(NhatkyNhap!$C257:Z257)-SUM(NhatkyBan!$C257:Z257)</f>
        <v>6</v>
      </c>
      <c r="AA257" s="21">
        <f>SUM(NhatkyNhap!$C257:AA257)-SUM(NhatkyBan!$C257:AA257)</f>
        <v>6</v>
      </c>
      <c r="AB257" s="21">
        <f>SUM(NhatkyNhap!$C257:AB257)-SUM(NhatkyBan!$C257:AB257)</f>
        <v>6</v>
      </c>
      <c r="AC257" s="21">
        <f>SUM(NhatkyNhap!$C257:AC257)-SUM(NhatkyBan!$C257:AC257)</f>
        <v>6</v>
      </c>
      <c r="AD257" s="21">
        <f>SUM(NhatkyNhap!$C257:AD257)-SUM(NhatkyBan!$C257:AD257)</f>
        <v>6</v>
      </c>
      <c r="AE257" s="21">
        <f>SUM(NhatkyNhap!$C257:AE257)-SUM(NhatkyBan!$C257:AE257)</f>
        <v>6</v>
      </c>
      <c r="AF257" s="21">
        <f>SUM(NhatkyNhap!$C257:AF257)-SUM(NhatkyBan!$C257:AF257)</f>
        <v>6</v>
      </c>
      <c r="AG257" s="21">
        <f>SUM(NhatkyNhap!$C257:AG257)-SUM(NhatkyBan!$C257:AG257)</f>
        <v>6</v>
      </c>
    </row>
    <row r="258" spans="1:33" ht="12.75" customHeight="1">
      <c r="A258" s="76" t="str">
        <f>DSSP!A257</f>
        <v>VN07</v>
      </c>
      <c r="B258" s="25" t="str">
        <f>DSSP!B257</f>
        <v>Khóa 40cm nổi</v>
      </c>
      <c r="C258" s="21">
        <f>SUM(NhatkyNhap!$C258:C258)-SUM(NhatkyBan!$C258:C258)</f>
        <v>0</v>
      </c>
      <c r="D258" s="21">
        <f>SUM(NhatkyNhap!$C258:D258)-SUM(NhatkyBan!$C258:D258)</f>
        <v>0</v>
      </c>
      <c r="E258" s="21">
        <f>SUM(NhatkyNhap!$C258:E258)-SUM(NhatkyBan!$C258:E258)</f>
        <v>0</v>
      </c>
      <c r="F258" s="21">
        <f>SUM(NhatkyNhap!$C258:F258)-SUM(NhatkyBan!$C258:F258)</f>
        <v>0</v>
      </c>
      <c r="G258" s="21">
        <f>SUM(NhatkyNhap!$C258:G258)-SUM(NhatkyBan!$C258:G258)</f>
        <v>0</v>
      </c>
      <c r="H258" s="21">
        <f>SUM(NhatkyNhap!$C258:H258)-SUM(NhatkyBan!$C258:H258)</f>
        <v>0</v>
      </c>
      <c r="I258" s="21">
        <f>SUM(NhatkyNhap!$C258:I258)-SUM(NhatkyBan!$C258:I258)</f>
        <v>0</v>
      </c>
      <c r="J258" s="21">
        <f>SUM(NhatkyNhap!$C258:J258)-SUM(NhatkyBan!$C258:J258)</f>
        <v>0</v>
      </c>
      <c r="K258" s="21">
        <f>SUM(NhatkyNhap!$C258:K258)-SUM(NhatkyBan!$C258:K258)</f>
        <v>0</v>
      </c>
      <c r="L258" s="21">
        <f>SUM(NhatkyNhap!$C258:L258)-SUM(NhatkyBan!$C258:L258)</f>
        <v>0</v>
      </c>
      <c r="M258" s="21">
        <f>SUM(NhatkyNhap!$C258:M258)-SUM(NhatkyBan!$C258:M258)</f>
        <v>0</v>
      </c>
      <c r="N258" s="21">
        <f>SUM(NhatkyNhap!$C258:N258)-SUM(NhatkyBan!$C258:N258)</f>
        <v>0</v>
      </c>
      <c r="O258" s="21">
        <f>SUM(NhatkyNhap!$C258:O258)-SUM(NhatkyBan!$C258:O258)</f>
        <v>0</v>
      </c>
      <c r="P258" s="21">
        <f>SUM(NhatkyNhap!$C258:P258)-SUM(NhatkyBan!$C258:P258)</f>
        <v>0</v>
      </c>
      <c r="Q258" s="21">
        <f>SUM(NhatkyNhap!$C258:Q258)-SUM(NhatkyBan!$C258:Q258)</f>
        <v>0</v>
      </c>
      <c r="R258" s="21">
        <f>SUM(NhatkyNhap!$C258:R258)-SUM(NhatkyBan!$C258:R258)</f>
        <v>0</v>
      </c>
      <c r="S258" s="21">
        <f>SUM(NhatkyNhap!$C258:S258)-SUM(NhatkyBan!$C258:S258)</f>
        <v>0</v>
      </c>
      <c r="T258" s="21">
        <f>SUM(NhatkyNhap!$C258:T258)-SUM(NhatkyBan!$C258:T258)</f>
        <v>0</v>
      </c>
      <c r="U258" s="21">
        <f>SUM(NhatkyNhap!$C258:U258)-SUM(NhatkyBan!$C258:U258)</f>
        <v>0</v>
      </c>
      <c r="V258" s="21">
        <f>SUM(NhatkyNhap!$C258:V258)-SUM(NhatkyBan!$C258:V258)</f>
        <v>0</v>
      </c>
      <c r="W258" s="21">
        <f>SUM(NhatkyNhap!$C258:W258)-SUM(NhatkyBan!$C258:W258)</f>
        <v>0</v>
      </c>
      <c r="X258" s="21">
        <f>SUM(NhatkyNhap!$C258:X258)-SUM(NhatkyBan!$C258:X258)</f>
        <v>0</v>
      </c>
      <c r="Y258" s="21">
        <f>SUM(NhatkyNhap!$C258:Y258)-SUM(NhatkyBan!$C258:Y258)</f>
        <v>0</v>
      </c>
      <c r="Z258" s="21">
        <f>SUM(NhatkyNhap!$C258:Z258)-SUM(NhatkyBan!$C258:Z258)</f>
        <v>0</v>
      </c>
      <c r="AA258" s="21">
        <f>SUM(NhatkyNhap!$C258:AA258)-SUM(NhatkyBan!$C258:AA258)</f>
        <v>0</v>
      </c>
      <c r="AB258" s="21">
        <f>SUM(NhatkyNhap!$C258:AB258)-SUM(NhatkyBan!$C258:AB258)</f>
        <v>0</v>
      </c>
      <c r="AC258" s="21">
        <f>SUM(NhatkyNhap!$C258:AC258)-SUM(NhatkyBan!$C258:AC258)</f>
        <v>0</v>
      </c>
      <c r="AD258" s="21">
        <f>SUM(NhatkyNhap!$C258:AD258)-SUM(NhatkyBan!$C258:AD258)</f>
        <v>0</v>
      </c>
      <c r="AE258" s="21">
        <f>SUM(NhatkyNhap!$C258:AE258)-SUM(NhatkyBan!$C258:AE258)</f>
        <v>0</v>
      </c>
      <c r="AF258" s="21">
        <f>SUM(NhatkyNhap!$C258:AF258)-SUM(NhatkyBan!$C258:AF258)</f>
        <v>0</v>
      </c>
      <c r="AG258" s="21">
        <f>SUM(NhatkyNhap!$C258:AG258)-SUM(NhatkyBan!$C258:AG258)</f>
        <v>0</v>
      </c>
    </row>
    <row r="259" spans="1:33" ht="12.75" customHeight="1">
      <c r="A259" s="76" t="str">
        <f>DSSP!A258</f>
        <v>VN08</v>
      </c>
      <c r="B259" s="25" t="str">
        <f>DSSP!B258</f>
        <v>Khóa màu</v>
      </c>
      <c r="C259" s="21">
        <f>SUM(NhatkyNhap!$C259:C259)-SUM(NhatkyBan!$C259:C259)</f>
        <v>25</v>
      </c>
      <c r="D259" s="21">
        <f>SUM(NhatkyNhap!$C259:D259)-SUM(NhatkyBan!$C259:D259)</f>
        <v>25</v>
      </c>
      <c r="E259" s="21">
        <f>SUM(NhatkyNhap!$C259:E259)-SUM(NhatkyBan!$C259:E259)</f>
        <v>25</v>
      </c>
      <c r="F259" s="21">
        <f>SUM(NhatkyNhap!$C259:F259)-SUM(NhatkyBan!$C259:F259)</f>
        <v>25</v>
      </c>
      <c r="G259" s="21">
        <f>SUM(NhatkyNhap!$C259:G259)-SUM(NhatkyBan!$C259:G259)</f>
        <v>25</v>
      </c>
      <c r="H259" s="21">
        <f>SUM(NhatkyNhap!$C259:H259)-SUM(NhatkyBan!$C259:H259)</f>
        <v>25</v>
      </c>
      <c r="I259" s="21">
        <f>SUM(NhatkyNhap!$C259:I259)-SUM(NhatkyBan!$C259:I259)</f>
        <v>25</v>
      </c>
      <c r="J259" s="21">
        <f>SUM(NhatkyNhap!$C259:J259)-SUM(NhatkyBan!$C259:J259)</f>
        <v>25</v>
      </c>
      <c r="K259" s="21">
        <f>SUM(NhatkyNhap!$C259:K259)-SUM(NhatkyBan!$C259:K259)</f>
        <v>25</v>
      </c>
      <c r="L259" s="21">
        <f>SUM(NhatkyNhap!$C259:L259)-SUM(NhatkyBan!$C259:L259)</f>
        <v>25</v>
      </c>
      <c r="M259" s="21">
        <f>SUM(NhatkyNhap!$C259:M259)-SUM(NhatkyBan!$C259:M259)</f>
        <v>25</v>
      </c>
      <c r="N259" s="21">
        <f>SUM(NhatkyNhap!$C259:N259)-SUM(NhatkyBan!$C259:N259)</f>
        <v>25</v>
      </c>
      <c r="O259" s="21">
        <f>SUM(NhatkyNhap!$C259:O259)-SUM(NhatkyBan!$C259:O259)</f>
        <v>25</v>
      </c>
      <c r="P259" s="21">
        <f>SUM(NhatkyNhap!$C259:P259)-SUM(NhatkyBan!$C259:P259)</f>
        <v>25</v>
      </c>
      <c r="Q259" s="21">
        <f>SUM(NhatkyNhap!$C259:Q259)-SUM(NhatkyBan!$C259:Q259)</f>
        <v>25</v>
      </c>
      <c r="R259" s="21">
        <f>SUM(NhatkyNhap!$C259:R259)-SUM(NhatkyBan!$C259:R259)</f>
        <v>25</v>
      </c>
      <c r="S259" s="21">
        <f>SUM(NhatkyNhap!$C259:S259)-SUM(NhatkyBan!$C259:S259)</f>
        <v>25</v>
      </c>
      <c r="T259" s="21">
        <f>SUM(NhatkyNhap!$C259:T259)-SUM(NhatkyBan!$C259:T259)</f>
        <v>25</v>
      </c>
      <c r="U259" s="21">
        <f>SUM(NhatkyNhap!$C259:U259)-SUM(NhatkyBan!$C259:U259)</f>
        <v>25</v>
      </c>
      <c r="V259" s="21">
        <f>SUM(NhatkyNhap!$C259:V259)-SUM(NhatkyBan!$C259:V259)</f>
        <v>25</v>
      </c>
      <c r="W259" s="21">
        <f>SUM(NhatkyNhap!$C259:W259)-SUM(NhatkyBan!$C259:W259)</f>
        <v>25</v>
      </c>
      <c r="X259" s="21">
        <f>SUM(NhatkyNhap!$C259:X259)-SUM(NhatkyBan!$C259:X259)</f>
        <v>25</v>
      </c>
      <c r="Y259" s="21">
        <f>SUM(NhatkyNhap!$C259:Y259)-SUM(NhatkyBan!$C259:Y259)</f>
        <v>25</v>
      </c>
      <c r="Z259" s="21">
        <f>SUM(NhatkyNhap!$C259:Z259)-SUM(NhatkyBan!$C259:Z259)</f>
        <v>25</v>
      </c>
      <c r="AA259" s="21">
        <f>SUM(NhatkyNhap!$C259:AA259)-SUM(NhatkyBan!$C259:AA259)</f>
        <v>25</v>
      </c>
      <c r="AB259" s="21">
        <f>SUM(NhatkyNhap!$C259:AB259)-SUM(NhatkyBan!$C259:AB259)</f>
        <v>25</v>
      </c>
      <c r="AC259" s="21">
        <f>SUM(NhatkyNhap!$C259:AC259)-SUM(NhatkyBan!$C259:AC259)</f>
        <v>25</v>
      </c>
      <c r="AD259" s="21">
        <f>SUM(NhatkyNhap!$C259:AD259)-SUM(NhatkyBan!$C259:AD259)</f>
        <v>25</v>
      </c>
      <c r="AE259" s="21">
        <f>SUM(NhatkyNhap!$C259:AE259)-SUM(NhatkyBan!$C259:AE259)</f>
        <v>25</v>
      </c>
      <c r="AF259" s="21">
        <f>SUM(NhatkyNhap!$C259:AF259)-SUM(NhatkyBan!$C259:AF259)</f>
        <v>25</v>
      </c>
      <c r="AG259" s="21">
        <f>SUM(NhatkyNhap!$C259:AG259)-SUM(NhatkyBan!$C259:AG259)</f>
        <v>25</v>
      </c>
    </row>
    <row r="260" spans="1:33" ht="12.75" customHeight="1">
      <c r="A260" s="76" t="str">
        <f>DSSP!A259</f>
        <v>VN09</v>
      </c>
      <c r="B260" s="25" t="str">
        <f>DSSP!B259</f>
        <v>Khóa 25cm chìm trắng</v>
      </c>
      <c r="C260" s="21">
        <f>SUM(NhatkyNhap!$C260:C260)-SUM(NhatkyBan!$C260:C260)</f>
        <v>0</v>
      </c>
      <c r="D260" s="21">
        <f>SUM(NhatkyNhap!$C260:D260)-SUM(NhatkyBan!$C260:D260)</f>
        <v>0</v>
      </c>
      <c r="E260" s="21">
        <f>SUM(NhatkyNhap!$C260:E260)-SUM(NhatkyBan!$C260:E260)</f>
        <v>0</v>
      </c>
      <c r="F260" s="21">
        <f>SUM(NhatkyNhap!$C260:F260)-SUM(NhatkyBan!$C260:F260)</f>
        <v>0</v>
      </c>
      <c r="G260" s="21">
        <f>SUM(NhatkyNhap!$C260:G260)-SUM(NhatkyBan!$C260:G260)</f>
        <v>0</v>
      </c>
      <c r="H260" s="21">
        <f>SUM(NhatkyNhap!$C260:H260)-SUM(NhatkyBan!$C260:H260)</f>
        <v>0</v>
      </c>
      <c r="I260" s="21">
        <f>SUM(NhatkyNhap!$C260:I260)-SUM(NhatkyBan!$C260:I260)</f>
        <v>0</v>
      </c>
      <c r="J260" s="21">
        <f>SUM(NhatkyNhap!$C260:J260)-SUM(NhatkyBan!$C260:J260)</f>
        <v>0</v>
      </c>
      <c r="K260" s="21">
        <f>SUM(NhatkyNhap!$C260:K260)-SUM(NhatkyBan!$C260:K260)</f>
        <v>0</v>
      </c>
      <c r="L260" s="21">
        <f>SUM(NhatkyNhap!$C260:L260)-SUM(NhatkyBan!$C260:L260)</f>
        <v>0</v>
      </c>
      <c r="M260" s="21">
        <f>SUM(NhatkyNhap!$C260:M260)-SUM(NhatkyBan!$C260:M260)</f>
        <v>0</v>
      </c>
      <c r="N260" s="21">
        <f>SUM(NhatkyNhap!$C260:N260)-SUM(NhatkyBan!$C260:N260)</f>
        <v>0</v>
      </c>
      <c r="O260" s="21">
        <f>SUM(NhatkyNhap!$C260:O260)-SUM(NhatkyBan!$C260:O260)</f>
        <v>0</v>
      </c>
      <c r="P260" s="21">
        <f>SUM(NhatkyNhap!$C260:P260)-SUM(NhatkyBan!$C260:P260)</f>
        <v>0</v>
      </c>
      <c r="Q260" s="21">
        <f>SUM(NhatkyNhap!$C260:Q260)-SUM(NhatkyBan!$C260:Q260)</f>
        <v>0</v>
      </c>
      <c r="R260" s="21">
        <f>SUM(NhatkyNhap!$C260:R260)-SUM(NhatkyBan!$C260:R260)</f>
        <v>0</v>
      </c>
      <c r="S260" s="21">
        <f>SUM(NhatkyNhap!$C260:S260)-SUM(NhatkyBan!$C260:S260)</f>
        <v>0</v>
      </c>
      <c r="T260" s="21">
        <f>SUM(NhatkyNhap!$C260:T260)-SUM(NhatkyBan!$C260:T260)</f>
        <v>0</v>
      </c>
      <c r="U260" s="21">
        <f>SUM(NhatkyNhap!$C260:U260)-SUM(NhatkyBan!$C260:U260)</f>
        <v>0</v>
      </c>
      <c r="V260" s="21">
        <f>SUM(NhatkyNhap!$C260:V260)-SUM(NhatkyBan!$C260:V260)</f>
        <v>0</v>
      </c>
      <c r="W260" s="21">
        <f>SUM(NhatkyNhap!$C260:W260)-SUM(NhatkyBan!$C260:W260)</f>
        <v>0</v>
      </c>
      <c r="X260" s="21">
        <f>SUM(NhatkyNhap!$C260:X260)-SUM(NhatkyBan!$C260:X260)</f>
        <v>0</v>
      </c>
      <c r="Y260" s="21">
        <f>SUM(NhatkyNhap!$C260:Y260)-SUM(NhatkyBan!$C260:Y260)</f>
        <v>0</v>
      </c>
      <c r="Z260" s="21">
        <f>SUM(NhatkyNhap!$C260:Z260)-SUM(NhatkyBan!$C260:Z260)</f>
        <v>0</v>
      </c>
      <c r="AA260" s="21">
        <f>SUM(NhatkyNhap!$C260:AA260)-SUM(NhatkyBan!$C260:AA260)</f>
        <v>0</v>
      </c>
      <c r="AB260" s="21">
        <f>SUM(NhatkyNhap!$C260:AB260)-SUM(NhatkyBan!$C260:AB260)</f>
        <v>0</v>
      </c>
      <c r="AC260" s="21">
        <f>SUM(NhatkyNhap!$C260:AC260)-SUM(NhatkyBan!$C260:AC260)</f>
        <v>0</v>
      </c>
      <c r="AD260" s="21">
        <f>SUM(NhatkyNhap!$C260:AD260)-SUM(NhatkyBan!$C260:AD260)</f>
        <v>0</v>
      </c>
      <c r="AE260" s="21">
        <f>SUM(NhatkyNhap!$C260:AE260)-SUM(NhatkyBan!$C260:AE260)</f>
        <v>0</v>
      </c>
      <c r="AF260" s="21">
        <f>SUM(NhatkyNhap!$C260:AF260)-SUM(NhatkyBan!$C260:AF260)</f>
        <v>0</v>
      </c>
      <c r="AG260" s="21">
        <f>SUM(NhatkyNhap!$C260:AG260)-SUM(NhatkyBan!$C260:AG260)</f>
        <v>0</v>
      </c>
    </row>
    <row r="261" spans="1:33" ht="12.75" customHeight="1">
      <c r="A261" s="76" t="str">
        <f>DSSP!A260</f>
        <v>VN10</v>
      </c>
      <c r="B261" s="25" t="str">
        <f>DSSP!B260</f>
        <v>Khóa 25cm chìm màu</v>
      </c>
      <c r="C261" s="21">
        <f>SUM(NhatkyNhap!$C261:C261)-SUM(NhatkyBan!$C261:C261)</f>
        <v>1</v>
      </c>
      <c r="D261" s="21">
        <f>SUM(NhatkyNhap!$C261:D261)-SUM(NhatkyBan!$C261:D261)</f>
        <v>1</v>
      </c>
      <c r="E261" s="21">
        <f>SUM(NhatkyNhap!$C261:E261)-SUM(NhatkyBan!$C261:E261)</f>
        <v>1</v>
      </c>
      <c r="F261" s="21">
        <f>SUM(NhatkyNhap!$C261:F261)-SUM(NhatkyBan!$C261:F261)</f>
        <v>1</v>
      </c>
      <c r="G261" s="21">
        <f>SUM(NhatkyNhap!$C261:G261)-SUM(NhatkyBan!$C261:G261)</f>
        <v>1</v>
      </c>
      <c r="H261" s="21">
        <f>SUM(NhatkyNhap!$C261:H261)-SUM(NhatkyBan!$C261:H261)</f>
        <v>1</v>
      </c>
      <c r="I261" s="21">
        <f>SUM(NhatkyNhap!$C261:I261)-SUM(NhatkyBan!$C261:I261)</f>
        <v>1</v>
      </c>
      <c r="J261" s="21">
        <f>SUM(NhatkyNhap!$C261:J261)-SUM(NhatkyBan!$C261:J261)</f>
        <v>1</v>
      </c>
      <c r="K261" s="21">
        <f>SUM(NhatkyNhap!$C261:K261)-SUM(NhatkyBan!$C261:K261)</f>
        <v>1</v>
      </c>
      <c r="L261" s="21">
        <f>SUM(NhatkyNhap!$C261:L261)-SUM(NhatkyBan!$C261:L261)</f>
        <v>1</v>
      </c>
      <c r="M261" s="21">
        <f>SUM(NhatkyNhap!$C261:M261)-SUM(NhatkyBan!$C261:M261)</f>
        <v>1</v>
      </c>
      <c r="N261" s="21">
        <f>SUM(NhatkyNhap!$C261:N261)-SUM(NhatkyBan!$C261:N261)</f>
        <v>1</v>
      </c>
      <c r="O261" s="21">
        <f>SUM(NhatkyNhap!$C261:O261)-SUM(NhatkyBan!$C261:O261)</f>
        <v>1</v>
      </c>
      <c r="P261" s="21">
        <f>SUM(NhatkyNhap!$C261:P261)-SUM(NhatkyBan!$C261:P261)</f>
        <v>1</v>
      </c>
      <c r="Q261" s="21">
        <f>SUM(NhatkyNhap!$C261:Q261)-SUM(NhatkyBan!$C261:Q261)</f>
        <v>1</v>
      </c>
      <c r="R261" s="21">
        <f>SUM(NhatkyNhap!$C261:R261)-SUM(NhatkyBan!$C261:R261)</f>
        <v>1</v>
      </c>
      <c r="S261" s="21">
        <f>SUM(NhatkyNhap!$C261:S261)-SUM(NhatkyBan!$C261:S261)</f>
        <v>1</v>
      </c>
      <c r="T261" s="21">
        <f>SUM(NhatkyNhap!$C261:T261)-SUM(NhatkyBan!$C261:T261)</f>
        <v>1</v>
      </c>
      <c r="U261" s="21">
        <f>SUM(NhatkyNhap!$C261:U261)-SUM(NhatkyBan!$C261:U261)</f>
        <v>1</v>
      </c>
      <c r="V261" s="21">
        <f>SUM(NhatkyNhap!$C261:V261)-SUM(NhatkyBan!$C261:V261)</f>
        <v>1</v>
      </c>
      <c r="W261" s="21">
        <f>SUM(NhatkyNhap!$C261:W261)-SUM(NhatkyBan!$C261:W261)</f>
        <v>1</v>
      </c>
      <c r="X261" s="21">
        <f>SUM(NhatkyNhap!$C261:X261)-SUM(NhatkyBan!$C261:X261)</f>
        <v>1</v>
      </c>
      <c r="Y261" s="21">
        <f>SUM(NhatkyNhap!$C261:Y261)-SUM(NhatkyBan!$C261:Y261)</f>
        <v>1</v>
      </c>
      <c r="Z261" s="21">
        <f>SUM(NhatkyNhap!$C261:Z261)-SUM(NhatkyBan!$C261:Z261)</f>
        <v>1</v>
      </c>
      <c r="AA261" s="21">
        <f>SUM(NhatkyNhap!$C261:AA261)-SUM(NhatkyBan!$C261:AA261)</f>
        <v>1</v>
      </c>
      <c r="AB261" s="21">
        <f>SUM(NhatkyNhap!$C261:AB261)-SUM(NhatkyBan!$C261:AB261)</f>
        <v>1</v>
      </c>
      <c r="AC261" s="21">
        <f>SUM(NhatkyNhap!$C261:AC261)-SUM(NhatkyBan!$C261:AC261)</f>
        <v>1</v>
      </c>
      <c r="AD261" s="21">
        <f>SUM(NhatkyNhap!$C261:AD261)-SUM(NhatkyBan!$C261:AD261)</f>
        <v>1</v>
      </c>
      <c r="AE261" s="21">
        <f>SUM(NhatkyNhap!$C261:AE261)-SUM(NhatkyBan!$C261:AE261)</f>
        <v>1</v>
      </c>
      <c r="AF261" s="21">
        <f>SUM(NhatkyNhap!$C261:AF261)-SUM(NhatkyBan!$C261:AF261)</f>
        <v>1</v>
      </c>
      <c r="AG261" s="21">
        <f>SUM(NhatkyNhap!$C261:AG261)-SUM(NhatkyBan!$C261:AG261)</f>
        <v>1</v>
      </c>
    </row>
    <row r="262" spans="1:33" ht="12.75" customHeight="1">
      <c r="A262" s="76" t="str">
        <f>DSSP!A261</f>
        <v>VN11</v>
      </c>
      <c r="B262" s="25" t="str">
        <f>DSSP!B261</f>
        <v>Chun 1m</v>
      </c>
      <c r="C262" s="21">
        <f>SUM(NhatkyNhap!$C262:C262)-SUM(NhatkyBan!$C262:C262)</f>
        <v>0</v>
      </c>
      <c r="D262" s="21">
        <f>SUM(NhatkyNhap!$C262:D262)-SUM(NhatkyBan!$C262:D262)</f>
        <v>0</v>
      </c>
      <c r="E262" s="21">
        <f>SUM(NhatkyNhap!$C262:E262)-SUM(NhatkyBan!$C262:E262)</f>
        <v>0</v>
      </c>
      <c r="F262" s="21">
        <f>SUM(NhatkyNhap!$C262:F262)-SUM(NhatkyBan!$C262:F262)</f>
        <v>0</v>
      </c>
      <c r="G262" s="21">
        <f>SUM(NhatkyNhap!$C262:G262)-SUM(NhatkyBan!$C262:G262)</f>
        <v>0</v>
      </c>
      <c r="H262" s="21">
        <f>SUM(NhatkyNhap!$C262:H262)-SUM(NhatkyBan!$C262:H262)</f>
        <v>0</v>
      </c>
      <c r="I262" s="21">
        <f>SUM(NhatkyNhap!$C262:I262)-SUM(NhatkyBan!$C262:I262)</f>
        <v>0</v>
      </c>
      <c r="J262" s="21">
        <f>SUM(NhatkyNhap!$C262:J262)-SUM(NhatkyBan!$C262:J262)</f>
        <v>0</v>
      </c>
      <c r="K262" s="21">
        <f>SUM(NhatkyNhap!$C262:K262)-SUM(NhatkyBan!$C262:K262)</f>
        <v>0</v>
      </c>
      <c r="L262" s="21">
        <f>SUM(NhatkyNhap!$C262:L262)-SUM(NhatkyBan!$C262:L262)</f>
        <v>0</v>
      </c>
      <c r="M262" s="21">
        <f>SUM(NhatkyNhap!$C262:M262)-SUM(NhatkyBan!$C262:M262)</f>
        <v>0</v>
      </c>
      <c r="N262" s="21">
        <f>SUM(NhatkyNhap!$C262:N262)-SUM(NhatkyBan!$C262:N262)</f>
        <v>0</v>
      </c>
      <c r="O262" s="21">
        <f>SUM(NhatkyNhap!$C262:O262)-SUM(NhatkyBan!$C262:O262)</f>
        <v>0</v>
      </c>
      <c r="P262" s="21">
        <f>SUM(NhatkyNhap!$C262:P262)-SUM(NhatkyBan!$C262:P262)</f>
        <v>0</v>
      </c>
      <c r="Q262" s="21">
        <f>SUM(NhatkyNhap!$C262:Q262)-SUM(NhatkyBan!$C262:Q262)</f>
        <v>0</v>
      </c>
      <c r="R262" s="21">
        <f>SUM(NhatkyNhap!$C262:R262)-SUM(NhatkyBan!$C262:R262)</f>
        <v>0</v>
      </c>
      <c r="S262" s="21">
        <f>SUM(NhatkyNhap!$C262:S262)-SUM(NhatkyBan!$C262:S262)</f>
        <v>0</v>
      </c>
      <c r="T262" s="21">
        <f>SUM(NhatkyNhap!$C262:T262)-SUM(NhatkyBan!$C262:T262)</f>
        <v>0</v>
      </c>
      <c r="U262" s="21">
        <f>SUM(NhatkyNhap!$C262:U262)-SUM(NhatkyBan!$C262:U262)</f>
        <v>0</v>
      </c>
      <c r="V262" s="21">
        <f>SUM(NhatkyNhap!$C262:V262)-SUM(NhatkyBan!$C262:V262)</f>
        <v>0</v>
      </c>
      <c r="W262" s="21">
        <f>SUM(NhatkyNhap!$C262:W262)-SUM(NhatkyBan!$C262:W262)</f>
        <v>0</v>
      </c>
      <c r="X262" s="21">
        <f>SUM(NhatkyNhap!$C262:X262)-SUM(NhatkyBan!$C262:X262)</f>
        <v>0</v>
      </c>
      <c r="Y262" s="21">
        <f>SUM(NhatkyNhap!$C262:Y262)-SUM(NhatkyBan!$C262:Y262)</f>
        <v>0</v>
      </c>
      <c r="Z262" s="21">
        <f>SUM(NhatkyNhap!$C262:Z262)-SUM(NhatkyBan!$C262:Z262)</f>
        <v>0</v>
      </c>
      <c r="AA262" s="21">
        <f>SUM(NhatkyNhap!$C262:AA262)-SUM(NhatkyBan!$C262:AA262)</f>
        <v>0</v>
      </c>
      <c r="AB262" s="21">
        <f>SUM(NhatkyNhap!$C262:AB262)-SUM(NhatkyBan!$C262:AB262)</f>
        <v>0</v>
      </c>
      <c r="AC262" s="21">
        <f>SUM(NhatkyNhap!$C262:AC262)-SUM(NhatkyBan!$C262:AC262)</f>
        <v>0</v>
      </c>
      <c r="AD262" s="21">
        <f>SUM(NhatkyNhap!$C262:AD262)-SUM(NhatkyBan!$C262:AD262)</f>
        <v>0</v>
      </c>
      <c r="AE262" s="21">
        <f>SUM(NhatkyNhap!$C262:AE262)-SUM(NhatkyBan!$C262:AE262)</f>
        <v>0</v>
      </c>
      <c r="AF262" s="21">
        <f>SUM(NhatkyNhap!$C262:AF262)-SUM(NhatkyBan!$C262:AF262)</f>
        <v>0</v>
      </c>
      <c r="AG262" s="21">
        <f>SUM(NhatkyNhap!$C262:AG262)-SUM(NhatkyBan!$C262:AG262)</f>
        <v>0</v>
      </c>
    </row>
    <row r="263" spans="1:33" ht="12.75" customHeight="1">
      <c r="A263" s="76" t="str">
        <f>DSSP!A262</f>
        <v>VN12</v>
      </c>
      <c r="B263" s="25" t="str">
        <f>DSSP!B262</f>
        <v>Vải lót 1m</v>
      </c>
      <c r="C263" s="21">
        <f>SUM(NhatkyNhap!$C263:C263)-SUM(NhatkyBan!$C263:C263)</f>
        <v>7</v>
      </c>
      <c r="D263" s="21">
        <f>SUM(NhatkyNhap!$C263:D263)-SUM(NhatkyBan!$C263:D263)</f>
        <v>7</v>
      </c>
      <c r="E263" s="21">
        <f>SUM(NhatkyNhap!$C263:E263)-SUM(NhatkyBan!$C263:E263)</f>
        <v>7</v>
      </c>
      <c r="F263" s="21">
        <f>SUM(NhatkyNhap!$C263:F263)-SUM(NhatkyBan!$C263:F263)</f>
        <v>7</v>
      </c>
      <c r="G263" s="21">
        <f>SUM(NhatkyNhap!$C263:G263)-SUM(NhatkyBan!$C263:G263)</f>
        <v>7</v>
      </c>
      <c r="H263" s="21">
        <f>SUM(NhatkyNhap!$C263:H263)-SUM(NhatkyBan!$C263:H263)</f>
        <v>7</v>
      </c>
      <c r="I263" s="21">
        <f>SUM(NhatkyNhap!$C263:I263)-SUM(NhatkyBan!$C263:I263)</f>
        <v>7</v>
      </c>
      <c r="J263" s="21">
        <f>SUM(NhatkyNhap!$C263:J263)-SUM(NhatkyBan!$C263:J263)</f>
        <v>7</v>
      </c>
      <c r="K263" s="21">
        <f>SUM(NhatkyNhap!$C263:K263)-SUM(NhatkyBan!$C263:K263)</f>
        <v>7</v>
      </c>
      <c r="L263" s="21">
        <f>SUM(NhatkyNhap!$C263:L263)-SUM(NhatkyBan!$C263:L263)</f>
        <v>7</v>
      </c>
      <c r="M263" s="21">
        <f>SUM(NhatkyNhap!$C263:M263)-SUM(NhatkyBan!$C263:M263)</f>
        <v>7</v>
      </c>
      <c r="N263" s="21">
        <f>SUM(NhatkyNhap!$C263:N263)-SUM(NhatkyBan!$C263:N263)</f>
        <v>7</v>
      </c>
      <c r="O263" s="21">
        <f>SUM(NhatkyNhap!$C263:O263)-SUM(NhatkyBan!$C263:O263)</f>
        <v>7</v>
      </c>
      <c r="P263" s="21">
        <f>SUM(NhatkyNhap!$C263:P263)-SUM(NhatkyBan!$C263:P263)</f>
        <v>7</v>
      </c>
      <c r="Q263" s="21">
        <f>SUM(NhatkyNhap!$C263:Q263)-SUM(NhatkyBan!$C263:Q263)</f>
        <v>7</v>
      </c>
      <c r="R263" s="21">
        <f>SUM(NhatkyNhap!$C263:R263)-SUM(NhatkyBan!$C263:R263)</f>
        <v>7</v>
      </c>
      <c r="S263" s="21">
        <f>SUM(NhatkyNhap!$C263:S263)-SUM(NhatkyBan!$C263:S263)</f>
        <v>7</v>
      </c>
      <c r="T263" s="21">
        <f>SUM(NhatkyNhap!$C263:T263)-SUM(NhatkyBan!$C263:T263)</f>
        <v>7</v>
      </c>
      <c r="U263" s="21">
        <f>SUM(NhatkyNhap!$C263:U263)-SUM(NhatkyBan!$C263:U263)</f>
        <v>7</v>
      </c>
      <c r="V263" s="21">
        <f>SUM(NhatkyNhap!$C263:V263)-SUM(NhatkyBan!$C263:V263)</f>
        <v>7</v>
      </c>
      <c r="W263" s="21">
        <f>SUM(NhatkyNhap!$C263:W263)-SUM(NhatkyBan!$C263:W263)</f>
        <v>7</v>
      </c>
      <c r="X263" s="21">
        <f>SUM(NhatkyNhap!$C263:X263)-SUM(NhatkyBan!$C263:X263)</f>
        <v>7</v>
      </c>
      <c r="Y263" s="21">
        <f>SUM(NhatkyNhap!$C263:Y263)-SUM(NhatkyBan!$C263:Y263)</f>
        <v>7</v>
      </c>
      <c r="Z263" s="21">
        <f>SUM(NhatkyNhap!$C263:Z263)-SUM(NhatkyBan!$C263:Z263)</f>
        <v>7</v>
      </c>
      <c r="AA263" s="21">
        <f>SUM(NhatkyNhap!$C263:AA263)-SUM(NhatkyBan!$C263:AA263)</f>
        <v>7</v>
      </c>
      <c r="AB263" s="21">
        <f>SUM(NhatkyNhap!$C263:AB263)-SUM(NhatkyBan!$C263:AB263)</f>
        <v>7</v>
      </c>
      <c r="AC263" s="21">
        <f>SUM(NhatkyNhap!$C263:AC263)-SUM(NhatkyBan!$C263:AC263)</f>
        <v>7</v>
      </c>
      <c r="AD263" s="21">
        <f>SUM(NhatkyNhap!$C263:AD263)-SUM(NhatkyBan!$C263:AD263)</f>
        <v>7</v>
      </c>
      <c r="AE263" s="21">
        <f>SUM(NhatkyNhap!$C263:AE263)-SUM(NhatkyBan!$C263:AE263)</f>
        <v>7</v>
      </c>
      <c r="AF263" s="21">
        <f>SUM(NhatkyNhap!$C263:AF263)-SUM(NhatkyBan!$C263:AF263)</f>
        <v>7</v>
      </c>
      <c r="AG263" s="21">
        <f>SUM(NhatkyNhap!$C263:AG263)-SUM(NhatkyBan!$C263:AG263)</f>
        <v>7</v>
      </c>
    </row>
    <row r="264" spans="1:33" ht="12.75" customHeight="1">
      <c r="A264" s="76" t="str">
        <f>DSSP!A263</f>
        <v>VN13</v>
      </c>
      <c r="B264" s="25" t="str">
        <f>DSSP!B263</f>
        <v>Vải lót 0.5m</v>
      </c>
      <c r="C264" s="21">
        <f>SUM(NhatkyNhap!$C264:C264)-SUM(NhatkyBan!$C264:C264)</f>
        <v>0</v>
      </c>
      <c r="D264" s="21">
        <f>SUM(NhatkyNhap!$C264:D264)-SUM(NhatkyBan!$C264:D264)</f>
        <v>0</v>
      </c>
      <c r="E264" s="21">
        <f>SUM(NhatkyNhap!$C264:E264)-SUM(NhatkyBan!$C264:E264)</f>
        <v>0</v>
      </c>
      <c r="F264" s="21">
        <f>SUM(NhatkyNhap!$C264:F264)-SUM(NhatkyBan!$C264:F264)</f>
        <v>0</v>
      </c>
      <c r="G264" s="21">
        <f>SUM(NhatkyNhap!$C264:G264)-SUM(NhatkyBan!$C264:G264)</f>
        <v>0</v>
      </c>
      <c r="H264" s="21">
        <f>SUM(NhatkyNhap!$C264:H264)-SUM(NhatkyBan!$C264:H264)</f>
        <v>0</v>
      </c>
      <c r="I264" s="21">
        <f>SUM(NhatkyNhap!$C264:I264)-SUM(NhatkyBan!$C264:I264)</f>
        <v>0</v>
      </c>
      <c r="J264" s="21">
        <f>SUM(NhatkyNhap!$C264:J264)-SUM(NhatkyBan!$C264:J264)</f>
        <v>0</v>
      </c>
      <c r="K264" s="21">
        <f>SUM(NhatkyNhap!$C264:K264)-SUM(NhatkyBan!$C264:K264)</f>
        <v>0</v>
      </c>
      <c r="L264" s="21">
        <f>SUM(NhatkyNhap!$C264:L264)-SUM(NhatkyBan!$C264:L264)</f>
        <v>0</v>
      </c>
      <c r="M264" s="21">
        <f>SUM(NhatkyNhap!$C264:M264)-SUM(NhatkyBan!$C264:M264)</f>
        <v>0</v>
      </c>
      <c r="N264" s="21">
        <f>SUM(NhatkyNhap!$C264:N264)-SUM(NhatkyBan!$C264:N264)</f>
        <v>0</v>
      </c>
      <c r="O264" s="21">
        <f>SUM(NhatkyNhap!$C264:O264)-SUM(NhatkyBan!$C264:O264)</f>
        <v>0</v>
      </c>
      <c r="P264" s="21">
        <f>SUM(NhatkyNhap!$C264:P264)-SUM(NhatkyBan!$C264:P264)</f>
        <v>0</v>
      </c>
      <c r="Q264" s="21">
        <f>SUM(NhatkyNhap!$C264:Q264)-SUM(NhatkyBan!$C264:Q264)</f>
        <v>0</v>
      </c>
      <c r="R264" s="21">
        <f>SUM(NhatkyNhap!$C264:R264)-SUM(NhatkyBan!$C264:R264)</f>
        <v>0</v>
      </c>
      <c r="S264" s="21">
        <f>SUM(NhatkyNhap!$C264:S264)-SUM(NhatkyBan!$C264:S264)</f>
        <v>0</v>
      </c>
      <c r="T264" s="21">
        <f>SUM(NhatkyNhap!$C264:T264)-SUM(NhatkyBan!$C264:T264)</f>
        <v>0</v>
      </c>
      <c r="U264" s="21">
        <f>SUM(NhatkyNhap!$C264:U264)-SUM(NhatkyBan!$C264:U264)</f>
        <v>0</v>
      </c>
      <c r="V264" s="21">
        <f>SUM(NhatkyNhap!$C264:V264)-SUM(NhatkyBan!$C264:V264)</f>
        <v>0</v>
      </c>
      <c r="W264" s="21">
        <f>SUM(NhatkyNhap!$C264:W264)-SUM(NhatkyBan!$C264:W264)</f>
        <v>0</v>
      </c>
      <c r="X264" s="21">
        <f>SUM(NhatkyNhap!$C264:X264)-SUM(NhatkyBan!$C264:X264)</f>
        <v>0</v>
      </c>
      <c r="Y264" s="21">
        <f>SUM(NhatkyNhap!$C264:Y264)-SUM(NhatkyBan!$C264:Y264)</f>
        <v>0</v>
      </c>
      <c r="Z264" s="21">
        <f>SUM(NhatkyNhap!$C264:Z264)-SUM(NhatkyBan!$C264:Z264)</f>
        <v>0</v>
      </c>
      <c r="AA264" s="21">
        <f>SUM(NhatkyNhap!$C264:AA264)-SUM(NhatkyBan!$C264:AA264)</f>
        <v>0</v>
      </c>
      <c r="AB264" s="21">
        <f>SUM(NhatkyNhap!$C264:AB264)-SUM(NhatkyBan!$C264:AB264)</f>
        <v>0</v>
      </c>
      <c r="AC264" s="21">
        <f>SUM(NhatkyNhap!$C264:AC264)-SUM(NhatkyBan!$C264:AC264)</f>
        <v>0</v>
      </c>
      <c r="AD264" s="21">
        <f>SUM(NhatkyNhap!$C264:AD264)-SUM(NhatkyBan!$C264:AD264)</f>
        <v>0</v>
      </c>
      <c r="AE264" s="21">
        <f>SUM(NhatkyNhap!$C264:AE264)-SUM(NhatkyBan!$C264:AE264)</f>
        <v>0</v>
      </c>
      <c r="AF264" s="21">
        <f>SUM(NhatkyNhap!$C264:AF264)-SUM(NhatkyBan!$C264:AF264)</f>
        <v>0</v>
      </c>
      <c r="AG264" s="21">
        <f>SUM(NhatkyNhap!$C264:AG264)-SUM(NhatkyBan!$C264:AG264)</f>
        <v>0</v>
      </c>
    </row>
    <row r="265" spans="1:33" ht="12.75" customHeight="1">
      <c r="A265" s="76" t="str">
        <f>DSSP!A264</f>
        <v>CB01</v>
      </c>
      <c r="B265" s="25" t="str">
        <f>DSSP!B264</f>
        <v>20' basic</v>
      </c>
      <c r="C265" s="21">
        <f>SUM(NhatkyNhap!$C265:C265)-SUM(NhatkyBan!$C265:C265)</f>
        <v>0</v>
      </c>
      <c r="D265" s="21">
        <f>SUM(NhatkyNhap!$C265:D265)-SUM(NhatkyBan!$C265:D265)</f>
        <v>0</v>
      </c>
      <c r="E265" s="21">
        <f>SUM(NhatkyNhap!$C265:E265)-SUM(NhatkyBan!$C265:E265)</f>
        <v>0</v>
      </c>
      <c r="F265" s="21">
        <f>SUM(NhatkyNhap!$C265:F265)-SUM(NhatkyBan!$C265:F265)</f>
        <v>0</v>
      </c>
      <c r="G265" s="21">
        <f>SUM(NhatkyNhap!$C265:G265)-SUM(NhatkyBan!$C265:G265)</f>
        <v>0</v>
      </c>
      <c r="H265" s="21">
        <f>SUM(NhatkyNhap!$C265:H265)-SUM(NhatkyBan!$C265:H265)</f>
        <v>0</v>
      </c>
      <c r="I265" s="21">
        <f>SUM(NhatkyNhap!$C265:I265)-SUM(NhatkyBan!$C265:I265)</f>
        <v>0</v>
      </c>
      <c r="J265" s="21">
        <f>SUM(NhatkyNhap!$C265:J265)-SUM(NhatkyBan!$C265:J265)</f>
        <v>0</v>
      </c>
      <c r="K265" s="21">
        <f>SUM(NhatkyNhap!$C265:K265)-SUM(NhatkyBan!$C265:K265)</f>
        <v>0</v>
      </c>
      <c r="L265" s="21">
        <f>SUM(NhatkyNhap!$C265:L265)-SUM(NhatkyBan!$C265:L265)</f>
        <v>0</v>
      </c>
      <c r="M265" s="21">
        <f>SUM(NhatkyNhap!$C265:M265)-SUM(NhatkyBan!$C265:M265)</f>
        <v>0</v>
      </c>
      <c r="N265" s="21">
        <f>SUM(NhatkyNhap!$C265:N265)-SUM(NhatkyBan!$C265:N265)</f>
        <v>0</v>
      </c>
      <c r="O265" s="21">
        <f>SUM(NhatkyNhap!$C265:O265)-SUM(NhatkyBan!$C265:O265)</f>
        <v>0</v>
      </c>
      <c r="P265" s="21">
        <f>SUM(NhatkyNhap!$C265:P265)-SUM(NhatkyBan!$C265:P265)</f>
        <v>0</v>
      </c>
      <c r="Q265" s="21">
        <f>SUM(NhatkyNhap!$C265:Q265)-SUM(NhatkyBan!$C265:Q265)</f>
        <v>0</v>
      </c>
      <c r="R265" s="21">
        <f>SUM(NhatkyNhap!$C265:R265)-SUM(NhatkyBan!$C265:R265)</f>
        <v>0</v>
      </c>
      <c r="S265" s="21">
        <f>SUM(NhatkyNhap!$C265:S265)-SUM(NhatkyBan!$C265:S265)</f>
        <v>0</v>
      </c>
      <c r="T265" s="21">
        <f>SUM(NhatkyNhap!$C265:T265)-SUM(NhatkyBan!$C265:T265)</f>
        <v>0</v>
      </c>
      <c r="U265" s="21">
        <f>SUM(NhatkyNhap!$C265:U265)-SUM(NhatkyBan!$C265:U265)</f>
        <v>0</v>
      </c>
      <c r="V265" s="21">
        <f>SUM(NhatkyNhap!$C265:V265)-SUM(NhatkyBan!$C265:V265)</f>
        <v>0</v>
      </c>
      <c r="W265" s="21">
        <f>SUM(NhatkyNhap!$C265:W265)-SUM(NhatkyBan!$C265:W265)</f>
        <v>0</v>
      </c>
      <c r="X265" s="21">
        <f>SUM(NhatkyNhap!$C265:X265)-SUM(NhatkyBan!$C265:X265)</f>
        <v>0</v>
      </c>
      <c r="Y265" s="21">
        <f>SUM(NhatkyNhap!$C265:Y265)-SUM(NhatkyBan!$C265:Y265)</f>
        <v>0</v>
      </c>
      <c r="Z265" s="21">
        <f>SUM(NhatkyNhap!$C265:Z265)-SUM(NhatkyBan!$C265:Z265)</f>
        <v>0</v>
      </c>
      <c r="AA265" s="21">
        <f>SUM(NhatkyNhap!$C265:AA265)-SUM(NhatkyBan!$C265:AA265)</f>
        <v>0</v>
      </c>
      <c r="AB265" s="21">
        <f>SUM(NhatkyNhap!$C265:AB265)-SUM(NhatkyBan!$C265:AB265)</f>
        <v>0</v>
      </c>
      <c r="AC265" s="21">
        <f>SUM(NhatkyNhap!$C265:AC265)-SUM(NhatkyBan!$C265:AC265)</f>
        <v>0</v>
      </c>
      <c r="AD265" s="21">
        <f>SUM(NhatkyNhap!$C265:AD265)-SUM(NhatkyBan!$C265:AD265)</f>
        <v>0</v>
      </c>
      <c r="AE265" s="21">
        <f>SUM(NhatkyNhap!$C265:AE265)-SUM(NhatkyBan!$C265:AE265)</f>
        <v>0</v>
      </c>
      <c r="AF265" s="21">
        <f>SUM(NhatkyNhap!$C265:AF265)-SUM(NhatkyBan!$C265:AF265)</f>
        <v>0</v>
      </c>
      <c r="AG265" s="21">
        <f>SUM(NhatkyNhap!$C265:AG265)-SUM(NhatkyBan!$C265:AG265)</f>
        <v>0</v>
      </c>
    </row>
    <row r="266" spans="1:33" ht="12.75" customHeight="1">
      <c r="A266" s="76" t="str">
        <f>DSSP!A265</f>
        <v>CB02</v>
      </c>
      <c r="B266" s="25" t="str">
        <f>DSSP!B265</f>
        <v>20' advanced</v>
      </c>
      <c r="C266" s="21">
        <f>SUM(NhatkyNhap!$C266:C266)-SUM(NhatkyBan!$C266:C266)</f>
        <v>0</v>
      </c>
      <c r="D266" s="21">
        <f>SUM(NhatkyNhap!$C266:D266)-SUM(NhatkyBan!$C266:D266)</f>
        <v>0</v>
      </c>
      <c r="E266" s="21">
        <f>SUM(NhatkyNhap!$C266:E266)-SUM(NhatkyBan!$C266:E266)</f>
        <v>0</v>
      </c>
      <c r="F266" s="21">
        <f>SUM(NhatkyNhap!$C266:F266)-SUM(NhatkyBan!$C266:F266)</f>
        <v>0</v>
      </c>
      <c r="G266" s="21">
        <f>SUM(NhatkyNhap!$C266:G266)-SUM(NhatkyBan!$C266:G266)</f>
        <v>0</v>
      </c>
      <c r="H266" s="21">
        <f>SUM(NhatkyNhap!$C266:H266)-SUM(NhatkyBan!$C266:H266)</f>
        <v>0</v>
      </c>
      <c r="I266" s="21">
        <f>SUM(NhatkyNhap!$C266:I266)-SUM(NhatkyBan!$C266:I266)</f>
        <v>0</v>
      </c>
      <c r="J266" s="21">
        <f>SUM(NhatkyNhap!$C266:J266)-SUM(NhatkyBan!$C266:J266)</f>
        <v>0</v>
      </c>
      <c r="K266" s="21">
        <f>SUM(NhatkyNhap!$C266:K266)-SUM(NhatkyBan!$C266:K266)</f>
        <v>0</v>
      </c>
      <c r="L266" s="21">
        <f>SUM(NhatkyNhap!$C266:L266)-SUM(NhatkyBan!$C266:L266)</f>
        <v>0</v>
      </c>
      <c r="M266" s="21">
        <f>SUM(NhatkyNhap!$C266:M266)-SUM(NhatkyBan!$C266:M266)</f>
        <v>0</v>
      </c>
      <c r="N266" s="21">
        <f>SUM(NhatkyNhap!$C266:N266)-SUM(NhatkyBan!$C266:N266)</f>
        <v>0</v>
      </c>
      <c r="O266" s="21">
        <f>SUM(NhatkyNhap!$C266:O266)-SUM(NhatkyBan!$C266:O266)</f>
        <v>0</v>
      </c>
      <c r="P266" s="21">
        <f>SUM(NhatkyNhap!$C266:P266)-SUM(NhatkyBan!$C266:P266)</f>
        <v>0</v>
      </c>
      <c r="Q266" s="21">
        <f>SUM(NhatkyNhap!$C266:Q266)-SUM(NhatkyBan!$C266:Q266)</f>
        <v>0</v>
      </c>
      <c r="R266" s="21">
        <f>SUM(NhatkyNhap!$C266:R266)-SUM(NhatkyBan!$C266:R266)</f>
        <v>0</v>
      </c>
      <c r="S266" s="21">
        <f>SUM(NhatkyNhap!$C266:S266)-SUM(NhatkyBan!$C266:S266)</f>
        <v>0</v>
      </c>
      <c r="T266" s="21">
        <f>SUM(NhatkyNhap!$C266:T266)-SUM(NhatkyBan!$C266:T266)</f>
        <v>0</v>
      </c>
      <c r="U266" s="21">
        <f>SUM(NhatkyNhap!$C266:U266)-SUM(NhatkyBan!$C266:U266)</f>
        <v>0</v>
      </c>
      <c r="V266" s="21">
        <f>SUM(NhatkyNhap!$C266:V266)-SUM(NhatkyBan!$C266:V266)</f>
        <v>0</v>
      </c>
      <c r="W266" s="21">
        <f>SUM(NhatkyNhap!$C266:W266)-SUM(NhatkyBan!$C266:W266)</f>
        <v>0</v>
      </c>
      <c r="X266" s="21">
        <f>SUM(NhatkyNhap!$C266:X266)-SUM(NhatkyBan!$C266:X266)</f>
        <v>0</v>
      </c>
      <c r="Y266" s="21">
        <f>SUM(NhatkyNhap!$C266:Y266)-SUM(NhatkyBan!$C266:Y266)</f>
        <v>0</v>
      </c>
      <c r="Z266" s="21">
        <f>SUM(NhatkyNhap!$C266:Z266)-SUM(NhatkyBan!$C266:Z266)</f>
        <v>0</v>
      </c>
      <c r="AA266" s="21">
        <f>SUM(NhatkyNhap!$C266:AA266)-SUM(NhatkyBan!$C266:AA266)</f>
        <v>0</v>
      </c>
      <c r="AB266" s="21">
        <f>SUM(NhatkyNhap!$C266:AB266)-SUM(NhatkyBan!$C266:AB266)</f>
        <v>0</v>
      </c>
      <c r="AC266" s="21">
        <f>SUM(NhatkyNhap!$C266:AC266)-SUM(NhatkyBan!$C266:AC266)</f>
        <v>0</v>
      </c>
      <c r="AD266" s="21">
        <f>SUM(NhatkyNhap!$C266:AD266)-SUM(NhatkyBan!$C266:AD266)</f>
        <v>0</v>
      </c>
      <c r="AE266" s="21">
        <f>SUM(NhatkyNhap!$C266:AE266)-SUM(NhatkyBan!$C266:AE266)</f>
        <v>0</v>
      </c>
      <c r="AF266" s="21">
        <f>SUM(NhatkyNhap!$C266:AF266)-SUM(NhatkyBan!$C266:AF266)</f>
        <v>0</v>
      </c>
      <c r="AG266" s="21">
        <f>SUM(NhatkyNhap!$C266:AG266)-SUM(NhatkyBan!$C266:AG266)</f>
        <v>0</v>
      </c>
    </row>
    <row r="267" spans="1:33" ht="12.75" customHeight="1">
      <c r="A267" s="76" t="str">
        <f>DSSP!A266</f>
        <v>CB03</v>
      </c>
      <c r="B267" s="25" t="str">
        <f>DSSP!B266</f>
        <v>3D basic</v>
      </c>
      <c r="C267" s="21">
        <f>SUM(NhatkyNhap!$C267:C267)-SUM(NhatkyBan!$C267:C267)</f>
        <v>0</v>
      </c>
      <c r="D267" s="21">
        <f>SUM(NhatkyNhap!$C267:D267)-SUM(NhatkyBan!$C267:D267)</f>
        <v>0</v>
      </c>
      <c r="E267" s="21">
        <f>SUM(NhatkyNhap!$C267:E267)-SUM(NhatkyBan!$C267:E267)</f>
        <v>0</v>
      </c>
      <c r="F267" s="21">
        <f>SUM(NhatkyNhap!$C267:F267)-SUM(NhatkyBan!$C267:F267)</f>
        <v>0</v>
      </c>
      <c r="G267" s="21">
        <f>SUM(NhatkyNhap!$C267:G267)-SUM(NhatkyBan!$C267:G267)</f>
        <v>0</v>
      </c>
      <c r="H267" s="21">
        <f>SUM(NhatkyNhap!$C267:H267)-SUM(NhatkyBan!$C267:H267)</f>
        <v>0</v>
      </c>
      <c r="I267" s="21">
        <f>SUM(NhatkyNhap!$C267:I267)-SUM(NhatkyBan!$C267:I267)</f>
        <v>0</v>
      </c>
      <c r="J267" s="21">
        <f>SUM(NhatkyNhap!$C267:J267)-SUM(NhatkyBan!$C267:J267)</f>
        <v>0</v>
      </c>
      <c r="K267" s="21">
        <f>SUM(NhatkyNhap!$C267:K267)-SUM(NhatkyBan!$C267:K267)</f>
        <v>0</v>
      </c>
      <c r="L267" s="21">
        <f>SUM(NhatkyNhap!$C267:L267)-SUM(NhatkyBan!$C267:L267)</f>
        <v>0</v>
      </c>
      <c r="M267" s="21">
        <f>SUM(NhatkyNhap!$C267:M267)-SUM(NhatkyBan!$C267:M267)</f>
        <v>0</v>
      </c>
      <c r="N267" s="21">
        <f>SUM(NhatkyNhap!$C267:N267)-SUM(NhatkyBan!$C267:N267)</f>
        <v>0</v>
      </c>
      <c r="O267" s="21">
        <f>SUM(NhatkyNhap!$C267:O267)-SUM(NhatkyBan!$C267:O267)</f>
        <v>0</v>
      </c>
      <c r="P267" s="21">
        <f>SUM(NhatkyNhap!$C267:P267)-SUM(NhatkyBan!$C267:P267)</f>
        <v>0</v>
      </c>
      <c r="Q267" s="21">
        <f>SUM(NhatkyNhap!$C267:Q267)-SUM(NhatkyBan!$C267:Q267)</f>
        <v>0</v>
      </c>
      <c r="R267" s="21">
        <f>SUM(NhatkyNhap!$C267:R267)-SUM(NhatkyBan!$C267:R267)</f>
        <v>0</v>
      </c>
      <c r="S267" s="21">
        <f>SUM(NhatkyNhap!$C267:S267)-SUM(NhatkyBan!$C267:S267)</f>
        <v>0</v>
      </c>
      <c r="T267" s="21">
        <f>SUM(NhatkyNhap!$C267:T267)-SUM(NhatkyBan!$C267:T267)</f>
        <v>0</v>
      </c>
      <c r="U267" s="21">
        <f>SUM(NhatkyNhap!$C267:U267)-SUM(NhatkyBan!$C267:U267)</f>
        <v>0</v>
      </c>
      <c r="V267" s="21">
        <f>SUM(NhatkyNhap!$C267:V267)-SUM(NhatkyBan!$C267:V267)</f>
        <v>0</v>
      </c>
      <c r="W267" s="21">
        <f>SUM(NhatkyNhap!$C267:W267)-SUM(NhatkyBan!$C267:W267)</f>
        <v>0</v>
      </c>
      <c r="X267" s="21">
        <f>SUM(NhatkyNhap!$C267:X267)-SUM(NhatkyBan!$C267:X267)</f>
        <v>0</v>
      </c>
      <c r="Y267" s="21">
        <f>SUM(NhatkyNhap!$C267:Y267)-SUM(NhatkyBan!$C267:Y267)</f>
        <v>0</v>
      </c>
      <c r="Z267" s="21">
        <f>SUM(NhatkyNhap!$C267:Z267)-SUM(NhatkyBan!$C267:Z267)</f>
        <v>0</v>
      </c>
      <c r="AA267" s="21">
        <f>SUM(NhatkyNhap!$C267:AA267)-SUM(NhatkyBan!$C267:AA267)</f>
        <v>0</v>
      </c>
      <c r="AB267" s="21">
        <f>SUM(NhatkyNhap!$C267:AB267)-SUM(NhatkyBan!$C267:AB267)</f>
        <v>0</v>
      </c>
      <c r="AC267" s="21">
        <f>SUM(NhatkyNhap!$C267:AC267)-SUM(NhatkyBan!$C267:AC267)</f>
        <v>0</v>
      </c>
      <c r="AD267" s="21">
        <f>SUM(NhatkyNhap!$C267:AD267)-SUM(NhatkyBan!$C267:AD267)</f>
        <v>0</v>
      </c>
      <c r="AE267" s="21">
        <f>SUM(NhatkyNhap!$C267:AE267)-SUM(NhatkyBan!$C267:AE267)</f>
        <v>0</v>
      </c>
      <c r="AF267" s="21">
        <f>SUM(NhatkyNhap!$C267:AF267)-SUM(NhatkyBan!$C267:AF267)</f>
        <v>0</v>
      </c>
      <c r="AG267" s="21">
        <f>SUM(NhatkyNhap!$C267:AG267)-SUM(NhatkyBan!$C267:AG267)</f>
        <v>0</v>
      </c>
    </row>
    <row r="268" spans="1:33" ht="12.75" customHeight="1">
      <c r="A268" s="76" t="str">
        <f>DSSP!A267</f>
        <v>CB04</v>
      </c>
      <c r="B268" s="25" t="str">
        <f>DSSP!B267</f>
        <v>3D advanced</v>
      </c>
      <c r="C268" s="21">
        <f>SUM(NhatkyNhap!$C268:C268)-SUM(NhatkyBan!$C268:C268)</f>
        <v>0</v>
      </c>
      <c r="D268" s="21">
        <f>SUM(NhatkyNhap!$C268:D268)-SUM(NhatkyBan!$C268:D268)</f>
        <v>0</v>
      </c>
      <c r="E268" s="21">
        <f>SUM(NhatkyNhap!$C268:E268)-SUM(NhatkyBan!$C268:E268)</f>
        <v>0</v>
      </c>
      <c r="F268" s="21">
        <f>SUM(NhatkyNhap!$C268:F268)-SUM(NhatkyBan!$C268:F268)</f>
        <v>0</v>
      </c>
      <c r="G268" s="21">
        <f>SUM(NhatkyNhap!$C268:G268)-SUM(NhatkyBan!$C268:G268)</f>
        <v>0</v>
      </c>
      <c r="H268" s="21">
        <f>SUM(NhatkyNhap!$C268:H268)-SUM(NhatkyBan!$C268:H268)</f>
        <v>0</v>
      </c>
      <c r="I268" s="21">
        <f>SUM(NhatkyNhap!$C268:I268)-SUM(NhatkyBan!$C268:I268)</f>
        <v>0</v>
      </c>
      <c r="J268" s="21">
        <f>SUM(NhatkyNhap!$C268:J268)-SUM(NhatkyBan!$C268:J268)</f>
        <v>0</v>
      </c>
      <c r="K268" s="21">
        <f>SUM(NhatkyNhap!$C268:K268)-SUM(NhatkyBan!$C268:K268)</f>
        <v>0</v>
      </c>
      <c r="L268" s="21">
        <f>SUM(NhatkyNhap!$C268:L268)-SUM(NhatkyBan!$C268:L268)</f>
        <v>0</v>
      </c>
      <c r="M268" s="21">
        <f>SUM(NhatkyNhap!$C268:M268)-SUM(NhatkyBan!$C268:M268)</f>
        <v>0</v>
      </c>
      <c r="N268" s="21">
        <f>SUM(NhatkyNhap!$C268:N268)-SUM(NhatkyBan!$C268:N268)</f>
        <v>0</v>
      </c>
      <c r="O268" s="21">
        <f>SUM(NhatkyNhap!$C268:O268)-SUM(NhatkyBan!$C268:O268)</f>
        <v>0</v>
      </c>
      <c r="P268" s="21">
        <f>SUM(NhatkyNhap!$C268:P268)-SUM(NhatkyBan!$C268:P268)</f>
        <v>0</v>
      </c>
      <c r="Q268" s="21">
        <f>SUM(NhatkyNhap!$C268:Q268)-SUM(NhatkyBan!$C268:Q268)</f>
        <v>0</v>
      </c>
      <c r="R268" s="21">
        <f>SUM(NhatkyNhap!$C268:R268)-SUM(NhatkyBan!$C268:R268)</f>
        <v>0</v>
      </c>
      <c r="S268" s="21">
        <f>SUM(NhatkyNhap!$C268:S268)-SUM(NhatkyBan!$C268:S268)</f>
        <v>0</v>
      </c>
      <c r="T268" s="21">
        <f>SUM(NhatkyNhap!$C268:T268)-SUM(NhatkyBan!$C268:T268)</f>
        <v>0</v>
      </c>
      <c r="U268" s="21">
        <f>SUM(NhatkyNhap!$C268:U268)-SUM(NhatkyBan!$C268:U268)</f>
        <v>0</v>
      </c>
      <c r="V268" s="21">
        <f>SUM(NhatkyNhap!$C268:V268)-SUM(NhatkyBan!$C268:V268)</f>
        <v>0</v>
      </c>
      <c r="W268" s="21">
        <f>SUM(NhatkyNhap!$C268:W268)-SUM(NhatkyBan!$C268:W268)</f>
        <v>0</v>
      </c>
      <c r="X268" s="21">
        <f>SUM(NhatkyNhap!$C268:X268)-SUM(NhatkyBan!$C268:X268)</f>
        <v>0</v>
      </c>
      <c r="Y268" s="21">
        <f>SUM(NhatkyNhap!$C268:Y268)-SUM(NhatkyBan!$C268:Y268)</f>
        <v>0</v>
      </c>
      <c r="Z268" s="21">
        <f>SUM(NhatkyNhap!$C268:Z268)-SUM(NhatkyBan!$C268:Z268)</f>
        <v>0</v>
      </c>
      <c r="AA268" s="21">
        <f>SUM(NhatkyNhap!$C268:AA268)-SUM(NhatkyBan!$C268:AA268)</f>
        <v>0</v>
      </c>
      <c r="AB268" s="21">
        <f>SUM(NhatkyNhap!$C268:AB268)-SUM(NhatkyBan!$C268:AB268)</f>
        <v>0</v>
      </c>
      <c r="AC268" s="21">
        <f>SUM(NhatkyNhap!$C268:AC268)-SUM(NhatkyBan!$C268:AC268)</f>
        <v>0</v>
      </c>
      <c r="AD268" s="21">
        <f>SUM(NhatkyNhap!$C268:AD268)-SUM(NhatkyBan!$C268:AD268)</f>
        <v>0</v>
      </c>
      <c r="AE268" s="21">
        <f>SUM(NhatkyNhap!$C268:AE268)-SUM(NhatkyBan!$C268:AE268)</f>
        <v>0</v>
      </c>
      <c r="AF268" s="21">
        <f>SUM(NhatkyNhap!$C268:AF268)-SUM(NhatkyBan!$C268:AF268)</f>
        <v>0</v>
      </c>
      <c r="AG268" s="21">
        <f>SUM(NhatkyNhap!$C268:AG268)-SUM(NhatkyBan!$C268:AG268)</f>
        <v>0</v>
      </c>
    </row>
    <row r="269" spans="1:33" ht="12.75" customHeight="1">
      <c r="A269" s="76" t="str">
        <f>DSSP!A268</f>
        <v>CB05</v>
      </c>
      <c r="B269" s="25" t="str">
        <f>DSSP!B268</f>
        <v>Vải dạ nỉ basic</v>
      </c>
      <c r="C269" s="21">
        <f>SUM(NhatkyNhap!$C269:C269)-SUM(NhatkyBan!$C269:C269)</f>
        <v>0</v>
      </c>
      <c r="D269" s="21">
        <f>SUM(NhatkyNhap!$C269:D269)-SUM(NhatkyBan!$C269:D269)</f>
        <v>0</v>
      </c>
      <c r="E269" s="21">
        <f>SUM(NhatkyNhap!$C269:E269)-SUM(NhatkyBan!$C269:E269)</f>
        <v>0</v>
      </c>
      <c r="F269" s="21">
        <f>SUM(NhatkyNhap!$C269:F269)-SUM(NhatkyBan!$C269:F269)</f>
        <v>0</v>
      </c>
      <c r="G269" s="21">
        <f>SUM(NhatkyNhap!$C269:G269)-SUM(NhatkyBan!$C269:G269)</f>
        <v>0</v>
      </c>
      <c r="H269" s="21">
        <f>SUM(NhatkyNhap!$C269:H269)-SUM(NhatkyBan!$C269:H269)</f>
        <v>0</v>
      </c>
      <c r="I269" s="21">
        <f>SUM(NhatkyNhap!$C269:I269)-SUM(NhatkyBan!$C269:I269)</f>
        <v>0</v>
      </c>
      <c r="J269" s="21">
        <f>SUM(NhatkyNhap!$C269:J269)-SUM(NhatkyBan!$C269:J269)</f>
        <v>0</v>
      </c>
      <c r="K269" s="21">
        <f>SUM(NhatkyNhap!$C269:K269)-SUM(NhatkyBan!$C269:K269)</f>
        <v>0</v>
      </c>
      <c r="L269" s="21">
        <f>SUM(NhatkyNhap!$C269:L269)-SUM(NhatkyBan!$C269:L269)</f>
        <v>0</v>
      </c>
      <c r="M269" s="21">
        <f>SUM(NhatkyNhap!$C269:M269)-SUM(NhatkyBan!$C269:M269)</f>
        <v>0</v>
      </c>
      <c r="N269" s="21">
        <f>SUM(NhatkyNhap!$C269:N269)-SUM(NhatkyBan!$C269:N269)</f>
        <v>0</v>
      </c>
      <c r="O269" s="21">
        <f>SUM(NhatkyNhap!$C269:O269)-SUM(NhatkyBan!$C269:O269)</f>
        <v>0</v>
      </c>
      <c r="P269" s="21">
        <f>SUM(NhatkyNhap!$C269:P269)-SUM(NhatkyBan!$C269:P269)</f>
        <v>0</v>
      </c>
      <c r="Q269" s="21">
        <f>SUM(NhatkyNhap!$C269:Q269)-SUM(NhatkyBan!$C269:Q269)</f>
        <v>0</v>
      </c>
      <c r="R269" s="21">
        <f>SUM(NhatkyNhap!$C269:R269)-SUM(NhatkyBan!$C269:R269)</f>
        <v>0</v>
      </c>
      <c r="S269" s="21">
        <f>SUM(NhatkyNhap!$C269:S269)-SUM(NhatkyBan!$C269:S269)</f>
        <v>0</v>
      </c>
      <c r="T269" s="21">
        <f>SUM(NhatkyNhap!$C269:T269)-SUM(NhatkyBan!$C269:T269)</f>
        <v>0</v>
      </c>
      <c r="U269" s="21">
        <f>SUM(NhatkyNhap!$C269:U269)-SUM(NhatkyBan!$C269:U269)</f>
        <v>0</v>
      </c>
      <c r="V269" s="21">
        <f>SUM(NhatkyNhap!$C269:V269)-SUM(NhatkyBan!$C269:V269)</f>
        <v>0</v>
      </c>
      <c r="W269" s="21">
        <f>SUM(NhatkyNhap!$C269:W269)-SUM(NhatkyBan!$C269:W269)</f>
        <v>0</v>
      </c>
      <c r="X269" s="21">
        <f>SUM(NhatkyNhap!$C269:X269)-SUM(NhatkyBan!$C269:X269)</f>
        <v>0</v>
      </c>
      <c r="Y269" s="21">
        <f>SUM(NhatkyNhap!$C269:Y269)-SUM(NhatkyBan!$C269:Y269)</f>
        <v>0</v>
      </c>
      <c r="Z269" s="21">
        <f>SUM(NhatkyNhap!$C269:Z269)-SUM(NhatkyBan!$C269:Z269)</f>
        <v>0</v>
      </c>
      <c r="AA269" s="21">
        <f>SUM(NhatkyNhap!$C269:AA269)-SUM(NhatkyBan!$C269:AA269)</f>
        <v>0</v>
      </c>
      <c r="AB269" s="21">
        <f>SUM(NhatkyNhap!$C269:AB269)-SUM(NhatkyBan!$C269:AB269)</f>
        <v>0</v>
      </c>
      <c r="AC269" s="21">
        <f>SUM(NhatkyNhap!$C269:AC269)-SUM(NhatkyBan!$C269:AC269)</f>
        <v>0</v>
      </c>
      <c r="AD269" s="21">
        <f>SUM(NhatkyNhap!$C269:AD269)-SUM(NhatkyBan!$C269:AD269)</f>
        <v>0</v>
      </c>
      <c r="AE269" s="21">
        <f>SUM(NhatkyNhap!$C269:AE269)-SUM(NhatkyBan!$C269:AE269)</f>
        <v>0</v>
      </c>
      <c r="AF269" s="21">
        <f>SUM(NhatkyNhap!$C269:AF269)-SUM(NhatkyBan!$C269:AF269)</f>
        <v>0</v>
      </c>
      <c r="AG269" s="21">
        <f>SUM(NhatkyNhap!$C269:AG269)-SUM(NhatkyBan!$C269:AG269)</f>
        <v>0</v>
      </c>
    </row>
    <row r="270" spans="1:33" ht="12.75" customHeight="1">
      <c r="A270" s="76" t="str">
        <f>DSSP!A269</f>
        <v>CB06</v>
      </c>
      <c r="B270" s="25" t="str">
        <f>DSSP!B269</f>
        <v>Vải dạ nỉ plus</v>
      </c>
      <c r="C270" s="21">
        <f>SUM(NhatkyNhap!$C270:C270)-SUM(NhatkyBan!$C270:C270)</f>
        <v>0</v>
      </c>
      <c r="D270" s="21">
        <f>SUM(NhatkyNhap!$C270:D270)-SUM(NhatkyBan!$C270:D270)</f>
        <v>0</v>
      </c>
      <c r="E270" s="21">
        <f>SUM(NhatkyNhap!$C270:E270)-SUM(NhatkyBan!$C270:E270)</f>
        <v>0</v>
      </c>
      <c r="F270" s="21">
        <f>SUM(NhatkyNhap!$C270:F270)-SUM(NhatkyBan!$C270:F270)</f>
        <v>0</v>
      </c>
      <c r="G270" s="21">
        <f>SUM(NhatkyNhap!$C270:G270)-SUM(NhatkyBan!$C270:G270)</f>
        <v>0</v>
      </c>
      <c r="H270" s="21">
        <f>SUM(NhatkyNhap!$C270:H270)-SUM(NhatkyBan!$C270:H270)</f>
        <v>0</v>
      </c>
      <c r="I270" s="21">
        <f>SUM(NhatkyNhap!$C270:I270)-SUM(NhatkyBan!$C270:I270)</f>
        <v>0</v>
      </c>
      <c r="J270" s="21">
        <f>SUM(NhatkyNhap!$C270:J270)-SUM(NhatkyBan!$C270:J270)</f>
        <v>0</v>
      </c>
      <c r="K270" s="21">
        <f>SUM(NhatkyNhap!$C270:K270)-SUM(NhatkyBan!$C270:K270)</f>
        <v>0</v>
      </c>
      <c r="L270" s="21">
        <f>SUM(NhatkyNhap!$C270:L270)-SUM(NhatkyBan!$C270:L270)</f>
        <v>0</v>
      </c>
      <c r="M270" s="21">
        <f>SUM(NhatkyNhap!$C270:M270)-SUM(NhatkyBan!$C270:M270)</f>
        <v>0</v>
      </c>
      <c r="N270" s="21">
        <f>SUM(NhatkyNhap!$C270:N270)-SUM(NhatkyBan!$C270:N270)</f>
        <v>0</v>
      </c>
      <c r="O270" s="21">
        <f>SUM(NhatkyNhap!$C270:O270)-SUM(NhatkyBan!$C270:O270)</f>
        <v>0</v>
      </c>
      <c r="P270" s="21">
        <f>SUM(NhatkyNhap!$C270:P270)-SUM(NhatkyBan!$C270:P270)</f>
        <v>0</v>
      </c>
      <c r="Q270" s="21">
        <f>SUM(NhatkyNhap!$C270:Q270)-SUM(NhatkyBan!$C270:Q270)</f>
        <v>0</v>
      </c>
      <c r="R270" s="21">
        <f>SUM(NhatkyNhap!$C270:R270)-SUM(NhatkyBan!$C270:R270)</f>
        <v>0</v>
      </c>
      <c r="S270" s="21">
        <f>SUM(NhatkyNhap!$C270:S270)-SUM(NhatkyBan!$C270:S270)</f>
        <v>0</v>
      </c>
      <c r="T270" s="21">
        <f>SUM(NhatkyNhap!$C270:T270)-SUM(NhatkyBan!$C270:T270)</f>
        <v>0</v>
      </c>
      <c r="U270" s="21">
        <f>SUM(NhatkyNhap!$C270:U270)-SUM(NhatkyBan!$C270:U270)</f>
        <v>0</v>
      </c>
      <c r="V270" s="21">
        <f>SUM(NhatkyNhap!$C270:V270)-SUM(NhatkyBan!$C270:V270)</f>
        <v>0</v>
      </c>
      <c r="W270" s="21">
        <f>SUM(NhatkyNhap!$C270:W270)-SUM(NhatkyBan!$C270:W270)</f>
        <v>0</v>
      </c>
      <c r="X270" s="21">
        <f>SUM(NhatkyNhap!$C270:X270)-SUM(NhatkyBan!$C270:X270)</f>
        <v>0</v>
      </c>
      <c r="Y270" s="21">
        <f>SUM(NhatkyNhap!$C270:Y270)-SUM(NhatkyBan!$C270:Y270)</f>
        <v>0</v>
      </c>
      <c r="Z270" s="21">
        <f>SUM(NhatkyNhap!$C270:Z270)-SUM(NhatkyBan!$C270:Z270)</f>
        <v>0</v>
      </c>
      <c r="AA270" s="21">
        <f>SUM(NhatkyNhap!$C270:AA270)-SUM(NhatkyBan!$C270:AA270)</f>
        <v>0</v>
      </c>
      <c r="AB270" s="21">
        <f>SUM(NhatkyNhap!$C270:AB270)-SUM(NhatkyBan!$C270:AB270)</f>
        <v>0</v>
      </c>
      <c r="AC270" s="21">
        <f>SUM(NhatkyNhap!$C270:AC270)-SUM(NhatkyBan!$C270:AC270)</f>
        <v>0</v>
      </c>
      <c r="AD270" s="21">
        <f>SUM(NhatkyNhap!$C270:AD270)-SUM(NhatkyBan!$C270:AD270)</f>
        <v>0</v>
      </c>
      <c r="AE270" s="21">
        <f>SUM(NhatkyNhap!$C270:AE270)-SUM(NhatkyBan!$C270:AE270)</f>
        <v>0</v>
      </c>
      <c r="AF270" s="21">
        <f>SUM(NhatkyNhap!$C270:AF270)-SUM(NhatkyBan!$C270:AF270)</f>
        <v>0</v>
      </c>
      <c r="AG270" s="21">
        <f>SUM(NhatkyNhap!$C270:AG270)-SUM(NhatkyBan!$C270:AG270)</f>
        <v>0</v>
      </c>
    </row>
    <row r="271" spans="1:33" ht="12.75" customHeight="1">
      <c r="A271" s="76" t="str">
        <f>DSSP!A270</f>
        <v>CB07</v>
      </c>
      <c r="B271" s="25" t="str">
        <f>DSSP!B270</f>
        <v>Vải dạ nỉ advanced</v>
      </c>
      <c r="C271" s="21">
        <f>SUM(NhatkyNhap!$C271:C271)-SUM(NhatkyBan!$C271:C271)</f>
        <v>0</v>
      </c>
      <c r="D271" s="21">
        <f>SUM(NhatkyNhap!$C271:D271)-SUM(NhatkyBan!$C271:D271)</f>
        <v>0</v>
      </c>
      <c r="E271" s="21">
        <f>SUM(NhatkyNhap!$C271:E271)-SUM(NhatkyBan!$C271:E271)</f>
        <v>0</v>
      </c>
      <c r="F271" s="21">
        <f>SUM(NhatkyNhap!$C271:F271)-SUM(NhatkyBan!$C271:F271)</f>
        <v>0</v>
      </c>
      <c r="G271" s="21">
        <f>SUM(NhatkyNhap!$C271:G271)-SUM(NhatkyBan!$C271:G271)</f>
        <v>0</v>
      </c>
      <c r="H271" s="21">
        <f>SUM(NhatkyNhap!$C271:H271)-SUM(NhatkyBan!$C271:H271)</f>
        <v>0</v>
      </c>
      <c r="I271" s="21">
        <f>SUM(NhatkyNhap!$C271:I271)-SUM(NhatkyBan!$C271:I271)</f>
        <v>0</v>
      </c>
      <c r="J271" s="21">
        <f>SUM(NhatkyNhap!$C271:J271)-SUM(NhatkyBan!$C271:J271)</f>
        <v>0</v>
      </c>
      <c r="K271" s="21">
        <f>SUM(NhatkyNhap!$C271:K271)-SUM(NhatkyBan!$C271:K271)</f>
        <v>0</v>
      </c>
      <c r="L271" s="21">
        <f>SUM(NhatkyNhap!$C271:L271)-SUM(NhatkyBan!$C271:L271)</f>
        <v>0</v>
      </c>
      <c r="M271" s="21">
        <f>SUM(NhatkyNhap!$C271:M271)-SUM(NhatkyBan!$C271:M271)</f>
        <v>0</v>
      </c>
      <c r="N271" s="21">
        <f>SUM(NhatkyNhap!$C271:N271)-SUM(NhatkyBan!$C271:N271)</f>
        <v>0</v>
      </c>
      <c r="O271" s="21">
        <f>SUM(NhatkyNhap!$C271:O271)-SUM(NhatkyBan!$C271:O271)</f>
        <v>0</v>
      </c>
      <c r="P271" s="21">
        <f>SUM(NhatkyNhap!$C271:P271)-SUM(NhatkyBan!$C271:P271)</f>
        <v>0</v>
      </c>
      <c r="Q271" s="21">
        <f>SUM(NhatkyNhap!$C271:Q271)-SUM(NhatkyBan!$C271:Q271)</f>
        <v>0</v>
      </c>
      <c r="R271" s="21">
        <f>SUM(NhatkyNhap!$C271:R271)-SUM(NhatkyBan!$C271:R271)</f>
        <v>0</v>
      </c>
      <c r="S271" s="21">
        <f>SUM(NhatkyNhap!$C271:S271)-SUM(NhatkyBan!$C271:S271)</f>
        <v>0</v>
      </c>
      <c r="T271" s="21">
        <f>SUM(NhatkyNhap!$C271:T271)-SUM(NhatkyBan!$C271:T271)</f>
        <v>0</v>
      </c>
      <c r="U271" s="21">
        <f>SUM(NhatkyNhap!$C271:U271)-SUM(NhatkyBan!$C271:U271)</f>
        <v>0</v>
      </c>
      <c r="V271" s="21">
        <f>SUM(NhatkyNhap!$C271:V271)-SUM(NhatkyBan!$C271:V271)</f>
        <v>0</v>
      </c>
      <c r="W271" s="21">
        <f>SUM(NhatkyNhap!$C271:W271)-SUM(NhatkyBan!$C271:W271)</f>
        <v>0</v>
      </c>
      <c r="X271" s="21">
        <f>SUM(NhatkyNhap!$C271:X271)-SUM(NhatkyBan!$C271:X271)</f>
        <v>0</v>
      </c>
      <c r="Y271" s="21">
        <f>SUM(NhatkyNhap!$C271:Y271)-SUM(NhatkyBan!$C271:Y271)</f>
        <v>0</v>
      </c>
      <c r="Z271" s="21">
        <f>SUM(NhatkyNhap!$C271:Z271)-SUM(NhatkyBan!$C271:Z271)</f>
        <v>0</v>
      </c>
      <c r="AA271" s="21">
        <f>SUM(NhatkyNhap!$C271:AA271)-SUM(NhatkyBan!$C271:AA271)</f>
        <v>0</v>
      </c>
      <c r="AB271" s="21">
        <f>SUM(NhatkyNhap!$C271:AB271)-SUM(NhatkyBan!$C271:AB271)</f>
        <v>0</v>
      </c>
      <c r="AC271" s="21">
        <f>SUM(NhatkyNhap!$C271:AC271)-SUM(NhatkyBan!$C271:AC271)</f>
        <v>0</v>
      </c>
      <c r="AD271" s="21">
        <f>SUM(NhatkyNhap!$C271:AD271)-SUM(NhatkyBan!$C271:AD271)</f>
        <v>0</v>
      </c>
      <c r="AE271" s="21">
        <f>SUM(NhatkyNhap!$C271:AE271)-SUM(NhatkyBan!$C271:AE271)</f>
        <v>0</v>
      </c>
      <c r="AF271" s="21">
        <f>SUM(NhatkyNhap!$C271:AF271)-SUM(NhatkyBan!$C271:AF271)</f>
        <v>0</v>
      </c>
      <c r="AG271" s="21">
        <f>SUM(NhatkyNhap!$C271:AG271)-SUM(NhatkyBan!$C271:AG271)</f>
        <v>0</v>
      </c>
    </row>
    <row r="272" spans="1:33" ht="12.75" customHeight="1">
      <c r="A272" s="76" t="str">
        <f>DSSP!A271</f>
        <v>CB08</v>
      </c>
      <c r="B272" s="25" t="str">
        <f>DSSP!B271</f>
        <v>Vải nỉ HQ basic</v>
      </c>
      <c r="C272" s="21">
        <f>SUM(NhatkyNhap!$C272:C272)-SUM(NhatkyBan!$C272:C272)</f>
        <v>0</v>
      </c>
      <c r="D272" s="21">
        <f>SUM(NhatkyNhap!$C272:D272)-SUM(NhatkyBan!$C272:D272)</f>
        <v>0</v>
      </c>
      <c r="E272" s="21">
        <f>SUM(NhatkyNhap!$C272:E272)-SUM(NhatkyBan!$C272:E272)</f>
        <v>0</v>
      </c>
      <c r="F272" s="21">
        <f>SUM(NhatkyNhap!$C272:F272)-SUM(NhatkyBan!$C272:F272)</f>
        <v>0</v>
      </c>
      <c r="G272" s="21">
        <f>SUM(NhatkyNhap!$C272:G272)-SUM(NhatkyBan!$C272:G272)</f>
        <v>0</v>
      </c>
      <c r="H272" s="21">
        <f>SUM(NhatkyNhap!$C272:H272)-SUM(NhatkyBan!$C272:H272)</f>
        <v>0</v>
      </c>
      <c r="I272" s="21">
        <f>SUM(NhatkyNhap!$C272:I272)-SUM(NhatkyBan!$C272:I272)</f>
        <v>0</v>
      </c>
      <c r="J272" s="21">
        <f>SUM(NhatkyNhap!$C272:J272)-SUM(NhatkyBan!$C272:J272)</f>
        <v>0</v>
      </c>
      <c r="K272" s="21">
        <f>SUM(NhatkyNhap!$C272:K272)-SUM(NhatkyBan!$C272:K272)</f>
        <v>0</v>
      </c>
      <c r="L272" s="21">
        <f>SUM(NhatkyNhap!$C272:L272)-SUM(NhatkyBan!$C272:L272)</f>
        <v>0</v>
      </c>
      <c r="M272" s="21">
        <f>SUM(NhatkyNhap!$C272:M272)-SUM(NhatkyBan!$C272:M272)</f>
        <v>0</v>
      </c>
      <c r="N272" s="21">
        <f>SUM(NhatkyNhap!$C272:N272)-SUM(NhatkyBan!$C272:N272)</f>
        <v>0</v>
      </c>
      <c r="O272" s="21">
        <f>SUM(NhatkyNhap!$C272:O272)-SUM(NhatkyBan!$C272:O272)</f>
        <v>0</v>
      </c>
      <c r="P272" s="21">
        <f>SUM(NhatkyNhap!$C272:P272)-SUM(NhatkyBan!$C272:P272)</f>
        <v>0</v>
      </c>
      <c r="Q272" s="21">
        <f>SUM(NhatkyNhap!$C272:Q272)-SUM(NhatkyBan!$C272:Q272)</f>
        <v>0</v>
      </c>
      <c r="R272" s="21">
        <f>SUM(NhatkyNhap!$C272:R272)-SUM(NhatkyBan!$C272:R272)</f>
        <v>0</v>
      </c>
      <c r="S272" s="21">
        <f>SUM(NhatkyNhap!$C272:S272)-SUM(NhatkyBan!$C272:S272)</f>
        <v>0</v>
      </c>
      <c r="T272" s="21">
        <f>SUM(NhatkyNhap!$C272:T272)-SUM(NhatkyBan!$C272:T272)</f>
        <v>0</v>
      </c>
      <c r="U272" s="21">
        <f>SUM(NhatkyNhap!$C272:U272)-SUM(NhatkyBan!$C272:U272)</f>
        <v>0</v>
      </c>
      <c r="V272" s="21">
        <f>SUM(NhatkyNhap!$C272:V272)-SUM(NhatkyBan!$C272:V272)</f>
        <v>0</v>
      </c>
      <c r="W272" s="21">
        <f>SUM(NhatkyNhap!$C272:W272)-SUM(NhatkyBan!$C272:W272)</f>
        <v>0</v>
      </c>
      <c r="X272" s="21">
        <f>SUM(NhatkyNhap!$C272:X272)-SUM(NhatkyBan!$C272:X272)</f>
        <v>0</v>
      </c>
      <c r="Y272" s="21">
        <f>SUM(NhatkyNhap!$C272:Y272)-SUM(NhatkyBan!$C272:Y272)</f>
        <v>0</v>
      </c>
      <c r="Z272" s="21">
        <f>SUM(NhatkyNhap!$C272:Z272)-SUM(NhatkyBan!$C272:Z272)</f>
        <v>0</v>
      </c>
      <c r="AA272" s="21">
        <f>SUM(NhatkyNhap!$C272:AA272)-SUM(NhatkyBan!$C272:AA272)</f>
        <v>0</v>
      </c>
      <c r="AB272" s="21">
        <f>SUM(NhatkyNhap!$C272:AB272)-SUM(NhatkyBan!$C272:AB272)</f>
        <v>0</v>
      </c>
      <c r="AC272" s="21">
        <f>SUM(NhatkyNhap!$C272:AC272)-SUM(NhatkyBan!$C272:AC272)</f>
        <v>0</v>
      </c>
      <c r="AD272" s="21">
        <f>SUM(NhatkyNhap!$C272:AD272)-SUM(NhatkyBan!$C272:AD272)</f>
        <v>0</v>
      </c>
      <c r="AE272" s="21">
        <f>SUM(NhatkyNhap!$C272:AE272)-SUM(NhatkyBan!$C272:AE272)</f>
        <v>0</v>
      </c>
      <c r="AF272" s="21">
        <f>SUM(NhatkyNhap!$C272:AF272)-SUM(NhatkyBan!$C272:AF272)</f>
        <v>0</v>
      </c>
      <c r="AG272" s="21">
        <f>SUM(NhatkyNhap!$C272:AG272)-SUM(NhatkyBan!$C272:AG272)</f>
        <v>0</v>
      </c>
    </row>
    <row r="273" spans="1:33" ht="12.75" customHeight="1">
      <c r="A273" s="76" t="str">
        <f>DSSP!A272</f>
        <v>CB09</v>
      </c>
      <c r="B273" s="25" t="str">
        <f>DSSP!B272</f>
        <v>Vải nỉ HQ advanced</v>
      </c>
      <c r="C273" s="21">
        <f>SUM(NhatkyNhap!$C273:C273)-SUM(NhatkyBan!$C273:C273)</f>
        <v>0</v>
      </c>
      <c r="D273" s="21">
        <f>SUM(NhatkyNhap!$C273:D273)-SUM(NhatkyBan!$C273:D273)</f>
        <v>0</v>
      </c>
      <c r="E273" s="21">
        <f>SUM(NhatkyNhap!$C273:E273)-SUM(NhatkyBan!$C273:E273)</f>
        <v>0</v>
      </c>
      <c r="F273" s="21">
        <f>SUM(NhatkyNhap!$C273:F273)-SUM(NhatkyBan!$C273:F273)</f>
        <v>0</v>
      </c>
      <c r="G273" s="21">
        <f>SUM(NhatkyNhap!$C273:G273)-SUM(NhatkyBan!$C273:G273)</f>
        <v>0</v>
      </c>
      <c r="H273" s="21">
        <f>SUM(NhatkyNhap!$C273:H273)-SUM(NhatkyBan!$C273:H273)</f>
        <v>0</v>
      </c>
      <c r="I273" s="21">
        <f>SUM(NhatkyNhap!$C273:I273)-SUM(NhatkyBan!$C273:I273)</f>
        <v>0</v>
      </c>
      <c r="J273" s="21">
        <f>SUM(NhatkyNhap!$C273:J273)-SUM(NhatkyBan!$C273:J273)</f>
        <v>0</v>
      </c>
      <c r="K273" s="21">
        <f>SUM(NhatkyNhap!$C273:K273)-SUM(NhatkyBan!$C273:K273)</f>
        <v>0</v>
      </c>
      <c r="L273" s="21">
        <f>SUM(NhatkyNhap!$C273:L273)-SUM(NhatkyBan!$C273:L273)</f>
        <v>0</v>
      </c>
      <c r="M273" s="21">
        <f>SUM(NhatkyNhap!$C273:M273)-SUM(NhatkyBan!$C273:M273)</f>
        <v>0</v>
      </c>
      <c r="N273" s="21">
        <f>SUM(NhatkyNhap!$C273:N273)-SUM(NhatkyBan!$C273:N273)</f>
        <v>0</v>
      </c>
      <c r="O273" s="21">
        <f>SUM(NhatkyNhap!$C273:O273)-SUM(NhatkyBan!$C273:O273)</f>
        <v>0</v>
      </c>
      <c r="P273" s="21">
        <f>SUM(NhatkyNhap!$C273:P273)-SUM(NhatkyBan!$C273:P273)</f>
        <v>0</v>
      </c>
      <c r="Q273" s="21">
        <f>SUM(NhatkyNhap!$C273:Q273)-SUM(NhatkyBan!$C273:Q273)</f>
        <v>0</v>
      </c>
      <c r="R273" s="21">
        <f>SUM(NhatkyNhap!$C273:R273)-SUM(NhatkyBan!$C273:R273)</f>
        <v>0</v>
      </c>
      <c r="S273" s="21">
        <f>SUM(NhatkyNhap!$C273:S273)-SUM(NhatkyBan!$C273:S273)</f>
        <v>0</v>
      </c>
      <c r="T273" s="21">
        <f>SUM(NhatkyNhap!$C273:T273)-SUM(NhatkyBan!$C273:T273)</f>
        <v>0</v>
      </c>
      <c r="U273" s="21">
        <f>SUM(NhatkyNhap!$C273:U273)-SUM(NhatkyBan!$C273:U273)</f>
        <v>0</v>
      </c>
      <c r="V273" s="21">
        <f>SUM(NhatkyNhap!$C273:V273)-SUM(NhatkyBan!$C273:V273)</f>
        <v>0</v>
      </c>
      <c r="W273" s="21">
        <f>SUM(NhatkyNhap!$C273:W273)-SUM(NhatkyBan!$C273:W273)</f>
        <v>0</v>
      </c>
      <c r="X273" s="21">
        <f>SUM(NhatkyNhap!$C273:X273)-SUM(NhatkyBan!$C273:X273)</f>
        <v>0</v>
      </c>
      <c r="Y273" s="21">
        <f>SUM(NhatkyNhap!$C273:Y273)-SUM(NhatkyBan!$C273:Y273)</f>
        <v>0</v>
      </c>
      <c r="Z273" s="21">
        <f>SUM(NhatkyNhap!$C273:Z273)-SUM(NhatkyBan!$C273:Z273)</f>
        <v>0</v>
      </c>
      <c r="AA273" s="21">
        <f>SUM(NhatkyNhap!$C273:AA273)-SUM(NhatkyBan!$C273:AA273)</f>
        <v>0</v>
      </c>
      <c r="AB273" s="21">
        <f>SUM(NhatkyNhap!$C273:AB273)-SUM(NhatkyBan!$C273:AB273)</f>
        <v>0</v>
      </c>
      <c r="AC273" s="21">
        <f>SUM(NhatkyNhap!$C273:AC273)-SUM(NhatkyBan!$C273:AC273)</f>
        <v>0</v>
      </c>
      <c r="AD273" s="21">
        <f>SUM(NhatkyNhap!$C273:AD273)-SUM(NhatkyBan!$C273:AD273)</f>
        <v>0</v>
      </c>
      <c r="AE273" s="21">
        <f>SUM(NhatkyNhap!$C273:AE273)-SUM(NhatkyBan!$C273:AE273)</f>
        <v>0</v>
      </c>
      <c r="AF273" s="21">
        <f>SUM(NhatkyNhap!$C273:AF273)-SUM(NhatkyBan!$C273:AF273)</f>
        <v>0</v>
      </c>
      <c r="AG273" s="21">
        <f>SUM(NhatkyNhap!$C273:AG273)-SUM(NhatkyBan!$C273:AG273)</f>
        <v>0</v>
      </c>
    </row>
    <row r="274" spans="1:33" ht="12.75" customHeight="1">
      <c r="A274" s="76" t="str">
        <f>DSSP!A273</f>
        <v>CB10</v>
      </c>
      <c r="B274" s="25" t="str">
        <f>DSSP!B273</f>
        <v>Mặt giả cổ hoàng đạo</v>
      </c>
      <c r="C274" s="21">
        <f>SUM(NhatkyNhap!$C274:C274)-SUM(NhatkyBan!$C274:C274)</f>
        <v>0</v>
      </c>
      <c r="D274" s="21">
        <f>SUM(NhatkyNhap!$C274:D274)-SUM(NhatkyBan!$C274:D274)</f>
        <v>0</v>
      </c>
      <c r="E274" s="21">
        <f>SUM(NhatkyNhap!$C274:E274)-SUM(NhatkyBan!$C274:E274)</f>
        <v>0</v>
      </c>
      <c r="F274" s="21">
        <f>SUM(NhatkyNhap!$C274:F274)-SUM(NhatkyBan!$C274:F274)</f>
        <v>0</v>
      </c>
      <c r="G274" s="21">
        <f>SUM(NhatkyNhap!$C274:G274)-SUM(NhatkyBan!$C274:G274)</f>
        <v>0</v>
      </c>
      <c r="H274" s="21">
        <f>SUM(NhatkyNhap!$C274:H274)-SUM(NhatkyBan!$C274:H274)</f>
        <v>0</v>
      </c>
      <c r="I274" s="21">
        <f>SUM(NhatkyNhap!$C274:I274)-SUM(NhatkyBan!$C274:I274)</f>
        <v>0</v>
      </c>
      <c r="J274" s="21">
        <f>SUM(NhatkyNhap!$C274:J274)-SUM(NhatkyBan!$C274:J274)</f>
        <v>0</v>
      </c>
      <c r="K274" s="21">
        <f>SUM(NhatkyNhap!$C274:K274)-SUM(NhatkyBan!$C274:K274)</f>
        <v>0</v>
      </c>
      <c r="L274" s="21">
        <f>SUM(NhatkyNhap!$C274:L274)-SUM(NhatkyBan!$C274:L274)</f>
        <v>0</v>
      </c>
      <c r="M274" s="21">
        <f>SUM(NhatkyNhap!$C274:M274)-SUM(NhatkyBan!$C274:M274)</f>
        <v>0</v>
      </c>
      <c r="N274" s="21">
        <f>SUM(NhatkyNhap!$C274:N274)-SUM(NhatkyBan!$C274:N274)</f>
        <v>0</v>
      </c>
      <c r="O274" s="21">
        <f>SUM(NhatkyNhap!$C274:O274)-SUM(NhatkyBan!$C274:O274)</f>
        <v>0</v>
      </c>
      <c r="P274" s="21">
        <f>SUM(NhatkyNhap!$C274:P274)-SUM(NhatkyBan!$C274:P274)</f>
        <v>0</v>
      </c>
      <c r="Q274" s="21">
        <f>SUM(NhatkyNhap!$C274:Q274)-SUM(NhatkyBan!$C274:Q274)</f>
        <v>0</v>
      </c>
      <c r="R274" s="21">
        <f>SUM(NhatkyNhap!$C274:R274)-SUM(NhatkyBan!$C274:R274)</f>
        <v>0</v>
      </c>
      <c r="S274" s="21">
        <f>SUM(NhatkyNhap!$C274:S274)-SUM(NhatkyBan!$C274:S274)</f>
        <v>0</v>
      </c>
      <c r="T274" s="21">
        <f>SUM(NhatkyNhap!$C274:T274)-SUM(NhatkyBan!$C274:T274)</f>
        <v>0</v>
      </c>
      <c r="U274" s="21">
        <f>SUM(NhatkyNhap!$C274:U274)-SUM(NhatkyBan!$C274:U274)</f>
        <v>0</v>
      </c>
      <c r="V274" s="21">
        <f>SUM(NhatkyNhap!$C274:V274)-SUM(NhatkyBan!$C274:V274)</f>
        <v>0</v>
      </c>
      <c r="W274" s="21">
        <f>SUM(NhatkyNhap!$C274:W274)-SUM(NhatkyBan!$C274:W274)</f>
        <v>0</v>
      </c>
      <c r="X274" s="21">
        <f>SUM(NhatkyNhap!$C274:X274)-SUM(NhatkyBan!$C274:X274)</f>
        <v>0</v>
      </c>
      <c r="Y274" s="21">
        <f>SUM(NhatkyNhap!$C274:Y274)-SUM(NhatkyBan!$C274:Y274)</f>
        <v>0</v>
      </c>
      <c r="Z274" s="21">
        <f>SUM(NhatkyNhap!$C274:Z274)-SUM(NhatkyBan!$C274:Z274)</f>
        <v>0</v>
      </c>
      <c r="AA274" s="21">
        <f>SUM(NhatkyNhap!$C274:AA274)-SUM(NhatkyBan!$C274:AA274)</f>
        <v>0</v>
      </c>
      <c r="AB274" s="21">
        <f>SUM(NhatkyNhap!$C274:AB274)-SUM(NhatkyBan!$C274:AB274)</f>
        <v>0</v>
      </c>
      <c r="AC274" s="21">
        <f>SUM(NhatkyNhap!$C274:AC274)-SUM(NhatkyBan!$C274:AC274)</f>
        <v>0</v>
      </c>
      <c r="AD274" s="21">
        <f>SUM(NhatkyNhap!$C274:AD274)-SUM(NhatkyBan!$C274:AD274)</f>
        <v>0</v>
      </c>
      <c r="AE274" s="21">
        <f>SUM(NhatkyNhap!$C274:AE274)-SUM(NhatkyBan!$C274:AE274)</f>
        <v>0</v>
      </c>
      <c r="AF274" s="21">
        <f>SUM(NhatkyNhap!$C274:AF274)-SUM(NhatkyBan!$C274:AF274)</f>
        <v>0</v>
      </c>
      <c r="AG274" s="21">
        <f>SUM(NhatkyNhap!$C274:AG274)-SUM(NhatkyBan!$C274:AG274)</f>
        <v>0</v>
      </c>
    </row>
    <row r="275" spans="1:33" ht="12.75" customHeight="1">
      <c r="A275" s="76" t="str">
        <f>DSSP!A274</f>
        <v>CB11</v>
      </c>
      <c r="B275" s="25" t="str">
        <f>DSSP!B274</f>
        <v>Mặt giả cổ chữ</v>
      </c>
      <c r="C275" s="21">
        <f>SUM(NhatkyNhap!$C275:C275)-SUM(NhatkyBan!$C275:C275)</f>
        <v>0</v>
      </c>
      <c r="D275" s="21">
        <f>SUM(NhatkyNhap!$C275:D275)-SUM(NhatkyBan!$C275:D275)</f>
        <v>0</v>
      </c>
      <c r="E275" s="21">
        <f>SUM(NhatkyNhap!$C275:E275)-SUM(NhatkyBan!$C275:E275)</f>
        <v>0</v>
      </c>
      <c r="F275" s="21">
        <f>SUM(NhatkyNhap!$C275:F275)-SUM(NhatkyBan!$C275:F275)</f>
        <v>0</v>
      </c>
      <c r="G275" s="21">
        <f>SUM(NhatkyNhap!$C275:G275)-SUM(NhatkyBan!$C275:G275)</f>
        <v>0</v>
      </c>
      <c r="H275" s="21">
        <f>SUM(NhatkyNhap!$C275:H275)-SUM(NhatkyBan!$C275:H275)</f>
        <v>0</v>
      </c>
      <c r="I275" s="21">
        <f>SUM(NhatkyNhap!$C275:I275)-SUM(NhatkyBan!$C275:I275)</f>
        <v>0</v>
      </c>
      <c r="J275" s="21">
        <f>SUM(NhatkyNhap!$C275:J275)-SUM(NhatkyBan!$C275:J275)</f>
        <v>0</v>
      </c>
      <c r="K275" s="21">
        <f>SUM(NhatkyNhap!$C275:K275)-SUM(NhatkyBan!$C275:K275)</f>
        <v>0</v>
      </c>
      <c r="L275" s="21">
        <f>SUM(NhatkyNhap!$C275:L275)-SUM(NhatkyBan!$C275:L275)</f>
        <v>0</v>
      </c>
      <c r="M275" s="21">
        <f>SUM(NhatkyNhap!$C275:M275)-SUM(NhatkyBan!$C275:M275)</f>
        <v>0</v>
      </c>
      <c r="N275" s="21">
        <f>SUM(NhatkyNhap!$C275:N275)-SUM(NhatkyBan!$C275:N275)</f>
        <v>0</v>
      </c>
      <c r="O275" s="21">
        <f>SUM(NhatkyNhap!$C275:O275)-SUM(NhatkyBan!$C275:O275)</f>
        <v>0</v>
      </c>
      <c r="P275" s="21">
        <f>SUM(NhatkyNhap!$C275:P275)-SUM(NhatkyBan!$C275:P275)</f>
        <v>0</v>
      </c>
      <c r="Q275" s="21">
        <f>SUM(NhatkyNhap!$C275:Q275)-SUM(NhatkyBan!$C275:Q275)</f>
        <v>0</v>
      </c>
      <c r="R275" s="21">
        <f>SUM(NhatkyNhap!$C275:R275)-SUM(NhatkyBan!$C275:R275)</f>
        <v>0</v>
      </c>
      <c r="S275" s="21">
        <f>SUM(NhatkyNhap!$C275:S275)-SUM(NhatkyBan!$C275:S275)</f>
        <v>0</v>
      </c>
      <c r="T275" s="21">
        <f>SUM(NhatkyNhap!$C275:T275)-SUM(NhatkyBan!$C275:T275)</f>
        <v>0</v>
      </c>
      <c r="U275" s="21">
        <f>SUM(NhatkyNhap!$C275:U275)-SUM(NhatkyBan!$C275:U275)</f>
        <v>0</v>
      </c>
      <c r="V275" s="21">
        <f>SUM(NhatkyNhap!$C275:V275)-SUM(NhatkyBan!$C275:V275)</f>
        <v>0</v>
      </c>
      <c r="W275" s="21">
        <f>SUM(NhatkyNhap!$C275:W275)-SUM(NhatkyBan!$C275:W275)</f>
        <v>0</v>
      </c>
      <c r="X275" s="21">
        <f>SUM(NhatkyNhap!$C275:X275)-SUM(NhatkyBan!$C275:X275)</f>
        <v>0</v>
      </c>
      <c r="Y275" s="21">
        <f>SUM(NhatkyNhap!$C275:Y275)-SUM(NhatkyBan!$C275:Y275)</f>
        <v>0</v>
      </c>
      <c r="Z275" s="21">
        <f>SUM(NhatkyNhap!$C275:Z275)-SUM(NhatkyBan!$C275:Z275)</f>
        <v>0</v>
      </c>
      <c r="AA275" s="21">
        <f>SUM(NhatkyNhap!$C275:AA275)-SUM(NhatkyBan!$C275:AA275)</f>
        <v>0</v>
      </c>
      <c r="AB275" s="21">
        <f>SUM(NhatkyNhap!$C275:AB275)-SUM(NhatkyBan!$C275:AB275)</f>
        <v>0</v>
      </c>
      <c r="AC275" s="21">
        <f>SUM(NhatkyNhap!$C275:AC275)-SUM(NhatkyBan!$C275:AC275)</f>
        <v>0</v>
      </c>
      <c r="AD275" s="21">
        <f>SUM(NhatkyNhap!$C275:AD275)-SUM(NhatkyBan!$C275:AD275)</f>
        <v>0</v>
      </c>
      <c r="AE275" s="21">
        <f>SUM(NhatkyNhap!$C275:AE275)-SUM(NhatkyBan!$C275:AE275)</f>
        <v>0</v>
      </c>
      <c r="AF275" s="21">
        <f>SUM(NhatkyNhap!$C275:AF275)-SUM(NhatkyBan!$C275:AF275)</f>
        <v>0</v>
      </c>
      <c r="AG275" s="21">
        <f>SUM(NhatkyNhap!$C275:AG275)-SUM(NhatkyBan!$C275:AG275)</f>
        <v>0</v>
      </c>
    </row>
    <row r="276" spans="1:33" ht="12.75" customHeight="1">
      <c r="A276" s="76" t="str">
        <f>DSSP!A275</f>
        <v>CB12</v>
      </c>
      <c r="B276" s="25" t="str">
        <f>DSSP!B275</f>
        <v>Mặt giả cổ số</v>
      </c>
      <c r="C276" s="21">
        <f>SUM(NhatkyNhap!$C276:C276)-SUM(NhatkyBan!$C276:C276)</f>
        <v>0</v>
      </c>
      <c r="D276" s="21">
        <f>SUM(NhatkyNhap!$C276:D276)-SUM(NhatkyBan!$C276:D276)</f>
        <v>0</v>
      </c>
      <c r="E276" s="21">
        <f>SUM(NhatkyNhap!$C276:E276)-SUM(NhatkyBan!$C276:E276)</f>
        <v>0</v>
      </c>
      <c r="F276" s="21">
        <f>SUM(NhatkyNhap!$C276:F276)-SUM(NhatkyBan!$C276:F276)</f>
        <v>0</v>
      </c>
      <c r="G276" s="21">
        <f>SUM(NhatkyNhap!$C276:G276)-SUM(NhatkyBan!$C276:G276)</f>
        <v>0</v>
      </c>
      <c r="H276" s="21">
        <f>SUM(NhatkyNhap!$C276:H276)-SUM(NhatkyBan!$C276:H276)</f>
        <v>0</v>
      </c>
      <c r="I276" s="21">
        <f>SUM(NhatkyNhap!$C276:I276)-SUM(NhatkyBan!$C276:I276)</f>
        <v>0</v>
      </c>
      <c r="J276" s="21">
        <f>SUM(NhatkyNhap!$C276:J276)-SUM(NhatkyBan!$C276:J276)</f>
        <v>0</v>
      </c>
      <c r="K276" s="21">
        <f>SUM(NhatkyNhap!$C276:K276)-SUM(NhatkyBan!$C276:K276)</f>
        <v>0</v>
      </c>
      <c r="L276" s="21">
        <f>SUM(NhatkyNhap!$C276:L276)-SUM(NhatkyBan!$C276:L276)</f>
        <v>0</v>
      </c>
      <c r="M276" s="21">
        <f>SUM(NhatkyNhap!$C276:M276)-SUM(NhatkyBan!$C276:M276)</f>
        <v>0</v>
      </c>
      <c r="N276" s="21">
        <f>SUM(NhatkyNhap!$C276:N276)-SUM(NhatkyBan!$C276:N276)</f>
        <v>0</v>
      </c>
      <c r="O276" s="21">
        <f>SUM(NhatkyNhap!$C276:O276)-SUM(NhatkyBan!$C276:O276)</f>
        <v>0</v>
      </c>
      <c r="P276" s="21">
        <f>SUM(NhatkyNhap!$C276:P276)-SUM(NhatkyBan!$C276:P276)</f>
        <v>0</v>
      </c>
      <c r="Q276" s="21">
        <f>SUM(NhatkyNhap!$C276:Q276)-SUM(NhatkyBan!$C276:Q276)</f>
        <v>0</v>
      </c>
      <c r="R276" s="21">
        <f>SUM(NhatkyNhap!$C276:R276)-SUM(NhatkyBan!$C276:R276)</f>
        <v>0</v>
      </c>
      <c r="S276" s="21">
        <f>SUM(NhatkyNhap!$C276:S276)-SUM(NhatkyBan!$C276:S276)</f>
        <v>0</v>
      </c>
      <c r="T276" s="21">
        <f>SUM(NhatkyNhap!$C276:T276)-SUM(NhatkyBan!$C276:T276)</f>
        <v>0</v>
      </c>
      <c r="U276" s="21">
        <f>SUM(NhatkyNhap!$C276:U276)-SUM(NhatkyBan!$C276:U276)</f>
        <v>0</v>
      </c>
      <c r="V276" s="21">
        <f>SUM(NhatkyNhap!$C276:V276)-SUM(NhatkyBan!$C276:V276)</f>
        <v>0</v>
      </c>
      <c r="W276" s="21">
        <f>SUM(NhatkyNhap!$C276:W276)-SUM(NhatkyBan!$C276:W276)</f>
        <v>0</v>
      </c>
      <c r="X276" s="21">
        <f>SUM(NhatkyNhap!$C276:X276)-SUM(NhatkyBan!$C276:X276)</f>
        <v>0</v>
      </c>
      <c r="Y276" s="21">
        <f>SUM(NhatkyNhap!$C276:Y276)-SUM(NhatkyBan!$C276:Y276)</f>
        <v>0</v>
      </c>
      <c r="Z276" s="21">
        <f>SUM(NhatkyNhap!$C276:Z276)-SUM(NhatkyBan!$C276:Z276)</f>
        <v>0</v>
      </c>
      <c r="AA276" s="21">
        <f>SUM(NhatkyNhap!$C276:AA276)-SUM(NhatkyBan!$C276:AA276)</f>
        <v>0</v>
      </c>
      <c r="AB276" s="21">
        <f>SUM(NhatkyNhap!$C276:AB276)-SUM(NhatkyBan!$C276:AB276)</f>
        <v>0</v>
      </c>
      <c r="AC276" s="21">
        <f>SUM(NhatkyNhap!$C276:AC276)-SUM(NhatkyBan!$C276:AC276)</f>
        <v>0</v>
      </c>
      <c r="AD276" s="21">
        <f>SUM(NhatkyNhap!$C276:AD276)-SUM(NhatkyBan!$C276:AD276)</f>
        <v>0</v>
      </c>
      <c r="AE276" s="21">
        <f>SUM(NhatkyNhap!$C276:AE276)-SUM(NhatkyBan!$C276:AE276)</f>
        <v>0</v>
      </c>
      <c r="AF276" s="21">
        <f>SUM(NhatkyNhap!$C276:AF276)-SUM(NhatkyBan!$C276:AF276)</f>
        <v>0</v>
      </c>
      <c r="AG276" s="21">
        <f>SUM(NhatkyNhap!$C276:AG276)-SUM(NhatkyBan!$C276:AG276)</f>
        <v>0</v>
      </c>
    </row>
    <row r="277" spans="1:33" ht="12.75" customHeight="1">
      <c r="A277" s="76" t="str">
        <f>DSSP!A276</f>
        <v>TR01</v>
      </c>
      <c r="B277" s="25" t="str">
        <f>DSSP!B276</f>
        <v>Tranh tô màu cỡ đại</v>
      </c>
      <c r="C277" s="21">
        <f>SUM(NhatkyNhap!$C277:C277)-SUM(NhatkyBan!$C277:C277)</f>
        <v>6</v>
      </c>
      <c r="D277" s="21">
        <f>SUM(NhatkyNhap!$C277:D277)-SUM(NhatkyBan!$C277:D277)</f>
        <v>6</v>
      </c>
      <c r="E277" s="21">
        <f>SUM(NhatkyNhap!$C277:E277)-SUM(NhatkyBan!$C277:E277)</f>
        <v>6</v>
      </c>
      <c r="F277" s="21">
        <f>SUM(NhatkyNhap!$C277:F277)-SUM(NhatkyBan!$C277:F277)</f>
        <v>6</v>
      </c>
      <c r="G277" s="21">
        <f>SUM(NhatkyNhap!$C277:G277)-SUM(NhatkyBan!$C277:G277)</f>
        <v>6</v>
      </c>
      <c r="H277" s="21">
        <f>SUM(NhatkyNhap!$C277:H277)-SUM(NhatkyBan!$C277:H277)</f>
        <v>6</v>
      </c>
      <c r="I277" s="21">
        <f>SUM(NhatkyNhap!$C277:I277)-SUM(NhatkyBan!$C277:I277)</f>
        <v>6</v>
      </c>
      <c r="J277" s="21">
        <f>SUM(NhatkyNhap!$C277:J277)-SUM(NhatkyBan!$C277:J277)</f>
        <v>6</v>
      </c>
      <c r="K277" s="21">
        <f>SUM(NhatkyNhap!$C277:K277)-SUM(NhatkyBan!$C277:K277)</f>
        <v>6</v>
      </c>
      <c r="L277" s="21">
        <f>SUM(NhatkyNhap!$C277:L277)-SUM(NhatkyBan!$C277:L277)</f>
        <v>6</v>
      </c>
      <c r="M277" s="21">
        <f>SUM(NhatkyNhap!$C277:M277)-SUM(NhatkyBan!$C277:M277)</f>
        <v>6</v>
      </c>
      <c r="N277" s="21">
        <f>SUM(NhatkyNhap!$C277:N277)-SUM(NhatkyBan!$C277:N277)</f>
        <v>6</v>
      </c>
      <c r="O277" s="21">
        <f>SUM(NhatkyNhap!$C277:O277)-SUM(NhatkyBan!$C277:O277)</f>
        <v>6</v>
      </c>
      <c r="P277" s="21">
        <f>SUM(NhatkyNhap!$C277:P277)-SUM(NhatkyBan!$C277:P277)</f>
        <v>6</v>
      </c>
      <c r="Q277" s="21">
        <f>SUM(NhatkyNhap!$C277:Q277)-SUM(NhatkyBan!$C277:Q277)</f>
        <v>6</v>
      </c>
      <c r="R277" s="21">
        <f>SUM(NhatkyNhap!$C277:R277)-SUM(NhatkyBan!$C277:R277)</f>
        <v>6</v>
      </c>
      <c r="S277" s="21">
        <f>SUM(NhatkyNhap!$C277:S277)-SUM(NhatkyBan!$C277:S277)</f>
        <v>6</v>
      </c>
      <c r="T277" s="21">
        <f>SUM(NhatkyNhap!$C277:T277)-SUM(NhatkyBan!$C277:T277)</f>
        <v>6</v>
      </c>
      <c r="U277" s="21">
        <f>SUM(NhatkyNhap!$C277:U277)-SUM(NhatkyBan!$C277:U277)</f>
        <v>6</v>
      </c>
      <c r="V277" s="21">
        <f>SUM(NhatkyNhap!$C277:V277)-SUM(NhatkyBan!$C277:V277)</f>
        <v>6</v>
      </c>
      <c r="W277" s="21">
        <f>SUM(NhatkyNhap!$C277:W277)-SUM(NhatkyBan!$C277:W277)</f>
        <v>6</v>
      </c>
      <c r="X277" s="21">
        <f>SUM(NhatkyNhap!$C277:X277)-SUM(NhatkyBan!$C277:X277)</f>
        <v>6</v>
      </c>
      <c r="Y277" s="21">
        <f>SUM(NhatkyNhap!$C277:Y277)-SUM(NhatkyBan!$C277:Y277)</f>
        <v>6</v>
      </c>
      <c r="Z277" s="21">
        <f>SUM(NhatkyNhap!$C277:Z277)-SUM(NhatkyBan!$C277:Z277)</f>
        <v>6</v>
      </c>
      <c r="AA277" s="21">
        <f>SUM(NhatkyNhap!$C277:AA277)-SUM(NhatkyBan!$C277:AA277)</f>
        <v>6</v>
      </c>
      <c r="AB277" s="21">
        <f>SUM(NhatkyNhap!$C277:AB277)-SUM(NhatkyBan!$C277:AB277)</f>
        <v>6</v>
      </c>
      <c r="AC277" s="21">
        <f>SUM(NhatkyNhap!$C277:AC277)-SUM(NhatkyBan!$C277:AC277)</f>
        <v>6</v>
      </c>
      <c r="AD277" s="21">
        <f>SUM(NhatkyNhap!$C277:AD277)-SUM(NhatkyBan!$C277:AD277)</f>
        <v>6</v>
      </c>
      <c r="AE277" s="21">
        <f>SUM(NhatkyNhap!$C277:AE277)-SUM(NhatkyBan!$C277:AE277)</f>
        <v>6</v>
      </c>
      <c r="AF277" s="21">
        <f>SUM(NhatkyNhap!$C277:AF277)-SUM(NhatkyBan!$C277:AF277)</f>
        <v>6</v>
      </c>
      <c r="AG277" s="21">
        <f>SUM(NhatkyNhap!$C277:AG277)-SUM(NhatkyBan!$C277:AG277)</f>
        <v>6</v>
      </c>
    </row>
    <row r="278" spans="1:33" ht="12.75" customHeight="1">
      <c r="A278" s="76" t="str">
        <f>DSSP!A277</f>
        <v>TR02</v>
      </c>
      <c r="B278" s="25" t="str">
        <f>DSSP!B277</f>
        <v>Tranh tô màu cỡ nhỏ</v>
      </c>
      <c r="C278" s="21">
        <f>SUM(NhatkyNhap!$C278:C278)-SUM(NhatkyBan!$C278:C278)</f>
        <v>3</v>
      </c>
      <c r="D278" s="21">
        <f>SUM(NhatkyNhap!$C278:D278)-SUM(NhatkyBan!$C278:D278)</f>
        <v>3</v>
      </c>
      <c r="E278" s="21">
        <f>SUM(NhatkyNhap!$C278:E278)-SUM(NhatkyBan!$C278:E278)</f>
        <v>3</v>
      </c>
      <c r="F278" s="21">
        <f>SUM(NhatkyNhap!$C278:F278)-SUM(NhatkyBan!$C278:F278)</f>
        <v>3</v>
      </c>
      <c r="G278" s="21">
        <f>SUM(NhatkyNhap!$C278:G278)-SUM(NhatkyBan!$C278:G278)</f>
        <v>3</v>
      </c>
      <c r="H278" s="21">
        <f>SUM(NhatkyNhap!$C278:H278)-SUM(NhatkyBan!$C278:H278)</f>
        <v>3</v>
      </c>
      <c r="I278" s="21">
        <f>SUM(NhatkyNhap!$C278:I278)-SUM(NhatkyBan!$C278:I278)</f>
        <v>3</v>
      </c>
      <c r="J278" s="21">
        <f>SUM(NhatkyNhap!$C278:J278)-SUM(NhatkyBan!$C278:J278)</f>
        <v>3</v>
      </c>
      <c r="K278" s="21">
        <f>SUM(NhatkyNhap!$C278:K278)-SUM(NhatkyBan!$C278:K278)</f>
        <v>3</v>
      </c>
      <c r="L278" s="21">
        <f>SUM(NhatkyNhap!$C278:L278)-SUM(NhatkyBan!$C278:L278)</f>
        <v>3</v>
      </c>
      <c r="M278" s="21">
        <f>SUM(NhatkyNhap!$C278:M278)-SUM(NhatkyBan!$C278:M278)</f>
        <v>3</v>
      </c>
      <c r="N278" s="21">
        <f>SUM(NhatkyNhap!$C278:N278)-SUM(NhatkyBan!$C278:N278)</f>
        <v>3</v>
      </c>
      <c r="O278" s="21">
        <f>SUM(NhatkyNhap!$C278:O278)-SUM(NhatkyBan!$C278:O278)</f>
        <v>3</v>
      </c>
      <c r="P278" s="21">
        <f>SUM(NhatkyNhap!$C278:P278)-SUM(NhatkyBan!$C278:P278)</f>
        <v>3</v>
      </c>
      <c r="Q278" s="21">
        <f>SUM(NhatkyNhap!$C278:Q278)-SUM(NhatkyBan!$C278:Q278)</f>
        <v>3</v>
      </c>
      <c r="R278" s="21">
        <f>SUM(NhatkyNhap!$C278:R278)-SUM(NhatkyBan!$C278:R278)</f>
        <v>3</v>
      </c>
      <c r="S278" s="21">
        <f>SUM(NhatkyNhap!$C278:S278)-SUM(NhatkyBan!$C278:S278)</f>
        <v>3</v>
      </c>
      <c r="T278" s="21">
        <f>SUM(NhatkyNhap!$C278:T278)-SUM(NhatkyBan!$C278:T278)</f>
        <v>3</v>
      </c>
      <c r="U278" s="21">
        <f>SUM(NhatkyNhap!$C278:U278)-SUM(NhatkyBan!$C278:U278)</f>
        <v>3</v>
      </c>
      <c r="V278" s="21">
        <f>SUM(NhatkyNhap!$C278:V278)-SUM(NhatkyBan!$C278:V278)</f>
        <v>3</v>
      </c>
      <c r="W278" s="21">
        <f>SUM(NhatkyNhap!$C278:W278)-SUM(NhatkyBan!$C278:W278)</f>
        <v>3</v>
      </c>
      <c r="X278" s="21">
        <f>SUM(NhatkyNhap!$C278:X278)-SUM(NhatkyBan!$C278:X278)</f>
        <v>3</v>
      </c>
      <c r="Y278" s="21">
        <f>SUM(NhatkyNhap!$C278:Y278)-SUM(NhatkyBan!$C278:Y278)</f>
        <v>3</v>
      </c>
      <c r="Z278" s="21">
        <f>SUM(NhatkyNhap!$C278:Z278)-SUM(NhatkyBan!$C278:Z278)</f>
        <v>3</v>
      </c>
      <c r="AA278" s="21">
        <f>SUM(NhatkyNhap!$C278:AA278)-SUM(NhatkyBan!$C278:AA278)</f>
        <v>3</v>
      </c>
      <c r="AB278" s="21">
        <f>SUM(NhatkyNhap!$C278:AB278)-SUM(NhatkyBan!$C278:AB278)</f>
        <v>3</v>
      </c>
      <c r="AC278" s="21">
        <f>SUM(NhatkyNhap!$C278:AC278)-SUM(NhatkyBan!$C278:AC278)</f>
        <v>3</v>
      </c>
      <c r="AD278" s="21">
        <f>SUM(NhatkyNhap!$C278:AD278)-SUM(NhatkyBan!$C278:AD278)</f>
        <v>3</v>
      </c>
      <c r="AE278" s="21">
        <f>SUM(NhatkyNhap!$C278:AE278)-SUM(NhatkyBan!$C278:AE278)</f>
        <v>3</v>
      </c>
      <c r="AF278" s="21">
        <f>SUM(NhatkyNhap!$C278:AF278)-SUM(NhatkyBan!$C278:AF278)</f>
        <v>3</v>
      </c>
      <c r="AG278" s="21">
        <f>SUM(NhatkyNhap!$C278:AG278)-SUM(NhatkyBan!$C278:AG278)</f>
        <v>3</v>
      </c>
    </row>
  </sheetData>
  <mergeCells count="1">
    <mergeCell ref="A1:AG1"/>
  </mergeCells>
  <conditionalFormatting sqref="C1:AG1048576">
    <cfRule type="cellIs" dxfId="44" priority="21" operator="lessThan">
      <formula>1</formula>
    </cfRule>
  </conditionalFormatting>
  <pageMargins left="0.7" right="0.7" top="0.75" bottom="0.75" header="0.3" footer="0.3"/>
  <customProperties>
    <customPr name="DVSECTION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"/>
  <sheetViews>
    <sheetView workbookViewId="0">
      <selection activeCell="D6" sqref="D6"/>
    </sheetView>
  </sheetViews>
  <sheetFormatPr defaultColWidth="17.140625" defaultRowHeight="12.75" customHeight="1"/>
  <sheetData>
    <row r="1" spans="1:3" ht="12.75" customHeight="1">
      <c r="A1" t="s">
        <v>143</v>
      </c>
      <c r="B1" t="s">
        <v>144</v>
      </c>
      <c r="C1" t="s">
        <v>145</v>
      </c>
    </row>
  </sheetData>
  <pageMargins left="0.7" right="0.7" top="0.75" bottom="0.75" header="0.3" footer="0.3"/>
  <customProperties>
    <customPr name="DVSECTION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77"/>
  <sheetViews>
    <sheetView tabSelected="1" topLeftCell="A234" zoomScaleNormal="100" workbookViewId="0">
      <selection activeCell="J245" sqref="J245"/>
    </sheetView>
  </sheetViews>
  <sheetFormatPr defaultColWidth="17.140625" defaultRowHeight="12.75" customHeight="1"/>
  <cols>
    <col min="1" max="1" width="9" style="19" customWidth="1"/>
    <col min="2" max="2" width="17.42578125" style="5" customWidth="1"/>
    <col min="3" max="3" width="10" style="5" customWidth="1"/>
    <col min="4" max="4" width="9.42578125" style="5" customWidth="1"/>
    <col min="5" max="5" width="11.28515625" style="5" customWidth="1"/>
    <col min="6" max="6" width="8.85546875" style="5" customWidth="1"/>
    <col min="7" max="7" width="8.140625" style="5" customWidth="1"/>
    <col min="8" max="8" width="9.42578125" style="5" customWidth="1"/>
    <col min="9" max="9" width="15.7109375" style="5" customWidth="1"/>
    <col min="10" max="10" width="16.85546875" style="5" customWidth="1"/>
    <col min="11" max="11" width="12.28515625" style="33" customWidth="1"/>
    <col min="12" max="12" width="11.5703125" style="33" customWidth="1"/>
    <col min="13" max="13" width="8.5703125" style="33" customWidth="1"/>
    <col min="14" max="16384" width="17.140625" style="5"/>
  </cols>
  <sheetData>
    <row r="1" spans="1:13" ht="12.75" customHeight="1">
      <c r="A1" s="36" t="s">
        <v>0</v>
      </c>
      <c r="B1" s="18" t="s">
        <v>1</v>
      </c>
      <c r="C1" s="18" t="s">
        <v>146</v>
      </c>
      <c r="D1" s="18" t="s">
        <v>345</v>
      </c>
      <c r="E1" s="18" t="s">
        <v>463</v>
      </c>
      <c r="F1" s="18" t="s">
        <v>491</v>
      </c>
      <c r="G1" s="28" t="s">
        <v>492</v>
      </c>
      <c r="H1" s="28" t="s">
        <v>497</v>
      </c>
      <c r="I1" s="18" t="s">
        <v>149</v>
      </c>
      <c r="J1" s="34" t="s">
        <v>584</v>
      </c>
      <c r="K1" s="34" t="s">
        <v>513</v>
      </c>
      <c r="L1" s="34" t="s">
        <v>514</v>
      </c>
      <c r="M1" s="34" t="s">
        <v>515</v>
      </c>
    </row>
    <row r="2" spans="1:13" ht="12.75" customHeight="1">
      <c r="A2" s="37" t="s">
        <v>2</v>
      </c>
      <c r="B2" s="25" t="s">
        <v>3</v>
      </c>
      <c r="C2" s="29">
        <v>30000</v>
      </c>
      <c r="D2" s="26">
        <f>IF(H2&lt;&gt;"x",VLOOKUP($A2,NhatkyNhap!A:AH,34,FALSE)-VLOOKUP($A2,NhatkyBan!A:AH,34,FALSE),"N/A")</f>
        <v>22</v>
      </c>
      <c r="E2" s="27" t="s">
        <v>454</v>
      </c>
      <c r="F2" s="27"/>
      <c r="G2" s="29">
        <v>30000</v>
      </c>
      <c r="H2" s="29"/>
      <c r="I2" s="6"/>
      <c r="J2" s="19"/>
      <c r="K2" s="33" t="str">
        <f ca="1">IF(AND(INDEX(Table25[#All],MATCH(A2,Table25[[#All],[Mã SP]],0),DAY(TODAY())+2)=0,INDEX(Table25[#All],MATCH(A2,Table25[[#All],[Mã SP]],0),DAY(TODAY())+1)&gt;0),"x","")</f>
        <v/>
      </c>
      <c r="L2" s="33" t="str">
        <f ca="1">IF(AND(INDEX(Table25[#All],MATCH(A2,Table25[[#All],[Mã SP]],0),DAY(TODAY())+2)&gt;0,INDEX(Table25[#All],MATCH(A2,Table25[[#All],[Mã SP]],0),DAY(TODAY())+1)&lt;=0),"x","")</f>
        <v/>
      </c>
      <c r="M2" s="33" t="str">
        <f>IF(C2-G2&lt;&gt;0,"x","")</f>
        <v/>
      </c>
    </row>
    <row r="3" spans="1:13" ht="12.75" customHeight="1">
      <c r="A3" s="38" t="s">
        <v>4</v>
      </c>
      <c r="B3" s="15" t="s">
        <v>5</v>
      </c>
      <c r="C3" s="30">
        <v>30000</v>
      </c>
      <c r="D3" s="26">
        <f>IF(H3&lt;&gt;"x",VLOOKUP($A3,NhatkyNhap!A:AH,34,FALSE)-VLOOKUP($A3,NhatkyBan!A:AH,34,FALSE),"N/A")</f>
        <v>53</v>
      </c>
      <c r="E3" s="17" t="s">
        <v>454</v>
      </c>
      <c r="F3" s="17"/>
      <c r="G3" s="30">
        <v>30000</v>
      </c>
      <c r="H3" s="30"/>
      <c r="I3" s="6"/>
      <c r="K3" s="33" t="str">
        <f ca="1">IF(AND(INDEX(Table25[#All],MATCH(A3,Table25[[#All],[Mã SP]],0),DAY(TODAY())+2)=0,INDEX(Table25[#All],MATCH(A3,Table25[[#All],[Mã SP]],0),DAY(TODAY())+1)&gt;0),"x","")</f>
        <v/>
      </c>
      <c r="L3" s="33" t="str">
        <f ca="1">IF(AND(INDEX(Table25[#All],MATCH(A3,Table25[[#All],[Mã SP]],0),DAY(TODAY())+2)&gt;0,INDEX(Table25[#All],MATCH(A3,Table25[[#All],[Mã SP]],0),DAY(TODAY())+1)&lt;=0),"x","")</f>
        <v/>
      </c>
      <c r="M3" s="33" t="str">
        <f t="shared" ref="M3:M66" si="0">IF(C3-G3&lt;&gt;0,"x","")</f>
        <v/>
      </c>
    </row>
    <row r="4" spans="1:13" ht="12.75" customHeight="1">
      <c r="A4" s="38" t="s">
        <v>6</v>
      </c>
      <c r="B4" s="15" t="s">
        <v>7</v>
      </c>
      <c r="C4" s="30">
        <v>30000</v>
      </c>
      <c r="D4" s="26">
        <f>IF(H4&lt;&gt;"x",VLOOKUP($A4,NhatkyNhap!A:AH,34,FALSE)-VLOOKUP($A4,NhatkyBan!A:AH,34,FALSE),"N/A")</f>
        <v>34</v>
      </c>
      <c r="E4" s="17" t="s">
        <v>454</v>
      </c>
      <c r="F4" s="17"/>
      <c r="G4" s="30">
        <v>30000</v>
      </c>
      <c r="H4" s="30"/>
      <c r="I4" s="6"/>
      <c r="K4" s="33" t="str">
        <f ca="1">IF(AND(INDEX(Table25[#All],MATCH(A4,Table25[[#All],[Mã SP]],0),DAY(TODAY())+2)=0,INDEX(Table25[#All],MATCH(A4,Table25[[#All],[Mã SP]],0),DAY(TODAY())+1)&gt;0),"x","")</f>
        <v/>
      </c>
      <c r="L4" s="33" t="str">
        <f ca="1">IF(AND(INDEX(Table25[#All],MATCH(A4,Table25[[#All],[Mã SP]],0),DAY(TODAY())+2)&gt;0,INDEX(Table25[#All],MATCH(A4,Table25[[#All],[Mã SP]],0),DAY(TODAY())+1)&lt;=0),"x","")</f>
        <v/>
      </c>
      <c r="M4" s="33" t="str">
        <f t="shared" si="0"/>
        <v/>
      </c>
    </row>
    <row r="5" spans="1:13" ht="12.75" customHeight="1">
      <c r="A5" s="38" t="s">
        <v>582</v>
      </c>
      <c r="B5" s="15" t="s">
        <v>579</v>
      </c>
      <c r="C5" s="30">
        <v>30000</v>
      </c>
      <c r="D5" s="26">
        <f>IF(H5&lt;&gt;"x",VLOOKUP($A5,NhatkyNhap!A:AH,34,FALSE)-VLOOKUP($A5,NhatkyBan!A:AH,34,FALSE),"N/A")</f>
        <v>8</v>
      </c>
      <c r="E5" s="17" t="s">
        <v>454</v>
      </c>
      <c r="F5" s="17"/>
      <c r="G5" s="30">
        <v>30000</v>
      </c>
      <c r="H5" s="30"/>
      <c r="I5" s="6"/>
      <c r="K5" s="33" t="str">
        <f ca="1">IF(AND(INDEX(Table25[#All],MATCH(A5,Table25[[#All],[Mã SP]],0),DAY(TODAY())+2)=0,INDEX(Table25[#All],MATCH(A5,Table25[[#All],[Mã SP]],0),DAY(TODAY())+1)&gt;0),"x","")</f>
        <v/>
      </c>
      <c r="L5" s="33" t="str">
        <f ca="1">IF(AND(INDEX(Table25[#All],MATCH(A5,Table25[[#All],[Mã SP]],0),DAY(TODAY())+2)&gt;0,INDEX(Table25[#All],MATCH(A5,Table25[[#All],[Mã SP]],0),DAY(TODAY())+1)&lt;=0),"x","")</f>
        <v/>
      </c>
      <c r="M5" s="33" t="str">
        <f t="shared" si="0"/>
        <v/>
      </c>
    </row>
    <row r="6" spans="1:13" ht="12.75" customHeight="1">
      <c r="A6" s="38" t="s">
        <v>8</v>
      </c>
      <c r="B6" s="15" t="s">
        <v>9</v>
      </c>
      <c r="C6" s="30">
        <v>30000</v>
      </c>
      <c r="D6" s="26">
        <f>IF(H6&lt;&gt;"x",VLOOKUP($A6,NhatkyNhap!A:AH,34,FALSE)-VLOOKUP($A6,NhatkyBan!A:AH,34,FALSE),"N/A")</f>
        <v>16</v>
      </c>
      <c r="E6" s="17" t="s">
        <v>454</v>
      </c>
      <c r="F6" s="17"/>
      <c r="G6" s="30">
        <v>30000</v>
      </c>
      <c r="H6" s="30"/>
      <c r="I6" s="6"/>
      <c r="K6" s="33" t="str">
        <f ca="1">IF(AND(INDEX(Table25[#All],MATCH(A6,Table25[[#All],[Mã SP]],0),DAY(TODAY())+2)=0,INDEX(Table25[#All],MATCH(A6,Table25[[#All],[Mã SP]],0),DAY(TODAY())+1)&gt;0),"x","")</f>
        <v/>
      </c>
      <c r="L6" s="33" t="str">
        <f ca="1">IF(AND(INDEX(Table25[#All],MATCH(A6,Table25[[#All],[Mã SP]],0),DAY(TODAY())+2)&gt;0,INDEX(Table25[#All],MATCH(A6,Table25[[#All],[Mã SP]],0),DAY(TODAY())+1)&lt;=0),"x","")</f>
        <v/>
      </c>
      <c r="M6" s="33" t="str">
        <f t="shared" si="0"/>
        <v/>
      </c>
    </row>
    <row r="7" spans="1:13" ht="12.75" customHeight="1">
      <c r="A7" s="38" t="s">
        <v>10</v>
      </c>
      <c r="B7" s="15" t="s">
        <v>11</v>
      </c>
      <c r="C7" s="30">
        <v>30000</v>
      </c>
      <c r="D7" s="26">
        <f>IF(H7&lt;&gt;"x",VLOOKUP($A7,NhatkyNhap!A:AH,34,FALSE)-VLOOKUP($A7,NhatkyBan!A:AH,34,FALSE),"N/A")</f>
        <v>12</v>
      </c>
      <c r="E7" s="17" t="s">
        <v>454</v>
      </c>
      <c r="F7" s="17"/>
      <c r="G7" s="30">
        <v>30000</v>
      </c>
      <c r="H7" s="30"/>
      <c r="I7" s="6"/>
      <c r="K7" s="33" t="str">
        <f ca="1">IF(AND(INDEX(Table25[#All],MATCH(A7,Table25[[#All],[Mã SP]],0),DAY(TODAY())+2)=0,INDEX(Table25[#All],MATCH(A7,Table25[[#All],[Mã SP]],0),DAY(TODAY())+1)&gt;0),"x","")</f>
        <v/>
      </c>
      <c r="L7" s="33" t="str">
        <f ca="1">IF(AND(INDEX(Table25[#All],MATCH(A7,Table25[[#All],[Mã SP]],0),DAY(TODAY())+2)&gt;0,INDEX(Table25[#All],MATCH(A7,Table25[[#All],[Mã SP]],0),DAY(TODAY())+1)&lt;=0),"x","")</f>
        <v/>
      </c>
      <c r="M7" s="33" t="str">
        <f t="shared" si="0"/>
        <v/>
      </c>
    </row>
    <row r="8" spans="1:13" ht="12.75" customHeight="1">
      <c r="A8" s="38" t="s">
        <v>12</v>
      </c>
      <c r="B8" s="15" t="s">
        <v>152</v>
      </c>
      <c r="C8" s="30">
        <v>30000</v>
      </c>
      <c r="D8" s="26">
        <f>IF(H8&lt;&gt;"x",VLOOKUP($A8,NhatkyNhap!A:AH,34,FALSE)-VLOOKUP($A8,NhatkyBan!A:AH,34,FALSE),"N/A")</f>
        <v>1</v>
      </c>
      <c r="E8" s="17" t="s">
        <v>454</v>
      </c>
      <c r="F8" s="17"/>
      <c r="G8" s="30">
        <v>30000</v>
      </c>
      <c r="H8" s="30"/>
      <c r="I8" s="6"/>
      <c r="K8" s="33" t="str">
        <f ca="1">IF(AND(INDEX(Table25[#All],MATCH(A8,Table25[[#All],[Mã SP]],0),DAY(TODAY())+2)=0,INDEX(Table25[#All],MATCH(A8,Table25[[#All],[Mã SP]],0),DAY(TODAY())+1)&gt;0),"x","")</f>
        <v/>
      </c>
      <c r="L8" s="33" t="str">
        <f ca="1">IF(AND(INDEX(Table25[#All],MATCH(A8,Table25[[#All],[Mã SP]],0),DAY(TODAY())+2)&gt;0,INDEX(Table25[#All],MATCH(A8,Table25[[#All],[Mã SP]],0),DAY(TODAY())+1)&lt;=0),"x","")</f>
        <v/>
      </c>
      <c r="M8" s="33" t="str">
        <f t="shared" si="0"/>
        <v/>
      </c>
    </row>
    <row r="9" spans="1:13" ht="12.75" customHeight="1">
      <c r="A9" s="38" t="s">
        <v>13</v>
      </c>
      <c r="B9" s="15" t="s">
        <v>14</v>
      </c>
      <c r="C9" s="30">
        <v>30000</v>
      </c>
      <c r="D9" s="26">
        <f>IF(H9&lt;&gt;"x",VLOOKUP($A9,NhatkyNhap!A:AH,34,FALSE)-VLOOKUP($A9,NhatkyBan!A:AH,34,FALSE),"N/A")</f>
        <v>5</v>
      </c>
      <c r="E9" s="17" t="s">
        <v>454</v>
      </c>
      <c r="F9" s="17"/>
      <c r="G9" s="30">
        <v>30000</v>
      </c>
      <c r="H9" s="30"/>
      <c r="I9" s="6"/>
      <c r="K9" s="33" t="str">
        <f ca="1">IF(AND(INDEX(Table25[#All],MATCH(A9,Table25[[#All],[Mã SP]],0),DAY(TODAY())+2)=0,INDEX(Table25[#All],MATCH(A9,Table25[[#All],[Mã SP]],0),DAY(TODAY())+1)&gt;0),"x","")</f>
        <v/>
      </c>
      <c r="L9" s="33" t="str">
        <f ca="1">IF(AND(INDEX(Table25[#All],MATCH(A9,Table25[[#All],[Mã SP]],0),DAY(TODAY())+2)&gt;0,INDEX(Table25[#All],MATCH(A9,Table25[[#All],[Mã SP]],0),DAY(TODAY())+1)&lt;=0),"x","")</f>
        <v/>
      </c>
      <c r="M9" s="33" t="str">
        <f t="shared" si="0"/>
        <v/>
      </c>
    </row>
    <row r="10" spans="1:13" ht="12.75" customHeight="1">
      <c r="A10" s="38" t="s">
        <v>15</v>
      </c>
      <c r="B10" s="15" t="s">
        <v>16</v>
      </c>
      <c r="C10" s="30">
        <v>30000</v>
      </c>
      <c r="D10" s="26">
        <f>IF(H10&lt;&gt;"x",VLOOKUP($A10,NhatkyNhap!A:AH,34,FALSE)-VLOOKUP($A10,NhatkyBan!A:AH,34,FALSE),"N/A")</f>
        <v>34</v>
      </c>
      <c r="E10" s="17" t="s">
        <v>454</v>
      </c>
      <c r="F10" s="17"/>
      <c r="G10" s="30">
        <v>30000</v>
      </c>
      <c r="H10" s="30"/>
      <c r="I10" s="6"/>
      <c r="K10" s="33" t="str">
        <f ca="1">IF(AND(INDEX(Table25[#All],MATCH(A10,Table25[[#All],[Mã SP]],0),DAY(TODAY())+2)=0,INDEX(Table25[#All],MATCH(A10,Table25[[#All],[Mã SP]],0),DAY(TODAY())+1)&gt;0),"x","")</f>
        <v/>
      </c>
      <c r="L10" s="33" t="str">
        <f ca="1">IF(AND(INDEX(Table25[#All],MATCH(A10,Table25[[#All],[Mã SP]],0),DAY(TODAY())+2)&gt;0,INDEX(Table25[#All],MATCH(A10,Table25[[#All],[Mã SP]],0),DAY(TODAY())+1)&lt;=0),"x","")</f>
        <v/>
      </c>
      <c r="M10" s="33" t="str">
        <f t="shared" si="0"/>
        <v/>
      </c>
    </row>
    <row r="11" spans="1:13" ht="12.75" customHeight="1">
      <c r="A11" s="38" t="s">
        <v>17</v>
      </c>
      <c r="B11" s="15" t="s">
        <v>18</v>
      </c>
      <c r="C11" s="30">
        <v>30000</v>
      </c>
      <c r="D11" s="26">
        <f>IF(H11&lt;&gt;"x",VLOOKUP($A11,NhatkyNhap!A:AH,34,FALSE)-VLOOKUP($A11,NhatkyBan!A:AH,34,FALSE),"N/A")</f>
        <v>30</v>
      </c>
      <c r="E11" s="17" t="s">
        <v>454</v>
      </c>
      <c r="F11" s="17"/>
      <c r="G11" s="30">
        <v>30000</v>
      </c>
      <c r="H11" s="30"/>
      <c r="I11" s="6"/>
      <c r="K11" s="33" t="str">
        <f ca="1">IF(AND(INDEX(Table25[#All],MATCH(A11,Table25[[#All],[Mã SP]],0),DAY(TODAY())+2)=0,INDEX(Table25[#All],MATCH(A11,Table25[[#All],[Mã SP]],0),DAY(TODAY())+1)&gt;0),"x","")</f>
        <v/>
      </c>
      <c r="L11" s="33" t="str">
        <f ca="1">IF(AND(INDEX(Table25[#All],MATCH(A11,Table25[[#All],[Mã SP]],0),DAY(TODAY())+2)&gt;0,INDEX(Table25[#All],MATCH(A11,Table25[[#All],[Mã SP]],0),DAY(TODAY())+1)&lt;=0),"x","")</f>
        <v/>
      </c>
      <c r="M11" s="33" t="str">
        <f t="shared" si="0"/>
        <v/>
      </c>
    </row>
    <row r="12" spans="1:13" ht="12.75" customHeight="1">
      <c r="A12" s="38" t="s">
        <v>19</v>
      </c>
      <c r="B12" s="15" t="s">
        <v>20</v>
      </c>
      <c r="C12" s="30">
        <v>30000</v>
      </c>
      <c r="D12" s="26">
        <f>IF(H12&lt;&gt;"x",VLOOKUP($A12,NhatkyNhap!A:AH,34,FALSE)-VLOOKUP($A12,NhatkyBan!A:AH,34,FALSE),"N/A")</f>
        <v>9</v>
      </c>
      <c r="E12" s="17" t="s">
        <v>454</v>
      </c>
      <c r="F12" s="17"/>
      <c r="G12" s="30">
        <v>30000</v>
      </c>
      <c r="H12" s="30"/>
      <c r="I12" s="6"/>
      <c r="K12" s="33" t="str">
        <f ca="1">IF(AND(INDEX(Table25[#All],MATCH(A12,Table25[[#All],[Mã SP]],0),DAY(TODAY())+2)=0,INDEX(Table25[#All],MATCH(A12,Table25[[#All],[Mã SP]],0),DAY(TODAY())+1)&gt;0),"x","")</f>
        <v/>
      </c>
      <c r="L12" s="33" t="str">
        <f ca="1">IF(AND(INDEX(Table25[#All],MATCH(A12,Table25[[#All],[Mã SP]],0),DAY(TODAY())+2)&gt;0,INDEX(Table25[#All],MATCH(A12,Table25[[#All],[Mã SP]],0),DAY(TODAY())+1)&lt;=0),"x","")</f>
        <v/>
      </c>
      <c r="M12" s="33" t="str">
        <f t="shared" si="0"/>
        <v/>
      </c>
    </row>
    <row r="13" spans="1:13" ht="12.75" customHeight="1">
      <c r="A13" s="38" t="s">
        <v>21</v>
      </c>
      <c r="B13" s="15" t="s">
        <v>22</v>
      </c>
      <c r="C13" s="30">
        <v>30000</v>
      </c>
      <c r="D13" s="26">
        <f>IF(H13&lt;&gt;"x",VLOOKUP($A13,NhatkyNhap!A:AH,34,FALSE)-VLOOKUP($A13,NhatkyBan!A:AH,34,FALSE),"N/A")</f>
        <v>45</v>
      </c>
      <c r="E13" s="17" t="s">
        <v>454</v>
      </c>
      <c r="F13" s="17"/>
      <c r="G13" s="30">
        <v>30000</v>
      </c>
      <c r="H13" s="30"/>
      <c r="I13" s="6"/>
      <c r="K13" s="33" t="str">
        <f ca="1">IF(AND(INDEX(Table25[#All],MATCH(A13,Table25[[#All],[Mã SP]],0),DAY(TODAY())+2)=0,INDEX(Table25[#All],MATCH(A13,Table25[[#All],[Mã SP]],0),DAY(TODAY())+1)&gt;0),"x","")</f>
        <v/>
      </c>
      <c r="L13" s="33" t="str">
        <f ca="1">IF(AND(INDEX(Table25[#All],MATCH(A13,Table25[[#All],[Mã SP]],0),DAY(TODAY())+2)&gt;0,INDEX(Table25[#All],MATCH(A13,Table25[[#All],[Mã SP]],0),DAY(TODAY())+1)&lt;=0),"x","")</f>
        <v/>
      </c>
      <c r="M13" s="33" t="str">
        <f t="shared" si="0"/>
        <v/>
      </c>
    </row>
    <row r="14" spans="1:13" ht="12.75" customHeight="1">
      <c r="A14" s="38" t="s">
        <v>23</v>
      </c>
      <c r="B14" s="15" t="s">
        <v>24</v>
      </c>
      <c r="C14" s="30">
        <v>30000</v>
      </c>
      <c r="D14" s="26">
        <f>IF(H14&lt;&gt;"x",VLOOKUP($A14,NhatkyNhap!A:AH,34,FALSE)-VLOOKUP($A14,NhatkyBan!A:AH,34,FALSE),"N/A")</f>
        <v>0</v>
      </c>
      <c r="E14" s="17" t="s">
        <v>454</v>
      </c>
      <c r="F14" s="17"/>
      <c r="G14" s="30">
        <v>30000</v>
      </c>
      <c r="H14" s="30"/>
      <c r="I14" s="6"/>
      <c r="J14" s="5" t="s">
        <v>498</v>
      </c>
      <c r="K14" s="33" t="str">
        <f ca="1">IF(AND(INDEX(Table25[#All],MATCH(A14,Table25[[#All],[Mã SP]],0),DAY(TODAY())+2)=0,INDEX(Table25[#All],MATCH(A14,Table25[[#All],[Mã SP]],0),DAY(TODAY())+1)&gt;0),"x","")</f>
        <v>x</v>
      </c>
      <c r="L14" s="33" t="str">
        <f ca="1">IF(AND(INDEX(Table25[#All],MATCH(A14,Table25[[#All],[Mã SP]],0),DAY(TODAY())+2)&gt;0,INDEX(Table25[#All],MATCH(A14,Table25[[#All],[Mã SP]],0),DAY(TODAY())+1)&lt;=0),"x","")</f>
        <v/>
      </c>
      <c r="M14" s="33" t="str">
        <f t="shared" si="0"/>
        <v/>
      </c>
    </row>
    <row r="15" spans="1:13" ht="12.75" customHeight="1">
      <c r="A15" s="38" t="s">
        <v>25</v>
      </c>
      <c r="B15" s="15" t="s">
        <v>26</v>
      </c>
      <c r="C15" s="30">
        <v>30000</v>
      </c>
      <c r="D15" s="26">
        <f>IF(H15&lt;&gt;"x",VLOOKUP($A15,NhatkyNhap!A:AH,34,FALSE)-VLOOKUP($A15,NhatkyBan!A:AH,34,FALSE),"N/A")</f>
        <v>58</v>
      </c>
      <c r="E15" s="17" t="s">
        <v>454</v>
      </c>
      <c r="F15" s="17"/>
      <c r="G15" s="30">
        <v>30000</v>
      </c>
      <c r="H15" s="30"/>
      <c r="I15" s="6"/>
      <c r="K15" s="33" t="str">
        <f ca="1">IF(AND(INDEX(Table25[#All],MATCH(A15,Table25[[#All],[Mã SP]],0),DAY(TODAY())+2)=0,INDEX(Table25[#All],MATCH(A15,Table25[[#All],[Mã SP]],0),DAY(TODAY())+1)&gt;0),"x","")</f>
        <v/>
      </c>
      <c r="L15" s="33" t="str">
        <f ca="1">IF(AND(INDEX(Table25[#All],MATCH(A15,Table25[[#All],[Mã SP]],0),DAY(TODAY())+2)&gt;0,INDEX(Table25[#All],MATCH(A15,Table25[[#All],[Mã SP]],0),DAY(TODAY())+1)&lt;=0),"x","")</f>
        <v/>
      </c>
      <c r="M15" s="33" t="str">
        <f t="shared" si="0"/>
        <v/>
      </c>
    </row>
    <row r="16" spans="1:13" ht="12.75" customHeight="1">
      <c r="A16" s="38" t="s">
        <v>27</v>
      </c>
      <c r="B16" s="15" t="s">
        <v>28</v>
      </c>
      <c r="C16" s="30">
        <v>30000</v>
      </c>
      <c r="D16" s="26">
        <f>IF(H16&lt;&gt;"x",VLOOKUP($A16,NhatkyNhap!A:AH,34,FALSE)-VLOOKUP($A16,NhatkyBan!A:AH,34,FALSE),"N/A")</f>
        <v>47</v>
      </c>
      <c r="E16" s="17" t="s">
        <v>454</v>
      </c>
      <c r="F16" s="17"/>
      <c r="G16" s="30">
        <v>30000</v>
      </c>
      <c r="H16" s="30"/>
      <c r="I16" s="6"/>
      <c r="K16" s="33" t="str">
        <f ca="1">IF(AND(INDEX(Table25[#All],MATCH(A16,Table25[[#All],[Mã SP]],0),DAY(TODAY())+2)=0,INDEX(Table25[#All],MATCH(A16,Table25[[#All],[Mã SP]],0),DAY(TODAY())+1)&gt;0),"x","")</f>
        <v/>
      </c>
      <c r="L16" s="33" t="str">
        <f ca="1">IF(AND(INDEX(Table25[#All],MATCH(A16,Table25[[#All],[Mã SP]],0),DAY(TODAY())+2)&gt;0,INDEX(Table25[#All],MATCH(A16,Table25[[#All],[Mã SP]],0),DAY(TODAY())+1)&lt;=0),"x","")</f>
        <v/>
      </c>
      <c r="M16" s="33" t="str">
        <f t="shared" si="0"/>
        <v/>
      </c>
    </row>
    <row r="17" spans="1:13" ht="12.75" customHeight="1">
      <c r="A17" s="38" t="s">
        <v>29</v>
      </c>
      <c r="B17" s="15" t="s">
        <v>30</v>
      </c>
      <c r="C17" s="30">
        <v>30000</v>
      </c>
      <c r="D17" s="26">
        <f>IF(H17&lt;&gt;"x",VLOOKUP($A17,NhatkyNhap!A:AH,34,FALSE)-VLOOKUP($A17,NhatkyBan!A:AH,34,FALSE),"N/A")</f>
        <v>18</v>
      </c>
      <c r="E17" s="17" t="s">
        <v>454</v>
      </c>
      <c r="F17" s="17"/>
      <c r="G17" s="30">
        <v>30000</v>
      </c>
      <c r="H17" s="30"/>
      <c r="I17" s="6"/>
      <c r="K17" s="33" t="str">
        <f ca="1">IF(AND(INDEX(Table25[#All],MATCH(A17,Table25[[#All],[Mã SP]],0),DAY(TODAY())+2)=0,INDEX(Table25[#All],MATCH(A17,Table25[[#All],[Mã SP]],0),DAY(TODAY())+1)&gt;0),"x","")</f>
        <v/>
      </c>
      <c r="L17" s="33" t="str">
        <f ca="1">IF(AND(INDEX(Table25[#All],MATCH(A17,Table25[[#All],[Mã SP]],0),DAY(TODAY())+2)&gt;0,INDEX(Table25[#All],MATCH(A17,Table25[[#All],[Mã SP]],0),DAY(TODAY())+1)&lt;=0),"x","")</f>
        <v/>
      </c>
      <c r="M17" s="33" t="str">
        <f t="shared" si="0"/>
        <v/>
      </c>
    </row>
    <row r="18" spans="1:13" ht="12.75" customHeight="1">
      <c r="A18" s="38" t="s">
        <v>31</v>
      </c>
      <c r="B18" s="15" t="s">
        <v>32</v>
      </c>
      <c r="C18" s="30">
        <v>30000</v>
      </c>
      <c r="D18" s="26">
        <f>IF(H18&lt;&gt;"x",VLOOKUP($A18,NhatkyNhap!A:AH,34,FALSE)-VLOOKUP($A18,NhatkyBan!A:AH,34,FALSE),"N/A")</f>
        <v>32</v>
      </c>
      <c r="E18" s="17" t="s">
        <v>454</v>
      </c>
      <c r="F18" s="17"/>
      <c r="G18" s="30">
        <v>30000</v>
      </c>
      <c r="H18" s="30"/>
      <c r="I18" s="6"/>
      <c r="K18" s="33" t="str">
        <f ca="1">IF(AND(INDEX(Table25[#All],MATCH(A18,Table25[[#All],[Mã SP]],0),DAY(TODAY())+2)=0,INDEX(Table25[#All],MATCH(A18,Table25[[#All],[Mã SP]],0),DAY(TODAY())+1)&gt;0),"x","")</f>
        <v/>
      </c>
      <c r="L18" s="33" t="str">
        <f ca="1">IF(AND(INDEX(Table25[#All],MATCH(A18,Table25[[#All],[Mã SP]],0),DAY(TODAY())+2)&gt;0,INDEX(Table25[#All],MATCH(A18,Table25[[#All],[Mã SP]],0),DAY(TODAY())+1)&lt;=0),"x","")</f>
        <v/>
      </c>
      <c r="M18" s="33" t="str">
        <f t="shared" si="0"/>
        <v/>
      </c>
    </row>
    <row r="19" spans="1:13" ht="12.75" customHeight="1">
      <c r="A19" s="38" t="s">
        <v>33</v>
      </c>
      <c r="B19" s="15" t="s">
        <v>34</v>
      </c>
      <c r="C19" s="30">
        <v>30000</v>
      </c>
      <c r="D19" s="26">
        <f>IF(H19&lt;&gt;"x",VLOOKUP($A19,NhatkyNhap!A:AH,34,FALSE)-VLOOKUP($A19,NhatkyBan!A:AH,34,FALSE),"N/A")</f>
        <v>54</v>
      </c>
      <c r="E19" s="17" t="s">
        <v>454</v>
      </c>
      <c r="F19" s="17"/>
      <c r="G19" s="30">
        <v>30000</v>
      </c>
      <c r="H19" s="30"/>
      <c r="I19" s="6"/>
      <c r="K19" s="33" t="str">
        <f ca="1">IF(AND(INDEX(Table25[#All],MATCH(A19,Table25[[#All],[Mã SP]],0),DAY(TODAY())+2)=0,INDEX(Table25[#All],MATCH(A19,Table25[[#All],[Mã SP]],0),DAY(TODAY())+1)&gt;0),"x","")</f>
        <v/>
      </c>
      <c r="L19" s="33" t="str">
        <f ca="1">IF(AND(INDEX(Table25[#All],MATCH(A19,Table25[[#All],[Mã SP]],0),DAY(TODAY())+2)&gt;0,INDEX(Table25[#All],MATCH(A19,Table25[[#All],[Mã SP]],0),DAY(TODAY())+1)&lt;=0),"x","")</f>
        <v/>
      </c>
      <c r="M19" s="33" t="str">
        <f t="shared" si="0"/>
        <v/>
      </c>
    </row>
    <row r="20" spans="1:13" ht="12.75" customHeight="1">
      <c r="A20" s="38" t="s">
        <v>35</v>
      </c>
      <c r="B20" s="15" t="s">
        <v>36</v>
      </c>
      <c r="C20" s="30">
        <v>30000</v>
      </c>
      <c r="D20" s="26">
        <f>IF(H20&lt;&gt;"x",VLOOKUP($A20,NhatkyNhap!A:AH,34,FALSE)-VLOOKUP($A20,NhatkyBan!A:AH,34,FALSE),"N/A")</f>
        <v>30</v>
      </c>
      <c r="E20" s="17" t="s">
        <v>454</v>
      </c>
      <c r="F20" s="17"/>
      <c r="G20" s="30">
        <v>30000</v>
      </c>
      <c r="H20" s="30"/>
      <c r="I20" s="6"/>
      <c r="K20" s="33" t="str">
        <f ca="1">IF(AND(INDEX(Table25[#All],MATCH(A20,Table25[[#All],[Mã SP]],0),DAY(TODAY())+2)=0,INDEX(Table25[#All],MATCH(A20,Table25[[#All],[Mã SP]],0),DAY(TODAY())+1)&gt;0),"x","")</f>
        <v/>
      </c>
      <c r="L20" s="33" t="str">
        <f ca="1">IF(AND(INDEX(Table25[#All],MATCH(A20,Table25[[#All],[Mã SP]],0),DAY(TODAY())+2)&gt;0,INDEX(Table25[#All],MATCH(A20,Table25[[#All],[Mã SP]],0),DAY(TODAY())+1)&lt;=0),"x","")</f>
        <v/>
      </c>
      <c r="M20" s="33" t="str">
        <f t="shared" si="0"/>
        <v/>
      </c>
    </row>
    <row r="21" spans="1:13" ht="12.75" customHeight="1">
      <c r="A21" s="38" t="s">
        <v>37</v>
      </c>
      <c r="B21" s="15" t="s">
        <v>38</v>
      </c>
      <c r="C21" s="30">
        <v>30000</v>
      </c>
      <c r="D21" s="26">
        <f>IF(H21&lt;&gt;"x",VLOOKUP($A21,NhatkyNhap!A:AH,34,FALSE)-VLOOKUP($A21,NhatkyBan!A:AH,34,FALSE),"N/A")</f>
        <v>21</v>
      </c>
      <c r="E21" s="17" t="s">
        <v>454</v>
      </c>
      <c r="F21" s="17"/>
      <c r="G21" s="30">
        <v>30000</v>
      </c>
      <c r="H21" s="30"/>
      <c r="I21" s="6"/>
      <c r="K21" s="33" t="str">
        <f ca="1">IF(AND(INDEX(Table25[#All],MATCH(A21,Table25[[#All],[Mã SP]],0),DAY(TODAY())+2)=0,INDEX(Table25[#All],MATCH(A21,Table25[[#All],[Mã SP]],0),DAY(TODAY())+1)&gt;0),"x","")</f>
        <v/>
      </c>
      <c r="L21" s="33" t="str">
        <f ca="1">IF(AND(INDEX(Table25[#All],MATCH(A21,Table25[[#All],[Mã SP]],0),DAY(TODAY())+2)&gt;0,INDEX(Table25[#All],MATCH(A21,Table25[[#All],[Mã SP]],0),DAY(TODAY())+1)&lt;=0),"x","")</f>
        <v/>
      </c>
      <c r="M21" s="33" t="str">
        <f t="shared" si="0"/>
        <v/>
      </c>
    </row>
    <row r="22" spans="1:13" ht="12.75" customHeight="1">
      <c r="A22" s="38" t="s">
        <v>39</v>
      </c>
      <c r="B22" s="15" t="s">
        <v>40</v>
      </c>
      <c r="C22" s="30">
        <v>30000</v>
      </c>
      <c r="D22" s="26">
        <f>IF(H22&lt;&gt;"x",VLOOKUP($A22,NhatkyNhap!A:AH,34,FALSE)-VLOOKUP($A22,NhatkyBan!A:AH,34,FALSE),"N/A")</f>
        <v>36</v>
      </c>
      <c r="E22" s="17" t="s">
        <v>454</v>
      </c>
      <c r="F22" s="17"/>
      <c r="G22" s="30">
        <v>30000</v>
      </c>
      <c r="H22" s="30"/>
      <c r="I22" s="6"/>
      <c r="K22" s="33" t="str">
        <f ca="1">IF(AND(INDEX(Table25[#All],MATCH(A22,Table25[[#All],[Mã SP]],0),DAY(TODAY())+2)=0,INDEX(Table25[#All],MATCH(A22,Table25[[#All],[Mã SP]],0),DAY(TODAY())+1)&gt;0),"x","")</f>
        <v/>
      </c>
      <c r="L22" s="33" t="str">
        <f ca="1">IF(AND(INDEX(Table25[#All],MATCH(A22,Table25[[#All],[Mã SP]],0),DAY(TODAY())+2)&gt;0,INDEX(Table25[#All],MATCH(A22,Table25[[#All],[Mã SP]],0),DAY(TODAY())+1)&lt;=0),"x","")</f>
        <v/>
      </c>
      <c r="M22" s="33" t="str">
        <f t="shared" si="0"/>
        <v/>
      </c>
    </row>
    <row r="23" spans="1:13" ht="12.75" customHeight="1">
      <c r="A23" s="38" t="s">
        <v>41</v>
      </c>
      <c r="B23" s="15" t="s">
        <v>42</v>
      </c>
      <c r="C23" s="30">
        <v>30000</v>
      </c>
      <c r="D23" s="26">
        <f>IF(H23&lt;&gt;"x",VLOOKUP($A23,NhatkyNhap!A:AH,34,FALSE)-VLOOKUP($A23,NhatkyBan!A:AH,34,FALSE),"N/A")</f>
        <v>-1</v>
      </c>
      <c r="E23" s="17" t="s">
        <v>454</v>
      </c>
      <c r="F23" s="17"/>
      <c r="G23" s="30">
        <v>30000</v>
      </c>
      <c r="H23" s="30"/>
      <c r="I23" s="6"/>
      <c r="J23" s="5" t="s">
        <v>498</v>
      </c>
      <c r="K23" s="33" t="str">
        <f ca="1">IF(AND(INDEX(Table25[#All],MATCH(A23,Table25[[#All],[Mã SP]],0),DAY(TODAY())+2)=0,INDEX(Table25[#All],MATCH(A23,Table25[[#All],[Mã SP]],0),DAY(TODAY())+1)&gt;0),"x","")</f>
        <v/>
      </c>
      <c r="L23" s="33" t="str">
        <f ca="1">IF(AND(INDEX(Table25[#All],MATCH(A23,Table25[[#All],[Mã SP]],0),DAY(TODAY())+2)&gt;0,INDEX(Table25[#All],MATCH(A23,Table25[[#All],[Mã SP]],0),DAY(TODAY())+1)&lt;=0),"x","")</f>
        <v/>
      </c>
      <c r="M23" s="33" t="str">
        <f t="shared" si="0"/>
        <v/>
      </c>
    </row>
    <row r="24" spans="1:13" ht="12.75" customHeight="1">
      <c r="A24" s="38" t="s">
        <v>43</v>
      </c>
      <c r="B24" s="15" t="s">
        <v>44</v>
      </c>
      <c r="C24" s="30">
        <v>30000</v>
      </c>
      <c r="D24" s="26">
        <f>IF(H24&lt;&gt;"x",VLOOKUP($A24,NhatkyNhap!A:AH,34,FALSE)-VLOOKUP($A24,NhatkyBan!A:AH,34,FALSE),"N/A")</f>
        <v>34</v>
      </c>
      <c r="E24" s="17" t="s">
        <v>454</v>
      </c>
      <c r="F24" s="17"/>
      <c r="G24" s="30">
        <v>30000</v>
      </c>
      <c r="H24" s="30"/>
      <c r="I24" s="6"/>
      <c r="K24" s="33" t="str">
        <f ca="1">IF(AND(INDEX(Table25[#All],MATCH(A24,Table25[[#All],[Mã SP]],0),DAY(TODAY())+2)=0,INDEX(Table25[#All],MATCH(A24,Table25[[#All],[Mã SP]],0),DAY(TODAY())+1)&gt;0),"x","")</f>
        <v/>
      </c>
      <c r="L24" s="33" t="str">
        <f ca="1">IF(AND(INDEX(Table25[#All],MATCH(A24,Table25[[#All],[Mã SP]],0),DAY(TODAY())+2)&gt;0,INDEX(Table25[#All],MATCH(A24,Table25[[#All],[Mã SP]],0),DAY(TODAY())+1)&lt;=0),"x","")</f>
        <v/>
      </c>
      <c r="M24" s="33" t="str">
        <f t="shared" si="0"/>
        <v/>
      </c>
    </row>
    <row r="25" spans="1:13" ht="12.75" customHeight="1">
      <c r="A25" s="38" t="s">
        <v>45</v>
      </c>
      <c r="B25" s="15" t="s">
        <v>46</v>
      </c>
      <c r="C25" s="30">
        <v>30000</v>
      </c>
      <c r="D25" s="26">
        <f>IF(H25&lt;&gt;"x",VLOOKUP($A25,NhatkyNhap!A:AH,34,FALSE)-VLOOKUP($A25,NhatkyBan!A:AH,34,FALSE),"N/A")</f>
        <v>0</v>
      </c>
      <c r="E25" s="17" t="s">
        <v>454</v>
      </c>
      <c r="F25" s="17"/>
      <c r="G25" s="30">
        <v>30000</v>
      </c>
      <c r="H25" s="30"/>
      <c r="I25" s="6"/>
      <c r="J25" s="5" t="s">
        <v>498</v>
      </c>
      <c r="K25" s="33" t="str">
        <f ca="1">IF(AND(INDEX(Table25[#All],MATCH(A25,Table25[[#All],[Mã SP]],0),DAY(TODAY())+2)=0,INDEX(Table25[#All],MATCH(A25,Table25[[#All],[Mã SP]],0),DAY(TODAY())+1)&gt;0),"x","")</f>
        <v>x</v>
      </c>
      <c r="L25" s="33" t="str">
        <f ca="1">IF(AND(INDEX(Table25[#All],MATCH(A25,Table25[[#All],[Mã SP]],0),DAY(TODAY())+2)&gt;0,INDEX(Table25[#All],MATCH(A25,Table25[[#All],[Mã SP]],0),DAY(TODAY())+1)&lt;=0),"x","")</f>
        <v/>
      </c>
      <c r="M25" s="33" t="str">
        <f t="shared" si="0"/>
        <v/>
      </c>
    </row>
    <row r="26" spans="1:13" ht="12.75" customHeight="1">
      <c r="A26" s="38" t="s">
        <v>47</v>
      </c>
      <c r="B26" s="15" t="s">
        <v>48</v>
      </c>
      <c r="C26" s="30">
        <v>30000</v>
      </c>
      <c r="D26" s="26">
        <f>IF(H26&lt;&gt;"x",VLOOKUP($A26,NhatkyNhap!A:AH,34,FALSE)-VLOOKUP($A26,NhatkyBan!A:AH,34,FALSE),"N/A")</f>
        <v>20</v>
      </c>
      <c r="E26" s="17" t="s">
        <v>454</v>
      </c>
      <c r="F26" s="17"/>
      <c r="G26" s="30">
        <v>30000</v>
      </c>
      <c r="H26" s="30"/>
      <c r="I26" s="6"/>
      <c r="K26" s="33" t="str">
        <f ca="1">IF(AND(INDEX(Table25[#All],MATCH(A26,Table25[[#All],[Mã SP]],0),DAY(TODAY())+2)=0,INDEX(Table25[#All],MATCH(A26,Table25[[#All],[Mã SP]],0),DAY(TODAY())+1)&gt;0),"x","")</f>
        <v/>
      </c>
      <c r="L26" s="33" t="str">
        <f ca="1">IF(AND(INDEX(Table25[#All],MATCH(A26,Table25[[#All],[Mã SP]],0),DAY(TODAY())+2)&gt;0,INDEX(Table25[#All],MATCH(A26,Table25[[#All],[Mã SP]],0),DAY(TODAY())+1)&lt;=0),"x","")</f>
        <v/>
      </c>
      <c r="M26" s="33" t="str">
        <f t="shared" si="0"/>
        <v/>
      </c>
    </row>
    <row r="27" spans="1:13" ht="12.75" customHeight="1">
      <c r="A27" s="38" t="s">
        <v>49</v>
      </c>
      <c r="B27" s="15" t="s">
        <v>50</v>
      </c>
      <c r="C27" s="30">
        <v>30000</v>
      </c>
      <c r="D27" s="26">
        <f>IF(H27&lt;&gt;"x",VLOOKUP($A27,NhatkyNhap!A:AH,34,FALSE)-VLOOKUP($A27,NhatkyBan!A:AH,34,FALSE),"N/A")</f>
        <v>25</v>
      </c>
      <c r="E27" s="17" t="s">
        <v>454</v>
      </c>
      <c r="F27" s="17"/>
      <c r="G27" s="30">
        <v>30000</v>
      </c>
      <c r="H27" s="30"/>
      <c r="I27" s="6"/>
      <c r="K27" s="33" t="str">
        <f ca="1">IF(AND(INDEX(Table25[#All],MATCH(A27,Table25[[#All],[Mã SP]],0),DAY(TODAY())+2)=0,INDEX(Table25[#All],MATCH(A27,Table25[[#All],[Mã SP]],0),DAY(TODAY())+1)&gt;0),"x","")</f>
        <v/>
      </c>
      <c r="L27" s="33" t="str">
        <f ca="1">IF(AND(INDEX(Table25[#All],MATCH(A27,Table25[[#All],[Mã SP]],0),DAY(TODAY())+2)&gt;0,INDEX(Table25[#All],MATCH(A27,Table25[[#All],[Mã SP]],0),DAY(TODAY())+1)&lt;=0),"x","")</f>
        <v/>
      </c>
      <c r="M27" s="33" t="str">
        <f t="shared" si="0"/>
        <v/>
      </c>
    </row>
    <row r="28" spans="1:13" ht="12.75" customHeight="1">
      <c r="A28" s="38" t="s">
        <v>51</v>
      </c>
      <c r="B28" s="15" t="s">
        <v>52</v>
      </c>
      <c r="C28" s="30">
        <v>30000</v>
      </c>
      <c r="D28" s="26">
        <f>IF(H28&lt;&gt;"x",VLOOKUP($A28,NhatkyNhap!A:AH,34,FALSE)-VLOOKUP($A28,NhatkyBan!A:AH,34,FALSE),"N/A")</f>
        <v>34</v>
      </c>
      <c r="E28" s="17" t="s">
        <v>454</v>
      </c>
      <c r="F28" s="17"/>
      <c r="G28" s="30">
        <v>30000</v>
      </c>
      <c r="H28" s="30"/>
      <c r="I28" s="6"/>
      <c r="K28" s="33" t="str">
        <f ca="1">IF(AND(INDEX(Table25[#All],MATCH(A28,Table25[[#All],[Mã SP]],0),DAY(TODAY())+2)=0,INDEX(Table25[#All],MATCH(A28,Table25[[#All],[Mã SP]],0),DAY(TODAY())+1)&gt;0),"x","")</f>
        <v/>
      </c>
      <c r="L28" s="33" t="str">
        <f ca="1">IF(AND(INDEX(Table25[#All],MATCH(A28,Table25[[#All],[Mã SP]],0),DAY(TODAY())+2)&gt;0,INDEX(Table25[#All],MATCH(A28,Table25[[#All],[Mã SP]],0),DAY(TODAY())+1)&lt;=0),"x","")</f>
        <v/>
      </c>
      <c r="M28" s="33" t="str">
        <f t="shared" si="0"/>
        <v/>
      </c>
    </row>
    <row r="29" spans="1:13" ht="12.75" customHeight="1">
      <c r="A29" s="38" t="s">
        <v>578</v>
      </c>
      <c r="B29" s="15" t="s">
        <v>57</v>
      </c>
      <c r="C29" s="30">
        <v>30000</v>
      </c>
      <c r="D29" s="26">
        <f>IF(H29&lt;&gt;"x",VLOOKUP($A29,NhatkyNhap!A:AH,34,FALSE)-VLOOKUP($A29,NhatkyBan!A:AH,34,FALSE),"N/A")</f>
        <v>22</v>
      </c>
      <c r="E29" s="17" t="s">
        <v>454</v>
      </c>
      <c r="F29" s="17"/>
      <c r="G29" s="30">
        <v>30000</v>
      </c>
      <c r="H29" s="30"/>
      <c r="I29" s="6"/>
      <c r="K29" s="33" t="str">
        <f ca="1">IF(AND(INDEX(Table25[#All],MATCH(A29,Table25[[#All],[Mã SP]],0),DAY(TODAY())+2)=0,INDEX(Table25[#All],MATCH(A29,Table25[[#All],[Mã SP]],0),DAY(TODAY())+1)&gt;0),"x","")</f>
        <v/>
      </c>
      <c r="L29" s="33" t="str">
        <f ca="1">IF(AND(INDEX(Table25[#All],MATCH(A29,Table25[[#All],[Mã SP]],0),DAY(TODAY())+2)&gt;0,INDEX(Table25[#All],MATCH(A29,Table25[[#All],[Mã SP]],0),DAY(TODAY())+1)&lt;=0),"x","")</f>
        <v/>
      </c>
      <c r="M29" s="33" t="str">
        <f t="shared" si="0"/>
        <v/>
      </c>
    </row>
    <row r="30" spans="1:13" ht="12.75" customHeight="1">
      <c r="A30" s="38" t="s">
        <v>53</v>
      </c>
      <c r="B30" s="15" t="s">
        <v>54</v>
      </c>
      <c r="C30" s="30">
        <v>30000</v>
      </c>
      <c r="D30" s="26">
        <f>IF(H30&lt;&gt;"x",VLOOKUP($A30,NhatkyNhap!A:AH,34,FALSE)-VLOOKUP($A30,NhatkyBan!A:AH,34,FALSE),"N/A")</f>
        <v>32</v>
      </c>
      <c r="E30" s="17" t="s">
        <v>454</v>
      </c>
      <c r="F30" s="17"/>
      <c r="G30" s="30">
        <v>30000</v>
      </c>
      <c r="H30" s="30"/>
      <c r="I30" s="6"/>
      <c r="K30" s="33" t="str">
        <f ca="1">IF(AND(INDEX(Table25[#All],MATCH(A30,Table25[[#All],[Mã SP]],0),DAY(TODAY())+2)=0,INDEX(Table25[#All],MATCH(A30,Table25[[#All],[Mã SP]],0),DAY(TODAY())+1)&gt;0),"x","")</f>
        <v/>
      </c>
      <c r="L30" s="33" t="str">
        <f ca="1">IF(AND(INDEX(Table25[#All],MATCH(A30,Table25[[#All],[Mã SP]],0),DAY(TODAY())+2)&gt;0,INDEX(Table25[#All],MATCH(A30,Table25[[#All],[Mã SP]],0),DAY(TODAY())+1)&lt;=0),"x","")</f>
        <v/>
      </c>
      <c r="M30" s="33" t="str">
        <f t="shared" si="0"/>
        <v/>
      </c>
    </row>
    <row r="31" spans="1:13" ht="12.75" customHeight="1">
      <c r="A31" s="38" t="s">
        <v>55</v>
      </c>
      <c r="B31" s="15" t="s">
        <v>56</v>
      </c>
      <c r="C31" s="30">
        <v>30000</v>
      </c>
      <c r="D31" s="26">
        <f>IF(H31&lt;&gt;"x",VLOOKUP($A31,NhatkyNhap!A:AH,34,FALSE)-VLOOKUP($A31,NhatkyBan!A:AH,34,FALSE),"N/A")</f>
        <v>60</v>
      </c>
      <c r="E31" s="17" t="s">
        <v>454</v>
      </c>
      <c r="F31" s="17"/>
      <c r="G31" s="30">
        <v>30000</v>
      </c>
      <c r="H31" s="30"/>
      <c r="I31" s="6"/>
      <c r="K31" s="33" t="str">
        <f ca="1">IF(AND(INDEX(Table25[#All],MATCH(A31,Table25[[#All],[Mã SP]],0),DAY(TODAY())+2)=0,INDEX(Table25[#All],MATCH(A31,Table25[[#All],[Mã SP]],0),DAY(TODAY())+1)&gt;0),"x","")</f>
        <v/>
      </c>
      <c r="L31" s="33" t="str">
        <f ca="1">IF(AND(INDEX(Table25[#All],MATCH(A31,Table25[[#All],[Mã SP]],0),DAY(TODAY())+2)&gt;0,INDEX(Table25[#All],MATCH(A31,Table25[[#All],[Mã SP]],0),DAY(TODAY())+1)&lt;=0),"x","")</f>
        <v/>
      </c>
      <c r="M31" s="33" t="str">
        <f t="shared" si="0"/>
        <v/>
      </c>
    </row>
    <row r="32" spans="1:13" ht="12.75" customHeight="1">
      <c r="A32" s="38" t="s">
        <v>153</v>
      </c>
      <c r="B32" s="15" t="s">
        <v>57</v>
      </c>
      <c r="C32" s="30">
        <v>30000</v>
      </c>
      <c r="D32" s="26">
        <f>IF(H32&lt;&gt;"x",VLOOKUP($A32,NhatkyNhap!A:AH,34,FALSE)-VLOOKUP($A32,NhatkyBan!A:AH,34,FALSE),"N/A")</f>
        <v>0</v>
      </c>
      <c r="E32" s="17" t="s">
        <v>454</v>
      </c>
      <c r="F32" s="17"/>
      <c r="G32" s="30">
        <v>30000</v>
      </c>
      <c r="H32" s="30"/>
      <c r="I32" s="6"/>
      <c r="J32" s="5" t="s">
        <v>498</v>
      </c>
      <c r="K32" s="33" t="str">
        <f ca="1">IF(AND(INDEX(Table25[#All],MATCH(A32,Table25[[#All],[Mã SP]],0),DAY(TODAY())+2)=0,INDEX(Table25[#All],MATCH(A32,Table25[[#All],[Mã SP]],0),DAY(TODAY())+1)&gt;0),"x","")</f>
        <v>x</v>
      </c>
      <c r="L32" s="33" t="str">
        <f ca="1">IF(AND(INDEX(Table25[#All],MATCH(A32,Table25[[#All],[Mã SP]],0),DAY(TODAY())+2)&gt;0,INDEX(Table25[#All],MATCH(A32,Table25[[#All],[Mã SP]],0),DAY(TODAY())+1)&lt;=0),"x","")</f>
        <v/>
      </c>
      <c r="M32" s="33" t="str">
        <f t="shared" si="0"/>
        <v/>
      </c>
    </row>
    <row r="33" spans="1:13" ht="12.75" customHeight="1">
      <c r="A33" s="38" t="s">
        <v>58</v>
      </c>
      <c r="B33" s="15" t="s">
        <v>59</v>
      </c>
      <c r="C33" s="30">
        <v>30000</v>
      </c>
      <c r="D33" s="26">
        <f>IF(H33&lt;&gt;"x",VLOOKUP($A33,NhatkyNhap!A:AH,34,FALSE)-VLOOKUP($A33,NhatkyBan!A:AH,34,FALSE),"N/A")</f>
        <v>0</v>
      </c>
      <c r="E33" s="17" t="s">
        <v>454</v>
      </c>
      <c r="F33" s="17"/>
      <c r="G33" s="30">
        <v>30000</v>
      </c>
      <c r="H33" s="30"/>
      <c r="I33" s="6"/>
      <c r="J33" s="5" t="s">
        <v>498</v>
      </c>
      <c r="K33" s="33" t="str">
        <f ca="1">IF(AND(INDEX(Table25[#All],MATCH(A33,Table25[[#All],[Mã SP]],0),DAY(TODAY())+2)=0,INDEX(Table25[#All],MATCH(A33,Table25[[#All],[Mã SP]],0),DAY(TODAY())+1)&gt;0),"x","")</f>
        <v>x</v>
      </c>
      <c r="L33" s="33" t="str">
        <f ca="1">IF(AND(INDEX(Table25[#All],MATCH(A33,Table25[[#All],[Mã SP]],0),DAY(TODAY())+2)&gt;0,INDEX(Table25[#All],MATCH(A33,Table25[[#All],[Mã SP]],0),DAY(TODAY())+1)&lt;=0),"x","")</f>
        <v/>
      </c>
      <c r="M33" s="33" t="str">
        <f t="shared" si="0"/>
        <v/>
      </c>
    </row>
    <row r="34" spans="1:13" ht="12.75" customHeight="1">
      <c r="A34" s="38" t="s">
        <v>60</v>
      </c>
      <c r="B34" s="15" t="s">
        <v>61</v>
      </c>
      <c r="C34" s="30">
        <v>30000</v>
      </c>
      <c r="D34" s="26">
        <f>IF(H34&lt;&gt;"x",VLOOKUP($A34,NhatkyNhap!A:AH,34,FALSE)-VLOOKUP($A34,NhatkyBan!A:AH,34,FALSE),"N/A")</f>
        <v>0</v>
      </c>
      <c r="E34" s="17" t="s">
        <v>454</v>
      </c>
      <c r="F34" s="17"/>
      <c r="G34" s="30">
        <v>30000</v>
      </c>
      <c r="H34" s="30"/>
      <c r="I34" s="6"/>
      <c r="J34" s="5" t="s">
        <v>498</v>
      </c>
      <c r="K34" s="33" t="str">
        <f ca="1">IF(AND(INDEX(Table25[#All],MATCH(A34,Table25[[#All],[Mã SP]],0),DAY(TODAY())+2)=0,INDEX(Table25[#All],MATCH(A34,Table25[[#All],[Mã SP]],0),DAY(TODAY())+1)&gt;0),"x","")</f>
        <v>x</v>
      </c>
      <c r="L34" s="33" t="str">
        <f ca="1">IF(AND(INDEX(Table25[#All],MATCH(A34,Table25[[#All],[Mã SP]],0),DAY(TODAY())+2)&gt;0,INDEX(Table25[#All],MATCH(A34,Table25[[#All],[Mã SP]],0),DAY(TODAY())+1)&lt;=0),"x","")</f>
        <v/>
      </c>
      <c r="M34" s="33" t="str">
        <f t="shared" si="0"/>
        <v/>
      </c>
    </row>
    <row r="35" spans="1:13" ht="12.75" customHeight="1">
      <c r="A35" s="38" t="s">
        <v>62</v>
      </c>
      <c r="B35" s="15" t="s">
        <v>63</v>
      </c>
      <c r="C35" s="30">
        <v>30000</v>
      </c>
      <c r="D35" s="26">
        <f>IF(H35&lt;&gt;"x",VLOOKUP($A35,NhatkyNhap!A:AH,34,FALSE)-VLOOKUP($A35,NhatkyBan!A:AH,34,FALSE),"N/A")</f>
        <v>32</v>
      </c>
      <c r="E35" s="17" t="s">
        <v>454</v>
      </c>
      <c r="F35" s="17"/>
      <c r="G35" s="30">
        <v>30000</v>
      </c>
      <c r="H35" s="30"/>
      <c r="I35" s="6"/>
      <c r="K35" s="33" t="str">
        <f ca="1">IF(AND(INDEX(Table25[#All],MATCH(A35,Table25[[#All],[Mã SP]],0),DAY(TODAY())+2)=0,INDEX(Table25[#All],MATCH(A35,Table25[[#All],[Mã SP]],0),DAY(TODAY())+1)&gt;0),"x","")</f>
        <v/>
      </c>
      <c r="L35" s="33" t="str">
        <f ca="1">IF(AND(INDEX(Table25[#All],MATCH(A35,Table25[[#All],[Mã SP]],0),DAY(TODAY())+2)&gt;0,INDEX(Table25[#All],MATCH(A35,Table25[[#All],[Mã SP]],0),DAY(TODAY())+1)&lt;=0),"x","")</f>
        <v/>
      </c>
      <c r="M35" s="33" t="str">
        <f t="shared" si="0"/>
        <v/>
      </c>
    </row>
    <row r="36" spans="1:13" ht="12.75" customHeight="1">
      <c r="A36" s="38" t="s">
        <v>64</v>
      </c>
      <c r="B36" s="15" t="s">
        <v>65</v>
      </c>
      <c r="C36" s="30">
        <v>30000</v>
      </c>
      <c r="D36" s="26">
        <f>IF(H36&lt;&gt;"x",VLOOKUP($A36,NhatkyNhap!A:AH,34,FALSE)-VLOOKUP($A36,NhatkyBan!A:AH,34,FALSE),"N/A")</f>
        <v>0</v>
      </c>
      <c r="E36" s="17" t="s">
        <v>454</v>
      </c>
      <c r="F36" s="17"/>
      <c r="G36" s="30">
        <v>30000</v>
      </c>
      <c r="H36" s="30"/>
      <c r="I36" s="6"/>
      <c r="J36" s="5" t="s">
        <v>498</v>
      </c>
      <c r="K36" s="33" t="str">
        <f ca="1">IF(AND(INDEX(Table25[#All],MATCH(A36,Table25[[#All],[Mã SP]],0),DAY(TODAY())+2)=0,INDEX(Table25[#All],MATCH(A36,Table25[[#All],[Mã SP]],0),DAY(TODAY())+1)&gt;0),"x","")</f>
        <v>x</v>
      </c>
      <c r="L36" s="33" t="str">
        <f ca="1">IF(AND(INDEX(Table25[#All],MATCH(A36,Table25[[#All],[Mã SP]],0),DAY(TODAY())+2)&gt;0,INDEX(Table25[#All],MATCH(A36,Table25[[#All],[Mã SP]],0),DAY(TODAY())+1)&lt;=0),"x","")</f>
        <v/>
      </c>
      <c r="M36" s="33" t="str">
        <f t="shared" si="0"/>
        <v/>
      </c>
    </row>
    <row r="37" spans="1:13" ht="12.75" customHeight="1">
      <c r="A37" s="38" t="s">
        <v>66</v>
      </c>
      <c r="B37" s="15" t="s">
        <v>67</v>
      </c>
      <c r="C37" s="30">
        <v>30000</v>
      </c>
      <c r="D37" s="26">
        <f>IF(H37&lt;&gt;"x",VLOOKUP($A37,NhatkyNhap!A:AH,34,FALSE)-VLOOKUP($A37,NhatkyBan!A:AH,34,FALSE),"N/A")</f>
        <v>18</v>
      </c>
      <c r="E37" s="17" t="s">
        <v>454</v>
      </c>
      <c r="F37" s="17"/>
      <c r="G37" s="30">
        <v>30000</v>
      </c>
      <c r="H37" s="30"/>
      <c r="I37" s="6"/>
      <c r="K37" s="33" t="str">
        <f ca="1">IF(AND(INDEX(Table25[#All],MATCH(A37,Table25[[#All],[Mã SP]],0),DAY(TODAY())+2)=0,INDEX(Table25[#All],MATCH(A37,Table25[[#All],[Mã SP]],0),DAY(TODAY())+1)&gt;0),"x","")</f>
        <v/>
      </c>
      <c r="L37" s="33" t="str">
        <f ca="1">IF(AND(INDEX(Table25[#All],MATCH(A37,Table25[[#All],[Mã SP]],0),DAY(TODAY())+2)&gt;0,INDEX(Table25[#All],MATCH(A37,Table25[[#All],[Mã SP]],0),DAY(TODAY())+1)&lt;=0),"x","")</f>
        <v/>
      </c>
      <c r="M37" s="33" t="str">
        <f t="shared" si="0"/>
        <v/>
      </c>
    </row>
    <row r="38" spans="1:13" ht="12.75" customHeight="1">
      <c r="A38" s="38" t="s">
        <v>68</v>
      </c>
      <c r="B38" s="15" t="s">
        <v>69</v>
      </c>
      <c r="C38" s="30">
        <v>30000</v>
      </c>
      <c r="D38" s="26">
        <f>IF(H38&lt;&gt;"x",VLOOKUP($A38,NhatkyNhap!A:AH,34,FALSE)-VLOOKUP($A38,NhatkyBan!A:AH,34,FALSE),"N/A")</f>
        <v>0</v>
      </c>
      <c r="E38" s="17" t="s">
        <v>454</v>
      </c>
      <c r="F38" s="17"/>
      <c r="G38" s="30">
        <v>30000</v>
      </c>
      <c r="H38" s="30"/>
      <c r="I38" s="6"/>
      <c r="J38" s="5" t="s">
        <v>498</v>
      </c>
      <c r="K38" s="33" t="str">
        <f ca="1">IF(AND(INDEX(Table25[#All],MATCH(A38,Table25[[#All],[Mã SP]],0),DAY(TODAY())+2)=0,INDEX(Table25[#All],MATCH(A38,Table25[[#All],[Mã SP]],0),DAY(TODAY())+1)&gt;0),"x","")</f>
        <v>x</v>
      </c>
      <c r="L38" s="33" t="str">
        <f ca="1">IF(AND(INDEX(Table25[#All],MATCH(A38,Table25[[#All],[Mã SP]],0),DAY(TODAY())+2)&gt;0,INDEX(Table25[#All],MATCH(A38,Table25[[#All],[Mã SP]],0),DAY(TODAY())+1)&lt;=0),"x","")</f>
        <v/>
      </c>
      <c r="M38" s="33" t="str">
        <f t="shared" si="0"/>
        <v/>
      </c>
    </row>
    <row r="39" spans="1:13" ht="12.75" customHeight="1">
      <c r="A39" s="38" t="s">
        <v>70</v>
      </c>
      <c r="B39" s="15" t="s">
        <v>71</v>
      </c>
      <c r="C39" s="30">
        <v>30000</v>
      </c>
      <c r="D39" s="26">
        <f>IF(H39&lt;&gt;"x",VLOOKUP($A39,NhatkyNhap!A:AH,34,FALSE)-VLOOKUP($A39,NhatkyBan!A:AH,34,FALSE),"N/A")</f>
        <v>0</v>
      </c>
      <c r="E39" s="17" t="s">
        <v>454</v>
      </c>
      <c r="F39" s="17"/>
      <c r="G39" s="30">
        <v>30000</v>
      </c>
      <c r="H39" s="30"/>
      <c r="I39" s="6"/>
      <c r="J39" s="5" t="s">
        <v>498</v>
      </c>
      <c r="K39" s="33" t="str">
        <f ca="1">IF(AND(INDEX(Table25[#All],MATCH(A39,Table25[[#All],[Mã SP]],0),DAY(TODAY())+2)=0,INDEX(Table25[#All],MATCH(A39,Table25[[#All],[Mã SP]],0),DAY(TODAY())+1)&gt;0),"x","")</f>
        <v>x</v>
      </c>
      <c r="L39" s="33" t="str">
        <f ca="1">IF(AND(INDEX(Table25[#All],MATCH(A39,Table25[[#All],[Mã SP]],0),DAY(TODAY())+2)&gt;0,INDEX(Table25[#All],MATCH(A39,Table25[[#All],[Mã SP]],0),DAY(TODAY())+1)&lt;=0),"x","")</f>
        <v/>
      </c>
      <c r="M39" s="33" t="str">
        <f t="shared" si="0"/>
        <v/>
      </c>
    </row>
    <row r="40" spans="1:13" ht="12.75" customHeight="1">
      <c r="A40" s="38" t="s">
        <v>72</v>
      </c>
      <c r="B40" s="15" t="s">
        <v>73</v>
      </c>
      <c r="C40" s="30">
        <v>30000</v>
      </c>
      <c r="D40" s="26">
        <f>IF(H40&lt;&gt;"x",VLOOKUP($A40,NhatkyNhap!A:AH,34,FALSE)-VLOOKUP($A40,NhatkyBan!A:AH,34,FALSE),"N/A")</f>
        <v>0</v>
      </c>
      <c r="E40" s="17" t="s">
        <v>454</v>
      </c>
      <c r="F40" s="17"/>
      <c r="G40" s="30">
        <v>30000</v>
      </c>
      <c r="H40" s="30"/>
      <c r="I40" s="6"/>
      <c r="J40" s="5" t="s">
        <v>498</v>
      </c>
      <c r="K40" s="33" t="str">
        <f ca="1">IF(AND(INDEX(Table25[#All],MATCH(A40,Table25[[#All],[Mã SP]],0),DAY(TODAY())+2)=0,INDEX(Table25[#All],MATCH(A40,Table25[[#All],[Mã SP]],0),DAY(TODAY())+1)&gt;0),"x","")</f>
        <v>x</v>
      </c>
      <c r="L40" s="33" t="str">
        <f ca="1">IF(AND(INDEX(Table25[#All],MATCH(A40,Table25[[#All],[Mã SP]],0),DAY(TODAY())+2)&gt;0,INDEX(Table25[#All],MATCH(A40,Table25[[#All],[Mã SP]],0),DAY(TODAY())+1)&lt;=0),"x","")</f>
        <v/>
      </c>
      <c r="M40" s="33" t="str">
        <f t="shared" si="0"/>
        <v/>
      </c>
    </row>
    <row r="41" spans="1:13" ht="12.75" customHeight="1">
      <c r="A41" s="38" t="s">
        <v>75</v>
      </c>
      <c r="B41" s="15" t="s">
        <v>7</v>
      </c>
      <c r="C41" s="30">
        <v>30000</v>
      </c>
      <c r="D41" s="26">
        <f>IF(H41&lt;&gt;"x",VLOOKUP($A41,NhatkyNhap!A:AH,34,FALSE)-VLOOKUP($A41,NhatkyBan!A:AH,34,FALSE),"N/A")</f>
        <v>0</v>
      </c>
      <c r="E41" s="17" t="s">
        <v>454</v>
      </c>
      <c r="F41" s="17"/>
      <c r="G41" s="30">
        <v>30000</v>
      </c>
      <c r="H41" s="30"/>
      <c r="I41" s="6"/>
      <c r="J41" s="5" t="s">
        <v>498</v>
      </c>
      <c r="K41" s="33" t="str">
        <f ca="1">IF(AND(INDEX(Table25[#All],MATCH(A41,Table25[[#All],[Mã SP]],0),DAY(TODAY())+2)=0,INDEX(Table25[#All],MATCH(A41,Table25[[#All],[Mã SP]],0),DAY(TODAY())+1)&gt;0),"x","")</f>
        <v>x</v>
      </c>
      <c r="L41" s="33" t="str">
        <f ca="1">IF(AND(INDEX(Table25[#All],MATCH(A41,Table25[[#All],[Mã SP]],0),DAY(TODAY())+2)&gt;0,INDEX(Table25[#All],MATCH(A41,Table25[[#All],[Mã SP]],0),DAY(TODAY())+1)&lt;=0),"x","")</f>
        <v/>
      </c>
      <c r="M41" s="33" t="str">
        <f t="shared" si="0"/>
        <v/>
      </c>
    </row>
    <row r="42" spans="1:13" ht="12.75" customHeight="1">
      <c r="A42" s="38" t="s">
        <v>74</v>
      </c>
      <c r="B42" s="15" t="s">
        <v>154</v>
      </c>
      <c r="C42" s="30">
        <v>30000</v>
      </c>
      <c r="D42" s="26">
        <f>IF(H42&lt;&gt;"x",VLOOKUP($A42,NhatkyNhap!A:AH,34,FALSE)-VLOOKUP($A42,NhatkyBan!A:AH,34,FALSE),"N/A")</f>
        <v>35</v>
      </c>
      <c r="E42" s="17" t="s">
        <v>454</v>
      </c>
      <c r="F42" s="17"/>
      <c r="G42" s="30">
        <v>30000</v>
      </c>
      <c r="H42" s="30"/>
      <c r="I42" s="6"/>
      <c r="K42" s="33" t="str">
        <f ca="1">IF(AND(INDEX(Table25[#All],MATCH(A42,Table25[[#All],[Mã SP]],0),DAY(TODAY())+2)=0,INDEX(Table25[#All],MATCH(A42,Table25[[#All],[Mã SP]],0),DAY(TODAY())+1)&gt;0),"x","")</f>
        <v/>
      </c>
      <c r="L42" s="33" t="str">
        <f ca="1">IF(AND(INDEX(Table25[#All],MATCH(A42,Table25[[#All],[Mã SP]],0),DAY(TODAY())+2)&gt;0,INDEX(Table25[#All],MATCH(A42,Table25[[#All],[Mã SP]],0),DAY(TODAY())+1)&lt;=0),"x","")</f>
        <v/>
      </c>
      <c r="M42" s="33" t="str">
        <f t="shared" si="0"/>
        <v/>
      </c>
    </row>
    <row r="43" spans="1:13" ht="12.75" customHeight="1">
      <c r="A43" s="38" t="s">
        <v>76</v>
      </c>
      <c r="B43" s="15" t="s">
        <v>28</v>
      </c>
      <c r="C43" s="30">
        <v>30000</v>
      </c>
      <c r="D43" s="26">
        <f>IF(H43&lt;&gt;"x",VLOOKUP($A43,NhatkyNhap!A:AH,34,FALSE)-VLOOKUP($A43,NhatkyBan!A:AH,34,FALSE),"N/A")</f>
        <v>9</v>
      </c>
      <c r="E43" s="17" t="s">
        <v>454</v>
      </c>
      <c r="F43" s="17"/>
      <c r="G43" s="30">
        <v>30000</v>
      </c>
      <c r="H43" s="30"/>
      <c r="I43" s="6"/>
      <c r="K43" s="33" t="str">
        <f ca="1">IF(AND(INDEX(Table25[#All],MATCH(A43,Table25[[#All],[Mã SP]],0),DAY(TODAY())+2)=0,INDEX(Table25[#All],MATCH(A43,Table25[[#All],[Mã SP]],0),DAY(TODAY())+1)&gt;0),"x","")</f>
        <v/>
      </c>
      <c r="L43" s="33" t="str">
        <f ca="1">IF(AND(INDEX(Table25[#All],MATCH(A43,Table25[[#All],[Mã SP]],0),DAY(TODAY())+2)&gt;0,INDEX(Table25[#All],MATCH(A43,Table25[[#All],[Mã SP]],0),DAY(TODAY())+1)&lt;=0),"x","")</f>
        <v/>
      </c>
      <c r="M43" s="33" t="str">
        <f t="shared" si="0"/>
        <v/>
      </c>
    </row>
    <row r="44" spans="1:13" ht="12.75" customHeight="1">
      <c r="A44" s="38" t="s">
        <v>77</v>
      </c>
      <c r="B44" s="15" t="s">
        <v>78</v>
      </c>
      <c r="C44" s="30">
        <v>30000</v>
      </c>
      <c r="D44" s="26">
        <f>IF(H44&lt;&gt;"x",VLOOKUP($A44,NhatkyNhap!A:AH,34,FALSE)-VLOOKUP($A44,NhatkyBan!A:AH,34,FALSE),"N/A")</f>
        <v>32</v>
      </c>
      <c r="E44" s="17" t="s">
        <v>454</v>
      </c>
      <c r="F44" s="17"/>
      <c r="G44" s="30">
        <v>30000</v>
      </c>
      <c r="H44" s="30"/>
      <c r="I44" s="6"/>
      <c r="K44" s="33" t="str">
        <f ca="1">IF(AND(INDEX(Table25[#All],MATCH(A44,Table25[[#All],[Mã SP]],0),DAY(TODAY())+2)=0,INDEX(Table25[#All],MATCH(A44,Table25[[#All],[Mã SP]],0),DAY(TODAY())+1)&gt;0),"x","")</f>
        <v/>
      </c>
      <c r="L44" s="33" t="str">
        <f ca="1">IF(AND(INDEX(Table25[#All],MATCH(A44,Table25[[#All],[Mã SP]],0),DAY(TODAY())+2)&gt;0,INDEX(Table25[#All],MATCH(A44,Table25[[#All],[Mã SP]],0),DAY(TODAY())+1)&lt;=0),"x","")</f>
        <v/>
      </c>
      <c r="M44" s="33" t="str">
        <f t="shared" si="0"/>
        <v/>
      </c>
    </row>
    <row r="45" spans="1:13" ht="12.75" customHeight="1">
      <c r="A45" s="38" t="s">
        <v>79</v>
      </c>
      <c r="B45" s="15" t="s">
        <v>22</v>
      </c>
      <c r="C45" s="30">
        <v>30000</v>
      </c>
      <c r="D45" s="26">
        <f>IF(H45&lt;&gt;"x",VLOOKUP($A45,NhatkyNhap!A:AH,34,FALSE)-VLOOKUP($A45,NhatkyBan!A:AH,34,FALSE),"N/A")</f>
        <v>28</v>
      </c>
      <c r="E45" s="17" t="s">
        <v>454</v>
      </c>
      <c r="F45" s="17"/>
      <c r="G45" s="30">
        <v>30000</v>
      </c>
      <c r="H45" s="30"/>
      <c r="I45" s="6"/>
      <c r="K45" s="33" t="str">
        <f ca="1">IF(AND(INDEX(Table25[#All],MATCH(A45,Table25[[#All],[Mã SP]],0),DAY(TODAY())+2)=0,INDEX(Table25[#All],MATCH(A45,Table25[[#All],[Mã SP]],0),DAY(TODAY())+1)&gt;0),"x","")</f>
        <v/>
      </c>
      <c r="L45" s="33" t="str">
        <f ca="1">IF(AND(INDEX(Table25[#All],MATCH(A45,Table25[[#All],[Mã SP]],0),DAY(TODAY())+2)&gt;0,INDEX(Table25[#All],MATCH(A45,Table25[[#All],[Mã SP]],0),DAY(TODAY())+1)&lt;=0),"x","")</f>
        <v/>
      </c>
      <c r="M45" s="33" t="str">
        <f t="shared" si="0"/>
        <v/>
      </c>
    </row>
    <row r="46" spans="1:13" ht="12.75" customHeight="1">
      <c r="A46" s="38" t="s">
        <v>80</v>
      </c>
      <c r="B46" s="15" t="s">
        <v>42</v>
      </c>
      <c r="C46" s="30">
        <v>30000</v>
      </c>
      <c r="D46" s="26">
        <f>IF(H46&lt;&gt;"x",VLOOKUP($A46,NhatkyNhap!A:AH,34,FALSE)-VLOOKUP($A46,NhatkyBan!A:AH,34,FALSE),"N/A")</f>
        <v>0</v>
      </c>
      <c r="E46" s="17" t="s">
        <v>454</v>
      </c>
      <c r="F46" s="17"/>
      <c r="G46" s="30">
        <v>30000</v>
      </c>
      <c r="H46" s="30"/>
      <c r="I46" s="6"/>
      <c r="J46" s="5" t="s">
        <v>498</v>
      </c>
      <c r="K46" s="33" t="str">
        <f ca="1">IF(AND(INDEX(Table25[#All],MATCH(A46,Table25[[#All],[Mã SP]],0),DAY(TODAY())+2)=0,INDEX(Table25[#All],MATCH(A46,Table25[[#All],[Mã SP]],0),DAY(TODAY())+1)&gt;0),"x","")</f>
        <v>x</v>
      </c>
      <c r="L46" s="33" t="str">
        <f ca="1">IF(AND(INDEX(Table25[#All],MATCH(A46,Table25[[#All],[Mã SP]],0),DAY(TODAY())+2)&gt;0,INDEX(Table25[#All],MATCH(A46,Table25[[#All],[Mã SP]],0),DAY(TODAY())+1)&lt;=0),"x","")</f>
        <v/>
      </c>
      <c r="M46" s="33" t="str">
        <f t="shared" si="0"/>
        <v/>
      </c>
    </row>
    <row r="47" spans="1:13" ht="12.75" customHeight="1">
      <c r="A47" s="38" t="s">
        <v>81</v>
      </c>
      <c r="B47" s="15" t="s">
        <v>82</v>
      </c>
      <c r="C47" s="30">
        <v>30000</v>
      </c>
      <c r="D47" s="26">
        <f>IF(H47&lt;&gt;"x",VLOOKUP($A47,NhatkyNhap!A:AH,34,FALSE)-VLOOKUP($A47,NhatkyBan!A:AH,34,FALSE),"N/A")</f>
        <v>0</v>
      </c>
      <c r="E47" s="17" t="s">
        <v>454</v>
      </c>
      <c r="F47" s="17"/>
      <c r="G47" s="30">
        <v>30000</v>
      </c>
      <c r="H47" s="30"/>
      <c r="I47" s="6"/>
      <c r="J47" s="5" t="s">
        <v>498</v>
      </c>
      <c r="K47" s="33" t="str">
        <f ca="1">IF(AND(INDEX(Table25[#All],MATCH(A47,Table25[[#All],[Mã SP]],0),DAY(TODAY())+2)=0,INDEX(Table25[#All],MATCH(A47,Table25[[#All],[Mã SP]],0),DAY(TODAY())+1)&gt;0),"x","")</f>
        <v>x</v>
      </c>
      <c r="L47" s="33" t="str">
        <f ca="1">IF(AND(INDEX(Table25[#All],MATCH(A47,Table25[[#All],[Mã SP]],0),DAY(TODAY())+2)&gt;0,INDEX(Table25[#All],MATCH(A47,Table25[[#All],[Mã SP]],0),DAY(TODAY())+1)&lt;=0),"x","")</f>
        <v/>
      </c>
      <c r="M47" s="33" t="str">
        <f t="shared" si="0"/>
        <v/>
      </c>
    </row>
    <row r="48" spans="1:13" ht="12.75" customHeight="1">
      <c r="A48" s="38" t="s">
        <v>83</v>
      </c>
      <c r="B48" s="15" t="s">
        <v>84</v>
      </c>
      <c r="C48" s="30">
        <v>30000</v>
      </c>
      <c r="D48" s="26">
        <f>IF(H48&lt;&gt;"x",VLOOKUP($A48,NhatkyNhap!A:AH,34,FALSE)-VLOOKUP($A48,NhatkyBan!A:AH,34,FALSE),"N/A")</f>
        <v>30</v>
      </c>
      <c r="E48" s="17" t="s">
        <v>454</v>
      </c>
      <c r="F48" s="17"/>
      <c r="G48" s="30">
        <v>30000</v>
      </c>
      <c r="H48" s="30"/>
      <c r="I48" s="6"/>
      <c r="K48" s="33" t="str">
        <f ca="1">IF(AND(INDEX(Table25[#All],MATCH(A48,Table25[[#All],[Mã SP]],0),DAY(TODAY())+2)=0,INDEX(Table25[#All],MATCH(A48,Table25[[#All],[Mã SP]],0),DAY(TODAY())+1)&gt;0),"x","")</f>
        <v/>
      </c>
      <c r="L48" s="33" t="str">
        <f ca="1">IF(AND(INDEX(Table25[#All],MATCH(A48,Table25[[#All],[Mã SP]],0),DAY(TODAY())+2)&gt;0,INDEX(Table25[#All],MATCH(A48,Table25[[#All],[Mã SP]],0),DAY(TODAY())+1)&lt;=0),"x","")</f>
        <v/>
      </c>
      <c r="M48" s="33" t="str">
        <f t="shared" si="0"/>
        <v/>
      </c>
    </row>
    <row r="49" spans="1:13" ht="12.75" customHeight="1">
      <c r="A49" s="38" t="s">
        <v>85</v>
      </c>
      <c r="B49" s="15" t="s">
        <v>86</v>
      </c>
      <c r="C49" s="30">
        <v>30000</v>
      </c>
      <c r="D49" s="26">
        <f>IF(H49&lt;&gt;"x",VLOOKUP($A49,NhatkyNhap!A:AH,34,FALSE)-VLOOKUP($A49,NhatkyBan!A:AH,34,FALSE),"N/A")</f>
        <v>18</v>
      </c>
      <c r="E49" s="17" t="s">
        <v>454</v>
      </c>
      <c r="F49" s="17"/>
      <c r="G49" s="30">
        <v>30000</v>
      </c>
      <c r="H49" s="30"/>
      <c r="I49" s="6"/>
      <c r="K49" s="33" t="str">
        <f ca="1">IF(AND(INDEX(Table25[#All],MATCH(A49,Table25[[#All],[Mã SP]],0),DAY(TODAY())+2)=0,INDEX(Table25[#All],MATCH(A49,Table25[[#All],[Mã SP]],0),DAY(TODAY())+1)&gt;0),"x","")</f>
        <v/>
      </c>
      <c r="L49" s="33" t="str">
        <f ca="1">IF(AND(INDEX(Table25[#All],MATCH(A49,Table25[[#All],[Mã SP]],0),DAY(TODAY())+2)&gt;0,INDEX(Table25[#All],MATCH(A49,Table25[[#All],[Mã SP]],0),DAY(TODAY())+1)&lt;=0),"x","")</f>
        <v/>
      </c>
      <c r="M49" s="33" t="str">
        <f t="shared" si="0"/>
        <v/>
      </c>
    </row>
    <row r="50" spans="1:13" ht="12.75" customHeight="1">
      <c r="A50" s="38" t="s">
        <v>87</v>
      </c>
      <c r="B50" s="15" t="s">
        <v>88</v>
      </c>
      <c r="C50" s="30">
        <v>30000</v>
      </c>
      <c r="D50" s="26">
        <f>IF(H50&lt;&gt;"x",VLOOKUP($A50,NhatkyNhap!A:AH,34,FALSE)-VLOOKUP($A50,NhatkyBan!A:AH,34,FALSE),"N/A")</f>
        <v>0</v>
      </c>
      <c r="E50" s="17" t="s">
        <v>454</v>
      </c>
      <c r="F50" s="17"/>
      <c r="G50" s="30">
        <v>30000</v>
      </c>
      <c r="H50" s="30"/>
      <c r="I50" s="6"/>
      <c r="J50" s="5" t="s">
        <v>498</v>
      </c>
      <c r="K50" s="33" t="str">
        <f ca="1">IF(AND(INDEX(Table25[#All],MATCH(A50,Table25[[#All],[Mã SP]],0),DAY(TODAY())+2)=0,INDEX(Table25[#All],MATCH(A50,Table25[[#All],[Mã SP]],0),DAY(TODAY())+1)&gt;0),"x","")</f>
        <v>x</v>
      </c>
      <c r="L50" s="33" t="str">
        <f ca="1">IF(AND(INDEX(Table25[#All],MATCH(A50,Table25[[#All],[Mã SP]],0),DAY(TODAY())+2)&gt;0,INDEX(Table25[#All],MATCH(A50,Table25[[#All],[Mã SP]],0),DAY(TODAY())+1)&lt;=0),"x","")</f>
        <v/>
      </c>
      <c r="M50" s="33" t="str">
        <f t="shared" si="0"/>
        <v/>
      </c>
    </row>
    <row r="51" spans="1:13" ht="12.75" customHeight="1">
      <c r="A51" s="38" t="s">
        <v>89</v>
      </c>
      <c r="B51" s="15" t="s">
        <v>90</v>
      </c>
      <c r="C51" s="30">
        <v>30000</v>
      </c>
      <c r="D51" s="26">
        <f>IF(H51&lt;&gt;"x",VLOOKUP($A51,NhatkyNhap!A:AH,34,FALSE)-VLOOKUP($A51,NhatkyBan!A:AH,34,FALSE),"N/A")</f>
        <v>0</v>
      </c>
      <c r="E51" s="17" t="s">
        <v>454</v>
      </c>
      <c r="F51" s="17"/>
      <c r="G51" s="30">
        <v>30000</v>
      </c>
      <c r="H51" s="30"/>
      <c r="I51" s="6"/>
      <c r="J51" s="5" t="s">
        <v>498</v>
      </c>
      <c r="K51" s="33" t="str">
        <f ca="1">IF(AND(INDEX(Table25[#All],MATCH(A51,Table25[[#All],[Mã SP]],0),DAY(TODAY())+2)=0,INDEX(Table25[#All],MATCH(A51,Table25[[#All],[Mã SP]],0),DAY(TODAY())+1)&gt;0),"x","")</f>
        <v>x</v>
      </c>
      <c r="L51" s="33" t="str">
        <f ca="1">IF(AND(INDEX(Table25[#All],MATCH(A51,Table25[[#All],[Mã SP]],0),DAY(TODAY())+2)&gt;0,INDEX(Table25[#All],MATCH(A51,Table25[[#All],[Mã SP]],0),DAY(TODAY())+1)&lt;=0),"x","")</f>
        <v/>
      </c>
      <c r="M51" s="33" t="str">
        <f t="shared" si="0"/>
        <v/>
      </c>
    </row>
    <row r="52" spans="1:13" ht="12.75" customHeight="1">
      <c r="A52" s="38" t="s">
        <v>91</v>
      </c>
      <c r="B52" s="15" t="s">
        <v>32</v>
      </c>
      <c r="C52" s="30">
        <v>30000</v>
      </c>
      <c r="D52" s="26">
        <f>IF(H52&lt;&gt;"x",VLOOKUP($A52,NhatkyNhap!A:AH,34,FALSE)-VLOOKUP($A52,NhatkyBan!A:AH,34,FALSE),"N/A")</f>
        <v>23</v>
      </c>
      <c r="E52" s="17" t="s">
        <v>454</v>
      </c>
      <c r="F52" s="17"/>
      <c r="G52" s="30">
        <v>30000</v>
      </c>
      <c r="H52" s="30"/>
      <c r="I52" s="6"/>
      <c r="K52" s="33" t="str">
        <f ca="1">IF(AND(INDEX(Table25[#All],MATCH(A52,Table25[[#All],[Mã SP]],0),DAY(TODAY())+2)=0,INDEX(Table25[#All],MATCH(A52,Table25[[#All],[Mã SP]],0),DAY(TODAY())+1)&gt;0),"x","")</f>
        <v/>
      </c>
      <c r="L52" s="33" t="str">
        <f ca="1">IF(AND(INDEX(Table25[#All],MATCH(A52,Table25[[#All],[Mã SP]],0),DAY(TODAY())+2)&gt;0,INDEX(Table25[#All],MATCH(A52,Table25[[#All],[Mã SP]],0),DAY(TODAY())+1)&lt;=0),"x","")</f>
        <v/>
      </c>
      <c r="M52" s="33" t="str">
        <f t="shared" si="0"/>
        <v/>
      </c>
    </row>
    <row r="53" spans="1:13" ht="12.75" customHeight="1">
      <c r="A53" s="38" t="s">
        <v>92</v>
      </c>
      <c r="B53" s="15" t="s">
        <v>93</v>
      </c>
      <c r="C53" s="30">
        <v>30000</v>
      </c>
      <c r="D53" s="26">
        <f>IF(H53&lt;&gt;"x",VLOOKUP($A53,NhatkyNhap!A:AH,34,FALSE)-VLOOKUP($A53,NhatkyBan!A:AH,34,FALSE),"N/A")</f>
        <v>32</v>
      </c>
      <c r="E53" s="17" t="s">
        <v>454</v>
      </c>
      <c r="F53" s="17"/>
      <c r="G53" s="30">
        <v>30000</v>
      </c>
      <c r="H53" s="30"/>
      <c r="I53" s="6"/>
      <c r="K53" s="33" t="str">
        <f ca="1">IF(AND(INDEX(Table25[#All],MATCH(A53,Table25[[#All],[Mã SP]],0),DAY(TODAY())+2)=0,INDEX(Table25[#All],MATCH(A53,Table25[[#All],[Mã SP]],0),DAY(TODAY())+1)&gt;0),"x","")</f>
        <v/>
      </c>
      <c r="L53" s="33" t="str">
        <f ca="1">IF(AND(INDEX(Table25[#All],MATCH(A53,Table25[[#All],[Mã SP]],0),DAY(TODAY())+2)&gt;0,INDEX(Table25[#All],MATCH(A53,Table25[[#All],[Mã SP]],0),DAY(TODAY())+1)&lt;=0),"x","")</f>
        <v/>
      </c>
      <c r="M53" s="33" t="str">
        <f t="shared" si="0"/>
        <v/>
      </c>
    </row>
    <row r="54" spans="1:13" ht="12.75" customHeight="1">
      <c r="A54" s="38" t="s">
        <v>94</v>
      </c>
      <c r="B54" s="15" t="s">
        <v>95</v>
      </c>
      <c r="C54" s="30">
        <v>30000</v>
      </c>
      <c r="D54" s="26">
        <f>IF(H54&lt;&gt;"x",VLOOKUP($A54,NhatkyNhap!A:AH,34,FALSE)-VLOOKUP($A54,NhatkyBan!A:AH,34,FALSE),"N/A")</f>
        <v>20</v>
      </c>
      <c r="E54" s="17" t="s">
        <v>454</v>
      </c>
      <c r="F54" s="17"/>
      <c r="G54" s="30">
        <v>30000</v>
      </c>
      <c r="H54" s="30"/>
      <c r="I54" s="6"/>
      <c r="K54" s="33" t="str">
        <f ca="1">IF(AND(INDEX(Table25[#All],MATCH(A54,Table25[[#All],[Mã SP]],0),DAY(TODAY())+2)=0,INDEX(Table25[#All],MATCH(A54,Table25[[#All],[Mã SP]],0),DAY(TODAY())+1)&gt;0),"x","")</f>
        <v/>
      </c>
      <c r="L54" s="33" t="str">
        <f ca="1">IF(AND(INDEX(Table25[#All],MATCH(A54,Table25[[#All],[Mã SP]],0),DAY(TODAY())+2)&gt;0,INDEX(Table25[#All],MATCH(A54,Table25[[#All],[Mã SP]],0),DAY(TODAY())+1)&lt;=0),"x","")</f>
        <v/>
      </c>
      <c r="M54" s="33" t="str">
        <f t="shared" si="0"/>
        <v/>
      </c>
    </row>
    <row r="55" spans="1:13" ht="12.75" customHeight="1">
      <c r="A55" s="38" t="s">
        <v>96</v>
      </c>
      <c r="B55" s="15" t="s">
        <v>97</v>
      </c>
      <c r="C55" s="30">
        <v>30000</v>
      </c>
      <c r="D55" s="26">
        <f>IF(H55&lt;&gt;"x",VLOOKUP($A55,NhatkyNhap!A:AH,34,FALSE)-VLOOKUP($A55,NhatkyBan!A:AH,34,FALSE),"N/A")</f>
        <v>26</v>
      </c>
      <c r="E55" s="17" t="s">
        <v>454</v>
      </c>
      <c r="F55" s="17"/>
      <c r="G55" s="30">
        <v>30000</v>
      </c>
      <c r="H55" s="30"/>
      <c r="I55" s="6"/>
      <c r="K55" s="33" t="str">
        <f ca="1">IF(AND(INDEX(Table25[#All],MATCH(A55,Table25[[#All],[Mã SP]],0),DAY(TODAY())+2)=0,INDEX(Table25[#All],MATCH(A55,Table25[[#All],[Mã SP]],0),DAY(TODAY())+1)&gt;0),"x","")</f>
        <v/>
      </c>
      <c r="L55" s="33" t="str">
        <f ca="1">IF(AND(INDEX(Table25[#All],MATCH(A55,Table25[[#All],[Mã SP]],0),DAY(TODAY())+2)&gt;0,INDEX(Table25[#All],MATCH(A55,Table25[[#All],[Mã SP]],0),DAY(TODAY())+1)&lt;=0),"x","")</f>
        <v/>
      </c>
      <c r="M55" s="33" t="str">
        <f t="shared" si="0"/>
        <v/>
      </c>
    </row>
    <row r="56" spans="1:13" ht="12.75" customHeight="1">
      <c r="A56" s="38" t="s">
        <v>98</v>
      </c>
      <c r="B56" s="15" t="s">
        <v>99</v>
      </c>
      <c r="C56" s="30">
        <v>30000</v>
      </c>
      <c r="D56" s="26">
        <f>IF(H56&lt;&gt;"x",VLOOKUP($A56,NhatkyNhap!A:AH,34,FALSE)-VLOOKUP($A56,NhatkyBan!A:AH,34,FALSE),"N/A")</f>
        <v>52</v>
      </c>
      <c r="E56" s="17" t="s">
        <v>454</v>
      </c>
      <c r="F56" s="17"/>
      <c r="G56" s="30">
        <v>30000</v>
      </c>
      <c r="H56" s="30"/>
      <c r="I56" s="6"/>
      <c r="K56" s="33" t="str">
        <f ca="1">IF(AND(INDEX(Table25[#All],MATCH(A56,Table25[[#All],[Mã SP]],0),DAY(TODAY())+2)=0,INDEX(Table25[#All],MATCH(A56,Table25[[#All],[Mã SP]],0),DAY(TODAY())+1)&gt;0),"x","")</f>
        <v/>
      </c>
      <c r="L56" s="33" t="str">
        <f ca="1">IF(AND(INDEX(Table25[#All],MATCH(A56,Table25[[#All],[Mã SP]],0),DAY(TODAY())+2)&gt;0,INDEX(Table25[#All],MATCH(A56,Table25[[#All],[Mã SP]],0),DAY(TODAY())+1)&lt;=0),"x","")</f>
        <v/>
      </c>
      <c r="M56" s="33" t="str">
        <f t="shared" si="0"/>
        <v/>
      </c>
    </row>
    <row r="57" spans="1:13" ht="12.75" customHeight="1">
      <c r="A57" s="38" t="s">
        <v>100</v>
      </c>
      <c r="B57" s="15" t="s">
        <v>101</v>
      </c>
      <c r="C57" s="30">
        <v>30000</v>
      </c>
      <c r="D57" s="26">
        <f>IF(H57&lt;&gt;"x",VLOOKUP($A57,NhatkyNhap!A:AH,34,FALSE)-VLOOKUP($A57,NhatkyBan!A:AH,34,FALSE),"N/A")</f>
        <v>21</v>
      </c>
      <c r="E57" s="17" t="s">
        <v>454</v>
      </c>
      <c r="F57" s="17"/>
      <c r="G57" s="30">
        <v>30000</v>
      </c>
      <c r="H57" s="30"/>
      <c r="I57" s="6"/>
      <c r="K57" s="33" t="str">
        <f ca="1">IF(AND(INDEX(Table25[#All],MATCH(A57,Table25[[#All],[Mã SP]],0),DAY(TODAY())+2)=0,INDEX(Table25[#All],MATCH(A57,Table25[[#All],[Mã SP]],0),DAY(TODAY())+1)&gt;0),"x","")</f>
        <v/>
      </c>
      <c r="L57" s="33" t="str">
        <f ca="1">IF(AND(INDEX(Table25[#All],MATCH(A57,Table25[[#All],[Mã SP]],0),DAY(TODAY())+2)&gt;0,INDEX(Table25[#All],MATCH(A57,Table25[[#All],[Mã SP]],0),DAY(TODAY())+1)&lt;=0),"x","")</f>
        <v/>
      </c>
      <c r="M57" s="33" t="str">
        <f t="shared" si="0"/>
        <v/>
      </c>
    </row>
    <row r="58" spans="1:13" ht="12.75" customHeight="1">
      <c r="A58" s="38" t="s">
        <v>116</v>
      </c>
      <c r="B58" s="15" t="s">
        <v>117</v>
      </c>
      <c r="C58" s="30">
        <v>30000</v>
      </c>
      <c r="D58" s="26">
        <f>IF(H58&lt;&gt;"x",VLOOKUP($A58,NhatkyNhap!A:AH,34,FALSE)-VLOOKUP($A58,NhatkyBan!A:AH,34,FALSE),"N/A")</f>
        <v>0</v>
      </c>
      <c r="E58" s="17" t="s">
        <v>454</v>
      </c>
      <c r="F58" s="17"/>
      <c r="G58" s="30">
        <v>30000</v>
      </c>
      <c r="H58" s="30"/>
      <c r="I58" s="6"/>
      <c r="J58" s="5" t="s">
        <v>498</v>
      </c>
      <c r="K58" s="33" t="str">
        <f ca="1">IF(AND(INDEX(Table25[#All],MATCH(A58,Table25[[#All],[Mã SP]],0),DAY(TODAY())+2)=0,INDEX(Table25[#All],MATCH(A58,Table25[[#All],[Mã SP]],0),DAY(TODAY())+1)&gt;0),"x","")</f>
        <v>x</v>
      </c>
      <c r="L58" s="33" t="str">
        <f ca="1">IF(AND(INDEX(Table25[#All],MATCH(A58,Table25[[#All],[Mã SP]],0),DAY(TODAY())+2)&gt;0,INDEX(Table25[#All],MATCH(A58,Table25[[#All],[Mã SP]],0),DAY(TODAY())+1)&lt;=0),"x","")</f>
        <v/>
      </c>
      <c r="M58" s="33" t="str">
        <f t="shared" si="0"/>
        <v/>
      </c>
    </row>
    <row r="59" spans="1:13" ht="12.75" customHeight="1">
      <c r="A59" s="38" t="s">
        <v>122</v>
      </c>
      <c r="B59" s="15" t="s">
        <v>155</v>
      </c>
      <c r="C59" s="30">
        <v>30000</v>
      </c>
      <c r="D59" s="26">
        <f>IF(H59&lt;&gt;"x",VLOOKUP($A59,NhatkyNhap!A:AH,34,FALSE)-VLOOKUP($A59,NhatkyBan!A:AH,34,FALSE),"N/A")</f>
        <v>0</v>
      </c>
      <c r="E59" s="17" t="s">
        <v>454</v>
      </c>
      <c r="F59" s="17"/>
      <c r="G59" s="30">
        <v>30000</v>
      </c>
      <c r="H59" s="30"/>
      <c r="I59" s="6"/>
      <c r="J59" s="5" t="s">
        <v>498</v>
      </c>
      <c r="K59" s="33" t="str">
        <f ca="1">IF(AND(INDEX(Table25[#All],MATCH(A59,Table25[[#All],[Mã SP]],0),DAY(TODAY())+2)=0,INDEX(Table25[#All],MATCH(A59,Table25[[#All],[Mã SP]],0),DAY(TODAY())+1)&gt;0),"x","")</f>
        <v>x</v>
      </c>
      <c r="L59" s="33" t="str">
        <f ca="1">IF(AND(INDEX(Table25[#All],MATCH(A59,Table25[[#All],[Mã SP]],0),DAY(TODAY())+2)&gt;0,INDEX(Table25[#All],MATCH(A59,Table25[[#All],[Mã SP]],0),DAY(TODAY())+1)&lt;=0),"x","")</f>
        <v/>
      </c>
      <c r="M59" s="33" t="str">
        <f t="shared" si="0"/>
        <v/>
      </c>
    </row>
    <row r="60" spans="1:13" ht="12.75" customHeight="1">
      <c r="A60" s="38" t="s">
        <v>110</v>
      </c>
      <c r="B60" s="15" t="s">
        <v>115</v>
      </c>
      <c r="C60" s="30">
        <v>30000</v>
      </c>
      <c r="D60" s="26">
        <f>IF(H60&lt;&gt;"x",VLOOKUP($A60,NhatkyNhap!A:AH,34,FALSE)-VLOOKUP($A60,NhatkyBan!A:AH,34,FALSE),"N/A")</f>
        <v>0</v>
      </c>
      <c r="E60" s="17" t="s">
        <v>454</v>
      </c>
      <c r="F60" s="17"/>
      <c r="G60" s="30">
        <v>30000</v>
      </c>
      <c r="H60" s="30"/>
      <c r="I60" s="6"/>
      <c r="J60" s="5" t="s">
        <v>498</v>
      </c>
      <c r="K60" s="33" t="str">
        <f ca="1">IF(AND(INDEX(Table25[#All],MATCH(A60,Table25[[#All],[Mã SP]],0),DAY(TODAY())+2)=0,INDEX(Table25[#All],MATCH(A60,Table25[[#All],[Mã SP]],0),DAY(TODAY())+1)&gt;0),"x","")</f>
        <v>x</v>
      </c>
      <c r="L60" s="33" t="str">
        <f ca="1">IF(AND(INDEX(Table25[#All],MATCH(A60,Table25[[#All],[Mã SP]],0),DAY(TODAY())+2)&gt;0,INDEX(Table25[#All],MATCH(A60,Table25[[#All],[Mã SP]],0),DAY(TODAY())+1)&lt;=0),"x","")</f>
        <v/>
      </c>
      <c r="M60" s="33" t="str">
        <f t="shared" si="0"/>
        <v/>
      </c>
    </row>
    <row r="61" spans="1:13" ht="12.75" customHeight="1">
      <c r="A61" s="38" t="s">
        <v>112</v>
      </c>
      <c r="B61" s="15" t="s">
        <v>113</v>
      </c>
      <c r="C61" s="30">
        <v>30000</v>
      </c>
      <c r="D61" s="26">
        <f>IF(H61&lt;&gt;"x",VLOOKUP($A61,NhatkyNhap!A:AH,34,FALSE)-VLOOKUP($A61,NhatkyBan!A:AH,34,FALSE),"N/A")</f>
        <v>0</v>
      </c>
      <c r="E61" s="17" t="s">
        <v>454</v>
      </c>
      <c r="F61" s="17"/>
      <c r="G61" s="30">
        <v>30000</v>
      </c>
      <c r="H61" s="30"/>
      <c r="I61" s="6"/>
      <c r="J61" s="5" t="s">
        <v>498</v>
      </c>
      <c r="K61" s="33" t="str">
        <f ca="1">IF(AND(INDEX(Table25[#All],MATCH(A61,Table25[[#All],[Mã SP]],0),DAY(TODAY())+2)=0,INDEX(Table25[#All],MATCH(A61,Table25[[#All],[Mã SP]],0),DAY(TODAY())+1)&gt;0),"x","")</f>
        <v>x</v>
      </c>
      <c r="L61" s="33" t="str">
        <f ca="1">IF(AND(INDEX(Table25[#All],MATCH(A61,Table25[[#All],[Mã SP]],0),DAY(TODAY())+2)&gt;0,INDEX(Table25[#All],MATCH(A61,Table25[[#All],[Mã SP]],0),DAY(TODAY())+1)&lt;=0),"x","")</f>
        <v/>
      </c>
      <c r="M61" s="33" t="str">
        <f t="shared" si="0"/>
        <v/>
      </c>
    </row>
    <row r="62" spans="1:13" ht="12.75" customHeight="1">
      <c r="A62" s="38" t="s">
        <v>114</v>
      </c>
      <c r="B62" s="15" t="s">
        <v>111</v>
      </c>
      <c r="C62" s="30">
        <v>30000</v>
      </c>
      <c r="D62" s="26">
        <f>IF(H62&lt;&gt;"x",VLOOKUP($A62,NhatkyNhap!A:AH,34,FALSE)-VLOOKUP($A62,NhatkyBan!A:AH,34,FALSE),"N/A")</f>
        <v>0</v>
      </c>
      <c r="E62" s="17" t="s">
        <v>454</v>
      </c>
      <c r="F62" s="17"/>
      <c r="G62" s="30">
        <v>30000</v>
      </c>
      <c r="H62" s="30"/>
      <c r="I62" s="6"/>
      <c r="J62" s="5" t="s">
        <v>498</v>
      </c>
      <c r="K62" s="33" t="str">
        <f ca="1">IF(AND(INDEX(Table25[#All],MATCH(A62,Table25[[#All],[Mã SP]],0),DAY(TODAY())+2)=0,INDEX(Table25[#All],MATCH(A62,Table25[[#All],[Mã SP]],0),DAY(TODAY())+1)&gt;0),"x","")</f>
        <v>x</v>
      </c>
      <c r="L62" s="33" t="str">
        <f ca="1">IF(AND(INDEX(Table25[#All],MATCH(A62,Table25[[#All],[Mã SP]],0),DAY(TODAY())+2)&gt;0,INDEX(Table25[#All],MATCH(A62,Table25[[#All],[Mã SP]],0),DAY(TODAY())+1)&lt;=0),"x","")</f>
        <v/>
      </c>
      <c r="M62" s="33" t="str">
        <f t="shared" si="0"/>
        <v/>
      </c>
    </row>
    <row r="63" spans="1:13" ht="12.75" customHeight="1">
      <c r="A63" s="38" t="s">
        <v>109</v>
      </c>
      <c r="B63" s="15" t="s">
        <v>156</v>
      </c>
      <c r="C63" s="30">
        <v>30000</v>
      </c>
      <c r="D63" s="26">
        <f>IF(H63&lt;&gt;"x",VLOOKUP($A63,NhatkyNhap!A:AH,34,FALSE)-VLOOKUP($A63,NhatkyBan!A:AH,34,FALSE),"N/A")</f>
        <v>0</v>
      </c>
      <c r="E63" s="17" t="s">
        <v>454</v>
      </c>
      <c r="F63" s="17"/>
      <c r="G63" s="30">
        <v>30000</v>
      </c>
      <c r="H63" s="30"/>
      <c r="I63" s="6"/>
      <c r="J63" s="5" t="s">
        <v>498</v>
      </c>
      <c r="K63" s="33" t="str">
        <f ca="1">IF(AND(INDEX(Table25[#All],MATCH(A63,Table25[[#All],[Mã SP]],0),DAY(TODAY())+2)=0,INDEX(Table25[#All],MATCH(A63,Table25[[#All],[Mã SP]],0),DAY(TODAY())+1)&gt;0),"x","")</f>
        <v>x</v>
      </c>
      <c r="L63" s="33" t="str">
        <f ca="1">IF(AND(INDEX(Table25[#All],MATCH(A63,Table25[[#All],[Mã SP]],0),DAY(TODAY())+2)&gt;0,INDEX(Table25[#All],MATCH(A63,Table25[[#All],[Mã SP]],0),DAY(TODAY())+1)&lt;=0),"x","")</f>
        <v/>
      </c>
      <c r="M63" s="33" t="str">
        <f t="shared" si="0"/>
        <v/>
      </c>
    </row>
    <row r="64" spans="1:13" ht="12.75" customHeight="1">
      <c r="A64" s="38" t="s">
        <v>107</v>
      </c>
      <c r="B64" s="15" t="s">
        <v>108</v>
      </c>
      <c r="C64" s="30">
        <v>30000</v>
      </c>
      <c r="D64" s="26">
        <f>IF(H64&lt;&gt;"x",VLOOKUP($A64,NhatkyNhap!A:AH,34,FALSE)-VLOOKUP($A64,NhatkyBan!A:AH,34,FALSE),"N/A")</f>
        <v>0</v>
      </c>
      <c r="E64" s="17" t="s">
        <v>454</v>
      </c>
      <c r="F64" s="17"/>
      <c r="G64" s="30">
        <v>30000</v>
      </c>
      <c r="H64" s="30"/>
      <c r="I64" s="6"/>
      <c r="J64" s="5" t="s">
        <v>498</v>
      </c>
      <c r="K64" s="33" t="str">
        <f ca="1">IF(AND(INDEX(Table25[#All],MATCH(A64,Table25[[#All],[Mã SP]],0),DAY(TODAY())+2)=0,INDEX(Table25[#All],MATCH(A64,Table25[[#All],[Mã SP]],0),DAY(TODAY())+1)&gt;0),"x","")</f>
        <v>x</v>
      </c>
      <c r="L64" s="33" t="str">
        <f ca="1">IF(AND(INDEX(Table25[#All],MATCH(A64,Table25[[#All],[Mã SP]],0),DAY(TODAY())+2)&gt;0,INDEX(Table25[#All],MATCH(A64,Table25[[#All],[Mã SP]],0),DAY(TODAY())+1)&lt;=0),"x","")</f>
        <v/>
      </c>
      <c r="M64" s="33" t="str">
        <f t="shared" si="0"/>
        <v/>
      </c>
    </row>
    <row r="65" spans="1:13" ht="12.75" customHeight="1">
      <c r="A65" s="38" t="s">
        <v>105</v>
      </c>
      <c r="B65" s="15" t="s">
        <v>106</v>
      </c>
      <c r="C65" s="30">
        <v>30000</v>
      </c>
      <c r="D65" s="26">
        <f>IF(H65&lt;&gt;"x",VLOOKUP($A65,NhatkyNhap!A:AH,34,FALSE)-VLOOKUP($A65,NhatkyBan!A:AH,34,FALSE),"N/A")</f>
        <v>1</v>
      </c>
      <c r="E65" s="17" t="s">
        <v>454</v>
      </c>
      <c r="F65" s="17"/>
      <c r="G65" s="30">
        <v>30000</v>
      </c>
      <c r="H65" s="30"/>
      <c r="I65" s="6"/>
      <c r="K65" s="33" t="str">
        <f ca="1">IF(AND(INDEX(Table25[#All],MATCH(A65,Table25[[#All],[Mã SP]],0),DAY(TODAY())+2)=0,INDEX(Table25[#All],MATCH(A65,Table25[[#All],[Mã SP]],0),DAY(TODAY())+1)&gt;0),"x","")</f>
        <v/>
      </c>
      <c r="L65" s="33" t="str">
        <f ca="1">IF(AND(INDEX(Table25[#All],MATCH(A65,Table25[[#All],[Mã SP]],0),DAY(TODAY())+2)&gt;0,INDEX(Table25[#All],MATCH(A65,Table25[[#All],[Mã SP]],0),DAY(TODAY())+1)&lt;=0),"x","")</f>
        <v/>
      </c>
      <c r="M65" s="33" t="str">
        <f t="shared" si="0"/>
        <v/>
      </c>
    </row>
    <row r="66" spans="1:13" ht="12.75" customHeight="1">
      <c r="A66" s="38" t="s">
        <v>103</v>
      </c>
      <c r="B66" s="15" t="s">
        <v>104</v>
      </c>
      <c r="C66" s="30">
        <v>30000</v>
      </c>
      <c r="D66" s="26">
        <f>IF(H66&lt;&gt;"x",VLOOKUP($A66,NhatkyNhap!A:AH,34,FALSE)-VLOOKUP($A66,NhatkyBan!A:AH,34,FALSE),"N/A")</f>
        <v>0</v>
      </c>
      <c r="E66" s="17" t="s">
        <v>454</v>
      </c>
      <c r="F66" s="17"/>
      <c r="G66" s="30">
        <v>30000</v>
      </c>
      <c r="H66" s="30"/>
      <c r="I66" s="6"/>
      <c r="J66" s="5" t="s">
        <v>498</v>
      </c>
      <c r="K66" s="33" t="str">
        <f ca="1">IF(AND(INDEX(Table25[#All],MATCH(A66,Table25[[#All],[Mã SP]],0),DAY(TODAY())+2)=0,INDEX(Table25[#All],MATCH(A66,Table25[[#All],[Mã SP]],0),DAY(TODAY())+1)&gt;0),"x","")</f>
        <v>x</v>
      </c>
      <c r="L66" s="33" t="str">
        <f ca="1">IF(AND(INDEX(Table25[#All],MATCH(A66,Table25[[#All],[Mã SP]],0),DAY(TODAY())+2)&gt;0,INDEX(Table25[#All],MATCH(A66,Table25[[#All],[Mã SP]],0),DAY(TODAY())+1)&lt;=0),"x","")</f>
        <v/>
      </c>
      <c r="M66" s="33" t="str">
        <f t="shared" si="0"/>
        <v/>
      </c>
    </row>
    <row r="67" spans="1:13" ht="12.75" customHeight="1">
      <c r="A67" s="38" t="s">
        <v>102</v>
      </c>
      <c r="B67" s="15" t="s">
        <v>157</v>
      </c>
      <c r="C67" s="30">
        <v>30000</v>
      </c>
      <c r="D67" s="26">
        <f>IF(H67&lt;&gt;"x",VLOOKUP($A67,NhatkyNhap!A:AH,34,FALSE)-VLOOKUP($A67,NhatkyBan!A:AH,34,FALSE),"N/A")</f>
        <v>0</v>
      </c>
      <c r="E67" s="17" t="s">
        <v>454</v>
      </c>
      <c r="F67" s="17"/>
      <c r="G67" s="30">
        <v>30000</v>
      </c>
      <c r="H67" s="30"/>
      <c r="I67" s="6"/>
      <c r="J67" s="5" t="s">
        <v>498</v>
      </c>
      <c r="K67" s="33" t="str">
        <f ca="1">IF(AND(INDEX(Table25[#All],MATCH(A67,Table25[[#All],[Mã SP]],0),DAY(TODAY())+2)=0,INDEX(Table25[#All],MATCH(A67,Table25[[#All],[Mã SP]],0),DAY(TODAY())+1)&gt;0),"x","")</f>
        <v>x</v>
      </c>
      <c r="L67" s="33" t="str">
        <f ca="1">IF(AND(INDEX(Table25[#All],MATCH(A67,Table25[[#All],[Mã SP]],0),DAY(TODAY())+2)&gt;0,INDEX(Table25[#All],MATCH(A67,Table25[[#All],[Mã SP]],0),DAY(TODAY())+1)&lt;=0),"x","")</f>
        <v/>
      </c>
      <c r="M67" s="33" t="str">
        <f t="shared" ref="M67:M136" si="1">IF(C67-G67&lt;&gt;0,"x","")</f>
        <v/>
      </c>
    </row>
    <row r="68" spans="1:13" ht="12.75" customHeight="1">
      <c r="A68" s="38" t="s">
        <v>120</v>
      </c>
      <c r="B68" s="15" t="s">
        <v>121</v>
      </c>
      <c r="C68" s="30">
        <v>30000</v>
      </c>
      <c r="D68" s="26">
        <f>IF(H68&lt;&gt;"x",VLOOKUP($A68,NhatkyNhap!A:AH,34,FALSE)-VLOOKUP($A68,NhatkyBan!A:AH,34,FALSE),"N/A")</f>
        <v>0</v>
      </c>
      <c r="E68" s="17" t="s">
        <v>454</v>
      </c>
      <c r="F68" s="17"/>
      <c r="G68" s="30">
        <v>30000</v>
      </c>
      <c r="H68" s="30"/>
      <c r="I68" s="6"/>
      <c r="J68" s="5" t="s">
        <v>498</v>
      </c>
      <c r="K68" s="33" t="str">
        <f ca="1">IF(AND(INDEX(Table25[#All],MATCH(A68,Table25[[#All],[Mã SP]],0),DAY(TODAY())+2)=0,INDEX(Table25[#All],MATCH(A68,Table25[[#All],[Mã SP]],0),DAY(TODAY())+1)&gt;0),"x","")</f>
        <v>x</v>
      </c>
      <c r="L68" s="33" t="str">
        <f ca="1">IF(AND(INDEX(Table25[#All],MATCH(A68,Table25[[#All],[Mã SP]],0),DAY(TODAY())+2)&gt;0,INDEX(Table25[#All],MATCH(A68,Table25[[#All],[Mã SP]],0),DAY(TODAY())+1)&lt;=0),"x","")</f>
        <v/>
      </c>
      <c r="M68" s="33" t="str">
        <f t="shared" si="1"/>
        <v/>
      </c>
    </row>
    <row r="69" spans="1:13" ht="12.75" customHeight="1">
      <c r="A69" s="38" t="s">
        <v>118</v>
      </c>
      <c r="B69" s="15" t="s">
        <v>119</v>
      </c>
      <c r="C69" s="30">
        <v>30000</v>
      </c>
      <c r="D69" s="26">
        <f>IF(H69&lt;&gt;"x",VLOOKUP($A69,NhatkyNhap!A:AH,34,FALSE)-VLOOKUP($A69,NhatkyBan!A:AH,34,FALSE),"N/A")</f>
        <v>0</v>
      </c>
      <c r="E69" s="17" t="s">
        <v>454</v>
      </c>
      <c r="F69" s="17"/>
      <c r="G69" s="30">
        <v>30000</v>
      </c>
      <c r="H69" s="30"/>
      <c r="I69" s="6"/>
      <c r="K69" s="33" t="str">
        <f ca="1">IF(AND(INDEX(Table25[#All],MATCH(A69,Table25[[#All],[Mã SP]],0),DAY(TODAY())+2)=0,INDEX(Table25[#All],MATCH(A69,Table25[[#All],[Mã SP]],0),DAY(TODAY())+1)&gt;0),"x","")</f>
        <v>x</v>
      </c>
      <c r="L69" s="33" t="str">
        <f ca="1">IF(AND(INDEX(Table25[#All],MATCH(A69,Table25[[#All],[Mã SP]],0),DAY(TODAY())+2)&gt;0,INDEX(Table25[#All],MATCH(A69,Table25[[#All],[Mã SP]],0),DAY(TODAY())+1)&lt;=0),"x","")</f>
        <v/>
      </c>
      <c r="M69" s="33" t="str">
        <f t="shared" si="1"/>
        <v/>
      </c>
    </row>
    <row r="70" spans="1:13" ht="12.75" customHeight="1">
      <c r="A70" s="38" t="s">
        <v>158</v>
      </c>
      <c r="B70" s="15" t="s">
        <v>159</v>
      </c>
      <c r="C70" s="30">
        <v>30000</v>
      </c>
      <c r="D70" s="26">
        <f>IF(H70&lt;&gt;"x",VLOOKUP($A70,NhatkyNhap!A:AH,34,FALSE)-VLOOKUP($A70,NhatkyBan!A:AH,34,FALSE),"N/A")</f>
        <v>15</v>
      </c>
      <c r="E70" s="17" t="s">
        <v>454</v>
      </c>
      <c r="F70" s="17"/>
      <c r="G70" s="30">
        <v>30000</v>
      </c>
      <c r="H70" s="30"/>
      <c r="I70" s="6"/>
      <c r="K70" s="33" t="str">
        <f ca="1">IF(AND(INDEX(Table25[#All],MATCH(A70,Table25[[#All],[Mã SP]],0),DAY(TODAY())+2)=0,INDEX(Table25[#All],MATCH(A70,Table25[[#All],[Mã SP]],0),DAY(TODAY())+1)&gt;0),"x","")</f>
        <v/>
      </c>
      <c r="L70" s="33" t="str">
        <f ca="1">IF(AND(INDEX(Table25[#All],MATCH(A70,Table25[[#All],[Mã SP]],0),DAY(TODAY())+2)&gt;0,INDEX(Table25[#All],MATCH(A70,Table25[[#All],[Mã SP]],0),DAY(TODAY())+1)&lt;=0),"x","")</f>
        <v/>
      </c>
      <c r="M70" s="33" t="str">
        <f t="shared" si="1"/>
        <v/>
      </c>
    </row>
    <row r="71" spans="1:13" ht="12.75" customHeight="1">
      <c r="A71" s="38" t="s">
        <v>160</v>
      </c>
      <c r="B71" s="15" t="s">
        <v>161</v>
      </c>
      <c r="C71" s="30">
        <v>30000</v>
      </c>
      <c r="D71" s="26">
        <f>IF(H71&lt;&gt;"x",VLOOKUP($A71,NhatkyNhap!A:AH,34,FALSE)-VLOOKUP($A71,NhatkyBan!A:AH,34,FALSE),"N/A")</f>
        <v>19</v>
      </c>
      <c r="E71" s="17" t="s">
        <v>454</v>
      </c>
      <c r="F71" s="17"/>
      <c r="G71" s="30">
        <v>30000</v>
      </c>
      <c r="H71" s="30"/>
      <c r="I71" s="6"/>
      <c r="J71" s="5" t="s">
        <v>585</v>
      </c>
      <c r="K71" s="33" t="str">
        <f ca="1">IF(AND(INDEX(Table25[#All],MATCH(A71,Table25[[#All],[Mã SP]],0),DAY(TODAY())+2)=0,INDEX(Table25[#All],MATCH(A71,Table25[[#All],[Mã SP]],0),DAY(TODAY())+1)&gt;0),"x","")</f>
        <v/>
      </c>
      <c r="L71" s="33" t="str">
        <f ca="1">IF(AND(INDEX(Table25[#All],MATCH(A71,Table25[[#All],[Mã SP]],0),DAY(TODAY())+2)&gt;0,INDEX(Table25[#All],MATCH(A71,Table25[[#All],[Mã SP]],0),DAY(TODAY())+1)&lt;=0),"x","")</f>
        <v/>
      </c>
      <c r="M71" s="33" t="str">
        <f t="shared" si="1"/>
        <v/>
      </c>
    </row>
    <row r="72" spans="1:13" ht="12.75" customHeight="1">
      <c r="A72" s="38" t="s">
        <v>162</v>
      </c>
      <c r="B72" s="15" t="s">
        <v>163</v>
      </c>
      <c r="C72" s="30">
        <v>30000</v>
      </c>
      <c r="D72" s="26">
        <f>IF(H72&lt;&gt;"x",VLOOKUP($A72,NhatkyNhap!A:AH,34,FALSE)-VLOOKUP($A72,NhatkyBan!A:AH,34,FALSE),"N/A")</f>
        <v>8</v>
      </c>
      <c r="E72" s="17" t="s">
        <v>454</v>
      </c>
      <c r="F72" s="17"/>
      <c r="G72" s="30">
        <v>30000</v>
      </c>
      <c r="H72" s="30"/>
      <c r="I72" s="6"/>
      <c r="J72" s="5" t="s">
        <v>585</v>
      </c>
      <c r="K72" s="33" t="str">
        <f ca="1">IF(AND(INDEX(Table25[#All],MATCH(A72,Table25[[#All],[Mã SP]],0),DAY(TODAY())+2)=0,INDEX(Table25[#All],MATCH(A72,Table25[[#All],[Mã SP]],0),DAY(TODAY())+1)&gt;0),"x","")</f>
        <v/>
      </c>
      <c r="L72" s="33" t="str">
        <f ca="1">IF(AND(INDEX(Table25[#All],MATCH(A72,Table25[[#All],[Mã SP]],0),DAY(TODAY())+2)&gt;0,INDEX(Table25[#All],MATCH(A72,Table25[[#All],[Mã SP]],0),DAY(TODAY())+1)&lt;=0),"x","")</f>
        <v/>
      </c>
      <c r="M72" s="33" t="str">
        <f t="shared" si="1"/>
        <v/>
      </c>
    </row>
    <row r="73" spans="1:13" ht="12.75" customHeight="1">
      <c r="A73" s="38" t="s">
        <v>164</v>
      </c>
      <c r="B73" s="15" t="s">
        <v>165</v>
      </c>
      <c r="C73" s="30">
        <v>30000</v>
      </c>
      <c r="D73" s="26">
        <f>IF(H73&lt;&gt;"x",VLOOKUP($A73,NhatkyNhap!A:AH,34,FALSE)-VLOOKUP($A73,NhatkyBan!A:AH,34,FALSE),"N/A")</f>
        <v>14</v>
      </c>
      <c r="E73" s="17" t="s">
        <v>454</v>
      </c>
      <c r="F73" s="17"/>
      <c r="G73" s="30">
        <v>30000</v>
      </c>
      <c r="H73" s="30"/>
      <c r="I73" s="6"/>
      <c r="J73" s="5" t="s">
        <v>585</v>
      </c>
      <c r="K73" s="33" t="str">
        <f ca="1">IF(AND(INDEX(Table25[#All],MATCH(A73,Table25[[#All],[Mã SP]],0),DAY(TODAY())+2)=0,INDEX(Table25[#All],MATCH(A73,Table25[[#All],[Mã SP]],0),DAY(TODAY())+1)&gt;0),"x","")</f>
        <v/>
      </c>
      <c r="L73" s="33" t="str">
        <f ca="1">IF(AND(INDEX(Table25[#All],MATCH(A73,Table25[[#All],[Mã SP]],0),DAY(TODAY())+2)&gt;0,INDEX(Table25[#All],MATCH(A73,Table25[[#All],[Mã SP]],0),DAY(TODAY())+1)&lt;=0),"x","")</f>
        <v/>
      </c>
      <c r="M73" s="33" t="str">
        <f t="shared" si="1"/>
        <v/>
      </c>
    </row>
    <row r="74" spans="1:13" ht="12.75" customHeight="1">
      <c r="A74" s="38" t="s">
        <v>166</v>
      </c>
      <c r="B74" s="15" t="s">
        <v>167</v>
      </c>
      <c r="C74" s="30">
        <v>30000</v>
      </c>
      <c r="D74" s="26">
        <f>IF(H74&lt;&gt;"x",VLOOKUP($A74,NhatkyNhap!A:AH,34,FALSE)-VLOOKUP($A74,NhatkyBan!A:AH,34,FALSE),"N/A")</f>
        <v>17</v>
      </c>
      <c r="E74" s="17" t="s">
        <v>454</v>
      </c>
      <c r="F74" s="17"/>
      <c r="G74" s="30">
        <v>30000</v>
      </c>
      <c r="H74" s="30"/>
      <c r="I74" s="6"/>
      <c r="J74" s="5" t="s">
        <v>585</v>
      </c>
      <c r="K74" s="33" t="str">
        <f ca="1">IF(AND(INDEX(Table25[#All],MATCH(A74,Table25[[#All],[Mã SP]],0),DAY(TODAY())+2)=0,INDEX(Table25[#All],MATCH(A74,Table25[[#All],[Mã SP]],0),DAY(TODAY())+1)&gt;0),"x","")</f>
        <v/>
      </c>
      <c r="L74" s="33" t="str">
        <f ca="1">IF(AND(INDEX(Table25[#All],MATCH(A74,Table25[[#All],[Mã SP]],0),DAY(TODAY())+2)&gt;0,INDEX(Table25[#All],MATCH(A74,Table25[[#All],[Mã SP]],0),DAY(TODAY())+1)&lt;=0),"x","")</f>
        <v/>
      </c>
      <c r="M74" s="33" t="str">
        <f t="shared" si="1"/>
        <v/>
      </c>
    </row>
    <row r="75" spans="1:13" ht="12.75" customHeight="1">
      <c r="A75" s="38" t="s">
        <v>168</v>
      </c>
      <c r="B75" s="15" t="s">
        <v>169</v>
      </c>
      <c r="C75" s="30">
        <v>30000</v>
      </c>
      <c r="D75" s="26">
        <f>IF(H75&lt;&gt;"x",VLOOKUP($A75,NhatkyNhap!A:AH,34,FALSE)-VLOOKUP($A75,NhatkyBan!A:AH,34,FALSE),"N/A")</f>
        <v>15</v>
      </c>
      <c r="E75" s="17" t="s">
        <v>454</v>
      </c>
      <c r="F75" s="17"/>
      <c r="G75" s="30">
        <v>30000</v>
      </c>
      <c r="H75" s="30"/>
      <c r="I75" s="6"/>
      <c r="J75" s="5" t="s">
        <v>585</v>
      </c>
      <c r="K75" s="33" t="str">
        <f ca="1">IF(AND(INDEX(Table25[#All],MATCH(A75,Table25[[#All],[Mã SP]],0),DAY(TODAY())+2)=0,INDEX(Table25[#All],MATCH(A75,Table25[[#All],[Mã SP]],0),DAY(TODAY())+1)&gt;0),"x","")</f>
        <v/>
      </c>
      <c r="L75" s="33" t="str">
        <f ca="1">IF(AND(INDEX(Table25[#All],MATCH(A75,Table25[[#All],[Mã SP]],0),DAY(TODAY())+2)&gt;0,INDEX(Table25[#All],MATCH(A75,Table25[[#All],[Mã SP]],0),DAY(TODAY())+1)&lt;=0),"x","")</f>
        <v/>
      </c>
      <c r="M75" s="33" t="str">
        <f t="shared" si="1"/>
        <v/>
      </c>
    </row>
    <row r="76" spans="1:13" ht="12.75" customHeight="1">
      <c r="A76" s="38" t="s">
        <v>170</v>
      </c>
      <c r="B76" s="15" t="s">
        <v>171</v>
      </c>
      <c r="C76" s="30">
        <v>30000</v>
      </c>
      <c r="D76" s="26">
        <f>IF(H76&lt;&gt;"x",VLOOKUP($A76,NhatkyNhap!A:AH,34,FALSE)-VLOOKUP($A76,NhatkyBan!A:AH,34,FALSE),"N/A")</f>
        <v>5</v>
      </c>
      <c r="E76" s="17" t="s">
        <v>454</v>
      </c>
      <c r="F76" s="17"/>
      <c r="G76" s="30">
        <v>30000</v>
      </c>
      <c r="H76" s="30"/>
      <c r="I76" s="6"/>
      <c r="K76" s="33" t="str">
        <f ca="1">IF(AND(INDEX(Table25[#All],MATCH(A76,Table25[[#All],[Mã SP]],0),DAY(TODAY())+2)=0,INDEX(Table25[#All],MATCH(A76,Table25[[#All],[Mã SP]],0),DAY(TODAY())+1)&gt;0),"x","")</f>
        <v/>
      </c>
      <c r="L76" s="33" t="str">
        <f ca="1">IF(AND(INDEX(Table25[#All],MATCH(A76,Table25[[#All],[Mã SP]],0),DAY(TODAY())+2)&gt;0,INDEX(Table25[#All],MATCH(A76,Table25[[#All],[Mã SP]],0),DAY(TODAY())+1)&lt;=0),"x","")</f>
        <v/>
      </c>
      <c r="M76" s="33" t="str">
        <f t="shared" si="1"/>
        <v/>
      </c>
    </row>
    <row r="77" spans="1:13" ht="12.75" customHeight="1">
      <c r="A77" s="38" t="s">
        <v>172</v>
      </c>
      <c r="B77" s="15" t="s">
        <v>173</v>
      </c>
      <c r="C77" s="30">
        <v>30000</v>
      </c>
      <c r="D77" s="26">
        <f>IF(H77&lt;&gt;"x",VLOOKUP($A77,NhatkyNhap!A:AH,34,FALSE)-VLOOKUP($A77,NhatkyBan!A:AH,34,FALSE),"N/A")</f>
        <v>7</v>
      </c>
      <c r="E77" s="17" t="s">
        <v>454</v>
      </c>
      <c r="F77" s="17"/>
      <c r="G77" s="30">
        <v>30000</v>
      </c>
      <c r="H77" s="30"/>
      <c r="I77" s="6"/>
      <c r="K77" s="33" t="str">
        <f ca="1">IF(AND(INDEX(Table25[#All],MATCH(A77,Table25[[#All],[Mã SP]],0),DAY(TODAY())+2)=0,INDEX(Table25[#All],MATCH(A77,Table25[[#All],[Mã SP]],0),DAY(TODAY())+1)&gt;0),"x","")</f>
        <v/>
      </c>
      <c r="L77" s="33" t="str">
        <f ca="1">IF(AND(INDEX(Table25[#All],MATCH(A77,Table25[[#All],[Mã SP]],0),DAY(TODAY())+2)&gt;0,INDEX(Table25[#All],MATCH(A77,Table25[[#All],[Mã SP]],0),DAY(TODAY())+1)&lt;=0),"x","")</f>
        <v/>
      </c>
      <c r="M77" s="33" t="str">
        <f t="shared" si="1"/>
        <v/>
      </c>
    </row>
    <row r="78" spans="1:13" ht="12.75" customHeight="1">
      <c r="A78" s="38" t="s">
        <v>174</v>
      </c>
      <c r="B78" s="15" t="s">
        <v>175</v>
      </c>
      <c r="C78" s="30">
        <v>30000</v>
      </c>
      <c r="D78" s="26">
        <f>IF(H78&lt;&gt;"x",VLOOKUP($A78,NhatkyNhap!A:AH,34,FALSE)-VLOOKUP($A78,NhatkyBan!A:AH,34,FALSE),"N/A")</f>
        <v>2</v>
      </c>
      <c r="E78" s="17" t="s">
        <v>454</v>
      </c>
      <c r="F78" s="17"/>
      <c r="G78" s="30">
        <v>30000</v>
      </c>
      <c r="H78" s="30"/>
      <c r="I78" s="6"/>
      <c r="K78" s="33" t="str">
        <f ca="1">IF(AND(INDEX(Table25[#All],MATCH(A78,Table25[[#All],[Mã SP]],0),DAY(TODAY())+2)=0,INDEX(Table25[#All],MATCH(A78,Table25[[#All],[Mã SP]],0),DAY(TODAY())+1)&gt;0),"x","")</f>
        <v/>
      </c>
      <c r="L78" s="33" t="str">
        <f ca="1">IF(AND(INDEX(Table25[#All],MATCH(A78,Table25[[#All],[Mã SP]],0),DAY(TODAY())+2)&gt;0,INDEX(Table25[#All],MATCH(A78,Table25[[#All],[Mã SP]],0),DAY(TODAY())+1)&lt;=0),"x","")</f>
        <v/>
      </c>
      <c r="M78" s="33" t="str">
        <f t="shared" si="1"/>
        <v/>
      </c>
    </row>
    <row r="79" spans="1:13" ht="12.75" customHeight="1">
      <c r="A79" s="38" t="s">
        <v>176</v>
      </c>
      <c r="B79" s="15" t="s">
        <v>177</v>
      </c>
      <c r="C79" s="30">
        <v>30000</v>
      </c>
      <c r="D79" s="26">
        <f>IF(H79&lt;&gt;"x",VLOOKUP($A79,NhatkyNhap!A:AH,34,FALSE)-VLOOKUP($A79,NhatkyBan!A:AH,34,FALSE),"N/A")</f>
        <v>5</v>
      </c>
      <c r="E79" s="17" t="s">
        <v>454</v>
      </c>
      <c r="F79" s="17"/>
      <c r="G79" s="30">
        <v>30000</v>
      </c>
      <c r="H79" s="30"/>
      <c r="I79" s="6"/>
      <c r="K79" s="33" t="str">
        <f ca="1">IF(AND(INDEX(Table25[#All],MATCH(A79,Table25[[#All],[Mã SP]],0),DAY(TODAY())+2)=0,INDEX(Table25[#All],MATCH(A79,Table25[[#All],[Mã SP]],0),DAY(TODAY())+1)&gt;0),"x","")</f>
        <v/>
      </c>
      <c r="L79" s="33" t="str">
        <f ca="1">IF(AND(INDEX(Table25[#All],MATCH(A79,Table25[[#All],[Mã SP]],0),DAY(TODAY())+2)&gt;0,INDEX(Table25[#All],MATCH(A79,Table25[[#All],[Mã SP]],0),DAY(TODAY())+1)&lt;=0),"x","")</f>
        <v/>
      </c>
      <c r="M79" s="33" t="str">
        <f t="shared" si="1"/>
        <v/>
      </c>
    </row>
    <row r="80" spans="1:13" ht="12.75" customHeight="1">
      <c r="A80" s="38" t="s">
        <v>178</v>
      </c>
      <c r="B80" s="15" t="s">
        <v>179</v>
      </c>
      <c r="C80" s="30">
        <v>30000</v>
      </c>
      <c r="D80" s="26">
        <f>IF(H80&lt;&gt;"x",VLOOKUP($A80,NhatkyNhap!A:AH,34,FALSE)-VLOOKUP($A80,NhatkyBan!A:AH,34,FALSE),"N/A")</f>
        <v>0</v>
      </c>
      <c r="E80" s="17" t="s">
        <v>454</v>
      </c>
      <c r="F80" s="17"/>
      <c r="G80" s="30">
        <v>30000</v>
      </c>
      <c r="H80" s="30"/>
      <c r="I80" s="6"/>
      <c r="J80" s="5" t="s">
        <v>498</v>
      </c>
      <c r="K80" s="33" t="str">
        <f ca="1">IF(AND(INDEX(Table25[#All],MATCH(A80,Table25[[#All],[Mã SP]],0),DAY(TODAY())+2)=0,INDEX(Table25[#All],MATCH(A80,Table25[[#All],[Mã SP]],0),DAY(TODAY())+1)&gt;0),"x","")</f>
        <v>x</v>
      </c>
      <c r="L80" s="33" t="str">
        <f ca="1">IF(AND(INDEX(Table25[#All],MATCH(A80,Table25[[#All],[Mã SP]],0),DAY(TODAY())+2)&gt;0,INDEX(Table25[#All],MATCH(A80,Table25[[#All],[Mã SP]],0),DAY(TODAY())+1)&lt;=0),"x","")</f>
        <v/>
      </c>
      <c r="M80" s="33" t="str">
        <f t="shared" si="1"/>
        <v/>
      </c>
    </row>
    <row r="81" spans="1:13" ht="12.75" customHeight="1">
      <c r="A81" s="38" t="s">
        <v>180</v>
      </c>
      <c r="B81" s="15" t="s">
        <v>181</v>
      </c>
      <c r="C81" s="30">
        <v>30000</v>
      </c>
      <c r="D81" s="26">
        <f>IF(H81&lt;&gt;"x",VLOOKUP($A81,NhatkyNhap!A:AH,34,FALSE)-VLOOKUP($A81,NhatkyBan!A:AH,34,FALSE),"N/A")</f>
        <v>0</v>
      </c>
      <c r="E81" s="17" t="s">
        <v>454</v>
      </c>
      <c r="F81" s="17"/>
      <c r="G81" s="30">
        <v>30000</v>
      </c>
      <c r="H81" s="30"/>
      <c r="I81" s="6"/>
      <c r="J81" s="5" t="s">
        <v>498</v>
      </c>
      <c r="K81" s="33" t="str">
        <f ca="1">IF(AND(INDEX(Table25[#All],MATCH(A81,Table25[[#All],[Mã SP]],0),DAY(TODAY())+2)=0,INDEX(Table25[#All],MATCH(A81,Table25[[#All],[Mã SP]],0),DAY(TODAY())+1)&gt;0),"x","")</f>
        <v>x</v>
      </c>
      <c r="L81" s="33" t="str">
        <f ca="1">IF(AND(INDEX(Table25[#All],MATCH(A81,Table25[[#All],[Mã SP]],0),DAY(TODAY())+2)&gt;0,INDEX(Table25[#All],MATCH(A81,Table25[[#All],[Mã SP]],0),DAY(TODAY())+1)&lt;=0),"x","")</f>
        <v/>
      </c>
      <c r="M81" s="33" t="str">
        <f t="shared" si="1"/>
        <v/>
      </c>
    </row>
    <row r="82" spans="1:13" ht="12.75" customHeight="1">
      <c r="A82" s="38" t="s">
        <v>182</v>
      </c>
      <c r="B82" s="15" t="s">
        <v>183</v>
      </c>
      <c r="C82" s="30">
        <v>30000</v>
      </c>
      <c r="D82" s="26">
        <f>IF(H82&lt;&gt;"x",VLOOKUP($A82,NhatkyNhap!A:AH,34,FALSE)-VLOOKUP($A82,NhatkyBan!A:AH,34,FALSE),"N/A")</f>
        <v>5</v>
      </c>
      <c r="E82" s="17" t="s">
        <v>454</v>
      </c>
      <c r="F82" s="17"/>
      <c r="G82" s="30">
        <v>30000</v>
      </c>
      <c r="H82" s="30"/>
      <c r="I82" s="6"/>
      <c r="K82" s="33" t="str">
        <f ca="1">IF(AND(INDEX(Table25[#All],MATCH(A82,Table25[[#All],[Mã SP]],0),DAY(TODAY())+2)=0,INDEX(Table25[#All],MATCH(A82,Table25[[#All],[Mã SP]],0),DAY(TODAY())+1)&gt;0),"x","")</f>
        <v/>
      </c>
      <c r="L82" s="33" t="str">
        <f ca="1">IF(AND(INDEX(Table25[#All],MATCH(A82,Table25[[#All],[Mã SP]],0),DAY(TODAY())+2)&gt;0,INDEX(Table25[#All],MATCH(A82,Table25[[#All],[Mã SP]],0),DAY(TODAY())+1)&lt;=0),"x","")</f>
        <v/>
      </c>
      <c r="M82" s="33" t="str">
        <f t="shared" si="1"/>
        <v/>
      </c>
    </row>
    <row r="83" spans="1:13" ht="12.75" customHeight="1">
      <c r="A83" s="38" t="s">
        <v>184</v>
      </c>
      <c r="B83" s="15" t="s">
        <v>185</v>
      </c>
      <c r="C83" s="30">
        <v>30000</v>
      </c>
      <c r="D83" s="26">
        <f>IF(H83&lt;&gt;"x",VLOOKUP($A83,NhatkyNhap!A:AH,34,FALSE)-VLOOKUP($A83,NhatkyBan!A:AH,34,FALSE),"N/A")</f>
        <v>2</v>
      </c>
      <c r="E83" s="17" t="s">
        <v>454</v>
      </c>
      <c r="F83" s="17"/>
      <c r="G83" s="30">
        <v>30000</v>
      </c>
      <c r="H83" s="30"/>
      <c r="I83" s="6"/>
      <c r="K83" s="33" t="str">
        <f ca="1">IF(AND(INDEX(Table25[#All],MATCH(A83,Table25[[#All],[Mã SP]],0),DAY(TODAY())+2)=0,INDEX(Table25[#All],MATCH(A83,Table25[[#All],[Mã SP]],0),DAY(TODAY())+1)&gt;0),"x","")</f>
        <v/>
      </c>
      <c r="L83" s="33" t="str">
        <f ca="1">IF(AND(INDEX(Table25[#All],MATCH(A83,Table25[[#All],[Mã SP]],0),DAY(TODAY())+2)&gt;0,INDEX(Table25[#All],MATCH(A83,Table25[[#All],[Mã SP]],0),DAY(TODAY())+1)&lt;=0),"x","")</f>
        <v/>
      </c>
      <c r="M83" s="33" t="str">
        <f t="shared" si="1"/>
        <v/>
      </c>
    </row>
    <row r="84" spans="1:13" ht="12.75" customHeight="1">
      <c r="A84" s="38" t="s">
        <v>186</v>
      </c>
      <c r="B84" s="15" t="s">
        <v>187</v>
      </c>
      <c r="C84" s="30">
        <v>30000</v>
      </c>
      <c r="D84" s="26">
        <f>IF(H84&lt;&gt;"x",VLOOKUP($A84,NhatkyNhap!A:AH,34,FALSE)-VLOOKUP($A84,NhatkyBan!A:AH,34,FALSE),"N/A")</f>
        <v>10</v>
      </c>
      <c r="E84" s="17" t="s">
        <v>454</v>
      </c>
      <c r="F84" s="17"/>
      <c r="G84" s="30">
        <v>30000</v>
      </c>
      <c r="H84" s="30"/>
      <c r="I84" s="6"/>
      <c r="K84" s="33" t="str">
        <f ca="1">IF(AND(INDEX(Table25[#All],MATCH(A84,Table25[[#All],[Mã SP]],0),DAY(TODAY())+2)=0,INDEX(Table25[#All],MATCH(A84,Table25[[#All],[Mã SP]],0),DAY(TODAY())+1)&gt;0),"x","")</f>
        <v/>
      </c>
      <c r="L84" s="33" t="str">
        <f ca="1">IF(AND(INDEX(Table25[#All],MATCH(A84,Table25[[#All],[Mã SP]],0),DAY(TODAY())+2)&gt;0,INDEX(Table25[#All],MATCH(A84,Table25[[#All],[Mã SP]],0),DAY(TODAY())+1)&lt;=0),"x","")</f>
        <v/>
      </c>
      <c r="M84" s="33" t="str">
        <f t="shared" si="1"/>
        <v/>
      </c>
    </row>
    <row r="85" spans="1:13" ht="12.75" customHeight="1">
      <c r="A85" s="38" t="s">
        <v>188</v>
      </c>
      <c r="B85" s="15" t="s">
        <v>189</v>
      </c>
      <c r="C85" s="30">
        <v>30000</v>
      </c>
      <c r="D85" s="26">
        <f>IF(H85&lt;&gt;"x",VLOOKUP($A85,NhatkyNhap!A:AH,34,FALSE)-VLOOKUP($A85,NhatkyBan!A:AH,34,FALSE),"N/A")</f>
        <v>5</v>
      </c>
      <c r="E85" s="17" t="s">
        <v>454</v>
      </c>
      <c r="F85" s="17"/>
      <c r="G85" s="30">
        <v>30000</v>
      </c>
      <c r="H85" s="30"/>
      <c r="I85" s="6"/>
      <c r="K85" s="33" t="str">
        <f ca="1">IF(AND(INDEX(Table25[#All],MATCH(A85,Table25[[#All],[Mã SP]],0),DAY(TODAY())+2)=0,INDEX(Table25[#All],MATCH(A85,Table25[[#All],[Mã SP]],0),DAY(TODAY())+1)&gt;0),"x","")</f>
        <v/>
      </c>
      <c r="L85" s="33" t="str">
        <f ca="1">IF(AND(INDEX(Table25[#All],MATCH(A85,Table25[[#All],[Mã SP]],0),DAY(TODAY())+2)&gt;0,INDEX(Table25[#All],MATCH(A85,Table25[[#All],[Mã SP]],0),DAY(TODAY())+1)&lt;=0),"x","")</f>
        <v/>
      </c>
      <c r="M85" s="33" t="str">
        <f t="shared" si="1"/>
        <v/>
      </c>
    </row>
    <row r="86" spans="1:13" ht="12.75" customHeight="1">
      <c r="A86" s="38" t="s">
        <v>123</v>
      </c>
      <c r="B86" s="15" t="s">
        <v>190</v>
      </c>
      <c r="C86" s="30">
        <v>70000</v>
      </c>
      <c r="D86" s="26">
        <f>IF(H86&lt;&gt;"x",VLOOKUP($A86,NhatkyNhap!A:AH,34,FALSE)-VLOOKUP($A86,NhatkyBan!A:AH,34,FALSE),"N/A")</f>
        <v>12</v>
      </c>
      <c r="E86" s="17" t="s">
        <v>191</v>
      </c>
      <c r="F86" s="17"/>
      <c r="G86" s="30">
        <v>70000</v>
      </c>
      <c r="H86" s="30"/>
      <c r="I86" s="6"/>
      <c r="K86" s="33" t="str">
        <f ca="1">IF(AND(INDEX(Table25[#All],MATCH(A86,Table25[[#All],[Mã SP]],0),DAY(TODAY())+2)=0,INDEX(Table25[#All],MATCH(A86,Table25[[#All],[Mã SP]],0),DAY(TODAY())+1)&gt;0),"x","")</f>
        <v/>
      </c>
      <c r="L86" s="33" t="str">
        <f ca="1">IF(AND(INDEX(Table25[#All],MATCH(A86,Table25[[#All],[Mã SP]],0),DAY(TODAY())+2)&gt;0,INDEX(Table25[#All],MATCH(A86,Table25[[#All],[Mã SP]],0),DAY(TODAY())+1)&lt;=0),"x","")</f>
        <v/>
      </c>
      <c r="M86" s="33" t="str">
        <f t="shared" si="1"/>
        <v/>
      </c>
    </row>
    <row r="87" spans="1:13" ht="12.75" customHeight="1">
      <c r="A87" s="38" t="s">
        <v>124</v>
      </c>
      <c r="B87" s="15" t="s">
        <v>125</v>
      </c>
      <c r="C87" s="30">
        <v>70000</v>
      </c>
      <c r="D87" s="26">
        <f>IF(H87&lt;&gt;"x",VLOOKUP($A87,NhatkyNhap!A:AH,34,FALSE)-VLOOKUP($A87,NhatkyBan!A:AH,34,FALSE),"N/A")</f>
        <v>0</v>
      </c>
      <c r="E87" s="17" t="s">
        <v>191</v>
      </c>
      <c r="F87" s="17"/>
      <c r="G87" s="30">
        <v>70000</v>
      </c>
      <c r="H87" s="30"/>
      <c r="I87" s="6"/>
      <c r="J87" s="5" t="s">
        <v>498</v>
      </c>
      <c r="K87" s="33" t="str">
        <f ca="1">IF(AND(INDEX(Table25[#All],MATCH(A87,Table25[[#All],[Mã SP]],0),DAY(TODAY())+2)=0,INDEX(Table25[#All],MATCH(A87,Table25[[#All],[Mã SP]],0),DAY(TODAY())+1)&gt;0),"x","")</f>
        <v>x</v>
      </c>
      <c r="L87" s="33" t="str">
        <f ca="1">IF(AND(INDEX(Table25[#All],MATCH(A87,Table25[[#All],[Mã SP]],0),DAY(TODAY())+2)&gt;0,INDEX(Table25[#All],MATCH(A87,Table25[[#All],[Mã SP]],0),DAY(TODAY())+1)&lt;=0),"x","")</f>
        <v/>
      </c>
      <c r="M87" s="33" t="str">
        <f t="shared" si="1"/>
        <v/>
      </c>
    </row>
    <row r="88" spans="1:13" ht="12.75" customHeight="1">
      <c r="A88" s="38" t="s">
        <v>126</v>
      </c>
      <c r="B88" s="15" t="s">
        <v>406</v>
      </c>
      <c r="C88" s="30">
        <v>70000</v>
      </c>
      <c r="D88" s="26">
        <f>IF(H88&lt;&gt;"x",VLOOKUP($A88,NhatkyNhap!A:AH,34,FALSE)-VLOOKUP($A88,NhatkyBan!A:AH,34,FALSE),"N/A")</f>
        <v>0</v>
      </c>
      <c r="E88" s="17" t="s">
        <v>191</v>
      </c>
      <c r="F88" s="17"/>
      <c r="G88" s="30">
        <v>70000</v>
      </c>
      <c r="H88" s="30"/>
      <c r="I88" s="6"/>
      <c r="J88" s="5" t="s">
        <v>498</v>
      </c>
      <c r="K88" s="33" t="str">
        <f ca="1">IF(AND(INDEX(Table25[#All],MATCH(A88,Table25[[#All],[Mã SP]],0),DAY(TODAY())+2)=0,INDEX(Table25[#All],MATCH(A88,Table25[[#All],[Mã SP]],0),DAY(TODAY())+1)&gt;0),"x","")</f>
        <v>x</v>
      </c>
      <c r="L88" s="33" t="str">
        <f ca="1">IF(AND(INDEX(Table25[#All],MATCH(A88,Table25[[#All],[Mã SP]],0),DAY(TODAY())+2)&gt;0,INDEX(Table25[#All],MATCH(A88,Table25[[#All],[Mã SP]],0),DAY(TODAY())+1)&lt;=0),"x","")</f>
        <v/>
      </c>
      <c r="M88" s="33" t="str">
        <f t="shared" si="1"/>
        <v/>
      </c>
    </row>
    <row r="89" spans="1:13" ht="12.75" customHeight="1">
      <c r="A89" s="38" t="s">
        <v>127</v>
      </c>
      <c r="B89" s="15" t="s">
        <v>128</v>
      </c>
      <c r="C89" s="30">
        <v>70000</v>
      </c>
      <c r="D89" s="26">
        <f>IF(H89&lt;&gt;"x",VLOOKUP($A89,NhatkyNhap!A:AH,34,FALSE)-VLOOKUP($A89,NhatkyBan!A:AH,34,FALSE),"N/A")</f>
        <v>12</v>
      </c>
      <c r="E89" s="17" t="s">
        <v>191</v>
      </c>
      <c r="F89" s="17"/>
      <c r="G89" s="30">
        <v>70000</v>
      </c>
      <c r="H89" s="30"/>
      <c r="I89" s="6"/>
      <c r="K89" s="33" t="str">
        <f ca="1">IF(AND(INDEX(Table25[#All],MATCH(A89,Table25[[#All],[Mã SP]],0),DAY(TODAY())+2)=0,INDEX(Table25[#All],MATCH(A89,Table25[[#All],[Mã SP]],0),DAY(TODAY())+1)&gt;0),"x","")</f>
        <v/>
      </c>
      <c r="L89" s="33" t="str">
        <f ca="1">IF(AND(INDEX(Table25[#All],MATCH(A89,Table25[[#All],[Mã SP]],0),DAY(TODAY())+2)&gt;0,INDEX(Table25[#All],MATCH(A89,Table25[[#All],[Mã SP]],0),DAY(TODAY())+1)&lt;=0),"x","")</f>
        <v/>
      </c>
      <c r="M89" s="33" t="str">
        <f t="shared" si="1"/>
        <v/>
      </c>
    </row>
    <row r="90" spans="1:13" ht="12.75" customHeight="1">
      <c r="A90" s="38" t="s">
        <v>583</v>
      </c>
      <c r="B90" s="15" t="s">
        <v>586</v>
      </c>
      <c r="C90" s="30">
        <v>70000</v>
      </c>
      <c r="D90" s="26">
        <f>IF(H90&lt;&gt;"x",VLOOKUP($A90,NhatkyNhap!A:AH,34,FALSE)-VLOOKUP($A90,NhatkyBan!A:AH,34,FALSE),"N/A")</f>
        <v>0</v>
      </c>
      <c r="E90" s="17" t="s">
        <v>191</v>
      </c>
      <c r="F90" s="17"/>
      <c r="G90" s="30">
        <v>70000</v>
      </c>
      <c r="H90" s="30"/>
      <c r="I90" s="6"/>
      <c r="J90" s="5" t="s">
        <v>498</v>
      </c>
      <c r="K90" s="33" t="str">
        <f ca="1">IF(AND(INDEX(Table25[#All],MATCH(A90,Table25[[#All],[Mã SP]],0),DAY(TODAY())+2)=0,INDEX(Table25[#All],MATCH(A90,Table25[[#All],[Mã SP]],0),DAY(TODAY())+1)&gt;0),"x","")</f>
        <v>x</v>
      </c>
      <c r="L90" s="33" t="str">
        <f ca="1">IF(AND(INDEX(Table25[#All],MATCH(A90,Table25[[#All],[Mã SP]],0),DAY(TODAY())+2)&gt;0,INDEX(Table25[#All],MATCH(A90,Table25[[#All],[Mã SP]],0),DAY(TODAY())+1)&lt;=0),"x","")</f>
        <v/>
      </c>
      <c r="M90" s="33" t="str">
        <f t="shared" ref="M90" si="2">IF(C90-G90&lt;&gt;0,"x","")</f>
        <v/>
      </c>
    </row>
    <row r="91" spans="1:13" ht="12.75" customHeight="1">
      <c r="A91" s="38" t="s">
        <v>129</v>
      </c>
      <c r="B91" s="15" t="s">
        <v>130</v>
      </c>
      <c r="C91" s="30">
        <v>70000</v>
      </c>
      <c r="D91" s="26">
        <f>IF(H91&lt;&gt;"x",VLOOKUP($A91,NhatkyNhap!A:AH,34,FALSE)-VLOOKUP($A91,NhatkyBan!A:AH,34,FALSE),"N/A")</f>
        <v>18</v>
      </c>
      <c r="E91" s="17" t="s">
        <v>191</v>
      </c>
      <c r="F91" s="17"/>
      <c r="G91" s="30">
        <v>70000</v>
      </c>
      <c r="H91" s="30"/>
      <c r="I91" s="6"/>
      <c r="K91" s="33" t="str">
        <f ca="1">IF(AND(INDEX(Table25[#All],MATCH(A91,Table25[[#All],[Mã SP]],0),DAY(TODAY())+2)=0,INDEX(Table25[#All],MATCH(A91,Table25[[#All],[Mã SP]],0),DAY(TODAY())+1)&gt;0),"x","")</f>
        <v/>
      </c>
      <c r="L91" s="33" t="str">
        <f ca="1">IF(AND(INDEX(Table25[#All],MATCH(A91,Table25[[#All],[Mã SP]],0),DAY(TODAY())+2)&gt;0,INDEX(Table25[#All],MATCH(A91,Table25[[#All],[Mã SP]],0),DAY(TODAY())+1)&lt;=0),"x","")</f>
        <v/>
      </c>
      <c r="M91" s="33" t="str">
        <f t="shared" si="1"/>
        <v/>
      </c>
    </row>
    <row r="92" spans="1:13" ht="12.75" customHeight="1">
      <c r="A92" s="38" t="s">
        <v>131</v>
      </c>
      <c r="B92" s="15" t="s">
        <v>192</v>
      </c>
      <c r="C92" s="30">
        <v>70000</v>
      </c>
      <c r="D92" s="26">
        <f>IF(H92&lt;&gt;"x",VLOOKUP($A92,NhatkyNhap!A:AH,34,FALSE)-VLOOKUP($A92,NhatkyBan!A:AH,34,FALSE),"N/A")</f>
        <v>7</v>
      </c>
      <c r="E92" s="17" t="s">
        <v>191</v>
      </c>
      <c r="F92" s="17"/>
      <c r="G92" s="30">
        <v>70000</v>
      </c>
      <c r="H92" s="30"/>
      <c r="I92" s="6"/>
      <c r="K92" s="33" t="str">
        <f ca="1">IF(AND(INDEX(Table25[#All],MATCH(A92,Table25[[#All],[Mã SP]],0),DAY(TODAY())+2)=0,INDEX(Table25[#All],MATCH(A92,Table25[[#All],[Mã SP]],0),DAY(TODAY())+1)&gt;0),"x","")</f>
        <v/>
      </c>
      <c r="L92" s="33" t="str">
        <f ca="1">IF(AND(INDEX(Table25[#All],MATCH(A92,Table25[[#All],[Mã SP]],0),DAY(TODAY())+2)&gt;0,INDEX(Table25[#All],MATCH(A92,Table25[[#All],[Mã SP]],0),DAY(TODAY())+1)&lt;=0),"x","")</f>
        <v/>
      </c>
      <c r="M92" s="33" t="str">
        <f t="shared" si="1"/>
        <v/>
      </c>
    </row>
    <row r="93" spans="1:13" ht="12.75" customHeight="1">
      <c r="A93" s="38" t="s">
        <v>132</v>
      </c>
      <c r="B93" s="15" t="s">
        <v>133</v>
      </c>
      <c r="C93" s="30">
        <v>70000</v>
      </c>
      <c r="D93" s="26">
        <f>IF(H93&lt;&gt;"x",VLOOKUP($A93,NhatkyNhap!A:AH,34,FALSE)-VLOOKUP($A93,NhatkyBan!A:AH,34,FALSE),"N/A")</f>
        <v>3</v>
      </c>
      <c r="E93" s="17" t="s">
        <v>191</v>
      </c>
      <c r="F93" s="17"/>
      <c r="G93" s="30">
        <v>70000</v>
      </c>
      <c r="H93" s="30"/>
      <c r="I93" s="6"/>
      <c r="K93" s="33" t="str">
        <f ca="1">IF(AND(INDEX(Table25[#All],MATCH(A93,Table25[[#All],[Mã SP]],0),DAY(TODAY())+2)=0,INDEX(Table25[#All],MATCH(A93,Table25[[#All],[Mã SP]],0),DAY(TODAY())+1)&gt;0),"x","")</f>
        <v/>
      </c>
      <c r="L93" s="33" t="str">
        <f ca="1">IF(AND(INDEX(Table25[#All],MATCH(A93,Table25[[#All],[Mã SP]],0),DAY(TODAY())+2)&gt;0,INDEX(Table25[#All],MATCH(A93,Table25[[#All],[Mã SP]],0),DAY(TODAY())+1)&lt;=0),"x","")</f>
        <v/>
      </c>
      <c r="M93" s="33" t="str">
        <f t="shared" si="1"/>
        <v/>
      </c>
    </row>
    <row r="94" spans="1:13" ht="12.75" customHeight="1">
      <c r="A94" s="38" t="s">
        <v>134</v>
      </c>
      <c r="B94" s="15" t="s">
        <v>135</v>
      </c>
      <c r="C94" s="30">
        <v>70000</v>
      </c>
      <c r="D94" s="26">
        <f>IF(H94&lt;&gt;"x",VLOOKUP($A94,NhatkyNhap!A:AH,34,FALSE)-VLOOKUP($A94,NhatkyBan!A:AH,34,FALSE),"N/A")</f>
        <v>5</v>
      </c>
      <c r="E94" s="17" t="s">
        <v>191</v>
      </c>
      <c r="F94" s="17"/>
      <c r="G94" s="30">
        <v>70000</v>
      </c>
      <c r="H94" s="30"/>
      <c r="I94" s="6"/>
      <c r="K94" s="33" t="str">
        <f ca="1">IF(AND(INDEX(Table25[#All],MATCH(A94,Table25[[#All],[Mã SP]],0),DAY(TODAY())+2)=0,INDEX(Table25[#All],MATCH(A94,Table25[[#All],[Mã SP]],0),DAY(TODAY())+1)&gt;0),"x","")</f>
        <v/>
      </c>
      <c r="L94" s="33" t="str">
        <f ca="1">IF(AND(INDEX(Table25[#All],MATCH(A94,Table25[[#All],[Mã SP]],0),DAY(TODAY())+2)&gt;0,INDEX(Table25[#All],MATCH(A94,Table25[[#All],[Mã SP]],0),DAY(TODAY())+1)&lt;=0),"x","")</f>
        <v/>
      </c>
      <c r="M94" s="33" t="str">
        <f t="shared" si="1"/>
        <v/>
      </c>
    </row>
    <row r="95" spans="1:13" ht="12.75" customHeight="1">
      <c r="A95" s="38" t="s">
        <v>136</v>
      </c>
      <c r="B95" s="15" t="s">
        <v>88</v>
      </c>
      <c r="C95" s="30">
        <v>70000</v>
      </c>
      <c r="D95" s="26">
        <f>IF(H95&lt;&gt;"x",VLOOKUP($A95,NhatkyNhap!A:AH,34,FALSE)-VLOOKUP($A95,NhatkyBan!A:AH,34,FALSE),"N/A")</f>
        <v>16</v>
      </c>
      <c r="E95" s="17" t="s">
        <v>191</v>
      </c>
      <c r="F95" s="17"/>
      <c r="G95" s="30">
        <v>70000</v>
      </c>
      <c r="H95" s="30"/>
      <c r="I95" s="6"/>
      <c r="K95" s="33" t="str">
        <f ca="1">IF(AND(INDEX(Table25[#All],MATCH(A95,Table25[[#All],[Mã SP]],0),DAY(TODAY())+2)=0,INDEX(Table25[#All],MATCH(A95,Table25[[#All],[Mã SP]],0),DAY(TODAY())+1)&gt;0),"x","")</f>
        <v/>
      </c>
      <c r="L95" s="33" t="str">
        <f ca="1">IF(AND(INDEX(Table25[#All],MATCH(A95,Table25[[#All],[Mã SP]],0),DAY(TODAY())+2)&gt;0,INDEX(Table25[#All],MATCH(A95,Table25[[#All],[Mã SP]],0),DAY(TODAY())+1)&lt;=0),"x","")</f>
        <v/>
      </c>
      <c r="M95" s="33" t="str">
        <f t="shared" si="1"/>
        <v/>
      </c>
    </row>
    <row r="96" spans="1:13" ht="12.75" customHeight="1">
      <c r="A96" s="38" t="s">
        <v>137</v>
      </c>
      <c r="B96" s="15" t="s">
        <v>193</v>
      </c>
      <c r="C96" s="30">
        <v>70000</v>
      </c>
      <c r="D96" s="26">
        <f>IF(H96&lt;&gt;"x",VLOOKUP($A96,NhatkyNhap!A:AH,34,FALSE)-VLOOKUP($A96,NhatkyBan!A:AH,34,FALSE),"N/A")</f>
        <v>0</v>
      </c>
      <c r="E96" s="17" t="s">
        <v>191</v>
      </c>
      <c r="F96" s="17"/>
      <c r="G96" s="30">
        <v>70000</v>
      </c>
      <c r="H96" s="30"/>
      <c r="I96" s="6"/>
      <c r="K96" s="33" t="str">
        <f ca="1">IF(AND(INDEX(Table25[#All],MATCH(A96,Table25[[#All],[Mã SP]],0),DAY(TODAY())+2)=0,INDEX(Table25[#All],MATCH(A96,Table25[[#All],[Mã SP]],0),DAY(TODAY())+1)&gt;0),"x","")</f>
        <v>x</v>
      </c>
      <c r="L96" s="33" t="str">
        <f ca="1">IF(AND(INDEX(Table25[#All],MATCH(A96,Table25[[#All],[Mã SP]],0),DAY(TODAY())+2)&gt;0,INDEX(Table25[#All],MATCH(A96,Table25[[#All],[Mã SP]],0),DAY(TODAY())+1)&lt;=0),"x","")</f>
        <v/>
      </c>
      <c r="M96" s="33" t="str">
        <f t="shared" si="1"/>
        <v/>
      </c>
    </row>
    <row r="97" spans="1:13" ht="12.75" customHeight="1">
      <c r="A97" s="38" t="s">
        <v>138</v>
      </c>
      <c r="B97" s="15" t="s">
        <v>139</v>
      </c>
      <c r="C97" s="30">
        <v>70000</v>
      </c>
      <c r="D97" s="26">
        <f>IF(H97&lt;&gt;"x",VLOOKUP($A97,NhatkyNhap!A:AH,34,FALSE)-VLOOKUP($A97,NhatkyBan!A:AH,34,FALSE),"N/A")</f>
        <v>18</v>
      </c>
      <c r="E97" s="17" t="s">
        <v>191</v>
      </c>
      <c r="F97" s="17"/>
      <c r="G97" s="30">
        <v>70000</v>
      </c>
      <c r="H97" s="30"/>
      <c r="I97" s="6"/>
      <c r="K97" s="33" t="str">
        <f ca="1">IF(AND(INDEX(Table25[#All],MATCH(A97,Table25[[#All],[Mã SP]],0),DAY(TODAY())+2)=0,INDEX(Table25[#All],MATCH(A97,Table25[[#All],[Mã SP]],0),DAY(TODAY())+1)&gt;0),"x","")</f>
        <v/>
      </c>
      <c r="L97" s="33" t="str">
        <f ca="1">IF(AND(INDEX(Table25[#All],MATCH(A97,Table25[[#All],[Mã SP]],0),DAY(TODAY())+2)&gt;0,INDEX(Table25[#All],MATCH(A97,Table25[[#All],[Mã SP]],0),DAY(TODAY())+1)&lt;=0),"x","")</f>
        <v/>
      </c>
      <c r="M97" s="33" t="str">
        <f t="shared" si="1"/>
        <v/>
      </c>
    </row>
    <row r="98" spans="1:13" ht="12.75" customHeight="1">
      <c r="A98" s="38" t="s">
        <v>140</v>
      </c>
      <c r="B98" s="15" t="s">
        <v>141</v>
      </c>
      <c r="C98" s="30">
        <v>70000</v>
      </c>
      <c r="D98" s="26">
        <f>IF(H98&lt;&gt;"x",VLOOKUP($A98,NhatkyNhap!A:AH,34,FALSE)-VLOOKUP($A98,NhatkyBan!A:AH,34,FALSE),"N/A")</f>
        <v>21</v>
      </c>
      <c r="E98" s="17" t="s">
        <v>191</v>
      </c>
      <c r="F98" s="17"/>
      <c r="G98" s="30">
        <v>70000</v>
      </c>
      <c r="H98" s="30"/>
      <c r="I98" s="6"/>
      <c r="K98" s="33" t="str">
        <f ca="1">IF(AND(INDEX(Table25[#All],MATCH(A98,Table25[[#All],[Mã SP]],0),DAY(TODAY())+2)=0,INDEX(Table25[#All],MATCH(A98,Table25[[#All],[Mã SP]],0),DAY(TODAY())+1)&gt;0),"x","")</f>
        <v/>
      </c>
      <c r="L98" s="33" t="str">
        <f ca="1">IF(AND(INDEX(Table25[#All],MATCH(A98,Table25[[#All],[Mã SP]],0),DAY(TODAY())+2)&gt;0,INDEX(Table25[#All],MATCH(A98,Table25[[#All],[Mã SP]],0),DAY(TODAY())+1)&lt;=0),"x","")</f>
        <v/>
      </c>
      <c r="M98" s="33" t="str">
        <f t="shared" si="1"/>
        <v/>
      </c>
    </row>
    <row r="99" spans="1:13" ht="12.75" customHeight="1">
      <c r="A99" s="38" t="s">
        <v>142</v>
      </c>
      <c r="B99" s="15" t="s">
        <v>194</v>
      </c>
      <c r="C99" s="30">
        <v>70000</v>
      </c>
      <c r="D99" s="26">
        <f>IF(H99&lt;&gt;"x",VLOOKUP($A99,NhatkyNhap!A:AH,34,FALSE)-VLOOKUP($A99,NhatkyBan!A:AH,34,FALSE),"N/A")</f>
        <v>0</v>
      </c>
      <c r="E99" s="17" t="s">
        <v>191</v>
      </c>
      <c r="F99" s="17"/>
      <c r="G99" s="30">
        <v>70000</v>
      </c>
      <c r="H99" s="30"/>
      <c r="I99" s="6"/>
      <c r="J99" s="5" t="s">
        <v>498</v>
      </c>
      <c r="K99" s="33" t="str">
        <f ca="1">IF(AND(INDEX(Table25[#All],MATCH(A99,Table25[[#All],[Mã SP]],0),DAY(TODAY())+2)=0,INDEX(Table25[#All],MATCH(A99,Table25[[#All],[Mã SP]],0),DAY(TODAY())+1)&gt;0),"x","")</f>
        <v>x</v>
      </c>
      <c r="L99" s="33" t="str">
        <f ca="1">IF(AND(INDEX(Table25[#All],MATCH(A99,Table25[[#All],[Mã SP]],0),DAY(TODAY())+2)&gt;0,INDEX(Table25[#All],MATCH(A99,Table25[[#All],[Mã SP]],0),DAY(TODAY())+1)&lt;=0),"x","")</f>
        <v/>
      </c>
      <c r="M99" s="33" t="str">
        <f t="shared" si="1"/>
        <v/>
      </c>
    </row>
    <row r="100" spans="1:13" ht="12.75" customHeight="1">
      <c r="A100" s="38" t="s">
        <v>195</v>
      </c>
      <c r="B100" s="15" t="s">
        <v>196</v>
      </c>
      <c r="C100" s="30">
        <v>14000</v>
      </c>
      <c r="D100" s="26">
        <f>IF(H100&lt;&gt;"x",VLOOKUP($A100,NhatkyNhap!A:AH,34,FALSE)-VLOOKUP($A100,NhatkyBan!A:AH,34,FALSE),"N/A")</f>
        <v>-2</v>
      </c>
      <c r="E100" s="17" t="s">
        <v>455</v>
      </c>
      <c r="F100" s="17"/>
      <c r="G100" s="30">
        <v>14000</v>
      </c>
      <c r="H100" s="30"/>
      <c r="I100" s="6"/>
      <c r="J100" s="5" t="s">
        <v>498</v>
      </c>
      <c r="K100" s="33" t="str">
        <f ca="1">IF(AND(INDEX(Table25[#All],MATCH(A100,Table25[[#All],[Mã SP]],0),DAY(TODAY())+2)=0,INDEX(Table25[#All],MATCH(A100,Table25[[#All],[Mã SP]],0),DAY(TODAY())+1)&gt;0),"x","")</f>
        <v/>
      </c>
      <c r="L100" s="33" t="str">
        <f ca="1">IF(AND(INDEX(Table25[#All],MATCH(A100,Table25[[#All],[Mã SP]],0),DAY(TODAY())+2)&gt;0,INDEX(Table25[#All],MATCH(A100,Table25[[#All],[Mã SP]],0),DAY(TODAY())+1)&lt;=0),"x","")</f>
        <v/>
      </c>
      <c r="M100" s="33" t="str">
        <f t="shared" si="1"/>
        <v/>
      </c>
    </row>
    <row r="101" spans="1:13" ht="12.75" customHeight="1">
      <c r="A101" s="20" t="s">
        <v>589</v>
      </c>
      <c r="B101" s="6" t="s">
        <v>594</v>
      </c>
      <c r="C101" s="6">
        <v>30000</v>
      </c>
      <c r="D101" s="26">
        <f>IF(H101&lt;&gt;"x",VLOOKUP($A101,NhatkyNhap!A:AH,34,FALSE)-VLOOKUP($A101,NhatkyBan!A:AH,34,FALSE),"N/A")</f>
        <v>9</v>
      </c>
      <c r="E101" s="6" t="s">
        <v>599</v>
      </c>
      <c r="F101" s="6"/>
      <c r="G101" s="6"/>
      <c r="H101" s="6"/>
      <c r="I101" s="6"/>
      <c r="K101" s="33" t="str">
        <f ca="1">IF(AND(INDEX(Table25[#All],MATCH(A101,Table25[[#All],[Mã SP]],0),DAY(TODAY())+2)=0,INDEX(Table25[#All],MATCH(A101,Table25[[#All],[Mã SP]],0),DAY(TODAY())+1)&gt;0),"x","")</f>
        <v/>
      </c>
      <c r="L101" s="33" t="str">
        <f ca="1">IF(AND(INDEX(Table25[#All],MATCH(A101,Table25[[#All],[Mã SP]],0),DAY(TODAY())+2)&gt;0,INDEX(Table25[#All],MATCH(A101,Table25[[#All],[Mã SP]],0),DAY(TODAY())+1)&lt;=0),"x","")</f>
        <v/>
      </c>
    </row>
    <row r="102" spans="1:13" ht="12.75" customHeight="1">
      <c r="A102" s="20" t="s">
        <v>593</v>
      </c>
      <c r="B102" s="6" t="s">
        <v>598</v>
      </c>
      <c r="C102" s="6">
        <v>30000</v>
      </c>
      <c r="D102" s="26">
        <f>IF(H102&lt;&gt;"x",VLOOKUP($A102,NhatkyNhap!A:AH,34,FALSE)-VLOOKUP($A102,NhatkyBan!A:AH,34,FALSE),"N/A")</f>
        <v>6</v>
      </c>
      <c r="E102" s="6" t="s">
        <v>599</v>
      </c>
      <c r="F102" s="6"/>
      <c r="G102" s="6"/>
      <c r="H102" s="6"/>
      <c r="I102" s="6"/>
      <c r="K102" s="33" t="str">
        <f ca="1">IF(AND(INDEX(Table25[#All],MATCH(A102,Table25[[#All],[Mã SP]],0),DAY(TODAY())+2)=0,INDEX(Table25[#All],MATCH(A102,Table25[[#All],[Mã SP]],0),DAY(TODAY())+1)&gt;0),"x","")</f>
        <v/>
      </c>
      <c r="L102" s="33" t="str">
        <f ca="1">IF(AND(INDEX(Table25[#All],MATCH(A102,Table25[[#All],[Mã SP]],0),DAY(TODAY())+2)&gt;0,INDEX(Table25[#All],MATCH(A102,Table25[[#All],[Mã SP]],0),DAY(TODAY())+1)&lt;=0),"x","")</f>
        <v/>
      </c>
    </row>
    <row r="103" spans="1:13" ht="12.75" customHeight="1">
      <c r="A103" s="20" t="s">
        <v>590</v>
      </c>
      <c r="B103" s="6" t="s">
        <v>595</v>
      </c>
      <c r="C103" s="6">
        <v>30000</v>
      </c>
      <c r="D103" s="26">
        <f>IF(H103&lt;&gt;"x",VLOOKUP($A103,NhatkyNhap!A:AH,34,FALSE)-VLOOKUP($A103,NhatkyBan!A:AH,34,FALSE),"N/A")</f>
        <v>7</v>
      </c>
      <c r="E103" s="6" t="s">
        <v>599</v>
      </c>
      <c r="F103" s="6"/>
      <c r="G103" s="6"/>
      <c r="H103" s="6"/>
      <c r="I103" s="6"/>
      <c r="K103" s="33" t="str">
        <f ca="1">IF(AND(INDEX(Table25[#All],MATCH(A103,Table25[[#All],[Mã SP]],0),DAY(TODAY())+2)=0,INDEX(Table25[#All],MATCH(A103,Table25[[#All],[Mã SP]],0),DAY(TODAY())+1)&gt;0),"x","")</f>
        <v/>
      </c>
      <c r="L103" s="33" t="str">
        <f ca="1">IF(AND(INDEX(Table25[#All],MATCH(A103,Table25[[#All],[Mã SP]],0),DAY(TODAY())+2)&gt;0,INDEX(Table25[#All],MATCH(A103,Table25[[#All],[Mã SP]],0),DAY(TODAY())+1)&lt;=0),"x","")</f>
        <v/>
      </c>
    </row>
    <row r="104" spans="1:13" ht="12.75" customHeight="1">
      <c r="A104" s="20" t="s">
        <v>592</v>
      </c>
      <c r="B104" s="6" t="s">
        <v>597</v>
      </c>
      <c r="C104" s="6">
        <v>30000</v>
      </c>
      <c r="D104" s="26">
        <f>IF(H104&lt;&gt;"x",VLOOKUP($A104,NhatkyNhap!A:AH,34,FALSE)-VLOOKUP($A104,NhatkyBan!A:AH,34,FALSE),"N/A")</f>
        <v>11</v>
      </c>
      <c r="E104" s="6" t="s">
        <v>599</v>
      </c>
      <c r="F104" s="6"/>
      <c r="G104" s="6"/>
      <c r="H104" s="6"/>
      <c r="I104" s="6"/>
      <c r="K104" s="33" t="str">
        <f ca="1">IF(AND(INDEX(Table25[#All],MATCH(A104,Table25[[#All],[Mã SP]],0),DAY(TODAY())+2)=0,INDEX(Table25[#All],MATCH(A104,Table25[[#All],[Mã SP]],0),DAY(TODAY())+1)&gt;0),"x","")</f>
        <v/>
      </c>
      <c r="L104" s="33" t="str">
        <f ca="1">IF(AND(INDEX(Table25[#All],MATCH(A104,Table25[[#All],[Mã SP]],0),DAY(TODAY())+2)&gt;0,INDEX(Table25[#All],MATCH(A104,Table25[[#All],[Mã SP]],0),DAY(TODAY())+1)&lt;=0),"x","")</f>
        <v/>
      </c>
    </row>
    <row r="105" spans="1:13" ht="12.75" customHeight="1">
      <c r="A105" s="20" t="s">
        <v>591</v>
      </c>
      <c r="B105" s="6" t="s">
        <v>596</v>
      </c>
      <c r="C105" s="6">
        <v>30000</v>
      </c>
      <c r="D105" s="26">
        <f>IF(H105&lt;&gt;"x",VLOOKUP($A105,NhatkyNhap!A:AH,34,FALSE)-VLOOKUP($A105,NhatkyBan!A:AH,34,FALSE),"N/A")</f>
        <v>12</v>
      </c>
      <c r="E105" s="6" t="s">
        <v>599</v>
      </c>
      <c r="F105" s="6"/>
      <c r="G105" s="6"/>
      <c r="H105" s="6"/>
      <c r="I105" s="6"/>
      <c r="K105" s="33" t="str">
        <f ca="1">IF(AND(INDEX(Table25[#All],MATCH(A105,Table25[[#All],[Mã SP]],0),DAY(TODAY())+2)=0,INDEX(Table25[#All],MATCH(A105,Table25[[#All],[Mã SP]],0),DAY(TODAY())+1)&gt;0),"x","")</f>
        <v/>
      </c>
      <c r="L105" s="33" t="str">
        <f ca="1">IF(AND(INDEX(Table25[#All],MATCH(A105,Table25[[#All],[Mã SP]],0),DAY(TODAY())+2)&gt;0,INDEX(Table25[#All],MATCH(A105,Table25[[#All],[Mã SP]],0),DAY(TODAY())+1)&lt;=0),"x","")</f>
        <v/>
      </c>
    </row>
    <row r="106" spans="1:13" ht="12.75" customHeight="1">
      <c r="A106" s="38" t="s">
        <v>464</v>
      </c>
      <c r="B106" s="15" t="s">
        <v>465</v>
      </c>
      <c r="C106" s="29">
        <v>35000</v>
      </c>
      <c r="D106" s="26">
        <f>IF(H106&lt;&gt;"x",VLOOKUP($A106,NhatkyNhap!A:AH,34,FALSE)-VLOOKUP($A106,NhatkyBan!A:AH,34,FALSE),"N/A")</f>
        <v>44</v>
      </c>
      <c r="E106" s="27" t="s">
        <v>198</v>
      </c>
      <c r="F106" s="27"/>
      <c r="G106" s="29">
        <v>35000</v>
      </c>
      <c r="H106" s="29"/>
      <c r="I106" s="26"/>
      <c r="J106" s="5" t="s">
        <v>585</v>
      </c>
      <c r="K106" s="33" t="str">
        <f ca="1">IF(AND(INDEX(Table25[#All],MATCH(A106,Table25[[#All],[Mã SP]],0),DAY(TODAY())+2)=0,INDEX(Table25[#All],MATCH(A106,Table25[[#All],[Mã SP]],0),DAY(TODAY())+1)&gt;0),"x","")</f>
        <v/>
      </c>
      <c r="L106" s="33" t="str">
        <f ca="1">IF(AND(INDEX(Table25[#All],MATCH(A106,Table25[[#All],[Mã SP]],0),DAY(TODAY())+2)&gt;0,INDEX(Table25[#All],MATCH(A106,Table25[[#All],[Mã SP]],0),DAY(TODAY())+1)&lt;=0),"x","")</f>
        <v/>
      </c>
      <c r="M106" s="33" t="str">
        <f t="shared" si="1"/>
        <v/>
      </c>
    </row>
    <row r="107" spans="1:13" ht="12.75" customHeight="1">
      <c r="A107" s="38" t="s">
        <v>197</v>
      </c>
      <c r="B107" s="16" t="s">
        <v>3</v>
      </c>
      <c r="C107" s="30">
        <v>30000</v>
      </c>
      <c r="D107" s="26">
        <f>IF(H107&lt;&gt;"x",VLOOKUP($A107,NhatkyNhap!A:AH,34,FALSE)-VLOOKUP($A107,NhatkyBan!A:AH,34,FALSE),"N/A")</f>
        <v>0</v>
      </c>
      <c r="E107" s="17" t="s">
        <v>198</v>
      </c>
      <c r="F107" s="17"/>
      <c r="G107" s="30">
        <v>30000</v>
      </c>
      <c r="H107" s="30"/>
      <c r="I107" s="6"/>
      <c r="J107" s="5" t="s">
        <v>498</v>
      </c>
      <c r="K107" s="33" t="str">
        <f ca="1">IF(AND(INDEX(Table25[#All],MATCH(A107,Table25[[#All],[Mã SP]],0),DAY(TODAY())+2)=0,INDEX(Table25[#All],MATCH(A107,Table25[[#All],[Mã SP]],0),DAY(TODAY())+1)&gt;0),"x","")</f>
        <v>x</v>
      </c>
      <c r="L107" s="33" t="str">
        <f ca="1">IF(AND(INDEX(Table25[#All],MATCH(A107,Table25[[#All],[Mã SP]],0),DAY(TODAY())+2)&gt;0,INDEX(Table25[#All],MATCH(A107,Table25[[#All],[Mã SP]],0),DAY(TODAY())+1)&lt;=0),"x","")</f>
        <v/>
      </c>
      <c r="M107" s="33" t="str">
        <f t="shared" si="1"/>
        <v/>
      </c>
    </row>
    <row r="108" spans="1:13" ht="12.75" customHeight="1">
      <c r="A108" s="38" t="s">
        <v>199</v>
      </c>
      <c r="B108" s="16" t="s">
        <v>73</v>
      </c>
      <c r="C108" s="30">
        <v>30000</v>
      </c>
      <c r="D108" s="26">
        <f>IF(H108&lt;&gt;"x",VLOOKUP($A108,NhatkyNhap!A:AH,34,FALSE)-VLOOKUP($A108,NhatkyBan!A:AH,34,FALSE),"N/A")</f>
        <v>0</v>
      </c>
      <c r="E108" s="17" t="s">
        <v>198</v>
      </c>
      <c r="F108" s="17"/>
      <c r="G108" s="30">
        <v>30000</v>
      </c>
      <c r="H108" s="30"/>
      <c r="I108" s="6"/>
      <c r="J108" s="5" t="s">
        <v>498</v>
      </c>
      <c r="K108" s="33" t="str">
        <f ca="1">IF(AND(INDEX(Table25[#All],MATCH(A108,Table25[[#All],[Mã SP]],0),DAY(TODAY())+2)=0,INDEX(Table25[#All],MATCH(A108,Table25[[#All],[Mã SP]],0),DAY(TODAY())+1)&gt;0),"x","")</f>
        <v>x</v>
      </c>
      <c r="L108" s="33" t="str">
        <f ca="1">IF(AND(INDEX(Table25[#All],MATCH(A108,Table25[[#All],[Mã SP]],0),DAY(TODAY())+2)&gt;0,INDEX(Table25[#All],MATCH(A108,Table25[[#All],[Mã SP]],0),DAY(TODAY())+1)&lt;=0),"x","")</f>
        <v/>
      </c>
      <c r="M108" s="33" t="str">
        <f t="shared" si="1"/>
        <v/>
      </c>
    </row>
    <row r="109" spans="1:13" ht="12.75" customHeight="1">
      <c r="A109" s="38" t="s">
        <v>200</v>
      </c>
      <c r="B109" s="16" t="s">
        <v>201</v>
      </c>
      <c r="C109" s="30">
        <v>30000</v>
      </c>
      <c r="D109" s="26">
        <f>IF(H109&lt;&gt;"x",VLOOKUP($A109,NhatkyNhap!A:AH,34,FALSE)-VLOOKUP($A109,NhatkyBan!A:AH,34,FALSE),"N/A")</f>
        <v>2</v>
      </c>
      <c r="E109" s="17" t="s">
        <v>198</v>
      </c>
      <c r="F109" s="17"/>
      <c r="G109" s="30">
        <v>30000</v>
      </c>
      <c r="H109" s="30"/>
      <c r="I109" s="6"/>
      <c r="K109" s="33" t="str">
        <f ca="1">IF(AND(INDEX(Table25[#All],MATCH(A109,Table25[[#All],[Mã SP]],0),DAY(TODAY())+2)=0,INDEX(Table25[#All],MATCH(A109,Table25[[#All],[Mã SP]],0),DAY(TODAY())+1)&gt;0),"x","")</f>
        <v/>
      </c>
      <c r="L109" s="33" t="str">
        <f ca="1">IF(AND(INDEX(Table25[#All],MATCH(A109,Table25[[#All],[Mã SP]],0),DAY(TODAY())+2)&gt;0,INDEX(Table25[#All],MATCH(A109,Table25[[#All],[Mã SP]],0),DAY(TODAY())+1)&lt;=0),"x","")</f>
        <v/>
      </c>
      <c r="M109" s="33" t="str">
        <f t="shared" si="1"/>
        <v/>
      </c>
    </row>
    <row r="110" spans="1:13" ht="12.75" customHeight="1">
      <c r="A110" s="38" t="s">
        <v>202</v>
      </c>
      <c r="B110" s="16" t="s">
        <v>203</v>
      </c>
      <c r="C110" s="30">
        <v>30000</v>
      </c>
      <c r="D110" s="26">
        <f>IF(H110&lt;&gt;"x",VLOOKUP($A110,NhatkyNhap!A:AH,34,FALSE)-VLOOKUP($A110,NhatkyBan!A:AH,34,FALSE),"N/A")</f>
        <v>0</v>
      </c>
      <c r="E110" s="17" t="s">
        <v>198</v>
      </c>
      <c r="F110" s="17"/>
      <c r="G110" s="30">
        <v>30000</v>
      </c>
      <c r="H110" s="30"/>
      <c r="I110" s="6"/>
      <c r="J110" s="5" t="s">
        <v>498</v>
      </c>
      <c r="K110" s="33" t="str">
        <f ca="1">IF(AND(INDEX(Table25[#All],MATCH(A110,Table25[[#All],[Mã SP]],0),DAY(TODAY())+2)=0,INDEX(Table25[#All],MATCH(A110,Table25[[#All],[Mã SP]],0),DAY(TODAY())+1)&gt;0),"x","")</f>
        <v>x</v>
      </c>
      <c r="L110" s="33" t="str">
        <f ca="1">IF(AND(INDEX(Table25[#All],MATCH(A110,Table25[[#All],[Mã SP]],0),DAY(TODAY())+2)&gt;0,INDEX(Table25[#All],MATCH(A110,Table25[[#All],[Mã SP]],0),DAY(TODAY())+1)&lt;=0),"x","")</f>
        <v/>
      </c>
      <c r="M110" s="33" t="str">
        <f t="shared" si="1"/>
        <v/>
      </c>
    </row>
    <row r="111" spans="1:13" ht="12.75" customHeight="1">
      <c r="A111" s="38" t="s">
        <v>204</v>
      </c>
      <c r="B111" s="16" t="s">
        <v>205</v>
      </c>
      <c r="C111" s="30">
        <v>30000</v>
      </c>
      <c r="D111" s="26">
        <f>IF(H111&lt;&gt;"x",VLOOKUP($A111,NhatkyNhap!A:AH,34,FALSE)-VLOOKUP($A111,NhatkyBan!A:AH,34,FALSE),"N/A")</f>
        <v>0</v>
      </c>
      <c r="E111" s="17" t="s">
        <v>198</v>
      </c>
      <c r="F111" s="17"/>
      <c r="G111" s="30">
        <v>30000</v>
      </c>
      <c r="H111" s="30"/>
      <c r="I111" s="6"/>
      <c r="J111" s="5" t="s">
        <v>498</v>
      </c>
      <c r="K111" s="33" t="str">
        <f ca="1">IF(AND(INDEX(Table25[#All],MATCH(A111,Table25[[#All],[Mã SP]],0),DAY(TODAY())+2)=0,INDEX(Table25[#All],MATCH(A111,Table25[[#All],[Mã SP]],0),DAY(TODAY())+1)&gt;0),"x","")</f>
        <v>x</v>
      </c>
      <c r="L111" s="33" t="str">
        <f ca="1">IF(AND(INDEX(Table25[#All],MATCH(A111,Table25[[#All],[Mã SP]],0),DAY(TODAY())+2)&gt;0,INDEX(Table25[#All],MATCH(A111,Table25[[#All],[Mã SP]],0),DAY(TODAY())+1)&lt;=0),"x","")</f>
        <v/>
      </c>
      <c r="M111" s="33" t="str">
        <f t="shared" si="1"/>
        <v/>
      </c>
    </row>
    <row r="112" spans="1:13" ht="12.75" customHeight="1">
      <c r="A112" s="38" t="s">
        <v>206</v>
      </c>
      <c r="B112" s="16" t="s">
        <v>207</v>
      </c>
      <c r="C112" s="30">
        <v>30000</v>
      </c>
      <c r="D112" s="26">
        <f>IF(H112&lt;&gt;"x",VLOOKUP($A112,NhatkyNhap!A:AH,34,FALSE)-VLOOKUP($A112,NhatkyBan!A:AH,34,FALSE),"N/A")</f>
        <v>1</v>
      </c>
      <c r="E112" s="17" t="s">
        <v>198</v>
      </c>
      <c r="F112" s="17"/>
      <c r="G112" s="30">
        <v>30000</v>
      </c>
      <c r="H112" s="30"/>
      <c r="I112" s="6"/>
      <c r="K112" s="33" t="str">
        <f ca="1">IF(AND(INDEX(Table25[#All],MATCH(A112,Table25[[#All],[Mã SP]],0),DAY(TODAY())+2)=0,INDEX(Table25[#All],MATCH(A112,Table25[[#All],[Mã SP]],0),DAY(TODAY())+1)&gt;0),"x","")</f>
        <v/>
      </c>
      <c r="L112" s="33" t="str">
        <f ca="1">IF(AND(INDEX(Table25[#All],MATCH(A112,Table25[[#All],[Mã SP]],0),DAY(TODAY())+2)&gt;0,INDEX(Table25[#All],MATCH(A112,Table25[[#All],[Mã SP]],0),DAY(TODAY())+1)&lt;=0),"x","")</f>
        <v/>
      </c>
      <c r="M112" s="33" t="str">
        <f t="shared" si="1"/>
        <v/>
      </c>
    </row>
    <row r="113" spans="1:13" ht="12.75" customHeight="1">
      <c r="A113" s="38" t="s">
        <v>208</v>
      </c>
      <c r="B113" s="16" t="s">
        <v>209</v>
      </c>
      <c r="C113" s="30">
        <v>30000</v>
      </c>
      <c r="D113" s="26">
        <f>IF(H113&lt;&gt;"x",VLOOKUP($A113,NhatkyNhap!A:AH,34,FALSE)-VLOOKUP($A113,NhatkyBan!A:AH,34,FALSE),"N/A")</f>
        <v>2</v>
      </c>
      <c r="E113" s="17" t="s">
        <v>198</v>
      </c>
      <c r="F113" s="17"/>
      <c r="G113" s="30">
        <v>30000</v>
      </c>
      <c r="H113" s="30"/>
      <c r="I113" s="6"/>
      <c r="K113" s="33" t="str">
        <f ca="1">IF(AND(INDEX(Table25[#All],MATCH(A113,Table25[[#All],[Mã SP]],0),DAY(TODAY())+2)=0,INDEX(Table25[#All],MATCH(A113,Table25[[#All],[Mã SP]],0),DAY(TODAY())+1)&gt;0),"x","")</f>
        <v/>
      </c>
      <c r="L113" s="33" t="str">
        <f ca="1">IF(AND(INDEX(Table25[#All],MATCH(A113,Table25[[#All],[Mã SP]],0),DAY(TODAY())+2)&gt;0,INDEX(Table25[#All],MATCH(A113,Table25[[#All],[Mã SP]],0),DAY(TODAY())+1)&lt;=0),"x","")</f>
        <v/>
      </c>
      <c r="M113" s="33" t="str">
        <f t="shared" si="1"/>
        <v/>
      </c>
    </row>
    <row r="114" spans="1:13" ht="12.75" customHeight="1">
      <c r="A114" s="38" t="s">
        <v>210</v>
      </c>
      <c r="B114" s="16" t="s">
        <v>211</v>
      </c>
      <c r="C114" s="30">
        <v>30000</v>
      </c>
      <c r="D114" s="26">
        <f>IF(H114&lt;&gt;"x",VLOOKUP($A114,NhatkyNhap!A:AH,34,FALSE)-VLOOKUP($A114,NhatkyBan!A:AH,34,FALSE),"N/A")</f>
        <v>0</v>
      </c>
      <c r="E114" s="17" t="s">
        <v>198</v>
      </c>
      <c r="F114" s="17"/>
      <c r="G114" s="30">
        <v>30000</v>
      </c>
      <c r="H114" s="30"/>
      <c r="I114" s="6"/>
      <c r="J114" s="5" t="s">
        <v>498</v>
      </c>
      <c r="K114" s="33" t="str">
        <f ca="1">IF(AND(INDEX(Table25[#All],MATCH(A114,Table25[[#All],[Mã SP]],0),DAY(TODAY())+2)=0,INDEX(Table25[#All],MATCH(A114,Table25[[#All],[Mã SP]],0),DAY(TODAY())+1)&gt;0),"x","")</f>
        <v>x</v>
      </c>
      <c r="L114" s="33" t="str">
        <f ca="1">IF(AND(INDEX(Table25[#All],MATCH(A114,Table25[[#All],[Mã SP]],0),DAY(TODAY())+2)&gt;0,INDEX(Table25[#All],MATCH(A114,Table25[[#All],[Mã SP]],0),DAY(TODAY())+1)&lt;=0),"x","")</f>
        <v/>
      </c>
      <c r="M114" s="33" t="str">
        <f t="shared" si="1"/>
        <v/>
      </c>
    </row>
    <row r="115" spans="1:13" ht="12.75" customHeight="1">
      <c r="A115" s="38" t="s">
        <v>347</v>
      </c>
      <c r="B115" s="16" t="s">
        <v>212</v>
      </c>
      <c r="C115" s="30">
        <v>1000</v>
      </c>
      <c r="D115" s="88">
        <f>IF(H115&lt;&gt;"x",VLOOKUP($A115,NhatkyNhap!A:AH,34,FALSE)-VLOOKUP($A115,NhatkyBan!A:AH,34,FALSE),"N/A")</f>
        <v>736</v>
      </c>
      <c r="E115" s="17" t="s">
        <v>456</v>
      </c>
      <c r="F115" s="17"/>
      <c r="G115" s="30">
        <v>1000</v>
      </c>
      <c r="H115" s="30"/>
      <c r="I115" s="6"/>
      <c r="K115" s="33" t="str">
        <f ca="1">IF(AND(INDEX(Table25[#All],MATCH(A115,Table25[[#All],[Mã SP]],0),DAY(TODAY())+2)=0,INDEX(Table25[#All],MATCH(A115,Table25[[#All],[Mã SP]],0),DAY(TODAY())+1)&gt;0),"x","")</f>
        <v/>
      </c>
      <c r="L115" s="33" t="str">
        <f ca="1">IF(AND(INDEX(Table25[#All],MATCH(A115,Table25[[#All],[Mã SP]],0),DAY(TODAY())+2)&gt;0,INDEX(Table25[#All],MATCH(A115,Table25[[#All],[Mã SP]],0),DAY(TODAY())+1)&lt;=0),"x","")</f>
        <v/>
      </c>
      <c r="M115" s="33" t="str">
        <f t="shared" si="1"/>
        <v/>
      </c>
    </row>
    <row r="116" spans="1:13" ht="12.75" customHeight="1">
      <c r="A116" s="38" t="s">
        <v>348</v>
      </c>
      <c r="B116" s="16" t="s">
        <v>213</v>
      </c>
      <c r="C116" s="30">
        <v>3000</v>
      </c>
      <c r="D116" s="26">
        <f>IF(H116&lt;&gt;"x",VLOOKUP($A116,NhatkyNhap!A:AH,34,FALSE)-VLOOKUP($A116,NhatkyBan!A:AH,34,FALSE),"N/A")</f>
        <v>422</v>
      </c>
      <c r="E116" s="17" t="s">
        <v>456</v>
      </c>
      <c r="F116" s="17"/>
      <c r="G116" s="30">
        <v>2000</v>
      </c>
      <c r="H116" s="30"/>
      <c r="I116" s="6"/>
      <c r="K116" s="33" t="str">
        <f ca="1">IF(AND(INDEX(Table25[#All],MATCH(A116,Table25[[#All],[Mã SP]],0),DAY(TODAY())+2)=0,INDEX(Table25[#All],MATCH(A116,Table25[[#All],[Mã SP]],0),DAY(TODAY())+1)&gt;0),"x","")</f>
        <v/>
      </c>
      <c r="L116" s="33" t="str">
        <f ca="1">IF(AND(INDEX(Table25[#All],MATCH(A116,Table25[[#All],[Mã SP]],0),DAY(TODAY())+2)&gt;0,INDEX(Table25[#All],MATCH(A116,Table25[[#All],[Mã SP]],0),DAY(TODAY())+1)&lt;=0),"x","")</f>
        <v/>
      </c>
      <c r="M116" s="33" t="str">
        <f t="shared" si="1"/>
        <v>x</v>
      </c>
    </row>
    <row r="117" spans="1:13" ht="12.75" customHeight="1">
      <c r="A117" s="38" t="s">
        <v>349</v>
      </c>
      <c r="B117" s="16" t="s">
        <v>214</v>
      </c>
      <c r="C117" s="30">
        <v>6000</v>
      </c>
      <c r="D117" s="26">
        <f>IF(H117&lt;&gt;"x",VLOOKUP($A117,NhatkyNhap!A:AH,34,FALSE)-VLOOKUP($A117,NhatkyBan!A:AH,34,FALSE),"N/A")</f>
        <v>199</v>
      </c>
      <c r="E117" s="17" t="s">
        <v>456</v>
      </c>
      <c r="F117" s="17"/>
      <c r="G117" s="30">
        <v>5000</v>
      </c>
      <c r="H117" s="30"/>
      <c r="I117" s="6"/>
      <c r="K117" s="33" t="str">
        <f ca="1">IF(AND(INDEX(Table25[#All],MATCH(A117,Table25[[#All],[Mã SP]],0),DAY(TODAY())+2)=0,INDEX(Table25[#All],MATCH(A117,Table25[[#All],[Mã SP]],0),DAY(TODAY())+1)&gt;0),"x","")</f>
        <v/>
      </c>
      <c r="L117" s="33" t="str">
        <f ca="1">IF(AND(INDEX(Table25[#All],MATCH(A117,Table25[[#All],[Mã SP]],0),DAY(TODAY())+2)&gt;0,INDEX(Table25[#All],MATCH(A117,Table25[[#All],[Mã SP]],0),DAY(TODAY())+1)&lt;=0),"x","")</f>
        <v/>
      </c>
      <c r="M117" s="33" t="str">
        <f t="shared" si="1"/>
        <v>x</v>
      </c>
    </row>
    <row r="118" spans="1:13" ht="12.75" customHeight="1">
      <c r="A118" s="38" t="s">
        <v>350</v>
      </c>
      <c r="B118" s="16" t="s">
        <v>215</v>
      </c>
      <c r="C118" s="30">
        <v>12000</v>
      </c>
      <c r="D118" s="26">
        <f>IF(H118&lt;&gt;"x",VLOOKUP($A118,NhatkyNhap!A:AH,34,FALSE)-VLOOKUP($A118,NhatkyBan!A:AH,34,FALSE),"N/A")</f>
        <v>123</v>
      </c>
      <c r="E118" s="17" t="s">
        <v>456</v>
      </c>
      <c r="F118" s="17"/>
      <c r="G118" s="30">
        <v>10000</v>
      </c>
      <c r="H118" s="30"/>
      <c r="I118" s="6"/>
      <c r="K118" s="33" t="str">
        <f ca="1">IF(AND(INDEX(Table25[#All],MATCH(A118,Table25[[#All],[Mã SP]],0),DAY(TODAY())+2)=0,INDEX(Table25[#All],MATCH(A118,Table25[[#All],[Mã SP]],0),DAY(TODAY())+1)&gt;0),"x","")</f>
        <v/>
      </c>
      <c r="L118" s="33" t="str">
        <f ca="1">IF(AND(INDEX(Table25[#All],MATCH(A118,Table25[[#All],[Mã SP]],0),DAY(TODAY())+2)&gt;0,INDEX(Table25[#All],MATCH(A118,Table25[[#All],[Mã SP]],0),DAY(TODAY())+1)&lt;=0),"x","")</f>
        <v/>
      </c>
      <c r="M118" s="33" t="str">
        <f t="shared" si="1"/>
        <v>x</v>
      </c>
    </row>
    <row r="119" spans="1:13" ht="12.75" customHeight="1">
      <c r="A119" s="38" t="s">
        <v>351</v>
      </c>
      <c r="B119" s="16" t="s">
        <v>216</v>
      </c>
      <c r="C119" s="30">
        <v>32000</v>
      </c>
      <c r="D119" s="26" t="str">
        <f>IF(H119&lt;&gt;"x",VLOOKUP($A119,NhatkyNhap!A:AH,34,FALSE)-VLOOKUP($A119,NhatkyBan!A:AH,34,FALSE),"N/A")</f>
        <v>N/A</v>
      </c>
      <c r="E119" s="17" t="s">
        <v>456</v>
      </c>
      <c r="F119" s="17"/>
      <c r="G119" s="30">
        <v>28000</v>
      </c>
      <c r="H119" s="30" t="s">
        <v>498</v>
      </c>
      <c r="I119" s="6"/>
      <c r="K119" s="33" t="str">
        <f ca="1">IF(AND(INDEX(Table25[#All],MATCH(A119,Table25[[#All],[Mã SP]],0),DAY(TODAY())+2)=0,INDEX(Table25[#All],MATCH(A119,Table25[[#All],[Mã SP]],0),DAY(TODAY())+1)&gt;0),"x","")</f>
        <v>x</v>
      </c>
      <c r="L119" s="33" t="str">
        <f ca="1">IF(AND(INDEX(Table25[#All],MATCH(A119,Table25[[#All],[Mã SP]],0),DAY(TODAY())+2)&gt;0,INDEX(Table25[#All],MATCH(A119,Table25[[#All],[Mã SP]],0),DAY(TODAY())+1)&lt;=0),"x","")</f>
        <v/>
      </c>
      <c r="M119" s="33" t="str">
        <f t="shared" si="1"/>
        <v>x</v>
      </c>
    </row>
    <row r="120" spans="1:13" ht="12.75" customHeight="1">
      <c r="A120" s="38" t="s">
        <v>352</v>
      </c>
      <c r="B120" s="15" t="s">
        <v>250</v>
      </c>
      <c r="C120" s="30">
        <v>1000</v>
      </c>
      <c r="D120" s="26">
        <f>IF(H120&lt;&gt;"x",VLOOKUP($A120,NhatkyNhap!A:AH,34,FALSE)-VLOOKUP($A120,NhatkyBan!A:AH,34,FALSE),"N/A")</f>
        <v>937</v>
      </c>
      <c r="E120" s="17" t="s">
        <v>456</v>
      </c>
      <c r="F120" s="17"/>
      <c r="G120" s="30">
        <v>1000</v>
      </c>
      <c r="H120" s="30"/>
      <c r="I120" s="6"/>
      <c r="K120" s="33" t="str">
        <f ca="1">IF(AND(INDEX(Table25[#All],MATCH(A120,Table25[[#All],[Mã SP]],0),DAY(TODAY())+2)=0,INDEX(Table25[#All],MATCH(A120,Table25[[#All],[Mã SP]],0),DAY(TODAY())+1)&gt;0),"x","")</f>
        <v/>
      </c>
      <c r="L120" s="33" t="str">
        <f ca="1">IF(AND(INDEX(Table25[#All],MATCH(A120,Table25[[#All],[Mã SP]],0),DAY(TODAY())+2)&gt;0,INDEX(Table25[#All],MATCH(A120,Table25[[#All],[Mã SP]],0),DAY(TODAY())+1)&lt;=0),"x","")</f>
        <v/>
      </c>
      <c r="M120" s="33" t="str">
        <f t="shared" si="1"/>
        <v/>
      </c>
    </row>
    <row r="121" spans="1:13" ht="12.75" customHeight="1">
      <c r="A121" s="38" t="s">
        <v>353</v>
      </c>
      <c r="B121" s="15" t="s">
        <v>251</v>
      </c>
      <c r="C121" s="30">
        <v>1000</v>
      </c>
      <c r="D121" s="26">
        <f>IF(H121&lt;&gt;"x",VLOOKUP($A121,NhatkyNhap!A:AH,34,FALSE)-VLOOKUP($A121,NhatkyBan!A:AH,34,FALSE),"N/A")</f>
        <v>241</v>
      </c>
      <c r="E121" s="17" t="s">
        <v>456</v>
      </c>
      <c r="F121" s="17" t="s">
        <v>462</v>
      </c>
      <c r="G121" s="30">
        <v>1000</v>
      </c>
      <c r="H121" s="30"/>
      <c r="I121" s="6"/>
      <c r="K121" s="33" t="str">
        <f ca="1">IF(AND(INDEX(Table25[#All],MATCH(A121,Table25[[#All],[Mã SP]],0),DAY(TODAY())+2)=0,INDEX(Table25[#All],MATCH(A121,Table25[[#All],[Mã SP]],0),DAY(TODAY())+1)&gt;0),"x","")</f>
        <v/>
      </c>
      <c r="L121" s="33" t="str">
        <f ca="1">IF(AND(INDEX(Table25[#All],MATCH(A121,Table25[[#All],[Mã SP]],0),DAY(TODAY())+2)&gt;0,INDEX(Table25[#All],MATCH(A121,Table25[[#All],[Mã SP]],0),DAY(TODAY())+1)&lt;=0),"x","")</f>
        <v/>
      </c>
      <c r="M121" s="33" t="str">
        <f t="shared" si="1"/>
        <v/>
      </c>
    </row>
    <row r="122" spans="1:13" ht="12.75" customHeight="1">
      <c r="A122" s="38" t="s">
        <v>354</v>
      </c>
      <c r="B122" s="15" t="s">
        <v>252</v>
      </c>
      <c r="C122" s="30">
        <v>3000</v>
      </c>
      <c r="D122" s="26">
        <f>IF(H122&lt;&gt;"x",VLOOKUP($A122,NhatkyNhap!A:AH,34,FALSE)-VLOOKUP($A122,NhatkyBan!A:AH,34,FALSE),"N/A")</f>
        <v>305</v>
      </c>
      <c r="E122" s="17" t="s">
        <v>456</v>
      </c>
      <c r="F122" s="17"/>
      <c r="G122" s="30">
        <v>3000</v>
      </c>
      <c r="H122" s="30"/>
      <c r="I122" s="6"/>
      <c r="K122" s="33" t="str">
        <f ca="1">IF(AND(INDEX(Table25[#All],MATCH(A122,Table25[[#All],[Mã SP]],0),DAY(TODAY())+2)=0,INDEX(Table25[#All],MATCH(A122,Table25[[#All],[Mã SP]],0),DAY(TODAY())+1)&gt;0),"x","")</f>
        <v/>
      </c>
      <c r="L122" s="33" t="str">
        <f ca="1">IF(AND(INDEX(Table25[#All],MATCH(A122,Table25[[#All],[Mã SP]],0),DAY(TODAY())+2)&gt;0,INDEX(Table25[#All],MATCH(A122,Table25[[#All],[Mã SP]],0),DAY(TODAY())+1)&lt;=0),"x","")</f>
        <v/>
      </c>
      <c r="M122" s="33" t="str">
        <f t="shared" si="1"/>
        <v/>
      </c>
    </row>
    <row r="123" spans="1:13" ht="12.75" customHeight="1">
      <c r="A123" s="38" t="s">
        <v>355</v>
      </c>
      <c r="B123" s="15" t="s">
        <v>253</v>
      </c>
      <c r="C123" s="30">
        <v>7000</v>
      </c>
      <c r="D123" s="26">
        <f>IF(H123&lt;&gt;"x",VLOOKUP($A123,NhatkyNhap!A:AH,34,FALSE)-VLOOKUP($A123,NhatkyBan!A:AH,34,FALSE),"N/A")</f>
        <v>99</v>
      </c>
      <c r="E123" s="17" t="s">
        <v>456</v>
      </c>
      <c r="F123" s="17"/>
      <c r="G123" s="30">
        <v>7000</v>
      </c>
      <c r="H123" s="30"/>
      <c r="I123" s="6"/>
      <c r="K123" s="33" t="str">
        <f ca="1">IF(AND(INDEX(Table25[#All],MATCH(A123,Table25[[#All],[Mã SP]],0),DAY(TODAY())+2)=0,INDEX(Table25[#All],MATCH(A123,Table25[[#All],[Mã SP]],0),DAY(TODAY())+1)&gt;0),"x","")</f>
        <v/>
      </c>
      <c r="L123" s="33" t="str">
        <f ca="1">IF(AND(INDEX(Table25[#All],MATCH(A123,Table25[[#All],[Mã SP]],0),DAY(TODAY())+2)&gt;0,INDEX(Table25[#All],MATCH(A123,Table25[[#All],[Mã SP]],0),DAY(TODAY())+1)&lt;=0),"x","")</f>
        <v/>
      </c>
      <c r="M123" s="33" t="str">
        <f t="shared" si="1"/>
        <v/>
      </c>
    </row>
    <row r="124" spans="1:13" ht="12.75" customHeight="1">
      <c r="A124" s="38" t="s">
        <v>258</v>
      </c>
      <c r="B124" s="15" t="s">
        <v>254</v>
      </c>
      <c r="C124" s="30">
        <v>1000</v>
      </c>
      <c r="D124" s="26">
        <f>IF(H124&lt;&gt;"x",VLOOKUP($A124,NhatkyNhap!A:AH,34,FALSE)-VLOOKUP($A124,NhatkyBan!A:AH,34,FALSE),"N/A")</f>
        <v>88</v>
      </c>
      <c r="E124" s="17" t="s">
        <v>456</v>
      </c>
      <c r="F124" s="17" t="s">
        <v>462</v>
      </c>
      <c r="G124" s="30">
        <v>1000</v>
      </c>
      <c r="H124" s="30"/>
      <c r="I124" s="6"/>
      <c r="K124" s="33" t="str">
        <f ca="1">IF(AND(INDEX(Table25[#All],MATCH(A124,Table25[[#All],[Mã SP]],0),DAY(TODAY())+2)=0,INDEX(Table25[#All],MATCH(A124,Table25[[#All],[Mã SP]],0),DAY(TODAY())+1)&gt;0),"x","")</f>
        <v/>
      </c>
      <c r="L124" s="33" t="str">
        <f ca="1">IF(AND(INDEX(Table25[#All],MATCH(A124,Table25[[#All],[Mã SP]],0),DAY(TODAY())+2)&gt;0,INDEX(Table25[#All],MATCH(A124,Table25[[#All],[Mã SP]],0),DAY(TODAY())+1)&lt;=0),"x","")</f>
        <v/>
      </c>
      <c r="M124" s="33" t="str">
        <f t="shared" si="1"/>
        <v/>
      </c>
    </row>
    <row r="125" spans="1:13" ht="12.75" customHeight="1">
      <c r="A125" s="38" t="s">
        <v>356</v>
      </c>
      <c r="B125" s="15" t="s">
        <v>255</v>
      </c>
      <c r="C125" s="30">
        <v>5000</v>
      </c>
      <c r="D125" s="26">
        <f>IF(H125&lt;&gt;"x",VLOOKUP($A125,NhatkyNhap!A:AH,34,FALSE)-VLOOKUP($A125,NhatkyBan!A:AH,34,FALSE),"N/A")</f>
        <v>83</v>
      </c>
      <c r="E125" s="17" t="s">
        <v>456</v>
      </c>
      <c r="F125" s="17"/>
      <c r="G125" s="30">
        <v>5000</v>
      </c>
      <c r="H125" s="30"/>
      <c r="I125" s="6"/>
      <c r="K125" s="33" t="str">
        <f ca="1">IF(AND(INDEX(Table25[#All],MATCH(A125,Table25[[#All],[Mã SP]],0),DAY(TODAY())+2)=0,INDEX(Table25[#All],MATCH(A125,Table25[[#All],[Mã SP]],0),DAY(TODAY())+1)&gt;0),"x","")</f>
        <v/>
      </c>
      <c r="L125" s="33" t="str">
        <f ca="1">IF(AND(INDEX(Table25[#All],MATCH(A125,Table25[[#All],[Mã SP]],0),DAY(TODAY())+2)&gt;0,INDEX(Table25[#All],MATCH(A125,Table25[[#All],[Mã SP]],0),DAY(TODAY())+1)&lt;=0),"x","")</f>
        <v/>
      </c>
      <c r="M125" s="33" t="str">
        <f t="shared" si="1"/>
        <v/>
      </c>
    </row>
    <row r="126" spans="1:13" ht="12.75" customHeight="1">
      <c r="A126" s="38" t="s">
        <v>357</v>
      </c>
      <c r="B126" s="15" t="s">
        <v>407</v>
      </c>
      <c r="C126" s="30">
        <v>40000</v>
      </c>
      <c r="D126" s="26" t="str">
        <f>IF(H126&lt;&gt;"x",VLOOKUP($A126,NhatkyNhap!A:AH,34,FALSE)-VLOOKUP($A126,NhatkyBan!A:AH,34,FALSE),"N/A")</f>
        <v>N/A</v>
      </c>
      <c r="E126" s="17" t="s">
        <v>456</v>
      </c>
      <c r="F126" s="17"/>
      <c r="G126" s="30">
        <v>40000</v>
      </c>
      <c r="H126" s="30" t="s">
        <v>498</v>
      </c>
      <c r="I126" s="6"/>
      <c r="K126" s="33" t="str">
        <f ca="1">IF(AND(INDEX(Table25[#All],MATCH(A126,Table25[[#All],[Mã SP]],0),DAY(TODAY())+2)=0,INDEX(Table25[#All],MATCH(A126,Table25[[#All],[Mã SP]],0),DAY(TODAY())+1)&gt;0),"x","")</f>
        <v>x</v>
      </c>
      <c r="L126" s="33" t="str">
        <f ca="1">IF(AND(INDEX(Table25[#All],MATCH(A126,Table25[[#All],[Mã SP]],0),DAY(TODAY())+2)&gt;0,INDEX(Table25[#All],MATCH(A126,Table25[[#All],[Mã SP]],0),DAY(TODAY())+1)&lt;=0),"x","")</f>
        <v/>
      </c>
      <c r="M126" s="33" t="str">
        <f t="shared" si="1"/>
        <v/>
      </c>
    </row>
    <row r="127" spans="1:13" ht="12.75" customHeight="1">
      <c r="A127" s="69" t="s">
        <v>358</v>
      </c>
      <c r="B127" s="70" t="s">
        <v>256</v>
      </c>
      <c r="C127" s="71">
        <v>80000</v>
      </c>
      <c r="D127" s="72">
        <f>IF(H127&lt;&gt;"x",VLOOKUP($A127,NhatkyNhap!A:AH,34,FALSE)-VLOOKUP($A127,NhatkyBan!A:AH,34,FALSE),"N/A")</f>
        <v>-28</v>
      </c>
      <c r="E127" s="73" t="s">
        <v>456</v>
      </c>
      <c r="F127" s="73"/>
      <c r="G127" s="71">
        <v>80000</v>
      </c>
      <c r="H127" s="71"/>
      <c r="I127" s="74" t="s">
        <v>623</v>
      </c>
      <c r="K127" s="33" t="str">
        <f ca="1">IF(AND(INDEX(Table25[#All],MATCH(A127,Table25[[#All],[Mã SP]],0),DAY(TODAY())+2)=0,INDEX(Table25[#All],MATCH(A127,Table25[[#All],[Mã SP]],0),DAY(TODAY())+1)&gt;0),"x","")</f>
        <v/>
      </c>
      <c r="L127" s="33" t="str">
        <f ca="1">IF(AND(INDEX(Table25[#All],MATCH(A127,Table25[[#All],[Mã SP]],0),DAY(TODAY())+2)&gt;0,INDEX(Table25[#All],MATCH(A127,Table25[[#All],[Mã SP]],0),DAY(TODAY())+1)&lt;=0),"x","")</f>
        <v/>
      </c>
      <c r="M127" s="33" t="str">
        <f t="shared" si="1"/>
        <v/>
      </c>
    </row>
    <row r="128" spans="1:13" ht="12.75" customHeight="1">
      <c r="A128" s="38" t="s">
        <v>359</v>
      </c>
      <c r="B128" s="15" t="s">
        <v>257</v>
      </c>
      <c r="C128" s="30">
        <v>1000</v>
      </c>
      <c r="D128" s="26">
        <f>IF(H128&lt;&gt;"x",VLOOKUP($A128,NhatkyNhap!A:AH,34,FALSE)-VLOOKUP($A128,NhatkyBan!A:AH,34,FALSE),"N/A")</f>
        <v>0</v>
      </c>
      <c r="E128" s="17" t="s">
        <v>456</v>
      </c>
      <c r="F128" s="17" t="s">
        <v>462</v>
      </c>
      <c r="G128" s="30">
        <v>1000</v>
      </c>
      <c r="H128" s="30"/>
      <c r="I128" s="6"/>
      <c r="J128" s="5" t="s">
        <v>498</v>
      </c>
      <c r="K128" s="33" t="str">
        <f ca="1">IF(AND(INDEX(Table25[#All],MATCH(A128,Table25[[#All],[Mã SP]],0),DAY(TODAY())+2)=0,INDEX(Table25[#All],MATCH(A128,Table25[[#All],[Mã SP]],0),DAY(TODAY())+1)&gt;0),"x","")</f>
        <v>x</v>
      </c>
      <c r="L128" s="33" t="str">
        <f ca="1">IF(AND(INDEX(Table25[#All],MATCH(A128,Table25[[#All],[Mã SP]],0),DAY(TODAY())+2)&gt;0,INDEX(Table25[#All],MATCH(A128,Table25[[#All],[Mã SP]],0),DAY(TODAY())+1)&lt;=0),"x","")</f>
        <v/>
      </c>
      <c r="M128" s="33" t="str">
        <f t="shared" si="1"/>
        <v/>
      </c>
    </row>
    <row r="129" spans="1:13" ht="12.75" customHeight="1">
      <c r="A129" s="38" t="s">
        <v>360</v>
      </c>
      <c r="B129" s="15" t="s">
        <v>408</v>
      </c>
      <c r="C129" s="30">
        <v>1000</v>
      </c>
      <c r="D129" s="26">
        <f>IF(H129&lt;&gt;"x",VLOOKUP($A129,NhatkyNhap!A:AH,34,FALSE)-VLOOKUP($A129,NhatkyBan!A:AH,34,FALSE),"N/A")</f>
        <v>0</v>
      </c>
      <c r="E129" s="17" t="s">
        <v>456</v>
      </c>
      <c r="F129" s="17" t="s">
        <v>462</v>
      </c>
      <c r="G129" s="30">
        <v>1000</v>
      </c>
      <c r="H129" s="30"/>
      <c r="I129" s="6"/>
      <c r="K129" s="33" t="str">
        <f ca="1">IF(AND(INDEX(Table25[#All],MATCH(A129,Table25[[#All],[Mã SP]],0),DAY(TODAY())+2)=0,INDEX(Table25[#All],MATCH(A129,Table25[[#All],[Mã SP]],0),DAY(TODAY())+1)&gt;0),"x","")</f>
        <v>x</v>
      </c>
      <c r="L129" s="33" t="str">
        <f ca="1">IF(AND(INDEX(Table25[#All],MATCH(A129,Table25[[#All],[Mã SP]],0),DAY(TODAY())+2)&gt;0,INDEX(Table25[#All],MATCH(A129,Table25[[#All],[Mã SP]],0),DAY(TODAY())+1)&lt;=0),"x","")</f>
        <v/>
      </c>
      <c r="M129" s="33" t="str">
        <f t="shared" si="1"/>
        <v/>
      </c>
    </row>
    <row r="130" spans="1:13" ht="12.75" customHeight="1">
      <c r="A130" s="38" t="s">
        <v>361</v>
      </c>
      <c r="B130" s="15" t="s">
        <v>259</v>
      </c>
      <c r="C130" s="30">
        <v>1000</v>
      </c>
      <c r="D130" s="26">
        <f>IF(H130&lt;&gt;"x",VLOOKUP($A130,NhatkyNhap!A:AH,34,FALSE)-VLOOKUP($A130,NhatkyBan!A:AH,34,FALSE),"N/A")</f>
        <v>0</v>
      </c>
      <c r="E130" s="17" t="s">
        <v>456</v>
      </c>
      <c r="F130" s="17" t="s">
        <v>462</v>
      </c>
      <c r="G130" s="30">
        <v>1000</v>
      </c>
      <c r="H130" s="30"/>
      <c r="I130" s="6"/>
      <c r="J130" s="5" t="s">
        <v>498</v>
      </c>
      <c r="K130" s="33" t="str">
        <f ca="1">IF(AND(INDEX(Table25[#All],MATCH(A130,Table25[[#All],[Mã SP]],0),DAY(TODAY())+2)=0,INDEX(Table25[#All],MATCH(A130,Table25[[#All],[Mã SP]],0),DAY(TODAY())+1)&gt;0),"x","")</f>
        <v>x</v>
      </c>
      <c r="L130" s="33" t="str">
        <f ca="1">IF(AND(INDEX(Table25[#All],MATCH(A130,Table25[[#All],[Mã SP]],0),DAY(TODAY())+2)&gt;0,INDEX(Table25[#All],MATCH(A130,Table25[[#All],[Mã SP]],0),DAY(TODAY())+1)&lt;=0),"x","")</f>
        <v/>
      </c>
      <c r="M130" s="33" t="str">
        <f t="shared" si="1"/>
        <v/>
      </c>
    </row>
    <row r="131" spans="1:13" ht="12.75" customHeight="1">
      <c r="A131" s="38" t="s">
        <v>260</v>
      </c>
      <c r="B131" s="15" t="s">
        <v>261</v>
      </c>
      <c r="C131" s="30">
        <v>50000</v>
      </c>
      <c r="D131" s="26">
        <f>IF(H131&lt;&gt;"x",VLOOKUP($A131,NhatkyNhap!A:AH,34,FALSE)-VLOOKUP($A131,NhatkyBan!A:AH,34,FALSE),"N/A")</f>
        <v>3</v>
      </c>
      <c r="E131" s="17" t="s">
        <v>457</v>
      </c>
      <c r="F131" s="17"/>
      <c r="G131" s="30">
        <v>50000</v>
      </c>
      <c r="H131" s="30"/>
      <c r="I131" s="6"/>
      <c r="K131" s="33" t="str">
        <f ca="1">IF(AND(INDEX(Table25[#All],MATCH(A131,Table25[[#All],[Mã SP]],0),DAY(TODAY())+2)=0,INDEX(Table25[#All],MATCH(A131,Table25[[#All],[Mã SP]],0),DAY(TODAY())+1)&gt;0),"x","")</f>
        <v/>
      </c>
      <c r="L131" s="33" t="str">
        <f ca="1">IF(AND(INDEX(Table25[#All],MATCH(A131,Table25[[#All],[Mã SP]],0),DAY(TODAY())+2)&gt;0,INDEX(Table25[#All],MATCH(A131,Table25[[#All],[Mã SP]],0),DAY(TODAY())+1)&lt;=0),"x","")</f>
        <v/>
      </c>
      <c r="M131" s="33" t="str">
        <f t="shared" si="1"/>
        <v/>
      </c>
    </row>
    <row r="132" spans="1:13" ht="12.75" customHeight="1">
      <c r="A132" s="38" t="s">
        <v>262</v>
      </c>
      <c r="B132" s="15" t="s">
        <v>263</v>
      </c>
      <c r="C132" s="30">
        <v>55000</v>
      </c>
      <c r="D132" s="26">
        <f>IF(H132&lt;&gt;"x",VLOOKUP($A132,NhatkyNhap!A:AH,34,FALSE)-VLOOKUP($A132,NhatkyBan!A:AH,34,FALSE),"N/A")</f>
        <v>-1</v>
      </c>
      <c r="E132" s="17" t="s">
        <v>457</v>
      </c>
      <c r="F132" s="17"/>
      <c r="G132" s="30">
        <v>55000</v>
      </c>
      <c r="H132" s="30"/>
      <c r="I132" s="6"/>
      <c r="K132" s="33" t="str">
        <f ca="1">IF(AND(INDEX(Table25[#All],MATCH(A132,Table25[[#All],[Mã SP]],0),DAY(TODAY())+2)=0,INDEX(Table25[#All],MATCH(A132,Table25[[#All],[Mã SP]],0),DAY(TODAY())+1)&gt;0),"x","")</f>
        <v/>
      </c>
      <c r="L132" s="33" t="str">
        <f ca="1">IF(AND(INDEX(Table25[#All],MATCH(A132,Table25[[#All],[Mã SP]],0),DAY(TODAY())+2)&gt;0,INDEX(Table25[#All],MATCH(A132,Table25[[#All],[Mã SP]],0),DAY(TODAY())+1)&lt;=0),"x","")</f>
        <v/>
      </c>
      <c r="M132" s="33" t="str">
        <f t="shared" si="1"/>
        <v/>
      </c>
    </row>
    <row r="133" spans="1:13" ht="12.75" customHeight="1">
      <c r="A133" s="38" t="s">
        <v>264</v>
      </c>
      <c r="B133" s="15" t="s">
        <v>265</v>
      </c>
      <c r="C133" s="30">
        <v>70000</v>
      </c>
      <c r="D133" s="26">
        <f>IF(H133&lt;&gt;"x",VLOOKUP($A133,NhatkyNhap!A:AH,34,FALSE)-VLOOKUP($A133,NhatkyBan!A:AH,34,FALSE),"N/A")</f>
        <v>8</v>
      </c>
      <c r="E133" s="17" t="s">
        <v>457</v>
      </c>
      <c r="F133" s="17"/>
      <c r="G133" s="30">
        <v>70000</v>
      </c>
      <c r="H133" s="30"/>
      <c r="I133" s="6"/>
      <c r="K133" s="33" t="str">
        <f ca="1">IF(AND(INDEX(Table25[#All],MATCH(A133,Table25[[#All],[Mã SP]],0),DAY(TODAY())+2)=0,INDEX(Table25[#All],MATCH(A133,Table25[[#All],[Mã SP]],0),DAY(TODAY())+1)&gt;0),"x","")</f>
        <v/>
      </c>
      <c r="L133" s="33" t="str">
        <f ca="1">IF(AND(INDEX(Table25[#All],MATCH(A133,Table25[[#All],[Mã SP]],0),DAY(TODAY())+2)&gt;0,INDEX(Table25[#All],MATCH(A133,Table25[[#All],[Mã SP]],0),DAY(TODAY())+1)&lt;=0),"x","")</f>
        <v/>
      </c>
      <c r="M133" s="33" t="str">
        <f t="shared" si="1"/>
        <v/>
      </c>
    </row>
    <row r="134" spans="1:13" ht="12.75" customHeight="1">
      <c r="A134" s="38" t="s">
        <v>266</v>
      </c>
      <c r="B134" s="15" t="s">
        <v>267</v>
      </c>
      <c r="C134" s="30">
        <v>5000</v>
      </c>
      <c r="D134" s="26">
        <f>IF(H134&lt;&gt;"x",VLOOKUP($A134,NhatkyNhap!A:AH,34,FALSE)-VLOOKUP($A134,NhatkyBan!A:AH,34,FALSE),"N/A")</f>
        <v>19</v>
      </c>
      <c r="E134" s="17" t="s">
        <v>457</v>
      </c>
      <c r="F134" s="17"/>
      <c r="G134" s="30">
        <v>5000</v>
      </c>
      <c r="H134" s="30"/>
      <c r="I134" s="6"/>
      <c r="K134" s="33" t="str">
        <f ca="1">IF(AND(INDEX(Table25[#All],MATCH(A134,Table25[[#All],[Mã SP]],0),DAY(TODAY())+2)=0,INDEX(Table25[#All],MATCH(A134,Table25[[#All],[Mã SP]],0),DAY(TODAY())+1)&gt;0),"x","")</f>
        <v/>
      </c>
      <c r="L134" s="33" t="str">
        <f ca="1">IF(AND(INDEX(Table25[#All],MATCH(A134,Table25[[#All],[Mã SP]],0),DAY(TODAY())+2)&gt;0,INDEX(Table25[#All],MATCH(A134,Table25[[#All],[Mã SP]],0),DAY(TODAY())+1)&lt;=0),"x","")</f>
        <v/>
      </c>
      <c r="M134" s="33" t="str">
        <f t="shared" si="1"/>
        <v/>
      </c>
    </row>
    <row r="135" spans="1:13" ht="12.75" customHeight="1">
      <c r="A135" s="38" t="s">
        <v>268</v>
      </c>
      <c r="B135" s="15" t="s">
        <v>269</v>
      </c>
      <c r="C135" s="30">
        <v>15000</v>
      </c>
      <c r="D135" s="26">
        <f>IF(H135&lt;&gt;"x",VLOOKUP($A135,NhatkyNhap!A:AH,34,FALSE)-VLOOKUP($A135,NhatkyBan!A:AH,34,FALSE),"N/A")</f>
        <v>71</v>
      </c>
      <c r="E135" s="17" t="s">
        <v>457</v>
      </c>
      <c r="F135" s="17"/>
      <c r="G135" s="30">
        <v>15000</v>
      </c>
      <c r="H135" s="30"/>
      <c r="I135" s="6"/>
      <c r="K135" s="33" t="str">
        <f ca="1">IF(AND(INDEX(Table25[#All],MATCH(A135,Table25[[#All],[Mã SP]],0),DAY(TODAY())+2)=0,INDEX(Table25[#All],MATCH(A135,Table25[[#All],[Mã SP]],0),DAY(TODAY())+1)&gt;0),"x","")</f>
        <v/>
      </c>
      <c r="L135" s="33" t="str">
        <f ca="1">IF(AND(INDEX(Table25[#All],MATCH(A135,Table25[[#All],[Mã SP]],0),DAY(TODAY())+2)&gt;0,INDEX(Table25[#All],MATCH(A135,Table25[[#All],[Mã SP]],0),DAY(TODAY())+1)&lt;=0),"x","")</f>
        <v/>
      </c>
      <c r="M135" s="33" t="str">
        <f t="shared" si="1"/>
        <v/>
      </c>
    </row>
    <row r="136" spans="1:13" ht="12.75" customHeight="1">
      <c r="A136" s="38" t="s">
        <v>270</v>
      </c>
      <c r="B136" s="15" t="s">
        <v>271</v>
      </c>
      <c r="C136" s="30">
        <v>10000</v>
      </c>
      <c r="D136" s="26">
        <f>IF(H136&lt;&gt;"x",VLOOKUP($A136,NhatkyNhap!A:AH,34,FALSE)-VLOOKUP($A136,NhatkyBan!A:AH,34,FALSE),"N/A")</f>
        <v>-1</v>
      </c>
      <c r="E136" s="17" t="s">
        <v>457</v>
      </c>
      <c r="F136" s="17"/>
      <c r="G136" s="30">
        <v>10000</v>
      </c>
      <c r="H136" s="30"/>
      <c r="I136" s="6"/>
      <c r="K136" s="33" t="str">
        <f ca="1">IF(AND(INDEX(Table25[#All],MATCH(A136,Table25[[#All],[Mã SP]],0),DAY(TODAY())+2)=0,INDEX(Table25[#All],MATCH(A136,Table25[[#All],[Mã SP]],0),DAY(TODAY())+1)&gt;0),"x","")</f>
        <v/>
      </c>
      <c r="L136" s="33" t="str">
        <f ca="1">IF(AND(INDEX(Table25[#All],MATCH(A136,Table25[[#All],[Mã SP]],0),DAY(TODAY())+2)&gt;0,INDEX(Table25[#All],MATCH(A136,Table25[[#All],[Mã SP]],0),DAY(TODAY())+1)&lt;=0),"x","")</f>
        <v/>
      </c>
      <c r="M136" s="33" t="str">
        <f t="shared" si="1"/>
        <v/>
      </c>
    </row>
    <row r="137" spans="1:13" ht="12.75" customHeight="1">
      <c r="A137" s="38" t="s">
        <v>272</v>
      </c>
      <c r="B137" s="15" t="s">
        <v>273</v>
      </c>
      <c r="C137" s="30">
        <v>5000</v>
      </c>
      <c r="D137" s="26">
        <f>IF(H137&lt;&gt;"x",VLOOKUP($A137,NhatkyNhap!A:AH,34,FALSE)-VLOOKUP($A137,NhatkyBan!A:AH,34,FALSE),"N/A")</f>
        <v>31</v>
      </c>
      <c r="E137" s="17" t="s">
        <v>457</v>
      </c>
      <c r="F137" s="17"/>
      <c r="G137" s="30">
        <v>5000</v>
      </c>
      <c r="H137" s="30"/>
      <c r="I137" s="6"/>
      <c r="K137" s="33" t="str">
        <f ca="1">IF(AND(INDEX(Table25[#All],MATCH(A137,Table25[[#All],[Mã SP]],0),DAY(TODAY())+2)=0,INDEX(Table25[#All],MATCH(A137,Table25[[#All],[Mã SP]],0),DAY(TODAY())+1)&gt;0),"x","")</f>
        <v/>
      </c>
      <c r="L137" s="33" t="str">
        <f ca="1">IF(AND(INDEX(Table25[#All],MATCH(A137,Table25[[#All],[Mã SP]],0),DAY(TODAY())+2)&gt;0,INDEX(Table25[#All],MATCH(A137,Table25[[#All],[Mã SP]],0),DAY(TODAY())+1)&lt;=0),"x","")</f>
        <v/>
      </c>
      <c r="M137" s="33" t="str">
        <f t="shared" ref="M137:M174" si="3">IF(C137-G137&lt;&gt;0,"x","")</f>
        <v/>
      </c>
    </row>
    <row r="138" spans="1:13" ht="12.75" customHeight="1">
      <c r="A138" s="38" t="s">
        <v>274</v>
      </c>
      <c r="B138" s="15" t="s">
        <v>275</v>
      </c>
      <c r="C138" s="30">
        <v>25000</v>
      </c>
      <c r="D138" s="26">
        <f>IF(H138&lt;&gt;"x",VLOOKUP($A138,NhatkyNhap!A:AH,34,FALSE)-VLOOKUP($A138,NhatkyBan!A:AH,34,FALSE),"N/A")</f>
        <v>26</v>
      </c>
      <c r="E138" s="17" t="s">
        <v>457</v>
      </c>
      <c r="F138" s="17"/>
      <c r="G138" s="30">
        <v>25000</v>
      </c>
      <c r="H138" s="30"/>
      <c r="I138" s="6"/>
      <c r="K138" s="33" t="str">
        <f ca="1">IF(AND(INDEX(Table25[#All],MATCH(A138,Table25[[#All],[Mã SP]],0),DAY(TODAY())+2)=0,INDEX(Table25[#All],MATCH(A138,Table25[[#All],[Mã SP]],0),DAY(TODAY())+1)&gt;0),"x","")</f>
        <v/>
      </c>
      <c r="L138" s="33" t="str">
        <f ca="1">IF(AND(INDEX(Table25[#All],MATCH(A138,Table25[[#All],[Mã SP]],0),DAY(TODAY())+2)&gt;0,INDEX(Table25[#All],MATCH(A138,Table25[[#All],[Mã SP]],0),DAY(TODAY())+1)&lt;=0),"x","")</f>
        <v/>
      </c>
      <c r="M138" s="33" t="str">
        <f t="shared" si="3"/>
        <v/>
      </c>
    </row>
    <row r="139" spans="1:13" ht="12.75" customHeight="1">
      <c r="A139" s="38" t="s">
        <v>276</v>
      </c>
      <c r="B139" s="15" t="s">
        <v>409</v>
      </c>
      <c r="C139" s="30">
        <v>10000</v>
      </c>
      <c r="D139" s="26">
        <f>IF(H139&lt;&gt;"x",VLOOKUP($A139,NhatkyNhap!A:AH,34,FALSE)-VLOOKUP($A139,NhatkyBan!A:AH,34,FALSE),"N/A")</f>
        <v>27</v>
      </c>
      <c r="E139" s="17" t="s">
        <v>457</v>
      </c>
      <c r="F139" s="17"/>
      <c r="G139" s="30">
        <v>10000</v>
      </c>
      <c r="H139" s="30"/>
      <c r="I139" s="6"/>
      <c r="K139" s="33" t="str">
        <f ca="1">IF(AND(INDEX(Table25[#All],MATCH(A139,Table25[[#All],[Mã SP]],0),DAY(TODAY())+2)=0,INDEX(Table25[#All],MATCH(A139,Table25[[#All],[Mã SP]],0),DAY(TODAY())+1)&gt;0),"x","")</f>
        <v/>
      </c>
      <c r="L139" s="33" t="str">
        <f ca="1">IF(AND(INDEX(Table25[#All],MATCH(A139,Table25[[#All],[Mã SP]],0),DAY(TODAY())+2)&gt;0,INDEX(Table25[#All],MATCH(A139,Table25[[#All],[Mã SP]],0),DAY(TODAY())+1)&lt;=0),"x","")</f>
        <v/>
      </c>
      <c r="M139" s="33" t="str">
        <f t="shared" si="3"/>
        <v/>
      </c>
    </row>
    <row r="140" spans="1:13" ht="12.75" customHeight="1">
      <c r="A140" s="38" t="s">
        <v>277</v>
      </c>
      <c r="B140" s="15" t="s">
        <v>278</v>
      </c>
      <c r="C140" s="30">
        <v>10000</v>
      </c>
      <c r="D140" s="26">
        <f>IF(H140&lt;&gt;"x",VLOOKUP($A140,NhatkyNhap!A:AH,34,FALSE)-VLOOKUP($A140,NhatkyBan!A:AH,34,FALSE),"N/A")</f>
        <v>13</v>
      </c>
      <c r="E140" s="17" t="s">
        <v>457</v>
      </c>
      <c r="F140" s="17"/>
      <c r="G140" s="30">
        <v>10000</v>
      </c>
      <c r="H140" s="30"/>
      <c r="I140" s="6"/>
      <c r="K140" s="33" t="str">
        <f ca="1">IF(AND(INDEX(Table25[#All],MATCH(A140,Table25[[#All],[Mã SP]],0),DAY(TODAY())+2)=0,INDEX(Table25[#All],MATCH(A140,Table25[[#All],[Mã SP]],0),DAY(TODAY())+1)&gt;0),"x","")</f>
        <v/>
      </c>
      <c r="L140" s="33" t="str">
        <f ca="1">IF(AND(INDEX(Table25[#All],MATCH(A140,Table25[[#All],[Mã SP]],0),DAY(TODAY())+2)&gt;0,INDEX(Table25[#All],MATCH(A140,Table25[[#All],[Mã SP]],0),DAY(TODAY())+1)&lt;=0),"x","")</f>
        <v/>
      </c>
      <c r="M140" s="33" t="str">
        <f t="shared" si="3"/>
        <v/>
      </c>
    </row>
    <row r="141" spans="1:13" ht="12.75" customHeight="1">
      <c r="A141" s="38" t="s">
        <v>279</v>
      </c>
      <c r="B141" s="15" t="s">
        <v>280</v>
      </c>
      <c r="C141" s="30">
        <v>7000</v>
      </c>
      <c r="D141" s="26">
        <f>IF(H141&lt;&gt;"x",VLOOKUP($A141,NhatkyNhap!A:AH,34,FALSE)-VLOOKUP($A141,NhatkyBan!A:AH,34,FALSE),"N/A")</f>
        <v>22</v>
      </c>
      <c r="E141" s="17" t="s">
        <v>457</v>
      </c>
      <c r="F141" s="17"/>
      <c r="G141" s="30">
        <v>7000</v>
      </c>
      <c r="H141" s="30"/>
      <c r="I141" s="6"/>
      <c r="K141" s="33" t="str">
        <f ca="1">IF(AND(INDEX(Table25[#All],MATCH(A141,Table25[[#All],[Mã SP]],0),DAY(TODAY())+2)=0,INDEX(Table25[#All],MATCH(A141,Table25[[#All],[Mã SP]],0),DAY(TODAY())+1)&gt;0),"x","")</f>
        <v/>
      </c>
      <c r="L141" s="33" t="str">
        <f ca="1">IF(AND(INDEX(Table25[#All],MATCH(A141,Table25[[#All],[Mã SP]],0),DAY(TODAY())+2)&gt;0,INDEX(Table25[#All],MATCH(A141,Table25[[#All],[Mã SP]],0),DAY(TODAY())+1)&lt;=0),"x","")</f>
        <v/>
      </c>
      <c r="M141" s="33" t="str">
        <f t="shared" si="3"/>
        <v/>
      </c>
    </row>
    <row r="142" spans="1:13" ht="12.75" customHeight="1">
      <c r="A142" s="38" t="s">
        <v>281</v>
      </c>
      <c r="B142" s="15" t="s">
        <v>282</v>
      </c>
      <c r="C142" s="30">
        <v>15000</v>
      </c>
      <c r="D142" s="26">
        <f>IF(H142&lt;&gt;"x",VLOOKUP($A142,NhatkyNhap!A:AH,34,FALSE)-VLOOKUP($A142,NhatkyBan!A:AH,34,FALSE),"N/A")</f>
        <v>11</v>
      </c>
      <c r="E142" s="17" t="s">
        <v>457</v>
      </c>
      <c r="F142" s="17"/>
      <c r="G142" s="30">
        <v>15000</v>
      </c>
      <c r="H142" s="30"/>
      <c r="I142" s="6"/>
      <c r="K142" s="33" t="str">
        <f ca="1">IF(AND(INDEX(Table25[#All],MATCH(A142,Table25[[#All],[Mã SP]],0),DAY(TODAY())+2)=0,INDEX(Table25[#All],MATCH(A142,Table25[[#All],[Mã SP]],0),DAY(TODAY())+1)&gt;0),"x","")</f>
        <v/>
      </c>
      <c r="L142" s="33" t="str">
        <f ca="1">IF(AND(INDEX(Table25[#All],MATCH(A142,Table25[[#All],[Mã SP]],0),DAY(TODAY())+2)&gt;0,INDEX(Table25[#All],MATCH(A142,Table25[[#All],[Mã SP]],0),DAY(TODAY())+1)&lt;=0),"x","")</f>
        <v/>
      </c>
      <c r="M142" s="33" t="str">
        <f t="shared" si="3"/>
        <v/>
      </c>
    </row>
    <row r="143" spans="1:13" ht="12.75" customHeight="1">
      <c r="A143" s="38" t="s">
        <v>283</v>
      </c>
      <c r="B143" s="15" t="s">
        <v>284</v>
      </c>
      <c r="C143" s="30">
        <v>5000</v>
      </c>
      <c r="D143" s="26">
        <f>IF(H143&lt;&gt;"x",VLOOKUP($A143,NhatkyNhap!A:AH,34,FALSE)-VLOOKUP($A143,NhatkyBan!A:AH,34,FALSE),"N/A")</f>
        <v>0</v>
      </c>
      <c r="E143" s="17" t="s">
        <v>457</v>
      </c>
      <c r="F143" s="17"/>
      <c r="G143" s="30">
        <v>5000</v>
      </c>
      <c r="H143" s="30"/>
      <c r="I143" s="6"/>
      <c r="K143" s="33" t="str">
        <f ca="1">IF(AND(INDEX(Table25[#All],MATCH(A143,Table25[[#All],[Mã SP]],0),DAY(TODAY())+2)=0,INDEX(Table25[#All],MATCH(A143,Table25[[#All],[Mã SP]],0),DAY(TODAY())+1)&gt;0),"x","")</f>
        <v>x</v>
      </c>
      <c r="L143" s="33" t="str">
        <f ca="1">IF(AND(INDEX(Table25[#All],MATCH(A143,Table25[[#All],[Mã SP]],0),DAY(TODAY())+2)&gt;0,INDEX(Table25[#All],MATCH(A143,Table25[[#All],[Mã SP]],0),DAY(TODAY())+1)&lt;=0),"x","")</f>
        <v/>
      </c>
      <c r="M143" s="33" t="str">
        <f t="shared" si="3"/>
        <v/>
      </c>
    </row>
    <row r="144" spans="1:13" ht="12.75" customHeight="1">
      <c r="A144" s="38" t="s">
        <v>285</v>
      </c>
      <c r="B144" s="15" t="s">
        <v>286</v>
      </c>
      <c r="C144" s="30">
        <v>5000</v>
      </c>
      <c r="D144" s="26">
        <f>IF(H144&lt;&gt;"x",VLOOKUP($A144,NhatkyNhap!A:AH,34,FALSE)-VLOOKUP($A144,NhatkyBan!A:AH,34,FALSE),"N/A")</f>
        <v>1</v>
      </c>
      <c r="E144" s="17" t="s">
        <v>457</v>
      </c>
      <c r="F144" s="17"/>
      <c r="G144" s="30">
        <v>5000</v>
      </c>
      <c r="H144" s="30"/>
      <c r="I144" s="6"/>
      <c r="K144" s="33" t="str">
        <f ca="1">IF(AND(INDEX(Table25[#All],MATCH(A144,Table25[[#All],[Mã SP]],0),DAY(TODAY())+2)=0,INDEX(Table25[#All],MATCH(A144,Table25[[#All],[Mã SP]],0),DAY(TODAY())+1)&gt;0),"x","")</f>
        <v/>
      </c>
      <c r="L144" s="33" t="str">
        <f ca="1">IF(AND(INDEX(Table25[#All],MATCH(A144,Table25[[#All],[Mã SP]],0),DAY(TODAY())+2)&gt;0,INDEX(Table25[#All],MATCH(A144,Table25[[#All],[Mã SP]],0),DAY(TODAY())+1)&lt;=0),"x","")</f>
        <v/>
      </c>
      <c r="M144" s="33" t="str">
        <f t="shared" si="3"/>
        <v/>
      </c>
    </row>
    <row r="145" spans="1:13" ht="12.75" customHeight="1">
      <c r="A145" s="38" t="s">
        <v>287</v>
      </c>
      <c r="B145" s="15" t="s">
        <v>288</v>
      </c>
      <c r="C145" s="30">
        <v>5000</v>
      </c>
      <c r="D145" s="26">
        <f>IF(H145&lt;&gt;"x",VLOOKUP($A145,NhatkyNhap!A:AH,34,FALSE)-VLOOKUP($A145,NhatkyBan!A:AH,34,FALSE),"N/A")</f>
        <v>-1</v>
      </c>
      <c r="E145" s="17" t="s">
        <v>457</v>
      </c>
      <c r="F145" s="17" t="s">
        <v>462</v>
      </c>
      <c r="G145" s="30">
        <v>5000</v>
      </c>
      <c r="H145" s="30"/>
      <c r="I145" s="6"/>
      <c r="K145" s="33" t="str">
        <f ca="1">IF(AND(INDEX(Table25[#All],MATCH(A145,Table25[[#All],[Mã SP]],0),DAY(TODAY())+2)=0,INDEX(Table25[#All],MATCH(A145,Table25[[#All],[Mã SP]],0),DAY(TODAY())+1)&gt;0),"x","")</f>
        <v/>
      </c>
      <c r="L145" s="33" t="str">
        <f ca="1">IF(AND(INDEX(Table25[#All],MATCH(A145,Table25[[#All],[Mã SP]],0),DAY(TODAY())+2)&gt;0,INDEX(Table25[#All],MATCH(A145,Table25[[#All],[Mã SP]],0),DAY(TODAY())+1)&lt;=0),"x","")</f>
        <v/>
      </c>
      <c r="M145" s="33" t="str">
        <f t="shared" si="3"/>
        <v/>
      </c>
    </row>
    <row r="146" spans="1:13" ht="12.75" customHeight="1">
      <c r="A146" s="38" t="s">
        <v>289</v>
      </c>
      <c r="B146" s="15" t="s">
        <v>290</v>
      </c>
      <c r="C146" s="30">
        <v>99000</v>
      </c>
      <c r="D146" s="26" t="str">
        <f>IF(H146&lt;&gt;"x",VLOOKUP($A146,NhatkyNhap!A:AH,34,FALSE)-VLOOKUP($A146,NhatkyBan!A:AH,34,FALSE),"N/A")</f>
        <v>N/A</v>
      </c>
      <c r="E146" s="17" t="s">
        <v>457</v>
      </c>
      <c r="F146" s="17"/>
      <c r="G146" s="30">
        <v>99000</v>
      </c>
      <c r="H146" s="30" t="s">
        <v>498</v>
      </c>
      <c r="I146" s="6"/>
      <c r="K146" s="33" t="str">
        <f ca="1">IF(AND(INDEX(Table25[#All],MATCH(A146,Table25[[#All],[Mã SP]],0),DAY(TODAY())+2)=0,INDEX(Table25[#All],MATCH(A146,Table25[[#All],[Mã SP]],0),DAY(TODAY())+1)&gt;0),"x","")</f>
        <v>x</v>
      </c>
      <c r="L146" s="33" t="str">
        <f ca="1">IF(AND(INDEX(Table25[#All],MATCH(A146,Table25[[#All],[Mã SP]],0),DAY(TODAY())+2)&gt;0,INDEX(Table25[#All],MATCH(A146,Table25[[#All],[Mã SP]],0),DAY(TODAY())+1)&lt;=0),"x","")</f>
        <v/>
      </c>
      <c r="M146" s="33" t="str">
        <f t="shared" si="3"/>
        <v/>
      </c>
    </row>
    <row r="147" spans="1:13" ht="12.75" customHeight="1">
      <c r="A147" s="38" t="s">
        <v>291</v>
      </c>
      <c r="B147" s="15" t="s">
        <v>292</v>
      </c>
      <c r="C147" s="30">
        <v>159000</v>
      </c>
      <c r="D147" s="26" t="str">
        <f>IF(H147&lt;&gt;"x",VLOOKUP($A147,NhatkyNhap!A:AH,34,FALSE)-VLOOKUP($A147,NhatkyBan!A:AH,34,FALSE),"N/A")</f>
        <v>N/A</v>
      </c>
      <c r="E147" s="17" t="s">
        <v>457</v>
      </c>
      <c r="F147" s="17"/>
      <c r="G147" s="30">
        <v>159000</v>
      </c>
      <c r="H147" s="30" t="s">
        <v>498</v>
      </c>
      <c r="I147" s="6"/>
      <c r="K147" s="33" t="str">
        <f ca="1">IF(AND(INDEX(Table25[#All],MATCH(A147,Table25[[#All],[Mã SP]],0),DAY(TODAY())+2)=0,INDEX(Table25[#All],MATCH(A147,Table25[[#All],[Mã SP]],0),DAY(TODAY())+1)&gt;0),"x","")</f>
        <v>x</v>
      </c>
      <c r="L147" s="33" t="str">
        <f ca="1">IF(AND(INDEX(Table25[#All],MATCH(A147,Table25[[#All],[Mã SP]],0),DAY(TODAY())+2)&gt;0,INDEX(Table25[#All],MATCH(A147,Table25[[#All],[Mã SP]],0),DAY(TODAY())+1)&lt;=0),"x","")</f>
        <v/>
      </c>
      <c r="M147" s="33" t="str">
        <f t="shared" si="3"/>
        <v/>
      </c>
    </row>
    <row r="148" spans="1:13" ht="12.75" customHeight="1">
      <c r="A148" s="38" t="s">
        <v>293</v>
      </c>
      <c r="B148" s="15" t="s">
        <v>294</v>
      </c>
      <c r="C148" s="30">
        <v>4000</v>
      </c>
      <c r="D148" s="26">
        <f>IF(H148&lt;&gt;"x",VLOOKUP($A148,NhatkyNhap!A:AH,34,FALSE)-VLOOKUP($A148,NhatkyBan!A:AH,34,FALSE),"N/A")</f>
        <v>86</v>
      </c>
      <c r="E148" s="17" t="s">
        <v>457</v>
      </c>
      <c r="F148" s="17"/>
      <c r="G148" s="30">
        <v>4000</v>
      </c>
      <c r="H148" s="30"/>
      <c r="I148" s="6"/>
      <c r="K148" s="33" t="str">
        <f ca="1">IF(AND(INDEX(Table25[#All],MATCH(A148,Table25[[#All],[Mã SP]],0),DAY(TODAY())+2)=0,INDEX(Table25[#All],MATCH(A148,Table25[[#All],[Mã SP]],0),DAY(TODAY())+1)&gt;0),"x","")</f>
        <v/>
      </c>
      <c r="L148" s="33" t="str">
        <f ca="1">IF(AND(INDEX(Table25[#All],MATCH(A148,Table25[[#All],[Mã SP]],0),DAY(TODAY())+2)&gt;0,INDEX(Table25[#All],MATCH(A148,Table25[[#All],[Mã SP]],0),DAY(TODAY())+1)&lt;=0),"x","")</f>
        <v/>
      </c>
      <c r="M148" s="33" t="str">
        <f t="shared" si="3"/>
        <v/>
      </c>
    </row>
    <row r="149" spans="1:13" ht="12.75" customHeight="1">
      <c r="A149" s="38" t="s">
        <v>295</v>
      </c>
      <c r="B149" s="15" t="s">
        <v>410</v>
      </c>
      <c r="C149" s="30">
        <v>70000</v>
      </c>
      <c r="D149" s="26">
        <f>IF(H149&lt;&gt;"x",VLOOKUP($A149,NhatkyNhap!A:AH,34,FALSE)-VLOOKUP($A149,NhatkyBan!A:AH,34,FALSE),"N/A")</f>
        <v>0</v>
      </c>
      <c r="E149" s="17" t="s">
        <v>457</v>
      </c>
      <c r="F149" s="17" t="s">
        <v>462</v>
      </c>
      <c r="G149" s="30">
        <v>70000</v>
      </c>
      <c r="H149" s="30"/>
      <c r="I149" s="6"/>
      <c r="J149" s="5" t="s">
        <v>498</v>
      </c>
      <c r="K149" s="33" t="str">
        <f ca="1">IF(AND(INDEX(Table25[#All],MATCH(A149,Table25[[#All],[Mã SP]],0),DAY(TODAY())+2)=0,INDEX(Table25[#All],MATCH(A149,Table25[[#All],[Mã SP]],0),DAY(TODAY())+1)&gt;0),"x","")</f>
        <v>x</v>
      </c>
      <c r="L149" s="33" t="str">
        <f ca="1">IF(AND(INDEX(Table25[#All],MATCH(A149,Table25[[#All],[Mã SP]],0),DAY(TODAY())+2)&gt;0,INDEX(Table25[#All],MATCH(A149,Table25[[#All],[Mã SP]],0),DAY(TODAY())+1)&lt;=0),"x","")</f>
        <v/>
      </c>
      <c r="M149" s="33" t="str">
        <f t="shared" si="3"/>
        <v/>
      </c>
    </row>
    <row r="150" spans="1:13" ht="12.75" customHeight="1">
      <c r="A150" s="38" t="s">
        <v>362</v>
      </c>
      <c r="B150" s="15" t="s">
        <v>296</v>
      </c>
      <c r="C150" s="30">
        <v>80000</v>
      </c>
      <c r="D150" s="26">
        <f>IF(H150&lt;&gt;"x",VLOOKUP($A150,NhatkyNhap!A:AH,34,FALSE)-VLOOKUP($A150,NhatkyBan!A:AH,34,FALSE),"N/A")</f>
        <v>3</v>
      </c>
      <c r="E150" s="17" t="s">
        <v>457</v>
      </c>
      <c r="F150" s="17" t="s">
        <v>462</v>
      </c>
      <c r="G150" s="30">
        <v>80000</v>
      </c>
      <c r="H150" s="30"/>
      <c r="I150" s="6"/>
      <c r="J150" s="5" t="s">
        <v>585</v>
      </c>
      <c r="K150" s="33" t="str">
        <f ca="1">IF(AND(INDEX(Table25[#All],MATCH(A150,Table25[[#All],[Mã SP]],0),DAY(TODAY())+2)=0,INDEX(Table25[#All],MATCH(A150,Table25[[#All],[Mã SP]],0),DAY(TODAY())+1)&gt;0),"x","")</f>
        <v/>
      </c>
      <c r="L150" s="33" t="str">
        <f ca="1">IF(AND(INDEX(Table25[#All],MATCH(A150,Table25[[#All],[Mã SP]],0),DAY(TODAY())+2)&gt;0,INDEX(Table25[#All],MATCH(A150,Table25[[#All],[Mã SP]],0),DAY(TODAY())+1)&lt;=0),"x","")</f>
        <v/>
      </c>
      <c r="M150" s="33" t="str">
        <f t="shared" si="3"/>
        <v/>
      </c>
    </row>
    <row r="151" spans="1:13" ht="12.75" customHeight="1">
      <c r="A151" s="38" t="s">
        <v>217</v>
      </c>
      <c r="B151" s="15" t="s">
        <v>218</v>
      </c>
      <c r="C151" s="30">
        <v>2000</v>
      </c>
      <c r="D151" s="26">
        <f>IF(H151&lt;&gt;"x",VLOOKUP($A151,NhatkyNhap!A:AH,34,FALSE)-VLOOKUP($A151,NhatkyBan!A:AH,34,FALSE),"N/A")</f>
        <v>180</v>
      </c>
      <c r="E151" s="17" t="s">
        <v>458</v>
      </c>
      <c r="F151" s="17"/>
      <c r="G151" s="30">
        <v>2000</v>
      </c>
      <c r="H151" s="30"/>
      <c r="I151" s="6"/>
      <c r="K151" s="33" t="str">
        <f ca="1">IF(AND(INDEX(Table25[#All],MATCH(A151,Table25[[#All],[Mã SP]],0),DAY(TODAY())+2)=0,INDEX(Table25[#All],MATCH(A151,Table25[[#All],[Mã SP]],0),DAY(TODAY())+1)&gt;0),"x","")</f>
        <v/>
      </c>
      <c r="L151" s="33" t="str">
        <f ca="1">IF(AND(INDEX(Table25[#All],MATCH(A151,Table25[[#All],[Mã SP]],0),DAY(TODAY())+2)&gt;0,INDEX(Table25[#All],MATCH(A151,Table25[[#All],[Mã SP]],0),DAY(TODAY())+1)&lt;=0),"x","")</f>
        <v/>
      </c>
      <c r="M151" s="33" t="str">
        <f t="shared" si="3"/>
        <v/>
      </c>
    </row>
    <row r="152" spans="1:13" ht="12.75" customHeight="1">
      <c r="A152" s="38" t="s">
        <v>219</v>
      </c>
      <c r="B152" s="15" t="s">
        <v>220</v>
      </c>
      <c r="C152" s="30">
        <v>8000</v>
      </c>
      <c r="D152" s="26">
        <f>IF(H152&lt;&gt;"x",VLOOKUP($A152,NhatkyNhap!A:AH,34,FALSE)-VLOOKUP($A152,NhatkyBan!A:AH,34,FALSE),"N/A")</f>
        <v>-198</v>
      </c>
      <c r="E152" s="17" t="s">
        <v>458</v>
      </c>
      <c r="F152" s="17"/>
      <c r="G152" s="30">
        <v>5000</v>
      </c>
      <c r="H152" s="30"/>
      <c r="I152" s="6"/>
      <c r="K152" s="33" t="str">
        <f ca="1">IF(AND(INDEX(Table25[#All],MATCH(A152,Table25[[#All],[Mã SP]],0),DAY(TODAY())+2)=0,INDEX(Table25[#All],MATCH(A152,Table25[[#All],[Mã SP]],0),DAY(TODAY())+1)&gt;0),"x","")</f>
        <v/>
      </c>
      <c r="L152" s="33" t="str">
        <f ca="1">IF(AND(INDEX(Table25[#All],MATCH(A152,Table25[[#All],[Mã SP]],0),DAY(TODAY())+2)&gt;0,INDEX(Table25[#All],MATCH(A152,Table25[[#All],[Mã SP]],0),DAY(TODAY())+1)&lt;=0),"x","")</f>
        <v/>
      </c>
      <c r="M152" s="33" t="str">
        <f t="shared" si="3"/>
        <v>x</v>
      </c>
    </row>
    <row r="153" spans="1:13" ht="12.75" customHeight="1">
      <c r="A153" s="38" t="s">
        <v>221</v>
      </c>
      <c r="B153" s="15" t="s">
        <v>222</v>
      </c>
      <c r="C153" s="30">
        <v>10000</v>
      </c>
      <c r="D153" s="26" t="str">
        <f>IF(H153&lt;&gt;"x",VLOOKUP($A153,NhatkyNhap!A:AH,34,FALSE)-VLOOKUP($A153,NhatkyBan!A:AH,34,FALSE),"N/A")</f>
        <v>N/A</v>
      </c>
      <c r="E153" s="17" t="s">
        <v>458</v>
      </c>
      <c r="F153" s="17"/>
      <c r="G153" s="30">
        <v>8000</v>
      </c>
      <c r="H153" s="30" t="s">
        <v>498</v>
      </c>
      <c r="I153" s="6"/>
      <c r="K153" s="33" t="str">
        <f ca="1">IF(AND(INDEX(Table25[#All],MATCH(A153,Table25[[#All],[Mã SP]],0),DAY(TODAY())+2)=0,INDEX(Table25[#All],MATCH(A153,Table25[[#All],[Mã SP]],0),DAY(TODAY())+1)&gt;0),"x","")</f>
        <v>x</v>
      </c>
      <c r="L153" s="33" t="str">
        <f ca="1">IF(AND(INDEX(Table25[#All],MATCH(A153,Table25[[#All],[Mã SP]],0),DAY(TODAY())+2)&gt;0,INDEX(Table25[#All],MATCH(A153,Table25[[#All],[Mã SP]],0),DAY(TODAY())+1)&lt;=0),"x","")</f>
        <v/>
      </c>
      <c r="M153" s="33" t="str">
        <f t="shared" si="3"/>
        <v>x</v>
      </c>
    </row>
    <row r="154" spans="1:13" ht="12.75" customHeight="1">
      <c r="A154" s="38" t="s">
        <v>223</v>
      </c>
      <c r="B154" s="15" t="s">
        <v>411</v>
      </c>
      <c r="C154" s="30">
        <v>18000</v>
      </c>
      <c r="D154" s="26" t="str">
        <f>IF(H154&lt;&gt;"x",VLOOKUP($A154,NhatkyNhap!A:AH,34,FALSE)-VLOOKUP($A154,NhatkyBan!A:AH,34,FALSE),"N/A")</f>
        <v>N/A</v>
      </c>
      <c r="E154" s="17" t="s">
        <v>458</v>
      </c>
      <c r="F154" s="17" t="s">
        <v>462</v>
      </c>
      <c r="G154" s="30">
        <v>18000</v>
      </c>
      <c r="H154" s="30" t="s">
        <v>498</v>
      </c>
      <c r="I154" s="6"/>
      <c r="K154" s="33" t="str">
        <f ca="1">IF(AND(INDEX(Table25[#All],MATCH(A154,Table25[[#All],[Mã SP]],0),DAY(TODAY())+2)=0,INDEX(Table25[#All],MATCH(A154,Table25[[#All],[Mã SP]],0),DAY(TODAY())+1)&gt;0),"x","")</f>
        <v>x</v>
      </c>
      <c r="L154" s="33" t="str">
        <f ca="1">IF(AND(INDEX(Table25[#All],MATCH(A154,Table25[[#All],[Mã SP]],0),DAY(TODAY())+2)&gt;0,INDEX(Table25[#All],MATCH(A154,Table25[[#All],[Mã SP]],0),DAY(TODAY())+1)&lt;=0),"x","")</f>
        <v/>
      </c>
      <c r="M154" s="33" t="str">
        <f t="shared" si="3"/>
        <v/>
      </c>
    </row>
    <row r="155" spans="1:13" ht="12.75" customHeight="1">
      <c r="A155" s="69" t="s">
        <v>225</v>
      </c>
      <c r="B155" s="70" t="s">
        <v>224</v>
      </c>
      <c r="C155" s="71">
        <v>30000</v>
      </c>
      <c r="D155" s="72">
        <f>IF(H155&lt;&gt;"x",VLOOKUP($A155,NhatkyNhap!A:AH,34,FALSE)-VLOOKUP($A155,NhatkyBan!A:AH,34,FALSE),"N/A")</f>
        <v>8.1999999999999993</v>
      </c>
      <c r="E155" s="73" t="s">
        <v>458</v>
      </c>
      <c r="F155" s="73" t="s">
        <v>462</v>
      </c>
      <c r="G155" s="71">
        <v>30000</v>
      </c>
      <c r="H155" s="71"/>
      <c r="I155" s="74" t="s">
        <v>623</v>
      </c>
      <c r="K155" s="33" t="str">
        <f ca="1">IF(AND(INDEX(Table25[#All],MATCH(A155,Table25[[#All],[Mã SP]],0),DAY(TODAY())+2)=0,INDEX(Table25[#All],MATCH(A155,Table25[[#All],[Mã SP]],0),DAY(TODAY())+1)&gt;0),"x","")</f>
        <v/>
      </c>
      <c r="L155" s="33" t="str">
        <f ca="1">IF(AND(INDEX(Table25[#All],MATCH(A155,Table25[[#All],[Mã SP]],0),DAY(TODAY())+2)&gt;0,INDEX(Table25[#All],MATCH(A155,Table25[[#All],[Mã SP]],0),DAY(TODAY())+1)&lt;=0),"x","")</f>
        <v/>
      </c>
      <c r="M155" s="33" t="str">
        <f t="shared" si="3"/>
        <v/>
      </c>
    </row>
    <row r="156" spans="1:13" ht="12.75" customHeight="1">
      <c r="A156" s="38" t="s">
        <v>227</v>
      </c>
      <c r="B156" s="15" t="s">
        <v>226</v>
      </c>
      <c r="C156" s="30">
        <v>5000</v>
      </c>
      <c r="D156" s="26">
        <f>IF(H156&lt;&gt;"x",VLOOKUP($A156,NhatkyNhap!A:AH,34,FALSE)-VLOOKUP($A156,NhatkyBan!A:AH,34,FALSE),"N/A")</f>
        <v>0</v>
      </c>
      <c r="E156" s="17" t="s">
        <v>458</v>
      </c>
      <c r="F156" s="17" t="s">
        <v>462</v>
      </c>
      <c r="G156" s="30">
        <v>5000</v>
      </c>
      <c r="H156" s="30"/>
      <c r="I156" s="6"/>
      <c r="K156" s="33" t="str">
        <f ca="1">IF(AND(INDEX(Table25[#All],MATCH(A156,Table25[[#All],[Mã SP]],0),DAY(TODAY())+2)=0,INDEX(Table25[#All],MATCH(A156,Table25[[#All],[Mã SP]],0),DAY(TODAY())+1)&gt;0),"x","")</f>
        <v>x</v>
      </c>
      <c r="L156" s="33" t="str">
        <f ca="1">IF(AND(INDEX(Table25[#All],MATCH(A156,Table25[[#All],[Mã SP]],0),DAY(TODAY())+2)&gt;0,INDEX(Table25[#All],MATCH(A156,Table25[[#All],[Mã SP]],0),DAY(TODAY())+1)&lt;=0),"x","")</f>
        <v/>
      </c>
      <c r="M156" s="33" t="str">
        <f t="shared" si="3"/>
        <v/>
      </c>
    </row>
    <row r="157" spans="1:13" ht="12.75" customHeight="1">
      <c r="A157" s="38" t="s">
        <v>229</v>
      </c>
      <c r="B157" s="15" t="s">
        <v>228</v>
      </c>
      <c r="C157" s="30">
        <v>5000</v>
      </c>
      <c r="D157" s="26">
        <f>IF(H157&lt;&gt;"x",VLOOKUP($A157,NhatkyNhap!A:AH,34,FALSE)-VLOOKUP($A157,NhatkyBan!A:AH,34,FALSE),"N/A")</f>
        <v>-5</v>
      </c>
      <c r="E157" s="17" t="s">
        <v>458</v>
      </c>
      <c r="F157" s="17" t="s">
        <v>462</v>
      </c>
      <c r="G157" s="30">
        <v>5000</v>
      </c>
      <c r="H157" s="30"/>
      <c r="I157" s="6"/>
      <c r="K157" s="33" t="str">
        <f ca="1">IF(AND(INDEX(Table25[#All],MATCH(A157,Table25[[#All],[Mã SP]],0),DAY(TODAY())+2)=0,INDEX(Table25[#All],MATCH(A157,Table25[[#All],[Mã SP]],0),DAY(TODAY())+1)&gt;0),"x","")</f>
        <v/>
      </c>
      <c r="L157" s="33" t="str">
        <f ca="1">IF(AND(INDEX(Table25[#All],MATCH(A157,Table25[[#All],[Mã SP]],0),DAY(TODAY())+2)&gt;0,INDEX(Table25[#All],MATCH(A157,Table25[[#All],[Mã SP]],0),DAY(TODAY())+1)&lt;=0),"x","")</f>
        <v/>
      </c>
      <c r="M157" s="33" t="str">
        <f t="shared" si="3"/>
        <v/>
      </c>
    </row>
    <row r="158" spans="1:13" ht="12.75" customHeight="1">
      <c r="A158" s="38" t="s">
        <v>231</v>
      </c>
      <c r="B158" s="15" t="s">
        <v>230</v>
      </c>
      <c r="C158" s="30">
        <v>5000</v>
      </c>
      <c r="D158" s="26">
        <f>IF(H158&lt;&gt;"x",VLOOKUP($A158,NhatkyNhap!A:AH,34,FALSE)-VLOOKUP($A158,NhatkyBan!A:AH,34,FALSE),"N/A")</f>
        <v>-1</v>
      </c>
      <c r="E158" s="17" t="s">
        <v>458</v>
      </c>
      <c r="F158" s="17" t="s">
        <v>462</v>
      </c>
      <c r="G158" s="30">
        <v>5000</v>
      </c>
      <c r="H158" s="30"/>
      <c r="I158" s="6"/>
      <c r="K158" s="33" t="str">
        <f ca="1">IF(AND(INDEX(Table25[#All],MATCH(A158,Table25[[#All],[Mã SP]],0),DAY(TODAY())+2)=0,INDEX(Table25[#All],MATCH(A158,Table25[[#All],[Mã SP]],0),DAY(TODAY())+1)&gt;0),"x","")</f>
        <v/>
      </c>
      <c r="L158" s="33" t="str">
        <f ca="1">IF(AND(INDEX(Table25[#All],MATCH(A158,Table25[[#All],[Mã SP]],0),DAY(TODAY())+2)&gt;0,INDEX(Table25[#All],MATCH(A158,Table25[[#All],[Mã SP]],0),DAY(TODAY())+1)&lt;=0),"x","")</f>
        <v/>
      </c>
      <c r="M158" s="33" t="str">
        <f t="shared" si="3"/>
        <v/>
      </c>
    </row>
    <row r="159" spans="1:13" ht="12.75" customHeight="1">
      <c r="A159" s="38" t="s">
        <v>233</v>
      </c>
      <c r="B159" s="15" t="s">
        <v>232</v>
      </c>
      <c r="C159" s="30">
        <v>5000</v>
      </c>
      <c r="D159" s="26">
        <f>IF(H159&lt;&gt;"x",VLOOKUP($A159,NhatkyNhap!A:AH,34,FALSE)-VLOOKUP($A159,NhatkyBan!A:AH,34,FALSE),"N/A")</f>
        <v>217</v>
      </c>
      <c r="E159" s="17" t="s">
        <v>458</v>
      </c>
      <c r="F159" s="17"/>
      <c r="G159" s="30">
        <v>5000</v>
      </c>
      <c r="H159" s="30"/>
      <c r="I159" s="6"/>
      <c r="K159" s="33" t="str">
        <f ca="1">IF(AND(INDEX(Table25[#All],MATCH(A159,Table25[[#All],[Mã SP]],0),DAY(TODAY())+2)=0,INDEX(Table25[#All],MATCH(A159,Table25[[#All],[Mã SP]],0),DAY(TODAY())+1)&gt;0),"x","")</f>
        <v/>
      </c>
      <c r="L159" s="33" t="str">
        <f ca="1">IF(AND(INDEX(Table25[#All],MATCH(A159,Table25[[#All],[Mã SP]],0),DAY(TODAY())+2)&gt;0,INDEX(Table25[#All],MATCH(A159,Table25[[#All],[Mã SP]],0),DAY(TODAY())+1)&lt;=0),"x","")</f>
        <v/>
      </c>
      <c r="M159" s="33" t="str">
        <f t="shared" si="3"/>
        <v/>
      </c>
    </row>
    <row r="160" spans="1:13" ht="12.75" customHeight="1">
      <c r="A160" s="38" t="s">
        <v>235</v>
      </c>
      <c r="B160" s="15" t="s">
        <v>248</v>
      </c>
      <c r="C160" s="30">
        <v>50000</v>
      </c>
      <c r="D160" s="26" t="str">
        <f>IF(H160&lt;&gt;"x",VLOOKUP($A160,NhatkyNhap!A:AH,34,FALSE)-VLOOKUP($A160,NhatkyBan!A:AH,34,FALSE),"N/A")</f>
        <v>N/A</v>
      </c>
      <c r="E160" s="17" t="s">
        <v>458</v>
      </c>
      <c r="F160" s="17"/>
      <c r="G160" s="30">
        <v>50000</v>
      </c>
      <c r="H160" s="30" t="s">
        <v>498</v>
      </c>
      <c r="I160" s="6"/>
      <c r="K160" s="33" t="str">
        <f ca="1">IF(AND(INDEX(Table25[#All],MATCH(A160,Table25[[#All],[Mã SP]],0),DAY(TODAY())+2)=0,INDEX(Table25[#All],MATCH(A160,Table25[[#All],[Mã SP]],0),DAY(TODAY())+1)&gt;0),"x","")</f>
        <v>x</v>
      </c>
      <c r="L160" s="33" t="str">
        <f ca="1">IF(AND(INDEX(Table25[#All],MATCH(A160,Table25[[#All],[Mã SP]],0),DAY(TODAY())+2)&gt;0,INDEX(Table25[#All],MATCH(A160,Table25[[#All],[Mã SP]],0),DAY(TODAY())+1)&lt;=0),"x","")</f>
        <v/>
      </c>
      <c r="M160" s="33" t="str">
        <f t="shared" si="3"/>
        <v/>
      </c>
    </row>
    <row r="161" spans="1:14" ht="12.75" customHeight="1">
      <c r="A161" s="69" t="s">
        <v>237</v>
      </c>
      <c r="B161" s="70" t="s">
        <v>234</v>
      </c>
      <c r="C161" s="71">
        <v>2000</v>
      </c>
      <c r="D161" s="72" t="str">
        <f>IF(H161&lt;&gt;"x",VLOOKUP($A161,NhatkyNhap!A:AH,34,FALSE)-VLOOKUP($A161,NhatkyBan!A:AH,34,FALSE),"N/A")</f>
        <v>N/A</v>
      </c>
      <c r="E161" s="73" t="s">
        <v>458</v>
      </c>
      <c r="F161" s="73"/>
      <c r="G161" s="71">
        <v>2000</v>
      </c>
      <c r="H161" s="71" t="s">
        <v>498</v>
      </c>
      <c r="I161" s="74" t="s">
        <v>623</v>
      </c>
      <c r="K161" s="33" t="str">
        <f ca="1">IF(AND(INDEX(Table25[#All],MATCH(A161,Table25[[#All],[Mã SP]],0),DAY(TODAY())+2)=0,INDEX(Table25[#All],MATCH(A161,Table25[[#All],[Mã SP]],0),DAY(TODAY())+1)&gt;0),"x","")</f>
        <v>x</v>
      </c>
      <c r="L161" s="33" t="str">
        <f ca="1">IF(AND(INDEX(Table25[#All],MATCH(A161,Table25[[#All],[Mã SP]],0),DAY(TODAY())+2)&gt;0,INDEX(Table25[#All],MATCH(A161,Table25[[#All],[Mã SP]],0),DAY(TODAY())+1)&lt;=0),"x","")</f>
        <v/>
      </c>
      <c r="M161" s="33" t="str">
        <f t="shared" si="3"/>
        <v/>
      </c>
    </row>
    <row r="162" spans="1:14" ht="12.75" customHeight="1">
      <c r="A162" s="69" t="s">
        <v>239</v>
      </c>
      <c r="B162" s="70" t="s">
        <v>236</v>
      </c>
      <c r="C162" s="71">
        <v>1000</v>
      </c>
      <c r="D162" s="72" t="str">
        <f>IF(H162&lt;&gt;"x",VLOOKUP($A162,NhatkyNhap!A:AH,34,FALSE)-VLOOKUP($A162,NhatkyBan!A:AH,34,FALSE),"N/A")</f>
        <v>N/A</v>
      </c>
      <c r="E162" s="73" t="s">
        <v>458</v>
      </c>
      <c r="F162" s="73"/>
      <c r="G162" s="71">
        <v>1000</v>
      </c>
      <c r="H162" s="71" t="s">
        <v>498</v>
      </c>
      <c r="I162" s="74" t="s">
        <v>623</v>
      </c>
      <c r="K162" s="33" t="str">
        <f ca="1">IF(AND(INDEX(Table25[#All],MATCH(A162,Table25[[#All],[Mã SP]],0),DAY(TODAY())+2)=0,INDEX(Table25[#All],MATCH(A162,Table25[[#All],[Mã SP]],0),DAY(TODAY())+1)&gt;0),"x","")</f>
        <v>x</v>
      </c>
      <c r="L162" s="33" t="str">
        <f ca="1">IF(AND(INDEX(Table25[#All],MATCH(A162,Table25[[#All],[Mã SP]],0),DAY(TODAY())+2)&gt;0,INDEX(Table25[#All],MATCH(A162,Table25[[#All],[Mã SP]],0),DAY(TODAY())+1)&lt;=0),"x","")</f>
        <v/>
      </c>
      <c r="M162" s="33" t="str">
        <f t="shared" si="3"/>
        <v/>
      </c>
    </row>
    <row r="163" spans="1:14" s="32" customFormat="1" ht="12.75" customHeight="1">
      <c r="A163" s="69" t="s">
        <v>494</v>
      </c>
      <c r="B163" s="70" t="s">
        <v>493</v>
      </c>
      <c r="C163" s="71">
        <v>1000</v>
      </c>
      <c r="D163" s="72" t="str">
        <f>IF(H163&lt;&gt;"x",VLOOKUP($A163,NhatkyNhap!A:AH,34,FALSE)-VLOOKUP($A163,NhatkyBan!A:AH,34,FALSE),"N/A")</f>
        <v>N/A</v>
      </c>
      <c r="E163" s="73" t="s">
        <v>458</v>
      </c>
      <c r="F163" s="73"/>
      <c r="G163" s="71">
        <v>1000</v>
      </c>
      <c r="H163" s="71" t="s">
        <v>498</v>
      </c>
      <c r="I163" s="74" t="s">
        <v>623</v>
      </c>
      <c r="K163" s="33" t="str">
        <f ca="1">IF(AND(INDEX(Table25[#All],MATCH(A163,Table25[[#All],[Mã SP]],0),DAY(TODAY())+2)=0,INDEX(Table25[#All],MATCH(A163,Table25[[#All],[Mã SP]],0),DAY(TODAY())+1)&gt;0),"x","")</f>
        <v>x</v>
      </c>
      <c r="L163" s="33" t="str">
        <f ca="1">IF(AND(INDEX(Table25[#All],MATCH(A163,Table25[[#All],[Mã SP]],0),DAY(TODAY())+2)&gt;0,INDEX(Table25[#All],MATCH(A163,Table25[[#All],[Mã SP]],0),DAY(TODAY())+1)&lt;=0),"x","")</f>
        <v/>
      </c>
      <c r="M163" s="33" t="str">
        <f t="shared" si="3"/>
        <v/>
      </c>
    </row>
    <row r="164" spans="1:14" ht="12.75" customHeight="1">
      <c r="A164" s="69" t="s">
        <v>241</v>
      </c>
      <c r="B164" s="70" t="s">
        <v>238</v>
      </c>
      <c r="C164" s="71">
        <v>500</v>
      </c>
      <c r="D164" s="72" t="str">
        <f>IF(H164&lt;&gt;"x",VLOOKUP($A164,NhatkyNhap!A:AH,34,FALSE)-VLOOKUP($A164,NhatkyBan!A:AH,34,FALSE),"N/A")</f>
        <v>N/A</v>
      </c>
      <c r="E164" s="73" t="s">
        <v>458</v>
      </c>
      <c r="F164" s="73"/>
      <c r="G164" s="71">
        <v>500</v>
      </c>
      <c r="H164" s="71" t="s">
        <v>498</v>
      </c>
      <c r="I164" s="74" t="s">
        <v>623</v>
      </c>
      <c r="K164" s="33" t="str">
        <f ca="1">IF(AND(INDEX(Table25[#All],MATCH(A164,Table25[[#All],[Mã SP]],0),DAY(TODAY())+2)=0,INDEX(Table25[#All],MATCH(A164,Table25[[#All],[Mã SP]],0),DAY(TODAY())+1)&gt;0),"x","")</f>
        <v>x</v>
      </c>
      <c r="L164" s="33" t="str">
        <f ca="1">IF(AND(INDEX(Table25[#All],MATCH(A164,Table25[[#All],[Mã SP]],0),DAY(TODAY())+2)&gt;0,INDEX(Table25[#All],MATCH(A164,Table25[[#All],[Mã SP]],0),DAY(TODAY())+1)&lt;=0),"x","")</f>
        <v/>
      </c>
      <c r="M164" s="33" t="str">
        <f t="shared" si="3"/>
        <v/>
      </c>
    </row>
    <row r="165" spans="1:14" ht="12.75" customHeight="1">
      <c r="A165" s="38" t="s">
        <v>516</v>
      </c>
      <c r="B165" s="15" t="s">
        <v>517</v>
      </c>
      <c r="C165" s="30">
        <v>3000</v>
      </c>
      <c r="D165" s="26">
        <f>IF(H165&lt;&gt;"x",VLOOKUP($A165,NhatkyNhap!A:AH,34,FALSE)-VLOOKUP($A165,NhatkyBan!A:AH,34,FALSE),"N/A")</f>
        <v>72</v>
      </c>
      <c r="E165" s="17" t="s">
        <v>458</v>
      </c>
      <c r="F165" s="17"/>
      <c r="G165" s="30">
        <v>3000</v>
      </c>
      <c r="H165" s="30"/>
      <c r="I165" s="6"/>
      <c r="K165" s="33" t="str">
        <f ca="1">IF(AND(INDEX(Table25[#All],MATCH(A165,Table25[[#All],[Mã SP]],0),DAY(TODAY())+2)=0,INDEX(Table25[#All],MATCH(A165,Table25[[#All],[Mã SP]],0),DAY(TODAY())+1)&gt;0),"x","")</f>
        <v/>
      </c>
      <c r="L165" s="33" t="str">
        <f ca="1">IF(AND(INDEX(Table25[#All],MATCH(A165,Table25[[#All],[Mã SP]],0),DAY(TODAY())+2)&gt;0,INDEX(Table25[#All],MATCH(A165,Table25[[#All],[Mã SP]],0),DAY(TODAY())+1)&lt;=0),"x","")</f>
        <v/>
      </c>
      <c r="M165" s="33" t="str">
        <f t="shared" si="3"/>
        <v/>
      </c>
    </row>
    <row r="166" spans="1:14" ht="12.75" customHeight="1">
      <c r="A166" s="38" t="s">
        <v>243</v>
      </c>
      <c r="B166" s="15" t="s">
        <v>240</v>
      </c>
      <c r="C166" s="30">
        <v>1000</v>
      </c>
      <c r="D166" s="26">
        <f>IF(H166&lt;&gt;"x",VLOOKUP($A166,NhatkyNhap!A:AH,34,FALSE)-VLOOKUP($A166,NhatkyBan!A:AH,34,FALSE),"N/A")</f>
        <v>1533</v>
      </c>
      <c r="E166" s="17" t="s">
        <v>458</v>
      </c>
      <c r="F166" s="17"/>
      <c r="G166" s="30">
        <v>1000</v>
      </c>
      <c r="H166" s="30"/>
      <c r="I166" s="6" t="s">
        <v>622</v>
      </c>
      <c r="K166" s="33" t="str">
        <f ca="1">IF(AND(INDEX(Table25[#All],MATCH(A166,Table25[[#All],[Mã SP]],0),DAY(TODAY())+2)=0,INDEX(Table25[#All],MATCH(A166,Table25[[#All],[Mã SP]],0),DAY(TODAY())+1)&gt;0),"x","")</f>
        <v/>
      </c>
      <c r="L166" s="33" t="str">
        <f ca="1">IF(AND(INDEX(Table25[#All],MATCH(A166,Table25[[#All],[Mã SP]],0),DAY(TODAY())+2)&gt;0,INDEX(Table25[#All],MATCH(A166,Table25[[#All],[Mã SP]],0),DAY(TODAY())+1)&lt;=0),"x","")</f>
        <v/>
      </c>
      <c r="M166" s="33" t="str">
        <f t="shared" si="3"/>
        <v/>
      </c>
    </row>
    <row r="167" spans="1:14" ht="12.75" customHeight="1">
      <c r="A167" s="38" t="s">
        <v>245</v>
      </c>
      <c r="B167" s="15" t="s">
        <v>242</v>
      </c>
      <c r="C167" s="30">
        <v>1000</v>
      </c>
      <c r="D167" s="26" t="str">
        <f>IF(H167&lt;&gt;"x",VLOOKUP($A167,NhatkyNhap!A:AH,34,FALSE)-VLOOKUP($A167,NhatkyBan!A:AH,34,FALSE),"N/A")</f>
        <v>N/A</v>
      </c>
      <c r="E167" s="17" t="s">
        <v>458</v>
      </c>
      <c r="F167" s="17" t="s">
        <v>462</v>
      </c>
      <c r="G167" s="30">
        <v>1000</v>
      </c>
      <c r="H167" s="30" t="s">
        <v>498</v>
      </c>
      <c r="I167" s="6"/>
      <c r="K167" s="33" t="str">
        <f ca="1">IF(AND(INDEX(Table25[#All],MATCH(A167,Table25[[#All],[Mã SP]],0),DAY(TODAY())+2)=0,INDEX(Table25[#All],MATCH(A167,Table25[[#All],[Mã SP]],0),DAY(TODAY())+1)&gt;0),"x","")</f>
        <v>x</v>
      </c>
      <c r="L167" s="33" t="str">
        <f ca="1">IF(AND(INDEX(Table25[#All],MATCH(A167,Table25[[#All],[Mã SP]],0),DAY(TODAY())+2)&gt;0,INDEX(Table25[#All],MATCH(A167,Table25[[#All],[Mã SP]],0),DAY(TODAY())+1)&lt;=0),"x","")</f>
        <v/>
      </c>
      <c r="M167" s="33" t="str">
        <f t="shared" si="3"/>
        <v/>
      </c>
    </row>
    <row r="168" spans="1:14" ht="12.75" customHeight="1">
      <c r="A168" s="38" t="s">
        <v>247</v>
      </c>
      <c r="B168" s="15" t="s">
        <v>244</v>
      </c>
      <c r="C168" s="30">
        <v>1000</v>
      </c>
      <c r="D168" s="26" t="str">
        <f>IF(H168&lt;&gt;"x",VLOOKUP($A168,NhatkyNhap!A:AH,34,FALSE)-VLOOKUP($A168,NhatkyBan!A:AH,34,FALSE),"N/A")</f>
        <v>N/A</v>
      </c>
      <c r="E168" s="17" t="s">
        <v>458</v>
      </c>
      <c r="F168" s="17"/>
      <c r="G168" s="30">
        <v>1000</v>
      </c>
      <c r="H168" s="30" t="s">
        <v>498</v>
      </c>
      <c r="I168" s="6"/>
      <c r="K168" s="33" t="str">
        <f ca="1">IF(AND(INDEX(Table25[#All],MATCH(A168,Table25[[#All],[Mã SP]],0),DAY(TODAY())+2)=0,INDEX(Table25[#All],MATCH(A168,Table25[[#All],[Mã SP]],0),DAY(TODAY())+1)&gt;0),"x","")</f>
        <v>x</v>
      </c>
      <c r="L168" s="33" t="str">
        <f ca="1">IF(AND(INDEX(Table25[#All],MATCH(A168,Table25[[#All],[Mã SP]],0),DAY(TODAY())+2)&gt;0,INDEX(Table25[#All],MATCH(A168,Table25[[#All],[Mã SP]],0),DAY(TODAY())+1)&lt;=0),"x","")</f>
        <v/>
      </c>
      <c r="M168" s="33" t="str">
        <f t="shared" si="3"/>
        <v/>
      </c>
    </row>
    <row r="169" spans="1:14" ht="12.75" customHeight="1">
      <c r="A169" s="38" t="s">
        <v>363</v>
      </c>
      <c r="B169" s="15" t="s">
        <v>246</v>
      </c>
      <c r="C169" s="30">
        <v>2000</v>
      </c>
      <c r="D169" s="26">
        <f>IF(H169&lt;&gt;"x",VLOOKUP($A169,NhatkyNhap!A:AH,34,FALSE)-VLOOKUP($A169,NhatkyBan!A:AH,34,FALSE),"N/A")</f>
        <v>0</v>
      </c>
      <c r="E169" s="17" t="s">
        <v>458</v>
      </c>
      <c r="F169" s="17" t="s">
        <v>462</v>
      </c>
      <c r="G169" s="30">
        <v>2000</v>
      </c>
      <c r="H169" s="30"/>
      <c r="I169" s="6"/>
      <c r="J169" s="5" t="s">
        <v>498</v>
      </c>
      <c r="K169" s="33" t="str">
        <f ca="1">IF(AND(INDEX(Table25[#All],MATCH(A169,Table25[[#All],[Mã SP]],0),DAY(TODAY())+2)=0,INDEX(Table25[#All],MATCH(A169,Table25[[#All],[Mã SP]],0),DAY(TODAY())+1)&gt;0),"x","")</f>
        <v>x</v>
      </c>
      <c r="L169" s="33" t="str">
        <f ca="1">IF(AND(INDEX(Table25[#All],MATCH(A169,Table25[[#All],[Mã SP]],0),DAY(TODAY())+2)&gt;0,INDEX(Table25[#All],MATCH(A169,Table25[[#All],[Mã SP]],0),DAY(TODAY())+1)&lt;=0),"x","")</f>
        <v/>
      </c>
      <c r="M169" s="33" t="str">
        <f t="shared" si="3"/>
        <v/>
      </c>
    </row>
    <row r="170" spans="1:14" ht="12.75" customHeight="1">
      <c r="A170" s="38" t="s">
        <v>364</v>
      </c>
      <c r="B170" s="15" t="s">
        <v>412</v>
      </c>
      <c r="C170" s="30">
        <v>5000</v>
      </c>
      <c r="D170" s="26">
        <f>IF(H170&lt;&gt;"x",VLOOKUP($A170,NhatkyNhap!A:AH,34,FALSE)-VLOOKUP($A170,NhatkyBan!A:AH,34,FALSE),"N/A")</f>
        <v>0</v>
      </c>
      <c r="E170" s="17" t="s">
        <v>458</v>
      </c>
      <c r="F170" s="17" t="s">
        <v>462</v>
      </c>
      <c r="G170" s="30">
        <v>5000</v>
      </c>
      <c r="H170" s="30"/>
      <c r="I170" s="6"/>
      <c r="K170" s="33" t="str">
        <f ca="1">IF(AND(INDEX(Table25[#All],MATCH(A170,Table25[[#All],[Mã SP]],0),DAY(TODAY())+2)=0,INDEX(Table25[#All],MATCH(A170,Table25[[#All],[Mã SP]],0),DAY(TODAY())+1)&gt;0),"x","")</f>
        <v>x</v>
      </c>
      <c r="L170" s="33" t="str">
        <f ca="1">IF(AND(INDEX(Table25[#All],MATCH(A170,Table25[[#All],[Mã SP]],0),DAY(TODAY())+2)&gt;0,INDEX(Table25[#All],MATCH(A170,Table25[[#All],[Mã SP]],0),DAY(TODAY())+1)&lt;=0),"x","")</f>
        <v/>
      </c>
      <c r="M170" s="33" t="str">
        <f t="shared" si="3"/>
        <v/>
      </c>
    </row>
    <row r="171" spans="1:14" ht="12.75" customHeight="1">
      <c r="A171" s="38" t="s">
        <v>365</v>
      </c>
      <c r="B171" s="15" t="s">
        <v>466</v>
      </c>
      <c r="C171" s="30">
        <v>3000</v>
      </c>
      <c r="D171" s="26">
        <f>IF(H171&lt;&gt;"x",VLOOKUP($A171,NhatkyNhap!A:AH,34,FALSE)-VLOOKUP($A171,NhatkyBan!A:AH,34,FALSE),"N/A")</f>
        <v>1242</v>
      </c>
      <c r="E171" s="17" t="s">
        <v>458</v>
      </c>
      <c r="F171" s="17"/>
      <c r="G171" s="30">
        <v>3000</v>
      </c>
      <c r="H171" s="30"/>
      <c r="I171" s="6"/>
      <c r="K171" s="33" t="str">
        <f ca="1">IF(AND(INDEX(Table25[#All],MATCH(A171,Table25[[#All],[Mã SP]],0),DAY(TODAY())+2)=0,INDEX(Table25[#All],MATCH(A171,Table25[[#All],[Mã SP]],0),DAY(TODAY())+1)&gt;0),"x","")</f>
        <v/>
      </c>
      <c r="L171" s="33" t="str">
        <f ca="1">IF(AND(INDEX(Table25[#All],MATCH(A171,Table25[[#All],[Mã SP]],0),DAY(TODAY())+2)&gt;0,INDEX(Table25[#All],MATCH(A171,Table25[[#All],[Mã SP]],0),DAY(TODAY())+1)&lt;=0),"x","")</f>
        <v/>
      </c>
      <c r="M171" s="33" t="str">
        <f t="shared" si="3"/>
        <v/>
      </c>
    </row>
    <row r="172" spans="1:14" ht="12.75" customHeight="1">
      <c r="A172" s="39" t="s">
        <v>366</v>
      </c>
      <c r="B172" s="15" t="s">
        <v>467</v>
      </c>
      <c r="C172" s="30">
        <v>3000</v>
      </c>
      <c r="D172" s="26">
        <f>IF(H172&lt;&gt;"x",VLOOKUP($A172,NhatkyNhap!A:AH,34,FALSE)-VLOOKUP($A172,NhatkyBan!A:AH,34,FALSE),"N/A")</f>
        <v>325</v>
      </c>
      <c r="E172" s="17" t="s">
        <v>458</v>
      </c>
      <c r="F172" s="17"/>
      <c r="G172" s="30">
        <v>3000</v>
      </c>
      <c r="H172" s="30"/>
      <c r="I172" s="6"/>
      <c r="K172" s="33" t="str">
        <f ca="1">IF(AND(INDEX(Table25[#All],MATCH(A172,Table25[[#All],[Mã SP]],0),DAY(TODAY())+2)=0,INDEX(Table25[#All],MATCH(A172,Table25[[#All],[Mã SP]],0),DAY(TODAY())+1)&gt;0),"x","")</f>
        <v/>
      </c>
      <c r="L172" s="33" t="str">
        <f ca="1">IF(AND(INDEX(Table25[#All],MATCH(A172,Table25[[#All],[Mã SP]],0),DAY(TODAY())+2)&gt;0,INDEX(Table25[#All],MATCH(A172,Table25[[#All],[Mã SP]],0),DAY(TODAY())+1)&lt;=0),"x","")</f>
        <v/>
      </c>
      <c r="M172" s="33" t="str">
        <f t="shared" si="3"/>
        <v/>
      </c>
    </row>
    <row r="173" spans="1:14" ht="12.75" customHeight="1">
      <c r="A173" s="39" t="s">
        <v>548</v>
      </c>
      <c r="B173" s="15" t="s">
        <v>624</v>
      </c>
      <c r="C173" s="30">
        <v>45000</v>
      </c>
      <c r="D173" s="26" t="str">
        <f>IF(H173&lt;&gt;"x",VLOOKUP($A173,NhatkyNhap!A:AH,34,FALSE)-VLOOKUP($A173,NhatkyBan!A:AH,34,FALSE),"N/A")</f>
        <v>N/A</v>
      </c>
      <c r="E173" s="17" t="s">
        <v>458</v>
      </c>
      <c r="F173" s="17"/>
      <c r="G173" s="30">
        <v>45000</v>
      </c>
      <c r="H173" s="30" t="s">
        <v>498</v>
      </c>
      <c r="I173" s="6"/>
      <c r="K173" s="33" t="str">
        <f ca="1">IF(AND(INDEX(Table25[#All],MATCH(A173,Table25[[#All],[Mã SP]],0),DAY(TODAY())+2)=0,INDEX(Table25[#All],MATCH(A173,Table25[[#All],[Mã SP]],0),DAY(TODAY())+1)&gt;0),"x","")</f>
        <v>x</v>
      </c>
      <c r="L173" s="33" t="str">
        <f ca="1">IF(AND(INDEX(Table25[#All],MATCH(A173,Table25[[#All],[Mã SP]],0),DAY(TODAY())+2)&gt;0,INDEX(Table25[#All],MATCH(A173,Table25[[#All],[Mã SP]],0),DAY(TODAY())+1)&lt;=0),"x","")</f>
        <v/>
      </c>
      <c r="M173" s="33" t="str">
        <f t="shared" si="3"/>
        <v/>
      </c>
    </row>
    <row r="174" spans="1:14" ht="12.75" customHeight="1">
      <c r="A174" s="39" t="s">
        <v>549</v>
      </c>
      <c r="B174" s="15" t="s">
        <v>550</v>
      </c>
      <c r="C174" s="30">
        <v>15000</v>
      </c>
      <c r="D174" s="26" t="str">
        <f>IF(H174&lt;&gt;"x",VLOOKUP($A174,NhatkyNhap!A:AH,34,FALSE)-VLOOKUP($A174,NhatkyBan!A:AH,34,FALSE),"N/A")</f>
        <v>N/A</v>
      </c>
      <c r="E174" s="17" t="s">
        <v>458</v>
      </c>
      <c r="F174" s="17"/>
      <c r="G174" s="30">
        <v>15000</v>
      </c>
      <c r="H174" s="30" t="s">
        <v>498</v>
      </c>
      <c r="I174" s="6"/>
      <c r="K174" s="33" t="str">
        <f ca="1">IF(AND(INDEX(Table25[#All],MATCH(A174,Table25[[#All],[Mã SP]],0),DAY(TODAY())+2)=0,INDEX(Table25[#All],MATCH(A174,Table25[[#All],[Mã SP]],0),DAY(TODAY())+1)&gt;0),"x","")</f>
        <v>x</v>
      </c>
      <c r="L174" s="33" t="str">
        <f ca="1">IF(AND(INDEX(Table25[#All],MATCH(A174,Table25[[#All],[Mã SP]],0),DAY(TODAY())+2)&gt;0,INDEX(Table25[#All],MATCH(A174,Table25[[#All],[Mã SP]],0),DAY(TODAY())+1)&lt;=0),"x","")</f>
        <v/>
      </c>
      <c r="M174" s="33" t="str">
        <f t="shared" si="3"/>
        <v/>
      </c>
    </row>
    <row r="175" spans="1:14" ht="12.75" customHeight="1">
      <c r="A175" s="39" t="s">
        <v>576</v>
      </c>
      <c r="B175" s="15" t="s">
        <v>577</v>
      </c>
      <c r="C175" s="30">
        <v>0</v>
      </c>
      <c r="D175" s="26">
        <f>IF(H175&lt;&gt;"x",VLOOKUP($A175,NhatkyNhap!A:AH,34,FALSE)-VLOOKUP($A175,NhatkyBan!A:AH,34,FALSE),"N/A")</f>
        <v>161</v>
      </c>
      <c r="E175" s="17" t="s">
        <v>577</v>
      </c>
      <c r="F175" s="17"/>
      <c r="G175" s="30">
        <v>0</v>
      </c>
      <c r="H175" s="30"/>
      <c r="I175" s="6"/>
      <c r="K175" s="33" t="str">
        <f ca="1">IF(AND(INDEX(Table25[#All],MATCH(A175,Table25[[#All],[Mã SP]],0),DAY(TODAY())+2)=0,INDEX(Table25[#All],MATCH(A175,Table25[[#All],[Mã SP]],0),DAY(TODAY())+1)&gt;0),"x","")</f>
        <v/>
      </c>
      <c r="L175" s="33" t="str">
        <f ca="1">IF(AND(INDEX(Table25[#All],MATCH(A175,Table25[[#All],[Mã SP]],0),DAY(TODAY())+2)&gt;0,INDEX(Table25[#All],MATCH(A175,Table25[[#All],[Mã SP]],0),DAY(TODAY())+1)&lt;=0),"x","")</f>
        <v/>
      </c>
      <c r="M175" s="33" t="str">
        <f t="shared" ref="M175" si="4">IF(C175-G175&lt;&gt;0,"x","")</f>
        <v/>
      </c>
    </row>
    <row r="176" spans="1:14" ht="12.75" customHeight="1">
      <c r="A176" s="39" t="s">
        <v>367</v>
      </c>
      <c r="B176" s="15" t="s">
        <v>413</v>
      </c>
      <c r="C176" s="30">
        <v>8000</v>
      </c>
      <c r="D176" s="26">
        <f>IF(H176&lt;&gt;"x",VLOOKUP($A176,NhatkyNhap!A:AH,34,FALSE)-VLOOKUP($A176,NhatkyBan!A:AH,34,FALSE),"N/A")</f>
        <v>0</v>
      </c>
      <c r="E176" s="17" t="s">
        <v>458</v>
      </c>
      <c r="F176" s="17"/>
      <c r="G176" s="30">
        <v>5000</v>
      </c>
      <c r="H176" s="30"/>
      <c r="I176" s="6"/>
      <c r="J176" s="5" t="s">
        <v>588</v>
      </c>
      <c r="K176" s="33" t="str">
        <f ca="1">IF(AND(INDEX(Table25[#All],MATCH(A176,Table25[[#All],[Mã SP]],0),DAY(TODAY())+2)=0,INDEX(Table25[#All],MATCH(A176,Table25[[#All],[Mã SP]],0),DAY(TODAY())+1)&gt;0),"x","")</f>
        <v>x</v>
      </c>
      <c r="L176" s="33" t="str">
        <f ca="1">IF(AND(INDEX(Table25[#All],MATCH(A176,Table25[[#All],[Mã SP]],0),DAY(TODAY())+2)&gt;0,INDEX(Table25[#All],MATCH(A176,Table25[[#All],[Mã SP]],0),DAY(TODAY())+1)&lt;=0),"x","")</f>
        <v/>
      </c>
      <c r="M176" s="33" t="str">
        <f t="shared" ref="M176:M206" si="5">IF(C176-G176&lt;&gt;0,"x","")</f>
        <v>x</v>
      </c>
      <c r="N176" s="35"/>
    </row>
    <row r="177" spans="1:14" ht="12.75" customHeight="1">
      <c r="A177" s="39" t="s">
        <v>368</v>
      </c>
      <c r="B177" s="15" t="s">
        <v>414</v>
      </c>
      <c r="C177" s="30">
        <v>8000</v>
      </c>
      <c r="D177" s="26">
        <f>IF(H177&lt;&gt;"x",VLOOKUP($A177,NhatkyNhap!A:AH,34,FALSE)-VLOOKUP($A177,NhatkyBan!A:AH,34,FALSE),"N/A")</f>
        <v>0</v>
      </c>
      <c r="E177" s="17" t="s">
        <v>458</v>
      </c>
      <c r="F177" s="17"/>
      <c r="G177" s="30">
        <v>5000</v>
      </c>
      <c r="H177" s="30"/>
      <c r="I177" s="6"/>
      <c r="J177" s="5" t="s">
        <v>588</v>
      </c>
      <c r="K177" s="33" t="str">
        <f ca="1">IF(AND(INDEX(Table25[#All],MATCH(A177,Table25[[#All],[Mã SP]],0),DAY(TODAY())+2)=0,INDEX(Table25[#All],MATCH(A177,Table25[[#All],[Mã SP]],0),DAY(TODAY())+1)&gt;0),"x","")</f>
        <v>x</v>
      </c>
      <c r="L177" s="33" t="str">
        <f ca="1">IF(AND(INDEX(Table25[#All],MATCH(A177,Table25[[#All],[Mã SP]],0),DAY(TODAY())+2)&gt;0,INDEX(Table25[#All],MATCH(A177,Table25[[#All],[Mã SP]],0),DAY(TODAY())+1)&lt;=0),"x","")</f>
        <v/>
      </c>
      <c r="M177" s="33" t="str">
        <f t="shared" si="5"/>
        <v>x</v>
      </c>
      <c r="N177" s="35"/>
    </row>
    <row r="178" spans="1:14" ht="12.75" customHeight="1">
      <c r="A178" s="39" t="s">
        <v>369</v>
      </c>
      <c r="B178" s="15" t="s">
        <v>415</v>
      </c>
      <c r="C178" s="30">
        <v>8000</v>
      </c>
      <c r="D178" s="26">
        <f>IF(H178&lt;&gt;"x",VLOOKUP($A178,NhatkyNhap!A:AH,34,FALSE)-VLOOKUP($A178,NhatkyBan!A:AH,34,FALSE),"N/A")</f>
        <v>2</v>
      </c>
      <c r="E178" s="17" t="s">
        <v>458</v>
      </c>
      <c r="F178" s="17"/>
      <c r="G178" s="30">
        <v>5000</v>
      </c>
      <c r="H178" s="30"/>
      <c r="I178" s="6"/>
      <c r="J178" s="5" t="s">
        <v>498</v>
      </c>
      <c r="K178" s="33" t="str">
        <f ca="1">IF(AND(INDEX(Table25[#All],MATCH(A178,Table25[[#All],[Mã SP]],0),DAY(TODAY())+2)=0,INDEX(Table25[#All],MATCH(A178,Table25[[#All],[Mã SP]],0),DAY(TODAY())+1)&gt;0),"x","")</f>
        <v/>
      </c>
      <c r="L178" s="33" t="str">
        <f ca="1">IF(AND(INDEX(Table25[#All],MATCH(A178,Table25[[#All],[Mã SP]],0),DAY(TODAY())+2)&gt;0,INDEX(Table25[#All],MATCH(A178,Table25[[#All],[Mã SP]],0),DAY(TODAY())+1)&lt;=0),"x","")</f>
        <v/>
      </c>
      <c r="M178" s="33" t="str">
        <f t="shared" si="5"/>
        <v>x</v>
      </c>
      <c r="N178" s="35"/>
    </row>
    <row r="179" spans="1:14" ht="12.75" customHeight="1">
      <c r="A179" s="39" t="s">
        <v>370</v>
      </c>
      <c r="B179" s="15" t="s">
        <v>416</v>
      </c>
      <c r="C179" s="30">
        <v>8000</v>
      </c>
      <c r="D179" s="26">
        <f>IF(H179&lt;&gt;"x",VLOOKUP($A179,NhatkyNhap!A:AH,34,FALSE)-VLOOKUP($A179,NhatkyBan!A:AH,34,FALSE),"N/A")</f>
        <v>0</v>
      </c>
      <c r="E179" s="17" t="s">
        <v>458</v>
      </c>
      <c r="F179" s="17"/>
      <c r="G179" s="30">
        <v>5000</v>
      </c>
      <c r="H179" s="30"/>
      <c r="I179" s="6"/>
      <c r="J179" s="5" t="s">
        <v>498</v>
      </c>
      <c r="K179" s="33" t="str">
        <f ca="1">IF(AND(INDEX(Table25[#All],MATCH(A179,Table25[[#All],[Mã SP]],0),DAY(TODAY())+2)=0,INDEX(Table25[#All],MATCH(A179,Table25[[#All],[Mã SP]],0),DAY(TODAY())+1)&gt;0),"x","")</f>
        <v>x</v>
      </c>
      <c r="L179" s="33" t="str">
        <f ca="1">IF(AND(INDEX(Table25[#All],MATCH(A179,Table25[[#All],[Mã SP]],0),DAY(TODAY())+2)&gt;0,INDEX(Table25[#All],MATCH(A179,Table25[[#All],[Mã SP]],0),DAY(TODAY())+1)&lt;=0),"x","")</f>
        <v/>
      </c>
      <c r="M179" s="33" t="str">
        <f t="shared" si="5"/>
        <v>x</v>
      </c>
      <c r="N179" s="35"/>
    </row>
    <row r="180" spans="1:14" ht="12.75" customHeight="1">
      <c r="A180" s="39" t="s">
        <v>371</v>
      </c>
      <c r="B180" s="15" t="s">
        <v>417</v>
      </c>
      <c r="C180" s="30">
        <v>8000</v>
      </c>
      <c r="D180" s="26">
        <f>IF(H180&lt;&gt;"x",VLOOKUP($A180,NhatkyNhap!A:AH,34,FALSE)-VLOOKUP($A180,NhatkyBan!A:AH,34,FALSE),"N/A")</f>
        <v>0</v>
      </c>
      <c r="E180" s="17" t="s">
        <v>458</v>
      </c>
      <c r="F180" s="17"/>
      <c r="G180" s="30">
        <v>5000</v>
      </c>
      <c r="H180" s="30"/>
      <c r="I180" s="6"/>
      <c r="J180" s="5" t="s">
        <v>498</v>
      </c>
      <c r="K180" s="33" t="str">
        <f ca="1">IF(AND(INDEX(Table25[#All],MATCH(A180,Table25[[#All],[Mã SP]],0),DAY(TODAY())+2)=0,INDEX(Table25[#All],MATCH(A180,Table25[[#All],[Mã SP]],0),DAY(TODAY())+1)&gt;0),"x","")</f>
        <v>x</v>
      </c>
      <c r="L180" s="33" t="str">
        <f ca="1">IF(AND(INDEX(Table25[#All],MATCH(A180,Table25[[#All],[Mã SP]],0),DAY(TODAY())+2)&gt;0,INDEX(Table25[#All],MATCH(A180,Table25[[#All],[Mã SP]],0),DAY(TODAY())+1)&lt;=0),"x","")</f>
        <v/>
      </c>
      <c r="M180" s="33" t="str">
        <f t="shared" si="5"/>
        <v>x</v>
      </c>
      <c r="N180" s="35"/>
    </row>
    <row r="181" spans="1:14" ht="12.75" customHeight="1">
      <c r="A181" s="40" t="s">
        <v>372</v>
      </c>
      <c r="B181" s="10" t="s">
        <v>418</v>
      </c>
      <c r="C181" s="30">
        <v>8000</v>
      </c>
      <c r="D181" s="26">
        <f>IF(H181&lt;&gt;"x",VLOOKUP($A181,NhatkyNhap!A:AH,34,FALSE)-VLOOKUP($A181,NhatkyBan!A:AH,34,FALSE),"N/A")</f>
        <v>0</v>
      </c>
      <c r="E181" s="6" t="s">
        <v>458</v>
      </c>
      <c r="F181" s="6"/>
      <c r="G181" s="6">
        <v>5000</v>
      </c>
      <c r="H181" s="6"/>
      <c r="I181" s="6"/>
      <c r="J181" s="5" t="s">
        <v>498</v>
      </c>
      <c r="K181" s="33" t="str">
        <f ca="1">IF(AND(INDEX(Table25[#All],MATCH(A181,Table25[[#All],[Mã SP]],0),DAY(TODAY())+2)=0,INDEX(Table25[#All],MATCH(A181,Table25[[#All],[Mã SP]],0),DAY(TODAY())+1)&gt;0),"x","")</f>
        <v>x</v>
      </c>
      <c r="L181" s="33" t="str">
        <f ca="1">IF(AND(INDEX(Table25[#All],MATCH(A181,Table25[[#All],[Mã SP]],0),DAY(TODAY())+2)&gt;0,INDEX(Table25[#All],MATCH(A181,Table25[[#All],[Mã SP]],0),DAY(TODAY())+1)&lt;=0),"x","")</f>
        <v/>
      </c>
      <c r="M181" s="33" t="str">
        <f t="shared" si="5"/>
        <v>x</v>
      </c>
      <c r="N181" s="35"/>
    </row>
    <row r="182" spans="1:14" ht="12.75" customHeight="1">
      <c r="A182" s="40" t="s">
        <v>373</v>
      </c>
      <c r="B182" s="10" t="s">
        <v>419</v>
      </c>
      <c r="C182" s="30">
        <v>8000</v>
      </c>
      <c r="D182" s="26">
        <f>IF(H182&lt;&gt;"x",VLOOKUP($A182,NhatkyNhap!A:AH,34,FALSE)-VLOOKUP($A182,NhatkyBan!A:AH,34,FALSE),"N/A")</f>
        <v>0</v>
      </c>
      <c r="E182" s="6" t="s">
        <v>458</v>
      </c>
      <c r="F182" s="6"/>
      <c r="G182" s="6">
        <v>5000</v>
      </c>
      <c r="H182" s="6"/>
      <c r="I182" s="6"/>
      <c r="J182" s="5" t="s">
        <v>498</v>
      </c>
      <c r="K182" s="33" t="str">
        <f ca="1">IF(AND(INDEX(Table25[#All],MATCH(A182,Table25[[#All],[Mã SP]],0),DAY(TODAY())+2)=0,INDEX(Table25[#All],MATCH(A182,Table25[[#All],[Mã SP]],0),DAY(TODAY())+1)&gt;0),"x","")</f>
        <v>x</v>
      </c>
      <c r="L182" s="33" t="str">
        <f ca="1">IF(AND(INDEX(Table25[#All],MATCH(A182,Table25[[#All],[Mã SP]],0),DAY(TODAY())+2)&gt;0,INDEX(Table25[#All],MATCH(A182,Table25[[#All],[Mã SP]],0),DAY(TODAY())+1)&lt;=0),"x","")</f>
        <v/>
      </c>
      <c r="M182" s="33" t="str">
        <f t="shared" si="5"/>
        <v>x</v>
      </c>
      <c r="N182" s="35"/>
    </row>
    <row r="183" spans="1:14" ht="12.75" customHeight="1">
      <c r="A183" s="40" t="s">
        <v>374</v>
      </c>
      <c r="B183" s="10" t="s">
        <v>420</v>
      </c>
      <c r="C183" s="30">
        <v>8000</v>
      </c>
      <c r="D183" s="26">
        <f>IF(H183&lt;&gt;"x",VLOOKUP($A183,NhatkyNhap!A:AH,34,FALSE)-VLOOKUP($A183,NhatkyBan!A:AH,34,FALSE),"N/A")</f>
        <v>0</v>
      </c>
      <c r="E183" s="6" t="s">
        <v>458</v>
      </c>
      <c r="F183" s="6"/>
      <c r="G183" s="6">
        <v>5000</v>
      </c>
      <c r="H183" s="6"/>
      <c r="I183" s="6"/>
      <c r="J183" s="5" t="s">
        <v>498</v>
      </c>
      <c r="K183" s="33" t="str">
        <f ca="1">IF(AND(INDEX(Table25[#All],MATCH(A183,Table25[[#All],[Mã SP]],0),DAY(TODAY())+2)=0,INDEX(Table25[#All],MATCH(A183,Table25[[#All],[Mã SP]],0),DAY(TODAY())+1)&gt;0),"x","")</f>
        <v>x</v>
      </c>
      <c r="L183" s="33" t="str">
        <f ca="1">IF(AND(INDEX(Table25[#All],MATCH(A183,Table25[[#All],[Mã SP]],0),DAY(TODAY())+2)&gt;0,INDEX(Table25[#All],MATCH(A183,Table25[[#All],[Mã SP]],0),DAY(TODAY())+1)&lt;=0),"x","")</f>
        <v/>
      </c>
      <c r="M183" s="33" t="str">
        <f t="shared" si="5"/>
        <v>x</v>
      </c>
      <c r="N183" s="35"/>
    </row>
    <row r="184" spans="1:14" ht="12.75" customHeight="1">
      <c r="A184" s="40" t="s">
        <v>375</v>
      </c>
      <c r="B184" s="10" t="s">
        <v>421</v>
      </c>
      <c r="C184" s="30">
        <v>8000</v>
      </c>
      <c r="D184" s="26">
        <f>IF(H184&lt;&gt;"x",VLOOKUP($A184,NhatkyNhap!A:AH,34,FALSE)-VLOOKUP($A184,NhatkyBan!A:AH,34,FALSE),"N/A")</f>
        <v>14</v>
      </c>
      <c r="E184" s="6" t="s">
        <v>458</v>
      </c>
      <c r="F184" s="6"/>
      <c r="G184" s="6">
        <v>5000</v>
      </c>
      <c r="H184" s="6"/>
      <c r="I184" s="6"/>
      <c r="K184" s="33" t="str">
        <f ca="1">IF(AND(INDEX(Table25[#All],MATCH(A184,Table25[[#All],[Mã SP]],0),DAY(TODAY())+2)=0,INDEX(Table25[#All],MATCH(A184,Table25[[#All],[Mã SP]],0),DAY(TODAY())+1)&gt;0),"x","")</f>
        <v/>
      </c>
      <c r="L184" s="33" t="str">
        <f ca="1">IF(AND(INDEX(Table25[#All],MATCH(A184,Table25[[#All],[Mã SP]],0),DAY(TODAY())+2)&gt;0,INDEX(Table25[#All],MATCH(A184,Table25[[#All],[Mã SP]],0),DAY(TODAY())+1)&lt;=0),"x","")</f>
        <v/>
      </c>
      <c r="M184" s="33" t="str">
        <f t="shared" si="5"/>
        <v>x</v>
      </c>
      <c r="N184" s="35"/>
    </row>
    <row r="185" spans="1:14" ht="12.75" customHeight="1">
      <c r="A185" s="40" t="s">
        <v>376</v>
      </c>
      <c r="B185" s="10" t="s">
        <v>422</v>
      </c>
      <c r="C185" s="30">
        <v>8000</v>
      </c>
      <c r="D185" s="26">
        <f>IF(H185&lt;&gt;"x",VLOOKUP($A185,NhatkyNhap!A:AH,34,FALSE)-VLOOKUP($A185,NhatkyBan!A:AH,34,FALSE),"N/A")</f>
        <v>93</v>
      </c>
      <c r="E185" s="6" t="s">
        <v>458</v>
      </c>
      <c r="F185" s="6"/>
      <c r="G185" s="6">
        <v>5000</v>
      </c>
      <c r="H185" s="6"/>
      <c r="I185" s="6"/>
      <c r="K185" s="33" t="str">
        <f ca="1">IF(AND(INDEX(Table25[#All],MATCH(A185,Table25[[#All],[Mã SP]],0),DAY(TODAY())+2)=0,INDEX(Table25[#All],MATCH(A185,Table25[[#All],[Mã SP]],0),DAY(TODAY())+1)&gt;0),"x","")</f>
        <v/>
      </c>
      <c r="L185" s="33" t="str">
        <f ca="1">IF(AND(INDEX(Table25[#All],MATCH(A185,Table25[[#All],[Mã SP]],0),DAY(TODAY())+2)&gt;0,INDEX(Table25[#All],MATCH(A185,Table25[[#All],[Mã SP]],0),DAY(TODAY())+1)&lt;=0),"x","")</f>
        <v/>
      </c>
      <c r="M185" s="33" t="str">
        <f t="shared" si="5"/>
        <v>x</v>
      </c>
      <c r="N185" s="35"/>
    </row>
    <row r="186" spans="1:14" ht="12.75" customHeight="1">
      <c r="A186" s="40" t="s">
        <v>377</v>
      </c>
      <c r="B186" s="10" t="s">
        <v>423</v>
      </c>
      <c r="C186" s="30">
        <v>8000</v>
      </c>
      <c r="D186" s="26">
        <f>IF(H186&lt;&gt;"x",VLOOKUP($A186,NhatkyNhap!A:AH,34,FALSE)-VLOOKUP($A186,NhatkyBan!A:AH,34,FALSE),"N/A")</f>
        <v>0</v>
      </c>
      <c r="E186" s="6" t="s">
        <v>458</v>
      </c>
      <c r="F186" s="6"/>
      <c r="G186" s="6">
        <v>5000</v>
      </c>
      <c r="H186" s="6"/>
      <c r="I186" s="6"/>
      <c r="J186" s="5" t="s">
        <v>587</v>
      </c>
      <c r="K186" s="33" t="str">
        <f ca="1">IF(AND(INDEX(Table25[#All],MATCH(A186,Table25[[#All],[Mã SP]],0),DAY(TODAY())+2)=0,INDEX(Table25[#All],MATCH(A186,Table25[[#All],[Mã SP]],0),DAY(TODAY())+1)&gt;0),"x","")</f>
        <v>x</v>
      </c>
      <c r="L186" s="33" t="str">
        <f ca="1">IF(AND(INDEX(Table25[#All],MATCH(A186,Table25[[#All],[Mã SP]],0),DAY(TODAY())+2)&gt;0,INDEX(Table25[#All],MATCH(A186,Table25[[#All],[Mã SP]],0),DAY(TODAY())+1)&lt;=0),"x","")</f>
        <v/>
      </c>
      <c r="M186" s="33" t="str">
        <f t="shared" si="5"/>
        <v>x</v>
      </c>
      <c r="N186" s="35"/>
    </row>
    <row r="187" spans="1:14" ht="12.75" customHeight="1">
      <c r="A187" s="40" t="s">
        <v>378</v>
      </c>
      <c r="B187" s="10" t="s">
        <v>424</v>
      </c>
      <c r="C187" s="30">
        <v>8000</v>
      </c>
      <c r="D187" s="26">
        <f>IF(H187&lt;&gt;"x",VLOOKUP($A187,NhatkyNhap!A:AH,34,FALSE)-VLOOKUP($A187,NhatkyBan!A:AH,34,FALSE),"N/A")</f>
        <v>0</v>
      </c>
      <c r="E187" s="6" t="s">
        <v>458</v>
      </c>
      <c r="F187" s="6"/>
      <c r="G187" s="6">
        <v>5000</v>
      </c>
      <c r="H187" s="6"/>
      <c r="I187" s="6"/>
      <c r="J187" s="5" t="s">
        <v>587</v>
      </c>
      <c r="K187" s="33" t="str">
        <f ca="1">IF(AND(INDEX(Table25[#All],MATCH(A187,Table25[[#All],[Mã SP]],0),DAY(TODAY())+2)=0,INDEX(Table25[#All],MATCH(A187,Table25[[#All],[Mã SP]],0),DAY(TODAY())+1)&gt;0),"x","")</f>
        <v>x</v>
      </c>
      <c r="L187" s="33" t="str">
        <f ca="1">IF(AND(INDEX(Table25[#All],MATCH(A187,Table25[[#All],[Mã SP]],0),DAY(TODAY())+2)&gt;0,INDEX(Table25[#All],MATCH(A187,Table25[[#All],[Mã SP]],0),DAY(TODAY())+1)&lt;=0),"x","")</f>
        <v/>
      </c>
      <c r="M187" s="33" t="str">
        <f t="shared" si="5"/>
        <v>x</v>
      </c>
      <c r="N187" s="35"/>
    </row>
    <row r="188" spans="1:14" ht="12.75" customHeight="1">
      <c r="A188" s="40" t="s">
        <v>379</v>
      </c>
      <c r="B188" s="10" t="s">
        <v>425</v>
      </c>
      <c r="C188" s="30">
        <v>8000</v>
      </c>
      <c r="D188" s="26">
        <f>IF(H188&lt;&gt;"x",VLOOKUP($A188,NhatkyNhap!A:AH,34,FALSE)-VLOOKUP($A188,NhatkyBan!A:AH,34,FALSE),"N/A")</f>
        <v>0</v>
      </c>
      <c r="E188" s="6" t="s">
        <v>458</v>
      </c>
      <c r="F188" s="6"/>
      <c r="G188" s="6">
        <v>5000</v>
      </c>
      <c r="H188" s="6"/>
      <c r="I188" s="6"/>
      <c r="J188" s="5" t="s">
        <v>587</v>
      </c>
      <c r="K188" s="33" t="str">
        <f ca="1">IF(AND(INDEX(Table25[#All],MATCH(A188,Table25[[#All],[Mã SP]],0),DAY(TODAY())+2)=0,INDEX(Table25[#All],MATCH(A188,Table25[[#All],[Mã SP]],0),DAY(TODAY())+1)&gt;0),"x","")</f>
        <v>x</v>
      </c>
      <c r="L188" s="33" t="str">
        <f ca="1">IF(AND(INDEX(Table25[#All],MATCH(A188,Table25[[#All],[Mã SP]],0),DAY(TODAY())+2)&gt;0,INDEX(Table25[#All],MATCH(A188,Table25[[#All],[Mã SP]],0),DAY(TODAY())+1)&lt;=0),"x","")</f>
        <v/>
      </c>
      <c r="M188" s="33" t="str">
        <f t="shared" si="5"/>
        <v>x</v>
      </c>
      <c r="N188" s="35"/>
    </row>
    <row r="189" spans="1:14" ht="12.75" customHeight="1">
      <c r="A189" s="40" t="s">
        <v>380</v>
      </c>
      <c r="B189" s="10" t="s">
        <v>426</v>
      </c>
      <c r="C189" s="30">
        <v>8000</v>
      </c>
      <c r="D189" s="26">
        <f>IF(H189&lt;&gt;"x",VLOOKUP($A189,NhatkyNhap!A:AH,34,FALSE)-VLOOKUP($A189,NhatkyBan!A:AH,34,FALSE),"N/A")</f>
        <v>0</v>
      </c>
      <c r="E189" s="6" t="s">
        <v>458</v>
      </c>
      <c r="F189" s="6"/>
      <c r="G189" s="6">
        <v>5000</v>
      </c>
      <c r="H189" s="6"/>
      <c r="I189" s="6"/>
      <c r="J189" s="5" t="s">
        <v>587</v>
      </c>
      <c r="K189" s="33" t="str">
        <f ca="1">IF(AND(INDEX(Table25[#All],MATCH(A189,Table25[[#All],[Mã SP]],0),DAY(TODAY())+2)=0,INDEX(Table25[#All],MATCH(A189,Table25[[#All],[Mã SP]],0),DAY(TODAY())+1)&gt;0),"x","")</f>
        <v>x</v>
      </c>
      <c r="L189" s="33" t="str">
        <f ca="1">IF(AND(INDEX(Table25[#All],MATCH(A189,Table25[[#All],[Mã SP]],0),DAY(TODAY())+2)&gt;0,INDEX(Table25[#All],MATCH(A189,Table25[[#All],[Mã SP]],0),DAY(TODAY())+1)&lt;=0),"x","")</f>
        <v/>
      </c>
      <c r="M189" s="33" t="str">
        <f t="shared" si="5"/>
        <v>x</v>
      </c>
      <c r="N189" s="35"/>
    </row>
    <row r="190" spans="1:14" ht="12.75" customHeight="1">
      <c r="A190" s="40" t="s">
        <v>381</v>
      </c>
      <c r="B190" s="10" t="s">
        <v>427</v>
      </c>
      <c r="C190" s="30">
        <v>8000</v>
      </c>
      <c r="D190" s="26">
        <f>IF(H190&lt;&gt;"x",VLOOKUP($A190,NhatkyNhap!A:AH,34,FALSE)-VLOOKUP($A190,NhatkyBan!A:AH,34,FALSE),"N/A")</f>
        <v>0</v>
      </c>
      <c r="E190" s="6" t="s">
        <v>458</v>
      </c>
      <c r="F190" s="6"/>
      <c r="G190" s="6">
        <v>5000</v>
      </c>
      <c r="H190" s="6"/>
      <c r="I190" s="6"/>
      <c r="J190" s="5" t="s">
        <v>587</v>
      </c>
      <c r="K190" s="33" t="str">
        <f ca="1">IF(AND(INDEX(Table25[#All],MATCH(A190,Table25[[#All],[Mã SP]],0),DAY(TODAY())+2)=0,INDEX(Table25[#All],MATCH(A190,Table25[[#All],[Mã SP]],0),DAY(TODAY())+1)&gt;0),"x","")</f>
        <v>x</v>
      </c>
      <c r="L190" s="33" t="str">
        <f ca="1">IF(AND(INDEX(Table25[#All],MATCH(A190,Table25[[#All],[Mã SP]],0),DAY(TODAY())+2)&gt;0,INDEX(Table25[#All],MATCH(A190,Table25[[#All],[Mã SP]],0),DAY(TODAY())+1)&lt;=0),"x","")</f>
        <v/>
      </c>
      <c r="M190" s="33" t="str">
        <f t="shared" si="5"/>
        <v>x</v>
      </c>
      <c r="N190" s="35"/>
    </row>
    <row r="191" spans="1:14" ht="12.75" customHeight="1">
      <c r="A191" s="40" t="s">
        <v>382</v>
      </c>
      <c r="B191" s="10" t="s">
        <v>428</v>
      </c>
      <c r="C191" s="30">
        <v>8000</v>
      </c>
      <c r="D191" s="26">
        <f>IF(H191&lt;&gt;"x",VLOOKUP($A191,NhatkyNhap!A:AH,34,FALSE)-VLOOKUP($A191,NhatkyBan!A:AH,34,FALSE),"N/A")</f>
        <v>0</v>
      </c>
      <c r="E191" s="6" t="s">
        <v>458</v>
      </c>
      <c r="F191" s="6"/>
      <c r="G191" s="6">
        <v>5000</v>
      </c>
      <c r="H191" s="6"/>
      <c r="I191" s="6"/>
      <c r="J191" s="5" t="s">
        <v>498</v>
      </c>
      <c r="K191" s="33" t="str">
        <f ca="1">IF(AND(INDEX(Table25[#All],MATCH(A191,Table25[[#All],[Mã SP]],0),DAY(TODAY())+2)=0,INDEX(Table25[#All],MATCH(A191,Table25[[#All],[Mã SP]],0),DAY(TODAY())+1)&gt;0),"x","")</f>
        <v>x</v>
      </c>
      <c r="L191" s="33" t="str">
        <f ca="1">IF(AND(INDEX(Table25[#All],MATCH(A191,Table25[[#All],[Mã SP]],0),DAY(TODAY())+2)&gt;0,INDEX(Table25[#All],MATCH(A191,Table25[[#All],[Mã SP]],0),DAY(TODAY())+1)&lt;=0),"x","")</f>
        <v/>
      </c>
      <c r="M191" s="33" t="str">
        <f t="shared" si="5"/>
        <v>x</v>
      </c>
      <c r="N191" s="35"/>
    </row>
    <row r="192" spans="1:14" ht="12.75" customHeight="1">
      <c r="A192" s="40" t="s">
        <v>383</v>
      </c>
      <c r="B192" s="10" t="s">
        <v>429</v>
      </c>
      <c r="C192" s="30">
        <v>8000</v>
      </c>
      <c r="D192" s="26">
        <f>IF(H192&lt;&gt;"x",VLOOKUP($A192,NhatkyNhap!A:AH,34,FALSE)-VLOOKUP($A192,NhatkyBan!A:AH,34,FALSE),"N/A")</f>
        <v>0</v>
      </c>
      <c r="E192" s="6" t="s">
        <v>458</v>
      </c>
      <c r="F192" s="6"/>
      <c r="G192" s="6">
        <v>5000</v>
      </c>
      <c r="H192" s="6"/>
      <c r="I192" s="6"/>
      <c r="J192" s="5" t="s">
        <v>587</v>
      </c>
      <c r="K192" s="33" t="str">
        <f ca="1">IF(AND(INDEX(Table25[#All],MATCH(A192,Table25[[#All],[Mã SP]],0),DAY(TODAY())+2)=0,INDEX(Table25[#All],MATCH(A192,Table25[[#All],[Mã SP]],0),DAY(TODAY())+1)&gt;0),"x","")</f>
        <v>x</v>
      </c>
      <c r="L192" s="33" t="str">
        <f ca="1">IF(AND(INDEX(Table25[#All],MATCH(A192,Table25[[#All],[Mã SP]],0),DAY(TODAY())+2)&gt;0,INDEX(Table25[#All],MATCH(A192,Table25[[#All],[Mã SP]],0),DAY(TODAY())+1)&lt;=0),"x","")</f>
        <v/>
      </c>
      <c r="M192" s="33" t="str">
        <f t="shared" si="5"/>
        <v>x</v>
      </c>
      <c r="N192" s="35"/>
    </row>
    <row r="193" spans="1:14" ht="12.75" customHeight="1">
      <c r="A193" s="40" t="s">
        <v>384</v>
      </c>
      <c r="B193" s="10" t="s">
        <v>430</v>
      </c>
      <c r="C193" s="30">
        <v>8000</v>
      </c>
      <c r="D193" s="26">
        <f>IF(H193&lt;&gt;"x",VLOOKUP($A193,NhatkyNhap!A:AH,34,FALSE)-VLOOKUP($A193,NhatkyBan!A:AH,34,FALSE),"N/A")</f>
        <v>0</v>
      </c>
      <c r="E193" s="6" t="s">
        <v>458</v>
      </c>
      <c r="F193" s="6"/>
      <c r="G193" s="6">
        <v>5000</v>
      </c>
      <c r="H193" s="6"/>
      <c r="I193" s="6"/>
      <c r="J193" s="5" t="s">
        <v>498</v>
      </c>
      <c r="K193" s="33" t="str">
        <f ca="1">IF(AND(INDEX(Table25[#All],MATCH(A193,Table25[[#All],[Mã SP]],0),DAY(TODAY())+2)=0,INDEX(Table25[#All],MATCH(A193,Table25[[#All],[Mã SP]],0),DAY(TODAY())+1)&gt;0),"x","")</f>
        <v>x</v>
      </c>
      <c r="L193" s="33" t="str">
        <f ca="1">IF(AND(INDEX(Table25[#All],MATCH(A193,Table25[[#All],[Mã SP]],0),DAY(TODAY())+2)&gt;0,INDEX(Table25[#All],MATCH(A193,Table25[[#All],[Mã SP]],0),DAY(TODAY())+1)&lt;=0),"x","")</f>
        <v/>
      </c>
      <c r="M193" s="33" t="str">
        <f t="shared" si="5"/>
        <v>x</v>
      </c>
      <c r="N193" s="35"/>
    </row>
    <row r="194" spans="1:14" ht="12.75" customHeight="1">
      <c r="A194" s="40" t="s">
        <v>385</v>
      </c>
      <c r="B194" s="10" t="s">
        <v>431</v>
      </c>
      <c r="C194" s="30">
        <v>8000</v>
      </c>
      <c r="D194" s="26">
        <f>IF(H194&lt;&gt;"x",VLOOKUP($A194,NhatkyNhap!A:AH,34,FALSE)-VLOOKUP($A194,NhatkyBan!A:AH,34,FALSE),"N/A")</f>
        <v>0</v>
      </c>
      <c r="E194" s="6" t="s">
        <v>458</v>
      </c>
      <c r="F194" s="6"/>
      <c r="G194" s="6">
        <v>5000</v>
      </c>
      <c r="H194" s="6"/>
      <c r="I194" s="6"/>
      <c r="J194" s="5" t="s">
        <v>498</v>
      </c>
      <c r="K194" s="33" t="str">
        <f ca="1">IF(AND(INDEX(Table25[#All],MATCH(A194,Table25[[#All],[Mã SP]],0),DAY(TODAY())+2)=0,INDEX(Table25[#All],MATCH(A194,Table25[[#All],[Mã SP]],0),DAY(TODAY())+1)&gt;0),"x","")</f>
        <v>x</v>
      </c>
      <c r="L194" s="33" t="str">
        <f ca="1">IF(AND(INDEX(Table25[#All],MATCH(A194,Table25[[#All],[Mã SP]],0),DAY(TODAY())+2)&gt;0,INDEX(Table25[#All],MATCH(A194,Table25[[#All],[Mã SP]],0),DAY(TODAY())+1)&lt;=0),"x","")</f>
        <v/>
      </c>
      <c r="M194" s="33" t="str">
        <f t="shared" si="5"/>
        <v>x</v>
      </c>
      <c r="N194" s="35"/>
    </row>
    <row r="195" spans="1:14" ht="12.75" customHeight="1">
      <c r="A195" s="40" t="s">
        <v>386</v>
      </c>
      <c r="B195" s="10" t="s">
        <v>432</v>
      </c>
      <c r="C195" s="30">
        <v>8000</v>
      </c>
      <c r="D195" s="26">
        <f>IF(H195&lt;&gt;"x",VLOOKUP($A195,NhatkyNhap!A:AH,34,FALSE)-VLOOKUP($A195,NhatkyBan!A:AH,34,FALSE),"N/A")</f>
        <v>103</v>
      </c>
      <c r="E195" s="6" t="s">
        <v>458</v>
      </c>
      <c r="F195" s="6"/>
      <c r="G195" s="6">
        <v>5000</v>
      </c>
      <c r="H195" s="6"/>
      <c r="I195" s="6"/>
      <c r="K195" s="33" t="str">
        <f ca="1">IF(AND(INDEX(Table25[#All],MATCH(A195,Table25[[#All],[Mã SP]],0),DAY(TODAY())+2)=0,INDEX(Table25[#All],MATCH(A195,Table25[[#All],[Mã SP]],0),DAY(TODAY())+1)&gt;0),"x","")</f>
        <v/>
      </c>
      <c r="L195" s="33" t="str">
        <f ca="1">IF(AND(INDEX(Table25[#All],MATCH(A195,Table25[[#All],[Mã SP]],0),DAY(TODAY())+2)&gt;0,INDEX(Table25[#All],MATCH(A195,Table25[[#All],[Mã SP]],0),DAY(TODAY())+1)&lt;=0),"x","")</f>
        <v/>
      </c>
      <c r="M195" s="33" t="str">
        <f t="shared" si="5"/>
        <v>x</v>
      </c>
      <c r="N195" s="35"/>
    </row>
    <row r="196" spans="1:14" ht="12.75" customHeight="1">
      <c r="A196" s="40" t="s">
        <v>387</v>
      </c>
      <c r="B196" s="10" t="s">
        <v>433</v>
      </c>
      <c r="C196" s="30">
        <v>8000</v>
      </c>
      <c r="D196" s="26">
        <f>IF(H196&lt;&gt;"x",VLOOKUP($A196,NhatkyNhap!A:AH,34,FALSE)-VLOOKUP($A196,NhatkyBan!A:AH,34,FALSE),"N/A")</f>
        <v>0</v>
      </c>
      <c r="E196" s="6" t="s">
        <v>458</v>
      </c>
      <c r="F196" s="6"/>
      <c r="G196" s="6">
        <v>5000</v>
      </c>
      <c r="H196" s="6"/>
      <c r="I196" s="6"/>
      <c r="J196" s="5" t="s">
        <v>587</v>
      </c>
      <c r="K196" s="33" t="str">
        <f ca="1">IF(AND(INDEX(Table25[#All],MATCH(A196,Table25[[#All],[Mã SP]],0),DAY(TODAY())+2)=0,INDEX(Table25[#All],MATCH(A196,Table25[[#All],[Mã SP]],0),DAY(TODAY())+1)&gt;0),"x","")</f>
        <v>x</v>
      </c>
      <c r="L196" s="33" t="str">
        <f ca="1">IF(AND(INDEX(Table25[#All],MATCH(A196,Table25[[#All],[Mã SP]],0),DAY(TODAY())+2)&gt;0,INDEX(Table25[#All],MATCH(A196,Table25[[#All],[Mã SP]],0),DAY(TODAY())+1)&lt;=0),"x","")</f>
        <v/>
      </c>
      <c r="M196" s="33" t="str">
        <f t="shared" si="5"/>
        <v>x</v>
      </c>
      <c r="N196" s="35"/>
    </row>
    <row r="197" spans="1:14" ht="12.75" customHeight="1">
      <c r="A197" s="40" t="s">
        <v>388</v>
      </c>
      <c r="B197" s="10" t="s">
        <v>434</v>
      </c>
      <c r="C197" s="30">
        <v>8000</v>
      </c>
      <c r="D197" s="26">
        <f>IF(H197&lt;&gt;"x",VLOOKUP($A197,NhatkyNhap!A:AH,34,FALSE)-VLOOKUP($A197,NhatkyBan!A:AH,34,FALSE),"N/A")</f>
        <v>43</v>
      </c>
      <c r="E197" s="6" t="s">
        <v>458</v>
      </c>
      <c r="F197" s="6"/>
      <c r="G197" s="6">
        <v>5000</v>
      </c>
      <c r="H197" s="6"/>
      <c r="I197" s="6"/>
      <c r="K197" s="33" t="str">
        <f ca="1">IF(AND(INDEX(Table25[#All],MATCH(A197,Table25[[#All],[Mã SP]],0),DAY(TODAY())+2)=0,INDEX(Table25[#All],MATCH(A197,Table25[[#All],[Mã SP]],0),DAY(TODAY())+1)&gt;0),"x","")</f>
        <v/>
      </c>
      <c r="L197" s="33" t="str">
        <f ca="1">IF(AND(INDEX(Table25[#All],MATCH(A197,Table25[[#All],[Mã SP]],0),DAY(TODAY())+2)&gt;0,INDEX(Table25[#All],MATCH(A197,Table25[[#All],[Mã SP]],0),DAY(TODAY())+1)&lt;=0),"x","")</f>
        <v/>
      </c>
      <c r="M197" s="33" t="str">
        <f t="shared" si="5"/>
        <v>x</v>
      </c>
      <c r="N197" s="35"/>
    </row>
    <row r="198" spans="1:14" ht="12.75" customHeight="1">
      <c r="A198" s="40" t="s">
        <v>389</v>
      </c>
      <c r="B198" s="10" t="s">
        <v>435</v>
      </c>
      <c r="C198" s="30">
        <v>8000</v>
      </c>
      <c r="D198" s="26">
        <f>IF(H198&lt;&gt;"x",VLOOKUP($A198,NhatkyNhap!A:AH,34,FALSE)-VLOOKUP($A198,NhatkyBan!A:AH,34,FALSE),"N/A")</f>
        <v>0</v>
      </c>
      <c r="E198" s="6" t="s">
        <v>458</v>
      </c>
      <c r="F198" s="6"/>
      <c r="G198" s="6">
        <v>5000</v>
      </c>
      <c r="H198" s="6"/>
      <c r="I198" s="6"/>
      <c r="J198" s="5" t="s">
        <v>498</v>
      </c>
      <c r="K198" s="33" t="str">
        <f ca="1">IF(AND(INDEX(Table25[#All],MATCH(A198,Table25[[#All],[Mã SP]],0),DAY(TODAY())+2)=0,INDEX(Table25[#All],MATCH(A198,Table25[[#All],[Mã SP]],0),DAY(TODAY())+1)&gt;0),"x","")</f>
        <v>x</v>
      </c>
      <c r="L198" s="33" t="str">
        <f ca="1">IF(AND(INDEX(Table25[#All],MATCH(A198,Table25[[#All],[Mã SP]],0),DAY(TODAY())+2)&gt;0,INDEX(Table25[#All],MATCH(A198,Table25[[#All],[Mã SP]],0),DAY(TODAY())+1)&lt;=0),"x","")</f>
        <v/>
      </c>
      <c r="M198" s="33" t="str">
        <f t="shared" si="5"/>
        <v>x</v>
      </c>
      <c r="N198" s="35"/>
    </row>
    <row r="199" spans="1:14" ht="12.75" customHeight="1">
      <c r="A199" s="40" t="s">
        <v>468</v>
      </c>
      <c r="B199" s="10" t="s">
        <v>480</v>
      </c>
      <c r="C199" s="30">
        <v>8000</v>
      </c>
      <c r="D199" s="26">
        <f>IF(H199&lt;&gt;"x",VLOOKUP($A199,NhatkyNhap!A:AH,34,FALSE)-VLOOKUP($A199,NhatkyBan!A:AH,34,FALSE),"N/A")</f>
        <v>0</v>
      </c>
      <c r="E199" s="6" t="s">
        <v>458</v>
      </c>
      <c r="F199" s="6"/>
      <c r="G199" s="6">
        <v>5000</v>
      </c>
      <c r="H199" s="6"/>
      <c r="I199" s="6"/>
      <c r="J199" s="5" t="s">
        <v>587</v>
      </c>
      <c r="K199" s="33" t="str">
        <f ca="1">IF(AND(INDEX(Table25[#All],MATCH(A199,Table25[[#All],[Mã SP]],0),DAY(TODAY())+2)=0,INDEX(Table25[#All],MATCH(A199,Table25[[#All],[Mã SP]],0),DAY(TODAY())+1)&gt;0),"x","")</f>
        <v>x</v>
      </c>
      <c r="L199" s="33" t="str">
        <f ca="1">IF(AND(INDEX(Table25[#All],MATCH(A199,Table25[[#All],[Mã SP]],0),DAY(TODAY())+2)&gt;0,INDEX(Table25[#All],MATCH(A199,Table25[[#All],[Mã SP]],0),DAY(TODAY())+1)&lt;=0),"x","")</f>
        <v/>
      </c>
      <c r="M199" s="33" t="str">
        <f t="shared" si="5"/>
        <v>x</v>
      </c>
      <c r="N199" s="35"/>
    </row>
    <row r="200" spans="1:14" ht="12.75" customHeight="1">
      <c r="A200" s="40" t="s">
        <v>469</v>
      </c>
      <c r="B200" s="10" t="s">
        <v>481</v>
      </c>
      <c r="C200" s="30">
        <v>8000</v>
      </c>
      <c r="D200" s="26">
        <f>IF(H200&lt;&gt;"x",VLOOKUP($A200,NhatkyNhap!A:AH,34,FALSE)-VLOOKUP($A200,NhatkyBan!A:AH,34,FALSE),"N/A")</f>
        <v>22</v>
      </c>
      <c r="E200" s="6" t="s">
        <v>458</v>
      </c>
      <c r="F200" s="6"/>
      <c r="G200" s="6">
        <v>5000</v>
      </c>
      <c r="H200" s="6"/>
      <c r="I200" s="6"/>
      <c r="K200" s="33" t="str">
        <f ca="1">IF(AND(INDEX(Table25[#All],MATCH(A200,Table25[[#All],[Mã SP]],0),DAY(TODAY())+2)=0,INDEX(Table25[#All],MATCH(A200,Table25[[#All],[Mã SP]],0),DAY(TODAY())+1)&gt;0),"x","")</f>
        <v/>
      </c>
      <c r="L200" s="33" t="str">
        <f ca="1">IF(AND(INDEX(Table25[#All],MATCH(A200,Table25[[#All],[Mã SP]],0),DAY(TODAY())+2)&gt;0,INDEX(Table25[#All],MATCH(A200,Table25[[#All],[Mã SP]],0),DAY(TODAY())+1)&lt;=0),"x","")</f>
        <v/>
      </c>
      <c r="M200" s="33" t="str">
        <f t="shared" si="5"/>
        <v>x</v>
      </c>
      <c r="N200" s="35"/>
    </row>
    <row r="201" spans="1:14" ht="12.75" customHeight="1">
      <c r="A201" s="40" t="s">
        <v>470</v>
      </c>
      <c r="B201" s="10" t="s">
        <v>482</v>
      </c>
      <c r="C201" s="30">
        <v>8000</v>
      </c>
      <c r="D201" s="26">
        <f>IF(H201&lt;&gt;"x",VLOOKUP($A201,NhatkyNhap!A:AH,34,FALSE)-VLOOKUP($A201,NhatkyBan!A:AH,34,FALSE),"N/A")</f>
        <v>0</v>
      </c>
      <c r="E201" s="6" t="s">
        <v>458</v>
      </c>
      <c r="F201" s="6"/>
      <c r="G201" s="6">
        <v>5000</v>
      </c>
      <c r="H201" s="6"/>
      <c r="I201" s="6"/>
      <c r="J201" s="5" t="s">
        <v>587</v>
      </c>
      <c r="K201" s="33" t="str">
        <f ca="1">IF(AND(INDEX(Table25[#All],MATCH(A201,Table25[[#All],[Mã SP]],0),DAY(TODAY())+2)=0,INDEX(Table25[#All],MATCH(A201,Table25[[#All],[Mã SP]],0),DAY(TODAY())+1)&gt;0),"x","")</f>
        <v>x</v>
      </c>
      <c r="L201" s="33" t="str">
        <f ca="1">IF(AND(INDEX(Table25[#All],MATCH(A201,Table25[[#All],[Mã SP]],0),DAY(TODAY())+2)&gt;0,INDEX(Table25[#All],MATCH(A201,Table25[[#All],[Mã SP]],0),DAY(TODAY())+1)&lt;=0),"x","")</f>
        <v/>
      </c>
      <c r="M201" s="33" t="str">
        <f t="shared" si="5"/>
        <v>x</v>
      </c>
      <c r="N201" s="35"/>
    </row>
    <row r="202" spans="1:14" ht="12.75" customHeight="1">
      <c r="A202" s="40" t="s">
        <v>471</v>
      </c>
      <c r="B202" s="10" t="s">
        <v>483</v>
      </c>
      <c r="C202" s="30">
        <v>8000</v>
      </c>
      <c r="D202" s="26">
        <f>IF(H202&lt;&gt;"x",VLOOKUP($A202,NhatkyNhap!A:AH,34,FALSE)-VLOOKUP($A202,NhatkyBan!A:AH,34,FALSE),"N/A")</f>
        <v>28</v>
      </c>
      <c r="E202" s="6" t="s">
        <v>458</v>
      </c>
      <c r="F202" s="6"/>
      <c r="G202" s="6">
        <v>5000</v>
      </c>
      <c r="H202" s="6"/>
      <c r="I202" s="6"/>
      <c r="K202" s="33" t="str">
        <f ca="1">IF(AND(INDEX(Table25[#All],MATCH(A202,Table25[[#All],[Mã SP]],0),DAY(TODAY())+2)=0,INDEX(Table25[#All],MATCH(A202,Table25[[#All],[Mã SP]],0),DAY(TODAY())+1)&gt;0),"x","")</f>
        <v/>
      </c>
      <c r="L202" s="33" t="str">
        <f ca="1">IF(AND(INDEX(Table25[#All],MATCH(A202,Table25[[#All],[Mã SP]],0),DAY(TODAY())+2)&gt;0,INDEX(Table25[#All],MATCH(A202,Table25[[#All],[Mã SP]],0),DAY(TODAY())+1)&lt;=0),"x","")</f>
        <v/>
      </c>
      <c r="M202" s="33" t="str">
        <f t="shared" si="5"/>
        <v>x</v>
      </c>
      <c r="N202" s="35"/>
    </row>
    <row r="203" spans="1:14" ht="12.75" customHeight="1">
      <c r="A203" s="40" t="s">
        <v>472</v>
      </c>
      <c r="B203" s="10" t="s">
        <v>484</v>
      </c>
      <c r="C203" s="30">
        <v>8000</v>
      </c>
      <c r="D203" s="26">
        <f>IF(H203&lt;&gt;"x",VLOOKUP($A203,NhatkyNhap!A:AH,34,FALSE)-VLOOKUP($A203,NhatkyBan!A:AH,34,FALSE),"N/A")</f>
        <v>0</v>
      </c>
      <c r="E203" s="6" t="s">
        <v>458</v>
      </c>
      <c r="F203" s="6"/>
      <c r="G203" s="6">
        <v>5000</v>
      </c>
      <c r="H203" s="6"/>
      <c r="I203" s="6"/>
      <c r="J203" s="5" t="s">
        <v>498</v>
      </c>
      <c r="K203" s="33" t="str">
        <f ca="1">IF(AND(INDEX(Table25[#All],MATCH(A203,Table25[[#All],[Mã SP]],0),DAY(TODAY())+2)=0,INDEX(Table25[#All],MATCH(A203,Table25[[#All],[Mã SP]],0),DAY(TODAY())+1)&gt;0),"x","")</f>
        <v>x</v>
      </c>
      <c r="L203" s="33" t="str">
        <f ca="1">IF(AND(INDEX(Table25[#All],MATCH(A203,Table25[[#All],[Mã SP]],0),DAY(TODAY())+2)&gt;0,INDEX(Table25[#All],MATCH(A203,Table25[[#All],[Mã SP]],0),DAY(TODAY())+1)&lt;=0),"x","")</f>
        <v/>
      </c>
      <c r="M203" s="33" t="str">
        <f t="shared" si="5"/>
        <v>x</v>
      </c>
      <c r="N203" s="35"/>
    </row>
    <row r="204" spans="1:14" ht="12.75" customHeight="1">
      <c r="A204" s="40" t="s">
        <v>473</v>
      </c>
      <c r="B204" s="10" t="s">
        <v>485</v>
      </c>
      <c r="C204" s="30">
        <v>8000</v>
      </c>
      <c r="D204" s="26">
        <f>IF(H204&lt;&gt;"x",VLOOKUP($A204,NhatkyNhap!A:AH,34,FALSE)-VLOOKUP($A204,NhatkyBan!A:AH,34,FALSE),"N/A")</f>
        <v>84</v>
      </c>
      <c r="E204" s="6" t="s">
        <v>458</v>
      </c>
      <c r="F204" s="6"/>
      <c r="G204" s="6">
        <v>5000</v>
      </c>
      <c r="H204" s="6"/>
      <c r="I204" s="6"/>
      <c r="K204" s="33" t="str">
        <f ca="1">IF(AND(INDEX(Table25[#All],MATCH(A204,Table25[[#All],[Mã SP]],0),DAY(TODAY())+2)=0,INDEX(Table25[#All],MATCH(A204,Table25[[#All],[Mã SP]],0),DAY(TODAY())+1)&gt;0),"x","")</f>
        <v/>
      </c>
      <c r="L204" s="33" t="str">
        <f ca="1">IF(AND(INDEX(Table25[#All],MATCH(A204,Table25[[#All],[Mã SP]],0),DAY(TODAY())+2)&gt;0,INDEX(Table25[#All],MATCH(A204,Table25[[#All],[Mã SP]],0),DAY(TODAY())+1)&lt;=0),"x","")</f>
        <v/>
      </c>
      <c r="M204" s="33" t="str">
        <f t="shared" si="5"/>
        <v>x</v>
      </c>
      <c r="N204" s="35"/>
    </row>
    <row r="205" spans="1:14" ht="12.75" customHeight="1">
      <c r="A205" s="40" t="s">
        <v>474</v>
      </c>
      <c r="B205" s="10" t="s">
        <v>486</v>
      </c>
      <c r="C205" s="30">
        <v>8000</v>
      </c>
      <c r="D205" s="26">
        <f>IF(H205&lt;&gt;"x",VLOOKUP($A205,NhatkyNhap!A:AH,34,FALSE)-VLOOKUP($A205,NhatkyBan!A:AH,34,FALSE),"N/A")</f>
        <v>0</v>
      </c>
      <c r="E205" s="6" t="s">
        <v>458</v>
      </c>
      <c r="F205" s="6"/>
      <c r="G205" s="6">
        <v>5000</v>
      </c>
      <c r="H205" s="6"/>
      <c r="I205" s="6"/>
      <c r="J205" s="5" t="s">
        <v>498</v>
      </c>
      <c r="K205" s="33" t="str">
        <f ca="1">IF(AND(INDEX(Table25[#All],MATCH(A205,Table25[[#All],[Mã SP]],0),DAY(TODAY())+2)=0,INDEX(Table25[#All],MATCH(A205,Table25[[#All],[Mã SP]],0),DAY(TODAY())+1)&gt;0),"x","")</f>
        <v>x</v>
      </c>
      <c r="L205" s="33" t="str">
        <f ca="1">IF(AND(INDEX(Table25[#All],MATCH(A205,Table25[[#All],[Mã SP]],0),DAY(TODAY())+2)&gt;0,INDEX(Table25[#All],MATCH(A205,Table25[[#All],[Mã SP]],0),DAY(TODAY())+1)&lt;=0),"x","")</f>
        <v/>
      </c>
      <c r="M205" s="33" t="str">
        <f t="shared" si="5"/>
        <v>x</v>
      </c>
      <c r="N205" s="35"/>
    </row>
    <row r="206" spans="1:14" ht="12.75" customHeight="1">
      <c r="A206" s="40" t="s">
        <v>475</v>
      </c>
      <c r="B206" s="10" t="s">
        <v>487</v>
      </c>
      <c r="C206" s="30">
        <v>8000</v>
      </c>
      <c r="D206" s="26">
        <f>IF(H206&lt;&gt;"x",VLOOKUP($A206,NhatkyNhap!A:AH,34,FALSE)-VLOOKUP($A206,NhatkyBan!A:AH,34,FALSE),"N/A")</f>
        <v>9</v>
      </c>
      <c r="E206" s="6" t="s">
        <v>458</v>
      </c>
      <c r="F206" s="6"/>
      <c r="G206" s="6">
        <v>5000</v>
      </c>
      <c r="H206" s="6"/>
      <c r="I206" s="6"/>
      <c r="K206" s="33" t="str">
        <f ca="1">IF(AND(INDEX(Table25[#All],MATCH(A206,Table25[[#All],[Mã SP]],0),DAY(TODAY())+2)=0,INDEX(Table25[#All],MATCH(A206,Table25[[#All],[Mã SP]],0),DAY(TODAY())+1)&gt;0),"x","")</f>
        <v/>
      </c>
      <c r="L206" s="33" t="str">
        <f ca="1">IF(AND(INDEX(Table25[#All],MATCH(A206,Table25[[#All],[Mã SP]],0),DAY(TODAY())+2)&gt;0,INDEX(Table25[#All],MATCH(A206,Table25[[#All],[Mã SP]],0),DAY(TODAY())+1)&lt;=0),"x","")</f>
        <v/>
      </c>
      <c r="M206" s="33" t="str">
        <f t="shared" si="5"/>
        <v>x</v>
      </c>
      <c r="N206" s="35"/>
    </row>
    <row r="207" spans="1:14" ht="12.75" customHeight="1">
      <c r="A207" s="40" t="s">
        <v>476</v>
      </c>
      <c r="B207" s="10" t="s">
        <v>488</v>
      </c>
      <c r="C207" s="30">
        <v>8000</v>
      </c>
      <c r="D207" s="26">
        <f>IF(H207&lt;&gt;"x",VLOOKUP($A207,NhatkyNhap!A:AH,34,FALSE)-VLOOKUP($A207,NhatkyBan!A:AH,34,FALSE),"N/A")</f>
        <v>8</v>
      </c>
      <c r="E207" s="6" t="s">
        <v>458</v>
      </c>
      <c r="F207" s="6"/>
      <c r="G207" s="6">
        <v>5000</v>
      </c>
      <c r="H207" s="6"/>
      <c r="I207" s="6"/>
      <c r="K207" s="33" t="str">
        <f ca="1">IF(AND(INDEX(Table25[#All],MATCH(A207,Table25[[#All],[Mã SP]],0),DAY(TODAY())+2)=0,INDEX(Table25[#All],MATCH(A207,Table25[[#All],[Mã SP]],0),DAY(TODAY())+1)&gt;0),"x","")</f>
        <v/>
      </c>
      <c r="L207" s="33" t="str">
        <f ca="1">IF(AND(INDEX(Table25[#All],MATCH(A207,Table25[[#All],[Mã SP]],0),DAY(TODAY())+2)&gt;0,INDEX(Table25[#All],MATCH(A207,Table25[[#All],[Mã SP]],0),DAY(TODAY())+1)&lt;=0),"x","")</f>
        <v/>
      </c>
      <c r="M207" s="33" t="str">
        <f t="shared" ref="M207:M218" si="6">IF(C207-G207&lt;&gt;0,"x","")</f>
        <v>x</v>
      </c>
      <c r="N207" s="35"/>
    </row>
    <row r="208" spans="1:14" ht="12.75" customHeight="1">
      <c r="A208" s="40" t="s">
        <v>477</v>
      </c>
      <c r="B208" s="10" t="s">
        <v>489</v>
      </c>
      <c r="C208" s="30">
        <v>8000</v>
      </c>
      <c r="D208" s="26">
        <f>IF(H208&lt;&gt;"x",VLOOKUP($A208,NhatkyNhap!A:AH,34,FALSE)-VLOOKUP($A208,NhatkyBan!A:AH,34,FALSE),"N/A")</f>
        <v>10</v>
      </c>
      <c r="E208" s="6" t="s">
        <v>458</v>
      </c>
      <c r="F208" s="6"/>
      <c r="G208" s="6">
        <v>5000</v>
      </c>
      <c r="H208" s="6"/>
      <c r="I208" s="6"/>
      <c r="K208" s="33" t="str">
        <f ca="1">IF(AND(INDEX(Table25[#All],MATCH(A208,Table25[[#All],[Mã SP]],0),DAY(TODAY())+2)=0,INDEX(Table25[#All],MATCH(A208,Table25[[#All],[Mã SP]],0),DAY(TODAY())+1)&gt;0),"x","")</f>
        <v/>
      </c>
      <c r="L208" s="33" t="str">
        <f ca="1">IF(AND(INDEX(Table25[#All],MATCH(A208,Table25[[#All],[Mã SP]],0),DAY(TODAY())+2)&gt;0,INDEX(Table25[#All],MATCH(A208,Table25[[#All],[Mã SP]],0),DAY(TODAY())+1)&lt;=0),"x","")</f>
        <v/>
      </c>
      <c r="M208" s="33" t="str">
        <f t="shared" si="6"/>
        <v>x</v>
      </c>
      <c r="N208" s="35"/>
    </row>
    <row r="209" spans="1:14" ht="12.75" customHeight="1">
      <c r="A209" s="40" t="s">
        <v>478</v>
      </c>
      <c r="B209" s="10" t="s">
        <v>26</v>
      </c>
      <c r="C209" s="30">
        <v>8000</v>
      </c>
      <c r="D209" s="26">
        <f>IF(H209&lt;&gt;"x",VLOOKUP($A209,NhatkyNhap!A:AH,34,FALSE)-VLOOKUP($A209,NhatkyBan!A:AH,34,FALSE),"N/A")</f>
        <v>1</v>
      </c>
      <c r="E209" s="6" t="s">
        <v>458</v>
      </c>
      <c r="F209" s="6"/>
      <c r="G209" s="6">
        <v>5000</v>
      </c>
      <c r="H209" s="6"/>
      <c r="I209" s="6"/>
      <c r="K209" s="33" t="str">
        <f ca="1">IF(AND(INDEX(Table25[#All],MATCH(A209,Table25[[#All],[Mã SP]],0),DAY(TODAY())+2)=0,INDEX(Table25[#All],MATCH(A209,Table25[[#All],[Mã SP]],0),DAY(TODAY())+1)&gt;0),"x","")</f>
        <v/>
      </c>
      <c r="L209" s="33" t="str">
        <f ca="1">IF(AND(INDEX(Table25[#All],MATCH(A209,Table25[[#All],[Mã SP]],0),DAY(TODAY())+2)&gt;0,INDEX(Table25[#All],MATCH(A209,Table25[[#All],[Mã SP]],0),DAY(TODAY())+1)&lt;=0),"x","")</f>
        <v/>
      </c>
      <c r="M209" s="33" t="str">
        <f t="shared" si="6"/>
        <v>x</v>
      </c>
      <c r="N209" s="35"/>
    </row>
    <row r="210" spans="1:14" ht="12.75" customHeight="1">
      <c r="A210" s="40" t="s">
        <v>479</v>
      </c>
      <c r="B210" s="10" t="s">
        <v>490</v>
      </c>
      <c r="C210" s="30">
        <v>8000</v>
      </c>
      <c r="D210" s="26">
        <f>IF(H210&lt;&gt;"x",VLOOKUP($A210,NhatkyNhap!A:AH,34,FALSE)-VLOOKUP($A210,NhatkyBan!A:AH,34,FALSE),"N/A")</f>
        <v>3</v>
      </c>
      <c r="E210" s="6" t="s">
        <v>458</v>
      </c>
      <c r="F210" s="6"/>
      <c r="G210" s="6">
        <v>5000</v>
      </c>
      <c r="H210" s="6"/>
      <c r="I210" s="6"/>
      <c r="K210" s="33" t="str">
        <f ca="1">IF(AND(INDEX(Table25[#All],MATCH(A210,Table25[[#All],[Mã SP]],0),DAY(TODAY())+2)=0,INDEX(Table25[#All],MATCH(A210,Table25[[#All],[Mã SP]],0),DAY(TODAY())+1)&gt;0),"x","")</f>
        <v/>
      </c>
      <c r="L210" s="33" t="str">
        <f ca="1">IF(AND(INDEX(Table25[#All],MATCH(A210,Table25[[#All],[Mã SP]],0),DAY(TODAY())+2)&gt;0,INDEX(Table25[#All],MATCH(A210,Table25[[#All],[Mã SP]],0),DAY(TODAY())+1)&lt;=0),"x","")</f>
        <v/>
      </c>
      <c r="M210" s="33" t="str">
        <f t="shared" si="6"/>
        <v>x</v>
      </c>
      <c r="N210" s="35"/>
    </row>
    <row r="211" spans="1:14" ht="12.75" customHeight="1">
      <c r="A211" s="40" t="s">
        <v>499</v>
      </c>
      <c r="B211" s="10" t="s">
        <v>500</v>
      </c>
      <c r="C211" s="30">
        <v>8000</v>
      </c>
      <c r="D211" s="26">
        <f>IF(H211&lt;&gt;"x",VLOOKUP($A211,NhatkyNhap!A:AH,34,FALSE)-VLOOKUP($A211,NhatkyBan!A:AH,34,FALSE),"N/A")</f>
        <v>38</v>
      </c>
      <c r="E211" s="6" t="s">
        <v>458</v>
      </c>
      <c r="F211" s="31"/>
      <c r="G211" s="31">
        <v>5000</v>
      </c>
      <c r="H211" s="31"/>
      <c r="I211" s="6"/>
      <c r="J211" s="32"/>
      <c r="K211" s="33" t="str">
        <f ca="1">IF(AND(INDEX(Table25[#All],MATCH(A211,Table25[[#All],[Mã SP]],0),DAY(TODAY())+2)=0,INDEX(Table25[#All],MATCH(A211,Table25[[#All],[Mã SP]],0),DAY(TODAY())+1)&gt;0),"x","")</f>
        <v/>
      </c>
      <c r="L211" s="33" t="str">
        <f ca="1">IF(AND(INDEX(Table25[#All],MATCH(A211,Table25[[#All],[Mã SP]],0),DAY(TODAY())+2)&gt;0,INDEX(Table25[#All],MATCH(A211,Table25[[#All],[Mã SP]],0),DAY(TODAY())+1)&lt;=0),"x","")</f>
        <v/>
      </c>
      <c r="M211" s="33" t="str">
        <f t="shared" si="6"/>
        <v>x</v>
      </c>
    </row>
    <row r="212" spans="1:14" ht="12.75" customHeight="1">
      <c r="A212" s="40" t="s">
        <v>501</v>
      </c>
      <c r="B212" s="10" t="s">
        <v>502</v>
      </c>
      <c r="C212" s="30">
        <v>8000</v>
      </c>
      <c r="D212" s="26">
        <f>IF(H212&lt;&gt;"x",VLOOKUP($A212,NhatkyNhap!A:AH,34,FALSE)-VLOOKUP($A212,NhatkyBan!A:AH,34,FALSE),"N/A")</f>
        <v>71</v>
      </c>
      <c r="E212" s="6" t="s">
        <v>458</v>
      </c>
      <c r="F212" s="31"/>
      <c r="G212" s="31">
        <v>5000</v>
      </c>
      <c r="H212" s="31"/>
      <c r="I212" s="6"/>
      <c r="J212" s="32"/>
      <c r="K212" s="33" t="str">
        <f ca="1">IF(AND(INDEX(Table25[#All],MATCH(A212,Table25[[#All],[Mã SP]],0),DAY(TODAY())+2)=0,INDEX(Table25[#All],MATCH(A212,Table25[[#All],[Mã SP]],0),DAY(TODAY())+1)&gt;0),"x","")</f>
        <v/>
      </c>
      <c r="L212" s="33" t="str">
        <f ca="1">IF(AND(INDEX(Table25[#All],MATCH(A212,Table25[[#All],[Mã SP]],0),DAY(TODAY())+2)&gt;0,INDEX(Table25[#All],MATCH(A212,Table25[[#All],[Mã SP]],0),DAY(TODAY())+1)&lt;=0),"x","")</f>
        <v/>
      </c>
      <c r="M212" s="33" t="str">
        <f t="shared" si="6"/>
        <v>x</v>
      </c>
    </row>
    <row r="213" spans="1:14" ht="12.75" customHeight="1">
      <c r="A213" s="40" t="s">
        <v>495</v>
      </c>
      <c r="B213" s="10" t="s">
        <v>503</v>
      </c>
      <c r="C213" s="30">
        <v>8000</v>
      </c>
      <c r="D213" s="26">
        <f>IF(H213&lt;&gt;"x",VLOOKUP($A213,NhatkyNhap!A:AH,34,FALSE)-VLOOKUP($A213,NhatkyBan!A:AH,34,FALSE),"N/A")</f>
        <v>10</v>
      </c>
      <c r="E213" s="6" t="s">
        <v>458</v>
      </c>
      <c r="F213" s="31"/>
      <c r="G213" s="31">
        <v>5000</v>
      </c>
      <c r="H213" s="31"/>
      <c r="I213" s="6"/>
      <c r="J213" s="32"/>
      <c r="K213" s="33" t="str">
        <f ca="1">IF(AND(INDEX(Table25[#All],MATCH(A213,Table25[[#All],[Mã SP]],0),DAY(TODAY())+2)=0,INDEX(Table25[#All],MATCH(A213,Table25[[#All],[Mã SP]],0),DAY(TODAY())+1)&gt;0),"x","")</f>
        <v/>
      </c>
      <c r="L213" s="33" t="str">
        <f ca="1">IF(AND(INDEX(Table25[#All],MATCH(A213,Table25[[#All],[Mã SP]],0),DAY(TODAY())+2)&gt;0,INDEX(Table25[#All],MATCH(A213,Table25[[#All],[Mã SP]],0),DAY(TODAY())+1)&lt;=0),"x","")</f>
        <v/>
      </c>
      <c r="M213" s="33" t="str">
        <f t="shared" si="6"/>
        <v>x</v>
      </c>
    </row>
    <row r="214" spans="1:14" ht="12.75" customHeight="1">
      <c r="A214" s="40" t="s">
        <v>496</v>
      </c>
      <c r="B214" s="10" t="s">
        <v>504</v>
      </c>
      <c r="C214" s="30">
        <v>8000</v>
      </c>
      <c r="D214" s="26">
        <f>IF(H214&lt;&gt;"x",VLOOKUP($A214,NhatkyNhap!A:AH,34,FALSE)-VLOOKUP($A214,NhatkyBan!A:AH,34,FALSE),"N/A")</f>
        <v>0</v>
      </c>
      <c r="E214" s="6" t="s">
        <v>458</v>
      </c>
      <c r="F214" s="31"/>
      <c r="G214" s="31">
        <v>5000</v>
      </c>
      <c r="H214" s="31"/>
      <c r="I214" s="6"/>
      <c r="J214" s="32" t="s">
        <v>498</v>
      </c>
      <c r="K214" s="33" t="str">
        <f ca="1">IF(AND(INDEX(Table25[#All],MATCH(A214,Table25[[#All],[Mã SP]],0),DAY(TODAY())+2)=0,INDEX(Table25[#All],MATCH(A214,Table25[[#All],[Mã SP]],0),DAY(TODAY())+1)&gt;0),"x","")</f>
        <v>x</v>
      </c>
      <c r="L214" s="33" t="str">
        <f ca="1">IF(AND(INDEX(Table25[#All],MATCH(A214,Table25[[#All],[Mã SP]],0),DAY(TODAY())+2)&gt;0,INDEX(Table25[#All],MATCH(A214,Table25[[#All],[Mã SP]],0),DAY(TODAY())+1)&lt;=0),"x","")</f>
        <v/>
      </c>
      <c r="M214" s="33" t="str">
        <f t="shared" si="6"/>
        <v>x</v>
      </c>
    </row>
    <row r="215" spans="1:14" ht="12.75" customHeight="1">
      <c r="A215" s="40" t="s">
        <v>505</v>
      </c>
      <c r="B215" s="10" t="s">
        <v>506</v>
      </c>
      <c r="C215" s="30">
        <v>8000</v>
      </c>
      <c r="D215" s="26">
        <f>IF(H215&lt;&gt;"x",VLOOKUP($A215,NhatkyNhap!A:AH,34,FALSE)-VLOOKUP($A215,NhatkyBan!A:AH,34,FALSE),"N/A")</f>
        <v>20</v>
      </c>
      <c r="E215" s="6" t="s">
        <v>458</v>
      </c>
      <c r="F215" s="31"/>
      <c r="G215" s="31">
        <v>5000</v>
      </c>
      <c r="H215" s="31"/>
      <c r="I215" s="6"/>
      <c r="J215" s="32"/>
      <c r="K215" s="33" t="str">
        <f ca="1">IF(AND(INDEX(Table25[#All],MATCH(A215,Table25[[#All],[Mã SP]],0),DAY(TODAY())+2)=0,INDEX(Table25[#All],MATCH(A215,Table25[[#All],[Mã SP]],0),DAY(TODAY())+1)&gt;0),"x","")</f>
        <v/>
      </c>
      <c r="L215" s="33" t="str">
        <f ca="1">IF(AND(INDEX(Table25[#All],MATCH(A215,Table25[[#All],[Mã SP]],0),DAY(TODAY())+2)&gt;0,INDEX(Table25[#All],MATCH(A215,Table25[[#All],[Mã SP]],0),DAY(TODAY())+1)&lt;=0),"x","")</f>
        <v/>
      </c>
      <c r="M215" s="33" t="str">
        <f t="shared" si="6"/>
        <v>x</v>
      </c>
    </row>
    <row r="216" spans="1:14" ht="12.75" customHeight="1">
      <c r="A216" s="40" t="s">
        <v>507</v>
      </c>
      <c r="B216" s="10" t="s">
        <v>508</v>
      </c>
      <c r="C216" s="30">
        <v>8000</v>
      </c>
      <c r="D216" s="26">
        <f>IF(H216&lt;&gt;"x",VLOOKUP($A216,NhatkyNhap!A:AH,34,FALSE)-VLOOKUP($A216,NhatkyBan!A:AH,34,FALSE),"N/A")</f>
        <v>0</v>
      </c>
      <c r="E216" s="6" t="s">
        <v>458</v>
      </c>
      <c r="F216" s="31"/>
      <c r="G216" s="31">
        <v>5000</v>
      </c>
      <c r="H216" s="31"/>
      <c r="I216" s="6"/>
      <c r="J216" s="32" t="s">
        <v>498</v>
      </c>
      <c r="K216" s="33" t="str">
        <f ca="1">IF(AND(INDEX(Table25[#All],MATCH(A216,Table25[[#All],[Mã SP]],0),DAY(TODAY())+2)=0,INDEX(Table25[#All],MATCH(A216,Table25[[#All],[Mã SP]],0),DAY(TODAY())+1)&gt;0),"x","")</f>
        <v>x</v>
      </c>
      <c r="L216" s="33" t="str">
        <f ca="1">IF(AND(INDEX(Table25[#All],MATCH(A216,Table25[[#All],[Mã SP]],0),DAY(TODAY())+2)&gt;0,INDEX(Table25[#All],MATCH(A216,Table25[[#All],[Mã SP]],0),DAY(TODAY())+1)&lt;=0),"x","")</f>
        <v/>
      </c>
      <c r="M216" s="33" t="str">
        <f t="shared" si="6"/>
        <v>x</v>
      </c>
    </row>
    <row r="217" spans="1:14" ht="12.75" customHeight="1">
      <c r="A217" s="40" t="s">
        <v>509</v>
      </c>
      <c r="B217" s="10" t="s">
        <v>510</v>
      </c>
      <c r="C217" s="30">
        <v>8000</v>
      </c>
      <c r="D217" s="26">
        <f>IF(H217&lt;&gt;"x",VLOOKUP($A217,NhatkyNhap!A:AH,34,FALSE)-VLOOKUP($A217,NhatkyBan!A:AH,34,FALSE),"N/A")</f>
        <v>26</v>
      </c>
      <c r="E217" s="6" t="s">
        <v>458</v>
      </c>
      <c r="F217" s="31"/>
      <c r="G217" s="31">
        <v>5000</v>
      </c>
      <c r="H217" s="31"/>
      <c r="I217" s="6"/>
      <c r="J217" s="32"/>
      <c r="K217" s="33" t="str">
        <f ca="1">IF(AND(INDEX(Table25[#All],MATCH(A217,Table25[[#All],[Mã SP]],0),DAY(TODAY())+2)=0,INDEX(Table25[#All],MATCH(A217,Table25[[#All],[Mã SP]],0),DAY(TODAY())+1)&gt;0),"x","")</f>
        <v/>
      </c>
      <c r="L217" s="33" t="str">
        <f ca="1">IF(AND(INDEX(Table25[#All],MATCH(A217,Table25[[#All],[Mã SP]],0),DAY(TODAY())+2)&gt;0,INDEX(Table25[#All],MATCH(A217,Table25[[#All],[Mã SP]],0),DAY(TODAY())+1)&lt;=0),"x","")</f>
        <v/>
      </c>
      <c r="M217" s="33" t="str">
        <f t="shared" si="6"/>
        <v>x</v>
      </c>
    </row>
    <row r="218" spans="1:14" ht="12.75" customHeight="1">
      <c r="A218" s="40" t="s">
        <v>511</v>
      </c>
      <c r="B218" s="10" t="s">
        <v>512</v>
      </c>
      <c r="C218" s="30">
        <v>8000</v>
      </c>
      <c r="D218" s="26">
        <f>IF(H218&lt;&gt;"x",VLOOKUP($A218,NhatkyNhap!A:AH,34,FALSE)-VLOOKUP($A218,NhatkyBan!A:AH,34,FALSE),"N/A")</f>
        <v>41</v>
      </c>
      <c r="E218" s="6" t="s">
        <v>458</v>
      </c>
      <c r="F218" s="31"/>
      <c r="G218" s="31">
        <v>5000</v>
      </c>
      <c r="H218" s="31"/>
      <c r="I218" s="6"/>
      <c r="J218" s="32"/>
      <c r="K218" s="33" t="str">
        <f ca="1">IF(AND(INDEX(Table25[#All],MATCH(A218,Table25[[#All],[Mã SP]],0),DAY(TODAY())+2)=0,INDEX(Table25[#All],MATCH(A218,Table25[[#All],[Mã SP]],0),DAY(TODAY())+1)&gt;0),"x","")</f>
        <v/>
      </c>
      <c r="L218" s="33" t="str">
        <f ca="1">IF(AND(INDEX(Table25[#All],MATCH(A218,Table25[[#All],[Mã SP]],0),DAY(TODAY())+2)&gt;0,INDEX(Table25[#All],MATCH(A218,Table25[[#All],[Mã SP]],0),DAY(TODAY())+1)&lt;=0),"x","")</f>
        <v/>
      </c>
      <c r="M218" s="33" t="str">
        <f t="shared" si="6"/>
        <v>x</v>
      </c>
    </row>
    <row r="219" spans="1:14" ht="12.75" customHeight="1">
      <c r="A219" s="40" t="s">
        <v>518</v>
      </c>
      <c r="B219" s="10" t="s">
        <v>519</v>
      </c>
      <c r="C219" s="30">
        <v>8000</v>
      </c>
      <c r="D219" s="26">
        <f>IF(H219&lt;&gt;"x",VLOOKUP($A219,NhatkyNhap!A:AH,34,FALSE)-VLOOKUP($A219,NhatkyBan!A:AH,34,FALSE),"N/A")</f>
        <v>0</v>
      </c>
      <c r="E219" s="6" t="s">
        <v>458</v>
      </c>
      <c r="F219" s="31"/>
      <c r="G219" s="31">
        <v>5000</v>
      </c>
      <c r="H219" s="31"/>
      <c r="I219" s="6"/>
      <c r="J219" s="32" t="s">
        <v>585</v>
      </c>
      <c r="K219" s="33" t="str">
        <f ca="1">IF(AND(INDEX(Table25[#All],MATCH(A219,Table25[[#All],[Mã SP]],0),DAY(TODAY())+2)=0,INDEX(Table25[#All],MATCH(A219,Table25[[#All],[Mã SP]],0),DAY(TODAY())+1)&gt;0),"x","")</f>
        <v>x</v>
      </c>
      <c r="L219" s="33" t="str">
        <f ca="1">IF(AND(INDEX(Table25[#All],MATCH(A219,Table25[[#All],[Mã SP]],0),DAY(TODAY())+2)&gt;0,INDEX(Table25[#All],MATCH(A219,Table25[[#All],[Mã SP]],0),DAY(TODAY())+1)&lt;=0),"x","")</f>
        <v/>
      </c>
      <c r="M219" s="33" t="str">
        <f t="shared" ref="M219" si="7">IF(C219-G219&lt;&gt;0,"x","")</f>
        <v>x</v>
      </c>
    </row>
    <row r="220" spans="1:14" ht="12.75" customHeight="1">
      <c r="A220" s="41" t="s">
        <v>520</v>
      </c>
      <c r="B220" s="6" t="s">
        <v>534</v>
      </c>
      <c r="C220" s="30">
        <v>8000</v>
      </c>
      <c r="D220" s="6">
        <f>IF(H220&lt;&gt;"x",VLOOKUP($A220,NhatkyNhap!A:AH,34,FALSE)-VLOOKUP($A220,NhatkyBan!A:AH,34,FALSE),"N/A")</f>
        <v>65</v>
      </c>
      <c r="E220" s="6" t="s">
        <v>458</v>
      </c>
      <c r="F220" s="6"/>
      <c r="G220" s="6">
        <v>5000</v>
      </c>
      <c r="H220" s="6"/>
      <c r="I220" s="6"/>
      <c r="K220" s="33" t="str">
        <f ca="1">IF(AND(INDEX(Table25[#All],MATCH(A220,Table25[[#All],[Mã SP]],0),DAY(TODAY())+2)=0,INDEX(Table25[#All],MATCH(A220,Table25[[#All],[Mã SP]],0),DAY(TODAY())+1)&gt;0),"x","")</f>
        <v/>
      </c>
      <c r="L220" s="33" t="str">
        <f ca="1">IF(AND(INDEX(Table25[#All],MATCH(A220,Table25[[#All],[Mã SP]],0),DAY(TODAY())+2)&gt;0,INDEX(Table25[#All],MATCH(A220,Table25[[#All],[Mã SP]],0),DAY(TODAY())+1)&lt;=0),"x","")</f>
        <v/>
      </c>
      <c r="M220" s="33" t="str">
        <f t="shared" ref="M220:M252" si="8">IF(C220-G220&lt;&gt;0,"x","")</f>
        <v>x</v>
      </c>
    </row>
    <row r="221" spans="1:14" ht="12.75" customHeight="1">
      <c r="A221" s="41" t="s">
        <v>521</v>
      </c>
      <c r="B221" s="6" t="s">
        <v>535</v>
      </c>
      <c r="C221" s="30">
        <v>8000</v>
      </c>
      <c r="D221" s="6">
        <f>IF(H221&lt;&gt;"x",VLOOKUP($A221,NhatkyNhap!A:AH,34,FALSE)-VLOOKUP($A221,NhatkyBan!A:AH,34,FALSE),"N/A")</f>
        <v>56</v>
      </c>
      <c r="E221" s="6" t="s">
        <v>458</v>
      </c>
      <c r="F221" s="6"/>
      <c r="G221" s="6">
        <v>5000</v>
      </c>
      <c r="H221" s="6"/>
      <c r="I221" s="6"/>
      <c r="K221" s="33" t="str">
        <f ca="1">IF(AND(INDEX(Table25[#All],MATCH(A221,Table25[[#All],[Mã SP]],0),DAY(TODAY())+2)=0,INDEX(Table25[#All],MATCH(A221,Table25[[#All],[Mã SP]],0),DAY(TODAY())+1)&gt;0),"x","")</f>
        <v/>
      </c>
      <c r="L221" s="33" t="str">
        <f ca="1">IF(AND(INDEX(Table25[#All],MATCH(A221,Table25[[#All],[Mã SP]],0),DAY(TODAY())+2)&gt;0,INDEX(Table25[#All],MATCH(A221,Table25[[#All],[Mã SP]],0),DAY(TODAY())+1)&lt;=0),"x","")</f>
        <v/>
      </c>
      <c r="M221" s="33" t="str">
        <f t="shared" si="8"/>
        <v>x</v>
      </c>
    </row>
    <row r="222" spans="1:14" ht="12.75" customHeight="1">
      <c r="A222" s="41" t="s">
        <v>522</v>
      </c>
      <c r="B222" s="6" t="s">
        <v>536</v>
      </c>
      <c r="C222" s="30">
        <v>8000</v>
      </c>
      <c r="D222" s="6">
        <f>IF(H222&lt;&gt;"x",VLOOKUP($A222,NhatkyNhap!A:AH,34,FALSE)-VLOOKUP($A222,NhatkyBan!A:AH,34,FALSE),"N/A")</f>
        <v>63</v>
      </c>
      <c r="E222" s="6" t="s">
        <v>458</v>
      </c>
      <c r="F222" s="6"/>
      <c r="G222" s="6">
        <v>5000</v>
      </c>
      <c r="H222" s="6"/>
      <c r="I222" s="6"/>
      <c r="K222" s="33" t="str">
        <f ca="1">IF(AND(INDEX(Table25[#All],MATCH(A222,Table25[[#All],[Mã SP]],0),DAY(TODAY())+2)=0,INDEX(Table25[#All],MATCH(A222,Table25[[#All],[Mã SP]],0),DAY(TODAY())+1)&gt;0),"x","")</f>
        <v/>
      </c>
      <c r="L222" s="33" t="str">
        <f ca="1">IF(AND(INDEX(Table25[#All],MATCH(A222,Table25[[#All],[Mã SP]],0),DAY(TODAY())+2)&gt;0,INDEX(Table25[#All],MATCH(A222,Table25[[#All],[Mã SP]],0),DAY(TODAY())+1)&lt;=0),"x","")</f>
        <v/>
      </c>
      <c r="M222" s="33" t="str">
        <f t="shared" si="8"/>
        <v>x</v>
      </c>
    </row>
    <row r="223" spans="1:14" ht="12.75" customHeight="1">
      <c r="A223" s="41" t="s">
        <v>523</v>
      </c>
      <c r="B223" s="6" t="s">
        <v>537</v>
      </c>
      <c r="C223" s="30">
        <v>8000</v>
      </c>
      <c r="D223" s="6">
        <f>IF(H223&lt;&gt;"x",VLOOKUP($A223,NhatkyNhap!A:AH,34,FALSE)-VLOOKUP($A223,NhatkyBan!A:AH,34,FALSE),"N/A")</f>
        <v>32</v>
      </c>
      <c r="E223" s="6" t="s">
        <v>458</v>
      </c>
      <c r="F223" s="6"/>
      <c r="G223" s="6">
        <v>5000</v>
      </c>
      <c r="H223" s="6"/>
      <c r="I223" s="6"/>
      <c r="K223" s="33" t="str">
        <f ca="1">IF(AND(INDEX(Table25[#All],MATCH(A223,Table25[[#All],[Mã SP]],0),DAY(TODAY())+2)=0,INDEX(Table25[#All],MATCH(A223,Table25[[#All],[Mã SP]],0),DAY(TODAY())+1)&gt;0),"x","")</f>
        <v/>
      </c>
      <c r="L223" s="33" t="str">
        <f ca="1">IF(AND(INDEX(Table25[#All],MATCH(A223,Table25[[#All],[Mã SP]],0),DAY(TODAY())+2)&gt;0,INDEX(Table25[#All],MATCH(A223,Table25[[#All],[Mã SP]],0),DAY(TODAY())+1)&lt;=0),"x","")</f>
        <v/>
      </c>
      <c r="M223" s="33" t="str">
        <f t="shared" si="8"/>
        <v>x</v>
      </c>
    </row>
    <row r="224" spans="1:14" ht="12.75" customHeight="1">
      <c r="A224" s="41" t="s">
        <v>524</v>
      </c>
      <c r="B224" s="6" t="s">
        <v>538</v>
      </c>
      <c r="C224" s="30">
        <v>8000</v>
      </c>
      <c r="D224" s="6">
        <f>IF(H224&lt;&gt;"x",VLOOKUP($A224,NhatkyNhap!A:AH,34,FALSE)-VLOOKUP($A224,NhatkyBan!A:AH,34,FALSE),"N/A")</f>
        <v>35</v>
      </c>
      <c r="E224" s="6" t="s">
        <v>458</v>
      </c>
      <c r="F224" s="6"/>
      <c r="G224" s="6">
        <v>5000</v>
      </c>
      <c r="H224" s="6"/>
      <c r="I224" s="6"/>
      <c r="K224" s="33" t="str">
        <f ca="1">IF(AND(INDEX(Table25[#All],MATCH(A224,Table25[[#All],[Mã SP]],0),DAY(TODAY())+2)=0,INDEX(Table25[#All],MATCH(A224,Table25[[#All],[Mã SP]],0),DAY(TODAY())+1)&gt;0),"x","")</f>
        <v/>
      </c>
      <c r="L224" s="33" t="str">
        <f ca="1">IF(AND(INDEX(Table25[#All],MATCH(A224,Table25[[#All],[Mã SP]],0),DAY(TODAY())+2)&gt;0,INDEX(Table25[#All],MATCH(A224,Table25[[#All],[Mã SP]],0),DAY(TODAY())+1)&lt;=0),"x","")</f>
        <v/>
      </c>
      <c r="M224" s="33" t="str">
        <f t="shared" si="8"/>
        <v>x</v>
      </c>
    </row>
    <row r="225" spans="1:13" ht="12.75" customHeight="1">
      <c r="A225" s="41" t="s">
        <v>525</v>
      </c>
      <c r="B225" s="6" t="s">
        <v>539</v>
      </c>
      <c r="C225" s="30">
        <v>8000</v>
      </c>
      <c r="D225" s="6">
        <f>IF(H225&lt;&gt;"x",VLOOKUP($A225,NhatkyNhap!A:AH,34,FALSE)-VLOOKUP($A225,NhatkyBan!A:AH,34,FALSE),"N/A")</f>
        <v>17</v>
      </c>
      <c r="E225" s="6" t="s">
        <v>458</v>
      </c>
      <c r="F225" s="6"/>
      <c r="G225" s="6">
        <v>5000</v>
      </c>
      <c r="H225" s="6"/>
      <c r="I225" s="6"/>
      <c r="K225" s="33" t="str">
        <f ca="1">IF(AND(INDEX(Table25[#All],MATCH(A225,Table25[[#All],[Mã SP]],0),DAY(TODAY())+2)=0,INDEX(Table25[#All],MATCH(A225,Table25[[#All],[Mã SP]],0),DAY(TODAY())+1)&gt;0),"x","")</f>
        <v/>
      </c>
      <c r="L225" s="33" t="str">
        <f ca="1">IF(AND(INDEX(Table25[#All],MATCH(A225,Table25[[#All],[Mã SP]],0),DAY(TODAY())+2)&gt;0,INDEX(Table25[#All],MATCH(A225,Table25[[#All],[Mã SP]],0),DAY(TODAY())+1)&lt;=0),"x","")</f>
        <v/>
      </c>
      <c r="M225" s="33" t="str">
        <f t="shared" si="8"/>
        <v>x</v>
      </c>
    </row>
    <row r="226" spans="1:13" ht="12.75" customHeight="1">
      <c r="A226" s="41" t="s">
        <v>526</v>
      </c>
      <c r="B226" s="6" t="s">
        <v>540</v>
      </c>
      <c r="C226" s="30">
        <v>8000</v>
      </c>
      <c r="D226" s="6">
        <f>IF(H226&lt;&gt;"x",VLOOKUP($A226,NhatkyNhap!A:AH,34,FALSE)-VLOOKUP($A226,NhatkyBan!A:AH,34,FALSE),"N/A")</f>
        <v>9</v>
      </c>
      <c r="E226" s="6" t="s">
        <v>458</v>
      </c>
      <c r="F226" s="6"/>
      <c r="G226" s="6">
        <v>5000</v>
      </c>
      <c r="H226" s="6"/>
      <c r="I226" s="6"/>
      <c r="K226" s="33" t="str">
        <f ca="1">IF(AND(INDEX(Table25[#All],MATCH(A226,Table25[[#All],[Mã SP]],0),DAY(TODAY())+2)=0,INDEX(Table25[#All],MATCH(A226,Table25[[#All],[Mã SP]],0),DAY(TODAY())+1)&gt;0),"x","")</f>
        <v/>
      </c>
      <c r="L226" s="33" t="str">
        <f ca="1">IF(AND(INDEX(Table25[#All],MATCH(A226,Table25[[#All],[Mã SP]],0),DAY(TODAY())+2)&gt;0,INDEX(Table25[#All],MATCH(A226,Table25[[#All],[Mã SP]],0),DAY(TODAY())+1)&lt;=0),"x","")</f>
        <v/>
      </c>
      <c r="M226" s="33" t="str">
        <f t="shared" si="8"/>
        <v>x</v>
      </c>
    </row>
    <row r="227" spans="1:13" ht="12.75" customHeight="1">
      <c r="A227" s="41" t="s">
        <v>527</v>
      </c>
      <c r="B227" s="6" t="s">
        <v>541</v>
      </c>
      <c r="C227" s="30">
        <v>8000</v>
      </c>
      <c r="D227" s="6">
        <f>IF(H227&lt;&gt;"x",VLOOKUP($A227,NhatkyNhap!A:AH,34,FALSE)-VLOOKUP($A227,NhatkyBan!A:AH,34,FALSE),"N/A")</f>
        <v>56</v>
      </c>
      <c r="E227" s="6" t="s">
        <v>458</v>
      </c>
      <c r="F227" s="6"/>
      <c r="G227" s="6">
        <v>5000</v>
      </c>
      <c r="H227" s="6"/>
      <c r="I227" s="6"/>
      <c r="K227" s="33" t="str">
        <f ca="1">IF(AND(INDEX(Table25[#All],MATCH(A227,Table25[[#All],[Mã SP]],0),DAY(TODAY())+2)=0,INDEX(Table25[#All],MATCH(A227,Table25[[#All],[Mã SP]],0),DAY(TODAY())+1)&gt;0),"x","")</f>
        <v/>
      </c>
      <c r="L227" s="33" t="str">
        <f ca="1">IF(AND(INDEX(Table25[#All],MATCH(A227,Table25[[#All],[Mã SP]],0),DAY(TODAY())+2)&gt;0,INDEX(Table25[#All],MATCH(A227,Table25[[#All],[Mã SP]],0),DAY(TODAY())+1)&lt;=0),"x","")</f>
        <v/>
      </c>
      <c r="M227" s="33" t="str">
        <f t="shared" si="8"/>
        <v>x</v>
      </c>
    </row>
    <row r="228" spans="1:13" ht="12.75" customHeight="1">
      <c r="A228" s="41" t="s">
        <v>528</v>
      </c>
      <c r="B228" s="6" t="s">
        <v>542</v>
      </c>
      <c r="C228" s="30">
        <v>8000</v>
      </c>
      <c r="D228" s="6">
        <f>IF(H228&lt;&gt;"x",VLOOKUP($A228,NhatkyNhap!A:AH,34,FALSE)-VLOOKUP($A228,NhatkyBan!A:AH,34,FALSE),"N/A")</f>
        <v>26</v>
      </c>
      <c r="E228" s="6" t="s">
        <v>458</v>
      </c>
      <c r="F228" s="6"/>
      <c r="G228" s="6">
        <v>5000</v>
      </c>
      <c r="H228" s="6"/>
      <c r="I228" s="6"/>
      <c r="K228" s="33" t="str">
        <f ca="1">IF(AND(INDEX(Table25[#All],MATCH(A228,Table25[[#All],[Mã SP]],0),DAY(TODAY())+2)=0,INDEX(Table25[#All],MATCH(A228,Table25[[#All],[Mã SP]],0),DAY(TODAY())+1)&gt;0),"x","")</f>
        <v/>
      </c>
      <c r="L228" s="33" t="str">
        <f ca="1">IF(AND(INDEX(Table25[#All],MATCH(A228,Table25[[#All],[Mã SP]],0),DAY(TODAY())+2)&gt;0,INDEX(Table25[#All],MATCH(A228,Table25[[#All],[Mã SP]],0),DAY(TODAY())+1)&lt;=0),"x","")</f>
        <v/>
      </c>
      <c r="M228" s="33" t="str">
        <f t="shared" si="8"/>
        <v>x</v>
      </c>
    </row>
    <row r="229" spans="1:13" ht="12.75" customHeight="1">
      <c r="A229" s="41" t="s">
        <v>529</v>
      </c>
      <c r="B229" s="6" t="s">
        <v>543</v>
      </c>
      <c r="C229" s="30">
        <v>8000</v>
      </c>
      <c r="D229" s="6">
        <f>IF(H229&lt;&gt;"x",VLOOKUP($A229,NhatkyNhap!A:AH,34,FALSE)-VLOOKUP($A229,NhatkyBan!A:AH,34,FALSE),"N/A")</f>
        <v>5</v>
      </c>
      <c r="E229" s="6" t="s">
        <v>458</v>
      </c>
      <c r="F229" s="6"/>
      <c r="G229" s="6">
        <v>5000</v>
      </c>
      <c r="H229" s="6"/>
      <c r="I229" s="6"/>
      <c r="K229" s="33" t="str">
        <f ca="1">IF(AND(INDEX(Table25[#All],MATCH(A229,Table25[[#All],[Mã SP]],0),DAY(TODAY())+2)=0,INDEX(Table25[#All],MATCH(A229,Table25[[#All],[Mã SP]],0),DAY(TODAY())+1)&gt;0),"x","")</f>
        <v/>
      </c>
      <c r="L229" s="33" t="str">
        <f ca="1">IF(AND(INDEX(Table25[#All],MATCH(A229,Table25[[#All],[Mã SP]],0),DAY(TODAY())+2)&gt;0,INDEX(Table25[#All],MATCH(A229,Table25[[#All],[Mã SP]],0),DAY(TODAY())+1)&lt;=0),"x","")</f>
        <v/>
      </c>
      <c r="M229" s="33" t="str">
        <f t="shared" si="8"/>
        <v>x</v>
      </c>
    </row>
    <row r="230" spans="1:13" ht="12.75" customHeight="1">
      <c r="A230" s="41" t="s">
        <v>530</v>
      </c>
      <c r="B230" s="6" t="s">
        <v>544</v>
      </c>
      <c r="C230" s="30">
        <v>8000</v>
      </c>
      <c r="D230" s="6">
        <f>IF(H230&lt;&gt;"x",VLOOKUP($A230,NhatkyNhap!A:AH,34,FALSE)-VLOOKUP($A230,NhatkyBan!A:AH,34,FALSE),"N/A")</f>
        <v>6</v>
      </c>
      <c r="E230" s="6" t="s">
        <v>458</v>
      </c>
      <c r="F230" s="6"/>
      <c r="G230" s="6">
        <v>5000</v>
      </c>
      <c r="H230" s="6"/>
      <c r="I230" s="6"/>
      <c r="K230" s="33" t="str">
        <f ca="1">IF(AND(INDEX(Table25[#All],MATCH(A230,Table25[[#All],[Mã SP]],0),DAY(TODAY())+2)=0,INDEX(Table25[#All],MATCH(A230,Table25[[#All],[Mã SP]],0),DAY(TODAY())+1)&gt;0),"x","")</f>
        <v/>
      </c>
      <c r="L230" s="33" t="str">
        <f ca="1">IF(AND(INDEX(Table25[#All],MATCH(A230,Table25[[#All],[Mã SP]],0),DAY(TODAY())+2)&gt;0,INDEX(Table25[#All],MATCH(A230,Table25[[#All],[Mã SP]],0),DAY(TODAY())+1)&lt;=0),"x","")</f>
        <v/>
      </c>
      <c r="M230" s="33" t="str">
        <f t="shared" si="8"/>
        <v>x</v>
      </c>
    </row>
    <row r="231" spans="1:13" ht="12.75" customHeight="1">
      <c r="A231" s="41" t="s">
        <v>531</v>
      </c>
      <c r="B231" s="6" t="s">
        <v>545</v>
      </c>
      <c r="C231" s="30">
        <v>8000</v>
      </c>
      <c r="D231" s="6">
        <f>IF(H231&lt;&gt;"x",VLOOKUP($A231,NhatkyNhap!A:AH,34,FALSE)-VLOOKUP($A231,NhatkyBan!A:AH,34,FALSE),"N/A")</f>
        <v>19</v>
      </c>
      <c r="E231" s="6" t="s">
        <v>458</v>
      </c>
      <c r="F231" s="6"/>
      <c r="G231" s="6">
        <v>5000</v>
      </c>
      <c r="H231" s="6"/>
      <c r="I231" s="6"/>
      <c r="K231" s="33" t="str">
        <f ca="1">IF(AND(INDEX(Table25[#All],MATCH(A231,Table25[[#All],[Mã SP]],0),DAY(TODAY())+2)=0,INDEX(Table25[#All],MATCH(A231,Table25[[#All],[Mã SP]],0),DAY(TODAY())+1)&gt;0),"x","")</f>
        <v/>
      </c>
      <c r="L231" s="33" t="str">
        <f ca="1">IF(AND(INDEX(Table25[#All],MATCH(A231,Table25[[#All],[Mã SP]],0),DAY(TODAY())+2)&gt;0,INDEX(Table25[#All],MATCH(A231,Table25[[#All],[Mã SP]],0),DAY(TODAY())+1)&lt;=0),"x","")</f>
        <v/>
      </c>
      <c r="M231" s="33" t="str">
        <f t="shared" si="8"/>
        <v>x</v>
      </c>
    </row>
    <row r="232" spans="1:13" ht="12.75" customHeight="1">
      <c r="A232" s="41" t="s">
        <v>532</v>
      </c>
      <c r="B232" s="6" t="s">
        <v>546</v>
      </c>
      <c r="C232" s="30">
        <v>8000</v>
      </c>
      <c r="D232" s="6">
        <f>IF(H232&lt;&gt;"x",VLOOKUP($A232,NhatkyNhap!A:AH,34,FALSE)-VLOOKUP($A232,NhatkyBan!A:AH,34,FALSE),"N/A")</f>
        <v>52</v>
      </c>
      <c r="E232" s="6" t="s">
        <v>458</v>
      </c>
      <c r="F232" s="6"/>
      <c r="G232" s="6">
        <v>5000</v>
      </c>
      <c r="H232" s="6"/>
      <c r="I232" s="6"/>
      <c r="K232" s="33" t="str">
        <f ca="1">IF(AND(INDEX(Table25[#All],MATCH(A232,Table25[[#All],[Mã SP]],0),DAY(TODAY())+2)=0,INDEX(Table25[#All],MATCH(A232,Table25[[#All],[Mã SP]],0),DAY(TODAY())+1)&gt;0),"x","")</f>
        <v/>
      </c>
      <c r="L232" s="33" t="str">
        <f ca="1">IF(AND(INDEX(Table25[#All],MATCH(A232,Table25[[#All],[Mã SP]],0),DAY(TODAY())+2)&gt;0,INDEX(Table25[#All],MATCH(A232,Table25[[#All],[Mã SP]],0),DAY(TODAY())+1)&lt;=0),"x","")</f>
        <v/>
      </c>
      <c r="M232" s="33" t="str">
        <f t="shared" si="8"/>
        <v>x</v>
      </c>
    </row>
    <row r="233" spans="1:13" ht="12" customHeight="1">
      <c r="A233" s="41" t="s">
        <v>533</v>
      </c>
      <c r="B233" s="6" t="s">
        <v>547</v>
      </c>
      <c r="C233" s="30">
        <v>8000</v>
      </c>
      <c r="D233" s="6">
        <f>IF(H233&lt;&gt;"x",VLOOKUP($A233,NhatkyNhap!A:AH,34,FALSE)-VLOOKUP($A233,NhatkyBan!A:AH,34,FALSE),"N/A")</f>
        <v>3</v>
      </c>
      <c r="E233" s="6" t="s">
        <v>458</v>
      </c>
      <c r="F233" s="6"/>
      <c r="G233" s="6">
        <v>5000</v>
      </c>
      <c r="H233" s="6"/>
      <c r="I233" s="6"/>
      <c r="K233" s="33" t="str">
        <f ca="1">IF(AND(INDEX(Table25[#All],MATCH(A233,Table25[[#All],[Mã SP]],0),DAY(TODAY())+2)=0,INDEX(Table25[#All],MATCH(A233,Table25[[#All],[Mã SP]],0),DAY(TODAY())+1)&gt;0),"x","")</f>
        <v/>
      </c>
      <c r="L233" s="33" t="str">
        <f ca="1">IF(AND(INDEX(Table25[#All],MATCH(A233,Table25[[#All],[Mã SP]],0),DAY(TODAY())+2)&gt;0,INDEX(Table25[#All],MATCH(A233,Table25[[#All],[Mã SP]],0),DAY(TODAY())+1)&lt;=0),"x","")</f>
        <v/>
      </c>
      <c r="M233" s="33" t="str">
        <f t="shared" si="8"/>
        <v>x</v>
      </c>
    </row>
    <row r="234" spans="1:13" ht="12" customHeight="1">
      <c r="A234" s="41" t="s">
        <v>551</v>
      </c>
      <c r="B234" s="6" t="s">
        <v>554</v>
      </c>
      <c r="C234" s="30">
        <v>8000</v>
      </c>
      <c r="D234" s="6">
        <f>IF(H234&lt;&gt;"x",VLOOKUP($A234,NhatkyNhap!A:AH,34,FALSE)-VLOOKUP($A234,NhatkyBan!A:AH,34,FALSE),"N/A")</f>
        <v>2</v>
      </c>
      <c r="E234" s="6" t="s">
        <v>458</v>
      </c>
      <c r="F234" s="6"/>
      <c r="G234" s="6">
        <v>5000</v>
      </c>
      <c r="H234" s="6"/>
      <c r="I234" s="6"/>
      <c r="J234" s="5" t="s">
        <v>498</v>
      </c>
      <c r="K234" s="33" t="str">
        <f ca="1">IF(AND(INDEX(Table25[#All],MATCH(A234,Table25[[#All],[Mã SP]],0),DAY(TODAY())+2)=0,INDEX(Table25[#All],MATCH(A234,Table25[[#All],[Mã SP]],0),DAY(TODAY())+1)&gt;0),"x","")</f>
        <v/>
      </c>
      <c r="L234" s="33" t="str">
        <f ca="1">IF(AND(INDEX(Table25[#All],MATCH(A234,Table25[[#All],[Mã SP]],0),DAY(TODAY())+2)&gt;0,INDEX(Table25[#All],MATCH(A234,Table25[[#All],[Mã SP]],0),DAY(TODAY())+1)&lt;=0),"x","")</f>
        <v/>
      </c>
      <c r="M234" s="33" t="str">
        <f t="shared" si="8"/>
        <v>x</v>
      </c>
    </row>
    <row r="235" spans="1:13" ht="12" customHeight="1">
      <c r="A235" s="41" t="s">
        <v>552</v>
      </c>
      <c r="B235" s="6" t="s">
        <v>555</v>
      </c>
      <c r="C235" s="30">
        <v>8000</v>
      </c>
      <c r="D235" s="6">
        <f>IF(H235&lt;&gt;"x",VLOOKUP($A235,NhatkyNhap!A:AH,34,FALSE)-VLOOKUP($A235,NhatkyBan!A:AH,34,FALSE),"N/A")</f>
        <v>1</v>
      </c>
      <c r="E235" s="6" t="s">
        <v>458</v>
      </c>
      <c r="F235" s="6"/>
      <c r="G235" s="6">
        <v>5000</v>
      </c>
      <c r="H235" s="6"/>
      <c r="I235" s="6"/>
      <c r="J235" s="5" t="s">
        <v>498</v>
      </c>
      <c r="K235" s="33" t="str">
        <f ca="1">IF(AND(INDEX(Table25[#All],MATCH(A235,Table25[[#All],[Mã SP]],0),DAY(TODAY())+2)=0,INDEX(Table25[#All],MATCH(A235,Table25[[#All],[Mã SP]],0),DAY(TODAY())+1)&gt;0),"x","")</f>
        <v/>
      </c>
      <c r="L235" s="33" t="str">
        <f ca="1">IF(AND(INDEX(Table25[#All],MATCH(A235,Table25[[#All],[Mã SP]],0),DAY(TODAY())+2)&gt;0,INDEX(Table25[#All],MATCH(A235,Table25[[#All],[Mã SP]],0),DAY(TODAY())+1)&lt;=0),"x","")</f>
        <v/>
      </c>
      <c r="M235" s="33" t="str">
        <f t="shared" si="8"/>
        <v>x</v>
      </c>
    </row>
    <row r="236" spans="1:13" ht="12" customHeight="1">
      <c r="A236" s="41" t="s">
        <v>553</v>
      </c>
      <c r="B236" s="6" t="s">
        <v>556</v>
      </c>
      <c r="C236" s="30">
        <v>8000</v>
      </c>
      <c r="D236" s="6">
        <f>IF(H236&lt;&gt;"x",VLOOKUP($A236,NhatkyNhap!A:AH,34,FALSE)-VLOOKUP($A236,NhatkyBan!A:AH,34,FALSE),"N/A")</f>
        <v>0</v>
      </c>
      <c r="E236" s="6" t="s">
        <v>458</v>
      </c>
      <c r="F236" s="6"/>
      <c r="G236" s="6">
        <v>5000</v>
      </c>
      <c r="H236" s="6"/>
      <c r="I236" s="6"/>
      <c r="J236" s="5" t="s">
        <v>498</v>
      </c>
      <c r="K236" s="33" t="str">
        <f ca="1">IF(AND(INDEX(Table25[#All],MATCH(A236,Table25[[#All],[Mã SP]],0),DAY(TODAY())+2)=0,INDEX(Table25[#All],MATCH(A236,Table25[[#All],[Mã SP]],0),DAY(TODAY())+1)&gt;0),"x","")</f>
        <v>x</v>
      </c>
      <c r="L236" s="33" t="str">
        <f ca="1">IF(AND(INDEX(Table25[#All],MATCH(A236,Table25[[#All],[Mã SP]],0),DAY(TODAY())+2)&gt;0,INDEX(Table25[#All],MATCH(A236,Table25[[#All],[Mã SP]],0),DAY(TODAY())+1)&lt;=0),"x","")</f>
        <v/>
      </c>
      <c r="M236" s="33" t="str">
        <f t="shared" si="8"/>
        <v>x</v>
      </c>
    </row>
    <row r="237" spans="1:13" ht="12.75" customHeight="1">
      <c r="A237" s="20" t="s">
        <v>566</v>
      </c>
      <c r="B237" s="6" t="s">
        <v>570</v>
      </c>
      <c r="C237" s="30">
        <v>8000</v>
      </c>
      <c r="D237" s="6">
        <f>IF(H237&lt;&gt;"x",VLOOKUP($A237,NhatkyNhap!A:AH,34,FALSE)-VLOOKUP($A237,NhatkyBan!A:AH,34,FALSE),"N/A")</f>
        <v>32</v>
      </c>
      <c r="E237" s="6" t="s">
        <v>458</v>
      </c>
      <c r="F237" s="6"/>
      <c r="G237" s="6">
        <v>5000</v>
      </c>
      <c r="H237" s="6"/>
      <c r="I237" s="6"/>
      <c r="K237" s="33" t="str">
        <f ca="1">IF(AND(INDEX(Table25[#All],MATCH(A237,Table25[[#All],[Mã SP]],0),DAY(TODAY())+2)=0,INDEX(Table25[#All],MATCH(A237,Table25[[#All],[Mã SP]],0),DAY(TODAY())+1)&gt;0),"x","")</f>
        <v/>
      </c>
      <c r="L237" s="33" t="str">
        <f ca="1">IF(AND(INDEX(Table25[#All],MATCH(A237,Table25[[#All],[Mã SP]],0),DAY(TODAY())+2)&gt;0,INDEX(Table25[#All],MATCH(A237,Table25[[#All],[Mã SP]],0),DAY(TODAY())+1)&lt;=0),"x","")</f>
        <v/>
      </c>
      <c r="M237" s="33" t="str">
        <f t="shared" si="8"/>
        <v>x</v>
      </c>
    </row>
    <row r="238" spans="1:13" ht="12.75" customHeight="1">
      <c r="A238" s="20" t="s">
        <v>567</v>
      </c>
      <c r="B238" s="6" t="s">
        <v>569</v>
      </c>
      <c r="C238" s="30">
        <v>8000</v>
      </c>
      <c r="D238" s="6">
        <f>IF(H238&lt;&gt;"x",VLOOKUP($A238,NhatkyNhap!A:AH,34,FALSE)-VLOOKUP($A238,NhatkyBan!A:AH,34,FALSE),"N/A")</f>
        <v>82</v>
      </c>
      <c r="E238" s="6" t="s">
        <v>458</v>
      </c>
      <c r="F238" s="6"/>
      <c r="G238" s="6">
        <v>5000</v>
      </c>
      <c r="H238" s="6"/>
      <c r="I238" s="6"/>
      <c r="K238" s="33" t="str">
        <f ca="1">IF(AND(INDEX(Table25[#All],MATCH(A238,Table25[[#All],[Mã SP]],0),DAY(TODAY())+2)=0,INDEX(Table25[#All],MATCH(A238,Table25[[#All],[Mã SP]],0),DAY(TODAY())+1)&gt;0),"x","")</f>
        <v/>
      </c>
      <c r="L238" s="33" t="str">
        <f ca="1">IF(AND(INDEX(Table25[#All],MATCH(A238,Table25[[#All],[Mã SP]],0),DAY(TODAY())+2)&gt;0,INDEX(Table25[#All],MATCH(A238,Table25[[#All],[Mã SP]],0),DAY(TODAY())+1)&lt;=0),"x","")</f>
        <v/>
      </c>
      <c r="M238" s="33" t="str">
        <f t="shared" si="8"/>
        <v>x</v>
      </c>
    </row>
    <row r="239" spans="1:13" ht="12.75" customHeight="1">
      <c r="A239" s="20" t="s">
        <v>568</v>
      </c>
      <c r="B239" s="6" t="s">
        <v>571</v>
      </c>
      <c r="C239" s="30">
        <v>8000</v>
      </c>
      <c r="D239" s="6">
        <f>IF(H239&lt;&gt;"x",VLOOKUP($A239,NhatkyNhap!A:AH,34,FALSE)-VLOOKUP($A239,NhatkyBan!A:AH,34,FALSE),"N/A")</f>
        <v>36</v>
      </c>
      <c r="E239" s="6" t="s">
        <v>458</v>
      </c>
      <c r="F239" s="6"/>
      <c r="G239" s="6">
        <v>5000</v>
      </c>
      <c r="H239" s="6"/>
      <c r="I239" s="6"/>
      <c r="K239" s="33" t="str">
        <f ca="1">IF(AND(INDEX(Table25[#All],MATCH(A239,Table25[[#All],[Mã SP]],0),DAY(TODAY())+2)=0,INDEX(Table25[#All],MATCH(A239,Table25[[#All],[Mã SP]],0),DAY(TODAY())+1)&gt;0),"x","")</f>
        <v/>
      </c>
      <c r="L239" s="33" t="str">
        <f ca="1">IF(AND(INDEX(Table25[#All],MATCH(A239,Table25[[#All],[Mã SP]],0),DAY(TODAY())+2)&gt;0,INDEX(Table25[#All],MATCH(A239,Table25[[#All],[Mã SP]],0),DAY(TODAY())+1)&lt;=0),"x","")</f>
        <v/>
      </c>
      <c r="M239" s="33" t="str">
        <f t="shared" si="8"/>
        <v>x</v>
      </c>
    </row>
    <row r="240" spans="1:13" ht="12.75" customHeight="1">
      <c r="A240" s="20" t="s">
        <v>557</v>
      </c>
      <c r="B240" s="6" t="s">
        <v>572</v>
      </c>
      <c r="C240" s="30">
        <v>8000</v>
      </c>
      <c r="D240" s="6">
        <f>IF(H240&lt;&gt;"x",VLOOKUP($A240,NhatkyNhap!A:AH,34,FALSE)-VLOOKUP($A240,NhatkyBan!A:AH,34,FALSE),"N/A")</f>
        <v>2</v>
      </c>
      <c r="E240" s="6" t="s">
        <v>458</v>
      </c>
      <c r="F240" s="6"/>
      <c r="G240" s="6">
        <v>5000</v>
      </c>
      <c r="H240" s="6"/>
      <c r="I240" s="6"/>
      <c r="K240" s="33" t="str">
        <f ca="1">IF(AND(INDEX(Table25[#All],MATCH(A240,Table25[[#All],[Mã SP]],0),DAY(TODAY())+2)=0,INDEX(Table25[#All],MATCH(A240,Table25[[#All],[Mã SP]],0),DAY(TODAY())+1)&gt;0),"x","")</f>
        <v/>
      </c>
      <c r="L240" s="33" t="str">
        <f ca="1">IF(AND(INDEX(Table25[#All],MATCH(A240,Table25[[#All],[Mã SP]],0),DAY(TODAY())+2)&gt;0,INDEX(Table25[#All],MATCH(A240,Table25[[#All],[Mã SP]],0),DAY(TODAY())+1)&lt;=0),"x","")</f>
        <v/>
      </c>
      <c r="M240" s="33" t="str">
        <f t="shared" si="8"/>
        <v>x</v>
      </c>
    </row>
    <row r="241" spans="1:13" ht="12.75" customHeight="1">
      <c r="A241" s="20" t="s">
        <v>558</v>
      </c>
      <c r="B241" s="6" t="s">
        <v>573</v>
      </c>
      <c r="C241" s="30">
        <v>8000</v>
      </c>
      <c r="D241" s="6">
        <f>IF(H241&lt;&gt;"x",VLOOKUP($A241,NhatkyNhap!A:AH,34,FALSE)-VLOOKUP($A241,NhatkyBan!A:AH,34,FALSE),"N/A")</f>
        <v>0</v>
      </c>
      <c r="E241" s="6" t="s">
        <v>458</v>
      </c>
      <c r="F241" s="6"/>
      <c r="G241" s="6">
        <v>5000</v>
      </c>
      <c r="H241" s="6"/>
      <c r="I241" s="6"/>
      <c r="K241" s="33" t="str">
        <f ca="1">IF(AND(INDEX(Table25[#All],MATCH(A241,Table25[[#All],[Mã SP]],0),DAY(TODAY())+2)=0,INDEX(Table25[#All],MATCH(A241,Table25[[#All],[Mã SP]],0),DAY(TODAY())+1)&gt;0),"x","")</f>
        <v>x</v>
      </c>
      <c r="L241" s="33" t="str">
        <f ca="1">IF(AND(INDEX(Table25[#All],MATCH(A241,Table25[[#All],[Mã SP]],0),DAY(TODAY())+2)&gt;0,INDEX(Table25[#All],MATCH(A241,Table25[[#All],[Mã SP]],0),DAY(TODAY())+1)&lt;=0),"x","")</f>
        <v/>
      </c>
      <c r="M241" s="33" t="str">
        <f t="shared" si="8"/>
        <v>x</v>
      </c>
    </row>
    <row r="242" spans="1:13" ht="12.75" customHeight="1">
      <c r="A242" s="20" t="s">
        <v>559</v>
      </c>
      <c r="B242" s="6" t="s">
        <v>574</v>
      </c>
      <c r="C242" s="30">
        <v>8000</v>
      </c>
      <c r="D242" s="6">
        <f>IF(H242&lt;&gt;"x",VLOOKUP($A242,NhatkyNhap!A:AH,34,FALSE)-VLOOKUP($A242,NhatkyBan!A:AH,34,FALSE),"N/A")</f>
        <v>80</v>
      </c>
      <c r="E242" s="6" t="s">
        <v>458</v>
      </c>
      <c r="F242" s="6"/>
      <c r="G242" s="6">
        <v>5000</v>
      </c>
      <c r="H242" s="6"/>
      <c r="I242" s="6"/>
      <c r="K242" s="33" t="str">
        <f ca="1">IF(AND(INDEX(Table25[#All],MATCH(A242,Table25[[#All],[Mã SP]],0),DAY(TODAY())+2)=0,INDEX(Table25[#All],MATCH(A242,Table25[[#All],[Mã SP]],0),DAY(TODAY())+1)&gt;0),"x","")</f>
        <v/>
      </c>
      <c r="L242" s="33" t="str">
        <f ca="1">IF(AND(INDEX(Table25[#All],MATCH(A242,Table25[[#All],[Mã SP]],0),DAY(TODAY())+2)&gt;0,INDEX(Table25[#All],MATCH(A242,Table25[[#All],[Mã SP]],0),DAY(TODAY())+1)&lt;=0),"x","")</f>
        <v/>
      </c>
      <c r="M242" s="33" t="str">
        <f t="shared" si="8"/>
        <v>x</v>
      </c>
    </row>
    <row r="243" spans="1:13" ht="12.75" customHeight="1">
      <c r="A243" s="20" t="s">
        <v>560</v>
      </c>
      <c r="B243" s="6" t="s">
        <v>575</v>
      </c>
      <c r="C243" s="30">
        <v>8000</v>
      </c>
      <c r="D243" s="6">
        <f>IF(H243&lt;&gt;"x",VLOOKUP($A243,NhatkyNhap!A:AH,34,FALSE)-VLOOKUP($A243,NhatkyBan!A:AH,34,FALSE),"N/A")</f>
        <v>31</v>
      </c>
      <c r="E243" s="6" t="s">
        <v>458</v>
      </c>
      <c r="F243" s="6"/>
      <c r="G243" s="6">
        <v>5000</v>
      </c>
      <c r="H243" s="6"/>
      <c r="I243" s="6"/>
      <c r="K243" s="33" t="str">
        <f ca="1">IF(AND(INDEX(Table25[#All],MATCH(A243,Table25[[#All],[Mã SP]],0),DAY(TODAY())+2)=0,INDEX(Table25[#All],MATCH(A243,Table25[[#All],[Mã SP]],0),DAY(TODAY())+1)&gt;0),"x","")</f>
        <v/>
      </c>
      <c r="L243" s="33" t="str">
        <f ca="1">IF(AND(INDEX(Table25[#All],MATCH(A243,Table25[[#All],[Mã SP]],0),DAY(TODAY())+2)&gt;0,INDEX(Table25[#All],MATCH(A243,Table25[[#All],[Mã SP]],0),DAY(TODAY())+1)&lt;=0),"x","")</f>
        <v/>
      </c>
      <c r="M243" s="33" t="str">
        <f t="shared" si="8"/>
        <v>x</v>
      </c>
    </row>
    <row r="244" spans="1:13" ht="12.75" customHeight="1">
      <c r="A244" s="20" t="s">
        <v>625</v>
      </c>
      <c r="B244" s="6" t="s">
        <v>631</v>
      </c>
      <c r="C244" s="30">
        <v>8000</v>
      </c>
      <c r="D244" s="6">
        <f>IF(H244&lt;&gt;"x",VLOOKUP($A244,NhatkyNhap!A:AH,34,FALSE)-VLOOKUP($A244,NhatkyBan!A:AH,34,FALSE),"N/A")</f>
        <v>99</v>
      </c>
      <c r="E244" s="6" t="s">
        <v>458</v>
      </c>
      <c r="F244" s="6"/>
      <c r="G244" s="6">
        <v>5000</v>
      </c>
      <c r="H244" s="6"/>
      <c r="I244" s="6"/>
      <c r="K244" s="33" t="str">
        <f ca="1">IF(AND(INDEX(Table25[#All],MATCH(A244,Table25[[#All],[Mã SP]],0),DAY(TODAY())+2)=0,INDEX(Table25[#All],MATCH(A244,Table25[[#All],[Mã SP]],0),DAY(TODAY())+1)&gt;0),"x","")</f>
        <v/>
      </c>
      <c r="L244" s="33" t="str">
        <f ca="1">IF(AND(INDEX(Table25[#All],MATCH(A244,Table25[[#All],[Mã SP]],0),DAY(TODAY())+2)&gt;0,INDEX(Table25[#All],MATCH(A244,Table25[[#All],[Mã SP]],0),DAY(TODAY())+1)&lt;=0),"x","")</f>
        <v/>
      </c>
      <c r="M244" s="33" t="str">
        <f t="shared" ref="M244:M249" si="9">IF(C244-G244&lt;&gt;0,"x","")</f>
        <v>x</v>
      </c>
    </row>
    <row r="245" spans="1:13" ht="12.75" customHeight="1">
      <c r="A245" s="20" t="s">
        <v>626</v>
      </c>
      <c r="B245" s="6" t="s">
        <v>632</v>
      </c>
      <c r="C245" s="30">
        <v>8000</v>
      </c>
      <c r="D245" s="6">
        <f>IF(H245&lt;&gt;"x",VLOOKUP($A245,NhatkyNhap!A:AH,34,FALSE)-VLOOKUP($A245,NhatkyBan!A:AH,34,FALSE),"N/A")</f>
        <v>40</v>
      </c>
      <c r="E245" s="6" t="s">
        <v>458</v>
      </c>
      <c r="F245" s="6"/>
      <c r="G245" s="6">
        <v>5000</v>
      </c>
      <c r="H245" s="6"/>
      <c r="I245" s="6"/>
      <c r="K245" s="33" t="str">
        <f ca="1">IF(AND(INDEX(Table25[#All],MATCH(A245,Table25[[#All],[Mã SP]],0),DAY(TODAY())+2)=0,INDEX(Table25[#All],MATCH(A245,Table25[[#All],[Mã SP]],0),DAY(TODAY())+1)&gt;0),"x","")</f>
        <v/>
      </c>
      <c r="L245" s="33" t="str">
        <f ca="1">IF(AND(INDEX(Table25[#All],MATCH(A245,Table25[[#All],[Mã SP]],0),DAY(TODAY())+2)&gt;0,INDEX(Table25[#All],MATCH(A245,Table25[[#All],[Mã SP]],0),DAY(TODAY())+1)&lt;=0),"x","")</f>
        <v/>
      </c>
      <c r="M245" s="33" t="str">
        <f t="shared" si="9"/>
        <v>x</v>
      </c>
    </row>
    <row r="246" spans="1:13" ht="12.75" customHeight="1">
      <c r="A246" s="20" t="s">
        <v>627</v>
      </c>
      <c r="B246" s="6" t="s">
        <v>633</v>
      </c>
      <c r="C246" s="30">
        <v>8000</v>
      </c>
      <c r="D246" s="6">
        <f>IF(H246&lt;&gt;"x",VLOOKUP($A246,NhatkyNhap!A:AH,34,FALSE)-VLOOKUP($A246,NhatkyBan!A:AH,34,FALSE),"N/A")</f>
        <v>45</v>
      </c>
      <c r="E246" s="6" t="s">
        <v>458</v>
      </c>
      <c r="F246" s="6"/>
      <c r="G246" s="6">
        <v>5000</v>
      </c>
      <c r="H246" s="6"/>
      <c r="I246" s="6"/>
      <c r="K246" s="33" t="str">
        <f ca="1">IF(AND(INDEX(Table25[#All],MATCH(A246,Table25[[#All],[Mã SP]],0),DAY(TODAY())+2)=0,INDEX(Table25[#All],MATCH(A246,Table25[[#All],[Mã SP]],0),DAY(TODAY())+1)&gt;0),"x","")</f>
        <v/>
      </c>
      <c r="L246" s="33" t="str">
        <f ca="1">IF(AND(INDEX(Table25[#All],MATCH(A246,Table25[[#All],[Mã SP]],0),DAY(TODAY())+2)&gt;0,INDEX(Table25[#All],MATCH(A246,Table25[[#All],[Mã SP]],0),DAY(TODAY())+1)&lt;=0),"x","")</f>
        <v/>
      </c>
      <c r="M246" s="33" t="str">
        <f t="shared" si="9"/>
        <v>x</v>
      </c>
    </row>
    <row r="247" spans="1:13" ht="12.75" customHeight="1">
      <c r="A247" s="20" t="s">
        <v>628</v>
      </c>
      <c r="B247" s="6" t="s">
        <v>634</v>
      </c>
      <c r="C247" s="30">
        <v>8000</v>
      </c>
      <c r="D247" s="6">
        <f>IF(H247&lt;&gt;"x",VLOOKUP($A247,NhatkyNhap!A:AH,34,FALSE)-VLOOKUP($A247,NhatkyBan!A:AH,34,FALSE),"N/A")</f>
        <v>39</v>
      </c>
      <c r="E247" s="6" t="s">
        <v>458</v>
      </c>
      <c r="F247" s="6"/>
      <c r="G247" s="6">
        <v>5000</v>
      </c>
      <c r="H247" s="6"/>
      <c r="I247" s="6"/>
      <c r="K247" s="33" t="str">
        <f ca="1">IF(AND(INDEX(Table25[#All],MATCH(A247,Table25[[#All],[Mã SP]],0),DAY(TODAY())+2)=0,INDEX(Table25[#All],MATCH(A247,Table25[[#All],[Mã SP]],0),DAY(TODAY())+1)&gt;0),"x","")</f>
        <v/>
      </c>
      <c r="L247" s="33" t="str">
        <f ca="1">IF(AND(INDEX(Table25[#All],MATCH(A247,Table25[[#All],[Mã SP]],0),DAY(TODAY())+2)&gt;0,INDEX(Table25[#All],MATCH(A247,Table25[[#All],[Mã SP]],0),DAY(TODAY())+1)&lt;=0),"x","")</f>
        <v/>
      </c>
      <c r="M247" s="33" t="str">
        <f t="shared" si="9"/>
        <v>x</v>
      </c>
    </row>
    <row r="248" spans="1:13" ht="12.75" customHeight="1">
      <c r="A248" s="20" t="s">
        <v>629</v>
      </c>
      <c r="B248" s="6" t="s">
        <v>635</v>
      </c>
      <c r="C248" s="30">
        <v>8000</v>
      </c>
      <c r="D248" s="6">
        <f>IF(H248&lt;&gt;"x",VLOOKUP($A248,NhatkyNhap!A:AH,34,FALSE)-VLOOKUP($A248,NhatkyBan!A:AH,34,FALSE),"N/A")</f>
        <v>41</v>
      </c>
      <c r="E248" s="6" t="s">
        <v>458</v>
      </c>
      <c r="F248" s="6"/>
      <c r="G248" s="6">
        <v>5000</v>
      </c>
      <c r="H248" s="6"/>
      <c r="I248" s="6"/>
      <c r="K248" s="33" t="str">
        <f ca="1">IF(AND(INDEX(Table25[#All],MATCH(A248,Table25[[#All],[Mã SP]],0),DAY(TODAY())+2)=0,INDEX(Table25[#All],MATCH(A248,Table25[[#All],[Mã SP]],0),DAY(TODAY())+1)&gt;0),"x","")</f>
        <v/>
      </c>
      <c r="L248" s="33" t="str">
        <f ca="1">IF(AND(INDEX(Table25[#All],MATCH(A248,Table25[[#All],[Mã SP]],0),DAY(TODAY())+2)&gt;0,INDEX(Table25[#All],MATCH(A248,Table25[[#All],[Mã SP]],0),DAY(TODAY())+1)&lt;=0),"x","")</f>
        <v/>
      </c>
      <c r="M248" s="33" t="str">
        <f t="shared" si="9"/>
        <v>x</v>
      </c>
    </row>
    <row r="249" spans="1:13" ht="12.75" customHeight="1">
      <c r="A249" s="20" t="s">
        <v>630</v>
      </c>
      <c r="B249" s="6" t="s">
        <v>636</v>
      </c>
      <c r="C249" s="30">
        <v>8000</v>
      </c>
      <c r="D249" s="6">
        <f>IF(H249&lt;&gt;"x",VLOOKUP($A249,NhatkyNhap!A:AH,34,FALSE)-VLOOKUP($A249,NhatkyBan!A:AH,34,FALSE),"N/A")</f>
        <v>77</v>
      </c>
      <c r="E249" s="6" t="s">
        <v>458</v>
      </c>
      <c r="F249" s="6"/>
      <c r="G249" s="6">
        <v>5000</v>
      </c>
      <c r="H249" s="6"/>
      <c r="I249" s="6"/>
      <c r="K249" s="33" t="str">
        <f ca="1">IF(AND(INDEX(Table25[#All],MATCH(A249,Table25[[#All],[Mã SP]],0),DAY(TODAY())+2)=0,INDEX(Table25[#All],MATCH(A249,Table25[[#All],[Mã SP]],0),DAY(TODAY())+1)&gt;0),"x","")</f>
        <v/>
      </c>
      <c r="L249" s="33" t="str">
        <f ca="1">IF(AND(INDEX(Table25[#All],MATCH(A249,Table25[[#All],[Mã SP]],0),DAY(TODAY())+2)&gt;0,INDEX(Table25[#All],MATCH(A249,Table25[[#All],[Mã SP]],0),DAY(TODAY())+1)&lt;=0),"x","")</f>
        <v/>
      </c>
      <c r="M249" s="33" t="str">
        <f t="shared" si="9"/>
        <v>x</v>
      </c>
    </row>
    <row r="250" spans="1:13" ht="12.75" customHeight="1">
      <c r="A250" s="40" t="s">
        <v>390</v>
      </c>
      <c r="B250" s="10" t="s">
        <v>249</v>
      </c>
      <c r="C250" s="6">
        <v>4000</v>
      </c>
      <c r="D250" s="26">
        <f>IF(H250&lt;&gt;"x",VLOOKUP($A250,NhatkyNhap!A:AH,34,FALSE)-VLOOKUP($A250,NhatkyBan!A:AH,34,FALSE),"N/A")</f>
        <v>9</v>
      </c>
      <c r="E250" s="6" t="s">
        <v>459</v>
      </c>
      <c r="F250" s="6"/>
      <c r="G250" s="6">
        <v>4000</v>
      </c>
      <c r="H250" s="6"/>
      <c r="I250" s="6"/>
      <c r="K250" s="33" t="str">
        <f ca="1">IF(AND(INDEX(Table25[#All],MATCH(A250,Table25[[#All],[Mã SP]],0),DAY(TODAY())+2)=0,INDEX(Table25[#All],MATCH(A250,Table25[[#All],[Mã SP]],0),DAY(TODAY())+1)&gt;0),"x","")</f>
        <v/>
      </c>
      <c r="L250" s="33" t="str">
        <f ca="1">IF(AND(INDEX(Table25[#All],MATCH(A250,Table25[[#All],[Mã SP]],0),DAY(TODAY())+2)&gt;0,INDEX(Table25[#All],MATCH(A250,Table25[[#All],[Mã SP]],0),DAY(TODAY())+1)&lt;=0),"x","")</f>
        <v/>
      </c>
      <c r="M250" s="33" t="str">
        <f t="shared" si="8"/>
        <v/>
      </c>
    </row>
    <row r="251" spans="1:13" ht="12.75" customHeight="1">
      <c r="A251" s="40" t="s">
        <v>297</v>
      </c>
      <c r="B251" s="10" t="s">
        <v>298</v>
      </c>
      <c r="C251" s="6">
        <v>70000</v>
      </c>
      <c r="D251" s="26" t="str">
        <f>IF(H251&lt;&gt;"x",VLOOKUP($A251,NhatkyNhap!A:AH,34,FALSE)-VLOOKUP($A251,NhatkyBan!A:AH,34,FALSE),"N/A")</f>
        <v>N/A</v>
      </c>
      <c r="E251" s="6" t="s">
        <v>460</v>
      </c>
      <c r="F251" s="6"/>
      <c r="G251" s="6">
        <v>70000</v>
      </c>
      <c r="H251" s="6" t="s">
        <v>498</v>
      </c>
      <c r="I251" s="6"/>
      <c r="K251" s="33" t="str">
        <f ca="1">IF(AND(INDEX(Table25[#All],MATCH(A251,Table25[[#All],[Mã SP]],0),DAY(TODAY())+2)=0,INDEX(Table25[#All],MATCH(A251,Table25[[#All],[Mã SP]],0),DAY(TODAY())+1)&gt;0),"x","")</f>
        <v>x</v>
      </c>
      <c r="L251" s="33" t="str">
        <f ca="1">IF(AND(INDEX(Table25[#All],MATCH(A251,Table25[[#All],[Mã SP]],0),DAY(TODAY())+2)&gt;0,INDEX(Table25[#All],MATCH(A251,Table25[[#All],[Mã SP]],0),DAY(TODAY())+1)&lt;=0),"x","")</f>
        <v/>
      </c>
      <c r="M251" s="33" t="str">
        <f t="shared" si="8"/>
        <v/>
      </c>
    </row>
    <row r="252" spans="1:13" ht="12.75" customHeight="1">
      <c r="A252" s="40" t="s">
        <v>299</v>
      </c>
      <c r="B252" s="10" t="s">
        <v>436</v>
      </c>
      <c r="C252" s="6">
        <v>35000</v>
      </c>
      <c r="D252" s="26" t="str">
        <f>IF(H252&lt;&gt;"x",VLOOKUP($A252,NhatkyNhap!A:AH,34,FALSE)-VLOOKUP($A252,NhatkyBan!A:AH,34,FALSE),"N/A")</f>
        <v>N/A</v>
      </c>
      <c r="E252" s="6" t="s">
        <v>460</v>
      </c>
      <c r="F252" s="6"/>
      <c r="G252" s="6">
        <v>35000</v>
      </c>
      <c r="H252" s="6" t="s">
        <v>498</v>
      </c>
      <c r="I252" s="6"/>
      <c r="K252" s="33" t="str">
        <f ca="1">IF(AND(INDEX(Table25[#All],MATCH(A252,Table25[[#All],[Mã SP]],0),DAY(TODAY())+2)=0,INDEX(Table25[#All],MATCH(A252,Table25[[#All],[Mã SP]],0),DAY(TODAY())+1)&gt;0),"x","")</f>
        <v>x</v>
      </c>
      <c r="L252" s="33" t="str">
        <f ca="1">IF(AND(INDEX(Table25[#All],MATCH(A252,Table25[[#All],[Mã SP]],0),DAY(TODAY())+2)&gt;0,INDEX(Table25[#All],MATCH(A252,Table25[[#All],[Mã SP]],0),DAY(TODAY())+1)&lt;=0),"x","")</f>
        <v/>
      </c>
      <c r="M252" s="33" t="str">
        <f t="shared" si="8"/>
        <v/>
      </c>
    </row>
    <row r="253" spans="1:13" ht="12.75" customHeight="1">
      <c r="A253" s="40" t="s">
        <v>301</v>
      </c>
      <c r="B253" s="10" t="s">
        <v>437</v>
      </c>
      <c r="C253" s="6">
        <v>70000</v>
      </c>
      <c r="D253" s="26" t="str">
        <f>IF(H253&lt;&gt;"x",VLOOKUP($A253,NhatkyNhap!A:AH,34,FALSE)-VLOOKUP($A253,NhatkyBan!A:AH,34,FALSE),"N/A")</f>
        <v>N/A</v>
      </c>
      <c r="E253" s="6" t="s">
        <v>460</v>
      </c>
      <c r="F253" s="6"/>
      <c r="G253" s="6">
        <v>70000</v>
      </c>
      <c r="H253" s="6" t="s">
        <v>498</v>
      </c>
      <c r="I253" s="6"/>
      <c r="K253" s="33" t="str">
        <f ca="1">IF(AND(INDEX(Table25[#All],MATCH(A253,Table25[[#All],[Mã SP]],0),DAY(TODAY())+2)=0,INDEX(Table25[#All],MATCH(A253,Table25[[#All],[Mã SP]],0),DAY(TODAY())+1)&gt;0),"x","")</f>
        <v>x</v>
      </c>
      <c r="L253" s="33" t="str">
        <f ca="1">IF(AND(INDEX(Table25[#All],MATCH(A253,Table25[[#All],[Mã SP]],0),DAY(TODAY())+2)&gt;0,INDEX(Table25[#All],MATCH(A253,Table25[[#All],[Mã SP]],0),DAY(TODAY())+1)&lt;=0),"x","")</f>
        <v/>
      </c>
      <c r="M253" s="33" t="str">
        <f t="shared" ref="M253:M277" si="10">IF(C253-G253&lt;&gt;0,"x","")</f>
        <v/>
      </c>
    </row>
    <row r="254" spans="1:13" ht="12.75" customHeight="1">
      <c r="A254" s="40" t="s">
        <v>302</v>
      </c>
      <c r="B254" s="10" t="s">
        <v>300</v>
      </c>
      <c r="C254" s="6">
        <v>16000</v>
      </c>
      <c r="D254" s="26" t="str">
        <f>IF(H254&lt;&gt;"x",VLOOKUP($A254,NhatkyNhap!A:AH,34,FALSE)-VLOOKUP($A254,NhatkyBan!A:AH,34,FALSE),"N/A")</f>
        <v>N/A</v>
      </c>
      <c r="E254" s="6" t="s">
        <v>460</v>
      </c>
      <c r="F254" s="6"/>
      <c r="G254" s="6">
        <v>16000</v>
      </c>
      <c r="H254" s="6" t="s">
        <v>498</v>
      </c>
      <c r="I254" s="6"/>
      <c r="K254" s="33" t="str">
        <f ca="1">IF(AND(INDEX(Table25[#All],MATCH(A254,Table25[[#All],[Mã SP]],0),DAY(TODAY())+2)=0,INDEX(Table25[#All],MATCH(A254,Table25[[#All],[Mã SP]],0),DAY(TODAY())+1)&gt;0),"x","")</f>
        <v>x</v>
      </c>
      <c r="L254" s="33" t="str">
        <f ca="1">IF(AND(INDEX(Table25[#All],MATCH(A254,Table25[[#All],[Mã SP]],0),DAY(TODAY())+2)&gt;0,INDEX(Table25[#All],MATCH(A254,Table25[[#All],[Mã SP]],0),DAY(TODAY())+1)&lt;=0),"x","")</f>
        <v/>
      </c>
      <c r="M254" s="33" t="str">
        <f t="shared" si="10"/>
        <v/>
      </c>
    </row>
    <row r="255" spans="1:13" ht="12.75" customHeight="1">
      <c r="A255" s="20" t="s">
        <v>303</v>
      </c>
      <c r="B255" s="6" t="s">
        <v>438</v>
      </c>
      <c r="C255" s="6">
        <v>15000</v>
      </c>
      <c r="D255" s="26" t="str">
        <f>IF(H255&lt;&gt;"x",VLOOKUP($A255,NhatkyNhap!A:AH,34,FALSE)-VLOOKUP($A255,NhatkyBan!A:AH,34,FALSE),"N/A")</f>
        <v>N/A</v>
      </c>
      <c r="E255" s="6" t="s">
        <v>460</v>
      </c>
      <c r="F255" s="6"/>
      <c r="G255" s="6">
        <v>15000</v>
      </c>
      <c r="H255" s="6" t="s">
        <v>498</v>
      </c>
      <c r="I255" s="6"/>
      <c r="K255" s="33" t="str">
        <f ca="1">IF(AND(INDEX(Table25[#All],MATCH(A255,Table25[[#All],[Mã SP]],0),DAY(TODAY())+2)=0,INDEX(Table25[#All],MATCH(A255,Table25[[#All],[Mã SP]],0),DAY(TODAY())+1)&gt;0),"x","")</f>
        <v>x</v>
      </c>
      <c r="L255" s="33" t="str">
        <f ca="1">IF(AND(INDEX(Table25[#All],MATCH(A255,Table25[[#All],[Mã SP]],0),DAY(TODAY())+2)&gt;0,INDEX(Table25[#All],MATCH(A255,Table25[[#All],[Mã SP]],0),DAY(TODAY())+1)&lt;=0),"x","")</f>
        <v/>
      </c>
      <c r="M255" s="33" t="str">
        <f t="shared" si="10"/>
        <v/>
      </c>
    </row>
    <row r="256" spans="1:13" ht="12.75" customHeight="1">
      <c r="A256" s="20" t="s">
        <v>305</v>
      </c>
      <c r="B256" s="6" t="s">
        <v>638</v>
      </c>
      <c r="C256" s="6">
        <v>6000</v>
      </c>
      <c r="D256" s="26">
        <f>IF(H256&lt;&gt;"x",VLOOKUP($A256,NhatkyNhap!A:AH,34,FALSE)-VLOOKUP($A256,NhatkyBan!A:AH,34,FALSE),"N/A")</f>
        <v>6</v>
      </c>
      <c r="E256" s="6" t="s">
        <v>460</v>
      </c>
      <c r="F256" s="6"/>
      <c r="G256" s="6">
        <v>6000</v>
      </c>
      <c r="H256" s="6"/>
      <c r="I256" s="6"/>
      <c r="K256" s="33" t="str">
        <f ca="1">IF(AND(INDEX(Table25[#All],MATCH(A256,Table25[[#All],[Mã SP]],0),DAY(TODAY())+2)=0,INDEX(Table25[#All],MATCH(A256,Table25[[#All],[Mã SP]],0),DAY(TODAY())+1)&gt;0),"x","")</f>
        <v/>
      </c>
      <c r="L256" s="33" t="str">
        <f ca="1">IF(AND(INDEX(Table25[#All],MATCH(A256,Table25[[#All],[Mã SP]],0),DAY(TODAY())+2)&gt;0,INDEX(Table25[#All],MATCH(A256,Table25[[#All],[Mã SP]],0),DAY(TODAY())+1)&lt;=0),"x","")</f>
        <v/>
      </c>
      <c r="M256" s="33" t="str">
        <f t="shared" si="10"/>
        <v/>
      </c>
    </row>
    <row r="257" spans="1:13" s="84" customFormat="1" ht="12.75" customHeight="1">
      <c r="A257" s="81" t="s">
        <v>306</v>
      </c>
      <c r="B257" s="82" t="s">
        <v>304</v>
      </c>
      <c r="C257" s="82">
        <v>4000</v>
      </c>
      <c r="D257" s="83" t="str">
        <f>IF(H257&lt;&gt;"x",VLOOKUP($A257,NhatkyNhap!A:AH,34,FALSE)-VLOOKUP($A257,NhatkyBan!A:AH,34,FALSE),"N/A")</f>
        <v>N/A</v>
      </c>
      <c r="E257" s="82" t="s">
        <v>460</v>
      </c>
      <c r="F257" s="82" t="s">
        <v>462</v>
      </c>
      <c r="G257" s="82">
        <v>4000</v>
      </c>
      <c r="H257" s="82" t="s">
        <v>498</v>
      </c>
      <c r="I257" s="82"/>
      <c r="J257" s="84" t="s">
        <v>637</v>
      </c>
      <c r="K257" s="85" t="str">
        <f ca="1">IF(AND(INDEX(Table25[#All],MATCH(A257,Table25[[#All],[Mã SP]],0),DAY(TODAY())+2)=0,INDEX(Table25[#All],MATCH(A257,Table25[[#All],[Mã SP]],0),DAY(TODAY())+1)&gt;0),"x","")</f>
        <v>x</v>
      </c>
      <c r="L257" s="85" t="str">
        <f ca="1">IF(AND(INDEX(Table25[#All],MATCH(A257,Table25[[#All],[Mã SP]],0),DAY(TODAY())+2)&gt;0,INDEX(Table25[#All],MATCH(A257,Table25[[#All],[Mã SP]],0),DAY(TODAY())+1)&lt;=0),"x","")</f>
        <v/>
      </c>
      <c r="M257" s="85" t="str">
        <f t="shared" si="10"/>
        <v/>
      </c>
    </row>
    <row r="258" spans="1:13" ht="12.75" customHeight="1">
      <c r="A258" s="20" t="s">
        <v>308</v>
      </c>
      <c r="B258" s="6" t="s">
        <v>639</v>
      </c>
      <c r="C258" s="6">
        <v>8000</v>
      </c>
      <c r="D258" s="26">
        <f>IF(H258&lt;&gt;"x",VLOOKUP($A258,NhatkyNhap!A:AH,34,FALSE)-VLOOKUP($A258,NhatkyBan!A:AH,34,FALSE),"N/A")</f>
        <v>25</v>
      </c>
      <c r="E258" s="6" t="s">
        <v>460</v>
      </c>
      <c r="F258" s="6"/>
      <c r="G258" s="6">
        <v>8000</v>
      </c>
      <c r="H258" s="6"/>
      <c r="I258" s="6"/>
      <c r="K258" s="33" t="str">
        <f ca="1">IF(AND(INDEX(Table25[#All],MATCH(A258,Table25[[#All],[Mã SP]],0),DAY(TODAY())+2)=0,INDEX(Table25[#All],MATCH(A258,Table25[[#All],[Mã SP]],0),DAY(TODAY())+1)&gt;0),"x","")</f>
        <v/>
      </c>
      <c r="L258" s="33" t="str">
        <f ca="1">IF(AND(INDEX(Table25[#All],MATCH(A258,Table25[[#All],[Mã SP]],0),DAY(TODAY())+2)&gt;0,INDEX(Table25[#All],MATCH(A258,Table25[[#All],[Mã SP]],0),DAY(TODAY())+1)&lt;=0),"x","")</f>
        <v/>
      </c>
      <c r="M258" s="33" t="str">
        <f t="shared" si="10"/>
        <v/>
      </c>
    </row>
    <row r="259" spans="1:13" s="84" customFormat="1" ht="12.75" customHeight="1">
      <c r="A259" s="81" t="s">
        <v>310</v>
      </c>
      <c r="B259" s="82" t="s">
        <v>307</v>
      </c>
      <c r="C259" s="82">
        <v>4000</v>
      </c>
      <c r="D259" s="83" t="str">
        <f>IF(H259&lt;&gt;"x",VLOOKUP($A259,NhatkyNhap!A:AH,34,FALSE)-VLOOKUP($A259,NhatkyBan!A:AH,34,FALSE),"N/A")</f>
        <v>N/A</v>
      </c>
      <c r="E259" s="82" t="s">
        <v>460</v>
      </c>
      <c r="F259" s="82"/>
      <c r="G259" s="82">
        <v>4000</v>
      </c>
      <c r="H259" s="82" t="s">
        <v>498</v>
      </c>
      <c r="I259" s="82"/>
      <c r="J259" s="84" t="s">
        <v>640</v>
      </c>
      <c r="K259" s="85" t="str">
        <f ca="1">IF(AND(INDEX(Table25[#All],MATCH(A259,Table25[[#All],[Mã SP]],0),DAY(TODAY())+2)=0,INDEX(Table25[#All],MATCH(A259,Table25[[#All],[Mã SP]],0),DAY(TODAY())+1)&gt;0),"x","")</f>
        <v>x</v>
      </c>
      <c r="L259" s="85" t="str">
        <f ca="1">IF(AND(INDEX(Table25[#All],MATCH(A259,Table25[[#All],[Mã SP]],0),DAY(TODAY())+2)&gt;0,INDEX(Table25[#All],MATCH(A259,Table25[[#All],[Mã SP]],0),DAY(TODAY())+1)&lt;=0),"x","")</f>
        <v/>
      </c>
      <c r="M259" s="85" t="str">
        <f t="shared" si="10"/>
        <v/>
      </c>
    </row>
    <row r="260" spans="1:13" ht="12.75" customHeight="1">
      <c r="A260" s="20" t="s">
        <v>311</v>
      </c>
      <c r="B260" s="6" t="s">
        <v>309</v>
      </c>
      <c r="C260" s="6">
        <v>6000</v>
      </c>
      <c r="D260" s="26">
        <f>IF(H260&lt;&gt;"x",VLOOKUP($A260,NhatkyNhap!A:AH,34,FALSE)-VLOOKUP($A260,NhatkyBan!A:AH,34,FALSE),"N/A")</f>
        <v>1</v>
      </c>
      <c r="E260" s="6" t="s">
        <v>460</v>
      </c>
      <c r="F260" s="6"/>
      <c r="G260" s="6">
        <v>6000</v>
      </c>
      <c r="H260" s="6"/>
      <c r="I260" s="6"/>
      <c r="J260" s="5" t="s">
        <v>640</v>
      </c>
      <c r="K260" s="33" t="str">
        <f ca="1">IF(AND(INDEX(Table25[#All],MATCH(A260,Table25[[#All],[Mã SP]],0),DAY(TODAY())+2)=0,INDEX(Table25[#All],MATCH(A260,Table25[[#All],[Mã SP]],0),DAY(TODAY())+1)&gt;0),"x","")</f>
        <v/>
      </c>
      <c r="L260" s="33" t="str">
        <f ca="1">IF(AND(INDEX(Table25[#All],MATCH(A260,Table25[[#All],[Mã SP]],0),DAY(TODAY())+2)&gt;0,INDEX(Table25[#All],MATCH(A260,Table25[[#All],[Mã SP]],0),DAY(TODAY())+1)&lt;=0),"x","")</f>
        <v/>
      </c>
      <c r="M260" s="33" t="str">
        <f t="shared" si="10"/>
        <v/>
      </c>
    </row>
    <row r="261" spans="1:13" ht="12.75" customHeight="1">
      <c r="A261" s="20" t="s">
        <v>391</v>
      </c>
      <c r="B261" s="6" t="s">
        <v>439</v>
      </c>
      <c r="C261" s="6">
        <v>2000</v>
      </c>
      <c r="D261" s="26" t="str">
        <f>IF(H261&lt;&gt;"x",VLOOKUP($A261,NhatkyNhap!A:AH,34,FALSE)-VLOOKUP($A261,NhatkyBan!A:AH,34,FALSE),"N/A")</f>
        <v>N/A</v>
      </c>
      <c r="E261" s="6" t="s">
        <v>460</v>
      </c>
      <c r="F261" s="6"/>
      <c r="G261" s="6">
        <v>2000</v>
      </c>
      <c r="H261" s="6" t="s">
        <v>498</v>
      </c>
      <c r="I261" s="6"/>
      <c r="K261" s="33" t="str">
        <f ca="1">IF(AND(INDEX(Table25[#All],MATCH(A261,Table25[[#All],[Mã SP]],0),DAY(TODAY())+2)=0,INDEX(Table25[#All],MATCH(A261,Table25[[#All],[Mã SP]],0),DAY(TODAY())+1)&gt;0),"x","")</f>
        <v>x</v>
      </c>
      <c r="L261" s="33" t="str">
        <f ca="1">IF(AND(INDEX(Table25[#All],MATCH(A261,Table25[[#All],[Mã SP]],0),DAY(TODAY())+2)&gt;0,INDEX(Table25[#All],MATCH(A261,Table25[[#All],[Mã SP]],0),DAY(TODAY())+1)&lt;=0),"x","")</f>
        <v/>
      </c>
      <c r="M261" s="33" t="str">
        <f t="shared" si="10"/>
        <v/>
      </c>
    </row>
    <row r="262" spans="1:13" ht="12.75" customHeight="1">
      <c r="A262" s="20" t="s">
        <v>392</v>
      </c>
      <c r="B262" s="6" t="s">
        <v>440</v>
      </c>
      <c r="C262" s="6">
        <v>50000</v>
      </c>
      <c r="D262" s="26">
        <f>IF(H262&lt;&gt;"x",VLOOKUP($A262,NhatkyNhap!A:AH,34,FALSE)-VLOOKUP($A262,NhatkyBan!A:AH,34,FALSE),"N/A")</f>
        <v>7</v>
      </c>
      <c r="E262" s="6" t="s">
        <v>460</v>
      </c>
      <c r="F262" s="6"/>
      <c r="G262" s="6">
        <v>50000</v>
      </c>
      <c r="H262" s="6"/>
      <c r="I262" s="6"/>
      <c r="K262" s="33" t="str">
        <f ca="1">IF(AND(INDEX(Table25[#All],MATCH(A262,Table25[[#All],[Mã SP]],0),DAY(TODAY())+2)=0,INDEX(Table25[#All],MATCH(A262,Table25[[#All],[Mã SP]],0),DAY(TODAY())+1)&gt;0),"x","")</f>
        <v/>
      </c>
      <c r="L262" s="33" t="str">
        <f ca="1">IF(AND(INDEX(Table25[#All],MATCH(A262,Table25[[#All],[Mã SP]],0),DAY(TODAY())+2)&gt;0,INDEX(Table25[#All],MATCH(A262,Table25[[#All],[Mã SP]],0),DAY(TODAY())+1)&lt;=0),"x","")</f>
        <v/>
      </c>
      <c r="M262" s="33" t="str">
        <f t="shared" si="10"/>
        <v/>
      </c>
    </row>
    <row r="263" spans="1:13" ht="12.75" customHeight="1">
      <c r="A263" s="20" t="s">
        <v>393</v>
      </c>
      <c r="B263" s="6" t="s">
        <v>441</v>
      </c>
      <c r="C263" s="6">
        <v>25000</v>
      </c>
      <c r="D263" s="26" t="str">
        <f>IF(H263&lt;&gt;"x",VLOOKUP($A263,NhatkyNhap!A:AH,34,FALSE)-VLOOKUP($A263,NhatkyBan!A:AH,34,FALSE),"N/A")</f>
        <v>N/A</v>
      </c>
      <c r="E263" s="6" t="s">
        <v>460</v>
      </c>
      <c r="F263" s="6"/>
      <c r="G263" s="6">
        <v>25000</v>
      </c>
      <c r="H263" s="6" t="s">
        <v>498</v>
      </c>
      <c r="I263" s="6"/>
      <c r="K263" s="33" t="str">
        <f ca="1">IF(AND(INDEX(Table25[#All],MATCH(A263,Table25[[#All],[Mã SP]],0),DAY(TODAY())+2)=0,INDEX(Table25[#All],MATCH(A263,Table25[[#All],[Mã SP]],0),DAY(TODAY())+1)&gt;0),"x","")</f>
        <v>x</v>
      </c>
      <c r="L263" s="33" t="str">
        <f ca="1">IF(AND(INDEX(Table25[#All],MATCH(A263,Table25[[#All],[Mã SP]],0),DAY(TODAY())+2)&gt;0,INDEX(Table25[#All],MATCH(A263,Table25[[#All],[Mã SP]],0),DAY(TODAY())+1)&lt;=0),"x","")</f>
        <v/>
      </c>
      <c r="M263" s="33" t="str">
        <f t="shared" si="10"/>
        <v/>
      </c>
    </row>
    <row r="264" spans="1:13" ht="12.75" customHeight="1">
      <c r="A264" s="20" t="s">
        <v>394</v>
      </c>
      <c r="B264" s="6" t="s">
        <v>442</v>
      </c>
      <c r="C264" s="6">
        <v>200000</v>
      </c>
      <c r="D264" s="26" t="str">
        <f>IF(H264&lt;&gt;"x",VLOOKUP($A264,NhatkyNhap!A:AH,34,FALSE)-VLOOKUP($A264,NhatkyBan!A:AH,34,FALSE),"N/A")</f>
        <v>N/A</v>
      </c>
      <c r="E264" s="6" t="s">
        <v>461</v>
      </c>
      <c r="F264" s="6"/>
      <c r="G264" s="6">
        <v>200000</v>
      </c>
      <c r="H264" s="6" t="s">
        <v>498</v>
      </c>
      <c r="I264" s="6"/>
      <c r="K264" s="33" t="str">
        <f ca="1">IF(AND(INDEX(Table25[#All],MATCH(A264,Table25[[#All],[Mã SP]],0),DAY(TODAY())+2)=0,INDEX(Table25[#All],MATCH(A264,Table25[[#All],[Mã SP]],0),DAY(TODAY())+1)&gt;0),"x","")</f>
        <v>x</v>
      </c>
      <c r="L264" s="33" t="str">
        <f ca="1">IF(AND(INDEX(Table25[#All],MATCH(A264,Table25[[#All],[Mã SP]],0),DAY(TODAY())+2)&gt;0,INDEX(Table25[#All],MATCH(A264,Table25[[#All],[Mã SP]],0),DAY(TODAY())+1)&lt;=0),"x","")</f>
        <v/>
      </c>
      <c r="M264" s="33" t="str">
        <f t="shared" si="10"/>
        <v/>
      </c>
    </row>
    <row r="265" spans="1:13" ht="12.75" customHeight="1">
      <c r="A265" s="20" t="s">
        <v>395</v>
      </c>
      <c r="B265" s="6" t="s">
        <v>443</v>
      </c>
      <c r="C265" s="6">
        <v>360000</v>
      </c>
      <c r="D265" s="26" t="str">
        <f>IF(H265&lt;&gt;"x",VLOOKUP($A265,NhatkyNhap!A:AH,34,FALSE)-VLOOKUP($A265,NhatkyBan!A:AH,34,FALSE),"N/A")</f>
        <v>N/A</v>
      </c>
      <c r="E265" s="6" t="s">
        <v>461</v>
      </c>
      <c r="F265" s="6"/>
      <c r="G265" s="6">
        <v>360000</v>
      </c>
      <c r="H265" s="6" t="s">
        <v>498</v>
      </c>
      <c r="I265" s="6"/>
      <c r="K265" s="33" t="str">
        <f ca="1">IF(AND(INDEX(Table25[#All],MATCH(A265,Table25[[#All],[Mã SP]],0),DAY(TODAY())+2)=0,INDEX(Table25[#All],MATCH(A265,Table25[[#All],[Mã SP]],0),DAY(TODAY())+1)&gt;0),"x","")</f>
        <v>x</v>
      </c>
      <c r="L265" s="33" t="str">
        <f ca="1">IF(AND(INDEX(Table25[#All],MATCH(A265,Table25[[#All],[Mã SP]],0),DAY(TODAY())+2)&gt;0,INDEX(Table25[#All],MATCH(A265,Table25[[#All],[Mã SP]],0),DAY(TODAY())+1)&lt;=0),"x","")</f>
        <v/>
      </c>
      <c r="M265" s="33" t="str">
        <f t="shared" si="10"/>
        <v/>
      </c>
    </row>
    <row r="266" spans="1:13" ht="12.75" customHeight="1">
      <c r="A266" s="20" t="s">
        <v>396</v>
      </c>
      <c r="B266" s="6" t="s">
        <v>444</v>
      </c>
      <c r="C266" s="6">
        <v>250000</v>
      </c>
      <c r="D266" s="26" t="str">
        <f>IF(H266&lt;&gt;"x",VLOOKUP($A266,NhatkyNhap!A:AH,34,FALSE)-VLOOKUP($A266,NhatkyBan!A:AH,34,FALSE),"N/A")</f>
        <v>N/A</v>
      </c>
      <c r="E266" s="6" t="s">
        <v>461</v>
      </c>
      <c r="F266" s="6"/>
      <c r="G266" s="6">
        <v>250000</v>
      </c>
      <c r="H266" s="6" t="s">
        <v>498</v>
      </c>
      <c r="I266" s="6"/>
      <c r="K266" s="33" t="str">
        <f ca="1">IF(AND(INDEX(Table25[#All],MATCH(A266,Table25[[#All],[Mã SP]],0),DAY(TODAY())+2)=0,INDEX(Table25[#All],MATCH(A266,Table25[[#All],[Mã SP]],0),DAY(TODAY())+1)&gt;0),"x","")</f>
        <v>x</v>
      </c>
      <c r="L266" s="33" t="str">
        <f ca="1">IF(AND(INDEX(Table25[#All],MATCH(A266,Table25[[#All],[Mã SP]],0),DAY(TODAY())+2)&gt;0,INDEX(Table25[#All],MATCH(A266,Table25[[#All],[Mã SP]],0),DAY(TODAY())+1)&lt;=0),"x","")</f>
        <v/>
      </c>
      <c r="M266" s="33" t="str">
        <f t="shared" si="10"/>
        <v/>
      </c>
    </row>
    <row r="267" spans="1:13" ht="12.75" customHeight="1">
      <c r="A267" s="20" t="s">
        <v>397</v>
      </c>
      <c r="B267" s="6" t="s">
        <v>445</v>
      </c>
      <c r="C267" s="6">
        <v>480000</v>
      </c>
      <c r="D267" s="26" t="str">
        <f>IF(H267&lt;&gt;"x",VLOOKUP($A267,NhatkyNhap!A:AH,34,FALSE)-VLOOKUP($A267,NhatkyBan!A:AH,34,FALSE),"N/A")</f>
        <v>N/A</v>
      </c>
      <c r="E267" s="6" t="s">
        <v>461</v>
      </c>
      <c r="F267" s="6"/>
      <c r="G267" s="6">
        <v>480000</v>
      </c>
      <c r="H267" s="6" t="s">
        <v>498</v>
      </c>
      <c r="I267" s="6"/>
      <c r="K267" s="33" t="str">
        <f ca="1">IF(AND(INDEX(Table25[#All],MATCH(A267,Table25[[#All],[Mã SP]],0),DAY(TODAY())+2)=0,INDEX(Table25[#All],MATCH(A267,Table25[[#All],[Mã SP]],0),DAY(TODAY())+1)&gt;0),"x","")</f>
        <v>x</v>
      </c>
      <c r="L267" s="33" t="str">
        <f ca="1">IF(AND(INDEX(Table25[#All],MATCH(A267,Table25[[#All],[Mã SP]],0),DAY(TODAY())+2)&gt;0,INDEX(Table25[#All],MATCH(A267,Table25[[#All],[Mã SP]],0),DAY(TODAY())+1)&lt;=0),"x","")</f>
        <v/>
      </c>
      <c r="M267" s="33" t="str">
        <f t="shared" si="10"/>
        <v/>
      </c>
    </row>
    <row r="268" spans="1:13" ht="12.75" customHeight="1">
      <c r="A268" s="20" t="s">
        <v>398</v>
      </c>
      <c r="B268" s="6" t="s">
        <v>446</v>
      </c>
      <c r="C268" s="6">
        <v>80000</v>
      </c>
      <c r="D268" s="26" t="str">
        <f>IF(H268&lt;&gt;"x",VLOOKUP($A268,NhatkyNhap!A:AH,34,FALSE)-VLOOKUP($A268,NhatkyBan!A:AH,34,FALSE),"N/A")</f>
        <v>N/A</v>
      </c>
      <c r="E268" s="6" t="s">
        <v>461</v>
      </c>
      <c r="F268" s="6"/>
      <c r="G268" s="6">
        <v>80000</v>
      </c>
      <c r="H268" s="6" t="s">
        <v>498</v>
      </c>
      <c r="I268" s="6"/>
      <c r="K268" s="33" t="str">
        <f ca="1">IF(AND(INDEX(Table25[#All],MATCH(A268,Table25[[#All],[Mã SP]],0),DAY(TODAY())+2)=0,INDEX(Table25[#All],MATCH(A268,Table25[[#All],[Mã SP]],0),DAY(TODAY())+1)&gt;0),"x","")</f>
        <v>x</v>
      </c>
      <c r="L268" s="33" t="str">
        <f ca="1">IF(AND(INDEX(Table25[#All],MATCH(A268,Table25[[#All],[Mã SP]],0),DAY(TODAY())+2)&gt;0,INDEX(Table25[#All],MATCH(A268,Table25[[#All],[Mã SP]],0),DAY(TODAY())+1)&lt;=0),"x","")</f>
        <v/>
      </c>
      <c r="M268" s="33" t="str">
        <f t="shared" si="10"/>
        <v/>
      </c>
    </row>
    <row r="269" spans="1:13" ht="12.75" customHeight="1">
      <c r="A269" s="20" t="s">
        <v>399</v>
      </c>
      <c r="B269" s="6" t="s">
        <v>447</v>
      </c>
      <c r="C269" s="6">
        <v>170000</v>
      </c>
      <c r="D269" s="26" t="str">
        <f>IF(H269&lt;&gt;"x",VLOOKUP($A269,NhatkyNhap!A:AH,34,FALSE)-VLOOKUP($A269,NhatkyBan!A:AH,34,FALSE),"N/A")</f>
        <v>N/A</v>
      </c>
      <c r="E269" s="6" t="s">
        <v>461</v>
      </c>
      <c r="F269" s="6"/>
      <c r="G269" s="6">
        <v>170000</v>
      </c>
      <c r="H269" s="6" t="s">
        <v>498</v>
      </c>
      <c r="I269" s="6"/>
      <c r="K269" s="33" t="str">
        <f ca="1">IF(AND(INDEX(Table25[#All],MATCH(A269,Table25[[#All],[Mã SP]],0),DAY(TODAY())+2)=0,INDEX(Table25[#All],MATCH(A269,Table25[[#All],[Mã SP]],0),DAY(TODAY())+1)&gt;0),"x","")</f>
        <v>x</v>
      </c>
      <c r="L269" s="33" t="str">
        <f ca="1">IF(AND(INDEX(Table25[#All],MATCH(A269,Table25[[#All],[Mã SP]],0),DAY(TODAY())+2)&gt;0,INDEX(Table25[#All],MATCH(A269,Table25[[#All],[Mã SP]],0),DAY(TODAY())+1)&lt;=0),"x","")</f>
        <v/>
      </c>
      <c r="M269" s="33" t="str">
        <f t="shared" si="10"/>
        <v/>
      </c>
    </row>
    <row r="270" spans="1:13" ht="12.75" customHeight="1">
      <c r="A270" s="20" t="s">
        <v>400</v>
      </c>
      <c r="B270" s="6" t="s">
        <v>448</v>
      </c>
      <c r="C270" s="6">
        <v>270000</v>
      </c>
      <c r="D270" s="26" t="str">
        <f>IF(H270&lt;&gt;"x",VLOOKUP($A270,NhatkyNhap!A:AH,34,FALSE)-VLOOKUP($A270,NhatkyBan!A:AH,34,FALSE),"N/A")</f>
        <v>N/A</v>
      </c>
      <c r="E270" s="6" t="s">
        <v>461</v>
      </c>
      <c r="F270" s="6"/>
      <c r="G270" s="6">
        <v>270000</v>
      </c>
      <c r="H270" s="6" t="s">
        <v>498</v>
      </c>
      <c r="I270" s="6"/>
      <c r="K270" s="33" t="str">
        <f ca="1">IF(AND(INDEX(Table25[#All],MATCH(A270,Table25[[#All],[Mã SP]],0),DAY(TODAY())+2)=0,INDEX(Table25[#All],MATCH(A270,Table25[[#All],[Mã SP]],0),DAY(TODAY())+1)&gt;0),"x","")</f>
        <v>x</v>
      </c>
      <c r="L270" s="33" t="str">
        <f ca="1">IF(AND(INDEX(Table25[#All],MATCH(A270,Table25[[#All],[Mã SP]],0),DAY(TODAY())+2)&gt;0,INDEX(Table25[#All],MATCH(A270,Table25[[#All],[Mã SP]],0),DAY(TODAY())+1)&lt;=0),"x","")</f>
        <v/>
      </c>
      <c r="M270" s="33" t="str">
        <f t="shared" si="10"/>
        <v/>
      </c>
    </row>
    <row r="271" spans="1:13" ht="12.75" customHeight="1">
      <c r="A271" s="20" t="s">
        <v>401</v>
      </c>
      <c r="B271" s="6" t="s">
        <v>449</v>
      </c>
      <c r="C271" s="6">
        <v>300000</v>
      </c>
      <c r="D271" s="26" t="str">
        <f>IF(H271&lt;&gt;"x",VLOOKUP($A271,NhatkyNhap!A:AH,34,FALSE)-VLOOKUP($A271,NhatkyBan!A:AH,34,FALSE),"N/A")</f>
        <v>N/A</v>
      </c>
      <c r="E271" s="6" t="s">
        <v>461</v>
      </c>
      <c r="F271" s="6"/>
      <c r="G271" s="6">
        <v>300000</v>
      </c>
      <c r="H271" s="6" t="s">
        <v>498</v>
      </c>
      <c r="I271" s="6"/>
      <c r="K271" s="33" t="str">
        <f ca="1">IF(AND(INDEX(Table25[#All],MATCH(A271,Table25[[#All],[Mã SP]],0),DAY(TODAY())+2)=0,INDEX(Table25[#All],MATCH(A271,Table25[[#All],[Mã SP]],0),DAY(TODAY())+1)&gt;0),"x","")</f>
        <v>x</v>
      </c>
      <c r="L271" s="33" t="str">
        <f ca="1">IF(AND(INDEX(Table25[#All],MATCH(A271,Table25[[#All],[Mã SP]],0),DAY(TODAY())+2)&gt;0,INDEX(Table25[#All],MATCH(A271,Table25[[#All],[Mã SP]],0),DAY(TODAY())+1)&lt;=0),"x","")</f>
        <v/>
      </c>
      <c r="M271" s="33" t="str">
        <f t="shared" si="10"/>
        <v/>
      </c>
    </row>
    <row r="272" spans="1:13" ht="12.75" customHeight="1">
      <c r="A272" s="20" t="s">
        <v>402</v>
      </c>
      <c r="B272" s="6" t="s">
        <v>450</v>
      </c>
      <c r="C272" s="6">
        <v>700000</v>
      </c>
      <c r="D272" s="26" t="str">
        <f>IF(H272&lt;&gt;"x",VLOOKUP($A272,NhatkyNhap!A:AH,34,FALSE)-VLOOKUP($A272,NhatkyBan!A:AH,34,FALSE),"N/A")</f>
        <v>N/A</v>
      </c>
      <c r="E272" s="6" t="s">
        <v>461</v>
      </c>
      <c r="F272" s="6"/>
      <c r="G272" s="6">
        <v>700000</v>
      </c>
      <c r="H272" s="6" t="s">
        <v>498</v>
      </c>
      <c r="I272" s="6"/>
      <c r="K272" s="33" t="str">
        <f ca="1">IF(AND(INDEX(Table25[#All],MATCH(A272,Table25[[#All],[Mã SP]],0),DAY(TODAY())+2)=0,INDEX(Table25[#All],MATCH(A272,Table25[[#All],[Mã SP]],0),DAY(TODAY())+1)&gt;0),"x","")</f>
        <v>x</v>
      </c>
      <c r="L272" s="33" t="str">
        <f ca="1">IF(AND(INDEX(Table25[#All],MATCH(A272,Table25[[#All],[Mã SP]],0),DAY(TODAY())+2)&gt;0,INDEX(Table25[#All],MATCH(A272,Table25[[#All],[Mã SP]],0),DAY(TODAY())+1)&lt;=0),"x","")</f>
        <v/>
      </c>
      <c r="M272" s="33" t="str">
        <f t="shared" si="10"/>
        <v/>
      </c>
    </row>
    <row r="273" spans="1:13" ht="12.75" customHeight="1">
      <c r="A273" s="20" t="s">
        <v>403</v>
      </c>
      <c r="B273" s="6" t="s">
        <v>451</v>
      </c>
      <c r="C273" s="6">
        <v>180000</v>
      </c>
      <c r="D273" s="26" t="str">
        <f>IF(H273&lt;&gt;"x",VLOOKUP($A273,NhatkyNhap!A:AH,34,FALSE)-VLOOKUP($A273,NhatkyBan!A:AH,34,FALSE),"N/A")</f>
        <v>N/A</v>
      </c>
      <c r="E273" s="6" t="s">
        <v>461</v>
      </c>
      <c r="F273" s="6"/>
      <c r="G273" s="6">
        <v>180000</v>
      </c>
      <c r="H273" s="6" t="s">
        <v>498</v>
      </c>
      <c r="I273" s="6"/>
      <c r="K273" s="33" t="str">
        <f ca="1">IF(AND(INDEX(Table25[#All],MATCH(A273,Table25[[#All],[Mã SP]],0),DAY(TODAY())+2)=0,INDEX(Table25[#All],MATCH(A273,Table25[[#All],[Mã SP]],0),DAY(TODAY())+1)&gt;0),"x","")</f>
        <v>x</v>
      </c>
      <c r="L273" s="33" t="str">
        <f ca="1">IF(AND(INDEX(Table25[#All],MATCH(A273,Table25[[#All],[Mã SP]],0),DAY(TODAY())+2)&gt;0,INDEX(Table25[#All],MATCH(A273,Table25[[#All],[Mã SP]],0),DAY(TODAY())+1)&lt;=0),"x","")</f>
        <v/>
      </c>
      <c r="M273" s="33" t="str">
        <f t="shared" si="10"/>
        <v/>
      </c>
    </row>
    <row r="274" spans="1:13" ht="12.75" customHeight="1">
      <c r="A274" s="20" t="s">
        <v>404</v>
      </c>
      <c r="B274" s="6" t="s">
        <v>452</v>
      </c>
      <c r="C274" s="6">
        <v>175000</v>
      </c>
      <c r="D274" s="26" t="str">
        <f>IF(H274&lt;&gt;"x",VLOOKUP($A274,NhatkyNhap!A:AH,34,FALSE)-VLOOKUP($A274,NhatkyBan!A:AH,34,FALSE),"N/A")</f>
        <v>N/A</v>
      </c>
      <c r="E274" s="6" t="s">
        <v>461</v>
      </c>
      <c r="F274" s="6"/>
      <c r="G274" s="6">
        <v>175000</v>
      </c>
      <c r="H274" s="6" t="s">
        <v>498</v>
      </c>
      <c r="I274" s="6"/>
      <c r="K274" s="33" t="str">
        <f ca="1">IF(AND(INDEX(Table25[#All],MATCH(A274,Table25[[#All],[Mã SP]],0),DAY(TODAY())+2)=0,INDEX(Table25[#All],MATCH(A274,Table25[[#All],[Mã SP]],0),DAY(TODAY())+1)&gt;0),"x","")</f>
        <v>x</v>
      </c>
      <c r="L274" s="33" t="str">
        <f ca="1">IF(AND(INDEX(Table25[#All],MATCH(A274,Table25[[#All],[Mã SP]],0),DAY(TODAY())+2)&gt;0,INDEX(Table25[#All],MATCH(A274,Table25[[#All],[Mã SP]],0),DAY(TODAY())+1)&lt;=0),"x","")</f>
        <v/>
      </c>
      <c r="M274" s="33" t="str">
        <f t="shared" si="10"/>
        <v/>
      </c>
    </row>
    <row r="275" spans="1:13" ht="12.75" customHeight="1">
      <c r="A275" s="20" t="s">
        <v>405</v>
      </c>
      <c r="B275" s="6" t="s">
        <v>453</v>
      </c>
      <c r="C275" s="6">
        <v>160000</v>
      </c>
      <c r="D275" s="26" t="str">
        <f>IF(H275&lt;&gt;"x",VLOOKUP($A275,NhatkyNhap!A:AH,34,FALSE)-VLOOKUP($A275,NhatkyBan!A:AH,34,FALSE),"N/A")</f>
        <v>N/A</v>
      </c>
      <c r="E275" s="6" t="s">
        <v>461</v>
      </c>
      <c r="F275" s="6"/>
      <c r="G275" s="6">
        <v>160000</v>
      </c>
      <c r="H275" s="6" t="s">
        <v>498</v>
      </c>
      <c r="I275" s="6"/>
      <c r="K275" s="33" t="str">
        <f ca="1">IF(AND(INDEX(Table25[#All],MATCH(A275,Table25[[#All],[Mã SP]],0),DAY(TODAY())+2)=0,INDEX(Table25[#All],MATCH(A275,Table25[[#All],[Mã SP]],0),DAY(TODAY())+1)&gt;0),"x","")</f>
        <v>x</v>
      </c>
      <c r="L275" s="33" t="str">
        <f ca="1">IF(AND(INDEX(Table25[#All],MATCH(A275,Table25[[#All],[Mã SP]],0),DAY(TODAY())+2)&gt;0,INDEX(Table25[#All],MATCH(A275,Table25[[#All],[Mã SP]],0),DAY(TODAY())+1)&lt;=0),"x","")</f>
        <v/>
      </c>
      <c r="M275" s="33" t="str">
        <f t="shared" si="10"/>
        <v/>
      </c>
    </row>
    <row r="276" spans="1:13" ht="12.75" customHeight="1">
      <c r="A276" s="20" t="s">
        <v>561</v>
      </c>
      <c r="B276" s="6" t="s">
        <v>562</v>
      </c>
      <c r="C276" s="6">
        <v>150000</v>
      </c>
      <c r="D276" s="6">
        <f>IF(H276&lt;&gt;"x",VLOOKUP($A276,NhatkyNhap!A:AH,34,FALSE)-VLOOKUP($A276,NhatkyBan!A:AH,34,FALSE),"N/A")</f>
        <v>6</v>
      </c>
      <c r="E276" s="6" t="s">
        <v>563</v>
      </c>
      <c r="F276" s="6"/>
      <c r="G276" s="6">
        <v>150000</v>
      </c>
      <c r="H276" s="6"/>
      <c r="I276" s="6"/>
      <c r="K276" s="33" t="str">
        <f ca="1">IF(AND(INDEX(Table25[#All],MATCH(A276,Table25[[#All],[Mã SP]],0),DAY(TODAY())+2)=0,INDEX(Table25[#All],MATCH(A276,Table25[[#All],[Mã SP]],0),DAY(TODAY())+1)&gt;0),"x","")</f>
        <v/>
      </c>
      <c r="L276" s="33" t="str">
        <f ca="1">IF(AND(INDEX(Table25[#All],MATCH(A276,Table25[[#All],[Mã SP]],0),DAY(TODAY())+2)&gt;0,INDEX(Table25[#All],MATCH(A276,Table25[[#All],[Mã SP]],0),DAY(TODAY())+1)&lt;=0),"x","")</f>
        <v/>
      </c>
      <c r="M276" s="33" t="str">
        <f t="shared" si="10"/>
        <v/>
      </c>
    </row>
    <row r="277" spans="1:13" ht="12.75" customHeight="1">
      <c r="A277" s="20" t="s">
        <v>564</v>
      </c>
      <c r="B277" s="6" t="s">
        <v>565</v>
      </c>
      <c r="C277" s="6">
        <v>100000</v>
      </c>
      <c r="D277" s="6">
        <f>IF(H277&lt;&gt;"x",VLOOKUP($A277,NhatkyNhap!A:AH,34,FALSE)-VLOOKUP($A277,NhatkyBan!A:AH,34,FALSE),"N/A")</f>
        <v>3</v>
      </c>
      <c r="E277" s="6" t="s">
        <v>563</v>
      </c>
      <c r="F277" s="6"/>
      <c r="G277" s="6">
        <v>100000</v>
      </c>
      <c r="H277" s="6"/>
      <c r="I277" s="6"/>
      <c r="K277" s="33" t="str">
        <f ca="1">IF(AND(INDEX(Table25[#All],MATCH(A277,Table25[[#All],[Mã SP]],0),DAY(TODAY())+2)=0,INDEX(Table25[#All],MATCH(A277,Table25[[#All],[Mã SP]],0),DAY(TODAY())+1)&gt;0),"x","")</f>
        <v/>
      </c>
      <c r="L277" s="33" t="str">
        <f ca="1">IF(AND(INDEX(Table25[#All],MATCH(A277,Table25[[#All],[Mã SP]],0),DAY(TODAY())+2)&gt;0,INDEX(Table25[#All],MATCH(A277,Table25[[#All],[Mã SP]],0),DAY(TODAY())+1)&lt;=0),"x","")</f>
        <v/>
      </c>
      <c r="M277" s="33" t="str">
        <f t="shared" si="10"/>
        <v/>
      </c>
    </row>
  </sheetData>
  <conditionalFormatting sqref="D1:D1048576">
    <cfRule type="cellIs" dxfId="5" priority="29" operator="lessThan">
      <formula>0</formula>
    </cfRule>
    <cfRule type="cellIs" dxfId="4" priority="30" operator="greaterThan">
      <formula>10</formula>
    </cfRule>
    <cfRule type="cellIs" dxfId="3" priority="31" operator="equal">
      <formula>0</formula>
    </cfRule>
    <cfRule type="cellIs" dxfId="2" priority="32" operator="between">
      <formula>1</formula>
      <formula>10</formula>
    </cfRule>
  </conditionalFormatting>
  <conditionalFormatting sqref="C2">
    <cfRule type="cellIs" priority="24" operator="notEqual">
      <formula>$G2</formula>
    </cfRule>
  </conditionalFormatting>
  <conditionalFormatting sqref="M1:M100 K250:M1048576 M106:M249 K1:L249">
    <cfRule type="cellIs" dxfId="1" priority="23" operator="equal">
      <formula>"x"</formula>
    </cfRule>
  </conditionalFormatting>
  <conditionalFormatting sqref="M101:M105">
    <cfRule type="cellIs" dxfId="0" priority="3" operator="equal">
      <formula>"x"</formula>
    </cfRule>
  </conditionalFormatting>
  <pageMargins left="0.7" right="0.7" top="0.75" bottom="0.75" header="0.3" footer="0.3"/>
  <customProperties>
    <customPr name="DVSECTION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V158"/>
  <sheetViews>
    <sheetView workbookViewId="0">
      <selection activeCell="GD32" sqref="GD32"/>
    </sheetView>
  </sheetViews>
  <sheetFormatPr defaultRowHeight="12.75"/>
  <sheetData>
    <row r="1" spans="1:256">
      <c r="A1" t="e">
        <f>IF(#REF!,"AAAAAHO7XQA=",0)</f>
        <v>#REF!</v>
      </c>
      <c r="B1" t="e">
        <f>AND(#REF!,"AAAAAHO7XQE=")</f>
        <v>#REF!</v>
      </c>
      <c r="C1" t="e">
        <f>AND(#REF!,"AAAAAHO7XQI=")</f>
        <v>#REF!</v>
      </c>
      <c r="D1" t="e">
        <f>AND(#REF!,"AAAAAHO7XQM=")</f>
        <v>#REF!</v>
      </c>
      <c r="E1" t="e">
        <f>AND(#REF!,"AAAAAHO7XQQ=")</f>
        <v>#REF!</v>
      </c>
      <c r="F1" t="e">
        <f>AND(#REF!,"AAAAAHO7XQU=")</f>
        <v>#REF!</v>
      </c>
      <c r="G1" t="e">
        <f>AND(#REF!,"AAAAAHO7XQY=")</f>
        <v>#REF!</v>
      </c>
      <c r="H1" t="e">
        <f>AND(#REF!,"AAAAAHO7XQc=")</f>
        <v>#REF!</v>
      </c>
      <c r="I1" t="e">
        <f>AND(#REF!,"AAAAAHO7XQg=")</f>
        <v>#REF!</v>
      </c>
      <c r="J1" t="e">
        <f>AND(#REF!,"AAAAAHO7XQk=")</f>
        <v>#REF!</v>
      </c>
      <c r="K1" t="e">
        <f>AND(#REF!,"AAAAAHO7XQo=")</f>
        <v>#REF!</v>
      </c>
      <c r="L1" t="e">
        <f>AND(#REF!,"AAAAAHO7XQs=")</f>
        <v>#REF!</v>
      </c>
      <c r="M1" t="e">
        <f>AND(#REF!,"AAAAAHO7XQw=")</f>
        <v>#REF!</v>
      </c>
      <c r="N1" t="e">
        <f>AND(#REF!,"AAAAAHO7XQ0=")</f>
        <v>#REF!</v>
      </c>
      <c r="O1" t="e">
        <f>AND(#REF!,"AAAAAHO7XQ4=")</f>
        <v>#REF!</v>
      </c>
      <c r="P1" t="e">
        <f>AND(#REF!,"AAAAAHO7XQ8=")</f>
        <v>#REF!</v>
      </c>
      <c r="Q1" t="e">
        <f>AND(#REF!,"AAAAAHO7XRA=")</f>
        <v>#REF!</v>
      </c>
      <c r="R1" t="e">
        <f>AND(#REF!,"AAAAAHO7XRE=")</f>
        <v>#REF!</v>
      </c>
      <c r="S1" t="e">
        <f>IF(#REF!,"AAAAAHO7XRI=",0)</f>
        <v>#REF!</v>
      </c>
      <c r="T1" t="e">
        <f>AND(#REF!,"AAAAAHO7XRM=")</f>
        <v>#REF!</v>
      </c>
      <c r="U1" t="e">
        <f>AND(#REF!,"AAAAAHO7XRQ=")</f>
        <v>#REF!</v>
      </c>
      <c r="V1" t="e">
        <f>AND(#REF!,"AAAAAHO7XRU=")</f>
        <v>#REF!</v>
      </c>
      <c r="W1" t="e">
        <f>AND(#REF!,"AAAAAHO7XRY=")</f>
        <v>#REF!</v>
      </c>
      <c r="X1" t="e">
        <f>AND(#REF!,"AAAAAHO7XRc=")</f>
        <v>#REF!</v>
      </c>
      <c r="Y1" t="e">
        <f>AND(#REF!,"AAAAAHO7XRg=")</f>
        <v>#REF!</v>
      </c>
      <c r="Z1" t="e">
        <f>AND(#REF!,"AAAAAHO7XRk=")</f>
        <v>#REF!</v>
      </c>
      <c r="AA1" t="e">
        <f>AND(#REF!,"AAAAAHO7XRo=")</f>
        <v>#REF!</v>
      </c>
      <c r="AB1" t="e">
        <f>AND(#REF!,"AAAAAHO7XRs=")</f>
        <v>#REF!</v>
      </c>
      <c r="AC1" t="e">
        <f>AND(#REF!,"AAAAAHO7XRw=")</f>
        <v>#REF!</v>
      </c>
      <c r="AD1" t="e">
        <f>AND(#REF!,"AAAAAHO7XR0=")</f>
        <v>#REF!</v>
      </c>
      <c r="AE1" t="e">
        <f>AND(#REF!,"AAAAAHO7XR4=")</f>
        <v>#REF!</v>
      </c>
      <c r="AF1" t="e">
        <f>AND(#REF!,"AAAAAHO7XR8=")</f>
        <v>#REF!</v>
      </c>
      <c r="AG1" t="e">
        <f>AND(#REF!,"AAAAAHO7XSA=")</f>
        <v>#REF!</v>
      </c>
      <c r="AH1" t="e">
        <f>AND(#REF!,"AAAAAHO7XSE=")</f>
        <v>#REF!</v>
      </c>
      <c r="AI1" t="e">
        <f>AND(#REF!,"AAAAAHO7XSI=")</f>
        <v>#REF!</v>
      </c>
      <c r="AJ1" t="e">
        <f>AND(#REF!,"AAAAAHO7XSM=")</f>
        <v>#REF!</v>
      </c>
      <c r="AK1" t="e">
        <f>IF(#REF!,"AAAAAHO7XSQ=",0)</f>
        <v>#REF!</v>
      </c>
      <c r="AL1" t="e">
        <f>AND(#REF!,"AAAAAHO7XSU=")</f>
        <v>#REF!</v>
      </c>
      <c r="AM1" t="e">
        <f>AND(#REF!,"AAAAAHO7XSY=")</f>
        <v>#REF!</v>
      </c>
      <c r="AN1" t="e">
        <f>AND(#REF!,"AAAAAHO7XSc=")</f>
        <v>#REF!</v>
      </c>
      <c r="AO1" t="e">
        <f>AND(#REF!,"AAAAAHO7XSg=")</f>
        <v>#REF!</v>
      </c>
      <c r="AP1" t="e">
        <f>AND(#REF!,"AAAAAHO7XSk=")</f>
        <v>#REF!</v>
      </c>
      <c r="AQ1" t="e">
        <f>AND(#REF!,"AAAAAHO7XSo=")</f>
        <v>#REF!</v>
      </c>
      <c r="AR1" t="e">
        <f>AND(#REF!,"AAAAAHO7XSs=")</f>
        <v>#REF!</v>
      </c>
      <c r="AS1" t="e">
        <f>AND(#REF!,"AAAAAHO7XSw=")</f>
        <v>#REF!</v>
      </c>
      <c r="AT1" t="e">
        <f>AND(#REF!,"AAAAAHO7XS0=")</f>
        <v>#REF!</v>
      </c>
      <c r="AU1" t="e">
        <f>AND(#REF!,"AAAAAHO7XS4=")</f>
        <v>#REF!</v>
      </c>
      <c r="AV1" t="e">
        <f>AND(#REF!,"AAAAAHO7XS8=")</f>
        <v>#REF!</v>
      </c>
      <c r="AW1" t="e">
        <f>AND(#REF!,"AAAAAHO7XTA=")</f>
        <v>#REF!</v>
      </c>
      <c r="AX1" t="e">
        <f>AND(#REF!,"AAAAAHO7XTE=")</f>
        <v>#REF!</v>
      </c>
      <c r="AY1" t="e">
        <f>AND(#REF!,"AAAAAHO7XTI=")</f>
        <v>#REF!</v>
      </c>
      <c r="AZ1" t="e">
        <f>AND(#REF!,"AAAAAHO7XTM=")</f>
        <v>#REF!</v>
      </c>
      <c r="BA1" t="e">
        <f>AND(#REF!,"AAAAAHO7XTQ=")</f>
        <v>#REF!</v>
      </c>
      <c r="BB1" t="e">
        <f>AND(#REF!,"AAAAAHO7XTU=")</f>
        <v>#REF!</v>
      </c>
      <c r="BC1" t="e">
        <f>IF(#REF!,"AAAAAHO7XTY=",0)</f>
        <v>#REF!</v>
      </c>
      <c r="BD1" t="e">
        <f>AND(#REF!,"AAAAAHO7XTc=")</f>
        <v>#REF!</v>
      </c>
      <c r="BE1" t="e">
        <f>AND(#REF!,"AAAAAHO7XTg=")</f>
        <v>#REF!</v>
      </c>
      <c r="BF1" t="e">
        <f>AND(#REF!,"AAAAAHO7XTk=")</f>
        <v>#REF!</v>
      </c>
      <c r="BG1" t="e">
        <f>AND(#REF!,"AAAAAHO7XTo=")</f>
        <v>#REF!</v>
      </c>
      <c r="BH1" t="e">
        <f>AND(#REF!,"AAAAAHO7XTs=")</f>
        <v>#REF!</v>
      </c>
      <c r="BI1" t="e">
        <f>AND(#REF!,"AAAAAHO7XTw=")</f>
        <v>#REF!</v>
      </c>
      <c r="BJ1" t="e">
        <f>AND(#REF!,"AAAAAHO7XT0=")</f>
        <v>#REF!</v>
      </c>
      <c r="BK1" t="e">
        <f>AND(#REF!,"AAAAAHO7XT4=")</f>
        <v>#REF!</v>
      </c>
      <c r="BL1" t="e">
        <f>AND(#REF!,"AAAAAHO7XT8=")</f>
        <v>#REF!</v>
      </c>
      <c r="BM1" t="e">
        <f>AND(#REF!,"AAAAAHO7XUA=")</f>
        <v>#REF!</v>
      </c>
      <c r="BN1" t="e">
        <f>AND(#REF!,"AAAAAHO7XUE=")</f>
        <v>#REF!</v>
      </c>
      <c r="BO1" t="e">
        <f>AND(#REF!,"AAAAAHO7XUI=")</f>
        <v>#REF!</v>
      </c>
      <c r="BP1" t="e">
        <f>AND(#REF!,"AAAAAHO7XUM=")</f>
        <v>#REF!</v>
      </c>
      <c r="BQ1" t="e">
        <f>AND(#REF!,"AAAAAHO7XUQ=")</f>
        <v>#REF!</v>
      </c>
      <c r="BR1" t="e">
        <f>AND(#REF!,"AAAAAHO7XUU=")</f>
        <v>#REF!</v>
      </c>
      <c r="BS1" t="e">
        <f>AND(#REF!,"AAAAAHO7XUY=")</f>
        <v>#REF!</v>
      </c>
      <c r="BT1" t="e">
        <f>AND(#REF!,"AAAAAHO7XUc=")</f>
        <v>#REF!</v>
      </c>
      <c r="BU1" t="e">
        <f>IF(#REF!,"AAAAAHO7XUg=",0)</f>
        <v>#REF!</v>
      </c>
      <c r="BV1" t="e">
        <f>AND(#REF!,"AAAAAHO7XUk=")</f>
        <v>#REF!</v>
      </c>
      <c r="BW1" t="e">
        <f>AND(#REF!,"AAAAAHO7XUo=")</f>
        <v>#REF!</v>
      </c>
      <c r="BX1" t="e">
        <f>AND(#REF!,"AAAAAHO7XUs=")</f>
        <v>#REF!</v>
      </c>
      <c r="BY1" t="e">
        <f>AND(#REF!,"AAAAAHO7XUw=")</f>
        <v>#REF!</v>
      </c>
      <c r="BZ1" t="e">
        <f>AND(#REF!,"AAAAAHO7XU0=")</f>
        <v>#REF!</v>
      </c>
      <c r="CA1" t="e">
        <f>AND(#REF!,"AAAAAHO7XU4=")</f>
        <v>#REF!</v>
      </c>
      <c r="CB1" t="e">
        <f>AND(#REF!,"AAAAAHO7XU8=")</f>
        <v>#REF!</v>
      </c>
      <c r="CC1" t="e">
        <f>AND(#REF!,"AAAAAHO7XVA=")</f>
        <v>#REF!</v>
      </c>
      <c r="CD1" t="e">
        <f>AND(#REF!,"AAAAAHO7XVE=")</f>
        <v>#REF!</v>
      </c>
      <c r="CE1" t="e">
        <f>AND(#REF!,"AAAAAHO7XVI=")</f>
        <v>#REF!</v>
      </c>
      <c r="CF1" t="e">
        <f>AND(#REF!,"AAAAAHO7XVM=")</f>
        <v>#REF!</v>
      </c>
      <c r="CG1" t="e">
        <f>AND(#REF!,"AAAAAHO7XVQ=")</f>
        <v>#REF!</v>
      </c>
      <c r="CH1" t="e">
        <f>AND(#REF!,"AAAAAHO7XVU=")</f>
        <v>#REF!</v>
      </c>
      <c r="CI1" t="e">
        <f>AND(#REF!,"AAAAAHO7XVY=")</f>
        <v>#REF!</v>
      </c>
      <c r="CJ1" t="e">
        <f>AND(#REF!,"AAAAAHO7XVc=")</f>
        <v>#REF!</v>
      </c>
      <c r="CK1" t="e">
        <f>AND(#REF!,"AAAAAHO7XVg=")</f>
        <v>#REF!</v>
      </c>
      <c r="CL1" t="e">
        <f>AND(#REF!,"AAAAAHO7XVk=")</f>
        <v>#REF!</v>
      </c>
      <c r="CM1" t="e">
        <f>IF(#REF!,"AAAAAHO7XVo=",0)</f>
        <v>#REF!</v>
      </c>
      <c r="CN1" t="e">
        <f>AND(#REF!,"AAAAAHO7XVs=")</f>
        <v>#REF!</v>
      </c>
      <c r="CO1" t="e">
        <f>AND(#REF!,"AAAAAHO7XVw=")</f>
        <v>#REF!</v>
      </c>
      <c r="CP1" t="e">
        <f>AND(#REF!,"AAAAAHO7XV0=")</f>
        <v>#REF!</v>
      </c>
      <c r="CQ1" t="e">
        <f>AND(#REF!,"AAAAAHO7XV4=")</f>
        <v>#REF!</v>
      </c>
      <c r="CR1" t="e">
        <f>AND(#REF!,"AAAAAHO7XV8=")</f>
        <v>#REF!</v>
      </c>
      <c r="CS1" t="e">
        <f>AND(#REF!,"AAAAAHO7XWA=")</f>
        <v>#REF!</v>
      </c>
      <c r="CT1" t="e">
        <f>AND(#REF!,"AAAAAHO7XWE=")</f>
        <v>#REF!</v>
      </c>
      <c r="CU1" t="e">
        <f>AND(#REF!,"AAAAAHO7XWI=")</f>
        <v>#REF!</v>
      </c>
      <c r="CV1" t="e">
        <f>AND(#REF!,"AAAAAHO7XWM=")</f>
        <v>#REF!</v>
      </c>
      <c r="CW1" t="e">
        <f>AND(#REF!,"AAAAAHO7XWQ=")</f>
        <v>#REF!</v>
      </c>
      <c r="CX1" t="e">
        <f>AND(#REF!,"AAAAAHO7XWU=")</f>
        <v>#REF!</v>
      </c>
      <c r="CY1" t="e">
        <f>AND(#REF!,"AAAAAHO7XWY=")</f>
        <v>#REF!</v>
      </c>
      <c r="CZ1" t="e">
        <f>AND(#REF!,"AAAAAHO7XWc=")</f>
        <v>#REF!</v>
      </c>
      <c r="DA1" t="e">
        <f>AND(#REF!,"AAAAAHO7XWg=")</f>
        <v>#REF!</v>
      </c>
      <c r="DB1" t="e">
        <f>AND(#REF!,"AAAAAHO7XWk=")</f>
        <v>#REF!</v>
      </c>
      <c r="DC1" t="e">
        <f>AND(#REF!,"AAAAAHO7XWo=")</f>
        <v>#REF!</v>
      </c>
      <c r="DD1" t="e">
        <f>AND(#REF!,"AAAAAHO7XWs=")</f>
        <v>#REF!</v>
      </c>
      <c r="DE1" t="e">
        <f>IF(#REF!,"AAAAAHO7XWw=",0)</f>
        <v>#REF!</v>
      </c>
      <c r="DF1" t="e">
        <f>AND(#REF!,"AAAAAHO7XW0=")</f>
        <v>#REF!</v>
      </c>
      <c r="DG1" t="e">
        <f>AND(#REF!,"AAAAAHO7XW4=")</f>
        <v>#REF!</v>
      </c>
      <c r="DH1" t="e">
        <f>AND(#REF!,"AAAAAHO7XW8=")</f>
        <v>#REF!</v>
      </c>
      <c r="DI1" t="e">
        <f>AND(#REF!,"AAAAAHO7XXA=")</f>
        <v>#REF!</v>
      </c>
      <c r="DJ1" t="e">
        <f>AND(#REF!,"AAAAAHO7XXE=")</f>
        <v>#REF!</v>
      </c>
      <c r="DK1" t="e">
        <f>AND(#REF!,"AAAAAHO7XXI=")</f>
        <v>#REF!</v>
      </c>
      <c r="DL1" t="e">
        <f>AND(#REF!,"AAAAAHO7XXM=")</f>
        <v>#REF!</v>
      </c>
      <c r="DM1" t="e">
        <f>AND(#REF!,"AAAAAHO7XXQ=")</f>
        <v>#REF!</v>
      </c>
      <c r="DN1" t="e">
        <f>AND(#REF!,"AAAAAHO7XXU=")</f>
        <v>#REF!</v>
      </c>
      <c r="DO1" t="e">
        <f>AND(#REF!,"AAAAAHO7XXY=")</f>
        <v>#REF!</v>
      </c>
      <c r="DP1" t="e">
        <f>AND(#REF!,"AAAAAHO7XXc=")</f>
        <v>#REF!</v>
      </c>
      <c r="DQ1" t="e">
        <f>AND(#REF!,"AAAAAHO7XXg=")</f>
        <v>#REF!</v>
      </c>
      <c r="DR1" t="e">
        <f>AND(#REF!,"AAAAAHO7XXk=")</f>
        <v>#REF!</v>
      </c>
      <c r="DS1" t="e">
        <f>AND(#REF!,"AAAAAHO7XXo=")</f>
        <v>#REF!</v>
      </c>
      <c r="DT1" t="e">
        <f>AND(#REF!,"AAAAAHO7XXs=")</f>
        <v>#REF!</v>
      </c>
      <c r="DU1" t="e">
        <f>AND(#REF!,"AAAAAHO7XXw=")</f>
        <v>#REF!</v>
      </c>
      <c r="DV1" t="e">
        <f>AND(#REF!,"AAAAAHO7XX0=")</f>
        <v>#REF!</v>
      </c>
      <c r="DW1" t="e">
        <f>IF(#REF!,"AAAAAHO7XX4=",0)</f>
        <v>#REF!</v>
      </c>
      <c r="DX1" t="e">
        <f>AND(#REF!,"AAAAAHO7XX8=")</f>
        <v>#REF!</v>
      </c>
      <c r="DY1" t="e">
        <f>AND(#REF!,"AAAAAHO7XYA=")</f>
        <v>#REF!</v>
      </c>
      <c r="DZ1" t="e">
        <f>AND(#REF!,"AAAAAHO7XYE=")</f>
        <v>#REF!</v>
      </c>
      <c r="EA1" t="e">
        <f>AND(#REF!,"AAAAAHO7XYI=")</f>
        <v>#REF!</v>
      </c>
      <c r="EB1" t="e">
        <f>AND(#REF!,"AAAAAHO7XYM=")</f>
        <v>#REF!</v>
      </c>
      <c r="EC1" t="e">
        <f>AND(#REF!,"AAAAAHO7XYQ=")</f>
        <v>#REF!</v>
      </c>
      <c r="ED1" t="e">
        <f>AND(#REF!,"AAAAAHO7XYU=")</f>
        <v>#REF!</v>
      </c>
      <c r="EE1" t="e">
        <f>AND(#REF!,"AAAAAHO7XYY=")</f>
        <v>#REF!</v>
      </c>
      <c r="EF1" t="e">
        <f>AND(#REF!,"AAAAAHO7XYc=")</f>
        <v>#REF!</v>
      </c>
      <c r="EG1" t="e">
        <f>AND(#REF!,"AAAAAHO7XYg=")</f>
        <v>#REF!</v>
      </c>
      <c r="EH1" t="e">
        <f>AND(#REF!,"AAAAAHO7XYk=")</f>
        <v>#REF!</v>
      </c>
      <c r="EI1" t="e">
        <f>AND(#REF!,"AAAAAHO7XYo=")</f>
        <v>#REF!</v>
      </c>
      <c r="EJ1" t="e">
        <f>AND(#REF!,"AAAAAHO7XYs=")</f>
        <v>#REF!</v>
      </c>
      <c r="EK1" t="e">
        <f>AND(#REF!,"AAAAAHO7XYw=")</f>
        <v>#REF!</v>
      </c>
      <c r="EL1" t="e">
        <f>AND(#REF!,"AAAAAHO7XY0=")</f>
        <v>#REF!</v>
      </c>
      <c r="EM1" t="e">
        <f>AND(#REF!,"AAAAAHO7XY4=")</f>
        <v>#REF!</v>
      </c>
      <c r="EN1" t="e">
        <f>AND(#REF!,"AAAAAHO7XY8=")</f>
        <v>#REF!</v>
      </c>
      <c r="EO1" t="e">
        <f>IF(#REF!,"AAAAAHO7XZA=",0)</f>
        <v>#REF!</v>
      </c>
      <c r="EP1" t="e">
        <f>AND(#REF!,"AAAAAHO7XZE=")</f>
        <v>#REF!</v>
      </c>
      <c r="EQ1" t="e">
        <f>AND(#REF!,"AAAAAHO7XZI=")</f>
        <v>#REF!</v>
      </c>
      <c r="ER1" t="e">
        <f>AND(#REF!,"AAAAAHO7XZM=")</f>
        <v>#REF!</v>
      </c>
      <c r="ES1" t="e">
        <f>AND(#REF!,"AAAAAHO7XZQ=")</f>
        <v>#REF!</v>
      </c>
      <c r="ET1" t="e">
        <f>AND(#REF!,"AAAAAHO7XZU=")</f>
        <v>#REF!</v>
      </c>
      <c r="EU1" t="e">
        <f>AND(#REF!,"AAAAAHO7XZY=")</f>
        <v>#REF!</v>
      </c>
      <c r="EV1" t="e">
        <f>AND(#REF!,"AAAAAHO7XZc=")</f>
        <v>#REF!</v>
      </c>
      <c r="EW1" t="e">
        <f>AND(#REF!,"AAAAAHO7XZg=")</f>
        <v>#REF!</v>
      </c>
      <c r="EX1" t="e">
        <f>AND(#REF!,"AAAAAHO7XZk=")</f>
        <v>#REF!</v>
      </c>
      <c r="EY1" t="e">
        <f>AND(#REF!,"AAAAAHO7XZo=")</f>
        <v>#REF!</v>
      </c>
      <c r="EZ1" t="e">
        <f>AND(#REF!,"AAAAAHO7XZs=")</f>
        <v>#REF!</v>
      </c>
      <c r="FA1" t="e">
        <f>AND(#REF!,"AAAAAHO7XZw=")</f>
        <v>#REF!</v>
      </c>
      <c r="FB1" t="e">
        <f>AND(#REF!,"AAAAAHO7XZ0=")</f>
        <v>#REF!</v>
      </c>
      <c r="FC1" t="e">
        <f>AND(#REF!,"AAAAAHO7XZ4=")</f>
        <v>#REF!</v>
      </c>
      <c r="FD1" t="e">
        <f>AND(#REF!,"AAAAAHO7XZ8=")</f>
        <v>#REF!</v>
      </c>
      <c r="FE1" t="e">
        <f>AND(#REF!,"AAAAAHO7XaA=")</f>
        <v>#REF!</v>
      </c>
      <c r="FF1" t="e">
        <f>AND(#REF!,"AAAAAHO7XaE=")</f>
        <v>#REF!</v>
      </c>
      <c r="FG1" t="e">
        <f>IF(#REF!,"AAAAAHO7XaI=",0)</f>
        <v>#REF!</v>
      </c>
      <c r="FH1" t="e">
        <f>AND(#REF!,"AAAAAHO7XaM=")</f>
        <v>#REF!</v>
      </c>
      <c r="FI1" t="e">
        <f>AND(#REF!,"AAAAAHO7XaQ=")</f>
        <v>#REF!</v>
      </c>
      <c r="FJ1" t="e">
        <f>AND(#REF!,"AAAAAHO7XaU=")</f>
        <v>#REF!</v>
      </c>
      <c r="FK1" t="e">
        <f>AND(#REF!,"AAAAAHO7XaY=")</f>
        <v>#REF!</v>
      </c>
      <c r="FL1" t="e">
        <f>AND(#REF!,"AAAAAHO7Xac=")</f>
        <v>#REF!</v>
      </c>
      <c r="FM1" t="e">
        <f>AND(#REF!,"AAAAAHO7Xag=")</f>
        <v>#REF!</v>
      </c>
      <c r="FN1" t="e">
        <f>AND(#REF!,"AAAAAHO7Xak=")</f>
        <v>#REF!</v>
      </c>
      <c r="FO1" t="e">
        <f>AND(#REF!,"AAAAAHO7Xao=")</f>
        <v>#REF!</v>
      </c>
      <c r="FP1" t="e">
        <f>AND(#REF!,"AAAAAHO7Xas=")</f>
        <v>#REF!</v>
      </c>
      <c r="FQ1" t="e">
        <f>AND(#REF!,"AAAAAHO7Xaw=")</f>
        <v>#REF!</v>
      </c>
      <c r="FR1" t="e">
        <f>AND(#REF!,"AAAAAHO7Xa0=")</f>
        <v>#REF!</v>
      </c>
      <c r="FS1" t="e">
        <f>AND(#REF!,"AAAAAHO7Xa4=")</f>
        <v>#REF!</v>
      </c>
      <c r="FT1" t="e">
        <f>AND(#REF!,"AAAAAHO7Xa8=")</f>
        <v>#REF!</v>
      </c>
      <c r="FU1" t="e">
        <f>AND(#REF!,"AAAAAHO7XbA=")</f>
        <v>#REF!</v>
      </c>
      <c r="FV1" t="e">
        <f>AND(#REF!,"AAAAAHO7XbE=")</f>
        <v>#REF!</v>
      </c>
      <c r="FW1" t="e">
        <f>AND(#REF!,"AAAAAHO7XbI=")</f>
        <v>#REF!</v>
      </c>
      <c r="FX1" t="e">
        <f>AND(#REF!,"AAAAAHO7XbM=")</f>
        <v>#REF!</v>
      </c>
      <c r="FY1" t="e">
        <f>IF(#REF!,"AAAAAHO7XbQ=",0)</f>
        <v>#REF!</v>
      </c>
      <c r="FZ1" t="e">
        <f>AND(#REF!,"AAAAAHO7XbU=")</f>
        <v>#REF!</v>
      </c>
      <c r="GA1" t="e">
        <f>AND(#REF!,"AAAAAHO7XbY=")</f>
        <v>#REF!</v>
      </c>
      <c r="GB1" t="e">
        <f>AND(#REF!,"AAAAAHO7Xbc=")</f>
        <v>#REF!</v>
      </c>
      <c r="GC1" t="e">
        <f>AND(#REF!,"AAAAAHO7Xbg=")</f>
        <v>#REF!</v>
      </c>
      <c r="GD1" t="e">
        <f>AND(#REF!,"AAAAAHO7Xbk=")</f>
        <v>#REF!</v>
      </c>
      <c r="GE1" t="e">
        <f>AND(#REF!,"AAAAAHO7Xbo=")</f>
        <v>#REF!</v>
      </c>
      <c r="GF1" t="e">
        <f>AND(#REF!,"AAAAAHO7Xbs=")</f>
        <v>#REF!</v>
      </c>
      <c r="GG1" t="e">
        <f>AND(#REF!,"AAAAAHO7Xbw=")</f>
        <v>#REF!</v>
      </c>
      <c r="GH1" t="e">
        <f>AND(#REF!,"AAAAAHO7Xb0=")</f>
        <v>#REF!</v>
      </c>
      <c r="GI1" t="e">
        <f>AND(#REF!,"AAAAAHO7Xb4=")</f>
        <v>#REF!</v>
      </c>
      <c r="GJ1" t="e">
        <f>AND(#REF!,"AAAAAHO7Xb8=")</f>
        <v>#REF!</v>
      </c>
      <c r="GK1" t="e">
        <f>AND(#REF!,"AAAAAHO7XcA=")</f>
        <v>#REF!</v>
      </c>
      <c r="GL1" t="e">
        <f>AND(#REF!,"AAAAAHO7XcE=")</f>
        <v>#REF!</v>
      </c>
      <c r="GM1" t="e">
        <f>AND(#REF!,"AAAAAHO7XcI=")</f>
        <v>#REF!</v>
      </c>
      <c r="GN1" t="e">
        <f>AND(#REF!,"AAAAAHO7XcM=")</f>
        <v>#REF!</v>
      </c>
      <c r="GO1" t="e">
        <f>AND(#REF!,"AAAAAHO7XcQ=")</f>
        <v>#REF!</v>
      </c>
      <c r="GP1" t="e">
        <f>AND(#REF!,"AAAAAHO7XcU=")</f>
        <v>#REF!</v>
      </c>
      <c r="GQ1" t="e">
        <f>IF(#REF!,"AAAAAHO7XcY=",0)</f>
        <v>#REF!</v>
      </c>
      <c r="GR1" t="e">
        <f>AND(#REF!,"AAAAAHO7Xcc=")</f>
        <v>#REF!</v>
      </c>
      <c r="GS1" t="e">
        <f>AND(#REF!,"AAAAAHO7Xcg=")</f>
        <v>#REF!</v>
      </c>
      <c r="GT1" t="e">
        <f>AND(#REF!,"AAAAAHO7Xck=")</f>
        <v>#REF!</v>
      </c>
      <c r="GU1" t="e">
        <f>AND(#REF!,"AAAAAHO7Xco=")</f>
        <v>#REF!</v>
      </c>
      <c r="GV1" t="e">
        <f>AND(#REF!,"AAAAAHO7Xcs=")</f>
        <v>#REF!</v>
      </c>
      <c r="GW1" t="e">
        <f>AND(#REF!,"AAAAAHO7Xcw=")</f>
        <v>#REF!</v>
      </c>
      <c r="GX1" t="e">
        <f>AND(#REF!,"AAAAAHO7Xc0=")</f>
        <v>#REF!</v>
      </c>
      <c r="GY1" t="e">
        <f>AND(#REF!,"AAAAAHO7Xc4=")</f>
        <v>#REF!</v>
      </c>
      <c r="GZ1" t="e">
        <f>AND(#REF!,"AAAAAHO7Xc8=")</f>
        <v>#REF!</v>
      </c>
      <c r="HA1" t="e">
        <f>AND(#REF!,"AAAAAHO7XdA=")</f>
        <v>#REF!</v>
      </c>
      <c r="HB1" t="e">
        <f>AND(#REF!,"AAAAAHO7XdE=")</f>
        <v>#REF!</v>
      </c>
      <c r="HC1" t="e">
        <f>AND(#REF!,"AAAAAHO7XdI=")</f>
        <v>#REF!</v>
      </c>
      <c r="HD1" t="e">
        <f>AND(#REF!,"AAAAAHO7XdM=")</f>
        <v>#REF!</v>
      </c>
      <c r="HE1" t="e">
        <f>AND(#REF!,"AAAAAHO7XdQ=")</f>
        <v>#REF!</v>
      </c>
      <c r="HF1" t="e">
        <f>AND(#REF!,"AAAAAHO7XdU=")</f>
        <v>#REF!</v>
      </c>
      <c r="HG1" t="e">
        <f>AND(#REF!,"AAAAAHO7XdY=")</f>
        <v>#REF!</v>
      </c>
      <c r="HH1" t="e">
        <f>AND(#REF!,"AAAAAHO7Xdc=")</f>
        <v>#REF!</v>
      </c>
      <c r="HI1" t="e">
        <f>IF(#REF!,"AAAAAHO7Xdg=",0)</f>
        <v>#REF!</v>
      </c>
      <c r="HJ1" t="e">
        <f>AND(#REF!,"AAAAAHO7Xdk=")</f>
        <v>#REF!</v>
      </c>
      <c r="HK1" t="e">
        <f>AND(#REF!,"AAAAAHO7Xdo=")</f>
        <v>#REF!</v>
      </c>
      <c r="HL1" t="e">
        <f>AND(#REF!,"AAAAAHO7Xds=")</f>
        <v>#REF!</v>
      </c>
      <c r="HM1" t="e">
        <f>AND(#REF!,"AAAAAHO7Xdw=")</f>
        <v>#REF!</v>
      </c>
      <c r="HN1" t="e">
        <f>AND(#REF!,"AAAAAHO7Xd0=")</f>
        <v>#REF!</v>
      </c>
      <c r="HO1" t="e">
        <f>AND(#REF!,"AAAAAHO7Xd4=")</f>
        <v>#REF!</v>
      </c>
      <c r="HP1" t="e">
        <f>AND(#REF!,"AAAAAHO7Xd8=")</f>
        <v>#REF!</v>
      </c>
      <c r="HQ1" t="e">
        <f>AND(#REF!,"AAAAAHO7XeA=")</f>
        <v>#REF!</v>
      </c>
      <c r="HR1" t="e">
        <f>AND(#REF!,"AAAAAHO7XeE=")</f>
        <v>#REF!</v>
      </c>
      <c r="HS1" t="e">
        <f>AND(#REF!,"AAAAAHO7XeI=")</f>
        <v>#REF!</v>
      </c>
      <c r="HT1" t="e">
        <f>AND(#REF!,"AAAAAHO7XeM=")</f>
        <v>#REF!</v>
      </c>
      <c r="HU1" t="e">
        <f>AND(#REF!,"AAAAAHO7XeQ=")</f>
        <v>#REF!</v>
      </c>
      <c r="HV1" t="e">
        <f>AND(#REF!,"AAAAAHO7XeU=")</f>
        <v>#REF!</v>
      </c>
      <c r="HW1" t="e">
        <f>AND(#REF!,"AAAAAHO7XeY=")</f>
        <v>#REF!</v>
      </c>
      <c r="HX1" t="e">
        <f>AND(#REF!,"AAAAAHO7Xec=")</f>
        <v>#REF!</v>
      </c>
      <c r="HY1" t="e">
        <f>AND(#REF!,"AAAAAHO7Xeg=")</f>
        <v>#REF!</v>
      </c>
      <c r="HZ1" t="e">
        <f>AND(#REF!,"AAAAAHO7Xek=")</f>
        <v>#REF!</v>
      </c>
      <c r="IA1" t="e">
        <f>IF(#REF!,"AAAAAHO7Xeo=",0)</f>
        <v>#REF!</v>
      </c>
      <c r="IB1" t="e">
        <f>AND(#REF!,"AAAAAHO7Xes=")</f>
        <v>#REF!</v>
      </c>
      <c r="IC1" t="e">
        <f>AND(#REF!,"AAAAAHO7Xew=")</f>
        <v>#REF!</v>
      </c>
      <c r="ID1" t="e">
        <f>AND(#REF!,"AAAAAHO7Xe0=")</f>
        <v>#REF!</v>
      </c>
      <c r="IE1" t="e">
        <f>AND(#REF!,"AAAAAHO7Xe4=")</f>
        <v>#REF!</v>
      </c>
      <c r="IF1" t="e">
        <f>AND(#REF!,"AAAAAHO7Xe8=")</f>
        <v>#REF!</v>
      </c>
      <c r="IG1" t="e">
        <f>AND(#REF!,"AAAAAHO7XfA=")</f>
        <v>#REF!</v>
      </c>
      <c r="IH1" t="e">
        <f>AND(#REF!,"AAAAAHO7XfE=")</f>
        <v>#REF!</v>
      </c>
      <c r="II1" t="e">
        <f>AND(#REF!,"AAAAAHO7XfI=")</f>
        <v>#REF!</v>
      </c>
      <c r="IJ1" t="e">
        <f>AND(#REF!,"AAAAAHO7XfM=")</f>
        <v>#REF!</v>
      </c>
      <c r="IK1" t="e">
        <f>AND(#REF!,"AAAAAHO7XfQ=")</f>
        <v>#REF!</v>
      </c>
      <c r="IL1" t="e">
        <f>AND(#REF!,"AAAAAHO7XfU=")</f>
        <v>#REF!</v>
      </c>
      <c r="IM1" t="e">
        <f>AND(#REF!,"AAAAAHO7XfY=")</f>
        <v>#REF!</v>
      </c>
      <c r="IN1" t="e">
        <f>AND(#REF!,"AAAAAHO7Xfc=")</f>
        <v>#REF!</v>
      </c>
      <c r="IO1" t="e">
        <f>AND(#REF!,"AAAAAHO7Xfg=")</f>
        <v>#REF!</v>
      </c>
      <c r="IP1" t="e">
        <f>AND(#REF!,"AAAAAHO7Xfk=")</f>
        <v>#REF!</v>
      </c>
      <c r="IQ1" t="e">
        <f>AND(#REF!,"AAAAAHO7Xfo=")</f>
        <v>#REF!</v>
      </c>
      <c r="IR1" t="e">
        <f>AND(#REF!,"AAAAAHO7Xfs=")</f>
        <v>#REF!</v>
      </c>
      <c r="IS1" t="e">
        <f>IF(#REF!,"AAAAAHO7Xfw=",0)</f>
        <v>#REF!</v>
      </c>
      <c r="IT1" t="e">
        <f>AND(#REF!,"AAAAAHO7Xf0=")</f>
        <v>#REF!</v>
      </c>
      <c r="IU1" t="e">
        <f>AND(#REF!,"AAAAAHO7Xf4=")</f>
        <v>#REF!</v>
      </c>
      <c r="IV1" t="e">
        <f>AND(#REF!,"AAAAAHO7Xf8=")</f>
        <v>#REF!</v>
      </c>
    </row>
    <row r="2" spans="1:256">
      <c r="A2" t="e">
        <f>AND(#REF!,"AAAAADbv/AA=")</f>
        <v>#REF!</v>
      </c>
      <c r="B2" t="e">
        <f>AND(#REF!,"AAAAADbv/AE=")</f>
        <v>#REF!</v>
      </c>
      <c r="C2" t="e">
        <f>AND(#REF!,"AAAAADbv/AI=")</f>
        <v>#REF!</v>
      </c>
      <c r="D2" t="e">
        <f>AND(#REF!,"AAAAADbv/AM=")</f>
        <v>#REF!</v>
      </c>
      <c r="E2" t="e">
        <f>AND(#REF!,"AAAAADbv/AQ=")</f>
        <v>#REF!</v>
      </c>
      <c r="F2" t="e">
        <f>AND(#REF!,"AAAAADbv/AU=")</f>
        <v>#REF!</v>
      </c>
      <c r="G2" t="e">
        <f>AND(#REF!,"AAAAADbv/AY=")</f>
        <v>#REF!</v>
      </c>
      <c r="H2" t="e">
        <f>AND(#REF!,"AAAAADbv/Ac=")</f>
        <v>#REF!</v>
      </c>
      <c r="I2" t="e">
        <f>AND(#REF!,"AAAAADbv/Ag=")</f>
        <v>#REF!</v>
      </c>
      <c r="J2" t="e">
        <f>AND(#REF!,"AAAAADbv/Ak=")</f>
        <v>#REF!</v>
      </c>
      <c r="K2" t="e">
        <f>AND(#REF!,"AAAAADbv/Ao=")</f>
        <v>#REF!</v>
      </c>
      <c r="L2" t="e">
        <f>AND(#REF!,"AAAAADbv/As=")</f>
        <v>#REF!</v>
      </c>
      <c r="M2" t="e">
        <f>AND(#REF!,"AAAAADbv/Aw=")</f>
        <v>#REF!</v>
      </c>
      <c r="N2" t="e">
        <f>AND(#REF!,"AAAAADbv/A0=")</f>
        <v>#REF!</v>
      </c>
      <c r="O2" t="e">
        <f>IF(#REF!,"AAAAADbv/A4=",0)</f>
        <v>#REF!</v>
      </c>
      <c r="P2" t="e">
        <f>AND(#REF!,"AAAAADbv/A8=")</f>
        <v>#REF!</v>
      </c>
      <c r="Q2" t="e">
        <f>AND(#REF!,"AAAAADbv/BA=")</f>
        <v>#REF!</v>
      </c>
      <c r="R2" t="e">
        <f>AND(#REF!,"AAAAADbv/BE=")</f>
        <v>#REF!</v>
      </c>
      <c r="S2" t="e">
        <f>AND(#REF!,"AAAAADbv/BI=")</f>
        <v>#REF!</v>
      </c>
      <c r="T2" t="e">
        <f>AND(#REF!,"AAAAADbv/BM=")</f>
        <v>#REF!</v>
      </c>
      <c r="U2" t="e">
        <f>AND(#REF!,"AAAAADbv/BQ=")</f>
        <v>#REF!</v>
      </c>
      <c r="V2" t="e">
        <f>AND(#REF!,"AAAAADbv/BU=")</f>
        <v>#REF!</v>
      </c>
      <c r="W2" t="e">
        <f>AND(#REF!,"AAAAADbv/BY=")</f>
        <v>#REF!</v>
      </c>
      <c r="X2" t="e">
        <f>AND(#REF!,"AAAAADbv/Bc=")</f>
        <v>#REF!</v>
      </c>
      <c r="Y2" t="e">
        <f>AND(#REF!,"AAAAADbv/Bg=")</f>
        <v>#REF!</v>
      </c>
      <c r="Z2" t="e">
        <f>AND(#REF!,"AAAAADbv/Bk=")</f>
        <v>#REF!</v>
      </c>
      <c r="AA2" t="e">
        <f>AND(#REF!,"AAAAADbv/Bo=")</f>
        <v>#REF!</v>
      </c>
      <c r="AB2" t="e">
        <f>AND(#REF!,"AAAAADbv/Bs=")</f>
        <v>#REF!</v>
      </c>
      <c r="AC2" t="e">
        <f>AND(#REF!,"AAAAADbv/Bw=")</f>
        <v>#REF!</v>
      </c>
      <c r="AD2" t="e">
        <f>AND(#REF!,"AAAAADbv/B0=")</f>
        <v>#REF!</v>
      </c>
      <c r="AE2" t="e">
        <f>AND(#REF!,"AAAAADbv/B4=")</f>
        <v>#REF!</v>
      </c>
      <c r="AF2" t="e">
        <f>AND(#REF!,"AAAAADbv/B8=")</f>
        <v>#REF!</v>
      </c>
      <c r="AG2" t="e">
        <f>IF(#REF!,"AAAAADbv/CA=",0)</f>
        <v>#REF!</v>
      </c>
      <c r="AH2" t="e">
        <f>AND(#REF!,"AAAAADbv/CE=")</f>
        <v>#REF!</v>
      </c>
      <c r="AI2" t="e">
        <f>AND(#REF!,"AAAAADbv/CI=")</f>
        <v>#REF!</v>
      </c>
      <c r="AJ2" t="e">
        <f>AND(#REF!,"AAAAADbv/CM=")</f>
        <v>#REF!</v>
      </c>
      <c r="AK2" t="e">
        <f>AND(#REF!,"AAAAADbv/CQ=")</f>
        <v>#REF!</v>
      </c>
      <c r="AL2" t="e">
        <f>AND(#REF!,"AAAAADbv/CU=")</f>
        <v>#REF!</v>
      </c>
      <c r="AM2" t="e">
        <f>AND(#REF!,"AAAAADbv/CY=")</f>
        <v>#REF!</v>
      </c>
      <c r="AN2" t="e">
        <f>AND(#REF!,"AAAAADbv/Cc=")</f>
        <v>#REF!</v>
      </c>
      <c r="AO2" t="e">
        <f>AND(#REF!,"AAAAADbv/Cg=")</f>
        <v>#REF!</v>
      </c>
      <c r="AP2" t="e">
        <f>AND(#REF!,"AAAAADbv/Ck=")</f>
        <v>#REF!</v>
      </c>
      <c r="AQ2" t="e">
        <f>AND(#REF!,"AAAAADbv/Co=")</f>
        <v>#REF!</v>
      </c>
      <c r="AR2" t="e">
        <f>AND(#REF!,"AAAAADbv/Cs=")</f>
        <v>#REF!</v>
      </c>
      <c r="AS2" t="e">
        <f>AND(#REF!,"AAAAADbv/Cw=")</f>
        <v>#REF!</v>
      </c>
      <c r="AT2" t="e">
        <f>AND(#REF!,"AAAAADbv/C0=")</f>
        <v>#REF!</v>
      </c>
      <c r="AU2" t="e">
        <f>AND(#REF!,"AAAAADbv/C4=")</f>
        <v>#REF!</v>
      </c>
      <c r="AV2" t="e">
        <f>AND(#REF!,"AAAAADbv/C8=")</f>
        <v>#REF!</v>
      </c>
      <c r="AW2" t="e">
        <f>AND(#REF!,"AAAAADbv/DA=")</f>
        <v>#REF!</v>
      </c>
      <c r="AX2" t="e">
        <f>AND(#REF!,"AAAAADbv/DE=")</f>
        <v>#REF!</v>
      </c>
      <c r="AY2" t="e">
        <f>IF(#REF!,"AAAAADbv/DI=",0)</f>
        <v>#REF!</v>
      </c>
      <c r="AZ2" t="e">
        <f>AND(#REF!,"AAAAADbv/DM=")</f>
        <v>#REF!</v>
      </c>
      <c r="BA2" t="e">
        <f>AND(#REF!,"AAAAADbv/DQ=")</f>
        <v>#REF!</v>
      </c>
      <c r="BB2" t="e">
        <f>AND(#REF!,"AAAAADbv/DU=")</f>
        <v>#REF!</v>
      </c>
      <c r="BC2" t="e">
        <f>AND(#REF!,"AAAAADbv/DY=")</f>
        <v>#REF!</v>
      </c>
      <c r="BD2" t="e">
        <f>AND(#REF!,"AAAAADbv/Dc=")</f>
        <v>#REF!</v>
      </c>
      <c r="BE2" t="e">
        <f>AND(#REF!,"AAAAADbv/Dg=")</f>
        <v>#REF!</v>
      </c>
      <c r="BF2" t="e">
        <f>AND(#REF!,"AAAAADbv/Dk=")</f>
        <v>#REF!</v>
      </c>
      <c r="BG2" t="e">
        <f>AND(#REF!,"AAAAADbv/Do=")</f>
        <v>#REF!</v>
      </c>
      <c r="BH2" t="e">
        <f>AND(#REF!,"AAAAADbv/Ds=")</f>
        <v>#REF!</v>
      </c>
      <c r="BI2" t="e">
        <f>AND(#REF!,"AAAAADbv/Dw=")</f>
        <v>#REF!</v>
      </c>
      <c r="BJ2" t="e">
        <f>AND(#REF!,"AAAAADbv/D0=")</f>
        <v>#REF!</v>
      </c>
      <c r="BK2" t="e">
        <f>AND(#REF!,"AAAAADbv/D4=")</f>
        <v>#REF!</v>
      </c>
      <c r="BL2" t="e">
        <f>AND(#REF!,"AAAAADbv/D8=")</f>
        <v>#REF!</v>
      </c>
      <c r="BM2" t="e">
        <f>AND(#REF!,"AAAAADbv/EA=")</f>
        <v>#REF!</v>
      </c>
      <c r="BN2" t="e">
        <f>AND(#REF!,"AAAAADbv/EE=")</f>
        <v>#REF!</v>
      </c>
      <c r="BO2" t="e">
        <f>AND(#REF!,"AAAAADbv/EI=")</f>
        <v>#REF!</v>
      </c>
      <c r="BP2" t="e">
        <f>AND(#REF!,"AAAAADbv/EM=")</f>
        <v>#REF!</v>
      </c>
      <c r="BQ2" t="e">
        <f>IF(#REF!,"AAAAADbv/EQ=",0)</f>
        <v>#REF!</v>
      </c>
      <c r="BR2" t="e">
        <f>AND(#REF!,"AAAAADbv/EU=")</f>
        <v>#REF!</v>
      </c>
      <c r="BS2" t="e">
        <f>AND(#REF!,"AAAAADbv/EY=")</f>
        <v>#REF!</v>
      </c>
      <c r="BT2" t="e">
        <f>AND(#REF!,"AAAAADbv/Ec=")</f>
        <v>#REF!</v>
      </c>
      <c r="BU2" t="e">
        <f>AND(#REF!,"AAAAADbv/Eg=")</f>
        <v>#REF!</v>
      </c>
      <c r="BV2" t="e">
        <f>AND(#REF!,"AAAAADbv/Ek=")</f>
        <v>#REF!</v>
      </c>
      <c r="BW2" t="e">
        <f>AND(#REF!,"AAAAADbv/Eo=")</f>
        <v>#REF!</v>
      </c>
      <c r="BX2" t="e">
        <f>AND(#REF!,"AAAAADbv/Es=")</f>
        <v>#REF!</v>
      </c>
      <c r="BY2" t="e">
        <f>AND(#REF!,"AAAAADbv/Ew=")</f>
        <v>#REF!</v>
      </c>
      <c r="BZ2" t="e">
        <f>AND(#REF!,"AAAAADbv/E0=")</f>
        <v>#REF!</v>
      </c>
      <c r="CA2" t="e">
        <f>AND(#REF!,"AAAAADbv/E4=")</f>
        <v>#REF!</v>
      </c>
      <c r="CB2" t="e">
        <f>AND(#REF!,"AAAAADbv/E8=")</f>
        <v>#REF!</v>
      </c>
      <c r="CC2" t="e">
        <f>AND(#REF!,"AAAAADbv/FA=")</f>
        <v>#REF!</v>
      </c>
      <c r="CD2" t="e">
        <f>AND(#REF!,"AAAAADbv/FE=")</f>
        <v>#REF!</v>
      </c>
      <c r="CE2" t="e">
        <f>AND(#REF!,"AAAAADbv/FI=")</f>
        <v>#REF!</v>
      </c>
      <c r="CF2" t="e">
        <f>AND(#REF!,"AAAAADbv/FM=")</f>
        <v>#REF!</v>
      </c>
      <c r="CG2" t="e">
        <f>AND(#REF!,"AAAAADbv/FQ=")</f>
        <v>#REF!</v>
      </c>
      <c r="CH2" t="e">
        <f>AND(#REF!,"AAAAADbv/FU=")</f>
        <v>#REF!</v>
      </c>
      <c r="CI2" t="e">
        <f>IF(#REF!,"AAAAADbv/FY=",0)</f>
        <v>#REF!</v>
      </c>
      <c r="CJ2" t="e">
        <f>AND(#REF!,"AAAAADbv/Fc=")</f>
        <v>#REF!</v>
      </c>
      <c r="CK2" t="e">
        <f>AND(#REF!,"AAAAADbv/Fg=")</f>
        <v>#REF!</v>
      </c>
      <c r="CL2" t="e">
        <f>AND(#REF!,"AAAAADbv/Fk=")</f>
        <v>#REF!</v>
      </c>
      <c r="CM2" t="e">
        <f>AND(#REF!,"AAAAADbv/Fo=")</f>
        <v>#REF!</v>
      </c>
      <c r="CN2" t="e">
        <f>AND(#REF!,"AAAAADbv/Fs=")</f>
        <v>#REF!</v>
      </c>
      <c r="CO2" t="e">
        <f>AND(#REF!,"AAAAADbv/Fw=")</f>
        <v>#REF!</v>
      </c>
      <c r="CP2" t="e">
        <f>AND(#REF!,"AAAAADbv/F0=")</f>
        <v>#REF!</v>
      </c>
      <c r="CQ2" t="e">
        <f>AND(#REF!,"AAAAADbv/F4=")</f>
        <v>#REF!</v>
      </c>
      <c r="CR2" t="e">
        <f>AND(#REF!,"AAAAADbv/F8=")</f>
        <v>#REF!</v>
      </c>
      <c r="CS2" t="e">
        <f>AND(#REF!,"AAAAADbv/GA=")</f>
        <v>#REF!</v>
      </c>
      <c r="CT2" t="e">
        <f>AND(#REF!,"AAAAADbv/GE=")</f>
        <v>#REF!</v>
      </c>
      <c r="CU2" t="e">
        <f>AND(#REF!,"AAAAADbv/GI=")</f>
        <v>#REF!</v>
      </c>
      <c r="CV2" t="e">
        <f>AND(#REF!,"AAAAADbv/GM=")</f>
        <v>#REF!</v>
      </c>
      <c r="CW2" t="e">
        <f>AND(#REF!,"AAAAADbv/GQ=")</f>
        <v>#REF!</v>
      </c>
      <c r="CX2" t="e">
        <f>AND(#REF!,"AAAAADbv/GU=")</f>
        <v>#REF!</v>
      </c>
      <c r="CY2" t="e">
        <f>AND(#REF!,"AAAAADbv/GY=")</f>
        <v>#REF!</v>
      </c>
      <c r="CZ2" t="e">
        <f>AND(#REF!,"AAAAADbv/Gc=")</f>
        <v>#REF!</v>
      </c>
      <c r="DA2" t="e">
        <f>IF(#REF!,"AAAAADbv/Gg=",0)</f>
        <v>#REF!</v>
      </c>
      <c r="DB2" t="e">
        <f>AND(#REF!,"AAAAADbv/Gk=")</f>
        <v>#REF!</v>
      </c>
      <c r="DC2" t="e">
        <f>AND(#REF!,"AAAAADbv/Go=")</f>
        <v>#REF!</v>
      </c>
      <c r="DD2" t="e">
        <f>AND(#REF!,"AAAAADbv/Gs=")</f>
        <v>#REF!</v>
      </c>
      <c r="DE2" t="e">
        <f>AND(#REF!,"AAAAADbv/Gw=")</f>
        <v>#REF!</v>
      </c>
      <c r="DF2" t="e">
        <f>AND(#REF!,"AAAAADbv/G0=")</f>
        <v>#REF!</v>
      </c>
      <c r="DG2" t="e">
        <f>AND(#REF!,"AAAAADbv/G4=")</f>
        <v>#REF!</v>
      </c>
      <c r="DH2" t="e">
        <f>AND(#REF!,"AAAAADbv/G8=")</f>
        <v>#REF!</v>
      </c>
      <c r="DI2" t="e">
        <f>AND(#REF!,"AAAAADbv/HA=")</f>
        <v>#REF!</v>
      </c>
      <c r="DJ2" t="e">
        <f>AND(#REF!,"AAAAADbv/HE=")</f>
        <v>#REF!</v>
      </c>
      <c r="DK2" t="e">
        <f>AND(#REF!,"AAAAADbv/HI=")</f>
        <v>#REF!</v>
      </c>
      <c r="DL2" t="e">
        <f>AND(#REF!,"AAAAADbv/HM=")</f>
        <v>#REF!</v>
      </c>
      <c r="DM2" t="e">
        <f>AND(#REF!,"AAAAADbv/HQ=")</f>
        <v>#REF!</v>
      </c>
      <c r="DN2" t="e">
        <f>AND(#REF!,"AAAAADbv/HU=")</f>
        <v>#REF!</v>
      </c>
      <c r="DO2" t="e">
        <f>AND(#REF!,"AAAAADbv/HY=")</f>
        <v>#REF!</v>
      </c>
      <c r="DP2" t="e">
        <f>AND(#REF!,"AAAAADbv/Hc=")</f>
        <v>#REF!</v>
      </c>
      <c r="DQ2" t="e">
        <f>AND(#REF!,"AAAAADbv/Hg=")</f>
        <v>#REF!</v>
      </c>
      <c r="DR2" t="e">
        <f>AND(#REF!,"AAAAADbv/Hk=")</f>
        <v>#REF!</v>
      </c>
      <c r="DS2" t="e">
        <f>IF(#REF!,"AAAAADbv/Ho=",0)</f>
        <v>#REF!</v>
      </c>
      <c r="DT2" t="e">
        <f>AND(#REF!,"AAAAADbv/Hs=")</f>
        <v>#REF!</v>
      </c>
      <c r="DU2" t="e">
        <f>AND(#REF!,"AAAAADbv/Hw=")</f>
        <v>#REF!</v>
      </c>
      <c r="DV2" t="e">
        <f>AND(#REF!,"AAAAADbv/H0=")</f>
        <v>#REF!</v>
      </c>
      <c r="DW2" t="e">
        <f>AND(#REF!,"AAAAADbv/H4=")</f>
        <v>#REF!</v>
      </c>
      <c r="DX2" t="e">
        <f>AND(#REF!,"AAAAADbv/H8=")</f>
        <v>#REF!</v>
      </c>
      <c r="DY2" t="e">
        <f>AND(#REF!,"AAAAADbv/IA=")</f>
        <v>#REF!</v>
      </c>
      <c r="DZ2" t="e">
        <f>AND(#REF!,"AAAAADbv/IE=")</f>
        <v>#REF!</v>
      </c>
      <c r="EA2" t="e">
        <f>AND(#REF!,"AAAAADbv/II=")</f>
        <v>#REF!</v>
      </c>
      <c r="EB2" t="e">
        <f>AND(#REF!,"AAAAADbv/IM=")</f>
        <v>#REF!</v>
      </c>
      <c r="EC2" t="e">
        <f>AND(#REF!,"AAAAADbv/IQ=")</f>
        <v>#REF!</v>
      </c>
      <c r="ED2" t="e">
        <f>AND(#REF!,"AAAAADbv/IU=")</f>
        <v>#REF!</v>
      </c>
      <c r="EE2" t="e">
        <f>AND(#REF!,"AAAAADbv/IY=")</f>
        <v>#REF!</v>
      </c>
      <c r="EF2" t="e">
        <f>AND(#REF!,"AAAAADbv/Ic=")</f>
        <v>#REF!</v>
      </c>
      <c r="EG2" t="e">
        <f>AND(#REF!,"AAAAADbv/Ig=")</f>
        <v>#REF!</v>
      </c>
      <c r="EH2" t="e">
        <f>AND(#REF!,"AAAAADbv/Ik=")</f>
        <v>#REF!</v>
      </c>
      <c r="EI2" t="e">
        <f>AND(#REF!,"AAAAADbv/Io=")</f>
        <v>#REF!</v>
      </c>
      <c r="EJ2" t="e">
        <f>AND(#REF!,"AAAAADbv/Is=")</f>
        <v>#REF!</v>
      </c>
      <c r="EK2" t="e">
        <f>IF(#REF!,"AAAAADbv/Iw=",0)</f>
        <v>#REF!</v>
      </c>
      <c r="EL2" t="e">
        <f>AND(#REF!,"AAAAADbv/I0=")</f>
        <v>#REF!</v>
      </c>
      <c r="EM2" t="e">
        <f>AND(#REF!,"AAAAADbv/I4=")</f>
        <v>#REF!</v>
      </c>
      <c r="EN2" t="e">
        <f>AND(#REF!,"AAAAADbv/I8=")</f>
        <v>#REF!</v>
      </c>
      <c r="EO2" t="e">
        <f>AND(#REF!,"AAAAADbv/JA=")</f>
        <v>#REF!</v>
      </c>
      <c r="EP2" t="e">
        <f>AND(#REF!,"AAAAADbv/JE=")</f>
        <v>#REF!</v>
      </c>
      <c r="EQ2" t="e">
        <f>AND(#REF!,"AAAAADbv/JI=")</f>
        <v>#REF!</v>
      </c>
      <c r="ER2" t="e">
        <f>AND(#REF!,"AAAAADbv/JM=")</f>
        <v>#REF!</v>
      </c>
      <c r="ES2" t="e">
        <f>AND(#REF!,"AAAAADbv/JQ=")</f>
        <v>#REF!</v>
      </c>
      <c r="ET2" t="e">
        <f>AND(#REF!,"AAAAADbv/JU=")</f>
        <v>#REF!</v>
      </c>
      <c r="EU2" t="e">
        <f>AND(#REF!,"AAAAADbv/JY=")</f>
        <v>#REF!</v>
      </c>
      <c r="EV2" t="e">
        <f>AND(#REF!,"AAAAADbv/Jc=")</f>
        <v>#REF!</v>
      </c>
      <c r="EW2" t="e">
        <f>AND(#REF!,"AAAAADbv/Jg=")</f>
        <v>#REF!</v>
      </c>
      <c r="EX2" t="e">
        <f>AND(#REF!,"AAAAADbv/Jk=")</f>
        <v>#REF!</v>
      </c>
      <c r="EY2" t="e">
        <f>AND(#REF!,"AAAAADbv/Jo=")</f>
        <v>#REF!</v>
      </c>
      <c r="EZ2" t="e">
        <f>AND(#REF!,"AAAAADbv/Js=")</f>
        <v>#REF!</v>
      </c>
      <c r="FA2" t="e">
        <f>AND(#REF!,"AAAAADbv/Jw=")</f>
        <v>#REF!</v>
      </c>
      <c r="FB2" t="e">
        <f>AND(#REF!,"AAAAADbv/J0=")</f>
        <v>#REF!</v>
      </c>
      <c r="FC2" t="e">
        <f>IF(#REF!,"AAAAADbv/J4=",0)</f>
        <v>#REF!</v>
      </c>
      <c r="FD2" t="e">
        <f>AND(#REF!,"AAAAADbv/J8=")</f>
        <v>#REF!</v>
      </c>
      <c r="FE2" t="e">
        <f>AND(#REF!,"AAAAADbv/KA=")</f>
        <v>#REF!</v>
      </c>
      <c r="FF2" t="e">
        <f>AND(#REF!,"AAAAADbv/KE=")</f>
        <v>#REF!</v>
      </c>
      <c r="FG2" t="e">
        <f>AND(#REF!,"AAAAADbv/KI=")</f>
        <v>#REF!</v>
      </c>
      <c r="FH2" t="e">
        <f>AND(#REF!,"AAAAADbv/KM=")</f>
        <v>#REF!</v>
      </c>
      <c r="FI2" t="e">
        <f>AND(#REF!,"AAAAADbv/KQ=")</f>
        <v>#REF!</v>
      </c>
      <c r="FJ2" t="e">
        <f>AND(#REF!,"AAAAADbv/KU=")</f>
        <v>#REF!</v>
      </c>
      <c r="FK2" t="e">
        <f>AND(#REF!,"AAAAADbv/KY=")</f>
        <v>#REF!</v>
      </c>
      <c r="FL2" t="e">
        <f>AND(#REF!,"AAAAADbv/Kc=")</f>
        <v>#REF!</v>
      </c>
      <c r="FM2" t="e">
        <f>AND(#REF!,"AAAAADbv/Kg=")</f>
        <v>#REF!</v>
      </c>
      <c r="FN2" t="e">
        <f>AND(#REF!,"AAAAADbv/Kk=")</f>
        <v>#REF!</v>
      </c>
      <c r="FO2" t="e">
        <f>AND(#REF!,"AAAAADbv/Ko=")</f>
        <v>#REF!</v>
      </c>
      <c r="FP2" t="e">
        <f>AND(#REF!,"AAAAADbv/Ks=")</f>
        <v>#REF!</v>
      </c>
      <c r="FQ2" t="e">
        <f>AND(#REF!,"AAAAADbv/Kw=")</f>
        <v>#REF!</v>
      </c>
      <c r="FR2" t="e">
        <f>AND(#REF!,"AAAAADbv/K0=")</f>
        <v>#REF!</v>
      </c>
      <c r="FS2" t="e">
        <f>AND(#REF!,"AAAAADbv/K4=")</f>
        <v>#REF!</v>
      </c>
      <c r="FT2" t="e">
        <f>AND(#REF!,"AAAAADbv/K8=")</f>
        <v>#REF!</v>
      </c>
      <c r="FU2" t="e">
        <f>IF(#REF!,"AAAAADbv/LA=",0)</f>
        <v>#REF!</v>
      </c>
      <c r="FV2" t="e">
        <f>AND(#REF!,"AAAAADbv/LE=")</f>
        <v>#REF!</v>
      </c>
      <c r="FW2" t="e">
        <f>AND(#REF!,"AAAAADbv/LI=")</f>
        <v>#REF!</v>
      </c>
      <c r="FX2" t="e">
        <f>AND(#REF!,"AAAAADbv/LM=")</f>
        <v>#REF!</v>
      </c>
      <c r="FY2" t="e">
        <f>AND(#REF!,"AAAAADbv/LQ=")</f>
        <v>#REF!</v>
      </c>
      <c r="FZ2" t="e">
        <f>AND(#REF!,"AAAAADbv/LU=")</f>
        <v>#REF!</v>
      </c>
      <c r="GA2" t="e">
        <f>AND(#REF!,"AAAAADbv/LY=")</f>
        <v>#REF!</v>
      </c>
      <c r="GB2" t="e">
        <f>AND(#REF!,"AAAAADbv/Lc=")</f>
        <v>#REF!</v>
      </c>
      <c r="GC2" t="e">
        <f>AND(#REF!,"AAAAADbv/Lg=")</f>
        <v>#REF!</v>
      </c>
      <c r="GD2" t="e">
        <f>AND(#REF!,"AAAAADbv/Lk=")</f>
        <v>#REF!</v>
      </c>
      <c r="GE2" t="e">
        <f>AND(#REF!,"AAAAADbv/Lo=")</f>
        <v>#REF!</v>
      </c>
      <c r="GF2" t="e">
        <f>AND(#REF!,"AAAAADbv/Ls=")</f>
        <v>#REF!</v>
      </c>
      <c r="GG2" t="e">
        <f>AND(#REF!,"AAAAADbv/Lw=")</f>
        <v>#REF!</v>
      </c>
      <c r="GH2" t="e">
        <f>AND(#REF!,"AAAAADbv/L0=")</f>
        <v>#REF!</v>
      </c>
      <c r="GI2" t="e">
        <f>AND(#REF!,"AAAAADbv/L4=")</f>
        <v>#REF!</v>
      </c>
      <c r="GJ2" t="e">
        <f>AND(#REF!,"AAAAADbv/L8=")</f>
        <v>#REF!</v>
      </c>
      <c r="GK2" t="e">
        <f>AND(#REF!,"AAAAADbv/MA=")</f>
        <v>#REF!</v>
      </c>
      <c r="GL2" t="e">
        <f>AND(#REF!,"AAAAADbv/ME=")</f>
        <v>#REF!</v>
      </c>
      <c r="GM2" t="e">
        <f>IF(#REF!,"AAAAADbv/MI=",0)</f>
        <v>#REF!</v>
      </c>
      <c r="GN2" t="e">
        <f>AND(#REF!,"AAAAADbv/MM=")</f>
        <v>#REF!</v>
      </c>
      <c r="GO2" t="e">
        <f>AND(#REF!,"AAAAADbv/MQ=")</f>
        <v>#REF!</v>
      </c>
      <c r="GP2" t="e">
        <f>AND(#REF!,"AAAAADbv/MU=")</f>
        <v>#REF!</v>
      </c>
      <c r="GQ2" t="e">
        <f>AND(#REF!,"AAAAADbv/MY=")</f>
        <v>#REF!</v>
      </c>
      <c r="GR2" t="e">
        <f>AND(#REF!,"AAAAADbv/Mc=")</f>
        <v>#REF!</v>
      </c>
      <c r="GS2" t="e">
        <f>AND(#REF!,"AAAAADbv/Mg=")</f>
        <v>#REF!</v>
      </c>
      <c r="GT2" t="e">
        <f>AND(#REF!,"AAAAADbv/Mk=")</f>
        <v>#REF!</v>
      </c>
      <c r="GU2" t="e">
        <f>AND(#REF!,"AAAAADbv/Mo=")</f>
        <v>#REF!</v>
      </c>
      <c r="GV2" t="e">
        <f>AND(#REF!,"AAAAADbv/Ms=")</f>
        <v>#REF!</v>
      </c>
      <c r="GW2" t="e">
        <f>AND(#REF!,"AAAAADbv/Mw=")</f>
        <v>#REF!</v>
      </c>
      <c r="GX2" t="e">
        <f>AND(#REF!,"AAAAADbv/M0=")</f>
        <v>#REF!</v>
      </c>
      <c r="GY2" t="e">
        <f>AND(#REF!,"AAAAADbv/M4=")</f>
        <v>#REF!</v>
      </c>
      <c r="GZ2" t="e">
        <f>AND(#REF!,"AAAAADbv/M8=")</f>
        <v>#REF!</v>
      </c>
      <c r="HA2" t="e">
        <f>AND(#REF!,"AAAAADbv/NA=")</f>
        <v>#REF!</v>
      </c>
      <c r="HB2" t="e">
        <f>AND(#REF!,"AAAAADbv/NE=")</f>
        <v>#REF!</v>
      </c>
      <c r="HC2" t="e">
        <f>AND(#REF!,"AAAAADbv/NI=")</f>
        <v>#REF!</v>
      </c>
      <c r="HD2" t="e">
        <f>AND(#REF!,"AAAAADbv/NM=")</f>
        <v>#REF!</v>
      </c>
      <c r="HE2" t="e">
        <f>IF(#REF!,"AAAAADbv/NQ=",0)</f>
        <v>#REF!</v>
      </c>
      <c r="HF2" t="e">
        <f>AND(#REF!,"AAAAADbv/NU=")</f>
        <v>#REF!</v>
      </c>
      <c r="HG2" t="e">
        <f>AND(#REF!,"AAAAADbv/NY=")</f>
        <v>#REF!</v>
      </c>
      <c r="HH2" t="e">
        <f>AND(#REF!,"AAAAADbv/Nc=")</f>
        <v>#REF!</v>
      </c>
      <c r="HI2" t="e">
        <f>AND(#REF!,"AAAAADbv/Ng=")</f>
        <v>#REF!</v>
      </c>
      <c r="HJ2" t="e">
        <f>AND(#REF!,"AAAAADbv/Nk=")</f>
        <v>#REF!</v>
      </c>
      <c r="HK2" t="e">
        <f>AND(#REF!,"AAAAADbv/No=")</f>
        <v>#REF!</v>
      </c>
      <c r="HL2" t="e">
        <f>AND(#REF!,"AAAAADbv/Ns=")</f>
        <v>#REF!</v>
      </c>
      <c r="HM2" t="e">
        <f>AND(#REF!,"AAAAADbv/Nw=")</f>
        <v>#REF!</v>
      </c>
      <c r="HN2" t="e">
        <f>AND(#REF!,"AAAAADbv/N0=")</f>
        <v>#REF!</v>
      </c>
      <c r="HO2" t="e">
        <f>AND(#REF!,"AAAAADbv/N4=")</f>
        <v>#REF!</v>
      </c>
      <c r="HP2" t="e">
        <f>AND(#REF!,"AAAAADbv/N8=")</f>
        <v>#REF!</v>
      </c>
      <c r="HQ2" t="e">
        <f>AND(#REF!,"AAAAADbv/OA=")</f>
        <v>#REF!</v>
      </c>
      <c r="HR2" t="e">
        <f>AND(#REF!,"AAAAADbv/OE=")</f>
        <v>#REF!</v>
      </c>
      <c r="HS2" t="e">
        <f>AND(#REF!,"AAAAADbv/OI=")</f>
        <v>#REF!</v>
      </c>
      <c r="HT2" t="e">
        <f>AND(#REF!,"AAAAADbv/OM=")</f>
        <v>#REF!</v>
      </c>
      <c r="HU2" t="e">
        <f>AND(#REF!,"AAAAADbv/OQ=")</f>
        <v>#REF!</v>
      </c>
      <c r="HV2" t="e">
        <f>AND(#REF!,"AAAAADbv/OU=")</f>
        <v>#REF!</v>
      </c>
      <c r="HW2" t="e">
        <f>IF(#REF!,"AAAAADbv/OY=",0)</f>
        <v>#REF!</v>
      </c>
      <c r="HX2" t="e">
        <f>AND(#REF!,"AAAAADbv/Oc=")</f>
        <v>#REF!</v>
      </c>
      <c r="HY2" t="e">
        <f>AND(#REF!,"AAAAADbv/Og=")</f>
        <v>#REF!</v>
      </c>
      <c r="HZ2" t="e">
        <f>AND(#REF!,"AAAAADbv/Ok=")</f>
        <v>#REF!</v>
      </c>
      <c r="IA2" t="e">
        <f>AND(#REF!,"AAAAADbv/Oo=")</f>
        <v>#REF!</v>
      </c>
      <c r="IB2" t="e">
        <f>AND(#REF!,"AAAAADbv/Os=")</f>
        <v>#REF!</v>
      </c>
      <c r="IC2" t="e">
        <f>AND(#REF!,"AAAAADbv/Ow=")</f>
        <v>#REF!</v>
      </c>
      <c r="ID2" t="e">
        <f>AND(#REF!,"AAAAADbv/O0=")</f>
        <v>#REF!</v>
      </c>
      <c r="IE2" t="e">
        <f>AND(#REF!,"AAAAADbv/O4=")</f>
        <v>#REF!</v>
      </c>
      <c r="IF2" t="e">
        <f>AND(#REF!,"AAAAADbv/O8=")</f>
        <v>#REF!</v>
      </c>
      <c r="IG2" t="e">
        <f>AND(#REF!,"AAAAADbv/PA=")</f>
        <v>#REF!</v>
      </c>
      <c r="IH2" t="e">
        <f>AND(#REF!,"AAAAADbv/PE=")</f>
        <v>#REF!</v>
      </c>
      <c r="II2" t="e">
        <f>AND(#REF!,"AAAAADbv/PI=")</f>
        <v>#REF!</v>
      </c>
      <c r="IJ2" t="e">
        <f>AND(#REF!,"AAAAADbv/PM=")</f>
        <v>#REF!</v>
      </c>
      <c r="IK2" t="e">
        <f>AND(#REF!,"AAAAADbv/PQ=")</f>
        <v>#REF!</v>
      </c>
      <c r="IL2" t="e">
        <f>AND(#REF!,"AAAAADbv/PU=")</f>
        <v>#REF!</v>
      </c>
      <c r="IM2" t="e">
        <f>AND(#REF!,"AAAAADbv/PY=")</f>
        <v>#REF!</v>
      </c>
      <c r="IN2" t="e">
        <f>AND(#REF!,"AAAAADbv/Pc=")</f>
        <v>#REF!</v>
      </c>
      <c r="IO2" t="e">
        <f>IF(#REF!,"AAAAADbv/Pg=",0)</f>
        <v>#REF!</v>
      </c>
      <c r="IP2" t="e">
        <f>AND(#REF!,"AAAAADbv/Pk=")</f>
        <v>#REF!</v>
      </c>
      <c r="IQ2" t="e">
        <f>AND(#REF!,"AAAAADbv/Po=")</f>
        <v>#REF!</v>
      </c>
      <c r="IR2" t="e">
        <f>AND(#REF!,"AAAAADbv/Ps=")</f>
        <v>#REF!</v>
      </c>
      <c r="IS2" t="e">
        <f>AND(#REF!,"AAAAADbv/Pw=")</f>
        <v>#REF!</v>
      </c>
      <c r="IT2" t="e">
        <f>AND(#REF!,"AAAAADbv/P0=")</f>
        <v>#REF!</v>
      </c>
      <c r="IU2" t="e">
        <f>AND(#REF!,"AAAAADbv/P4=")</f>
        <v>#REF!</v>
      </c>
      <c r="IV2" t="e">
        <f>AND(#REF!,"AAAAADbv/P8=")</f>
        <v>#REF!</v>
      </c>
    </row>
    <row r="3" spans="1:256">
      <c r="A3" t="e">
        <f>AND(#REF!,"AAAAAH/F+AA=")</f>
        <v>#REF!</v>
      </c>
      <c r="B3" t="e">
        <f>AND(#REF!,"AAAAAH/F+AE=")</f>
        <v>#REF!</v>
      </c>
      <c r="C3" t="e">
        <f>AND(#REF!,"AAAAAH/F+AI=")</f>
        <v>#REF!</v>
      </c>
      <c r="D3" t="e">
        <f>AND(#REF!,"AAAAAH/F+AM=")</f>
        <v>#REF!</v>
      </c>
      <c r="E3" t="e">
        <f>AND(#REF!,"AAAAAH/F+AQ=")</f>
        <v>#REF!</v>
      </c>
      <c r="F3" t="e">
        <f>AND(#REF!,"AAAAAH/F+AU=")</f>
        <v>#REF!</v>
      </c>
      <c r="G3" t="e">
        <f>AND(#REF!,"AAAAAH/F+AY=")</f>
        <v>#REF!</v>
      </c>
      <c r="H3" t="e">
        <f>AND(#REF!,"AAAAAH/F+Ac=")</f>
        <v>#REF!</v>
      </c>
      <c r="I3" t="e">
        <f>AND(#REF!,"AAAAAH/F+Ag=")</f>
        <v>#REF!</v>
      </c>
      <c r="J3" t="e">
        <f>AND(#REF!,"AAAAAH/F+Ak=")</f>
        <v>#REF!</v>
      </c>
      <c r="K3" t="e">
        <f>IF(#REF!,"AAAAAH/F+Ao=",0)</f>
        <v>#REF!</v>
      </c>
      <c r="L3" t="e">
        <f>AND(#REF!,"AAAAAH/F+As=")</f>
        <v>#REF!</v>
      </c>
      <c r="M3" t="e">
        <f>AND(#REF!,"AAAAAH/F+Aw=")</f>
        <v>#REF!</v>
      </c>
      <c r="N3" t="e">
        <f>AND(#REF!,"AAAAAH/F+A0=")</f>
        <v>#REF!</v>
      </c>
      <c r="O3" t="e">
        <f>AND(#REF!,"AAAAAH/F+A4=")</f>
        <v>#REF!</v>
      </c>
      <c r="P3" t="e">
        <f>AND(#REF!,"AAAAAH/F+A8=")</f>
        <v>#REF!</v>
      </c>
      <c r="Q3" t="e">
        <f>AND(#REF!,"AAAAAH/F+BA=")</f>
        <v>#REF!</v>
      </c>
      <c r="R3" t="e">
        <f>AND(#REF!,"AAAAAH/F+BE=")</f>
        <v>#REF!</v>
      </c>
      <c r="S3" t="e">
        <f>AND(#REF!,"AAAAAH/F+BI=")</f>
        <v>#REF!</v>
      </c>
      <c r="T3" t="e">
        <f>AND(#REF!,"AAAAAH/F+BM=")</f>
        <v>#REF!</v>
      </c>
      <c r="U3" t="e">
        <f>AND(#REF!,"AAAAAH/F+BQ=")</f>
        <v>#REF!</v>
      </c>
      <c r="V3" t="e">
        <f>AND(#REF!,"AAAAAH/F+BU=")</f>
        <v>#REF!</v>
      </c>
      <c r="W3" t="e">
        <f>AND(#REF!,"AAAAAH/F+BY=")</f>
        <v>#REF!</v>
      </c>
      <c r="X3" t="e">
        <f>AND(#REF!,"AAAAAH/F+Bc=")</f>
        <v>#REF!</v>
      </c>
      <c r="Y3" t="e">
        <f>AND(#REF!,"AAAAAH/F+Bg=")</f>
        <v>#REF!</v>
      </c>
      <c r="Z3" t="e">
        <f>AND(#REF!,"AAAAAH/F+Bk=")</f>
        <v>#REF!</v>
      </c>
      <c r="AA3" t="e">
        <f>AND(#REF!,"AAAAAH/F+Bo=")</f>
        <v>#REF!</v>
      </c>
      <c r="AB3" t="e">
        <f>AND(#REF!,"AAAAAH/F+Bs=")</f>
        <v>#REF!</v>
      </c>
      <c r="AC3" t="e">
        <f>IF(#REF!,"AAAAAH/F+Bw=",0)</f>
        <v>#REF!</v>
      </c>
      <c r="AD3" t="e">
        <f>AND(#REF!,"AAAAAH/F+B0=")</f>
        <v>#REF!</v>
      </c>
      <c r="AE3" t="e">
        <f>AND(#REF!,"AAAAAH/F+B4=")</f>
        <v>#REF!</v>
      </c>
      <c r="AF3" t="e">
        <f>AND(#REF!,"AAAAAH/F+B8=")</f>
        <v>#REF!</v>
      </c>
      <c r="AG3" t="e">
        <f>AND(#REF!,"AAAAAH/F+CA=")</f>
        <v>#REF!</v>
      </c>
      <c r="AH3" t="e">
        <f>AND(#REF!,"AAAAAH/F+CE=")</f>
        <v>#REF!</v>
      </c>
      <c r="AI3" t="e">
        <f>AND(#REF!,"AAAAAH/F+CI=")</f>
        <v>#REF!</v>
      </c>
      <c r="AJ3" t="e">
        <f>AND(#REF!,"AAAAAH/F+CM=")</f>
        <v>#REF!</v>
      </c>
      <c r="AK3" t="e">
        <f>AND(#REF!,"AAAAAH/F+CQ=")</f>
        <v>#REF!</v>
      </c>
      <c r="AL3" t="e">
        <f>AND(#REF!,"AAAAAH/F+CU=")</f>
        <v>#REF!</v>
      </c>
      <c r="AM3" t="e">
        <f>AND(#REF!,"AAAAAH/F+CY=")</f>
        <v>#REF!</v>
      </c>
      <c r="AN3" t="e">
        <f>AND(#REF!,"AAAAAH/F+Cc=")</f>
        <v>#REF!</v>
      </c>
      <c r="AO3" t="e">
        <f>AND(#REF!,"AAAAAH/F+Cg=")</f>
        <v>#REF!</v>
      </c>
      <c r="AP3" t="e">
        <f>AND(#REF!,"AAAAAH/F+Ck=")</f>
        <v>#REF!</v>
      </c>
      <c r="AQ3" t="e">
        <f>AND(#REF!,"AAAAAH/F+Co=")</f>
        <v>#REF!</v>
      </c>
      <c r="AR3" t="e">
        <f>AND(#REF!,"AAAAAH/F+Cs=")</f>
        <v>#REF!</v>
      </c>
      <c r="AS3" t="e">
        <f>AND(#REF!,"AAAAAH/F+Cw=")</f>
        <v>#REF!</v>
      </c>
      <c r="AT3" t="e">
        <f>AND(#REF!,"AAAAAH/F+C0=")</f>
        <v>#REF!</v>
      </c>
      <c r="AU3" t="e">
        <f>IF(#REF!,"AAAAAH/F+C4=",0)</f>
        <v>#REF!</v>
      </c>
      <c r="AV3" t="e">
        <f>AND(#REF!,"AAAAAH/F+C8=")</f>
        <v>#REF!</v>
      </c>
      <c r="AW3" t="e">
        <f>AND(#REF!,"AAAAAH/F+DA=")</f>
        <v>#REF!</v>
      </c>
      <c r="AX3" t="e">
        <f>AND(#REF!,"AAAAAH/F+DE=")</f>
        <v>#REF!</v>
      </c>
      <c r="AY3" t="e">
        <f>AND(#REF!,"AAAAAH/F+DI=")</f>
        <v>#REF!</v>
      </c>
      <c r="AZ3" t="e">
        <f>AND(#REF!,"AAAAAH/F+DM=")</f>
        <v>#REF!</v>
      </c>
      <c r="BA3" t="e">
        <f>AND(#REF!,"AAAAAH/F+DQ=")</f>
        <v>#REF!</v>
      </c>
      <c r="BB3" t="e">
        <f>AND(#REF!,"AAAAAH/F+DU=")</f>
        <v>#REF!</v>
      </c>
      <c r="BC3" t="e">
        <f>AND(#REF!,"AAAAAH/F+DY=")</f>
        <v>#REF!</v>
      </c>
      <c r="BD3" t="e">
        <f>AND(#REF!,"AAAAAH/F+Dc=")</f>
        <v>#REF!</v>
      </c>
      <c r="BE3" t="e">
        <f>AND(#REF!,"AAAAAH/F+Dg=")</f>
        <v>#REF!</v>
      </c>
      <c r="BF3" t="e">
        <f>AND(#REF!,"AAAAAH/F+Dk=")</f>
        <v>#REF!</v>
      </c>
      <c r="BG3" t="e">
        <f>AND(#REF!,"AAAAAH/F+Do=")</f>
        <v>#REF!</v>
      </c>
      <c r="BH3" t="e">
        <f>AND(#REF!,"AAAAAH/F+Ds=")</f>
        <v>#REF!</v>
      </c>
      <c r="BI3" t="e">
        <f>AND(#REF!,"AAAAAH/F+Dw=")</f>
        <v>#REF!</v>
      </c>
      <c r="BJ3" t="e">
        <f>AND(#REF!,"AAAAAH/F+D0=")</f>
        <v>#REF!</v>
      </c>
      <c r="BK3" t="e">
        <f>AND(#REF!,"AAAAAH/F+D4=")</f>
        <v>#REF!</v>
      </c>
      <c r="BL3" t="e">
        <f>AND(#REF!,"AAAAAH/F+D8=")</f>
        <v>#REF!</v>
      </c>
      <c r="BM3" t="e">
        <f>IF(#REF!,"AAAAAH/F+EA=",0)</f>
        <v>#REF!</v>
      </c>
      <c r="BN3" t="e">
        <f>AND(#REF!,"AAAAAH/F+EE=")</f>
        <v>#REF!</v>
      </c>
      <c r="BO3" t="e">
        <f>AND(#REF!,"AAAAAH/F+EI=")</f>
        <v>#REF!</v>
      </c>
      <c r="BP3" t="e">
        <f>AND(#REF!,"AAAAAH/F+EM=")</f>
        <v>#REF!</v>
      </c>
      <c r="BQ3" t="e">
        <f>AND(#REF!,"AAAAAH/F+EQ=")</f>
        <v>#REF!</v>
      </c>
      <c r="BR3" t="e">
        <f>AND(#REF!,"AAAAAH/F+EU=")</f>
        <v>#REF!</v>
      </c>
      <c r="BS3" t="e">
        <f>AND(#REF!,"AAAAAH/F+EY=")</f>
        <v>#REF!</v>
      </c>
      <c r="BT3" t="e">
        <f>AND(#REF!,"AAAAAH/F+Ec=")</f>
        <v>#REF!</v>
      </c>
      <c r="BU3" t="e">
        <f>AND(#REF!,"AAAAAH/F+Eg=")</f>
        <v>#REF!</v>
      </c>
      <c r="BV3" t="e">
        <f>AND(#REF!,"AAAAAH/F+Ek=")</f>
        <v>#REF!</v>
      </c>
      <c r="BW3" t="e">
        <f>AND(#REF!,"AAAAAH/F+Eo=")</f>
        <v>#REF!</v>
      </c>
      <c r="BX3" t="e">
        <f>AND(#REF!,"AAAAAH/F+Es=")</f>
        <v>#REF!</v>
      </c>
      <c r="BY3" t="e">
        <f>AND(#REF!,"AAAAAH/F+Ew=")</f>
        <v>#REF!</v>
      </c>
      <c r="BZ3" t="e">
        <f>AND(#REF!,"AAAAAH/F+E0=")</f>
        <v>#REF!</v>
      </c>
      <c r="CA3" t="e">
        <f>AND(#REF!,"AAAAAH/F+E4=")</f>
        <v>#REF!</v>
      </c>
      <c r="CB3" t="e">
        <f>AND(#REF!,"AAAAAH/F+E8=")</f>
        <v>#REF!</v>
      </c>
      <c r="CC3" t="e">
        <f>AND(#REF!,"AAAAAH/F+FA=")</f>
        <v>#REF!</v>
      </c>
      <c r="CD3" t="e">
        <f>AND(#REF!,"AAAAAH/F+FE=")</f>
        <v>#REF!</v>
      </c>
      <c r="CE3" t="e">
        <f>IF(#REF!,"AAAAAH/F+FI=",0)</f>
        <v>#REF!</v>
      </c>
      <c r="CF3" t="e">
        <f>AND(#REF!,"AAAAAH/F+FM=")</f>
        <v>#REF!</v>
      </c>
      <c r="CG3" t="e">
        <f>AND(#REF!,"AAAAAH/F+FQ=")</f>
        <v>#REF!</v>
      </c>
      <c r="CH3" t="e">
        <f>AND(#REF!,"AAAAAH/F+FU=")</f>
        <v>#REF!</v>
      </c>
      <c r="CI3" t="e">
        <f>AND(#REF!,"AAAAAH/F+FY=")</f>
        <v>#REF!</v>
      </c>
      <c r="CJ3" t="e">
        <f>AND(#REF!,"AAAAAH/F+Fc=")</f>
        <v>#REF!</v>
      </c>
      <c r="CK3" t="e">
        <f>AND(#REF!,"AAAAAH/F+Fg=")</f>
        <v>#REF!</v>
      </c>
      <c r="CL3" t="e">
        <f>AND(#REF!,"AAAAAH/F+Fk=")</f>
        <v>#REF!</v>
      </c>
      <c r="CM3" t="e">
        <f>AND(#REF!,"AAAAAH/F+Fo=")</f>
        <v>#REF!</v>
      </c>
      <c r="CN3" t="e">
        <f>AND(#REF!,"AAAAAH/F+Fs=")</f>
        <v>#REF!</v>
      </c>
      <c r="CO3" t="e">
        <f>AND(#REF!,"AAAAAH/F+Fw=")</f>
        <v>#REF!</v>
      </c>
      <c r="CP3" t="e">
        <f>AND(#REF!,"AAAAAH/F+F0=")</f>
        <v>#REF!</v>
      </c>
      <c r="CQ3" t="e">
        <f>AND(#REF!,"AAAAAH/F+F4=")</f>
        <v>#REF!</v>
      </c>
      <c r="CR3" t="e">
        <f>AND(#REF!,"AAAAAH/F+F8=")</f>
        <v>#REF!</v>
      </c>
      <c r="CS3" t="e">
        <f>AND(#REF!,"AAAAAH/F+GA=")</f>
        <v>#REF!</v>
      </c>
      <c r="CT3" t="e">
        <f>AND(#REF!,"AAAAAH/F+GE=")</f>
        <v>#REF!</v>
      </c>
      <c r="CU3" t="e">
        <f>AND(#REF!,"AAAAAH/F+GI=")</f>
        <v>#REF!</v>
      </c>
      <c r="CV3" t="e">
        <f>AND(#REF!,"AAAAAH/F+GM=")</f>
        <v>#REF!</v>
      </c>
      <c r="CW3" t="e">
        <f>IF(#REF!,"AAAAAH/F+GQ=",0)</f>
        <v>#REF!</v>
      </c>
      <c r="CX3" t="e">
        <f>AND(#REF!,"AAAAAH/F+GU=")</f>
        <v>#REF!</v>
      </c>
      <c r="CY3" t="e">
        <f>AND(#REF!,"AAAAAH/F+GY=")</f>
        <v>#REF!</v>
      </c>
      <c r="CZ3" t="e">
        <f>AND(#REF!,"AAAAAH/F+Gc=")</f>
        <v>#REF!</v>
      </c>
      <c r="DA3" t="e">
        <f>AND(#REF!,"AAAAAH/F+Gg=")</f>
        <v>#REF!</v>
      </c>
      <c r="DB3" t="e">
        <f>AND(#REF!,"AAAAAH/F+Gk=")</f>
        <v>#REF!</v>
      </c>
      <c r="DC3" t="e">
        <f>AND(#REF!,"AAAAAH/F+Go=")</f>
        <v>#REF!</v>
      </c>
      <c r="DD3" t="e">
        <f>AND(#REF!,"AAAAAH/F+Gs=")</f>
        <v>#REF!</v>
      </c>
      <c r="DE3" t="e">
        <f>AND(#REF!,"AAAAAH/F+Gw=")</f>
        <v>#REF!</v>
      </c>
      <c r="DF3" t="e">
        <f>AND(#REF!,"AAAAAH/F+G0=")</f>
        <v>#REF!</v>
      </c>
      <c r="DG3" t="e">
        <f>AND(#REF!,"AAAAAH/F+G4=")</f>
        <v>#REF!</v>
      </c>
      <c r="DH3" t="e">
        <f>AND(#REF!,"AAAAAH/F+G8=")</f>
        <v>#REF!</v>
      </c>
      <c r="DI3" t="e">
        <f>AND(#REF!,"AAAAAH/F+HA=")</f>
        <v>#REF!</v>
      </c>
      <c r="DJ3" t="e">
        <f>AND(#REF!,"AAAAAH/F+HE=")</f>
        <v>#REF!</v>
      </c>
      <c r="DK3" t="e">
        <f>AND(#REF!,"AAAAAH/F+HI=")</f>
        <v>#REF!</v>
      </c>
      <c r="DL3" t="e">
        <f>AND(#REF!,"AAAAAH/F+HM=")</f>
        <v>#REF!</v>
      </c>
      <c r="DM3" t="e">
        <f>AND(#REF!,"AAAAAH/F+HQ=")</f>
        <v>#REF!</v>
      </c>
      <c r="DN3" t="e">
        <f>AND(#REF!,"AAAAAH/F+HU=")</f>
        <v>#REF!</v>
      </c>
      <c r="DO3" t="e">
        <f>IF(#REF!,"AAAAAH/F+HY=",0)</f>
        <v>#REF!</v>
      </c>
      <c r="DP3" t="e">
        <f>AND(#REF!,"AAAAAH/F+Hc=")</f>
        <v>#REF!</v>
      </c>
      <c r="DQ3" t="e">
        <f>AND(#REF!,"AAAAAH/F+Hg=")</f>
        <v>#REF!</v>
      </c>
      <c r="DR3" t="e">
        <f>AND(#REF!,"AAAAAH/F+Hk=")</f>
        <v>#REF!</v>
      </c>
      <c r="DS3" t="e">
        <f>AND(#REF!,"AAAAAH/F+Ho=")</f>
        <v>#REF!</v>
      </c>
      <c r="DT3" t="e">
        <f>AND(#REF!,"AAAAAH/F+Hs=")</f>
        <v>#REF!</v>
      </c>
      <c r="DU3" t="e">
        <f>AND(#REF!,"AAAAAH/F+Hw=")</f>
        <v>#REF!</v>
      </c>
      <c r="DV3" t="e">
        <f>AND(#REF!,"AAAAAH/F+H0=")</f>
        <v>#REF!</v>
      </c>
      <c r="DW3" t="e">
        <f>AND(#REF!,"AAAAAH/F+H4=")</f>
        <v>#REF!</v>
      </c>
      <c r="DX3" t="e">
        <f>AND(#REF!,"AAAAAH/F+H8=")</f>
        <v>#REF!</v>
      </c>
      <c r="DY3" t="e">
        <f>AND(#REF!,"AAAAAH/F+IA=")</f>
        <v>#REF!</v>
      </c>
      <c r="DZ3" t="e">
        <f>AND(#REF!,"AAAAAH/F+IE=")</f>
        <v>#REF!</v>
      </c>
      <c r="EA3" t="e">
        <f>AND(#REF!,"AAAAAH/F+II=")</f>
        <v>#REF!</v>
      </c>
      <c r="EB3" t="e">
        <f>AND(#REF!,"AAAAAH/F+IM=")</f>
        <v>#REF!</v>
      </c>
      <c r="EC3" t="e">
        <f>AND(#REF!,"AAAAAH/F+IQ=")</f>
        <v>#REF!</v>
      </c>
      <c r="ED3" t="e">
        <f>AND(#REF!,"AAAAAH/F+IU=")</f>
        <v>#REF!</v>
      </c>
      <c r="EE3" t="e">
        <f>AND(#REF!,"AAAAAH/F+IY=")</f>
        <v>#REF!</v>
      </c>
      <c r="EF3" t="e">
        <f>AND(#REF!,"AAAAAH/F+Ic=")</f>
        <v>#REF!</v>
      </c>
      <c r="EG3" t="e">
        <f>IF(#REF!,"AAAAAH/F+Ig=",0)</f>
        <v>#REF!</v>
      </c>
      <c r="EH3" t="e">
        <f>AND(#REF!,"AAAAAH/F+Ik=")</f>
        <v>#REF!</v>
      </c>
      <c r="EI3" t="e">
        <f>AND(#REF!,"AAAAAH/F+Io=")</f>
        <v>#REF!</v>
      </c>
      <c r="EJ3" t="e">
        <f>AND(#REF!,"AAAAAH/F+Is=")</f>
        <v>#REF!</v>
      </c>
      <c r="EK3" t="e">
        <f>AND(#REF!,"AAAAAH/F+Iw=")</f>
        <v>#REF!</v>
      </c>
      <c r="EL3" t="e">
        <f>AND(#REF!,"AAAAAH/F+I0=")</f>
        <v>#REF!</v>
      </c>
      <c r="EM3" t="e">
        <f>AND(#REF!,"AAAAAH/F+I4=")</f>
        <v>#REF!</v>
      </c>
      <c r="EN3" t="e">
        <f>AND(#REF!,"AAAAAH/F+I8=")</f>
        <v>#REF!</v>
      </c>
      <c r="EO3" t="e">
        <f>AND(#REF!,"AAAAAH/F+JA=")</f>
        <v>#REF!</v>
      </c>
      <c r="EP3" t="e">
        <f>AND(#REF!,"AAAAAH/F+JE=")</f>
        <v>#REF!</v>
      </c>
      <c r="EQ3" t="e">
        <f>AND(#REF!,"AAAAAH/F+JI=")</f>
        <v>#REF!</v>
      </c>
      <c r="ER3" t="e">
        <f>AND(#REF!,"AAAAAH/F+JM=")</f>
        <v>#REF!</v>
      </c>
      <c r="ES3" t="e">
        <f>AND(#REF!,"AAAAAH/F+JQ=")</f>
        <v>#REF!</v>
      </c>
      <c r="ET3" t="e">
        <f>AND(#REF!,"AAAAAH/F+JU=")</f>
        <v>#REF!</v>
      </c>
      <c r="EU3" t="e">
        <f>AND(#REF!,"AAAAAH/F+JY=")</f>
        <v>#REF!</v>
      </c>
      <c r="EV3" t="e">
        <f>AND(#REF!,"AAAAAH/F+Jc=")</f>
        <v>#REF!</v>
      </c>
      <c r="EW3" t="e">
        <f>AND(#REF!,"AAAAAH/F+Jg=")</f>
        <v>#REF!</v>
      </c>
      <c r="EX3" t="e">
        <f>AND(#REF!,"AAAAAH/F+Jk=")</f>
        <v>#REF!</v>
      </c>
      <c r="EY3" t="e">
        <f>IF(#REF!,"AAAAAH/F+Jo=",0)</f>
        <v>#REF!</v>
      </c>
      <c r="EZ3" t="e">
        <f>IF(#REF!,"AAAAAH/F+Js=",0)</f>
        <v>#REF!</v>
      </c>
      <c r="FA3" t="e">
        <f>IF(#REF!,"AAAAAH/F+Jw=",0)</f>
        <v>#REF!</v>
      </c>
      <c r="FB3" t="e">
        <f>IF(#REF!,"AAAAAH/F+J0=",0)</f>
        <v>#REF!</v>
      </c>
      <c r="FC3" t="e">
        <f>IF(#REF!,"AAAAAH/F+J4=",0)</f>
        <v>#REF!</v>
      </c>
      <c r="FD3" t="e">
        <f>IF(#REF!,"AAAAAH/F+J8=",0)</f>
        <v>#REF!</v>
      </c>
      <c r="FE3" t="e">
        <f>IF(#REF!,"AAAAAH/F+KA=",0)</f>
        <v>#REF!</v>
      </c>
      <c r="FF3" t="e">
        <f>IF(#REF!,"AAAAAH/F+KE=",0)</f>
        <v>#REF!</v>
      </c>
      <c r="FG3" t="e">
        <f>IF(#REF!,"AAAAAH/F+KI=",0)</f>
        <v>#REF!</v>
      </c>
      <c r="FH3" t="e">
        <f>IF(#REF!,"AAAAAH/F+KM=",0)</f>
        <v>#REF!</v>
      </c>
      <c r="FI3" t="e">
        <f>IF(#REF!,"AAAAAH/F+KQ=",0)</f>
        <v>#REF!</v>
      </c>
      <c r="FJ3" t="e">
        <f>IF(#REF!,"AAAAAH/F+KU=",0)</f>
        <v>#REF!</v>
      </c>
      <c r="FK3" t="e">
        <f>IF(#REF!,"AAAAAH/F+KY=",0)</f>
        <v>#REF!</v>
      </c>
      <c r="FL3" t="e">
        <f>IF(#REF!,"AAAAAH/F+Kc=",0)</f>
        <v>#REF!</v>
      </c>
      <c r="FM3" t="e">
        <f>IF(#REF!,"AAAAAH/F+Kg=",0)</f>
        <v>#REF!</v>
      </c>
      <c r="FN3" t="e">
        <f>IF(#REF!,"AAAAAH/F+Kk=",0)</f>
        <v>#REF!</v>
      </c>
      <c r="FO3" t="e">
        <f>IF(#REF!,"AAAAAH/F+Ko=",0)</f>
        <v>#REF!</v>
      </c>
      <c r="FP3" t="e">
        <f>IF(#REF!,"AAAAAH/F+Ks=",0)</f>
        <v>#REF!</v>
      </c>
      <c r="FQ3" t="e">
        <f>IF(#REF!,"AAAAAH/F+Kw=",0)</f>
        <v>#REF!</v>
      </c>
      <c r="FR3" t="e">
        <f>IF(#REF!,"AAAAAH/F+K0=",0)</f>
        <v>#REF!</v>
      </c>
      <c r="FS3" t="e">
        <f>IF(#REF!,"AAAAAH/F+K4=",0)</f>
        <v>#REF!</v>
      </c>
      <c r="FT3" t="e">
        <f>IF(#REF!,"AAAAAH/F+K8=",0)</f>
        <v>#REF!</v>
      </c>
      <c r="FU3" t="e">
        <f>IF(#REF!,"AAAAAH/F+LA=",0)</f>
        <v>#REF!</v>
      </c>
      <c r="FV3" t="e">
        <f>IF(#REF!,"AAAAAH/F+LE=",0)</f>
        <v>#REF!</v>
      </c>
      <c r="FW3" t="e">
        <f>IF(#REF!,"AAAAAH/F+LI=",0)</f>
        <v>#REF!</v>
      </c>
      <c r="FX3" t="e">
        <f>IF(#REF!,"AAAAAH/F+LM=",0)</f>
        <v>#REF!</v>
      </c>
      <c r="FY3" t="e">
        <f>IF(#REF!,"AAAAAH/F+LQ=",0)</f>
        <v>#REF!</v>
      </c>
      <c r="FZ3" t="e">
        <f>IF(#REF!,"AAAAAH/F+LU=",0)</f>
        <v>#REF!</v>
      </c>
      <c r="GA3" t="e">
        <f>IF(#REF!,"AAAAAH/F+LY=",0)</f>
        <v>#REF!</v>
      </c>
      <c r="GB3" t="e">
        <f>IF(#REF!,"AAAAAH/F+Lc=",0)</f>
        <v>#REF!</v>
      </c>
      <c r="GC3" t="e">
        <f>IF(#REF!,"AAAAAH/F+Lg=",0)</f>
        <v>#REF!</v>
      </c>
      <c r="GD3" t="e">
        <f>IF(#REF!,"AAAAAH/F+Lk=",0)</f>
        <v>#REF!</v>
      </c>
      <c r="GE3" t="e">
        <f>IF(#REF!,"AAAAAH/F+Lo=",0)</f>
        <v>#REF!</v>
      </c>
      <c r="GF3" t="e">
        <f>IF(#REF!,"AAAAAH/F+Ls=",0)</f>
        <v>#REF!</v>
      </c>
      <c r="GG3" t="e">
        <f>IF(#REF!,"AAAAAH/F+Lw=",0)</f>
        <v>#REF!</v>
      </c>
      <c r="GH3" t="e">
        <f>IF(#REF!,"AAAAAH/F+L0=",0)</f>
        <v>#REF!</v>
      </c>
      <c r="GI3" t="e">
        <f>IF(#REF!,"AAAAAH/F+L4=",0)</f>
        <v>#REF!</v>
      </c>
      <c r="GJ3" t="e">
        <f>IF(#REF!,"AAAAAH/F+L8=",0)</f>
        <v>#REF!</v>
      </c>
      <c r="GK3" t="e">
        <f>IF(#REF!,"AAAAAH/F+MA=",0)</f>
        <v>#REF!</v>
      </c>
      <c r="GL3" t="e">
        <f>IF(#REF!,"AAAAAH/F+ME=",0)</f>
        <v>#REF!</v>
      </c>
      <c r="GM3" t="e">
        <f>IF(#REF!,"AAAAAH/F+MI=",0)</f>
        <v>#REF!</v>
      </c>
      <c r="GN3" t="e">
        <f>IF(#REF!,"AAAAAH/F+MM=",0)</f>
        <v>#REF!</v>
      </c>
      <c r="GO3" t="e">
        <f>IF(#REF!,"AAAAAH/F+MQ=",0)</f>
        <v>#REF!</v>
      </c>
      <c r="GP3" t="e">
        <f>IF(#REF!,"AAAAAH/F+MU=",0)</f>
        <v>#REF!</v>
      </c>
      <c r="GQ3" t="e">
        <f>IF(#REF!,"AAAAAH/F+MY=",0)</f>
        <v>#REF!</v>
      </c>
      <c r="GR3" t="e">
        <f>IF(#REF!,"AAAAAH/F+Mc=",0)</f>
        <v>#REF!</v>
      </c>
      <c r="GS3" t="e">
        <f>IF(#REF!,"AAAAAH/F+Mg=",0)</f>
        <v>#REF!</v>
      </c>
      <c r="GT3" t="e">
        <f>IF(#REF!,"AAAAAH/F+Mk=",0)</f>
        <v>#REF!</v>
      </c>
      <c r="GU3" t="e">
        <f>IF(#REF!,"AAAAAH/F+Mo=",0)</f>
        <v>#REF!</v>
      </c>
      <c r="GV3" t="e">
        <f>IF(#REF!,"AAAAAH/F+Ms=",0)</f>
        <v>#REF!</v>
      </c>
      <c r="GW3" t="e">
        <f>IF(#REF!,"AAAAAH/F+Mw=",0)</f>
        <v>#REF!</v>
      </c>
      <c r="GX3" t="e">
        <f>IF(#REF!,"AAAAAH/F+M0=",0)</f>
        <v>#REF!</v>
      </c>
      <c r="GY3" t="e">
        <f>IF(#REF!,"AAAAAH/F+M4=",0)</f>
        <v>#REF!</v>
      </c>
      <c r="GZ3" t="e">
        <f>IF(#REF!,"AAAAAH/F+M8=",0)</f>
        <v>#REF!</v>
      </c>
      <c r="HA3" t="e">
        <f>IF(#REF!,"AAAAAH/F+NA=",0)</f>
        <v>#REF!</v>
      </c>
      <c r="HB3" t="e">
        <f>IF(#REF!,"AAAAAH/F+NE=",0)</f>
        <v>#REF!</v>
      </c>
      <c r="HC3" t="e">
        <f>IF(#REF!,"AAAAAH/F+NI=",0)</f>
        <v>#REF!</v>
      </c>
      <c r="HD3" t="e">
        <f>IF(#REF!,"AAAAAH/F+NM=",0)</f>
        <v>#REF!</v>
      </c>
      <c r="HE3" t="e">
        <f>IF(#REF!,"AAAAAH/F+NQ=",0)</f>
        <v>#REF!</v>
      </c>
      <c r="HF3" t="e">
        <f>IF(#REF!,"AAAAAH/F+NU=",0)</f>
        <v>#REF!</v>
      </c>
      <c r="HG3" t="e">
        <f>IF(#REF!,"AAAAAH/F+NY=",0)</f>
        <v>#REF!</v>
      </c>
      <c r="HH3" t="e">
        <f>IF(#REF!,"AAAAAH/F+Nc=",0)</f>
        <v>#REF!</v>
      </c>
      <c r="HI3" t="e">
        <f>IF(#REF!,"AAAAAH/F+Ng=",0)</f>
        <v>#REF!</v>
      </c>
      <c r="HJ3" t="e">
        <f>IF(#REF!,"AAAAAH/F+Nk=",0)</f>
        <v>#REF!</v>
      </c>
      <c r="HK3" t="e">
        <f>IF(#REF!,"AAAAAH/F+No=",0)</f>
        <v>#REF!</v>
      </c>
      <c r="HL3" t="e">
        <f>IF(#REF!,"AAAAAH/F+Ns=",0)</f>
        <v>#REF!</v>
      </c>
      <c r="HM3" t="e">
        <f>IF(#REF!,"AAAAAH/F+Nw=",0)</f>
        <v>#REF!</v>
      </c>
      <c r="HN3" t="e">
        <f>IF(#REF!,"AAAAAH/F+N0=",0)</f>
        <v>#REF!</v>
      </c>
      <c r="HO3" t="e">
        <f>IF(#REF!,"AAAAAH/F+N4=",0)</f>
        <v>#REF!</v>
      </c>
      <c r="HP3" t="e">
        <f>IF(#REF!,"AAAAAH/F+N8=",0)</f>
        <v>#REF!</v>
      </c>
      <c r="HQ3" t="e">
        <f>IF(#REF!,"AAAAAH/F+OA=",0)</f>
        <v>#REF!</v>
      </c>
      <c r="HR3" t="e">
        <f>IF(#REF!,"AAAAAH/F+OE=",0)</f>
        <v>#REF!</v>
      </c>
      <c r="HS3" t="e">
        <f>IF(#REF!,"AAAAAH/F+OI=",0)</f>
        <v>#REF!</v>
      </c>
      <c r="HT3" t="e">
        <f>AND(#REF!,"AAAAAH/F+OM=")</f>
        <v>#REF!</v>
      </c>
      <c r="HU3" t="e">
        <f>AND(#REF!,"AAAAAH/F+OQ=")</f>
        <v>#REF!</v>
      </c>
      <c r="HV3" t="e">
        <f>AND(#REF!,"AAAAAH/F+OU=")</f>
        <v>#REF!</v>
      </c>
      <c r="HW3" t="e">
        <f>AND(#REF!,"AAAAAH/F+OY=")</f>
        <v>#REF!</v>
      </c>
      <c r="HX3" t="e">
        <f>AND(#REF!,"AAAAAH/F+Oc=")</f>
        <v>#REF!</v>
      </c>
      <c r="HY3" t="e">
        <f>AND(#REF!,"AAAAAH/F+Og=")</f>
        <v>#REF!</v>
      </c>
      <c r="HZ3" t="e">
        <f>AND(#REF!,"AAAAAH/F+Ok=")</f>
        <v>#REF!</v>
      </c>
      <c r="IA3" t="e">
        <f>AND(#REF!,"AAAAAH/F+Oo=")</f>
        <v>#REF!</v>
      </c>
      <c r="IB3" t="e">
        <f>IF(#REF!,"AAAAAH/F+Os=",0)</f>
        <v>#REF!</v>
      </c>
      <c r="IC3" t="e">
        <f>IF(#REF!,"AAAAAH/F+Ow=",0)</f>
        <v>#REF!</v>
      </c>
      <c r="ID3" t="e">
        <f>IF(#REF!,"AAAAAH/F+O0=",0)</f>
        <v>#REF!</v>
      </c>
      <c r="IE3" t="e">
        <f>IF(#REF!,"AAAAAH/F+O4=",0)</f>
        <v>#REF!</v>
      </c>
      <c r="IF3" t="e">
        <f>IF(#REF!,"AAAAAH/F+O8=",0)</f>
        <v>#REF!</v>
      </c>
      <c r="IG3" t="e">
        <f>IF(#REF!,"AAAAAH/F+PA=",0)</f>
        <v>#REF!</v>
      </c>
      <c r="IH3" t="e">
        <f>IF(#REF!,"AAAAAH/F+PE=",0)</f>
        <v>#REF!</v>
      </c>
      <c r="II3" t="e">
        <f>IF(#REF!,"AAAAAH/F+PI=",0)</f>
        <v>#REF!</v>
      </c>
      <c r="IJ3" t="e">
        <f>IF(#REF!,"AAAAAH/F+PM=",0)</f>
        <v>#REF!</v>
      </c>
      <c r="IK3" t="e">
        <f>IF(#REF!,"AAAAAH/F+PQ=",0)</f>
        <v>#REF!</v>
      </c>
      <c r="IL3" t="e">
        <f>IF(#REF!,"AAAAAH/F+PU=",0)</f>
        <v>#REF!</v>
      </c>
      <c r="IM3" t="e">
        <f>IF(#REF!,"AAAAAH/F+PY=",0)</f>
        <v>#REF!</v>
      </c>
      <c r="IN3" t="e">
        <f>IF(#REF!,"AAAAAH/F+Pc=",0)</f>
        <v>#REF!</v>
      </c>
      <c r="IO3" t="e">
        <f>IF(#REF!,"AAAAAH/F+Pg=",0)</f>
        <v>#REF!</v>
      </c>
      <c r="IP3" t="e">
        <f>IF(#REF!,"AAAAAH/F+Pk=",0)</f>
        <v>#REF!</v>
      </c>
      <c r="IQ3" t="e">
        <f>IF(#REF!,"AAAAAH/F+Po=",0)</f>
        <v>#REF!</v>
      </c>
      <c r="IR3" t="e">
        <f>IF(#REF!,"AAAAAH/F+Ps=",0)</f>
        <v>#REF!</v>
      </c>
      <c r="IS3" t="e">
        <f>IF(#REF!,"AAAAAH/F+Pw=",0)</f>
        <v>#REF!</v>
      </c>
      <c r="IT3" t="e">
        <f>IF(#REF!,"AAAAAH/F+P0=",0)</f>
        <v>#REF!</v>
      </c>
      <c r="IU3" t="e">
        <f>IF(#REF!,"AAAAAH/F+P4=",0)</f>
        <v>#REF!</v>
      </c>
      <c r="IV3" t="e">
        <f>IF(#REF!,"AAAAAH/F+P8=",0)</f>
        <v>#REF!</v>
      </c>
    </row>
    <row r="4" spans="1:256">
      <c r="A4" t="e">
        <f>IF(#REF!,"AAAAAC/zqQA=",0)</f>
        <v>#REF!</v>
      </c>
      <c r="B4" t="e">
        <f>IF(#REF!,"AAAAAC/zqQE=",0)</f>
        <v>#REF!</v>
      </c>
      <c r="C4" t="e">
        <f>IF(#REF!,"AAAAAC/zqQI=",0)</f>
        <v>#REF!</v>
      </c>
      <c r="D4" t="e">
        <f>IF(#REF!,"AAAAAC/zqQM=",0)</f>
        <v>#REF!</v>
      </c>
      <c r="E4" t="e">
        <f>IF(#REF!,"AAAAAC/zqQQ=",0)</f>
        <v>#REF!</v>
      </c>
      <c r="F4" t="e">
        <f>IF(#REF!,"AAAAAC/zqQU=",0)</f>
        <v>#REF!</v>
      </c>
      <c r="G4" t="e">
        <f>IF(#REF!,"AAAAAC/zqQY=",0)</f>
        <v>#REF!</v>
      </c>
      <c r="H4" t="e">
        <f>IF(#REF!,"AAAAAC/zqQc=",0)</f>
        <v>#REF!</v>
      </c>
      <c r="I4" t="e">
        <f>IF(#REF!,"AAAAAC/zqQg=",0)</f>
        <v>#REF!</v>
      </c>
      <c r="J4" t="e">
        <f>IF(#REF!,"AAAAAC/zqQk=",0)</f>
        <v>#REF!</v>
      </c>
      <c r="K4" t="e">
        <f>IF(#REF!,"AAAAAC/zqQo=",0)</f>
        <v>#REF!</v>
      </c>
      <c r="L4" t="e">
        <f>IF(#REF!,"AAAAAC/zqQs=",0)</f>
        <v>#REF!</v>
      </c>
      <c r="M4" t="e">
        <f>IF(#REF!,"AAAAAC/zqQw=",0)</f>
        <v>#REF!</v>
      </c>
      <c r="N4" t="e">
        <f>IF(#REF!,"AAAAAC/zqQ0=",0)</f>
        <v>#REF!</v>
      </c>
      <c r="O4" t="e">
        <f>IF(#REF!,"AAAAAC/zqQ4=",0)</f>
        <v>#REF!</v>
      </c>
      <c r="P4" t="e">
        <f>IF(#REF!,"AAAAAC/zqQ8=",0)</f>
        <v>#REF!</v>
      </c>
      <c r="Q4" t="e">
        <f>IF(#REF!,"AAAAAC/zqRA=",0)</f>
        <v>#REF!</v>
      </c>
      <c r="R4" t="e">
        <f>IF(#REF!,"AAAAAC/zqRE=",0)</f>
        <v>#REF!</v>
      </c>
      <c r="S4" t="e">
        <f>IF(#REF!,"AAAAAC/zqRI=",0)</f>
        <v>#REF!</v>
      </c>
      <c r="T4" t="e">
        <f>IF(#REF!,"AAAAAC/zqRM=",0)</f>
        <v>#REF!</v>
      </c>
      <c r="U4" t="e">
        <f>IF(#REF!,"AAAAAC/zqRQ=",0)</f>
        <v>#REF!</v>
      </c>
      <c r="V4" t="e">
        <f>IF(#REF!,"AAAAAC/zqRU=",0)</f>
        <v>#REF!</v>
      </c>
      <c r="W4" t="e">
        <f>IF(#REF!,"AAAAAC/zqRY=",0)</f>
        <v>#REF!</v>
      </c>
      <c r="X4" t="e">
        <f>IF(#REF!,"AAAAAC/zqRc=",0)</f>
        <v>#REF!</v>
      </c>
      <c r="Y4" t="e">
        <f>IF(#REF!,"AAAAAC/zqRg=",0)</f>
        <v>#REF!</v>
      </c>
      <c r="Z4" t="e">
        <f>IF(#REF!,"AAAAAC/zqRk=",0)</f>
        <v>#REF!</v>
      </c>
      <c r="AA4" t="e">
        <f>IF(#REF!,"AAAAAC/zqRo=",0)</f>
        <v>#REF!</v>
      </c>
      <c r="AB4" t="e">
        <f>IF(#REF!,"AAAAAC/zqRs=",0)</f>
        <v>#REF!</v>
      </c>
      <c r="AC4" t="e">
        <f>IF(#REF!,"AAAAAC/zqRw=",0)</f>
        <v>#REF!</v>
      </c>
      <c r="AD4" t="e">
        <f>IF(#REF!,"AAAAAC/zqR0=",0)</f>
        <v>#REF!</v>
      </c>
      <c r="AE4" t="e">
        <f>IF(#REF!,"AAAAAC/zqR4=",0)</f>
        <v>#REF!</v>
      </c>
      <c r="AF4" t="e">
        <f>IF(#REF!,"AAAAAC/zqR8=",0)</f>
        <v>#REF!</v>
      </c>
      <c r="AG4" t="e">
        <f>IF(#REF!,"AAAAAC/zqSA=",0)</f>
        <v>#REF!</v>
      </c>
      <c r="AH4" t="e">
        <f>IF(#REF!,"AAAAAC/zqSE=",0)</f>
        <v>#REF!</v>
      </c>
      <c r="AI4" t="e">
        <f>IF(#REF!,"AAAAAC/zqSI=",0)</f>
        <v>#REF!</v>
      </c>
      <c r="AJ4" t="e">
        <f>IF(#REF!,"AAAAAC/zqSM=",0)</f>
        <v>#REF!</v>
      </c>
      <c r="AK4" t="e">
        <f>IF(#REF!,"AAAAAC/zqSQ=",0)</f>
        <v>#REF!</v>
      </c>
      <c r="AL4" t="e">
        <f>IF(#REF!,"AAAAAC/zqSU=",0)</f>
        <v>#REF!</v>
      </c>
      <c r="AM4" t="e">
        <f>IF(#REF!,"AAAAAC/zqSY=",0)</f>
        <v>#REF!</v>
      </c>
      <c r="AN4" t="e">
        <f>IF(#REF!,"AAAAAC/zqSc=",0)</f>
        <v>#REF!</v>
      </c>
      <c r="AO4" t="e">
        <f>IF(#REF!,"AAAAAC/zqSg=",0)</f>
        <v>#REF!</v>
      </c>
      <c r="AP4" t="e">
        <f>IF(#REF!,"AAAAAC/zqSk=",0)</f>
        <v>#REF!</v>
      </c>
      <c r="AQ4" t="e">
        <f>IF(#REF!,"AAAAAC/zqSo=",0)</f>
        <v>#REF!</v>
      </c>
      <c r="AR4" t="e">
        <f>IF(#REF!,"AAAAAC/zqSs=",0)</f>
        <v>#REF!</v>
      </c>
      <c r="AS4" t="e">
        <f>IF(#REF!,"AAAAAC/zqSw=",0)</f>
        <v>#REF!</v>
      </c>
      <c r="AT4" t="e">
        <f>IF(#REF!,"AAAAAC/zqS0=",0)</f>
        <v>#REF!</v>
      </c>
      <c r="AU4" t="e">
        <f>IF(#REF!,"AAAAAC/zqS4=",0)</f>
        <v>#REF!</v>
      </c>
      <c r="AV4" t="e">
        <f>IF(#REF!,"AAAAAC/zqS8=",0)</f>
        <v>#REF!</v>
      </c>
      <c r="AW4" t="e">
        <f>IF(#REF!,"AAAAAC/zqTA=",0)</f>
        <v>#REF!</v>
      </c>
      <c r="AX4" t="e">
        <f>IF(#REF!,"AAAAAC/zqTE=",0)</f>
        <v>#REF!</v>
      </c>
      <c r="AY4" t="e">
        <f>IF(#REF!,"AAAAAC/zqTI=",0)</f>
        <v>#REF!</v>
      </c>
      <c r="AZ4" t="e">
        <f>IF(#REF!,"AAAAAC/zqTM=",0)</f>
        <v>#REF!</v>
      </c>
      <c r="BA4" t="e">
        <f>IF(#REF!,"AAAAAC/zqTQ=",0)</f>
        <v>#REF!</v>
      </c>
      <c r="BB4" t="e">
        <f>IF(#REF!,"AAAAAC/zqTU=",0)</f>
        <v>#REF!</v>
      </c>
      <c r="BC4" t="e">
        <f>IF(#REF!,"AAAAAC/zqTY=",0)</f>
        <v>#REF!</v>
      </c>
      <c r="BD4" t="e">
        <f>IF(#REF!,"AAAAAC/zqTc=",0)</f>
        <v>#REF!</v>
      </c>
      <c r="BE4" t="e">
        <f>IF(#REF!,"AAAAAC/zqTg=",0)</f>
        <v>#REF!</v>
      </c>
      <c r="BF4" t="e">
        <f>IF(#REF!,"AAAAAC/zqTk=",0)</f>
        <v>#REF!</v>
      </c>
      <c r="BG4" t="e">
        <f>IF(#REF!,"AAAAAC/zqTo=",0)</f>
        <v>#REF!</v>
      </c>
      <c r="BH4" t="e">
        <f>IF(#REF!,"AAAAAC/zqTs=",0)</f>
        <v>#REF!</v>
      </c>
      <c r="BI4" t="e">
        <f>IF(#REF!,"AAAAAC/zqTw=",0)</f>
        <v>#REF!</v>
      </c>
      <c r="BJ4" t="e">
        <f>IF(#REF!,"AAAAAC/zqT0=",0)</f>
        <v>#REF!</v>
      </c>
      <c r="BK4" t="e">
        <f>IF(#REF!,"AAAAAC/zqT4=",0)</f>
        <v>#REF!</v>
      </c>
      <c r="BL4" t="e">
        <f>IF(#REF!,"AAAAAC/zqT8=",0)</f>
        <v>#REF!</v>
      </c>
      <c r="BM4" t="e">
        <f>IF(#REF!,"AAAAAC/zqUA=",0)</f>
        <v>#REF!</v>
      </c>
      <c r="BN4" t="e">
        <f>IF(#REF!,"AAAAAC/zqUE=",0)</f>
        <v>#REF!</v>
      </c>
      <c r="BO4" t="e">
        <f>IF(#REF!,"AAAAAC/zqUI=",0)</f>
        <v>#REF!</v>
      </c>
      <c r="BP4" t="e">
        <f>IF(#REF!,"AAAAAC/zqUM=",0)</f>
        <v>#REF!</v>
      </c>
      <c r="BQ4" t="e">
        <f>IF(#REF!,"AAAAAC/zqUQ=",0)</f>
        <v>#REF!</v>
      </c>
      <c r="BR4" t="e">
        <f>IF(#REF!,"AAAAAC/zqUU=",0)</f>
        <v>#REF!</v>
      </c>
      <c r="BS4" t="e">
        <f>IF(#REF!,"AAAAAC/zqUY=",0)</f>
        <v>#REF!</v>
      </c>
      <c r="BT4" t="e">
        <f>IF(#REF!,"AAAAAC/zqUc=",0)</f>
        <v>#REF!</v>
      </c>
      <c r="BU4" t="e">
        <f>IF(#REF!,"AAAAAC/zqUg=",0)</f>
        <v>#REF!</v>
      </c>
      <c r="BV4" t="e">
        <f>IF(#REF!,"AAAAAC/zqUk=",0)</f>
        <v>#REF!</v>
      </c>
      <c r="BW4" t="e">
        <f>IF(#REF!,"AAAAAC/zqUo=",0)</f>
        <v>#REF!</v>
      </c>
      <c r="BX4" t="e">
        <f>IF(#REF!,"AAAAAC/zqUs=",0)</f>
        <v>#REF!</v>
      </c>
      <c r="BY4" t="e">
        <f>IF(#REF!,"AAAAAC/zqUw=",0)</f>
        <v>#REF!</v>
      </c>
      <c r="BZ4" t="e">
        <f>IF(#REF!,"AAAAAC/zqU0=",0)</f>
        <v>#REF!</v>
      </c>
      <c r="CA4" t="e">
        <f>IF(#REF!,"AAAAAC/zqU4=",0)</f>
        <v>#REF!</v>
      </c>
      <c r="CB4" t="e">
        <f>IF(#REF!,"AAAAAC/zqU8=",0)</f>
        <v>#REF!</v>
      </c>
      <c r="CC4" t="e">
        <f>IF(#REF!,"AAAAAC/zqVA=",0)</f>
        <v>#REF!</v>
      </c>
      <c r="CD4" t="e">
        <f>IF(#REF!,"AAAAAC/zqVE=",0)</f>
        <v>#REF!</v>
      </c>
      <c r="CE4" t="e">
        <f>IF(#REF!,"AAAAAC/zqVI=",0)</f>
        <v>#REF!</v>
      </c>
      <c r="CF4" t="e">
        <f>IF(#REF!,"AAAAAC/zqVM=",0)</f>
        <v>#REF!</v>
      </c>
      <c r="CG4" t="e">
        <f>IF(#REF!,"AAAAAC/zqVQ=",0)</f>
        <v>#REF!</v>
      </c>
      <c r="CH4" t="e">
        <f>IF(#REF!,"AAAAAC/zqVU=",0)</f>
        <v>#REF!</v>
      </c>
      <c r="CI4" t="e">
        <f>IF(#REF!,"AAAAAC/zqVY=",0)</f>
        <v>#REF!</v>
      </c>
      <c r="CJ4" t="e">
        <f>IF(#REF!,"AAAAAC/zqVc=",0)</f>
        <v>#REF!</v>
      </c>
      <c r="CK4" t="e">
        <f>IF(#REF!,"AAAAAC/zqVg=",0)</f>
        <v>#REF!</v>
      </c>
      <c r="CL4" t="e">
        <f>IF(#REF!,"AAAAAC/zqVk=",0)</f>
        <v>#REF!</v>
      </c>
      <c r="CM4" t="e">
        <f>IF(#REF!,"AAAAAC/zqVo=",0)</f>
        <v>#REF!</v>
      </c>
      <c r="CN4" t="e">
        <f>AND(#REF!,"AAAAAC/zqVs=")</f>
        <v>#REF!</v>
      </c>
      <c r="CO4" t="e">
        <f>AND(#REF!,"AAAAAC/zqVw=")</f>
        <v>#REF!</v>
      </c>
      <c r="CP4" t="e">
        <f>AND(#REF!,"AAAAAC/zqV0=")</f>
        <v>#REF!</v>
      </c>
      <c r="CQ4" t="e">
        <f>AND(#REF!,"AAAAAC/zqV4=")</f>
        <v>#REF!</v>
      </c>
      <c r="CR4" t="e">
        <f>IF(#REF!,"AAAAAC/zqV8=",0)</f>
        <v>#REF!</v>
      </c>
      <c r="CS4" t="e">
        <f>IF(#REF!,"AAAAAC/zqWA=",0)</f>
        <v>#REF!</v>
      </c>
      <c r="CT4" t="e">
        <f>IF(#REF!,"AAAAAC/zqWE=",0)</f>
        <v>#REF!</v>
      </c>
      <c r="CU4" t="e">
        <f>IF(#REF!,"AAAAAC/zqWI=",0)</f>
        <v>#REF!</v>
      </c>
      <c r="CV4" t="e">
        <f>IF(#REF!,"AAAAAC/zqWM=",0)</f>
        <v>#REF!</v>
      </c>
      <c r="CW4" t="e">
        <f>IF(#REF!,"AAAAAC/zqWQ=",0)</f>
        <v>#REF!</v>
      </c>
      <c r="CX4" t="e">
        <f>IF(#REF!,"AAAAAC/zqWU=",0)</f>
        <v>#REF!</v>
      </c>
      <c r="CY4" t="e">
        <f>IF(#REF!,"AAAAAC/zqWY=",0)</f>
        <v>#REF!</v>
      </c>
      <c r="CZ4" t="e">
        <f>IF(#REF!,"AAAAAC/zqWc=",0)</f>
        <v>#REF!</v>
      </c>
      <c r="DA4" t="e">
        <f>IF(#REF!,"AAAAAC/zqWg=",0)</f>
        <v>#REF!</v>
      </c>
      <c r="DB4" t="e">
        <f>IF(#REF!,"AAAAAC/zqWk=",0)</f>
        <v>#REF!</v>
      </c>
      <c r="DC4" t="e">
        <f>IF(#REF!,"AAAAAC/zqWo=",0)</f>
        <v>#REF!</v>
      </c>
      <c r="DD4" t="e">
        <f>IF(#REF!,"AAAAAC/zqWs=",0)</f>
        <v>#REF!</v>
      </c>
      <c r="DE4" t="e">
        <f>IF(#REF!,"AAAAAC/zqWw=",0)</f>
        <v>#REF!</v>
      </c>
      <c r="DF4" t="e">
        <f>IF(#REF!,"AAAAAC/zqW0=",0)</f>
        <v>#REF!</v>
      </c>
      <c r="DG4" t="e">
        <f>IF(#REF!,"AAAAAC/zqW4=",0)</f>
        <v>#REF!</v>
      </c>
      <c r="DH4" t="e">
        <f>IF(#REF!,"AAAAAC/zqW8=",0)</f>
        <v>#REF!</v>
      </c>
      <c r="DI4" t="e">
        <f>IF(#REF!,"AAAAAC/zqXA=",0)</f>
        <v>#REF!</v>
      </c>
      <c r="DJ4" t="e">
        <f>IF(#REF!,"AAAAAC/zqXE=",0)</f>
        <v>#REF!</v>
      </c>
      <c r="DK4" t="e">
        <f>IF(#REF!,"AAAAAC/zqXI=",0)</f>
        <v>#REF!</v>
      </c>
      <c r="DL4" t="e">
        <f>IF(#REF!,"AAAAAC/zqXM=",0)</f>
        <v>#REF!</v>
      </c>
      <c r="DM4" t="e">
        <f>IF(#REF!,"AAAAAC/zqXQ=",0)</f>
        <v>#REF!</v>
      </c>
      <c r="DN4" t="e">
        <f>IF(#REF!,"AAAAAC/zqXU=",0)</f>
        <v>#REF!</v>
      </c>
      <c r="DO4" t="e">
        <f>IF(#REF!,"AAAAAC/zqXY=",0)</f>
        <v>#REF!</v>
      </c>
      <c r="DP4" t="e">
        <f>IF(#REF!,"AAAAAC/zqXc=",0)</f>
        <v>#REF!</v>
      </c>
      <c r="DQ4" t="e">
        <f>IF(#REF!,"AAAAAC/zqXg=",0)</f>
        <v>#REF!</v>
      </c>
      <c r="DR4" t="e">
        <f>IF(#REF!,"AAAAAC/zqXk=",0)</f>
        <v>#REF!</v>
      </c>
      <c r="DS4" t="e">
        <f>IF(#REF!,"AAAAAC/zqXo=",0)</f>
        <v>#REF!</v>
      </c>
      <c r="DT4" t="e">
        <f>IF(#REF!,"AAAAAC/zqXs=",0)</f>
        <v>#REF!</v>
      </c>
      <c r="DU4" t="e">
        <f>IF(#REF!,"AAAAAC/zqXw=",0)</f>
        <v>#REF!</v>
      </c>
      <c r="DV4" t="e">
        <f>IF(#REF!,"AAAAAC/zqX0=",0)</f>
        <v>#REF!</v>
      </c>
      <c r="DW4" t="e">
        <f>IF(#REF!,"AAAAAC/zqX4=",0)</f>
        <v>#REF!</v>
      </c>
      <c r="DX4" t="e">
        <f>IF(#REF!,"AAAAAC/zqX8=",0)</f>
        <v>#REF!</v>
      </c>
      <c r="DY4" t="e">
        <f>IF(#REF!,"AAAAAC/zqYA=",0)</f>
        <v>#REF!</v>
      </c>
      <c r="DZ4" t="e">
        <f>IF(#REF!,"AAAAAC/zqYE=",0)</f>
        <v>#REF!</v>
      </c>
      <c r="EA4" t="e">
        <f>IF(#REF!,"AAAAAC/zqYI=",0)</f>
        <v>#REF!</v>
      </c>
      <c r="EB4" t="e">
        <f>IF(#REF!,"AAAAAC/zqYM=",0)</f>
        <v>#REF!</v>
      </c>
      <c r="EC4" t="e">
        <f>IF(#REF!,"AAAAAC/zqYQ=",0)</f>
        <v>#REF!</v>
      </c>
      <c r="ED4" t="e">
        <f>IF(#REF!,"AAAAAC/zqYU=",0)</f>
        <v>#REF!</v>
      </c>
      <c r="EE4" t="e">
        <f>IF(#REF!,"AAAAAC/zqYY=",0)</f>
        <v>#REF!</v>
      </c>
      <c r="EF4" t="e">
        <f>IF(#REF!,"AAAAAC/zqYc=",0)</f>
        <v>#REF!</v>
      </c>
      <c r="EG4" t="e">
        <f>IF(#REF!,"AAAAAC/zqYg=",0)</f>
        <v>#REF!</v>
      </c>
      <c r="EH4" t="e">
        <f>IF(#REF!,"AAAAAC/zqYk=",0)</f>
        <v>#REF!</v>
      </c>
      <c r="EI4" t="e">
        <f>IF(#REF!,"AAAAAC/zqYo=",0)</f>
        <v>#REF!</v>
      </c>
      <c r="EJ4" t="e">
        <f>IF(#REF!,"AAAAAC/zqYs=",0)</f>
        <v>#REF!</v>
      </c>
      <c r="EK4" t="e">
        <f>IF(#REF!,"AAAAAC/zqYw=",0)</f>
        <v>#REF!</v>
      </c>
      <c r="EL4" t="e">
        <f>IF(#REF!,"AAAAAC/zqY0=",0)</f>
        <v>#REF!</v>
      </c>
      <c r="EM4" t="e">
        <f>IF(#REF!,"AAAAAC/zqY4=",0)</f>
        <v>#REF!</v>
      </c>
      <c r="EN4" t="e">
        <f>IF(#REF!,"AAAAAC/zqY8=",0)</f>
        <v>#REF!</v>
      </c>
      <c r="EO4" t="e">
        <f>IF(#REF!,"AAAAAC/zqZA=",0)</f>
        <v>#REF!</v>
      </c>
      <c r="EP4" t="e">
        <f>IF(#REF!,"AAAAAC/zqZE=",0)</f>
        <v>#REF!</v>
      </c>
      <c r="EQ4" t="e">
        <f>IF(#REF!,"AAAAAC/zqZI=",0)</f>
        <v>#REF!</v>
      </c>
      <c r="ER4" t="e">
        <f>IF(#REF!,"AAAAAC/zqZM=",0)</f>
        <v>#REF!</v>
      </c>
      <c r="ES4" t="e">
        <f>IF(#REF!,"AAAAAC/zqZQ=",0)</f>
        <v>#REF!</v>
      </c>
      <c r="ET4" t="e">
        <f>IF(#REF!,"AAAAAC/zqZU=",0)</f>
        <v>#REF!</v>
      </c>
      <c r="EU4" t="e">
        <f>IF(#REF!,"AAAAAC/zqZY=",0)</f>
        <v>#REF!</v>
      </c>
      <c r="EV4" t="e">
        <f>IF(#REF!,"AAAAAC/zqZc=",0)</f>
        <v>#REF!</v>
      </c>
      <c r="EW4" t="e">
        <f>IF(#REF!,"AAAAAC/zqZg=",0)</f>
        <v>#REF!</v>
      </c>
      <c r="EX4" t="e">
        <f>IF(#REF!,"AAAAAC/zqZk=",0)</f>
        <v>#REF!</v>
      </c>
      <c r="EY4" t="e">
        <f>IF(#REF!,"AAAAAC/zqZo=",0)</f>
        <v>#REF!</v>
      </c>
      <c r="EZ4" t="e">
        <f>IF(#REF!,"AAAAAC/zqZs=",0)</f>
        <v>#REF!</v>
      </c>
      <c r="FA4" t="e">
        <f>IF(#REF!,"AAAAAC/zqZw=",0)</f>
        <v>#REF!</v>
      </c>
      <c r="FB4" t="e">
        <f>IF(#REF!,"AAAAAC/zqZ0=",0)</f>
        <v>#REF!</v>
      </c>
      <c r="FC4" t="e">
        <f>IF(#REF!,"AAAAAC/zqZ4=",0)</f>
        <v>#REF!</v>
      </c>
      <c r="FD4" t="e">
        <f>IF(#REF!,"AAAAAC/zqZ8=",0)</f>
        <v>#REF!</v>
      </c>
      <c r="FE4" t="e">
        <f>IF(#REF!,"AAAAAC/zqaA=",0)</f>
        <v>#REF!</v>
      </c>
      <c r="FF4" t="e">
        <f>IF(#REF!,"AAAAAC/zqaE=",0)</f>
        <v>#REF!</v>
      </c>
      <c r="FG4" t="e">
        <f>IF(#REF!,"AAAAAC/zqaI=",0)</f>
        <v>#REF!</v>
      </c>
      <c r="FH4" t="e">
        <f>IF(#REF!,"AAAAAC/zqaM=",0)</f>
        <v>#REF!</v>
      </c>
      <c r="FI4" t="e">
        <f>IF(#REF!,"AAAAAC/zqaQ=",0)</f>
        <v>#REF!</v>
      </c>
      <c r="FJ4" t="e">
        <f>IF(#REF!,"AAAAAC/zqaU=",0)</f>
        <v>#REF!</v>
      </c>
      <c r="FK4" t="e">
        <f>IF(#REF!,"AAAAAC/zqaY=",0)</f>
        <v>#REF!</v>
      </c>
      <c r="FL4" t="e">
        <f>IF(#REF!,"AAAAAC/zqac=",0)</f>
        <v>#REF!</v>
      </c>
      <c r="FM4" t="e">
        <f>IF(#REF!,"AAAAAC/zqag=",0)</f>
        <v>#REF!</v>
      </c>
      <c r="FN4" t="e">
        <f>IF(#REF!,"AAAAAC/zqak=",0)</f>
        <v>#REF!</v>
      </c>
      <c r="FO4" t="e">
        <f>IF(#REF!,"AAAAAC/zqao=",0)</f>
        <v>#REF!</v>
      </c>
      <c r="FP4" t="e">
        <f>IF(#REF!,"AAAAAC/zqas=",0)</f>
        <v>#REF!</v>
      </c>
      <c r="FQ4" t="e">
        <f>IF(#REF!,"AAAAAC/zqaw=",0)</f>
        <v>#REF!</v>
      </c>
      <c r="FR4" t="e">
        <f>IF(#REF!,"AAAAAC/zqa0=",0)</f>
        <v>#REF!</v>
      </c>
      <c r="FS4" t="e">
        <f>IF(#REF!,"AAAAAC/zqa4=",0)</f>
        <v>#REF!</v>
      </c>
      <c r="FT4" t="e">
        <f>IF(#REF!,"AAAAAC/zqa8=",0)</f>
        <v>#REF!</v>
      </c>
      <c r="FU4" t="e">
        <f>IF(#REF!,"AAAAAC/zqbA=",0)</f>
        <v>#REF!</v>
      </c>
      <c r="FV4" t="e">
        <f>IF(#REF!,"AAAAAC/zqbE=",0)</f>
        <v>#REF!</v>
      </c>
      <c r="FW4" t="e">
        <f>IF(#REF!,"AAAAAC/zqbI=",0)</f>
        <v>#REF!</v>
      </c>
      <c r="FX4" t="e">
        <f>IF(#REF!,"AAAAAC/zqbM=",0)</f>
        <v>#REF!</v>
      </c>
      <c r="FY4" t="e">
        <f>IF(#REF!,"AAAAAC/zqbQ=",0)</f>
        <v>#REF!</v>
      </c>
      <c r="FZ4" t="e">
        <f>IF(#REF!,"AAAAAC/zqbU=",0)</f>
        <v>#REF!</v>
      </c>
      <c r="GA4" t="e">
        <f>IF(#REF!,"AAAAAC/zqbY=",0)</f>
        <v>#REF!</v>
      </c>
      <c r="GB4" t="e">
        <f>IF(#REF!,"AAAAAC/zqbc=",0)</f>
        <v>#REF!</v>
      </c>
      <c r="GC4" t="e">
        <f>IF(#REF!,"AAAAAC/zqbg=",0)</f>
        <v>#REF!</v>
      </c>
      <c r="GD4" t="e">
        <f>IF(#REF!,"AAAAAC/zqbk=",0)</f>
        <v>#REF!</v>
      </c>
      <c r="GE4" t="e">
        <f>IF(#REF!,"AAAAAC/zqbo=",0)</f>
        <v>#REF!</v>
      </c>
      <c r="GF4" t="e">
        <f>IF(#REF!,"AAAAAC/zqbs=",0)</f>
        <v>#REF!</v>
      </c>
      <c r="GG4" t="e">
        <f>IF(#REF!,"AAAAAC/zqbw=",0)</f>
        <v>#REF!</v>
      </c>
      <c r="GH4" t="e">
        <f>IF(#REF!,"AAAAAC/zqb0=",0)</f>
        <v>#REF!</v>
      </c>
      <c r="GI4" t="e">
        <f>IF(#REF!,"AAAAAC/zqb4=",0)</f>
        <v>#REF!</v>
      </c>
      <c r="GJ4" t="e">
        <f>IF(#REF!,"AAAAAC/zqb8=",0)</f>
        <v>#REF!</v>
      </c>
      <c r="GK4" t="e">
        <f>IF(#REF!,"AAAAAC/zqcA=",0)</f>
        <v>#REF!</v>
      </c>
      <c r="GL4" t="e">
        <f>IF(#REF!,"AAAAAC/zqcE=",0)</f>
        <v>#REF!</v>
      </c>
      <c r="GM4" t="e">
        <f>IF(#REF!,"AAAAAC/zqcI=",0)</f>
        <v>#REF!</v>
      </c>
      <c r="GN4" t="e">
        <f>IF(#REF!,"AAAAAC/zqcM=",0)</f>
        <v>#REF!</v>
      </c>
      <c r="GO4" t="e">
        <f>IF(#REF!,"AAAAAC/zqcQ=",0)</f>
        <v>#REF!</v>
      </c>
      <c r="GP4" t="e">
        <f>IF(#REF!,"AAAAAC/zqcU=",0)</f>
        <v>#REF!</v>
      </c>
      <c r="GQ4" t="e">
        <f>IF(#REF!,"AAAAAC/zqcY=",0)</f>
        <v>#REF!</v>
      </c>
      <c r="GR4" t="e">
        <f>IF(#REF!,"AAAAAC/zqcc=",0)</f>
        <v>#REF!</v>
      </c>
      <c r="GS4" t="e">
        <f>IF(#REF!,"AAAAAC/zqcg=",0)</f>
        <v>#REF!</v>
      </c>
      <c r="GT4" t="e">
        <f>IF(#REF!,"AAAAAC/zqck=",0)</f>
        <v>#REF!</v>
      </c>
      <c r="GU4" t="e">
        <f>IF(#REF!,"AAAAAC/zqco=",0)</f>
        <v>#REF!</v>
      </c>
      <c r="GV4" t="e">
        <f>AND(#REF!,"AAAAAC/zqcs=")</f>
        <v>#REF!</v>
      </c>
      <c r="GW4" t="e">
        <f>IF(#REF!,"AAAAAC/zqcw=",0)</f>
        <v>#REF!</v>
      </c>
      <c r="GX4">
        <f>IF(NhatkyBan!1:1,"AAAAAC/zqc0=",0)</f>
        <v>0</v>
      </c>
      <c r="GY4" t="e">
        <f>AND(NhatkyBan!A1,"AAAAAC/zqc4=")</f>
        <v>#VALUE!</v>
      </c>
      <c r="GZ4" t="e">
        <f>AND(NhatkyBan!B1,"AAAAAC/zqc8=")</f>
        <v>#VALUE!</v>
      </c>
      <c r="HA4" t="e">
        <f>AND(NhatkyBan!C1,"AAAAAC/zqdA=")</f>
        <v>#VALUE!</v>
      </c>
      <c r="HB4" t="e">
        <f>AND(NhatkyBan!D1,"AAAAAC/zqdE=")</f>
        <v>#VALUE!</v>
      </c>
      <c r="HC4" t="e">
        <f>AND(NhatkyBan!E1,"AAAAAC/zqdI=")</f>
        <v>#VALUE!</v>
      </c>
      <c r="HD4" t="e">
        <f>AND(NhatkyBan!F1,"AAAAAC/zqdM=")</f>
        <v>#VALUE!</v>
      </c>
      <c r="HE4" t="e">
        <f>AND(NhatkyBan!G1,"AAAAAC/zqdQ=")</f>
        <v>#VALUE!</v>
      </c>
      <c r="HF4" t="e">
        <f>AND(NhatkyBan!H1,"AAAAAC/zqdU=")</f>
        <v>#VALUE!</v>
      </c>
      <c r="HG4" t="e">
        <f>AND(NhatkyBan!I1,"AAAAAC/zqdY=")</f>
        <v>#VALUE!</v>
      </c>
      <c r="HH4" t="e">
        <f>AND(NhatkyBan!J1,"AAAAAC/zqdc=")</f>
        <v>#VALUE!</v>
      </c>
      <c r="HI4" t="e">
        <f>AND(NhatkyBan!K1,"AAAAAC/zqdg=")</f>
        <v>#VALUE!</v>
      </c>
      <c r="HJ4" t="e">
        <f>AND(NhatkyBan!L1,"AAAAAC/zqdk=")</f>
        <v>#VALUE!</v>
      </c>
      <c r="HK4" t="e">
        <f>AND(NhatkyBan!M1,"AAAAAC/zqdo=")</f>
        <v>#VALUE!</v>
      </c>
      <c r="HL4" t="e">
        <f>AND(NhatkyBan!N1,"AAAAAC/zqds=")</f>
        <v>#VALUE!</v>
      </c>
      <c r="HM4" t="e">
        <f>AND(NhatkyBan!O1,"AAAAAC/zqdw=")</f>
        <v>#VALUE!</v>
      </c>
      <c r="HN4" t="e">
        <f>AND(NhatkyBan!P1,"AAAAAC/zqd0=")</f>
        <v>#VALUE!</v>
      </c>
      <c r="HO4" t="e">
        <f>AND(NhatkyBan!Q1,"AAAAAC/zqd4=")</f>
        <v>#VALUE!</v>
      </c>
      <c r="HP4" t="e">
        <f>AND(NhatkyBan!R1,"AAAAAC/zqd8=")</f>
        <v>#VALUE!</v>
      </c>
      <c r="HQ4" t="e">
        <f>AND(NhatkyBan!S1,"AAAAAC/zqeA=")</f>
        <v>#VALUE!</v>
      </c>
      <c r="HR4" t="e">
        <f>AND(NhatkyBan!T1,"AAAAAC/zqeE=")</f>
        <v>#VALUE!</v>
      </c>
      <c r="HS4" t="e">
        <f>AND(NhatkyBan!U1,"AAAAAC/zqeI=")</f>
        <v>#VALUE!</v>
      </c>
      <c r="HT4" t="e">
        <f>AND(NhatkyBan!V1,"AAAAAC/zqeM=")</f>
        <v>#VALUE!</v>
      </c>
      <c r="HU4" t="e">
        <f>AND(NhatkyBan!W1,"AAAAAC/zqeQ=")</f>
        <v>#VALUE!</v>
      </c>
      <c r="HV4" t="e">
        <f>AND(NhatkyBan!X1,"AAAAAC/zqeU=")</f>
        <v>#VALUE!</v>
      </c>
      <c r="HW4" t="e">
        <f>AND(NhatkyBan!Y1,"AAAAAC/zqeY=")</f>
        <v>#VALUE!</v>
      </c>
      <c r="HX4" t="e">
        <f>AND(NhatkyBan!Z1,"AAAAAC/zqec=")</f>
        <v>#VALUE!</v>
      </c>
      <c r="HY4" t="e">
        <f>AND(NhatkyBan!AA1,"AAAAAC/zqeg=")</f>
        <v>#VALUE!</v>
      </c>
      <c r="HZ4" t="e">
        <f>AND(NhatkyBan!AB1,"AAAAAC/zqek=")</f>
        <v>#VALUE!</v>
      </c>
      <c r="IA4" t="e">
        <f>AND(NhatkyBan!AC1,"AAAAAC/zqeo=")</f>
        <v>#VALUE!</v>
      </c>
      <c r="IB4" t="e">
        <f>AND(NhatkyBan!AD1,"AAAAAC/zqes=")</f>
        <v>#VALUE!</v>
      </c>
      <c r="IC4" t="e">
        <f>AND(NhatkyBan!AE1,"AAAAAC/zqew=")</f>
        <v>#VALUE!</v>
      </c>
      <c r="ID4" t="e">
        <f>AND(NhatkyBan!AF1,"AAAAAC/zqe0=")</f>
        <v>#VALUE!</v>
      </c>
      <c r="IE4" t="e">
        <f>AND(NhatkyBan!AG1,"AAAAAC/zqe4=")</f>
        <v>#VALUE!</v>
      </c>
      <c r="IF4" t="e">
        <f>AND(NhatkyBan!AH1,"AAAAAC/zqe8=")</f>
        <v>#VALUE!</v>
      </c>
      <c r="IG4">
        <f>IF(NhatkyBan!2:2,"AAAAAC/zqfA=",0)</f>
        <v>0</v>
      </c>
      <c r="IH4" t="e">
        <f>AND(NhatkyBan!A2,"AAAAAC/zqfE=")</f>
        <v>#VALUE!</v>
      </c>
      <c r="II4" t="e">
        <f>AND(NhatkyBan!B2,"AAAAAC/zqfI=")</f>
        <v>#VALUE!</v>
      </c>
      <c r="IJ4" t="e">
        <f>AND(NhatkyBan!C2,"AAAAAC/zqfM=")</f>
        <v>#VALUE!</v>
      </c>
      <c r="IK4" t="e">
        <f>AND(NhatkyBan!D2,"AAAAAC/zqfQ=")</f>
        <v>#VALUE!</v>
      </c>
      <c r="IL4" t="e">
        <f>AND(NhatkyBan!E2,"AAAAAC/zqfU=")</f>
        <v>#VALUE!</v>
      </c>
      <c r="IM4" t="e">
        <f>AND(NhatkyBan!F2,"AAAAAC/zqfY=")</f>
        <v>#VALUE!</v>
      </c>
      <c r="IN4" t="e">
        <f>AND(NhatkyBan!G2,"AAAAAC/zqfc=")</f>
        <v>#VALUE!</v>
      </c>
      <c r="IO4" t="e">
        <f>AND(NhatkyBan!H2,"AAAAAC/zqfg=")</f>
        <v>#VALUE!</v>
      </c>
      <c r="IP4" t="e">
        <f>AND(NhatkyBan!I2,"AAAAAC/zqfk=")</f>
        <v>#VALUE!</v>
      </c>
      <c r="IQ4" t="e">
        <f>AND(NhatkyBan!J2,"AAAAAC/zqfo=")</f>
        <v>#VALUE!</v>
      </c>
      <c r="IR4" t="e">
        <f>AND(NhatkyBan!K2,"AAAAAC/zqfs=")</f>
        <v>#VALUE!</v>
      </c>
      <c r="IS4" t="e">
        <f>AND(NhatkyBan!L2,"AAAAAC/zqfw=")</f>
        <v>#VALUE!</v>
      </c>
      <c r="IT4" t="e">
        <f>AND(NhatkyBan!M2,"AAAAAC/zqf0=")</f>
        <v>#VALUE!</v>
      </c>
      <c r="IU4" t="e">
        <f>AND(NhatkyBan!N2,"AAAAAC/zqf4=")</f>
        <v>#VALUE!</v>
      </c>
      <c r="IV4" t="e">
        <f>AND(NhatkyBan!O2,"AAAAAC/zqf8=")</f>
        <v>#VALUE!</v>
      </c>
    </row>
    <row r="5" spans="1:256">
      <c r="A5" t="e">
        <f>AND(NhatkyBan!P2,"AAAAABvP2wA=")</f>
        <v>#VALUE!</v>
      </c>
      <c r="B5" t="e">
        <f>AND(NhatkyBan!Q2,"AAAAABvP2wE=")</f>
        <v>#VALUE!</v>
      </c>
      <c r="C5" t="e">
        <f>AND(NhatkyBan!R2,"AAAAABvP2wI=")</f>
        <v>#VALUE!</v>
      </c>
      <c r="D5" t="e">
        <f>AND(NhatkyBan!S2,"AAAAABvP2wM=")</f>
        <v>#VALUE!</v>
      </c>
      <c r="E5" t="e">
        <f>AND(NhatkyBan!T2,"AAAAABvP2wQ=")</f>
        <v>#VALUE!</v>
      </c>
      <c r="F5" t="e">
        <f>AND(NhatkyBan!U2,"AAAAABvP2wU=")</f>
        <v>#VALUE!</v>
      </c>
      <c r="G5" t="e">
        <f>AND(NhatkyBan!V2,"AAAAABvP2wY=")</f>
        <v>#VALUE!</v>
      </c>
      <c r="H5" t="e">
        <f>AND(NhatkyBan!W2,"AAAAABvP2wc=")</f>
        <v>#VALUE!</v>
      </c>
      <c r="I5" t="e">
        <f>AND(NhatkyBan!X2,"AAAAABvP2wg=")</f>
        <v>#VALUE!</v>
      </c>
      <c r="J5" t="e">
        <f>AND(NhatkyBan!Y2,"AAAAABvP2wk=")</f>
        <v>#VALUE!</v>
      </c>
      <c r="K5" t="e">
        <f>AND(NhatkyBan!Z2,"AAAAABvP2wo=")</f>
        <v>#VALUE!</v>
      </c>
      <c r="L5" t="e">
        <f>AND(NhatkyBan!AA2,"AAAAABvP2ws=")</f>
        <v>#VALUE!</v>
      </c>
      <c r="M5" t="e">
        <f>AND(NhatkyBan!AB2,"AAAAABvP2ww=")</f>
        <v>#VALUE!</v>
      </c>
      <c r="N5" t="e">
        <f>AND(NhatkyBan!AC2,"AAAAABvP2w0=")</f>
        <v>#VALUE!</v>
      </c>
      <c r="O5" t="e">
        <f>AND(NhatkyBan!AD2,"AAAAABvP2w4=")</f>
        <v>#VALUE!</v>
      </c>
      <c r="P5" t="e">
        <f>AND(NhatkyBan!AE2,"AAAAABvP2w8=")</f>
        <v>#VALUE!</v>
      </c>
      <c r="Q5" t="e">
        <f>AND(NhatkyBan!AF2,"AAAAABvP2xA=")</f>
        <v>#VALUE!</v>
      </c>
      <c r="R5" t="e">
        <f>AND(NhatkyBan!AG2,"AAAAABvP2xE=")</f>
        <v>#VALUE!</v>
      </c>
      <c r="S5" t="e">
        <f>AND(NhatkyBan!AH2,"AAAAABvP2xI=")</f>
        <v>#VALUE!</v>
      </c>
      <c r="T5" t="e">
        <f>IF(NhatkyBan!3:3,"AAAAABvP2xM=",0)</f>
        <v>#VALUE!</v>
      </c>
      <c r="U5" t="e">
        <f>AND(NhatkyBan!A3,"AAAAABvP2xQ=")</f>
        <v>#VALUE!</v>
      </c>
      <c r="V5" t="e">
        <f>AND(NhatkyBan!B3,"AAAAABvP2xU=")</f>
        <v>#VALUE!</v>
      </c>
      <c r="W5" t="e">
        <f>AND(NhatkyBan!C3,"AAAAABvP2xY=")</f>
        <v>#VALUE!</v>
      </c>
      <c r="X5" t="e">
        <f>AND(NhatkyBan!D3,"AAAAABvP2xc=")</f>
        <v>#VALUE!</v>
      </c>
      <c r="Y5" t="e">
        <f>AND(NhatkyBan!E3,"AAAAABvP2xg=")</f>
        <v>#VALUE!</v>
      </c>
      <c r="Z5" t="e">
        <f>AND(NhatkyBan!F3,"AAAAABvP2xk=")</f>
        <v>#VALUE!</v>
      </c>
      <c r="AA5" t="e">
        <f>AND(NhatkyBan!G3,"AAAAABvP2xo=")</f>
        <v>#VALUE!</v>
      </c>
      <c r="AB5" t="e">
        <f>AND(NhatkyBan!H3,"AAAAABvP2xs=")</f>
        <v>#VALUE!</v>
      </c>
      <c r="AC5" t="e">
        <f>AND(NhatkyBan!I3,"AAAAABvP2xw=")</f>
        <v>#VALUE!</v>
      </c>
      <c r="AD5" t="e">
        <f>AND(NhatkyBan!J3,"AAAAABvP2x0=")</f>
        <v>#VALUE!</v>
      </c>
      <c r="AE5" t="e">
        <f>AND(NhatkyBan!K3,"AAAAABvP2x4=")</f>
        <v>#VALUE!</v>
      </c>
      <c r="AF5" t="e">
        <f>AND(NhatkyBan!L3,"AAAAABvP2x8=")</f>
        <v>#VALUE!</v>
      </c>
      <c r="AG5" t="e">
        <f>AND(NhatkyBan!M3,"AAAAABvP2yA=")</f>
        <v>#VALUE!</v>
      </c>
      <c r="AH5" t="e">
        <f>AND(NhatkyBan!N3,"AAAAABvP2yE=")</f>
        <v>#VALUE!</v>
      </c>
      <c r="AI5" t="e">
        <f>AND(NhatkyBan!O3,"AAAAABvP2yI=")</f>
        <v>#VALUE!</v>
      </c>
      <c r="AJ5" t="e">
        <f>AND(NhatkyBan!P3,"AAAAABvP2yM=")</f>
        <v>#VALUE!</v>
      </c>
      <c r="AK5" t="e">
        <f>AND(NhatkyBan!Q3,"AAAAABvP2yQ=")</f>
        <v>#VALUE!</v>
      </c>
      <c r="AL5" t="e">
        <f>AND(NhatkyBan!R3,"AAAAABvP2yU=")</f>
        <v>#VALUE!</v>
      </c>
      <c r="AM5" t="e">
        <f>AND(NhatkyBan!S3,"AAAAABvP2yY=")</f>
        <v>#VALUE!</v>
      </c>
      <c r="AN5" t="e">
        <f>AND(NhatkyBan!T3,"AAAAABvP2yc=")</f>
        <v>#VALUE!</v>
      </c>
      <c r="AO5" t="e">
        <f>AND(NhatkyBan!U3,"AAAAABvP2yg=")</f>
        <v>#VALUE!</v>
      </c>
      <c r="AP5" t="e">
        <f>AND(NhatkyBan!V3,"AAAAABvP2yk=")</f>
        <v>#VALUE!</v>
      </c>
      <c r="AQ5" t="e">
        <f>AND(NhatkyBan!W3,"AAAAABvP2yo=")</f>
        <v>#VALUE!</v>
      </c>
      <c r="AR5" t="e">
        <f>AND(NhatkyBan!X3,"AAAAABvP2ys=")</f>
        <v>#VALUE!</v>
      </c>
      <c r="AS5" t="e">
        <f>AND(NhatkyBan!Y3,"AAAAABvP2yw=")</f>
        <v>#VALUE!</v>
      </c>
      <c r="AT5" t="e">
        <f>AND(NhatkyBan!Z3,"AAAAABvP2y0=")</f>
        <v>#VALUE!</v>
      </c>
      <c r="AU5" t="e">
        <f>AND(NhatkyBan!AA3,"AAAAABvP2y4=")</f>
        <v>#VALUE!</v>
      </c>
      <c r="AV5" t="e">
        <f>AND(NhatkyBan!AB3,"AAAAABvP2y8=")</f>
        <v>#VALUE!</v>
      </c>
      <c r="AW5" t="e">
        <f>AND(NhatkyBan!AC3,"AAAAABvP2zA=")</f>
        <v>#VALUE!</v>
      </c>
      <c r="AX5" t="e">
        <f>AND(NhatkyBan!AD3,"AAAAABvP2zE=")</f>
        <v>#VALUE!</v>
      </c>
      <c r="AY5" t="e">
        <f>AND(NhatkyBan!AE3,"AAAAABvP2zI=")</f>
        <v>#VALUE!</v>
      </c>
      <c r="AZ5" t="e">
        <f>AND(NhatkyBan!AF3,"AAAAABvP2zM=")</f>
        <v>#VALUE!</v>
      </c>
      <c r="BA5" t="e">
        <f>AND(NhatkyBan!AG3,"AAAAABvP2zQ=")</f>
        <v>#VALUE!</v>
      </c>
      <c r="BB5" t="e">
        <f>AND(NhatkyBan!AH3,"AAAAABvP2zU=")</f>
        <v>#VALUE!</v>
      </c>
      <c r="BC5" t="e">
        <f>IF(NhatkyBan!#REF!,"AAAAABvP2zY=",0)</f>
        <v>#REF!</v>
      </c>
      <c r="BD5" t="e">
        <f>AND(NhatkyBan!#REF!,"AAAAABvP2zc=")</f>
        <v>#REF!</v>
      </c>
      <c r="BE5" t="e">
        <f>AND(NhatkyBan!#REF!,"AAAAABvP2zg=")</f>
        <v>#REF!</v>
      </c>
      <c r="BF5" t="e">
        <f>AND(NhatkyBan!#REF!,"AAAAABvP2zk=")</f>
        <v>#REF!</v>
      </c>
      <c r="BG5" t="e">
        <f>AND(NhatkyBan!#REF!,"AAAAABvP2zo=")</f>
        <v>#REF!</v>
      </c>
      <c r="BH5" t="e">
        <f>AND(NhatkyBan!#REF!,"AAAAABvP2zs=")</f>
        <v>#REF!</v>
      </c>
      <c r="BI5" t="e">
        <f>AND(NhatkyBan!#REF!,"AAAAABvP2zw=")</f>
        <v>#REF!</v>
      </c>
      <c r="BJ5" t="e">
        <f>AND(NhatkyBan!#REF!,"AAAAABvP2z0=")</f>
        <v>#REF!</v>
      </c>
      <c r="BK5" t="e">
        <f>AND(NhatkyBan!#REF!,"AAAAABvP2z4=")</f>
        <v>#REF!</v>
      </c>
      <c r="BL5" t="e">
        <f>AND(NhatkyBan!#REF!,"AAAAABvP2z8=")</f>
        <v>#REF!</v>
      </c>
      <c r="BM5" t="e">
        <f>AND(NhatkyBan!#REF!,"AAAAABvP20A=")</f>
        <v>#REF!</v>
      </c>
      <c r="BN5" t="e">
        <f>AND(NhatkyBan!#REF!,"AAAAABvP20E=")</f>
        <v>#REF!</v>
      </c>
      <c r="BO5" t="e">
        <f>AND(NhatkyBan!#REF!,"AAAAABvP20I=")</f>
        <v>#REF!</v>
      </c>
      <c r="BP5" t="e">
        <f>AND(NhatkyBan!#REF!,"AAAAABvP20M=")</f>
        <v>#REF!</v>
      </c>
      <c r="BQ5" t="e">
        <f>AND(NhatkyBan!#REF!,"AAAAABvP20Q=")</f>
        <v>#REF!</v>
      </c>
      <c r="BR5" t="e">
        <f>AND(NhatkyBan!#REF!,"AAAAABvP20U=")</f>
        <v>#REF!</v>
      </c>
      <c r="BS5" t="e">
        <f>AND(NhatkyBan!#REF!,"AAAAABvP20Y=")</f>
        <v>#REF!</v>
      </c>
      <c r="BT5" t="e">
        <f>AND(NhatkyBan!#REF!,"AAAAABvP20c=")</f>
        <v>#REF!</v>
      </c>
      <c r="BU5" t="e">
        <f>AND(NhatkyBan!#REF!,"AAAAABvP20g=")</f>
        <v>#REF!</v>
      </c>
      <c r="BV5" t="e">
        <f>AND(NhatkyBan!#REF!,"AAAAABvP20k=")</f>
        <v>#REF!</v>
      </c>
      <c r="BW5" t="e">
        <f>AND(NhatkyBan!#REF!,"AAAAABvP20o=")</f>
        <v>#REF!</v>
      </c>
      <c r="BX5" t="e">
        <f>AND(NhatkyBan!#REF!,"AAAAABvP20s=")</f>
        <v>#REF!</v>
      </c>
      <c r="BY5" t="e">
        <f>AND(NhatkyBan!#REF!,"AAAAABvP20w=")</f>
        <v>#REF!</v>
      </c>
      <c r="BZ5" t="e">
        <f>AND(NhatkyBan!#REF!,"AAAAABvP200=")</f>
        <v>#REF!</v>
      </c>
      <c r="CA5" t="e">
        <f>AND(NhatkyBan!#REF!,"AAAAABvP204=")</f>
        <v>#REF!</v>
      </c>
      <c r="CB5" t="e">
        <f>AND(NhatkyBan!#REF!,"AAAAABvP208=")</f>
        <v>#REF!</v>
      </c>
      <c r="CC5" t="e">
        <f>AND(NhatkyBan!#REF!,"AAAAABvP21A=")</f>
        <v>#REF!</v>
      </c>
      <c r="CD5" t="e">
        <f>AND(NhatkyBan!#REF!,"AAAAABvP21E=")</f>
        <v>#REF!</v>
      </c>
      <c r="CE5" t="e">
        <f>AND(NhatkyBan!#REF!,"AAAAABvP21I=")</f>
        <v>#REF!</v>
      </c>
      <c r="CF5" t="e">
        <f>AND(NhatkyBan!#REF!,"AAAAABvP21M=")</f>
        <v>#REF!</v>
      </c>
      <c r="CG5" t="e">
        <f>AND(NhatkyBan!#REF!,"AAAAABvP21Q=")</f>
        <v>#REF!</v>
      </c>
      <c r="CH5" t="e">
        <f>AND(NhatkyBan!#REF!,"AAAAABvP21U=")</f>
        <v>#REF!</v>
      </c>
      <c r="CI5" t="e">
        <f>AND(NhatkyBan!#REF!,"AAAAABvP21Y=")</f>
        <v>#REF!</v>
      </c>
      <c r="CJ5" t="e">
        <f>AND(NhatkyBan!#REF!,"AAAAABvP21c=")</f>
        <v>#REF!</v>
      </c>
      <c r="CK5" t="e">
        <f>AND(NhatkyBan!#REF!,"AAAAABvP21g=")</f>
        <v>#REF!</v>
      </c>
      <c r="CL5" t="e">
        <f>IF(NhatkyBan!#REF!,"AAAAABvP21k=",0)</f>
        <v>#REF!</v>
      </c>
      <c r="CM5" t="e">
        <f>AND(NhatkyBan!#REF!,"AAAAABvP21o=")</f>
        <v>#REF!</v>
      </c>
      <c r="CN5" t="e">
        <f>AND(NhatkyBan!#REF!,"AAAAABvP21s=")</f>
        <v>#REF!</v>
      </c>
      <c r="CO5" t="e">
        <f>AND(NhatkyBan!#REF!,"AAAAABvP21w=")</f>
        <v>#REF!</v>
      </c>
      <c r="CP5" t="e">
        <f>AND(NhatkyBan!#REF!,"AAAAABvP210=")</f>
        <v>#REF!</v>
      </c>
      <c r="CQ5" t="e">
        <f>AND(NhatkyBan!#REF!,"AAAAABvP214=")</f>
        <v>#REF!</v>
      </c>
      <c r="CR5" t="e">
        <f>AND(NhatkyBan!#REF!,"AAAAABvP218=")</f>
        <v>#REF!</v>
      </c>
      <c r="CS5" t="e">
        <f>AND(NhatkyBan!#REF!,"AAAAABvP22A=")</f>
        <v>#REF!</v>
      </c>
      <c r="CT5" t="e">
        <f>AND(NhatkyBan!#REF!,"AAAAABvP22E=")</f>
        <v>#REF!</v>
      </c>
      <c r="CU5" t="e">
        <f>AND(NhatkyBan!#REF!,"AAAAABvP22I=")</f>
        <v>#REF!</v>
      </c>
      <c r="CV5" t="e">
        <f>AND(NhatkyBan!#REF!,"AAAAABvP22M=")</f>
        <v>#REF!</v>
      </c>
      <c r="CW5" t="e">
        <f>AND(NhatkyBan!#REF!,"AAAAABvP22Q=")</f>
        <v>#REF!</v>
      </c>
      <c r="CX5" t="e">
        <f>AND(NhatkyBan!#REF!,"AAAAABvP22U=")</f>
        <v>#REF!</v>
      </c>
      <c r="CY5" t="e">
        <f>AND(NhatkyBan!#REF!,"AAAAABvP22Y=")</f>
        <v>#REF!</v>
      </c>
      <c r="CZ5" t="e">
        <f>AND(NhatkyBan!#REF!,"AAAAABvP22c=")</f>
        <v>#REF!</v>
      </c>
      <c r="DA5" t="e">
        <f>AND(NhatkyBan!#REF!,"AAAAABvP22g=")</f>
        <v>#REF!</v>
      </c>
      <c r="DB5" t="e">
        <f>AND(NhatkyBan!#REF!,"AAAAABvP22k=")</f>
        <v>#REF!</v>
      </c>
      <c r="DC5" t="e">
        <f>AND(NhatkyBan!#REF!,"AAAAABvP22o=")</f>
        <v>#REF!</v>
      </c>
      <c r="DD5" t="e">
        <f>AND(NhatkyBan!#REF!,"AAAAABvP22s=")</f>
        <v>#REF!</v>
      </c>
      <c r="DE5" t="e">
        <f>AND(NhatkyBan!#REF!,"AAAAABvP22w=")</f>
        <v>#REF!</v>
      </c>
      <c r="DF5" t="e">
        <f>AND(NhatkyBan!#REF!,"AAAAABvP220=")</f>
        <v>#REF!</v>
      </c>
      <c r="DG5" t="e">
        <f>AND(NhatkyBan!#REF!,"AAAAABvP224=")</f>
        <v>#REF!</v>
      </c>
      <c r="DH5" t="e">
        <f>AND(NhatkyBan!#REF!,"AAAAABvP228=")</f>
        <v>#REF!</v>
      </c>
      <c r="DI5" t="e">
        <f>AND(NhatkyBan!#REF!,"AAAAABvP23A=")</f>
        <v>#REF!</v>
      </c>
      <c r="DJ5" t="e">
        <f>AND(NhatkyBan!#REF!,"AAAAABvP23E=")</f>
        <v>#REF!</v>
      </c>
      <c r="DK5" t="e">
        <f>AND(NhatkyBan!#REF!,"AAAAABvP23I=")</f>
        <v>#REF!</v>
      </c>
      <c r="DL5" t="e">
        <f>AND(NhatkyBan!#REF!,"AAAAABvP23M=")</f>
        <v>#REF!</v>
      </c>
      <c r="DM5" t="e">
        <f>AND(NhatkyBan!#REF!,"AAAAABvP23Q=")</f>
        <v>#REF!</v>
      </c>
      <c r="DN5" t="e">
        <f>AND(NhatkyBan!#REF!,"AAAAABvP23U=")</f>
        <v>#REF!</v>
      </c>
      <c r="DO5" t="e">
        <f>AND(NhatkyBan!#REF!,"AAAAABvP23Y=")</f>
        <v>#REF!</v>
      </c>
      <c r="DP5" t="e">
        <f>AND(NhatkyBan!#REF!,"AAAAABvP23c=")</f>
        <v>#REF!</v>
      </c>
      <c r="DQ5" t="e">
        <f>AND(NhatkyBan!#REF!,"AAAAABvP23g=")</f>
        <v>#REF!</v>
      </c>
      <c r="DR5" t="e">
        <f>AND(NhatkyBan!#REF!,"AAAAABvP23k=")</f>
        <v>#REF!</v>
      </c>
      <c r="DS5" t="e">
        <f>AND(NhatkyBan!#REF!,"AAAAABvP23o=")</f>
        <v>#REF!</v>
      </c>
      <c r="DT5" t="e">
        <f>AND(NhatkyBan!#REF!,"AAAAABvP23s=")</f>
        <v>#REF!</v>
      </c>
      <c r="DU5" t="e">
        <f>IF(NhatkyBan!#REF!,"AAAAABvP23w=",0)</f>
        <v>#REF!</v>
      </c>
      <c r="DV5" t="e">
        <f>AND(NhatkyBan!#REF!,"AAAAABvP230=")</f>
        <v>#REF!</v>
      </c>
      <c r="DW5" t="e">
        <f>AND(NhatkyBan!#REF!,"AAAAABvP234=")</f>
        <v>#REF!</v>
      </c>
      <c r="DX5" t="e">
        <f>AND(NhatkyBan!#REF!,"AAAAABvP238=")</f>
        <v>#REF!</v>
      </c>
      <c r="DY5" t="e">
        <f>AND(NhatkyBan!#REF!,"AAAAABvP24A=")</f>
        <v>#REF!</v>
      </c>
      <c r="DZ5" t="e">
        <f>AND(NhatkyBan!#REF!,"AAAAABvP24E=")</f>
        <v>#REF!</v>
      </c>
      <c r="EA5" t="e">
        <f>AND(NhatkyBan!#REF!,"AAAAABvP24I=")</f>
        <v>#REF!</v>
      </c>
      <c r="EB5" t="e">
        <f>AND(NhatkyBan!#REF!,"AAAAABvP24M=")</f>
        <v>#REF!</v>
      </c>
      <c r="EC5" t="e">
        <f>AND(NhatkyBan!#REF!,"AAAAABvP24Q=")</f>
        <v>#REF!</v>
      </c>
      <c r="ED5" t="e">
        <f>AND(NhatkyBan!#REF!,"AAAAABvP24U=")</f>
        <v>#REF!</v>
      </c>
      <c r="EE5" t="e">
        <f>AND(NhatkyBan!#REF!,"AAAAABvP24Y=")</f>
        <v>#REF!</v>
      </c>
      <c r="EF5" t="e">
        <f>AND(NhatkyBan!#REF!,"AAAAABvP24c=")</f>
        <v>#REF!</v>
      </c>
      <c r="EG5" t="e">
        <f>AND(NhatkyBan!#REF!,"AAAAABvP24g=")</f>
        <v>#REF!</v>
      </c>
      <c r="EH5" t="e">
        <f>AND(NhatkyBan!#REF!,"AAAAABvP24k=")</f>
        <v>#REF!</v>
      </c>
      <c r="EI5" t="e">
        <f>AND(NhatkyBan!#REF!,"AAAAABvP24o=")</f>
        <v>#REF!</v>
      </c>
      <c r="EJ5" t="e">
        <f>AND(NhatkyBan!#REF!,"AAAAABvP24s=")</f>
        <v>#REF!</v>
      </c>
      <c r="EK5" t="e">
        <f>AND(NhatkyBan!#REF!,"AAAAABvP24w=")</f>
        <v>#REF!</v>
      </c>
      <c r="EL5" t="e">
        <f>AND(NhatkyBan!#REF!,"AAAAABvP240=")</f>
        <v>#REF!</v>
      </c>
      <c r="EM5" t="e">
        <f>AND(NhatkyBan!#REF!,"AAAAABvP244=")</f>
        <v>#REF!</v>
      </c>
      <c r="EN5" t="e">
        <f>AND(NhatkyBan!#REF!,"AAAAABvP248=")</f>
        <v>#REF!</v>
      </c>
      <c r="EO5" t="e">
        <f>AND(NhatkyBan!#REF!,"AAAAABvP25A=")</f>
        <v>#REF!</v>
      </c>
      <c r="EP5" t="e">
        <f>AND(NhatkyBan!#REF!,"AAAAABvP25E=")</f>
        <v>#REF!</v>
      </c>
      <c r="EQ5" t="e">
        <f>AND(NhatkyBan!#REF!,"AAAAABvP25I=")</f>
        <v>#REF!</v>
      </c>
      <c r="ER5" t="e">
        <f>AND(NhatkyBan!#REF!,"AAAAABvP25M=")</f>
        <v>#REF!</v>
      </c>
      <c r="ES5" t="e">
        <f>AND(NhatkyBan!#REF!,"AAAAABvP25Q=")</f>
        <v>#REF!</v>
      </c>
      <c r="ET5" t="e">
        <f>AND(NhatkyBan!#REF!,"AAAAABvP25U=")</f>
        <v>#REF!</v>
      </c>
      <c r="EU5" t="e">
        <f>AND(NhatkyBan!#REF!,"AAAAABvP25Y=")</f>
        <v>#REF!</v>
      </c>
      <c r="EV5" t="e">
        <f>AND(NhatkyBan!#REF!,"AAAAABvP25c=")</f>
        <v>#REF!</v>
      </c>
      <c r="EW5" t="e">
        <f>AND(NhatkyBan!#REF!,"AAAAABvP25g=")</f>
        <v>#REF!</v>
      </c>
      <c r="EX5" t="e">
        <f>AND(NhatkyBan!#REF!,"AAAAABvP25k=")</f>
        <v>#REF!</v>
      </c>
      <c r="EY5" t="e">
        <f>AND(NhatkyBan!#REF!,"AAAAABvP25o=")</f>
        <v>#REF!</v>
      </c>
      <c r="EZ5" t="e">
        <f>AND(NhatkyBan!#REF!,"AAAAABvP25s=")</f>
        <v>#REF!</v>
      </c>
      <c r="FA5" t="e">
        <f>AND(NhatkyBan!#REF!,"AAAAABvP25w=")</f>
        <v>#REF!</v>
      </c>
      <c r="FB5" t="e">
        <f>AND(NhatkyBan!#REF!,"AAAAABvP250=")</f>
        <v>#REF!</v>
      </c>
      <c r="FC5" t="e">
        <f>AND(NhatkyBan!#REF!,"AAAAABvP254=")</f>
        <v>#REF!</v>
      </c>
      <c r="FD5" t="e">
        <f>IF(NhatkyBan!#REF!,"AAAAABvP258=",0)</f>
        <v>#REF!</v>
      </c>
      <c r="FE5" t="e">
        <f>AND(NhatkyBan!#REF!,"AAAAABvP26A=")</f>
        <v>#REF!</v>
      </c>
      <c r="FF5" t="e">
        <f>AND(NhatkyBan!#REF!,"AAAAABvP26E=")</f>
        <v>#REF!</v>
      </c>
      <c r="FG5" t="e">
        <f>AND(NhatkyBan!#REF!,"AAAAABvP26I=")</f>
        <v>#REF!</v>
      </c>
      <c r="FH5" t="e">
        <f>AND(NhatkyBan!#REF!,"AAAAABvP26M=")</f>
        <v>#REF!</v>
      </c>
      <c r="FI5" t="e">
        <f>AND(NhatkyBan!#REF!,"AAAAABvP26Q=")</f>
        <v>#REF!</v>
      </c>
      <c r="FJ5" t="e">
        <f>AND(NhatkyBan!#REF!,"AAAAABvP26U=")</f>
        <v>#REF!</v>
      </c>
      <c r="FK5" t="e">
        <f>AND(NhatkyBan!#REF!,"AAAAABvP26Y=")</f>
        <v>#REF!</v>
      </c>
      <c r="FL5" t="e">
        <f>AND(NhatkyBan!#REF!,"AAAAABvP26c=")</f>
        <v>#REF!</v>
      </c>
      <c r="FM5" t="e">
        <f>AND(NhatkyBan!#REF!,"AAAAABvP26g=")</f>
        <v>#REF!</v>
      </c>
      <c r="FN5" t="e">
        <f>AND(NhatkyBan!#REF!,"AAAAABvP26k=")</f>
        <v>#REF!</v>
      </c>
      <c r="FO5" t="e">
        <f>AND(NhatkyBan!#REF!,"AAAAABvP26o=")</f>
        <v>#REF!</v>
      </c>
      <c r="FP5" t="e">
        <f>AND(NhatkyBan!#REF!,"AAAAABvP26s=")</f>
        <v>#REF!</v>
      </c>
      <c r="FQ5" t="e">
        <f>AND(NhatkyBan!#REF!,"AAAAABvP26w=")</f>
        <v>#REF!</v>
      </c>
      <c r="FR5" t="e">
        <f>AND(NhatkyBan!#REF!,"AAAAABvP260=")</f>
        <v>#REF!</v>
      </c>
      <c r="FS5" t="e">
        <f>AND(NhatkyBan!#REF!,"AAAAABvP264=")</f>
        <v>#REF!</v>
      </c>
      <c r="FT5" t="e">
        <f>AND(NhatkyBan!#REF!,"AAAAABvP268=")</f>
        <v>#REF!</v>
      </c>
      <c r="FU5" t="e">
        <f>AND(NhatkyBan!#REF!,"AAAAABvP27A=")</f>
        <v>#REF!</v>
      </c>
      <c r="FV5" t="e">
        <f>AND(NhatkyBan!#REF!,"AAAAABvP27E=")</f>
        <v>#REF!</v>
      </c>
      <c r="FW5" t="e">
        <f>AND(NhatkyBan!#REF!,"AAAAABvP27I=")</f>
        <v>#REF!</v>
      </c>
      <c r="FX5" t="e">
        <f>AND(NhatkyBan!#REF!,"AAAAABvP27M=")</f>
        <v>#REF!</v>
      </c>
      <c r="FY5" t="e">
        <f>AND(NhatkyBan!#REF!,"AAAAABvP27Q=")</f>
        <v>#REF!</v>
      </c>
      <c r="FZ5" t="e">
        <f>AND(NhatkyBan!#REF!,"AAAAABvP27U=")</f>
        <v>#REF!</v>
      </c>
      <c r="GA5" t="e">
        <f>AND(NhatkyBan!#REF!,"AAAAABvP27Y=")</f>
        <v>#REF!</v>
      </c>
      <c r="GB5" t="e">
        <f>AND(NhatkyBan!#REF!,"AAAAABvP27c=")</f>
        <v>#REF!</v>
      </c>
      <c r="GC5" t="e">
        <f>AND(NhatkyBan!#REF!,"AAAAABvP27g=")</f>
        <v>#REF!</v>
      </c>
      <c r="GD5" t="e">
        <f>AND(NhatkyBan!#REF!,"AAAAABvP27k=")</f>
        <v>#REF!</v>
      </c>
      <c r="GE5" t="e">
        <f>AND(NhatkyBan!#REF!,"AAAAABvP27o=")</f>
        <v>#REF!</v>
      </c>
      <c r="GF5" t="e">
        <f>AND(NhatkyBan!#REF!,"AAAAABvP27s=")</f>
        <v>#REF!</v>
      </c>
      <c r="GG5" t="e">
        <f>AND(NhatkyBan!#REF!,"AAAAABvP27w=")</f>
        <v>#REF!</v>
      </c>
      <c r="GH5" t="e">
        <f>AND(NhatkyBan!#REF!,"AAAAABvP270=")</f>
        <v>#REF!</v>
      </c>
      <c r="GI5" t="e">
        <f>AND(NhatkyBan!#REF!,"AAAAABvP274=")</f>
        <v>#REF!</v>
      </c>
      <c r="GJ5" t="e">
        <f>AND(NhatkyBan!#REF!,"AAAAABvP278=")</f>
        <v>#REF!</v>
      </c>
      <c r="GK5" t="e">
        <f>AND(NhatkyBan!#REF!,"AAAAABvP28A=")</f>
        <v>#REF!</v>
      </c>
      <c r="GL5" t="e">
        <f>AND(NhatkyBan!#REF!,"AAAAABvP28E=")</f>
        <v>#REF!</v>
      </c>
      <c r="GM5" t="e">
        <f>IF(NhatkyBan!#REF!,"AAAAABvP28I=",0)</f>
        <v>#REF!</v>
      </c>
      <c r="GN5" t="e">
        <f>AND(NhatkyBan!#REF!,"AAAAABvP28M=")</f>
        <v>#REF!</v>
      </c>
      <c r="GO5" t="e">
        <f>AND(NhatkyBan!#REF!,"AAAAABvP28Q=")</f>
        <v>#REF!</v>
      </c>
      <c r="GP5" t="e">
        <f>AND(NhatkyBan!#REF!,"AAAAABvP28U=")</f>
        <v>#REF!</v>
      </c>
      <c r="GQ5" t="e">
        <f>AND(NhatkyBan!#REF!,"AAAAABvP28Y=")</f>
        <v>#REF!</v>
      </c>
      <c r="GR5" t="e">
        <f>AND(NhatkyBan!#REF!,"AAAAABvP28c=")</f>
        <v>#REF!</v>
      </c>
      <c r="GS5" t="e">
        <f>AND(NhatkyBan!#REF!,"AAAAABvP28g=")</f>
        <v>#REF!</v>
      </c>
      <c r="GT5" t="e">
        <f>AND(NhatkyBan!#REF!,"AAAAABvP28k=")</f>
        <v>#REF!</v>
      </c>
      <c r="GU5" t="e">
        <f>AND(NhatkyBan!#REF!,"AAAAABvP28o=")</f>
        <v>#REF!</v>
      </c>
      <c r="GV5" t="e">
        <f>AND(NhatkyBan!#REF!,"AAAAABvP28s=")</f>
        <v>#REF!</v>
      </c>
      <c r="GW5" t="e">
        <f>AND(NhatkyBan!#REF!,"AAAAABvP28w=")</f>
        <v>#REF!</v>
      </c>
      <c r="GX5" t="e">
        <f>AND(NhatkyBan!#REF!,"AAAAABvP280=")</f>
        <v>#REF!</v>
      </c>
      <c r="GY5" t="e">
        <f>AND(NhatkyBan!#REF!,"AAAAABvP284=")</f>
        <v>#REF!</v>
      </c>
      <c r="GZ5" t="e">
        <f>AND(NhatkyBan!#REF!,"AAAAABvP288=")</f>
        <v>#REF!</v>
      </c>
      <c r="HA5" t="e">
        <f>AND(NhatkyBan!#REF!,"AAAAABvP29A=")</f>
        <v>#REF!</v>
      </c>
      <c r="HB5" t="e">
        <f>AND(NhatkyBan!#REF!,"AAAAABvP29E=")</f>
        <v>#REF!</v>
      </c>
      <c r="HC5" t="e">
        <f>AND(NhatkyBan!#REF!,"AAAAABvP29I=")</f>
        <v>#REF!</v>
      </c>
      <c r="HD5" t="e">
        <f>AND(NhatkyBan!#REF!,"AAAAABvP29M=")</f>
        <v>#REF!</v>
      </c>
      <c r="HE5" t="e">
        <f>AND(NhatkyBan!#REF!,"AAAAABvP29Q=")</f>
        <v>#REF!</v>
      </c>
      <c r="HF5" t="e">
        <f>AND(NhatkyBan!#REF!,"AAAAABvP29U=")</f>
        <v>#REF!</v>
      </c>
      <c r="HG5" t="e">
        <f>AND(NhatkyBan!#REF!,"AAAAABvP29Y=")</f>
        <v>#REF!</v>
      </c>
      <c r="HH5" t="e">
        <f>AND(NhatkyBan!#REF!,"AAAAABvP29c=")</f>
        <v>#REF!</v>
      </c>
      <c r="HI5" t="e">
        <f>AND(NhatkyBan!#REF!,"AAAAABvP29g=")</f>
        <v>#REF!</v>
      </c>
      <c r="HJ5" t="e">
        <f>AND(NhatkyBan!#REF!,"AAAAABvP29k=")</f>
        <v>#REF!</v>
      </c>
      <c r="HK5" t="e">
        <f>AND(NhatkyBan!#REF!,"AAAAABvP29o=")</f>
        <v>#REF!</v>
      </c>
      <c r="HL5" t="e">
        <f>AND(NhatkyBan!#REF!,"AAAAABvP29s=")</f>
        <v>#REF!</v>
      </c>
      <c r="HM5" t="e">
        <f>AND(NhatkyBan!#REF!,"AAAAABvP29w=")</f>
        <v>#REF!</v>
      </c>
      <c r="HN5" t="e">
        <f>AND(NhatkyBan!#REF!,"AAAAABvP290=")</f>
        <v>#REF!</v>
      </c>
      <c r="HO5" t="e">
        <f>AND(NhatkyBan!#REF!,"AAAAABvP294=")</f>
        <v>#REF!</v>
      </c>
      <c r="HP5" t="e">
        <f>AND(NhatkyBan!#REF!,"AAAAABvP298=")</f>
        <v>#REF!</v>
      </c>
      <c r="HQ5" t="e">
        <f>AND(NhatkyBan!#REF!,"AAAAABvP2+A=")</f>
        <v>#REF!</v>
      </c>
      <c r="HR5" t="e">
        <f>AND(NhatkyBan!#REF!,"AAAAABvP2+E=")</f>
        <v>#REF!</v>
      </c>
      <c r="HS5" t="e">
        <f>AND(NhatkyBan!#REF!,"AAAAABvP2+I=")</f>
        <v>#REF!</v>
      </c>
      <c r="HT5" t="e">
        <f>AND(NhatkyBan!#REF!,"AAAAABvP2+M=")</f>
        <v>#REF!</v>
      </c>
      <c r="HU5" t="e">
        <f>AND(NhatkyBan!#REF!,"AAAAABvP2+Q=")</f>
        <v>#REF!</v>
      </c>
      <c r="HV5" t="e">
        <f>IF(NhatkyBan!#REF!,"AAAAABvP2+U=",0)</f>
        <v>#REF!</v>
      </c>
      <c r="HW5" t="e">
        <f>AND(NhatkyBan!#REF!,"AAAAABvP2+Y=")</f>
        <v>#REF!</v>
      </c>
      <c r="HX5" t="e">
        <f>AND(NhatkyBan!#REF!,"AAAAABvP2+c=")</f>
        <v>#REF!</v>
      </c>
      <c r="HY5" t="e">
        <f>AND(NhatkyBan!#REF!,"AAAAABvP2+g=")</f>
        <v>#REF!</v>
      </c>
      <c r="HZ5" t="e">
        <f>AND(NhatkyBan!#REF!,"AAAAABvP2+k=")</f>
        <v>#REF!</v>
      </c>
      <c r="IA5" t="e">
        <f>AND(NhatkyBan!#REF!,"AAAAABvP2+o=")</f>
        <v>#REF!</v>
      </c>
      <c r="IB5" t="e">
        <f>AND(NhatkyBan!#REF!,"AAAAABvP2+s=")</f>
        <v>#REF!</v>
      </c>
      <c r="IC5" t="e">
        <f>AND(NhatkyBan!#REF!,"AAAAABvP2+w=")</f>
        <v>#REF!</v>
      </c>
      <c r="ID5" t="e">
        <f>AND(NhatkyBan!#REF!,"AAAAABvP2+0=")</f>
        <v>#REF!</v>
      </c>
      <c r="IE5" t="e">
        <f>AND(NhatkyBan!#REF!,"AAAAABvP2+4=")</f>
        <v>#REF!</v>
      </c>
      <c r="IF5" t="e">
        <f>AND(NhatkyBan!#REF!,"AAAAABvP2+8=")</f>
        <v>#REF!</v>
      </c>
      <c r="IG5" t="e">
        <f>AND(NhatkyBan!#REF!,"AAAAABvP2/A=")</f>
        <v>#REF!</v>
      </c>
      <c r="IH5" t="e">
        <f>AND(NhatkyBan!#REF!,"AAAAABvP2/E=")</f>
        <v>#REF!</v>
      </c>
      <c r="II5" t="e">
        <f>AND(NhatkyBan!#REF!,"AAAAABvP2/I=")</f>
        <v>#REF!</v>
      </c>
      <c r="IJ5" t="e">
        <f>AND(NhatkyBan!#REF!,"AAAAABvP2/M=")</f>
        <v>#REF!</v>
      </c>
      <c r="IK5" t="e">
        <f>AND(NhatkyBan!#REF!,"AAAAABvP2/Q=")</f>
        <v>#REF!</v>
      </c>
      <c r="IL5" t="e">
        <f>AND(NhatkyBan!#REF!,"AAAAABvP2/U=")</f>
        <v>#REF!</v>
      </c>
      <c r="IM5" t="e">
        <f>AND(NhatkyBan!#REF!,"AAAAABvP2/Y=")</f>
        <v>#REF!</v>
      </c>
      <c r="IN5" t="e">
        <f>AND(NhatkyBan!#REF!,"AAAAABvP2/c=")</f>
        <v>#REF!</v>
      </c>
      <c r="IO5" t="e">
        <f>AND(NhatkyBan!#REF!,"AAAAABvP2/g=")</f>
        <v>#REF!</v>
      </c>
      <c r="IP5" t="e">
        <f>AND(NhatkyBan!#REF!,"AAAAABvP2/k=")</f>
        <v>#REF!</v>
      </c>
      <c r="IQ5" t="e">
        <f>AND(NhatkyBan!#REF!,"AAAAABvP2/o=")</f>
        <v>#REF!</v>
      </c>
      <c r="IR5" t="e">
        <f>AND(NhatkyBan!#REF!,"AAAAABvP2/s=")</f>
        <v>#REF!</v>
      </c>
      <c r="IS5" t="e">
        <f>AND(NhatkyBan!#REF!,"AAAAABvP2/w=")</f>
        <v>#REF!</v>
      </c>
      <c r="IT5" t="e">
        <f>AND(NhatkyBan!#REF!,"AAAAABvP2/0=")</f>
        <v>#REF!</v>
      </c>
      <c r="IU5" t="e">
        <f>AND(NhatkyBan!#REF!,"AAAAABvP2/4=")</f>
        <v>#REF!</v>
      </c>
      <c r="IV5" t="e">
        <f>AND(NhatkyBan!#REF!,"AAAAABvP2/8=")</f>
        <v>#REF!</v>
      </c>
    </row>
    <row r="6" spans="1:256">
      <c r="A6" t="e">
        <f>AND(NhatkyBan!#REF!,"AAAAAF7tvwA=")</f>
        <v>#REF!</v>
      </c>
      <c r="B6" t="e">
        <f>AND(NhatkyBan!#REF!,"AAAAAF7tvwE=")</f>
        <v>#REF!</v>
      </c>
      <c r="C6" t="e">
        <f>AND(NhatkyBan!#REF!,"AAAAAF7tvwI=")</f>
        <v>#REF!</v>
      </c>
      <c r="D6" t="e">
        <f>AND(NhatkyBan!#REF!,"AAAAAF7tvwM=")</f>
        <v>#REF!</v>
      </c>
      <c r="E6" t="e">
        <f>AND(NhatkyBan!#REF!,"AAAAAF7tvwQ=")</f>
        <v>#REF!</v>
      </c>
      <c r="F6" t="e">
        <f>AND(NhatkyBan!#REF!,"AAAAAF7tvwU=")</f>
        <v>#REF!</v>
      </c>
      <c r="G6" t="e">
        <f>AND(NhatkyBan!#REF!,"AAAAAF7tvwY=")</f>
        <v>#REF!</v>
      </c>
      <c r="H6" t="e">
        <f>AND(NhatkyBan!#REF!,"AAAAAF7tvwc=")</f>
        <v>#REF!</v>
      </c>
      <c r="I6" t="e">
        <f>IF(NhatkyBan!#REF!,"AAAAAF7tvwg=",0)</f>
        <v>#REF!</v>
      </c>
      <c r="J6" t="e">
        <f>AND(NhatkyBan!#REF!,"AAAAAF7tvwk=")</f>
        <v>#REF!</v>
      </c>
      <c r="K6" t="e">
        <f>AND(NhatkyBan!#REF!,"AAAAAF7tvwo=")</f>
        <v>#REF!</v>
      </c>
      <c r="L6" t="e">
        <f>AND(NhatkyBan!#REF!,"AAAAAF7tvws=")</f>
        <v>#REF!</v>
      </c>
      <c r="M6" t="e">
        <f>AND(NhatkyBan!#REF!,"AAAAAF7tvww=")</f>
        <v>#REF!</v>
      </c>
      <c r="N6" t="e">
        <f>AND(NhatkyBan!#REF!,"AAAAAF7tvw0=")</f>
        <v>#REF!</v>
      </c>
      <c r="O6" t="e">
        <f>AND(NhatkyBan!#REF!,"AAAAAF7tvw4=")</f>
        <v>#REF!</v>
      </c>
      <c r="P6" t="e">
        <f>AND(NhatkyBan!#REF!,"AAAAAF7tvw8=")</f>
        <v>#REF!</v>
      </c>
      <c r="Q6" t="e">
        <f>AND(NhatkyBan!#REF!,"AAAAAF7tvxA=")</f>
        <v>#REF!</v>
      </c>
      <c r="R6" t="e">
        <f>AND(NhatkyBan!#REF!,"AAAAAF7tvxE=")</f>
        <v>#REF!</v>
      </c>
      <c r="S6" t="e">
        <f>AND(NhatkyBan!#REF!,"AAAAAF7tvxI=")</f>
        <v>#REF!</v>
      </c>
      <c r="T6" t="e">
        <f>AND(NhatkyBan!#REF!,"AAAAAF7tvxM=")</f>
        <v>#REF!</v>
      </c>
      <c r="U6" t="e">
        <f>AND(NhatkyBan!#REF!,"AAAAAF7tvxQ=")</f>
        <v>#REF!</v>
      </c>
      <c r="V6" t="e">
        <f>AND(NhatkyBan!#REF!,"AAAAAF7tvxU=")</f>
        <v>#REF!</v>
      </c>
      <c r="W6" t="e">
        <f>AND(NhatkyBan!#REF!,"AAAAAF7tvxY=")</f>
        <v>#REF!</v>
      </c>
      <c r="X6" t="e">
        <f>AND(NhatkyBan!#REF!,"AAAAAF7tvxc=")</f>
        <v>#REF!</v>
      </c>
      <c r="Y6" t="e">
        <f>AND(NhatkyBan!#REF!,"AAAAAF7tvxg=")</f>
        <v>#REF!</v>
      </c>
      <c r="Z6" t="e">
        <f>AND(NhatkyBan!#REF!,"AAAAAF7tvxk=")</f>
        <v>#REF!</v>
      </c>
      <c r="AA6" t="e">
        <f>AND(NhatkyBan!#REF!,"AAAAAF7tvxo=")</f>
        <v>#REF!</v>
      </c>
      <c r="AB6" t="e">
        <f>AND(NhatkyBan!#REF!,"AAAAAF7tvxs=")</f>
        <v>#REF!</v>
      </c>
      <c r="AC6" t="e">
        <f>AND(NhatkyBan!#REF!,"AAAAAF7tvxw=")</f>
        <v>#REF!</v>
      </c>
      <c r="AD6" t="e">
        <f>AND(NhatkyBan!#REF!,"AAAAAF7tvx0=")</f>
        <v>#REF!</v>
      </c>
      <c r="AE6" t="e">
        <f>AND(NhatkyBan!#REF!,"AAAAAF7tvx4=")</f>
        <v>#REF!</v>
      </c>
      <c r="AF6" t="e">
        <f>AND(NhatkyBan!#REF!,"AAAAAF7tvx8=")</f>
        <v>#REF!</v>
      </c>
      <c r="AG6" t="e">
        <f>AND(NhatkyBan!#REF!,"AAAAAF7tvyA=")</f>
        <v>#REF!</v>
      </c>
      <c r="AH6" t="e">
        <f>AND(NhatkyBan!#REF!,"AAAAAF7tvyE=")</f>
        <v>#REF!</v>
      </c>
      <c r="AI6" t="e">
        <f>AND(NhatkyBan!#REF!,"AAAAAF7tvyI=")</f>
        <v>#REF!</v>
      </c>
      <c r="AJ6" t="e">
        <f>AND(NhatkyBan!#REF!,"AAAAAF7tvyM=")</f>
        <v>#REF!</v>
      </c>
      <c r="AK6" t="e">
        <f>AND(NhatkyBan!#REF!,"AAAAAF7tvyQ=")</f>
        <v>#REF!</v>
      </c>
      <c r="AL6" t="e">
        <f>AND(NhatkyBan!#REF!,"AAAAAF7tvyU=")</f>
        <v>#REF!</v>
      </c>
      <c r="AM6" t="e">
        <f>AND(NhatkyBan!#REF!,"AAAAAF7tvyY=")</f>
        <v>#REF!</v>
      </c>
      <c r="AN6" t="e">
        <f>AND(NhatkyBan!#REF!,"AAAAAF7tvyc=")</f>
        <v>#REF!</v>
      </c>
      <c r="AO6" t="e">
        <f>AND(NhatkyBan!#REF!,"AAAAAF7tvyg=")</f>
        <v>#REF!</v>
      </c>
      <c r="AP6" t="e">
        <f>AND(NhatkyBan!#REF!,"AAAAAF7tvyk=")</f>
        <v>#REF!</v>
      </c>
      <c r="AQ6" t="e">
        <f>AND(NhatkyBan!#REF!,"AAAAAF7tvyo=")</f>
        <v>#REF!</v>
      </c>
      <c r="AR6" t="e">
        <f>IF(NhatkyBan!#REF!,"AAAAAF7tvys=",0)</f>
        <v>#REF!</v>
      </c>
      <c r="AS6" t="e">
        <f>AND(NhatkyBan!#REF!,"AAAAAF7tvyw=")</f>
        <v>#REF!</v>
      </c>
      <c r="AT6" t="e">
        <f>AND(NhatkyBan!#REF!,"AAAAAF7tvy0=")</f>
        <v>#REF!</v>
      </c>
      <c r="AU6" t="e">
        <f>AND(NhatkyBan!#REF!,"AAAAAF7tvy4=")</f>
        <v>#REF!</v>
      </c>
      <c r="AV6" t="e">
        <f>AND(NhatkyBan!#REF!,"AAAAAF7tvy8=")</f>
        <v>#REF!</v>
      </c>
      <c r="AW6" t="e">
        <f>AND(NhatkyBan!#REF!,"AAAAAF7tvzA=")</f>
        <v>#REF!</v>
      </c>
      <c r="AX6" t="e">
        <f>AND(NhatkyBan!#REF!,"AAAAAF7tvzE=")</f>
        <v>#REF!</v>
      </c>
      <c r="AY6" t="e">
        <f>AND(NhatkyBan!#REF!,"AAAAAF7tvzI=")</f>
        <v>#REF!</v>
      </c>
      <c r="AZ6" t="e">
        <f>AND(NhatkyBan!#REF!,"AAAAAF7tvzM=")</f>
        <v>#REF!</v>
      </c>
      <c r="BA6" t="e">
        <f>AND(NhatkyBan!#REF!,"AAAAAF7tvzQ=")</f>
        <v>#REF!</v>
      </c>
      <c r="BB6" t="e">
        <f>AND(NhatkyBan!#REF!,"AAAAAF7tvzU=")</f>
        <v>#REF!</v>
      </c>
      <c r="BC6" t="e">
        <f>AND(NhatkyBan!#REF!,"AAAAAF7tvzY=")</f>
        <v>#REF!</v>
      </c>
      <c r="BD6" t="e">
        <f>AND(NhatkyBan!#REF!,"AAAAAF7tvzc=")</f>
        <v>#REF!</v>
      </c>
      <c r="BE6" t="e">
        <f>AND(NhatkyBan!#REF!,"AAAAAF7tvzg=")</f>
        <v>#REF!</v>
      </c>
      <c r="BF6" t="e">
        <f>AND(NhatkyBan!#REF!,"AAAAAF7tvzk=")</f>
        <v>#REF!</v>
      </c>
      <c r="BG6" t="e">
        <f>AND(NhatkyBan!#REF!,"AAAAAF7tvzo=")</f>
        <v>#REF!</v>
      </c>
      <c r="BH6" t="e">
        <f>AND(NhatkyBan!#REF!,"AAAAAF7tvzs=")</f>
        <v>#REF!</v>
      </c>
      <c r="BI6" t="e">
        <f>AND(NhatkyBan!#REF!,"AAAAAF7tvzw=")</f>
        <v>#REF!</v>
      </c>
      <c r="BJ6" t="e">
        <f>AND(NhatkyBan!#REF!,"AAAAAF7tvz0=")</f>
        <v>#REF!</v>
      </c>
      <c r="BK6" t="e">
        <f>AND(NhatkyBan!#REF!,"AAAAAF7tvz4=")</f>
        <v>#REF!</v>
      </c>
      <c r="BL6" t="e">
        <f>AND(NhatkyBan!#REF!,"AAAAAF7tvz8=")</f>
        <v>#REF!</v>
      </c>
      <c r="BM6" t="e">
        <f>AND(NhatkyBan!#REF!,"AAAAAF7tv0A=")</f>
        <v>#REF!</v>
      </c>
      <c r="BN6" t="e">
        <f>AND(NhatkyBan!#REF!,"AAAAAF7tv0E=")</f>
        <v>#REF!</v>
      </c>
      <c r="BO6" t="e">
        <f>AND(NhatkyBan!#REF!,"AAAAAF7tv0I=")</f>
        <v>#REF!</v>
      </c>
      <c r="BP6" t="e">
        <f>AND(NhatkyBan!#REF!,"AAAAAF7tv0M=")</f>
        <v>#REF!</v>
      </c>
      <c r="BQ6" t="e">
        <f>AND(NhatkyBan!#REF!,"AAAAAF7tv0Q=")</f>
        <v>#REF!</v>
      </c>
      <c r="BR6" t="e">
        <f>AND(NhatkyBan!#REF!,"AAAAAF7tv0U=")</f>
        <v>#REF!</v>
      </c>
      <c r="BS6" t="e">
        <f>AND(NhatkyBan!#REF!,"AAAAAF7tv0Y=")</f>
        <v>#REF!</v>
      </c>
      <c r="BT6" t="e">
        <f>AND(NhatkyBan!#REF!,"AAAAAF7tv0c=")</f>
        <v>#REF!</v>
      </c>
      <c r="BU6" t="e">
        <f>AND(NhatkyBan!#REF!,"AAAAAF7tv0g=")</f>
        <v>#REF!</v>
      </c>
      <c r="BV6" t="e">
        <f>AND(NhatkyBan!#REF!,"AAAAAF7tv0k=")</f>
        <v>#REF!</v>
      </c>
      <c r="BW6" t="e">
        <f>AND(NhatkyBan!#REF!,"AAAAAF7tv0o=")</f>
        <v>#REF!</v>
      </c>
      <c r="BX6" t="e">
        <f>AND(NhatkyBan!#REF!,"AAAAAF7tv0s=")</f>
        <v>#REF!</v>
      </c>
      <c r="BY6" t="e">
        <f>AND(NhatkyBan!#REF!,"AAAAAF7tv0w=")</f>
        <v>#REF!</v>
      </c>
      <c r="BZ6" t="e">
        <f>AND(NhatkyBan!#REF!,"AAAAAF7tv00=")</f>
        <v>#REF!</v>
      </c>
      <c r="CA6" t="e">
        <f>IF(NhatkyBan!#REF!,"AAAAAF7tv04=",0)</f>
        <v>#REF!</v>
      </c>
      <c r="CB6" t="e">
        <f>AND(NhatkyBan!#REF!,"AAAAAF7tv08=")</f>
        <v>#REF!</v>
      </c>
      <c r="CC6" t="e">
        <f>AND(NhatkyBan!#REF!,"AAAAAF7tv1A=")</f>
        <v>#REF!</v>
      </c>
      <c r="CD6" t="e">
        <f>AND(NhatkyBan!#REF!,"AAAAAF7tv1E=")</f>
        <v>#REF!</v>
      </c>
      <c r="CE6" t="e">
        <f>AND(NhatkyBan!#REF!,"AAAAAF7tv1I=")</f>
        <v>#REF!</v>
      </c>
      <c r="CF6" t="e">
        <f>AND(NhatkyBan!#REF!,"AAAAAF7tv1M=")</f>
        <v>#REF!</v>
      </c>
      <c r="CG6" t="e">
        <f>AND(NhatkyBan!#REF!,"AAAAAF7tv1Q=")</f>
        <v>#REF!</v>
      </c>
      <c r="CH6" t="e">
        <f>AND(NhatkyBan!#REF!,"AAAAAF7tv1U=")</f>
        <v>#REF!</v>
      </c>
      <c r="CI6" t="e">
        <f>AND(NhatkyBan!#REF!,"AAAAAF7tv1Y=")</f>
        <v>#REF!</v>
      </c>
      <c r="CJ6" t="e">
        <f>AND(NhatkyBan!#REF!,"AAAAAF7tv1c=")</f>
        <v>#REF!</v>
      </c>
      <c r="CK6" t="e">
        <f>AND(NhatkyBan!#REF!,"AAAAAF7tv1g=")</f>
        <v>#REF!</v>
      </c>
      <c r="CL6" t="e">
        <f>AND(NhatkyBan!#REF!,"AAAAAF7tv1k=")</f>
        <v>#REF!</v>
      </c>
      <c r="CM6" t="e">
        <f>AND(NhatkyBan!#REF!,"AAAAAF7tv1o=")</f>
        <v>#REF!</v>
      </c>
      <c r="CN6" t="e">
        <f>AND(NhatkyBan!#REF!,"AAAAAF7tv1s=")</f>
        <v>#REF!</v>
      </c>
      <c r="CO6" t="e">
        <f>AND(NhatkyBan!#REF!,"AAAAAF7tv1w=")</f>
        <v>#REF!</v>
      </c>
      <c r="CP6" t="e">
        <f>AND(NhatkyBan!#REF!,"AAAAAF7tv10=")</f>
        <v>#REF!</v>
      </c>
      <c r="CQ6" t="e">
        <f>AND(NhatkyBan!#REF!,"AAAAAF7tv14=")</f>
        <v>#REF!</v>
      </c>
      <c r="CR6" t="e">
        <f>AND(NhatkyBan!#REF!,"AAAAAF7tv18=")</f>
        <v>#REF!</v>
      </c>
      <c r="CS6" t="e">
        <f>AND(NhatkyBan!#REF!,"AAAAAF7tv2A=")</f>
        <v>#REF!</v>
      </c>
      <c r="CT6" t="e">
        <f>AND(NhatkyBan!#REF!,"AAAAAF7tv2E=")</f>
        <v>#REF!</v>
      </c>
      <c r="CU6" t="e">
        <f>AND(NhatkyBan!#REF!,"AAAAAF7tv2I=")</f>
        <v>#REF!</v>
      </c>
      <c r="CV6" t="e">
        <f>AND(NhatkyBan!#REF!,"AAAAAF7tv2M=")</f>
        <v>#REF!</v>
      </c>
      <c r="CW6" t="e">
        <f>AND(NhatkyBan!#REF!,"AAAAAF7tv2Q=")</f>
        <v>#REF!</v>
      </c>
      <c r="CX6" t="e">
        <f>AND(NhatkyBan!#REF!,"AAAAAF7tv2U=")</f>
        <v>#REF!</v>
      </c>
      <c r="CY6" t="e">
        <f>AND(NhatkyBan!#REF!,"AAAAAF7tv2Y=")</f>
        <v>#REF!</v>
      </c>
      <c r="CZ6" t="e">
        <f>AND(NhatkyBan!#REF!,"AAAAAF7tv2c=")</f>
        <v>#REF!</v>
      </c>
      <c r="DA6" t="e">
        <f>AND(NhatkyBan!#REF!,"AAAAAF7tv2g=")</f>
        <v>#REF!</v>
      </c>
      <c r="DB6" t="e">
        <f>AND(NhatkyBan!#REF!,"AAAAAF7tv2k=")</f>
        <v>#REF!</v>
      </c>
      <c r="DC6" t="e">
        <f>AND(NhatkyBan!#REF!,"AAAAAF7tv2o=")</f>
        <v>#REF!</v>
      </c>
      <c r="DD6" t="e">
        <f>AND(NhatkyBan!#REF!,"AAAAAF7tv2s=")</f>
        <v>#REF!</v>
      </c>
      <c r="DE6" t="e">
        <f>AND(NhatkyBan!#REF!,"AAAAAF7tv2w=")</f>
        <v>#REF!</v>
      </c>
      <c r="DF6" t="e">
        <f>AND(NhatkyBan!#REF!,"AAAAAF7tv20=")</f>
        <v>#REF!</v>
      </c>
      <c r="DG6" t="e">
        <f>AND(NhatkyBan!#REF!,"AAAAAF7tv24=")</f>
        <v>#REF!</v>
      </c>
      <c r="DH6" t="e">
        <f>AND(NhatkyBan!#REF!,"AAAAAF7tv28=")</f>
        <v>#REF!</v>
      </c>
      <c r="DI6" t="e">
        <f>AND(NhatkyBan!#REF!,"AAAAAF7tv3A=")</f>
        <v>#REF!</v>
      </c>
      <c r="DJ6" t="e">
        <f>IF(NhatkyBan!#REF!,"AAAAAF7tv3E=",0)</f>
        <v>#REF!</v>
      </c>
      <c r="DK6" t="e">
        <f>AND(NhatkyBan!#REF!,"AAAAAF7tv3I=")</f>
        <v>#REF!</v>
      </c>
      <c r="DL6" t="e">
        <f>AND(NhatkyBan!#REF!,"AAAAAF7tv3M=")</f>
        <v>#REF!</v>
      </c>
      <c r="DM6" t="e">
        <f>AND(NhatkyBan!#REF!,"AAAAAF7tv3Q=")</f>
        <v>#REF!</v>
      </c>
      <c r="DN6" t="e">
        <f>AND(NhatkyBan!#REF!,"AAAAAF7tv3U=")</f>
        <v>#REF!</v>
      </c>
      <c r="DO6" t="e">
        <f>AND(NhatkyBan!#REF!,"AAAAAF7tv3Y=")</f>
        <v>#REF!</v>
      </c>
      <c r="DP6" t="e">
        <f>AND(NhatkyBan!#REF!,"AAAAAF7tv3c=")</f>
        <v>#REF!</v>
      </c>
      <c r="DQ6" t="e">
        <f>AND(NhatkyBan!#REF!,"AAAAAF7tv3g=")</f>
        <v>#REF!</v>
      </c>
      <c r="DR6" t="e">
        <f>AND(NhatkyBan!#REF!,"AAAAAF7tv3k=")</f>
        <v>#REF!</v>
      </c>
      <c r="DS6" t="e">
        <f>AND(NhatkyBan!#REF!,"AAAAAF7tv3o=")</f>
        <v>#REF!</v>
      </c>
      <c r="DT6" t="e">
        <f>AND(NhatkyBan!#REF!,"AAAAAF7tv3s=")</f>
        <v>#REF!</v>
      </c>
      <c r="DU6" t="e">
        <f>AND(NhatkyBan!#REF!,"AAAAAF7tv3w=")</f>
        <v>#REF!</v>
      </c>
      <c r="DV6" t="e">
        <f>AND(NhatkyBan!#REF!,"AAAAAF7tv30=")</f>
        <v>#REF!</v>
      </c>
      <c r="DW6" t="e">
        <f>AND(NhatkyBan!#REF!,"AAAAAF7tv34=")</f>
        <v>#REF!</v>
      </c>
      <c r="DX6" t="e">
        <f>AND(NhatkyBan!#REF!,"AAAAAF7tv38=")</f>
        <v>#REF!</v>
      </c>
      <c r="DY6" t="e">
        <f>AND(NhatkyBan!#REF!,"AAAAAF7tv4A=")</f>
        <v>#REF!</v>
      </c>
      <c r="DZ6" t="e">
        <f>AND(NhatkyBan!#REF!,"AAAAAF7tv4E=")</f>
        <v>#REF!</v>
      </c>
      <c r="EA6" t="e">
        <f>AND(NhatkyBan!#REF!,"AAAAAF7tv4I=")</f>
        <v>#REF!</v>
      </c>
      <c r="EB6" t="e">
        <f>AND(NhatkyBan!#REF!,"AAAAAF7tv4M=")</f>
        <v>#REF!</v>
      </c>
      <c r="EC6" t="e">
        <f>AND(NhatkyBan!#REF!,"AAAAAF7tv4Q=")</f>
        <v>#REF!</v>
      </c>
      <c r="ED6" t="e">
        <f>AND(NhatkyBan!#REF!,"AAAAAF7tv4U=")</f>
        <v>#REF!</v>
      </c>
      <c r="EE6" t="e">
        <f>AND(NhatkyBan!#REF!,"AAAAAF7tv4Y=")</f>
        <v>#REF!</v>
      </c>
      <c r="EF6" t="e">
        <f>AND(NhatkyBan!#REF!,"AAAAAF7tv4c=")</f>
        <v>#REF!</v>
      </c>
      <c r="EG6" t="e">
        <f>AND(NhatkyBan!#REF!,"AAAAAF7tv4g=")</f>
        <v>#REF!</v>
      </c>
      <c r="EH6" t="e">
        <f>AND(NhatkyBan!#REF!,"AAAAAF7tv4k=")</f>
        <v>#REF!</v>
      </c>
      <c r="EI6" t="e">
        <f>AND(NhatkyBan!#REF!,"AAAAAF7tv4o=")</f>
        <v>#REF!</v>
      </c>
      <c r="EJ6" t="e">
        <f>AND(NhatkyBan!#REF!,"AAAAAF7tv4s=")</f>
        <v>#REF!</v>
      </c>
      <c r="EK6" t="e">
        <f>AND(NhatkyBan!#REF!,"AAAAAF7tv4w=")</f>
        <v>#REF!</v>
      </c>
      <c r="EL6" t="e">
        <f>AND(NhatkyBan!#REF!,"AAAAAF7tv40=")</f>
        <v>#REF!</v>
      </c>
      <c r="EM6" t="e">
        <f>AND(NhatkyBan!#REF!,"AAAAAF7tv44=")</f>
        <v>#REF!</v>
      </c>
      <c r="EN6" t="e">
        <f>AND(NhatkyBan!#REF!,"AAAAAF7tv48=")</f>
        <v>#REF!</v>
      </c>
      <c r="EO6" t="e">
        <f>AND(NhatkyBan!#REF!,"AAAAAF7tv5A=")</f>
        <v>#REF!</v>
      </c>
      <c r="EP6" t="e">
        <f>AND(NhatkyBan!#REF!,"AAAAAF7tv5E=")</f>
        <v>#REF!</v>
      </c>
      <c r="EQ6" t="e">
        <f>AND(NhatkyBan!#REF!,"AAAAAF7tv5I=")</f>
        <v>#REF!</v>
      </c>
      <c r="ER6" t="e">
        <f>AND(NhatkyBan!#REF!,"AAAAAF7tv5M=")</f>
        <v>#REF!</v>
      </c>
      <c r="ES6" t="e">
        <f>IF(NhatkyBan!#REF!,"AAAAAF7tv5Q=",0)</f>
        <v>#REF!</v>
      </c>
      <c r="ET6" t="e">
        <f>AND(NhatkyBan!#REF!,"AAAAAF7tv5U=")</f>
        <v>#REF!</v>
      </c>
      <c r="EU6" t="e">
        <f>AND(NhatkyBan!#REF!,"AAAAAF7tv5Y=")</f>
        <v>#REF!</v>
      </c>
      <c r="EV6" t="e">
        <f>AND(NhatkyBan!#REF!,"AAAAAF7tv5c=")</f>
        <v>#REF!</v>
      </c>
      <c r="EW6" t="e">
        <f>AND(NhatkyBan!#REF!,"AAAAAF7tv5g=")</f>
        <v>#REF!</v>
      </c>
      <c r="EX6" t="e">
        <f>AND(NhatkyBan!#REF!,"AAAAAF7tv5k=")</f>
        <v>#REF!</v>
      </c>
      <c r="EY6" t="e">
        <f>AND(NhatkyBan!#REF!,"AAAAAF7tv5o=")</f>
        <v>#REF!</v>
      </c>
      <c r="EZ6" t="e">
        <f>AND(NhatkyBan!#REF!,"AAAAAF7tv5s=")</f>
        <v>#REF!</v>
      </c>
      <c r="FA6" t="e">
        <f>AND(NhatkyBan!#REF!,"AAAAAF7tv5w=")</f>
        <v>#REF!</v>
      </c>
      <c r="FB6" t="e">
        <f>AND(NhatkyBan!#REF!,"AAAAAF7tv50=")</f>
        <v>#REF!</v>
      </c>
      <c r="FC6" t="e">
        <f>AND(NhatkyBan!#REF!,"AAAAAF7tv54=")</f>
        <v>#REF!</v>
      </c>
      <c r="FD6" t="e">
        <f>AND(NhatkyBan!#REF!,"AAAAAF7tv58=")</f>
        <v>#REF!</v>
      </c>
      <c r="FE6" t="e">
        <f>AND(NhatkyBan!#REF!,"AAAAAF7tv6A=")</f>
        <v>#REF!</v>
      </c>
      <c r="FF6" t="e">
        <f>AND(NhatkyBan!#REF!,"AAAAAF7tv6E=")</f>
        <v>#REF!</v>
      </c>
      <c r="FG6" t="e">
        <f>AND(NhatkyBan!#REF!,"AAAAAF7tv6I=")</f>
        <v>#REF!</v>
      </c>
      <c r="FH6" t="e">
        <f>AND(NhatkyBan!#REF!,"AAAAAF7tv6M=")</f>
        <v>#REF!</v>
      </c>
      <c r="FI6" t="e">
        <f>AND(NhatkyBan!#REF!,"AAAAAF7tv6Q=")</f>
        <v>#REF!</v>
      </c>
      <c r="FJ6" t="e">
        <f>AND(NhatkyBan!#REF!,"AAAAAF7tv6U=")</f>
        <v>#REF!</v>
      </c>
      <c r="FK6" t="e">
        <f>AND(NhatkyBan!#REF!,"AAAAAF7tv6Y=")</f>
        <v>#REF!</v>
      </c>
      <c r="FL6" t="e">
        <f>AND(NhatkyBan!#REF!,"AAAAAF7tv6c=")</f>
        <v>#REF!</v>
      </c>
      <c r="FM6" t="e">
        <f>AND(NhatkyBan!#REF!,"AAAAAF7tv6g=")</f>
        <v>#REF!</v>
      </c>
      <c r="FN6" t="e">
        <f>AND(NhatkyBan!#REF!,"AAAAAF7tv6k=")</f>
        <v>#REF!</v>
      </c>
      <c r="FO6" t="e">
        <f>AND(NhatkyBan!#REF!,"AAAAAF7tv6o=")</f>
        <v>#REF!</v>
      </c>
      <c r="FP6" t="e">
        <f>AND(NhatkyBan!#REF!,"AAAAAF7tv6s=")</f>
        <v>#REF!</v>
      </c>
      <c r="FQ6" t="e">
        <f>AND(NhatkyBan!#REF!,"AAAAAF7tv6w=")</f>
        <v>#REF!</v>
      </c>
      <c r="FR6" t="e">
        <f>AND(NhatkyBan!#REF!,"AAAAAF7tv60=")</f>
        <v>#REF!</v>
      </c>
      <c r="FS6" t="e">
        <f>AND(NhatkyBan!#REF!,"AAAAAF7tv64=")</f>
        <v>#REF!</v>
      </c>
      <c r="FT6" t="e">
        <f>AND(NhatkyBan!#REF!,"AAAAAF7tv68=")</f>
        <v>#REF!</v>
      </c>
      <c r="FU6" t="e">
        <f>AND(NhatkyBan!#REF!,"AAAAAF7tv7A=")</f>
        <v>#REF!</v>
      </c>
      <c r="FV6" t="e">
        <f>AND(NhatkyBan!#REF!,"AAAAAF7tv7E=")</f>
        <v>#REF!</v>
      </c>
      <c r="FW6" t="e">
        <f>AND(NhatkyBan!#REF!,"AAAAAF7tv7I=")</f>
        <v>#REF!</v>
      </c>
      <c r="FX6" t="e">
        <f>AND(NhatkyBan!#REF!,"AAAAAF7tv7M=")</f>
        <v>#REF!</v>
      </c>
      <c r="FY6" t="e">
        <f>AND(NhatkyBan!#REF!,"AAAAAF7tv7Q=")</f>
        <v>#REF!</v>
      </c>
      <c r="FZ6" t="e">
        <f>AND(NhatkyBan!#REF!,"AAAAAF7tv7U=")</f>
        <v>#REF!</v>
      </c>
      <c r="GA6" t="e">
        <f>AND(NhatkyBan!#REF!,"AAAAAF7tv7Y=")</f>
        <v>#REF!</v>
      </c>
      <c r="GB6" t="e">
        <f>IF(NhatkyBan!#REF!,"AAAAAF7tv7c=",0)</f>
        <v>#REF!</v>
      </c>
      <c r="GC6" t="e">
        <f>AND(NhatkyBan!#REF!,"AAAAAF7tv7g=")</f>
        <v>#REF!</v>
      </c>
      <c r="GD6" t="e">
        <f>AND(NhatkyBan!#REF!,"AAAAAF7tv7k=")</f>
        <v>#REF!</v>
      </c>
      <c r="GE6" t="e">
        <f>AND(NhatkyBan!#REF!,"AAAAAF7tv7o=")</f>
        <v>#REF!</v>
      </c>
      <c r="GF6" t="e">
        <f>AND(NhatkyBan!#REF!,"AAAAAF7tv7s=")</f>
        <v>#REF!</v>
      </c>
      <c r="GG6" t="e">
        <f>AND(NhatkyBan!#REF!,"AAAAAF7tv7w=")</f>
        <v>#REF!</v>
      </c>
      <c r="GH6" t="e">
        <f>AND(NhatkyBan!#REF!,"AAAAAF7tv70=")</f>
        <v>#REF!</v>
      </c>
      <c r="GI6" t="e">
        <f>AND(NhatkyBan!#REF!,"AAAAAF7tv74=")</f>
        <v>#REF!</v>
      </c>
      <c r="GJ6" t="e">
        <f>AND(NhatkyBan!#REF!,"AAAAAF7tv78=")</f>
        <v>#REF!</v>
      </c>
      <c r="GK6" t="e">
        <f>AND(NhatkyBan!#REF!,"AAAAAF7tv8A=")</f>
        <v>#REF!</v>
      </c>
      <c r="GL6" t="e">
        <f>AND(NhatkyBan!#REF!,"AAAAAF7tv8E=")</f>
        <v>#REF!</v>
      </c>
      <c r="GM6" t="e">
        <f>AND(NhatkyBan!#REF!,"AAAAAF7tv8I=")</f>
        <v>#REF!</v>
      </c>
      <c r="GN6" t="e">
        <f>AND(NhatkyBan!#REF!,"AAAAAF7tv8M=")</f>
        <v>#REF!</v>
      </c>
      <c r="GO6" t="e">
        <f>AND(NhatkyBan!#REF!,"AAAAAF7tv8Q=")</f>
        <v>#REF!</v>
      </c>
      <c r="GP6" t="e">
        <f>AND(NhatkyBan!#REF!,"AAAAAF7tv8U=")</f>
        <v>#REF!</v>
      </c>
      <c r="GQ6" t="e">
        <f>AND(NhatkyBan!#REF!,"AAAAAF7tv8Y=")</f>
        <v>#REF!</v>
      </c>
      <c r="GR6" t="e">
        <f>AND(NhatkyBan!#REF!,"AAAAAF7tv8c=")</f>
        <v>#REF!</v>
      </c>
      <c r="GS6" t="e">
        <f>AND(NhatkyBan!#REF!,"AAAAAF7tv8g=")</f>
        <v>#REF!</v>
      </c>
      <c r="GT6" t="e">
        <f>AND(NhatkyBan!#REF!,"AAAAAF7tv8k=")</f>
        <v>#REF!</v>
      </c>
      <c r="GU6" t="e">
        <f>AND(NhatkyBan!#REF!,"AAAAAF7tv8o=")</f>
        <v>#REF!</v>
      </c>
      <c r="GV6" t="e">
        <f>AND(NhatkyBan!#REF!,"AAAAAF7tv8s=")</f>
        <v>#REF!</v>
      </c>
      <c r="GW6" t="e">
        <f>AND(NhatkyBan!#REF!,"AAAAAF7tv8w=")</f>
        <v>#REF!</v>
      </c>
      <c r="GX6" t="e">
        <f>AND(NhatkyBan!#REF!,"AAAAAF7tv80=")</f>
        <v>#REF!</v>
      </c>
      <c r="GY6" t="e">
        <f>AND(NhatkyBan!#REF!,"AAAAAF7tv84=")</f>
        <v>#REF!</v>
      </c>
      <c r="GZ6" t="e">
        <f>AND(NhatkyBan!#REF!,"AAAAAF7tv88=")</f>
        <v>#REF!</v>
      </c>
      <c r="HA6" t="e">
        <f>AND(NhatkyBan!#REF!,"AAAAAF7tv9A=")</f>
        <v>#REF!</v>
      </c>
      <c r="HB6" t="e">
        <f>AND(NhatkyBan!#REF!,"AAAAAF7tv9E=")</f>
        <v>#REF!</v>
      </c>
      <c r="HC6" t="e">
        <f>AND(NhatkyBan!#REF!,"AAAAAF7tv9I=")</f>
        <v>#REF!</v>
      </c>
      <c r="HD6" t="e">
        <f>AND(NhatkyBan!#REF!,"AAAAAF7tv9M=")</f>
        <v>#REF!</v>
      </c>
      <c r="HE6" t="e">
        <f>AND(NhatkyBan!#REF!,"AAAAAF7tv9Q=")</f>
        <v>#REF!</v>
      </c>
      <c r="HF6" t="e">
        <f>AND(NhatkyBan!#REF!,"AAAAAF7tv9U=")</f>
        <v>#REF!</v>
      </c>
      <c r="HG6" t="e">
        <f>AND(NhatkyBan!#REF!,"AAAAAF7tv9Y=")</f>
        <v>#REF!</v>
      </c>
      <c r="HH6" t="e">
        <f>AND(NhatkyBan!#REF!,"AAAAAF7tv9c=")</f>
        <v>#REF!</v>
      </c>
      <c r="HI6" t="e">
        <f>AND(NhatkyBan!#REF!,"AAAAAF7tv9g=")</f>
        <v>#REF!</v>
      </c>
      <c r="HJ6" t="e">
        <f>AND(NhatkyBan!#REF!,"AAAAAF7tv9k=")</f>
        <v>#REF!</v>
      </c>
      <c r="HK6" t="e">
        <f>IF(NhatkyBan!#REF!,"AAAAAF7tv9o=",0)</f>
        <v>#REF!</v>
      </c>
      <c r="HL6" t="e">
        <f>AND(NhatkyBan!#REF!,"AAAAAF7tv9s=")</f>
        <v>#REF!</v>
      </c>
      <c r="HM6" t="e">
        <f>AND(NhatkyBan!#REF!,"AAAAAF7tv9w=")</f>
        <v>#REF!</v>
      </c>
      <c r="HN6" t="e">
        <f>AND(NhatkyBan!#REF!,"AAAAAF7tv90=")</f>
        <v>#REF!</v>
      </c>
      <c r="HO6" t="e">
        <f>AND(NhatkyBan!#REF!,"AAAAAF7tv94=")</f>
        <v>#REF!</v>
      </c>
      <c r="HP6" t="e">
        <f>AND(NhatkyBan!#REF!,"AAAAAF7tv98=")</f>
        <v>#REF!</v>
      </c>
      <c r="HQ6" t="e">
        <f>AND(NhatkyBan!#REF!,"AAAAAF7tv+A=")</f>
        <v>#REF!</v>
      </c>
      <c r="HR6" t="e">
        <f>AND(NhatkyBan!#REF!,"AAAAAF7tv+E=")</f>
        <v>#REF!</v>
      </c>
      <c r="HS6" t="e">
        <f>AND(NhatkyBan!#REF!,"AAAAAF7tv+I=")</f>
        <v>#REF!</v>
      </c>
      <c r="HT6" t="e">
        <f>AND(NhatkyBan!#REF!,"AAAAAF7tv+M=")</f>
        <v>#REF!</v>
      </c>
      <c r="HU6" t="e">
        <f>AND(NhatkyBan!#REF!,"AAAAAF7tv+Q=")</f>
        <v>#REF!</v>
      </c>
      <c r="HV6" t="e">
        <f>AND(NhatkyBan!#REF!,"AAAAAF7tv+U=")</f>
        <v>#REF!</v>
      </c>
      <c r="HW6" t="e">
        <f>AND(NhatkyBan!#REF!,"AAAAAF7tv+Y=")</f>
        <v>#REF!</v>
      </c>
      <c r="HX6" t="e">
        <f>AND(NhatkyBan!#REF!,"AAAAAF7tv+c=")</f>
        <v>#REF!</v>
      </c>
      <c r="HY6" t="e">
        <f>AND(NhatkyBan!#REF!,"AAAAAF7tv+g=")</f>
        <v>#REF!</v>
      </c>
      <c r="HZ6" t="e">
        <f>AND(NhatkyBan!#REF!,"AAAAAF7tv+k=")</f>
        <v>#REF!</v>
      </c>
      <c r="IA6" t="e">
        <f>AND(NhatkyBan!#REF!,"AAAAAF7tv+o=")</f>
        <v>#REF!</v>
      </c>
      <c r="IB6" t="e">
        <f>AND(NhatkyBan!#REF!,"AAAAAF7tv+s=")</f>
        <v>#REF!</v>
      </c>
      <c r="IC6" t="e">
        <f>AND(NhatkyBan!#REF!,"AAAAAF7tv+w=")</f>
        <v>#REF!</v>
      </c>
      <c r="ID6" t="e">
        <f>AND(NhatkyBan!#REF!,"AAAAAF7tv+0=")</f>
        <v>#REF!</v>
      </c>
      <c r="IE6" t="e">
        <f>AND(NhatkyBan!#REF!,"AAAAAF7tv+4=")</f>
        <v>#REF!</v>
      </c>
      <c r="IF6" t="e">
        <f>AND(NhatkyBan!#REF!,"AAAAAF7tv+8=")</f>
        <v>#REF!</v>
      </c>
      <c r="IG6" t="e">
        <f>AND(NhatkyBan!#REF!,"AAAAAF7tv/A=")</f>
        <v>#REF!</v>
      </c>
      <c r="IH6" t="e">
        <f>AND(NhatkyBan!#REF!,"AAAAAF7tv/E=")</f>
        <v>#REF!</v>
      </c>
      <c r="II6" t="e">
        <f>AND(NhatkyBan!#REF!,"AAAAAF7tv/I=")</f>
        <v>#REF!</v>
      </c>
      <c r="IJ6" t="e">
        <f>AND(NhatkyBan!#REF!,"AAAAAF7tv/M=")</f>
        <v>#REF!</v>
      </c>
      <c r="IK6" t="e">
        <f>AND(NhatkyBan!#REF!,"AAAAAF7tv/Q=")</f>
        <v>#REF!</v>
      </c>
      <c r="IL6" t="e">
        <f>AND(NhatkyBan!#REF!,"AAAAAF7tv/U=")</f>
        <v>#REF!</v>
      </c>
      <c r="IM6" t="e">
        <f>AND(NhatkyBan!#REF!,"AAAAAF7tv/Y=")</f>
        <v>#REF!</v>
      </c>
      <c r="IN6" t="e">
        <f>AND(NhatkyBan!#REF!,"AAAAAF7tv/c=")</f>
        <v>#REF!</v>
      </c>
      <c r="IO6" t="e">
        <f>AND(NhatkyBan!#REF!,"AAAAAF7tv/g=")</f>
        <v>#REF!</v>
      </c>
      <c r="IP6" t="e">
        <f>AND(NhatkyBan!#REF!,"AAAAAF7tv/k=")</f>
        <v>#REF!</v>
      </c>
      <c r="IQ6" t="e">
        <f>AND(NhatkyBan!#REF!,"AAAAAF7tv/o=")</f>
        <v>#REF!</v>
      </c>
      <c r="IR6" t="e">
        <f>AND(NhatkyBan!#REF!,"AAAAAF7tv/s=")</f>
        <v>#REF!</v>
      </c>
      <c r="IS6" t="e">
        <f>AND(NhatkyBan!#REF!,"AAAAAF7tv/w=")</f>
        <v>#REF!</v>
      </c>
      <c r="IT6" t="e">
        <f>IF(NhatkyBan!#REF!,"AAAAAF7tv/0=",0)</f>
        <v>#REF!</v>
      </c>
      <c r="IU6" t="e">
        <f>AND(NhatkyBan!#REF!,"AAAAAF7tv/4=")</f>
        <v>#REF!</v>
      </c>
      <c r="IV6" t="e">
        <f>AND(NhatkyBan!#REF!,"AAAAAF7tv/8=")</f>
        <v>#REF!</v>
      </c>
    </row>
    <row r="7" spans="1:256">
      <c r="A7" t="e">
        <f>AND(NhatkyBan!#REF!,"AAAAAF39/wA=")</f>
        <v>#REF!</v>
      </c>
      <c r="B7" t="e">
        <f>AND(NhatkyBan!#REF!,"AAAAAF39/wE=")</f>
        <v>#REF!</v>
      </c>
      <c r="C7" t="e">
        <f>AND(NhatkyBan!#REF!,"AAAAAF39/wI=")</f>
        <v>#REF!</v>
      </c>
      <c r="D7" t="e">
        <f>AND(NhatkyBan!#REF!,"AAAAAF39/wM=")</f>
        <v>#REF!</v>
      </c>
      <c r="E7" t="e">
        <f>AND(NhatkyBan!#REF!,"AAAAAF39/wQ=")</f>
        <v>#REF!</v>
      </c>
      <c r="F7" t="e">
        <f>AND(NhatkyBan!#REF!,"AAAAAF39/wU=")</f>
        <v>#REF!</v>
      </c>
      <c r="G7" t="e">
        <f>AND(NhatkyBan!#REF!,"AAAAAF39/wY=")</f>
        <v>#REF!</v>
      </c>
      <c r="H7" t="e">
        <f>AND(NhatkyBan!#REF!,"AAAAAF39/wc=")</f>
        <v>#REF!</v>
      </c>
      <c r="I7" t="e">
        <f>AND(NhatkyBan!#REF!,"AAAAAF39/wg=")</f>
        <v>#REF!</v>
      </c>
      <c r="J7" t="e">
        <f>AND(NhatkyBan!#REF!,"AAAAAF39/wk=")</f>
        <v>#REF!</v>
      </c>
      <c r="K7" t="e">
        <f>AND(NhatkyBan!#REF!,"AAAAAF39/wo=")</f>
        <v>#REF!</v>
      </c>
      <c r="L7" t="e">
        <f>AND(NhatkyBan!#REF!,"AAAAAF39/ws=")</f>
        <v>#REF!</v>
      </c>
      <c r="M7" t="e">
        <f>AND(NhatkyBan!#REF!,"AAAAAF39/ww=")</f>
        <v>#REF!</v>
      </c>
      <c r="N7" t="e">
        <f>AND(NhatkyBan!#REF!,"AAAAAF39/w0=")</f>
        <v>#REF!</v>
      </c>
      <c r="O7" t="e">
        <f>AND(NhatkyBan!#REF!,"AAAAAF39/w4=")</f>
        <v>#REF!</v>
      </c>
      <c r="P7" t="e">
        <f>AND(NhatkyBan!#REF!,"AAAAAF39/w8=")</f>
        <v>#REF!</v>
      </c>
      <c r="Q7" t="e">
        <f>AND(NhatkyBan!#REF!,"AAAAAF39/xA=")</f>
        <v>#REF!</v>
      </c>
      <c r="R7" t="e">
        <f>AND(NhatkyBan!#REF!,"AAAAAF39/xE=")</f>
        <v>#REF!</v>
      </c>
      <c r="S7" t="e">
        <f>AND(NhatkyBan!#REF!,"AAAAAF39/xI=")</f>
        <v>#REF!</v>
      </c>
      <c r="T7" t="e">
        <f>AND(NhatkyBan!#REF!,"AAAAAF39/xM=")</f>
        <v>#REF!</v>
      </c>
      <c r="U7" t="e">
        <f>AND(NhatkyBan!#REF!,"AAAAAF39/xQ=")</f>
        <v>#REF!</v>
      </c>
      <c r="V7" t="e">
        <f>AND(NhatkyBan!#REF!,"AAAAAF39/xU=")</f>
        <v>#REF!</v>
      </c>
      <c r="W7" t="e">
        <f>AND(NhatkyBan!#REF!,"AAAAAF39/xY=")</f>
        <v>#REF!</v>
      </c>
      <c r="X7" t="e">
        <f>AND(NhatkyBan!#REF!,"AAAAAF39/xc=")</f>
        <v>#REF!</v>
      </c>
      <c r="Y7" t="e">
        <f>AND(NhatkyBan!#REF!,"AAAAAF39/xg=")</f>
        <v>#REF!</v>
      </c>
      <c r="Z7" t="e">
        <f>AND(NhatkyBan!#REF!,"AAAAAF39/xk=")</f>
        <v>#REF!</v>
      </c>
      <c r="AA7" t="e">
        <f>AND(NhatkyBan!#REF!,"AAAAAF39/xo=")</f>
        <v>#REF!</v>
      </c>
      <c r="AB7" t="e">
        <f>AND(NhatkyBan!#REF!,"AAAAAF39/xs=")</f>
        <v>#REF!</v>
      </c>
      <c r="AC7" t="e">
        <f>AND(NhatkyBan!#REF!,"AAAAAF39/xw=")</f>
        <v>#REF!</v>
      </c>
      <c r="AD7" t="e">
        <f>AND(NhatkyBan!#REF!,"AAAAAF39/x0=")</f>
        <v>#REF!</v>
      </c>
      <c r="AE7" t="e">
        <f>AND(NhatkyBan!#REF!,"AAAAAF39/x4=")</f>
        <v>#REF!</v>
      </c>
      <c r="AF7" t="e">
        <f>AND(NhatkyBan!#REF!,"AAAAAF39/x8=")</f>
        <v>#REF!</v>
      </c>
      <c r="AG7" t="e">
        <f>IF(NhatkyBan!#REF!,"AAAAAF39/yA=",0)</f>
        <v>#REF!</v>
      </c>
      <c r="AH7" t="e">
        <f>AND(NhatkyBan!#REF!,"AAAAAF39/yE=")</f>
        <v>#REF!</v>
      </c>
      <c r="AI7" t="e">
        <f>AND(NhatkyBan!#REF!,"AAAAAF39/yI=")</f>
        <v>#REF!</v>
      </c>
      <c r="AJ7" t="e">
        <f>AND(NhatkyBan!#REF!,"AAAAAF39/yM=")</f>
        <v>#REF!</v>
      </c>
      <c r="AK7" t="e">
        <f>AND(NhatkyBan!#REF!,"AAAAAF39/yQ=")</f>
        <v>#REF!</v>
      </c>
      <c r="AL7" t="e">
        <f>AND(NhatkyBan!#REF!,"AAAAAF39/yU=")</f>
        <v>#REF!</v>
      </c>
      <c r="AM7" t="e">
        <f>AND(NhatkyBan!#REF!,"AAAAAF39/yY=")</f>
        <v>#REF!</v>
      </c>
      <c r="AN7" t="e">
        <f>AND(NhatkyBan!#REF!,"AAAAAF39/yc=")</f>
        <v>#REF!</v>
      </c>
      <c r="AO7" t="e">
        <f>AND(NhatkyBan!#REF!,"AAAAAF39/yg=")</f>
        <v>#REF!</v>
      </c>
      <c r="AP7" t="e">
        <f>AND(NhatkyBan!#REF!,"AAAAAF39/yk=")</f>
        <v>#REF!</v>
      </c>
      <c r="AQ7" t="e">
        <f>AND(NhatkyBan!#REF!,"AAAAAF39/yo=")</f>
        <v>#REF!</v>
      </c>
      <c r="AR7" t="e">
        <f>AND(NhatkyBan!#REF!,"AAAAAF39/ys=")</f>
        <v>#REF!</v>
      </c>
      <c r="AS7" t="e">
        <f>AND(NhatkyBan!#REF!,"AAAAAF39/yw=")</f>
        <v>#REF!</v>
      </c>
      <c r="AT7" t="e">
        <f>AND(NhatkyBan!#REF!,"AAAAAF39/y0=")</f>
        <v>#REF!</v>
      </c>
      <c r="AU7" t="e">
        <f>AND(NhatkyBan!#REF!,"AAAAAF39/y4=")</f>
        <v>#REF!</v>
      </c>
      <c r="AV7" t="e">
        <f>AND(NhatkyBan!#REF!,"AAAAAF39/y8=")</f>
        <v>#REF!</v>
      </c>
      <c r="AW7" t="e">
        <f>AND(NhatkyBan!#REF!,"AAAAAF39/zA=")</f>
        <v>#REF!</v>
      </c>
      <c r="AX7" t="e">
        <f>AND(NhatkyBan!#REF!,"AAAAAF39/zE=")</f>
        <v>#REF!</v>
      </c>
      <c r="AY7" t="e">
        <f>AND(NhatkyBan!#REF!,"AAAAAF39/zI=")</f>
        <v>#REF!</v>
      </c>
      <c r="AZ7" t="e">
        <f>AND(NhatkyBan!#REF!,"AAAAAF39/zM=")</f>
        <v>#REF!</v>
      </c>
      <c r="BA7" t="e">
        <f>AND(NhatkyBan!#REF!,"AAAAAF39/zQ=")</f>
        <v>#REF!</v>
      </c>
      <c r="BB7" t="e">
        <f>AND(NhatkyBan!#REF!,"AAAAAF39/zU=")</f>
        <v>#REF!</v>
      </c>
      <c r="BC7" t="e">
        <f>AND(NhatkyBan!#REF!,"AAAAAF39/zY=")</f>
        <v>#REF!</v>
      </c>
      <c r="BD7" t="e">
        <f>AND(NhatkyBan!#REF!,"AAAAAF39/zc=")</f>
        <v>#REF!</v>
      </c>
      <c r="BE7" t="e">
        <f>AND(NhatkyBan!#REF!,"AAAAAF39/zg=")</f>
        <v>#REF!</v>
      </c>
      <c r="BF7" t="e">
        <f>AND(NhatkyBan!#REF!,"AAAAAF39/zk=")</f>
        <v>#REF!</v>
      </c>
      <c r="BG7" t="e">
        <f>AND(NhatkyBan!#REF!,"AAAAAF39/zo=")</f>
        <v>#REF!</v>
      </c>
      <c r="BH7" t="e">
        <f>AND(NhatkyBan!#REF!,"AAAAAF39/zs=")</f>
        <v>#REF!</v>
      </c>
      <c r="BI7" t="e">
        <f>AND(NhatkyBan!#REF!,"AAAAAF39/zw=")</f>
        <v>#REF!</v>
      </c>
      <c r="BJ7" t="e">
        <f>AND(NhatkyBan!#REF!,"AAAAAF39/z0=")</f>
        <v>#REF!</v>
      </c>
      <c r="BK7" t="e">
        <f>AND(NhatkyBan!#REF!,"AAAAAF39/z4=")</f>
        <v>#REF!</v>
      </c>
      <c r="BL7" t="e">
        <f>AND(NhatkyBan!#REF!,"AAAAAF39/z8=")</f>
        <v>#REF!</v>
      </c>
      <c r="BM7" t="e">
        <f>AND(NhatkyBan!#REF!,"AAAAAF39/0A=")</f>
        <v>#REF!</v>
      </c>
      <c r="BN7" t="e">
        <f>AND(NhatkyBan!#REF!,"AAAAAF39/0E=")</f>
        <v>#REF!</v>
      </c>
      <c r="BO7" t="e">
        <f>AND(NhatkyBan!#REF!,"AAAAAF39/0I=")</f>
        <v>#REF!</v>
      </c>
      <c r="BP7" t="e">
        <f>IF(NhatkyBan!#REF!,"AAAAAF39/0M=",0)</f>
        <v>#REF!</v>
      </c>
      <c r="BQ7" t="e">
        <f>AND(NhatkyBan!#REF!,"AAAAAF39/0Q=")</f>
        <v>#REF!</v>
      </c>
      <c r="BR7" t="e">
        <f>AND(NhatkyBan!#REF!,"AAAAAF39/0U=")</f>
        <v>#REF!</v>
      </c>
      <c r="BS7" t="e">
        <f>AND(NhatkyBan!#REF!,"AAAAAF39/0Y=")</f>
        <v>#REF!</v>
      </c>
      <c r="BT7" t="e">
        <f>AND(NhatkyBan!#REF!,"AAAAAF39/0c=")</f>
        <v>#REF!</v>
      </c>
      <c r="BU7" t="e">
        <f>AND(NhatkyBan!#REF!,"AAAAAF39/0g=")</f>
        <v>#REF!</v>
      </c>
      <c r="BV7" t="e">
        <f>AND(NhatkyBan!#REF!,"AAAAAF39/0k=")</f>
        <v>#REF!</v>
      </c>
      <c r="BW7" t="e">
        <f>AND(NhatkyBan!#REF!,"AAAAAF39/0o=")</f>
        <v>#REF!</v>
      </c>
      <c r="BX7" t="e">
        <f>AND(NhatkyBan!#REF!,"AAAAAF39/0s=")</f>
        <v>#REF!</v>
      </c>
      <c r="BY7" t="e">
        <f>AND(NhatkyBan!#REF!,"AAAAAF39/0w=")</f>
        <v>#REF!</v>
      </c>
      <c r="BZ7" t="e">
        <f>AND(NhatkyBan!#REF!,"AAAAAF39/00=")</f>
        <v>#REF!</v>
      </c>
      <c r="CA7" t="e">
        <f>AND(NhatkyBan!#REF!,"AAAAAF39/04=")</f>
        <v>#REF!</v>
      </c>
      <c r="CB7" t="e">
        <f>AND(NhatkyBan!#REF!,"AAAAAF39/08=")</f>
        <v>#REF!</v>
      </c>
      <c r="CC7" t="e">
        <f>AND(NhatkyBan!#REF!,"AAAAAF39/1A=")</f>
        <v>#REF!</v>
      </c>
      <c r="CD7" t="e">
        <f>AND(NhatkyBan!#REF!,"AAAAAF39/1E=")</f>
        <v>#REF!</v>
      </c>
      <c r="CE7" t="e">
        <f>AND(NhatkyBan!#REF!,"AAAAAF39/1I=")</f>
        <v>#REF!</v>
      </c>
      <c r="CF7" t="e">
        <f>AND(NhatkyBan!#REF!,"AAAAAF39/1M=")</f>
        <v>#REF!</v>
      </c>
      <c r="CG7" t="e">
        <f>AND(NhatkyBan!#REF!,"AAAAAF39/1Q=")</f>
        <v>#REF!</v>
      </c>
      <c r="CH7" t="e">
        <f>AND(NhatkyBan!#REF!,"AAAAAF39/1U=")</f>
        <v>#REF!</v>
      </c>
      <c r="CI7" t="e">
        <f>AND(NhatkyBan!#REF!,"AAAAAF39/1Y=")</f>
        <v>#REF!</v>
      </c>
      <c r="CJ7" t="e">
        <f>AND(NhatkyBan!#REF!,"AAAAAF39/1c=")</f>
        <v>#REF!</v>
      </c>
      <c r="CK7" t="e">
        <f>AND(NhatkyBan!#REF!,"AAAAAF39/1g=")</f>
        <v>#REF!</v>
      </c>
      <c r="CL7" t="e">
        <f>AND(NhatkyBan!#REF!,"AAAAAF39/1k=")</f>
        <v>#REF!</v>
      </c>
      <c r="CM7" t="e">
        <f>AND(NhatkyBan!#REF!,"AAAAAF39/1o=")</f>
        <v>#REF!</v>
      </c>
      <c r="CN7" t="e">
        <f>AND(NhatkyBan!#REF!,"AAAAAF39/1s=")</f>
        <v>#REF!</v>
      </c>
      <c r="CO7" t="e">
        <f>AND(NhatkyBan!#REF!,"AAAAAF39/1w=")</f>
        <v>#REF!</v>
      </c>
      <c r="CP7" t="e">
        <f>AND(NhatkyBan!#REF!,"AAAAAF39/10=")</f>
        <v>#REF!</v>
      </c>
      <c r="CQ7" t="e">
        <f>AND(NhatkyBan!#REF!,"AAAAAF39/14=")</f>
        <v>#REF!</v>
      </c>
      <c r="CR7" t="e">
        <f>AND(NhatkyBan!#REF!,"AAAAAF39/18=")</f>
        <v>#REF!</v>
      </c>
      <c r="CS7" t="e">
        <f>AND(NhatkyBan!#REF!,"AAAAAF39/2A=")</f>
        <v>#REF!</v>
      </c>
      <c r="CT7" t="e">
        <f>AND(NhatkyBan!#REF!,"AAAAAF39/2E=")</f>
        <v>#REF!</v>
      </c>
      <c r="CU7" t="e">
        <f>AND(NhatkyBan!#REF!,"AAAAAF39/2I=")</f>
        <v>#REF!</v>
      </c>
      <c r="CV7" t="e">
        <f>AND(NhatkyBan!#REF!,"AAAAAF39/2M=")</f>
        <v>#REF!</v>
      </c>
      <c r="CW7" t="e">
        <f>AND(NhatkyBan!#REF!,"AAAAAF39/2Q=")</f>
        <v>#REF!</v>
      </c>
      <c r="CX7" t="e">
        <f>AND(NhatkyBan!#REF!,"AAAAAF39/2U=")</f>
        <v>#REF!</v>
      </c>
      <c r="CY7" t="e">
        <f>IF(NhatkyBan!#REF!,"AAAAAF39/2Y=",0)</f>
        <v>#REF!</v>
      </c>
      <c r="CZ7" t="e">
        <f>AND(NhatkyBan!#REF!,"AAAAAF39/2c=")</f>
        <v>#REF!</v>
      </c>
      <c r="DA7" t="e">
        <f>AND(NhatkyBan!#REF!,"AAAAAF39/2g=")</f>
        <v>#REF!</v>
      </c>
      <c r="DB7" t="e">
        <f>AND(NhatkyBan!#REF!,"AAAAAF39/2k=")</f>
        <v>#REF!</v>
      </c>
      <c r="DC7" t="e">
        <f>AND(NhatkyBan!#REF!,"AAAAAF39/2o=")</f>
        <v>#REF!</v>
      </c>
      <c r="DD7" t="e">
        <f>AND(NhatkyBan!#REF!,"AAAAAF39/2s=")</f>
        <v>#REF!</v>
      </c>
      <c r="DE7" t="e">
        <f>AND(NhatkyBan!#REF!,"AAAAAF39/2w=")</f>
        <v>#REF!</v>
      </c>
      <c r="DF7" t="e">
        <f>AND(NhatkyBan!#REF!,"AAAAAF39/20=")</f>
        <v>#REF!</v>
      </c>
      <c r="DG7" t="e">
        <f>AND(NhatkyBan!#REF!,"AAAAAF39/24=")</f>
        <v>#REF!</v>
      </c>
      <c r="DH7" t="e">
        <f>AND(NhatkyBan!#REF!,"AAAAAF39/28=")</f>
        <v>#REF!</v>
      </c>
      <c r="DI7" t="e">
        <f>AND(NhatkyBan!#REF!,"AAAAAF39/3A=")</f>
        <v>#REF!</v>
      </c>
      <c r="DJ7" t="e">
        <f>AND(NhatkyBan!#REF!,"AAAAAF39/3E=")</f>
        <v>#REF!</v>
      </c>
      <c r="DK7" t="e">
        <f>AND(NhatkyBan!#REF!,"AAAAAF39/3I=")</f>
        <v>#REF!</v>
      </c>
      <c r="DL7" t="e">
        <f>AND(NhatkyBan!#REF!,"AAAAAF39/3M=")</f>
        <v>#REF!</v>
      </c>
      <c r="DM7" t="e">
        <f>AND(NhatkyBan!#REF!,"AAAAAF39/3Q=")</f>
        <v>#REF!</v>
      </c>
      <c r="DN7" t="e">
        <f>AND(NhatkyBan!#REF!,"AAAAAF39/3U=")</f>
        <v>#REF!</v>
      </c>
      <c r="DO7" t="e">
        <f>AND(NhatkyBan!#REF!,"AAAAAF39/3Y=")</f>
        <v>#REF!</v>
      </c>
      <c r="DP7" t="e">
        <f>AND(NhatkyBan!#REF!,"AAAAAF39/3c=")</f>
        <v>#REF!</v>
      </c>
      <c r="DQ7" t="e">
        <f>AND(NhatkyBan!#REF!,"AAAAAF39/3g=")</f>
        <v>#REF!</v>
      </c>
      <c r="DR7" t="e">
        <f>AND(NhatkyBan!#REF!,"AAAAAF39/3k=")</f>
        <v>#REF!</v>
      </c>
      <c r="DS7" t="e">
        <f>AND(NhatkyBan!#REF!,"AAAAAF39/3o=")</f>
        <v>#REF!</v>
      </c>
      <c r="DT7" t="e">
        <f>AND(NhatkyBan!#REF!,"AAAAAF39/3s=")</f>
        <v>#REF!</v>
      </c>
      <c r="DU7" t="e">
        <f>AND(NhatkyBan!#REF!,"AAAAAF39/3w=")</f>
        <v>#REF!</v>
      </c>
      <c r="DV7" t="e">
        <f>AND(NhatkyBan!#REF!,"AAAAAF39/30=")</f>
        <v>#REF!</v>
      </c>
      <c r="DW7" t="e">
        <f>AND(NhatkyBan!#REF!,"AAAAAF39/34=")</f>
        <v>#REF!</v>
      </c>
      <c r="DX7" t="e">
        <f>AND(NhatkyBan!#REF!,"AAAAAF39/38=")</f>
        <v>#REF!</v>
      </c>
      <c r="DY7" t="e">
        <f>AND(NhatkyBan!#REF!,"AAAAAF39/4A=")</f>
        <v>#REF!</v>
      </c>
      <c r="DZ7" t="e">
        <f>AND(NhatkyBan!#REF!,"AAAAAF39/4E=")</f>
        <v>#REF!</v>
      </c>
      <c r="EA7" t="e">
        <f>AND(NhatkyBan!#REF!,"AAAAAF39/4I=")</f>
        <v>#REF!</v>
      </c>
      <c r="EB7" t="e">
        <f>AND(NhatkyBan!#REF!,"AAAAAF39/4M=")</f>
        <v>#REF!</v>
      </c>
      <c r="EC7" t="e">
        <f>AND(NhatkyBan!#REF!,"AAAAAF39/4Q=")</f>
        <v>#REF!</v>
      </c>
      <c r="ED7" t="e">
        <f>AND(NhatkyBan!#REF!,"AAAAAF39/4U=")</f>
        <v>#REF!</v>
      </c>
      <c r="EE7" t="e">
        <f>AND(NhatkyBan!#REF!,"AAAAAF39/4Y=")</f>
        <v>#REF!</v>
      </c>
      <c r="EF7" t="e">
        <f>AND(NhatkyBan!#REF!,"AAAAAF39/4c=")</f>
        <v>#REF!</v>
      </c>
      <c r="EG7" t="e">
        <f>AND(NhatkyBan!#REF!,"AAAAAF39/4g=")</f>
        <v>#REF!</v>
      </c>
      <c r="EH7" t="e">
        <f>IF(NhatkyBan!#REF!,"AAAAAF39/4k=",0)</f>
        <v>#REF!</v>
      </c>
      <c r="EI7" t="e">
        <f>AND(NhatkyBan!#REF!,"AAAAAF39/4o=")</f>
        <v>#REF!</v>
      </c>
      <c r="EJ7" t="e">
        <f>AND(NhatkyBan!#REF!,"AAAAAF39/4s=")</f>
        <v>#REF!</v>
      </c>
      <c r="EK7" t="e">
        <f>AND(NhatkyBan!#REF!,"AAAAAF39/4w=")</f>
        <v>#REF!</v>
      </c>
      <c r="EL7" t="e">
        <f>AND(NhatkyBan!#REF!,"AAAAAF39/40=")</f>
        <v>#REF!</v>
      </c>
      <c r="EM7" t="e">
        <f>AND(NhatkyBan!#REF!,"AAAAAF39/44=")</f>
        <v>#REF!</v>
      </c>
      <c r="EN7" t="e">
        <f>AND(NhatkyBan!#REF!,"AAAAAF39/48=")</f>
        <v>#REF!</v>
      </c>
      <c r="EO7" t="e">
        <f>AND(NhatkyBan!#REF!,"AAAAAF39/5A=")</f>
        <v>#REF!</v>
      </c>
      <c r="EP7" t="e">
        <f>AND(NhatkyBan!#REF!,"AAAAAF39/5E=")</f>
        <v>#REF!</v>
      </c>
      <c r="EQ7" t="e">
        <f>AND(NhatkyBan!#REF!,"AAAAAF39/5I=")</f>
        <v>#REF!</v>
      </c>
      <c r="ER7" t="e">
        <f>AND(NhatkyBan!#REF!,"AAAAAF39/5M=")</f>
        <v>#REF!</v>
      </c>
      <c r="ES7" t="e">
        <f>AND(NhatkyBan!#REF!,"AAAAAF39/5Q=")</f>
        <v>#REF!</v>
      </c>
      <c r="ET7" t="e">
        <f>AND(NhatkyBan!#REF!,"AAAAAF39/5U=")</f>
        <v>#REF!</v>
      </c>
      <c r="EU7" t="e">
        <f>AND(NhatkyBan!#REF!,"AAAAAF39/5Y=")</f>
        <v>#REF!</v>
      </c>
      <c r="EV7" t="e">
        <f>AND(NhatkyBan!#REF!,"AAAAAF39/5c=")</f>
        <v>#REF!</v>
      </c>
      <c r="EW7" t="e">
        <f>AND(NhatkyBan!#REF!,"AAAAAF39/5g=")</f>
        <v>#REF!</v>
      </c>
      <c r="EX7" t="e">
        <f>AND(NhatkyBan!#REF!,"AAAAAF39/5k=")</f>
        <v>#REF!</v>
      </c>
      <c r="EY7" t="e">
        <f>AND(NhatkyBan!#REF!,"AAAAAF39/5o=")</f>
        <v>#REF!</v>
      </c>
      <c r="EZ7" t="e">
        <f>AND(NhatkyBan!#REF!,"AAAAAF39/5s=")</f>
        <v>#REF!</v>
      </c>
      <c r="FA7" t="e">
        <f>AND(NhatkyBan!#REF!,"AAAAAF39/5w=")</f>
        <v>#REF!</v>
      </c>
      <c r="FB7" t="e">
        <f>AND(NhatkyBan!#REF!,"AAAAAF39/50=")</f>
        <v>#REF!</v>
      </c>
      <c r="FC7" t="e">
        <f>AND(NhatkyBan!#REF!,"AAAAAF39/54=")</f>
        <v>#REF!</v>
      </c>
      <c r="FD7" t="e">
        <f>AND(NhatkyBan!#REF!,"AAAAAF39/58=")</f>
        <v>#REF!</v>
      </c>
      <c r="FE7" t="e">
        <f>AND(NhatkyBan!#REF!,"AAAAAF39/6A=")</f>
        <v>#REF!</v>
      </c>
      <c r="FF7" t="e">
        <f>AND(NhatkyBan!#REF!,"AAAAAF39/6E=")</f>
        <v>#REF!</v>
      </c>
      <c r="FG7" t="e">
        <f>AND(NhatkyBan!#REF!,"AAAAAF39/6I=")</f>
        <v>#REF!</v>
      </c>
      <c r="FH7" t="e">
        <f>AND(NhatkyBan!#REF!,"AAAAAF39/6M=")</f>
        <v>#REF!</v>
      </c>
      <c r="FI7" t="e">
        <f>AND(NhatkyBan!#REF!,"AAAAAF39/6Q=")</f>
        <v>#REF!</v>
      </c>
      <c r="FJ7" t="e">
        <f>AND(NhatkyBan!#REF!,"AAAAAF39/6U=")</f>
        <v>#REF!</v>
      </c>
      <c r="FK7" t="e">
        <f>AND(NhatkyBan!#REF!,"AAAAAF39/6Y=")</f>
        <v>#REF!</v>
      </c>
      <c r="FL7" t="e">
        <f>AND(NhatkyBan!#REF!,"AAAAAF39/6c=")</f>
        <v>#REF!</v>
      </c>
      <c r="FM7" t="e">
        <f>AND(NhatkyBan!#REF!,"AAAAAF39/6g=")</f>
        <v>#REF!</v>
      </c>
      <c r="FN7" t="e">
        <f>AND(NhatkyBan!#REF!,"AAAAAF39/6k=")</f>
        <v>#REF!</v>
      </c>
      <c r="FO7" t="e">
        <f>AND(NhatkyBan!#REF!,"AAAAAF39/6o=")</f>
        <v>#REF!</v>
      </c>
      <c r="FP7" t="e">
        <f>AND(NhatkyBan!#REF!,"AAAAAF39/6s=")</f>
        <v>#REF!</v>
      </c>
      <c r="FQ7" t="e">
        <f>IF(NhatkyBan!#REF!,"AAAAAF39/6w=",0)</f>
        <v>#REF!</v>
      </c>
      <c r="FR7" t="e">
        <f>AND(NhatkyBan!#REF!,"AAAAAF39/60=")</f>
        <v>#REF!</v>
      </c>
      <c r="FS7" t="e">
        <f>AND(NhatkyBan!#REF!,"AAAAAF39/64=")</f>
        <v>#REF!</v>
      </c>
      <c r="FT7" t="e">
        <f>AND(NhatkyBan!#REF!,"AAAAAF39/68=")</f>
        <v>#REF!</v>
      </c>
      <c r="FU7" t="e">
        <f>AND(NhatkyBan!#REF!,"AAAAAF39/7A=")</f>
        <v>#REF!</v>
      </c>
      <c r="FV7" t="e">
        <f>AND(NhatkyBan!#REF!,"AAAAAF39/7E=")</f>
        <v>#REF!</v>
      </c>
      <c r="FW7" t="e">
        <f>AND(NhatkyBan!#REF!,"AAAAAF39/7I=")</f>
        <v>#REF!</v>
      </c>
      <c r="FX7" t="e">
        <f>AND(NhatkyBan!#REF!,"AAAAAF39/7M=")</f>
        <v>#REF!</v>
      </c>
      <c r="FY7" t="e">
        <f>AND(NhatkyBan!#REF!,"AAAAAF39/7Q=")</f>
        <v>#REF!</v>
      </c>
      <c r="FZ7" t="e">
        <f>AND(NhatkyBan!#REF!,"AAAAAF39/7U=")</f>
        <v>#REF!</v>
      </c>
      <c r="GA7" t="e">
        <f>AND(NhatkyBan!#REF!,"AAAAAF39/7Y=")</f>
        <v>#REF!</v>
      </c>
      <c r="GB7" t="e">
        <f>AND(NhatkyBan!#REF!,"AAAAAF39/7c=")</f>
        <v>#REF!</v>
      </c>
      <c r="GC7" t="e">
        <f>AND(NhatkyBan!#REF!,"AAAAAF39/7g=")</f>
        <v>#REF!</v>
      </c>
      <c r="GD7" t="e">
        <f>AND(NhatkyBan!#REF!,"AAAAAF39/7k=")</f>
        <v>#REF!</v>
      </c>
      <c r="GE7" t="e">
        <f>AND(NhatkyBan!#REF!,"AAAAAF39/7o=")</f>
        <v>#REF!</v>
      </c>
      <c r="GF7" t="e">
        <f>AND(NhatkyBan!#REF!,"AAAAAF39/7s=")</f>
        <v>#REF!</v>
      </c>
      <c r="GG7" t="e">
        <f>AND(NhatkyBan!#REF!,"AAAAAF39/7w=")</f>
        <v>#REF!</v>
      </c>
      <c r="GH7" t="e">
        <f>AND(NhatkyBan!#REF!,"AAAAAF39/70=")</f>
        <v>#REF!</v>
      </c>
      <c r="GI7" t="e">
        <f>AND(NhatkyBan!#REF!,"AAAAAF39/74=")</f>
        <v>#REF!</v>
      </c>
      <c r="GJ7" t="e">
        <f>AND(NhatkyBan!#REF!,"AAAAAF39/78=")</f>
        <v>#REF!</v>
      </c>
      <c r="GK7" t="e">
        <f>AND(NhatkyBan!#REF!,"AAAAAF39/8A=")</f>
        <v>#REF!</v>
      </c>
      <c r="GL7" t="e">
        <f>AND(NhatkyBan!#REF!,"AAAAAF39/8E=")</f>
        <v>#REF!</v>
      </c>
      <c r="GM7" t="e">
        <f>AND(NhatkyBan!#REF!,"AAAAAF39/8I=")</f>
        <v>#REF!</v>
      </c>
      <c r="GN7" t="e">
        <f>AND(NhatkyBan!#REF!,"AAAAAF39/8M=")</f>
        <v>#REF!</v>
      </c>
      <c r="GO7" t="e">
        <f>AND(NhatkyBan!#REF!,"AAAAAF39/8Q=")</f>
        <v>#REF!</v>
      </c>
      <c r="GP7" t="e">
        <f>AND(NhatkyBan!#REF!,"AAAAAF39/8U=")</f>
        <v>#REF!</v>
      </c>
      <c r="GQ7" t="e">
        <f>AND(NhatkyBan!#REF!,"AAAAAF39/8Y=")</f>
        <v>#REF!</v>
      </c>
      <c r="GR7" t="e">
        <f>AND(NhatkyBan!#REF!,"AAAAAF39/8c=")</f>
        <v>#REF!</v>
      </c>
      <c r="GS7" t="e">
        <f>AND(NhatkyBan!#REF!,"AAAAAF39/8g=")</f>
        <v>#REF!</v>
      </c>
      <c r="GT7" t="e">
        <f>AND(NhatkyBan!#REF!,"AAAAAF39/8k=")</f>
        <v>#REF!</v>
      </c>
      <c r="GU7" t="e">
        <f>AND(NhatkyBan!#REF!,"AAAAAF39/8o=")</f>
        <v>#REF!</v>
      </c>
      <c r="GV7" t="e">
        <f>AND(NhatkyBan!#REF!,"AAAAAF39/8s=")</f>
        <v>#REF!</v>
      </c>
      <c r="GW7" t="e">
        <f>AND(NhatkyBan!#REF!,"AAAAAF39/8w=")</f>
        <v>#REF!</v>
      </c>
      <c r="GX7" t="e">
        <f>AND(NhatkyBan!#REF!,"AAAAAF39/80=")</f>
        <v>#REF!</v>
      </c>
      <c r="GY7" t="e">
        <f>AND(NhatkyBan!#REF!,"AAAAAF39/84=")</f>
        <v>#REF!</v>
      </c>
      <c r="GZ7" t="e">
        <f>IF(NhatkyBan!#REF!,"AAAAAF39/88=",0)</f>
        <v>#REF!</v>
      </c>
      <c r="HA7" t="e">
        <f>AND(NhatkyBan!#REF!,"AAAAAF39/9A=")</f>
        <v>#REF!</v>
      </c>
      <c r="HB7" t="e">
        <f>AND(NhatkyBan!#REF!,"AAAAAF39/9E=")</f>
        <v>#REF!</v>
      </c>
      <c r="HC7" t="e">
        <f>AND(NhatkyBan!#REF!,"AAAAAF39/9I=")</f>
        <v>#REF!</v>
      </c>
      <c r="HD7" t="e">
        <f>AND(NhatkyBan!#REF!,"AAAAAF39/9M=")</f>
        <v>#REF!</v>
      </c>
      <c r="HE7" t="e">
        <f>AND(NhatkyBan!#REF!,"AAAAAF39/9Q=")</f>
        <v>#REF!</v>
      </c>
      <c r="HF7" t="e">
        <f>AND(NhatkyBan!#REF!,"AAAAAF39/9U=")</f>
        <v>#REF!</v>
      </c>
      <c r="HG7" t="e">
        <f>AND(NhatkyBan!#REF!,"AAAAAF39/9Y=")</f>
        <v>#REF!</v>
      </c>
      <c r="HH7" t="e">
        <f>AND(NhatkyBan!#REF!,"AAAAAF39/9c=")</f>
        <v>#REF!</v>
      </c>
      <c r="HI7" t="e">
        <f>AND(NhatkyBan!#REF!,"AAAAAF39/9g=")</f>
        <v>#REF!</v>
      </c>
      <c r="HJ7" t="e">
        <f>AND(NhatkyBan!#REF!,"AAAAAF39/9k=")</f>
        <v>#REF!</v>
      </c>
      <c r="HK7" t="e">
        <f>AND(NhatkyBan!#REF!,"AAAAAF39/9o=")</f>
        <v>#REF!</v>
      </c>
      <c r="HL7" t="e">
        <f>AND(NhatkyBan!#REF!,"AAAAAF39/9s=")</f>
        <v>#REF!</v>
      </c>
      <c r="HM7" t="e">
        <f>AND(NhatkyBan!#REF!,"AAAAAF39/9w=")</f>
        <v>#REF!</v>
      </c>
      <c r="HN7" t="e">
        <f>AND(NhatkyBan!#REF!,"AAAAAF39/90=")</f>
        <v>#REF!</v>
      </c>
      <c r="HO7" t="e">
        <f>AND(NhatkyBan!#REF!,"AAAAAF39/94=")</f>
        <v>#REF!</v>
      </c>
      <c r="HP7" t="e">
        <f>AND(NhatkyBan!#REF!,"AAAAAF39/98=")</f>
        <v>#REF!</v>
      </c>
      <c r="HQ7" t="e">
        <f>AND(NhatkyBan!#REF!,"AAAAAF39/+A=")</f>
        <v>#REF!</v>
      </c>
      <c r="HR7" t="e">
        <f>AND(NhatkyBan!#REF!,"AAAAAF39/+E=")</f>
        <v>#REF!</v>
      </c>
      <c r="HS7" t="e">
        <f>AND(NhatkyBan!#REF!,"AAAAAF39/+I=")</f>
        <v>#REF!</v>
      </c>
      <c r="HT7" t="e">
        <f>AND(NhatkyBan!#REF!,"AAAAAF39/+M=")</f>
        <v>#REF!</v>
      </c>
      <c r="HU7" t="e">
        <f>AND(NhatkyBan!#REF!,"AAAAAF39/+Q=")</f>
        <v>#REF!</v>
      </c>
      <c r="HV7" t="e">
        <f>AND(NhatkyBan!#REF!,"AAAAAF39/+U=")</f>
        <v>#REF!</v>
      </c>
      <c r="HW7" t="e">
        <f>AND(NhatkyBan!#REF!,"AAAAAF39/+Y=")</f>
        <v>#REF!</v>
      </c>
      <c r="HX7" t="e">
        <f>AND(NhatkyBan!#REF!,"AAAAAF39/+c=")</f>
        <v>#REF!</v>
      </c>
      <c r="HY7" t="e">
        <f>AND(NhatkyBan!#REF!,"AAAAAF39/+g=")</f>
        <v>#REF!</v>
      </c>
      <c r="HZ7" t="e">
        <f>AND(NhatkyBan!#REF!,"AAAAAF39/+k=")</f>
        <v>#REF!</v>
      </c>
      <c r="IA7" t="e">
        <f>AND(NhatkyBan!#REF!,"AAAAAF39/+o=")</f>
        <v>#REF!</v>
      </c>
      <c r="IB7" t="e">
        <f>AND(NhatkyBan!#REF!,"AAAAAF39/+s=")</f>
        <v>#REF!</v>
      </c>
      <c r="IC7" t="e">
        <f>AND(NhatkyBan!#REF!,"AAAAAF39/+w=")</f>
        <v>#REF!</v>
      </c>
      <c r="ID7" t="e">
        <f>AND(NhatkyBan!#REF!,"AAAAAF39/+0=")</f>
        <v>#REF!</v>
      </c>
      <c r="IE7" t="e">
        <f>AND(NhatkyBan!#REF!,"AAAAAF39/+4=")</f>
        <v>#REF!</v>
      </c>
      <c r="IF7" t="e">
        <f>AND(NhatkyBan!#REF!,"AAAAAF39/+8=")</f>
        <v>#REF!</v>
      </c>
      <c r="IG7" t="e">
        <f>AND(NhatkyBan!#REF!,"AAAAAF39//A=")</f>
        <v>#REF!</v>
      </c>
      <c r="IH7" t="e">
        <f>AND(NhatkyBan!#REF!,"AAAAAF39//E=")</f>
        <v>#REF!</v>
      </c>
      <c r="II7" t="e">
        <f>IF(NhatkyBan!#REF!,"AAAAAF39//I=",0)</f>
        <v>#REF!</v>
      </c>
      <c r="IJ7" t="e">
        <f>AND(NhatkyBan!#REF!,"AAAAAF39//M=")</f>
        <v>#REF!</v>
      </c>
      <c r="IK7" t="e">
        <f>AND(NhatkyBan!#REF!,"AAAAAF39//Q=")</f>
        <v>#REF!</v>
      </c>
      <c r="IL7" t="e">
        <f>AND(NhatkyBan!#REF!,"AAAAAF39//U=")</f>
        <v>#REF!</v>
      </c>
      <c r="IM7" t="e">
        <f>AND(NhatkyBan!#REF!,"AAAAAF39//Y=")</f>
        <v>#REF!</v>
      </c>
      <c r="IN7" t="e">
        <f>AND(NhatkyBan!#REF!,"AAAAAF39//c=")</f>
        <v>#REF!</v>
      </c>
      <c r="IO7" t="e">
        <f>AND(NhatkyBan!#REF!,"AAAAAF39//g=")</f>
        <v>#REF!</v>
      </c>
      <c r="IP7" t="e">
        <f>AND(NhatkyBan!#REF!,"AAAAAF39//k=")</f>
        <v>#REF!</v>
      </c>
      <c r="IQ7" t="e">
        <f>AND(NhatkyBan!#REF!,"AAAAAF39//o=")</f>
        <v>#REF!</v>
      </c>
      <c r="IR7" t="e">
        <f>AND(NhatkyBan!#REF!,"AAAAAF39//s=")</f>
        <v>#REF!</v>
      </c>
      <c r="IS7" t="e">
        <f>AND(NhatkyBan!#REF!,"AAAAAF39//w=")</f>
        <v>#REF!</v>
      </c>
      <c r="IT7" t="e">
        <f>AND(NhatkyBan!#REF!,"AAAAAF39//0=")</f>
        <v>#REF!</v>
      </c>
      <c r="IU7" t="e">
        <f>AND(NhatkyBan!#REF!,"AAAAAF39//4=")</f>
        <v>#REF!</v>
      </c>
      <c r="IV7" t="e">
        <f>AND(NhatkyBan!#REF!,"AAAAAF39//8=")</f>
        <v>#REF!</v>
      </c>
    </row>
    <row r="8" spans="1:256">
      <c r="A8" t="e">
        <f>AND(NhatkyBan!#REF!,"AAAAAGp7MwA=")</f>
        <v>#REF!</v>
      </c>
      <c r="B8" t="e">
        <f>AND(NhatkyBan!#REF!,"AAAAAGp7MwE=")</f>
        <v>#REF!</v>
      </c>
      <c r="C8" t="e">
        <f>AND(NhatkyBan!#REF!,"AAAAAGp7MwI=")</f>
        <v>#REF!</v>
      </c>
      <c r="D8" t="e">
        <f>AND(NhatkyBan!#REF!,"AAAAAGp7MwM=")</f>
        <v>#REF!</v>
      </c>
      <c r="E8" t="e">
        <f>AND(NhatkyBan!#REF!,"AAAAAGp7MwQ=")</f>
        <v>#REF!</v>
      </c>
      <c r="F8" t="e">
        <f>AND(NhatkyBan!#REF!,"AAAAAGp7MwU=")</f>
        <v>#REF!</v>
      </c>
      <c r="G8" t="e">
        <f>AND(NhatkyBan!#REF!,"AAAAAGp7MwY=")</f>
        <v>#REF!</v>
      </c>
      <c r="H8" t="e">
        <f>AND(NhatkyBan!#REF!,"AAAAAGp7Mwc=")</f>
        <v>#REF!</v>
      </c>
      <c r="I8" t="e">
        <f>AND(NhatkyBan!#REF!,"AAAAAGp7Mwg=")</f>
        <v>#REF!</v>
      </c>
      <c r="J8" t="e">
        <f>AND(NhatkyBan!#REF!,"AAAAAGp7Mwk=")</f>
        <v>#REF!</v>
      </c>
      <c r="K8" t="e">
        <f>AND(NhatkyBan!#REF!,"AAAAAGp7Mwo=")</f>
        <v>#REF!</v>
      </c>
      <c r="L8" t="e">
        <f>AND(NhatkyBan!#REF!,"AAAAAGp7Mws=")</f>
        <v>#REF!</v>
      </c>
      <c r="M8" t="e">
        <f>AND(NhatkyBan!#REF!,"AAAAAGp7Mww=")</f>
        <v>#REF!</v>
      </c>
      <c r="N8" t="e">
        <f>AND(NhatkyBan!#REF!,"AAAAAGp7Mw0=")</f>
        <v>#REF!</v>
      </c>
      <c r="O8" t="e">
        <f>AND(NhatkyBan!#REF!,"AAAAAGp7Mw4=")</f>
        <v>#REF!</v>
      </c>
      <c r="P8" t="e">
        <f>AND(NhatkyBan!#REF!,"AAAAAGp7Mw8=")</f>
        <v>#REF!</v>
      </c>
      <c r="Q8" t="e">
        <f>AND(NhatkyBan!#REF!,"AAAAAGp7MxA=")</f>
        <v>#REF!</v>
      </c>
      <c r="R8" t="e">
        <f>AND(NhatkyBan!#REF!,"AAAAAGp7MxE=")</f>
        <v>#REF!</v>
      </c>
      <c r="S8" t="e">
        <f>AND(NhatkyBan!#REF!,"AAAAAGp7MxI=")</f>
        <v>#REF!</v>
      </c>
      <c r="T8" t="e">
        <f>AND(NhatkyBan!#REF!,"AAAAAGp7MxM=")</f>
        <v>#REF!</v>
      </c>
      <c r="U8" t="e">
        <f>AND(NhatkyBan!#REF!,"AAAAAGp7MxQ=")</f>
        <v>#REF!</v>
      </c>
      <c r="V8" t="e">
        <f>IF(NhatkyBan!#REF!,"AAAAAGp7MxU=",0)</f>
        <v>#REF!</v>
      </c>
      <c r="W8" t="e">
        <f>AND(NhatkyBan!#REF!,"AAAAAGp7MxY=")</f>
        <v>#REF!</v>
      </c>
      <c r="X8" t="e">
        <f>AND(NhatkyBan!#REF!,"AAAAAGp7Mxc=")</f>
        <v>#REF!</v>
      </c>
      <c r="Y8" t="e">
        <f>AND(NhatkyBan!#REF!,"AAAAAGp7Mxg=")</f>
        <v>#REF!</v>
      </c>
      <c r="Z8" t="e">
        <f>AND(NhatkyBan!#REF!,"AAAAAGp7Mxk=")</f>
        <v>#REF!</v>
      </c>
      <c r="AA8" t="e">
        <f>AND(NhatkyBan!#REF!,"AAAAAGp7Mxo=")</f>
        <v>#REF!</v>
      </c>
      <c r="AB8" t="e">
        <f>AND(NhatkyBan!#REF!,"AAAAAGp7Mxs=")</f>
        <v>#REF!</v>
      </c>
      <c r="AC8" t="e">
        <f>AND(NhatkyBan!#REF!,"AAAAAGp7Mxw=")</f>
        <v>#REF!</v>
      </c>
      <c r="AD8" t="e">
        <f>AND(NhatkyBan!#REF!,"AAAAAGp7Mx0=")</f>
        <v>#REF!</v>
      </c>
      <c r="AE8" t="e">
        <f>AND(NhatkyBan!#REF!,"AAAAAGp7Mx4=")</f>
        <v>#REF!</v>
      </c>
      <c r="AF8" t="e">
        <f>AND(NhatkyBan!#REF!,"AAAAAGp7Mx8=")</f>
        <v>#REF!</v>
      </c>
      <c r="AG8" t="e">
        <f>AND(NhatkyBan!#REF!,"AAAAAGp7MyA=")</f>
        <v>#REF!</v>
      </c>
      <c r="AH8" t="e">
        <f>AND(NhatkyBan!#REF!,"AAAAAGp7MyE=")</f>
        <v>#REF!</v>
      </c>
      <c r="AI8" t="e">
        <f>AND(NhatkyBan!#REF!,"AAAAAGp7MyI=")</f>
        <v>#REF!</v>
      </c>
      <c r="AJ8" t="e">
        <f>AND(NhatkyBan!#REF!,"AAAAAGp7MyM=")</f>
        <v>#REF!</v>
      </c>
      <c r="AK8" t="e">
        <f>AND(NhatkyBan!#REF!,"AAAAAGp7MyQ=")</f>
        <v>#REF!</v>
      </c>
      <c r="AL8" t="e">
        <f>AND(NhatkyBan!#REF!,"AAAAAGp7MyU=")</f>
        <v>#REF!</v>
      </c>
      <c r="AM8" t="e">
        <f>AND(NhatkyBan!#REF!,"AAAAAGp7MyY=")</f>
        <v>#REF!</v>
      </c>
      <c r="AN8" t="e">
        <f>AND(NhatkyBan!#REF!,"AAAAAGp7Myc=")</f>
        <v>#REF!</v>
      </c>
      <c r="AO8" t="e">
        <f>AND(NhatkyBan!#REF!,"AAAAAGp7Myg=")</f>
        <v>#REF!</v>
      </c>
      <c r="AP8" t="e">
        <f>AND(NhatkyBan!#REF!,"AAAAAGp7Myk=")</f>
        <v>#REF!</v>
      </c>
      <c r="AQ8" t="e">
        <f>AND(NhatkyBan!#REF!,"AAAAAGp7Myo=")</f>
        <v>#REF!</v>
      </c>
      <c r="AR8" t="e">
        <f>AND(NhatkyBan!#REF!,"AAAAAGp7Mys=")</f>
        <v>#REF!</v>
      </c>
      <c r="AS8" t="e">
        <f>AND(NhatkyBan!#REF!,"AAAAAGp7Myw=")</f>
        <v>#REF!</v>
      </c>
      <c r="AT8" t="e">
        <f>AND(NhatkyBan!#REF!,"AAAAAGp7My0=")</f>
        <v>#REF!</v>
      </c>
      <c r="AU8" t="e">
        <f>AND(NhatkyBan!#REF!,"AAAAAGp7My4=")</f>
        <v>#REF!</v>
      </c>
      <c r="AV8" t="e">
        <f>AND(NhatkyBan!#REF!,"AAAAAGp7My8=")</f>
        <v>#REF!</v>
      </c>
      <c r="AW8" t="e">
        <f>AND(NhatkyBan!#REF!,"AAAAAGp7MzA=")</f>
        <v>#REF!</v>
      </c>
      <c r="AX8" t="e">
        <f>AND(NhatkyBan!#REF!,"AAAAAGp7MzE=")</f>
        <v>#REF!</v>
      </c>
      <c r="AY8" t="e">
        <f>AND(NhatkyBan!#REF!,"AAAAAGp7MzI=")</f>
        <v>#REF!</v>
      </c>
      <c r="AZ8" t="e">
        <f>AND(NhatkyBan!#REF!,"AAAAAGp7MzM=")</f>
        <v>#REF!</v>
      </c>
      <c r="BA8" t="e">
        <f>AND(NhatkyBan!#REF!,"AAAAAGp7MzQ=")</f>
        <v>#REF!</v>
      </c>
      <c r="BB8" t="e">
        <f>AND(NhatkyBan!#REF!,"AAAAAGp7MzU=")</f>
        <v>#REF!</v>
      </c>
      <c r="BC8" t="e">
        <f>AND(NhatkyBan!#REF!,"AAAAAGp7MzY=")</f>
        <v>#REF!</v>
      </c>
      <c r="BD8" t="e">
        <f>AND(NhatkyBan!#REF!,"AAAAAGp7Mzc=")</f>
        <v>#REF!</v>
      </c>
      <c r="BE8" t="e">
        <f>IF(NhatkyBan!#REF!,"AAAAAGp7Mzg=",0)</f>
        <v>#REF!</v>
      </c>
      <c r="BF8" t="e">
        <f>AND(NhatkyBan!#REF!,"AAAAAGp7Mzk=")</f>
        <v>#REF!</v>
      </c>
      <c r="BG8" t="e">
        <f>AND(NhatkyBan!#REF!,"AAAAAGp7Mzo=")</f>
        <v>#REF!</v>
      </c>
      <c r="BH8" t="e">
        <f>AND(NhatkyBan!#REF!,"AAAAAGp7Mzs=")</f>
        <v>#REF!</v>
      </c>
      <c r="BI8" t="e">
        <f>AND(NhatkyBan!#REF!,"AAAAAGp7Mzw=")</f>
        <v>#REF!</v>
      </c>
      <c r="BJ8" t="e">
        <f>AND(NhatkyBan!#REF!,"AAAAAGp7Mz0=")</f>
        <v>#REF!</v>
      </c>
      <c r="BK8" t="e">
        <f>AND(NhatkyBan!#REF!,"AAAAAGp7Mz4=")</f>
        <v>#REF!</v>
      </c>
      <c r="BL8" t="e">
        <f>AND(NhatkyBan!#REF!,"AAAAAGp7Mz8=")</f>
        <v>#REF!</v>
      </c>
      <c r="BM8" t="e">
        <f>AND(NhatkyBan!#REF!,"AAAAAGp7M0A=")</f>
        <v>#REF!</v>
      </c>
      <c r="BN8" t="e">
        <f>AND(NhatkyBan!#REF!,"AAAAAGp7M0E=")</f>
        <v>#REF!</v>
      </c>
      <c r="BO8" t="e">
        <f>AND(NhatkyBan!#REF!,"AAAAAGp7M0I=")</f>
        <v>#REF!</v>
      </c>
      <c r="BP8" t="e">
        <f>AND(NhatkyBan!#REF!,"AAAAAGp7M0M=")</f>
        <v>#REF!</v>
      </c>
      <c r="BQ8" t="e">
        <f>AND(NhatkyBan!#REF!,"AAAAAGp7M0Q=")</f>
        <v>#REF!</v>
      </c>
      <c r="BR8" t="e">
        <f>AND(NhatkyBan!#REF!,"AAAAAGp7M0U=")</f>
        <v>#REF!</v>
      </c>
      <c r="BS8" t="e">
        <f>AND(NhatkyBan!#REF!,"AAAAAGp7M0Y=")</f>
        <v>#REF!</v>
      </c>
      <c r="BT8" t="e">
        <f>AND(NhatkyBan!#REF!,"AAAAAGp7M0c=")</f>
        <v>#REF!</v>
      </c>
      <c r="BU8" t="e">
        <f>AND(NhatkyBan!#REF!,"AAAAAGp7M0g=")</f>
        <v>#REF!</v>
      </c>
      <c r="BV8" t="e">
        <f>AND(NhatkyBan!#REF!,"AAAAAGp7M0k=")</f>
        <v>#REF!</v>
      </c>
      <c r="BW8" t="e">
        <f>AND(NhatkyBan!#REF!,"AAAAAGp7M0o=")</f>
        <v>#REF!</v>
      </c>
      <c r="BX8" t="e">
        <f>AND(NhatkyBan!#REF!,"AAAAAGp7M0s=")</f>
        <v>#REF!</v>
      </c>
      <c r="BY8" t="e">
        <f>AND(NhatkyBan!#REF!,"AAAAAGp7M0w=")</f>
        <v>#REF!</v>
      </c>
      <c r="BZ8" t="e">
        <f>AND(NhatkyBan!#REF!,"AAAAAGp7M00=")</f>
        <v>#REF!</v>
      </c>
      <c r="CA8" t="e">
        <f>AND(NhatkyBan!#REF!,"AAAAAGp7M04=")</f>
        <v>#REF!</v>
      </c>
      <c r="CB8" t="e">
        <f>AND(NhatkyBan!#REF!,"AAAAAGp7M08=")</f>
        <v>#REF!</v>
      </c>
      <c r="CC8" t="e">
        <f>AND(NhatkyBan!#REF!,"AAAAAGp7M1A=")</f>
        <v>#REF!</v>
      </c>
      <c r="CD8" t="e">
        <f>AND(NhatkyBan!#REF!,"AAAAAGp7M1E=")</f>
        <v>#REF!</v>
      </c>
      <c r="CE8" t="e">
        <f>AND(NhatkyBan!#REF!,"AAAAAGp7M1I=")</f>
        <v>#REF!</v>
      </c>
      <c r="CF8" t="e">
        <f>AND(NhatkyBan!#REF!,"AAAAAGp7M1M=")</f>
        <v>#REF!</v>
      </c>
      <c r="CG8" t="e">
        <f>AND(NhatkyBan!#REF!,"AAAAAGp7M1Q=")</f>
        <v>#REF!</v>
      </c>
      <c r="CH8" t="e">
        <f>AND(NhatkyBan!#REF!,"AAAAAGp7M1U=")</f>
        <v>#REF!</v>
      </c>
      <c r="CI8" t="e">
        <f>AND(NhatkyBan!#REF!,"AAAAAGp7M1Y=")</f>
        <v>#REF!</v>
      </c>
      <c r="CJ8" t="e">
        <f>AND(NhatkyBan!#REF!,"AAAAAGp7M1c=")</f>
        <v>#REF!</v>
      </c>
      <c r="CK8" t="e">
        <f>AND(NhatkyBan!#REF!,"AAAAAGp7M1g=")</f>
        <v>#REF!</v>
      </c>
      <c r="CL8" t="e">
        <f>AND(NhatkyBan!#REF!,"AAAAAGp7M1k=")</f>
        <v>#REF!</v>
      </c>
      <c r="CM8" t="e">
        <f>AND(NhatkyBan!#REF!,"AAAAAGp7M1o=")</f>
        <v>#REF!</v>
      </c>
      <c r="CN8" t="e">
        <f>IF(NhatkyBan!#REF!,"AAAAAGp7M1s=",0)</f>
        <v>#REF!</v>
      </c>
      <c r="CO8" t="e">
        <f>AND(NhatkyBan!#REF!,"AAAAAGp7M1w=")</f>
        <v>#REF!</v>
      </c>
      <c r="CP8" t="e">
        <f>AND(NhatkyBan!#REF!,"AAAAAGp7M10=")</f>
        <v>#REF!</v>
      </c>
      <c r="CQ8" t="e">
        <f>AND(NhatkyBan!#REF!,"AAAAAGp7M14=")</f>
        <v>#REF!</v>
      </c>
      <c r="CR8" t="e">
        <f>AND(NhatkyBan!#REF!,"AAAAAGp7M18=")</f>
        <v>#REF!</v>
      </c>
      <c r="CS8" t="e">
        <f>AND(NhatkyBan!#REF!,"AAAAAGp7M2A=")</f>
        <v>#REF!</v>
      </c>
      <c r="CT8" t="e">
        <f>AND(NhatkyBan!#REF!,"AAAAAGp7M2E=")</f>
        <v>#REF!</v>
      </c>
      <c r="CU8" t="e">
        <f>AND(NhatkyBan!#REF!,"AAAAAGp7M2I=")</f>
        <v>#REF!</v>
      </c>
      <c r="CV8" t="e">
        <f>AND(NhatkyBan!#REF!,"AAAAAGp7M2M=")</f>
        <v>#REF!</v>
      </c>
      <c r="CW8" t="e">
        <f>AND(NhatkyBan!#REF!,"AAAAAGp7M2Q=")</f>
        <v>#REF!</v>
      </c>
      <c r="CX8" t="e">
        <f>AND(NhatkyBan!#REF!,"AAAAAGp7M2U=")</f>
        <v>#REF!</v>
      </c>
      <c r="CY8" t="e">
        <f>AND(NhatkyBan!#REF!,"AAAAAGp7M2Y=")</f>
        <v>#REF!</v>
      </c>
      <c r="CZ8" t="e">
        <f>AND(NhatkyBan!#REF!,"AAAAAGp7M2c=")</f>
        <v>#REF!</v>
      </c>
      <c r="DA8" t="e">
        <f>AND(NhatkyBan!#REF!,"AAAAAGp7M2g=")</f>
        <v>#REF!</v>
      </c>
      <c r="DB8" t="e">
        <f>AND(NhatkyBan!#REF!,"AAAAAGp7M2k=")</f>
        <v>#REF!</v>
      </c>
      <c r="DC8" t="e">
        <f>AND(NhatkyBan!#REF!,"AAAAAGp7M2o=")</f>
        <v>#REF!</v>
      </c>
      <c r="DD8" t="e">
        <f>AND(NhatkyBan!#REF!,"AAAAAGp7M2s=")</f>
        <v>#REF!</v>
      </c>
      <c r="DE8" t="e">
        <f>AND(NhatkyBan!#REF!,"AAAAAGp7M2w=")</f>
        <v>#REF!</v>
      </c>
      <c r="DF8" t="e">
        <f>AND(NhatkyBan!#REF!,"AAAAAGp7M20=")</f>
        <v>#REF!</v>
      </c>
      <c r="DG8" t="e">
        <f>AND(NhatkyBan!#REF!,"AAAAAGp7M24=")</f>
        <v>#REF!</v>
      </c>
      <c r="DH8" t="e">
        <f>AND(NhatkyBan!#REF!,"AAAAAGp7M28=")</f>
        <v>#REF!</v>
      </c>
      <c r="DI8" t="e">
        <f>AND(NhatkyBan!#REF!,"AAAAAGp7M3A=")</f>
        <v>#REF!</v>
      </c>
      <c r="DJ8" t="e">
        <f>AND(NhatkyBan!#REF!,"AAAAAGp7M3E=")</f>
        <v>#REF!</v>
      </c>
      <c r="DK8" t="e">
        <f>AND(NhatkyBan!#REF!,"AAAAAGp7M3I=")</f>
        <v>#REF!</v>
      </c>
      <c r="DL8" t="e">
        <f>AND(NhatkyBan!#REF!,"AAAAAGp7M3M=")</f>
        <v>#REF!</v>
      </c>
      <c r="DM8" t="e">
        <f>AND(NhatkyBan!#REF!,"AAAAAGp7M3Q=")</f>
        <v>#REF!</v>
      </c>
      <c r="DN8" t="e">
        <f>AND(NhatkyBan!#REF!,"AAAAAGp7M3U=")</f>
        <v>#REF!</v>
      </c>
      <c r="DO8" t="e">
        <f>AND(NhatkyBan!#REF!,"AAAAAGp7M3Y=")</f>
        <v>#REF!</v>
      </c>
      <c r="DP8" t="e">
        <f>AND(NhatkyBan!#REF!,"AAAAAGp7M3c=")</f>
        <v>#REF!</v>
      </c>
      <c r="DQ8" t="e">
        <f>AND(NhatkyBan!#REF!,"AAAAAGp7M3g=")</f>
        <v>#REF!</v>
      </c>
      <c r="DR8" t="e">
        <f>AND(NhatkyBan!#REF!,"AAAAAGp7M3k=")</f>
        <v>#REF!</v>
      </c>
      <c r="DS8" t="e">
        <f>AND(NhatkyBan!#REF!,"AAAAAGp7M3o=")</f>
        <v>#REF!</v>
      </c>
      <c r="DT8" t="e">
        <f>AND(NhatkyBan!#REF!,"AAAAAGp7M3s=")</f>
        <v>#REF!</v>
      </c>
      <c r="DU8" t="e">
        <f>AND(NhatkyBan!#REF!,"AAAAAGp7M3w=")</f>
        <v>#REF!</v>
      </c>
      <c r="DV8" t="e">
        <f>AND(NhatkyBan!#REF!,"AAAAAGp7M30=")</f>
        <v>#REF!</v>
      </c>
      <c r="DW8" t="e">
        <f>IF(NhatkyBan!#REF!,"AAAAAGp7M34=",0)</f>
        <v>#REF!</v>
      </c>
      <c r="DX8" t="e">
        <f>AND(NhatkyBan!#REF!,"AAAAAGp7M38=")</f>
        <v>#REF!</v>
      </c>
      <c r="DY8" t="e">
        <f>AND(NhatkyBan!#REF!,"AAAAAGp7M4A=")</f>
        <v>#REF!</v>
      </c>
      <c r="DZ8" t="e">
        <f>AND(NhatkyBan!#REF!,"AAAAAGp7M4E=")</f>
        <v>#REF!</v>
      </c>
      <c r="EA8" t="e">
        <f>AND(NhatkyBan!#REF!,"AAAAAGp7M4I=")</f>
        <v>#REF!</v>
      </c>
      <c r="EB8" t="e">
        <f>AND(NhatkyBan!#REF!,"AAAAAGp7M4M=")</f>
        <v>#REF!</v>
      </c>
      <c r="EC8" t="e">
        <f>AND(NhatkyBan!#REF!,"AAAAAGp7M4Q=")</f>
        <v>#REF!</v>
      </c>
      <c r="ED8" t="e">
        <f>AND(NhatkyBan!#REF!,"AAAAAGp7M4U=")</f>
        <v>#REF!</v>
      </c>
      <c r="EE8" t="e">
        <f>AND(NhatkyBan!#REF!,"AAAAAGp7M4Y=")</f>
        <v>#REF!</v>
      </c>
      <c r="EF8" t="e">
        <f>AND(NhatkyBan!#REF!,"AAAAAGp7M4c=")</f>
        <v>#REF!</v>
      </c>
      <c r="EG8" t="e">
        <f>AND(NhatkyBan!#REF!,"AAAAAGp7M4g=")</f>
        <v>#REF!</v>
      </c>
      <c r="EH8" t="e">
        <f>AND(NhatkyBan!#REF!,"AAAAAGp7M4k=")</f>
        <v>#REF!</v>
      </c>
      <c r="EI8" t="e">
        <f>AND(NhatkyBan!#REF!,"AAAAAGp7M4o=")</f>
        <v>#REF!</v>
      </c>
      <c r="EJ8" t="e">
        <f>AND(NhatkyBan!#REF!,"AAAAAGp7M4s=")</f>
        <v>#REF!</v>
      </c>
      <c r="EK8" t="e">
        <f>AND(NhatkyBan!#REF!,"AAAAAGp7M4w=")</f>
        <v>#REF!</v>
      </c>
      <c r="EL8" t="e">
        <f>AND(NhatkyBan!#REF!,"AAAAAGp7M40=")</f>
        <v>#REF!</v>
      </c>
      <c r="EM8" t="e">
        <f>AND(NhatkyBan!#REF!,"AAAAAGp7M44=")</f>
        <v>#REF!</v>
      </c>
      <c r="EN8" t="e">
        <f>AND(NhatkyBan!#REF!,"AAAAAGp7M48=")</f>
        <v>#REF!</v>
      </c>
      <c r="EO8" t="e">
        <f>AND(NhatkyBan!#REF!,"AAAAAGp7M5A=")</f>
        <v>#REF!</v>
      </c>
      <c r="EP8" t="e">
        <f>AND(NhatkyBan!#REF!,"AAAAAGp7M5E=")</f>
        <v>#REF!</v>
      </c>
      <c r="EQ8" t="e">
        <f>AND(NhatkyBan!#REF!,"AAAAAGp7M5I=")</f>
        <v>#REF!</v>
      </c>
      <c r="ER8" t="e">
        <f>AND(NhatkyBan!#REF!,"AAAAAGp7M5M=")</f>
        <v>#REF!</v>
      </c>
      <c r="ES8" t="e">
        <f>AND(NhatkyBan!#REF!,"AAAAAGp7M5Q=")</f>
        <v>#REF!</v>
      </c>
      <c r="ET8" t="e">
        <f>AND(NhatkyBan!#REF!,"AAAAAGp7M5U=")</f>
        <v>#REF!</v>
      </c>
      <c r="EU8" t="e">
        <f>AND(NhatkyBan!#REF!,"AAAAAGp7M5Y=")</f>
        <v>#REF!</v>
      </c>
      <c r="EV8" t="e">
        <f>AND(NhatkyBan!#REF!,"AAAAAGp7M5c=")</f>
        <v>#REF!</v>
      </c>
      <c r="EW8" t="e">
        <f>AND(NhatkyBan!#REF!,"AAAAAGp7M5g=")</f>
        <v>#REF!</v>
      </c>
      <c r="EX8" t="e">
        <f>AND(NhatkyBan!#REF!,"AAAAAGp7M5k=")</f>
        <v>#REF!</v>
      </c>
      <c r="EY8" t="e">
        <f>AND(NhatkyBan!#REF!,"AAAAAGp7M5o=")</f>
        <v>#REF!</v>
      </c>
      <c r="EZ8" t="e">
        <f>AND(NhatkyBan!#REF!,"AAAAAGp7M5s=")</f>
        <v>#REF!</v>
      </c>
      <c r="FA8" t="e">
        <f>AND(NhatkyBan!#REF!,"AAAAAGp7M5w=")</f>
        <v>#REF!</v>
      </c>
      <c r="FB8" t="e">
        <f>AND(NhatkyBan!#REF!,"AAAAAGp7M50=")</f>
        <v>#REF!</v>
      </c>
      <c r="FC8" t="e">
        <f>AND(NhatkyBan!#REF!,"AAAAAGp7M54=")</f>
        <v>#REF!</v>
      </c>
      <c r="FD8" t="e">
        <f>AND(NhatkyBan!#REF!,"AAAAAGp7M58=")</f>
        <v>#REF!</v>
      </c>
      <c r="FE8" t="e">
        <f>AND(NhatkyBan!#REF!,"AAAAAGp7M6A=")</f>
        <v>#REF!</v>
      </c>
      <c r="FF8" t="e">
        <f>IF(NhatkyBan!#REF!,"AAAAAGp7M6E=",0)</f>
        <v>#REF!</v>
      </c>
      <c r="FG8" t="e">
        <f>AND(NhatkyBan!#REF!,"AAAAAGp7M6I=")</f>
        <v>#REF!</v>
      </c>
      <c r="FH8" t="e">
        <f>AND(NhatkyBan!#REF!,"AAAAAGp7M6M=")</f>
        <v>#REF!</v>
      </c>
      <c r="FI8" t="e">
        <f>AND(NhatkyBan!#REF!,"AAAAAGp7M6Q=")</f>
        <v>#REF!</v>
      </c>
      <c r="FJ8" t="e">
        <f>AND(NhatkyBan!#REF!,"AAAAAGp7M6U=")</f>
        <v>#REF!</v>
      </c>
      <c r="FK8" t="e">
        <f>AND(NhatkyBan!#REF!,"AAAAAGp7M6Y=")</f>
        <v>#REF!</v>
      </c>
      <c r="FL8" t="e">
        <f>AND(NhatkyBan!#REF!,"AAAAAGp7M6c=")</f>
        <v>#REF!</v>
      </c>
      <c r="FM8" t="e">
        <f>AND(NhatkyBan!#REF!,"AAAAAGp7M6g=")</f>
        <v>#REF!</v>
      </c>
      <c r="FN8" t="e">
        <f>AND(NhatkyBan!#REF!,"AAAAAGp7M6k=")</f>
        <v>#REF!</v>
      </c>
      <c r="FO8" t="e">
        <f>AND(NhatkyBan!#REF!,"AAAAAGp7M6o=")</f>
        <v>#REF!</v>
      </c>
      <c r="FP8" t="e">
        <f>AND(NhatkyBan!#REF!,"AAAAAGp7M6s=")</f>
        <v>#REF!</v>
      </c>
      <c r="FQ8" t="e">
        <f>AND(NhatkyBan!#REF!,"AAAAAGp7M6w=")</f>
        <v>#REF!</v>
      </c>
      <c r="FR8" t="e">
        <f>AND(NhatkyBan!#REF!,"AAAAAGp7M60=")</f>
        <v>#REF!</v>
      </c>
      <c r="FS8" t="e">
        <f>AND(NhatkyBan!#REF!,"AAAAAGp7M64=")</f>
        <v>#REF!</v>
      </c>
      <c r="FT8" t="e">
        <f>AND(NhatkyBan!#REF!,"AAAAAGp7M68=")</f>
        <v>#REF!</v>
      </c>
      <c r="FU8" t="e">
        <f>AND(NhatkyBan!#REF!,"AAAAAGp7M7A=")</f>
        <v>#REF!</v>
      </c>
      <c r="FV8" t="e">
        <f>AND(NhatkyBan!#REF!,"AAAAAGp7M7E=")</f>
        <v>#REF!</v>
      </c>
      <c r="FW8" t="e">
        <f>AND(NhatkyBan!#REF!,"AAAAAGp7M7I=")</f>
        <v>#REF!</v>
      </c>
      <c r="FX8" t="e">
        <f>AND(NhatkyBan!#REF!,"AAAAAGp7M7M=")</f>
        <v>#REF!</v>
      </c>
      <c r="FY8" t="e">
        <f>AND(NhatkyBan!#REF!,"AAAAAGp7M7Q=")</f>
        <v>#REF!</v>
      </c>
      <c r="FZ8" t="e">
        <f>AND(NhatkyBan!#REF!,"AAAAAGp7M7U=")</f>
        <v>#REF!</v>
      </c>
      <c r="GA8" t="e">
        <f>AND(NhatkyBan!#REF!,"AAAAAGp7M7Y=")</f>
        <v>#REF!</v>
      </c>
      <c r="GB8" t="e">
        <f>AND(NhatkyBan!#REF!,"AAAAAGp7M7c=")</f>
        <v>#REF!</v>
      </c>
      <c r="GC8" t="e">
        <f>AND(NhatkyBan!#REF!,"AAAAAGp7M7g=")</f>
        <v>#REF!</v>
      </c>
      <c r="GD8" t="e">
        <f>AND(NhatkyBan!#REF!,"AAAAAGp7M7k=")</f>
        <v>#REF!</v>
      </c>
      <c r="GE8" t="e">
        <f>AND(NhatkyBan!#REF!,"AAAAAGp7M7o=")</f>
        <v>#REF!</v>
      </c>
      <c r="GF8" t="e">
        <f>AND(NhatkyBan!#REF!,"AAAAAGp7M7s=")</f>
        <v>#REF!</v>
      </c>
      <c r="GG8" t="e">
        <f>AND(NhatkyBan!#REF!,"AAAAAGp7M7w=")</f>
        <v>#REF!</v>
      </c>
      <c r="GH8" t="e">
        <f>AND(NhatkyBan!#REF!,"AAAAAGp7M70=")</f>
        <v>#REF!</v>
      </c>
      <c r="GI8" t="e">
        <f>AND(NhatkyBan!#REF!,"AAAAAGp7M74=")</f>
        <v>#REF!</v>
      </c>
      <c r="GJ8" t="e">
        <f>AND(NhatkyBan!#REF!,"AAAAAGp7M78=")</f>
        <v>#REF!</v>
      </c>
      <c r="GK8" t="e">
        <f>AND(NhatkyBan!#REF!,"AAAAAGp7M8A=")</f>
        <v>#REF!</v>
      </c>
      <c r="GL8" t="e">
        <f>AND(NhatkyBan!#REF!,"AAAAAGp7M8E=")</f>
        <v>#REF!</v>
      </c>
      <c r="GM8" t="e">
        <f>AND(NhatkyBan!#REF!,"AAAAAGp7M8I=")</f>
        <v>#REF!</v>
      </c>
      <c r="GN8" t="e">
        <f>AND(NhatkyBan!#REF!,"AAAAAGp7M8M=")</f>
        <v>#REF!</v>
      </c>
      <c r="GO8" t="e">
        <f>IF(NhatkyBan!#REF!,"AAAAAGp7M8Q=",0)</f>
        <v>#REF!</v>
      </c>
      <c r="GP8" t="e">
        <f>AND(NhatkyBan!#REF!,"AAAAAGp7M8U=")</f>
        <v>#REF!</v>
      </c>
      <c r="GQ8" t="e">
        <f>AND(NhatkyBan!#REF!,"AAAAAGp7M8Y=")</f>
        <v>#REF!</v>
      </c>
      <c r="GR8" t="e">
        <f>AND(NhatkyBan!#REF!,"AAAAAGp7M8c=")</f>
        <v>#REF!</v>
      </c>
      <c r="GS8" t="e">
        <f>AND(NhatkyBan!#REF!,"AAAAAGp7M8g=")</f>
        <v>#REF!</v>
      </c>
      <c r="GT8" t="e">
        <f>AND(NhatkyBan!#REF!,"AAAAAGp7M8k=")</f>
        <v>#REF!</v>
      </c>
      <c r="GU8" t="e">
        <f>AND(NhatkyBan!#REF!,"AAAAAGp7M8o=")</f>
        <v>#REF!</v>
      </c>
      <c r="GV8" t="e">
        <f>AND(NhatkyBan!#REF!,"AAAAAGp7M8s=")</f>
        <v>#REF!</v>
      </c>
      <c r="GW8" t="e">
        <f>AND(NhatkyBan!#REF!,"AAAAAGp7M8w=")</f>
        <v>#REF!</v>
      </c>
      <c r="GX8" t="e">
        <f>AND(NhatkyBan!#REF!,"AAAAAGp7M80=")</f>
        <v>#REF!</v>
      </c>
      <c r="GY8" t="e">
        <f>AND(NhatkyBan!#REF!,"AAAAAGp7M84=")</f>
        <v>#REF!</v>
      </c>
      <c r="GZ8" t="e">
        <f>AND(NhatkyBan!#REF!,"AAAAAGp7M88=")</f>
        <v>#REF!</v>
      </c>
      <c r="HA8" t="e">
        <f>AND(NhatkyBan!#REF!,"AAAAAGp7M9A=")</f>
        <v>#REF!</v>
      </c>
      <c r="HB8" t="e">
        <f>AND(NhatkyBan!#REF!,"AAAAAGp7M9E=")</f>
        <v>#REF!</v>
      </c>
      <c r="HC8" t="e">
        <f>AND(NhatkyBan!#REF!,"AAAAAGp7M9I=")</f>
        <v>#REF!</v>
      </c>
      <c r="HD8" t="e">
        <f>AND(NhatkyBan!#REF!,"AAAAAGp7M9M=")</f>
        <v>#REF!</v>
      </c>
      <c r="HE8" t="e">
        <f>AND(NhatkyBan!#REF!,"AAAAAGp7M9Q=")</f>
        <v>#REF!</v>
      </c>
      <c r="HF8" t="e">
        <f>AND(NhatkyBan!#REF!,"AAAAAGp7M9U=")</f>
        <v>#REF!</v>
      </c>
      <c r="HG8" t="e">
        <f>AND(NhatkyBan!#REF!,"AAAAAGp7M9Y=")</f>
        <v>#REF!</v>
      </c>
      <c r="HH8" t="e">
        <f>AND(NhatkyBan!#REF!,"AAAAAGp7M9c=")</f>
        <v>#REF!</v>
      </c>
      <c r="HI8" t="e">
        <f>AND(NhatkyBan!#REF!,"AAAAAGp7M9g=")</f>
        <v>#REF!</v>
      </c>
      <c r="HJ8" t="e">
        <f>AND(NhatkyBan!#REF!,"AAAAAGp7M9k=")</f>
        <v>#REF!</v>
      </c>
      <c r="HK8" t="e">
        <f>AND(NhatkyBan!#REF!,"AAAAAGp7M9o=")</f>
        <v>#REF!</v>
      </c>
      <c r="HL8" t="e">
        <f>AND(NhatkyBan!#REF!,"AAAAAGp7M9s=")</f>
        <v>#REF!</v>
      </c>
      <c r="HM8" t="e">
        <f>AND(NhatkyBan!#REF!,"AAAAAGp7M9w=")</f>
        <v>#REF!</v>
      </c>
      <c r="HN8" t="e">
        <f>AND(NhatkyBan!#REF!,"AAAAAGp7M90=")</f>
        <v>#REF!</v>
      </c>
      <c r="HO8" t="e">
        <f>AND(NhatkyBan!#REF!,"AAAAAGp7M94=")</f>
        <v>#REF!</v>
      </c>
      <c r="HP8" t="e">
        <f>AND(NhatkyBan!#REF!,"AAAAAGp7M98=")</f>
        <v>#REF!</v>
      </c>
      <c r="HQ8" t="e">
        <f>AND(NhatkyBan!#REF!,"AAAAAGp7M+A=")</f>
        <v>#REF!</v>
      </c>
      <c r="HR8" t="e">
        <f>AND(NhatkyBan!#REF!,"AAAAAGp7M+E=")</f>
        <v>#REF!</v>
      </c>
      <c r="HS8" t="e">
        <f>AND(NhatkyBan!#REF!,"AAAAAGp7M+I=")</f>
        <v>#REF!</v>
      </c>
      <c r="HT8" t="e">
        <f>AND(NhatkyBan!#REF!,"AAAAAGp7M+M=")</f>
        <v>#REF!</v>
      </c>
      <c r="HU8" t="e">
        <f>AND(NhatkyBan!#REF!,"AAAAAGp7M+Q=")</f>
        <v>#REF!</v>
      </c>
      <c r="HV8" t="e">
        <f>AND(NhatkyBan!#REF!,"AAAAAGp7M+U=")</f>
        <v>#REF!</v>
      </c>
      <c r="HW8" t="e">
        <f>AND(NhatkyBan!#REF!,"AAAAAGp7M+Y=")</f>
        <v>#REF!</v>
      </c>
      <c r="HX8" t="e">
        <f>IF(NhatkyBan!#REF!,"AAAAAGp7M+c=",0)</f>
        <v>#REF!</v>
      </c>
      <c r="HY8" t="e">
        <f>AND(NhatkyBan!#REF!,"AAAAAGp7M+g=")</f>
        <v>#REF!</v>
      </c>
      <c r="HZ8" t="e">
        <f>AND(NhatkyBan!#REF!,"AAAAAGp7M+k=")</f>
        <v>#REF!</v>
      </c>
      <c r="IA8" t="e">
        <f>AND(NhatkyBan!#REF!,"AAAAAGp7M+o=")</f>
        <v>#REF!</v>
      </c>
      <c r="IB8" t="e">
        <f>AND(NhatkyBan!#REF!,"AAAAAGp7M+s=")</f>
        <v>#REF!</v>
      </c>
      <c r="IC8" t="e">
        <f>AND(NhatkyBan!#REF!,"AAAAAGp7M+w=")</f>
        <v>#REF!</v>
      </c>
      <c r="ID8" t="e">
        <f>AND(NhatkyBan!#REF!,"AAAAAGp7M+0=")</f>
        <v>#REF!</v>
      </c>
      <c r="IE8" t="e">
        <f>AND(NhatkyBan!#REF!,"AAAAAGp7M+4=")</f>
        <v>#REF!</v>
      </c>
      <c r="IF8" t="e">
        <f>AND(NhatkyBan!#REF!,"AAAAAGp7M+8=")</f>
        <v>#REF!</v>
      </c>
      <c r="IG8" t="e">
        <f>AND(NhatkyBan!#REF!,"AAAAAGp7M/A=")</f>
        <v>#REF!</v>
      </c>
      <c r="IH8" t="e">
        <f>AND(NhatkyBan!#REF!,"AAAAAGp7M/E=")</f>
        <v>#REF!</v>
      </c>
      <c r="II8" t="e">
        <f>AND(NhatkyBan!#REF!,"AAAAAGp7M/I=")</f>
        <v>#REF!</v>
      </c>
      <c r="IJ8" t="e">
        <f>AND(NhatkyBan!#REF!,"AAAAAGp7M/M=")</f>
        <v>#REF!</v>
      </c>
      <c r="IK8" t="e">
        <f>AND(NhatkyBan!#REF!,"AAAAAGp7M/Q=")</f>
        <v>#REF!</v>
      </c>
      <c r="IL8" t="e">
        <f>AND(NhatkyBan!#REF!,"AAAAAGp7M/U=")</f>
        <v>#REF!</v>
      </c>
      <c r="IM8" t="e">
        <f>AND(NhatkyBan!#REF!,"AAAAAGp7M/Y=")</f>
        <v>#REF!</v>
      </c>
      <c r="IN8" t="e">
        <f>AND(NhatkyBan!#REF!,"AAAAAGp7M/c=")</f>
        <v>#REF!</v>
      </c>
      <c r="IO8" t="e">
        <f>AND(NhatkyBan!#REF!,"AAAAAGp7M/g=")</f>
        <v>#REF!</v>
      </c>
      <c r="IP8" t="e">
        <f>AND(NhatkyBan!#REF!,"AAAAAGp7M/k=")</f>
        <v>#REF!</v>
      </c>
      <c r="IQ8" t="e">
        <f>AND(NhatkyBan!#REF!,"AAAAAGp7M/o=")</f>
        <v>#REF!</v>
      </c>
      <c r="IR8" t="e">
        <f>AND(NhatkyBan!#REF!,"AAAAAGp7M/s=")</f>
        <v>#REF!</v>
      </c>
      <c r="IS8" t="e">
        <f>AND(NhatkyBan!#REF!,"AAAAAGp7M/w=")</f>
        <v>#REF!</v>
      </c>
      <c r="IT8" t="e">
        <f>AND(NhatkyBan!#REF!,"AAAAAGp7M/0=")</f>
        <v>#REF!</v>
      </c>
      <c r="IU8" t="e">
        <f>AND(NhatkyBan!#REF!,"AAAAAGp7M/4=")</f>
        <v>#REF!</v>
      </c>
      <c r="IV8" t="e">
        <f>AND(NhatkyBan!#REF!,"AAAAAGp7M/8=")</f>
        <v>#REF!</v>
      </c>
    </row>
    <row r="9" spans="1:256">
      <c r="A9" t="e">
        <f>AND(NhatkyBan!#REF!,"AAAAAHW/7wA=")</f>
        <v>#REF!</v>
      </c>
      <c r="B9" t="e">
        <f>AND(NhatkyBan!#REF!,"AAAAAHW/7wE=")</f>
        <v>#REF!</v>
      </c>
      <c r="C9" t="e">
        <f>AND(NhatkyBan!#REF!,"AAAAAHW/7wI=")</f>
        <v>#REF!</v>
      </c>
      <c r="D9" t="e">
        <f>AND(NhatkyBan!#REF!,"AAAAAHW/7wM=")</f>
        <v>#REF!</v>
      </c>
      <c r="E9" t="e">
        <f>AND(NhatkyBan!#REF!,"AAAAAHW/7wQ=")</f>
        <v>#REF!</v>
      </c>
      <c r="F9" t="e">
        <f>AND(NhatkyBan!#REF!,"AAAAAHW/7wU=")</f>
        <v>#REF!</v>
      </c>
      <c r="G9" t="e">
        <f>AND(NhatkyBan!#REF!,"AAAAAHW/7wY=")</f>
        <v>#REF!</v>
      </c>
      <c r="H9" t="e">
        <f>AND(NhatkyBan!#REF!,"AAAAAHW/7wc=")</f>
        <v>#REF!</v>
      </c>
      <c r="I9" t="e">
        <f>AND(NhatkyBan!#REF!,"AAAAAHW/7wg=")</f>
        <v>#REF!</v>
      </c>
      <c r="J9" t="e">
        <f>AND(NhatkyBan!#REF!,"AAAAAHW/7wk=")</f>
        <v>#REF!</v>
      </c>
      <c r="K9" t="e">
        <f>IF(NhatkyBan!#REF!,"AAAAAHW/7wo=",0)</f>
        <v>#REF!</v>
      </c>
      <c r="L9" t="e">
        <f>AND(NhatkyBan!#REF!,"AAAAAHW/7ws=")</f>
        <v>#REF!</v>
      </c>
      <c r="M9" t="e">
        <f>AND(NhatkyBan!#REF!,"AAAAAHW/7ww=")</f>
        <v>#REF!</v>
      </c>
      <c r="N9" t="e">
        <f>AND(NhatkyBan!#REF!,"AAAAAHW/7w0=")</f>
        <v>#REF!</v>
      </c>
      <c r="O9" t="e">
        <f>AND(NhatkyBan!#REF!,"AAAAAHW/7w4=")</f>
        <v>#REF!</v>
      </c>
      <c r="P9" t="e">
        <f>AND(NhatkyBan!#REF!,"AAAAAHW/7w8=")</f>
        <v>#REF!</v>
      </c>
      <c r="Q9" t="e">
        <f>AND(NhatkyBan!#REF!,"AAAAAHW/7xA=")</f>
        <v>#REF!</v>
      </c>
      <c r="R9" t="e">
        <f>AND(NhatkyBan!#REF!,"AAAAAHW/7xE=")</f>
        <v>#REF!</v>
      </c>
      <c r="S9" t="e">
        <f>AND(NhatkyBan!#REF!,"AAAAAHW/7xI=")</f>
        <v>#REF!</v>
      </c>
      <c r="T9" t="e">
        <f>AND(NhatkyBan!#REF!,"AAAAAHW/7xM=")</f>
        <v>#REF!</v>
      </c>
      <c r="U9" t="e">
        <f>AND(NhatkyBan!#REF!,"AAAAAHW/7xQ=")</f>
        <v>#REF!</v>
      </c>
      <c r="V9" t="e">
        <f>AND(NhatkyBan!#REF!,"AAAAAHW/7xU=")</f>
        <v>#REF!</v>
      </c>
      <c r="W9" t="e">
        <f>AND(NhatkyBan!#REF!,"AAAAAHW/7xY=")</f>
        <v>#REF!</v>
      </c>
      <c r="X9" t="e">
        <f>AND(NhatkyBan!#REF!,"AAAAAHW/7xc=")</f>
        <v>#REF!</v>
      </c>
      <c r="Y9" t="e">
        <f>AND(NhatkyBan!#REF!,"AAAAAHW/7xg=")</f>
        <v>#REF!</v>
      </c>
      <c r="Z9" t="e">
        <f>AND(NhatkyBan!#REF!,"AAAAAHW/7xk=")</f>
        <v>#REF!</v>
      </c>
      <c r="AA9" t="e">
        <f>AND(NhatkyBan!#REF!,"AAAAAHW/7xo=")</f>
        <v>#REF!</v>
      </c>
      <c r="AB9" t="e">
        <f>AND(NhatkyBan!#REF!,"AAAAAHW/7xs=")</f>
        <v>#REF!</v>
      </c>
      <c r="AC9" t="e">
        <f>AND(NhatkyBan!#REF!,"AAAAAHW/7xw=")</f>
        <v>#REF!</v>
      </c>
      <c r="AD9" t="e">
        <f>AND(NhatkyBan!#REF!,"AAAAAHW/7x0=")</f>
        <v>#REF!</v>
      </c>
      <c r="AE9" t="e">
        <f>AND(NhatkyBan!#REF!,"AAAAAHW/7x4=")</f>
        <v>#REF!</v>
      </c>
      <c r="AF9" t="e">
        <f>AND(NhatkyBan!#REF!,"AAAAAHW/7x8=")</f>
        <v>#REF!</v>
      </c>
      <c r="AG9" t="e">
        <f>AND(NhatkyBan!#REF!,"AAAAAHW/7yA=")</f>
        <v>#REF!</v>
      </c>
      <c r="AH9" t="e">
        <f>AND(NhatkyBan!#REF!,"AAAAAHW/7yE=")</f>
        <v>#REF!</v>
      </c>
      <c r="AI9" t="e">
        <f>AND(NhatkyBan!#REF!,"AAAAAHW/7yI=")</f>
        <v>#REF!</v>
      </c>
      <c r="AJ9" t="e">
        <f>AND(NhatkyBan!#REF!,"AAAAAHW/7yM=")</f>
        <v>#REF!</v>
      </c>
      <c r="AK9" t="e">
        <f>AND(NhatkyBan!#REF!,"AAAAAHW/7yQ=")</f>
        <v>#REF!</v>
      </c>
      <c r="AL9" t="e">
        <f>AND(NhatkyBan!#REF!,"AAAAAHW/7yU=")</f>
        <v>#REF!</v>
      </c>
      <c r="AM9" t="e">
        <f>AND(NhatkyBan!#REF!,"AAAAAHW/7yY=")</f>
        <v>#REF!</v>
      </c>
      <c r="AN9" t="e">
        <f>AND(NhatkyBan!#REF!,"AAAAAHW/7yc=")</f>
        <v>#REF!</v>
      </c>
      <c r="AO9" t="e">
        <f>AND(NhatkyBan!#REF!,"AAAAAHW/7yg=")</f>
        <v>#REF!</v>
      </c>
      <c r="AP9" t="e">
        <f>AND(NhatkyBan!#REF!,"AAAAAHW/7yk=")</f>
        <v>#REF!</v>
      </c>
      <c r="AQ9" t="e">
        <f>AND(NhatkyBan!#REF!,"AAAAAHW/7yo=")</f>
        <v>#REF!</v>
      </c>
      <c r="AR9" t="e">
        <f>AND(NhatkyBan!#REF!,"AAAAAHW/7ys=")</f>
        <v>#REF!</v>
      </c>
      <c r="AS9" t="e">
        <f>AND(NhatkyBan!#REF!,"AAAAAHW/7yw=")</f>
        <v>#REF!</v>
      </c>
      <c r="AT9" t="e">
        <f>IF(NhatkyBan!#REF!,"AAAAAHW/7y0=",0)</f>
        <v>#REF!</v>
      </c>
      <c r="AU9" t="e">
        <f>AND(NhatkyBan!#REF!,"AAAAAHW/7y4=")</f>
        <v>#REF!</v>
      </c>
      <c r="AV9" t="e">
        <f>AND(NhatkyBan!#REF!,"AAAAAHW/7y8=")</f>
        <v>#REF!</v>
      </c>
      <c r="AW9" t="e">
        <f>AND(NhatkyBan!#REF!,"AAAAAHW/7zA=")</f>
        <v>#REF!</v>
      </c>
      <c r="AX9" t="e">
        <f>AND(NhatkyBan!#REF!,"AAAAAHW/7zE=")</f>
        <v>#REF!</v>
      </c>
      <c r="AY9" t="e">
        <f>AND(NhatkyBan!#REF!,"AAAAAHW/7zI=")</f>
        <v>#REF!</v>
      </c>
      <c r="AZ9" t="e">
        <f>AND(NhatkyBan!#REF!,"AAAAAHW/7zM=")</f>
        <v>#REF!</v>
      </c>
      <c r="BA9" t="e">
        <f>AND(NhatkyBan!#REF!,"AAAAAHW/7zQ=")</f>
        <v>#REF!</v>
      </c>
      <c r="BB9" t="e">
        <f>AND(NhatkyBan!#REF!,"AAAAAHW/7zU=")</f>
        <v>#REF!</v>
      </c>
      <c r="BC9" t="e">
        <f>AND(NhatkyBan!#REF!,"AAAAAHW/7zY=")</f>
        <v>#REF!</v>
      </c>
      <c r="BD9" t="e">
        <f>AND(NhatkyBan!#REF!,"AAAAAHW/7zc=")</f>
        <v>#REF!</v>
      </c>
      <c r="BE9" t="e">
        <f>AND(NhatkyBan!#REF!,"AAAAAHW/7zg=")</f>
        <v>#REF!</v>
      </c>
      <c r="BF9" t="e">
        <f>AND(NhatkyBan!#REF!,"AAAAAHW/7zk=")</f>
        <v>#REF!</v>
      </c>
      <c r="BG9" t="e">
        <f>AND(NhatkyBan!#REF!,"AAAAAHW/7zo=")</f>
        <v>#REF!</v>
      </c>
      <c r="BH9" t="e">
        <f>AND(NhatkyBan!#REF!,"AAAAAHW/7zs=")</f>
        <v>#REF!</v>
      </c>
      <c r="BI9" t="e">
        <f>AND(NhatkyBan!#REF!,"AAAAAHW/7zw=")</f>
        <v>#REF!</v>
      </c>
      <c r="BJ9" t="e">
        <f>AND(NhatkyBan!#REF!,"AAAAAHW/7z0=")</f>
        <v>#REF!</v>
      </c>
      <c r="BK9" t="e">
        <f>AND(NhatkyBan!#REF!,"AAAAAHW/7z4=")</f>
        <v>#REF!</v>
      </c>
      <c r="BL9" t="e">
        <f>AND(NhatkyBan!#REF!,"AAAAAHW/7z8=")</f>
        <v>#REF!</v>
      </c>
      <c r="BM9" t="e">
        <f>AND(NhatkyBan!#REF!,"AAAAAHW/70A=")</f>
        <v>#REF!</v>
      </c>
      <c r="BN9" t="e">
        <f>AND(NhatkyBan!#REF!,"AAAAAHW/70E=")</f>
        <v>#REF!</v>
      </c>
      <c r="BO9" t="e">
        <f>AND(NhatkyBan!#REF!,"AAAAAHW/70I=")</f>
        <v>#REF!</v>
      </c>
      <c r="BP9" t="e">
        <f>AND(NhatkyBan!#REF!,"AAAAAHW/70M=")</f>
        <v>#REF!</v>
      </c>
      <c r="BQ9" t="e">
        <f>AND(NhatkyBan!#REF!,"AAAAAHW/70Q=")</f>
        <v>#REF!</v>
      </c>
      <c r="BR9" t="e">
        <f>AND(NhatkyBan!#REF!,"AAAAAHW/70U=")</f>
        <v>#REF!</v>
      </c>
      <c r="BS9" t="e">
        <f>AND(NhatkyBan!#REF!,"AAAAAHW/70Y=")</f>
        <v>#REF!</v>
      </c>
      <c r="BT9" t="e">
        <f>AND(NhatkyBan!#REF!,"AAAAAHW/70c=")</f>
        <v>#REF!</v>
      </c>
      <c r="BU9" t="e">
        <f>AND(NhatkyBan!#REF!,"AAAAAHW/70g=")</f>
        <v>#REF!</v>
      </c>
      <c r="BV9" t="e">
        <f>AND(NhatkyBan!#REF!,"AAAAAHW/70k=")</f>
        <v>#REF!</v>
      </c>
      <c r="BW9" t="e">
        <f>AND(NhatkyBan!#REF!,"AAAAAHW/70o=")</f>
        <v>#REF!</v>
      </c>
      <c r="BX9" t="e">
        <f>AND(NhatkyBan!#REF!,"AAAAAHW/70s=")</f>
        <v>#REF!</v>
      </c>
      <c r="BY9" t="e">
        <f>AND(NhatkyBan!#REF!,"AAAAAHW/70w=")</f>
        <v>#REF!</v>
      </c>
      <c r="BZ9" t="e">
        <f>AND(NhatkyBan!#REF!,"AAAAAHW/700=")</f>
        <v>#REF!</v>
      </c>
      <c r="CA9" t="e">
        <f>AND(NhatkyBan!#REF!,"AAAAAHW/704=")</f>
        <v>#REF!</v>
      </c>
      <c r="CB9" t="e">
        <f>AND(NhatkyBan!#REF!,"AAAAAHW/708=")</f>
        <v>#REF!</v>
      </c>
      <c r="CC9" t="e">
        <f>IF(NhatkyBan!#REF!,"AAAAAHW/71A=",0)</f>
        <v>#REF!</v>
      </c>
      <c r="CD9" t="e">
        <f>AND(NhatkyBan!#REF!,"AAAAAHW/71E=")</f>
        <v>#REF!</v>
      </c>
      <c r="CE9" t="e">
        <f>AND(NhatkyBan!#REF!,"AAAAAHW/71I=")</f>
        <v>#REF!</v>
      </c>
      <c r="CF9" t="e">
        <f>AND(NhatkyBan!#REF!,"AAAAAHW/71M=")</f>
        <v>#REF!</v>
      </c>
      <c r="CG9" t="e">
        <f>AND(NhatkyBan!#REF!,"AAAAAHW/71Q=")</f>
        <v>#REF!</v>
      </c>
      <c r="CH9" t="e">
        <f>AND(NhatkyBan!#REF!,"AAAAAHW/71U=")</f>
        <v>#REF!</v>
      </c>
      <c r="CI9" t="e">
        <f>AND(NhatkyBan!#REF!,"AAAAAHW/71Y=")</f>
        <v>#REF!</v>
      </c>
      <c r="CJ9" t="e">
        <f>AND(NhatkyBan!#REF!,"AAAAAHW/71c=")</f>
        <v>#REF!</v>
      </c>
      <c r="CK9" t="e">
        <f>AND(NhatkyBan!#REF!,"AAAAAHW/71g=")</f>
        <v>#REF!</v>
      </c>
      <c r="CL9" t="e">
        <f>AND(NhatkyBan!#REF!,"AAAAAHW/71k=")</f>
        <v>#REF!</v>
      </c>
      <c r="CM9" t="e">
        <f>AND(NhatkyBan!#REF!,"AAAAAHW/71o=")</f>
        <v>#REF!</v>
      </c>
      <c r="CN9" t="e">
        <f>AND(NhatkyBan!#REF!,"AAAAAHW/71s=")</f>
        <v>#REF!</v>
      </c>
      <c r="CO9" t="e">
        <f>AND(NhatkyBan!#REF!,"AAAAAHW/71w=")</f>
        <v>#REF!</v>
      </c>
      <c r="CP9" t="e">
        <f>AND(NhatkyBan!#REF!,"AAAAAHW/710=")</f>
        <v>#REF!</v>
      </c>
      <c r="CQ9" t="e">
        <f>AND(NhatkyBan!#REF!,"AAAAAHW/714=")</f>
        <v>#REF!</v>
      </c>
      <c r="CR9" t="e">
        <f>AND(NhatkyBan!#REF!,"AAAAAHW/718=")</f>
        <v>#REF!</v>
      </c>
      <c r="CS9" t="e">
        <f>AND(NhatkyBan!#REF!,"AAAAAHW/72A=")</f>
        <v>#REF!</v>
      </c>
      <c r="CT9" t="e">
        <f>AND(NhatkyBan!#REF!,"AAAAAHW/72E=")</f>
        <v>#REF!</v>
      </c>
      <c r="CU9" t="e">
        <f>AND(NhatkyBan!#REF!,"AAAAAHW/72I=")</f>
        <v>#REF!</v>
      </c>
      <c r="CV9" t="e">
        <f>AND(NhatkyBan!#REF!,"AAAAAHW/72M=")</f>
        <v>#REF!</v>
      </c>
      <c r="CW9" t="e">
        <f>AND(NhatkyBan!#REF!,"AAAAAHW/72Q=")</f>
        <v>#REF!</v>
      </c>
      <c r="CX9" t="e">
        <f>AND(NhatkyBan!#REF!,"AAAAAHW/72U=")</f>
        <v>#REF!</v>
      </c>
      <c r="CY9" t="e">
        <f>AND(NhatkyBan!#REF!,"AAAAAHW/72Y=")</f>
        <v>#REF!</v>
      </c>
      <c r="CZ9" t="e">
        <f>AND(NhatkyBan!#REF!,"AAAAAHW/72c=")</f>
        <v>#REF!</v>
      </c>
      <c r="DA9" t="e">
        <f>AND(NhatkyBan!#REF!,"AAAAAHW/72g=")</f>
        <v>#REF!</v>
      </c>
      <c r="DB9" t="e">
        <f>AND(NhatkyBan!#REF!,"AAAAAHW/72k=")</f>
        <v>#REF!</v>
      </c>
      <c r="DC9" t="e">
        <f>AND(NhatkyBan!#REF!,"AAAAAHW/72o=")</f>
        <v>#REF!</v>
      </c>
      <c r="DD9" t="e">
        <f>AND(NhatkyBan!#REF!,"AAAAAHW/72s=")</f>
        <v>#REF!</v>
      </c>
      <c r="DE9" t="e">
        <f>AND(NhatkyBan!#REF!,"AAAAAHW/72w=")</f>
        <v>#REF!</v>
      </c>
      <c r="DF9" t="e">
        <f>AND(NhatkyBan!#REF!,"AAAAAHW/720=")</f>
        <v>#REF!</v>
      </c>
      <c r="DG9" t="e">
        <f>AND(NhatkyBan!#REF!,"AAAAAHW/724=")</f>
        <v>#REF!</v>
      </c>
      <c r="DH9" t="e">
        <f>AND(NhatkyBan!#REF!,"AAAAAHW/728=")</f>
        <v>#REF!</v>
      </c>
      <c r="DI9" t="e">
        <f>AND(NhatkyBan!#REF!,"AAAAAHW/73A=")</f>
        <v>#REF!</v>
      </c>
      <c r="DJ9" t="e">
        <f>AND(NhatkyBan!#REF!,"AAAAAHW/73E=")</f>
        <v>#REF!</v>
      </c>
      <c r="DK9" t="e">
        <f>AND(NhatkyBan!#REF!,"AAAAAHW/73I=")</f>
        <v>#REF!</v>
      </c>
      <c r="DL9" t="e">
        <f>IF(NhatkyBan!#REF!,"AAAAAHW/73M=",0)</f>
        <v>#REF!</v>
      </c>
      <c r="DM9" t="e">
        <f>AND(NhatkyBan!#REF!,"AAAAAHW/73Q=")</f>
        <v>#REF!</v>
      </c>
      <c r="DN9" t="e">
        <f>AND(NhatkyBan!#REF!,"AAAAAHW/73U=")</f>
        <v>#REF!</v>
      </c>
      <c r="DO9" t="e">
        <f>AND(NhatkyBan!#REF!,"AAAAAHW/73Y=")</f>
        <v>#REF!</v>
      </c>
      <c r="DP9" t="e">
        <f>AND(NhatkyBan!#REF!,"AAAAAHW/73c=")</f>
        <v>#REF!</v>
      </c>
      <c r="DQ9" t="e">
        <f>AND(NhatkyBan!#REF!,"AAAAAHW/73g=")</f>
        <v>#REF!</v>
      </c>
      <c r="DR9" t="e">
        <f>AND(NhatkyBan!#REF!,"AAAAAHW/73k=")</f>
        <v>#REF!</v>
      </c>
      <c r="DS9" t="e">
        <f>AND(NhatkyBan!#REF!,"AAAAAHW/73o=")</f>
        <v>#REF!</v>
      </c>
      <c r="DT9" t="e">
        <f>AND(NhatkyBan!#REF!,"AAAAAHW/73s=")</f>
        <v>#REF!</v>
      </c>
      <c r="DU9" t="e">
        <f>AND(NhatkyBan!#REF!,"AAAAAHW/73w=")</f>
        <v>#REF!</v>
      </c>
      <c r="DV9" t="e">
        <f>AND(NhatkyBan!#REF!,"AAAAAHW/730=")</f>
        <v>#REF!</v>
      </c>
      <c r="DW9" t="e">
        <f>AND(NhatkyBan!#REF!,"AAAAAHW/734=")</f>
        <v>#REF!</v>
      </c>
      <c r="DX9" t="e">
        <f>AND(NhatkyBan!#REF!,"AAAAAHW/738=")</f>
        <v>#REF!</v>
      </c>
      <c r="DY9" t="e">
        <f>AND(NhatkyBan!#REF!,"AAAAAHW/74A=")</f>
        <v>#REF!</v>
      </c>
      <c r="DZ9" t="e">
        <f>AND(NhatkyBan!#REF!,"AAAAAHW/74E=")</f>
        <v>#REF!</v>
      </c>
      <c r="EA9" t="e">
        <f>AND(NhatkyBan!#REF!,"AAAAAHW/74I=")</f>
        <v>#REF!</v>
      </c>
      <c r="EB9" t="e">
        <f>AND(NhatkyBan!#REF!,"AAAAAHW/74M=")</f>
        <v>#REF!</v>
      </c>
      <c r="EC9" t="e">
        <f>AND(NhatkyBan!#REF!,"AAAAAHW/74Q=")</f>
        <v>#REF!</v>
      </c>
      <c r="ED9" t="e">
        <f>AND(NhatkyBan!#REF!,"AAAAAHW/74U=")</f>
        <v>#REF!</v>
      </c>
      <c r="EE9" t="e">
        <f>AND(NhatkyBan!#REF!,"AAAAAHW/74Y=")</f>
        <v>#REF!</v>
      </c>
      <c r="EF9" t="e">
        <f>AND(NhatkyBan!#REF!,"AAAAAHW/74c=")</f>
        <v>#REF!</v>
      </c>
      <c r="EG9" t="e">
        <f>AND(NhatkyBan!#REF!,"AAAAAHW/74g=")</f>
        <v>#REF!</v>
      </c>
      <c r="EH9" t="e">
        <f>AND(NhatkyBan!#REF!,"AAAAAHW/74k=")</f>
        <v>#REF!</v>
      </c>
      <c r="EI9" t="e">
        <f>AND(NhatkyBan!#REF!,"AAAAAHW/74o=")</f>
        <v>#REF!</v>
      </c>
      <c r="EJ9" t="e">
        <f>AND(NhatkyBan!#REF!,"AAAAAHW/74s=")</f>
        <v>#REF!</v>
      </c>
      <c r="EK9" t="e">
        <f>AND(NhatkyBan!#REF!,"AAAAAHW/74w=")</f>
        <v>#REF!</v>
      </c>
      <c r="EL9" t="e">
        <f>AND(NhatkyBan!#REF!,"AAAAAHW/740=")</f>
        <v>#REF!</v>
      </c>
      <c r="EM9" t="e">
        <f>AND(NhatkyBan!#REF!,"AAAAAHW/744=")</f>
        <v>#REF!</v>
      </c>
      <c r="EN9" t="e">
        <f>AND(NhatkyBan!#REF!,"AAAAAHW/748=")</f>
        <v>#REF!</v>
      </c>
      <c r="EO9" t="e">
        <f>AND(NhatkyBan!#REF!,"AAAAAHW/75A=")</f>
        <v>#REF!</v>
      </c>
      <c r="EP9" t="e">
        <f>AND(NhatkyBan!#REF!,"AAAAAHW/75E=")</f>
        <v>#REF!</v>
      </c>
      <c r="EQ9" t="e">
        <f>AND(NhatkyBan!#REF!,"AAAAAHW/75I=")</f>
        <v>#REF!</v>
      </c>
      <c r="ER9" t="e">
        <f>AND(NhatkyBan!#REF!,"AAAAAHW/75M=")</f>
        <v>#REF!</v>
      </c>
      <c r="ES9" t="e">
        <f>AND(NhatkyBan!#REF!,"AAAAAHW/75Q=")</f>
        <v>#REF!</v>
      </c>
      <c r="ET9" t="e">
        <f>AND(NhatkyBan!#REF!,"AAAAAHW/75U=")</f>
        <v>#REF!</v>
      </c>
      <c r="EU9" t="e">
        <f>IF(NhatkyBan!#REF!,"AAAAAHW/75Y=",0)</f>
        <v>#REF!</v>
      </c>
      <c r="EV9" t="e">
        <f>AND(NhatkyBan!#REF!,"AAAAAHW/75c=")</f>
        <v>#REF!</v>
      </c>
      <c r="EW9" t="e">
        <f>AND(NhatkyBan!#REF!,"AAAAAHW/75g=")</f>
        <v>#REF!</v>
      </c>
      <c r="EX9" t="e">
        <f>AND(NhatkyBan!#REF!,"AAAAAHW/75k=")</f>
        <v>#REF!</v>
      </c>
      <c r="EY9" t="e">
        <f>AND(NhatkyBan!#REF!,"AAAAAHW/75o=")</f>
        <v>#REF!</v>
      </c>
      <c r="EZ9" t="e">
        <f>AND(NhatkyBan!#REF!,"AAAAAHW/75s=")</f>
        <v>#REF!</v>
      </c>
      <c r="FA9" t="e">
        <f>AND(NhatkyBan!#REF!,"AAAAAHW/75w=")</f>
        <v>#REF!</v>
      </c>
      <c r="FB9" t="e">
        <f>AND(NhatkyBan!#REF!,"AAAAAHW/750=")</f>
        <v>#REF!</v>
      </c>
      <c r="FC9" t="e">
        <f>AND(NhatkyBan!#REF!,"AAAAAHW/754=")</f>
        <v>#REF!</v>
      </c>
      <c r="FD9" t="e">
        <f>AND(NhatkyBan!#REF!,"AAAAAHW/758=")</f>
        <v>#REF!</v>
      </c>
      <c r="FE9" t="e">
        <f>AND(NhatkyBan!#REF!,"AAAAAHW/76A=")</f>
        <v>#REF!</v>
      </c>
      <c r="FF9" t="e">
        <f>AND(NhatkyBan!#REF!,"AAAAAHW/76E=")</f>
        <v>#REF!</v>
      </c>
      <c r="FG9" t="e">
        <f>AND(NhatkyBan!#REF!,"AAAAAHW/76I=")</f>
        <v>#REF!</v>
      </c>
      <c r="FH9" t="e">
        <f>AND(NhatkyBan!#REF!,"AAAAAHW/76M=")</f>
        <v>#REF!</v>
      </c>
      <c r="FI9" t="e">
        <f>AND(NhatkyBan!#REF!,"AAAAAHW/76Q=")</f>
        <v>#REF!</v>
      </c>
      <c r="FJ9" t="e">
        <f>AND(NhatkyBan!#REF!,"AAAAAHW/76U=")</f>
        <v>#REF!</v>
      </c>
      <c r="FK9" t="e">
        <f>AND(NhatkyBan!#REF!,"AAAAAHW/76Y=")</f>
        <v>#REF!</v>
      </c>
      <c r="FL9" t="e">
        <f>AND(NhatkyBan!#REF!,"AAAAAHW/76c=")</f>
        <v>#REF!</v>
      </c>
      <c r="FM9" t="e">
        <f>AND(NhatkyBan!#REF!,"AAAAAHW/76g=")</f>
        <v>#REF!</v>
      </c>
      <c r="FN9" t="e">
        <f>AND(NhatkyBan!#REF!,"AAAAAHW/76k=")</f>
        <v>#REF!</v>
      </c>
      <c r="FO9" t="e">
        <f>AND(NhatkyBan!#REF!,"AAAAAHW/76o=")</f>
        <v>#REF!</v>
      </c>
      <c r="FP9" t="e">
        <f>AND(NhatkyBan!#REF!,"AAAAAHW/76s=")</f>
        <v>#REF!</v>
      </c>
      <c r="FQ9" t="e">
        <f>AND(NhatkyBan!#REF!,"AAAAAHW/76w=")</f>
        <v>#REF!</v>
      </c>
      <c r="FR9" t="e">
        <f>AND(NhatkyBan!#REF!,"AAAAAHW/760=")</f>
        <v>#REF!</v>
      </c>
      <c r="FS9" t="e">
        <f>AND(NhatkyBan!#REF!,"AAAAAHW/764=")</f>
        <v>#REF!</v>
      </c>
      <c r="FT9" t="e">
        <f>AND(NhatkyBan!#REF!,"AAAAAHW/768=")</f>
        <v>#REF!</v>
      </c>
      <c r="FU9" t="e">
        <f>AND(NhatkyBan!#REF!,"AAAAAHW/77A=")</f>
        <v>#REF!</v>
      </c>
      <c r="FV9" t="e">
        <f>AND(NhatkyBan!#REF!,"AAAAAHW/77E=")</f>
        <v>#REF!</v>
      </c>
      <c r="FW9" t="e">
        <f>AND(NhatkyBan!#REF!,"AAAAAHW/77I=")</f>
        <v>#REF!</v>
      </c>
      <c r="FX9" t="e">
        <f>AND(NhatkyBan!#REF!,"AAAAAHW/77M=")</f>
        <v>#REF!</v>
      </c>
      <c r="FY9" t="e">
        <f>AND(NhatkyBan!#REF!,"AAAAAHW/77Q=")</f>
        <v>#REF!</v>
      </c>
      <c r="FZ9" t="e">
        <f>AND(NhatkyBan!#REF!,"AAAAAHW/77U=")</f>
        <v>#REF!</v>
      </c>
      <c r="GA9" t="e">
        <f>AND(NhatkyBan!#REF!,"AAAAAHW/77Y=")</f>
        <v>#REF!</v>
      </c>
      <c r="GB9" t="e">
        <f>AND(NhatkyBan!#REF!,"AAAAAHW/77c=")</f>
        <v>#REF!</v>
      </c>
      <c r="GC9" t="e">
        <f>AND(NhatkyBan!#REF!,"AAAAAHW/77g=")</f>
        <v>#REF!</v>
      </c>
      <c r="GD9" t="e">
        <f>IF(NhatkyBan!#REF!,"AAAAAHW/77k=",0)</f>
        <v>#REF!</v>
      </c>
      <c r="GE9" t="e">
        <f>AND(NhatkyBan!#REF!,"AAAAAHW/77o=")</f>
        <v>#REF!</v>
      </c>
      <c r="GF9" t="e">
        <f>AND(NhatkyBan!#REF!,"AAAAAHW/77s=")</f>
        <v>#REF!</v>
      </c>
      <c r="GG9" t="e">
        <f>AND(NhatkyBan!#REF!,"AAAAAHW/77w=")</f>
        <v>#REF!</v>
      </c>
      <c r="GH9" t="e">
        <f>AND(NhatkyBan!#REF!,"AAAAAHW/770=")</f>
        <v>#REF!</v>
      </c>
      <c r="GI9" t="e">
        <f>AND(NhatkyBan!#REF!,"AAAAAHW/774=")</f>
        <v>#REF!</v>
      </c>
      <c r="GJ9" t="e">
        <f>AND(NhatkyBan!#REF!,"AAAAAHW/778=")</f>
        <v>#REF!</v>
      </c>
      <c r="GK9" t="e">
        <f>AND(NhatkyBan!#REF!,"AAAAAHW/78A=")</f>
        <v>#REF!</v>
      </c>
      <c r="GL9" t="e">
        <f>AND(NhatkyBan!#REF!,"AAAAAHW/78E=")</f>
        <v>#REF!</v>
      </c>
      <c r="GM9" t="e">
        <f>AND(NhatkyBan!#REF!,"AAAAAHW/78I=")</f>
        <v>#REF!</v>
      </c>
      <c r="GN9" t="e">
        <f>AND(NhatkyBan!#REF!,"AAAAAHW/78M=")</f>
        <v>#REF!</v>
      </c>
      <c r="GO9" t="e">
        <f>AND(NhatkyBan!#REF!,"AAAAAHW/78Q=")</f>
        <v>#REF!</v>
      </c>
      <c r="GP9" t="e">
        <f>AND(NhatkyBan!#REF!,"AAAAAHW/78U=")</f>
        <v>#REF!</v>
      </c>
      <c r="GQ9" t="e">
        <f>AND(NhatkyBan!#REF!,"AAAAAHW/78Y=")</f>
        <v>#REF!</v>
      </c>
      <c r="GR9" t="e">
        <f>AND(NhatkyBan!#REF!,"AAAAAHW/78c=")</f>
        <v>#REF!</v>
      </c>
      <c r="GS9" t="e">
        <f>AND(NhatkyBan!#REF!,"AAAAAHW/78g=")</f>
        <v>#REF!</v>
      </c>
      <c r="GT9" t="e">
        <f>AND(NhatkyBan!#REF!,"AAAAAHW/78k=")</f>
        <v>#REF!</v>
      </c>
      <c r="GU9" t="e">
        <f>AND(NhatkyBan!#REF!,"AAAAAHW/78o=")</f>
        <v>#REF!</v>
      </c>
      <c r="GV9" t="e">
        <f>AND(NhatkyBan!#REF!,"AAAAAHW/78s=")</f>
        <v>#REF!</v>
      </c>
      <c r="GW9" t="e">
        <f>AND(NhatkyBan!#REF!,"AAAAAHW/78w=")</f>
        <v>#REF!</v>
      </c>
      <c r="GX9" t="e">
        <f>AND(NhatkyBan!#REF!,"AAAAAHW/780=")</f>
        <v>#REF!</v>
      </c>
      <c r="GY9" t="e">
        <f>AND(NhatkyBan!#REF!,"AAAAAHW/784=")</f>
        <v>#REF!</v>
      </c>
      <c r="GZ9" t="e">
        <f>AND(NhatkyBan!#REF!,"AAAAAHW/788=")</f>
        <v>#REF!</v>
      </c>
      <c r="HA9" t="e">
        <f>AND(NhatkyBan!#REF!,"AAAAAHW/79A=")</f>
        <v>#REF!</v>
      </c>
      <c r="HB9" t="e">
        <f>AND(NhatkyBan!#REF!,"AAAAAHW/79E=")</f>
        <v>#REF!</v>
      </c>
      <c r="HC9" t="e">
        <f>AND(NhatkyBan!#REF!,"AAAAAHW/79I=")</f>
        <v>#REF!</v>
      </c>
      <c r="HD9" t="e">
        <f>AND(NhatkyBan!#REF!,"AAAAAHW/79M=")</f>
        <v>#REF!</v>
      </c>
      <c r="HE9" t="e">
        <f>AND(NhatkyBan!#REF!,"AAAAAHW/79Q=")</f>
        <v>#REF!</v>
      </c>
      <c r="HF9" t="e">
        <f>AND(NhatkyBan!#REF!,"AAAAAHW/79U=")</f>
        <v>#REF!</v>
      </c>
      <c r="HG9" t="e">
        <f>AND(NhatkyBan!#REF!,"AAAAAHW/79Y=")</f>
        <v>#REF!</v>
      </c>
      <c r="HH9" t="e">
        <f>AND(NhatkyBan!#REF!,"AAAAAHW/79c=")</f>
        <v>#REF!</v>
      </c>
      <c r="HI9" t="e">
        <f>AND(NhatkyBan!#REF!,"AAAAAHW/79g=")</f>
        <v>#REF!</v>
      </c>
      <c r="HJ9" t="e">
        <f>AND(NhatkyBan!#REF!,"AAAAAHW/79k=")</f>
        <v>#REF!</v>
      </c>
      <c r="HK9" t="e">
        <f>AND(NhatkyBan!#REF!,"AAAAAHW/79o=")</f>
        <v>#REF!</v>
      </c>
      <c r="HL9" t="e">
        <f>AND(NhatkyBan!#REF!,"AAAAAHW/79s=")</f>
        <v>#REF!</v>
      </c>
      <c r="HM9" t="e">
        <f>IF(NhatkyBan!#REF!,"AAAAAHW/79w=",0)</f>
        <v>#REF!</v>
      </c>
      <c r="HN9" t="e">
        <f>AND(NhatkyBan!#REF!,"AAAAAHW/790=")</f>
        <v>#REF!</v>
      </c>
      <c r="HO9" t="e">
        <f>AND(NhatkyBan!#REF!,"AAAAAHW/794=")</f>
        <v>#REF!</v>
      </c>
      <c r="HP9" t="e">
        <f>AND(NhatkyBan!#REF!,"AAAAAHW/798=")</f>
        <v>#REF!</v>
      </c>
      <c r="HQ9" t="e">
        <f>AND(NhatkyBan!#REF!,"AAAAAHW/7+A=")</f>
        <v>#REF!</v>
      </c>
      <c r="HR9" t="e">
        <f>AND(NhatkyBan!#REF!,"AAAAAHW/7+E=")</f>
        <v>#REF!</v>
      </c>
      <c r="HS9" t="e">
        <f>AND(NhatkyBan!#REF!,"AAAAAHW/7+I=")</f>
        <v>#REF!</v>
      </c>
      <c r="HT9" t="e">
        <f>AND(NhatkyBan!#REF!,"AAAAAHW/7+M=")</f>
        <v>#REF!</v>
      </c>
      <c r="HU9" t="e">
        <f>AND(NhatkyBan!#REF!,"AAAAAHW/7+Q=")</f>
        <v>#REF!</v>
      </c>
      <c r="HV9" t="e">
        <f>AND(NhatkyBan!#REF!,"AAAAAHW/7+U=")</f>
        <v>#REF!</v>
      </c>
      <c r="HW9" t="e">
        <f>AND(NhatkyBan!#REF!,"AAAAAHW/7+Y=")</f>
        <v>#REF!</v>
      </c>
      <c r="HX9" t="e">
        <f>AND(NhatkyBan!#REF!,"AAAAAHW/7+c=")</f>
        <v>#REF!</v>
      </c>
      <c r="HY9" t="e">
        <f>AND(NhatkyBan!#REF!,"AAAAAHW/7+g=")</f>
        <v>#REF!</v>
      </c>
      <c r="HZ9" t="e">
        <f>AND(NhatkyBan!#REF!,"AAAAAHW/7+k=")</f>
        <v>#REF!</v>
      </c>
      <c r="IA9" t="e">
        <f>AND(NhatkyBan!#REF!,"AAAAAHW/7+o=")</f>
        <v>#REF!</v>
      </c>
      <c r="IB9" t="e">
        <f>AND(NhatkyBan!#REF!,"AAAAAHW/7+s=")</f>
        <v>#REF!</v>
      </c>
      <c r="IC9" t="e">
        <f>AND(NhatkyBan!#REF!,"AAAAAHW/7+w=")</f>
        <v>#REF!</v>
      </c>
      <c r="ID9" t="e">
        <f>AND(NhatkyBan!#REF!,"AAAAAHW/7+0=")</f>
        <v>#REF!</v>
      </c>
      <c r="IE9" t="e">
        <f>AND(NhatkyBan!#REF!,"AAAAAHW/7+4=")</f>
        <v>#REF!</v>
      </c>
      <c r="IF9" t="e">
        <f>AND(NhatkyBan!#REF!,"AAAAAHW/7+8=")</f>
        <v>#REF!</v>
      </c>
      <c r="IG9" t="e">
        <f>AND(NhatkyBan!#REF!,"AAAAAHW/7/A=")</f>
        <v>#REF!</v>
      </c>
      <c r="IH9" t="e">
        <f>AND(NhatkyBan!#REF!,"AAAAAHW/7/E=")</f>
        <v>#REF!</v>
      </c>
      <c r="II9" t="e">
        <f>AND(NhatkyBan!#REF!,"AAAAAHW/7/I=")</f>
        <v>#REF!</v>
      </c>
      <c r="IJ9" t="e">
        <f>AND(NhatkyBan!#REF!,"AAAAAHW/7/M=")</f>
        <v>#REF!</v>
      </c>
      <c r="IK9" t="e">
        <f>AND(NhatkyBan!#REF!,"AAAAAHW/7/Q=")</f>
        <v>#REF!</v>
      </c>
      <c r="IL9" t="e">
        <f>AND(NhatkyBan!#REF!,"AAAAAHW/7/U=")</f>
        <v>#REF!</v>
      </c>
      <c r="IM9" t="e">
        <f>AND(NhatkyBan!#REF!,"AAAAAHW/7/Y=")</f>
        <v>#REF!</v>
      </c>
      <c r="IN9" t="e">
        <f>AND(NhatkyBan!#REF!,"AAAAAHW/7/c=")</f>
        <v>#REF!</v>
      </c>
      <c r="IO9" t="e">
        <f>AND(NhatkyBan!#REF!,"AAAAAHW/7/g=")</f>
        <v>#REF!</v>
      </c>
      <c r="IP9" t="e">
        <f>AND(NhatkyBan!#REF!,"AAAAAHW/7/k=")</f>
        <v>#REF!</v>
      </c>
      <c r="IQ9" t="e">
        <f>AND(NhatkyBan!#REF!,"AAAAAHW/7/o=")</f>
        <v>#REF!</v>
      </c>
      <c r="IR9" t="e">
        <f>AND(NhatkyBan!#REF!,"AAAAAHW/7/s=")</f>
        <v>#REF!</v>
      </c>
      <c r="IS9" t="e">
        <f>AND(NhatkyBan!#REF!,"AAAAAHW/7/w=")</f>
        <v>#REF!</v>
      </c>
      <c r="IT9" t="e">
        <f>AND(NhatkyBan!#REF!,"AAAAAHW/7/0=")</f>
        <v>#REF!</v>
      </c>
      <c r="IU9" t="e">
        <f>AND(NhatkyBan!#REF!,"AAAAAHW/7/4=")</f>
        <v>#REF!</v>
      </c>
      <c r="IV9" t="e">
        <f>IF(NhatkyBan!#REF!,"AAAAAHW/7/8=",0)</f>
        <v>#REF!</v>
      </c>
    </row>
    <row r="10" spans="1:256">
      <c r="A10" t="e">
        <f>AND(NhatkyBan!#REF!,"AAAAAD/88wA=")</f>
        <v>#REF!</v>
      </c>
      <c r="B10" t="e">
        <f>AND(NhatkyBan!#REF!,"AAAAAD/88wE=")</f>
        <v>#REF!</v>
      </c>
      <c r="C10" t="e">
        <f>AND(NhatkyBan!#REF!,"AAAAAD/88wI=")</f>
        <v>#REF!</v>
      </c>
      <c r="D10" t="e">
        <f>AND(NhatkyBan!#REF!,"AAAAAD/88wM=")</f>
        <v>#REF!</v>
      </c>
      <c r="E10" t="e">
        <f>AND(NhatkyBan!#REF!,"AAAAAD/88wQ=")</f>
        <v>#REF!</v>
      </c>
      <c r="F10" t="e">
        <f>AND(NhatkyBan!#REF!,"AAAAAD/88wU=")</f>
        <v>#REF!</v>
      </c>
      <c r="G10" t="e">
        <f>AND(NhatkyBan!#REF!,"AAAAAD/88wY=")</f>
        <v>#REF!</v>
      </c>
      <c r="H10" t="e">
        <f>AND(NhatkyBan!#REF!,"AAAAAD/88wc=")</f>
        <v>#REF!</v>
      </c>
      <c r="I10" t="e">
        <f>AND(NhatkyBan!#REF!,"AAAAAD/88wg=")</f>
        <v>#REF!</v>
      </c>
      <c r="J10" t="e">
        <f>AND(NhatkyBan!#REF!,"AAAAAD/88wk=")</f>
        <v>#REF!</v>
      </c>
      <c r="K10" t="e">
        <f>AND(NhatkyBan!#REF!,"AAAAAD/88wo=")</f>
        <v>#REF!</v>
      </c>
      <c r="L10" t="e">
        <f>AND(NhatkyBan!#REF!,"AAAAAD/88ws=")</f>
        <v>#REF!</v>
      </c>
      <c r="M10" t="e">
        <f>AND(NhatkyBan!#REF!,"AAAAAD/88ww=")</f>
        <v>#REF!</v>
      </c>
      <c r="N10" t="e">
        <f>AND(NhatkyBan!#REF!,"AAAAAD/88w0=")</f>
        <v>#REF!</v>
      </c>
      <c r="O10" t="e">
        <f>AND(NhatkyBan!#REF!,"AAAAAD/88w4=")</f>
        <v>#REF!</v>
      </c>
      <c r="P10" t="e">
        <f>AND(NhatkyBan!#REF!,"AAAAAD/88w8=")</f>
        <v>#REF!</v>
      </c>
      <c r="Q10" t="e">
        <f>AND(NhatkyBan!#REF!,"AAAAAD/88xA=")</f>
        <v>#REF!</v>
      </c>
      <c r="R10" t="e">
        <f>AND(NhatkyBan!#REF!,"AAAAAD/88xE=")</f>
        <v>#REF!</v>
      </c>
      <c r="S10" t="e">
        <f>AND(NhatkyBan!#REF!,"AAAAAD/88xI=")</f>
        <v>#REF!</v>
      </c>
      <c r="T10" t="e">
        <f>AND(NhatkyBan!#REF!,"AAAAAD/88xM=")</f>
        <v>#REF!</v>
      </c>
      <c r="U10" t="e">
        <f>AND(NhatkyBan!#REF!,"AAAAAD/88xQ=")</f>
        <v>#REF!</v>
      </c>
      <c r="V10" t="e">
        <f>AND(NhatkyBan!#REF!,"AAAAAD/88xU=")</f>
        <v>#REF!</v>
      </c>
      <c r="W10" t="e">
        <f>AND(NhatkyBan!#REF!,"AAAAAD/88xY=")</f>
        <v>#REF!</v>
      </c>
      <c r="X10" t="e">
        <f>AND(NhatkyBan!#REF!,"AAAAAD/88xc=")</f>
        <v>#REF!</v>
      </c>
      <c r="Y10" t="e">
        <f>AND(NhatkyBan!#REF!,"AAAAAD/88xg=")</f>
        <v>#REF!</v>
      </c>
      <c r="Z10" t="e">
        <f>AND(NhatkyBan!#REF!,"AAAAAD/88xk=")</f>
        <v>#REF!</v>
      </c>
      <c r="AA10" t="e">
        <f>AND(NhatkyBan!#REF!,"AAAAAD/88xo=")</f>
        <v>#REF!</v>
      </c>
      <c r="AB10" t="e">
        <f>AND(NhatkyBan!#REF!,"AAAAAD/88xs=")</f>
        <v>#REF!</v>
      </c>
      <c r="AC10" t="e">
        <f>AND(NhatkyBan!#REF!,"AAAAAD/88xw=")</f>
        <v>#REF!</v>
      </c>
      <c r="AD10" t="e">
        <f>AND(NhatkyBan!#REF!,"AAAAAD/88x0=")</f>
        <v>#REF!</v>
      </c>
      <c r="AE10" t="e">
        <f>AND(NhatkyBan!#REF!,"AAAAAD/88x4=")</f>
        <v>#REF!</v>
      </c>
      <c r="AF10" t="e">
        <f>AND(NhatkyBan!#REF!,"AAAAAD/88x8=")</f>
        <v>#REF!</v>
      </c>
      <c r="AG10" t="e">
        <f>AND(NhatkyBan!#REF!,"AAAAAD/88yA=")</f>
        <v>#REF!</v>
      </c>
      <c r="AH10" t="e">
        <f>AND(NhatkyBan!#REF!,"AAAAAD/88yE=")</f>
        <v>#REF!</v>
      </c>
      <c r="AI10" t="e">
        <f>IF(NhatkyBan!#REF!,"AAAAAD/88yI=",0)</f>
        <v>#REF!</v>
      </c>
      <c r="AJ10" t="e">
        <f>AND(NhatkyBan!#REF!,"AAAAAD/88yM=")</f>
        <v>#REF!</v>
      </c>
      <c r="AK10" t="e">
        <f>AND(NhatkyBan!#REF!,"AAAAAD/88yQ=")</f>
        <v>#REF!</v>
      </c>
      <c r="AL10" t="e">
        <f>AND(NhatkyBan!#REF!,"AAAAAD/88yU=")</f>
        <v>#REF!</v>
      </c>
      <c r="AM10" t="e">
        <f>AND(NhatkyBan!#REF!,"AAAAAD/88yY=")</f>
        <v>#REF!</v>
      </c>
      <c r="AN10" t="e">
        <f>AND(NhatkyBan!#REF!,"AAAAAD/88yc=")</f>
        <v>#REF!</v>
      </c>
      <c r="AO10" t="e">
        <f>AND(NhatkyBan!#REF!,"AAAAAD/88yg=")</f>
        <v>#REF!</v>
      </c>
      <c r="AP10" t="e">
        <f>AND(NhatkyBan!#REF!,"AAAAAD/88yk=")</f>
        <v>#REF!</v>
      </c>
      <c r="AQ10" t="e">
        <f>AND(NhatkyBan!#REF!,"AAAAAD/88yo=")</f>
        <v>#REF!</v>
      </c>
      <c r="AR10" t="e">
        <f>AND(NhatkyBan!#REF!,"AAAAAD/88ys=")</f>
        <v>#REF!</v>
      </c>
      <c r="AS10" t="e">
        <f>AND(NhatkyBan!#REF!,"AAAAAD/88yw=")</f>
        <v>#REF!</v>
      </c>
      <c r="AT10" t="e">
        <f>AND(NhatkyBan!#REF!,"AAAAAD/88y0=")</f>
        <v>#REF!</v>
      </c>
      <c r="AU10" t="e">
        <f>AND(NhatkyBan!#REF!,"AAAAAD/88y4=")</f>
        <v>#REF!</v>
      </c>
      <c r="AV10" t="e">
        <f>AND(NhatkyBan!#REF!,"AAAAAD/88y8=")</f>
        <v>#REF!</v>
      </c>
      <c r="AW10" t="e">
        <f>AND(NhatkyBan!#REF!,"AAAAAD/88zA=")</f>
        <v>#REF!</v>
      </c>
      <c r="AX10" t="e">
        <f>AND(NhatkyBan!#REF!,"AAAAAD/88zE=")</f>
        <v>#REF!</v>
      </c>
      <c r="AY10" t="e">
        <f>AND(NhatkyBan!#REF!,"AAAAAD/88zI=")</f>
        <v>#REF!</v>
      </c>
      <c r="AZ10" t="e">
        <f>AND(NhatkyBan!#REF!,"AAAAAD/88zM=")</f>
        <v>#REF!</v>
      </c>
      <c r="BA10" t="e">
        <f>AND(NhatkyBan!#REF!,"AAAAAD/88zQ=")</f>
        <v>#REF!</v>
      </c>
      <c r="BB10" t="e">
        <f>AND(NhatkyBan!#REF!,"AAAAAD/88zU=")</f>
        <v>#REF!</v>
      </c>
      <c r="BC10" t="e">
        <f>AND(NhatkyBan!#REF!,"AAAAAD/88zY=")</f>
        <v>#REF!</v>
      </c>
      <c r="BD10" t="e">
        <f>AND(NhatkyBan!#REF!,"AAAAAD/88zc=")</f>
        <v>#REF!</v>
      </c>
      <c r="BE10" t="e">
        <f>AND(NhatkyBan!#REF!,"AAAAAD/88zg=")</f>
        <v>#REF!</v>
      </c>
      <c r="BF10" t="e">
        <f>AND(NhatkyBan!#REF!,"AAAAAD/88zk=")</f>
        <v>#REF!</v>
      </c>
      <c r="BG10" t="e">
        <f>AND(NhatkyBan!#REF!,"AAAAAD/88zo=")</f>
        <v>#REF!</v>
      </c>
      <c r="BH10" t="e">
        <f>AND(NhatkyBan!#REF!,"AAAAAD/88zs=")</f>
        <v>#REF!</v>
      </c>
      <c r="BI10" t="e">
        <f>AND(NhatkyBan!#REF!,"AAAAAD/88zw=")</f>
        <v>#REF!</v>
      </c>
      <c r="BJ10" t="e">
        <f>AND(NhatkyBan!#REF!,"AAAAAD/88z0=")</f>
        <v>#REF!</v>
      </c>
      <c r="BK10" t="e">
        <f>AND(NhatkyBan!#REF!,"AAAAAD/88z4=")</f>
        <v>#REF!</v>
      </c>
      <c r="BL10" t="e">
        <f>AND(NhatkyBan!#REF!,"AAAAAD/88z8=")</f>
        <v>#REF!</v>
      </c>
      <c r="BM10" t="e">
        <f>AND(NhatkyBan!#REF!,"AAAAAD/880A=")</f>
        <v>#REF!</v>
      </c>
      <c r="BN10" t="e">
        <f>AND(NhatkyBan!#REF!,"AAAAAD/880E=")</f>
        <v>#REF!</v>
      </c>
      <c r="BO10" t="e">
        <f>AND(NhatkyBan!#REF!,"AAAAAD/880I=")</f>
        <v>#REF!</v>
      </c>
      <c r="BP10" t="e">
        <f>AND(NhatkyBan!#REF!,"AAAAAD/880M=")</f>
        <v>#REF!</v>
      </c>
      <c r="BQ10" t="e">
        <f>AND(NhatkyBan!#REF!,"AAAAAD/880Q=")</f>
        <v>#REF!</v>
      </c>
      <c r="BR10" t="e">
        <f>IF(NhatkyBan!#REF!,"AAAAAD/880U=",0)</f>
        <v>#REF!</v>
      </c>
      <c r="BS10" t="e">
        <f>AND(NhatkyBan!#REF!,"AAAAAD/880Y=")</f>
        <v>#REF!</v>
      </c>
      <c r="BT10" t="e">
        <f>AND(NhatkyBan!#REF!,"AAAAAD/880c=")</f>
        <v>#REF!</v>
      </c>
      <c r="BU10" t="e">
        <f>AND(NhatkyBan!#REF!,"AAAAAD/880g=")</f>
        <v>#REF!</v>
      </c>
      <c r="BV10" t="e">
        <f>AND(NhatkyBan!#REF!,"AAAAAD/880k=")</f>
        <v>#REF!</v>
      </c>
      <c r="BW10" t="e">
        <f>AND(NhatkyBan!#REF!,"AAAAAD/880o=")</f>
        <v>#REF!</v>
      </c>
      <c r="BX10" t="e">
        <f>AND(NhatkyBan!#REF!,"AAAAAD/880s=")</f>
        <v>#REF!</v>
      </c>
      <c r="BY10" t="e">
        <f>AND(NhatkyBan!#REF!,"AAAAAD/880w=")</f>
        <v>#REF!</v>
      </c>
      <c r="BZ10" t="e">
        <f>AND(NhatkyBan!#REF!,"AAAAAD/8800=")</f>
        <v>#REF!</v>
      </c>
      <c r="CA10" t="e">
        <f>AND(NhatkyBan!#REF!,"AAAAAD/8804=")</f>
        <v>#REF!</v>
      </c>
      <c r="CB10" t="e">
        <f>AND(NhatkyBan!#REF!,"AAAAAD/8808=")</f>
        <v>#REF!</v>
      </c>
      <c r="CC10" t="e">
        <f>AND(NhatkyBan!#REF!,"AAAAAD/881A=")</f>
        <v>#REF!</v>
      </c>
      <c r="CD10" t="e">
        <f>AND(NhatkyBan!#REF!,"AAAAAD/881E=")</f>
        <v>#REF!</v>
      </c>
      <c r="CE10" t="e">
        <f>AND(NhatkyBan!#REF!,"AAAAAD/881I=")</f>
        <v>#REF!</v>
      </c>
      <c r="CF10" t="e">
        <f>AND(NhatkyBan!#REF!,"AAAAAD/881M=")</f>
        <v>#REF!</v>
      </c>
      <c r="CG10" t="e">
        <f>AND(NhatkyBan!#REF!,"AAAAAD/881Q=")</f>
        <v>#REF!</v>
      </c>
      <c r="CH10" t="e">
        <f>AND(NhatkyBan!#REF!,"AAAAAD/881U=")</f>
        <v>#REF!</v>
      </c>
      <c r="CI10" t="e">
        <f>AND(NhatkyBan!#REF!,"AAAAAD/881Y=")</f>
        <v>#REF!</v>
      </c>
      <c r="CJ10" t="e">
        <f>AND(NhatkyBan!#REF!,"AAAAAD/881c=")</f>
        <v>#REF!</v>
      </c>
      <c r="CK10" t="e">
        <f>AND(NhatkyBan!#REF!,"AAAAAD/881g=")</f>
        <v>#REF!</v>
      </c>
      <c r="CL10" t="e">
        <f>AND(NhatkyBan!#REF!,"AAAAAD/881k=")</f>
        <v>#REF!</v>
      </c>
      <c r="CM10" t="e">
        <f>AND(NhatkyBan!#REF!,"AAAAAD/881o=")</f>
        <v>#REF!</v>
      </c>
      <c r="CN10" t="e">
        <f>AND(NhatkyBan!#REF!,"AAAAAD/881s=")</f>
        <v>#REF!</v>
      </c>
      <c r="CO10" t="e">
        <f>AND(NhatkyBan!#REF!,"AAAAAD/881w=")</f>
        <v>#REF!</v>
      </c>
      <c r="CP10" t="e">
        <f>AND(NhatkyBan!#REF!,"AAAAAD/8810=")</f>
        <v>#REF!</v>
      </c>
      <c r="CQ10" t="e">
        <f>AND(NhatkyBan!#REF!,"AAAAAD/8814=")</f>
        <v>#REF!</v>
      </c>
      <c r="CR10" t="e">
        <f>AND(NhatkyBan!#REF!,"AAAAAD/8818=")</f>
        <v>#REF!</v>
      </c>
      <c r="CS10" t="e">
        <f>AND(NhatkyBan!#REF!,"AAAAAD/882A=")</f>
        <v>#REF!</v>
      </c>
      <c r="CT10" t="e">
        <f>AND(NhatkyBan!#REF!,"AAAAAD/882E=")</f>
        <v>#REF!</v>
      </c>
      <c r="CU10" t="e">
        <f>AND(NhatkyBan!#REF!,"AAAAAD/882I=")</f>
        <v>#REF!</v>
      </c>
      <c r="CV10" t="e">
        <f>AND(NhatkyBan!#REF!,"AAAAAD/882M=")</f>
        <v>#REF!</v>
      </c>
      <c r="CW10" t="e">
        <f>AND(NhatkyBan!#REF!,"AAAAAD/882Q=")</f>
        <v>#REF!</v>
      </c>
      <c r="CX10" t="e">
        <f>AND(NhatkyBan!#REF!,"AAAAAD/882U=")</f>
        <v>#REF!</v>
      </c>
      <c r="CY10" t="e">
        <f>AND(NhatkyBan!#REF!,"AAAAAD/882Y=")</f>
        <v>#REF!</v>
      </c>
      <c r="CZ10" t="e">
        <f>AND(NhatkyBan!#REF!,"AAAAAD/882c=")</f>
        <v>#REF!</v>
      </c>
      <c r="DA10" t="e">
        <f>IF(NhatkyBan!#REF!,"AAAAAD/882g=",0)</f>
        <v>#REF!</v>
      </c>
      <c r="DB10" t="e">
        <f>AND(NhatkyBan!#REF!,"AAAAAD/882k=")</f>
        <v>#REF!</v>
      </c>
      <c r="DC10" t="e">
        <f>AND(NhatkyBan!#REF!,"AAAAAD/882o=")</f>
        <v>#REF!</v>
      </c>
      <c r="DD10" t="e">
        <f>AND(NhatkyBan!#REF!,"AAAAAD/882s=")</f>
        <v>#REF!</v>
      </c>
      <c r="DE10" t="e">
        <f>AND(NhatkyBan!#REF!,"AAAAAD/882w=")</f>
        <v>#REF!</v>
      </c>
      <c r="DF10" t="e">
        <f>AND(NhatkyBan!#REF!,"AAAAAD/8820=")</f>
        <v>#REF!</v>
      </c>
      <c r="DG10" t="e">
        <f>AND(NhatkyBan!#REF!,"AAAAAD/8824=")</f>
        <v>#REF!</v>
      </c>
      <c r="DH10" t="e">
        <f>AND(NhatkyBan!#REF!,"AAAAAD/8828=")</f>
        <v>#REF!</v>
      </c>
      <c r="DI10" t="e">
        <f>AND(NhatkyBan!#REF!,"AAAAAD/883A=")</f>
        <v>#REF!</v>
      </c>
      <c r="DJ10" t="e">
        <f>AND(NhatkyBan!#REF!,"AAAAAD/883E=")</f>
        <v>#REF!</v>
      </c>
      <c r="DK10" t="e">
        <f>AND(NhatkyBan!#REF!,"AAAAAD/883I=")</f>
        <v>#REF!</v>
      </c>
      <c r="DL10" t="e">
        <f>AND(NhatkyBan!#REF!,"AAAAAD/883M=")</f>
        <v>#REF!</v>
      </c>
      <c r="DM10" t="e">
        <f>AND(NhatkyBan!#REF!,"AAAAAD/883Q=")</f>
        <v>#REF!</v>
      </c>
      <c r="DN10" t="e">
        <f>AND(NhatkyBan!#REF!,"AAAAAD/883U=")</f>
        <v>#REF!</v>
      </c>
      <c r="DO10" t="e">
        <f>AND(NhatkyBan!#REF!,"AAAAAD/883Y=")</f>
        <v>#REF!</v>
      </c>
      <c r="DP10" t="e">
        <f>AND(NhatkyBan!#REF!,"AAAAAD/883c=")</f>
        <v>#REF!</v>
      </c>
      <c r="DQ10" t="e">
        <f>AND(NhatkyBan!#REF!,"AAAAAD/883g=")</f>
        <v>#REF!</v>
      </c>
      <c r="DR10" t="e">
        <f>AND(NhatkyBan!#REF!,"AAAAAD/883k=")</f>
        <v>#REF!</v>
      </c>
      <c r="DS10" t="e">
        <f>AND(NhatkyBan!#REF!,"AAAAAD/883o=")</f>
        <v>#REF!</v>
      </c>
      <c r="DT10" t="e">
        <f>AND(NhatkyBan!#REF!,"AAAAAD/883s=")</f>
        <v>#REF!</v>
      </c>
      <c r="DU10" t="e">
        <f>AND(NhatkyBan!#REF!,"AAAAAD/883w=")</f>
        <v>#REF!</v>
      </c>
      <c r="DV10" t="e">
        <f>AND(NhatkyBan!#REF!,"AAAAAD/8830=")</f>
        <v>#REF!</v>
      </c>
      <c r="DW10" t="e">
        <f>AND(NhatkyBan!#REF!,"AAAAAD/8834=")</f>
        <v>#REF!</v>
      </c>
      <c r="DX10" t="e">
        <f>AND(NhatkyBan!#REF!,"AAAAAD/8838=")</f>
        <v>#REF!</v>
      </c>
      <c r="DY10" t="e">
        <f>AND(NhatkyBan!#REF!,"AAAAAD/884A=")</f>
        <v>#REF!</v>
      </c>
      <c r="DZ10" t="e">
        <f>AND(NhatkyBan!#REF!,"AAAAAD/884E=")</f>
        <v>#REF!</v>
      </c>
      <c r="EA10" t="e">
        <f>AND(NhatkyBan!#REF!,"AAAAAD/884I=")</f>
        <v>#REF!</v>
      </c>
      <c r="EB10" t="e">
        <f>AND(NhatkyBan!#REF!,"AAAAAD/884M=")</f>
        <v>#REF!</v>
      </c>
      <c r="EC10" t="e">
        <f>AND(NhatkyBan!#REF!,"AAAAAD/884Q=")</f>
        <v>#REF!</v>
      </c>
      <c r="ED10" t="e">
        <f>AND(NhatkyBan!#REF!,"AAAAAD/884U=")</f>
        <v>#REF!</v>
      </c>
      <c r="EE10" t="e">
        <f>AND(NhatkyBan!#REF!,"AAAAAD/884Y=")</f>
        <v>#REF!</v>
      </c>
      <c r="EF10" t="e">
        <f>AND(NhatkyBan!#REF!,"AAAAAD/884c=")</f>
        <v>#REF!</v>
      </c>
      <c r="EG10" t="e">
        <f>AND(NhatkyBan!#REF!,"AAAAAD/884g=")</f>
        <v>#REF!</v>
      </c>
      <c r="EH10" t="e">
        <f>AND(NhatkyBan!#REF!,"AAAAAD/884k=")</f>
        <v>#REF!</v>
      </c>
      <c r="EI10" t="e">
        <f>AND(NhatkyBan!#REF!,"AAAAAD/884o=")</f>
        <v>#REF!</v>
      </c>
      <c r="EJ10" t="e">
        <f>IF(NhatkyBan!#REF!,"AAAAAD/884s=",0)</f>
        <v>#REF!</v>
      </c>
      <c r="EK10" t="e">
        <f>AND(NhatkyBan!#REF!,"AAAAAD/884w=")</f>
        <v>#REF!</v>
      </c>
      <c r="EL10" t="e">
        <f>AND(NhatkyBan!#REF!,"AAAAAD/8840=")</f>
        <v>#REF!</v>
      </c>
      <c r="EM10" t="e">
        <f>AND(NhatkyBan!#REF!,"AAAAAD/8844=")</f>
        <v>#REF!</v>
      </c>
      <c r="EN10" t="e">
        <f>AND(NhatkyBan!#REF!,"AAAAAD/8848=")</f>
        <v>#REF!</v>
      </c>
      <c r="EO10" t="e">
        <f>AND(NhatkyBan!#REF!,"AAAAAD/885A=")</f>
        <v>#REF!</v>
      </c>
      <c r="EP10" t="e">
        <f>AND(NhatkyBan!#REF!,"AAAAAD/885E=")</f>
        <v>#REF!</v>
      </c>
      <c r="EQ10" t="e">
        <f>AND(NhatkyBan!#REF!,"AAAAAD/885I=")</f>
        <v>#REF!</v>
      </c>
      <c r="ER10" t="e">
        <f>AND(NhatkyBan!#REF!,"AAAAAD/885M=")</f>
        <v>#REF!</v>
      </c>
      <c r="ES10" t="e">
        <f>AND(NhatkyBan!#REF!,"AAAAAD/885Q=")</f>
        <v>#REF!</v>
      </c>
      <c r="ET10" t="e">
        <f>AND(NhatkyBan!#REF!,"AAAAAD/885U=")</f>
        <v>#REF!</v>
      </c>
      <c r="EU10" t="e">
        <f>AND(NhatkyBan!#REF!,"AAAAAD/885Y=")</f>
        <v>#REF!</v>
      </c>
      <c r="EV10" t="e">
        <f>AND(NhatkyBan!#REF!,"AAAAAD/885c=")</f>
        <v>#REF!</v>
      </c>
      <c r="EW10" t="e">
        <f>AND(NhatkyBan!#REF!,"AAAAAD/885g=")</f>
        <v>#REF!</v>
      </c>
      <c r="EX10" t="e">
        <f>AND(NhatkyBan!#REF!,"AAAAAD/885k=")</f>
        <v>#REF!</v>
      </c>
      <c r="EY10" t="e">
        <f>AND(NhatkyBan!#REF!,"AAAAAD/885o=")</f>
        <v>#REF!</v>
      </c>
      <c r="EZ10" t="e">
        <f>AND(NhatkyBan!#REF!,"AAAAAD/885s=")</f>
        <v>#REF!</v>
      </c>
      <c r="FA10" t="e">
        <f>AND(NhatkyBan!#REF!,"AAAAAD/885w=")</f>
        <v>#REF!</v>
      </c>
      <c r="FB10" t="e">
        <f>AND(NhatkyBan!#REF!,"AAAAAD/8850=")</f>
        <v>#REF!</v>
      </c>
      <c r="FC10" t="e">
        <f>AND(NhatkyBan!#REF!,"AAAAAD/8854=")</f>
        <v>#REF!</v>
      </c>
      <c r="FD10" t="e">
        <f>AND(NhatkyBan!#REF!,"AAAAAD/8858=")</f>
        <v>#REF!</v>
      </c>
      <c r="FE10" t="e">
        <f>AND(NhatkyBan!#REF!,"AAAAAD/886A=")</f>
        <v>#REF!</v>
      </c>
      <c r="FF10" t="e">
        <f>AND(NhatkyBan!#REF!,"AAAAAD/886E=")</f>
        <v>#REF!</v>
      </c>
      <c r="FG10" t="e">
        <f>AND(NhatkyBan!#REF!,"AAAAAD/886I=")</f>
        <v>#REF!</v>
      </c>
      <c r="FH10" t="e">
        <f>AND(NhatkyBan!#REF!,"AAAAAD/886M=")</f>
        <v>#REF!</v>
      </c>
      <c r="FI10" t="e">
        <f>AND(NhatkyBan!#REF!,"AAAAAD/886Q=")</f>
        <v>#REF!</v>
      </c>
      <c r="FJ10" t="e">
        <f>AND(NhatkyBan!#REF!,"AAAAAD/886U=")</f>
        <v>#REF!</v>
      </c>
      <c r="FK10" t="e">
        <f>AND(NhatkyBan!#REF!,"AAAAAD/886Y=")</f>
        <v>#REF!</v>
      </c>
      <c r="FL10" t="e">
        <f>AND(NhatkyBan!#REF!,"AAAAAD/886c=")</f>
        <v>#REF!</v>
      </c>
      <c r="FM10" t="e">
        <f>AND(NhatkyBan!#REF!,"AAAAAD/886g=")</f>
        <v>#REF!</v>
      </c>
      <c r="FN10" t="e">
        <f>AND(NhatkyBan!#REF!,"AAAAAD/886k=")</f>
        <v>#REF!</v>
      </c>
      <c r="FO10" t="e">
        <f>AND(NhatkyBan!#REF!,"AAAAAD/886o=")</f>
        <v>#REF!</v>
      </c>
      <c r="FP10" t="e">
        <f>AND(NhatkyBan!#REF!,"AAAAAD/886s=")</f>
        <v>#REF!</v>
      </c>
      <c r="FQ10" t="e">
        <f>AND(NhatkyBan!#REF!,"AAAAAD/886w=")</f>
        <v>#REF!</v>
      </c>
      <c r="FR10" t="e">
        <f>AND(NhatkyBan!#REF!,"AAAAAD/8860=")</f>
        <v>#REF!</v>
      </c>
      <c r="FS10" t="e">
        <f>IF(NhatkyBan!#REF!,"AAAAAD/8864=",0)</f>
        <v>#REF!</v>
      </c>
      <c r="FT10" t="e">
        <f>AND(NhatkyBan!#REF!,"AAAAAD/8868=")</f>
        <v>#REF!</v>
      </c>
      <c r="FU10" t="e">
        <f>AND(NhatkyBan!#REF!,"AAAAAD/887A=")</f>
        <v>#REF!</v>
      </c>
      <c r="FV10" t="e">
        <f>AND(NhatkyBan!#REF!,"AAAAAD/887E=")</f>
        <v>#REF!</v>
      </c>
      <c r="FW10" t="e">
        <f>AND(NhatkyBan!#REF!,"AAAAAD/887I=")</f>
        <v>#REF!</v>
      </c>
      <c r="FX10" t="e">
        <f>AND(NhatkyBan!#REF!,"AAAAAD/887M=")</f>
        <v>#REF!</v>
      </c>
      <c r="FY10" t="e">
        <f>AND(NhatkyBan!#REF!,"AAAAAD/887Q=")</f>
        <v>#REF!</v>
      </c>
      <c r="FZ10" t="e">
        <f>AND(NhatkyBan!#REF!,"AAAAAD/887U=")</f>
        <v>#REF!</v>
      </c>
      <c r="GA10" t="e">
        <f>AND(NhatkyBan!#REF!,"AAAAAD/887Y=")</f>
        <v>#REF!</v>
      </c>
      <c r="GB10" t="e">
        <f>AND(NhatkyBan!#REF!,"AAAAAD/887c=")</f>
        <v>#REF!</v>
      </c>
      <c r="GC10" t="e">
        <f>AND(NhatkyBan!#REF!,"AAAAAD/887g=")</f>
        <v>#REF!</v>
      </c>
      <c r="GD10" t="e">
        <f>AND(NhatkyBan!#REF!,"AAAAAD/887k=")</f>
        <v>#REF!</v>
      </c>
      <c r="GE10" t="e">
        <f>AND(NhatkyBan!#REF!,"AAAAAD/887o=")</f>
        <v>#REF!</v>
      </c>
      <c r="GF10" t="e">
        <f>AND(NhatkyBan!#REF!,"AAAAAD/887s=")</f>
        <v>#REF!</v>
      </c>
      <c r="GG10" t="e">
        <f>AND(NhatkyBan!#REF!,"AAAAAD/887w=")</f>
        <v>#REF!</v>
      </c>
      <c r="GH10" t="e">
        <f>AND(NhatkyBan!#REF!,"AAAAAD/8870=")</f>
        <v>#REF!</v>
      </c>
      <c r="GI10" t="e">
        <f>AND(NhatkyBan!#REF!,"AAAAAD/8874=")</f>
        <v>#REF!</v>
      </c>
      <c r="GJ10" t="e">
        <f>AND(NhatkyBan!#REF!,"AAAAAD/8878=")</f>
        <v>#REF!</v>
      </c>
      <c r="GK10" t="e">
        <f>AND(NhatkyBan!#REF!,"AAAAAD/888A=")</f>
        <v>#REF!</v>
      </c>
      <c r="GL10" t="e">
        <f>AND(NhatkyBan!#REF!,"AAAAAD/888E=")</f>
        <v>#REF!</v>
      </c>
      <c r="GM10" t="e">
        <f>AND(NhatkyBan!#REF!,"AAAAAD/888I=")</f>
        <v>#REF!</v>
      </c>
      <c r="GN10" t="e">
        <f>AND(NhatkyBan!#REF!,"AAAAAD/888M=")</f>
        <v>#REF!</v>
      </c>
      <c r="GO10" t="e">
        <f>AND(NhatkyBan!#REF!,"AAAAAD/888Q=")</f>
        <v>#REF!</v>
      </c>
      <c r="GP10" t="e">
        <f>AND(NhatkyBan!#REF!,"AAAAAD/888U=")</f>
        <v>#REF!</v>
      </c>
      <c r="GQ10" t="e">
        <f>AND(NhatkyBan!#REF!,"AAAAAD/888Y=")</f>
        <v>#REF!</v>
      </c>
      <c r="GR10" t="e">
        <f>AND(NhatkyBan!#REF!,"AAAAAD/888c=")</f>
        <v>#REF!</v>
      </c>
      <c r="GS10" t="e">
        <f>AND(NhatkyBan!#REF!,"AAAAAD/888g=")</f>
        <v>#REF!</v>
      </c>
      <c r="GT10" t="e">
        <f>AND(NhatkyBan!#REF!,"AAAAAD/888k=")</f>
        <v>#REF!</v>
      </c>
      <c r="GU10" t="e">
        <f>AND(NhatkyBan!#REF!,"AAAAAD/888o=")</f>
        <v>#REF!</v>
      </c>
      <c r="GV10" t="e">
        <f>AND(NhatkyBan!#REF!,"AAAAAD/888s=")</f>
        <v>#REF!</v>
      </c>
      <c r="GW10" t="e">
        <f>AND(NhatkyBan!#REF!,"AAAAAD/888w=")</f>
        <v>#REF!</v>
      </c>
      <c r="GX10" t="e">
        <f>AND(NhatkyBan!#REF!,"AAAAAD/8880=")</f>
        <v>#REF!</v>
      </c>
      <c r="GY10" t="e">
        <f>AND(NhatkyBan!#REF!,"AAAAAD/8884=")</f>
        <v>#REF!</v>
      </c>
      <c r="GZ10" t="e">
        <f>AND(NhatkyBan!#REF!,"AAAAAD/8888=")</f>
        <v>#REF!</v>
      </c>
      <c r="HA10" t="e">
        <f>AND(NhatkyBan!#REF!,"AAAAAD/889A=")</f>
        <v>#REF!</v>
      </c>
      <c r="HB10" t="e">
        <f>IF(NhatkyBan!#REF!,"AAAAAD/889E=",0)</f>
        <v>#REF!</v>
      </c>
      <c r="HC10" t="e">
        <f>AND(NhatkyBan!#REF!,"AAAAAD/889I=")</f>
        <v>#REF!</v>
      </c>
      <c r="HD10" t="e">
        <f>AND(NhatkyBan!#REF!,"AAAAAD/889M=")</f>
        <v>#REF!</v>
      </c>
      <c r="HE10" t="e">
        <f>AND(NhatkyBan!#REF!,"AAAAAD/889Q=")</f>
        <v>#REF!</v>
      </c>
      <c r="HF10" t="e">
        <f>AND(NhatkyBan!#REF!,"AAAAAD/889U=")</f>
        <v>#REF!</v>
      </c>
      <c r="HG10" t="e">
        <f>AND(NhatkyBan!#REF!,"AAAAAD/889Y=")</f>
        <v>#REF!</v>
      </c>
      <c r="HH10" t="e">
        <f>AND(NhatkyBan!#REF!,"AAAAAD/889c=")</f>
        <v>#REF!</v>
      </c>
      <c r="HI10" t="e">
        <f>AND(NhatkyBan!#REF!,"AAAAAD/889g=")</f>
        <v>#REF!</v>
      </c>
      <c r="HJ10" t="e">
        <f>AND(NhatkyBan!#REF!,"AAAAAD/889k=")</f>
        <v>#REF!</v>
      </c>
      <c r="HK10" t="e">
        <f>AND(NhatkyBan!#REF!,"AAAAAD/889o=")</f>
        <v>#REF!</v>
      </c>
      <c r="HL10" t="e">
        <f>AND(NhatkyBan!#REF!,"AAAAAD/889s=")</f>
        <v>#REF!</v>
      </c>
      <c r="HM10" t="e">
        <f>AND(NhatkyBan!#REF!,"AAAAAD/889w=")</f>
        <v>#REF!</v>
      </c>
      <c r="HN10" t="e">
        <f>AND(NhatkyBan!#REF!,"AAAAAD/8890=")</f>
        <v>#REF!</v>
      </c>
      <c r="HO10" t="e">
        <f>AND(NhatkyBan!#REF!,"AAAAAD/8894=")</f>
        <v>#REF!</v>
      </c>
      <c r="HP10" t="e">
        <f>AND(NhatkyBan!#REF!,"AAAAAD/8898=")</f>
        <v>#REF!</v>
      </c>
      <c r="HQ10" t="e">
        <f>AND(NhatkyBan!#REF!,"AAAAAD/88+A=")</f>
        <v>#REF!</v>
      </c>
      <c r="HR10" t="e">
        <f>AND(NhatkyBan!#REF!,"AAAAAD/88+E=")</f>
        <v>#REF!</v>
      </c>
      <c r="HS10" t="e">
        <f>AND(NhatkyBan!#REF!,"AAAAAD/88+I=")</f>
        <v>#REF!</v>
      </c>
      <c r="HT10" t="e">
        <f>AND(NhatkyBan!#REF!,"AAAAAD/88+M=")</f>
        <v>#REF!</v>
      </c>
      <c r="HU10" t="e">
        <f>AND(NhatkyBan!#REF!,"AAAAAD/88+Q=")</f>
        <v>#REF!</v>
      </c>
      <c r="HV10" t="e">
        <f>AND(NhatkyBan!#REF!,"AAAAAD/88+U=")</f>
        <v>#REF!</v>
      </c>
      <c r="HW10" t="e">
        <f>AND(NhatkyBan!#REF!,"AAAAAD/88+Y=")</f>
        <v>#REF!</v>
      </c>
      <c r="HX10" t="e">
        <f>AND(NhatkyBan!#REF!,"AAAAAD/88+c=")</f>
        <v>#REF!</v>
      </c>
      <c r="HY10" t="e">
        <f>AND(NhatkyBan!#REF!,"AAAAAD/88+g=")</f>
        <v>#REF!</v>
      </c>
      <c r="HZ10" t="e">
        <f>AND(NhatkyBan!#REF!,"AAAAAD/88+k=")</f>
        <v>#REF!</v>
      </c>
      <c r="IA10" t="e">
        <f>AND(NhatkyBan!#REF!,"AAAAAD/88+o=")</f>
        <v>#REF!</v>
      </c>
      <c r="IB10" t="e">
        <f>AND(NhatkyBan!#REF!,"AAAAAD/88+s=")</f>
        <v>#REF!</v>
      </c>
      <c r="IC10" t="e">
        <f>AND(NhatkyBan!#REF!,"AAAAAD/88+w=")</f>
        <v>#REF!</v>
      </c>
      <c r="ID10" t="e">
        <f>AND(NhatkyBan!#REF!,"AAAAAD/88+0=")</f>
        <v>#REF!</v>
      </c>
      <c r="IE10" t="e">
        <f>AND(NhatkyBan!#REF!,"AAAAAD/88+4=")</f>
        <v>#REF!</v>
      </c>
      <c r="IF10" t="e">
        <f>AND(NhatkyBan!#REF!,"AAAAAD/88+8=")</f>
        <v>#REF!</v>
      </c>
      <c r="IG10" t="e">
        <f>AND(NhatkyBan!#REF!,"AAAAAD/88/A=")</f>
        <v>#REF!</v>
      </c>
      <c r="IH10" t="e">
        <f>AND(NhatkyBan!#REF!,"AAAAAD/88/E=")</f>
        <v>#REF!</v>
      </c>
      <c r="II10" t="e">
        <f>AND(NhatkyBan!#REF!,"AAAAAD/88/I=")</f>
        <v>#REF!</v>
      </c>
      <c r="IJ10" t="e">
        <f>AND(NhatkyBan!#REF!,"AAAAAD/88/M=")</f>
        <v>#REF!</v>
      </c>
      <c r="IK10" t="e">
        <f>IF(NhatkyBan!#REF!,"AAAAAD/88/Q=",0)</f>
        <v>#REF!</v>
      </c>
      <c r="IL10" t="e">
        <f>AND(NhatkyBan!#REF!,"AAAAAD/88/U=")</f>
        <v>#REF!</v>
      </c>
      <c r="IM10" t="e">
        <f>AND(NhatkyBan!#REF!,"AAAAAD/88/Y=")</f>
        <v>#REF!</v>
      </c>
      <c r="IN10" t="e">
        <f>AND(NhatkyBan!#REF!,"AAAAAD/88/c=")</f>
        <v>#REF!</v>
      </c>
      <c r="IO10" t="e">
        <f>AND(NhatkyBan!#REF!,"AAAAAD/88/g=")</f>
        <v>#REF!</v>
      </c>
      <c r="IP10" t="e">
        <f>AND(NhatkyBan!#REF!,"AAAAAD/88/k=")</f>
        <v>#REF!</v>
      </c>
      <c r="IQ10" t="e">
        <f>AND(NhatkyBan!#REF!,"AAAAAD/88/o=")</f>
        <v>#REF!</v>
      </c>
      <c r="IR10" t="e">
        <f>AND(NhatkyBan!#REF!,"AAAAAD/88/s=")</f>
        <v>#REF!</v>
      </c>
      <c r="IS10" t="e">
        <f>AND(NhatkyBan!#REF!,"AAAAAD/88/w=")</f>
        <v>#REF!</v>
      </c>
      <c r="IT10" t="e">
        <f>AND(NhatkyBan!#REF!,"AAAAAD/88/0=")</f>
        <v>#REF!</v>
      </c>
      <c r="IU10" t="e">
        <f>AND(NhatkyBan!#REF!,"AAAAAD/88/4=")</f>
        <v>#REF!</v>
      </c>
      <c r="IV10" t="e">
        <f>AND(NhatkyBan!#REF!,"AAAAAD/88/8=")</f>
        <v>#REF!</v>
      </c>
    </row>
    <row r="11" spans="1:256">
      <c r="A11" t="e">
        <f>AND(NhatkyBan!#REF!,"AAAAAGf5+gA=")</f>
        <v>#REF!</v>
      </c>
      <c r="B11" t="e">
        <f>AND(NhatkyBan!#REF!,"AAAAAGf5+gE=")</f>
        <v>#REF!</v>
      </c>
      <c r="C11" t="e">
        <f>AND(NhatkyBan!#REF!,"AAAAAGf5+gI=")</f>
        <v>#REF!</v>
      </c>
      <c r="D11" t="e">
        <f>AND(NhatkyBan!#REF!,"AAAAAGf5+gM=")</f>
        <v>#REF!</v>
      </c>
      <c r="E11" t="e">
        <f>AND(NhatkyBan!#REF!,"AAAAAGf5+gQ=")</f>
        <v>#REF!</v>
      </c>
      <c r="F11" t="e">
        <f>AND(NhatkyBan!#REF!,"AAAAAGf5+gU=")</f>
        <v>#REF!</v>
      </c>
      <c r="G11" t="e">
        <f>AND(NhatkyBan!#REF!,"AAAAAGf5+gY=")</f>
        <v>#REF!</v>
      </c>
      <c r="H11" t="e">
        <f>AND(NhatkyBan!#REF!,"AAAAAGf5+gc=")</f>
        <v>#REF!</v>
      </c>
      <c r="I11" t="e">
        <f>AND(NhatkyBan!#REF!,"AAAAAGf5+gg=")</f>
        <v>#REF!</v>
      </c>
      <c r="J11" t="e">
        <f>AND(NhatkyBan!#REF!,"AAAAAGf5+gk=")</f>
        <v>#REF!</v>
      </c>
      <c r="K11" t="e">
        <f>AND(NhatkyBan!#REF!,"AAAAAGf5+go=")</f>
        <v>#REF!</v>
      </c>
      <c r="L11" t="e">
        <f>AND(NhatkyBan!#REF!,"AAAAAGf5+gs=")</f>
        <v>#REF!</v>
      </c>
      <c r="M11" t="e">
        <f>AND(NhatkyBan!#REF!,"AAAAAGf5+gw=")</f>
        <v>#REF!</v>
      </c>
      <c r="N11" t="e">
        <f>AND(NhatkyBan!#REF!,"AAAAAGf5+g0=")</f>
        <v>#REF!</v>
      </c>
      <c r="O11" t="e">
        <f>AND(NhatkyBan!#REF!,"AAAAAGf5+g4=")</f>
        <v>#REF!</v>
      </c>
      <c r="P11" t="e">
        <f>AND(NhatkyBan!#REF!,"AAAAAGf5+g8=")</f>
        <v>#REF!</v>
      </c>
      <c r="Q11" t="e">
        <f>AND(NhatkyBan!#REF!,"AAAAAGf5+hA=")</f>
        <v>#REF!</v>
      </c>
      <c r="R11" t="e">
        <f>AND(NhatkyBan!#REF!,"AAAAAGf5+hE=")</f>
        <v>#REF!</v>
      </c>
      <c r="S11" t="e">
        <f>AND(NhatkyBan!#REF!,"AAAAAGf5+hI=")</f>
        <v>#REF!</v>
      </c>
      <c r="T11" t="e">
        <f>AND(NhatkyBan!#REF!,"AAAAAGf5+hM=")</f>
        <v>#REF!</v>
      </c>
      <c r="U11" t="e">
        <f>AND(NhatkyBan!#REF!,"AAAAAGf5+hQ=")</f>
        <v>#REF!</v>
      </c>
      <c r="V11" t="e">
        <f>AND(NhatkyBan!#REF!,"AAAAAGf5+hU=")</f>
        <v>#REF!</v>
      </c>
      <c r="W11" t="e">
        <f>AND(NhatkyBan!#REF!,"AAAAAGf5+hY=")</f>
        <v>#REF!</v>
      </c>
      <c r="X11" t="e">
        <f>IF(NhatkyBan!#REF!,"AAAAAGf5+hc=",0)</f>
        <v>#REF!</v>
      </c>
      <c r="Y11" t="e">
        <f>AND(NhatkyBan!#REF!,"AAAAAGf5+hg=")</f>
        <v>#REF!</v>
      </c>
      <c r="Z11" t="e">
        <f>AND(NhatkyBan!#REF!,"AAAAAGf5+hk=")</f>
        <v>#REF!</v>
      </c>
      <c r="AA11" t="e">
        <f>AND(NhatkyBan!#REF!,"AAAAAGf5+ho=")</f>
        <v>#REF!</v>
      </c>
      <c r="AB11" t="e">
        <f>AND(NhatkyBan!#REF!,"AAAAAGf5+hs=")</f>
        <v>#REF!</v>
      </c>
      <c r="AC11" t="e">
        <f>AND(NhatkyBan!#REF!,"AAAAAGf5+hw=")</f>
        <v>#REF!</v>
      </c>
      <c r="AD11" t="e">
        <f>AND(NhatkyBan!#REF!,"AAAAAGf5+h0=")</f>
        <v>#REF!</v>
      </c>
      <c r="AE11" t="e">
        <f>AND(NhatkyBan!#REF!,"AAAAAGf5+h4=")</f>
        <v>#REF!</v>
      </c>
      <c r="AF11" t="e">
        <f>AND(NhatkyBan!#REF!,"AAAAAGf5+h8=")</f>
        <v>#REF!</v>
      </c>
      <c r="AG11" t="e">
        <f>AND(NhatkyBan!#REF!,"AAAAAGf5+iA=")</f>
        <v>#REF!</v>
      </c>
      <c r="AH11" t="e">
        <f>AND(NhatkyBan!#REF!,"AAAAAGf5+iE=")</f>
        <v>#REF!</v>
      </c>
      <c r="AI11" t="e">
        <f>AND(NhatkyBan!#REF!,"AAAAAGf5+iI=")</f>
        <v>#REF!</v>
      </c>
      <c r="AJ11" t="e">
        <f>AND(NhatkyBan!#REF!,"AAAAAGf5+iM=")</f>
        <v>#REF!</v>
      </c>
      <c r="AK11" t="e">
        <f>AND(NhatkyBan!#REF!,"AAAAAGf5+iQ=")</f>
        <v>#REF!</v>
      </c>
      <c r="AL11" t="e">
        <f>AND(NhatkyBan!#REF!,"AAAAAGf5+iU=")</f>
        <v>#REF!</v>
      </c>
      <c r="AM11" t="e">
        <f>AND(NhatkyBan!#REF!,"AAAAAGf5+iY=")</f>
        <v>#REF!</v>
      </c>
      <c r="AN11" t="e">
        <f>AND(NhatkyBan!#REF!,"AAAAAGf5+ic=")</f>
        <v>#REF!</v>
      </c>
      <c r="AO11" t="e">
        <f>AND(NhatkyBan!#REF!,"AAAAAGf5+ig=")</f>
        <v>#REF!</v>
      </c>
      <c r="AP11" t="e">
        <f>AND(NhatkyBan!#REF!,"AAAAAGf5+ik=")</f>
        <v>#REF!</v>
      </c>
      <c r="AQ11" t="e">
        <f>AND(NhatkyBan!#REF!,"AAAAAGf5+io=")</f>
        <v>#REF!</v>
      </c>
      <c r="AR11" t="e">
        <f>AND(NhatkyBan!#REF!,"AAAAAGf5+is=")</f>
        <v>#REF!</v>
      </c>
      <c r="AS11" t="e">
        <f>AND(NhatkyBan!#REF!,"AAAAAGf5+iw=")</f>
        <v>#REF!</v>
      </c>
      <c r="AT11" t="e">
        <f>AND(NhatkyBan!#REF!,"AAAAAGf5+i0=")</f>
        <v>#REF!</v>
      </c>
      <c r="AU11" t="e">
        <f>AND(NhatkyBan!#REF!,"AAAAAGf5+i4=")</f>
        <v>#REF!</v>
      </c>
      <c r="AV11" t="e">
        <f>AND(NhatkyBan!#REF!,"AAAAAGf5+i8=")</f>
        <v>#REF!</v>
      </c>
      <c r="AW11" t="e">
        <f>AND(NhatkyBan!#REF!,"AAAAAGf5+jA=")</f>
        <v>#REF!</v>
      </c>
      <c r="AX11" t="e">
        <f>AND(NhatkyBan!#REF!,"AAAAAGf5+jE=")</f>
        <v>#REF!</v>
      </c>
      <c r="AY11" t="e">
        <f>AND(NhatkyBan!#REF!,"AAAAAGf5+jI=")</f>
        <v>#REF!</v>
      </c>
      <c r="AZ11" t="e">
        <f>AND(NhatkyBan!#REF!,"AAAAAGf5+jM=")</f>
        <v>#REF!</v>
      </c>
      <c r="BA11" t="e">
        <f>AND(NhatkyBan!#REF!,"AAAAAGf5+jQ=")</f>
        <v>#REF!</v>
      </c>
      <c r="BB11" t="e">
        <f>AND(NhatkyBan!#REF!,"AAAAAGf5+jU=")</f>
        <v>#REF!</v>
      </c>
      <c r="BC11" t="e">
        <f>AND(NhatkyBan!#REF!,"AAAAAGf5+jY=")</f>
        <v>#REF!</v>
      </c>
      <c r="BD11" t="e">
        <f>AND(NhatkyBan!#REF!,"AAAAAGf5+jc=")</f>
        <v>#REF!</v>
      </c>
      <c r="BE11" t="e">
        <f>AND(NhatkyBan!#REF!,"AAAAAGf5+jg=")</f>
        <v>#REF!</v>
      </c>
      <c r="BF11" t="e">
        <f>AND(NhatkyBan!#REF!,"AAAAAGf5+jk=")</f>
        <v>#REF!</v>
      </c>
      <c r="BG11" t="e">
        <f>IF(NhatkyBan!#REF!,"AAAAAGf5+jo=",0)</f>
        <v>#REF!</v>
      </c>
      <c r="BH11" t="e">
        <f>AND(NhatkyBan!#REF!,"AAAAAGf5+js=")</f>
        <v>#REF!</v>
      </c>
      <c r="BI11" t="e">
        <f>AND(NhatkyBan!#REF!,"AAAAAGf5+jw=")</f>
        <v>#REF!</v>
      </c>
      <c r="BJ11" t="e">
        <f>AND(NhatkyBan!#REF!,"AAAAAGf5+j0=")</f>
        <v>#REF!</v>
      </c>
      <c r="BK11" t="e">
        <f>AND(NhatkyBan!#REF!,"AAAAAGf5+j4=")</f>
        <v>#REF!</v>
      </c>
      <c r="BL11" t="e">
        <f>AND(NhatkyBan!#REF!,"AAAAAGf5+j8=")</f>
        <v>#REF!</v>
      </c>
      <c r="BM11" t="e">
        <f>AND(NhatkyBan!#REF!,"AAAAAGf5+kA=")</f>
        <v>#REF!</v>
      </c>
      <c r="BN11" t="e">
        <f>AND(NhatkyBan!#REF!,"AAAAAGf5+kE=")</f>
        <v>#REF!</v>
      </c>
      <c r="BO11" t="e">
        <f>AND(NhatkyBan!#REF!,"AAAAAGf5+kI=")</f>
        <v>#REF!</v>
      </c>
      <c r="BP11" t="e">
        <f>AND(NhatkyBan!#REF!,"AAAAAGf5+kM=")</f>
        <v>#REF!</v>
      </c>
      <c r="BQ11" t="e">
        <f>AND(NhatkyBan!#REF!,"AAAAAGf5+kQ=")</f>
        <v>#REF!</v>
      </c>
      <c r="BR11" t="e">
        <f>AND(NhatkyBan!#REF!,"AAAAAGf5+kU=")</f>
        <v>#REF!</v>
      </c>
      <c r="BS11" t="e">
        <f>AND(NhatkyBan!#REF!,"AAAAAGf5+kY=")</f>
        <v>#REF!</v>
      </c>
      <c r="BT11" t="e">
        <f>AND(NhatkyBan!#REF!,"AAAAAGf5+kc=")</f>
        <v>#REF!</v>
      </c>
      <c r="BU11" t="e">
        <f>AND(NhatkyBan!#REF!,"AAAAAGf5+kg=")</f>
        <v>#REF!</v>
      </c>
      <c r="BV11" t="e">
        <f>AND(NhatkyBan!#REF!,"AAAAAGf5+kk=")</f>
        <v>#REF!</v>
      </c>
      <c r="BW11" t="e">
        <f>AND(NhatkyBan!#REF!,"AAAAAGf5+ko=")</f>
        <v>#REF!</v>
      </c>
      <c r="BX11" t="e">
        <f>AND(NhatkyBan!#REF!,"AAAAAGf5+ks=")</f>
        <v>#REF!</v>
      </c>
      <c r="BY11" t="e">
        <f>AND(NhatkyBan!#REF!,"AAAAAGf5+kw=")</f>
        <v>#REF!</v>
      </c>
      <c r="BZ11" t="e">
        <f>AND(NhatkyBan!#REF!,"AAAAAGf5+k0=")</f>
        <v>#REF!</v>
      </c>
      <c r="CA11" t="e">
        <f>AND(NhatkyBan!#REF!,"AAAAAGf5+k4=")</f>
        <v>#REF!</v>
      </c>
      <c r="CB11" t="e">
        <f>AND(NhatkyBan!#REF!,"AAAAAGf5+k8=")</f>
        <v>#REF!</v>
      </c>
      <c r="CC11" t="e">
        <f>AND(NhatkyBan!#REF!,"AAAAAGf5+lA=")</f>
        <v>#REF!</v>
      </c>
      <c r="CD11" t="e">
        <f>AND(NhatkyBan!#REF!,"AAAAAGf5+lE=")</f>
        <v>#REF!</v>
      </c>
      <c r="CE11" t="e">
        <f>AND(NhatkyBan!#REF!,"AAAAAGf5+lI=")</f>
        <v>#REF!</v>
      </c>
      <c r="CF11" t="e">
        <f>AND(NhatkyBan!#REF!,"AAAAAGf5+lM=")</f>
        <v>#REF!</v>
      </c>
      <c r="CG11" t="e">
        <f>AND(NhatkyBan!#REF!,"AAAAAGf5+lQ=")</f>
        <v>#REF!</v>
      </c>
      <c r="CH11" t="e">
        <f>AND(NhatkyBan!#REF!,"AAAAAGf5+lU=")</f>
        <v>#REF!</v>
      </c>
      <c r="CI11" t="e">
        <f>AND(NhatkyBan!#REF!,"AAAAAGf5+lY=")</f>
        <v>#REF!</v>
      </c>
      <c r="CJ11" t="e">
        <f>AND(NhatkyBan!#REF!,"AAAAAGf5+lc=")</f>
        <v>#REF!</v>
      </c>
      <c r="CK11" t="e">
        <f>AND(NhatkyBan!#REF!,"AAAAAGf5+lg=")</f>
        <v>#REF!</v>
      </c>
      <c r="CL11" t="e">
        <f>AND(NhatkyBan!#REF!,"AAAAAGf5+lk=")</f>
        <v>#REF!</v>
      </c>
      <c r="CM11" t="e">
        <f>AND(NhatkyBan!#REF!,"AAAAAGf5+lo=")</f>
        <v>#REF!</v>
      </c>
      <c r="CN11" t="e">
        <f>AND(NhatkyBan!#REF!,"AAAAAGf5+ls=")</f>
        <v>#REF!</v>
      </c>
      <c r="CO11" t="e">
        <f>AND(NhatkyBan!#REF!,"AAAAAGf5+lw=")</f>
        <v>#REF!</v>
      </c>
      <c r="CP11" t="e">
        <f>IF(NhatkyBan!#REF!,"AAAAAGf5+l0=",0)</f>
        <v>#REF!</v>
      </c>
      <c r="CQ11" t="e">
        <f>AND(NhatkyBan!#REF!,"AAAAAGf5+l4=")</f>
        <v>#REF!</v>
      </c>
      <c r="CR11" t="e">
        <f>AND(NhatkyBan!#REF!,"AAAAAGf5+l8=")</f>
        <v>#REF!</v>
      </c>
      <c r="CS11" t="e">
        <f>AND(NhatkyBan!#REF!,"AAAAAGf5+mA=")</f>
        <v>#REF!</v>
      </c>
      <c r="CT11" t="e">
        <f>AND(NhatkyBan!#REF!,"AAAAAGf5+mE=")</f>
        <v>#REF!</v>
      </c>
      <c r="CU11" t="e">
        <f>AND(NhatkyBan!#REF!,"AAAAAGf5+mI=")</f>
        <v>#REF!</v>
      </c>
      <c r="CV11" t="e">
        <f>AND(NhatkyBan!#REF!,"AAAAAGf5+mM=")</f>
        <v>#REF!</v>
      </c>
      <c r="CW11" t="e">
        <f>AND(NhatkyBan!#REF!,"AAAAAGf5+mQ=")</f>
        <v>#REF!</v>
      </c>
      <c r="CX11" t="e">
        <f>AND(NhatkyBan!#REF!,"AAAAAGf5+mU=")</f>
        <v>#REF!</v>
      </c>
      <c r="CY11" t="e">
        <f>AND(NhatkyBan!#REF!,"AAAAAGf5+mY=")</f>
        <v>#REF!</v>
      </c>
      <c r="CZ11" t="e">
        <f>AND(NhatkyBan!#REF!,"AAAAAGf5+mc=")</f>
        <v>#REF!</v>
      </c>
      <c r="DA11" t="e">
        <f>AND(NhatkyBan!#REF!,"AAAAAGf5+mg=")</f>
        <v>#REF!</v>
      </c>
      <c r="DB11" t="e">
        <f>AND(NhatkyBan!#REF!,"AAAAAGf5+mk=")</f>
        <v>#REF!</v>
      </c>
      <c r="DC11" t="e">
        <f>AND(NhatkyBan!#REF!,"AAAAAGf5+mo=")</f>
        <v>#REF!</v>
      </c>
      <c r="DD11" t="e">
        <f>AND(NhatkyBan!#REF!,"AAAAAGf5+ms=")</f>
        <v>#REF!</v>
      </c>
      <c r="DE11" t="e">
        <f>AND(NhatkyBan!#REF!,"AAAAAGf5+mw=")</f>
        <v>#REF!</v>
      </c>
      <c r="DF11" t="e">
        <f>AND(NhatkyBan!#REF!,"AAAAAGf5+m0=")</f>
        <v>#REF!</v>
      </c>
      <c r="DG11" t="e">
        <f>AND(NhatkyBan!#REF!,"AAAAAGf5+m4=")</f>
        <v>#REF!</v>
      </c>
      <c r="DH11" t="e">
        <f>AND(NhatkyBan!#REF!,"AAAAAGf5+m8=")</f>
        <v>#REF!</v>
      </c>
      <c r="DI11" t="e">
        <f>AND(NhatkyBan!#REF!,"AAAAAGf5+nA=")</f>
        <v>#REF!</v>
      </c>
      <c r="DJ11" t="e">
        <f>AND(NhatkyBan!#REF!,"AAAAAGf5+nE=")</f>
        <v>#REF!</v>
      </c>
      <c r="DK11" t="e">
        <f>AND(NhatkyBan!#REF!,"AAAAAGf5+nI=")</f>
        <v>#REF!</v>
      </c>
      <c r="DL11" t="e">
        <f>AND(NhatkyBan!#REF!,"AAAAAGf5+nM=")</f>
        <v>#REF!</v>
      </c>
      <c r="DM11" t="e">
        <f>AND(NhatkyBan!#REF!,"AAAAAGf5+nQ=")</f>
        <v>#REF!</v>
      </c>
      <c r="DN11" t="e">
        <f>AND(NhatkyBan!#REF!,"AAAAAGf5+nU=")</f>
        <v>#REF!</v>
      </c>
      <c r="DO11" t="e">
        <f>AND(NhatkyBan!#REF!,"AAAAAGf5+nY=")</f>
        <v>#REF!</v>
      </c>
      <c r="DP11" t="e">
        <f>AND(NhatkyBan!#REF!,"AAAAAGf5+nc=")</f>
        <v>#REF!</v>
      </c>
      <c r="DQ11" t="e">
        <f>AND(NhatkyBan!#REF!,"AAAAAGf5+ng=")</f>
        <v>#REF!</v>
      </c>
      <c r="DR11" t="e">
        <f>AND(NhatkyBan!#REF!,"AAAAAGf5+nk=")</f>
        <v>#REF!</v>
      </c>
      <c r="DS11" t="e">
        <f>AND(NhatkyBan!#REF!,"AAAAAGf5+no=")</f>
        <v>#REF!</v>
      </c>
      <c r="DT11" t="e">
        <f>AND(NhatkyBan!#REF!,"AAAAAGf5+ns=")</f>
        <v>#REF!</v>
      </c>
      <c r="DU11" t="e">
        <f>AND(NhatkyBan!#REF!,"AAAAAGf5+nw=")</f>
        <v>#REF!</v>
      </c>
      <c r="DV11" t="e">
        <f>AND(NhatkyBan!#REF!,"AAAAAGf5+n0=")</f>
        <v>#REF!</v>
      </c>
      <c r="DW11" t="e">
        <f>AND(NhatkyBan!#REF!,"AAAAAGf5+n4=")</f>
        <v>#REF!</v>
      </c>
      <c r="DX11" t="e">
        <f>AND(NhatkyBan!#REF!,"AAAAAGf5+n8=")</f>
        <v>#REF!</v>
      </c>
      <c r="DY11" t="e">
        <f>IF(NhatkyBan!#REF!,"AAAAAGf5+oA=",0)</f>
        <v>#REF!</v>
      </c>
      <c r="DZ11" t="e">
        <f>AND(NhatkyBan!#REF!,"AAAAAGf5+oE=")</f>
        <v>#REF!</v>
      </c>
      <c r="EA11" t="e">
        <f>AND(NhatkyBan!#REF!,"AAAAAGf5+oI=")</f>
        <v>#REF!</v>
      </c>
      <c r="EB11" t="e">
        <f>AND(NhatkyBan!#REF!,"AAAAAGf5+oM=")</f>
        <v>#REF!</v>
      </c>
      <c r="EC11" t="e">
        <f>AND(NhatkyBan!#REF!,"AAAAAGf5+oQ=")</f>
        <v>#REF!</v>
      </c>
      <c r="ED11" t="e">
        <f>AND(NhatkyBan!#REF!,"AAAAAGf5+oU=")</f>
        <v>#REF!</v>
      </c>
      <c r="EE11" t="e">
        <f>AND(NhatkyBan!#REF!,"AAAAAGf5+oY=")</f>
        <v>#REF!</v>
      </c>
      <c r="EF11" t="e">
        <f>AND(NhatkyBan!#REF!,"AAAAAGf5+oc=")</f>
        <v>#REF!</v>
      </c>
      <c r="EG11" t="e">
        <f>AND(NhatkyBan!#REF!,"AAAAAGf5+og=")</f>
        <v>#REF!</v>
      </c>
      <c r="EH11" t="e">
        <f>AND(NhatkyBan!#REF!,"AAAAAGf5+ok=")</f>
        <v>#REF!</v>
      </c>
      <c r="EI11" t="e">
        <f>AND(NhatkyBan!#REF!,"AAAAAGf5+oo=")</f>
        <v>#REF!</v>
      </c>
      <c r="EJ11" t="e">
        <f>AND(NhatkyBan!#REF!,"AAAAAGf5+os=")</f>
        <v>#REF!</v>
      </c>
      <c r="EK11" t="e">
        <f>AND(NhatkyBan!#REF!,"AAAAAGf5+ow=")</f>
        <v>#REF!</v>
      </c>
      <c r="EL11" t="e">
        <f>AND(NhatkyBan!#REF!,"AAAAAGf5+o0=")</f>
        <v>#REF!</v>
      </c>
      <c r="EM11" t="e">
        <f>AND(NhatkyBan!#REF!,"AAAAAGf5+o4=")</f>
        <v>#REF!</v>
      </c>
      <c r="EN11" t="e">
        <f>AND(NhatkyBan!#REF!,"AAAAAGf5+o8=")</f>
        <v>#REF!</v>
      </c>
      <c r="EO11" t="e">
        <f>AND(NhatkyBan!#REF!,"AAAAAGf5+pA=")</f>
        <v>#REF!</v>
      </c>
      <c r="EP11" t="e">
        <f>AND(NhatkyBan!#REF!,"AAAAAGf5+pE=")</f>
        <v>#REF!</v>
      </c>
      <c r="EQ11" t="e">
        <f>AND(NhatkyBan!#REF!,"AAAAAGf5+pI=")</f>
        <v>#REF!</v>
      </c>
      <c r="ER11" t="e">
        <f>AND(NhatkyBan!#REF!,"AAAAAGf5+pM=")</f>
        <v>#REF!</v>
      </c>
      <c r="ES11" t="e">
        <f>AND(NhatkyBan!#REF!,"AAAAAGf5+pQ=")</f>
        <v>#REF!</v>
      </c>
      <c r="ET11" t="e">
        <f>AND(NhatkyBan!#REF!,"AAAAAGf5+pU=")</f>
        <v>#REF!</v>
      </c>
      <c r="EU11" t="e">
        <f>AND(NhatkyBan!#REF!,"AAAAAGf5+pY=")</f>
        <v>#REF!</v>
      </c>
      <c r="EV11" t="e">
        <f>AND(NhatkyBan!#REF!,"AAAAAGf5+pc=")</f>
        <v>#REF!</v>
      </c>
      <c r="EW11" t="e">
        <f>AND(NhatkyBan!#REF!,"AAAAAGf5+pg=")</f>
        <v>#REF!</v>
      </c>
      <c r="EX11" t="e">
        <f>AND(NhatkyBan!#REF!,"AAAAAGf5+pk=")</f>
        <v>#REF!</v>
      </c>
      <c r="EY11" t="e">
        <f>AND(NhatkyBan!#REF!,"AAAAAGf5+po=")</f>
        <v>#REF!</v>
      </c>
      <c r="EZ11" t="e">
        <f>AND(NhatkyBan!#REF!,"AAAAAGf5+ps=")</f>
        <v>#REF!</v>
      </c>
      <c r="FA11" t="e">
        <f>AND(NhatkyBan!#REF!,"AAAAAGf5+pw=")</f>
        <v>#REF!</v>
      </c>
      <c r="FB11" t="e">
        <f>AND(NhatkyBan!#REF!,"AAAAAGf5+p0=")</f>
        <v>#REF!</v>
      </c>
      <c r="FC11" t="e">
        <f>AND(NhatkyBan!#REF!,"AAAAAGf5+p4=")</f>
        <v>#REF!</v>
      </c>
      <c r="FD11" t="e">
        <f>AND(NhatkyBan!#REF!,"AAAAAGf5+p8=")</f>
        <v>#REF!</v>
      </c>
      <c r="FE11" t="e">
        <f>AND(NhatkyBan!#REF!,"AAAAAGf5+qA=")</f>
        <v>#REF!</v>
      </c>
      <c r="FF11" t="e">
        <f>AND(NhatkyBan!#REF!,"AAAAAGf5+qE=")</f>
        <v>#REF!</v>
      </c>
      <c r="FG11" t="e">
        <f>AND(NhatkyBan!#REF!,"AAAAAGf5+qI=")</f>
        <v>#REF!</v>
      </c>
      <c r="FH11" t="e">
        <f>IF(NhatkyBan!#REF!,"AAAAAGf5+qM=",0)</f>
        <v>#REF!</v>
      </c>
      <c r="FI11" t="e">
        <f>AND(NhatkyBan!#REF!,"AAAAAGf5+qQ=")</f>
        <v>#REF!</v>
      </c>
      <c r="FJ11" t="e">
        <f>AND(NhatkyBan!#REF!,"AAAAAGf5+qU=")</f>
        <v>#REF!</v>
      </c>
      <c r="FK11" t="e">
        <f>AND(NhatkyBan!#REF!,"AAAAAGf5+qY=")</f>
        <v>#REF!</v>
      </c>
      <c r="FL11" t="e">
        <f>AND(NhatkyBan!#REF!,"AAAAAGf5+qc=")</f>
        <v>#REF!</v>
      </c>
      <c r="FM11" t="e">
        <f>AND(NhatkyBan!#REF!,"AAAAAGf5+qg=")</f>
        <v>#REF!</v>
      </c>
      <c r="FN11" t="e">
        <f>AND(NhatkyBan!#REF!,"AAAAAGf5+qk=")</f>
        <v>#REF!</v>
      </c>
      <c r="FO11" t="e">
        <f>AND(NhatkyBan!#REF!,"AAAAAGf5+qo=")</f>
        <v>#REF!</v>
      </c>
      <c r="FP11" t="e">
        <f>AND(NhatkyBan!#REF!,"AAAAAGf5+qs=")</f>
        <v>#REF!</v>
      </c>
      <c r="FQ11" t="e">
        <f>AND(NhatkyBan!#REF!,"AAAAAGf5+qw=")</f>
        <v>#REF!</v>
      </c>
      <c r="FR11" t="e">
        <f>AND(NhatkyBan!#REF!,"AAAAAGf5+q0=")</f>
        <v>#REF!</v>
      </c>
      <c r="FS11" t="e">
        <f>AND(NhatkyBan!#REF!,"AAAAAGf5+q4=")</f>
        <v>#REF!</v>
      </c>
      <c r="FT11" t="e">
        <f>AND(NhatkyBan!#REF!,"AAAAAGf5+q8=")</f>
        <v>#REF!</v>
      </c>
      <c r="FU11" t="e">
        <f>AND(NhatkyBan!#REF!,"AAAAAGf5+rA=")</f>
        <v>#REF!</v>
      </c>
      <c r="FV11" t="e">
        <f>AND(NhatkyBan!#REF!,"AAAAAGf5+rE=")</f>
        <v>#REF!</v>
      </c>
      <c r="FW11" t="e">
        <f>AND(NhatkyBan!#REF!,"AAAAAGf5+rI=")</f>
        <v>#REF!</v>
      </c>
      <c r="FX11" t="e">
        <f>AND(NhatkyBan!#REF!,"AAAAAGf5+rM=")</f>
        <v>#REF!</v>
      </c>
      <c r="FY11" t="e">
        <f>AND(NhatkyBan!#REF!,"AAAAAGf5+rQ=")</f>
        <v>#REF!</v>
      </c>
      <c r="FZ11" t="e">
        <f>AND(NhatkyBan!#REF!,"AAAAAGf5+rU=")</f>
        <v>#REF!</v>
      </c>
      <c r="GA11" t="e">
        <f>AND(NhatkyBan!#REF!,"AAAAAGf5+rY=")</f>
        <v>#REF!</v>
      </c>
      <c r="GB11" t="e">
        <f>AND(NhatkyBan!#REF!,"AAAAAGf5+rc=")</f>
        <v>#REF!</v>
      </c>
      <c r="GC11" t="e">
        <f>AND(NhatkyBan!#REF!,"AAAAAGf5+rg=")</f>
        <v>#REF!</v>
      </c>
      <c r="GD11" t="e">
        <f>AND(NhatkyBan!#REF!,"AAAAAGf5+rk=")</f>
        <v>#REF!</v>
      </c>
      <c r="GE11" t="e">
        <f>AND(NhatkyBan!#REF!,"AAAAAGf5+ro=")</f>
        <v>#REF!</v>
      </c>
      <c r="GF11" t="e">
        <f>AND(NhatkyBan!#REF!,"AAAAAGf5+rs=")</f>
        <v>#REF!</v>
      </c>
      <c r="GG11" t="e">
        <f>AND(NhatkyBan!#REF!,"AAAAAGf5+rw=")</f>
        <v>#REF!</v>
      </c>
      <c r="GH11" t="e">
        <f>AND(NhatkyBan!#REF!,"AAAAAGf5+r0=")</f>
        <v>#REF!</v>
      </c>
      <c r="GI11" t="e">
        <f>AND(NhatkyBan!#REF!,"AAAAAGf5+r4=")</f>
        <v>#REF!</v>
      </c>
      <c r="GJ11" t="e">
        <f>AND(NhatkyBan!#REF!,"AAAAAGf5+r8=")</f>
        <v>#REF!</v>
      </c>
      <c r="GK11" t="e">
        <f>AND(NhatkyBan!#REF!,"AAAAAGf5+sA=")</f>
        <v>#REF!</v>
      </c>
      <c r="GL11" t="e">
        <f>AND(NhatkyBan!#REF!,"AAAAAGf5+sE=")</f>
        <v>#REF!</v>
      </c>
      <c r="GM11" t="e">
        <f>AND(NhatkyBan!#REF!,"AAAAAGf5+sI=")</f>
        <v>#REF!</v>
      </c>
      <c r="GN11" t="e">
        <f>AND(NhatkyBan!#REF!,"AAAAAGf5+sM=")</f>
        <v>#REF!</v>
      </c>
      <c r="GO11" t="e">
        <f>AND(NhatkyBan!#REF!,"AAAAAGf5+sQ=")</f>
        <v>#REF!</v>
      </c>
      <c r="GP11" t="e">
        <f>AND(NhatkyBan!#REF!,"AAAAAGf5+sU=")</f>
        <v>#REF!</v>
      </c>
      <c r="GQ11" t="e">
        <f>IF(NhatkyBan!#REF!,"AAAAAGf5+sY=",0)</f>
        <v>#REF!</v>
      </c>
      <c r="GR11" t="e">
        <f>AND(NhatkyBan!#REF!,"AAAAAGf5+sc=")</f>
        <v>#REF!</v>
      </c>
      <c r="GS11" t="e">
        <f>AND(NhatkyBan!#REF!,"AAAAAGf5+sg=")</f>
        <v>#REF!</v>
      </c>
      <c r="GT11" t="e">
        <f>AND(NhatkyBan!#REF!,"AAAAAGf5+sk=")</f>
        <v>#REF!</v>
      </c>
      <c r="GU11" t="e">
        <f>AND(NhatkyBan!#REF!,"AAAAAGf5+so=")</f>
        <v>#REF!</v>
      </c>
      <c r="GV11" t="e">
        <f>AND(NhatkyBan!#REF!,"AAAAAGf5+ss=")</f>
        <v>#REF!</v>
      </c>
      <c r="GW11" t="e">
        <f>AND(NhatkyBan!#REF!,"AAAAAGf5+sw=")</f>
        <v>#REF!</v>
      </c>
      <c r="GX11" t="e">
        <f>AND(NhatkyBan!#REF!,"AAAAAGf5+s0=")</f>
        <v>#REF!</v>
      </c>
      <c r="GY11" t="e">
        <f>AND(NhatkyBan!#REF!,"AAAAAGf5+s4=")</f>
        <v>#REF!</v>
      </c>
      <c r="GZ11" t="e">
        <f>AND(NhatkyBan!#REF!,"AAAAAGf5+s8=")</f>
        <v>#REF!</v>
      </c>
      <c r="HA11" t="e">
        <f>AND(NhatkyBan!#REF!,"AAAAAGf5+tA=")</f>
        <v>#REF!</v>
      </c>
      <c r="HB11" t="e">
        <f>AND(NhatkyBan!#REF!,"AAAAAGf5+tE=")</f>
        <v>#REF!</v>
      </c>
      <c r="HC11" t="e">
        <f>AND(NhatkyBan!#REF!,"AAAAAGf5+tI=")</f>
        <v>#REF!</v>
      </c>
      <c r="HD11" t="e">
        <f>AND(NhatkyBan!#REF!,"AAAAAGf5+tM=")</f>
        <v>#REF!</v>
      </c>
      <c r="HE11" t="e">
        <f>AND(NhatkyBan!#REF!,"AAAAAGf5+tQ=")</f>
        <v>#REF!</v>
      </c>
      <c r="HF11" t="e">
        <f>AND(NhatkyBan!#REF!,"AAAAAGf5+tU=")</f>
        <v>#REF!</v>
      </c>
      <c r="HG11" t="e">
        <f>AND(NhatkyBan!#REF!,"AAAAAGf5+tY=")</f>
        <v>#REF!</v>
      </c>
      <c r="HH11" t="e">
        <f>AND(NhatkyBan!#REF!,"AAAAAGf5+tc=")</f>
        <v>#REF!</v>
      </c>
      <c r="HI11" t="e">
        <f>AND(NhatkyBan!#REF!,"AAAAAGf5+tg=")</f>
        <v>#REF!</v>
      </c>
      <c r="HJ11" t="e">
        <f>AND(NhatkyBan!#REF!,"AAAAAGf5+tk=")</f>
        <v>#REF!</v>
      </c>
      <c r="HK11" t="e">
        <f>AND(NhatkyBan!#REF!,"AAAAAGf5+to=")</f>
        <v>#REF!</v>
      </c>
      <c r="HL11" t="e">
        <f>AND(NhatkyBan!#REF!,"AAAAAGf5+ts=")</f>
        <v>#REF!</v>
      </c>
      <c r="HM11" t="e">
        <f>AND(NhatkyBan!#REF!,"AAAAAGf5+tw=")</f>
        <v>#REF!</v>
      </c>
      <c r="HN11" t="e">
        <f>AND(NhatkyBan!#REF!,"AAAAAGf5+t0=")</f>
        <v>#REF!</v>
      </c>
      <c r="HO11" t="e">
        <f>AND(NhatkyBan!#REF!,"AAAAAGf5+t4=")</f>
        <v>#REF!</v>
      </c>
      <c r="HP11" t="e">
        <f>AND(NhatkyBan!#REF!,"AAAAAGf5+t8=")</f>
        <v>#REF!</v>
      </c>
      <c r="HQ11" t="e">
        <f>AND(NhatkyBan!#REF!,"AAAAAGf5+uA=")</f>
        <v>#REF!</v>
      </c>
      <c r="HR11" t="e">
        <f>AND(NhatkyBan!#REF!,"AAAAAGf5+uE=")</f>
        <v>#REF!</v>
      </c>
      <c r="HS11" t="e">
        <f>AND(NhatkyBan!#REF!,"AAAAAGf5+uI=")</f>
        <v>#REF!</v>
      </c>
      <c r="HT11" t="e">
        <f>AND(NhatkyBan!#REF!,"AAAAAGf5+uM=")</f>
        <v>#REF!</v>
      </c>
      <c r="HU11" t="e">
        <f>AND(NhatkyBan!#REF!,"AAAAAGf5+uQ=")</f>
        <v>#REF!</v>
      </c>
      <c r="HV11" t="e">
        <f>AND(NhatkyBan!#REF!,"AAAAAGf5+uU=")</f>
        <v>#REF!</v>
      </c>
      <c r="HW11" t="e">
        <f>AND(NhatkyBan!#REF!,"AAAAAGf5+uY=")</f>
        <v>#REF!</v>
      </c>
      <c r="HX11" t="e">
        <f>AND(NhatkyBan!#REF!,"AAAAAGf5+uc=")</f>
        <v>#REF!</v>
      </c>
      <c r="HY11" t="e">
        <f>AND(NhatkyBan!#REF!,"AAAAAGf5+ug=")</f>
        <v>#REF!</v>
      </c>
      <c r="HZ11" t="e">
        <f>IF(NhatkyBan!#REF!,"AAAAAGf5+uk=",0)</f>
        <v>#REF!</v>
      </c>
      <c r="IA11" t="e">
        <f>AND(NhatkyBan!#REF!,"AAAAAGf5+uo=")</f>
        <v>#REF!</v>
      </c>
      <c r="IB11" t="e">
        <f>AND(NhatkyBan!#REF!,"AAAAAGf5+us=")</f>
        <v>#REF!</v>
      </c>
      <c r="IC11" t="e">
        <f>AND(NhatkyBan!#REF!,"AAAAAGf5+uw=")</f>
        <v>#REF!</v>
      </c>
      <c r="ID11" t="e">
        <f>AND(NhatkyBan!#REF!,"AAAAAGf5+u0=")</f>
        <v>#REF!</v>
      </c>
      <c r="IE11" t="e">
        <f>AND(NhatkyBan!#REF!,"AAAAAGf5+u4=")</f>
        <v>#REF!</v>
      </c>
      <c r="IF11" t="e">
        <f>AND(NhatkyBan!#REF!,"AAAAAGf5+u8=")</f>
        <v>#REF!</v>
      </c>
      <c r="IG11" t="e">
        <f>AND(NhatkyBan!#REF!,"AAAAAGf5+vA=")</f>
        <v>#REF!</v>
      </c>
      <c r="IH11" t="e">
        <f>AND(NhatkyBan!#REF!,"AAAAAGf5+vE=")</f>
        <v>#REF!</v>
      </c>
      <c r="II11" t="e">
        <f>AND(NhatkyBan!#REF!,"AAAAAGf5+vI=")</f>
        <v>#REF!</v>
      </c>
      <c r="IJ11" t="e">
        <f>AND(NhatkyBan!#REF!,"AAAAAGf5+vM=")</f>
        <v>#REF!</v>
      </c>
      <c r="IK11" t="e">
        <f>AND(NhatkyBan!#REF!,"AAAAAGf5+vQ=")</f>
        <v>#REF!</v>
      </c>
      <c r="IL11" t="e">
        <f>AND(NhatkyBan!#REF!,"AAAAAGf5+vU=")</f>
        <v>#REF!</v>
      </c>
      <c r="IM11" t="e">
        <f>AND(NhatkyBan!#REF!,"AAAAAGf5+vY=")</f>
        <v>#REF!</v>
      </c>
      <c r="IN11" t="e">
        <f>AND(NhatkyBan!#REF!,"AAAAAGf5+vc=")</f>
        <v>#REF!</v>
      </c>
      <c r="IO11" t="e">
        <f>AND(NhatkyBan!#REF!,"AAAAAGf5+vg=")</f>
        <v>#REF!</v>
      </c>
      <c r="IP11" t="e">
        <f>AND(NhatkyBan!#REF!,"AAAAAGf5+vk=")</f>
        <v>#REF!</v>
      </c>
      <c r="IQ11" t="e">
        <f>AND(NhatkyBan!#REF!,"AAAAAGf5+vo=")</f>
        <v>#REF!</v>
      </c>
      <c r="IR11" t="e">
        <f>AND(NhatkyBan!#REF!,"AAAAAGf5+vs=")</f>
        <v>#REF!</v>
      </c>
      <c r="IS11" t="e">
        <f>AND(NhatkyBan!#REF!,"AAAAAGf5+vw=")</f>
        <v>#REF!</v>
      </c>
      <c r="IT11" t="e">
        <f>AND(NhatkyBan!#REF!,"AAAAAGf5+v0=")</f>
        <v>#REF!</v>
      </c>
      <c r="IU11" t="e">
        <f>AND(NhatkyBan!#REF!,"AAAAAGf5+v4=")</f>
        <v>#REF!</v>
      </c>
      <c r="IV11" t="e">
        <f>AND(NhatkyBan!#REF!,"AAAAAGf5+v8=")</f>
        <v>#REF!</v>
      </c>
    </row>
    <row r="12" spans="1:256">
      <c r="A12" t="e">
        <f>AND(NhatkyBan!#REF!,"AAAAAH1XfwA=")</f>
        <v>#REF!</v>
      </c>
      <c r="B12" t="e">
        <f>AND(NhatkyBan!#REF!,"AAAAAH1XfwE=")</f>
        <v>#REF!</v>
      </c>
      <c r="C12" t="e">
        <f>AND(NhatkyBan!#REF!,"AAAAAH1XfwI=")</f>
        <v>#REF!</v>
      </c>
      <c r="D12" t="e">
        <f>AND(NhatkyBan!#REF!,"AAAAAH1XfwM=")</f>
        <v>#REF!</v>
      </c>
      <c r="E12" t="e">
        <f>AND(NhatkyBan!#REF!,"AAAAAH1XfwQ=")</f>
        <v>#REF!</v>
      </c>
      <c r="F12" t="e">
        <f>AND(NhatkyBan!#REF!,"AAAAAH1XfwU=")</f>
        <v>#REF!</v>
      </c>
      <c r="G12" t="e">
        <f>AND(NhatkyBan!#REF!,"AAAAAH1XfwY=")</f>
        <v>#REF!</v>
      </c>
      <c r="H12" t="e">
        <f>AND(NhatkyBan!#REF!,"AAAAAH1Xfwc=")</f>
        <v>#REF!</v>
      </c>
      <c r="I12" t="e">
        <f>AND(NhatkyBan!#REF!,"AAAAAH1Xfwg=")</f>
        <v>#REF!</v>
      </c>
      <c r="J12" t="e">
        <f>AND(NhatkyBan!#REF!,"AAAAAH1Xfwk=")</f>
        <v>#REF!</v>
      </c>
      <c r="K12" t="e">
        <f>AND(NhatkyBan!#REF!,"AAAAAH1Xfwo=")</f>
        <v>#REF!</v>
      </c>
      <c r="L12" t="e">
        <f>AND(NhatkyBan!#REF!,"AAAAAH1Xfws=")</f>
        <v>#REF!</v>
      </c>
      <c r="M12" t="e">
        <f>IF(NhatkyBan!#REF!,"AAAAAH1Xfww=",0)</f>
        <v>#REF!</v>
      </c>
      <c r="N12" t="e">
        <f>AND(NhatkyBan!#REF!,"AAAAAH1Xfw0=")</f>
        <v>#REF!</v>
      </c>
      <c r="O12" t="e">
        <f>AND(NhatkyBan!#REF!,"AAAAAH1Xfw4=")</f>
        <v>#REF!</v>
      </c>
      <c r="P12" t="e">
        <f>AND(NhatkyBan!#REF!,"AAAAAH1Xfw8=")</f>
        <v>#REF!</v>
      </c>
      <c r="Q12" t="e">
        <f>AND(NhatkyBan!#REF!,"AAAAAH1XfxA=")</f>
        <v>#REF!</v>
      </c>
      <c r="R12" t="e">
        <f>AND(NhatkyBan!#REF!,"AAAAAH1XfxE=")</f>
        <v>#REF!</v>
      </c>
      <c r="S12" t="e">
        <f>AND(NhatkyBan!#REF!,"AAAAAH1XfxI=")</f>
        <v>#REF!</v>
      </c>
      <c r="T12" t="e">
        <f>AND(NhatkyBan!#REF!,"AAAAAH1XfxM=")</f>
        <v>#REF!</v>
      </c>
      <c r="U12" t="e">
        <f>AND(NhatkyBan!#REF!,"AAAAAH1XfxQ=")</f>
        <v>#REF!</v>
      </c>
      <c r="V12" t="e">
        <f>AND(NhatkyBan!#REF!,"AAAAAH1XfxU=")</f>
        <v>#REF!</v>
      </c>
      <c r="W12" t="e">
        <f>AND(NhatkyBan!#REF!,"AAAAAH1XfxY=")</f>
        <v>#REF!</v>
      </c>
      <c r="X12" t="e">
        <f>AND(NhatkyBan!#REF!,"AAAAAH1Xfxc=")</f>
        <v>#REF!</v>
      </c>
      <c r="Y12" t="e">
        <f>AND(NhatkyBan!#REF!,"AAAAAH1Xfxg=")</f>
        <v>#REF!</v>
      </c>
      <c r="Z12" t="e">
        <f>AND(NhatkyBan!#REF!,"AAAAAH1Xfxk=")</f>
        <v>#REF!</v>
      </c>
      <c r="AA12" t="e">
        <f>AND(NhatkyBan!#REF!,"AAAAAH1Xfxo=")</f>
        <v>#REF!</v>
      </c>
      <c r="AB12" t="e">
        <f>AND(NhatkyBan!#REF!,"AAAAAH1Xfxs=")</f>
        <v>#REF!</v>
      </c>
      <c r="AC12" t="e">
        <f>AND(NhatkyBan!#REF!,"AAAAAH1Xfxw=")</f>
        <v>#REF!</v>
      </c>
      <c r="AD12" t="e">
        <f>AND(NhatkyBan!#REF!,"AAAAAH1Xfx0=")</f>
        <v>#REF!</v>
      </c>
      <c r="AE12" t="e">
        <f>AND(NhatkyBan!#REF!,"AAAAAH1Xfx4=")</f>
        <v>#REF!</v>
      </c>
      <c r="AF12" t="e">
        <f>AND(NhatkyBan!#REF!,"AAAAAH1Xfx8=")</f>
        <v>#REF!</v>
      </c>
      <c r="AG12" t="e">
        <f>AND(NhatkyBan!#REF!,"AAAAAH1XfyA=")</f>
        <v>#REF!</v>
      </c>
      <c r="AH12" t="e">
        <f>AND(NhatkyBan!#REF!,"AAAAAH1XfyE=")</f>
        <v>#REF!</v>
      </c>
      <c r="AI12" t="e">
        <f>AND(NhatkyBan!#REF!,"AAAAAH1XfyI=")</f>
        <v>#REF!</v>
      </c>
      <c r="AJ12" t="e">
        <f>AND(NhatkyBan!#REF!,"AAAAAH1XfyM=")</f>
        <v>#REF!</v>
      </c>
      <c r="AK12" t="e">
        <f>AND(NhatkyBan!#REF!,"AAAAAH1XfyQ=")</f>
        <v>#REF!</v>
      </c>
      <c r="AL12" t="e">
        <f>AND(NhatkyBan!#REF!,"AAAAAH1XfyU=")</f>
        <v>#REF!</v>
      </c>
      <c r="AM12" t="e">
        <f>AND(NhatkyBan!#REF!,"AAAAAH1XfyY=")</f>
        <v>#REF!</v>
      </c>
      <c r="AN12" t="e">
        <f>AND(NhatkyBan!#REF!,"AAAAAH1Xfyc=")</f>
        <v>#REF!</v>
      </c>
      <c r="AO12" t="e">
        <f>AND(NhatkyBan!#REF!,"AAAAAH1Xfyg=")</f>
        <v>#REF!</v>
      </c>
      <c r="AP12" t="e">
        <f>AND(NhatkyBan!#REF!,"AAAAAH1Xfyk=")</f>
        <v>#REF!</v>
      </c>
      <c r="AQ12" t="e">
        <f>AND(NhatkyBan!#REF!,"AAAAAH1Xfyo=")</f>
        <v>#REF!</v>
      </c>
      <c r="AR12" t="e">
        <f>AND(NhatkyBan!#REF!,"AAAAAH1Xfys=")</f>
        <v>#REF!</v>
      </c>
      <c r="AS12" t="e">
        <f>AND(NhatkyBan!#REF!,"AAAAAH1Xfyw=")</f>
        <v>#REF!</v>
      </c>
      <c r="AT12" t="e">
        <f>AND(NhatkyBan!#REF!,"AAAAAH1Xfy0=")</f>
        <v>#REF!</v>
      </c>
      <c r="AU12" t="e">
        <f>AND(NhatkyBan!#REF!,"AAAAAH1Xfy4=")</f>
        <v>#REF!</v>
      </c>
      <c r="AV12" t="e">
        <f>IF(NhatkyBan!#REF!,"AAAAAH1Xfy8=",0)</f>
        <v>#REF!</v>
      </c>
      <c r="AW12" t="e">
        <f>AND(NhatkyBan!#REF!,"AAAAAH1XfzA=")</f>
        <v>#REF!</v>
      </c>
      <c r="AX12" t="e">
        <f>AND(NhatkyBan!#REF!,"AAAAAH1XfzE=")</f>
        <v>#REF!</v>
      </c>
      <c r="AY12" t="e">
        <f>AND(NhatkyBan!#REF!,"AAAAAH1XfzI=")</f>
        <v>#REF!</v>
      </c>
      <c r="AZ12" t="e">
        <f>AND(NhatkyBan!#REF!,"AAAAAH1XfzM=")</f>
        <v>#REF!</v>
      </c>
      <c r="BA12" t="e">
        <f>AND(NhatkyBan!#REF!,"AAAAAH1XfzQ=")</f>
        <v>#REF!</v>
      </c>
      <c r="BB12" t="e">
        <f>AND(NhatkyBan!#REF!,"AAAAAH1XfzU=")</f>
        <v>#REF!</v>
      </c>
      <c r="BC12" t="e">
        <f>AND(NhatkyBan!#REF!,"AAAAAH1XfzY=")</f>
        <v>#REF!</v>
      </c>
      <c r="BD12" t="e">
        <f>AND(NhatkyBan!#REF!,"AAAAAH1Xfzc=")</f>
        <v>#REF!</v>
      </c>
      <c r="BE12" t="e">
        <f>AND(NhatkyBan!#REF!,"AAAAAH1Xfzg=")</f>
        <v>#REF!</v>
      </c>
      <c r="BF12" t="e">
        <f>AND(NhatkyBan!#REF!,"AAAAAH1Xfzk=")</f>
        <v>#REF!</v>
      </c>
      <c r="BG12" t="e">
        <f>AND(NhatkyBan!#REF!,"AAAAAH1Xfzo=")</f>
        <v>#REF!</v>
      </c>
      <c r="BH12" t="e">
        <f>AND(NhatkyBan!#REF!,"AAAAAH1Xfzs=")</f>
        <v>#REF!</v>
      </c>
      <c r="BI12" t="e">
        <f>AND(NhatkyBan!#REF!,"AAAAAH1Xfzw=")</f>
        <v>#REF!</v>
      </c>
      <c r="BJ12" t="e">
        <f>AND(NhatkyBan!#REF!,"AAAAAH1Xfz0=")</f>
        <v>#REF!</v>
      </c>
      <c r="BK12" t="e">
        <f>AND(NhatkyBan!#REF!,"AAAAAH1Xfz4=")</f>
        <v>#REF!</v>
      </c>
      <c r="BL12" t="e">
        <f>AND(NhatkyBan!#REF!,"AAAAAH1Xfz8=")</f>
        <v>#REF!</v>
      </c>
      <c r="BM12" t="e">
        <f>AND(NhatkyBan!#REF!,"AAAAAH1Xf0A=")</f>
        <v>#REF!</v>
      </c>
      <c r="BN12" t="e">
        <f>AND(NhatkyBan!#REF!,"AAAAAH1Xf0E=")</f>
        <v>#REF!</v>
      </c>
      <c r="BO12" t="e">
        <f>AND(NhatkyBan!#REF!,"AAAAAH1Xf0I=")</f>
        <v>#REF!</v>
      </c>
      <c r="BP12" t="e">
        <f>AND(NhatkyBan!#REF!,"AAAAAH1Xf0M=")</f>
        <v>#REF!</v>
      </c>
      <c r="BQ12" t="e">
        <f>AND(NhatkyBan!#REF!,"AAAAAH1Xf0Q=")</f>
        <v>#REF!</v>
      </c>
      <c r="BR12" t="e">
        <f>AND(NhatkyBan!#REF!,"AAAAAH1Xf0U=")</f>
        <v>#REF!</v>
      </c>
      <c r="BS12" t="e">
        <f>AND(NhatkyBan!#REF!,"AAAAAH1Xf0Y=")</f>
        <v>#REF!</v>
      </c>
      <c r="BT12" t="e">
        <f>AND(NhatkyBan!#REF!,"AAAAAH1Xf0c=")</f>
        <v>#REF!</v>
      </c>
      <c r="BU12" t="e">
        <f>AND(NhatkyBan!#REF!,"AAAAAH1Xf0g=")</f>
        <v>#REF!</v>
      </c>
      <c r="BV12" t="e">
        <f>AND(NhatkyBan!#REF!,"AAAAAH1Xf0k=")</f>
        <v>#REF!</v>
      </c>
      <c r="BW12" t="e">
        <f>AND(NhatkyBan!#REF!,"AAAAAH1Xf0o=")</f>
        <v>#REF!</v>
      </c>
      <c r="BX12" t="e">
        <f>AND(NhatkyBan!#REF!,"AAAAAH1Xf0s=")</f>
        <v>#REF!</v>
      </c>
      <c r="BY12" t="e">
        <f>AND(NhatkyBan!#REF!,"AAAAAH1Xf0w=")</f>
        <v>#REF!</v>
      </c>
      <c r="BZ12" t="e">
        <f>AND(NhatkyBan!#REF!,"AAAAAH1Xf00=")</f>
        <v>#REF!</v>
      </c>
      <c r="CA12" t="e">
        <f>AND(NhatkyBan!#REF!,"AAAAAH1Xf04=")</f>
        <v>#REF!</v>
      </c>
      <c r="CB12" t="e">
        <f>AND(NhatkyBan!#REF!,"AAAAAH1Xf08=")</f>
        <v>#REF!</v>
      </c>
      <c r="CC12" t="e">
        <f>AND(NhatkyBan!#REF!,"AAAAAH1Xf1A=")</f>
        <v>#REF!</v>
      </c>
      <c r="CD12" t="e">
        <f>AND(NhatkyBan!#REF!,"AAAAAH1Xf1E=")</f>
        <v>#REF!</v>
      </c>
      <c r="CE12" t="e">
        <f>IF(NhatkyBan!#REF!,"AAAAAH1Xf1I=",0)</f>
        <v>#REF!</v>
      </c>
      <c r="CF12" t="e">
        <f>AND(NhatkyBan!#REF!,"AAAAAH1Xf1M=")</f>
        <v>#REF!</v>
      </c>
      <c r="CG12" t="e">
        <f>AND(NhatkyBan!#REF!,"AAAAAH1Xf1Q=")</f>
        <v>#REF!</v>
      </c>
      <c r="CH12" t="e">
        <f>AND(NhatkyBan!#REF!,"AAAAAH1Xf1U=")</f>
        <v>#REF!</v>
      </c>
      <c r="CI12" t="e">
        <f>AND(NhatkyBan!#REF!,"AAAAAH1Xf1Y=")</f>
        <v>#REF!</v>
      </c>
      <c r="CJ12" t="e">
        <f>AND(NhatkyBan!#REF!,"AAAAAH1Xf1c=")</f>
        <v>#REF!</v>
      </c>
      <c r="CK12" t="e">
        <f>AND(NhatkyBan!#REF!,"AAAAAH1Xf1g=")</f>
        <v>#REF!</v>
      </c>
      <c r="CL12" t="e">
        <f>AND(NhatkyBan!#REF!,"AAAAAH1Xf1k=")</f>
        <v>#REF!</v>
      </c>
      <c r="CM12" t="e">
        <f>AND(NhatkyBan!#REF!,"AAAAAH1Xf1o=")</f>
        <v>#REF!</v>
      </c>
      <c r="CN12" t="e">
        <f>AND(NhatkyBan!#REF!,"AAAAAH1Xf1s=")</f>
        <v>#REF!</v>
      </c>
      <c r="CO12" t="e">
        <f>AND(NhatkyBan!#REF!,"AAAAAH1Xf1w=")</f>
        <v>#REF!</v>
      </c>
      <c r="CP12" t="e">
        <f>AND(NhatkyBan!#REF!,"AAAAAH1Xf10=")</f>
        <v>#REF!</v>
      </c>
      <c r="CQ12" t="e">
        <f>AND(NhatkyBan!#REF!,"AAAAAH1Xf14=")</f>
        <v>#REF!</v>
      </c>
      <c r="CR12" t="e">
        <f>AND(NhatkyBan!#REF!,"AAAAAH1Xf18=")</f>
        <v>#REF!</v>
      </c>
      <c r="CS12" t="e">
        <f>AND(NhatkyBan!#REF!,"AAAAAH1Xf2A=")</f>
        <v>#REF!</v>
      </c>
      <c r="CT12" t="e">
        <f>AND(NhatkyBan!#REF!,"AAAAAH1Xf2E=")</f>
        <v>#REF!</v>
      </c>
      <c r="CU12" t="e">
        <f>AND(NhatkyBan!#REF!,"AAAAAH1Xf2I=")</f>
        <v>#REF!</v>
      </c>
      <c r="CV12" t="e">
        <f>AND(NhatkyBan!#REF!,"AAAAAH1Xf2M=")</f>
        <v>#REF!</v>
      </c>
      <c r="CW12" t="e">
        <f>AND(NhatkyBan!#REF!,"AAAAAH1Xf2Q=")</f>
        <v>#REF!</v>
      </c>
      <c r="CX12" t="e">
        <f>AND(NhatkyBan!#REF!,"AAAAAH1Xf2U=")</f>
        <v>#REF!</v>
      </c>
      <c r="CY12" t="e">
        <f>AND(NhatkyBan!#REF!,"AAAAAH1Xf2Y=")</f>
        <v>#REF!</v>
      </c>
      <c r="CZ12" t="e">
        <f>AND(NhatkyBan!#REF!,"AAAAAH1Xf2c=")</f>
        <v>#REF!</v>
      </c>
      <c r="DA12" t="e">
        <f>AND(NhatkyBan!#REF!,"AAAAAH1Xf2g=")</f>
        <v>#REF!</v>
      </c>
      <c r="DB12" t="e">
        <f>AND(NhatkyBan!#REF!,"AAAAAH1Xf2k=")</f>
        <v>#REF!</v>
      </c>
      <c r="DC12" t="e">
        <f>AND(NhatkyBan!#REF!,"AAAAAH1Xf2o=")</f>
        <v>#REF!</v>
      </c>
      <c r="DD12" t="e">
        <f>AND(NhatkyBan!#REF!,"AAAAAH1Xf2s=")</f>
        <v>#REF!</v>
      </c>
      <c r="DE12" t="e">
        <f>AND(NhatkyBan!#REF!,"AAAAAH1Xf2w=")</f>
        <v>#REF!</v>
      </c>
      <c r="DF12" t="e">
        <f>AND(NhatkyBan!#REF!,"AAAAAH1Xf20=")</f>
        <v>#REF!</v>
      </c>
      <c r="DG12" t="e">
        <f>AND(NhatkyBan!#REF!,"AAAAAH1Xf24=")</f>
        <v>#REF!</v>
      </c>
      <c r="DH12" t="e">
        <f>AND(NhatkyBan!#REF!,"AAAAAH1Xf28=")</f>
        <v>#REF!</v>
      </c>
      <c r="DI12" t="e">
        <f>AND(NhatkyBan!#REF!,"AAAAAH1Xf3A=")</f>
        <v>#REF!</v>
      </c>
      <c r="DJ12" t="e">
        <f>AND(NhatkyBan!#REF!,"AAAAAH1Xf3E=")</f>
        <v>#REF!</v>
      </c>
      <c r="DK12" t="e">
        <f>AND(NhatkyBan!#REF!,"AAAAAH1Xf3I=")</f>
        <v>#REF!</v>
      </c>
      <c r="DL12" t="e">
        <f>AND(NhatkyBan!#REF!,"AAAAAH1Xf3M=")</f>
        <v>#REF!</v>
      </c>
      <c r="DM12" t="e">
        <f>AND(NhatkyBan!#REF!,"AAAAAH1Xf3Q=")</f>
        <v>#REF!</v>
      </c>
      <c r="DN12" t="e">
        <f>IF(NhatkyBan!#REF!,"AAAAAH1Xf3U=",0)</f>
        <v>#REF!</v>
      </c>
      <c r="DO12" t="e">
        <f>AND(NhatkyBan!#REF!,"AAAAAH1Xf3Y=")</f>
        <v>#REF!</v>
      </c>
      <c r="DP12" t="e">
        <f>AND(NhatkyBan!#REF!,"AAAAAH1Xf3c=")</f>
        <v>#REF!</v>
      </c>
      <c r="DQ12" t="e">
        <f>AND(NhatkyBan!#REF!,"AAAAAH1Xf3g=")</f>
        <v>#REF!</v>
      </c>
      <c r="DR12" t="e">
        <f>AND(NhatkyBan!#REF!,"AAAAAH1Xf3k=")</f>
        <v>#REF!</v>
      </c>
      <c r="DS12" t="e">
        <f>AND(NhatkyBan!#REF!,"AAAAAH1Xf3o=")</f>
        <v>#REF!</v>
      </c>
      <c r="DT12" t="e">
        <f>AND(NhatkyBan!#REF!,"AAAAAH1Xf3s=")</f>
        <v>#REF!</v>
      </c>
      <c r="DU12" t="e">
        <f>AND(NhatkyBan!#REF!,"AAAAAH1Xf3w=")</f>
        <v>#REF!</v>
      </c>
      <c r="DV12" t="e">
        <f>AND(NhatkyBan!#REF!,"AAAAAH1Xf30=")</f>
        <v>#REF!</v>
      </c>
      <c r="DW12" t="e">
        <f>AND(NhatkyBan!#REF!,"AAAAAH1Xf34=")</f>
        <v>#REF!</v>
      </c>
      <c r="DX12" t="e">
        <f>AND(NhatkyBan!#REF!,"AAAAAH1Xf38=")</f>
        <v>#REF!</v>
      </c>
      <c r="DY12" t="e">
        <f>AND(NhatkyBan!#REF!,"AAAAAH1Xf4A=")</f>
        <v>#REF!</v>
      </c>
      <c r="DZ12" t="e">
        <f>AND(NhatkyBan!#REF!,"AAAAAH1Xf4E=")</f>
        <v>#REF!</v>
      </c>
      <c r="EA12" t="e">
        <f>AND(NhatkyBan!#REF!,"AAAAAH1Xf4I=")</f>
        <v>#REF!</v>
      </c>
      <c r="EB12" t="e">
        <f>AND(NhatkyBan!#REF!,"AAAAAH1Xf4M=")</f>
        <v>#REF!</v>
      </c>
      <c r="EC12" t="e">
        <f>AND(NhatkyBan!#REF!,"AAAAAH1Xf4Q=")</f>
        <v>#REF!</v>
      </c>
      <c r="ED12" t="e">
        <f>AND(NhatkyBan!#REF!,"AAAAAH1Xf4U=")</f>
        <v>#REF!</v>
      </c>
      <c r="EE12" t="e">
        <f>AND(NhatkyBan!#REF!,"AAAAAH1Xf4Y=")</f>
        <v>#REF!</v>
      </c>
      <c r="EF12" t="e">
        <f>AND(NhatkyBan!#REF!,"AAAAAH1Xf4c=")</f>
        <v>#REF!</v>
      </c>
      <c r="EG12" t="e">
        <f>AND(NhatkyBan!#REF!,"AAAAAH1Xf4g=")</f>
        <v>#REF!</v>
      </c>
      <c r="EH12" t="e">
        <f>AND(NhatkyBan!#REF!,"AAAAAH1Xf4k=")</f>
        <v>#REF!</v>
      </c>
      <c r="EI12" t="e">
        <f>AND(NhatkyBan!#REF!,"AAAAAH1Xf4o=")</f>
        <v>#REF!</v>
      </c>
      <c r="EJ12" t="e">
        <f>AND(NhatkyBan!#REF!,"AAAAAH1Xf4s=")</f>
        <v>#REF!</v>
      </c>
      <c r="EK12" t="e">
        <f>AND(NhatkyBan!#REF!,"AAAAAH1Xf4w=")</f>
        <v>#REF!</v>
      </c>
      <c r="EL12" t="e">
        <f>AND(NhatkyBan!#REF!,"AAAAAH1Xf40=")</f>
        <v>#REF!</v>
      </c>
      <c r="EM12" t="e">
        <f>AND(NhatkyBan!#REF!,"AAAAAH1Xf44=")</f>
        <v>#REF!</v>
      </c>
      <c r="EN12" t="e">
        <f>AND(NhatkyBan!#REF!,"AAAAAH1Xf48=")</f>
        <v>#REF!</v>
      </c>
      <c r="EO12" t="e">
        <f>AND(NhatkyBan!#REF!,"AAAAAH1Xf5A=")</f>
        <v>#REF!</v>
      </c>
      <c r="EP12" t="e">
        <f>AND(NhatkyBan!#REF!,"AAAAAH1Xf5E=")</f>
        <v>#REF!</v>
      </c>
      <c r="EQ12" t="e">
        <f>AND(NhatkyBan!#REF!,"AAAAAH1Xf5I=")</f>
        <v>#REF!</v>
      </c>
      <c r="ER12" t="e">
        <f>AND(NhatkyBan!#REF!,"AAAAAH1Xf5M=")</f>
        <v>#REF!</v>
      </c>
      <c r="ES12" t="e">
        <f>AND(NhatkyBan!#REF!,"AAAAAH1Xf5Q=")</f>
        <v>#REF!</v>
      </c>
      <c r="ET12" t="e">
        <f>AND(NhatkyBan!#REF!,"AAAAAH1Xf5U=")</f>
        <v>#REF!</v>
      </c>
      <c r="EU12" t="e">
        <f>AND(NhatkyBan!#REF!,"AAAAAH1Xf5Y=")</f>
        <v>#REF!</v>
      </c>
      <c r="EV12" t="e">
        <f>AND(NhatkyBan!#REF!,"AAAAAH1Xf5c=")</f>
        <v>#REF!</v>
      </c>
      <c r="EW12" t="e">
        <f>IF(NhatkyBan!#REF!,"AAAAAH1Xf5g=",0)</f>
        <v>#REF!</v>
      </c>
      <c r="EX12" t="e">
        <f>AND(NhatkyBan!#REF!,"AAAAAH1Xf5k=")</f>
        <v>#REF!</v>
      </c>
      <c r="EY12" t="e">
        <f>AND(NhatkyBan!#REF!,"AAAAAH1Xf5o=")</f>
        <v>#REF!</v>
      </c>
      <c r="EZ12" t="e">
        <f>AND(NhatkyBan!#REF!,"AAAAAH1Xf5s=")</f>
        <v>#REF!</v>
      </c>
      <c r="FA12" t="e">
        <f>AND(NhatkyBan!#REF!,"AAAAAH1Xf5w=")</f>
        <v>#REF!</v>
      </c>
      <c r="FB12" t="e">
        <f>AND(NhatkyBan!#REF!,"AAAAAH1Xf50=")</f>
        <v>#REF!</v>
      </c>
      <c r="FC12" t="e">
        <f>AND(NhatkyBan!#REF!,"AAAAAH1Xf54=")</f>
        <v>#REF!</v>
      </c>
      <c r="FD12" t="e">
        <f>AND(NhatkyBan!#REF!,"AAAAAH1Xf58=")</f>
        <v>#REF!</v>
      </c>
      <c r="FE12" t="e">
        <f>AND(NhatkyBan!#REF!,"AAAAAH1Xf6A=")</f>
        <v>#REF!</v>
      </c>
      <c r="FF12" t="e">
        <f>AND(NhatkyBan!#REF!,"AAAAAH1Xf6E=")</f>
        <v>#REF!</v>
      </c>
      <c r="FG12" t="e">
        <f>AND(NhatkyBan!#REF!,"AAAAAH1Xf6I=")</f>
        <v>#REF!</v>
      </c>
      <c r="FH12" t="e">
        <f>AND(NhatkyBan!#REF!,"AAAAAH1Xf6M=")</f>
        <v>#REF!</v>
      </c>
      <c r="FI12" t="e">
        <f>AND(NhatkyBan!#REF!,"AAAAAH1Xf6Q=")</f>
        <v>#REF!</v>
      </c>
      <c r="FJ12" t="e">
        <f>AND(NhatkyBan!#REF!,"AAAAAH1Xf6U=")</f>
        <v>#REF!</v>
      </c>
      <c r="FK12" t="e">
        <f>AND(NhatkyBan!#REF!,"AAAAAH1Xf6Y=")</f>
        <v>#REF!</v>
      </c>
      <c r="FL12" t="e">
        <f>AND(NhatkyBan!#REF!,"AAAAAH1Xf6c=")</f>
        <v>#REF!</v>
      </c>
      <c r="FM12" t="e">
        <f>AND(NhatkyBan!#REF!,"AAAAAH1Xf6g=")</f>
        <v>#REF!</v>
      </c>
      <c r="FN12" t="e">
        <f>AND(NhatkyBan!#REF!,"AAAAAH1Xf6k=")</f>
        <v>#REF!</v>
      </c>
      <c r="FO12" t="e">
        <f>AND(NhatkyBan!#REF!,"AAAAAH1Xf6o=")</f>
        <v>#REF!</v>
      </c>
      <c r="FP12" t="e">
        <f>AND(NhatkyBan!#REF!,"AAAAAH1Xf6s=")</f>
        <v>#REF!</v>
      </c>
      <c r="FQ12" t="e">
        <f>AND(NhatkyBan!#REF!,"AAAAAH1Xf6w=")</f>
        <v>#REF!</v>
      </c>
      <c r="FR12" t="e">
        <f>AND(NhatkyBan!#REF!,"AAAAAH1Xf60=")</f>
        <v>#REF!</v>
      </c>
      <c r="FS12" t="e">
        <f>AND(NhatkyBan!#REF!,"AAAAAH1Xf64=")</f>
        <v>#REF!</v>
      </c>
      <c r="FT12" t="e">
        <f>AND(NhatkyBan!#REF!,"AAAAAH1Xf68=")</f>
        <v>#REF!</v>
      </c>
      <c r="FU12" t="e">
        <f>AND(NhatkyBan!#REF!,"AAAAAH1Xf7A=")</f>
        <v>#REF!</v>
      </c>
      <c r="FV12" t="e">
        <f>AND(NhatkyBan!#REF!,"AAAAAH1Xf7E=")</f>
        <v>#REF!</v>
      </c>
      <c r="FW12" t="e">
        <f>AND(NhatkyBan!#REF!,"AAAAAH1Xf7I=")</f>
        <v>#REF!</v>
      </c>
      <c r="FX12" t="e">
        <f>AND(NhatkyBan!#REF!,"AAAAAH1Xf7M=")</f>
        <v>#REF!</v>
      </c>
      <c r="FY12" t="e">
        <f>AND(NhatkyBan!#REF!,"AAAAAH1Xf7Q=")</f>
        <v>#REF!</v>
      </c>
      <c r="FZ12" t="e">
        <f>AND(NhatkyBan!#REF!,"AAAAAH1Xf7U=")</f>
        <v>#REF!</v>
      </c>
      <c r="GA12" t="e">
        <f>AND(NhatkyBan!#REF!,"AAAAAH1Xf7Y=")</f>
        <v>#REF!</v>
      </c>
      <c r="GB12" t="e">
        <f>AND(NhatkyBan!#REF!,"AAAAAH1Xf7c=")</f>
        <v>#REF!</v>
      </c>
      <c r="GC12" t="e">
        <f>AND(NhatkyBan!#REF!,"AAAAAH1Xf7g=")</f>
        <v>#REF!</v>
      </c>
      <c r="GD12" t="e">
        <f>AND(NhatkyBan!#REF!,"AAAAAH1Xf7k=")</f>
        <v>#REF!</v>
      </c>
      <c r="GE12" t="e">
        <f>AND(NhatkyBan!#REF!,"AAAAAH1Xf7o=")</f>
        <v>#REF!</v>
      </c>
      <c r="GF12" t="e">
        <f>IF(NhatkyBan!#REF!,"AAAAAH1Xf7s=",0)</f>
        <v>#REF!</v>
      </c>
      <c r="GG12" t="e">
        <f>AND(NhatkyBan!#REF!,"AAAAAH1Xf7w=")</f>
        <v>#REF!</v>
      </c>
      <c r="GH12" t="e">
        <f>AND(NhatkyBan!#REF!,"AAAAAH1Xf70=")</f>
        <v>#REF!</v>
      </c>
      <c r="GI12" t="e">
        <f>AND(NhatkyBan!#REF!,"AAAAAH1Xf74=")</f>
        <v>#REF!</v>
      </c>
      <c r="GJ12" t="e">
        <f>AND(NhatkyBan!#REF!,"AAAAAH1Xf78=")</f>
        <v>#REF!</v>
      </c>
      <c r="GK12" t="e">
        <f>AND(NhatkyBan!#REF!,"AAAAAH1Xf8A=")</f>
        <v>#REF!</v>
      </c>
      <c r="GL12" t="e">
        <f>AND(NhatkyBan!#REF!,"AAAAAH1Xf8E=")</f>
        <v>#REF!</v>
      </c>
      <c r="GM12" t="e">
        <f>AND(NhatkyBan!#REF!,"AAAAAH1Xf8I=")</f>
        <v>#REF!</v>
      </c>
      <c r="GN12" t="e">
        <f>AND(NhatkyBan!#REF!,"AAAAAH1Xf8M=")</f>
        <v>#REF!</v>
      </c>
      <c r="GO12" t="e">
        <f>AND(NhatkyBan!#REF!,"AAAAAH1Xf8Q=")</f>
        <v>#REF!</v>
      </c>
      <c r="GP12" t="e">
        <f>AND(NhatkyBan!#REF!,"AAAAAH1Xf8U=")</f>
        <v>#REF!</v>
      </c>
      <c r="GQ12" t="e">
        <f>AND(NhatkyBan!#REF!,"AAAAAH1Xf8Y=")</f>
        <v>#REF!</v>
      </c>
      <c r="GR12" t="e">
        <f>AND(NhatkyBan!#REF!,"AAAAAH1Xf8c=")</f>
        <v>#REF!</v>
      </c>
      <c r="GS12" t="e">
        <f>AND(NhatkyBan!#REF!,"AAAAAH1Xf8g=")</f>
        <v>#REF!</v>
      </c>
      <c r="GT12" t="e">
        <f>AND(NhatkyBan!#REF!,"AAAAAH1Xf8k=")</f>
        <v>#REF!</v>
      </c>
      <c r="GU12" t="e">
        <f>AND(NhatkyBan!#REF!,"AAAAAH1Xf8o=")</f>
        <v>#REF!</v>
      </c>
      <c r="GV12" t="e">
        <f>AND(NhatkyBan!#REF!,"AAAAAH1Xf8s=")</f>
        <v>#REF!</v>
      </c>
      <c r="GW12" t="e">
        <f>AND(NhatkyBan!#REF!,"AAAAAH1Xf8w=")</f>
        <v>#REF!</v>
      </c>
      <c r="GX12" t="e">
        <f>AND(NhatkyBan!#REF!,"AAAAAH1Xf80=")</f>
        <v>#REF!</v>
      </c>
      <c r="GY12" t="e">
        <f>AND(NhatkyBan!#REF!,"AAAAAH1Xf84=")</f>
        <v>#REF!</v>
      </c>
      <c r="GZ12" t="e">
        <f>AND(NhatkyBan!#REF!,"AAAAAH1Xf88=")</f>
        <v>#REF!</v>
      </c>
      <c r="HA12" t="e">
        <f>AND(NhatkyBan!#REF!,"AAAAAH1Xf9A=")</f>
        <v>#REF!</v>
      </c>
      <c r="HB12" t="e">
        <f>AND(NhatkyBan!#REF!,"AAAAAH1Xf9E=")</f>
        <v>#REF!</v>
      </c>
      <c r="HC12" t="e">
        <f>AND(NhatkyBan!#REF!,"AAAAAH1Xf9I=")</f>
        <v>#REF!</v>
      </c>
      <c r="HD12" t="e">
        <f>AND(NhatkyBan!#REF!,"AAAAAH1Xf9M=")</f>
        <v>#REF!</v>
      </c>
      <c r="HE12" t="e">
        <f>AND(NhatkyBan!#REF!,"AAAAAH1Xf9Q=")</f>
        <v>#REF!</v>
      </c>
      <c r="HF12" t="e">
        <f>AND(NhatkyBan!#REF!,"AAAAAH1Xf9U=")</f>
        <v>#REF!</v>
      </c>
      <c r="HG12" t="e">
        <f>AND(NhatkyBan!#REF!,"AAAAAH1Xf9Y=")</f>
        <v>#REF!</v>
      </c>
      <c r="HH12" t="e">
        <f>AND(NhatkyBan!#REF!,"AAAAAH1Xf9c=")</f>
        <v>#REF!</v>
      </c>
      <c r="HI12" t="e">
        <f>AND(NhatkyBan!#REF!,"AAAAAH1Xf9g=")</f>
        <v>#REF!</v>
      </c>
      <c r="HJ12" t="e">
        <f>AND(NhatkyBan!#REF!,"AAAAAH1Xf9k=")</f>
        <v>#REF!</v>
      </c>
      <c r="HK12" t="e">
        <f>AND(NhatkyBan!#REF!,"AAAAAH1Xf9o=")</f>
        <v>#REF!</v>
      </c>
      <c r="HL12" t="e">
        <f>AND(NhatkyBan!#REF!,"AAAAAH1Xf9s=")</f>
        <v>#REF!</v>
      </c>
      <c r="HM12" t="e">
        <f>AND(NhatkyBan!#REF!,"AAAAAH1Xf9w=")</f>
        <v>#REF!</v>
      </c>
      <c r="HN12" t="e">
        <f>AND(NhatkyBan!#REF!,"AAAAAH1Xf90=")</f>
        <v>#REF!</v>
      </c>
      <c r="HO12" t="e">
        <f>IF(NhatkyBan!#REF!,"AAAAAH1Xf94=",0)</f>
        <v>#REF!</v>
      </c>
      <c r="HP12" t="e">
        <f>AND(NhatkyBan!#REF!,"AAAAAH1Xf98=")</f>
        <v>#REF!</v>
      </c>
      <c r="HQ12" t="e">
        <f>AND(NhatkyBan!#REF!,"AAAAAH1Xf+A=")</f>
        <v>#REF!</v>
      </c>
      <c r="HR12" t="e">
        <f>AND(NhatkyBan!#REF!,"AAAAAH1Xf+E=")</f>
        <v>#REF!</v>
      </c>
      <c r="HS12" t="e">
        <f>AND(NhatkyBan!#REF!,"AAAAAH1Xf+I=")</f>
        <v>#REF!</v>
      </c>
      <c r="HT12" t="e">
        <f>AND(NhatkyBan!#REF!,"AAAAAH1Xf+M=")</f>
        <v>#REF!</v>
      </c>
      <c r="HU12" t="e">
        <f>AND(NhatkyBan!#REF!,"AAAAAH1Xf+Q=")</f>
        <v>#REF!</v>
      </c>
      <c r="HV12" t="e">
        <f>AND(NhatkyBan!#REF!,"AAAAAH1Xf+U=")</f>
        <v>#REF!</v>
      </c>
      <c r="HW12" t="e">
        <f>AND(NhatkyBan!#REF!,"AAAAAH1Xf+Y=")</f>
        <v>#REF!</v>
      </c>
      <c r="HX12" t="e">
        <f>AND(NhatkyBan!#REF!,"AAAAAH1Xf+c=")</f>
        <v>#REF!</v>
      </c>
      <c r="HY12" t="e">
        <f>AND(NhatkyBan!#REF!,"AAAAAH1Xf+g=")</f>
        <v>#REF!</v>
      </c>
      <c r="HZ12" t="e">
        <f>AND(NhatkyBan!#REF!,"AAAAAH1Xf+k=")</f>
        <v>#REF!</v>
      </c>
      <c r="IA12" t="e">
        <f>AND(NhatkyBan!#REF!,"AAAAAH1Xf+o=")</f>
        <v>#REF!</v>
      </c>
      <c r="IB12" t="e">
        <f>AND(NhatkyBan!#REF!,"AAAAAH1Xf+s=")</f>
        <v>#REF!</v>
      </c>
      <c r="IC12" t="e">
        <f>AND(NhatkyBan!#REF!,"AAAAAH1Xf+w=")</f>
        <v>#REF!</v>
      </c>
      <c r="ID12" t="e">
        <f>AND(NhatkyBan!#REF!,"AAAAAH1Xf+0=")</f>
        <v>#REF!</v>
      </c>
      <c r="IE12" t="e">
        <f>AND(NhatkyBan!#REF!,"AAAAAH1Xf+4=")</f>
        <v>#REF!</v>
      </c>
      <c r="IF12" t="e">
        <f>AND(NhatkyBan!#REF!,"AAAAAH1Xf+8=")</f>
        <v>#REF!</v>
      </c>
      <c r="IG12" t="e">
        <f>AND(NhatkyBan!#REF!,"AAAAAH1Xf/A=")</f>
        <v>#REF!</v>
      </c>
      <c r="IH12" t="e">
        <f>AND(NhatkyBan!#REF!,"AAAAAH1Xf/E=")</f>
        <v>#REF!</v>
      </c>
      <c r="II12" t="e">
        <f>AND(NhatkyBan!#REF!,"AAAAAH1Xf/I=")</f>
        <v>#REF!</v>
      </c>
      <c r="IJ12" t="e">
        <f>AND(NhatkyBan!#REF!,"AAAAAH1Xf/M=")</f>
        <v>#REF!</v>
      </c>
      <c r="IK12" t="e">
        <f>AND(NhatkyBan!#REF!,"AAAAAH1Xf/Q=")</f>
        <v>#REF!</v>
      </c>
      <c r="IL12" t="e">
        <f>AND(NhatkyBan!#REF!,"AAAAAH1Xf/U=")</f>
        <v>#REF!</v>
      </c>
      <c r="IM12" t="e">
        <f>AND(NhatkyBan!#REF!,"AAAAAH1Xf/Y=")</f>
        <v>#REF!</v>
      </c>
      <c r="IN12" t="e">
        <f>AND(NhatkyBan!#REF!,"AAAAAH1Xf/c=")</f>
        <v>#REF!</v>
      </c>
      <c r="IO12" t="e">
        <f>AND(NhatkyBan!#REF!,"AAAAAH1Xf/g=")</f>
        <v>#REF!</v>
      </c>
      <c r="IP12" t="e">
        <f>AND(NhatkyBan!#REF!,"AAAAAH1Xf/k=")</f>
        <v>#REF!</v>
      </c>
      <c r="IQ12" t="e">
        <f>AND(NhatkyBan!#REF!,"AAAAAH1Xf/o=")</f>
        <v>#REF!</v>
      </c>
      <c r="IR12" t="e">
        <f>AND(NhatkyBan!#REF!,"AAAAAH1Xf/s=")</f>
        <v>#REF!</v>
      </c>
      <c r="IS12" t="e">
        <f>AND(NhatkyBan!#REF!,"AAAAAH1Xf/w=")</f>
        <v>#REF!</v>
      </c>
      <c r="IT12" t="e">
        <f>AND(NhatkyBan!#REF!,"AAAAAH1Xf/0=")</f>
        <v>#REF!</v>
      </c>
      <c r="IU12" t="e">
        <f>AND(NhatkyBan!#REF!,"AAAAAH1Xf/4=")</f>
        <v>#REF!</v>
      </c>
      <c r="IV12" t="e">
        <f>AND(NhatkyBan!#REF!,"AAAAAH1Xf/8=")</f>
        <v>#REF!</v>
      </c>
    </row>
    <row r="13" spans="1:256">
      <c r="A13" t="e">
        <f>AND(NhatkyBan!#REF!,"AAAAAF6vPgA=")</f>
        <v>#REF!</v>
      </c>
      <c r="B13" t="e">
        <f>IF(NhatkyBan!#REF!,"AAAAAF6vPgE=",0)</f>
        <v>#REF!</v>
      </c>
      <c r="C13" t="e">
        <f>AND(NhatkyBan!#REF!,"AAAAAF6vPgI=")</f>
        <v>#REF!</v>
      </c>
      <c r="D13" t="e">
        <f>AND(NhatkyBan!#REF!,"AAAAAF6vPgM=")</f>
        <v>#REF!</v>
      </c>
      <c r="E13" t="e">
        <f>AND(NhatkyBan!#REF!,"AAAAAF6vPgQ=")</f>
        <v>#REF!</v>
      </c>
      <c r="F13" t="e">
        <f>AND(NhatkyBan!#REF!,"AAAAAF6vPgU=")</f>
        <v>#REF!</v>
      </c>
      <c r="G13" t="e">
        <f>AND(NhatkyBan!#REF!,"AAAAAF6vPgY=")</f>
        <v>#REF!</v>
      </c>
      <c r="H13" t="e">
        <f>AND(NhatkyBan!#REF!,"AAAAAF6vPgc=")</f>
        <v>#REF!</v>
      </c>
      <c r="I13" t="e">
        <f>AND(NhatkyBan!#REF!,"AAAAAF6vPgg=")</f>
        <v>#REF!</v>
      </c>
      <c r="J13" t="e">
        <f>AND(NhatkyBan!#REF!,"AAAAAF6vPgk=")</f>
        <v>#REF!</v>
      </c>
      <c r="K13" t="e">
        <f>AND(NhatkyBan!#REF!,"AAAAAF6vPgo=")</f>
        <v>#REF!</v>
      </c>
      <c r="L13" t="e">
        <f>AND(NhatkyBan!#REF!,"AAAAAF6vPgs=")</f>
        <v>#REF!</v>
      </c>
      <c r="M13" t="e">
        <f>AND(NhatkyBan!#REF!,"AAAAAF6vPgw=")</f>
        <v>#REF!</v>
      </c>
      <c r="N13" t="e">
        <f>AND(NhatkyBan!#REF!,"AAAAAF6vPg0=")</f>
        <v>#REF!</v>
      </c>
      <c r="O13" t="e">
        <f>AND(NhatkyBan!#REF!,"AAAAAF6vPg4=")</f>
        <v>#REF!</v>
      </c>
      <c r="P13" t="e">
        <f>AND(NhatkyBan!#REF!,"AAAAAF6vPg8=")</f>
        <v>#REF!</v>
      </c>
      <c r="Q13" t="e">
        <f>AND(NhatkyBan!#REF!,"AAAAAF6vPhA=")</f>
        <v>#REF!</v>
      </c>
      <c r="R13" t="e">
        <f>AND(NhatkyBan!#REF!,"AAAAAF6vPhE=")</f>
        <v>#REF!</v>
      </c>
      <c r="S13" t="e">
        <f>AND(NhatkyBan!#REF!,"AAAAAF6vPhI=")</f>
        <v>#REF!</v>
      </c>
      <c r="T13" t="e">
        <f>AND(NhatkyBan!#REF!,"AAAAAF6vPhM=")</f>
        <v>#REF!</v>
      </c>
      <c r="U13" t="e">
        <f>AND(NhatkyBan!#REF!,"AAAAAF6vPhQ=")</f>
        <v>#REF!</v>
      </c>
      <c r="V13" t="e">
        <f>AND(NhatkyBan!#REF!,"AAAAAF6vPhU=")</f>
        <v>#REF!</v>
      </c>
      <c r="W13" t="e">
        <f>AND(NhatkyBan!#REF!,"AAAAAF6vPhY=")</f>
        <v>#REF!</v>
      </c>
      <c r="X13" t="e">
        <f>AND(NhatkyBan!#REF!,"AAAAAF6vPhc=")</f>
        <v>#REF!</v>
      </c>
      <c r="Y13" t="e">
        <f>AND(NhatkyBan!#REF!,"AAAAAF6vPhg=")</f>
        <v>#REF!</v>
      </c>
      <c r="Z13" t="e">
        <f>AND(NhatkyBan!#REF!,"AAAAAF6vPhk=")</f>
        <v>#REF!</v>
      </c>
      <c r="AA13" t="e">
        <f>AND(NhatkyBan!#REF!,"AAAAAF6vPho=")</f>
        <v>#REF!</v>
      </c>
      <c r="AB13" t="e">
        <f>AND(NhatkyBan!#REF!,"AAAAAF6vPhs=")</f>
        <v>#REF!</v>
      </c>
      <c r="AC13" t="e">
        <f>AND(NhatkyBan!#REF!,"AAAAAF6vPhw=")</f>
        <v>#REF!</v>
      </c>
      <c r="AD13" t="e">
        <f>AND(NhatkyBan!#REF!,"AAAAAF6vPh0=")</f>
        <v>#REF!</v>
      </c>
      <c r="AE13" t="e">
        <f>AND(NhatkyBan!#REF!,"AAAAAF6vPh4=")</f>
        <v>#REF!</v>
      </c>
      <c r="AF13" t="e">
        <f>AND(NhatkyBan!#REF!,"AAAAAF6vPh8=")</f>
        <v>#REF!</v>
      </c>
      <c r="AG13" t="e">
        <f>AND(NhatkyBan!#REF!,"AAAAAF6vPiA=")</f>
        <v>#REF!</v>
      </c>
      <c r="AH13" t="e">
        <f>AND(NhatkyBan!#REF!,"AAAAAF6vPiE=")</f>
        <v>#REF!</v>
      </c>
      <c r="AI13" t="e">
        <f>AND(NhatkyBan!#REF!,"AAAAAF6vPiI=")</f>
        <v>#REF!</v>
      </c>
      <c r="AJ13" t="e">
        <f>AND(NhatkyBan!#REF!,"AAAAAF6vPiM=")</f>
        <v>#REF!</v>
      </c>
      <c r="AK13" t="e">
        <f>IF(NhatkyBan!#REF!,"AAAAAF6vPiQ=",0)</f>
        <v>#REF!</v>
      </c>
      <c r="AL13" t="e">
        <f>AND(NhatkyBan!#REF!,"AAAAAF6vPiU=")</f>
        <v>#REF!</v>
      </c>
      <c r="AM13" t="e">
        <f>AND(NhatkyBan!#REF!,"AAAAAF6vPiY=")</f>
        <v>#REF!</v>
      </c>
      <c r="AN13" t="e">
        <f>AND(NhatkyBan!#REF!,"AAAAAF6vPic=")</f>
        <v>#REF!</v>
      </c>
      <c r="AO13" t="e">
        <f>AND(NhatkyBan!#REF!,"AAAAAF6vPig=")</f>
        <v>#REF!</v>
      </c>
      <c r="AP13" t="e">
        <f>AND(NhatkyBan!#REF!,"AAAAAF6vPik=")</f>
        <v>#REF!</v>
      </c>
      <c r="AQ13" t="e">
        <f>AND(NhatkyBan!#REF!,"AAAAAF6vPio=")</f>
        <v>#REF!</v>
      </c>
      <c r="AR13" t="e">
        <f>AND(NhatkyBan!#REF!,"AAAAAF6vPis=")</f>
        <v>#REF!</v>
      </c>
      <c r="AS13" t="e">
        <f>AND(NhatkyBan!#REF!,"AAAAAF6vPiw=")</f>
        <v>#REF!</v>
      </c>
      <c r="AT13" t="e">
        <f>AND(NhatkyBan!#REF!,"AAAAAF6vPi0=")</f>
        <v>#REF!</v>
      </c>
      <c r="AU13" t="e">
        <f>AND(NhatkyBan!#REF!,"AAAAAF6vPi4=")</f>
        <v>#REF!</v>
      </c>
      <c r="AV13" t="e">
        <f>AND(NhatkyBan!#REF!,"AAAAAF6vPi8=")</f>
        <v>#REF!</v>
      </c>
      <c r="AW13" t="e">
        <f>AND(NhatkyBan!#REF!,"AAAAAF6vPjA=")</f>
        <v>#REF!</v>
      </c>
      <c r="AX13" t="e">
        <f>AND(NhatkyBan!#REF!,"AAAAAF6vPjE=")</f>
        <v>#REF!</v>
      </c>
      <c r="AY13" t="e">
        <f>AND(NhatkyBan!#REF!,"AAAAAF6vPjI=")</f>
        <v>#REF!</v>
      </c>
      <c r="AZ13" t="e">
        <f>AND(NhatkyBan!#REF!,"AAAAAF6vPjM=")</f>
        <v>#REF!</v>
      </c>
      <c r="BA13" t="e">
        <f>AND(NhatkyBan!#REF!,"AAAAAF6vPjQ=")</f>
        <v>#REF!</v>
      </c>
      <c r="BB13" t="e">
        <f>AND(NhatkyBan!#REF!,"AAAAAF6vPjU=")</f>
        <v>#REF!</v>
      </c>
      <c r="BC13" t="e">
        <f>AND(NhatkyBan!#REF!,"AAAAAF6vPjY=")</f>
        <v>#REF!</v>
      </c>
      <c r="BD13" t="e">
        <f>AND(NhatkyBan!#REF!,"AAAAAF6vPjc=")</f>
        <v>#REF!</v>
      </c>
      <c r="BE13" t="e">
        <f>AND(NhatkyBan!#REF!,"AAAAAF6vPjg=")</f>
        <v>#REF!</v>
      </c>
      <c r="BF13" t="e">
        <f>AND(NhatkyBan!#REF!,"AAAAAF6vPjk=")</f>
        <v>#REF!</v>
      </c>
      <c r="BG13" t="e">
        <f>AND(NhatkyBan!#REF!,"AAAAAF6vPjo=")</f>
        <v>#REF!</v>
      </c>
      <c r="BH13" t="e">
        <f>AND(NhatkyBan!#REF!,"AAAAAF6vPjs=")</f>
        <v>#REF!</v>
      </c>
      <c r="BI13" t="e">
        <f>AND(NhatkyBan!#REF!,"AAAAAF6vPjw=")</f>
        <v>#REF!</v>
      </c>
      <c r="BJ13" t="e">
        <f>AND(NhatkyBan!#REF!,"AAAAAF6vPj0=")</f>
        <v>#REF!</v>
      </c>
      <c r="BK13" t="e">
        <f>AND(NhatkyBan!#REF!,"AAAAAF6vPj4=")</f>
        <v>#REF!</v>
      </c>
      <c r="BL13" t="e">
        <f>AND(NhatkyBan!#REF!,"AAAAAF6vPj8=")</f>
        <v>#REF!</v>
      </c>
      <c r="BM13" t="e">
        <f>AND(NhatkyBan!#REF!,"AAAAAF6vPkA=")</f>
        <v>#REF!</v>
      </c>
      <c r="BN13" t="e">
        <f>AND(NhatkyBan!#REF!,"AAAAAF6vPkE=")</f>
        <v>#REF!</v>
      </c>
      <c r="BO13" t="e">
        <f>AND(NhatkyBan!#REF!,"AAAAAF6vPkI=")</f>
        <v>#REF!</v>
      </c>
      <c r="BP13" t="e">
        <f>AND(NhatkyBan!#REF!,"AAAAAF6vPkM=")</f>
        <v>#REF!</v>
      </c>
      <c r="BQ13" t="e">
        <f>AND(NhatkyBan!#REF!,"AAAAAF6vPkQ=")</f>
        <v>#REF!</v>
      </c>
      <c r="BR13" t="e">
        <f>AND(NhatkyBan!#REF!,"AAAAAF6vPkU=")</f>
        <v>#REF!</v>
      </c>
      <c r="BS13" t="e">
        <f>AND(NhatkyBan!#REF!,"AAAAAF6vPkY=")</f>
        <v>#REF!</v>
      </c>
      <c r="BT13" t="e">
        <f>IF(NhatkyBan!#REF!,"AAAAAF6vPkc=",0)</f>
        <v>#REF!</v>
      </c>
      <c r="BU13" t="e">
        <f>AND(NhatkyBan!#REF!,"AAAAAF6vPkg=")</f>
        <v>#REF!</v>
      </c>
      <c r="BV13" t="e">
        <f>AND(NhatkyBan!#REF!,"AAAAAF6vPkk=")</f>
        <v>#REF!</v>
      </c>
      <c r="BW13" t="e">
        <f>AND(NhatkyBan!#REF!,"AAAAAF6vPko=")</f>
        <v>#REF!</v>
      </c>
      <c r="BX13" t="e">
        <f>AND(NhatkyBan!#REF!,"AAAAAF6vPks=")</f>
        <v>#REF!</v>
      </c>
      <c r="BY13" t="e">
        <f>AND(NhatkyBan!#REF!,"AAAAAF6vPkw=")</f>
        <v>#REF!</v>
      </c>
      <c r="BZ13" t="e">
        <f>AND(NhatkyBan!#REF!,"AAAAAF6vPk0=")</f>
        <v>#REF!</v>
      </c>
      <c r="CA13" t="e">
        <f>AND(NhatkyBan!#REF!,"AAAAAF6vPk4=")</f>
        <v>#REF!</v>
      </c>
      <c r="CB13" t="e">
        <f>AND(NhatkyBan!#REF!,"AAAAAF6vPk8=")</f>
        <v>#REF!</v>
      </c>
      <c r="CC13" t="e">
        <f>AND(NhatkyBan!#REF!,"AAAAAF6vPlA=")</f>
        <v>#REF!</v>
      </c>
      <c r="CD13" t="e">
        <f>AND(NhatkyBan!#REF!,"AAAAAF6vPlE=")</f>
        <v>#REF!</v>
      </c>
      <c r="CE13" t="e">
        <f>AND(NhatkyBan!#REF!,"AAAAAF6vPlI=")</f>
        <v>#REF!</v>
      </c>
      <c r="CF13" t="e">
        <f>AND(NhatkyBan!#REF!,"AAAAAF6vPlM=")</f>
        <v>#REF!</v>
      </c>
      <c r="CG13" t="e">
        <f>AND(NhatkyBan!#REF!,"AAAAAF6vPlQ=")</f>
        <v>#REF!</v>
      </c>
      <c r="CH13" t="e">
        <f>AND(NhatkyBan!#REF!,"AAAAAF6vPlU=")</f>
        <v>#REF!</v>
      </c>
      <c r="CI13" t="e">
        <f>AND(NhatkyBan!#REF!,"AAAAAF6vPlY=")</f>
        <v>#REF!</v>
      </c>
      <c r="CJ13" t="e">
        <f>AND(NhatkyBan!#REF!,"AAAAAF6vPlc=")</f>
        <v>#REF!</v>
      </c>
      <c r="CK13" t="e">
        <f>AND(NhatkyBan!#REF!,"AAAAAF6vPlg=")</f>
        <v>#REF!</v>
      </c>
      <c r="CL13" t="e">
        <f>AND(NhatkyBan!#REF!,"AAAAAF6vPlk=")</f>
        <v>#REF!</v>
      </c>
      <c r="CM13" t="e">
        <f>AND(NhatkyBan!#REF!,"AAAAAF6vPlo=")</f>
        <v>#REF!</v>
      </c>
      <c r="CN13" t="e">
        <f>AND(NhatkyBan!#REF!,"AAAAAF6vPls=")</f>
        <v>#REF!</v>
      </c>
      <c r="CO13" t="e">
        <f>AND(NhatkyBan!#REF!,"AAAAAF6vPlw=")</f>
        <v>#REF!</v>
      </c>
      <c r="CP13" t="e">
        <f>AND(NhatkyBan!#REF!,"AAAAAF6vPl0=")</f>
        <v>#REF!</v>
      </c>
      <c r="CQ13" t="e">
        <f>AND(NhatkyBan!#REF!,"AAAAAF6vPl4=")</f>
        <v>#REF!</v>
      </c>
      <c r="CR13" t="e">
        <f>AND(NhatkyBan!#REF!,"AAAAAF6vPl8=")</f>
        <v>#REF!</v>
      </c>
      <c r="CS13" t="e">
        <f>AND(NhatkyBan!#REF!,"AAAAAF6vPmA=")</f>
        <v>#REF!</v>
      </c>
      <c r="CT13" t="e">
        <f>AND(NhatkyBan!#REF!,"AAAAAF6vPmE=")</f>
        <v>#REF!</v>
      </c>
      <c r="CU13" t="e">
        <f>AND(NhatkyBan!#REF!,"AAAAAF6vPmI=")</f>
        <v>#REF!</v>
      </c>
      <c r="CV13" t="e">
        <f>AND(NhatkyBan!#REF!,"AAAAAF6vPmM=")</f>
        <v>#REF!</v>
      </c>
      <c r="CW13" t="e">
        <f>AND(NhatkyBan!#REF!,"AAAAAF6vPmQ=")</f>
        <v>#REF!</v>
      </c>
      <c r="CX13" t="e">
        <f>AND(NhatkyBan!#REF!,"AAAAAF6vPmU=")</f>
        <v>#REF!</v>
      </c>
      <c r="CY13" t="e">
        <f>AND(NhatkyBan!#REF!,"AAAAAF6vPmY=")</f>
        <v>#REF!</v>
      </c>
      <c r="CZ13" t="e">
        <f>AND(NhatkyBan!#REF!,"AAAAAF6vPmc=")</f>
        <v>#REF!</v>
      </c>
      <c r="DA13" t="e">
        <f>AND(NhatkyBan!#REF!,"AAAAAF6vPmg=")</f>
        <v>#REF!</v>
      </c>
      <c r="DB13" t="e">
        <f>AND(NhatkyBan!#REF!,"AAAAAF6vPmk=")</f>
        <v>#REF!</v>
      </c>
      <c r="DC13" t="e">
        <f>IF(NhatkyBan!#REF!,"AAAAAF6vPmo=",0)</f>
        <v>#REF!</v>
      </c>
      <c r="DD13" t="e">
        <f>AND(NhatkyBan!#REF!,"AAAAAF6vPms=")</f>
        <v>#REF!</v>
      </c>
      <c r="DE13" t="e">
        <f>AND(NhatkyBan!#REF!,"AAAAAF6vPmw=")</f>
        <v>#REF!</v>
      </c>
      <c r="DF13" t="e">
        <f>AND(NhatkyBan!#REF!,"AAAAAF6vPm0=")</f>
        <v>#REF!</v>
      </c>
      <c r="DG13" t="e">
        <f>AND(NhatkyBan!#REF!,"AAAAAF6vPm4=")</f>
        <v>#REF!</v>
      </c>
      <c r="DH13" t="e">
        <f>AND(NhatkyBan!#REF!,"AAAAAF6vPm8=")</f>
        <v>#REF!</v>
      </c>
      <c r="DI13" t="e">
        <f>AND(NhatkyBan!#REF!,"AAAAAF6vPnA=")</f>
        <v>#REF!</v>
      </c>
      <c r="DJ13" t="e">
        <f>AND(NhatkyBan!#REF!,"AAAAAF6vPnE=")</f>
        <v>#REF!</v>
      </c>
      <c r="DK13" t="e">
        <f>AND(NhatkyBan!#REF!,"AAAAAF6vPnI=")</f>
        <v>#REF!</v>
      </c>
      <c r="DL13" t="e">
        <f>AND(NhatkyBan!#REF!,"AAAAAF6vPnM=")</f>
        <v>#REF!</v>
      </c>
      <c r="DM13" t="e">
        <f>AND(NhatkyBan!#REF!,"AAAAAF6vPnQ=")</f>
        <v>#REF!</v>
      </c>
      <c r="DN13" t="e">
        <f>AND(NhatkyBan!#REF!,"AAAAAF6vPnU=")</f>
        <v>#REF!</v>
      </c>
      <c r="DO13" t="e">
        <f>AND(NhatkyBan!#REF!,"AAAAAF6vPnY=")</f>
        <v>#REF!</v>
      </c>
      <c r="DP13" t="e">
        <f>AND(NhatkyBan!#REF!,"AAAAAF6vPnc=")</f>
        <v>#REF!</v>
      </c>
      <c r="DQ13" t="e">
        <f>AND(NhatkyBan!#REF!,"AAAAAF6vPng=")</f>
        <v>#REF!</v>
      </c>
      <c r="DR13" t="e">
        <f>AND(NhatkyBan!#REF!,"AAAAAF6vPnk=")</f>
        <v>#REF!</v>
      </c>
      <c r="DS13" t="e">
        <f>AND(NhatkyBan!#REF!,"AAAAAF6vPno=")</f>
        <v>#REF!</v>
      </c>
      <c r="DT13" t="e">
        <f>AND(NhatkyBan!#REF!,"AAAAAF6vPns=")</f>
        <v>#REF!</v>
      </c>
      <c r="DU13" t="e">
        <f>AND(NhatkyBan!#REF!,"AAAAAF6vPnw=")</f>
        <v>#REF!</v>
      </c>
      <c r="DV13" t="e">
        <f>AND(NhatkyBan!#REF!,"AAAAAF6vPn0=")</f>
        <v>#REF!</v>
      </c>
      <c r="DW13" t="e">
        <f>AND(NhatkyBan!#REF!,"AAAAAF6vPn4=")</f>
        <v>#REF!</v>
      </c>
      <c r="DX13" t="e">
        <f>AND(NhatkyBan!#REF!,"AAAAAF6vPn8=")</f>
        <v>#REF!</v>
      </c>
      <c r="DY13" t="e">
        <f>AND(NhatkyBan!#REF!,"AAAAAF6vPoA=")</f>
        <v>#REF!</v>
      </c>
      <c r="DZ13" t="e">
        <f>AND(NhatkyBan!#REF!,"AAAAAF6vPoE=")</f>
        <v>#REF!</v>
      </c>
      <c r="EA13" t="e">
        <f>AND(NhatkyBan!#REF!,"AAAAAF6vPoI=")</f>
        <v>#REF!</v>
      </c>
      <c r="EB13" t="e">
        <f>AND(NhatkyBan!#REF!,"AAAAAF6vPoM=")</f>
        <v>#REF!</v>
      </c>
      <c r="EC13" t="e">
        <f>AND(NhatkyBan!#REF!,"AAAAAF6vPoQ=")</f>
        <v>#REF!</v>
      </c>
      <c r="ED13" t="e">
        <f>AND(NhatkyBan!#REF!,"AAAAAF6vPoU=")</f>
        <v>#REF!</v>
      </c>
      <c r="EE13" t="e">
        <f>AND(NhatkyBan!#REF!,"AAAAAF6vPoY=")</f>
        <v>#REF!</v>
      </c>
      <c r="EF13" t="e">
        <f>AND(NhatkyBan!#REF!,"AAAAAF6vPoc=")</f>
        <v>#REF!</v>
      </c>
      <c r="EG13" t="e">
        <f>AND(NhatkyBan!#REF!,"AAAAAF6vPog=")</f>
        <v>#REF!</v>
      </c>
      <c r="EH13" t="e">
        <f>AND(NhatkyBan!#REF!,"AAAAAF6vPok=")</f>
        <v>#REF!</v>
      </c>
      <c r="EI13" t="e">
        <f>AND(NhatkyBan!#REF!,"AAAAAF6vPoo=")</f>
        <v>#REF!</v>
      </c>
      <c r="EJ13" t="e">
        <f>AND(NhatkyBan!#REF!,"AAAAAF6vPos=")</f>
        <v>#REF!</v>
      </c>
      <c r="EK13" t="e">
        <f>AND(NhatkyBan!#REF!,"AAAAAF6vPow=")</f>
        <v>#REF!</v>
      </c>
      <c r="EL13" t="e">
        <f>IF(NhatkyBan!#REF!,"AAAAAF6vPo0=",0)</f>
        <v>#REF!</v>
      </c>
      <c r="EM13" t="e">
        <f>AND(NhatkyBan!#REF!,"AAAAAF6vPo4=")</f>
        <v>#REF!</v>
      </c>
      <c r="EN13" t="e">
        <f>AND(NhatkyBan!#REF!,"AAAAAF6vPo8=")</f>
        <v>#REF!</v>
      </c>
      <c r="EO13" t="e">
        <f>AND(NhatkyBan!#REF!,"AAAAAF6vPpA=")</f>
        <v>#REF!</v>
      </c>
      <c r="EP13" t="e">
        <f>AND(NhatkyBan!#REF!,"AAAAAF6vPpE=")</f>
        <v>#REF!</v>
      </c>
      <c r="EQ13" t="e">
        <f>AND(NhatkyBan!#REF!,"AAAAAF6vPpI=")</f>
        <v>#REF!</v>
      </c>
      <c r="ER13" t="e">
        <f>AND(NhatkyBan!#REF!,"AAAAAF6vPpM=")</f>
        <v>#REF!</v>
      </c>
      <c r="ES13" t="e">
        <f>AND(NhatkyBan!#REF!,"AAAAAF6vPpQ=")</f>
        <v>#REF!</v>
      </c>
      <c r="ET13" t="e">
        <f>AND(NhatkyBan!#REF!,"AAAAAF6vPpU=")</f>
        <v>#REF!</v>
      </c>
      <c r="EU13" t="e">
        <f>AND(NhatkyBan!#REF!,"AAAAAF6vPpY=")</f>
        <v>#REF!</v>
      </c>
      <c r="EV13" t="e">
        <f>AND(NhatkyBan!#REF!,"AAAAAF6vPpc=")</f>
        <v>#REF!</v>
      </c>
      <c r="EW13" t="e">
        <f>AND(NhatkyBan!#REF!,"AAAAAF6vPpg=")</f>
        <v>#REF!</v>
      </c>
      <c r="EX13" t="e">
        <f>AND(NhatkyBan!#REF!,"AAAAAF6vPpk=")</f>
        <v>#REF!</v>
      </c>
      <c r="EY13" t="e">
        <f>AND(NhatkyBan!#REF!,"AAAAAF6vPpo=")</f>
        <v>#REF!</v>
      </c>
      <c r="EZ13" t="e">
        <f>AND(NhatkyBan!#REF!,"AAAAAF6vPps=")</f>
        <v>#REF!</v>
      </c>
      <c r="FA13" t="e">
        <f>AND(NhatkyBan!#REF!,"AAAAAF6vPpw=")</f>
        <v>#REF!</v>
      </c>
      <c r="FB13" t="e">
        <f>AND(NhatkyBan!#REF!,"AAAAAF6vPp0=")</f>
        <v>#REF!</v>
      </c>
      <c r="FC13" t="e">
        <f>AND(NhatkyBan!#REF!,"AAAAAF6vPp4=")</f>
        <v>#REF!</v>
      </c>
      <c r="FD13" t="e">
        <f>AND(NhatkyBan!#REF!,"AAAAAF6vPp8=")</f>
        <v>#REF!</v>
      </c>
      <c r="FE13" t="e">
        <f>AND(NhatkyBan!#REF!,"AAAAAF6vPqA=")</f>
        <v>#REF!</v>
      </c>
      <c r="FF13" t="e">
        <f>AND(NhatkyBan!#REF!,"AAAAAF6vPqE=")</f>
        <v>#REF!</v>
      </c>
      <c r="FG13" t="e">
        <f>AND(NhatkyBan!#REF!,"AAAAAF6vPqI=")</f>
        <v>#REF!</v>
      </c>
      <c r="FH13" t="e">
        <f>AND(NhatkyBan!#REF!,"AAAAAF6vPqM=")</f>
        <v>#REF!</v>
      </c>
      <c r="FI13" t="e">
        <f>AND(NhatkyBan!#REF!,"AAAAAF6vPqQ=")</f>
        <v>#REF!</v>
      </c>
      <c r="FJ13" t="e">
        <f>AND(NhatkyBan!#REF!,"AAAAAF6vPqU=")</f>
        <v>#REF!</v>
      </c>
      <c r="FK13" t="e">
        <f>AND(NhatkyBan!#REF!,"AAAAAF6vPqY=")</f>
        <v>#REF!</v>
      </c>
      <c r="FL13" t="e">
        <f>AND(NhatkyBan!#REF!,"AAAAAF6vPqc=")</f>
        <v>#REF!</v>
      </c>
      <c r="FM13" t="e">
        <f>AND(NhatkyBan!#REF!,"AAAAAF6vPqg=")</f>
        <v>#REF!</v>
      </c>
      <c r="FN13" t="e">
        <f>AND(NhatkyBan!#REF!,"AAAAAF6vPqk=")</f>
        <v>#REF!</v>
      </c>
      <c r="FO13" t="e">
        <f>AND(NhatkyBan!#REF!,"AAAAAF6vPqo=")</f>
        <v>#REF!</v>
      </c>
      <c r="FP13" t="e">
        <f>AND(NhatkyBan!#REF!,"AAAAAF6vPqs=")</f>
        <v>#REF!</v>
      </c>
      <c r="FQ13" t="e">
        <f>AND(NhatkyBan!#REF!,"AAAAAF6vPqw=")</f>
        <v>#REF!</v>
      </c>
      <c r="FR13" t="e">
        <f>AND(NhatkyBan!#REF!,"AAAAAF6vPq0=")</f>
        <v>#REF!</v>
      </c>
      <c r="FS13" t="e">
        <f>AND(NhatkyBan!#REF!,"AAAAAF6vPq4=")</f>
        <v>#REF!</v>
      </c>
      <c r="FT13" t="e">
        <f>AND(NhatkyBan!#REF!,"AAAAAF6vPq8=")</f>
        <v>#REF!</v>
      </c>
      <c r="FU13" t="e">
        <f>IF(NhatkyBan!#REF!,"AAAAAF6vPrA=",0)</f>
        <v>#REF!</v>
      </c>
      <c r="FV13" t="e">
        <f>AND(NhatkyBan!#REF!,"AAAAAF6vPrE=")</f>
        <v>#REF!</v>
      </c>
      <c r="FW13" t="e">
        <f>AND(NhatkyBan!#REF!,"AAAAAF6vPrI=")</f>
        <v>#REF!</v>
      </c>
      <c r="FX13" t="e">
        <f>AND(NhatkyBan!#REF!,"AAAAAF6vPrM=")</f>
        <v>#REF!</v>
      </c>
      <c r="FY13" t="e">
        <f>AND(NhatkyBan!#REF!,"AAAAAF6vPrQ=")</f>
        <v>#REF!</v>
      </c>
      <c r="FZ13" t="e">
        <f>AND(NhatkyBan!#REF!,"AAAAAF6vPrU=")</f>
        <v>#REF!</v>
      </c>
      <c r="GA13" t="e">
        <f>AND(NhatkyBan!#REF!,"AAAAAF6vPrY=")</f>
        <v>#REF!</v>
      </c>
      <c r="GB13" t="e">
        <f>AND(NhatkyBan!#REF!,"AAAAAF6vPrc=")</f>
        <v>#REF!</v>
      </c>
      <c r="GC13" t="e">
        <f>AND(NhatkyBan!#REF!,"AAAAAF6vPrg=")</f>
        <v>#REF!</v>
      </c>
      <c r="GD13" t="e">
        <f>AND(NhatkyBan!#REF!,"AAAAAF6vPrk=")</f>
        <v>#REF!</v>
      </c>
      <c r="GE13" t="e">
        <f>AND(NhatkyBan!#REF!,"AAAAAF6vPro=")</f>
        <v>#REF!</v>
      </c>
      <c r="GF13" t="e">
        <f>AND(NhatkyBan!#REF!,"AAAAAF6vPrs=")</f>
        <v>#REF!</v>
      </c>
      <c r="GG13" t="e">
        <f>AND(NhatkyBan!#REF!,"AAAAAF6vPrw=")</f>
        <v>#REF!</v>
      </c>
      <c r="GH13" t="e">
        <f>AND(NhatkyBan!#REF!,"AAAAAF6vPr0=")</f>
        <v>#REF!</v>
      </c>
      <c r="GI13" t="e">
        <f>AND(NhatkyBan!#REF!,"AAAAAF6vPr4=")</f>
        <v>#REF!</v>
      </c>
      <c r="GJ13" t="e">
        <f>AND(NhatkyBan!#REF!,"AAAAAF6vPr8=")</f>
        <v>#REF!</v>
      </c>
      <c r="GK13" t="e">
        <f>AND(NhatkyBan!#REF!,"AAAAAF6vPsA=")</f>
        <v>#REF!</v>
      </c>
      <c r="GL13" t="e">
        <f>AND(NhatkyBan!#REF!,"AAAAAF6vPsE=")</f>
        <v>#REF!</v>
      </c>
      <c r="GM13" t="e">
        <f>AND(NhatkyBan!#REF!,"AAAAAF6vPsI=")</f>
        <v>#REF!</v>
      </c>
      <c r="GN13" t="e">
        <f>AND(NhatkyBan!#REF!,"AAAAAF6vPsM=")</f>
        <v>#REF!</v>
      </c>
      <c r="GO13" t="e">
        <f>AND(NhatkyBan!#REF!,"AAAAAF6vPsQ=")</f>
        <v>#REF!</v>
      </c>
      <c r="GP13" t="e">
        <f>AND(NhatkyBan!#REF!,"AAAAAF6vPsU=")</f>
        <v>#REF!</v>
      </c>
      <c r="GQ13" t="e">
        <f>AND(NhatkyBan!#REF!,"AAAAAF6vPsY=")</f>
        <v>#REF!</v>
      </c>
      <c r="GR13" t="e">
        <f>AND(NhatkyBan!#REF!,"AAAAAF6vPsc=")</f>
        <v>#REF!</v>
      </c>
      <c r="GS13" t="e">
        <f>AND(NhatkyBan!#REF!,"AAAAAF6vPsg=")</f>
        <v>#REF!</v>
      </c>
      <c r="GT13" t="e">
        <f>AND(NhatkyBan!#REF!,"AAAAAF6vPsk=")</f>
        <v>#REF!</v>
      </c>
      <c r="GU13" t="e">
        <f>AND(NhatkyBan!#REF!,"AAAAAF6vPso=")</f>
        <v>#REF!</v>
      </c>
      <c r="GV13" t="e">
        <f>AND(NhatkyBan!#REF!,"AAAAAF6vPss=")</f>
        <v>#REF!</v>
      </c>
      <c r="GW13" t="e">
        <f>AND(NhatkyBan!#REF!,"AAAAAF6vPsw=")</f>
        <v>#REF!</v>
      </c>
      <c r="GX13" t="e">
        <f>AND(NhatkyBan!#REF!,"AAAAAF6vPs0=")</f>
        <v>#REF!</v>
      </c>
      <c r="GY13" t="e">
        <f>AND(NhatkyBan!#REF!,"AAAAAF6vPs4=")</f>
        <v>#REF!</v>
      </c>
      <c r="GZ13" t="e">
        <f>AND(NhatkyBan!#REF!,"AAAAAF6vPs8=")</f>
        <v>#REF!</v>
      </c>
      <c r="HA13" t="e">
        <f>AND(NhatkyBan!#REF!,"AAAAAF6vPtA=")</f>
        <v>#REF!</v>
      </c>
      <c r="HB13" t="e">
        <f>AND(NhatkyBan!#REF!,"AAAAAF6vPtE=")</f>
        <v>#REF!</v>
      </c>
      <c r="HC13" t="e">
        <f>AND(NhatkyBan!#REF!,"AAAAAF6vPtI=")</f>
        <v>#REF!</v>
      </c>
      <c r="HD13" t="e">
        <f>IF(NhatkyBan!#REF!,"AAAAAF6vPtM=",0)</f>
        <v>#REF!</v>
      </c>
      <c r="HE13" t="e">
        <f>AND(NhatkyBan!#REF!,"AAAAAF6vPtQ=")</f>
        <v>#REF!</v>
      </c>
      <c r="HF13" t="e">
        <f>AND(NhatkyBan!#REF!,"AAAAAF6vPtU=")</f>
        <v>#REF!</v>
      </c>
      <c r="HG13" t="e">
        <f>AND(NhatkyBan!#REF!,"AAAAAF6vPtY=")</f>
        <v>#REF!</v>
      </c>
      <c r="HH13" t="e">
        <f>AND(NhatkyBan!#REF!,"AAAAAF6vPtc=")</f>
        <v>#REF!</v>
      </c>
      <c r="HI13" t="e">
        <f>AND(NhatkyBan!#REF!,"AAAAAF6vPtg=")</f>
        <v>#REF!</v>
      </c>
      <c r="HJ13" t="e">
        <f>AND(NhatkyBan!#REF!,"AAAAAF6vPtk=")</f>
        <v>#REF!</v>
      </c>
      <c r="HK13" t="e">
        <f>AND(NhatkyBan!#REF!,"AAAAAF6vPto=")</f>
        <v>#REF!</v>
      </c>
      <c r="HL13" t="e">
        <f>AND(NhatkyBan!#REF!,"AAAAAF6vPts=")</f>
        <v>#REF!</v>
      </c>
      <c r="HM13" t="e">
        <f>AND(NhatkyBan!#REF!,"AAAAAF6vPtw=")</f>
        <v>#REF!</v>
      </c>
      <c r="HN13" t="e">
        <f>AND(NhatkyBan!#REF!,"AAAAAF6vPt0=")</f>
        <v>#REF!</v>
      </c>
      <c r="HO13" t="e">
        <f>AND(NhatkyBan!#REF!,"AAAAAF6vPt4=")</f>
        <v>#REF!</v>
      </c>
      <c r="HP13" t="e">
        <f>AND(NhatkyBan!#REF!,"AAAAAF6vPt8=")</f>
        <v>#REF!</v>
      </c>
      <c r="HQ13" t="e">
        <f>AND(NhatkyBan!#REF!,"AAAAAF6vPuA=")</f>
        <v>#REF!</v>
      </c>
      <c r="HR13" t="e">
        <f>AND(NhatkyBan!#REF!,"AAAAAF6vPuE=")</f>
        <v>#REF!</v>
      </c>
      <c r="HS13" t="e">
        <f>AND(NhatkyBan!#REF!,"AAAAAF6vPuI=")</f>
        <v>#REF!</v>
      </c>
      <c r="HT13" t="e">
        <f>AND(NhatkyBan!#REF!,"AAAAAF6vPuM=")</f>
        <v>#REF!</v>
      </c>
      <c r="HU13" t="e">
        <f>AND(NhatkyBan!#REF!,"AAAAAF6vPuQ=")</f>
        <v>#REF!</v>
      </c>
      <c r="HV13" t="e">
        <f>AND(NhatkyBan!#REF!,"AAAAAF6vPuU=")</f>
        <v>#REF!</v>
      </c>
      <c r="HW13" t="e">
        <f>AND(NhatkyBan!#REF!,"AAAAAF6vPuY=")</f>
        <v>#REF!</v>
      </c>
      <c r="HX13" t="e">
        <f>AND(NhatkyBan!#REF!,"AAAAAF6vPuc=")</f>
        <v>#REF!</v>
      </c>
      <c r="HY13" t="e">
        <f>AND(NhatkyBan!#REF!,"AAAAAF6vPug=")</f>
        <v>#REF!</v>
      </c>
      <c r="HZ13" t="e">
        <f>AND(NhatkyBan!#REF!,"AAAAAF6vPuk=")</f>
        <v>#REF!</v>
      </c>
      <c r="IA13" t="e">
        <f>AND(NhatkyBan!#REF!,"AAAAAF6vPuo=")</f>
        <v>#REF!</v>
      </c>
      <c r="IB13" t="e">
        <f>AND(NhatkyBan!#REF!,"AAAAAF6vPus=")</f>
        <v>#REF!</v>
      </c>
      <c r="IC13" t="e">
        <f>AND(NhatkyBan!#REF!,"AAAAAF6vPuw=")</f>
        <v>#REF!</v>
      </c>
      <c r="ID13" t="e">
        <f>AND(NhatkyBan!#REF!,"AAAAAF6vPu0=")</f>
        <v>#REF!</v>
      </c>
      <c r="IE13" t="e">
        <f>AND(NhatkyBan!#REF!,"AAAAAF6vPu4=")</f>
        <v>#REF!</v>
      </c>
      <c r="IF13" t="e">
        <f>AND(NhatkyBan!#REF!,"AAAAAF6vPu8=")</f>
        <v>#REF!</v>
      </c>
      <c r="IG13" t="e">
        <f>AND(NhatkyBan!#REF!,"AAAAAF6vPvA=")</f>
        <v>#REF!</v>
      </c>
      <c r="IH13" t="e">
        <f>AND(NhatkyBan!#REF!,"AAAAAF6vPvE=")</f>
        <v>#REF!</v>
      </c>
      <c r="II13" t="e">
        <f>AND(NhatkyBan!#REF!,"AAAAAF6vPvI=")</f>
        <v>#REF!</v>
      </c>
      <c r="IJ13" t="e">
        <f>AND(NhatkyBan!#REF!,"AAAAAF6vPvM=")</f>
        <v>#REF!</v>
      </c>
      <c r="IK13" t="e">
        <f>AND(NhatkyBan!#REF!,"AAAAAF6vPvQ=")</f>
        <v>#REF!</v>
      </c>
      <c r="IL13" t="e">
        <f>AND(NhatkyBan!#REF!,"AAAAAF6vPvU=")</f>
        <v>#REF!</v>
      </c>
      <c r="IM13" t="e">
        <f>IF(NhatkyBan!#REF!,"AAAAAF6vPvY=",0)</f>
        <v>#REF!</v>
      </c>
      <c r="IN13" t="e">
        <f>AND(NhatkyBan!#REF!,"AAAAAF6vPvc=")</f>
        <v>#REF!</v>
      </c>
      <c r="IO13" t="e">
        <f>AND(NhatkyBan!#REF!,"AAAAAF6vPvg=")</f>
        <v>#REF!</v>
      </c>
      <c r="IP13" t="e">
        <f>AND(NhatkyBan!#REF!,"AAAAAF6vPvk=")</f>
        <v>#REF!</v>
      </c>
      <c r="IQ13" t="e">
        <f>AND(NhatkyBan!#REF!,"AAAAAF6vPvo=")</f>
        <v>#REF!</v>
      </c>
      <c r="IR13" t="e">
        <f>AND(NhatkyBan!#REF!,"AAAAAF6vPvs=")</f>
        <v>#REF!</v>
      </c>
      <c r="IS13" t="e">
        <f>AND(NhatkyBan!#REF!,"AAAAAF6vPvw=")</f>
        <v>#REF!</v>
      </c>
      <c r="IT13" t="e">
        <f>AND(NhatkyBan!#REF!,"AAAAAF6vPv0=")</f>
        <v>#REF!</v>
      </c>
      <c r="IU13" t="e">
        <f>AND(NhatkyBan!#REF!,"AAAAAF6vPv4=")</f>
        <v>#REF!</v>
      </c>
      <c r="IV13" t="e">
        <f>AND(NhatkyBan!#REF!,"AAAAAF6vPv8=")</f>
        <v>#REF!</v>
      </c>
    </row>
    <row r="14" spans="1:256">
      <c r="A14" t="e">
        <f>AND(NhatkyBan!#REF!,"AAAAAG1/vgA=")</f>
        <v>#REF!</v>
      </c>
      <c r="B14" t="e">
        <f>AND(NhatkyBan!#REF!,"AAAAAG1/vgE=")</f>
        <v>#REF!</v>
      </c>
      <c r="C14" t="e">
        <f>AND(NhatkyBan!#REF!,"AAAAAG1/vgI=")</f>
        <v>#REF!</v>
      </c>
      <c r="D14" t="e">
        <f>AND(NhatkyBan!#REF!,"AAAAAG1/vgM=")</f>
        <v>#REF!</v>
      </c>
      <c r="E14" t="e">
        <f>AND(NhatkyBan!#REF!,"AAAAAG1/vgQ=")</f>
        <v>#REF!</v>
      </c>
      <c r="F14" t="e">
        <f>AND(NhatkyBan!#REF!,"AAAAAG1/vgU=")</f>
        <v>#REF!</v>
      </c>
      <c r="G14" t="e">
        <f>AND(NhatkyBan!#REF!,"AAAAAG1/vgY=")</f>
        <v>#REF!</v>
      </c>
      <c r="H14" t="e">
        <f>AND(NhatkyBan!#REF!,"AAAAAG1/vgc=")</f>
        <v>#REF!</v>
      </c>
      <c r="I14" t="e">
        <f>AND(NhatkyBan!#REF!,"AAAAAG1/vgg=")</f>
        <v>#REF!</v>
      </c>
      <c r="J14" t="e">
        <f>AND(NhatkyBan!#REF!,"AAAAAG1/vgk=")</f>
        <v>#REF!</v>
      </c>
      <c r="K14" t="e">
        <f>AND(NhatkyBan!#REF!,"AAAAAG1/vgo=")</f>
        <v>#REF!</v>
      </c>
      <c r="L14" t="e">
        <f>AND(NhatkyBan!#REF!,"AAAAAG1/vgs=")</f>
        <v>#REF!</v>
      </c>
      <c r="M14" t="e">
        <f>AND(NhatkyBan!#REF!,"AAAAAG1/vgw=")</f>
        <v>#REF!</v>
      </c>
      <c r="N14" t="e">
        <f>AND(NhatkyBan!#REF!,"AAAAAG1/vg0=")</f>
        <v>#REF!</v>
      </c>
      <c r="O14" t="e">
        <f>AND(NhatkyBan!#REF!,"AAAAAG1/vg4=")</f>
        <v>#REF!</v>
      </c>
      <c r="P14" t="e">
        <f>AND(NhatkyBan!#REF!,"AAAAAG1/vg8=")</f>
        <v>#REF!</v>
      </c>
      <c r="Q14" t="e">
        <f>AND(NhatkyBan!#REF!,"AAAAAG1/vhA=")</f>
        <v>#REF!</v>
      </c>
      <c r="R14" t="e">
        <f>AND(NhatkyBan!#REF!,"AAAAAG1/vhE=")</f>
        <v>#REF!</v>
      </c>
      <c r="S14" t="e">
        <f>AND(NhatkyBan!#REF!,"AAAAAG1/vhI=")</f>
        <v>#REF!</v>
      </c>
      <c r="T14" t="e">
        <f>AND(NhatkyBan!#REF!,"AAAAAG1/vhM=")</f>
        <v>#REF!</v>
      </c>
      <c r="U14" t="e">
        <f>AND(NhatkyBan!#REF!,"AAAAAG1/vhQ=")</f>
        <v>#REF!</v>
      </c>
      <c r="V14" t="e">
        <f>AND(NhatkyBan!#REF!,"AAAAAG1/vhU=")</f>
        <v>#REF!</v>
      </c>
      <c r="W14" t="e">
        <f>AND(NhatkyBan!#REF!,"AAAAAG1/vhY=")</f>
        <v>#REF!</v>
      </c>
      <c r="X14" t="e">
        <f>AND(NhatkyBan!#REF!,"AAAAAG1/vhc=")</f>
        <v>#REF!</v>
      </c>
      <c r="Y14" t="e">
        <f>AND(NhatkyBan!#REF!,"AAAAAG1/vhg=")</f>
        <v>#REF!</v>
      </c>
      <c r="Z14" t="e">
        <f>IF(NhatkyBan!#REF!,"AAAAAG1/vhk=",0)</f>
        <v>#REF!</v>
      </c>
      <c r="AA14" t="e">
        <f>AND(NhatkyBan!#REF!,"AAAAAG1/vho=")</f>
        <v>#REF!</v>
      </c>
      <c r="AB14" t="e">
        <f>AND(NhatkyBan!#REF!,"AAAAAG1/vhs=")</f>
        <v>#REF!</v>
      </c>
      <c r="AC14" t="e">
        <f>AND(NhatkyBan!#REF!,"AAAAAG1/vhw=")</f>
        <v>#REF!</v>
      </c>
      <c r="AD14" t="e">
        <f>AND(NhatkyBan!#REF!,"AAAAAG1/vh0=")</f>
        <v>#REF!</v>
      </c>
      <c r="AE14" t="e">
        <f>AND(NhatkyBan!#REF!,"AAAAAG1/vh4=")</f>
        <v>#REF!</v>
      </c>
      <c r="AF14" t="e">
        <f>AND(NhatkyBan!#REF!,"AAAAAG1/vh8=")</f>
        <v>#REF!</v>
      </c>
      <c r="AG14" t="e">
        <f>AND(NhatkyBan!#REF!,"AAAAAG1/viA=")</f>
        <v>#REF!</v>
      </c>
      <c r="AH14" t="e">
        <f>AND(NhatkyBan!#REF!,"AAAAAG1/viE=")</f>
        <v>#REF!</v>
      </c>
      <c r="AI14" t="e">
        <f>AND(NhatkyBan!#REF!,"AAAAAG1/viI=")</f>
        <v>#REF!</v>
      </c>
      <c r="AJ14" t="e">
        <f>AND(NhatkyBan!#REF!,"AAAAAG1/viM=")</f>
        <v>#REF!</v>
      </c>
      <c r="AK14" t="e">
        <f>AND(NhatkyBan!#REF!,"AAAAAG1/viQ=")</f>
        <v>#REF!</v>
      </c>
      <c r="AL14" t="e">
        <f>AND(NhatkyBan!#REF!,"AAAAAG1/viU=")</f>
        <v>#REF!</v>
      </c>
      <c r="AM14" t="e">
        <f>AND(NhatkyBan!#REF!,"AAAAAG1/viY=")</f>
        <v>#REF!</v>
      </c>
      <c r="AN14" t="e">
        <f>AND(NhatkyBan!#REF!,"AAAAAG1/vic=")</f>
        <v>#REF!</v>
      </c>
      <c r="AO14" t="e">
        <f>AND(NhatkyBan!#REF!,"AAAAAG1/vig=")</f>
        <v>#REF!</v>
      </c>
      <c r="AP14" t="e">
        <f>AND(NhatkyBan!#REF!,"AAAAAG1/vik=")</f>
        <v>#REF!</v>
      </c>
      <c r="AQ14" t="e">
        <f>AND(NhatkyBan!#REF!,"AAAAAG1/vio=")</f>
        <v>#REF!</v>
      </c>
      <c r="AR14" t="e">
        <f>AND(NhatkyBan!#REF!,"AAAAAG1/vis=")</f>
        <v>#REF!</v>
      </c>
      <c r="AS14" t="e">
        <f>AND(NhatkyBan!#REF!,"AAAAAG1/viw=")</f>
        <v>#REF!</v>
      </c>
      <c r="AT14" t="e">
        <f>AND(NhatkyBan!#REF!,"AAAAAG1/vi0=")</f>
        <v>#REF!</v>
      </c>
      <c r="AU14" t="e">
        <f>AND(NhatkyBan!#REF!,"AAAAAG1/vi4=")</f>
        <v>#REF!</v>
      </c>
      <c r="AV14" t="e">
        <f>AND(NhatkyBan!#REF!,"AAAAAG1/vi8=")</f>
        <v>#REF!</v>
      </c>
      <c r="AW14" t="e">
        <f>AND(NhatkyBan!#REF!,"AAAAAG1/vjA=")</f>
        <v>#REF!</v>
      </c>
      <c r="AX14" t="e">
        <f>AND(NhatkyBan!#REF!,"AAAAAG1/vjE=")</f>
        <v>#REF!</v>
      </c>
      <c r="AY14" t="e">
        <f>AND(NhatkyBan!#REF!,"AAAAAG1/vjI=")</f>
        <v>#REF!</v>
      </c>
      <c r="AZ14" t="e">
        <f>AND(NhatkyBan!#REF!,"AAAAAG1/vjM=")</f>
        <v>#REF!</v>
      </c>
      <c r="BA14" t="e">
        <f>AND(NhatkyBan!#REF!,"AAAAAG1/vjQ=")</f>
        <v>#REF!</v>
      </c>
      <c r="BB14" t="e">
        <f>AND(NhatkyBan!#REF!,"AAAAAG1/vjU=")</f>
        <v>#REF!</v>
      </c>
      <c r="BC14" t="e">
        <f>AND(NhatkyBan!#REF!,"AAAAAG1/vjY=")</f>
        <v>#REF!</v>
      </c>
      <c r="BD14" t="e">
        <f>AND(NhatkyBan!#REF!,"AAAAAG1/vjc=")</f>
        <v>#REF!</v>
      </c>
      <c r="BE14" t="e">
        <f>AND(NhatkyBan!#REF!,"AAAAAG1/vjg=")</f>
        <v>#REF!</v>
      </c>
      <c r="BF14" t="e">
        <f>AND(NhatkyBan!#REF!,"AAAAAG1/vjk=")</f>
        <v>#REF!</v>
      </c>
      <c r="BG14" t="e">
        <f>AND(NhatkyBan!#REF!,"AAAAAG1/vjo=")</f>
        <v>#REF!</v>
      </c>
      <c r="BH14" t="e">
        <f>AND(NhatkyBan!#REF!,"AAAAAG1/vjs=")</f>
        <v>#REF!</v>
      </c>
      <c r="BI14" t="e">
        <f>IF(NhatkyBan!#REF!,"AAAAAG1/vjw=",0)</f>
        <v>#REF!</v>
      </c>
      <c r="BJ14" t="e">
        <f>AND(NhatkyBan!#REF!,"AAAAAG1/vj0=")</f>
        <v>#REF!</v>
      </c>
      <c r="BK14" t="e">
        <f>AND(NhatkyBan!#REF!,"AAAAAG1/vj4=")</f>
        <v>#REF!</v>
      </c>
      <c r="BL14" t="e">
        <f>AND(NhatkyBan!#REF!,"AAAAAG1/vj8=")</f>
        <v>#REF!</v>
      </c>
      <c r="BM14" t="e">
        <f>AND(NhatkyBan!#REF!,"AAAAAG1/vkA=")</f>
        <v>#REF!</v>
      </c>
      <c r="BN14" t="e">
        <f>AND(NhatkyBan!#REF!,"AAAAAG1/vkE=")</f>
        <v>#REF!</v>
      </c>
      <c r="BO14" t="e">
        <f>AND(NhatkyBan!#REF!,"AAAAAG1/vkI=")</f>
        <v>#REF!</v>
      </c>
      <c r="BP14" t="e">
        <f>AND(NhatkyBan!#REF!,"AAAAAG1/vkM=")</f>
        <v>#REF!</v>
      </c>
      <c r="BQ14" t="e">
        <f>AND(NhatkyBan!#REF!,"AAAAAG1/vkQ=")</f>
        <v>#REF!</v>
      </c>
      <c r="BR14" t="e">
        <f>AND(NhatkyBan!#REF!,"AAAAAG1/vkU=")</f>
        <v>#REF!</v>
      </c>
      <c r="BS14" t="e">
        <f>AND(NhatkyBan!#REF!,"AAAAAG1/vkY=")</f>
        <v>#REF!</v>
      </c>
      <c r="BT14" t="e">
        <f>AND(NhatkyBan!#REF!,"AAAAAG1/vkc=")</f>
        <v>#REF!</v>
      </c>
      <c r="BU14" t="e">
        <f>AND(NhatkyBan!#REF!,"AAAAAG1/vkg=")</f>
        <v>#REF!</v>
      </c>
      <c r="BV14" t="e">
        <f>AND(NhatkyBan!#REF!,"AAAAAG1/vkk=")</f>
        <v>#REF!</v>
      </c>
      <c r="BW14" t="e">
        <f>AND(NhatkyBan!#REF!,"AAAAAG1/vko=")</f>
        <v>#REF!</v>
      </c>
      <c r="BX14" t="e">
        <f>AND(NhatkyBan!#REF!,"AAAAAG1/vks=")</f>
        <v>#REF!</v>
      </c>
      <c r="BY14" t="e">
        <f>AND(NhatkyBan!#REF!,"AAAAAG1/vkw=")</f>
        <v>#REF!</v>
      </c>
      <c r="BZ14" t="e">
        <f>AND(NhatkyBan!#REF!,"AAAAAG1/vk0=")</f>
        <v>#REF!</v>
      </c>
      <c r="CA14" t="e">
        <f>AND(NhatkyBan!#REF!,"AAAAAG1/vk4=")</f>
        <v>#REF!</v>
      </c>
      <c r="CB14" t="e">
        <f>AND(NhatkyBan!#REF!,"AAAAAG1/vk8=")</f>
        <v>#REF!</v>
      </c>
      <c r="CC14" t="e">
        <f>AND(NhatkyBan!#REF!,"AAAAAG1/vlA=")</f>
        <v>#REF!</v>
      </c>
      <c r="CD14" t="e">
        <f>AND(NhatkyBan!#REF!,"AAAAAG1/vlE=")</f>
        <v>#REF!</v>
      </c>
      <c r="CE14" t="e">
        <f>AND(NhatkyBan!#REF!,"AAAAAG1/vlI=")</f>
        <v>#REF!</v>
      </c>
      <c r="CF14" t="e">
        <f>AND(NhatkyBan!#REF!,"AAAAAG1/vlM=")</f>
        <v>#REF!</v>
      </c>
      <c r="CG14" t="e">
        <f>AND(NhatkyBan!#REF!,"AAAAAG1/vlQ=")</f>
        <v>#REF!</v>
      </c>
      <c r="CH14" t="e">
        <f>AND(NhatkyBan!#REF!,"AAAAAG1/vlU=")</f>
        <v>#REF!</v>
      </c>
      <c r="CI14" t="e">
        <f>AND(NhatkyBan!#REF!,"AAAAAG1/vlY=")</f>
        <v>#REF!</v>
      </c>
      <c r="CJ14" t="e">
        <f>AND(NhatkyBan!#REF!,"AAAAAG1/vlc=")</f>
        <v>#REF!</v>
      </c>
      <c r="CK14" t="e">
        <f>AND(NhatkyBan!#REF!,"AAAAAG1/vlg=")</f>
        <v>#REF!</v>
      </c>
      <c r="CL14" t="e">
        <f>AND(NhatkyBan!#REF!,"AAAAAG1/vlk=")</f>
        <v>#REF!</v>
      </c>
      <c r="CM14" t="e">
        <f>AND(NhatkyBan!#REF!,"AAAAAG1/vlo=")</f>
        <v>#REF!</v>
      </c>
      <c r="CN14" t="e">
        <f>AND(NhatkyBan!#REF!,"AAAAAG1/vls=")</f>
        <v>#REF!</v>
      </c>
      <c r="CO14" t="e">
        <f>AND(NhatkyBan!#REF!,"AAAAAG1/vlw=")</f>
        <v>#REF!</v>
      </c>
      <c r="CP14" t="e">
        <f>AND(NhatkyBan!#REF!,"AAAAAG1/vl0=")</f>
        <v>#REF!</v>
      </c>
      <c r="CQ14" t="e">
        <f>AND(NhatkyBan!#REF!,"AAAAAG1/vl4=")</f>
        <v>#REF!</v>
      </c>
      <c r="CR14" t="e">
        <f>IF(NhatkyBan!#REF!,"AAAAAG1/vl8=",0)</f>
        <v>#REF!</v>
      </c>
      <c r="CS14" t="e">
        <f>AND(NhatkyBan!#REF!,"AAAAAG1/vmA=")</f>
        <v>#REF!</v>
      </c>
      <c r="CT14" t="e">
        <f>AND(NhatkyBan!#REF!,"AAAAAG1/vmE=")</f>
        <v>#REF!</v>
      </c>
      <c r="CU14" t="e">
        <f>AND(NhatkyBan!#REF!,"AAAAAG1/vmI=")</f>
        <v>#REF!</v>
      </c>
      <c r="CV14" t="e">
        <f>AND(NhatkyBan!#REF!,"AAAAAG1/vmM=")</f>
        <v>#REF!</v>
      </c>
      <c r="CW14" t="e">
        <f>AND(NhatkyBan!#REF!,"AAAAAG1/vmQ=")</f>
        <v>#REF!</v>
      </c>
      <c r="CX14" t="e">
        <f>AND(NhatkyBan!#REF!,"AAAAAG1/vmU=")</f>
        <v>#REF!</v>
      </c>
      <c r="CY14" t="e">
        <f>AND(NhatkyBan!#REF!,"AAAAAG1/vmY=")</f>
        <v>#REF!</v>
      </c>
      <c r="CZ14" t="e">
        <f>AND(NhatkyBan!#REF!,"AAAAAG1/vmc=")</f>
        <v>#REF!</v>
      </c>
      <c r="DA14" t="e">
        <f>AND(NhatkyBan!#REF!,"AAAAAG1/vmg=")</f>
        <v>#REF!</v>
      </c>
      <c r="DB14" t="e">
        <f>AND(NhatkyBan!#REF!,"AAAAAG1/vmk=")</f>
        <v>#REF!</v>
      </c>
      <c r="DC14" t="e">
        <f>AND(NhatkyBan!#REF!,"AAAAAG1/vmo=")</f>
        <v>#REF!</v>
      </c>
      <c r="DD14" t="e">
        <f>AND(NhatkyBan!#REF!,"AAAAAG1/vms=")</f>
        <v>#REF!</v>
      </c>
      <c r="DE14" t="e">
        <f>AND(NhatkyBan!#REF!,"AAAAAG1/vmw=")</f>
        <v>#REF!</v>
      </c>
      <c r="DF14" t="e">
        <f>AND(NhatkyBan!#REF!,"AAAAAG1/vm0=")</f>
        <v>#REF!</v>
      </c>
      <c r="DG14" t="e">
        <f>AND(NhatkyBan!#REF!,"AAAAAG1/vm4=")</f>
        <v>#REF!</v>
      </c>
      <c r="DH14" t="e">
        <f>AND(NhatkyBan!#REF!,"AAAAAG1/vm8=")</f>
        <v>#REF!</v>
      </c>
      <c r="DI14" t="e">
        <f>AND(NhatkyBan!#REF!,"AAAAAG1/vnA=")</f>
        <v>#REF!</v>
      </c>
      <c r="DJ14" t="e">
        <f>AND(NhatkyBan!#REF!,"AAAAAG1/vnE=")</f>
        <v>#REF!</v>
      </c>
      <c r="DK14" t="e">
        <f>AND(NhatkyBan!#REF!,"AAAAAG1/vnI=")</f>
        <v>#REF!</v>
      </c>
      <c r="DL14" t="e">
        <f>AND(NhatkyBan!#REF!,"AAAAAG1/vnM=")</f>
        <v>#REF!</v>
      </c>
      <c r="DM14" t="e">
        <f>AND(NhatkyBan!#REF!,"AAAAAG1/vnQ=")</f>
        <v>#REF!</v>
      </c>
      <c r="DN14" t="e">
        <f>AND(NhatkyBan!#REF!,"AAAAAG1/vnU=")</f>
        <v>#REF!</v>
      </c>
      <c r="DO14" t="e">
        <f>AND(NhatkyBan!#REF!,"AAAAAG1/vnY=")</f>
        <v>#REF!</v>
      </c>
      <c r="DP14" t="e">
        <f>AND(NhatkyBan!#REF!,"AAAAAG1/vnc=")</f>
        <v>#REF!</v>
      </c>
      <c r="DQ14" t="e">
        <f>AND(NhatkyBan!#REF!,"AAAAAG1/vng=")</f>
        <v>#REF!</v>
      </c>
      <c r="DR14" t="e">
        <f>AND(NhatkyBan!#REF!,"AAAAAG1/vnk=")</f>
        <v>#REF!</v>
      </c>
      <c r="DS14" t="e">
        <f>AND(NhatkyBan!#REF!,"AAAAAG1/vno=")</f>
        <v>#REF!</v>
      </c>
      <c r="DT14" t="e">
        <f>AND(NhatkyBan!#REF!,"AAAAAG1/vns=")</f>
        <v>#REF!</v>
      </c>
      <c r="DU14" t="e">
        <f>AND(NhatkyBan!#REF!,"AAAAAG1/vnw=")</f>
        <v>#REF!</v>
      </c>
      <c r="DV14" t="e">
        <f>AND(NhatkyBan!#REF!,"AAAAAG1/vn0=")</f>
        <v>#REF!</v>
      </c>
      <c r="DW14" t="e">
        <f>AND(NhatkyBan!#REF!,"AAAAAG1/vn4=")</f>
        <v>#REF!</v>
      </c>
      <c r="DX14" t="e">
        <f>AND(NhatkyBan!#REF!,"AAAAAG1/vn8=")</f>
        <v>#REF!</v>
      </c>
      <c r="DY14" t="e">
        <f>AND(NhatkyBan!#REF!,"AAAAAG1/voA=")</f>
        <v>#REF!</v>
      </c>
      <c r="DZ14" t="e">
        <f>AND(NhatkyBan!#REF!,"AAAAAG1/voE=")</f>
        <v>#REF!</v>
      </c>
      <c r="EA14" t="e">
        <f>IF(NhatkyBan!#REF!,"AAAAAG1/voI=",0)</f>
        <v>#REF!</v>
      </c>
      <c r="EB14" t="e">
        <f>AND(NhatkyBan!#REF!,"AAAAAG1/voM=")</f>
        <v>#REF!</v>
      </c>
      <c r="EC14" t="e">
        <f>AND(NhatkyBan!#REF!,"AAAAAG1/voQ=")</f>
        <v>#REF!</v>
      </c>
      <c r="ED14" t="e">
        <f>AND(NhatkyBan!#REF!,"AAAAAG1/voU=")</f>
        <v>#REF!</v>
      </c>
      <c r="EE14" t="e">
        <f>AND(NhatkyBan!#REF!,"AAAAAG1/voY=")</f>
        <v>#REF!</v>
      </c>
      <c r="EF14" t="e">
        <f>AND(NhatkyBan!#REF!,"AAAAAG1/voc=")</f>
        <v>#REF!</v>
      </c>
      <c r="EG14" t="e">
        <f>AND(NhatkyBan!#REF!,"AAAAAG1/vog=")</f>
        <v>#REF!</v>
      </c>
      <c r="EH14" t="e">
        <f>AND(NhatkyBan!#REF!,"AAAAAG1/vok=")</f>
        <v>#REF!</v>
      </c>
      <c r="EI14" t="e">
        <f>AND(NhatkyBan!#REF!,"AAAAAG1/voo=")</f>
        <v>#REF!</v>
      </c>
      <c r="EJ14" t="e">
        <f>AND(NhatkyBan!#REF!,"AAAAAG1/vos=")</f>
        <v>#REF!</v>
      </c>
      <c r="EK14" t="e">
        <f>AND(NhatkyBan!#REF!,"AAAAAG1/vow=")</f>
        <v>#REF!</v>
      </c>
      <c r="EL14" t="e">
        <f>AND(NhatkyBan!#REF!,"AAAAAG1/vo0=")</f>
        <v>#REF!</v>
      </c>
      <c r="EM14" t="e">
        <f>AND(NhatkyBan!#REF!,"AAAAAG1/vo4=")</f>
        <v>#REF!</v>
      </c>
      <c r="EN14" t="e">
        <f>AND(NhatkyBan!#REF!,"AAAAAG1/vo8=")</f>
        <v>#REF!</v>
      </c>
      <c r="EO14" t="e">
        <f>AND(NhatkyBan!#REF!,"AAAAAG1/vpA=")</f>
        <v>#REF!</v>
      </c>
      <c r="EP14" t="e">
        <f>AND(NhatkyBan!#REF!,"AAAAAG1/vpE=")</f>
        <v>#REF!</v>
      </c>
      <c r="EQ14" t="e">
        <f>AND(NhatkyBan!#REF!,"AAAAAG1/vpI=")</f>
        <v>#REF!</v>
      </c>
      <c r="ER14" t="e">
        <f>AND(NhatkyBan!#REF!,"AAAAAG1/vpM=")</f>
        <v>#REF!</v>
      </c>
      <c r="ES14" t="e">
        <f>AND(NhatkyBan!#REF!,"AAAAAG1/vpQ=")</f>
        <v>#REF!</v>
      </c>
      <c r="ET14" t="e">
        <f>AND(NhatkyBan!#REF!,"AAAAAG1/vpU=")</f>
        <v>#REF!</v>
      </c>
      <c r="EU14" t="e">
        <f>AND(NhatkyBan!#REF!,"AAAAAG1/vpY=")</f>
        <v>#REF!</v>
      </c>
      <c r="EV14" t="e">
        <f>AND(NhatkyBan!#REF!,"AAAAAG1/vpc=")</f>
        <v>#REF!</v>
      </c>
      <c r="EW14" t="e">
        <f>AND(NhatkyBan!#REF!,"AAAAAG1/vpg=")</f>
        <v>#REF!</v>
      </c>
      <c r="EX14" t="e">
        <f>AND(NhatkyBan!#REF!,"AAAAAG1/vpk=")</f>
        <v>#REF!</v>
      </c>
      <c r="EY14" t="e">
        <f>AND(NhatkyBan!#REF!,"AAAAAG1/vpo=")</f>
        <v>#REF!</v>
      </c>
      <c r="EZ14" t="e">
        <f>AND(NhatkyBan!#REF!,"AAAAAG1/vps=")</f>
        <v>#REF!</v>
      </c>
      <c r="FA14" t="e">
        <f>AND(NhatkyBan!#REF!,"AAAAAG1/vpw=")</f>
        <v>#REF!</v>
      </c>
      <c r="FB14" t="e">
        <f>AND(NhatkyBan!#REF!,"AAAAAG1/vp0=")</f>
        <v>#REF!</v>
      </c>
      <c r="FC14" t="e">
        <f>AND(NhatkyBan!#REF!,"AAAAAG1/vp4=")</f>
        <v>#REF!</v>
      </c>
      <c r="FD14" t="e">
        <f>AND(NhatkyBan!#REF!,"AAAAAG1/vp8=")</f>
        <v>#REF!</v>
      </c>
      <c r="FE14" t="e">
        <f>AND(NhatkyBan!#REF!,"AAAAAG1/vqA=")</f>
        <v>#REF!</v>
      </c>
      <c r="FF14" t="e">
        <f>AND(NhatkyBan!#REF!,"AAAAAG1/vqE=")</f>
        <v>#REF!</v>
      </c>
      <c r="FG14" t="e">
        <f>AND(NhatkyBan!#REF!,"AAAAAG1/vqI=")</f>
        <v>#REF!</v>
      </c>
      <c r="FH14" t="e">
        <f>AND(NhatkyBan!#REF!,"AAAAAG1/vqM=")</f>
        <v>#REF!</v>
      </c>
      <c r="FI14" t="e">
        <f>AND(NhatkyBan!#REF!,"AAAAAG1/vqQ=")</f>
        <v>#REF!</v>
      </c>
      <c r="FJ14" t="e">
        <f>IF(NhatkyBan!#REF!,"AAAAAG1/vqU=",0)</f>
        <v>#REF!</v>
      </c>
      <c r="FK14" t="e">
        <f>AND(NhatkyBan!#REF!,"AAAAAG1/vqY=")</f>
        <v>#REF!</v>
      </c>
      <c r="FL14" t="e">
        <f>AND(NhatkyBan!#REF!,"AAAAAG1/vqc=")</f>
        <v>#REF!</v>
      </c>
      <c r="FM14" t="e">
        <f>AND(NhatkyBan!#REF!,"AAAAAG1/vqg=")</f>
        <v>#REF!</v>
      </c>
      <c r="FN14" t="e">
        <f>AND(NhatkyBan!#REF!,"AAAAAG1/vqk=")</f>
        <v>#REF!</v>
      </c>
      <c r="FO14" t="e">
        <f>AND(NhatkyBan!#REF!,"AAAAAG1/vqo=")</f>
        <v>#REF!</v>
      </c>
      <c r="FP14" t="e">
        <f>AND(NhatkyBan!#REF!,"AAAAAG1/vqs=")</f>
        <v>#REF!</v>
      </c>
      <c r="FQ14" t="e">
        <f>AND(NhatkyBan!#REF!,"AAAAAG1/vqw=")</f>
        <v>#REF!</v>
      </c>
      <c r="FR14" t="e">
        <f>AND(NhatkyBan!#REF!,"AAAAAG1/vq0=")</f>
        <v>#REF!</v>
      </c>
      <c r="FS14" t="e">
        <f>AND(NhatkyBan!#REF!,"AAAAAG1/vq4=")</f>
        <v>#REF!</v>
      </c>
      <c r="FT14" t="e">
        <f>AND(NhatkyBan!#REF!,"AAAAAG1/vq8=")</f>
        <v>#REF!</v>
      </c>
      <c r="FU14" t="e">
        <f>AND(NhatkyBan!#REF!,"AAAAAG1/vrA=")</f>
        <v>#REF!</v>
      </c>
      <c r="FV14" t="e">
        <f>AND(NhatkyBan!#REF!,"AAAAAG1/vrE=")</f>
        <v>#REF!</v>
      </c>
      <c r="FW14" t="e">
        <f>AND(NhatkyBan!#REF!,"AAAAAG1/vrI=")</f>
        <v>#REF!</v>
      </c>
      <c r="FX14" t="e">
        <f>AND(NhatkyBan!#REF!,"AAAAAG1/vrM=")</f>
        <v>#REF!</v>
      </c>
      <c r="FY14" t="e">
        <f>AND(NhatkyBan!#REF!,"AAAAAG1/vrQ=")</f>
        <v>#REF!</v>
      </c>
      <c r="FZ14" t="e">
        <f>AND(NhatkyBan!#REF!,"AAAAAG1/vrU=")</f>
        <v>#REF!</v>
      </c>
      <c r="GA14" t="e">
        <f>AND(NhatkyBan!#REF!,"AAAAAG1/vrY=")</f>
        <v>#REF!</v>
      </c>
      <c r="GB14" t="e">
        <f>AND(NhatkyBan!#REF!,"AAAAAG1/vrc=")</f>
        <v>#REF!</v>
      </c>
      <c r="GC14" t="e">
        <f>AND(NhatkyBan!#REF!,"AAAAAG1/vrg=")</f>
        <v>#REF!</v>
      </c>
      <c r="GD14" t="e">
        <f>AND(NhatkyBan!#REF!,"AAAAAG1/vrk=")</f>
        <v>#REF!</v>
      </c>
      <c r="GE14" t="e">
        <f>AND(NhatkyBan!#REF!,"AAAAAG1/vro=")</f>
        <v>#REF!</v>
      </c>
      <c r="GF14" t="e">
        <f>AND(NhatkyBan!#REF!,"AAAAAG1/vrs=")</f>
        <v>#REF!</v>
      </c>
      <c r="GG14" t="e">
        <f>AND(NhatkyBan!#REF!,"AAAAAG1/vrw=")</f>
        <v>#REF!</v>
      </c>
      <c r="GH14" t="e">
        <f>AND(NhatkyBan!#REF!,"AAAAAG1/vr0=")</f>
        <v>#REF!</v>
      </c>
      <c r="GI14" t="e">
        <f>AND(NhatkyBan!#REF!,"AAAAAG1/vr4=")</f>
        <v>#REF!</v>
      </c>
      <c r="GJ14" t="e">
        <f>AND(NhatkyBan!#REF!,"AAAAAG1/vr8=")</f>
        <v>#REF!</v>
      </c>
      <c r="GK14" t="e">
        <f>AND(NhatkyBan!#REF!,"AAAAAG1/vsA=")</f>
        <v>#REF!</v>
      </c>
      <c r="GL14" t="e">
        <f>AND(NhatkyBan!#REF!,"AAAAAG1/vsE=")</f>
        <v>#REF!</v>
      </c>
      <c r="GM14" t="e">
        <f>AND(NhatkyBan!#REF!,"AAAAAG1/vsI=")</f>
        <v>#REF!</v>
      </c>
      <c r="GN14" t="e">
        <f>AND(NhatkyBan!#REF!,"AAAAAG1/vsM=")</f>
        <v>#REF!</v>
      </c>
      <c r="GO14" t="e">
        <f>AND(NhatkyBan!#REF!,"AAAAAG1/vsQ=")</f>
        <v>#REF!</v>
      </c>
      <c r="GP14" t="e">
        <f>AND(NhatkyBan!#REF!,"AAAAAG1/vsU=")</f>
        <v>#REF!</v>
      </c>
      <c r="GQ14" t="e">
        <f>AND(NhatkyBan!#REF!,"AAAAAG1/vsY=")</f>
        <v>#REF!</v>
      </c>
      <c r="GR14" t="e">
        <f>AND(NhatkyBan!#REF!,"AAAAAG1/vsc=")</f>
        <v>#REF!</v>
      </c>
      <c r="GS14" t="e">
        <f>IF(NhatkyBan!#REF!,"AAAAAG1/vsg=",0)</f>
        <v>#REF!</v>
      </c>
      <c r="GT14" t="e">
        <f>AND(NhatkyBan!#REF!,"AAAAAG1/vsk=")</f>
        <v>#REF!</v>
      </c>
      <c r="GU14" t="e">
        <f>AND(NhatkyBan!#REF!,"AAAAAG1/vso=")</f>
        <v>#REF!</v>
      </c>
      <c r="GV14" t="e">
        <f>AND(NhatkyBan!#REF!,"AAAAAG1/vss=")</f>
        <v>#REF!</v>
      </c>
      <c r="GW14" t="e">
        <f>AND(NhatkyBan!#REF!,"AAAAAG1/vsw=")</f>
        <v>#REF!</v>
      </c>
      <c r="GX14" t="e">
        <f>AND(NhatkyBan!#REF!,"AAAAAG1/vs0=")</f>
        <v>#REF!</v>
      </c>
      <c r="GY14" t="e">
        <f>AND(NhatkyBan!#REF!,"AAAAAG1/vs4=")</f>
        <v>#REF!</v>
      </c>
      <c r="GZ14" t="e">
        <f>AND(NhatkyBan!#REF!,"AAAAAG1/vs8=")</f>
        <v>#REF!</v>
      </c>
      <c r="HA14" t="e">
        <f>AND(NhatkyBan!#REF!,"AAAAAG1/vtA=")</f>
        <v>#REF!</v>
      </c>
      <c r="HB14" t="e">
        <f>AND(NhatkyBan!#REF!,"AAAAAG1/vtE=")</f>
        <v>#REF!</v>
      </c>
      <c r="HC14" t="e">
        <f>AND(NhatkyBan!#REF!,"AAAAAG1/vtI=")</f>
        <v>#REF!</v>
      </c>
      <c r="HD14" t="e">
        <f>AND(NhatkyBan!#REF!,"AAAAAG1/vtM=")</f>
        <v>#REF!</v>
      </c>
      <c r="HE14" t="e">
        <f>AND(NhatkyBan!#REF!,"AAAAAG1/vtQ=")</f>
        <v>#REF!</v>
      </c>
      <c r="HF14" t="e">
        <f>AND(NhatkyBan!#REF!,"AAAAAG1/vtU=")</f>
        <v>#REF!</v>
      </c>
      <c r="HG14" t="e">
        <f>AND(NhatkyBan!#REF!,"AAAAAG1/vtY=")</f>
        <v>#REF!</v>
      </c>
      <c r="HH14" t="e">
        <f>AND(NhatkyBan!#REF!,"AAAAAG1/vtc=")</f>
        <v>#REF!</v>
      </c>
      <c r="HI14" t="e">
        <f>AND(NhatkyBan!#REF!,"AAAAAG1/vtg=")</f>
        <v>#REF!</v>
      </c>
      <c r="HJ14" t="e">
        <f>AND(NhatkyBan!#REF!,"AAAAAG1/vtk=")</f>
        <v>#REF!</v>
      </c>
      <c r="HK14" t="e">
        <f>AND(NhatkyBan!#REF!,"AAAAAG1/vto=")</f>
        <v>#REF!</v>
      </c>
      <c r="HL14" t="e">
        <f>AND(NhatkyBan!#REF!,"AAAAAG1/vts=")</f>
        <v>#REF!</v>
      </c>
      <c r="HM14" t="e">
        <f>AND(NhatkyBan!#REF!,"AAAAAG1/vtw=")</f>
        <v>#REF!</v>
      </c>
      <c r="HN14" t="e">
        <f>AND(NhatkyBan!#REF!,"AAAAAG1/vt0=")</f>
        <v>#REF!</v>
      </c>
      <c r="HO14" t="e">
        <f>AND(NhatkyBan!#REF!,"AAAAAG1/vt4=")</f>
        <v>#REF!</v>
      </c>
      <c r="HP14" t="e">
        <f>AND(NhatkyBan!#REF!,"AAAAAG1/vt8=")</f>
        <v>#REF!</v>
      </c>
      <c r="HQ14" t="e">
        <f>AND(NhatkyBan!#REF!,"AAAAAG1/vuA=")</f>
        <v>#REF!</v>
      </c>
      <c r="HR14" t="e">
        <f>AND(NhatkyBan!#REF!,"AAAAAG1/vuE=")</f>
        <v>#REF!</v>
      </c>
      <c r="HS14" t="e">
        <f>AND(NhatkyBan!#REF!,"AAAAAG1/vuI=")</f>
        <v>#REF!</v>
      </c>
      <c r="HT14" t="e">
        <f>AND(NhatkyBan!#REF!,"AAAAAG1/vuM=")</f>
        <v>#REF!</v>
      </c>
      <c r="HU14" t="e">
        <f>AND(NhatkyBan!#REF!,"AAAAAG1/vuQ=")</f>
        <v>#REF!</v>
      </c>
      <c r="HV14" t="e">
        <f>AND(NhatkyBan!#REF!,"AAAAAG1/vuU=")</f>
        <v>#REF!</v>
      </c>
      <c r="HW14" t="e">
        <f>AND(NhatkyBan!#REF!,"AAAAAG1/vuY=")</f>
        <v>#REF!</v>
      </c>
      <c r="HX14" t="e">
        <f>AND(NhatkyBan!#REF!,"AAAAAG1/vuc=")</f>
        <v>#REF!</v>
      </c>
      <c r="HY14" t="e">
        <f>AND(NhatkyBan!#REF!,"AAAAAG1/vug=")</f>
        <v>#REF!</v>
      </c>
      <c r="HZ14" t="e">
        <f>AND(NhatkyBan!#REF!,"AAAAAG1/vuk=")</f>
        <v>#REF!</v>
      </c>
      <c r="IA14" t="e">
        <f>AND(NhatkyBan!#REF!,"AAAAAG1/vuo=")</f>
        <v>#REF!</v>
      </c>
      <c r="IB14" t="e">
        <f>IF(NhatkyBan!#REF!,"AAAAAG1/vus=",0)</f>
        <v>#REF!</v>
      </c>
      <c r="IC14" t="e">
        <f>AND(NhatkyBan!#REF!,"AAAAAG1/vuw=")</f>
        <v>#REF!</v>
      </c>
      <c r="ID14" t="e">
        <f>AND(NhatkyBan!#REF!,"AAAAAG1/vu0=")</f>
        <v>#REF!</v>
      </c>
      <c r="IE14" t="e">
        <f>AND(NhatkyBan!#REF!,"AAAAAG1/vu4=")</f>
        <v>#REF!</v>
      </c>
      <c r="IF14" t="e">
        <f>AND(NhatkyBan!#REF!,"AAAAAG1/vu8=")</f>
        <v>#REF!</v>
      </c>
      <c r="IG14" t="e">
        <f>AND(NhatkyBan!#REF!,"AAAAAG1/vvA=")</f>
        <v>#REF!</v>
      </c>
      <c r="IH14" t="e">
        <f>AND(NhatkyBan!#REF!,"AAAAAG1/vvE=")</f>
        <v>#REF!</v>
      </c>
      <c r="II14" t="e">
        <f>AND(NhatkyBan!#REF!,"AAAAAG1/vvI=")</f>
        <v>#REF!</v>
      </c>
      <c r="IJ14" t="e">
        <f>AND(NhatkyBan!#REF!,"AAAAAG1/vvM=")</f>
        <v>#REF!</v>
      </c>
      <c r="IK14" t="e">
        <f>AND(NhatkyBan!#REF!,"AAAAAG1/vvQ=")</f>
        <v>#REF!</v>
      </c>
      <c r="IL14" t="e">
        <f>AND(NhatkyBan!#REF!,"AAAAAG1/vvU=")</f>
        <v>#REF!</v>
      </c>
      <c r="IM14" t="e">
        <f>AND(NhatkyBan!#REF!,"AAAAAG1/vvY=")</f>
        <v>#REF!</v>
      </c>
      <c r="IN14" t="e">
        <f>AND(NhatkyBan!#REF!,"AAAAAG1/vvc=")</f>
        <v>#REF!</v>
      </c>
      <c r="IO14" t="e">
        <f>AND(NhatkyBan!#REF!,"AAAAAG1/vvg=")</f>
        <v>#REF!</v>
      </c>
      <c r="IP14" t="e">
        <f>AND(NhatkyBan!#REF!,"AAAAAG1/vvk=")</f>
        <v>#REF!</v>
      </c>
      <c r="IQ14" t="e">
        <f>AND(NhatkyBan!#REF!,"AAAAAG1/vvo=")</f>
        <v>#REF!</v>
      </c>
      <c r="IR14" t="e">
        <f>AND(NhatkyBan!#REF!,"AAAAAG1/vvs=")</f>
        <v>#REF!</v>
      </c>
      <c r="IS14" t="e">
        <f>AND(NhatkyBan!#REF!,"AAAAAG1/vvw=")</f>
        <v>#REF!</v>
      </c>
      <c r="IT14" t="e">
        <f>AND(NhatkyBan!#REF!,"AAAAAG1/vv0=")</f>
        <v>#REF!</v>
      </c>
      <c r="IU14" t="e">
        <f>AND(NhatkyBan!#REF!,"AAAAAG1/vv4=")</f>
        <v>#REF!</v>
      </c>
      <c r="IV14" t="e">
        <f>AND(NhatkyBan!#REF!,"AAAAAG1/vv8=")</f>
        <v>#REF!</v>
      </c>
    </row>
    <row r="15" spans="1:256">
      <c r="A15" t="e">
        <f>AND(NhatkyBan!#REF!,"AAAAAEn4/wA=")</f>
        <v>#REF!</v>
      </c>
      <c r="B15" t="e">
        <f>AND(NhatkyBan!#REF!,"AAAAAEn4/wE=")</f>
        <v>#REF!</v>
      </c>
      <c r="C15" t="e">
        <f>AND(NhatkyBan!#REF!,"AAAAAEn4/wI=")</f>
        <v>#REF!</v>
      </c>
      <c r="D15" t="e">
        <f>AND(NhatkyBan!#REF!,"AAAAAEn4/wM=")</f>
        <v>#REF!</v>
      </c>
      <c r="E15" t="e">
        <f>AND(NhatkyBan!#REF!,"AAAAAEn4/wQ=")</f>
        <v>#REF!</v>
      </c>
      <c r="F15" t="e">
        <f>AND(NhatkyBan!#REF!,"AAAAAEn4/wU=")</f>
        <v>#REF!</v>
      </c>
      <c r="G15" t="e">
        <f>AND(NhatkyBan!#REF!,"AAAAAEn4/wY=")</f>
        <v>#REF!</v>
      </c>
      <c r="H15" t="e">
        <f>AND(NhatkyBan!#REF!,"AAAAAEn4/wc=")</f>
        <v>#REF!</v>
      </c>
      <c r="I15" t="e">
        <f>AND(NhatkyBan!#REF!,"AAAAAEn4/wg=")</f>
        <v>#REF!</v>
      </c>
      <c r="J15" t="e">
        <f>AND(NhatkyBan!#REF!,"AAAAAEn4/wk=")</f>
        <v>#REF!</v>
      </c>
      <c r="K15" t="e">
        <f>AND(NhatkyBan!#REF!,"AAAAAEn4/wo=")</f>
        <v>#REF!</v>
      </c>
      <c r="L15" t="e">
        <f>AND(NhatkyBan!#REF!,"AAAAAEn4/ws=")</f>
        <v>#REF!</v>
      </c>
      <c r="M15" t="e">
        <f>AND(NhatkyBan!#REF!,"AAAAAEn4/ww=")</f>
        <v>#REF!</v>
      </c>
      <c r="N15" t="e">
        <f>AND(NhatkyBan!#REF!,"AAAAAEn4/w0=")</f>
        <v>#REF!</v>
      </c>
      <c r="O15" t="e">
        <f>IF(NhatkyBan!#REF!,"AAAAAEn4/w4=",0)</f>
        <v>#REF!</v>
      </c>
      <c r="P15" t="e">
        <f>AND(NhatkyBan!#REF!,"AAAAAEn4/w8=")</f>
        <v>#REF!</v>
      </c>
      <c r="Q15" t="e">
        <f>AND(NhatkyBan!#REF!,"AAAAAEn4/xA=")</f>
        <v>#REF!</v>
      </c>
      <c r="R15" t="e">
        <f>AND(NhatkyBan!#REF!,"AAAAAEn4/xE=")</f>
        <v>#REF!</v>
      </c>
      <c r="S15" t="e">
        <f>AND(NhatkyBan!#REF!,"AAAAAEn4/xI=")</f>
        <v>#REF!</v>
      </c>
      <c r="T15" t="e">
        <f>AND(NhatkyBan!#REF!,"AAAAAEn4/xM=")</f>
        <v>#REF!</v>
      </c>
      <c r="U15" t="e">
        <f>AND(NhatkyBan!#REF!,"AAAAAEn4/xQ=")</f>
        <v>#REF!</v>
      </c>
      <c r="V15" t="e">
        <f>AND(NhatkyBan!#REF!,"AAAAAEn4/xU=")</f>
        <v>#REF!</v>
      </c>
      <c r="W15" t="e">
        <f>AND(NhatkyBan!#REF!,"AAAAAEn4/xY=")</f>
        <v>#REF!</v>
      </c>
      <c r="X15" t="e">
        <f>AND(NhatkyBan!#REF!,"AAAAAEn4/xc=")</f>
        <v>#REF!</v>
      </c>
      <c r="Y15" t="e">
        <f>AND(NhatkyBan!#REF!,"AAAAAEn4/xg=")</f>
        <v>#REF!</v>
      </c>
      <c r="Z15" t="e">
        <f>AND(NhatkyBan!#REF!,"AAAAAEn4/xk=")</f>
        <v>#REF!</v>
      </c>
      <c r="AA15" t="e">
        <f>AND(NhatkyBan!#REF!,"AAAAAEn4/xo=")</f>
        <v>#REF!</v>
      </c>
      <c r="AB15" t="e">
        <f>AND(NhatkyBan!#REF!,"AAAAAEn4/xs=")</f>
        <v>#REF!</v>
      </c>
      <c r="AC15" t="e">
        <f>AND(NhatkyBan!#REF!,"AAAAAEn4/xw=")</f>
        <v>#REF!</v>
      </c>
      <c r="AD15" t="e">
        <f>AND(NhatkyBan!#REF!,"AAAAAEn4/x0=")</f>
        <v>#REF!</v>
      </c>
      <c r="AE15" t="e">
        <f>AND(NhatkyBan!#REF!,"AAAAAEn4/x4=")</f>
        <v>#REF!</v>
      </c>
      <c r="AF15" t="e">
        <f>AND(NhatkyBan!#REF!,"AAAAAEn4/x8=")</f>
        <v>#REF!</v>
      </c>
      <c r="AG15" t="e">
        <f>AND(NhatkyBan!#REF!,"AAAAAEn4/yA=")</f>
        <v>#REF!</v>
      </c>
      <c r="AH15" t="e">
        <f>AND(NhatkyBan!#REF!,"AAAAAEn4/yE=")</f>
        <v>#REF!</v>
      </c>
      <c r="AI15" t="e">
        <f>AND(NhatkyBan!#REF!,"AAAAAEn4/yI=")</f>
        <v>#REF!</v>
      </c>
      <c r="AJ15" t="e">
        <f>AND(NhatkyBan!#REF!,"AAAAAEn4/yM=")</f>
        <v>#REF!</v>
      </c>
      <c r="AK15" t="e">
        <f>AND(NhatkyBan!#REF!,"AAAAAEn4/yQ=")</f>
        <v>#REF!</v>
      </c>
      <c r="AL15" t="e">
        <f>AND(NhatkyBan!#REF!,"AAAAAEn4/yU=")</f>
        <v>#REF!</v>
      </c>
      <c r="AM15" t="e">
        <f>AND(NhatkyBan!#REF!,"AAAAAEn4/yY=")</f>
        <v>#REF!</v>
      </c>
      <c r="AN15" t="e">
        <f>AND(NhatkyBan!#REF!,"AAAAAEn4/yc=")</f>
        <v>#REF!</v>
      </c>
      <c r="AO15" t="e">
        <f>AND(NhatkyBan!#REF!,"AAAAAEn4/yg=")</f>
        <v>#REF!</v>
      </c>
      <c r="AP15" t="e">
        <f>AND(NhatkyBan!#REF!,"AAAAAEn4/yk=")</f>
        <v>#REF!</v>
      </c>
      <c r="AQ15" t="e">
        <f>AND(NhatkyBan!#REF!,"AAAAAEn4/yo=")</f>
        <v>#REF!</v>
      </c>
      <c r="AR15" t="e">
        <f>AND(NhatkyBan!#REF!,"AAAAAEn4/ys=")</f>
        <v>#REF!</v>
      </c>
      <c r="AS15" t="e">
        <f>AND(NhatkyBan!#REF!,"AAAAAEn4/yw=")</f>
        <v>#REF!</v>
      </c>
      <c r="AT15" t="e">
        <f>AND(NhatkyBan!#REF!,"AAAAAEn4/y0=")</f>
        <v>#REF!</v>
      </c>
      <c r="AU15" t="e">
        <f>AND(NhatkyBan!#REF!,"AAAAAEn4/y4=")</f>
        <v>#REF!</v>
      </c>
      <c r="AV15" t="e">
        <f>AND(NhatkyBan!#REF!,"AAAAAEn4/y8=")</f>
        <v>#REF!</v>
      </c>
      <c r="AW15" t="e">
        <f>AND(NhatkyBan!#REF!,"AAAAAEn4/zA=")</f>
        <v>#REF!</v>
      </c>
      <c r="AX15" t="e">
        <f>IF(NhatkyBan!#REF!,"AAAAAEn4/zE=",0)</f>
        <v>#REF!</v>
      </c>
      <c r="AY15" t="e">
        <f>AND(NhatkyBan!#REF!,"AAAAAEn4/zI=")</f>
        <v>#REF!</v>
      </c>
      <c r="AZ15" t="e">
        <f>AND(NhatkyBan!#REF!,"AAAAAEn4/zM=")</f>
        <v>#REF!</v>
      </c>
      <c r="BA15" t="e">
        <f>AND(NhatkyBan!#REF!,"AAAAAEn4/zQ=")</f>
        <v>#REF!</v>
      </c>
      <c r="BB15" t="e">
        <f>AND(NhatkyBan!#REF!,"AAAAAEn4/zU=")</f>
        <v>#REF!</v>
      </c>
      <c r="BC15" t="e">
        <f>AND(NhatkyBan!#REF!,"AAAAAEn4/zY=")</f>
        <v>#REF!</v>
      </c>
      <c r="BD15" t="e">
        <f>AND(NhatkyBan!#REF!,"AAAAAEn4/zc=")</f>
        <v>#REF!</v>
      </c>
      <c r="BE15" t="e">
        <f>AND(NhatkyBan!#REF!,"AAAAAEn4/zg=")</f>
        <v>#REF!</v>
      </c>
      <c r="BF15" t="e">
        <f>AND(NhatkyBan!#REF!,"AAAAAEn4/zk=")</f>
        <v>#REF!</v>
      </c>
      <c r="BG15" t="e">
        <f>AND(NhatkyBan!#REF!,"AAAAAEn4/zo=")</f>
        <v>#REF!</v>
      </c>
      <c r="BH15" t="e">
        <f>AND(NhatkyBan!#REF!,"AAAAAEn4/zs=")</f>
        <v>#REF!</v>
      </c>
      <c r="BI15" t="e">
        <f>AND(NhatkyBan!#REF!,"AAAAAEn4/zw=")</f>
        <v>#REF!</v>
      </c>
      <c r="BJ15" t="e">
        <f>AND(NhatkyBan!#REF!,"AAAAAEn4/z0=")</f>
        <v>#REF!</v>
      </c>
      <c r="BK15" t="e">
        <f>AND(NhatkyBan!#REF!,"AAAAAEn4/z4=")</f>
        <v>#REF!</v>
      </c>
      <c r="BL15" t="e">
        <f>AND(NhatkyBan!#REF!,"AAAAAEn4/z8=")</f>
        <v>#REF!</v>
      </c>
      <c r="BM15" t="e">
        <f>AND(NhatkyBan!#REF!,"AAAAAEn4/0A=")</f>
        <v>#REF!</v>
      </c>
      <c r="BN15" t="e">
        <f>AND(NhatkyBan!#REF!,"AAAAAEn4/0E=")</f>
        <v>#REF!</v>
      </c>
      <c r="BO15" t="e">
        <f>AND(NhatkyBan!#REF!,"AAAAAEn4/0I=")</f>
        <v>#REF!</v>
      </c>
      <c r="BP15" t="e">
        <f>AND(NhatkyBan!#REF!,"AAAAAEn4/0M=")</f>
        <v>#REF!</v>
      </c>
      <c r="BQ15" t="e">
        <f>AND(NhatkyBan!#REF!,"AAAAAEn4/0Q=")</f>
        <v>#REF!</v>
      </c>
      <c r="BR15" t="e">
        <f>AND(NhatkyBan!#REF!,"AAAAAEn4/0U=")</f>
        <v>#REF!</v>
      </c>
      <c r="BS15" t="e">
        <f>AND(NhatkyBan!#REF!,"AAAAAEn4/0Y=")</f>
        <v>#REF!</v>
      </c>
      <c r="BT15" t="e">
        <f>AND(NhatkyBan!#REF!,"AAAAAEn4/0c=")</f>
        <v>#REF!</v>
      </c>
      <c r="BU15" t="e">
        <f>AND(NhatkyBan!#REF!,"AAAAAEn4/0g=")</f>
        <v>#REF!</v>
      </c>
      <c r="BV15" t="e">
        <f>AND(NhatkyBan!#REF!,"AAAAAEn4/0k=")</f>
        <v>#REF!</v>
      </c>
      <c r="BW15" t="e">
        <f>AND(NhatkyBan!#REF!,"AAAAAEn4/0o=")</f>
        <v>#REF!</v>
      </c>
      <c r="BX15" t="e">
        <f>AND(NhatkyBan!#REF!,"AAAAAEn4/0s=")</f>
        <v>#REF!</v>
      </c>
      <c r="BY15" t="e">
        <f>AND(NhatkyBan!#REF!,"AAAAAEn4/0w=")</f>
        <v>#REF!</v>
      </c>
      <c r="BZ15" t="e">
        <f>AND(NhatkyBan!#REF!,"AAAAAEn4/00=")</f>
        <v>#REF!</v>
      </c>
      <c r="CA15" t="e">
        <f>AND(NhatkyBan!#REF!,"AAAAAEn4/04=")</f>
        <v>#REF!</v>
      </c>
      <c r="CB15" t="e">
        <f>AND(NhatkyBan!#REF!,"AAAAAEn4/08=")</f>
        <v>#REF!</v>
      </c>
      <c r="CC15" t="e">
        <f>AND(NhatkyBan!#REF!,"AAAAAEn4/1A=")</f>
        <v>#REF!</v>
      </c>
      <c r="CD15" t="e">
        <f>AND(NhatkyBan!#REF!,"AAAAAEn4/1E=")</f>
        <v>#REF!</v>
      </c>
      <c r="CE15" t="e">
        <f>AND(NhatkyBan!#REF!,"AAAAAEn4/1I=")</f>
        <v>#REF!</v>
      </c>
      <c r="CF15" t="e">
        <f>AND(NhatkyBan!#REF!,"AAAAAEn4/1M=")</f>
        <v>#REF!</v>
      </c>
      <c r="CG15" t="e">
        <f>IF(NhatkyBan!#REF!,"AAAAAEn4/1Q=",0)</f>
        <v>#REF!</v>
      </c>
      <c r="CH15" t="e">
        <f>AND(NhatkyBan!#REF!,"AAAAAEn4/1U=")</f>
        <v>#REF!</v>
      </c>
      <c r="CI15" t="e">
        <f>AND(NhatkyBan!#REF!,"AAAAAEn4/1Y=")</f>
        <v>#REF!</v>
      </c>
      <c r="CJ15" t="e">
        <f>AND(NhatkyBan!#REF!,"AAAAAEn4/1c=")</f>
        <v>#REF!</v>
      </c>
      <c r="CK15" t="e">
        <f>AND(NhatkyBan!#REF!,"AAAAAEn4/1g=")</f>
        <v>#REF!</v>
      </c>
      <c r="CL15" t="e">
        <f>AND(NhatkyBan!#REF!,"AAAAAEn4/1k=")</f>
        <v>#REF!</v>
      </c>
      <c r="CM15" t="e">
        <f>AND(NhatkyBan!#REF!,"AAAAAEn4/1o=")</f>
        <v>#REF!</v>
      </c>
      <c r="CN15" t="e">
        <f>AND(NhatkyBan!#REF!,"AAAAAEn4/1s=")</f>
        <v>#REF!</v>
      </c>
      <c r="CO15" t="e">
        <f>AND(NhatkyBan!#REF!,"AAAAAEn4/1w=")</f>
        <v>#REF!</v>
      </c>
      <c r="CP15" t="e">
        <f>AND(NhatkyBan!#REF!,"AAAAAEn4/10=")</f>
        <v>#REF!</v>
      </c>
      <c r="CQ15" t="e">
        <f>AND(NhatkyBan!#REF!,"AAAAAEn4/14=")</f>
        <v>#REF!</v>
      </c>
      <c r="CR15" t="e">
        <f>AND(NhatkyBan!#REF!,"AAAAAEn4/18=")</f>
        <v>#REF!</v>
      </c>
      <c r="CS15" t="e">
        <f>AND(NhatkyBan!#REF!,"AAAAAEn4/2A=")</f>
        <v>#REF!</v>
      </c>
      <c r="CT15" t="e">
        <f>AND(NhatkyBan!#REF!,"AAAAAEn4/2E=")</f>
        <v>#REF!</v>
      </c>
      <c r="CU15" t="e">
        <f>AND(NhatkyBan!#REF!,"AAAAAEn4/2I=")</f>
        <v>#REF!</v>
      </c>
      <c r="CV15" t="e">
        <f>AND(NhatkyBan!#REF!,"AAAAAEn4/2M=")</f>
        <v>#REF!</v>
      </c>
      <c r="CW15" t="e">
        <f>AND(NhatkyBan!#REF!,"AAAAAEn4/2Q=")</f>
        <v>#REF!</v>
      </c>
      <c r="CX15" t="e">
        <f>AND(NhatkyBan!#REF!,"AAAAAEn4/2U=")</f>
        <v>#REF!</v>
      </c>
      <c r="CY15" t="e">
        <f>AND(NhatkyBan!#REF!,"AAAAAEn4/2Y=")</f>
        <v>#REF!</v>
      </c>
      <c r="CZ15" t="e">
        <f>AND(NhatkyBan!#REF!,"AAAAAEn4/2c=")</f>
        <v>#REF!</v>
      </c>
      <c r="DA15" t="e">
        <f>AND(NhatkyBan!#REF!,"AAAAAEn4/2g=")</f>
        <v>#REF!</v>
      </c>
      <c r="DB15" t="e">
        <f>AND(NhatkyBan!#REF!,"AAAAAEn4/2k=")</f>
        <v>#REF!</v>
      </c>
      <c r="DC15" t="e">
        <f>AND(NhatkyBan!#REF!,"AAAAAEn4/2o=")</f>
        <v>#REF!</v>
      </c>
      <c r="DD15" t="e">
        <f>AND(NhatkyBan!#REF!,"AAAAAEn4/2s=")</f>
        <v>#REF!</v>
      </c>
      <c r="DE15" t="e">
        <f>AND(NhatkyBan!#REF!,"AAAAAEn4/2w=")</f>
        <v>#REF!</v>
      </c>
      <c r="DF15" t="e">
        <f>AND(NhatkyBan!#REF!,"AAAAAEn4/20=")</f>
        <v>#REF!</v>
      </c>
      <c r="DG15" t="e">
        <f>AND(NhatkyBan!#REF!,"AAAAAEn4/24=")</f>
        <v>#REF!</v>
      </c>
      <c r="DH15" t="e">
        <f>AND(NhatkyBan!#REF!,"AAAAAEn4/28=")</f>
        <v>#REF!</v>
      </c>
      <c r="DI15" t="e">
        <f>AND(NhatkyBan!#REF!,"AAAAAEn4/3A=")</f>
        <v>#REF!</v>
      </c>
      <c r="DJ15" t="e">
        <f>AND(NhatkyBan!#REF!,"AAAAAEn4/3E=")</f>
        <v>#REF!</v>
      </c>
      <c r="DK15" t="e">
        <f>AND(NhatkyBan!#REF!,"AAAAAEn4/3I=")</f>
        <v>#REF!</v>
      </c>
      <c r="DL15" t="e">
        <f>AND(NhatkyBan!#REF!,"AAAAAEn4/3M=")</f>
        <v>#REF!</v>
      </c>
      <c r="DM15" t="e">
        <f>AND(NhatkyBan!#REF!,"AAAAAEn4/3Q=")</f>
        <v>#REF!</v>
      </c>
      <c r="DN15" t="e">
        <f>AND(NhatkyBan!#REF!,"AAAAAEn4/3U=")</f>
        <v>#REF!</v>
      </c>
      <c r="DO15" t="e">
        <f>AND(NhatkyBan!#REF!,"AAAAAEn4/3Y=")</f>
        <v>#REF!</v>
      </c>
      <c r="DP15" t="e">
        <f>IF(NhatkyBan!#REF!,"AAAAAEn4/3c=",0)</f>
        <v>#REF!</v>
      </c>
      <c r="DQ15" t="e">
        <f>AND(NhatkyBan!#REF!,"AAAAAEn4/3g=")</f>
        <v>#REF!</v>
      </c>
      <c r="DR15" t="e">
        <f>AND(NhatkyBan!#REF!,"AAAAAEn4/3k=")</f>
        <v>#REF!</v>
      </c>
      <c r="DS15" t="e">
        <f>AND(NhatkyBan!#REF!,"AAAAAEn4/3o=")</f>
        <v>#REF!</v>
      </c>
      <c r="DT15" t="e">
        <f>AND(NhatkyBan!#REF!,"AAAAAEn4/3s=")</f>
        <v>#REF!</v>
      </c>
      <c r="DU15" t="e">
        <f>AND(NhatkyBan!#REF!,"AAAAAEn4/3w=")</f>
        <v>#REF!</v>
      </c>
      <c r="DV15" t="e">
        <f>AND(NhatkyBan!#REF!,"AAAAAEn4/30=")</f>
        <v>#REF!</v>
      </c>
      <c r="DW15" t="e">
        <f>AND(NhatkyBan!#REF!,"AAAAAEn4/34=")</f>
        <v>#REF!</v>
      </c>
      <c r="DX15" t="e">
        <f>AND(NhatkyBan!#REF!,"AAAAAEn4/38=")</f>
        <v>#REF!</v>
      </c>
      <c r="DY15" t="e">
        <f>AND(NhatkyBan!#REF!,"AAAAAEn4/4A=")</f>
        <v>#REF!</v>
      </c>
      <c r="DZ15" t="e">
        <f>AND(NhatkyBan!#REF!,"AAAAAEn4/4E=")</f>
        <v>#REF!</v>
      </c>
      <c r="EA15" t="e">
        <f>AND(NhatkyBan!#REF!,"AAAAAEn4/4I=")</f>
        <v>#REF!</v>
      </c>
      <c r="EB15" t="e">
        <f>AND(NhatkyBan!#REF!,"AAAAAEn4/4M=")</f>
        <v>#REF!</v>
      </c>
      <c r="EC15" t="e">
        <f>AND(NhatkyBan!#REF!,"AAAAAEn4/4Q=")</f>
        <v>#REF!</v>
      </c>
      <c r="ED15" t="e">
        <f>AND(NhatkyBan!#REF!,"AAAAAEn4/4U=")</f>
        <v>#REF!</v>
      </c>
      <c r="EE15" t="e">
        <f>AND(NhatkyBan!#REF!,"AAAAAEn4/4Y=")</f>
        <v>#REF!</v>
      </c>
      <c r="EF15" t="e">
        <f>AND(NhatkyBan!#REF!,"AAAAAEn4/4c=")</f>
        <v>#REF!</v>
      </c>
      <c r="EG15" t="e">
        <f>AND(NhatkyBan!#REF!,"AAAAAEn4/4g=")</f>
        <v>#REF!</v>
      </c>
      <c r="EH15" t="e">
        <f>AND(NhatkyBan!#REF!,"AAAAAEn4/4k=")</f>
        <v>#REF!</v>
      </c>
      <c r="EI15" t="e">
        <f>AND(NhatkyBan!#REF!,"AAAAAEn4/4o=")</f>
        <v>#REF!</v>
      </c>
      <c r="EJ15" t="e">
        <f>AND(NhatkyBan!#REF!,"AAAAAEn4/4s=")</f>
        <v>#REF!</v>
      </c>
      <c r="EK15" t="e">
        <f>AND(NhatkyBan!#REF!,"AAAAAEn4/4w=")</f>
        <v>#REF!</v>
      </c>
      <c r="EL15" t="e">
        <f>AND(NhatkyBan!#REF!,"AAAAAEn4/40=")</f>
        <v>#REF!</v>
      </c>
      <c r="EM15" t="e">
        <f>AND(NhatkyBan!#REF!,"AAAAAEn4/44=")</f>
        <v>#REF!</v>
      </c>
      <c r="EN15" t="e">
        <f>AND(NhatkyBan!#REF!,"AAAAAEn4/48=")</f>
        <v>#REF!</v>
      </c>
      <c r="EO15" t="e">
        <f>AND(NhatkyBan!#REF!,"AAAAAEn4/5A=")</f>
        <v>#REF!</v>
      </c>
      <c r="EP15" t="e">
        <f>AND(NhatkyBan!#REF!,"AAAAAEn4/5E=")</f>
        <v>#REF!</v>
      </c>
      <c r="EQ15" t="e">
        <f>AND(NhatkyBan!#REF!,"AAAAAEn4/5I=")</f>
        <v>#REF!</v>
      </c>
      <c r="ER15" t="e">
        <f>AND(NhatkyBan!#REF!,"AAAAAEn4/5M=")</f>
        <v>#REF!</v>
      </c>
      <c r="ES15" t="e">
        <f>AND(NhatkyBan!#REF!,"AAAAAEn4/5Q=")</f>
        <v>#REF!</v>
      </c>
      <c r="ET15" t="e">
        <f>AND(NhatkyBan!#REF!,"AAAAAEn4/5U=")</f>
        <v>#REF!</v>
      </c>
      <c r="EU15" t="e">
        <f>AND(NhatkyBan!#REF!,"AAAAAEn4/5Y=")</f>
        <v>#REF!</v>
      </c>
      <c r="EV15" t="e">
        <f>AND(NhatkyBan!#REF!,"AAAAAEn4/5c=")</f>
        <v>#REF!</v>
      </c>
      <c r="EW15" t="e">
        <f>AND(NhatkyBan!#REF!,"AAAAAEn4/5g=")</f>
        <v>#REF!</v>
      </c>
      <c r="EX15" t="e">
        <f>AND(NhatkyBan!#REF!,"AAAAAEn4/5k=")</f>
        <v>#REF!</v>
      </c>
      <c r="EY15" t="e">
        <f>IF(NhatkyBan!#REF!,"AAAAAEn4/5o=",0)</f>
        <v>#REF!</v>
      </c>
      <c r="EZ15" t="e">
        <f>AND(NhatkyBan!#REF!,"AAAAAEn4/5s=")</f>
        <v>#REF!</v>
      </c>
      <c r="FA15" t="e">
        <f>AND(NhatkyBan!#REF!,"AAAAAEn4/5w=")</f>
        <v>#REF!</v>
      </c>
      <c r="FB15" t="e">
        <f>AND(NhatkyBan!#REF!,"AAAAAEn4/50=")</f>
        <v>#REF!</v>
      </c>
      <c r="FC15" t="e">
        <f>AND(NhatkyBan!#REF!,"AAAAAEn4/54=")</f>
        <v>#REF!</v>
      </c>
      <c r="FD15" t="e">
        <f>AND(NhatkyBan!#REF!,"AAAAAEn4/58=")</f>
        <v>#REF!</v>
      </c>
      <c r="FE15" t="e">
        <f>AND(NhatkyBan!#REF!,"AAAAAEn4/6A=")</f>
        <v>#REF!</v>
      </c>
      <c r="FF15" t="e">
        <f>AND(NhatkyBan!#REF!,"AAAAAEn4/6E=")</f>
        <v>#REF!</v>
      </c>
      <c r="FG15" t="e">
        <f>AND(NhatkyBan!#REF!,"AAAAAEn4/6I=")</f>
        <v>#REF!</v>
      </c>
      <c r="FH15" t="e">
        <f>AND(NhatkyBan!#REF!,"AAAAAEn4/6M=")</f>
        <v>#REF!</v>
      </c>
      <c r="FI15" t="e">
        <f>AND(NhatkyBan!#REF!,"AAAAAEn4/6Q=")</f>
        <v>#REF!</v>
      </c>
      <c r="FJ15" t="e">
        <f>AND(NhatkyBan!#REF!,"AAAAAEn4/6U=")</f>
        <v>#REF!</v>
      </c>
      <c r="FK15" t="e">
        <f>AND(NhatkyBan!#REF!,"AAAAAEn4/6Y=")</f>
        <v>#REF!</v>
      </c>
      <c r="FL15" t="e">
        <f>AND(NhatkyBan!#REF!,"AAAAAEn4/6c=")</f>
        <v>#REF!</v>
      </c>
      <c r="FM15" t="e">
        <f>AND(NhatkyBan!#REF!,"AAAAAEn4/6g=")</f>
        <v>#REF!</v>
      </c>
      <c r="FN15" t="e">
        <f>AND(NhatkyBan!#REF!,"AAAAAEn4/6k=")</f>
        <v>#REF!</v>
      </c>
      <c r="FO15" t="e">
        <f>AND(NhatkyBan!#REF!,"AAAAAEn4/6o=")</f>
        <v>#REF!</v>
      </c>
      <c r="FP15" t="e">
        <f>AND(NhatkyBan!#REF!,"AAAAAEn4/6s=")</f>
        <v>#REF!</v>
      </c>
      <c r="FQ15" t="e">
        <f>AND(NhatkyBan!#REF!,"AAAAAEn4/6w=")</f>
        <v>#REF!</v>
      </c>
      <c r="FR15" t="e">
        <f>AND(NhatkyBan!#REF!,"AAAAAEn4/60=")</f>
        <v>#REF!</v>
      </c>
      <c r="FS15" t="e">
        <f>AND(NhatkyBan!#REF!,"AAAAAEn4/64=")</f>
        <v>#REF!</v>
      </c>
      <c r="FT15" t="e">
        <f>AND(NhatkyBan!#REF!,"AAAAAEn4/68=")</f>
        <v>#REF!</v>
      </c>
      <c r="FU15" t="e">
        <f>AND(NhatkyBan!#REF!,"AAAAAEn4/7A=")</f>
        <v>#REF!</v>
      </c>
      <c r="FV15" t="e">
        <f>AND(NhatkyBan!#REF!,"AAAAAEn4/7E=")</f>
        <v>#REF!</v>
      </c>
      <c r="FW15" t="e">
        <f>AND(NhatkyBan!#REF!,"AAAAAEn4/7I=")</f>
        <v>#REF!</v>
      </c>
      <c r="FX15" t="e">
        <f>AND(NhatkyBan!#REF!,"AAAAAEn4/7M=")</f>
        <v>#REF!</v>
      </c>
      <c r="FY15" t="e">
        <f>AND(NhatkyBan!#REF!,"AAAAAEn4/7Q=")</f>
        <v>#REF!</v>
      </c>
      <c r="FZ15" t="e">
        <f>AND(NhatkyBan!#REF!,"AAAAAEn4/7U=")</f>
        <v>#REF!</v>
      </c>
      <c r="GA15" t="e">
        <f>AND(NhatkyBan!#REF!,"AAAAAEn4/7Y=")</f>
        <v>#REF!</v>
      </c>
      <c r="GB15" t="e">
        <f>AND(NhatkyBan!#REF!,"AAAAAEn4/7c=")</f>
        <v>#REF!</v>
      </c>
      <c r="GC15" t="e">
        <f>AND(NhatkyBan!#REF!,"AAAAAEn4/7g=")</f>
        <v>#REF!</v>
      </c>
      <c r="GD15" t="e">
        <f>AND(NhatkyBan!#REF!,"AAAAAEn4/7k=")</f>
        <v>#REF!</v>
      </c>
      <c r="GE15" t="e">
        <f>AND(NhatkyBan!#REF!,"AAAAAEn4/7o=")</f>
        <v>#REF!</v>
      </c>
      <c r="GF15" t="e">
        <f>AND(NhatkyBan!#REF!,"AAAAAEn4/7s=")</f>
        <v>#REF!</v>
      </c>
      <c r="GG15" t="e">
        <f>AND(NhatkyBan!#REF!,"AAAAAEn4/7w=")</f>
        <v>#REF!</v>
      </c>
      <c r="GH15" t="e">
        <f>IF(NhatkyBan!#REF!,"AAAAAEn4/70=",0)</f>
        <v>#REF!</v>
      </c>
      <c r="GI15" t="e">
        <f>AND(NhatkyBan!#REF!,"AAAAAEn4/74=")</f>
        <v>#REF!</v>
      </c>
      <c r="GJ15" t="e">
        <f>AND(NhatkyBan!#REF!,"AAAAAEn4/78=")</f>
        <v>#REF!</v>
      </c>
      <c r="GK15" t="e">
        <f>AND(NhatkyBan!#REF!,"AAAAAEn4/8A=")</f>
        <v>#REF!</v>
      </c>
      <c r="GL15" t="e">
        <f>AND(NhatkyBan!#REF!,"AAAAAEn4/8E=")</f>
        <v>#REF!</v>
      </c>
      <c r="GM15" t="e">
        <f>AND(NhatkyBan!#REF!,"AAAAAEn4/8I=")</f>
        <v>#REF!</v>
      </c>
      <c r="GN15" t="e">
        <f>AND(NhatkyBan!#REF!,"AAAAAEn4/8M=")</f>
        <v>#REF!</v>
      </c>
      <c r="GO15" t="e">
        <f>AND(NhatkyBan!#REF!,"AAAAAEn4/8Q=")</f>
        <v>#REF!</v>
      </c>
      <c r="GP15" t="e">
        <f>AND(NhatkyBan!#REF!,"AAAAAEn4/8U=")</f>
        <v>#REF!</v>
      </c>
      <c r="GQ15" t="e">
        <f>AND(NhatkyBan!#REF!,"AAAAAEn4/8Y=")</f>
        <v>#REF!</v>
      </c>
      <c r="GR15" t="e">
        <f>AND(NhatkyBan!#REF!,"AAAAAEn4/8c=")</f>
        <v>#REF!</v>
      </c>
      <c r="GS15" t="e">
        <f>AND(NhatkyBan!#REF!,"AAAAAEn4/8g=")</f>
        <v>#REF!</v>
      </c>
      <c r="GT15" t="e">
        <f>AND(NhatkyBan!#REF!,"AAAAAEn4/8k=")</f>
        <v>#REF!</v>
      </c>
      <c r="GU15" t="e">
        <f>AND(NhatkyBan!#REF!,"AAAAAEn4/8o=")</f>
        <v>#REF!</v>
      </c>
      <c r="GV15" t="e">
        <f>AND(NhatkyBan!#REF!,"AAAAAEn4/8s=")</f>
        <v>#REF!</v>
      </c>
      <c r="GW15" t="e">
        <f>AND(NhatkyBan!#REF!,"AAAAAEn4/8w=")</f>
        <v>#REF!</v>
      </c>
      <c r="GX15" t="e">
        <f>AND(NhatkyBan!#REF!,"AAAAAEn4/80=")</f>
        <v>#REF!</v>
      </c>
      <c r="GY15" t="e">
        <f>AND(NhatkyBan!#REF!,"AAAAAEn4/84=")</f>
        <v>#REF!</v>
      </c>
      <c r="GZ15" t="e">
        <f>AND(NhatkyBan!#REF!,"AAAAAEn4/88=")</f>
        <v>#REF!</v>
      </c>
      <c r="HA15" t="e">
        <f>AND(NhatkyBan!#REF!,"AAAAAEn4/9A=")</f>
        <v>#REF!</v>
      </c>
      <c r="HB15" t="e">
        <f>AND(NhatkyBan!#REF!,"AAAAAEn4/9E=")</f>
        <v>#REF!</v>
      </c>
      <c r="HC15" t="e">
        <f>AND(NhatkyBan!#REF!,"AAAAAEn4/9I=")</f>
        <v>#REF!</v>
      </c>
      <c r="HD15" t="e">
        <f>AND(NhatkyBan!#REF!,"AAAAAEn4/9M=")</f>
        <v>#REF!</v>
      </c>
      <c r="HE15" t="e">
        <f>AND(NhatkyBan!#REF!,"AAAAAEn4/9Q=")</f>
        <v>#REF!</v>
      </c>
      <c r="HF15" t="e">
        <f>AND(NhatkyBan!#REF!,"AAAAAEn4/9U=")</f>
        <v>#REF!</v>
      </c>
      <c r="HG15" t="e">
        <f>AND(NhatkyBan!#REF!,"AAAAAEn4/9Y=")</f>
        <v>#REF!</v>
      </c>
      <c r="HH15" t="e">
        <f>AND(NhatkyBan!#REF!,"AAAAAEn4/9c=")</f>
        <v>#REF!</v>
      </c>
      <c r="HI15" t="e">
        <f>AND(NhatkyBan!#REF!,"AAAAAEn4/9g=")</f>
        <v>#REF!</v>
      </c>
      <c r="HJ15" t="e">
        <f>AND(NhatkyBan!#REF!,"AAAAAEn4/9k=")</f>
        <v>#REF!</v>
      </c>
      <c r="HK15" t="e">
        <f>AND(NhatkyBan!#REF!,"AAAAAEn4/9o=")</f>
        <v>#REF!</v>
      </c>
      <c r="HL15" t="e">
        <f>AND(NhatkyBan!#REF!,"AAAAAEn4/9s=")</f>
        <v>#REF!</v>
      </c>
      <c r="HM15" t="e">
        <f>AND(NhatkyBan!#REF!,"AAAAAEn4/9w=")</f>
        <v>#REF!</v>
      </c>
      <c r="HN15" t="e">
        <f>AND(NhatkyBan!#REF!,"AAAAAEn4/90=")</f>
        <v>#REF!</v>
      </c>
      <c r="HO15" t="e">
        <f>AND(NhatkyBan!#REF!,"AAAAAEn4/94=")</f>
        <v>#REF!</v>
      </c>
      <c r="HP15" t="e">
        <f>AND(NhatkyBan!#REF!,"AAAAAEn4/98=")</f>
        <v>#REF!</v>
      </c>
      <c r="HQ15" t="e">
        <f>IF(NhatkyBan!#REF!,"AAAAAEn4/+A=",0)</f>
        <v>#REF!</v>
      </c>
      <c r="HR15" t="e">
        <f>AND(NhatkyBan!#REF!,"AAAAAEn4/+E=")</f>
        <v>#REF!</v>
      </c>
      <c r="HS15" t="e">
        <f>AND(NhatkyBan!#REF!,"AAAAAEn4/+I=")</f>
        <v>#REF!</v>
      </c>
      <c r="HT15" t="e">
        <f>AND(NhatkyBan!#REF!,"AAAAAEn4/+M=")</f>
        <v>#REF!</v>
      </c>
      <c r="HU15" t="e">
        <f>AND(NhatkyBan!#REF!,"AAAAAEn4/+Q=")</f>
        <v>#REF!</v>
      </c>
      <c r="HV15" t="e">
        <f>AND(NhatkyBan!#REF!,"AAAAAEn4/+U=")</f>
        <v>#REF!</v>
      </c>
      <c r="HW15" t="e">
        <f>AND(NhatkyBan!#REF!,"AAAAAEn4/+Y=")</f>
        <v>#REF!</v>
      </c>
      <c r="HX15" t="e">
        <f>AND(NhatkyBan!#REF!,"AAAAAEn4/+c=")</f>
        <v>#REF!</v>
      </c>
      <c r="HY15" t="e">
        <f>AND(NhatkyBan!#REF!,"AAAAAEn4/+g=")</f>
        <v>#REF!</v>
      </c>
      <c r="HZ15" t="e">
        <f>AND(NhatkyBan!#REF!,"AAAAAEn4/+k=")</f>
        <v>#REF!</v>
      </c>
      <c r="IA15" t="e">
        <f>AND(NhatkyBan!#REF!,"AAAAAEn4/+o=")</f>
        <v>#REF!</v>
      </c>
      <c r="IB15" t="e">
        <f>AND(NhatkyBan!#REF!,"AAAAAEn4/+s=")</f>
        <v>#REF!</v>
      </c>
      <c r="IC15" t="e">
        <f>AND(NhatkyBan!#REF!,"AAAAAEn4/+w=")</f>
        <v>#REF!</v>
      </c>
      <c r="ID15" t="e">
        <f>AND(NhatkyBan!#REF!,"AAAAAEn4/+0=")</f>
        <v>#REF!</v>
      </c>
      <c r="IE15" t="e">
        <f>AND(NhatkyBan!#REF!,"AAAAAEn4/+4=")</f>
        <v>#REF!</v>
      </c>
      <c r="IF15" t="e">
        <f>AND(NhatkyBan!#REF!,"AAAAAEn4/+8=")</f>
        <v>#REF!</v>
      </c>
      <c r="IG15" t="e">
        <f>AND(NhatkyBan!#REF!,"AAAAAEn4//A=")</f>
        <v>#REF!</v>
      </c>
      <c r="IH15" t="e">
        <f>AND(NhatkyBan!#REF!,"AAAAAEn4//E=")</f>
        <v>#REF!</v>
      </c>
      <c r="II15" t="e">
        <f>AND(NhatkyBan!#REF!,"AAAAAEn4//I=")</f>
        <v>#REF!</v>
      </c>
      <c r="IJ15" t="e">
        <f>AND(NhatkyBan!#REF!,"AAAAAEn4//M=")</f>
        <v>#REF!</v>
      </c>
      <c r="IK15" t="e">
        <f>AND(NhatkyBan!#REF!,"AAAAAEn4//Q=")</f>
        <v>#REF!</v>
      </c>
      <c r="IL15" t="e">
        <f>AND(NhatkyBan!#REF!,"AAAAAEn4//U=")</f>
        <v>#REF!</v>
      </c>
      <c r="IM15" t="e">
        <f>AND(NhatkyBan!#REF!,"AAAAAEn4//Y=")</f>
        <v>#REF!</v>
      </c>
      <c r="IN15" t="e">
        <f>AND(NhatkyBan!#REF!,"AAAAAEn4//c=")</f>
        <v>#REF!</v>
      </c>
      <c r="IO15" t="e">
        <f>AND(NhatkyBan!#REF!,"AAAAAEn4//g=")</f>
        <v>#REF!</v>
      </c>
      <c r="IP15" t="e">
        <f>AND(NhatkyBan!#REF!,"AAAAAEn4//k=")</f>
        <v>#REF!</v>
      </c>
      <c r="IQ15" t="e">
        <f>AND(NhatkyBan!#REF!,"AAAAAEn4//o=")</f>
        <v>#REF!</v>
      </c>
      <c r="IR15" t="e">
        <f>AND(NhatkyBan!#REF!,"AAAAAEn4//s=")</f>
        <v>#REF!</v>
      </c>
      <c r="IS15" t="e">
        <f>AND(NhatkyBan!#REF!,"AAAAAEn4//w=")</f>
        <v>#REF!</v>
      </c>
      <c r="IT15" t="e">
        <f>AND(NhatkyBan!#REF!,"AAAAAEn4//0=")</f>
        <v>#REF!</v>
      </c>
      <c r="IU15" t="e">
        <f>AND(NhatkyBan!#REF!,"AAAAAEn4//4=")</f>
        <v>#REF!</v>
      </c>
      <c r="IV15" t="e">
        <f>AND(NhatkyBan!#REF!,"AAAAAEn4//8=")</f>
        <v>#REF!</v>
      </c>
    </row>
    <row r="16" spans="1:256">
      <c r="A16" t="e">
        <f>AND(NhatkyBan!#REF!,"AAAAAFNbPwA=")</f>
        <v>#REF!</v>
      </c>
      <c r="B16" t="e">
        <f>AND(NhatkyBan!#REF!,"AAAAAFNbPwE=")</f>
        <v>#REF!</v>
      </c>
      <c r="C16" t="e">
        <f>AND(NhatkyBan!#REF!,"AAAAAFNbPwI=")</f>
        <v>#REF!</v>
      </c>
      <c r="D16" t="e">
        <f>IF(NhatkyBan!#REF!,"AAAAAFNbPwM=",0)</f>
        <v>#REF!</v>
      </c>
      <c r="E16" t="e">
        <f>AND(NhatkyBan!#REF!,"AAAAAFNbPwQ=")</f>
        <v>#REF!</v>
      </c>
      <c r="F16" t="e">
        <f>AND(NhatkyBan!#REF!,"AAAAAFNbPwU=")</f>
        <v>#REF!</v>
      </c>
      <c r="G16" t="e">
        <f>AND(NhatkyBan!#REF!,"AAAAAFNbPwY=")</f>
        <v>#REF!</v>
      </c>
      <c r="H16" t="e">
        <f>AND(NhatkyBan!#REF!,"AAAAAFNbPwc=")</f>
        <v>#REF!</v>
      </c>
      <c r="I16" t="e">
        <f>AND(NhatkyBan!#REF!,"AAAAAFNbPwg=")</f>
        <v>#REF!</v>
      </c>
      <c r="J16" t="e">
        <f>AND(NhatkyBan!#REF!,"AAAAAFNbPwk=")</f>
        <v>#REF!</v>
      </c>
      <c r="K16" t="e">
        <f>AND(NhatkyBan!#REF!,"AAAAAFNbPwo=")</f>
        <v>#REF!</v>
      </c>
      <c r="L16" t="e">
        <f>AND(NhatkyBan!#REF!,"AAAAAFNbPws=")</f>
        <v>#REF!</v>
      </c>
      <c r="M16" t="e">
        <f>AND(NhatkyBan!#REF!,"AAAAAFNbPww=")</f>
        <v>#REF!</v>
      </c>
      <c r="N16" t="e">
        <f>AND(NhatkyBan!#REF!,"AAAAAFNbPw0=")</f>
        <v>#REF!</v>
      </c>
      <c r="O16" t="e">
        <f>AND(NhatkyBan!#REF!,"AAAAAFNbPw4=")</f>
        <v>#REF!</v>
      </c>
      <c r="P16" t="e">
        <f>AND(NhatkyBan!#REF!,"AAAAAFNbPw8=")</f>
        <v>#REF!</v>
      </c>
      <c r="Q16" t="e">
        <f>AND(NhatkyBan!#REF!,"AAAAAFNbPxA=")</f>
        <v>#REF!</v>
      </c>
      <c r="R16" t="e">
        <f>AND(NhatkyBan!#REF!,"AAAAAFNbPxE=")</f>
        <v>#REF!</v>
      </c>
      <c r="S16" t="e">
        <f>AND(NhatkyBan!#REF!,"AAAAAFNbPxI=")</f>
        <v>#REF!</v>
      </c>
      <c r="T16" t="e">
        <f>AND(NhatkyBan!#REF!,"AAAAAFNbPxM=")</f>
        <v>#REF!</v>
      </c>
      <c r="U16" t="e">
        <f>AND(NhatkyBan!#REF!,"AAAAAFNbPxQ=")</f>
        <v>#REF!</v>
      </c>
      <c r="V16" t="e">
        <f>AND(NhatkyBan!#REF!,"AAAAAFNbPxU=")</f>
        <v>#REF!</v>
      </c>
      <c r="W16" t="e">
        <f>AND(NhatkyBan!#REF!,"AAAAAFNbPxY=")</f>
        <v>#REF!</v>
      </c>
      <c r="X16" t="e">
        <f>AND(NhatkyBan!#REF!,"AAAAAFNbPxc=")</f>
        <v>#REF!</v>
      </c>
      <c r="Y16" t="e">
        <f>AND(NhatkyBan!#REF!,"AAAAAFNbPxg=")</f>
        <v>#REF!</v>
      </c>
      <c r="Z16" t="e">
        <f>AND(NhatkyBan!#REF!,"AAAAAFNbPxk=")</f>
        <v>#REF!</v>
      </c>
      <c r="AA16" t="e">
        <f>AND(NhatkyBan!#REF!,"AAAAAFNbPxo=")</f>
        <v>#REF!</v>
      </c>
      <c r="AB16" t="e">
        <f>AND(NhatkyBan!#REF!,"AAAAAFNbPxs=")</f>
        <v>#REF!</v>
      </c>
      <c r="AC16" t="e">
        <f>AND(NhatkyBan!#REF!,"AAAAAFNbPxw=")</f>
        <v>#REF!</v>
      </c>
      <c r="AD16" t="e">
        <f>AND(NhatkyBan!#REF!,"AAAAAFNbPx0=")</f>
        <v>#REF!</v>
      </c>
      <c r="AE16" t="e">
        <f>AND(NhatkyBan!#REF!,"AAAAAFNbPx4=")</f>
        <v>#REF!</v>
      </c>
      <c r="AF16" t="e">
        <f>AND(NhatkyBan!#REF!,"AAAAAFNbPx8=")</f>
        <v>#REF!</v>
      </c>
      <c r="AG16" t="e">
        <f>AND(NhatkyBan!#REF!,"AAAAAFNbPyA=")</f>
        <v>#REF!</v>
      </c>
      <c r="AH16" t="e">
        <f>AND(NhatkyBan!#REF!,"AAAAAFNbPyE=")</f>
        <v>#REF!</v>
      </c>
      <c r="AI16" t="e">
        <f>AND(NhatkyBan!#REF!,"AAAAAFNbPyI=")</f>
        <v>#REF!</v>
      </c>
      <c r="AJ16" t="e">
        <f>AND(NhatkyBan!#REF!,"AAAAAFNbPyM=")</f>
        <v>#REF!</v>
      </c>
      <c r="AK16" t="e">
        <f>AND(NhatkyBan!#REF!,"AAAAAFNbPyQ=")</f>
        <v>#REF!</v>
      </c>
      <c r="AL16" t="e">
        <f>AND(NhatkyBan!#REF!,"AAAAAFNbPyU=")</f>
        <v>#REF!</v>
      </c>
      <c r="AM16" t="e">
        <f>IF(NhatkyBan!#REF!,"AAAAAFNbPyY=",0)</f>
        <v>#REF!</v>
      </c>
      <c r="AN16" t="e">
        <f>AND(NhatkyBan!#REF!,"AAAAAFNbPyc=")</f>
        <v>#REF!</v>
      </c>
      <c r="AO16" t="e">
        <f>AND(NhatkyBan!#REF!,"AAAAAFNbPyg=")</f>
        <v>#REF!</v>
      </c>
      <c r="AP16" t="e">
        <f>AND(NhatkyBan!#REF!,"AAAAAFNbPyk=")</f>
        <v>#REF!</v>
      </c>
      <c r="AQ16" t="e">
        <f>AND(NhatkyBan!#REF!,"AAAAAFNbPyo=")</f>
        <v>#REF!</v>
      </c>
      <c r="AR16" t="e">
        <f>AND(NhatkyBan!#REF!,"AAAAAFNbPys=")</f>
        <v>#REF!</v>
      </c>
      <c r="AS16" t="e">
        <f>AND(NhatkyBan!#REF!,"AAAAAFNbPyw=")</f>
        <v>#REF!</v>
      </c>
      <c r="AT16" t="e">
        <f>AND(NhatkyBan!#REF!,"AAAAAFNbPy0=")</f>
        <v>#REF!</v>
      </c>
      <c r="AU16" t="e">
        <f>AND(NhatkyBan!#REF!,"AAAAAFNbPy4=")</f>
        <v>#REF!</v>
      </c>
      <c r="AV16" t="e">
        <f>AND(NhatkyBan!#REF!,"AAAAAFNbPy8=")</f>
        <v>#REF!</v>
      </c>
      <c r="AW16" t="e">
        <f>AND(NhatkyBan!#REF!,"AAAAAFNbPzA=")</f>
        <v>#REF!</v>
      </c>
      <c r="AX16" t="e">
        <f>AND(NhatkyBan!#REF!,"AAAAAFNbPzE=")</f>
        <v>#REF!</v>
      </c>
      <c r="AY16" t="e">
        <f>AND(NhatkyBan!#REF!,"AAAAAFNbPzI=")</f>
        <v>#REF!</v>
      </c>
      <c r="AZ16" t="e">
        <f>AND(NhatkyBan!#REF!,"AAAAAFNbPzM=")</f>
        <v>#REF!</v>
      </c>
      <c r="BA16" t="e">
        <f>AND(NhatkyBan!#REF!,"AAAAAFNbPzQ=")</f>
        <v>#REF!</v>
      </c>
      <c r="BB16" t="e">
        <f>AND(NhatkyBan!#REF!,"AAAAAFNbPzU=")</f>
        <v>#REF!</v>
      </c>
      <c r="BC16" t="e">
        <f>AND(NhatkyBan!#REF!,"AAAAAFNbPzY=")</f>
        <v>#REF!</v>
      </c>
      <c r="BD16" t="e">
        <f>AND(NhatkyBan!#REF!,"AAAAAFNbPzc=")</f>
        <v>#REF!</v>
      </c>
      <c r="BE16" t="e">
        <f>AND(NhatkyBan!#REF!,"AAAAAFNbPzg=")</f>
        <v>#REF!</v>
      </c>
      <c r="BF16" t="e">
        <f>AND(NhatkyBan!#REF!,"AAAAAFNbPzk=")</f>
        <v>#REF!</v>
      </c>
      <c r="BG16" t="e">
        <f>AND(NhatkyBan!#REF!,"AAAAAFNbPzo=")</f>
        <v>#REF!</v>
      </c>
      <c r="BH16" t="e">
        <f>AND(NhatkyBan!#REF!,"AAAAAFNbPzs=")</f>
        <v>#REF!</v>
      </c>
      <c r="BI16" t="e">
        <f>AND(NhatkyBan!#REF!,"AAAAAFNbPzw=")</f>
        <v>#REF!</v>
      </c>
      <c r="BJ16" t="e">
        <f>AND(NhatkyBan!#REF!,"AAAAAFNbPz0=")</f>
        <v>#REF!</v>
      </c>
      <c r="BK16" t="e">
        <f>AND(NhatkyBan!#REF!,"AAAAAFNbPz4=")</f>
        <v>#REF!</v>
      </c>
      <c r="BL16" t="e">
        <f>AND(NhatkyBan!#REF!,"AAAAAFNbPz8=")</f>
        <v>#REF!</v>
      </c>
      <c r="BM16" t="e">
        <f>AND(NhatkyBan!#REF!,"AAAAAFNbP0A=")</f>
        <v>#REF!</v>
      </c>
      <c r="BN16" t="e">
        <f>AND(NhatkyBan!#REF!,"AAAAAFNbP0E=")</f>
        <v>#REF!</v>
      </c>
      <c r="BO16" t="e">
        <f>AND(NhatkyBan!#REF!,"AAAAAFNbP0I=")</f>
        <v>#REF!</v>
      </c>
      <c r="BP16" t="e">
        <f>AND(NhatkyBan!#REF!,"AAAAAFNbP0M=")</f>
        <v>#REF!</v>
      </c>
      <c r="BQ16" t="e">
        <f>AND(NhatkyBan!#REF!,"AAAAAFNbP0Q=")</f>
        <v>#REF!</v>
      </c>
      <c r="BR16" t="e">
        <f>AND(NhatkyBan!#REF!,"AAAAAFNbP0U=")</f>
        <v>#REF!</v>
      </c>
      <c r="BS16" t="e">
        <f>AND(NhatkyBan!#REF!,"AAAAAFNbP0Y=")</f>
        <v>#REF!</v>
      </c>
      <c r="BT16" t="e">
        <f>AND(NhatkyBan!#REF!,"AAAAAFNbP0c=")</f>
        <v>#REF!</v>
      </c>
      <c r="BU16" t="e">
        <f>AND(NhatkyBan!#REF!,"AAAAAFNbP0g=")</f>
        <v>#REF!</v>
      </c>
      <c r="BV16" t="e">
        <f>IF(NhatkyBan!#REF!,"AAAAAFNbP0k=",0)</f>
        <v>#REF!</v>
      </c>
      <c r="BW16" t="e">
        <f>AND(NhatkyBan!#REF!,"AAAAAFNbP0o=")</f>
        <v>#REF!</v>
      </c>
      <c r="BX16" t="e">
        <f>AND(NhatkyBan!#REF!,"AAAAAFNbP0s=")</f>
        <v>#REF!</v>
      </c>
      <c r="BY16" t="e">
        <f>AND(NhatkyBan!#REF!,"AAAAAFNbP0w=")</f>
        <v>#REF!</v>
      </c>
      <c r="BZ16" t="e">
        <f>AND(NhatkyBan!#REF!,"AAAAAFNbP00=")</f>
        <v>#REF!</v>
      </c>
      <c r="CA16" t="e">
        <f>AND(NhatkyBan!#REF!,"AAAAAFNbP04=")</f>
        <v>#REF!</v>
      </c>
      <c r="CB16" t="e">
        <f>AND(NhatkyBan!#REF!,"AAAAAFNbP08=")</f>
        <v>#REF!</v>
      </c>
      <c r="CC16" t="e">
        <f>AND(NhatkyBan!#REF!,"AAAAAFNbP1A=")</f>
        <v>#REF!</v>
      </c>
      <c r="CD16" t="e">
        <f>AND(NhatkyBan!#REF!,"AAAAAFNbP1E=")</f>
        <v>#REF!</v>
      </c>
      <c r="CE16" t="e">
        <f>AND(NhatkyBan!#REF!,"AAAAAFNbP1I=")</f>
        <v>#REF!</v>
      </c>
      <c r="CF16" t="e">
        <f>AND(NhatkyBan!#REF!,"AAAAAFNbP1M=")</f>
        <v>#REF!</v>
      </c>
      <c r="CG16" t="e">
        <f>AND(NhatkyBan!#REF!,"AAAAAFNbP1Q=")</f>
        <v>#REF!</v>
      </c>
      <c r="CH16" t="e">
        <f>AND(NhatkyBan!#REF!,"AAAAAFNbP1U=")</f>
        <v>#REF!</v>
      </c>
      <c r="CI16" t="e">
        <f>AND(NhatkyBan!#REF!,"AAAAAFNbP1Y=")</f>
        <v>#REF!</v>
      </c>
      <c r="CJ16" t="e">
        <f>AND(NhatkyBan!#REF!,"AAAAAFNbP1c=")</f>
        <v>#REF!</v>
      </c>
      <c r="CK16" t="e">
        <f>AND(NhatkyBan!#REF!,"AAAAAFNbP1g=")</f>
        <v>#REF!</v>
      </c>
      <c r="CL16" t="e">
        <f>AND(NhatkyBan!#REF!,"AAAAAFNbP1k=")</f>
        <v>#REF!</v>
      </c>
      <c r="CM16" t="e">
        <f>AND(NhatkyBan!#REF!,"AAAAAFNbP1o=")</f>
        <v>#REF!</v>
      </c>
      <c r="CN16" t="e">
        <f>AND(NhatkyBan!#REF!,"AAAAAFNbP1s=")</f>
        <v>#REF!</v>
      </c>
      <c r="CO16" t="e">
        <f>AND(NhatkyBan!#REF!,"AAAAAFNbP1w=")</f>
        <v>#REF!</v>
      </c>
      <c r="CP16" t="e">
        <f>AND(NhatkyBan!#REF!,"AAAAAFNbP10=")</f>
        <v>#REF!</v>
      </c>
      <c r="CQ16" t="e">
        <f>AND(NhatkyBan!#REF!,"AAAAAFNbP14=")</f>
        <v>#REF!</v>
      </c>
      <c r="CR16" t="e">
        <f>AND(NhatkyBan!#REF!,"AAAAAFNbP18=")</f>
        <v>#REF!</v>
      </c>
      <c r="CS16" t="e">
        <f>AND(NhatkyBan!#REF!,"AAAAAFNbP2A=")</f>
        <v>#REF!</v>
      </c>
      <c r="CT16" t="e">
        <f>AND(NhatkyBan!#REF!,"AAAAAFNbP2E=")</f>
        <v>#REF!</v>
      </c>
      <c r="CU16" t="e">
        <f>AND(NhatkyBan!#REF!,"AAAAAFNbP2I=")</f>
        <v>#REF!</v>
      </c>
      <c r="CV16" t="e">
        <f>AND(NhatkyBan!#REF!,"AAAAAFNbP2M=")</f>
        <v>#REF!</v>
      </c>
      <c r="CW16" t="e">
        <f>AND(NhatkyBan!#REF!,"AAAAAFNbP2Q=")</f>
        <v>#REF!</v>
      </c>
      <c r="CX16" t="e">
        <f>AND(NhatkyBan!#REF!,"AAAAAFNbP2U=")</f>
        <v>#REF!</v>
      </c>
      <c r="CY16" t="e">
        <f>AND(NhatkyBan!#REF!,"AAAAAFNbP2Y=")</f>
        <v>#REF!</v>
      </c>
      <c r="CZ16" t="e">
        <f>AND(NhatkyBan!#REF!,"AAAAAFNbP2c=")</f>
        <v>#REF!</v>
      </c>
      <c r="DA16" t="e">
        <f>AND(NhatkyBan!#REF!,"AAAAAFNbP2g=")</f>
        <v>#REF!</v>
      </c>
      <c r="DB16" t="e">
        <f>AND(NhatkyBan!#REF!,"AAAAAFNbP2k=")</f>
        <v>#REF!</v>
      </c>
      <c r="DC16" t="e">
        <f>AND(NhatkyBan!#REF!,"AAAAAFNbP2o=")</f>
        <v>#REF!</v>
      </c>
      <c r="DD16" t="e">
        <f>AND(NhatkyBan!#REF!,"AAAAAFNbP2s=")</f>
        <v>#REF!</v>
      </c>
      <c r="DE16" t="e">
        <f>IF(NhatkyBan!#REF!,"AAAAAFNbP2w=",0)</f>
        <v>#REF!</v>
      </c>
      <c r="DF16" t="e">
        <f>AND(NhatkyBan!#REF!,"AAAAAFNbP20=")</f>
        <v>#REF!</v>
      </c>
      <c r="DG16" t="e">
        <f>AND(NhatkyBan!#REF!,"AAAAAFNbP24=")</f>
        <v>#REF!</v>
      </c>
      <c r="DH16" t="e">
        <f>AND(NhatkyBan!#REF!,"AAAAAFNbP28=")</f>
        <v>#REF!</v>
      </c>
      <c r="DI16" t="e">
        <f>AND(NhatkyBan!#REF!,"AAAAAFNbP3A=")</f>
        <v>#REF!</v>
      </c>
      <c r="DJ16" t="e">
        <f>AND(NhatkyBan!#REF!,"AAAAAFNbP3E=")</f>
        <v>#REF!</v>
      </c>
      <c r="DK16" t="e">
        <f>AND(NhatkyBan!#REF!,"AAAAAFNbP3I=")</f>
        <v>#REF!</v>
      </c>
      <c r="DL16" t="e">
        <f>AND(NhatkyBan!#REF!,"AAAAAFNbP3M=")</f>
        <v>#REF!</v>
      </c>
      <c r="DM16" t="e">
        <f>AND(NhatkyBan!#REF!,"AAAAAFNbP3Q=")</f>
        <v>#REF!</v>
      </c>
      <c r="DN16" t="e">
        <f>AND(NhatkyBan!#REF!,"AAAAAFNbP3U=")</f>
        <v>#REF!</v>
      </c>
      <c r="DO16" t="e">
        <f>AND(NhatkyBan!#REF!,"AAAAAFNbP3Y=")</f>
        <v>#REF!</v>
      </c>
      <c r="DP16" t="e">
        <f>AND(NhatkyBan!#REF!,"AAAAAFNbP3c=")</f>
        <v>#REF!</v>
      </c>
      <c r="DQ16" t="e">
        <f>AND(NhatkyBan!#REF!,"AAAAAFNbP3g=")</f>
        <v>#REF!</v>
      </c>
      <c r="DR16" t="e">
        <f>AND(NhatkyBan!#REF!,"AAAAAFNbP3k=")</f>
        <v>#REF!</v>
      </c>
      <c r="DS16" t="e">
        <f>AND(NhatkyBan!#REF!,"AAAAAFNbP3o=")</f>
        <v>#REF!</v>
      </c>
      <c r="DT16" t="e">
        <f>AND(NhatkyBan!#REF!,"AAAAAFNbP3s=")</f>
        <v>#REF!</v>
      </c>
      <c r="DU16" t="e">
        <f>AND(NhatkyBan!#REF!,"AAAAAFNbP3w=")</f>
        <v>#REF!</v>
      </c>
      <c r="DV16" t="e">
        <f>AND(NhatkyBan!#REF!,"AAAAAFNbP30=")</f>
        <v>#REF!</v>
      </c>
      <c r="DW16" t="e">
        <f>AND(NhatkyBan!#REF!,"AAAAAFNbP34=")</f>
        <v>#REF!</v>
      </c>
      <c r="DX16" t="e">
        <f>AND(NhatkyBan!#REF!,"AAAAAFNbP38=")</f>
        <v>#REF!</v>
      </c>
      <c r="DY16" t="e">
        <f>AND(NhatkyBan!#REF!,"AAAAAFNbP4A=")</f>
        <v>#REF!</v>
      </c>
      <c r="DZ16" t="e">
        <f>AND(NhatkyBan!#REF!,"AAAAAFNbP4E=")</f>
        <v>#REF!</v>
      </c>
      <c r="EA16" t="e">
        <f>AND(NhatkyBan!#REF!,"AAAAAFNbP4I=")</f>
        <v>#REF!</v>
      </c>
      <c r="EB16" t="e">
        <f>AND(NhatkyBan!#REF!,"AAAAAFNbP4M=")</f>
        <v>#REF!</v>
      </c>
      <c r="EC16" t="e">
        <f>AND(NhatkyBan!#REF!,"AAAAAFNbP4Q=")</f>
        <v>#REF!</v>
      </c>
      <c r="ED16" t="e">
        <f>AND(NhatkyBan!#REF!,"AAAAAFNbP4U=")</f>
        <v>#REF!</v>
      </c>
      <c r="EE16" t="e">
        <f>AND(NhatkyBan!#REF!,"AAAAAFNbP4Y=")</f>
        <v>#REF!</v>
      </c>
      <c r="EF16" t="e">
        <f>AND(NhatkyBan!#REF!,"AAAAAFNbP4c=")</f>
        <v>#REF!</v>
      </c>
      <c r="EG16" t="e">
        <f>AND(NhatkyBan!#REF!,"AAAAAFNbP4g=")</f>
        <v>#REF!</v>
      </c>
      <c r="EH16" t="e">
        <f>AND(NhatkyBan!#REF!,"AAAAAFNbP4k=")</f>
        <v>#REF!</v>
      </c>
      <c r="EI16" t="e">
        <f>AND(NhatkyBan!#REF!,"AAAAAFNbP4o=")</f>
        <v>#REF!</v>
      </c>
      <c r="EJ16" t="e">
        <f>AND(NhatkyBan!#REF!,"AAAAAFNbP4s=")</f>
        <v>#REF!</v>
      </c>
      <c r="EK16" t="e">
        <f>AND(NhatkyBan!#REF!,"AAAAAFNbP4w=")</f>
        <v>#REF!</v>
      </c>
      <c r="EL16" t="e">
        <f>AND(NhatkyBan!#REF!,"AAAAAFNbP40=")</f>
        <v>#REF!</v>
      </c>
      <c r="EM16" t="e">
        <f>AND(NhatkyBan!#REF!,"AAAAAFNbP44=")</f>
        <v>#REF!</v>
      </c>
      <c r="EN16" t="e">
        <f>IF(NhatkyBan!#REF!,"AAAAAFNbP48=",0)</f>
        <v>#REF!</v>
      </c>
      <c r="EO16" t="e">
        <f>AND(NhatkyBan!#REF!,"AAAAAFNbP5A=")</f>
        <v>#REF!</v>
      </c>
      <c r="EP16" t="e">
        <f>AND(NhatkyBan!#REF!,"AAAAAFNbP5E=")</f>
        <v>#REF!</v>
      </c>
      <c r="EQ16" t="e">
        <f>AND(NhatkyBan!#REF!,"AAAAAFNbP5I=")</f>
        <v>#REF!</v>
      </c>
      <c r="ER16" t="e">
        <f>AND(NhatkyBan!#REF!,"AAAAAFNbP5M=")</f>
        <v>#REF!</v>
      </c>
      <c r="ES16" t="e">
        <f>AND(NhatkyBan!#REF!,"AAAAAFNbP5Q=")</f>
        <v>#REF!</v>
      </c>
      <c r="ET16" t="e">
        <f>AND(NhatkyBan!#REF!,"AAAAAFNbP5U=")</f>
        <v>#REF!</v>
      </c>
      <c r="EU16" t="e">
        <f>AND(NhatkyBan!#REF!,"AAAAAFNbP5Y=")</f>
        <v>#REF!</v>
      </c>
      <c r="EV16" t="e">
        <f>AND(NhatkyBan!#REF!,"AAAAAFNbP5c=")</f>
        <v>#REF!</v>
      </c>
      <c r="EW16" t="e">
        <f>AND(NhatkyBan!#REF!,"AAAAAFNbP5g=")</f>
        <v>#REF!</v>
      </c>
      <c r="EX16" t="e">
        <f>AND(NhatkyBan!#REF!,"AAAAAFNbP5k=")</f>
        <v>#REF!</v>
      </c>
      <c r="EY16" t="e">
        <f>AND(NhatkyBan!#REF!,"AAAAAFNbP5o=")</f>
        <v>#REF!</v>
      </c>
      <c r="EZ16" t="e">
        <f>AND(NhatkyBan!#REF!,"AAAAAFNbP5s=")</f>
        <v>#REF!</v>
      </c>
      <c r="FA16" t="e">
        <f>AND(NhatkyBan!#REF!,"AAAAAFNbP5w=")</f>
        <v>#REF!</v>
      </c>
      <c r="FB16" t="e">
        <f>AND(NhatkyBan!#REF!,"AAAAAFNbP50=")</f>
        <v>#REF!</v>
      </c>
      <c r="FC16" t="e">
        <f>AND(NhatkyBan!#REF!,"AAAAAFNbP54=")</f>
        <v>#REF!</v>
      </c>
      <c r="FD16" t="e">
        <f>AND(NhatkyBan!#REF!,"AAAAAFNbP58=")</f>
        <v>#REF!</v>
      </c>
      <c r="FE16" t="e">
        <f>AND(NhatkyBan!#REF!,"AAAAAFNbP6A=")</f>
        <v>#REF!</v>
      </c>
      <c r="FF16" t="e">
        <f>AND(NhatkyBan!#REF!,"AAAAAFNbP6E=")</f>
        <v>#REF!</v>
      </c>
      <c r="FG16" t="e">
        <f>AND(NhatkyBan!#REF!,"AAAAAFNbP6I=")</f>
        <v>#REF!</v>
      </c>
      <c r="FH16" t="e">
        <f>AND(NhatkyBan!#REF!,"AAAAAFNbP6M=")</f>
        <v>#REF!</v>
      </c>
      <c r="FI16" t="e">
        <f>AND(NhatkyBan!#REF!,"AAAAAFNbP6Q=")</f>
        <v>#REF!</v>
      </c>
      <c r="FJ16" t="e">
        <f>AND(NhatkyBan!#REF!,"AAAAAFNbP6U=")</f>
        <v>#REF!</v>
      </c>
      <c r="FK16" t="e">
        <f>AND(NhatkyBan!#REF!,"AAAAAFNbP6Y=")</f>
        <v>#REF!</v>
      </c>
      <c r="FL16" t="e">
        <f>AND(NhatkyBan!#REF!,"AAAAAFNbP6c=")</f>
        <v>#REF!</v>
      </c>
      <c r="FM16" t="e">
        <f>AND(NhatkyBan!#REF!,"AAAAAFNbP6g=")</f>
        <v>#REF!</v>
      </c>
      <c r="FN16" t="e">
        <f>AND(NhatkyBan!#REF!,"AAAAAFNbP6k=")</f>
        <v>#REF!</v>
      </c>
      <c r="FO16" t="e">
        <f>AND(NhatkyBan!#REF!,"AAAAAFNbP6o=")</f>
        <v>#REF!</v>
      </c>
      <c r="FP16" t="e">
        <f>AND(NhatkyBan!#REF!,"AAAAAFNbP6s=")</f>
        <v>#REF!</v>
      </c>
      <c r="FQ16" t="e">
        <f>AND(NhatkyBan!#REF!,"AAAAAFNbP6w=")</f>
        <v>#REF!</v>
      </c>
      <c r="FR16" t="e">
        <f>AND(NhatkyBan!#REF!,"AAAAAFNbP60=")</f>
        <v>#REF!</v>
      </c>
      <c r="FS16" t="e">
        <f>AND(NhatkyBan!#REF!,"AAAAAFNbP64=")</f>
        <v>#REF!</v>
      </c>
      <c r="FT16" t="e">
        <f>AND(NhatkyBan!#REF!,"AAAAAFNbP68=")</f>
        <v>#REF!</v>
      </c>
      <c r="FU16" t="e">
        <f>AND(NhatkyBan!#REF!,"AAAAAFNbP7A=")</f>
        <v>#REF!</v>
      </c>
      <c r="FV16" t="e">
        <f>AND(NhatkyBan!#REF!,"AAAAAFNbP7E=")</f>
        <v>#REF!</v>
      </c>
      <c r="FW16" t="e">
        <f>IF(NhatkyBan!#REF!,"AAAAAFNbP7I=",0)</f>
        <v>#REF!</v>
      </c>
      <c r="FX16" t="e">
        <f>AND(NhatkyBan!#REF!,"AAAAAFNbP7M=")</f>
        <v>#REF!</v>
      </c>
      <c r="FY16" t="e">
        <f>AND(NhatkyBan!#REF!,"AAAAAFNbP7Q=")</f>
        <v>#REF!</v>
      </c>
      <c r="FZ16" t="e">
        <f>AND(NhatkyBan!#REF!,"AAAAAFNbP7U=")</f>
        <v>#REF!</v>
      </c>
      <c r="GA16" t="e">
        <f>AND(NhatkyBan!#REF!,"AAAAAFNbP7Y=")</f>
        <v>#REF!</v>
      </c>
      <c r="GB16" t="e">
        <f>AND(NhatkyBan!#REF!,"AAAAAFNbP7c=")</f>
        <v>#REF!</v>
      </c>
      <c r="GC16" t="e">
        <f>AND(NhatkyBan!#REF!,"AAAAAFNbP7g=")</f>
        <v>#REF!</v>
      </c>
      <c r="GD16" t="e">
        <f>AND(NhatkyBan!#REF!,"AAAAAFNbP7k=")</f>
        <v>#REF!</v>
      </c>
      <c r="GE16" t="e">
        <f>AND(NhatkyBan!#REF!,"AAAAAFNbP7o=")</f>
        <v>#REF!</v>
      </c>
      <c r="GF16" t="e">
        <f>AND(NhatkyBan!#REF!,"AAAAAFNbP7s=")</f>
        <v>#REF!</v>
      </c>
      <c r="GG16" t="e">
        <f>AND(NhatkyBan!#REF!,"AAAAAFNbP7w=")</f>
        <v>#REF!</v>
      </c>
      <c r="GH16" t="e">
        <f>AND(NhatkyBan!#REF!,"AAAAAFNbP70=")</f>
        <v>#REF!</v>
      </c>
      <c r="GI16" t="e">
        <f>AND(NhatkyBan!#REF!,"AAAAAFNbP74=")</f>
        <v>#REF!</v>
      </c>
      <c r="GJ16" t="e">
        <f>AND(NhatkyBan!#REF!,"AAAAAFNbP78=")</f>
        <v>#REF!</v>
      </c>
      <c r="GK16" t="e">
        <f>AND(NhatkyBan!#REF!,"AAAAAFNbP8A=")</f>
        <v>#REF!</v>
      </c>
      <c r="GL16" t="e">
        <f>AND(NhatkyBan!#REF!,"AAAAAFNbP8E=")</f>
        <v>#REF!</v>
      </c>
      <c r="GM16" t="e">
        <f>AND(NhatkyBan!#REF!,"AAAAAFNbP8I=")</f>
        <v>#REF!</v>
      </c>
      <c r="GN16" t="e">
        <f>AND(NhatkyBan!#REF!,"AAAAAFNbP8M=")</f>
        <v>#REF!</v>
      </c>
      <c r="GO16" t="e">
        <f>AND(NhatkyBan!#REF!,"AAAAAFNbP8Q=")</f>
        <v>#REF!</v>
      </c>
      <c r="GP16" t="e">
        <f>AND(NhatkyBan!#REF!,"AAAAAFNbP8U=")</f>
        <v>#REF!</v>
      </c>
      <c r="GQ16" t="e">
        <f>AND(NhatkyBan!#REF!,"AAAAAFNbP8Y=")</f>
        <v>#REF!</v>
      </c>
      <c r="GR16" t="e">
        <f>AND(NhatkyBan!#REF!,"AAAAAFNbP8c=")</f>
        <v>#REF!</v>
      </c>
      <c r="GS16" t="e">
        <f>AND(NhatkyBan!#REF!,"AAAAAFNbP8g=")</f>
        <v>#REF!</v>
      </c>
      <c r="GT16" t="e">
        <f>AND(NhatkyBan!#REF!,"AAAAAFNbP8k=")</f>
        <v>#REF!</v>
      </c>
      <c r="GU16" t="e">
        <f>AND(NhatkyBan!#REF!,"AAAAAFNbP8o=")</f>
        <v>#REF!</v>
      </c>
      <c r="GV16" t="e">
        <f>AND(NhatkyBan!#REF!,"AAAAAFNbP8s=")</f>
        <v>#REF!</v>
      </c>
      <c r="GW16" t="e">
        <f>AND(NhatkyBan!#REF!,"AAAAAFNbP8w=")</f>
        <v>#REF!</v>
      </c>
      <c r="GX16" t="e">
        <f>AND(NhatkyBan!#REF!,"AAAAAFNbP80=")</f>
        <v>#REF!</v>
      </c>
      <c r="GY16" t="e">
        <f>AND(NhatkyBan!#REF!,"AAAAAFNbP84=")</f>
        <v>#REF!</v>
      </c>
      <c r="GZ16" t="e">
        <f>AND(NhatkyBan!#REF!,"AAAAAFNbP88=")</f>
        <v>#REF!</v>
      </c>
      <c r="HA16" t="e">
        <f>AND(NhatkyBan!#REF!,"AAAAAFNbP9A=")</f>
        <v>#REF!</v>
      </c>
      <c r="HB16" t="e">
        <f>AND(NhatkyBan!#REF!,"AAAAAFNbP9E=")</f>
        <v>#REF!</v>
      </c>
      <c r="HC16" t="e">
        <f>AND(NhatkyBan!#REF!,"AAAAAFNbP9I=")</f>
        <v>#REF!</v>
      </c>
      <c r="HD16" t="e">
        <f>AND(NhatkyBan!#REF!,"AAAAAFNbP9M=")</f>
        <v>#REF!</v>
      </c>
      <c r="HE16" t="e">
        <f>AND(NhatkyBan!#REF!,"AAAAAFNbP9Q=")</f>
        <v>#REF!</v>
      </c>
      <c r="HF16" t="e">
        <f>IF(NhatkyBan!#REF!,"AAAAAFNbP9U=",0)</f>
        <v>#REF!</v>
      </c>
      <c r="HG16" t="e">
        <f>AND(NhatkyBan!#REF!,"AAAAAFNbP9Y=")</f>
        <v>#REF!</v>
      </c>
      <c r="HH16" t="e">
        <f>AND(NhatkyBan!#REF!,"AAAAAFNbP9c=")</f>
        <v>#REF!</v>
      </c>
      <c r="HI16" t="e">
        <f>AND(NhatkyBan!#REF!,"AAAAAFNbP9g=")</f>
        <v>#REF!</v>
      </c>
      <c r="HJ16" t="e">
        <f>AND(NhatkyBan!#REF!,"AAAAAFNbP9k=")</f>
        <v>#REF!</v>
      </c>
      <c r="HK16" t="e">
        <f>AND(NhatkyBan!#REF!,"AAAAAFNbP9o=")</f>
        <v>#REF!</v>
      </c>
      <c r="HL16" t="e">
        <f>AND(NhatkyBan!#REF!,"AAAAAFNbP9s=")</f>
        <v>#REF!</v>
      </c>
      <c r="HM16" t="e">
        <f>AND(NhatkyBan!#REF!,"AAAAAFNbP9w=")</f>
        <v>#REF!</v>
      </c>
      <c r="HN16" t="e">
        <f>AND(NhatkyBan!#REF!,"AAAAAFNbP90=")</f>
        <v>#REF!</v>
      </c>
      <c r="HO16" t="e">
        <f>AND(NhatkyBan!#REF!,"AAAAAFNbP94=")</f>
        <v>#REF!</v>
      </c>
      <c r="HP16" t="e">
        <f>AND(NhatkyBan!#REF!,"AAAAAFNbP98=")</f>
        <v>#REF!</v>
      </c>
      <c r="HQ16" t="e">
        <f>AND(NhatkyBan!#REF!,"AAAAAFNbP+A=")</f>
        <v>#REF!</v>
      </c>
      <c r="HR16" t="e">
        <f>AND(NhatkyBan!#REF!,"AAAAAFNbP+E=")</f>
        <v>#REF!</v>
      </c>
      <c r="HS16" t="e">
        <f>AND(NhatkyBan!#REF!,"AAAAAFNbP+I=")</f>
        <v>#REF!</v>
      </c>
      <c r="HT16" t="e">
        <f>AND(NhatkyBan!#REF!,"AAAAAFNbP+M=")</f>
        <v>#REF!</v>
      </c>
      <c r="HU16" t="e">
        <f>AND(NhatkyBan!#REF!,"AAAAAFNbP+Q=")</f>
        <v>#REF!</v>
      </c>
      <c r="HV16" t="e">
        <f>AND(NhatkyBan!#REF!,"AAAAAFNbP+U=")</f>
        <v>#REF!</v>
      </c>
      <c r="HW16" t="e">
        <f>AND(NhatkyBan!#REF!,"AAAAAFNbP+Y=")</f>
        <v>#REF!</v>
      </c>
      <c r="HX16" t="e">
        <f>AND(NhatkyBan!#REF!,"AAAAAFNbP+c=")</f>
        <v>#REF!</v>
      </c>
      <c r="HY16" t="e">
        <f>AND(NhatkyBan!#REF!,"AAAAAFNbP+g=")</f>
        <v>#REF!</v>
      </c>
      <c r="HZ16" t="e">
        <f>AND(NhatkyBan!#REF!,"AAAAAFNbP+k=")</f>
        <v>#REF!</v>
      </c>
      <c r="IA16" t="e">
        <f>AND(NhatkyBan!#REF!,"AAAAAFNbP+o=")</f>
        <v>#REF!</v>
      </c>
      <c r="IB16" t="e">
        <f>AND(NhatkyBan!#REF!,"AAAAAFNbP+s=")</f>
        <v>#REF!</v>
      </c>
      <c r="IC16" t="e">
        <f>AND(NhatkyBan!#REF!,"AAAAAFNbP+w=")</f>
        <v>#REF!</v>
      </c>
      <c r="ID16" t="e">
        <f>AND(NhatkyBan!#REF!,"AAAAAFNbP+0=")</f>
        <v>#REF!</v>
      </c>
      <c r="IE16" t="e">
        <f>AND(NhatkyBan!#REF!,"AAAAAFNbP+4=")</f>
        <v>#REF!</v>
      </c>
      <c r="IF16" t="e">
        <f>AND(NhatkyBan!#REF!,"AAAAAFNbP+8=")</f>
        <v>#REF!</v>
      </c>
      <c r="IG16" t="e">
        <f>AND(NhatkyBan!#REF!,"AAAAAFNbP/A=")</f>
        <v>#REF!</v>
      </c>
      <c r="IH16" t="e">
        <f>AND(NhatkyBan!#REF!,"AAAAAFNbP/E=")</f>
        <v>#REF!</v>
      </c>
      <c r="II16" t="e">
        <f>AND(NhatkyBan!#REF!,"AAAAAFNbP/I=")</f>
        <v>#REF!</v>
      </c>
      <c r="IJ16" t="e">
        <f>AND(NhatkyBan!#REF!,"AAAAAFNbP/M=")</f>
        <v>#REF!</v>
      </c>
      <c r="IK16" t="e">
        <f>AND(NhatkyBan!#REF!,"AAAAAFNbP/Q=")</f>
        <v>#REF!</v>
      </c>
      <c r="IL16" t="e">
        <f>AND(NhatkyBan!#REF!,"AAAAAFNbP/U=")</f>
        <v>#REF!</v>
      </c>
      <c r="IM16" t="e">
        <f>AND(NhatkyBan!#REF!,"AAAAAFNbP/Y=")</f>
        <v>#REF!</v>
      </c>
      <c r="IN16" t="e">
        <f>AND(NhatkyBan!#REF!,"AAAAAFNbP/c=")</f>
        <v>#REF!</v>
      </c>
      <c r="IO16" t="e">
        <f>IF(NhatkyBan!#REF!,"AAAAAFNbP/g=",0)</f>
        <v>#REF!</v>
      </c>
      <c r="IP16" t="e">
        <f>AND(NhatkyBan!#REF!,"AAAAAFNbP/k=")</f>
        <v>#REF!</v>
      </c>
      <c r="IQ16" t="e">
        <f>AND(NhatkyBan!#REF!,"AAAAAFNbP/o=")</f>
        <v>#REF!</v>
      </c>
      <c r="IR16" t="e">
        <f>AND(NhatkyBan!#REF!,"AAAAAFNbP/s=")</f>
        <v>#REF!</v>
      </c>
      <c r="IS16" t="e">
        <f>AND(NhatkyBan!#REF!,"AAAAAFNbP/w=")</f>
        <v>#REF!</v>
      </c>
      <c r="IT16" t="e">
        <f>AND(NhatkyBan!#REF!,"AAAAAFNbP/0=")</f>
        <v>#REF!</v>
      </c>
      <c r="IU16" t="e">
        <f>AND(NhatkyBan!#REF!,"AAAAAFNbP/4=")</f>
        <v>#REF!</v>
      </c>
      <c r="IV16" t="e">
        <f>AND(NhatkyBan!#REF!,"AAAAAFNbP/8=")</f>
        <v>#REF!</v>
      </c>
    </row>
    <row r="17" spans="1:256">
      <c r="A17" t="e">
        <f>AND(NhatkyBan!#REF!,"AAAAAHMz1wA=")</f>
        <v>#REF!</v>
      </c>
      <c r="B17" t="e">
        <f>AND(NhatkyBan!#REF!,"AAAAAHMz1wE=")</f>
        <v>#REF!</v>
      </c>
      <c r="C17" t="e">
        <f>AND(NhatkyBan!#REF!,"AAAAAHMz1wI=")</f>
        <v>#REF!</v>
      </c>
      <c r="D17" t="e">
        <f>AND(NhatkyBan!#REF!,"AAAAAHMz1wM=")</f>
        <v>#REF!</v>
      </c>
      <c r="E17" t="e">
        <f>AND(NhatkyBan!#REF!,"AAAAAHMz1wQ=")</f>
        <v>#REF!</v>
      </c>
      <c r="F17" t="e">
        <f>AND(NhatkyBan!#REF!,"AAAAAHMz1wU=")</f>
        <v>#REF!</v>
      </c>
      <c r="G17" t="e">
        <f>AND(NhatkyBan!#REF!,"AAAAAHMz1wY=")</f>
        <v>#REF!</v>
      </c>
      <c r="H17" t="e">
        <f>AND(NhatkyBan!#REF!,"AAAAAHMz1wc=")</f>
        <v>#REF!</v>
      </c>
      <c r="I17" t="e">
        <f>AND(NhatkyBan!#REF!,"AAAAAHMz1wg=")</f>
        <v>#REF!</v>
      </c>
      <c r="J17" t="e">
        <f>AND(NhatkyBan!#REF!,"AAAAAHMz1wk=")</f>
        <v>#REF!</v>
      </c>
      <c r="K17" t="e">
        <f>AND(NhatkyBan!#REF!,"AAAAAHMz1wo=")</f>
        <v>#REF!</v>
      </c>
      <c r="L17" t="e">
        <f>AND(NhatkyBan!#REF!,"AAAAAHMz1ws=")</f>
        <v>#REF!</v>
      </c>
      <c r="M17" t="e">
        <f>AND(NhatkyBan!#REF!,"AAAAAHMz1ww=")</f>
        <v>#REF!</v>
      </c>
      <c r="N17" t="e">
        <f>AND(NhatkyBan!#REF!,"AAAAAHMz1w0=")</f>
        <v>#REF!</v>
      </c>
      <c r="O17" t="e">
        <f>AND(NhatkyBan!#REF!,"AAAAAHMz1w4=")</f>
        <v>#REF!</v>
      </c>
      <c r="P17" t="e">
        <f>AND(NhatkyBan!#REF!,"AAAAAHMz1w8=")</f>
        <v>#REF!</v>
      </c>
      <c r="Q17" t="e">
        <f>AND(NhatkyBan!#REF!,"AAAAAHMz1xA=")</f>
        <v>#REF!</v>
      </c>
      <c r="R17" t="e">
        <f>AND(NhatkyBan!#REF!,"AAAAAHMz1xE=")</f>
        <v>#REF!</v>
      </c>
      <c r="S17" t="e">
        <f>AND(NhatkyBan!#REF!,"AAAAAHMz1xI=")</f>
        <v>#REF!</v>
      </c>
      <c r="T17" t="e">
        <f>AND(NhatkyBan!#REF!,"AAAAAHMz1xM=")</f>
        <v>#REF!</v>
      </c>
      <c r="U17" t="e">
        <f>AND(NhatkyBan!#REF!,"AAAAAHMz1xQ=")</f>
        <v>#REF!</v>
      </c>
      <c r="V17" t="e">
        <f>AND(NhatkyBan!#REF!,"AAAAAHMz1xU=")</f>
        <v>#REF!</v>
      </c>
      <c r="W17" t="e">
        <f>AND(NhatkyBan!#REF!,"AAAAAHMz1xY=")</f>
        <v>#REF!</v>
      </c>
      <c r="X17" t="e">
        <f>AND(NhatkyBan!#REF!,"AAAAAHMz1xc=")</f>
        <v>#REF!</v>
      </c>
      <c r="Y17" t="e">
        <f>AND(NhatkyBan!#REF!,"AAAAAHMz1xg=")</f>
        <v>#REF!</v>
      </c>
      <c r="Z17" t="e">
        <f>AND(NhatkyBan!#REF!,"AAAAAHMz1xk=")</f>
        <v>#REF!</v>
      </c>
      <c r="AA17" t="e">
        <f>AND(NhatkyBan!#REF!,"AAAAAHMz1xo=")</f>
        <v>#REF!</v>
      </c>
      <c r="AB17" t="e">
        <f>IF(NhatkyBan!#REF!,"AAAAAHMz1xs=",0)</f>
        <v>#REF!</v>
      </c>
      <c r="AC17" t="e">
        <f>AND(NhatkyBan!#REF!,"AAAAAHMz1xw=")</f>
        <v>#REF!</v>
      </c>
      <c r="AD17" t="e">
        <f>AND(NhatkyBan!#REF!,"AAAAAHMz1x0=")</f>
        <v>#REF!</v>
      </c>
      <c r="AE17" t="e">
        <f>AND(NhatkyBan!#REF!,"AAAAAHMz1x4=")</f>
        <v>#REF!</v>
      </c>
      <c r="AF17" t="e">
        <f>AND(NhatkyBan!#REF!,"AAAAAHMz1x8=")</f>
        <v>#REF!</v>
      </c>
      <c r="AG17" t="e">
        <f>AND(NhatkyBan!#REF!,"AAAAAHMz1yA=")</f>
        <v>#REF!</v>
      </c>
      <c r="AH17" t="e">
        <f>AND(NhatkyBan!#REF!,"AAAAAHMz1yE=")</f>
        <v>#REF!</v>
      </c>
      <c r="AI17" t="e">
        <f>AND(NhatkyBan!#REF!,"AAAAAHMz1yI=")</f>
        <v>#REF!</v>
      </c>
      <c r="AJ17" t="e">
        <f>AND(NhatkyBan!#REF!,"AAAAAHMz1yM=")</f>
        <v>#REF!</v>
      </c>
      <c r="AK17" t="e">
        <f>AND(NhatkyBan!#REF!,"AAAAAHMz1yQ=")</f>
        <v>#REF!</v>
      </c>
      <c r="AL17" t="e">
        <f>AND(NhatkyBan!#REF!,"AAAAAHMz1yU=")</f>
        <v>#REF!</v>
      </c>
      <c r="AM17" t="e">
        <f>AND(NhatkyBan!#REF!,"AAAAAHMz1yY=")</f>
        <v>#REF!</v>
      </c>
      <c r="AN17" t="e">
        <f>AND(NhatkyBan!#REF!,"AAAAAHMz1yc=")</f>
        <v>#REF!</v>
      </c>
      <c r="AO17" t="e">
        <f>AND(NhatkyBan!#REF!,"AAAAAHMz1yg=")</f>
        <v>#REF!</v>
      </c>
      <c r="AP17" t="e">
        <f>AND(NhatkyBan!#REF!,"AAAAAHMz1yk=")</f>
        <v>#REF!</v>
      </c>
      <c r="AQ17" t="e">
        <f>AND(NhatkyBan!#REF!,"AAAAAHMz1yo=")</f>
        <v>#REF!</v>
      </c>
      <c r="AR17" t="e">
        <f>AND(NhatkyBan!#REF!,"AAAAAHMz1ys=")</f>
        <v>#REF!</v>
      </c>
      <c r="AS17" t="e">
        <f>AND(NhatkyBan!#REF!,"AAAAAHMz1yw=")</f>
        <v>#REF!</v>
      </c>
      <c r="AT17" t="e">
        <f>AND(NhatkyBan!#REF!,"AAAAAHMz1y0=")</f>
        <v>#REF!</v>
      </c>
      <c r="AU17" t="e">
        <f>AND(NhatkyBan!#REF!,"AAAAAHMz1y4=")</f>
        <v>#REF!</v>
      </c>
      <c r="AV17" t="e">
        <f>AND(NhatkyBan!#REF!,"AAAAAHMz1y8=")</f>
        <v>#REF!</v>
      </c>
      <c r="AW17" t="e">
        <f>AND(NhatkyBan!#REF!,"AAAAAHMz1zA=")</f>
        <v>#REF!</v>
      </c>
      <c r="AX17" t="e">
        <f>AND(NhatkyBan!#REF!,"AAAAAHMz1zE=")</f>
        <v>#REF!</v>
      </c>
      <c r="AY17" t="e">
        <f>AND(NhatkyBan!#REF!,"AAAAAHMz1zI=")</f>
        <v>#REF!</v>
      </c>
      <c r="AZ17" t="e">
        <f>AND(NhatkyBan!#REF!,"AAAAAHMz1zM=")</f>
        <v>#REF!</v>
      </c>
      <c r="BA17" t="e">
        <f>AND(NhatkyBan!#REF!,"AAAAAHMz1zQ=")</f>
        <v>#REF!</v>
      </c>
      <c r="BB17" t="e">
        <f>AND(NhatkyBan!#REF!,"AAAAAHMz1zU=")</f>
        <v>#REF!</v>
      </c>
      <c r="BC17" t="e">
        <f>AND(NhatkyBan!#REF!,"AAAAAHMz1zY=")</f>
        <v>#REF!</v>
      </c>
      <c r="BD17" t="e">
        <f>AND(NhatkyBan!#REF!,"AAAAAHMz1zc=")</f>
        <v>#REF!</v>
      </c>
      <c r="BE17" t="e">
        <f>AND(NhatkyBan!#REF!,"AAAAAHMz1zg=")</f>
        <v>#REF!</v>
      </c>
      <c r="BF17" t="e">
        <f>AND(NhatkyBan!#REF!,"AAAAAHMz1zk=")</f>
        <v>#REF!</v>
      </c>
      <c r="BG17" t="e">
        <f>AND(NhatkyBan!#REF!,"AAAAAHMz1zo=")</f>
        <v>#REF!</v>
      </c>
      <c r="BH17" t="e">
        <f>AND(NhatkyBan!#REF!,"AAAAAHMz1zs=")</f>
        <v>#REF!</v>
      </c>
      <c r="BI17" t="e">
        <f>AND(NhatkyBan!#REF!,"AAAAAHMz1zw=")</f>
        <v>#REF!</v>
      </c>
      <c r="BJ17" t="e">
        <f>AND(NhatkyBan!#REF!,"AAAAAHMz1z0=")</f>
        <v>#REF!</v>
      </c>
      <c r="BK17" t="e">
        <f>IF(NhatkyBan!#REF!,"AAAAAHMz1z4=",0)</f>
        <v>#REF!</v>
      </c>
      <c r="BL17" t="e">
        <f>AND(NhatkyBan!#REF!,"AAAAAHMz1z8=")</f>
        <v>#REF!</v>
      </c>
      <c r="BM17" t="e">
        <f>AND(NhatkyBan!#REF!,"AAAAAHMz10A=")</f>
        <v>#REF!</v>
      </c>
      <c r="BN17" t="e">
        <f>AND(NhatkyBan!#REF!,"AAAAAHMz10E=")</f>
        <v>#REF!</v>
      </c>
      <c r="BO17" t="e">
        <f>AND(NhatkyBan!#REF!,"AAAAAHMz10I=")</f>
        <v>#REF!</v>
      </c>
      <c r="BP17" t="e">
        <f>AND(NhatkyBan!#REF!,"AAAAAHMz10M=")</f>
        <v>#REF!</v>
      </c>
      <c r="BQ17" t="e">
        <f>AND(NhatkyBan!#REF!,"AAAAAHMz10Q=")</f>
        <v>#REF!</v>
      </c>
      <c r="BR17" t="e">
        <f>AND(NhatkyBan!#REF!,"AAAAAHMz10U=")</f>
        <v>#REF!</v>
      </c>
      <c r="BS17" t="e">
        <f>AND(NhatkyBan!#REF!,"AAAAAHMz10Y=")</f>
        <v>#REF!</v>
      </c>
      <c r="BT17" t="e">
        <f>AND(NhatkyBan!#REF!,"AAAAAHMz10c=")</f>
        <v>#REF!</v>
      </c>
      <c r="BU17" t="e">
        <f>AND(NhatkyBan!#REF!,"AAAAAHMz10g=")</f>
        <v>#REF!</v>
      </c>
      <c r="BV17" t="e">
        <f>AND(NhatkyBan!#REF!,"AAAAAHMz10k=")</f>
        <v>#REF!</v>
      </c>
      <c r="BW17" t="e">
        <f>AND(NhatkyBan!#REF!,"AAAAAHMz10o=")</f>
        <v>#REF!</v>
      </c>
      <c r="BX17" t="e">
        <f>AND(NhatkyBan!#REF!,"AAAAAHMz10s=")</f>
        <v>#REF!</v>
      </c>
      <c r="BY17" t="e">
        <f>AND(NhatkyBan!#REF!,"AAAAAHMz10w=")</f>
        <v>#REF!</v>
      </c>
      <c r="BZ17" t="e">
        <f>AND(NhatkyBan!#REF!,"AAAAAHMz100=")</f>
        <v>#REF!</v>
      </c>
      <c r="CA17" t="e">
        <f>AND(NhatkyBan!#REF!,"AAAAAHMz104=")</f>
        <v>#REF!</v>
      </c>
      <c r="CB17" t="e">
        <f>AND(NhatkyBan!#REF!,"AAAAAHMz108=")</f>
        <v>#REF!</v>
      </c>
      <c r="CC17" t="e">
        <f>AND(NhatkyBan!#REF!,"AAAAAHMz11A=")</f>
        <v>#REF!</v>
      </c>
      <c r="CD17" t="e">
        <f>AND(NhatkyBan!#REF!,"AAAAAHMz11E=")</f>
        <v>#REF!</v>
      </c>
      <c r="CE17" t="e">
        <f>AND(NhatkyBan!#REF!,"AAAAAHMz11I=")</f>
        <v>#REF!</v>
      </c>
      <c r="CF17" t="e">
        <f>AND(NhatkyBan!#REF!,"AAAAAHMz11M=")</f>
        <v>#REF!</v>
      </c>
      <c r="CG17" t="e">
        <f>AND(NhatkyBan!#REF!,"AAAAAHMz11Q=")</f>
        <v>#REF!</v>
      </c>
      <c r="CH17" t="e">
        <f>AND(NhatkyBan!#REF!,"AAAAAHMz11U=")</f>
        <v>#REF!</v>
      </c>
      <c r="CI17" t="e">
        <f>AND(NhatkyBan!#REF!,"AAAAAHMz11Y=")</f>
        <v>#REF!</v>
      </c>
      <c r="CJ17" t="e">
        <f>AND(NhatkyBan!#REF!,"AAAAAHMz11c=")</f>
        <v>#REF!</v>
      </c>
      <c r="CK17" t="e">
        <f>AND(NhatkyBan!#REF!,"AAAAAHMz11g=")</f>
        <v>#REF!</v>
      </c>
      <c r="CL17" t="e">
        <f>AND(NhatkyBan!#REF!,"AAAAAHMz11k=")</f>
        <v>#REF!</v>
      </c>
      <c r="CM17" t="e">
        <f>AND(NhatkyBan!#REF!,"AAAAAHMz11o=")</f>
        <v>#REF!</v>
      </c>
      <c r="CN17" t="e">
        <f>AND(NhatkyBan!#REF!,"AAAAAHMz11s=")</f>
        <v>#REF!</v>
      </c>
      <c r="CO17" t="e">
        <f>AND(NhatkyBan!#REF!,"AAAAAHMz11w=")</f>
        <v>#REF!</v>
      </c>
      <c r="CP17" t="e">
        <f>AND(NhatkyBan!#REF!,"AAAAAHMz110=")</f>
        <v>#REF!</v>
      </c>
      <c r="CQ17" t="e">
        <f>AND(NhatkyBan!#REF!,"AAAAAHMz114=")</f>
        <v>#REF!</v>
      </c>
      <c r="CR17" t="e">
        <f>AND(NhatkyBan!#REF!,"AAAAAHMz118=")</f>
        <v>#REF!</v>
      </c>
      <c r="CS17" t="e">
        <f>AND(NhatkyBan!#REF!,"AAAAAHMz12A=")</f>
        <v>#REF!</v>
      </c>
      <c r="CT17" t="e">
        <f>IF(NhatkyBan!#REF!,"AAAAAHMz12E=",0)</f>
        <v>#REF!</v>
      </c>
      <c r="CU17" t="e">
        <f>AND(NhatkyBan!#REF!,"AAAAAHMz12I=")</f>
        <v>#REF!</v>
      </c>
      <c r="CV17" t="e">
        <f>AND(NhatkyBan!#REF!,"AAAAAHMz12M=")</f>
        <v>#REF!</v>
      </c>
      <c r="CW17" t="e">
        <f>AND(NhatkyBan!#REF!,"AAAAAHMz12Q=")</f>
        <v>#REF!</v>
      </c>
      <c r="CX17" t="e">
        <f>AND(NhatkyBan!#REF!,"AAAAAHMz12U=")</f>
        <v>#REF!</v>
      </c>
      <c r="CY17" t="e">
        <f>AND(NhatkyBan!#REF!,"AAAAAHMz12Y=")</f>
        <v>#REF!</v>
      </c>
      <c r="CZ17" t="e">
        <f>AND(NhatkyBan!#REF!,"AAAAAHMz12c=")</f>
        <v>#REF!</v>
      </c>
      <c r="DA17" t="e">
        <f>AND(NhatkyBan!#REF!,"AAAAAHMz12g=")</f>
        <v>#REF!</v>
      </c>
      <c r="DB17" t="e">
        <f>AND(NhatkyBan!#REF!,"AAAAAHMz12k=")</f>
        <v>#REF!</v>
      </c>
      <c r="DC17" t="e">
        <f>AND(NhatkyBan!#REF!,"AAAAAHMz12o=")</f>
        <v>#REF!</v>
      </c>
      <c r="DD17" t="e">
        <f>AND(NhatkyBan!#REF!,"AAAAAHMz12s=")</f>
        <v>#REF!</v>
      </c>
      <c r="DE17" t="e">
        <f>AND(NhatkyBan!#REF!,"AAAAAHMz12w=")</f>
        <v>#REF!</v>
      </c>
      <c r="DF17" t="e">
        <f>AND(NhatkyBan!#REF!,"AAAAAHMz120=")</f>
        <v>#REF!</v>
      </c>
      <c r="DG17" t="e">
        <f>AND(NhatkyBan!#REF!,"AAAAAHMz124=")</f>
        <v>#REF!</v>
      </c>
      <c r="DH17" t="e">
        <f>AND(NhatkyBan!#REF!,"AAAAAHMz128=")</f>
        <v>#REF!</v>
      </c>
      <c r="DI17" t="e">
        <f>AND(NhatkyBan!#REF!,"AAAAAHMz13A=")</f>
        <v>#REF!</v>
      </c>
      <c r="DJ17" t="e">
        <f>AND(NhatkyBan!#REF!,"AAAAAHMz13E=")</f>
        <v>#REF!</v>
      </c>
      <c r="DK17" t="e">
        <f>AND(NhatkyBan!#REF!,"AAAAAHMz13I=")</f>
        <v>#REF!</v>
      </c>
      <c r="DL17" t="e">
        <f>AND(NhatkyBan!#REF!,"AAAAAHMz13M=")</f>
        <v>#REF!</v>
      </c>
      <c r="DM17" t="e">
        <f>AND(NhatkyBan!#REF!,"AAAAAHMz13Q=")</f>
        <v>#REF!</v>
      </c>
      <c r="DN17" t="e">
        <f>AND(NhatkyBan!#REF!,"AAAAAHMz13U=")</f>
        <v>#REF!</v>
      </c>
      <c r="DO17" t="e">
        <f>AND(NhatkyBan!#REF!,"AAAAAHMz13Y=")</f>
        <v>#REF!</v>
      </c>
      <c r="DP17" t="e">
        <f>AND(NhatkyBan!#REF!,"AAAAAHMz13c=")</f>
        <v>#REF!</v>
      </c>
      <c r="DQ17" t="e">
        <f>AND(NhatkyBan!#REF!,"AAAAAHMz13g=")</f>
        <v>#REF!</v>
      </c>
      <c r="DR17" t="e">
        <f>AND(NhatkyBan!#REF!,"AAAAAHMz13k=")</f>
        <v>#REF!</v>
      </c>
      <c r="DS17" t="e">
        <f>AND(NhatkyBan!#REF!,"AAAAAHMz13o=")</f>
        <v>#REF!</v>
      </c>
      <c r="DT17" t="e">
        <f>AND(NhatkyBan!#REF!,"AAAAAHMz13s=")</f>
        <v>#REF!</v>
      </c>
      <c r="DU17" t="e">
        <f>AND(NhatkyBan!#REF!,"AAAAAHMz13w=")</f>
        <v>#REF!</v>
      </c>
      <c r="DV17" t="e">
        <f>AND(NhatkyBan!#REF!,"AAAAAHMz130=")</f>
        <v>#REF!</v>
      </c>
      <c r="DW17" t="e">
        <f>AND(NhatkyBan!#REF!,"AAAAAHMz134=")</f>
        <v>#REF!</v>
      </c>
      <c r="DX17" t="e">
        <f>AND(NhatkyBan!#REF!,"AAAAAHMz138=")</f>
        <v>#REF!</v>
      </c>
      <c r="DY17" t="e">
        <f>AND(NhatkyBan!#REF!,"AAAAAHMz14A=")</f>
        <v>#REF!</v>
      </c>
      <c r="DZ17" t="e">
        <f>AND(NhatkyBan!#REF!,"AAAAAHMz14E=")</f>
        <v>#REF!</v>
      </c>
      <c r="EA17" t="e">
        <f>AND(NhatkyBan!#REF!,"AAAAAHMz14I=")</f>
        <v>#REF!</v>
      </c>
      <c r="EB17" t="e">
        <f>AND(NhatkyBan!#REF!,"AAAAAHMz14M=")</f>
        <v>#REF!</v>
      </c>
      <c r="EC17" t="e">
        <f>IF(NhatkyBan!#REF!,"AAAAAHMz14Q=",0)</f>
        <v>#REF!</v>
      </c>
      <c r="ED17" t="e">
        <f>AND(NhatkyBan!#REF!,"AAAAAHMz14U=")</f>
        <v>#REF!</v>
      </c>
      <c r="EE17" t="e">
        <f>AND(NhatkyBan!#REF!,"AAAAAHMz14Y=")</f>
        <v>#REF!</v>
      </c>
      <c r="EF17" t="e">
        <f>AND(NhatkyBan!#REF!,"AAAAAHMz14c=")</f>
        <v>#REF!</v>
      </c>
      <c r="EG17" t="e">
        <f>AND(NhatkyBan!#REF!,"AAAAAHMz14g=")</f>
        <v>#REF!</v>
      </c>
      <c r="EH17" t="e">
        <f>AND(NhatkyBan!#REF!,"AAAAAHMz14k=")</f>
        <v>#REF!</v>
      </c>
      <c r="EI17" t="e">
        <f>AND(NhatkyBan!#REF!,"AAAAAHMz14o=")</f>
        <v>#REF!</v>
      </c>
      <c r="EJ17" t="e">
        <f>AND(NhatkyBan!#REF!,"AAAAAHMz14s=")</f>
        <v>#REF!</v>
      </c>
      <c r="EK17" t="e">
        <f>AND(NhatkyBan!#REF!,"AAAAAHMz14w=")</f>
        <v>#REF!</v>
      </c>
      <c r="EL17" t="e">
        <f>AND(NhatkyBan!#REF!,"AAAAAHMz140=")</f>
        <v>#REF!</v>
      </c>
      <c r="EM17" t="e">
        <f>AND(NhatkyBan!#REF!,"AAAAAHMz144=")</f>
        <v>#REF!</v>
      </c>
      <c r="EN17" t="e">
        <f>AND(NhatkyBan!#REF!,"AAAAAHMz148=")</f>
        <v>#REF!</v>
      </c>
      <c r="EO17" t="e">
        <f>AND(NhatkyBan!#REF!,"AAAAAHMz15A=")</f>
        <v>#REF!</v>
      </c>
      <c r="EP17" t="e">
        <f>AND(NhatkyBan!#REF!,"AAAAAHMz15E=")</f>
        <v>#REF!</v>
      </c>
      <c r="EQ17" t="e">
        <f>AND(NhatkyBan!#REF!,"AAAAAHMz15I=")</f>
        <v>#REF!</v>
      </c>
      <c r="ER17" t="e">
        <f>AND(NhatkyBan!#REF!,"AAAAAHMz15M=")</f>
        <v>#REF!</v>
      </c>
      <c r="ES17" t="e">
        <f>AND(NhatkyBan!#REF!,"AAAAAHMz15Q=")</f>
        <v>#REF!</v>
      </c>
      <c r="ET17" t="e">
        <f>AND(NhatkyBan!#REF!,"AAAAAHMz15U=")</f>
        <v>#REF!</v>
      </c>
      <c r="EU17" t="e">
        <f>AND(NhatkyBan!#REF!,"AAAAAHMz15Y=")</f>
        <v>#REF!</v>
      </c>
      <c r="EV17" t="e">
        <f>AND(NhatkyBan!#REF!,"AAAAAHMz15c=")</f>
        <v>#REF!</v>
      </c>
      <c r="EW17" t="e">
        <f>AND(NhatkyBan!#REF!,"AAAAAHMz15g=")</f>
        <v>#REF!</v>
      </c>
      <c r="EX17" t="e">
        <f>AND(NhatkyBan!#REF!,"AAAAAHMz15k=")</f>
        <v>#REF!</v>
      </c>
      <c r="EY17" t="e">
        <f>AND(NhatkyBan!#REF!,"AAAAAHMz15o=")</f>
        <v>#REF!</v>
      </c>
      <c r="EZ17" t="e">
        <f>AND(NhatkyBan!#REF!,"AAAAAHMz15s=")</f>
        <v>#REF!</v>
      </c>
      <c r="FA17" t="e">
        <f>AND(NhatkyBan!#REF!,"AAAAAHMz15w=")</f>
        <v>#REF!</v>
      </c>
      <c r="FB17" t="e">
        <f>AND(NhatkyBan!#REF!,"AAAAAHMz150=")</f>
        <v>#REF!</v>
      </c>
      <c r="FC17" t="e">
        <f>AND(NhatkyBan!#REF!,"AAAAAHMz154=")</f>
        <v>#REF!</v>
      </c>
      <c r="FD17" t="e">
        <f>AND(NhatkyBan!#REF!,"AAAAAHMz158=")</f>
        <v>#REF!</v>
      </c>
      <c r="FE17" t="e">
        <f>AND(NhatkyBan!#REF!,"AAAAAHMz16A=")</f>
        <v>#REF!</v>
      </c>
      <c r="FF17" t="e">
        <f>AND(NhatkyBan!#REF!,"AAAAAHMz16E=")</f>
        <v>#REF!</v>
      </c>
      <c r="FG17" t="e">
        <f>AND(NhatkyBan!#REF!,"AAAAAHMz16I=")</f>
        <v>#REF!</v>
      </c>
      <c r="FH17" t="e">
        <f>AND(NhatkyBan!#REF!,"AAAAAHMz16M=")</f>
        <v>#REF!</v>
      </c>
      <c r="FI17" t="e">
        <f>AND(NhatkyBan!#REF!,"AAAAAHMz16Q=")</f>
        <v>#REF!</v>
      </c>
      <c r="FJ17" t="e">
        <f>AND(NhatkyBan!#REF!,"AAAAAHMz16U=")</f>
        <v>#REF!</v>
      </c>
      <c r="FK17" t="e">
        <f>AND(NhatkyBan!#REF!,"AAAAAHMz16Y=")</f>
        <v>#REF!</v>
      </c>
      <c r="FL17" t="e">
        <f>IF(NhatkyBan!#REF!,"AAAAAHMz16c=",0)</f>
        <v>#REF!</v>
      </c>
      <c r="FM17" t="e">
        <f>AND(NhatkyBan!#REF!,"AAAAAHMz16g=")</f>
        <v>#REF!</v>
      </c>
      <c r="FN17" t="e">
        <f>AND(NhatkyBan!#REF!,"AAAAAHMz16k=")</f>
        <v>#REF!</v>
      </c>
      <c r="FO17" t="e">
        <f>AND(NhatkyBan!#REF!,"AAAAAHMz16o=")</f>
        <v>#REF!</v>
      </c>
      <c r="FP17" t="e">
        <f>AND(NhatkyBan!#REF!,"AAAAAHMz16s=")</f>
        <v>#REF!</v>
      </c>
      <c r="FQ17" t="e">
        <f>AND(NhatkyBan!#REF!,"AAAAAHMz16w=")</f>
        <v>#REF!</v>
      </c>
      <c r="FR17" t="e">
        <f>AND(NhatkyBan!#REF!,"AAAAAHMz160=")</f>
        <v>#REF!</v>
      </c>
      <c r="FS17" t="e">
        <f>AND(NhatkyBan!#REF!,"AAAAAHMz164=")</f>
        <v>#REF!</v>
      </c>
      <c r="FT17" t="e">
        <f>AND(NhatkyBan!#REF!,"AAAAAHMz168=")</f>
        <v>#REF!</v>
      </c>
      <c r="FU17" t="e">
        <f>AND(NhatkyBan!#REF!,"AAAAAHMz17A=")</f>
        <v>#REF!</v>
      </c>
      <c r="FV17" t="e">
        <f>AND(NhatkyBan!#REF!,"AAAAAHMz17E=")</f>
        <v>#REF!</v>
      </c>
      <c r="FW17" t="e">
        <f>AND(NhatkyBan!#REF!,"AAAAAHMz17I=")</f>
        <v>#REF!</v>
      </c>
      <c r="FX17" t="e">
        <f>AND(NhatkyBan!#REF!,"AAAAAHMz17M=")</f>
        <v>#REF!</v>
      </c>
      <c r="FY17" t="e">
        <f>AND(NhatkyBan!#REF!,"AAAAAHMz17Q=")</f>
        <v>#REF!</v>
      </c>
      <c r="FZ17" t="e">
        <f>AND(NhatkyBan!#REF!,"AAAAAHMz17U=")</f>
        <v>#REF!</v>
      </c>
      <c r="GA17" t="e">
        <f>AND(NhatkyBan!#REF!,"AAAAAHMz17Y=")</f>
        <v>#REF!</v>
      </c>
      <c r="GB17" t="e">
        <f>AND(NhatkyBan!#REF!,"AAAAAHMz17c=")</f>
        <v>#REF!</v>
      </c>
      <c r="GC17" t="e">
        <f>AND(NhatkyBan!#REF!,"AAAAAHMz17g=")</f>
        <v>#REF!</v>
      </c>
      <c r="GD17" t="e">
        <f>AND(NhatkyBan!#REF!,"AAAAAHMz17k=")</f>
        <v>#REF!</v>
      </c>
      <c r="GE17" t="e">
        <f>AND(NhatkyBan!#REF!,"AAAAAHMz17o=")</f>
        <v>#REF!</v>
      </c>
      <c r="GF17" t="e">
        <f>AND(NhatkyBan!#REF!,"AAAAAHMz17s=")</f>
        <v>#REF!</v>
      </c>
      <c r="GG17" t="e">
        <f>AND(NhatkyBan!#REF!,"AAAAAHMz17w=")</f>
        <v>#REF!</v>
      </c>
      <c r="GH17" t="e">
        <f>AND(NhatkyBan!#REF!,"AAAAAHMz170=")</f>
        <v>#REF!</v>
      </c>
      <c r="GI17" t="e">
        <f>AND(NhatkyBan!#REF!,"AAAAAHMz174=")</f>
        <v>#REF!</v>
      </c>
      <c r="GJ17" t="e">
        <f>AND(NhatkyBan!#REF!,"AAAAAHMz178=")</f>
        <v>#REF!</v>
      </c>
      <c r="GK17" t="e">
        <f>AND(NhatkyBan!#REF!,"AAAAAHMz18A=")</f>
        <v>#REF!</v>
      </c>
      <c r="GL17" t="e">
        <f>AND(NhatkyBan!#REF!,"AAAAAHMz18E=")</f>
        <v>#REF!</v>
      </c>
      <c r="GM17" t="e">
        <f>AND(NhatkyBan!#REF!,"AAAAAHMz18I=")</f>
        <v>#REF!</v>
      </c>
      <c r="GN17" t="e">
        <f>AND(NhatkyBan!#REF!,"AAAAAHMz18M=")</f>
        <v>#REF!</v>
      </c>
      <c r="GO17" t="e">
        <f>AND(NhatkyBan!#REF!,"AAAAAHMz18Q=")</f>
        <v>#REF!</v>
      </c>
      <c r="GP17" t="e">
        <f>AND(NhatkyBan!#REF!,"AAAAAHMz18U=")</f>
        <v>#REF!</v>
      </c>
      <c r="GQ17" t="e">
        <f>AND(NhatkyBan!#REF!,"AAAAAHMz18Y=")</f>
        <v>#REF!</v>
      </c>
      <c r="GR17" t="e">
        <f>AND(NhatkyBan!#REF!,"AAAAAHMz18c=")</f>
        <v>#REF!</v>
      </c>
      <c r="GS17" t="e">
        <f>AND(NhatkyBan!#REF!,"AAAAAHMz18g=")</f>
        <v>#REF!</v>
      </c>
      <c r="GT17" t="e">
        <f>AND(NhatkyBan!#REF!,"AAAAAHMz18k=")</f>
        <v>#REF!</v>
      </c>
      <c r="GU17" t="e">
        <f>IF(NhatkyBan!#REF!,"AAAAAHMz18o=",0)</f>
        <v>#REF!</v>
      </c>
      <c r="GV17" t="e">
        <f>AND(NhatkyBan!#REF!,"AAAAAHMz18s=")</f>
        <v>#REF!</v>
      </c>
      <c r="GW17" t="e">
        <f>AND(NhatkyBan!#REF!,"AAAAAHMz18w=")</f>
        <v>#REF!</v>
      </c>
      <c r="GX17" t="e">
        <f>AND(NhatkyBan!#REF!,"AAAAAHMz180=")</f>
        <v>#REF!</v>
      </c>
      <c r="GY17" t="e">
        <f>AND(NhatkyBan!#REF!,"AAAAAHMz184=")</f>
        <v>#REF!</v>
      </c>
      <c r="GZ17" t="e">
        <f>AND(NhatkyBan!#REF!,"AAAAAHMz188=")</f>
        <v>#REF!</v>
      </c>
      <c r="HA17" t="e">
        <f>AND(NhatkyBan!#REF!,"AAAAAHMz19A=")</f>
        <v>#REF!</v>
      </c>
      <c r="HB17" t="e">
        <f>AND(NhatkyBan!#REF!,"AAAAAHMz19E=")</f>
        <v>#REF!</v>
      </c>
      <c r="HC17" t="e">
        <f>AND(NhatkyBan!#REF!,"AAAAAHMz19I=")</f>
        <v>#REF!</v>
      </c>
      <c r="HD17" t="e">
        <f>AND(NhatkyBan!#REF!,"AAAAAHMz19M=")</f>
        <v>#REF!</v>
      </c>
      <c r="HE17" t="e">
        <f>AND(NhatkyBan!#REF!,"AAAAAHMz19Q=")</f>
        <v>#REF!</v>
      </c>
      <c r="HF17" t="e">
        <f>AND(NhatkyBan!#REF!,"AAAAAHMz19U=")</f>
        <v>#REF!</v>
      </c>
      <c r="HG17" t="e">
        <f>AND(NhatkyBan!#REF!,"AAAAAHMz19Y=")</f>
        <v>#REF!</v>
      </c>
      <c r="HH17" t="e">
        <f>AND(NhatkyBan!#REF!,"AAAAAHMz19c=")</f>
        <v>#REF!</v>
      </c>
      <c r="HI17" t="e">
        <f>AND(NhatkyBan!#REF!,"AAAAAHMz19g=")</f>
        <v>#REF!</v>
      </c>
      <c r="HJ17" t="e">
        <f>AND(NhatkyBan!#REF!,"AAAAAHMz19k=")</f>
        <v>#REF!</v>
      </c>
      <c r="HK17" t="e">
        <f>AND(NhatkyBan!#REF!,"AAAAAHMz19o=")</f>
        <v>#REF!</v>
      </c>
      <c r="HL17" t="e">
        <f>AND(NhatkyBan!#REF!,"AAAAAHMz19s=")</f>
        <v>#REF!</v>
      </c>
      <c r="HM17" t="e">
        <f>AND(NhatkyBan!#REF!,"AAAAAHMz19w=")</f>
        <v>#REF!</v>
      </c>
      <c r="HN17" t="e">
        <f>AND(NhatkyBan!#REF!,"AAAAAHMz190=")</f>
        <v>#REF!</v>
      </c>
      <c r="HO17" t="e">
        <f>AND(NhatkyBan!#REF!,"AAAAAHMz194=")</f>
        <v>#REF!</v>
      </c>
      <c r="HP17" t="e">
        <f>AND(NhatkyBan!#REF!,"AAAAAHMz198=")</f>
        <v>#REF!</v>
      </c>
      <c r="HQ17" t="e">
        <f>AND(NhatkyBan!#REF!,"AAAAAHMz1+A=")</f>
        <v>#REF!</v>
      </c>
      <c r="HR17" t="e">
        <f>AND(NhatkyBan!#REF!,"AAAAAHMz1+E=")</f>
        <v>#REF!</v>
      </c>
      <c r="HS17" t="e">
        <f>AND(NhatkyBan!#REF!,"AAAAAHMz1+I=")</f>
        <v>#REF!</v>
      </c>
      <c r="HT17" t="e">
        <f>AND(NhatkyBan!#REF!,"AAAAAHMz1+M=")</f>
        <v>#REF!</v>
      </c>
      <c r="HU17" t="e">
        <f>AND(NhatkyBan!#REF!,"AAAAAHMz1+Q=")</f>
        <v>#REF!</v>
      </c>
      <c r="HV17" t="e">
        <f>AND(NhatkyBan!#REF!,"AAAAAHMz1+U=")</f>
        <v>#REF!</v>
      </c>
      <c r="HW17" t="e">
        <f>AND(NhatkyBan!#REF!,"AAAAAHMz1+Y=")</f>
        <v>#REF!</v>
      </c>
      <c r="HX17" t="e">
        <f>AND(NhatkyBan!#REF!,"AAAAAHMz1+c=")</f>
        <v>#REF!</v>
      </c>
      <c r="HY17" t="e">
        <f>AND(NhatkyBan!#REF!,"AAAAAHMz1+g=")</f>
        <v>#REF!</v>
      </c>
      <c r="HZ17" t="e">
        <f>AND(NhatkyBan!#REF!,"AAAAAHMz1+k=")</f>
        <v>#REF!</v>
      </c>
      <c r="IA17" t="e">
        <f>AND(NhatkyBan!#REF!,"AAAAAHMz1+o=")</f>
        <v>#REF!</v>
      </c>
      <c r="IB17" t="e">
        <f>AND(NhatkyBan!#REF!,"AAAAAHMz1+s=")</f>
        <v>#REF!</v>
      </c>
      <c r="IC17" t="e">
        <f>AND(NhatkyBan!#REF!,"AAAAAHMz1+w=")</f>
        <v>#REF!</v>
      </c>
      <c r="ID17" t="e">
        <f>IF(NhatkyBan!#REF!,"AAAAAHMz1+0=",0)</f>
        <v>#REF!</v>
      </c>
      <c r="IE17" t="e">
        <f>AND(NhatkyBan!#REF!,"AAAAAHMz1+4=")</f>
        <v>#REF!</v>
      </c>
      <c r="IF17" t="e">
        <f>AND(NhatkyBan!#REF!,"AAAAAHMz1+8=")</f>
        <v>#REF!</v>
      </c>
      <c r="IG17" t="e">
        <f>AND(NhatkyBan!#REF!,"AAAAAHMz1/A=")</f>
        <v>#REF!</v>
      </c>
      <c r="IH17" t="e">
        <f>AND(NhatkyBan!#REF!,"AAAAAHMz1/E=")</f>
        <v>#REF!</v>
      </c>
      <c r="II17" t="e">
        <f>AND(NhatkyBan!#REF!,"AAAAAHMz1/I=")</f>
        <v>#REF!</v>
      </c>
      <c r="IJ17" t="e">
        <f>AND(NhatkyBan!#REF!,"AAAAAHMz1/M=")</f>
        <v>#REF!</v>
      </c>
      <c r="IK17" t="e">
        <f>AND(NhatkyBan!#REF!,"AAAAAHMz1/Q=")</f>
        <v>#REF!</v>
      </c>
      <c r="IL17" t="e">
        <f>AND(NhatkyBan!#REF!,"AAAAAHMz1/U=")</f>
        <v>#REF!</v>
      </c>
      <c r="IM17" t="e">
        <f>AND(NhatkyBan!#REF!,"AAAAAHMz1/Y=")</f>
        <v>#REF!</v>
      </c>
      <c r="IN17" t="e">
        <f>AND(NhatkyBan!#REF!,"AAAAAHMz1/c=")</f>
        <v>#REF!</v>
      </c>
      <c r="IO17" t="e">
        <f>AND(NhatkyBan!#REF!,"AAAAAHMz1/g=")</f>
        <v>#REF!</v>
      </c>
      <c r="IP17" t="e">
        <f>AND(NhatkyBan!#REF!,"AAAAAHMz1/k=")</f>
        <v>#REF!</v>
      </c>
      <c r="IQ17" t="e">
        <f>AND(NhatkyBan!#REF!,"AAAAAHMz1/o=")</f>
        <v>#REF!</v>
      </c>
      <c r="IR17" t="e">
        <f>AND(NhatkyBan!#REF!,"AAAAAHMz1/s=")</f>
        <v>#REF!</v>
      </c>
      <c r="IS17" t="e">
        <f>AND(NhatkyBan!#REF!,"AAAAAHMz1/w=")</f>
        <v>#REF!</v>
      </c>
      <c r="IT17" t="e">
        <f>AND(NhatkyBan!#REF!,"AAAAAHMz1/0=")</f>
        <v>#REF!</v>
      </c>
      <c r="IU17" t="e">
        <f>AND(NhatkyBan!#REF!,"AAAAAHMz1/4=")</f>
        <v>#REF!</v>
      </c>
      <c r="IV17" t="e">
        <f>AND(NhatkyBan!#REF!,"AAAAAHMz1/8=")</f>
        <v>#REF!</v>
      </c>
    </row>
    <row r="18" spans="1:256">
      <c r="A18" t="e">
        <f>AND(NhatkyBan!#REF!,"AAAAAF/99QA=")</f>
        <v>#REF!</v>
      </c>
      <c r="B18" t="e">
        <f>AND(NhatkyBan!#REF!,"AAAAAF/99QE=")</f>
        <v>#REF!</v>
      </c>
      <c r="C18" t="e">
        <f>AND(NhatkyBan!#REF!,"AAAAAF/99QI=")</f>
        <v>#REF!</v>
      </c>
      <c r="D18" t="e">
        <f>AND(NhatkyBan!#REF!,"AAAAAF/99QM=")</f>
        <v>#REF!</v>
      </c>
      <c r="E18" t="e">
        <f>AND(NhatkyBan!#REF!,"AAAAAF/99QQ=")</f>
        <v>#REF!</v>
      </c>
      <c r="F18" t="e">
        <f>AND(NhatkyBan!#REF!,"AAAAAF/99QU=")</f>
        <v>#REF!</v>
      </c>
      <c r="G18" t="e">
        <f>AND(NhatkyBan!#REF!,"AAAAAF/99QY=")</f>
        <v>#REF!</v>
      </c>
      <c r="H18" t="e">
        <f>AND(NhatkyBan!#REF!,"AAAAAF/99Qc=")</f>
        <v>#REF!</v>
      </c>
      <c r="I18" t="e">
        <f>AND(NhatkyBan!#REF!,"AAAAAF/99Qg=")</f>
        <v>#REF!</v>
      </c>
      <c r="J18" t="e">
        <f>AND(NhatkyBan!#REF!,"AAAAAF/99Qk=")</f>
        <v>#REF!</v>
      </c>
      <c r="K18" t="e">
        <f>AND(NhatkyBan!#REF!,"AAAAAF/99Qo=")</f>
        <v>#REF!</v>
      </c>
      <c r="L18" t="e">
        <f>AND(NhatkyBan!#REF!,"AAAAAF/99Qs=")</f>
        <v>#REF!</v>
      </c>
      <c r="M18" t="e">
        <f>AND(NhatkyBan!#REF!,"AAAAAF/99Qw=")</f>
        <v>#REF!</v>
      </c>
      <c r="N18" t="e">
        <f>AND(NhatkyBan!#REF!,"AAAAAF/99Q0=")</f>
        <v>#REF!</v>
      </c>
      <c r="O18" t="e">
        <f>AND(NhatkyBan!#REF!,"AAAAAF/99Q4=")</f>
        <v>#REF!</v>
      </c>
      <c r="P18" t="e">
        <f>AND(NhatkyBan!#REF!,"AAAAAF/99Q8=")</f>
        <v>#REF!</v>
      </c>
      <c r="Q18" t="e">
        <f>IF(NhatkyBan!#REF!,"AAAAAF/99RA=",0)</f>
        <v>#REF!</v>
      </c>
      <c r="R18" t="e">
        <f>AND(NhatkyBan!#REF!,"AAAAAF/99RE=")</f>
        <v>#REF!</v>
      </c>
      <c r="S18" t="e">
        <f>AND(NhatkyBan!#REF!,"AAAAAF/99RI=")</f>
        <v>#REF!</v>
      </c>
      <c r="T18" t="e">
        <f>AND(NhatkyBan!#REF!,"AAAAAF/99RM=")</f>
        <v>#REF!</v>
      </c>
      <c r="U18" t="e">
        <f>AND(NhatkyBan!#REF!,"AAAAAF/99RQ=")</f>
        <v>#REF!</v>
      </c>
      <c r="V18" t="e">
        <f>AND(NhatkyBan!#REF!,"AAAAAF/99RU=")</f>
        <v>#REF!</v>
      </c>
      <c r="W18" t="e">
        <f>AND(NhatkyBan!#REF!,"AAAAAF/99RY=")</f>
        <v>#REF!</v>
      </c>
      <c r="X18" t="e">
        <f>AND(NhatkyBan!#REF!,"AAAAAF/99Rc=")</f>
        <v>#REF!</v>
      </c>
      <c r="Y18" t="e">
        <f>AND(NhatkyBan!#REF!,"AAAAAF/99Rg=")</f>
        <v>#REF!</v>
      </c>
      <c r="Z18" t="e">
        <f>AND(NhatkyBan!#REF!,"AAAAAF/99Rk=")</f>
        <v>#REF!</v>
      </c>
      <c r="AA18" t="e">
        <f>AND(NhatkyBan!#REF!,"AAAAAF/99Ro=")</f>
        <v>#REF!</v>
      </c>
      <c r="AB18" t="e">
        <f>AND(NhatkyBan!#REF!,"AAAAAF/99Rs=")</f>
        <v>#REF!</v>
      </c>
      <c r="AC18" t="e">
        <f>AND(NhatkyBan!#REF!,"AAAAAF/99Rw=")</f>
        <v>#REF!</v>
      </c>
      <c r="AD18" t="e">
        <f>AND(NhatkyBan!#REF!,"AAAAAF/99R0=")</f>
        <v>#REF!</v>
      </c>
      <c r="AE18" t="e">
        <f>AND(NhatkyBan!#REF!,"AAAAAF/99R4=")</f>
        <v>#REF!</v>
      </c>
      <c r="AF18" t="e">
        <f>AND(NhatkyBan!#REF!,"AAAAAF/99R8=")</f>
        <v>#REF!</v>
      </c>
      <c r="AG18" t="e">
        <f>AND(NhatkyBan!#REF!,"AAAAAF/99SA=")</f>
        <v>#REF!</v>
      </c>
      <c r="AH18" t="e">
        <f>AND(NhatkyBan!#REF!,"AAAAAF/99SE=")</f>
        <v>#REF!</v>
      </c>
      <c r="AI18" t="e">
        <f>AND(NhatkyBan!#REF!,"AAAAAF/99SI=")</f>
        <v>#REF!</v>
      </c>
      <c r="AJ18" t="e">
        <f>AND(NhatkyBan!#REF!,"AAAAAF/99SM=")</f>
        <v>#REF!</v>
      </c>
      <c r="AK18" t="e">
        <f>AND(NhatkyBan!#REF!,"AAAAAF/99SQ=")</f>
        <v>#REF!</v>
      </c>
      <c r="AL18" t="e">
        <f>AND(NhatkyBan!#REF!,"AAAAAF/99SU=")</f>
        <v>#REF!</v>
      </c>
      <c r="AM18" t="e">
        <f>AND(NhatkyBan!#REF!,"AAAAAF/99SY=")</f>
        <v>#REF!</v>
      </c>
      <c r="AN18" t="e">
        <f>AND(NhatkyBan!#REF!,"AAAAAF/99Sc=")</f>
        <v>#REF!</v>
      </c>
      <c r="AO18" t="e">
        <f>AND(NhatkyBan!#REF!,"AAAAAF/99Sg=")</f>
        <v>#REF!</v>
      </c>
      <c r="AP18" t="e">
        <f>AND(NhatkyBan!#REF!,"AAAAAF/99Sk=")</f>
        <v>#REF!</v>
      </c>
      <c r="AQ18" t="e">
        <f>AND(NhatkyBan!#REF!,"AAAAAF/99So=")</f>
        <v>#REF!</v>
      </c>
      <c r="AR18" t="e">
        <f>AND(NhatkyBan!#REF!,"AAAAAF/99Ss=")</f>
        <v>#REF!</v>
      </c>
      <c r="AS18" t="e">
        <f>AND(NhatkyBan!#REF!,"AAAAAF/99Sw=")</f>
        <v>#REF!</v>
      </c>
      <c r="AT18" t="e">
        <f>AND(NhatkyBan!#REF!,"AAAAAF/99S0=")</f>
        <v>#REF!</v>
      </c>
      <c r="AU18" t="e">
        <f>AND(NhatkyBan!#REF!,"AAAAAF/99S4=")</f>
        <v>#REF!</v>
      </c>
      <c r="AV18" t="e">
        <f>AND(NhatkyBan!#REF!,"AAAAAF/99S8=")</f>
        <v>#REF!</v>
      </c>
      <c r="AW18" t="e">
        <f>AND(NhatkyBan!#REF!,"AAAAAF/99TA=")</f>
        <v>#REF!</v>
      </c>
      <c r="AX18" t="e">
        <f>AND(NhatkyBan!#REF!,"AAAAAF/99TE=")</f>
        <v>#REF!</v>
      </c>
      <c r="AY18" t="e">
        <f>AND(NhatkyBan!#REF!,"AAAAAF/99TI=")</f>
        <v>#REF!</v>
      </c>
      <c r="AZ18" t="e">
        <f>IF(NhatkyBan!#REF!,"AAAAAF/99TM=",0)</f>
        <v>#REF!</v>
      </c>
      <c r="BA18" t="e">
        <f>AND(NhatkyBan!#REF!,"AAAAAF/99TQ=")</f>
        <v>#REF!</v>
      </c>
      <c r="BB18" t="e">
        <f>AND(NhatkyBan!#REF!,"AAAAAF/99TU=")</f>
        <v>#REF!</v>
      </c>
      <c r="BC18" t="e">
        <f>AND(NhatkyBan!#REF!,"AAAAAF/99TY=")</f>
        <v>#REF!</v>
      </c>
      <c r="BD18" t="e">
        <f>AND(NhatkyBan!#REF!,"AAAAAF/99Tc=")</f>
        <v>#REF!</v>
      </c>
      <c r="BE18" t="e">
        <f>AND(NhatkyBan!#REF!,"AAAAAF/99Tg=")</f>
        <v>#REF!</v>
      </c>
      <c r="BF18" t="e">
        <f>AND(NhatkyBan!#REF!,"AAAAAF/99Tk=")</f>
        <v>#REF!</v>
      </c>
      <c r="BG18" t="e">
        <f>AND(NhatkyBan!#REF!,"AAAAAF/99To=")</f>
        <v>#REF!</v>
      </c>
      <c r="BH18" t="e">
        <f>AND(NhatkyBan!#REF!,"AAAAAF/99Ts=")</f>
        <v>#REF!</v>
      </c>
      <c r="BI18" t="e">
        <f>AND(NhatkyBan!#REF!,"AAAAAF/99Tw=")</f>
        <v>#REF!</v>
      </c>
      <c r="BJ18" t="e">
        <f>AND(NhatkyBan!#REF!,"AAAAAF/99T0=")</f>
        <v>#REF!</v>
      </c>
      <c r="BK18" t="e">
        <f>AND(NhatkyBan!#REF!,"AAAAAF/99T4=")</f>
        <v>#REF!</v>
      </c>
      <c r="BL18" t="e">
        <f>AND(NhatkyBan!#REF!,"AAAAAF/99T8=")</f>
        <v>#REF!</v>
      </c>
      <c r="BM18" t="e">
        <f>AND(NhatkyBan!#REF!,"AAAAAF/99UA=")</f>
        <v>#REF!</v>
      </c>
      <c r="BN18" t="e">
        <f>AND(NhatkyBan!#REF!,"AAAAAF/99UE=")</f>
        <v>#REF!</v>
      </c>
      <c r="BO18" t="e">
        <f>AND(NhatkyBan!#REF!,"AAAAAF/99UI=")</f>
        <v>#REF!</v>
      </c>
      <c r="BP18" t="e">
        <f>AND(NhatkyBan!#REF!,"AAAAAF/99UM=")</f>
        <v>#REF!</v>
      </c>
      <c r="BQ18" t="e">
        <f>AND(NhatkyBan!#REF!,"AAAAAF/99UQ=")</f>
        <v>#REF!</v>
      </c>
      <c r="BR18" t="e">
        <f>AND(NhatkyBan!#REF!,"AAAAAF/99UU=")</f>
        <v>#REF!</v>
      </c>
      <c r="BS18" t="e">
        <f>AND(NhatkyBan!#REF!,"AAAAAF/99UY=")</f>
        <v>#REF!</v>
      </c>
      <c r="BT18" t="e">
        <f>AND(NhatkyBan!#REF!,"AAAAAF/99Uc=")</f>
        <v>#REF!</v>
      </c>
      <c r="BU18" t="e">
        <f>AND(NhatkyBan!#REF!,"AAAAAF/99Ug=")</f>
        <v>#REF!</v>
      </c>
      <c r="BV18" t="e">
        <f>AND(NhatkyBan!#REF!,"AAAAAF/99Uk=")</f>
        <v>#REF!</v>
      </c>
      <c r="BW18" t="e">
        <f>AND(NhatkyBan!#REF!,"AAAAAF/99Uo=")</f>
        <v>#REF!</v>
      </c>
      <c r="BX18" t="e">
        <f>AND(NhatkyBan!#REF!,"AAAAAF/99Us=")</f>
        <v>#REF!</v>
      </c>
      <c r="BY18" t="e">
        <f>AND(NhatkyBan!#REF!,"AAAAAF/99Uw=")</f>
        <v>#REF!</v>
      </c>
      <c r="BZ18" t="e">
        <f>AND(NhatkyBan!#REF!,"AAAAAF/99U0=")</f>
        <v>#REF!</v>
      </c>
      <c r="CA18" t="e">
        <f>AND(NhatkyBan!#REF!,"AAAAAF/99U4=")</f>
        <v>#REF!</v>
      </c>
      <c r="CB18" t="e">
        <f>AND(NhatkyBan!#REF!,"AAAAAF/99U8=")</f>
        <v>#REF!</v>
      </c>
      <c r="CC18" t="e">
        <f>AND(NhatkyBan!#REF!,"AAAAAF/99VA=")</f>
        <v>#REF!</v>
      </c>
      <c r="CD18" t="e">
        <f>AND(NhatkyBan!#REF!,"AAAAAF/99VE=")</f>
        <v>#REF!</v>
      </c>
      <c r="CE18" t="e">
        <f>AND(NhatkyBan!#REF!,"AAAAAF/99VI=")</f>
        <v>#REF!</v>
      </c>
      <c r="CF18" t="e">
        <f>AND(NhatkyBan!#REF!,"AAAAAF/99VM=")</f>
        <v>#REF!</v>
      </c>
      <c r="CG18" t="e">
        <f>AND(NhatkyBan!#REF!,"AAAAAF/99VQ=")</f>
        <v>#REF!</v>
      </c>
      <c r="CH18" t="e">
        <f>AND(NhatkyBan!#REF!,"AAAAAF/99VU=")</f>
        <v>#REF!</v>
      </c>
      <c r="CI18" t="e">
        <f>IF(NhatkyBan!#REF!,"AAAAAF/99VY=",0)</f>
        <v>#REF!</v>
      </c>
      <c r="CJ18" t="e">
        <f>AND(NhatkyBan!#REF!,"AAAAAF/99Vc=")</f>
        <v>#REF!</v>
      </c>
      <c r="CK18" t="e">
        <f>AND(NhatkyBan!#REF!,"AAAAAF/99Vg=")</f>
        <v>#REF!</v>
      </c>
      <c r="CL18" t="e">
        <f>AND(NhatkyBan!#REF!,"AAAAAF/99Vk=")</f>
        <v>#REF!</v>
      </c>
      <c r="CM18" t="e">
        <f>AND(NhatkyBan!#REF!,"AAAAAF/99Vo=")</f>
        <v>#REF!</v>
      </c>
      <c r="CN18" t="e">
        <f>AND(NhatkyBan!#REF!,"AAAAAF/99Vs=")</f>
        <v>#REF!</v>
      </c>
      <c r="CO18" t="e">
        <f>AND(NhatkyBan!#REF!,"AAAAAF/99Vw=")</f>
        <v>#REF!</v>
      </c>
      <c r="CP18" t="e">
        <f>AND(NhatkyBan!#REF!,"AAAAAF/99V0=")</f>
        <v>#REF!</v>
      </c>
      <c r="CQ18" t="e">
        <f>AND(NhatkyBan!#REF!,"AAAAAF/99V4=")</f>
        <v>#REF!</v>
      </c>
      <c r="CR18" t="e">
        <f>AND(NhatkyBan!#REF!,"AAAAAF/99V8=")</f>
        <v>#REF!</v>
      </c>
      <c r="CS18" t="e">
        <f>AND(NhatkyBan!#REF!,"AAAAAF/99WA=")</f>
        <v>#REF!</v>
      </c>
      <c r="CT18" t="e">
        <f>AND(NhatkyBan!#REF!,"AAAAAF/99WE=")</f>
        <v>#REF!</v>
      </c>
      <c r="CU18" t="e">
        <f>AND(NhatkyBan!#REF!,"AAAAAF/99WI=")</f>
        <v>#REF!</v>
      </c>
      <c r="CV18" t="e">
        <f>AND(NhatkyBan!#REF!,"AAAAAF/99WM=")</f>
        <v>#REF!</v>
      </c>
      <c r="CW18" t="e">
        <f>AND(NhatkyBan!#REF!,"AAAAAF/99WQ=")</f>
        <v>#REF!</v>
      </c>
      <c r="CX18" t="e">
        <f>AND(NhatkyBan!#REF!,"AAAAAF/99WU=")</f>
        <v>#REF!</v>
      </c>
      <c r="CY18" t="e">
        <f>AND(NhatkyBan!#REF!,"AAAAAF/99WY=")</f>
        <v>#REF!</v>
      </c>
      <c r="CZ18" t="e">
        <f>AND(NhatkyBan!#REF!,"AAAAAF/99Wc=")</f>
        <v>#REF!</v>
      </c>
      <c r="DA18" t="e">
        <f>AND(NhatkyBan!#REF!,"AAAAAF/99Wg=")</f>
        <v>#REF!</v>
      </c>
      <c r="DB18" t="e">
        <f>AND(NhatkyBan!#REF!,"AAAAAF/99Wk=")</f>
        <v>#REF!</v>
      </c>
      <c r="DC18" t="e">
        <f>AND(NhatkyBan!#REF!,"AAAAAF/99Wo=")</f>
        <v>#REF!</v>
      </c>
      <c r="DD18" t="e">
        <f>AND(NhatkyBan!#REF!,"AAAAAF/99Ws=")</f>
        <v>#REF!</v>
      </c>
      <c r="DE18" t="e">
        <f>AND(NhatkyBan!#REF!,"AAAAAF/99Ww=")</f>
        <v>#REF!</v>
      </c>
      <c r="DF18" t="e">
        <f>AND(NhatkyBan!#REF!,"AAAAAF/99W0=")</f>
        <v>#REF!</v>
      </c>
      <c r="DG18" t="e">
        <f>AND(NhatkyBan!#REF!,"AAAAAF/99W4=")</f>
        <v>#REF!</v>
      </c>
      <c r="DH18" t="e">
        <f>AND(NhatkyBan!#REF!,"AAAAAF/99W8=")</f>
        <v>#REF!</v>
      </c>
      <c r="DI18" t="e">
        <f>AND(NhatkyBan!#REF!,"AAAAAF/99XA=")</f>
        <v>#REF!</v>
      </c>
      <c r="DJ18" t="e">
        <f>AND(NhatkyBan!#REF!,"AAAAAF/99XE=")</f>
        <v>#REF!</v>
      </c>
      <c r="DK18" t="e">
        <f>AND(NhatkyBan!#REF!,"AAAAAF/99XI=")</f>
        <v>#REF!</v>
      </c>
      <c r="DL18" t="e">
        <f>AND(NhatkyBan!#REF!,"AAAAAF/99XM=")</f>
        <v>#REF!</v>
      </c>
      <c r="DM18" t="e">
        <f>AND(NhatkyBan!#REF!,"AAAAAF/99XQ=")</f>
        <v>#REF!</v>
      </c>
      <c r="DN18" t="e">
        <f>AND(NhatkyBan!#REF!,"AAAAAF/99XU=")</f>
        <v>#REF!</v>
      </c>
      <c r="DO18" t="e">
        <f>AND(NhatkyBan!#REF!,"AAAAAF/99XY=")</f>
        <v>#REF!</v>
      </c>
      <c r="DP18" t="e">
        <f>AND(NhatkyBan!#REF!,"AAAAAF/99Xc=")</f>
        <v>#REF!</v>
      </c>
      <c r="DQ18" t="e">
        <f>AND(NhatkyBan!#REF!,"AAAAAF/99Xg=")</f>
        <v>#REF!</v>
      </c>
      <c r="DR18" t="e">
        <f>IF(NhatkyBan!#REF!,"AAAAAF/99Xk=",0)</f>
        <v>#REF!</v>
      </c>
      <c r="DS18" t="e">
        <f>AND(NhatkyBan!#REF!,"AAAAAF/99Xo=")</f>
        <v>#REF!</v>
      </c>
      <c r="DT18" t="e">
        <f>AND(NhatkyBan!#REF!,"AAAAAF/99Xs=")</f>
        <v>#REF!</v>
      </c>
      <c r="DU18" t="e">
        <f>AND(NhatkyBan!#REF!,"AAAAAF/99Xw=")</f>
        <v>#REF!</v>
      </c>
      <c r="DV18" t="e">
        <f>AND(NhatkyBan!#REF!,"AAAAAF/99X0=")</f>
        <v>#REF!</v>
      </c>
      <c r="DW18" t="e">
        <f>AND(NhatkyBan!#REF!,"AAAAAF/99X4=")</f>
        <v>#REF!</v>
      </c>
      <c r="DX18" t="e">
        <f>AND(NhatkyBan!#REF!,"AAAAAF/99X8=")</f>
        <v>#REF!</v>
      </c>
      <c r="DY18" t="e">
        <f>AND(NhatkyBan!#REF!,"AAAAAF/99YA=")</f>
        <v>#REF!</v>
      </c>
      <c r="DZ18" t="e">
        <f>AND(NhatkyBan!#REF!,"AAAAAF/99YE=")</f>
        <v>#REF!</v>
      </c>
      <c r="EA18" t="e">
        <f>AND(NhatkyBan!#REF!,"AAAAAF/99YI=")</f>
        <v>#REF!</v>
      </c>
      <c r="EB18" t="e">
        <f>AND(NhatkyBan!#REF!,"AAAAAF/99YM=")</f>
        <v>#REF!</v>
      </c>
      <c r="EC18" t="e">
        <f>AND(NhatkyBan!#REF!,"AAAAAF/99YQ=")</f>
        <v>#REF!</v>
      </c>
      <c r="ED18" t="e">
        <f>AND(NhatkyBan!#REF!,"AAAAAF/99YU=")</f>
        <v>#REF!</v>
      </c>
      <c r="EE18" t="e">
        <f>AND(NhatkyBan!#REF!,"AAAAAF/99YY=")</f>
        <v>#REF!</v>
      </c>
      <c r="EF18" t="e">
        <f>AND(NhatkyBan!#REF!,"AAAAAF/99Yc=")</f>
        <v>#REF!</v>
      </c>
      <c r="EG18" t="e">
        <f>AND(NhatkyBan!#REF!,"AAAAAF/99Yg=")</f>
        <v>#REF!</v>
      </c>
      <c r="EH18" t="e">
        <f>AND(NhatkyBan!#REF!,"AAAAAF/99Yk=")</f>
        <v>#REF!</v>
      </c>
      <c r="EI18" t="e">
        <f>AND(NhatkyBan!#REF!,"AAAAAF/99Yo=")</f>
        <v>#REF!</v>
      </c>
      <c r="EJ18" t="e">
        <f>AND(NhatkyBan!#REF!,"AAAAAF/99Ys=")</f>
        <v>#REF!</v>
      </c>
      <c r="EK18" t="e">
        <f>AND(NhatkyBan!#REF!,"AAAAAF/99Yw=")</f>
        <v>#REF!</v>
      </c>
      <c r="EL18" t="e">
        <f>AND(NhatkyBan!#REF!,"AAAAAF/99Y0=")</f>
        <v>#REF!</v>
      </c>
      <c r="EM18" t="e">
        <f>AND(NhatkyBan!#REF!,"AAAAAF/99Y4=")</f>
        <v>#REF!</v>
      </c>
      <c r="EN18" t="e">
        <f>AND(NhatkyBan!#REF!,"AAAAAF/99Y8=")</f>
        <v>#REF!</v>
      </c>
      <c r="EO18" t="e">
        <f>AND(NhatkyBan!#REF!,"AAAAAF/99ZA=")</f>
        <v>#REF!</v>
      </c>
      <c r="EP18" t="e">
        <f>AND(NhatkyBan!#REF!,"AAAAAF/99ZE=")</f>
        <v>#REF!</v>
      </c>
      <c r="EQ18" t="e">
        <f>AND(NhatkyBan!#REF!,"AAAAAF/99ZI=")</f>
        <v>#REF!</v>
      </c>
      <c r="ER18" t="e">
        <f>AND(NhatkyBan!#REF!,"AAAAAF/99ZM=")</f>
        <v>#REF!</v>
      </c>
      <c r="ES18" t="e">
        <f>AND(NhatkyBan!#REF!,"AAAAAF/99ZQ=")</f>
        <v>#REF!</v>
      </c>
      <c r="ET18" t="e">
        <f>AND(NhatkyBan!#REF!,"AAAAAF/99ZU=")</f>
        <v>#REF!</v>
      </c>
      <c r="EU18" t="e">
        <f>AND(NhatkyBan!#REF!,"AAAAAF/99ZY=")</f>
        <v>#REF!</v>
      </c>
      <c r="EV18" t="e">
        <f>AND(NhatkyBan!#REF!,"AAAAAF/99Zc=")</f>
        <v>#REF!</v>
      </c>
      <c r="EW18" t="e">
        <f>AND(NhatkyBan!#REF!,"AAAAAF/99Zg=")</f>
        <v>#REF!</v>
      </c>
      <c r="EX18" t="e">
        <f>AND(NhatkyBan!#REF!,"AAAAAF/99Zk=")</f>
        <v>#REF!</v>
      </c>
      <c r="EY18" t="e">
        <f>AND(NhatkyBan!#REF!,"AAAAAF/99Zo=")</f>
        <v>#REF!</v>
      </c>
      <c r="EZ18" t="e">
        <f>AND(NhatkyBan!#REF!,"AAAAAF/99Zs=")</f>
        <v>#REF!</v>
      </c>
      <c r="FA18" t="e">
        <f>IF(NhatkyBan!#REF!,"AAAAAF/99Zw=",0)</f>
        <v>#REF!</v>
      </c>
      <c r="FB18" t="e">
        <f>AND(NhatkyBan!#REF!,"AAAAAF/99Z0=")</f>
        <v>#REF!</v>
      </c>
      <c r="FC18" t="e">
        <f>AND(NhatkyBan!#REF!,"AAAAAF/99Z4=")</f>
        <v>#REF!</v>
      </c>
      <c r="FD18" t="e">
        <f>AND(NhatkyBan!#REF!,"AAAAAF/99Z8=")</f>
        <v>#REF!</v>
      </c>
      <c r="FE18" t="e">
        <f>AND(NhatkyBan!#REF!,"AAAAAF/99aA=")</f>
        <v>#REF!</v>
      </c>
      <c r="FF18" t="e">
        <f>AND(NhatkyBan!#REF!,"AAAAAF/99aE=")</f>
        <v>#REF!</v>
      </c>
      <c r="FG18" t="e">
        <f>AND(NhatkyBan!#REF!,"AAAAAF/99aI=")</f>
        <v>#REF!</v>
      </c>
      <c r="FH18" t="e">
        <f>AND(NhatkyBan!#REF!,"AAAAAF/99aM=")</f>
        <v>#REF!</v>
      </c>
      <c r="FI18" t="e">
        <f>AND(NhatkyBan!#REF!,"AAAAAF/99aQ=")</f>
        <v>#REF!</v>
      </c>
      <c r="FJ18" t="e">
        <f>AND(NhatkyBan!#REF!,"AAAAAF/99aU=")</f>
        <v>#REF!</v>
      </c>
      <c r="FK18" t="e">
        <f>AND(NhatkyBan!#REF!,"AAAAAF/99aY=")</f>
        <v>#REF!</v>
      </c>
      <c r="FL18" t="e">
        <f>AND(NhatkyBan!#REF!,"AAAAAF/99ac=")</f>
        <v>#REF!</v>
      </c>
      <c r="FM18" t="e">
        <f>AND(NhatkyBan!#REF!,"AAAAAF/99ag=")</f>
        <v>#REF!</v>
      </c>
      <c r="FN18" t="e">
        <f>AND(NhatkyBan!#REF!,"AAAAAF/99ak=")</f>
        <v>#REF!</v>
      </c>
      <c r="FO18" t="e">
        <f>AND(NhatkyBan!#REF!,"AAAAAF/99ao=")</f>
        <v>#REF!</v>
      </c>
      <c r="FP18" t="e">
        <f>AND(NhatkyBan!#REF!,"AAAAAF/99as=")</f>
        <v>#REF!</v>
      </c>
      <c r="FQ18" t="e">
        <f>AND(NhatkyBan!#REF!,"AAAAAF/99aw=")</f>
        <v>#REF!</v>
      </c>
      <c r="FR18" t="e">
        <f>AND(NhatkyBan!#REF!,"AAAAAF/99a0=")</f>
        <v>#REF!</v>
      </c>
      <c r="FS18" t="e">
        <f>AND(NhatkyBan!#REF!,"AAAAAF/99a4=")</f>
        <v>#REF!</v>
      </c>
      <c r="FT18" t="e">
        <f>AND(NhatkyBan!#REF!,"AAAAAF/99a8=")</f>
        <v>#REF!</v>
      </c>
      <c r="FU18" t="e">
        <f>AND(NhatkyBan!#REF!,"AAAAAF/99bA=")</f>
        <v>#REF!</v>
      </c>
      <c r="FV18" t="e">
        <f>AND(NhatkyBan!#REF!,"AAAAAF/99bE=")</f>
        <v>#REF!</v>
      </c>
      <c r="FW18" t="e">
        <f>AND(NhatkyBan!#REF!,"AAAAAF/99bI=")</f>
        <v>#REF!</v>
      </c>
      <c r="FX18" t="e">
        <f>AND(NhatkyBan!#REF!,"AAAAAF/99bM=")</f>
        <v>#REF!</v>
      </c>
      <c r="FY18" t="e">
        <f>AND(NhatkyBan!#REF!,"AAAAAF/99bQ=")</f>
        <v>#REF!</v>
      </c>
      <c r="FZ18" t="e">
        <f>AND(NhatkyBan!#REF!,"AAAAAF/99bU=")</f>
        <v>#REF!</v>
      </c>
      <c r="GA18" t="e">
        <f>AND(NhatkyBan!#REF!,"AAAAAF/99bY=")</f>
        <v>#REF!</v>
      </c>
      <c r="GB18" t="e">
        <f>AND(NhatkyBan!#REF!,"AAAAAF/99bc=")</f>
        <v>#REF!</v>
      </c>
      <c r="GC18" t="e">
        <f>AND(NhatkyBan!#REF!,"AAAAAF/99bg=")</f>
        <v>#REF!</v>
      </c>
      <c r="GD18" t="e">
        <f>AND(NhatkyBan!#REF!,"AAAAAF/99bk=")</f>
        <v>#REF!</v>
      </c>
      <c r="GE18" t="e">
        <f>AND(NhatkyBan!#REF!,"AAAAAF/99bo=")</f>
        <v>#REF!</v>
      </c>
      <c r="GF18" t="e">
        <f>AND(NhatkyBan!#REF!,"AAAAAF/99bs=")</f>
        <v>#REF!</v>
      </c>
      <c r="GG18" t="e">
        <f>AND(NhatkyBan!#REF!,"AAAAAF/99bw=")</f>
        <v>#REF!</v>
      </c>
      <c r="GH18" t="e">
        <f>AND(NhatkyBan!#REF!,"AAAAAF/99b0=")</f>
        <v>#REF!</v>
      </c>
      <c r="GI18" t="e">
        <f>AND(NhatkyBan!#REF!,"AAAAAF/99b4=")</f>
        <v>#REF!</v>
      </c>
      <c r="GJ18" t="e">
        <f>IF(NhatkyBan!#REF!,"AAAAAF/99b8=",0)</f>
        <v>#REF!</v>
      </c>
      <c r="GK18" t="e">
        <f>AND(NhatkyBan!#REF!,"AAAAAF/99cA=")</f>
        <v>#REF!</v>
      </c>
      <c r="GL18" t="e">
        <f>AND(NhatkyBan!#REF!,"AAAAAF/99cE=")</f>
        <v>#REF!</v>
      </c>
      <c r="GM18" t="e">
        <f>AND(NhatkyBan!#REF!,"AAAAAF/99cI=")</f>
        <v>#REF!</v>
      </c>
      <c r="GN18" t="e">
        <f>AND(NhatkyBan!#REF!,"AAAAAF/99cM=")</f>
        <v>#REF!</v>
      </c>
      <c r="GO18" t="e">
        <f>AND(NhatkyBan!#REF!,"AAAAAF/99cQ=")</f>
        <v>#REF!</v>
      </c>
      <c r="GP18" t="e">
        <f>AND(NhatkyBan!#REF!,"AAAAAF/99cU=")</f>
        <v>#REF!</v>
      </c>
      <c r="GQ18" t="e">
        <f>AND(NhatkyBan!#REF!,"AAAAAF/99cY=")</f>
        <v>#REF!</v>
      </c>
      <c r="GR18" t="e">
        <f>AND(NhatkyBan!#REF!,"AAAAAF/99cc=")</f>
        <v>#REF!</v>
      </c>
      <c r="GS18" t="e">
        <f>AND(NhatkyBan!#REF!,"AAAAAF/99cg=")</f>
        <v>#REF!</v>
      </c>
      <c r="GT18" t="e">
        <f>AND(NhatkyBan!#REF!,"AAAAAF/99ck=")</f>
        <v>#REF!</v>
      </c>
      <c r="GU18" t="e">
        <f>AND(NhatkyBan!#REF!,"AAAAAF/99co=")</f>
        <v>#REF!</v>
      </c>
      <c r="GV18" t="e">
        <f>AND(NhatkyBan!#REF!,"AAAAAF/99cs=")</f>
        <v>#REF!</v>
      </c>
      <c r="GW18" t="e">
        <f>AND(NhatkyBan!#REF!,"AAAAAF/99cw=")</f>
        <v>#REF!</v>
      </c>
      <c r="GX18" t="e">
        <f>AND(NhatkyBan!#REF!,"AAAAAF/99c0=")</f>
        <v>#REF!</v>
      </c>
      <c r="GY18" t="e">
        <f>AND(NhatkyBan!#REF!,"AAAAAF/99c4=")</f>
        <v>#REF!</v>
      </c>
      <c r="GZ18" t="e">
        <f>AND(NhatkyBan!#REF!,"AAAAAF/99c8=")</f>
        <v>#REF!</v>
      </c>
      <c r="HA18" t="e">
        <f>AND(NhatkyBan!#REF!,"AAAAAF/99dA=")</f>
        <v>#REF!</v>
      </c>
      <c r="HB18" t="e">
        <f>AND(NhatkyBan!#REF!,"AAAAAF/99dE=")</f>
        <v>#REF!</v>
      </c>
      <c r="HC18" t="e">
        <f>AND(NhatkyBan!#REF!,"AAAAAF/99dI=")</f>
        <v>#REF!</v>
      </c>
      <c r="HD18" t="e">
        <f>AND(NhatkyBan!#REF!,"AAAAAF/99dM=")</f>
        <v>#REF!</v>
      </c>
      <c r="HE18" t="e">
        <f>AND(NhatkyBan!#REF!,"AAAAAF/99dQ=")</f>
        <v>#REF!</v>
      </c>
      <c r="HF18" t="e">
        <f>AND(NhatkyBan!#REF!,"AAAAAF/99dU=")</f>
        <v>#REF!</v>
      </c>
      <c r="HG18" t="e">
        <f>AND(NhatkyBan!#REF!,"AAAAAF/99dY=")</f>
        <v>#REF!</v>
      </c>
      <c r="HH18" t="e">
        <f>AND(NhatkyBan!#REF!,"AAAAAF/99dc=")</f>
        <v>#REF!</v>
      </c>
      <c r="HI18" t="e">
        <f>AND(NhatkyBan!#REF!,"AAAAAF/99dg=")</f>
        <v>#REF!</v>
      </c>
      <c r="HJ18" t="e">
        <f>AND(NhatkyBan!#REF!,"AAAAAF/99dk=")</f>
        <v>#REF!</v>
      </c>
      <c r="HK18" t="e">
        <f>AND(NhatkyBan!#REF!,"AAAAAF/99do=")</f>
        <v>#REF!</v>
      </c>
      <c r="HL18" t="e">
        <f>AND(NhatkyBan!#REF!,"AAAAAF/99ds=")</f>
        <v>#REF!</v>
      </c>
      <c r="HM18" t="e">
        <f>AND(NhatkyBan!#REF!,"AAAAAF/99dw=")</f>
        <v>#REF!</v>
      </c>
      <c r="HN18" t="e">
        <f>AND(NhatkyBan!#REF!,"AAAAAF/99d0=")</f>
        <v>#REF!</v>
      </c>
      <c r="HO18" t="e">
        <f>AND(NhatkyBan!#REF!,"AAAAAF/99d4=")</f>
        <v>#REF!</v>
      </c>
      <c r="HP18" t="e">
        <f>AND(NhatkyBan!#REF!,"AAAAAF/99d8=")</f>
        <v>#REF!</v>
      </c>
      <c r="HQ18" t="e">
        <f>AND(NhatkyBan!#REF!,"AAAAAF/99eA=")</f>
        <v>#REF!</v>
      </c>
      <c r="HR18" t="e">
        <f>AND(NhatkyBan!#REF!,"AAAAAF/99eE=")</f>
        <v>#REF!</v>
      </c>
      <c r="HS18" t="e">
        <f>IF(NhatkyBan!#REF!,"AAAAAF/99eI=",0)</f>
        <v>#REF!</v>
      </c>
      <c r="HT18" t="e">
        <f>AND(NhatkyBan!#REF!,"AAAAAF/99eM=")</f>
        <v>#REF!</v>
      </c>
      <c r="HU18" t="e">
        <f>AND(NhatkyBan!#REF!,"AAAAAF/99eQ=")</f>
        <v>#REF!</v>
      </c>
      <c r="HV18" t="e">
        <f>AND(NhatkyBan!#REF!,"AAAAAF/99eU=")</f>
        <v>#REF!</v>
      </c>
      <c r="HW18" t="e">
        <f>AND(NhatkyBan!#REF!,"AAAAAF/99eY=")</f>
        <v>#REF!</v>
      </c>
      <c r="HX18" t="e">
        <f>AND(NhatkyBan!#REF!,"AAAAAF/99ec=")</f>
        <v>#REF!</v>
      </c>
      <c r="HY18" t="e">
        <f>AND(NhatkyBan!#REF!,"AAAAAF/99eg=")</f>
        <v>#REF!</v>
      </c>
      <c r="HZ18" t="e">
        <f>AND(NhatkyBan!#REF!,"AAAAAF/99ek=")</f>
        <v>#REF!</v>
      </c>
      <c r="IA18" t="e">
        <f>AND(NhatkyBan!#REF!,"AAAAAF/99eo=")</f>
        <v>#REF!</v>
      </c>
      <c r="IB18" t="e">
        <f>AND(NhatkyBan!#REF!,"AAAAAF/99es=")</f>
        <v>#REF!</v>
      </c>
      <c r="IC18" t="e">
        <f>AND(NhatkyBan!#REF!,"AAAAAF/99ew=")</f>
        <v>#REF!</v>
      </c>
      <c r="ID18" t="e">
        <f>AND(NhatkyBan!#REF!,"AAAAAF/99e0=")</f>
        <v>#REF!</v>
      </c>
      <c r="IE18" t="e">
        <f>AND(NhatkyBan!#REF!,"AAAAAF/99e4=")</f>
        <v>#REF!</v>
      </c>
      <c r="IF18" t="e">
        <f>AND(NhatkyBan!#REF!,"AAAAAF/99e8=")</f>
        <v>#REF!</v>
      </c>
      <c r="IG18" t="e">
        <f>AND(NhatkyBan!#REF!,"AAAAAF/99fA=")</f>
        <v>#REF!</v>
      </c>
      <c r="IH18" t="e">
        <f>AND(NhatkyBan!#REF!,"AAAAAF/99fE=")</f>
        <v>#REF!</v>
      </c>
      <c r="II18" t="e">
        <f>AND(NhatkyBan!#REF!,"AAAAAF/99fI=")</f>
        <v>#REF!</v>
      </c>
      <c r="IJ18" t="e">
        <f>AND(NhatkyBan!#REF!,"AAAAAF/99fM=")</f>
        <v>#REF!</v>
      </c>
      <c r="IK18" t="e">
        <f>AND(NhatkyBan!#REF!,"AAAAAF/99fQ=")</f>
        <v>#REF!</v>
      </c>
      <c r="IL18" t="e">
        <f>AND(NhatkyBan!#REF!,"AAAAAF/99fU=")</f>
        <v>#REF!</v>
      </c>
      <c r="IM18" t="e">
        <f>AND(NhatkyBan!#REF!,"AAAAAF/99fY=")</f>
        <v>#REF!</v>
      </c>
      <c r="IN18" t="e">
        <f>AND(NhatkyBan!#REF!,"AAAAAF/99fc=")</f>
        <v>#REF!</v>
      </c>
      <c r="IO18" t="e">
        <f>AND(NhatkyBan!#REF!,"AAAAAF/99fg=")</f>
        <v>#REF!</v>
      </c>
      <c r="IP18" t="e">
        <f>AND(NhatkyBan!#REF!,"AAAAAF/99fk=")</f>
        <v>#REF!</v>
      </c>
      <c r="IQ18" t="e">
        <f>AND(NhatkyBan!#REF!,"AAAAAF/99fo=")</f>
        <v>#REF!</v>
      </c>
      <c r="IR18" t="e">
        <f>AND(NhatkyBan!#REF!,"AAAAAF/99fs=")</f>
        <v>#REF!</v>
      </c>
      <c r="IS18" t="e">
        <f>AND(NhatkyBan!#REF!,"AAAAAF/99fw=")</f>
        <v>#REF!</v>
      </c>
      <c r="IT18" t="e">
        <f>AND(NhatkyBan!#REF!,"AAAAAF/99f0=")</f>
        <v>#REF!</v>
      </c>
      <c r="IU18" t="e">
        <f>AND(NhatkyBan!#REF!,"AAAAAF/99f4=")</f>
        <v>#REF!</v>
      </c>
      <c r="IV18" t="e">
        <f>AND(NhatkyBan!#REF!,"AAAAAF/99f8=")</f>
        <v>#REF!</v>
      </c>
    </row>
    <row r="19" spans="1:256">
      <c r="A19" t="e">
        <f>AND(NhatkyBan!#REF!,"AAAAAD9+WQA=")</f>
        <v>#REF!</v>
      </c>
      <c r="B19" t="e">
        <f>AND(NhatkyBan!#REF!,"AAAAAD9+WQE=")</f>
        <v>#REF!</v>
      </c>
      <c r="C19" t="e">
        <f>AND(NhatkyBan!#REF!,"AAAAAD9+WQI=")</f>
        <v>#REF!</v>
      </c>
      <c r="D19" t="e">
        <f>AND(NhatkyBan!#REF!,"AAAAAD9+WQM=")</f>
        <v>#REF!</v>
      </c>
      <c r="E19" t="e">
        <f>AND(NhatkyBan!#REF!,"AAAAAD9+WQQ=")</f>
        <v>#REF!</v>
      </c>
      <c r="F19" t="e">
        <f>IF(NhatkyBan!#REF!,"AAAAAD9+WQU=",0)</f>
        <v>#REF!</v>
      </c>
      <c r="G19" t="e">
        <f>AND(NhatkyBan!#REF!,"AAAAAD9+WQY=")</f>
        <v>#REF!</v>
      </c>
      <c r="H19" t="e">
        <f>AND(NhatkyBan!#REF!,"AAAAAD9+WQc=")</f>
        <v>#REF!</v>
      </c>
      <c r="I19" t="e">
        <f>AND(NhatkyBan!#REF!,"AAAAAD9+WQg=")</f>
        <v>#REF!</v>
      </c>
      <c r="J19" t="e">
        <f>AND(NhatkyBan!#REF!,"AAAAAD9+WQk=")</f>
        <v>#REF!</v>
      </c>
      <c r="K19" t="e">
        <f>AND(NhatkyBan!#REF!,"AAAAAD9+WQo=")</f>
        <v>#REF!</v>
      </c>
      <c r="L19" t="e">
        <f>AND(NhatkyBan!#REF!,"AAAAAD9+WQs=")</f>
        <v>#REF!</v>
      </c>
      <c r="M19" t="e">
        <f>AND(NhatkyBan!#REF!,"AAAAAD9+WQw=")</f>
        <v>#REF!</v>
      </c>
      <c r="N19" t="e">
        <f>AND(NhatkyBan!#REF!,"AAAAAD9+WQ0=")</f>
        <v>#REF!</v>
      </c>
      <c r="O19" t="e">
        <f>AND(NhatkyBan!#REF!,"AAAAAD9+WQ4=")</f>
        <v>#REF!</v>
      </c>
      <c r="P19" t="e">
        <f>AND(NhatkyBan!#REF!,"AAAAAD9+WQ8=")</f>
        <v>#REF!</v>
      </c>
      <c r="Q19" t="e">
        <f>AND(NhatkyBan!#REF!,"AAAAAD9+WRA=")</f>
        <v>#REF!</v>
      </c>
      <c r="R19" t="e">
        <f>AND(NhatkyBan!#REF!,"AAAAAD9+WRE=")</f>
        <v>#REF!</v>
      </c>
      <c r="S19" t="e">
        <f>AND(NhatkyBan!#REF!,"AAAAAD9+WRI=")</f>
        <v>#REF!</v>
      </c>
      <c r="T19" t="e">
        <f>AND(NhatkyBan!#REF!,"AAAAAD9+WRM=")</f>
        <v>#REF!</v>
      </c>
      <c r="U19" t="e">
        <f>AND(NhatkyBan!#REF!,"AAAAAD9+WRQ=")</f>
        <v>#REF!</v>
      </c>
      <c r="V19" t="e">
        <f>AND(NhatkyBan!#REF!,"AAAAAD9+WRU=")</f>
        <v>#REF!</v>
      </c>
      <c r="W19" t="e">
        <f>AND(NhatkyBan!#REF!,"AAAAAD9+WRY=")</f>
        <v>#REF!</v>
      </c>
      <c r="X19" t="e">
        <f>AND(NhatkyBan!#REF!,"AAAAAD9+WRc=")</f>
        <v>#REF!</v>
      </c>
      <c r="Y19" t="e">
        <f>AND(NhatkyBan!#REF!,"AAAAAD9+WRg=")</f>
        <v>#REF!</v>
      </c>
      <c r="Z19" t="e">
        <f>AND(NhatkyBan!#REF!,"AAAAAD9+WRk=")</f>
        <v>#REF!</v>
      </c>
      <c r="AA19" t="e">
        <f>AND(NhatkyBan!#REF!,"AAAAAD9+WRo=")</f>
        <v>#REF!</v>
      </c>
      <c r="AB19" t="e">
        <f>AND(NhatkyBan!#REF!,"AAAAAD9+WRs=")</f>
        <v>#REF!</v>
      </c>
      <c r="AC19" t="e">
        <f>AND(NhatkyBan!#REF!,"AAAAAD9+WRw=")</f>
        <v>#REF!</v>
      </c>
      <c r="AD19" t="e">
        <f>AND(NhatkyBan!#REF!,"AAAAAD9+WR0=")</f>
        <v>#REF!</v>
      </c>
      <c r="AE19" t="e">
        <f>AND(NhatkyBan!#REF!,"AAAAAD9+WR4=")</f>
        <v>#REF!</v>
      </c>
      <c r="AF19" t="e">
        <f>AND(NhatkyBan!#REF!,"AAAAAD9+WR8=")</f>
        <v>#REF!</v>
      </c>
      <c r="AG19" t="e">
        <f>AND(NhatkyBan!#REF!,"AAAAAD9+WSA=")</f>
        <v>#REF!</v>
      </c>
      <c r="AH19" t="e">
        <f>AND(NhatkyBan!#REF!,"AAAAAD9+WSE=")</f>
        <v>#REF!</v>
      </c>
      <c r="AI19" t="e">
        <f>AND(NhatkyBan!#REF!,"AAAAAD9+WSI=")</f>
        <v>#REF!</v>
      </c>
      <c r="AJ19" t="e">
        <f>AND(NhatkyBan!#REF!,"AAAAAD9+WSM=")</f>
        <v>#REF!</v>
      </c>
      <c r="AK19" t="e">
        <f>AND(NhatkyBan!#REF!,"AAAAAD9+WSQ=")</f>
        <v>#REF!</v>
      </c>
      <c r="AL19" t="e">
        <f>AND(NhatkyBan!#REF!,"AAAAAD9+WSU=")</f>
        <v>#REF!</v>
      </c>
      <c r="AM19" t="e">
        <f>AND(NhatkyBan!#REF!,"AAAAAD9+WSY=")</f>
        <v>#REF!</v>
      </c>
      <c r="AN19" t="e">
        <f>AND(NhatkyBan!#REF!,"AAAAAD9+WSc=")</f>
        <v>#REF!</v>
      </c>
      <c r="AO19" t="e">
        <f>IF(NhatkyBan!#REF!,"AAAAAD9+WSg=",0)</f>
        <v>#REF!</v>
      </c>
      <c r="AP19" t="e">
        <f>AND(NhatkyBan!#REF!,"AAAAAD9+WSk=")</f>
        <v>#REF!</v>
      </c>
      <c r="AQ19" t="e">
        <f>AND(NhatkyBan!#REF!,"AAAAAD9+WSo=")</f>
        <v>#REF!</v>
      </c>
      <c r="AR19" t="e">
        <f>AND(NhatkyBan!#REF!,"AAAAAD9+WSs=")</f>
        <v>#REF!</v>
      </c>
      <c r="AS19" t="e">
        <f>AND(NhatkyBan!#REF!,"AAAAAD9+WSw=")</f>
        <v>#REF!</v>
      </c>
      <c r="AT19" t="e">
        <f>AND(NhatkyBan!#REF!,"AAAAAD9+WS0=")</f>
        <v>#REF!</v>
      </c>
      <c r="AU19" t="e">
        <f>AND(NhatkyBan!#REF!,"AAAAAD9+WS4=")</f>
        <v>#REF!</v>
      </c>
      <c r="AV19" t="e">
        <f>AND(NhatkyBan!#REF!,"AAAAAD9+WS8=")</f>
        <v>#REF!</v>
      </c>
      <c r="AW19" t="e">
        <f>AND(NhatkyBan!#REF!,"AAAAAD9+WTA=")</f>
        <v>#REF!</v>
      </c>
      <c r="AX19" t="e">
        <f>AND(NhatkyBan!#REF!,"AAAAAD9+WTE=")</f>
        <v>#REF!</v>
      </c>
      <c r="AY19" t="e">
        <f>AND(NhatkyBan!#REF!,"AAAAAD9+WTI=")</f>
        <v>#REF!</v>
      </c>
      <c r="AZ19" t="e">
        <f>AND(NhatkyBan!#REF!,"AAAAAD9+WTM=")</f>
        <v>#REF!</v>
      </c>
      <c r="BA19" t="e">
        <f>AND(NhatkyBan!#REF!,"AAAAAD9+WTQ=")</f>
        <v>#REF!</v>
      </c>
      <c r="BB19" t="e">
        <f>AND(NhatkyBan!#REF!,"AAAAAD9+WTU=")</f>
        <v>#REF!</v>
      </c>
      <c r="BC19" t="e">
        <f>AND(NhatkyBan!#REF!,"AAAAAD9+WTY=")</f>
        <v>#REF!</v>
      </c>
      <c r="BD19" t="e">
        <f>AND(NhatkyBan!#REF!,"AAAAAD9+WTc=")</f>
        <v>#REF!</v>
      </c>
      <c r="BE19" t="e">
        <f>AND(NhatkyBan!#REF!,"AAAAAD9+WTg=")</f>
        <v>#REF!</v>
      </c>
      <c r="BF19" t="e">
        <f>AND(NhatkyBan!#REF!,"AAAAAD9+WTk=")</f>
        <v>#REF!</v>
      </c>
      <c r="BG19" t="e">
        <f>AND(NhatkyBan!#REF!,"AAAAAD9+WTo=")</f>
        <v>#REF!</v>
      </c>
      <c r="BH19" t="e">
        <f>AND(NhatkyBan!#REF!,"AAAAAD9+WTs=")</f>
        <v>#REF!</v>
      </c>
      <c r="BI19" t="e">
        <f>AND(NhatkyBan!#REF!,"AAAAAD9+WTw=")</f>
        <v>#REF!</v>
      </c>
      <c r="BJ19" t="e">
        <f>AND(NhatkyBan!#REF!,"AAAAAD9+WT0=")</f>
        <v>#REF!</v>
      </c>
      <c r="BK19" t="e">
        <f>AND(NhatkyBan!#REF!,"AAAAAD9+WT4=")</f>
        <v>#REF!</v>
      </c>
      <c r="BL19" t="e">
        <f>AND(NhatkyBan!#REF!,"AAAAAD9+WT8=")</f>
        <v>#REF!</v>
      </c>
      <c r="BM19" t="e">
        <f>AND(NhatkyBan!#REF!,"AAAAAD9+WUA=")</f>
        <v>#REF!</v>
      </c>
      <c r="BN19" t="e">
        <f>AND(NhatkyBan!#REF!,"AAAAAD9+WUE=")</f>
        <v>#REF!</v>
      </c>
      <c r="BO19" t="e">
        <f>AND(NhatkyBan!#REF!,"AAAAAD9+WUI=")</f>
        <v>#REF!</v>
      </c>
      <c r="BP19" t="e">
        <f>AND(NhatkyBan!#REF!,"AAAAAD9+WUM=")</f>
        <v>#REF!</v>
      </c>
      <c r="BQ19" t="e">
        <f>AND(NhatkyBan!#REF!,"AAAAAD9+WUQ=")</f>
        <v>#REF!</v>
      </c>
      <c r="BR19" t="e">
        <f>AND(NhatkyBan!#REF!,"AAAAAD9+WUU=")</f>
        <v>#REF!</v>
      </c>
      <c r="BS19" t="e">
        <f>AND(NhatkyBan!#REF!,"AAAAAD9+WUY=")</f>
        <v>#REF!</v>
      </c>
      <c r="BT19" t="e">
        <f>AND(NhatkyBan!#REF!,"AAAAAD9+WUc=")</f>
        <v>#REF!</v>
      </c>
      <c r="BU19" t="e">
        <f>AND(NhatkyBan!#REF!,"AAAAAD9+WUg=")</f>
        <v>#REF!</v>
      </c>
      <c r="BV19" t="e">
        <f>AND(NhatkyBan!#REF!,"AAAAAD9+WUk=")</f>
        <v>#REF!</v>
      </c>
      <c r="BW19" t="e">
        <f>AND(NhatkyBan!#REF!,"AAAAAD9+WUo=")</f>
        <v>#REF!</v>
      </c>
      <c r="BX19" t="e">
        <f>IF(NhatkyBan!#REF!,"AAAAAD9+WUs=",0)</f>
        <v>#REF!</v>
      </c>
      <c r="BY19" t="e">
        <f>AND(NhatkyBan!#REF!,"AAAAAD9+WUw=")</f>
        <v>#REF!</v>
      </c>
      <c r="BZ19" t="e">
        <f>AND(NhatkyBan!#REF!,"AAAAAD9+WU0=")</f>
        <v>#REF!</v>
      </c>
      <c r="CA19" t="e">
        <f>AND(NhatkyBan!#REF!,"AAAAAD9+WU4=")</f>
        <v>#REF!</v>
      </c>
      <c r="CB19" t="e">
        <f>AND(NhatkyBan!#REF!,"AAAAAD9+WU8=")</f>
        <v>#REF!</v>
      </c>
      <c r="CC19" t="e">
        <f>AND(NhatkyBan!#REF!,"AAAAAD9+WVA=")</f>
        <v>#REF!</v>
      </c>
      <c r="CD19" t="e">
        <f>AND(NhatkyBan!#REF!,"AAAAAD9+WVE=")</f>
        <v>#REF!</v>
      </c>
      <c r="CE19" t="e">
        <f>AND(NhatkyBan!#REF!,"AAAAAD9+WVI=")</f>
        <v>#REF!</v>
      </c>
      <c r="CF19" t="e">
        <f>AND(NhatkyBan!#REF!,"AAAAAD9+WVM=")</f>
        <v>#REF!</v>
      </c>
      <c r="CG19" t="e">
        <f>AND(NhatkyBan!#REF!,"AAAAAD9+WVQ=")</f>
        <v>#REF!</v>
      </c>
      <c r="CH19" t="e">
        <f>AND(NhatkyBan!#REF!,"AAAAAD9+WVU=")</f>
        <v>#REF!</v>
      </c>
      <c r="CI19" t="e">
        <f>AND(NhatkyBan!#REF!,"AAAAAD9+WVY=")</f>
        <v>#REF!</v>
      </c>
      <c r="CJ19" t="e">
        <f>AND(NhatkyBan!#REF!,"AAAAAD9+WVc=")</f>
        <v>#REF!</v>
      </c>
      <c r="CK19" t="e">
        <f>AND(NhatkyBan!#REF!,"AAAAAD9+WVg=")</f>
        <v>#REF!</v>
      </c>
      <c r="CL19" t="e">
        <f>AND(NhatkyBan!#REF!,"AAAAAD9+WVk=")</f>
        <v>#REF!</v>
      </c>
      <c r="CM19" t="e">
        <f>AND(NhatkyBan!#REF!,"AAAAAD9+WVo=")</f>
        <v>#REF!</v>
      </c>
      <c r="CN19" t="e">
        <f>AND(NhatkyBan!#REF!,"AAAAAD9+WVs=")</f>
        <v>#REF!</v>
      </c>
      <c r="CO19" t="e">
        <f>AND(NhatkyBan!#REF!,"AAAAAD9+WVw=")</f>
        <v>#REF!</v>
      </c>
      <c r="CP19" t="e">
        <f>AND(NhatkyBan!#REF!,"AAAAAD9+WV0=")</f>
        <v>#REF!</v>
      </c>
      <c r="CQ19" t="e">
        <f>AND(NhatkyBan!#REF!,"AAAAAD9+WV4=")</f>
        <v>#REF!</v>
      </c>
      <c r="CR19" t="e">
        <f>AND(NhatkyBan!#REF!,"AAAAAD9+WV8=")</f>
        <v>#REF!</v>
      </c>
      <c r="CS19" t="e">
        <f>AND(NhatkyBan!#REF!,"AAAAAD9+WWA=")</f>
        <v>#REF!</v>
      </c>
      <c r="CT19" t="e">
        <f>AND(NhatkyBan!#REF!,"AAAAAD9+WWE=")</f>
        <v>#REF!</v>
      </c>
      <c r="CU19" t="e">
        <f>AND(NhatkyBan!#REF!,"AAAAAD9+WWI=")</f>
        <v>#REF!</v>
      </c>
      <c r="CV19" t="e">
        <f>AND(NhatkyBan!#REF!,"AAAAAD9+WWM=")</f>
        <v>#REF!</v>
      </c>
      <c r="CW19" t="e">
        <f>AND(NhatkyBan!#REF!,"AAAAAD9+WWQ=")</f>
        <v>#REF!</v>
      </c>
      <c r="CX19" t="e">
        <f>AND(NhatkyBan!#REF!,"AAAAAD9+WWU=")</f>
        <v>#REF!</v>
      </c>
      <c r="CY19" t="e">
        <f>AND(NhatkyBan!#REF!,"AAAAAD9+WWY=")</f>
        <v>#REF!</v>
      </c>
      <c r="CZ19" t="e">
        <f>AND(NhatkyBan!#REF!,"AAAAAD9+WWc=")</f>
        <v>#REF!</v>
      </c>
      <c r="DA19" t="e">
        <f>AND(NhatkyBan!#REF!,"AAAAAD9+WWg=")</f>
        <v>#REF!</v>
      </c>
      <c r="DB19" t="e">
        <f>AND(NhatkyBan!#REF!,"AAAAAD9+WWk=")</f>
        <v>#REF!</v>
      </c>
      <c r="DC19" t="e">
        <f>AND(NhatkyBan!#REF!,"AAAAAD9+WWo=")</f>
        <v>#REF!</v>
      </c>
      <c r="DD19" t="e">
        <f>AND(NhatkyBan!#REF!,"AAAAAD9+WWs=")</f>
        <v>#REF!</v>
      </c>
      <c r="DE19" t="e">
        <f>AND(NhatkyBan!#REF!,"AAAAAD9+WWw=")</f>
        <v>#REF!</v>
      </c>
      <c r="DF19" t="e">
        <f>AND(NhatkyBan!#REF!,"AAAAAD9+WW0=")</f>
        <v>#REF!</v>
      </c>
      <c r="DG19" t="e">
        <f>IF(NhatkyBan!#REF!,"AAAAAD9+WW4=",0)</f>
        <v>#REF!</v>
      </c>
      <c r="DH19" t="e">
        <f>AND(NhatkyBan!#REF!,"AAAAAD9+WW8=")</f>
        <v>#REF!</v>
      </c>
      <c r="DI19" t="e">
        <f>AND(NhatkyBan!#REF!,"AAAAAD9+WXA=")</f>
        <v>#REF!</v>
      </c>
      <c r="DJ19" t="e">
        <f>AND(NhatkyBan!#REF!,"AAAAAD9+WXE=")</f>
        <v>#REF!</v>
      </c>
      <c r="DK19" t="e">
        <f>AND(NhatkyBan!#REF!,"AAAAAD9+WXI=")</f>
        <v>#REF!</v>
      </c>
      <c r="DL19" t="e">
        <f>AND(NhatkyBan!#REF!,"AAAAAD9+WXM=")</f>
        <v>#REF!</v>
      </c>
      <c r="DM19" t="e">
        <f>AND(NhatkyBan!#REF!,"AAAAAD9+WXQ=")</f>
        <v>#REF!</v>
      </c>
      <c r="DN19" t="e">
        <f>AND(NhatkyBan!#REF!,"AAAAAD9+WXU=")</f>
        <v>#REF!</v>
      </c>
      <c r="DO19" t="e">
        <f>AND(NhatkyBan!#REF!,"AAAAAD9+WXY=")</f>
        <v>#REF!</v>
      </c>
      <c r="DP19" t="e">
        <f>AND(NhatkyBan!#REF!,"AAAAAD9+WXc=")</f>
        <v>#REF!</v>
      </c>
      <c r="DQ19" t="e">
        <f>AND(NhatkyBan!#REF!,"AAAAAD9+WXg=")</f>
        <v>#REF!</v>
      </c>
      <c r="DR19" t="e">
        <f>AND(NhatkyBan!#REF!,"AAAAAD9+WXk=")</f>
        <v>#REF!</v>
      </c>
      <c r="DS19" t="e">
        <f>AND(NhatkyBan!#REF!,"AAAAAD9+WXo=")</f>
        <v>#REF!</v>
      </c>
      <c r="DT19" t="e">
        <f>AND(NhatkyBan!#REF!,"AAAAAD9+WXs=")</f>
        <v>#REF!</v>
      </c>
      <c r="DU19" t="e">
        <f>AND(NhatkyBan!#REF!,"AAAAAD9+WXw=")</f>
        <v>#REF!</v>
      </c>
      <c r="DV19" t="e">
        <f>AND(NhatkyBan!#REF!,"AAAAAD9+WX0=")</f>
        <v>#REF!</v>
      </c>
      <c r="DW19" t="e">
        <f>AND(NhatkyBan!#REF!,"AAAAAD9+WX4=")</f>
        <v>#REF!</v>
      </c>
      <c r="DX19" t="e">
        <f>AND(NhatkyBan!#REF!,"AAAAAD9+WX8=")</f>
        <v>#REF!</v>
      </c>
      <c r="DY19" t="e">
        <f>AND(NhatkyBan!#REF!,"AAAAAD9+WYA=")</f>
        <v>#REF!</v>
      </c>
      <c r="DZ19" t="e">
        <f>AND(NhatkyBan!#REF!,"AAAAAD9+WYE=")</f>
        <v>#REF!</v>
      </c>
      <c r="EA19" t="e">
        <f>AND(NhatkyBan!#REF!,"AAAAAD9+WYI=")</f>
        <v>#REF!</v>
      </c>
      <c r="EB19" t="e">
        <f>AND(NhatkyBan!#REF!,"AAAAAD9+WYM=")</f>
        <v>#REF!</v>
      </c>
      <c r="EC19" t="e">
        <f>AND(NhatkyBan!#REF!,"AAAAAD9+WYQ=")</f>
        <v>#REF!</v>
      </c>
      <c r="ED19" t="e">
        <f>AND(NhatkyBan!#REF!,"AAAAAD9+WYU=")</f>
        <v>#REF!</v>
      </c>
      <c r="EE19" t="e">
        <f>AND(NhatkyBan!#REF!,"AAAAAD9+WYY=")</f>
        <v>#REF!</v>
      </c>
      <c r="EF19" t="e">
        <f>AND(NhatkyBan!#REF!,"AAAAAD9+WYc=")</f>
        <v>#REF!</v>
      </c>
      <c r="EG19" t="e">
        <f>AND(NhatkyBan!#REF!,"AAAAAD9+WYg=")</f>
        <v>#REF!</v>
      </c>
      <c r="EH19" t="e">
        <f>AND(NhatkyBan!#REF!,"AAAAAD9+WYk=")</f>
        <v>#REF!</v>
      </c>
      <c r="EI19" t="e">
        <f>AND(NhatkyBan!#REF!,"AAAAAD9+WYo=")</f>
        <v>#REF!</v>
      </c>
      <c r="EJ19" t="e">
        <f>AND(NhatkyBan!#REF!,"AAAAAD9+WYs=")</f>
        <v>#REF!</v>
      </c>
      <c r="EK19" t="e">
        <f>AND(NhatkyBan!#REF!,"AAAAAD9+WYw=")</f>
        <v>#REF!</v>
      </c>
      <c r="EL19" t="e">
        <f>AND(NhatkyBan!#REF!,"AAAAAD9+WY0=")</f>
        <v>#REF!</v>
      </c>
      <c r="EM19" t="e">
        <f>AND(NhatkyBan!#REF!,"AAAAAD9+WY4=")</f>
        <v>#REF!</v>
      </c>
      <c r="EN19" t="e">
        <f>AND(NhatkyBan!#REF!,"AAAAAD9+WY8=")</f>
        <v>#REF!</v>
      </c>
      <c r="EO19" t="e">
        <f>AND(NhatkyBan!#REF!,"AAAAAD9+WZA=")</f>
        <v>#REF!</v>
      </c>
      <c r="EP19" t="e">
        <f>IF(NhatkyBan!#REF!,"AAAAAD9+WZE=",0)</f>
        <v>#REF!</v>
      </c>
      <c r="EQ19" t="e">
        <f>AND(NhatkyBan!#REF!,"AAAAAD9+WZI=")</f>
        <v>#REF!</v>
      </c>
      <c r="ER19" t="e">
        <f>AND(NhatkyBan!#REF!,"AAAAAD9+WZM=")</f>
        <v>#REF!</v>
      </c>
      <c r="ES19" t="e">
        <f>AND(NhatkyBan!#REF!,"AAAAAD9+WZQ=")</f>
        <v>#REF!</v>
      </c>
      <c r="ET19" t="e">
        <f>AND(NhatkyBan!#REF!,"AAAAAD9+WZU=")</f>
        <v>#REF!</v>
      </c>
      <c r="EU19" t="e">
        <f>AND(NhatkyBan!#REF!,"AAAAAD9+WZY=")</f>
        <v>#REF!</v>
      </c>
      <c r="EV19" t="e">
        <f>AND(NhatkyBan!#REF!,"AAAAAD9+WZc=")</f>
        <v>#REF!</v>
      </c>
      <c r="EW19" t="e">
        <f>AND(NhatkyBan!#REF!,"AAAAAD9+WZg=")</f>
        <v>#REF!</v>
      </c>
      <c r="EX19" t="e">
        <f>AND(NhatkyBan!#REF!,"AAAAAD9+WZk=")</f>
        <v>#REF!</v>
      </c>
      <c r="EY19" t="e">
        <f>AND(NhatkyBan!#REF!,"AAAAAD9+WZo=")</f>
        <v>#REF!</v>
      </c>
      <c r="EZ19" t="e">
        <f>AND(NhatkyBan!#REF!,"AAAAAD9+WZs=")</f>
        <v>#REF!</v>
      </c>
      <c r="FA19" t="e">
        <f>AND(NhatkyBan!#REF!,"AAAAAD9+WZw=")</f>
        <v>#REF!</v>
      </c>
      <c r="FB19" t="e">
        <f>AND(NhatkyBan!#REF!,"AAAAAD9+WZ0=")</f>
        <v>#REF!</v>
      </c>
      <c r="FC19" t="e">
        <f>AND(NhatkyBan!#REF!,"AAAAAD9+WZ4=")</f>
        <v>#REF!</v>
      </c>
      <c r="FD19" t="e">
        <f>AND(NhatkyBan!#REF!,"AAAAAD9+WZ8=")</f>
        <v>#REF!</v>
      </c>
      <c r="FE19" t="e">
        <f>AND(NhatkyBan!#REF!,"AAAAAD9+WaA=")</f>
        <v>#REF!</v>
      </c>
      <c r="FF19" t="e">
        <f>AND(NhatkyBan!#REF!,"AAAAAD9+WaE=")</f>
        <v>#REF!</v>
      </c>
      <c r="FG19" t="e">
        <f>AND(NhatkyBan!#REF!,"AAAAAD9+WaI=")</f>
        <v>#REF!</v>
      </c>
      <c r="FH19" t="e">
        <f>AND(NhatkyBan!#REF!,"AAAAAD9+WaM=")</f>
        <v>#REF!</v>
      </c>
      <c r="FI19" t="e">
        <f>AND(NhatkyBan!#REF!,"AAAAAD9+WaQ=")</f>
        <v>#REF!</v>
      </c>
      <c r="FJ19" t="e">
        <f>AND(NhatkyBan!#REF!,"AAAAAD9+WaU=")</f>
        <v>#REF!</v>
      </c>
      <c r="FK19" t="e">
        <f>AND(NhatkyBan!#REF!,"AAAAAD9+WaY=")</f>
        <v>#REF!</v>
      </c>
      <c r="FL19" t="e">
        <f>AND(NhatkyBan!#REF!,"AAAAAD9+Wac=")</f>
        <v>#REF!</v>
      </c>
      <c r="FM19" t="e">
        <f>AND(NhatkyBan!#REF!,"AAAAAD9+Wag=")</f>
        <v>#REF!</v>
      </c>
      <c r="FN19" t="e">
        <f>AND(NhatkyBan!#REF!,"AAAAAD9+Wak=")</f>
        <v>#REF!</v>
      </c>
      <c r="FO19" t="e">
        <f>AND(NhatkyBan!#REF!,"AAAAAD9+Wao=")</f>
        <v>#REF!</v>
      </c>
      <c r="FP19" t="e">
        <f>AND(NhatkyBan!#REF!,"AAAAAD9+Was=")</f>
        <v>#REF!</v>
      </c>
      <c r="FQ19" t="e">
        <f>AND(NhatkyBan!#REF!,"AAAAAD9+Waw=")</f>
        <v>#REF!</v>
      </c>
      <c r="FR19" t="e">
        <f>AND(NhatkyBan!#REF!,"AAAAAD9+Wa0=")</f>
        <v>#REF!</v>
      </c>
      <c r="FS19" t="e">
        <f>AND(NhatkyBan!#REF!,"AAAAAD9+Wa4=")</f>
        <v>#REF!</v>
      </c>
      <c r="FT19" t="e">
        <f>AND(NhatkyBan!#REF!,"AAAAAD9+Wa8=")</f>
        <v>#REF!</v>
      </c>
      <c r="FU19" t="e">
        <f>AND(NhatkyBan!#REF!,"AAAAAD9+WbA=")</f>
        <v>#REF!</v>
      </c>
      <c r="FV19" t="e">
        <f>AND(NhatkyBan!#REF!,"AAAAAD9+WbE=")</f>
        <v>#REF!</v>
      </c>
      <c r="FW19" t="e">
        <f>AND(NhatkyBan!#REF!,"AAAAAD9+WbI=")</f>
        <v>#REF!</v>
      </c>
      <c r="FX19" t="e">
        <f>AND(NhatkyBan!#REF!,"AAAAAD9+WbM=")</f>
        <v>#REF!</v>
      </c>
      <c r="FY19" t="e">
        <f>IF(NhatkyBan!#REF!,"AAAAAD9+WbQ=",0)</f>
        <v>#REF!</v>
      </c>
      <c r="FZ19" t="e">
        <f>AND(NhatkyBan!#REF!,"AAAAAD9+WbU=")</f>
        <v>#REF!</v>
      </c>
      <c r="GA19" t="e">
        <f>AND(NhatkyBan!#REF!,"AAAAAD9+WbY=")</f>
        <v>#REF!</v>
      </c>
      <c r="GB19" t="e">
        <f>AND(NhatkyBan!#REF!,"AAAAAD9+Wbc=")</f>
        <v>#REF!</v>
      </c>
      <c r="GC19" t="e">
        <f>AND(NhatkyBan!#REF!,"AAAAAD9+Wbg=")</f>
        <v>#REF!</v>
      </c>
      <c r="GD19" t="e">
        <f>AND(NhatkyBan!#REF!,"AAAAAD9+Wbk=")</f>
        <v>#REF!</v>
      </c>
      <c r="GE19" t="e">
        <f>AND(NhatkyBan!#REF!,"AAAAAD9+Wbo=")</f>
        <v>#REF!</v>
      </c>
      <c r="GF19" t="e">
        <f>AND(NhatkyBan!#REF!,"AAAAAD9+Wbs=")</f>
        <v>#REF!</v>
      </c>
      <c r="GG19" t="e">
        <f>AND(NhatkyBan!#REF!,"AAAAAD9+Wbw=")</f>
        <v>#REF!</v>
      </c>
      <c r="GH19" t="e">
        <f>AND(NhatkyBan!#REF!,"AAAAAD9+Wb0=")</f>
        <v>#REF!</v>
      </c>
      <c r="GI19" t="e">
        <f>AND(NhatkyBan!#REF!,"AAAAAD9+Wb4=")</f>
        <v>#REF!</v>
      </c>
      <c r="GJ19" t="e">
        <f>AND(NhatkyBan!#REF!,"AAAAAD9+Wb8=")</f>
        <v>#REF!</v>
      </c>
      <c r="GK19" t="e">
        <f>AND(NhatkyBan!#REF!,"AAAAAD9+WcA=")</f>
        <v>#REF!</v>
      </c>
      <c r="GL19" t="e">
        <f>AND(NhatkyBan!#REF!,"AAAAAD9+WcE=")</f>
        <v>#REF!</v>
      </c>
      <c r="GM19" t="e">
        <f>AND(NhatkyBan!#REF!,"AAAAAD9+WcI=")</f>
        <v>#REF!</v>
      </c>
      <c r="GN19" t="e">
        <f>AND(NhatkyBan!#REF!,"AAAAAD9+WcM=")</f>
        <v>#REF!</v>
      </c>
      <c r="GO19" t="e">
        <f>AND(NhatkyBan!#REF!,"AAAAAD9+WcQ=")</f>
        <v>#REF!</v>
      </c>
      <c r="GP19" t="e">
        <f>AND(NhatkyBan!#REF!,"AAAAAD9+WcU=")</f>
        <v>#REF!</v>
      </c>
      <c r="GQ19" t="e">
        <f>AND(NhatkyBan!#REF!,"AAAAAD9+WcY=")</f>
        <v>#REF!</v>
      </c>
      <c r="GR19" t="e">
        <f>AND(NhatkyBan!#REF!,"AAAAAD9+Wcc=")</f>
        <v>#REF!</v>
      </c>
      <c r="GS19" t="e">
        <f>AND(NhatkyBan!#REF!,"AAAAAD9+Wcg=")</f>
        <v>#REF!</v>
      </c>
      <c r="GT19" t="e">
        <f>AND(NhatkyBan!#REF!,"AAAAAD9+Wck=")</f>
        <v>#REF!</v>
      </c>
      <c r="GU19" t="e">
        <f>AND(NhatkyBan!#REF!,"AAAAAD9+Wco=")</f>
        <v>#REF!</v>
      </c>
      <c r="GV19" t="e">
        <f>AND(NhatkyBan!#REF!,"AAAAAD9+Wcs=")</f>
        <v>#REF!</v>
      </c>
      <c r="GW19" t="e">
        <f>AND(NhatkyBan!#REF!,"AAAAAD9+Wcw=")</f>
        <v>#REF!</v>
      </c>
      <c r="GX19" t="e">
        <f>AND(NhatkyBan!#REF!,"AAAAAD9+Wc0=")</f>
        <v>#REF!</v>
      </c>
      <c r="GY19" t="e">
        <f>AND(NhatkyBan!#REF!,"AAAAAD9+Wc4=")</f>
        <v>#REF!</v>
      </c>
      <c r="GZ19" t="e">
        <f>AND(NhatkyBan!#REF!,"AAAAAD9+Wc8=")</f>
        <v>#REF!</v>
      </c>
      <c r="HA19" t="e">
        <f>AND(NhatkyBan!#REF!,"AAAAAD9+WdA=")</f>
        <v>#REF!</v>
      </c>
      <c r="HB19" t="e">
        <f>AND(NhatkyBan!#REF!,"AAAAAD9+WdE=")</f>
        <v>#REF!</v>
      </c>
      <c r="HC19" t="e">
        <f>AND(NhatkyBan!#REF!,"AAAAAD9+WdI=")</f>
        <v>#REF!</v>
      </c>
      <c r="HD19" t="e">
        <f>AND(NhatkyBan!#REF!,"AAAAAD9+WdM=")</f>
        <v>#REF!</v>
      </c>
      <c r="HE19" t="e">
        <f>AND(NhatkyBan!#REF!,"AAAAAD9+WdQ=")</f>
        <v>#REF!</v>
      </c>
      <c r="HF19" t="e">
        <f>AND(NhatkyBan!#REF!,"AAAAAD9+WdU=")</f>
        <v>#REF!</v>
      </c>
      <c r="HG19" t="e">
        <f>AND(NhatkyBan!#REF!,"AAAAAD9+WdY=")</f>
        <v>#REF!</v>
      </c>
      <c r="HH19" t="e">
        <f>IF(NhatkyBan!#REF!,"AAAAAD9+Wdc=",0)</f>
        <v>#REF!</v>
      </c>
      <c r="HI19" t="e">
        <f>AND(NhatkyBan!#REF!,"AAAAAD9+Wdg=")</f>
        <v>#REF!</v>
      </c>
      <c r="HJ19" t="e">
        <f>AND(NhatkyBan!#REF!,"AAAAAD9+Wdk=")</f>
        <v>#REF!</v>
      </c>
      <c r="HK19" t="e">
        <f>AND(NhatkyBan!#REF!,"AAAAAD9+Wdo=")</f>
        <v>#REF!</v>
      </c>
      <c r="HL19" t="e">
        <f>AND(NhatkyBan!#REF!,"AAAAAD9+Wds=")</f>
        <v>#REF!</v>
      </c>
      <c r="HM19" t="e">
        <f>AND(NhatkyBan!#REF!,"AAAAAD9+Wdw=")</f>
        <v>#REF!</v>
      </c>
      <c r="HN19" t="e">
        <f>AND(NhatkyBan!#REF!,"AAAAAD9+Wd0=")</f>
        <v>#REF!</v>
      </c>
      <c r="HO19" t="e">
        <f>AND(NhatkyBan!#REF!,"AAAAAD9+Wd4=")</f>
        <v>#REF!</v>
      </c>
      <c r="HP19" t="e">
        <f>AND(NhatkyBan!#REF!,"AAAAAD9+Wd8=")</f>
        <v>#REF!</v>
      </c>
      <c r="HQ19" t="e">
        <f>AND(NhatkyBan!#REF!,"AAAAAD9+WeA=")</f>
        <v>#REF!</v>
      </c>
      <c r="HR19" t="e">
        <f>AND(NhatkyBan!#REF!,"AAAAAD9+WeE=")</f>
        <v>#REF!</v>
      </c>
      <c r="HS19" t="e">
        <f>AND(NhatkyBan!#REF!,"AAAAAD9+WeI=")</f>
        <v>#REF!</v>
      </c>
      <c r="HT19" t="e">
        <f>AND(NhatkyBan!#REF!,"AAAAAD9+WeM=")</f>
        <v>#REF!</v>
      </c>
      <c r="HU19" t="e">
        <f>AND(NhatkyBan!#REF!,"AAAAAD9+WeQ=")</f>
        <v>#REF!</v>
      </c>
      <c r="HV19" t="e">
        <f>AND(NhatkyBan!#REF!,"AAAAAD9+WeU=")</f>
        <v>#REF!</v>
      </c>
      <c r="HW19" t="e">
        <f>AND(NhatkyBan!#REF!,"AAAAAD9+WeY=")</f>
        <v>#REF!</v>
      </c>
      <c r="HX19" t="e">
        <f>AND(NhatkyBan!#REF!,"AAAAAD9+Wec=")</f>
        <v>#REF!</v>
      </c>
      <c r="HY19" t="e">
        <f>AND(NhatkyBan!#REF!,"AAAAAD9+Weg=")</f>
        <v>#REF!</v>
      </c>
      <c r="HZ19" t="e">
        <f>AND(NhatkyBan!#REF!,"AAAAAD9+Wek=")</f>
        <v>#REF!</v>
      </c>
      <c r="IA19" t="e">
        <f>AND(NhatkyBan!#REF!,"AAAAAD9+Weo=")</f>
        <v>#REF!</v>
      </c>
      <c r="IB19" t="e">
        <f>AND(NhatkyBan!#REF!,"AAAAAD9+Wes=")</f>
        <v>#REF!</v>
      </c>
      <c r="IC19" t="e">
        <f>AND(NhatkyBan!#REF!,"AAAAAD9+Wew=")</f>
        <v>#REF!</v>
      </c>
      <c r="ID19" t="e">
        <f>AND(NhatkyBan!#REF!,"AAAAAD9+We0=")</f>
        <v>#REF!</v>
      </c>
      <c r="IE19" t="e">
        <f>AND(NhatkyBan!#REF!,"AAAAAD9+We4=")</f>
        <v>#REF!</v>
      </c>
      <c r="IF19" t="e">
        <f>AND(NhatkyBan!#REF!,"AAAAAD9+We8=")</f>
        <v>#REF!</v>
      </c>
      <c r="IG19" t="e">
        <f>AND(NhatkyBan!#REF!,"AAAAAD9+WfA=")</f>
        <v>#REF!</v>
      </c>
      <c r="IH19" t="e">
        <f>AND(NhatkyBan!#REF!,"AAAAAD9+WfE=")</f>
        <v>#REF!</v>
      </c>
      <c r="II19" t="e">
        <f>AND(NhatkyBan!#REF!,"AAAAAD9+WfI=")</f>
        <v>#REF!</v>
      </c>
      <c r="IJ19" t="e">
        <f>AND(NhatkyBan!#REF!,"AAAAAD9+WfM=")</f>
        <v>#REF!</v>
      </c>
      <c r="IK19" t="e">
        <f>AND(NhatkyBan!#REF!,"AAAAAD9+WfQ=")</f>
        <v>#REF!</v>
      </c>
      <c r="IL19" t="e">
        <f>AND(NhatkyBan!#REF!,"AAAAAD9+WfU=")</f>
        <v>#REF!</v>
      </c>
      <c r="IM19" t="e">
        <f>AND(NhatkyBan!#REF!,"AAAAAD9+WfY=")</f>
        <v>#REF!</v>
      </c>
      <c r="IN19" t="e">
        <f>AND(NhatkyBan!#REF!,"AAAAAD9+Wfc=")</f>
        <v>#REF!</v>
      </c>
      <c r="IO19" t="e">
        <f>AND(NhatkyBan!#REF!,"AAAAAD9+Wfg=")</f>
        <v>#REF!</v>
      </c>
      <c r="IP19" t="e">
        <f>AND(NhatkyBan!#REF!,"AAAAAD9+Wfk=")</f>
        <v>#REF!</v>
      </c>
      <c r="IQ19" t="e">
        <f>IF(NhatkyBan!#REF!,"AAAAAD9+Wfo=",0)</f>
        <v>#REF!</v>
      </c>
      <c r="IR19" t="e">
        <f>AND(NhatkyBan!#REF!,"AAAAAD9+Wfs=")</f>
        <v>#REF!</v>
      </c>
      <c r="IS19" t="e">
        <f>AND(NhatkyBan!#REF!,"AAAAAD9+Wfw=")</f>
        <v>#REF!</v>
      </c>
      <c r="IT19" t="e">
        <f>AND(NhatkyBan!#REF!,"AAAAAD9+Wf0=")</f>
        <v>#REF!</v>
      </c>
      <c r="IU19" t="e">
        <f>AND(NhatkyBan!#REF!,"AAAAAD9+Wf4=")</f>
        <v>#REF!</v>
      </c>
      <c r="IV19" t="e">
        <f>AND(NhatkyBan!#REF!,"AAAAAD9+Wf8=")</f>
        <v>#REF!</v>
      </c>
    </row>
    <row r="20" spans="1:256">
      <c r="A20" t="e">
        <f>AND(NhatkyBan!#REF!,"AAAAAG2/TwA=")</f>
        <v>#REF!</v>
      </c>
      <c r="B20" t="e">
        <f>AND(NhatkyBan!#REF!,"AAAAAG2/TwE=")</f>
        <v>#REF!</v>
      </c>
      <c r="C20" t="e">
        <f>AND(NhatkyBan!#REF!,"AAAAAG2/TwI=")</f>
        <v>#REF!</v>
      </c>
      <c r="D20" t="e">
        <f>AND(NhatkyBan!#REF!,"AAAAAG2/TwM=")</f>
        <v>#REF!</v>
      </c>
      <c r="E20" t="e">
        <f>AND(NhatkyBan!#REF!,"AAAAAG2/TwQ=")</f>
        <v>#REF!</v>
      </c>
      <c r="F20" t="e">
        <f>AND(NhatkyBan!#REF!,"AAAAAG2/TwU=")</f>
        <v>#REF!</v>
      </c>
      <c r="G20" t="e">
        <f>AND(NhatkyBan!#REF!,"AAAAAG2/TwY=")</f>
        <v>#REF!</v>
      </c>
      <c r="H20" t="e">
        <f>AND(NhatkyBan!#REF!,"AAAAAG2/Twc=")</f>
        <v>#REF!</v>
      </c>
      <c r="I20" t="e">
        <f>AND(NhatkyBan!#REF!,"AAAAAG2/Twg=")</f>
        <v>#REF!</v>
      </c>
      <c r="J20" t="e">
        <f>AND(NhatkyBan!#REF!,"AAAAAG2/Twk=")</f>
        <v>#REF!</v>
      </c>
      <c r="K20" t="e">
        <f>AND(NhatkyBan!#REF!,"AAAAAG2/Two=")</f>
        <v>#REF!</v>
      </c>
      <c r="L20" t="e">
        <f>AND(NhatkyBan!#REF!,"AAAAAG2/Tws=")</f>
        <v>#REF!</v>
      </c>
      <c r="M20" t="e">
        <f>AND(NhatkyBan!#REF!,"AAAAAG2/Tww=")</f>
        <v>#REF!</v>
      </c>
      <c r="N20" t="e">
        <f>AND(NhatkyBan!#REF!,"AAAAAG2/Tw0=")</f>
        <v>#REF!</v>
      </c>
      <c r="O20" t="e">
        <f>AND(NhatkyBan!#REF!,"AAAAAG2/Tw4=")</f>
        <v>#REF!</v>
      </c>
      <c r="P20" t="e">
        <f>AND(NhatkyBan!#REF!,"AAAAAG2/Tw8=")</f>
        <v>#REF!</v>
      </c>
      <c r="Q20" t="e">
        <f>AND(NhatkyBan!#REF!,"AAAAAG2/TxA=")</f>
        <v>#REF!</v>
      </c>
      <c r="R20" t="e">
        <f>AND(NhatkyBan!#REF!,"AAAAAG2/TxE=")</f>
        <v>#REF!</v>
      </c>
      <c r="S20" t="e">
        <f>AND(NhatkyBan!#REF!,"AAAAAG2/TxI=")</f>
        <v>#REF!</v>
      </c>
      <c r="T20" t="e">
        <f>AND(NhatkyBan!#REF!,"AAAAAG2/TxM=")</f>
        <v>#REF!</v>
      </c>
      <c r="U20" t="e">
        <f>AND(NhatkyBan!#REF!,"AAAAAG2/TxQ=")</f>
        <v>#REF!</v>
      </c>
      <c r="V20" t="e">
        <f>AND(NhatkyBan!#REF!,"AAAAAG2/TxU=")</f>
        <v>#REF!</v>
      </c>
      <c r="W20" t="e">
        <f>AND(NhatkyBan!#REF!,"AAAAAG2/TxY=")</f>
        <v>#REF!</v>
      </c>
      <c r="X20" t="e">
        <f>AND(NhatkyBan!#REF!,"AAAAAG2/Txc=")</f>
        <v>#REF!</v>
      </c>
      <c r="Y20" t="e">
        <f>AND(NhatkyBan!#REF!,"AAAAAG2/Txg=")</f>
        <v>#REF!</v>
      </c>
      <c r="Z20" t="e">
        <f>AND(NhatkyBan!#REF!,"AAAAAG2/Txk=")</f>
        <v>#REF!</v>
      </c>
      <c r="AA20" t="e">
        <f>AND(NhatkyBan!#REF!,"AAAAAG2/Txo=")</f>
        <v>#REF!</v>
      </c>
      <c r="AB20" t="e">
        <f>AND(NhatkyBan!#REF!,"AAAAAG2/Txs=")</f>
        <v>#REF!</v>
      </c>
      <c r="AC20" t="e">
        <f>AND(NhatkyBan!#REF!,"AAAAAG2/Txw=")</f>
        <v>#REF!</v>
      </c>
      <c r="AD20" t="e">
        <f>IF(NhatkyBan!#REF!,"AAAAAG2/Tx0=",0)</f>
        <v>#REF!</v>
      </c>
      <c r="AE20" t="e">
        <f>AND(NhatkyBan!#REF!,"AAAAAG2/Tx4=")</f>
        <v>#REF!</v>
      </c>
      <c r="AF20" t="e">
        <f>AND(NhatkyBan!#REF!,"AAAAAG2/Tx8=")</f>
        <v>#REF!</v>
      </c>
      <c r="AG20" t="e">
        <f>AND(NhatkyBan!#REF!,"AAAAAG2/TyA=")</f>
        <v>#REF!</v>
      </c>
      <c r="AH20" t="e">
        <f>AND(NhatkyBan!#REF!,"AAAAAG2/TyE=")</f>
        <v>#REF!</v>
      </c>
      <c r="AI20" t="e">
        <f>AND(NhatkyBan!#REF!,"AAAAAG2/TyI=")</f>
        <v>#REF!</v>
      </c>
      <c r="AJ20" t="e">
        <f>AND(NhatkyBan!#REF!,"AAAAAG2/TyM=")</f>
        <v>#REF!</v>
      </c>
      <c r="AK20" t="e">
        <f>AND(NhatkyBan!#REF!,"AAAAAG2/TyQ=")</f>
        <v>#REF!</v>
      </c>
      <c r="AL20" t="e">
        <f>AND(NhatkyBan!#REF!,"AAAAAG2/TyU=")</f>
        <v>#REF!</v>
      </c>
      <c r="AM20" t="e">
        <f>AND(NhatkyBan!#REF!,"AAAAAG2/TyY=")</f>
        <v>#REF!</v>
      </c>
      <c r="AN20" t="e">
        <f>AND(NhatkyBan!#REF!,"AAAAAG2/Tyc=")</f>
        <v>#REF!</v>
      </c>
      <c r="AO20" t="e">
        <f>AND(NhatkyBan!#REF!,"AAAAAG2/Tyg=")</f>
        <v>#REF!</v>
      </c>
      <c r="AP20" t="e">
        <f>AND(NhatkyBan!#REF!,"AAAAAG2/Tyk=")</f>
        <v>#REF!</v>
      </c>
      <c r="AQ20" t="e">
        <f>AND(NhatkyBan!#REF!,"AAAAAG2/Tyo=")</f>
        <v>#REF!</v>
      </c>
      <c r="AR20" t="e">
        <f>AND(NhatkyBan!#REF!,"AAAAAG2/Tys=")</f>
        <v>#REF!</v>
      </c>
      <c r="AS20" t="e">
        <f>AND(NhatkyBan!#REF!,"AAAAAG2/Tyw=")</f>
        <v>#REF!</v>
      </c>
      <c r="AT20" t="e">
        <f>AND(NhatkyBan!#REF!,"AAAAAG2/Ty0=")</f>
        <v>#REF!</v>
      </c>
      <c r="AU20" t="e">
        <f>AND(NhatkyBan!#REF!,"AAAAAG2/Ty4=")</f>
        <v>#REF!</v>
      </c>
      <c r="AV20" t="e">
        <f>AND(NhatkyBan!#REF!,"AAAAAG2/Ty8=")</f>
        <v>#REF!</v>
      </c>
      <c r="AW20" t="e">
        <f>AND(NhatkyBan!#REF!,"AAAAAG2/TzA=")</f>
        <v>#REF!</v>
      </c>
      <c r="AX20" t="e">
        <f>AND(NhatkyBan!#REF!,"AAAAAG2/TzE=")</f>
        <v>#REF!</v>
      </c>
      <c r="AY20" t="e">
        <f>AND(NhatkyBan!#REF!,"AAAAAG2/TzI=")</f>
        <v>#REF!</v>
      </c>
      <c r="AZ20" t="e">
        <f>AND(NhatkyBan!#REF!,"AAAAAG2/TzM=")</f>
        <v>#REF!</v>
      </c>
      <c r="BA20" t="e">
        <f>AND(NhatkyBan!#REF!,"AAAAAG2/TzQ=")</f>
        <v>#REF!</v>
      </c>
      <c r="BB20" t="e">
        <f>AND(NhatkyBan!#REF!,"AAAAAG2/TzU=")</f>
        <v>#REF!</v>
      </c>
      <c r="BC20" t="e">
        <f>AND(NhatkyBan!#REF!,"AAAAAG2/TzY=")</f>
        <v>#REF!</v>
      </c>
      <c r="BD20" t="e">
        <f>AND(NhatkyBan!#REF!,"AAAAAG2/Tzc=")</f>
        <v>#REF!</v>
      </c>
      <c r="BE20" t="e">
        <f>AND(NhatkyBan!#REF!,"AAAAAG2/Tzg=")</f>
        <v>#REF!</v>
      </c>
      <c r="BF20" t="e">
        <f>AND(NhatkyBan!#REF!,"AAAAAG2/Tzk=")</f>
        <v>#REF!</v>
      </c>
      <c r="BG20" t="e">
        <f>AND(NhatkyBan!#REF!,"AAAAAG2/Tzo=")</f>
        <v>#REF!</v>
      </c>
      <c r="BH20" t="e">
        <f>AND(NhatkyBan!#REF!,"AAAAAG2/Tzs=")</f>
        <v>#REF!</v>
      </c>
      <c r="BI20" t="e">
        <f>AND(NhatkyBan!#REF!,"AAAAAG2/Tzw=")</f>
        <v>#REF!</v>
      </c>
      <c r="BJ20" t="e">
        <f>AND(NhatkyBan!#REF!,"AAAAAG2/Tz0=")</f>
        <v>#REF!</v>
      </c>
      <c r="BK20" t="e">
        <f>AND(NhatkyBan!#REF!,"AAAAAG2/Tz4=")</f>
        <v>#REF!</v>
      </c>
      <c r="BL20" t="e">
        <f>AND(NhatkyBan!#REF!,"AAAAAG2/Tz8=")</f>
        <v>#REF!</v>
      </c>
      <c r="BM20" t="e">
        <f>IF(NhatkyBan!#REF!,"AAAAAG2/T0A=",0)</f>
        <v>#REF!</v>
      </c>
      <c r="BN20" t="e">
        <f>AND(NhatkyBan!#REF!,"AAAAAG2/T0E=")</f>
        <v>#REF!</v>
      </c>
      <c r="BO20" t="e">
        <f>AND(NhatkyBan!#REF!,"AAAAAG2/T0I=")</f>
        <v>#REF!</v>
      </c>
      <c r="BP20" t="e">
        <f>AND(NhatkyBan!#REF!,"AAAAAG2/T0M=")</f>
        <v>#REF!</v>
      </c>
      <c r="BQ20" t="e">
        <f>AND(NhatkyBan!#REF!,"AAAAAG2/T0Q=")</f>
        <v>#REF!</v>
      </c>
      <c r="BR20" t="e">
        <f>AND(NhatkyBan!#REF!,"AAAAAG2/T0U=")</f>
        <v>#REF!</v>
      </c>
      <c r="BS20" t="e">
        <f>AND(NhatkyBan!#REF!,"AAAAAG2/T0Y=")</f>
        <v>#REF!</v>
      </c>
      <c r="BT20" t="e">
        <f>AND(NhatkyBan!#REF!,"AAAAAG2/T0c=")</f>
        <v>#REF!</v>
      </c>
      <c r="BU20" t="e">
        <f>AND(NhatkyBan!#REF!,"AAAAAG2/T0g=")</f>
        <v>#REF!</v>
      </c>
      <c r="BV20" t="e">
        <f>AND(NhatkyBan!#REF!,"AAAAAG2/T0k=")</f>
        <v>#REF!</v>
      </c>
      <c r="BW20" t="e">
        <f>AND(NhatkyBan!#REF!,"AAAAAG2/T0o=")</f>
        <v>#REF!</v>
      </c>
      <c r="BX20" t="e">
        <f>AND(NhatkyBan!#REF!,"AAAAAG2/T0s=")</f>
        <v>#REF!</v>
      </c>
      <c r="BY20" t="e">
        <f>AND(NhatkyBan!#REF!,"AAAAAG2/T0w=")</f>
        <v>#REF!</v>
      </c>
      <c r="BZ20" t="e">
        <f>AND(NhatkyBan!#REF!,"AAAAAG2/T00=")</f>
        <v>#REF!</v>
      </c>
      <c r="CA20" t="e">
        <f>AND(NhatkyBan!#REF!,"AAAAAG2/T04=")</f>
        <v>#REF!</v>
      </c>
      <c r="CB20" t="e">
        <f>AND(NhatkyBan!#REF!,"AAAAAG2/T08=")</f>
        <v>#REF!</v>
      </c>
      <c r="CC20" t="e">
        <f>AND(NhatkyBan!#REF!,"AAAAAG2/T1A=")</f>
        <v>#REF!</v>
      </c>
      <c r="CD20" t="e">
        <f>AND(NhatkyBan!#REF!,"AAAAAG2/T1E=")</f>
        <v>#REF!</v>
      </c>
      <c r="CE20" t="e">
        <f>AND(NhatkyBan!#REF!,"AAAAAG2/T1I=")</f>
        <v>#REF!</v>
      </c>
      <c r="CF20" t="e">
        <f>AND(NhatkyBan!#REF!,"AAAAAG2/T1M=")</f>
        <v>#REF!</v>
      </c>
      <c r="CG20" t="e">
        <f>AND(NhatkyBan!#REF!,"AAAAAG2/T1Q=")</f>
        <v>#REF!</v>
      </c>
      <c r="CH20" t="e">
        <f>AND(NhatkyBan!#REF!,"AAAAAG2/T1U=")</f>
        <v>#REF!</v>
      </c>
      <c r="CI20" t="e">
        <f>AND(NhatkyBan!#REF!,"AAAAAG2/T1Y=")</f>
        <v>#REF!</v>
      </c>
      <c r="CJ20" t="e">
        <f>AND(NhatkyBan!#REF!,"AAAAAG2/T1c=")</f>
        <v>#REF!</v>
      </c>
      <c r="CK20" t="e">
        <f>AND(NhatkyBan!#REF!,"AAAAAG2/T1g=")</f>
        <v>#REF!</v>
      </c>
      <c r="CL20" t="e">
        <f>AND(NhatkyBan!#REF!,"AAAAAG2/T1k=")</f>
        <v>#REF!</v>
      </c>
      <c r="CM20" t="e">
        <f>AND(NhatkyBan!#REF!,"AAAAAG2/T1o=")</f>
        <v>#REF!</v>
      </c>
      <c r="CN20" t="e">
        <f>AND(NhatkyBan!#REF!,"AAAAAG2/T1s=")</f>
        <v>#REF!</v>
      </c>
      <c r="CO20" t="e">
        <f>AND(NhatkyBan!#REF!,"AAAAAG2/T1w=")</f>
        <v>#REF!</v>
      </c>
      <c r="CP20" t="e">
        <f>AND(NhatkyBan!#REF!,"AAAAAG2/T10=")</f>
        <v>#REF!</v>
      </c>
      <c r="CQ20" t="e">
        <f>AND(NhatkyBan!#REF!,"AAAAAG2/T14=")</f>
        <v>#REF!</v>
      </c>
      <c r="CR20" t="e">
        <f>AND(NhatkyBan!#REF!,"AAAAAG2/T18=")</f>
        <v>#REF!</v>
      </c>
      <c r="CS20" t="e">
        <f>AND(NhatkyBan!#REF!,"AAAAAG2/T2A=")</f>
        <v>#REF!</v>
      </c>
      <c r="CT20" t="e">
        <f>AND(NhatkyBan!#REF!,"AAAAAG2/T2E=")</f>
        <v>#REF!</v>
      </c>
      <c r="CU20" t="e">
        <f>AND(NhatkyBan!#REF!,"AAAAAG2/T2I=")</f>
        <v>#REF!</v>
      </c>
      <c r="CV20" t="e">
        <f>IF(NhatkyBan!#REF!,"AAAAAG2/T2M=",0)</f>
        <v>#REF!</v>
      </c>
      <c r="CW20" t="e">
        <f>AND(NhatkyBan!#REF!,"AAAAAG2/T2Q=")</f>
        <v>#REF!</v>
      </c>
      <c r="CX20" t="e">
        <f>AND(NhatkyBan!#REF!,"AAAAAG2/T2U=")</f>
        <v>#REF!</v>
      </c>
      <c r="CY20" t="e">
        <f>AND(NhatkyBan!#REF!,"AAAAAG2/T2Y=")</f>
        <v>#REF!</v>
      </c>
      <c r="CZ20" t="e">
        <f>AND(NhatkyBan!#REF!,"AAAAAG2/T2c=")</f>
        <v>#REF!</v>
      </c>
      <c r="DA20" t="e">
        <f>AND(NhatkyBan!#REF!,"AAAAAG2/T2g=")</f>
        <v>#REF!</v>
      </c>
      <c r="DB20" t="e">
        <f>AND(NhatkyBan!#REF!,"AAAAAG2/T2k=")</f>
        <v>#REF!</v>
      </c>
      <c r="DC20" t="e">
        <f>AND(NhatkyBan!#REF!,"AAAAAG2/T2o=")</f>
        <v>#REF!</v>
      </c>
      <c r="DD20" t="e">
        <f>AND(NhatkyBan!#REF!,"AAAAAG2/T2s=")</f>
        <v>#REF!</v>
      </c>
      <c r="DE20" t="e">
        <f>AND(NhatkyBan!#REF!,"AAAAAG2/T2w=")</f>
        <v>#REF!</v>
      </c>
      <c r="DF20" t="e">
        <f>AND(NhatkyBan!#REF!,"AAAAAG2/T20=")</f>
        <v>#REF!</v>
      </c>
      <c r="DG20" t="e">
        <f>AND(NhatkyBan!#REF!,"AAAAAG2/T24=")</f>
        <v>#REF!</v>
      </c>
      <c r="DH20" t="e">
        <f>AND(NhatkyBan!#REF!,"AAAAAG2/T28=")</f>
        <v>#REF!</v>
      </c>
      <c r="DI20" t="e">
        <f>AND(NhatkyBan!#REF!,"AAAAAG2/T3A=")</f>
        <v>#REF!</v>
      </c>
      <c r="DJ20" t="e">
        <f>AND(NhatkyBan!#REF!,"AAAAAG2/T3E=")</f>
        <v>#REF!</v>
      </c>
      <c r="DK20" t="e">
        <f>AND(NhatkyBan!#REF!,"AAAAAG2/T3I=")</f>
        <v>#REF!</v>
      </c>
      <c r="DL20" t="e">
        <f>AND(NhatkyBan!#REF!,"AAAAAG2/T3M=")</f>
        <v>#REF!</v>
      </c>
      <c r="DM20" t="e">
        <f>AND(NhatkyBan!#REF!,"AAAAAG2/T3Q=")</f>
        <v>#REF!</v>
      </c>
      <c r="DN20" t="e">
        <f>AND(NhatkyBan!#REF!,"AAAAAG2/T3U=")</f>
        <v>#REF!</v>
      </c>
      <c r="DO20" t="e">
        <f>AND(NhatkyBan!#REF!,"AAAAAG2/T3Y=")</f>
        <v>#REF!</v>
      </c>
      <c r="DP20" t="e">
        <f>AND(NhatkyBan!#REF!,"AAAAAG2/T3c=")</f>
        <v>#REF!</v>
      </c>
      <c r="DQ20" t="e">
        <f>AND(NhatkyBan!#REF!,"AAAAAG2/T3g=")</f>
        <v>#REF!</v>
      </c>
      <c r="DR20" t="e">
        <f>AND(NhatkyBan!#REF!,"AAAAAG2/T3k=")</f>
        <v>#REF!</v>
      </c>
      <c r="DS20" t="e">
        <f>AND(NhatkyBan!#REF!,"AAAAAG2/T3o=")</f>
        <v>#REF!</v>
      </c>
      <c r="DT20" t="e">
        <f>AND(NhatkyBan!#REF!,"AAAAAG2/T3s=")</f>
        <v>#REF!</v>
      </c>
      <c r="DU20" t="e">
        <f>AND(NhatkyBan!#REF!,"AAAAAG2/T3w=")</f>
        <v>#REF!</v>
      </c>
      <c r="DV20" t="e">
        <f>AND(NhatkyBan!#REF!,"AAAAAG2/T30=")</f>
        <v>#REF!</v>
      </c>
      <c r="DW20" t="e">
        <f>AND(NhatkyBan!#REF!,"AAAAAG2/T34=")</f>
        <v>#REF!</v>
      </c>
      <c r="DX20" t="e">
        <f>AND(NhatkyBan!#REF!,"AAAAAG2/T38=")</f>
        <v>#REF!</v>
      </c>
      <c r="DY20" t="e">
        <f>AND(NhatkyBan!#REF!,"AAAAAG2/T4A=")</f>
        <v>#REF!</v>
      </c>
      <c r="DZ20" t="e">
        <f>AND(NhatkyBan!#REF!,"AAAAAG2/T4E=")</f>
        <v>#REF!</v>
      </c>
      <c r="EA20" t="e">
        <f>AND(NhatkyBan!#REF!,"AAAAAG2/T4I=")</f>
        <v>#REF!</v>
      </c>
      <c r="EB20" t="e">
        <f>AND(NhatkyBan!#REF!,"AAAAAG2/T4M=")</f>
        <v>#REF!</v>
      </c>
      <c r="EC20" t="e">
        <f>AND(NhatkyBan!#REF!,"AAAAAG2/T4Q=")</f>
        <v>#REF!</v>
      </c>
      <c r="ED20" t="e">
        <f>AND(NhatkyBan!#REF!,"AAAAAG2/T4U=")</f>
        <v>#REF!</v>
      </c>
      <c r="EE20" t="e">
        <f>IF(NhatkyBan!#REF!,"AAAAAG2/T4Y=",0)</f>
        <v>#REF!</v>
      </c>
      <c r="EF20" t="e">
        <f>AND(NhatkyBan!#REF!,"AAAAAG2/T4c=")</f>
        <v>#REF!</v>
      </c>
      <c r="EG20" t="e">
        <f>AND(NhatkyBan!#REF!,"AAAAAG2/T4g=")</f>
        <v>#REF!</v>
      </c>
      <c r="EH20" t="e">
        <f>AND(NhatkyBan!#REF!,"AAAAAG2/T4k=")</f>
        <v>#REF!</v>
      </c>
      <c r="EI20" t="e">
        <f>AND(NhatkyBan!#REF!,"AAAAAG2/T4o=")</f>
        <v>#REF!</v>
      </c>
      <c r="EJ20" t="e">
        <f>AND(NhatkyBan!#REF!,"AAAAAG2/T4s=")</f>
        <v>#REF!</v>
      </c>
      <c r="EK20" t="e">
        <f>AND(NhatkyBan!#REF!,"AAAAAG2/T4w=")</f>
        <v>#REF!</v>
      </c>
      <c r="EL20" t="e">
        <f>AND(NhatkyBan!#REF!,"AAAAAG2/T40=")</f>
        <v>#REF!</v>
      </c>
      <c r="EM20" t="e">
        <f>AND(NhatkyBan!#REF!,"AAAAAG2/T44=")</f>
        <v>#REF!</v>
      </c>
      <c r="EN20" t="e">
        <f>AND(NhatkyBan!#REF!,"AAAAAG2/T48=")</f>
        <v>#REF!</v>
      </c>
      <c r="EO20" t="e">
        <f>AND(NhatkyBan!#REF!,"AAAAAG2/T5A=")</f>
        <v>#REF!</v>
      </c>
      <c r="EP20" t="e">
        <f>AND(NhatkyBan!#REF!,"AAAAAG2/T5E=")</f>
        <v>#REF!</v>
      </c>
      <c r="EQ20" t="e">
        <f>AND(NhatkyBan!#REF!,"AAAAAG2/T5I=")</f>
        <v>#REF!</v>
      </c>
      <c r="ER20" t="e">
        <f>AND(NhatkyBan!#REF!,"AAAAAG2/T5M=")</f>
        <v>#REF!</v>
      </c>
      <c r="ES20" t="e">
        <f>AND(NhatkyBan!#REF!,"AAAAAG2/T5Q=")</f>
        <v>#REF!</v>
      </c>
      <c r="ET20" t="e">
        <f>AND(NhatkyBan!#REF!,"AAAAAG2/T5U=")</f>
        <v>#REF!</v>
      </c>
      <c r="EU20" t="e">
        <f>AND(NhatkyBan!#REF!,"AAAAAG2/T5Y=")</f>
        <v>#REF!</v>
      </c>
      <c r="EV20" t="e">
        <f>AND(NhatkyBan!#REF!,"AAAAAG2/T5c=")</f>
        <v>#REF!</v>
      </c>
      <c r="EW20" t="e">
        <f>AND(NhatkyBan!#REF!,"AAAAAG2/T5g=")</f>
        <v>#REF!</v>
      </c>
      <c r="EX20" t="e">
        <f>AND(NhatkyBan!#REF!,"AAAAAG2/T5k=")</f>
        <v>#REF!</v>
      </c>
      <c r="EY20" t="e">
        <f>AND(NhatkyBan!#REF!,"AAAAAG2/T5o=")</f>
        <v>#REF!</v>
      </c>
      <c r="EZ20" t="e">
        <f>AND(NhatkyBan!#REF!,"AAAAAG2/T5s=")</f>
        <v>#REF!</v>
      </c>
      <c r="FA20" t="e">
        <f>AND(NhatkyBan!#REF!,"AAAAAG2/T5w=")</f>
        <v>#REF!</v>
      </c>
      <c r="FB20" t="e">
        <f>AND(NhatkyBan!#REF!,"AAAAAG2/T50=")</f>
        <v>#REF!</v>
      </c>
      <c r="FC20" t="e">
        <f>AND(NhatkyBan!#REF!,"AAAAAG2/T54=")</f>
        <v>#REF!</v>
      </c>
      <c r="FD20" t="e">
        <f>AND(NhatkyBan!#REF!,"AAAAAG2/T58=")</f>
        <v>#REF!</v>
      </c>
      <c r="FE20" t="e">
        <f>AND(NhatkyBan!#REF!,"AAAAAG2/T6A=")</f>
        <v>#REF!</v>
      </c>
      <c r="FF20" t="e">
        <f>AND(NhatkyBan!#REF!,"AAAAAG2/T6E=")</f>
        <v>#REF!</v>
      </c>
      <c r="FG20" t="e">
        <f>AND(NhatkyBan!#REF!,"AAAAAG2/T6I=")</f>
        <v>#REF!</v>
      </c>
      <c r="FH20" t="e">
        <f>AND(NhatkyBan!#REF!,"AAAAAG2/T6M=")</f>
        <v>#REF!</v>
      </c>
      <c r="FI20" t="e">
        <f>AND(NhatkyBan!#REF!,"AAAAAG2/T6Q=")</f>
        <v>#REF!</v>
      </c>
      <c r="FJ20" t="e">
        <f>AND(NhatkyBan!#REF!,"AAAAAG2/T6U=")</f>
        <v>#REF!</v>
      </c>
      <c r="FK20" t="e">
        <f>AND(NhatkyBan!#REF!,"AAAAAG2/T6Y=")</f>
        <v>#REF!</v>
      </c>
      <c r="FL20" t="e">
        <f>AND(NhatkyBan!#REF!,"AAAAAG2/T6c=")</f>
        <v>#REF!</v>
      </c>
      <c r="FM20" t="e">
        <f>AND(NhatkyBan!#REF!,"AAAAAG2/T6g=")</f>
        <v>#REF!</v>
      </c>
      <c r="FN20" t="e">
        <f>IF(NhatkyBan!#REF!,"AAAAAG2/T6k=",0)</f>
        <v>#REF!</v>
      </c>
      <c r="FO20" t="e">
        <f>AND(NhatkyBan!#REF!,"AAAAAG2/T6o=")</f>
        <v>#REF!</v>
      </c>
      <c r="FP20" t="e">
        <f>AND(NhatkyBan!#REF!,"AAAAAG2/T6s=")</f>
        <v>#REF!</v>
      </c>
      <c r="FQ20" t="e">
        <f>AND(NhatkyBan!#REF!,"AAAAAG2/T6w=")</f>
        <v>#REF!</v>
      </c>
      <c r="FR20" t="e">
        <f>AND(NhatkyBan!#REF!,"AAAAAG2/T60=")</f>
        <v>#REF!</v>
      </c>
      <c r="FS20" t="e">
        <f>AND(NhatkyBan!#REF!,"AAAAAG2/T64=")</f>
        <v>#REF!</v>
      </c>
      <c r="FT20" t="e">
        <f>AND(NhatkyBan!#REF!,"AAAAAG2/T68=")</f>
        <v>#REF!</v>
      </c>
      <c r="FU20" t="e">
        <f>AND(NhatkyBan!#REF!,"AAAAAG2/T7A=")</f>
        <v>#REF!</v>
      </c>
      <c r="FV20" t="e">
        <f>AND(NhatkyBan!#REF!,"AAAAAG2/T7E=")</f>
        <v>#REF!</v>
      </c>
      <c r="FW20" t="e">
        <f>AND(NhatkyBan!#REF!,"AAAAAG2/T7I=")</f>
        <v>#REF!</v>
      </c>
      <c r="FX20" t="e">
        <f>AND(NhatkyBan!#REF!,"AAAAAG2/T7M=")</f>
        <v>#REF!</v>
      </c>
      <c r="FY20" t="e">
        <f>AND(NhatkyBan!#REF!,"AAAAAG2/T7Q=")</f>
        <v>#REF!</v>
      </c>
      <c r="FZ20" t="e">
        <f>AND(NhatkyBan!#REF!,"AAAAAG2/T7U=")</f>
        <v>#REF!</v>
      </c>
      <c r="GA20" t="e">
        <f>AND(NhatkyBan!#REF!,"AAAAAG2/T7Y=")</f>
        <v>#REF!</v>
      </c>
      <c r="GB20" t="e">
        <f>AND(NhatkyBan!#REF!,"AAAAAG2/T7c=")</f>
        <v>#REF!</v>
      </c>
      <c r="GC20" t="e">
        <f>AND(NhatkyBan!#REF!,"AAAAAG2/T7g=")</f>
        <v>#REF!</v>
      </c>
      <c r="GD20" t="e">
        <f>AND(NhatkyBan!#REF!,"AAAAAG2/T7k=")</f>
        <v>#REF!</v>
      </c>
      <c r="GE20" t="e">
        <f>AND(NhatkyBan!#REF!,"AAAAAG2/T7o=")</f>
        <v>#REF!</v>
      </c>
      <c r="GF20" t="e">
        <f>AND(NhatkyBan!#REF!,"AAAAAG2/T7s=")</f>
        <v>#REF!</v>
      </c>
      <c r="GG20" t="e">
        <f>AND(NhatkyBan!#REF!,"AAAAAG2/T7w=")</f>
        <v>#REF!</v>
      </c>
      <c r="GH20" t="e">
        <f>AND(NhatkyBan!#REF!,"AAAAAG2/T70=")</f>
        <v>#REF!</v>
      </c>
      <c r="GI20" t="e">
        <f>AND(NhatkyBan!#REF!,"AAAAAG2/T74=")</f>
        <v>#REF!</v>
      </c>
      <c r="GJ20" t="e">
        <f>AND(NhatkyBan!#REF!,"AAAAAG2/T78=")</f>
        <v>#REF!</v>
      </c>
      <c r="GK20" t="e">
        <f>AND(NhatkyBan!#REF!,"AAAAAG2/T8A=")</f>
        <v>#REF!</v>
      </c>
      <c r="GL20" t="e">
        <f>AND(NhatkyBan!#REF!,"AAAAAG2/T8E=")</f>
        <v>#REF!</v>
      </c>
      <c r="GM20" t="e">
        <f>AND(NhatkyBan!#REF!,"AAAAAG2/T8I=")</f>
        <v>#REF!</v>
      </c>
      <c r="GN20" t="e">
        <f>AND(NhatkyBan!#REF!,"AAAAAG2/T8M=")</f>
        <v>#REF!</v>
      </c>
      <c r="GO20" t="e">
        <f>AND(NhatkyBan!#REF!,"AAAAAG2/T8Q=")</f>
        <v>#REF!</v>
      </c>
      <c r="GP20" t="e">
        <f>AND(NhatkyBan!#REF!,"AAAAAG2/T8U=")</f>
        <v>#REF!</v>
      </c>
      <c r="GQ20" t="e">
        <f>AND(NhatkyBan!#REF!,"AAAAAG2/T8Y=")</f>
        <v>#REF!</v>
      </c>
      <c r="GR20" t="e">
        <f>AND(NhatkyBan!#REF!,"AAAAAG2/T8c=")</f>
        <v>#REF!</v>
      </c>
      <c r="GS20" t="e">
        <f>AND(NhatkyBan!#REF!,"AAAAAG2/T8g=")</f>
        <v>#REF!</v>
      </c>
      <c r="GT20" t="e">
        <f>AND(NhatkyBan!#REF!,"AAAAAG2/T8k=")</f>
        <v>#REF!</v>
      </c>
      <c r="GU20" t="e">
        <f>AND(NhatkyBan!#REF!,"AAAAAG2/T8o=")</f>
        <v>#REF!</v>
      </c>
      <c r="GV20" t="e">
        <f>AND(NhatkyBan!#REF!,"AAAAAG2/T8s=")</f>
        <v>#REF!</v>
      </c>
      <c r="GW20" t="e">
        <f>IF(NhatkyBan!#REF!,"AAAAAG2/T8w=",0)</f>
        <v>#REF!</v>
      </c>
      <c r="GX20" t="e">
        <f>AND(NhatkyBan!#REF!,"AAAAAG2/T80=")</f>
        <v>#REF!</v>
      </c>
      <c r="GY20" t="e">
        <f>AND(NhatkyBan!#REF!,"AAAAAG2/T84=")</f>
        <v>#REF!</v>
      </c>
      <c r="GZ20" t="e">
        <f>AND(NhatkyBan!#REF!,"AAAAAG2/T88=")</f>
        <v>#REF!</v>
      </c>
      <c r="HA20" t="e">
        <f>AND(NhatkyBan!#REF!,"AAAAAG2/T9A=")</f>
        <v>#REF!</v>
      </c>
      <c r="HB20" t="e">
        <f>AND(NhatkyBan!#REF!,"AAAAAG2/T9E=")</f>
        <v>#REF!</v>
      </c>
      <c r="HC20" t="e">
        <f>AND(NhatkyBan!#REF!,"AAAAAG2/T9I=")</f>
        <v>#REF!</v>
      </c>
      <c r="HD20" t="e">
        <f>AND(NhatkyBan!#REF!,"AAAAAG2/T9M=")</f>
        <v>#REF!</v>
      </c>
      <c r="HE20" t="e">
        <f>AND(NhatkyBan!#REF!,"AAAAAG2/T9Q=")</f>
        <v>#REF!</v>
      </c>
      <c r="HF20" t="e">
        <f>AND(NhatkyBan!#REF!,"AAAAAG2/T9U=")</f>
        <v>#REF!</v>
      </c>
      <c r="HG20" t="e">
        <f>AND(NhatkyBan!#REF!,"AAAAAG2/T9Y=")</f>
        <v>#REF!</v>
      </c>
      <c r="HH20" t="e">
        <f>AND(NhatkyBan!#REF!,"AAAAAG2/T9c=")</f>
        <v>#REF!</v>
      </c>
      <c r="HI20" t="e">
        <f>AND(NhatkyBan!#REF!,"AAAAAG2/T9g=")</f>
        <v>#REF!</v>
      </c>
      <c r="HJ20" t="e">
        <f>AND(NhatkyBan!#REF!,"AAAAAG2/T9k=")</f>
        <v>#REF!</v>
      </c>
      <c r="HK20" t="e">
        <f>AND(NhatkyBan!#REF!,"AAAAAG2/T9o=")</f>
        <v>#REF!</v>
      </c>
      <c r="HL20" t="e">
        <f>AND(NhatkyBan!#REF!,"AAAAAG2/T9s=")</f>
        <v>#REF!</v>
      </c>
      <c r="HM20" t="e">
        <f>AND(NhatkyBan!#REF!,"AAAAAG2/T9w=")</f>
        <v>#REF!</v>
      </c>
      <c r="HN20" t="e">
        <f>AND(NhatkyBan!#REF!,"AAAAAG2/T90=")</f>
        <v>#REF!</v>
      </c>
      <c r="HO20" t="e">
        <f>AND(NhatkyBan!#REF!,"AAAAAG2/T94=")</f>
        <v>#REF!</v>
      </c>
      <c r="HP20" t="e">
        <f>AND(NhatkyBan!#REF!,"AAAAAG2/T98=")</f>
        <v>#REF!</v>
      </c>
      <c r="HQ20" t="e">
        <f>AND(NhatkyBan!#REF!,"AAAAAG2/T+A=")</f>
        <v>#REF!</v>
      </c>
      <c r="HR20" t="e">
        <f>AND(NhatkyBan!#REF!,"AAAAAG2/T+E=")</f>
        <v>#REF!</v>
      </c>
      <c r="HS20" t="e">
        <f>AND(NhatkyBan!#REF!,"AAAAAG2/T+I=")</f>
        <v>#REF!</v>
      </c>
      <c r="HT20" t="e">
        <f>AND(NhatkyBan!#REF!,"AAAAAG2/T+M=")</f>
        <v>#REF!</v>
      </c>
      <c r="HU20" t="e">
        <f>AND(NhatkyBan!#REF!,"AAAAAG2/T+Q=")</f>
        <v>#REF!</v>
      </c>
      <c r="HV20" t="e">
        <f>AND(NhatkyBan!#REF!,"AAAAAG2/T+U=")</f>
        <v>#REF!</v>
      </c>
      <c r="HW20" t="e">
        <f>AND(NhatkyBan!#REF!,"AAAAAG2/T+Y=")</f>
        <v>#REF!</v>
      </c>
      <c r="HX20" t="e">
        <f>AND(NhatkyBan!#REF!,"AAAAAG2/T+c=")</f>
        <v>#REF!</v>
      </c>
      <c r="HY20" t="e">
        <f>AND(NhatkyBan!#REF!,"AAAAAG2/T+g=")</f>
        <v>#REF!</v>
      </c>
      <c r="HZ20" t="e">
        <f>AND(NhatkyBan!#REF!,"AAAAAG2/T+k=")</f>
        <v>#REF!</v>
      </c>
      <c r="IA20" t="e">
        <f>AND(NhatkyBan!#REF!,"AAAAAG2/T+o=")</f>
        <v>#REF!</v>
      </c>
      <c r="IB20" t="e">
        <f>AND(NhatkyBan!#REF!,"AAAAAG2/T+s=")</f>
        <v>#REF!</v>
      </c>
      <c r="IC20" t="e">
        <f>AND(NhatkyBan!#REF!,"AAAAAG2/T+w=")</f>
        <v>#REF!</v>
      </c>
      <c r="ID20" t="e">
        <f>AND(NhatkyBan!#REF!,"AAAAAG2/T+0=")</f>
        <v>#REF!</v>
      </c>
      <c r="IE20" t="e">
        <f>AND(NhatkyBan!#REF!,"AAAAAG2/T+4=")</f>
        <v>#REF!</v>
      </c>
      <c r="IF20" t="e">
        <f>IF(NhatkyBan!#REF!,"AAAAAG2/T+8=",0)</f>
        <v>#REF!</v>
      </c>
      <c r="IG20" t="e">
        <f>AND(NhatkyBan!#REF!,"AAAAAG2/T/A=")</f>
        <v>#REF!</v>
      </c>
      <c r="IH20" t="e">
        <f>AND(NhatkyBan!#REF!,"AAAAAG2/T/E=")</f>
        <v>#REF!</v>
      </c>
      <c r="II20" t="e">
        <f>AND(NhatkyBan!#REF!,"AAAAAG2/T/I=")</f>
        <v>#REF!</v>
      </c>
      <c r="IJ20" t="e">
        <f>AND(NhatkyBan!#REF!,"AAAAAG2/T/M=")</f>
        <v>#REF!</v>
      </c>
      <c r="IK20" t="e">
        <f>AND(NhatkyBan!#REF!,"AAAAAG2/T/Q=")</f>
        <v>#REF!</v>
      </c>
      <c r="IL20" t="e">
        <f>AND(NhatkyBan!#REF!,"AAAAAG2/T/U=")</f>
        <v>#REF!</v>
      </c>
      <c r="IM20" t="e">
        <f>AND(NhatkyBan!#REF!,"AAAAAG2/T/Y=")</f>
        <v>#REF!</v>
      </c>
      <c r="IN20" t="e">
        <f>AND(NhatkyBan!#REF!,"AAAAAG2/T/c=")</f>
        <v>#REF!</v>
      </c>
      <c r="IO20" t="e">
        <f>AND(NhatkyBan!#REF!,"AAAAAG2/T/g=")</f>
        <v>#REF!</v>
      </c>
      <c r="IP20" t="e">
        <f>AND(NhatkyBan!#REF!,"AAAAAG2/T/k=")</f>
        <v>#REF!</v>
      </c>
      <c r="IQ20" t="e">
        <f>AND(NhatkyBan!#REF!,"AAAAAG2/T/o=")</f>
        <v>#REF!</v>
      </c>
      <c r="IR20" t="e">
        <f>AND(NhatkyBan!#REF!,"AAAAAG2/T/s=")</f>
        <v>#REF!</v>
      </c>
      <c r="IS20" t="e">
        <f>AND(NhatkyBan!#REF!,"AAAAAG2/T/w=")</f>
        <v>#REF!</v>
      </c>
      <c r="IT20" t="e">
        <f>AND(NhatkyBan!#REF!,"AAAAAG2/T/0=")</f>
        <v>#REF!</v>
      </c>
      <c r="IU20" t="e">
        <f>AND(NhatkyBan!#REF!,"AAAAAG2/T/4=")</f>
        <v>#REF!</v>
      </c>
      <c r="IV20" t="e">
        <f>AND(NhatkyBan!#REF!,"AAAAAG2/T/8=")</f>
        <v>#REF!</v>
      </c>
    </row>
    <row r="21" spans="1:256">
      <c r="A21" t="e">
        <f>AND(NhatkyBan!#REF!,"AAAAAD/+7QA=")</f>
        <v>#REF!</v>
      </c>
      <c r="B21" t="e">
        <f>AND(NhatkyBan!#REF!,"AAAAAD/+7QE=")</f>
        <v>#REF!</v>
      </c>
      <c r="C21" t="e">
        <f>AND(NhatkyBan!#REF!,"AAAAAD/+7QI=")</f>
        <v>#REF!</v>
      </c>
      <c r="D21" t="e">
        <f>AND(NhatkyBan!#REF!,"AAAAAD/+7QM=")</f>
        <v>#REF!</v>
      </c>
      <c r="E21" t="e">
        <f>AND(NhatkyBan!#REF!,"AAAAAD/+7QQ=")</f>
        <v>#REF!</v>
      </c>
      <c r="F21" t="e">
        <f>AND(NhatkyBan!#REF!,"AAAAAD/+7QU=")</f>
        <v>#REF!</v>
      </c>
      <c r="G21" t="e">
        <f>AND(NhatkyBan!#REF!,"AAAAAD/+7QY=")</f>
        <v>#REF!</v>
      </c>
      <c r="H21" t="e">
        <f>AND(NhatkyBan!#REF!,"AAAAAD/+7Qc=")</f>
        <v>#REF!</v>
      </c>
      <c r="I21" t="e">
        <f>AND(NhatkyBan!#REF!,"AAAAAD/+7Qg=")</f>
        <v>#REF!</v>
      </c>
      <c r="J21" t="e">
        <f>AND(NhatkyBan!#REF!,"AAAAAD/+7Qk=")</f>
        <v>#REF!</v>
      </c>
      <c r="K21" t="e">
        <f>AND(NhatkyBan!#REF!,"AAAAAD/+7Qo=")</f>
        <v>#REF!</v>
      </c>
      <c r="L21" t="e">
        <f>AND(NhatkyBan!#REF!,"AAAAAD/+7Qs=")</f>
        <v>#REF!</v>
      </c>
      <c r="M21" t="e">
        <f>AND(NhatkyBan!#REF!,"AAAAAD/+7Qw=")</f>
        <v>#REF!</v>
      </c>
      <c r="N21" t="e">
        <f>AND(NhatkyBan!#REF!,"AAAAAD/+7Q0=")</f>
        <v>#REF!</v>
      </c>
      <c r="O21" t="e">
        <f>AND(NhatkyBan!#REF!,"AAAAAD/+7Q4=")</f>
        <v>#REF!</v>
      </c>
      <c r="P21" t="e">
        <f>AND(NhatkyBan!#REF!,"AAAAAD/+7Q8=")</f>
        <v>#REF!</v>
      </c>
      <c r="Q21" t="e">
        <f>AND(NhatkyBan!#REF!,"AAAAAD/+7RA=")</f>
        <v>#REF!</v>
      </c>
      <c r="R21" t="e">
        <f>AND(NhatkyBan!#REF!,"AAAAAD/+7RE=")</f>
        <v>#REF!</v>
      </c>
      <c r="S21" t="e">
        <f>IF(NhatkyBan!#REF!,"AAAAAD/+7RI=",0)</f>
        <v>#REF!</v>
      </c>
      <c r="T21" t="e">
        <f>AND(NhatkyBan!#REF!,"AAAAAD/+7RM=")</f>
        <v>#REF!</v>
      </c>
      <c r="U21" t="e">
        <f>AND(NhatkyBan!#REF!,"AAAAAD/+7RQ=")</f>
        <v>#REF!</v>
      </c>
      <c r="V21" t="e">
        <f>AND(NhatkyBan!#REF!,"AAAAAD/+7RU=")</f>
        <v>#REF!</v>
      </c>
      <c r="W21" t="e">
        <f>AND(NhatkyBan!#REF!,"AAAAAD/+7RY=")</f>
        <v>#REF!</v>
      </c>
      <c r="X21" t="e">
        <f>AND(NhatkyBan!#REF!,"AAAAAD/+7Rc=")</f>
        <v>#REF!</v>
      </c>
      <c r="Y21" t="e">
        <f>AND(NhatkyBan!#REF!,"AAAAAD/+7Rg=")</f>
        <v>#REF!</v>
      </c>
      <c r="Z21" t="e">
        <f>AND(NhatkyBan!#REF!,"AAAAAD/+7Rk=")</f>
        <v>#REF!</v>
      </c>
      <c r="AA21" t="e">
        <f>AND(NhatkyBan!#REF!,"AAAAAD/+7Ro=")</f>
        <v>#REF!</v>
      </c>
      <c r="AB21" t="e">
        <f>AND(NhatkyBan!#REF!,"AAAAAD/+7Rs=")</f>
        <v>#REF!</v>
      </c>
      <c r="AC21" t="e">
        <f>AND(NhatkyBan!#REF!,"AAAAAD/+7Rw=")</f>
        <v>#REF!</v>
      </c>
      <c r="AD21" t="e">
        <f>AND(NhatkyBan!#REF!,"AAAAAD/+7R0=")</f>
        <v>#REF!</v>
      </c>
      <c r="AE21" t="e">
        <f>AND(NhatkyBan!#REF!,"AAAAAD/+7R4=")</f>
        <v>#REF!</v>
      </c>
      <c r="AF21" t="e">
        <f>AND(NhatkyBan!#REF!,"AAAAAD/+7R8=")</f>
        <v>#REF!</v>
      </c>
      <c r="AG21" t="e">
        <f>AND(NhatkyBan!#REF!,"AAAAAD/+7SA=")</f>
        <v>#REF!</v>
      </c>
      <c r="AH21" t="e">
        <f>AND(NhatkyBan!#REF!,"AAAAAD/+7SE=")</f>
        <v>#REF!</v>
      </c>
      <c r="AI21" t="e">
        <f>AND(NhatkyBan!#REF!,"AAAAAD/+7SI=")</f>
        <v>#REF!</v>
      </c>
      <c r="AJ21" t="e">
        <f>AND(NhatkyBan!#REF!,"AAAAAD/+7SM=")</f>
        <v>#REF!</v>
      </c>
      <c r="AK21" t="e">
        <f>AND(NhatkyBan!#REF!,"AAAAAD/+7SQ=")</f>
        <v>#REF!</v>
      </c>
      <c r="AL21" t="e">
        <f>AND(NhatkyBan!#REF!,"AAAAAD/+7SU=")</f>
        <v>#REF!</v>
      </c>
      <c r="AM21" t="e">
        <f>AND(NhatkyBan!#REF!,"AAAAAD/+7SY=")</f>
        <v>#REF!</v>
      </c>
      <c r="AN21" t="e">
        <f>AND(NhatkyBan!#REF!,"AAAAAD/+7Sc=")</f>
        <v>#REF!</v>
      </c>
      <c r="AO21" t="e">
        <f>AND(NhatkyBan!#REF!,"AAAAAD/+7Sg=")</f>
        <v>#REF!</v>
      </c>
      <c r="AP21" t="e">
        <f>AND(NhatkyBan!#REF!,"AAAAAD/+7Sk=")</f>
        <v>#REF!</v>
      </c>
      <c r="AQ21" t="e">
        <f>AND(NhatkyBan!#REF!,"AAAAAD/+7So=")</f>
        <v>#REF!</v>
      </c>
      <c r="AR21" t="e">
        <f>AND(NhatkyBan!#REF!,"AAAAAD/+7Ss=")</f>
        <v>#REF!</v>
      </c>
      <c r="AS21" t="e">
        <f>AND(NhatkyBan!#REF!,"AAAAAD/+7Sw=")</f>
        <v>#REF!</v>
      </c>
      <c r="AT21" t="e">
        <f>AND(NhatkyBan!#REF!,"AAAAAD/+7S0=")</f>
        <v>#REF!</v>
      </c>
      <c r="AU21" t="e">
        <f>AND(NhatkyBan!#REF!,"AAAAAD/+7S4=")</f>
        <v>#REF!</v>
      </c>
      <c r="AV21" t="e">
        <f>AND(NhatkyBan!#REF!,"AAAAAD/+7S8=")</f>
        <v>#REF!</v>
      </c>
      <c r="AW21" t="e">
        <f>AND(NhatkyBan!#REF!,"AAAAAD/+7TA=")</f>
        <v>#REF!</v>
      </c>
      <c r="AX21" t="e">
        <f>AND(NhatkyBan!#REF!,"AAAAAD/+7TE=")</f>
        <v>#REF!</v>
      </c>
      <c r="AY21" t="e">
        <f>AND(NhatkyBan!#REF!,"AAAAAD/+7TI=")</f>
        <v>#REF!</v>
      </c>
      <c r="AZ21" t="e">
        <f>AND(NhatkyBan!#REF!,"AAAAAD/+7TM=")</f>
        <v>#REF!</v>
      </c>
      <c r="BA21" t="e">
        <f>AND(NhatkyBan!#REF!,"AAAAAD/+7TQ=")</f>
        <v>#REF!</v>
      </c>
      <c r="BB21" t="e">
        <f>IF(NhatkyBan!#REF!,"AAAAAD/+7TU=",0)</f>
        <v>#REF!</v>
      </c>
      <c r="BC21" t="e">
        <f>AND(NhatkyBan!#REF!,"AAAAAD/+7TY=")</f>
        <v>#REF!</v>
      </c>
      <c r="BD21" t="e">
        <f>AND(NhatkyBan!#REF!,"AAAAAD/+7Tc=")</f>
        <v>#REF!</v>
      </c>
      <c r="BE21" t="e">
        <f>AND(NhatkyBan!#REF!,"AAAAAD/+7Tg=")</f>
        <v>#REF!</v>
      </c>
      <c r="BF21" t="e">
        <f>AND(NhatkyBan!#REF!,"AAAAAD/+7Tk=")</f>
        <v>#REF!</v>
      </c>
      <c r="BG21" t="e">
        <f>AND(NhatkyBan!#REF!,"AAAAAD/+7To=")</f>
        <v>#REF!</v>
      </c>
      <c r="BH21" t="e">
        <f>AND(NhatkyBan!#REF!,"AAAAAD/+7Ts=")</f>
        <v>#REF!</v>
      </c>
      <c r="BI21" t="e">
        <f>AND(NhatkyBan!#REF!,"AAAAAD/+7Tw=")</f>
        <v>#REF!</v>
      </c>
      <c r="BJ21" t="e">
        <f>AND(NhatkyBan!#REF!,"AAAAAD/+7T0=")</f>
        <v>#REF!</v>
      </c>
      <c r="BK21" t="e">
        <f>AND(NhatkyBan!#REF!,"AAAAAD/+7T4=")</f>
        <v>#REF!</v>
      </c>
      <c r="BL21" t="e">
        <f>AND(NhatkyBan!#REF!,"AAAAAD/+7T8=")</f>
        <v>#REF!</v>
      </c>
      <c r="BM21" t="e">
        <f>AND(NhatkyBan!#REF!,"AAAAAD/+7UA=")</f>
        <v>#REF!</v>
      </c>
      <c r="BN21" t="e">
        <f>AND(NhatkyBan!#REF!,"AAAAAD/+7UE=")</f>
        <v>#REF!</v>
      </c>
      <c r="BO21" t="e">
        <f>AND(NhatkyBan!#REF!,"AAAAAD/+7UI=")</f>
        <v>#REF!</v>
      </c>
      <c r="BP21" t="e">
        <f>AND(NhatkyBan!#REF!,"AAAAAD/+7UM=")</f>
        <v>#REF!</v>
      </c>
      <c r="BQ21" t="e">
        <f>AND(NhatkyBan!#REF!,"AAAAAD/+7UQ=")</f>
        <v>#REF!</v>
      </c>
      <c r="BR21" t="e">
        <f>AND(NhatkyBan!#REF!,"AAAAAD/+7UU=")</f>
        <v>#REF!</v>
      </c>
      <c r="BS21" t="e">
        <f>AND(NhatkyBan!#REF!,"AAAAAD/+7UY=")</f>
        <v>#REF!</v>
      </c>
      <c r="BT21" t="e">
        <f>AND(NhatkyBan!#REF!,"AAAAAD/+7Uc=")</f>
        <v>#REF!</v>
      </c>
      <c r="BU21" t="e">
        <f>AND(NhatkyBan!#REF!,"AAAAAD/+7Ug=")</f>
        <v>#REF!</v>
      </c>
      <c r="BV21" t="e">
        <f>AND(NhatkyBan!#REF!,"AAAAAD/+7Uk=")</f>
        <v>#REF!</v>
      </c>
      <c r="BW21" t="e">
        <f>AND(NhatkyBan!#REF!,"AAAAAD/+7Uo=")</f>
        <v>#REF!</v>
      </c>
      <c r="BX21" t="e">
        <f>AND(NhatkyBan!#REF!,"AAAAAD/+7Us=")</f>
        <v>#REF!</v>
      </c>
      <c r="BY21" t="e">
        <f>AND(NhatkyBan!#REF!,"AAAAAD/+7Uw=")</f>
        <v>#REF!</v>
      </c>
      <c r="BZ21" t="e">
        <f>AND(NhatkyBan!#REF!,"AAAAAD/+7U0=")</f>
        <v>#REF!</v>
      </c>
      <c r="CA21" t="e">
        <f>AND(NhatkyBan!#REF!,"AAAAAD/+7U4=")</f>
        <v>#REF!</v>
      </c>
      <c r="CB21" t="e">
        <f>AND(NhatkyBan!#REF!,"AAAAAD/+7U8=")</f>
        <v>#REF!</v>
      </c>
      <c r="CC21" t="e">
        <f>AND(NhatkyBan!#REF!,"AAAAAD/+7VA=")</f>
        <v>#REF!</v>
      </c>
      <c r="CD21" t="e">
        <f>AND(NhatkyBan!#REF!,"AAAAAD/+7VE=")</f>
        <v>#REF!</v>
      </c>
      <c r="CE21" t="e">
        <f>AND(NhatkyBan!#REF!,"AAAAAD/+7VI=")</f>
        <v>#REF!</v>
      </c>
      <c r="CF21" t="e">
        <f>AND(NhatkyBan!#REF!,"AAAAAD/+7VM=")</f>
        <v>#REF!</v>
      </c>
      <c r="CG21" t="e">
        <f>AND(NhatkyBan!#REF!,"AAAAAD/+7VQ=")</f>
        <v>#REF!</v>
      </c>
      <c r="CH21" t="e">
        <f>AND(NhatkyBan!#REF!,"AAAAAD/+7VU=")</f>
        <v>#REF!</v>
      </c>
      <c r="CI21" t="e">
        <f>AND(NhatkyBan!#REF!,"AAAAAD/+7VY=")</f>
        <v>#REF!</v>
      </c>
      <c r="CJ21" t="e">
        <f>AND(NhatkyBan!#REF!,"AAAAAD/+7Vc=")</f>
        <v>#REF!</v>
      </c>
      <c r="CK21" t="e">
        <f>IF(NhatkyBan!#REF!,"AAAAAD/+7Vg=",0)</f>
        <v>#REF!</v>
      </c>
      <c r="CL21" t="e">
        <f>IF(NhatkyBan!#REF!,"AAAAAD/+7Vk=",0)</f>
        <v>#REF!</v>
      </c>
      <c r="CM21" t="e">
        <f>IF(NhatkyBan!#REF!,"AAAAAD/+7Vo=",0)</f>
        <v>#REF!</v>
      </c>
      <c r="CN21" t="e">
        <f>IF(NhatkyBan!#REF!,"AAAAAD/+7Vs=",0)</f>
        <v>#REF!</v>
      </c>
      <c r="CO21" t="e">
        <f>IF(NhatkyBan!#REF!,"AAAAAD/+7Vw=",0)</f>
        <v>#REF!</v>
      </c>
      <c r="CP21" t="e">
        <f>IF(NhatkyBan!#REF!,"AAAAAD/+7V0=",0)</f>
        <v>#REF!</v>
      </c>
      <c r="CQ21" t="e">
        <f>IF(NhatkyBan!#REF!,"AAAAAD/+7V4=",0)</f>
        <v>#REF!</v>
      </c>
      <c r="CR21" t="e">
        <f>IF(NhatkyBan!#REF!,"AAAAAD/+7V8=",0)</f>
        <v>#REF!</v>
      </c>
      <c r="CS21" t="e">
        <f>IF(NhatkyBan!#REF!,"AAAAAD/+7WA=",0)</f>
        <v>#REF!</v>
      </c>
      <c r="CT21" t="e">
        <f>IF(NhatkyBan!#REF!,"AAAAAD/+7WE=",0)</f>
        <v>#REF!</v>
      </c>
      <c r="CU21" t="e">
        <f>IF(NhatkyBan!#REF!,"AAAAAD/+7WI=",0)</f>
        <v>#REF!</v>
      </c>
      <c r="CV21" t="e">
        <f>IF(NhatkyBan!#REF!,"AAAAAD/+7WM=",0)</f>
        <v>#REF!</v>
      </c>
      <c r="CW21" t="e">
        <f>IF(NhatkyBan!#REF!,"AAAAAD/+7WQ=",0)</f>
        <v>#REF!</v>
      </c>
      <c r="CX21" t="e">
        <f>IF(NhatkyBan!#REF!,"AAAAAD/+7WU=",0)</f>
        <v>#REF!</v>
      </c>
      <c r="CY21" t="e">
        <f>IF(NhatkyBan!#REF!,"AAAAAD/+7WY=",0)</f>
        <v>#REF!</v>
      </c>
      <c r="CZ21" t="e">
        <f>IF(NhatkyBan!#REF!,"AAAAAD/+7Wc=",0)</f>
        <v>#REF!</v>
      </c>
      <c r="DA21" t="e">
        <f>IF(NhatkyBan!#REF!,"AAAAAD/+7Wg=",0)</f>
        <v>#REF!</v>
      </c>
      <c r="DB21" t="e">
        <f>IF(NhatkyBan!#REF!,"AAAAAD/+7Wk=",0)</f>
        <v>#REF!</v>
      </c>
      <c r="DC21" t="e">
        <f>IF(NhatkyBan!#REF!,"AAAAAD/+7Wo=",0)</f>
        <v>#REF!</v>
      </c>
      <c r="DD21" t="e">
        <f>IF(NhatkyBan!#REF!,"AAAAAD/+7Ws=",0)</f>
        <v>#REF!</v>
      </c>
      <c r="DE21" t="e">
        <f>IF(NhatkyBan!A:A,"AAAAAD/+7Ww=",0)</f>
        <v>#VALUE!</v>
      </c>
      <c r="DF21" t="e">
        <f>IF(NhatkyBan!B:B,"AAAAAD/+7W0=",0)</f>
        <v>#VALUE!</v>
      </c>
      <c r="DG21" t="e">
        <f>IF(NhatkyBan!C:C,"AAAAAD/+7W4=",0)</f>
        <v>#VALUE!</v>
      </c>
      <c r="DH21" t="e">
        <f>IF(NhatkyBan!D:D,"AAAAAD/+7W8=",0)</f>
        <v>#VALUE!</v>
      </c>
      <c r="DI21" t="e">
        <f>IF(NhatkyBan!E:E,"AAAAAD/+7XA=",0)</f>
        <v>#VALUE!</v>
      </c>
      <c r="DJ21" t="e">
        <f>IF(NhatkyBan!F:F,"AAAAAD/+7XE=",0)</f>
        <v>#VALUE!</v>
      </c>
      <c r="DK21" t="e">
        <f>IF(NhatkyBan!G:G,"AAAAAD/+7XI=",0)</f>
        <v>#VALUE!</v>
      </c>
      <c r="DL21" t="e">
        <f>IF(NhatkyBan!H:H,"AAAAAD/+7XM=",0)</f>
        <v>#VALUE!</v>
      </c>
      <c r="DM21" t="e">
        <f>IF(NhatkyBan!I:I,"AAAAAD/+7XQ=",0)</f>
        <v>#VALUE!</v>
      </c>
      <c r="DN21" t="e">
        <f>IF(NhatkyBan!J:J,"AAAAAD/+7XU=",0)</f>
        <v>#VALUE!</v>
      </c>
      <c r="DO21" t="e">
        <f>IF(NhatkyBan!K:K,"AAAAAD/+7XY=",0)</f>
        <v>#VALUE!</v>
      </c>
      <c r="DP21" t="e">
        <f>IF(NhatkyBan!L:L,"AAAAAD/+7Xc=",0)</f>
        <v>#VALUE!</v>
      </c>
      <c r="DQ21" t="e">
        <f>IF(NhatkyBan!M:M,"AAAAAD/+7Xg=",0)</f>
        <v>#VALUE!</v>
      </c>
      <c r="DR21" t="e">
        <f>IF(NhatkyBan!N:N,"AAAAAD/+7Xk=",0)</f>
        <v>#VALUE!</v>
      </c>
      <c r="DS21" t="e">
        <f>IF(NhatkyBan!O:O,"AAAAAD/+7Xo=",0)</f>
        <v>#VALUE!</v>
      </c>
      <c r="DT21" t="e">
        <f>IF(NhatkyBan!P:P,"AAAAAD/+7Xs=",0)</f>
        <v>#VALUE!</v>
      </c>
      <c r="DU21" t="e">
        <f>IF(NhatkyBan!Q:Q,"AAAAAD/+7Xw=",0)</f>
        <v>#VALUE!</v>
      </c>
      <c r="DV21" t="e">
        <f>IF(NhatkyBan!R:R,"AAAAAD/+7X0=",0)</f>
        <v>#VALUE!</v>
      </c>
      <c r="DW21" t="e">
        <f>IF(NhatkyBan!S:S,"AAAAAD/+7X4=",0)</f>
        <v>#VALUE!</v>
      </c>
      <c r="DX21" t="e">
        <f>IF(NhatkyBan!T:T,"AAAAAD/+7X8=",0)</f>
        <v>#VALUE!</v>
      </c>
      <c r="DY21" t="e">
        <f>IF(NhatkyBan!U:U,"AAAAAD/+7YA=",0)</f>
        <v>#VALUE!</v>
      </c>
      <c r="DZ21" t="e">
        <f>IF(NhatkyBan!V:V,"AAAAAD/+7YE=",0)</f>
        <v>#VALUE!</v>
      </c>
      <c r="EA21" t="e">
        <f>IF(NhatkyBan!W:W,"AAAAAD/+7YI=",0)</f>
        <v>#VALUE!</v>
      </c>
      <c r="EB21" t="e">
        <f>IF(NhatkyBan!X:X,"AAAAAD/+7YM=",0)</f>
        <v>#VALUE!</v>
      </c>
      <c r="EC21" t="e">
        <f>IF(NhatkyBan!Y:Y,"AAAAAD/+7YQ=",0)</f>
        <v>#VALUE!</v>
      </c>
      <c r="ED21" t="e">
        <f>IF(NhatkyBan!Z:Z,"AAAAAD/+7YU=",0)</f>
        <v>#VALUE!</v>
      </c>
      <c r="EE21" t="e">
        <f>IF(NhatkyBan!AA:AA,"AAAAAD/+7YY=",0)</f>
        <v>#VALUE!</v>
      </c>
      <c r="EF21" t="e">
        <f>IF(NhatkyBan!AB:AB,"AAAAAD/+7Yc=",0)</f>
        <v>#VALUE!</v>
      </c>
      <c r="EG21" t="e">
        <f>IF(NhatkyBan!AC:AC,"AAAAAD/+7Yg=",0)</f>
        <v>#VALUE!</v>
      </c>
      <c r="EH21" t="e">
        <f>IF(NhatkyBan!AD:AD,"AAAAAD/+7Yk=",0)</f>
        <v>#VALUE!</v>
      </c>
      <c r="EI21" t="e">
        <f>IF(NhatkyBan!AE:AE,"AAAAAD/+7Yo=",0)</f>
        <v>#VALUE!</v>
      </c>
      <c r="EJ21" t="e">
        <f>IF(NhatkyBan!AF:AF,"AAAAAD/+7Ys=",0)</f>
        <v>#VALUE!</v>
      </c>
      <c r="EK21" t="e">
        <f>IF(NhatkyBan!AG:AG,"AAAAAD/+7Yw=",0)</f>
        <v>#VALUE!</v>
      </c>
      <c r="EL21">
        <f>IF(NhatkyBan!AH:AH,"AAAAAD/+7Y0=",0)</f>
        <v>0</v>
      </c>
      <c r="EM21">
        <f>IF(NhatkyNhap!1:1,"AAAAAD/+7Y4=",0)</f>
        <v>0</v>
      </c>
      <c r="EN21" t="e">
        <f>AND(NhatkyNhap!A1,"AAAAAD/+7Y8=")</f>
        <v>#VALUE!</v>
      </c>
      <c r="EO21" t="e">
        <f>IF(NhatkyNhap!A:A,"AAAAAD/+7ZA=",0)</f>
        <v>#VALUE!</v>
      </c>
      <c r="EP21">
        <f>IF(NhatkyTon!1:1,"AAAAAD/+7ZE=",0)</f>
        <v>0</v>
      </c>
      <c r="EQ21" t="e">
        <f>AND(NhatkyTon!A1,"AAAAAD/+7ZI=")</f>
        <v>#VALUE!</v>
      </c>
      <c r="ER21" t="e">
        <f>IF(NhatkyTon!A:A,"AAAAAD/+7ZM=",0)</f>
        <v>#VALUE!</v>
      </c>
      <c r="ES21">
        <f>IF(ThongtinNgayban!1:1,"AAAAAD/+7ZQ=",0)</f>
        <v>0</v>
      </c>
      <c r="ET21" t="e">
        <f>AND(ThongtinNgayban!A1,"AAAAAD/+7ZU=")</f>
        <v>#VALUE!</v>
      </c>
      <c r="EU21" t="e">
        <f>AND(ThongtinNgayban!B1,"AAAAAD/+7ZY=")</f>
        <v>#VALUE!</v>
      </c>
      <c r="EV21" t="e">
        <f>AND(ThongtinNgayban!C1,"AAAAAD/+7Zc=")</f>
        <v>#VALUE!</v>
      </c>
      <c r="EW21">
        <f>IF(ThongtinNgayban!A:A,"AAAAAD/+7Zg=",0)</f>
        <v>0</v>
      </c>
      <c r="EX21">
        <f>IF(ThongtinNgayban!B:B,"AAAAAD/+7Zk=",0)</f>
        <v>0</v>
      </c>
      <c r="EY21">
        <f>IF(ThongtinNgayban!C:C,"AAAAAD/+7Zo=",0)</f>
        <v>0</v>
      </c>
      <c r="EZ21">
        <f>IF(DSSP!1:1,"AAAAAD/+7Zs=",0)</f>
        <v>0</v>
      </c>
      <c r="FA21" t="e">
        <f>AND(DSSP!A1,"AAAAAD/+7Zw=")</f>
        <v>#VALUE!</v>
      </c>
      <c r="FB21" t="e">
        <f>AND(DSSP!B1,"AAAAAD/+7Z0=")</f>
        <v>#VALUE!</v>
      </c>
      <c r="FC21" t="e">
        <f>AND(DSSP!C1,"AAAAAD/+7Z4=")</f>
        <v>#VALUE!</v>
      </c>
      <c r="FD21" t="e">
        <f>AND(DSSP!E1,"AAAAAD/+7Z8=")</f>
        <v>#VALUE!</v>
      </c>
      <c r="FE21" t="e">
        <f>AND(DSSP!F1,"AAAAAD/+7aA=")</f>
        <v>#VALUE!</v>
      </c>
      <c r="FF21" t="e">
        <f>AND(DSSP!D1,"AAAAAD/+7aE=")</f>
        <v>#VALUE!</v>
      </c>
      <c r="FG21" t="e">
        <f>AND(DSSP!G1,"AAAAAD/+7aI=")</f>
        <v>#VALUE!</v>
      </c>
      <c r="FH21" t="e">
        <f>AND(DSSP!I1,"AAAAAD/+7aM=")</f>
        <v>#VALUE!</v>
      </c>
      <c r="FI21" t="e">
        <f>AND(DSSP!J1,"AAAAAD/+7aQ=")</f>
        <v>#VALUE!</v>
      </c>
      <c r="FJ21" t="e">
        <f>AND(DSSP!K1,"AAAAAD/+7aU=")</f>
        <v>#VALUE!</v>
      </c>
      <c r="FK21" t="e">
        <f>AND(DSSP!M1,"AAAAAD/+7aY=")</f>
        <v>#VALUE!</v>
      </c>
      <c r="FL21" t="e">
        <f>AND(DSSP!N1,"AAAAAD/+7ac=")</f>
        <v>#VALUE!</v>
      </c>
      <c r="FM21" t="e">
        <f>AND(DSSP!O1,"AAAAAD/+7ag=")</f>
        <v>#VALUE!</v>
      </c>
      <c r="FN21" t="e">
        <f>IF(DSSP!#REF!,"AAAAAD/+7ak=",0)</f>
        <v>#REF!</v>
      </c>
      <c r="FO21" t="e">
        <f>AND(DSSP!#REF!,"AAAAAD/+7ao=")</f>
        <v>#REF!</v>
      </c>
      <c r="FP21" t="e">
        <f>AND(DSSP!#REF!,"AAAAAD/+7as=")</f>
        <v>#REF!</v>
      </c>
      <c r="FQ21" t="e">
        <f>AND(DSSP!#REF!,"AAAAAD/+7aw=")</f>
        <v>#REF!</v>
      </c>
      <c r="FR21" t="e">
        <f>AND(DSSP!#REF!,"AAAAAD/+7a0=")</f>
        <v>#REF!</v>
      </c>
      <c r="FS21" t="e">
        <f>AND(DSSP!#REF!,"AAAAAD/+7a4=")</f>
        <v>#REF!</v>
      </c>
      <c r="FT21" t="e">
        <f>AND(DSSP!#REF!,"AAAAAD/+7a8=")</f>
        <v>#REF!</v>
      </c>
      <c r="FU21" t="e">
        <f>AND(DSSP!#REF!,"AAAAAD/+7bA=")</f>
        <v>#REF!</v>
      </c>
      <c r="FV21" t="e">
        <f>AND(DSSP!#REF!,"AAAAAD/+7bE=")</f>
        <v>#REF!</v>
      </c>
      <c r="FW21" t="e">
        <f>AND(DSSP!#REF!,"AAAAAD/+7bI=")</f>
        <v>#REF!</v>
      </c>
      <c r="FX21" t="e">
        <f>AND(DSSP!#REF!,"AAAAAD/+7bM=")</f>
        <v>#REF!</v>
      </c>
      <c r="FY21" t="e">
        <f>AND(DSSP!#REF!,"AAAAAD/+7bQ=")</f>
        <v>#REF!</v>
      </c>
      <c r="FZ21" t="e">
        <f>AND(DSSP!#REF!,"AAAAAD/+7bU=")</f>
        <v>#REF!</v>
      </c>
      <c r="GA21" t="e">
        <f>AND(DSSP!#REF!,"AAAAAD/+7bY=")</f>
        <v>#REF!</v>
      </c>
      <c r="GB21" t="e">
        <f>IF(DSSP!#REF!,"AAAAAD/+7bc=",0)</f>
        <v>#REF!</v>
      </c>
      <c r="GC21" t="e">
        <f>AND(DSSP!#REF!,"AAAAAD/+7bg=")</f>
        <v>#REF!</v>
      </c>
      <c r="GD21" t="e">
        <f>AND(DSSP!#REF!,"AAAAAD/+7bk=")</f>
        <v>#REF!</v>
      </c>
      <c r="GE21" t="e">
        <f>AND(DSSP!#REF!,"AAAAAD/+7bo=")</f>
        <v>#REF!</v>
      </c>
      <c r="GF21" t="e">
        <f>AND(DSSP!#REF!,"AAAAAD/+7bs=")</f>
        <v>#REF!</v>
      </c>
      <c r="GG21" t="e">
        <f>AND(DSSP!#REF!,"AAAAAD/+7bw=")</f>
        <v>#REF!</v>
      </c>
      <c r="GH21" t="e">
        <f>AND(DSSP!#REF!,"AAAAAD/+7b0=")</f>
        <v>#REF!</v>
      </c>
      <c r="GI21" t="e">
        <f>AND(DSSP!#REF!,"AAAAAD/+7b4=")</f>
        <v>#REF!</v>
      </c>
      <c r="GJ21" t="e">
        <f>AND(DSSP!#REF!,"AAAAAD/+7b8=")</f>
        <v>#REF!</v>
      </c>
      <c r="GK21" t="e">
        <f>AND(DSSP!#REF!,"AAAAAD/+7cA=")</f>
        <v>#REF!</v>
      </c>
      <c r="GL21" t="e">
        <f>AND(DSSP!#REF!,"AAAAAD/+7cE=")</f>
        <v>#REF!</v>
      </c>
      <c r="GM21" t="e">
        <f>AND(DSSP!#REF!,"AAAAAD/+7cI=")</f>
        <v>#REF!</v>
      </c>
      <c r="GN21" t="e">
        <f>AND(DSSP!#REF!,"AAAAAD/+7cM=")</f>
        <v>#REF!</v>
      </c>
      <c r="GO21" t="e">
        <f>AND(DSSP!#REF!,"AAAAAD/+7cQ=")</f>
        <v>#REF!</v>
      </c>
      <c r="GP21" t="e">
        <f>IF(DSSP!#REF!,"AAAAAD/+7cU=",0)</f>
        <v>#REF!</v>
      </c>
      <c r="GQ21" t="e">
        <f>AND(DSSP!#REF!,"AAAAAD/+7cY=")</f>
        <v>#REF!</v>
      </c>
      <c r="GR21" t="e">
        <f>AND(DSSP!#REF!,"AAAAAD/+7cc=")</f>
        <v>#REF!</v>
      </c>
      <c r="GS21" t="e">
        <f>AND(DSSP!#REF!,"AAAAAD/+7cg=")</f>
        <v>#REF!</v>
      </c>
      <c r="GT21" t="e">
        <f>AND(DSSP!#REF!,"AAAAAD/+7ck=")</f>
        <v>#REF!</v>
      </c>
      <c r="GU21" t="e">
        <f>IF(DSSP!#REF!,"AAAAAD/+7co=",0)</f>
        <v>#REF!</v>
      </c>
      <c r="GV21" t="e">
        <f>AND(DSSP!#REF!,"AAAAAD/+7cs=")</f>
        <v>#REF!</v>
      </c>
      <c r="GW21" t="e">
        <f>AND(DSSP!#REF!,"AAAAAD/+7cw=")</f>
        <v>#REF!</v>
      </c>
      <c r="GX21" t="e">
        <f>AND(DSSP!#REF!,"AAAAAD/+7c0=")</f>
        <v>#REF!</v>
      </c>
      <c r="GY21" t="e">
        <f>AND(DSSP!#REF!,"AAAAAD/+7c4=")</f>
        <v>#REF!</v>
      </c>
      <c r="GZ21" t="e">
        <f>IF(DSSP!#REF!,"AAAAAD/+7c8=",0)</f>
        <v>#REF!</v>
      </c>
      <c r="HA21" t="e">
        <f>AND(DSSP!#REF!,"AAAAAD/+7dA=")</f>
        <v>#REF!</v>
      </c>
      <c r="HB21" t="e">
        <f>AND(DSSP!#REF!,"AAAAAD/+7dE=")</f>
        <v>#REF!</v>
      </c>
      <c r="HC21" t="e">
        <f>AND(DSSP!#REF!,"AAAAAD/+7dI=")</f>
        <v>#REF!</v>
      </c>
      <c r="HD21" t="e">
        <f>AND(DSSP!#REF!,"AAAAAD/+7dM=")</f>
        <v>#REF!</v>
      </c>
      <c r="HE21" t="e">
        <f>IF(DSSP!#REF!,"AAAAAD/+7dQ=",0)</f>
        <v>#REF!</v>
      </c>
      <c r="HF21" t="e">
        <f>AND(DSSP!#REF!,"AAAAAD/+7dU=")</f>
        <v>#REF!</v>
      </c>
      <c r="HG21" t="e">
        <f>AND(DSSP!#REF!,"AAAAAD/+7dY=")</f>
        <v>#REF!</v>
      </c>
      <c r="HH21" t="e">
        <f>AND(DSSP!#REF!,"AAAAAD/+7dc=")</f>
        <v>#REF!</v>
      </c>
      <c r="HI21" t="e">
        <f>AND(DSSP!#REF!,"AAAAAD/+7dg=")</f>
        <v>#REF!</v>
      </c>
      <c r="HJ21" t="e">
        <f>IF(DSSP!#REF!,"AAAAAD/+7dk=",0)</f>
        <v>#REF!</v>
      </c>
      <c r="HK21" t="e">
        <f>AND(DSSP!#REF!,"AAAAAD/+7do=")</f>
        <v>#REF!</v>
      </c>
      <c r="HL21" t="e">
        <f>AND(DSSP!#REF!,"AAAAAD/+7ds=")</f>
        <v>#REF!</v>
      </c>
      <c r="HM21" t="e">
        <f>AND(DSSP!#REF!,"AAAAAD/+7dw=")</f>
        <v>#REF!</v>
      </c>
      <c r="HN21" t="e">
        <f>AND(DSSP!#REF!,"AAAAAD/+7d0=")</f>
        <v>#REF!</v>
      </c>
      <c r="HO21" t="e">
        <f>IF(DSSP!#REF!,"AAAAAD/+7d4=",0)</f>
        <v>#REF!</v>
      </c>
      <c r="HP21" t="e">
        <f>AND(DSSP!#REF!,"AAAAAD/+7d8=")</f>
        <v>#REF!</v>
      </c>
      <c r="HQ21" t="e">
        <f>AND(DSSP!#REF!,"AAAAAD/+7eA=")</f>
        <v>#REF!</v>
      </c>
      <c r="HR21" t="e">
        <f>AND(DSSP!#REF!,"AAAAAD/+7eE=")</f>
        <v>#REF!</v>
      </c>
      <c r="HS21" t="e">
        <f>AND(DSSP!#REF!,"AAAAAD/+7eI=")</f>
        <v>#REF!</v>
      </c>
      <c r="HT21" t="e">
        <f>IF(DSSP!#REF!,"AAAAAD/+7eM=",0)</f>
        <v>#REF!</v>
      </c>
      <c r="HU21" t="e">
        <f>AND(DSSP!#REF!,"AAAAAD/+7eQ=")</f>
        <v>#REF!</v>
      </c>
      <c r="HV21" t="e">
        <f>AND(DSSP!#REF!,"AAAAAD/+7eU=")</f>
        <v>#REF!</v>
      </c>
      <c r="HW21" t="e">
        <f>AND(DSSP!#REF!,"AAAAAD/+7eY=")</f>
        <v>#REF!</v>
      </c>
      <c r="HX21" t="e">
        <f>AND(DSSP!#REF!,"AAAAAD/+7ec=")</f>
        <v>#REF!</v>
      </c>
      <c r="HY21" t="e">
        <f>IF(DSSP!#REF!,"AAAAAD/+7eg=",0)</f>
        <v>#REF!</v>
      </c>
      <c r="HZ21" t="e">
        <f>AND(DSSP!#REF!,"AAAAAD/+7ek=")</f>
        <v>#REF!</v>
      </c>
      <c r="IA21" t="e">
        <f>AND(DSSP!#REF!,"AAAAAD/+7eo=")</f>
        <v>#REF!</v>
      </c>
      <c r="IB21" t="e">
        <f>AND(DSSP!#REF!,"AAAAAD/+7es=")</f>
        <v>#REF!</v>
      </c>
      <c r="IC21" t="e">
        <f>AND(DSSP!#REF!,"AAAAAD/+7ew=")</f>
        <v>#REF!</v>
      </c>
      <c r="ID21" t="e">
        <f>IF(DSSP!#REF!,"AAAAAD/+7e0=",0)</f>
        <v>#REF!</v>
      </c>
      <c r="IE21" t="e">
        <f>AND(DSSP!#REF!,"AAAAAD/+7e4=")</f>
        <v>#REF!</v>
      </c>
      <c r="IF21" t="e">
        <f>AND(DSSP!#REF!,"AAAAAD/+7e8=")</f>
        <v>#REF!</v>
      </c>
      <c r="IG21" t="e">
        <f>AND(DSSP!#REF!,"AAAAAD/+7fA=")</f>
        <v>#REF!</v>
      </c>
      <c r="IH21" t="e">
        <f>AND(DSSP!#REF!,"AAAAAD/+7fE=")</f>
        <v>#REF!</v>
      </c>
      <c r="II21" t="e">
        <f>IF(DSSP!#REF!,"AAAAAD/+7fI=",0)</f>
        <v>#REF!</v>
      </c>
      <c r="IJ21" t="e">
        <f>AND(DSSP!#REF!,"AAAAAD/+7fM=")</f>
        <v>#REF!</v>
      </c>
      <c r="IK21" t="e">
        <f>AND(DSSP!#REF!,"AAAAAD/+7fQ=")</f>
        <v>#REF!</v>
      </c>
      <c r="IL21" t="e">
        <f>AND(DSSP!#REF!,"AAAAAD/+7fU=")</f>
        <v>#REF!</v>
      </c>
      <c r="IM21" t="e">
        <f>AND(DSSP!#REF!,"AAAAAD/+7fY=")</f>
        <v>#REF!</v>
      </c>
      <c r="IN21" t="e">
        <f>IF(DSSP!#REF!,"AAAAAD/+7fc=",0)</f>
        <v>#REF!</v>
      </c>
      <c r="IO21" t="e">
        <f>AND(DSSP!#REF!,"AAAAAD/+7fg=")</f>
        <v>#REF!</v>
      </c>
      <c r="IP21" t="e">
        <f>AND(DSSP!#REF!,"AAAAAD/+7fk=")</f>
        <v>#REF!</v>
      </c>
      <c r="IQ21" t="e">
        <f>AND(DSSP!#REF!,"AAAAAD/+7fo=")</f>
        <v>#REF!</v>
      </c>
      <c r="IR21" t="e">
        <f>AND(DSSP!#REF!,"AAAAAD/+7fs=")</f>
        <v>#REF!</v>
      </c>
      <c r="IS21" t="e">
        <f>IF(DSSP!#REF!,"AAAAAD/+7fw=",0)</f>
        <v>#REF!</v>
      </c>
      <c r="IT21" t="e">
        <f>AND(DSSP!#REF!,"AAAAAD/+7f0=")</f>
        <v>#REF!</v>
      </c>
      <c r="IU21" t="e">
        <f>AND(DSSP!#REF!,"AAAAAD/+7f4=")</f>
        <v>#REF!</v>
      </c>
      <c r="IV21" t="e">
        <f>AND(DSSP!#REF!,"AAAAAD/+7f8=")</f>
        <v>#REF!</v>
      </c>
    </row>
    <row r="22" spans="1:256">
      <c r="A22" t="e">
        <f>AND(DSSP!#REF!,"AAAAAF/V/gA=")</f>
        <v>#REF!</v>
      </c>
      <c r="B22" t="e">
        <f>IF(DSSP!#REF!,"AAAAAF/V/gE=",0)</f>
        <v>#REF!</v>
      </c>
      <c r="C22" t="e">
        <f>AND(DSSP!#REF!,"AAAAAF/V/gI=")</f>
        <v>#REF!</v>
      </c>
      <c r="D22" t="e">
        <f>AND(DSSP!#REF!,"AAAAAF/V/gM=")</f>
        <v>#REF!</v>
      </c>
      <c r="E22" t="e">
        <f>AND(DSSP!#REF!,"AAAAAF/V/gQ=")</f>
        <v>#REF!</v>
      </c>
      <c r="F22" t="e">
        <f>AND(DSSP!#REF!,"AAAAAF/V/gU=")</f>
        <v>#REF!</v>
      </c>
      <c r="G22" t="e">
        <f>IF(DSSP!#REF!,"AAAAAF/V/gY=",0)</f>
        <v>#REF!</v>
      </c>
      <c r="H22" t="e">
        <f>AND(DSSP!#REF!,"AAAAAF/V/gc=")</f>
        <v>#REF!</v>
      </c>
      <c r="I22" t="e">
        <f>AND(DSSP!#REF!,"AAAAAF/V/gg=")</f>
        <v>#REF!</v>
      </c>
      <c r="J22" t="e">
        <f>AND(DSSP!#REF!,"AAAAAF/V/gk=")</f>
        <v>#REF!</v>
      </c>
      <c r="K22" t="e">
        <f>AND(DSSP!#REF!,"AAAAAF/V/go=")</f>
        <v>#REF!</v>
      </c>
      <c r="L22" t="e">
        <f>IF(DSSP!#REF!,"AAAAAF/V/gs=",0)</f>
        <v>#REF!</v>
      </c>
      <c r="M22" t="e">
        <f>AND(DSSP!#REF!,"AAAAAF/V/gw=")</f>
        <v>#REF!</v>
      </c>
      <c r="N22" t="e">
        <f>AND(DSSP!#REF!,"AAAAAF/V/g0=")</f>
        <v>#REF!</v>
      </c>
      <c r="O22" t="e">
        <f>AND(DSSP!#REF!,"AAAAAF/V/g4=")</f>
        <v>#REF!</v>
      </c>
      <c r="P22" t="e">
        <f>AND(DSSP!#REF!,"AAAAAF/V/g8=")</f>
        <v>#REF!</v>
      </c>
      <c r="Q22" t="e">
        <f>IF(DSSP!#REF!,"AAAAAF/V/hA=",0)</f>
        <v>#REF!</v>
      </c>
      <c r="R22" t="e">
        <f>AND(DSSP!#REF!,"AAAAAF/V/hE=")</f>
        <v>#REF!</v>
      </c>
      <c r="S22" t="e">
        <f>AND(DSSP!#REF!,"AAAAAF/V/hI=")</f>
        <v>#REF!</v>
      </c>
      <c r="T22" t="e">
        <f>AND(DSSP!#REF!,"AAAAAF/V/hM=")</f>
        <v>#REF!</v>
      </c>
      <c r="U22" t="e">
        <f>AND(DSSP!#REF!,"AAAAAF/V/hQ=")</f>
        <v>#REF!</v>
      </c>
      <c r="V22" t="e">
        <f>IF(DSSP!#REF!,"AAAAAF/V/hU=",0)</f>
        <v>#REF!</v>
      </c>
      <c r="W22" t="e">
        <f>AND(DSSP!#REF!,"AAAAAF/V/hY=")</f>
        <v>#REF!</v>
      </c>
      <c r="X22" t="e">
        <f>AND(DSSP!#REF!,"AAAAAF/V/hc=")</f>
        <v>#REF!</v>
      </c>
      <c r="Y22" t="e">
        <f>AND(DSSP!#REF!,"AAAAAF/V/hg=")</f>
        <v>#REF!</v>
      </c>
      <c r="Z22" t="e">
        <f>AND(DSSP!#REF!,"AAAAAF/V/hk=")</f>
        <v>#REF!</v>
      </c>
      <c r="AA22" t="e">
        <f>IF(DSSP!#REF!,"AAAAAF/V/ho=",0)</f>
        <v>#REF!</v>
      </c>
      <c r="AB22" t="e">
        <f>AND(DSSP!#REF!,"AAAAAF/V/hs=")</f>
        <v>#REF!</v>
      </c>
      <c r="AC22" t="e">
        <f>AND(DSSP!#REF!,"AAAAAF/V/hw=")</f>
        <v>#REF!</v>
      </c>
      <c r="AD22" t="e">
        <f>AND(DSSP!#REF!,"AAAAAF/V/h0=")</f>
        <v>#REF!</v>
      </c>
      <c r="AE22" t="e">
        <f>AND(DSSP!#REF!,"AAAAAF/V/h4=")</f>
        <v>#REF!</v>
      </c>
      <c r="AF22" t="e">
        <f>IF(DSSP!#REF!,"AAAAAF/V/h8=",0)</f>
        <v>#REF!</v>
      </c>
      <c r="AG22" t="e">
        <f>AND(DSSP!#REF!,"AAAAAF/V/iA=")</f>
        <v>#REF!</v>
      </c>
      <c r="AH22" t="e">
        <f>AND(DSSP!#REF!,"AAAAAF/V/iE=")</f>
        <v>#REF!</v>
      </c>
      <c r="AI22" t="e">
        <f>AND(DSSP!#REF!,"AAAAAF/V/iI=")</f>
        <v>#REF!</v>
      </c>
      <c r="AJ22" t="e">
        <f>AND(DSSP!#REF!,"AAAAAF/V/iM=")</f>
        <v>#REF!</v>
      </c>
      <c r="AK22" t="e">
        <f>IF(DSSP!#REF!,"AAAAAF/V/iQ=",0)</f>
        <v>#REF!</v>
      </c>
      <c r="AL22" t="e">
        <f>AND(DSSP!#REF!,"AAAAAF/V/iU=")</f>
        <v>#REF!</v>
      </c>
      <c r="AM22" t="e">
        <f>AND(DSSP!#REF!,"AAAAAF/V/iY=")</f>
        <v>#REF!</v>
      </c>
      <c r="AN22" t="e">
        <f>AND(DSSP!#REF!,"AAAAAF/V/ic=")</f>
        <v>#REF!</v>
      </c>
      <c r="AO22" t="e">
        <f>AND(DSSP!#REF!,"AAAAAF/V/ig=")</f>
        <v>#REF!</v>
      </c>
      <c r="AP22" t="e">
        <f>IF(DSSP!#REF!,"AAAAAF/V/ik=",0)</f>
        <v>#REF!</v>
      </c>
      <c r="AQ22" t="e">
        <f>AND(DSSP!#REF!,"AAAAAF/V/io=")</f>
        <v>#REF!</v>
      </c>
      <c r="AR22" t="e">
        <f>AND(DSSP!#REF!,"AAAAAF/V/is=")</f>
        <v>#REF!</v>
      </c>
      <c r="AS22" t="e">
        <f>AND(DSSP!#REF!,"AAAAAF/V/iw=")</f>
        <v>#REF!</v>
      </c>
      <c r="AT22" t="e">
        <f>AND(DSSP!#REF!,"AAAAAF/V/i0=")</f>
        <v>#REF!</v>
      </c>
      <c r="AU22" t="e">
        <f>IF(DSSP!#REF!,"AAAAAF/V/i4=",0)</f>
        <v>#REF!</v>
      </c>
      <c r="AV22" t="e">
        <f>AND(DSSP!#REF!,"AAAAAF/V/i8=")</f>
        <v>#REF!</v>
      </c>
      <c r="AW22" t="e">
        <f>AND(DSSP!#REF!,"AAAAAF/V/jA=")</f>
        <v>#REF!</v>
      </c>
      <c r="AX22" t="e">
        <f>AND(DSSP!#REF!,"AAAAAF/V/jE=")</f>
        <v>#REF!</v>
      </c>
      <c r="AY22" t="e">
        <f>AND(DSSP!#REF!,"AAAAAF/V/jI=")</f>
        <v>#REF!</v>
      </c>
      <c r="AZ22" t="e">
        <f>IF(DSSP!#REF!,"AAAAAF/V/jM=",0)</f>
        <v>#REF!</v>
      </c>
      <c r="BA22" t="e">
        <f>AND(DSSP!#REF!,"AAAAAF/V/jQ=")</f>
        <v>#REF!</v>
      </c>
      <c r="BB22" t="e">
        <f>AND(DSSP!#REF!,"AAAAAF/V/jU=")</f>
        <v>#REF!</v>
      </c>
      <c r="BC22" t="e">
        <f>AND(DSSP!#REF!,"AAAAAF/V/jY=")</f>
        <v>#REF!</v>
      </c>
      <c r="BD22" t="e">
        <f>AND(DSSP!#REF!,"AAAAAF/V/jc=")</f>
        <v>#REF!</v>
      </c>
      <c r="BE22" t="e">
        <f>IF(DSSP!#REF!,"AAAAAF/V/jg=",0)</f>
        <v>#REF!</v>
      </c>
      <c r="BF22" t="e">
        <f>AND(DSSP!#REF!,"AAAAAF/V/jk=")</f>
        <v>#REF!</v>
      </c>
      <c r="BG22" t="e">
        <f>AND(DSSP!#REF!,"AAAAAF/V/jo=")</f>
        <v>#REF!</v>
      </c>
      <c r="BH22" t="e">
        <f>AND(DSSP!#REF!,"AAAAAF/V/js=")</f>
        <v>#REF!</v>
      </c>
      <c r="BI22" t="e">
        <f>AND(DSSP!#REF!,"AAAAAF/V/jw=")</f>
        <v>#REF!</v>
      </c>
      <c r="BJ22" t="e">
        <f>IF(DSSP!#REF!,"AAAAAF/V/j0=",0)</f>
        <v>#REF!</v>
      </c>
      <c r="BK22" t="e">
        <f>AND(DSSP!#REF!,"AAAAAF/V/j4=")</f>
        <v>#REF!</v>
      </c>
      <c r="BL22" t="e">
        <f>AND(DSSP!#REF!,"AAAAAF/V/j8=")</f>
        <v>#REF!</v>
      </c>
      <c r="BM22" t="e">
        <f>AND(DSSP!#REF!,"AAAAAF/V/kA=")</f>
        <v>#REF!</v>
      </c>
      <c r="BN22" t="e">
        <f>AND(DSSP!#REF!,"AAAAAF/V/kE=")</f>
        <v>#REF!</v>
      </c>
      <c r="BO22" t="e">
        <f>IF(DSSP!#REF!,"AAAAAF/V/kI=",0)</f>
        <v>#REF!</v>
      </c>
      <c r="BP22" t="e">
        <f>AND(DSSP!#REF!,"AAAAAF/V/kM=")</f>
        <v>#REF!</v>
      </c>
      <c r="BQ22" t="e">
        <f>AND(DSSP!#REF!,"AAAAAF/V/kQ=")</f>
        <v>#REF!</v>
      </c>
      <c r="BR22" t="e">
        <f>AND(DSSP!#REF!,"AAAAAF/V/kU=")</f>
        <v>#REF!</v>
      </c>
      <c r="BS22" t="e">
        <f>AND(DSSP!#REF!,"AAAAAF/V/kY=")</f>
        <v>#REF!</v>
      </c>
      <c r="BT22" t="e">
        <f>IF(DSSP!#REF!,"AAAAAF/V/kc=",0)</f>
        <v>#REF!</v>
      </c>
      <c r="BU22" t="e">
        <f>AND(DSSP!#REF!,"AAAAAF/V/kg=")</f>
        <v>#REF!</v>
      </c>
      <c r="BV22" t="e">
        <f>AND(DSSP!#REF!,"AAAAAF/V/kk=")</f>
        <v>#REF!</v>
      </c>
      <c r="BW22" t="e">
        <f>AND(DSSP!#REF!,"AAAAAF/V/ko=")</f>
        <v>#REF!</v>
      </c>
      <c r="BX22" t="e">
        <f>AND(DSSP!#REF!,"AAAAAF/V/ks=")</f>
        <v>#REF!</v>
      </c>
      <c r="BY22" t="e">
        <f>IF(DSSP!#REF!,"AAAAAF/V/kw=",0)</f>
        <v>#REF!</v>
      </c>
      <c r="BZ22" t="e">
        <f>AND(DSSP!#REF!,"AAAAAF/V/k0=")</f>
        <v>#REF!</v>
      </c>
      <c r="CA22" t="e">
        <f>AND(DSSP!#REF!,"AAAAAF/V/k4=")</f>
        <v>#REF!</v>
      </c>
      <c r="CB22" t="e">
        <f>AND(DSSP!#REF!,"AAAAAF/V/k8=")</f>
        <v>#REF!</v>
      </c>
      <c r="CC22" t="e">
        <f>AND(DSSP!#REF!,"AAAAAF/V/lA=")</f>
        <v>#REF!</v>
      </c>
      <c r="CD22" t="e">
        <f>IF(DSSP!#REF!,"AAAAAF/V/lE=",0)</f>
        <v>#REF!</v>
      </c>
      <c r="CE22" t="e">
        <f>AND(DSSP!#REF!,"AAAAAF/V/lI=")</f>
        <v>#REF!</v>
      </c>
      <c r="CF22" t="e">
        <f>AND(DSSP!#REF!,"AAAAAF/V/lM=")</f>
        <v>#REF!</v>
      </c>
      <c r="CG22" t="e">
        <f>AND(DSSP!#REF!,"AAAAAF/V/lQ=")</f>
        <v>#REF!</v>
      </c>
      <c r="CH22" t="e">
        <f>AND(DSSP!#REF!,"AAAAAF/V/lU=")</f>
        <v>#REF!</v>
      </c>
      <c r="CI22" t="e">
        <f>IF(DSSP!#REF!,"AAAAAF/V/lY=",0)</f>
        <v>#REF!</v>
      </c>
      <c r="CJ22" t="e">
        <f>AND(DSSP!#REF!,"AAAAAF/V/lc=")</f>
        <v>#REF!</v>
      </c>
      <c r="CK22" t="e">
        <f>AND(DSSP!#REF!,"AAAAAF/V/lg=")</f>
        <v>#REF!</v>
      </c>
      <c r="CL22" t="e">
        <f>AND(DSSP!#REF!,"AAAAAF/V/lk=")</f>
        <v>#REF!</v>
      </c>
      <c r="CM22" t="e">
        <f>AND(DSSP!#REF!,"AAAAAF/V/lo=")</f>
        <v>#REF!</v>
      </c>
      <c r="CN22" t="e">
        <f>IF(DSSP!#REF!,"AAAAAF/V/ls=",0)</f>
        <v>#REF!</v>
      </c>
      <c r="CO22" t="e">
        <f>AND(DSSP!#REF!,"AAAAAF/V/lw=")</f>
        <v>#REF!</v>
      </c>
      <c r="CP22" t="e">
        <f>AND(DSSP!#REF!,"AAAAAF/V/l0=")</f>
        <v>#REF!</v>
      </c>
      <c r="CQ22" t="e">
        <f>AND(DSSP!#REF!,"AAAAAF/V/l4=")</f>
        <v>#REF!</v>
      </c>
      <c r="CR22" t="e">
        <f>AND(DSSP!#REF!,"AAAAAF/V/l8=")</f>
        <v>#REF!</v>
      </c>
      <c r="CS22" t="e">
        <f>IF(DSSP!#REF!,"AAAAAF/V/mA=",0)</f>
        <v>#REF!</v>
      </c>
      <c r="CT22" t="e">
        <f>AND(DSSP!#REF!,"AAAAAF/V/mE=")</f>
        <v>#REF!</v>
      </c>
      <c r="CU22" t="e">
        <f>AND(DSSP!#REF!,"AAAAAF/V/mI=")</f>
        <v>#REF!</v>
      </c>
      <c r="CV22" t="e">
        <f>AND(DSSP!#REF!,"AAAAAF/V/mM=")</f>
        <v>#REF!</v>
      </c>
      <c r="CW22" t="e">
        <f>AND(DSSP!#REF!,"AAAAAF/V/mQ=")</f>
        <v>#REF!</v>
      </c>
      <c r="CX22" t="e">
        <f>IF(DSSP!#REF!,"AAAAAF/V/mU=",0)</f>
        <v>#REF!</v>
      </c>
      <c r="CY22" t="e">
        <f>AND(DSSP!#REF!,"AAAAAF/V/mY=")</f>
        <v>#REF!</v>
      </c>
      <c r="CZ22" t="e">
        <f>AND(DSSP!#REF!,"AAAAAF/V/mc=")</f>
        <v>#REF!</v>
      </c>
      <c r="DA22" t="e">
        <f>AND(DSSP!#REF!,"AAAAAF/V/mg=")</f>
        <v>#REF!</v>
      </c>
      <c r="DB22" t="e">
        <f>AND(DSSP!#REF!,"AAAAAF/V/mk=")</f>
        <v>#REF!</v>
      </c>
      <c r="DC22" t="e">
        <f>IF(DSSP!#REF!,"AAAAAF/V/mo=",0)</f>
        <v>#REF!</v>
      </c>
      <c r="DD22" t="e">
        <f>AND(DSSP!#REF!,"AAAAAF/V/ms=")</f>
        <v>#REF!</v>
      </c>
      <c r="DE22" t="e">
        <f>AND(DSSP!#REF!,"AAAAAF/V/mw=")</f>
        <v>#REF!</v>
      </c>
      <c r="DF22" t="e">
        <f>AND(DSSP!#REF!,"AAAAAF/V/m0=")</f>
        <v>#REF!</v>
      </c>
      <c r="DG22" t="e">
        <f>AND(DSSP!#REF!,"AAAAAF/V/m4=")</f>
        <v>#REF!</v>
      </c>
      <c r="DH22" t="e">
        <f>IF(DSSP!#REF!,"AAAAAF/V/m8=",0)</f>
        <v>#REF!</v>
      </c>
      <c r="DI22" t="e">
        <f>AND(DSSP!#REF!,"AAAAAF/V/nA=")</f>
        <v>#REF!</v>
      </c>
      <c r="DJ22" t="e">
        <f>AND(DSSP!#REF!,"AAAAAF/V/nE=")</f>
        <v>#REF!</v>
      </c>
      <c r="DK22" t="e">
        <f>AND(DSSP!#REF!,"AAAAAF/V/nI=")</f>
        <v>#REF!</v>
      </c>
      <c r="DL22" t="e">
        <f>AND(DSSP!#REF!,"AAAAAF/V/nM=")</f>
        <v>#REF!</v>
      </c>
      <c r="DM22" t="e">
        <f>IF(DSSP!#REF!,"AAAAAF/V/nQ=",0)</f>
        <v>#REF!</v>
      </c>
      <c r="DN22" t="e">
        <f>AND(DSSP!#REF!,"AAAAAF/V/nU=")</f>
        <v>#REF!</v>
      </c>
      <c r="DO22" t="e">
        <f>AND(DSSP!#REF!,"AAAAAF/V/nY=")</f>
        <v>#REF!</v>
      </c>
      <c r="DP22" t="e">
        <f>AND(DSSP!#REF!,"AAAAAF/V/nc=")</f>
        <v>#REF!</v>
      </c>
      <c r="DQ22" t="e">
        <f>AND(DSSP!#REF!,"AAAAAF/V/ng=")</f>
        <v>#REF!</v>
      </c>
      <c r="DR22" t="e">
        <f>IF(DSSP!#REF!,"AAAAAF/V/nk=",0)</f>
        <v>#REF!</v>
      </c>
      <c r="DS22" t="e">
        <f>AND(DSSP!#REF!,"AAAAAF/V/no=")</f>
        <v>#REF!</v>
      </c>
      <c r="DT22" t="e">
        <f>AND(DSSP!#REF!,"AAAAAF/V/ns=")</f>
        <v>#REF!</v>
      </c>
      <c r="DU22" t="e">
        <f>AND(DSSP!#REF!,"AAAAAF/V/nw=")</f>
        <v>#REF!</v>
      </c>
      <c r="DV22" t="e">
        <f>AND(DSSP!#REF!,"AAAAAF/V/n0=")</f>
        <v>#REF!</v>
      </c>
      <c r="DW22" t="e">
        <f>IF(DSSP!#REF!,"AAAAAF/V/n4=",0)</f>
        <v>#REF!</v>
      </c>
      <c r="DX22" t="e">
        <f>AND(DSSP!#REF!,"AAAAAF/V/n8=")</f>
        <v>#REF!</v>
      </c>
      <c r="DY22" t="e">
        <f>AND(DSSP!#REF!,"AAAAAF/V/oA=")</f>
        <v>#REF!</v>
      </c>
      <c r="DZ22" t="e">
        <f>AND(DSSP!#REF!,"AAAAAF/V/oE=")</f>
        <v>#REF!</v>
      </c>
      <c r="EA22" t="e">
        <f>AND(DSSP!#REF!,"AAAAAF/V/oI=")</f>
        <v>#REF!</v>
      </c>
      <c r="EB22" t="e">
        <f>IF(DSSP!#REF!,"AAAAAF/V/oM=",0)</f>
        <v>#REF!</v>
      </c>
      <c r="EC22" t="e">
        <f>AND(DSSP!#REF!,"AAAAAF/V/oQ=")</f>
        <v>#REF!</v>
      </c>
      <c r="ED22" t="e">
        <f>AND(DSSP!#REF!,"AAAAAF/V/oU=")</f>
        <v>#REF!</v>
      </c>
      <c r="EE22" t="e">
        <f>AND(DSSP!#REF!,"AAAAAF/V/oY=")</f>
        <v>#REF!</v>
      </c>
      <c r="EF22" t="e">
        <f>AND(DSSP!#REF!,"AAAAAF/V/oc=")</f>
        <v>#REF!</v>
      </c>
      <c r="EG22" t="e">
        <f>IF(DSSP!#REF!,"AAAAAF/V/og=",0)</f>
        <v>#REF!</v>
      </c>
      <c r="EH22" t="e">
        <f>AND(DSSP!#REF!,"AAAAAF/V/ok=")</f>
        <v>#REF!</v>
      </c>
      <c r="EI22" t="e">
        <f>AND(DSSP!#REF!,"AAAAAF/V/oo=")</f>
        <v>#REF!</v>
      </c>
      <c r="EJ22" t="e">
        <f>AND(DSSP!#REF!,"AAAAAF/V/os=")</f>
        <v>#REF!</v>
      </c>
      <c r="EK22" t="e">
        <f>AND(DSSP!#REF!,"AAAAAF/V/ow=")</f>
        <v>#REF!</v>
      </c>
      <c r="EL22" t="e">
        <f>IF(DSSP!#REF!,"AAAAAF/V/o0=",0)</f>
        <v>#REF!</v>
      </c>
      <c r="EM22" t="e">
        <f>AND(DSSP!#REF!,"AAAAAF/V/o4=")</f>
        <v>#REF!</v>
      </c>
      <c r="EN22" t="e">
        <f>AND(DSSP!#REF!,"AAAAAF/V/o8=")</f>
        <v>#REF!</v>
      </c>
      <c r="EO22" t="e">
        <f>AND(DSSP!#REF!,"AAAAAF/V/pA=")</f>
        <v>#REF!</v>
      </c>
      <c r="EP22" t="e">
        <f>AND(DSSP!#REF!,"AAAAAF/V/pE=")</f>
        <v>#REF!</v>
      </c>
      <c r="EQ22" t="e">
        <f>IF(DSSP!#REF!,"AAAAAF/V/pI=",0)</f>
        <v>#REF!</v>
      </c>
      <c r="ER22" t="e">
        <f>AND(DSSP!#REF!,"AAAAAF/V/pM=")</f>
        <v>#REF!</v>
      </c>
      <c r="ES22" t="e">
        <f>AND(DSSP!#REF!,"AAAAAF/V/pQ=")</f>
        <v>#REF!</v>
      </c>
      <c r="ET22" t="e">
        <f>AND(DSSP!#REF!,"AAAAAF/V/pU=")</f>
        <v>#REF!</v>
      </c>
      <c r="EU22" t="e">
        <f>AND(DSSP!#REF!,"AAAAAF/V/pY=")</f>
        <v>#REF!</v>
      </c>
      <c r="EV22" t="e">
        <f>IF(DSSP!#REF!,"AAAAAF/V/pc=",0)</f>
        <v>#REF!</v>
      </c>
      <c r="EW22" t="e">
        <f>AND(DSSP!#REF!,"AAAAAF/V/pg=")</f>
        <v>#REF!</v>
      </c>
      <c r="EX22" t="e">
        <f>AND(DSSP!#REF!,"AAAAAF/V/pk=")</f>
        <v>#REF!</v>
      </c>
      <c r="EY22" t="e">
        <f>AND(DSSP!#REF!,"AAAAAF/V/po=")</f>
        <v>#REF!</v>
      </c>
      <c r="EZ22" t="e">
        <f>AND(DSSP!#REF!,"AAAAAF/V/ps=")</f>
        <v>#REF!</v>
      </c>
      <c r="FA22" t="e">
        <f>IF(DSSP!#REF!,"AAAAAF/V/pw=",0)</f>
        <v>#REF!</v>
      </c>
      <c r="FB22" t="e">
        <f>AND(DSSP!#REF!,"AAAAAF/V/p0=")</f>
        <v>#REF!</v>
      </c>
      <c r="FC22" t="e">
        <f>AND(DSSP!#REF!,"AAAAAF/V/p4=")</f>
        <v>#REF!</v>
      </c>
      <c r="FD22" t="e">
        <f>AND(DSSP!#REF!,"AAAAAF/V/p8=")</f>
        <v>#REF!</v>
      </c>
      <c r="FE22" t="e">
        <f>AND(DSSP!#REF!,"AAAAAF/V/qA=")</f>
        <v>#REF!</v>
      </c>
      <c r="FF22" t="e">
        <f>IF(DSSP!#REF!,"AAAAAF/V/qE=",0)</f>
        <v>#REF!</v>
      </c>
      <c r="FG22" t="e">
        <f>AND(DSSP!#REF!,"AAAAAF/V/qI=")</f>
        <v>#REF!</v>
      </c>
      <c r="FH22" t="e">
        <f>AND(DSSP!#REF!,"AAAAAF/V/qM=")</f>
        <v>#REF!</v>
      </c>
      <c r="FI22" t="e">
        <f>AND(DSSP!#REF!,"AAAAAF/V/qQ=")</f>
        <v>#REF!</v>
      </c>
      <c r="FJ22" t="e">
        <f>AND(DSSP!#REF!,"AAAAAF/V/qU=")</f>
        <v>#REF!</v>
      </c>
      <c r="FK22" t="e">
        <f>IF(DSSP!#REF!,"AAAAAF/V/qY=",0)</f>
        <v>#REF!</v>
      </c>
      <c r="FL22" t="e">
        <f>AND(DSSP!#REF!,"AAAAAF/V/qc=")</f>
        <v>#REF!</v>
      </c>
      <c r="FM22" t="e">
        <f>AND(DSSP!#REF!,"AAAAAF/V/qg=")</f>
        <v>#REF!</v>
      </c>
      <c r="FN22" t="e">
        <f>AND(DSSP!#REF!,"AAAAAF/V/qk=")</f>
        <v>#REF!</v>
      </c>
      <c r="FO22" t="e">
        <f>AND(DSSP!#REF!,"AAAAAF/V/qo=")</f>
        <v>#REF!</v>
      </c>
      <c r="FP22" t="e">
        <f>IF(DSSP!#REF!,"AAAAAF/V/qs=",0)</f>
        <v>#REF!</v>
      </c>
      <c r="FQ22" t="e">
        <f>AND(DSSP!#REF!,"AAAAAF/V/qw=")</f>
        <v>#REF!</v>
      </c>
      <c r="FR22" t="e">
        <f>AND(DSSP!#REF!,"AAAAAF/V/q0=")</f>
        <v>#REF!</v>
      </c>
      <c r="FS22" t="e">
        <f>AND(DSSP!#REF!,"AAAAAF/V/q4=")</f>
        <v>#REF!</v>
      </c>
      <c r="FT22" t="e">
        <f>AND(DSSP!#REF!,"AAAAAF/V/q8=")</f>
        <v>#REF!</v>
      </c>
      <c r="FU22" t="e">
        <f>IF(DSSP!#REF!,"AAAAAF/V/rA=",0)</f>
        <v>#REF!</v>
      </c>
      <c r="FV22" t="e">
        <f>AND(DSSP!#REF!,"AAAAAF/V/rE=")</f>
        <v>#REF!</v>
      </c>
      <c r="FW22" t="e">
        <f>AND(DSSP!#REF!,"AAAAAF/V/rI=")</f>
        <v>#REF!</v>
      </c>
      <c r="FX22" t="e">
        <f>AND(DSSP!#REF!,"AAAAAF/V/rM=")</f>
        <v>#REF!</v>
      </c>
      <c r="FY22" t="e">
        <f>AND(DSSP!#REF!,"AAAAAF/V/rQ=")</f>
        <v>#REF!</v>
      </c>
      <c r="FZ22" t="e">
        <f>IF(DSSP!#REF!,"AAAAAF/V/rU=",0)</f>
        <v>#REF!</v>
      </c>
      <c r="GA22" t="e">
        <f>AND(DSSP!#REF!,"AAAAAF/V/rY=")</f>
        <v>#REF!</v>
      </c>
      <c r="GB22" t="e">
        <f>AND(DSSP!#REF!,"AAAAAF/V/rc=")</f>
        <v>#REF!</v>
      </c>
      <c r="GC22" t="e">
        <f>AND(DSSP!#REF!,"AAAAAF/V/rg=")</f>
        <v>#REF!</v>
      </c>
      <c r="GD22" t="e">
        <f>AND(DSSP!#REF!,"AAAAAF/V/rk=")</f>
        <v>#REF!</v>
      </c>
      <c r="GE22" t="e">
        <f>IF(DSSP!#REF!,"AAAAAF/V/ro=",0)</f>
        <v>#REF!</v>
      </c>
      <c r="GF22" t="e">
        <f>AND(DSSP!#REF!,"AAAAAF/V/rs=")</f>
        <v>#REF!</v>
      </c>
      <c r="GG22" t="e">
        <f>AND(DSSP!#REF!,"AAAAAF/V/rw=")</f>
        <v>#REF!</v>
      </c>
      <c r="GH22" t="e">
        <f>AND(DSSP!#REF!,"AAAAAF/V/r0=")</f>
        <v>#REF!</v>
      </c>
      <c r="GI22" t="e">
        <f>AND(DSSP!#REF!,"AAAAAF/V/r4=")</f>
        <v>#REF!</v>
      </c>
      <c r="GJ22" t="e">
        <f>IF(DSSP!#REF!,"AAAAAF/V/r8=",0)</f>
        <v>#REF!</v>
      </c>
      <c r="GK22" t="e">
        <f>AND(DSSP!#REF!,"AAAAAF/V/sA=")</f>
        <v>#REF!</v>
      </c>
      <c r="GL22" t="e">
        <f>AND(DSSP!#REF!,"AAAAAF/V/sE=")</f>
        <v>#REF!</v>
      </c>
      <c r="GM22" t="e">
        <f>AND(DSSP!#REF!,"AAAAAF/V/sI=")</f>
        <v>#REF!</v>
      </c>
      <c r="GN22" t="e">
        <f>AND(DSSP!#REF!,"AAAAAF/V/sM=")</f>
        <v>#REF!</v>
      </c>
      <c r="GO22" t="e">
        <f>IF(DSSP!#REF!,"AAAAAF/V/sQ=",0)</f>
        <v>#REF!</v>
      </c>
      <c r="GP22" t="e">
        <f>AND(DSSP!#REF!,"AAAAAF/V/sU=")</f>
        <v>#REF!</v>
      </c>
      <c r="GQ22" t="e">
        <f>AND(DSSP!#REF!,"AAAAAF/V/sY=")</f>
        <v>#REF!</v>
      </c>
      <c r="GR22" t="e">
        <f>AND(DSSP!#REF!,"AAAAAF/V/sc=")</f>
        <v>#REF!</v>
      </c>
      <c r="GS22" t="e">
        <f>AND(DSSP!#REF!,"AAAAAF/V/sg=")</f>
        <v>#REF!</v>
      </c>
      <c r="GT22" t="e">
        <f>IF(DSSP!#REF!,"AAAAAF/V/sk=",0)</f>
        <v>#REF!</v>
      </c>
      <c r="GU22" t="e">
        <f>AND(DSSP!#REF!,"AAAAAF/V/so=")</f>
        <v>#REF!</v>
      </c>
      <c r="GV22" t="e">
        <f>AND(DSSP!#REF!,"AAAAAF/V/ss=")</f>
        <v>#REF!</v>
      </c>
      <c r="GW22" t="e">
        <f>AND(DSSP!#REF!,"AAAAAF/V/sw=")</f>
        <v>#REF!</v>
      </c>
      <c r="GX22" t="e">
        <f>AND(DSSP!#REF!,"AAAAAF/V/s0=")</f>
        <v>#REF!</v>
      </c>
      <c r="GY22" t="e">
        <f>IF(DSSP!#REF!,"AAAAAF/V/s4=",0)</f>
        <v>#REF!</v>
      </c>
      <c r="GZ22" t="e">
        <f>AND(DSSP!#REF!,"AAAAAF/V/s8=")</f>
        <v>#REF!</v>
      </c>
      <c r="HA22" t="e">
        <f>AND(DSSP!#REF!,"AAAAAF/V/tA=")</f>
        <v>#REF!</v>
      </c>
      <c r="HB22" t="e">
        <f>AND(DSSP!#REF!,"AAAAAF/V/tE=")</f>
        <v>#REF!</v>
      </c>
      <c r="HC22" t="e">
        <f>AND(DSSP!#REF!,"AAAAAF/V/tI=")</f>
        <v>#REF!</v>
      </c>
      <c r="HD22" t="e">
        <f>IF(DSSP!#REF!,"AAAAAF/V/tM=",0)</f>
        <v>#REF!</v>
      </c>
      <c r="HE22" t="e">
        <f>AND(DSSP!#REF!,"AAAAAF/V/tQ=")</f>
        <v>#REF!</v>
      </c>
      <c r="HF22" t="e">
        <f>AND(DSSP!#REF!,"AAAAAF/V/tU=")</f>
        <v>#REF!</v>
      </c>
      <c r="HG22" t="e">
        <f>AND(DSSP!#REF!,"AAAAAF/V/tY=")</f>
        <v>#REF!</v>
      </c>
      <c r="HH22" t="e">
        <f>AND(DSSP!#REF!,"AAAAAF/V/tc=")</f>
        <v>#REF!</v>
      </c>
      <c r="HI22" t="e">
        <f>IF(DSSP!#REF!,"AAAAAF/V/tg=",0)</f>
        <v>#REF!</v>
      </c>
      <c r="HJ22" t="e">
        <f>AND(DSSP!#REF!,"AAAAAF/V/tk=")</f>
        <v>#REF!</v>
      </c>
      <c r="HK22" t="e">
        <f>AND(DSSP!#REF!,"AAAAAF/V/to=")</f>
        <v>#REF!</v>
      </c>
      <c r="HL22" t="e">
        <f>AND(DSSP!#REF!,"AAAAAF/V/ts=")</f>
        <v>#REF!</v>
      </c>
      <c r="HM22" t="e">
        <f>AND(DSSP!#REF!,"AAAAAF/V/tw=")</f>
        <v>#REF!</v>
      </c>
      <c r="HN22" t="e">
        <f>IF(DSSP!#REF!,"AAAAAF/V/t0=",0)</f>
        <v>#REF!</v>
      </c>
      <c r="HO22" t="e">
        <f>AND(DSSP!#REF!,"AAAAAF/V/t4=")</f>
        <v>#REF!</v>
      </c>
      <c r="HP22" t="e">
        <f>AND(DSSP!#REF!,"AAAAAF/V/t8=")</f>
        <v>#REF!</v>
      </c>
      <c r="HQ22" t="e">
        <f>AND(DSSP!#REF!,"AAAAAF/V/uA=")</f>
        <v>#REF!</v>
      </c>
      <c r="HR22" t="e">
        <f>AND(DSSP!#REF!,"AAAAAF/V/uE=")</f>
        <v>#REF!</v>
      </c>
      <c r="HS22" t="e">
        <f>IF(DSSP!#REF!,"AAAAAF/V/uI=",0)</f>
        <v>#REF!</v>
      </c>
      <c r="HT22" t="e">
        <f>AND(DSSP!#REF!,"AAAAAF/V/uM=")</f>
        <v>#REF!</v>
      </c>
      <c r="HU22" t="e">
        <f>AND(DSSP!#REF!,"AAAAAF/V/uQ=")</f>
        <v>#REF!</v>
      </c>
      <c r="HV22" t="e">
        <f>AND(DSSP!#REF!,"AAAAAF/V/uU=")</f>
        <v>#REF!</v>
      </c>
      <c r="HW22" t="e">
        <f>AND(DSSP!#REF!,"AAAAAF/V/uY=")</f>
        <v>#REF!</v>
      </c>
      <c r="HX22" t="e">
        <f>IF(DSSP!#REF!,"AAAAAF/V/uc=",0)</f>
        <v>#REF!</v>
      </c>
      <c r="HY22" t="e">
        <f>AND(DSSP!#REF!,"AAAAAF/V/ug=")</f>
        <v>#REF!</v>
      </c>
      <c r="HZ22" t="e">
        <f>AND(DSSP!#REF!,"AAAAAF/V/uk=")</f>
        <v>#REF!</v>
      </c>
      <c r="IA22" t="e">
        <f>AND(DSSP!#REF!,"AAAAAF/V/uo=")</f>
        <v>#REF!</v>
      </c>
      <c r="IB22" t="e">
        <f>AND(DSSP!#REF!,"AAAAAF/V/us=")</f>
        <v>#REF!</v>
      </c>
      <c r="IC22" t="e">
        <f>IF(DSSP!#REF!,"AAAAAF/V/uw=",0)</f>
        <v>#REF!</v>
      </c>
      <c r="ID22" t="e">
        <f>AND(DSSP!#REF!,"AAAAAF/V/u0=")</f>
        <v>#REF!</v>
      </c>
      <c r="IE22" t="e">
        <f>AND(DSSP!#REF!,"AAAAAF/V/u4=")</f>
        <v>#REF!</v>
      </c>
      <c r="IF22" t="e">
        <f>AND(DSSP!#REF!,"AAAAAF/V/u8=")</f>
        <v>#REF!</v>
      </c>
      <c r="IG22" t="e">
        <f>AND(DSSP!#REF!,"AAAAAF/V/vA=")</f>
        <v>#REF!</v>
      </c>
      <c r="IH22" t="e">
        <f>IF(DSSP!#REF!,"AAAAAF/V/vE=",0)</f>
        <v>#REF!</v>
      </c>
      <c r="II22" t="e">
        <f>AND(DSSP!#REF!,"AAAAAF/V/vI=")</f>
        <v>#REF!</v>
      </c>
      <c r="IJ22" t="e">
        <f>AND(DSSP!#REF!,"AAAAAF/V/vM=")</f>
        <v>#REF!</v>
      </c>
      <c r="IK22" t="e">
        <f>AND(DSSP!#REF!,"AAAAAF/V/vQ=")</f>
        <v>#REF!</v>
      </c>
      <c r="IL22" t="e">
        <f>AND(DSSP!#REF!,"AAAAAF/V/vU=")</f>
        <v>#REF!</v>
      </c>
      <c r="IM22" t="e">
        <f>IF(DSSP!#REF!,"AAAAAF/V/vY=",0)</f>
        <v>#REF!</v>
      </c>
      <c r="IN22" t="e">
        <f>AND(DSSP!#REF!,"AAAAAF/V/vc=")</f>
        <v>#REF!</v>
      </c>
      <c r="IO22" t="e">
        <f>AND(DSSP!#REF!,"AAAAAF/V/vg=")</f>
        <v>#REF!</v>
      </c>
      <c r="IP22" t="e">
        <f>AND(DSSP!#REF!,"AAAAAF/V/vk=")</f>
        <v>#REF!</v>
      </c>
      <c r="IQ22" t="e">
        <f>AND(DSSP!#REF!,"AAAAAF/V/vo=")</f>
        <v>#REF!</v>
      </c>
      <c r="IR22" t="e">
        <f>IF(DSSP!#REF!,"AAAAAF/V/vs=",0)</f>
        <v>#REF!</v>
      </c>
      <c r="IS22" t="e">
        <f>AND(DSSP!#REF!,"AAAAAF/V/vw=")</f>
        <v>#REF!</v>
      </c>
      <c r="IT22" t="e">
        <f>AND(DSSP!#REF!,"AAAAAF/V/v0=")</f>
        <v>#REF!</v>
      </c>
      <c r="IU22" t="e">
        <f>AND(DSSP!#REF!,"AAAAAF/V/v4=")</f>
        <v>#REF!</v>
      </c>
      <c r="IV22" t="e">
        <f>AND(DSSP!#REF!,"AAAAAF/V/v8=")</f>
        <v>#REF!</v>
      </c>
    </row>
    <row r="23" spans="1:256">
      <c r="A23" t="e">
        <f>IF(DSSP!#REF!,"AAAAAHdu/wA=",0)</f>
        <v>#REF!</v>
      </c>
      <c r="B23" t="e">
        <f>AND(DSSP!#REF!,"AAAAAHdu/wE=")</f>
        <v>#REF!</v>
      </c>
      <c r="C23" t="e">
        <f>AND(DSSP!#REF!,"AAAAAHdu/wI=")</f>
        <v>#REF!</v>
      </c>
      <c r="D23" t="e">
        <f>AND(DSSP!#REF!,"AAAAAHdu/wM=")</f>
        <v>#REF!</v>
      </c>
      <c r="E23" t="e">
        <f>AND(DSSP!#REF!,"AAAAAHdu/wQ=")</f>
        <v>#REF!</v>
      </c>
      <c r="F23" t="e">
        <f>IF(DSSP!#REF!,"AAAAAHdu/wU=",0)</f>
        <v>#REF!</v>
      </c>
      <c r="G23" t="e">
        <f>AND(DSSP!#REF!,"AAAAAHdu/wY=")</f>
        <v>#REF!</v>
      </c>
      <c r="H23" t="e">
        <f>AND(DSSP!#REF!,"AAAAAHdu/wc=")</f>
        <v>#REF!</v>
      </c>
      <c r="I23" t="e">
        <f>AND(DSSP!#REF!,"AAAAAHdu/wg=")</f>
        <v>#REF!</v>
      </c>
      <c r="J23" t="e">
        <f>AND(DSSP!#REF!,"AAAAAHdu/wk=")</f>
        <v>#REF!</v>
      </c>
      <c r="K23" t="e">
        <f>IF(DSSP!#REF!,"AAAAAHdu/wo=",0)</f>
        <v>#REF!</v>
      </c>
      <c r="L23" t="e">
        <f>AND(DSSP!#REF!,"AAAAAHdu/ws=")</f>
        <v>#REF!</v>
      </c>
      <c r="M23" t="e">
        <f>AND(DSSP!#REF!,"AAAAAHdu/ww=")</f>
        <v>#REF!</v>
      </c>
      <c r="N23" t="e">
        <f>AND(DSSP!#REF!,"AAAAAHdu/w0=")</f>
        <v>#REF!</v>
      </c>
      <c r="O23" t="e">
        <f>AND(DSSP!#REF!,"AAAAAHdu/w4=")</f>
        <v>#REF!</v>
      </c>
      <c r="P23" t="e">
        <f>IF(DSSP!#REF!,"AAAAAHdu/w8=",0)</f>
        <v>#REF!</v>
      </c>
      <c r="Q23" t="e">
        <f>AND(DSSP!#REF!,"AAAAAHdu/xA=")</f>
        <v>#REF!</v>
      </c>
      <c r="R23" t="e">
        <f>AND(DSSP!#REF!,"AAAAAHdu/xE=")</f>
        <v>#REF!</v>
      </c>
      <c r="S23" t="e">
        <f>AND(DSSP!#REF!,"AAAAAHdu/xI=")</f>
        <v>#REF!</v>
      </c>
      <c r="T23" t="e">
        <f>AND(DSSP!#REF!,"AAAAAHdu/xM=")</f>
        <v>#REF!</v>
      </c>
      <c r="U23" t="e">
        <f>IF(DSSP!#REF!,"AAAAAHdu/xQ=",0)</f>
        <v>#REF!</v>
      </c>
      <c r="V23" t="e">
        <f>AND(DSSP!#REF!,"AAAAAHdu/xU=")</f>
        <v>#REF!</v>
      </c>
      <c r="W23" t="e">
        <f>AND(DSSP!#REF!,"AAAAAHdu/xY=")</f>
        <v>#REF!</v>
      </c>
      <c r="X23" t="e">
        <f>AND(DSSP!#REF!,"AAAAAHdu/xc=")</f>
        <v>#REF!</v>
      </c>
      <c r="Y23" t="e">
        <f>AND(DSSP!#REF!,"AAAAAHdu/xg=")</f>
        <v>#REF!</v>
      </c>
      <c r="Z23" t="e">
        <f>IF(DSSP!#REF!,"AAAAAHdu/xk=",0)</f>
        <v>#REF!</v>
      </c>
      <c r="AA23" t="e">
        <f>AND(DSSP!#REF!,"AAAAAHdu/xo=")</f>
        <v>#REF!</v>
      </c>
      <c r="AB23" t="e">
        <f>AND(DSSP!#REF!,"AAAAAHdu/xs=")</f>
        <v>#REF!</v>
      </c>
      <c r="AC23" t="e">
        <f>AND(DSSP!#REF!,"AAAAAHdu/xw=")</f>
        <v>#REF!</v>
      </c>
      <c r="AD23" t="e">
        <f>AND(DSSP!#REF!,"AAAAAHdu/x0=")</f>
        <v>#REF!</v>
      </c>
      <c r="AE23" t="e">
        <f>IF(DSSP!#REF!,"AAAAAHdu/x4=",0)</f>
        <v>#REF!</v>
      </c>
      <c r="AF23" t="e">
        <f>AND(DSSP!#REF!,"AAAAAHdu/x8=")</f>
        <v>#REF!</v>
      </c>
      <c r="AG23" t="e">
        <f>AND(DSSP!#REF!,"AAAAAHdu/yA=")</f>
        <v>#REF!</v>
      </c>
      <c r="AH23" t="e">
        <f>AND(DSSP!#REF!,"AAAAAHdu/yE=")</f>
        <v>#REF!</v>
      </c>
      <c r="AI23" t="e">
        <f>AND(DSSP!#REF!,"AAAAAHdu/yI=")</f>
        <v>#REF!</v>
      </c>
      <c r="AJ23" t="e">
        <f>IF(DSSP!#REF!,"AAAAAHdu/yM=",0)</f>
        <v>#REF!</v>
      </c>
      <c r="AK23" t="e">
        <f>AND(DSSP!#REF!,"AAAAAHdu/yQ=")</f>
        <v>#REF!</v>
      </c>
      <c r="AL23" t="e">
        <f>AND(DSSP!#REF!,"AAAAAHdu/yU=")</f>
        <v>#REF!</v>
      </c>
      <c r="AM23" t="e">
        <f>AND(DSSP!#REF!,"AAAAAHdu/yY=")</f>
        <v>#REF!</v>
      </c>
      <c r="AN23" t="e">
        <f>AND(DSSP!#REF!,"AAAAAHdu/yc=")</f>
        <v>#REF!</v>
      </c>
      <c r="AO23" t="e">
        <f>IF(DSSP!#REF!,"AAAAAHdu/yg=",0)</f>
        <v>#REF!</v>
      </c>
      <c r="AP23" t="e">
        <f>AND(DSSP!#REF!,"AAAAAHdu/yk=")</f>
        <v>#REF!</v>
      </c>
      <c r="AQ23" t="e">
        <f>AND(DSSP!#REF!,"AAAAAHdu/yo=")</f>
        <v>#REF!</v>
      </c>
      <c r="AR23" t="e">
        <f>AND(DSSP!#REF!,"AAAAAHdu/ys=")</f>
        <v>#REF!</v>
      </c>
      <c r="AS23" t="e">
        <f>AND(DSSP!#REF!,"AAAAAHdu/yw=")</f>
        <v>#REF!</v>
      </c>
      <c r="AT23" t="e">
        <f>IF(DSSP!#REF!,"AAAAAHdu/y0=",0)</f>
        <v>#REF!</v>
      </c>
      <c r="AU23" t="e">
        <f>AND(DSSP!#REF!,"AAAAAHdu/y4=")</f>
        <v>#REF!</v>
      </c>
      <c r="AV23" t="e">
        <f>AND(DSSP!#REF!,"AAAAAHdu/y8=")</f>
        <v>#REF!</v>
      </c>
      <c r="AW23" t="e">
        <f>AND(DSSP!#REF!,"AAAAAHdu/zA=")</f>
        <v>#REF!</v>
      </c>
      <c r="AX23" t="e">
        <f>AND(DSSP!#REF!,"AAAAAHdu/zE=")</f>
        <v>#REF!</v>
      </c>
      <c r="AY23" t="e">
        <f>IF(DSSP!#REF!,"AAAAAHdu/zI=",0)</f>
        <v>#REF!</v>
      </c>
      <c r="AZ23" t="e">
        <f>AND(DSSP!#REF!,"AAAAAHdu/zM=")</f>
        <v>#REF!</v>
      </c>
      <c r="BA23" t="e">
        <f>AND(DSSP!#REF!,"AAAAAHdu/zQ=")</f>
        <v>#REF!</v>
      </c>
      <c r="BB23" t="e">
        <f>AND(DSSP!#REF!,"AAAAAHdu/zU=")</f>
        <v>#REF!</v>
      </c>
      <c r="BC23" t="e">
        <f>AND(DSSP!#REF!,"AAAAAHdu/zY=")</f>
        <v>#REF!</v>
      </c>
      <c r="BD23" t="e">
        <f>IF(DSSP!#REF!,"AAAAAHdu/zc=",0)</f>
        <v>#REF!</v>
      </c>
      <c r="BE23" t="e">
        <f>AND(DSSP!#REF!,"AAAAAHdu/zg=")</f>
        <v>#REF!</v>
      </c>
      <c r="BF23" t="e">
        <f>AND(DSSP!#REF!,"AAAAAHdu/zk=")</f>
        <v>#REF!</v>
      </c>
      <c r="BG23" t="e">
        <f>AND(DSSP!#REF!,"AAAAAHdu/zo=")</f>
        <v>#REF!</v>
      </c>
      <c r="BH23" t="e">
        <f>AND(DSSP!#REF!,"AAAAAHdu/zs=")</f>
        <v>#REF!</v>
      </c>
      <c r="BI23" t="e">
        <f>IF(DSSP!#REF!,"AAAAAHdu/zw=",0)</f>
        <v>#REF!</v>
      </c>
      <c r="BJ23" t="e">
        <f>AND(DSSP!#REF!,"AAAAAHdu/z0=")</f>
        <v>#REF!</v>
      </c>
      <c r="BK23" t="e">
        <f>AND(DSSP!#REF!,"AAAAAHdu/z4=")</f>
        <v>#REF!</v>
      </c>
      <c r="BL23" t="e">
        <f>AND(DSSP!#REF!,"AAAAAHdu/z8=")</f>
        <v>#REF!</v>
      </c>
      <c r="BM23" t="e">
        <f>AND(DSSP!#REF!,"AAAAAHdu/0A=")</f>
        <v>#REF!</v>
      </c>
      <c r="BN23" t="e">
        <f>IF(DSSP!#REF!,"AAAAAHdu/0E=",0)</f>
        <v>#REF!</v>
      </c>
      <c r="BO23" t="e">
        <f>AND(DSSP!#REF!,"AAAAAHdu/0I=")</f>
        <v>#REF!</v>
      </c>
      <c r="BP23" t="e">
        <f>AND(DSSP!#REF!,"AAAAAHdu/0M=")</f>
        <v>#REF!</v>
      </c>
      <c r="BQ23" t="e">
        <f>AND(DSSP!#REF!,"AAAAAHdu/0Q=")</f>
        <v>#REF!</v>
      </c>
      <c r="BR23" t="e">
        <f>AND(DSSP!#REF!,"AAAAAHdu/0U=")</f>
        <v>#REF!</v>
      </c>
      <c r="BS23" t="e">
        <f>IF(DSSP!#REF!,"AAAAAHdu/0Y=",0)</f>
        <v>#REF!</v>
      </c>
      <c r="BT23" t="e">
        <f>AND(DSSP!#REF!,"AAAAAHdu/0c=")</f>
        <v>#REF!</v>
      </c>
      <c r="BU23" t="e">
        <f>AND(DSSP!#REF!,"AAAAAHdu/0g=")</f>
        <v>#REF!</v>
      </c>
      <c r="BV23" t="e">
        <f>AND(DSSP!#REF!,"AAAAAHdu/0k=")</f>
        <v>#REF!</v>
      </c>
      <c r="BW23" t="e">
        <f>AND(DSSP!#REF!,"AAAAAHdu/0o=")</f>
        <v>#REF!</v>
      </c>
      <c r="BX23" t="e">
        <f>IF(DSSP!#REF!,"AAAAAHdu/0s=",0)</f>
        <v>#REF!</v>
      </c>
      <c r="BY23" t="e">
        <f>AND(DSSP!#REF!,"AAAAAHdu/0w=")</f>
        <v>#REF!</v>
      </c>
      <c r="BZ23" t="e">
        <f>AND(DSSP!#REF!,"AAAAAHdu/00=")</f>
        <v>#REF!</v>
      </c>
      <c r="CA23" t="e">
        <f>AND(DSSP!#REF!,"AAAAAHdu/04=")</f>
        <v>#REF!</v>
      </c>
      <c r="CB23" t="e">
        <f>AND(DSSP!#REF!,"AAAAAHdu/08=")</f>
        <v>#REF!</v>
      </c>
      <c r="CC23" t="e">
        <f>IF(DSSP!#REF!,"AAAAAHdu/1A=",0)</f>
        <v>#REF!</v>
      </c>
      <c r="CD23" t="e">
        <f>AND(DSSP!#REF!,"AAAAAHdu/1E=")</f>
        <v>#REF!</v>
      </c>
      <c r="CE23" t="e">
        <f>AND(DSSP!#REF!,"AAAAAHdu/1I=")</f>
        <v>#REF!</v>
      </c>
      <c r="CF23" t="e">
        <f>AND(DSSP!#REF!,"AAAAAHdu/1M=")</f>
        <v>#REF!</v>
      </c>
      <c r="CG23" t="e">
        <f>AND(DSSP!#REF!,"AAAAAHdu/1Q=")</f>
        <v>#REF!</v>
      </c>
      <c r="CH23" t="e">
        <f>IF(DSSP!#REF!,"AAAAAHdu/1U=",0)</f>
        <v>#REF!</v>
      </c>
      <c r="CI23" t="e">
        <f>AND(DSSP!#REF!,"AAAAAHdu/1Y=")</f>
        <v>#REF!</v>
      </c>
      <c r="CJ23" t="e">
        <f>AND(DSSP!#REF!,"AAAAAHdu/1c=")</f>
        <v>#REF!</v>
      </c>
      <c r="CK23" t="e">
        <f>AND(DSSP!#REF!,"AAAAAHdu/1g=")</f>
        <v>#REF!</v>
      </c>
      <c r="CL23" t="e">
        <f>AND(DSSP!#REF!,"AAAAAHdu/1k=")</f>
        <v>#REF!</v>
      </c>
      <c r="CM23" t="e">
        <f>IF(DSSP!#REF!,"AAAAAHdu/1o=",0)</f>
        <v>#REF!</v>
      </c>
      <c r="CN23" t="e">
        <f>AND(DSSP!#REF!,"AAAAAHdu/1s=")</f>
        <v>#REF!</v>
      </c>
      <c r="CO23" t="e">
        <f>AND(DSSP!#REF!,"AAAAAHdu/1w=")</f>
        <v>#REF!</v>
      </c>
      <c r="CP23" t="e">
        <f>AND(DSSP!#REF!,"AAAAAHdu/10=")</f>
        <v>#REF!</v>
      </c>
      <c r="CQ23" t="e">
        <f>AND(DSSP!#REF!,"AAAAAHdu/14=")</f>
        <v>#REF!</v>
      </c>
      <c r="CR23" t="e">
        <f>IF(DSSP!#REF!,"AAAAAHdu/18=",0)</f>
        <v>#REF!</v>
      </c>
      <c r="CS23" t="e">
        <f>AND(DSSP!#REF!,"AAAAAHdu/2A=")</f>
        <v>#REF!</v>
      </c>
      <c r="CT23" t="e">
        <f>AND(DSSP!#REF!,"AAAAAHdu/2E=")</f>
        <v>#REF!</v>
      </c>
      <c r="CU23" t="e">
        <f>AND(DSSP!#REF!,"AAAAAHdu/2I=")</f>
        <v>#REF!</v>
      </c>
      <c r="CV23" t="e">
        <f>AND(DSSP!#REF!,"AAAAAHdu/2M=")</f>
        <v>#REF!</v>
      </c>
      <c r="CW23" t="e">
        <f>IF(DSSP!#REF!,"AAAAAHdu/2Q=",0)</f>
        <v>#REF!</v>
      </c>
      <c r="CX23" t="e">
        <f>AND(DSSP!#REF!,"AAAAAHdu/2U=")</f>
        <v>#REF!</v>
      </c>
      <c r="CY23" t="e">
        <f>AND(DSSP!#REF!,"AAAAAHdu/2Y=")</f>
        <v>#REF!</v>
      </c>
      <c r="CZ23" t="e">
        <f>AND(DSSP!#REF!,"AAAAAHdu/2c=")</f>
        <v>#REF!</v>
      </c>
      <c r="DA23" t="e">
        <f>AND(DSSP!#REF!,"AAAAAHdu/2g=")</f>
        <v>#REF!</v>
      </c>
      <c r="DB23" t="e">
        <f>IF(DSSP!#REF!,"AAAAAHdu/2k=",0)</f>
        <v>#REF!</v>
      </c>
      <c r="DC23" t="e">
        <f>AND(DSSP!#REF!,"AAAAAHdu/2o=")</f>
        <v>#REF!</v>
      </c>
      <c r="DD23" t="e">
        <f>AND(DSSP!#REF!,"AAAAAHdu/2s=")</f>
        <v>#REF!</v>
      </c>
      <c r="DE23" t="e">
        <f>AND(DSSP!#REF!,"AAAAAHdu/2w=")</f>
        <v>#REF!</v>
      </c>
      <c r="DF23" t="e">
        <f>AND(DSSP!#REF!,"AAAAAHdu/20=")</f>
        <v>#REF!</v>
      </c>
      <c r="DG23" t="e">
        <f>IF(DSSP!#REF!,"AAAAAHdu/24=",0)</f>
        <v>#REF!</v>
      </c>
      <c r="DH23" t="e">
        <f>AND(DSSP!#REF!,"AAAAAHdu/28=")</f>
        <v>#REF!</v>
      </c>
      <c r="DI23" t="e">
        <f>AND(DSSP!#REF!,"AAAAAHdu/3A=")</f>
        <v>#REF!</v>
      </c>
      <c r="DJ23" t="e">
        <f>AND(DSSP!#REF!,"AAAAAHdu/3E=")</f>
        <v>#REF!</v>
      </c>
      <c r="DK23" t="e">
        <f>AND(DSSP!#REF!,"AAAAAHdu/3I=")</f>
        <v>#REF!</v>
      </c>
      <c r="DL23" t="e">
        <f>IF(DSSP!#REF!,"AAAAAHdu/3M=",0)</f>
        <v>#REF!</v>
      </c>
      <c r="DM23" t="e">
        <f>AND(DSSP!#REF!,"AAAAAHdu/3Q=")</f>
        <v>#REF!</v>
      </c>
      <c r="DN23" t="e">
        <f>AND(DSSP!#REF!,"AAAAAHdu/3U=")</f>
        <v>#REF!</v>
      </c>
      <c r="DO23" t="e">
        <f>AND(DSSP!#REF!,"AAAAAHdu/3Y=")</f>
        <v>#REF!</v>
      </c>
      <c r="DP23" t="e">
        <f>AND(DSSP!#REF!,"AAAAAHdu/3c=")</f>
        <v>#REF!</v>
      </c>
      <c r="DQ23" t="e">
        <f>IF(DSSP!#REF!,"AAAAAHdu/3g=",0)</f>
        <v>#REF!</v>
      </c>
      <c r="DR23" t="e">
        <f>AND(DSSP!#REF!,"AAAAAHdu/3k=")</f>
        <v>#REF!</v>
      </c>
      <c r="DS23" t="e">
        <f>AND(DSSP!#REF!,"AAAAAHdu/3o=")</f>
        <v>#REF!</v>
      </c>
      <c r="DT23" t="e">
        <f>AND(DSSP!#REF!,"AAAAAHdu/3s=")</f>
        <v>#REF!</v>
      </c>
      <c r="DU23" t="e">
        <f>AND(DSSP!#REF!,"AAAAAHdu/3w=")</f>
        <v>#REF!</v>
      </c>
      <c r="DV23" t="e">
        <f>IF(DSSP!#REF!,"AAAAAHdu/30=",0)</f>
        <v>#REF!</v>
      </c>
      <c r="DW23" t="e">
        <f>AND(DSSP!#REF!,"AAAAAHdu/34=")</f>
        <v>#REF!</v>
      </c>
      <c r="DX23" t="e">
        <f>AND(DSSP!#REF!,"AAAAAHdu/38=")</f>
        <v>#REF!</v>
      </c>
      <c r="DY23" t="e">
        <f>AND(DSSP!#REF!,"AAAAAHdu/4A=")</f>
        <v>#REF!</v>
      </c>
      <c r="DZ23" t="e">
        <f>AND(DSSP!#REF!,"AAAAAHdu/4E=")</f>
        <v>#REF!</v>
      </c>
      <c r="EA23" t="e">
        <f>IF(DSSP!#REF!,"AAAAAHdu/4I=",0)</f>
        <v>#REF!</v>
      </c>
      <c r="EB23" t="e">
        <f>AND(DSSP!#REF!,"AAAAAHdu/4M=")</f>
        <v>#REF!</v>
      </c>
      <c r="EC23" t="e">
        <f>AND(DSSP!#REF!,"AAAAAHdu/4Q=")</f>
        <v>#REF!</v>
      </c>
      <c r="ED23" t="e">
        <f>AND(DSSP!#REF!,"AAAAAHdu/4U=")</f>
        <v>#REF!</v>
      </c>
      <c r="EE23" t="e">
        <f>AND(DSSP!#REF!,"AAAAAHdu/4Y=")</f>
        <v>#REF!</v>
      </c>
      <c r="EF23" t="e">
        <f>IF(DSSP!#REF!,"AAAAAHdu/4c=",0)</f>
        <v>#REF!</v>
      </c>
      <c r="EG23" t="e">
        <f>AND(DSSP!#REF!,"AAAAAHdu/4g=")</f>
        <v>#REF!</v>
      </c>
      <c r="EH23" t="e">
        <f>AND(DSSP!#REF!,"AAAAAHdu/4k=")</f>
        <v>#REF!</v>
      </c>
      <c r="EI23" t="e">
        <f>AND(DSSP!#REF!,"AAAAAHdu/4o=")</f>
        <v>#REF!</v>
      </c>
      <c r="EJ23" t="e">
        <f>AND(DSSP!#REF!,"AAAAAHdu/4s=")</f>
        <v>#REF!</v>
      </c>
      <c r="EK23" t="e">
        <f>IF(DSSP!#REF!,"AAAAAHdu/4w=",0)</f>
        <v>#REF!</v>
      </c>
      <c r="EL23" t="e">
        <f>AND(DSSP!#REF!,"AAAAAHdu/40=")</f>
        <v>#REF!</v>
      </c>
      <c r="EM23" t="e">
        <f>AND(DSSP!#REF!,"AAAAAHdu/44=")</f>
        <v>#REF!</v>
      </c>
      <c r="EN23" t="e">
        <f>AND(DSSP!#REF!,"AAAAAHdu/48=")</f>
        <v>#REF!</v>
      </c>
      <c r="EO23" t="e">
        <f>AND(DSSP!#REF!,"AAAAAHdu/5A=")</f>
        <v>#REF!</v>
      </c>
      <c r="EP23" t="e">
        <f>IF(DSSP!#REF!,"AAAAAHdu/5E=",0)</f>
        <v>#REF!</v>
      </c>
      <c r="EQ23" t="e">
        <f>AND(DSSP!#REF!,"AAAAAHdu/5I=")</f>
        <v>#REF!</v>
      </c>
      <c r="ER23" t="e">
        <f>AND(DSSP!#REF!,"AAAAAHdu/5M=")</f>
        <v>#REF!</v>
      </c>
      <c r="ES23" t="e">
        <f>AND(DSSP!#REF!,"AAAAAHdu/5Q=")</f>
        <v>#REF!</v>
      </c>
      <c r="ET23" t="e">
        <f>AND(DSSP!#REF!,"AAAAAHdu/5U=")</f>
        <v>#REF!</v>
      </c>
      <c r="EU23" t="e">
        <f>IF(DSSP!#REF!,"AAAAAHdu/5Y=",0)</f>
        <v>#REF!</v>
      </c>
      <c r="EV23" t="e">
        <f>AND(DSSP!#REF!,"AAAAAHdu/5c=")</f>
        <v>#REF!</v>
      </c>
      <c r="EW23" t="e">
        <f>AND(DSSP!#REF!,"AAAAAHdu/5g=")</f>
        <v>#REF!</v>
      </c>
      <c r="EX23" t="e">
        <f>AND(DSSP!#REF!,"AAAAAHdu/5k=")</f>
        <v>#REF!</v>
      </c>
      <c r="EY23" t="e">
        <f>AND(DSSP!#REF!,"AAAAAHdu/5o=")</f>
        <v>#REF!</v>
      </c>
      <c r="EZ23" t="e">
        <f>IF(DSSP!#REF!,"AAAAAHdu/5s=",0)</f>
        <v>#REF!</v>
      </c>
      <c r="FA23" t="e">
        <f>AND(DSSP!#REF!,"AAAAAHdu/5w=")</f>
        <v>#REF!</v>
      </c>
      <c r="FB23" t="e">
        <f>AND(DSSP!#REF!,"AAAAAHdu/50=")</f>
        <v>#REF!</v>
      </c>
      <c r="FC23" t="e">
        <f>AND(DSSP!#REF!,"AAAAAHdu/54=")</f>
        <v>#REF!</v>
      </c>
      <c r="FD23" t="e">
        <f>AND(DSSP!#REF!,"AAAAAHdu/58=")</f>
        <v>#REF!</v>
      </c>
      <c r="FE23" t="e">
        <f>IF(DSSP!#REF!,"AAAAAHdu/6A=",0)</f>
        <v>#REF!</v>
      </c>
      <c r="FF23" t="e">
        <f>AND(DSSP!#REF!,"AAAAAHdu/6E=")</f>
        <v>#REF!</v>
      </c>
      <c r="FG23" t="e">
        <f>AND(DSSP!#REF!,"AAAAAHdu/6I=")</f>
        <v>#REF!</v>
      </c>
      <c r="FH23" t="e">
        <f>AND(DSSP!#REF!,"AAAAAHdu/6M=")</f>
        <v>#REF!</v>
      </c>
      <c r="FI23" t="e">
        <f>AND(DSSP!#REF!,"AAAAAHdu/6Q=")</f>
        <v>#REF!</v>
      </c>
      <c r="FJ23" t="e">
        <f>IF(DSSP!#REF!,"AAAAAHdu/6U=",0)</f>
        <v>#REF!</v>
      </c>
      <c r="FK23" t="e">
        <f>AND(DSSP!#REF!,"AAAAAHdu/6Y=")</f>
        <v>#REF!</v>
      </c>
      <c r="FL23" t="e">
        <f>AND(DSSP!#REF!,"AAAAAHdu/6c=")</f>
        <v>#REF!</v>
      </c>
      <c r="FM23" t="e">
        <f>AND(DSSP!#REF!,"AAAAAHdu/6g=")</f>
        <v>#REF!</v>
      </c>
      <c r="FN23" t="e">
        <f>AND(DSSP!#REF!,"AAAAAHdu/6k=")</f>
        <v>#REF!</v>
      </c>
      <c r="FO23" t="e">
        <f>IF(DSSP!#REF!,"AAAAAHdu/6o=",0)</f>
        <v>#REF!</v>
      </c>
      <c r="FP23" t="e">
        <f>AND(DSSP!#REF!,"AAAAAHdu/6s=")</f>
        <v>#REF!</v>
      </c>
      <c r="FQ23" t="e">
        <f>AND(DSSP!#REF!,"AAAAAHdu/6w=")</f>
        <v>#REF!</v>
      </c>
      <c r="FR23" t="e">
        <f>AND(DSSP!#REF!,"AAAAAHdu/60=")</f>
        <v>#REF!</v>
      </c>
      <c r="FS23" t="e">
        <f>AND(DSSP!#REF!,"AAAAAHdu/64=")</f>
        <v>#REF!</v>
      </c>
      <c r="FT23" t="e">
        <f>IF(DSSP!#REF!,"AAAAAHdu/68=",0)</f>
        <v>#REF!</v>
      </c>
      <c r="FU23" t="e">
        <f>AND(DSSP!#REF!,"AAAAAHdu/7A=")</f>
        <v>#REF!</v>
      </c>
      <c r="FV23" t="e">
        <f>AND(DSSP!#REF!,"AAAAAHdu/7E=")</f>
        <v>#REF!</v>
      </c>
      <c r="FW23" t="e">
        <f>AND(DSSP!#REF!,"AAAAAHdu/7I=")</f>
        <v>#REF!</v>
      </c>
      <c r="FX23" t="e">
        <f>AND(DSSP!#REF!,"AAAAAHdu/7M=")</f>
        <v>#REF!</v>
      </c>
      <c r="FY23" t="e">
        <f>IF(DSSP!#REF!,"AAAAAHdu/7Q=",0)</f>
        <v>#REF!</v>
      </c>
      <c r="FZ23" t="e">
        <f>AND(DSSP!#REF!,"AAAAAHdu/7U=")</f>
        <v>#REF!</v>
      </c>
      <c r="GA23" t="e">
        <f>AND(DSSP!#REF!,"AAAAAHdu/7Y=")</f>
        <v>#REF!</v>
      </c>
      <c r="GB23" t="e">
        <f>AND(DSSP!#REF!,"AAAAAHdu/7c=")</f>
        <v>#REF!</v>
      </c>
      <c r="GC23" t="e">
        <f>AND(DSSP!#REF!,"AAAAAHdu/7g=")</f>
        <v>#REF!</v>
      </c>
      <c r="GD23" t="e">
        <f>IF(DSSP!#REF!,"AAAAAHdu/7k=",0)</f>
        <v>#REF!</v>
      </c>
      <c r="GE23" t="e">
        <f>AND(DSSP!#REF!,"AAAAAHdu/7o=")</f>
        <v>#REF!</v>
      </c>
      <c r="GF23" t="e">
        <f>AND(DSSP!#REF!,"AAAAAHdu/7s=")</f>
        <v>#REF!</v>
      </c>
      <c r="GG23" t="e">
        <f>AND(DSSP!#REF!,"AAAAAHdu/7w=")</f>
        <v>#REF!</v>
      </c>
      <c r="GH23" t="e">
        <f>AND(DSSP!#REF!,"AAAAAHdu/70=")</f>
        <v>#REF!</v>
      </c>
      <c r="GI23" t="e">
        <f>IF(DSSP!#REF!,"AAAAAHdu/74=",0)</f>
        <v>#REF!</v>
      </c>
      <c r="GJ23" t="e">
        <f>AND(DSSP!#REF!,"AAAAAHdu/78=")</f>
        <v>#REF!</v>
      </c>
      <c r="GK23" t="e">
        <f>AND(DSSP!#REF!,"AAAAAHdu/8A=")</f>
        <v>#REF!</v>
      </c>
      <c r="GL23" t="e">
        <f>AND(DSSP!#REF!,"AAAAAHdu/8E=")</f>
        <v>#REF!</v>
      </c>
      <c r="GM23" t="e">
        <f>AND(DSSP!#REF!,"AAAAAHdu/8I=")</f>
        <v>#REF!</v>
      </c>
      <c r="GN23" t="e">
        <f>IF(DSSP!#REF!,"AAAAAHdu/8M=",0)</f>
        <v>#REF!</v>
      </c>
      <c r="GO23" t="e">
        <f>AND(DSSP!#REF!,"AAAAAHdu/8Q=")</f>
        <v>#REF!</v>
      </c>
      <c r="GP23" t="e">
        <f>AND(DSSP!#REF!,"AAAAAHdu/8U=")</f>
        <v>#REF!</v>
      </c>
      <c r="GQ23" t="e">
        <f>AND(DSSP!#REF!,"AAAAAHdu/8Y=")</f>
        <v>#REF!</v>
      </c>
      <c r="GR23" t="e">
        <f>AND(DSSP!#REF!,"AAAAAHdu/8c=")</f>
        <v>#REF!</v>
      </c>
      <c r="GS23" t="e">
        <f>IF(DSSP!#REF!,"AAAAAHdu/8g=",0)</f>
        <v>#REF!</v>
      </c>
      <c r="GT23" t="e">
        <f>AND(DSSP!#REF!,"AAAAAHdu/8k=")</f>
        <v>#REF!</v>
      </c>
      <c r="GU23" t="e">
        <f>AND(DSSP!#REF!,"AAAAAHdu/8o=")</f>
        <v>#REF!</v>
      </c>
      <c r="GV23" t="e">
        <f>AND(DSSP!#REF!,"AAAAAHdu/8s=")</f>
        <v>#REF!</v>
      </c>
      <c r="GW23" t="e">
        <f>AND(DSSP!#REF!,"AAAAAHdu/8w=")</f>
        <v>#REF!</v>
      </c>
      <c r="GX23" t="e">
        <f>IF(DSSP!#REF!,"AAAAAHdu/80=",0)</f>
        <v>#REF!</v>
      </c>
      <c r="GY23" t="e">
        <f>AND(DSSP!#REF!,"AAAAAHdu/84=")</f>
        <v>#REF!</v>
      </c>
      <c r="GZ23" t="e">
        <f>AND(DSSP!#REF!,"AAAAAHdu/88=")</f>
        <v>#REF!</v>
      </c>
      <c r="HA23" t="e">
        <f>AND(DSSP!#REF!,"AAAAAHdu/9A=")</f>
        <v>#REF!</v>
      </c>
      <c r="HB23" t="e">
        <f>AND(DSSP!#REF!,"AAAAAHdu/9E=")</f>
        <v>#REF!</v>
      </c>
      <c r="HC23" t="e">
        <f>IF(DSSP!#REF!,"AAAAAHdu/9I=",0)</f>
        <v>#REF!</v>
      </c>
      <c r="HD23" t="e">
        <f>AND(DSSP!#REF!,"AAAAAHdu/9M=")</f>
        <v>#REF!</v>
      </c>
      <c r="HE23" t="e">
        <f>AND(DSSP!#REF!,"AAAAAHdu/9Q=")</f>
        <v>#REF!</v>
      </c>
      <c r="HF23" t="e">
        <f>AND(DSSP!#REF!,"AAAAAHdu/9U=")</f>
        <v>#REF!</v>
      </c>
      <c r="HG23" t="e">
        <f>AND(DSSP!#REF!,"AAAAAHdu/9Y=")</f>
        <v>#REF!</v>
      </c>
      <c r="HH23" t="e">
        <f>IF(DSSP!#REF!,"AAAAAHdu/9c=",0)</f>
        <v>#REF!</v>
      </c>
      <c r="HI23" t="e">
        <f>AND(DSSP!#REF!,"AAAAAHdu/9g=")</f>
        <v>#REF!</v>
      </c>
      <c r="HJ23" t="e">
        <f>AND(DSSP!#REF!,"AAAAAHdu/9k=")</f>
        <v>#REF!</v>
      </c>
      <c r="HK23" t="e">
        <f>AND(DSSP!#REF!,"AAAAAHdu/9o=")</f>
        <v>#REF!</v>
      </c>
      <c r="HL23" t="e">
        <f>AND(DSSP!#REF!,"AAAAAHdu/9s=")</f>
        <v>#REF!</v>
      </c>
      <c r="HM23" t="e">
        <f>IF(DSSP!#REF!,"AAAAAHdu/9w=",0)</f>
        <v>#REF!</v>
      </c>
      <c r="HN23" t="e">
        <f>AND(DSSP!#REF!,"AAAAAHdu/90=")</f>
        <v>#REF!</v>
      </c>
      <c r="HO23" t="e">
        <f>AND(DSSP!#REF!,"AAAAAHdu/94=")</f>
        <v>#REF!</v>
      </c>
      <c r="HP23" t="e">
        <f>AND(DSSP!#REF!,"AAAAAHdu/98=")</f>
        <v>#REF!</v>
      </c>
      <c r="HQ23" t="e">
        <f>AND(DSSP!#REF!,"AAAAAHdu/+A=")</f>
        <v>#REF!</v>
      </c>
      <c r="HR23" t="e">
        <f>IF(DSSP!#REF!,"AAAAAHdu/+E=",0)</f>
        <v>#REF!</v>
      </c>
      <c r="HS23" t="e">
        <f>AND(DSSP!#REF!,"AAAAAHdu/+I=")</f>
        <v>#REF!</v>
      </c>
      <c r="HT23" t="e">
        <f>AND(DSSP!#REF!,"AAAAAHdu/+M=")</f>
        <v>#REF!</v>
      </c>
      <c r="HU23" t="e">
        <f>AND(DSSP!#REF!,"AAAAAHdu/+Q=")</f>
        <v>#REF!</v>
      </c>
      <c r="HV23" t="e">
        <f>AND(DSSP!#REF!,"AAAAAHdu/+U=")</f>
        <v>#REF!</v>
      </c>
      <c r="HW23" t="e">
        <f>IF(DSSP!#REF!,"AAAAAHdu/+Y=",0)</f>
        <v>#REF!</v>
      </c>
      <c r="HX23" t="e">
        <f>AND(DSSP!#REF!,"AAAAAHdu/+c=")</f>
        <v>#REF!</v>
      </c>
      <c r="HY23" t="e">
        <f>AND(DSSP!#REF!,"AAAAAHdu/+g=")</f>
        <v>#REF!</v>
      </c>
      <c r="HZ23" t="e">
        <f>AND(DSSP!#REF!,"AAAAAHdu/+k=")</f>
        <v>#REF!</v>
      </c>
      <c r="IA23" t="e">
        <f>AND(DSSP!#REF!,"AAAAAHdu/+o=")</f>
        <v>#REF!</v>
      </c>
      <c r="IB23" t="e">
        <f>IF(DSSP!#REF!,"AAAAAHdu/+s=",0)</f>
        <v>#REF!</v>
      </c>
      <c r="IC23" t="e">
        <f>AND(DSSP!#REF!,"AAAAAHdu/+w=")</f>
        <v>#REF!</v>
      </c>
      <c r="ID23" t="e">
        <f>AND(DSSP!#REF!,"AAAAAHdu/+0=")</f>
        <v>#REF!</v>
      </c>
      <c r="IE23" t="e">
        <f>AND(DSSP!#REF!,"AAAAAHdu/+4=")</f>
        <v>#REF!</v>
      </c>
      <c r="IF23" t="e">
        <f>AND(DSSP!#REF!,"AAAAAHdu/+8=")</f>
        <v>#REF!</v>
      </c>
      <c r="IG23" t="e">
        <f>IF(DSSP!#REF!,"AAAAAHdu//A=",0)</f>
        <v>#REF!</v>
      </c>
      <c r="IH23" t="e">
        <f>AND(DSSP!#REF!,"AAAAAHdu//E=")</f>
        <v>#REF!</v>
      </c>
      <c r="II23" t="e">
        <f>AND(DSSP!#REF!,"AAAAAHdu//I=")</f>
        <v>#REF!</v>
      </c>
      <c r="IJ23" t="e">
        <f>AND(DSSP!#REF!,"AAAAAHdu//M=")</f>
        <v>#REF!</v>
      </c>
      <c r="IK23" t="e">
        <f>AND(DSSP!#REF!,"AAAAAHdu//Q=")</f>
        <v>#REF!</v>
      </c>
      <c r="IL23" t="e">
        <f>IF(DSSP!#REF!,"AAAAAHdu//U=",0)</f>
        <v>#REF!</v>
      </c>
      <c r="IM23" t="e">
        <f>AND(DSSP!#REF!,"AAAAAHdu//Y=")</f>
        <v>#REF!</v>
      </c>
      <c r="IN23" t="e">
        <f>AND(DSSP!#REF!,"AAAAAHdu//c=")</f>
        <v>#REF!</v>
      </c>
      <c r="IO23" t="e">
        <f>AND(DSSP!#REF!,"AAAAAHdu//g=")</f>
        <v>#REF!</v>
      </c>
      <c r="IP23" t="e">
        <f>AND(DSSP!#REF!,"AAAAAHdu//k=")</f>
        <v>#REF!</v>
      </c>
      <c r="IQ23" t="e">
        <f>IF(DSSP!#REF!,"AAAAAHdu//o=",0)</f>
        <v>#REF!</v>
      </c>
      <c r="IR23" t="e">
        <f>AND(DSSP!#REF!,"AAAAAHdu//s=")</f>
        <v>#REF!</v>
      </c>
      <c r="IS23" t="e">
        <f>AND(DSSP!#REF!,"AAAAAHdu//w=")</f>
        <v>#REF!</v>
      </c>
      <c r="IT23" t="e">
        <f>AND(DSSP!#REF!,"AAAAAHdu//0=")</f>
        <v>#REF!</v>
      </c>
      <c r="IU23" t="e">
        <f>AND(DSSP!#REF!,"AAAAAHdu//4=")</f>
        <v>#REF!</v>
      </c>
      <c r="IV23" t="e">
        <f>IF(DSSP!#REF!,"AAAAAHdu//8=",0)</f>
        <v>#REF!</v>
      </c>
    </row>
    <row r="24" spans="1:256" ht="25.5">
      <c r="A24" t="e">
        <f>AND(DSSP!#REF!,"AAAAAG7/1wA=")</f>
        <v>#REF!</v>
      </c>
      <c r="B24" t="e">
        <f>AND(DSSP!#REF!,"AAAAAG7/1wE=")</f>
        <v>#REF!</v>
      </c>
      <c r="C24" t="e">
        <f>AND(DSSP!#REF!,"AAAAAG7/1wI=")</f>
        <v>#REF!</v>
      </c>
      <c r="D24" t="e">
        <f>AND(DSSP!#REF!,"AAAAAG7/1wM=")</f>
        <v>#REF!</v>
      </c>
      <c r="E24" t="e">
        <f>IF(DSSP!#REF!,"AAAAAG7/1wQ=",0)</f>
        <v>#REF!</v>
      </c>
      <c r="F24" t="e">
        <f>AND(DSSP!#REF!,"AAAAAG7/1wU=")</f>
        <v>#REF!</v>
      </c>
      <c r="G24" t="e">
        <f>AND(DSSP!#REF!,"AAAAAG7/1wY=")</f>
        <v>#REF!</v>
      </c>
      <c r="H24" t="e">
        <f>AND(DSSP!#REF!,"AAAAAG7/1wc=")</f>
        <v>#REF!</v>
      </c>
      <c r="I24" t="e">
        <f>AND(DSSP!#REF!,"AAAAAG7/1wg=")</f>
        <v>#REF!</v>
      </c>
      <c r="J24" t="e">
        <f>IF(DSSP!#REF!,"AAAAAG7/1wk=",0)</f>
        <v>#REF!</v>
      </c>
      <c r="K24" t="e">
        <f>AND(DSSP!#REF!,"AAAAAG7/1wo=")</f>
        <v>#REF!</v>
      </c>
      <c r="L24" t="e">
        <f>AND(DSSP!#REF!,"AAAAAG7/1ws=")</f>
        <v>#REF!</v>
      </c>
      <c r="M24" t="e">
        <f>AND(DSSP!#REF!,"AAAAAG7/1ww=")</f>
        <v>#REF!</v>
      </c>
      <c r="N24" t="e">
        <f>AND(DSSP!#REF!,"AAAAAG7/1w0=")</f>
        <v>#REF!</v>
      </c>
      <c r="O24" t="e">
        <f>IF(DSSP!#REF!,"AAAAAG7/1w4=",0)</f>
        <v>#REF!</v>
      </c>
      <c r="P24" t="e">
        <f>AND(DSSP!#REF!,"AAAAAG7/1w8=")</f>
        <v>#REF!</v>
      </c>
      <c r="Q24" t="e">
        <f>AND(DSSP!#REF!,"AAAAAG7/1xA=")</f>
        <v>#REF!</v>
      </c>
      <c r="R24" t="e">
        <f>AND(DSSP!#REF!,"AAAAAG7/1xE=")</f>
        <v>#REF!</v>
      </c>
      <c r="S24" t="e">
        <f>AND(DSSP!#REF!,"AAAAAG7/1xI=")</f>
        <v>#REF!</v>
      </c>
      <c r="T24" t="e">
        <f>IF(DSSP!#REF!,"AAAAAG7/1xM=",0)</f>
        <v>#REF!</v>
      </c>
      <c r="U24" t="e">
        <f>AND(DSSP!#REF!,"AAAAAG7/1xQ=")</f>
        <v>#REF!</v>
      </c>
      <c r="V24" t="e">
        <f>AND(DSSP!#REF!,"AAAAAG7/1xU=")</f>
        <v>#REF!</v>
      </c>
      <c r="W24" t="e">
        <f>AND(DSSP!#REF!,"AAAAAG7/1xY=")</f>
        <v>#REF!</v>
      </c>
      <c r="X24" t="e">
        <f>AND(DSSP!#REF!,"AAAAAG7/1xc=")</f>
        <v>#REF!</v>
      </c>
      <c r="Y24" t="e">
        <f>IF(DSSP!#REF!,"AAAAAG7/1xg=",0)</f>
        <v>#REF!</v>
      </c>
      <c r="Z24" t="e">
        <f>AND(DSSP!#REF!,"AAAAAG7/1xk=")</f>
        <v>#REF!</v>
      </c>
      <c r="AA24" t="e">
        <f>AND(DSSP!#REF!,"AAAAAG7/1xo=")</f>
        <v>#REF!</v>
      </c>
      <c r="AB24" t="e">
        <f>AND(DSSP!#REF!,"AAAAAG7/1xs=")</f>
        <v>#REF!</v>
      </c>
      <c r="AC24" t="e">
        <f>AND(DSSP!#REF!,"AAAAAG7/1xw=")</f>
        <v>#REF!</v>
      </c>
      <c r="AD24" t="e">
        <f>IF(DSSP!#REF!,"AAAAAG7/1x0=",0)</f>
        <v>#REF!</v>
      </c>
      <c r="AE24" t="e">
        <f>AND(DSSP!#REF!,"AAAAAG7/1x4=")</f>
        <v>#REF!</v>
      </c>
      <c r="AF24" t="e">
        <f>AND(DSSP!#REF!,"AAAAAG7/1x8=")</f>
        <v>#REF!</v>
      </c>
      <c r="AG24" t="e">
        <f>AND(DSSP!#REF!,"AAAAAG7/1yA=")</f>
        <v>#REF!</v>
      </c>
      <c r="AH24" t="e">
        <f>AND(DSSP!#REF!,"AAAAAG7/1yE=")</f>
        <v>#REF!</v>
      </c>
      <c r="AI24" t="e">
        <f>IF(DSSP!#REF!,"AAAAAG7/1yI=",0)</f>
        <v>#REF!</v>
      </c>
      <c r="AJ24" t="e">
        <f>AND(DSSP!#REF!,"AAAAAG7/1yM=")</f>
        <v>#REF!</v>
      </c>
      <c r="AK24" t="e">
        <f>AND(DSSP!#REF!,"AAAAAG7/1yQ=")</f>
        <v>#REF!</v>
      </c>
      <c r="AL24" t="e">
        <f>AND(DSSP!#REF!,"AAAAAG7/1yU=")</f>
        <v>#REF!</v>
      </c>
      <c r="AM24" t="e">
        <f>AND(DSSP!#REF!,"AAAAAG7/1yY=")</f>
        <v>#REF!</v>
      </c>
      <c r="AN24" t="e">
        <f>IF(DSSP!A:A,"AAAAAG7/1yc=",0)</f>
        <v>#VALUE!</v>
      </c>
      <c r="AO24" t="e">
        <f>IF(DSSP!B:B,"AAAAAG7/1yg=",0)</f>
        <v>#VALUE!</v>
      </c>
      <c r="AP24" t="str">
        <f>IF(DSSP!C:C,"AAAAAG7/1yk=",0)</f>
        <v>AAAAAG7/1yk=</v>
      </c>
      <c r="AQ24" t="e">
        <f>IF(DSSP!E:E,"AAAAAG7/1yo=",0)</f>
        <v>#VALUE!</v>
      </c>
      <c r="AR24">
        <f>IF(DSSP!F:F,"AAAAAG7/1ys=",0)</f>
        <v>0</v>
      </c>
      <c r="AS24" t="str">
        <f>IF(DSSP!D:D,"AAAAAG7/1yw=",0)</f>
        <v>AAAAAG7/1yw=</v>
      </c>
      <c r="AT24" t="str">
        <f>IF(DSSP!G:G,"AAAAAG7/1y0=",0)</f>
        <v>AAAAAG7/1y0=</v>
      </c>
      <c r="AU24">
        <f>IF(DSSP!I:I,"AAAAAG7/1y4=",0)</f>
        <v>0</v>
      </c>
      <c r="AV24">
        <f>IF(DSSP!J:J,"AAAAAG7/1y8=",0)</f>
        <v>0</v>
      </c>
      <c r="AW24" t="e">
        <f ca="1">IF(DSSP!K:K,"AAAAAG7/1zA=",0)</f>
        <v>#VALUE!</v>
      </c>
      <c r="AX24" t="e">
        <f>IF(DSSP!M:M,"AAAAAG7/1zE=",0)</f>
        <v>#VALUE!</v>
      </c>
      <c r="AY24">
        <f>IF(DSSP!N:N,"AAAAAG7/1zI=",0)</f>
        <v>0</v>
      </c>
      <c r="AZ24">
        <f>IF(DSSP!O:O,"AAAAAG7/1zM=",0)</f>
        <v>0</v>
      </c>
      <c r="BA24" s="1" t="s">
        <v>150</v>
      </c>
      <c r="BB24" s="2" t="s">
        <v>151</v>
      </c>
    </row>
    <row r="25" spans="1:256">
      <c r="A25" t="e">
        <f>AND(#REF!,"AAAAAH/tywA=")</f>
        <v>#REF!</v>
      </c>
      <c r="B25" t="e">
        <f>AND(#REF!,"AAAAAH/tywE=")</f>
        <v>#REF!</v>
      </c>
      <c r="C25" t="e">
        <f>AND(#REF!,"AAAAAH/tywI=")</f>
        <v>#REF!</v>
      </c>
      <c r="D25" t="e">
        <f>AND(#REF!,"AAAAAH/tywM=")</f>
        <v>#REF!</v>
      </c>
      <c r="E25" t="e">
        <f>AND(#REF!,"AAAAAH/tywQ=")</f>
        <v>#REF!</v>
      </c>
      <c r="F25" t="e">
        <f>AND(#REF!,"AAAAAH/tywU=")</f>
        <v>#REF!</v>
      </c>
      <c r="G25" t="e">
        <f>AND(#REF!,"AAAAAH/tywY=")</f>
        <v>#REF!</v>
      </c>
      <c r="H25" t="e">
        <f>AND(#REF!,"AAAAAH/tywc=")</f>
        <v>#REF!</v>
      </c>
      <c r="I25" t="e">
        <f>AND(#REF!,"AAAAAH/tywg=")</f>
        <v>#REF!</v>
      </c>
      <c r="J25" t="e">
        <f>AND(#REF!,"AAAAAH/tywk=")</f>
        <v>#REF!</v>
      </c>
      <c r="K25" t="e">
        <f>AND(#REF!,"AAAAAH/tywo=")</f>
        <v>#REF!</v>
      </c>
      <c r="L25" t="e">
        <f>AND(#REF!,"AAAAAH/tyws=")</f>
        <v>#REF!</v>
      </c>
      <c r="M25" t="e">
        <f>AND(#REF!,"AAAAAH/tyww=")</f>
        <v>#REF!</v>
      </c>
      <c r="N25" t="e">
        <f>AND(#REF!,"AAAAAH/tyw0=")</f>
        <v>#REF!</v>
      </c>
      <c r="O25" t="e">
        <f>AND(#REF!,"AAAAAH/tyw4=")</f>
        <v>#REF!</v>
      </c>
      <c r="P25" t="e">
        <f>AND(#REF!,"AAAAAH/tyw8=")</f>
        <v>#REF!</v>
      </c>
      <c r="Q25" t="e">
        <f>AND(#REF!,"AAAAAH/tyxA=")</f>
        <v>#REF!</v>
      </c>
      <c r="R25" t="e">
        <f>AND(#REF!,"AAAAAH/tyxE=")</f>
        <v>#REF!</v>
      </c>
      <c r="S25" t="e">
        <f>AND(#REF!,"AAAAAH/tyxI=")</f>
        <v>#REF!</v>
      </c>
      <c r="T25" t="e">
        <f>AND(#REF!,"AAAAAH/tyxM=")</f>
        <v>#REF!</v>
      </c>
      <c r="U25" t="e">
        <f>AND(#REF!,"AAAAAH/tyxQ=")</f>
        <v>#REF!</v>
      </c>
      <c r="V25" t="e">
        <f>AND(#REF!,"AAAAAH/tyxU=")</f>
        <v>#REF!</v>
      </c>
      <c r="W25" t="e">
        <f>AND(#REF!,"AAAAAH/tyxY=")</f>
        <v>#REF!</v>
      </c>
      <c r="X25" t="e">
        <f>AND(#REF!,"AAAAAH/tyxc=")</f>
        <v>#REF!</v>
      </c>
      <c r="Y25" t="e">
        <f>AND(#REF!,"AAAAAH/tyxg=")</f>
        <v>#REF!</v>
      </c>
      <c r="Z25" t="e">
        <f>AND(#REF!,"AAAAAH/tyxk=")</f>
        <v>#REF!</v>
      </c>
      <c r="AA25" t="e">
        <f>AND(#REF!,"AAAAAH/tyxo=")</f>
        <v>#REF!</v>
      </c>
      <c r="AB25" t="e">
        <f>AND(#REF!,"AAAAAH/tyxs=")</f>
        <v>#REF!</v>
      </c>
      <c r="AC25" t="e">
        <f>AND(#REF!,"AAAAAH/tyxw=")</f>
        <v>#REF!</v>
      </c>
      <c r="AD25" t="e">
        <f>AND(#REF!,"AAAAAH/tyx0=")</f>
        <v>#REF!</v>
      </c>
      <c r="AE25" t="e">
        <f>AND(#REF!,"AAAAAH/tyx4=")</f>
        <v>#REF!</v>
      </c>
      <c r="AF25" t="e">
        <f>AND(#REF!,"AAAAAH/tyx8=")</f>
        <v>#REF!</v>
      </c>
      <c r="AG25" t="e">
        <f>AND(#REF!,"AAAAAH/tyyA=")</f>
        <v>#REF!</v>
      </c>
      <c r="AH25" t="e">
        <f>AND(#REF!,"AAAAAH/tyyE=")</f>
        <v>#REF!</v>
      </c>
      <c r="AI25" t="e">
        <f>AND(#REF!,"AAAAAH/tyyI=")</f>
        <v>#REF!</v>
      </c>
      <c r="AJ25" t="e">
        <f>AND(#REF!,"AAAAAH/tyyM=")</f>
        <v>#REF!</v>
      </c>
      <c r="AK25" t="e">
        <f>AND(#REF!,"AAAAAH/tyyQ=")</f>
        <v>#REF!</v>
      </c>
      <c r="AL25" t="e">
        <f>AND(#REF!,"AAAAAH/tyyU=")</f>
        <v>#REF!</v>
      </c>
      <c r="AM25" t="e">
        <f>AND(#REF!,"AAAAAH/tyyY=")</f>
        <v>#REF!</v>
      </c>
      <c r="AN25" t="e">
        <f>AND(#REF!,"AAAAAH/tyyc=")</f>
        <v>#REF!</v>
      </c>
      <c r="AO25" t="e">
        <f>AND(#REF!,"AAAAAH/tyyg=")</f>
        <v>#REF!</v>
      </c>
      <c r="AP25" t="e">
        <f>AND(#REF!,"AAAAAH/tyyk=")</f>
        <v>#REF!</v>
      </c>
      <c r="AQ25" t="e">
        <f>AND(#REF!,"AAAAAH/tyyo=")</f>
        <v>#REF!</v>
      </c>
      <c r="AR25" t="e">
        <f>AND(#REF!,"AAAAAH/tyys=")</f>
        <v>#REF!</v>
      </c>
      <c r="AS25" t="e">
        <f>AND(#REF!,"AAAAAH/tyyw=")</f>
        <v>#REF!</v>
      </c>
      <c r="AT25" t="e">
        <f>AND(#REF!,"AAAAAH/tyy0=")</f>
        <v>#REF!</v>
      </c>
      <c r="AU25" t="e">
        <f>AND(#REF!,"AAAAAH/tyy4=")</f>
        <v>#REF!</v>
      </c>
      <c r="AV25" t="e">
        <f>AND(#REF!,"AAAAAH/tyy8=")</f>
        <v>#REF!</v>
      </c>
      <c r="AW25" t="e">
        <f>AND(#REF!,"AAAAAH/tyzA=")</f>
        <v>#REF!</v>
      </c>
      <c r="AX25" t="e">
        <f>AND(#REF!,"AAAAAH/tyzE=")</f>
        <v>#REF!</v>
      </c>
      <c r="AY25" t="e">
        <f>AND(#REF!,"AAAAAH/tyzI=")</f>
        <v>#REF!</v>
      </c>
      <c r="AZ25" t="e">
        <f>AND(#REF!,"AAAAAH/tyzM=")</f>
        <v>#REF!</v>
      </c>
      <c r="BA25" t="e">
        <f>AND(#REF!,"AAAAAH/tyzQ=")</f>
        <v>#REF!</v>
      </c>
      <c r="BB25" t="e">
        <f>AND(#REF!,"AAAAAH/tyzU=")</f>
        <v>#REF!</v>
      </c>
      <c r="BC25" t="e">
        <f>AND(#REF!,"AAAAAH/tyzY=")</f>
        <v>#REF!</v>
      </c>
      <c r="BD25" t="e">
        <f>AND(#REF!,"AAAAAH/tyzc=")</f>
        <v>#REF!</v>
      </c>
      <c r="BE25" t="e">
        <f>AND(#REF!,"AAAAAH/tyzg=")</f>
        <v>#REF!</v>
      </c>
      <c r="BF25" t="e">
        <f>AND(#REF!,"AAAAAH/tyzk=")</f>
        <v>#REF!</v>
      </c>
      <c r="BG25" t="e">
        <f>AND(#REF!,"AAAAAH/tyzo=")</f>
        <v>#REF!</v>
      </c>
      <c r="BH25" t="e">
        <f>AND(#REF!,"AAAAAH/tyzs=")</f>
        <v>#REF!</v>
      </c>
      <c r="BI25" t="e">
        <f>AND(#REF!,"AAAAAH/tyzw=")</f>
        <v>#REF!</v>
      </c>
      <c r="BJ25" t="e">
        <f>AND(#REF!,"AAAAAH/tyz0=")</f>
        <v>#REF!</v>
      </c>
      <c r="BK25" t="e">
        <f>AND(#REF!,"AAAAAH/tyz4=")</f>
        <v>#REF!</v>
      </c>
      <c r="BL25" t="e">
        <f>AND(#REF!,"AAAAAH/tyz8=")</f>
        <v>#REF!</v>
      </c>
      <c r="BM25" t="e">
        <f>AND(#REF!,"AAAAAH/ty0A=")</f>
        <v>#REF!</v>
      </c>
      <c r="BN25" t="e">
        <f>AND(#REF!,"AAAAAH/ty0E=")</f>
        <v>#REF!</v>
      </c>
      <c r="BO25" t="e">
        <f>AND(#REF!,"AAAAAH/ty0I=")</f>
        <v>#REF!</v>
      </c>
      <c r="BP25" t="e">
        <f>AND(#REF!,"AAAAAH/ty0M=")</f>
        <v>#REF!</v>
      </c>
      <c r="BQ25" t="e">
        <f>AND(#REF!,"AAAAAH/ty0Q=")</f>
        <v>#REF!</v>
      </c>
      <c r="BR25" t="e">
        <f>AND(#REF!,"AAAAAH/ty0U=")</f>
        <v>#REF!</v>
      </c>
      <c r="BS25" t="e">
        <f>AND(#REF!,"AAAAAH/ty0Y=")</f>
        <v>#REF!</v>
      </c>
      <c r="BT25" t="e">
        <f>AND(#REF!,"AAAAAH/ty0c=")</f>
        <v>#REF!</v>
      </c>
    </row>
    <row r="26" spans="1:256">
      <c r="A26" t="e">
        <f>AND(#REF!,"AAAAADnsfwA=")</f>
        <v>#REF!</v>
      </c>
      <c r="B26" t="e">
        <f>AND(#REF!,"AAAAADnsfwE=")</f>
        <v>#REF!</v>
      </c>
      <c r="C26" t="e">
        <f>AND(#REF!,"AAAAADnsfwI=")</f>
        <v>#REF!</v>
      </c>
      <c r="D26" t="e">
        <f>AND(#REF!,"AAAAADnsfwM=")</f>
        <v>#REF!</v>
      </c>
      <c r="E26" t="e">
        <f>AND(#REF!,"AAAAADnsfwQ=")</f>
        <v>#REF!</v>
      </c>
      <c r="F26" t="e">
        <f>AND(#REF!,"AAAAADnsfwU=")</f>
        <v>#REF!</v>
      </c>
      <c r="G26" t="e">
        <f>AND(#REF!,"AAAAADnsfwY=")</f>
        <v>#REF!</v>
      </c>
      <c r="H26" t="e">
        <f>AND(#REF!,"AAAAADnsfwc=")</f>
        <v>#REF!</v>
      </c>
    </row>
    <row r="27" spans="1:256">
      <c r="A27" t="e">
        <f>AND(#REF!,"AAAAAHs+iQA=")</f>
        <v>#REF!</v>
      </c>
      <c r="B27" t="e">
        <f>AND(#REF!,"AAAAAHs+iQE=")</f>
        <v>#REF!</v>
      </c>
      <c r="C27" t="e">
        <f>AND(#REF!,"AAAAAHs+iQI=")</f>
        <v>#REF!</v>
      </c>
      <c r="D27" t="e">
        <f>AND(#REF!,"AAAAAHs+iQM=")</f>
        <v>#REF!</v>
      </c>
      <c r="E27" t="e">
        <f>AND(#REF!,"AAAAAHs+iQQ=")</f>
        <v>#REF!</v>
      </c>
      <c r="F27" t="e">
        <f>AND(#REF!,"AAAAAHs+iQU=")</f>
        <v>#REF!</v>
      </c>
      <c r="G27" t="e">
        <f>AND(#REF!,"AAAAAHs+iQY=")</f>
        <v>#REF!</v>
      </c>
      <c r="H27" t="e">
        <f>AND(#REF!,"AAAAAHs+iQc=")</f>
        <v>#REF!</v>
      </c>
      <c r="I27" t="e">
        <f>AND(#REF!,"AAAAAHs+iQg=")</f>
        <v>#REF!</v>
      </c>
      <c r="J27" t="e">
        <f>AND(#REF!,"AAAAAHs+iQk=")</f>
        <v>#REF!</v>
      </c>
      <c r="K27" t="e">
        <f>AND(#REF!,"AAAAAHs+iQo=")</f>
        <v>#REF!</v>
      </c>
      <c r="L27" t="e">
        <f>AND(#REF!,"AAAAAHs+iQs=")</f>
        <v>#REF!</v>
      </c>
      <c r="M27" t="e">
        <f>AND(#REF!,"AAAAAHs+iQw=")</f>
        <v>#REF!</v>
      </c>
      <c r="N27" t="e">
        <f>AND(#REF!,"AAAAAHs+iQ0=")</f>
        <v>#REF!</v>
      </c>
      <c r="O27" t="e">
        <f>AND(#REF!,"AAAAAHs+iQ4=")</f>
        <v>#REF!</v>
      </c>
      <c r="P27" t="e">
        <f>AND(#REF!,"AAAAAHs+iQ8=")</f>
        <v>#REF!</v>
      </c>
      <c r="Q27" t="e">
        <f>AND(#REF!,"AAAAAHs+iRA=")</f>
        <v>#REF!</v>
      </c>
      <c r="R27" t="e">
        <f>AND(#REF!,"AAAAAHs+iRE=")</f>
        <v>#REF!</v>
      </c>
      <c r="S27" t="e">
        <f>AND(#REF!,"AAAAAHs+iRI=")</f>
        <v>#REF!</v>
      </c>
      <c r="T27" t="e">
        <f>AND(#REF!,"AAAAAHs+iRM=")</f>
        <v>#REF!</v>
      </c>
      <c r="U27" t="e">
        <f>AND(#REF!,"AAAAAHs+iRQ=")</f>
        <v>#REF!</v>
      </c>
      <c r="V27" t="e">
        <f>AND(#REF!,"AAAAAHs+iRU=")</f>
        <v>#REF!</v>
      </c>
      <c r="W27" t="e">
        <f>AND(#REF!,"AAAAAHs+iRY=")</f>
        <v>#REF!</v>
      </c>
      <c r="X27" t="e">
        <f>AND(#REF!,"AAAAAHs+iRc=")</f>
        <v>#REF!</v>
      </c>
      <c r="Y27" t="e">
        <f>AND(#REF!,"AAAAAHs+iRg=")</f>
        <v>#REF!</v>
      </c>
      <c r="Z27" t="e">
        <f>AND(#REF!,"AAAAAHs+iRk=")</f>
        <v>#REF!</v>
      </c>
      <c r="AA27" t="e">
        <f>AND(#REF!,"AAAAAHs+iRo=")</f>
        <v>#REF!</v>
      </c>
      <c r="AB27" t="e">
        <f>AND(#REF!,"AAAAAHs+iRs=")</f>
        <v>#REF!</v>
      </c>
      <c r="AC27" t="e">
        <f>AND(#REF!,"AAAAAHs+iRw=")</f>
        <v>#REF!</v>
      </c>
      <c r="AD27" t="e">
        <f>AND(#REF!,"AAAAAHs+iR0=")</f>
        <v>#REF!</v>
      </c>
      <c r="AE27" t="e">
        <f>AND(#REF!,"AAAAAHs+iR4=")</f>
        <v>#REF!</v>
      </c>
      <c r="AF27" t="e">
        <f>AND(#REF!,"AAAAAHs+iR8=")</f>
        <v>#REF!</v>
      </c>
      <c r="AG27" t="e">
        <f>AND(#REF!,"AAAAAHs+iSA=")</f>
        <v>#REF!</v>
      </c>
      <c r="AH27" t="e">
        <f>AND(#REF!,"AAAAAHs+iSE=")</f>
        <v>#REF!</v>
      </c>
      <c r="AI27" t="e">
        <f>AND(#REF!,"AAAAAHs+iSI=")</f>
        <v>#REF!</v>
      </c>
      <c r="AJ27" t="e">
        <f>AND(#REF!,"AAAAAHs+iSM=")</f>
        <v>#REF!</v>
      </c>
      <c r="AK27" t="e">
        <f>AND(#REF!,"AAAAAHs+iSQ=")</f>
        <v>#REF!</v>
      </c>
      <c r="AL27" t="e">
        <f>AND(#REF!,"AAAAAHs+iSU=")</f>
        <v>#REF!</v>
      </c>
      <c r="AM27" t="e">
        <f>AND(#REF!,"AAAAAHs+iSY=")</f>
        <v>#REF!</v>
      </c>
      <c r="AN27" t="e">
        <f>AND(#REF!,"AAAAAHs+iSc=")</f>
        <v>#REF!</v>
      </c>
      <c r="AO27" t="e">
        <f>AND(#REF!,"AAAAAHs+iSg=")</f>
        <v>#REF!</v>
      </c>
      <c r="AP27" t="e">
        <f>AND(#REF!,"AAAAAHs+iSk=")</f>
        <v>#REF!</v>
      </c>
      <c r="AQ27" t="e">
        <f>AND(#REF!,"AAAAAHs+iSo=")</f>
        <v>#REF!</v>
      </c>
      <c r="AR27" t="e">
        <f>AND(#REF!,"AAAAAHs+iSs=")</f>
        <v>#REF!</v>
      </c>
      <c r="AS27" t="e">
        <f>AND(#REF!,"AAAAAHs+iSw=")</f>
        <v>#REF!</v>
      </c>
      <c r="AT27" t="e">
        <f>AND(#REF!,"AAAAAHs+iS0=")</f>
        <v>#REF!</v>
      </c>
      <c r="AU27" t="e">
        <f>AND(#REF!,"AAAAAHs+iS4=")</f>
        <v>#REF!</v>
      </c>
      <c r="AV27" t="e">
        <f>AND(#REF!,"AAAAAHs+iS8=")</f>
        <v>#REF!</v>
      </c>
      <c r="AW27" t="e">
        <f>AND(#REF!,"AAAAAHs+iTA=")</f>
        <v>#REF!</v>
      </c>
      <c r="AX27" t="e">
        <f>AND(#REF!,"AAAAAHs+iTE=")</f>
        <v>#REF!</v>
      </c>
      <c r="AY27" t="e">
        <f>AND(#REF!,"AAAAAHs+iTI=")</f>
        <v>#REF!</v>
      </c>
      <c r="AZ27" t="e">
        <f>AND(#REF!,"AAAAAHs+iTM=")</f>
        <v>#REF!</v>
      </c>
      <c r="BA27" t="e">
        <f>AND(#REF!,"AAAAAHs+iTQ=")</f>
        <v>#REF!</v>
      </c>
      <c r="BB27" t="e">
        <f>AND(#REF!,"AAAAAHs+iTU=")</f>
        <v>#REF!</v>
      </c>
      <c r="BC27" t="e">
        <f>AND(#REF!,"AAAAAHs+iTY=")</f>
        <v>#REF!</v>
      </c>
      <c r="BD27" t="e">
        <f>AND(#REF!,"AAAAAHs+iTc=")</f>
        <v>#REF!</v>
      </c>
      <c r="BE27" t="e">
        <f>AND(#REF!,"AAAAAHs+iTg=")</f>
        <v>#REF!</v>
      </c>
      <c r="BF27" t="e">
        <f>AND(#REF!,"AAAAAHs+iTk=")</f>
        <v>#REF!</v>
      </c>
      <c r="BG27" t="e">
        <f>AND(#REF!,"AAAAAHs+iTo=")</f>
        <v>#REF!</v>
      </c>
      <c r="BH27" t="e">
        <f>AND(#REF!,"AAAAAHs+iTs=")</f>
        <v>#REF!</v>
      </c>
      <c r="BI27" t="e">
        <f>AND(#REF!,"AAAAAHs+iTw=")</f>
        <v>#REF!</v>
      </c>
      <c r="BJ27" t="e">
        <f>AND(#REF!,"AAAAAHs+iT0=")</f>
        <v>#REF!</v>
      </c>
      <c r="BK27" t="e">
        <f>AND(#REF!,"AAAAAHs+iT4=")</f>
        <v>#REF!</v>
      </c>
      <c r="BL27" t="e">
        <f>AND(#REF!,"AAAAAHs+iT8=")</f>
        <v>#REF!</v>
      </c>
      <c r="BM27" t="e">
        <f>AND(#REF!,"AAAAAHs+iUA=")</f>
        <v>#REF!</v>
      </c>
      <c r="BN27" t="e">
        <f>AND(#REF!,"AAAAAHs+iUE=")</f>
        <v>#REF!</v>
      </c>
      <c r="BO27" t="e">
        <f>AND(#REF!,"AAAAAHs+iUI=")</f>
        <v>#REF!</v>
      </c>
      <c r="BP27" t="e">
        <f>AND(#REF!,"AAAAAHs+iUM=")</f>
        <v>#REF!</v>
      </c>
      <c r="BQ27" t="e">
        <f>AND(#REF!,"AAAAAHs+iUQ=")</f>
        <v>#REF!</v>
      </c>
      <c r="BR27" t="e">
        <f>AND(#REF!,"AAAAAHs+iUU=")</f>
        <v>#REF!</v>
      </c>
      <c r="BS27" t="e">
        <f>AND(#REF!,"AAAAAHs+iUY=")</f>
        <v>#REF!</v>
      </c>
      <c r="BT27" t="e">
        <f>AND(#REF!,"AAAAAHs+iUc=")</f>
        <v>#REF!</v>
      </c>
      <c r="BU27" t="e">
        <f>AND(#REF!,"AAAAAHs+iUg=")</f>
        <v>#REF!</v>
      </c>
      <c r="BV27" t="e">
        <f>AND(#REF!,"AAAAAHs+iUk=")</f>
        <v>#REF!</v>
      </c>
      <c r="BW27" t="e">
        <f>AND(#REF!,"AAAAAHs+iUo=")</f>
        <v>#REF!</v>
      </c>
      <c r="BX27" t="e">
        <f>AND(#REF!,"AAAAAHs+iUs=")</f>
        <v>#REF!</v>
      </c>
      <c r="BY27" t="e">
        <f>AND(#REF!,"AAAAAHs+iUw=")</f>
        <v>#REF!</v>
      </c>
      <c r="BZ27" t="e">
        <f>AND(#REF!,"AAAAAHs+iU0=")</f>
        <v>#REF!</v>
      </c>
      <c r="CA27" t="e">
        <f>AND(#REF!,"AAAAAHs+iU4=")</f>
        <v>#REF!</v>
      </c>
      <c r="CB27" t="e">
        <f>AND(#REF!,"AAAAAHs+iU8=")</f>
        <v>#REF!</v>
      </c>
      <c r="CC27" t="e">
        <f>AND(#REF!,"AAAAAHs+iVA=")</f>
        <v>#REF!</v>
      </c>
      <c r="CD27" t="e">
        <f>AND(#REF!,"AAAAAHs+iVE=")</f>
        <v>#REF!</v>
      </c>
      <c r="CE27" t="e">
        <f>AND(#REF!,"AAAAAHs+iVI=")</f>
        <v>#REF!</v>
      </c>
      <c r="CF27" t="e">
        <f>AND(#REF!,"AAAAAHs+iVM=")</f>
        <v>#REF!</v>
      </c>
      <c r="CG27" t="e">
        <f>AND(#REF!,"AAAAAHs+iVQ=")</f>
        <v>#REF!</v>
      </c>
      <c r="CH27" t="e">
        <f>AND(#REF!,"AAAAAHs+iVU=")</f>
        <v>#REF!</v>
      </c>
      <c r="CI27" t="e">
        <f>AND(#REF!,"AAAAAHs+iVY=")</f>
        <v>#REF!</v>
      </c>
      <c r="CJ27" t="e">
        <f>AND(#REF!,"AAAAAHs+iVc=")</f>
        <v>#REF!</v>
      </c>
      <c r="CK27" t="e">
        <f>AND(#REF!,"AAAAAHs+iVg=")</f>
        <v>#REF!</v>
      </c>
      <c r="CL27" t="e">
        <f>AND(#REF!,"AAAAAHs+iVk=")</f>
        <v>#REF!</v>
      </c>
      <c r="CM27" t="e">
        <f>AND(#REF!,"AAAAAHs+iVo=")</f>
        <v>#REF!</v>
      </c>
      <c r="CN27" t="e">
        <f>AND(#REF!,"AAAAAHs+iVs=")</f>
        <v>#REF!</v>
      </c>
      <c r="CO27" t="e">
        <f>AND(#REF!,"AAAAAHs+iVw=")</f>
        <v>#REF!</v>
      </c>
      <c r="CP27" t="e">
        <f>AND(#REF!,"AAAAAHs+iV0=")</f>
        <v>#REF!</v>
      </c>
      <c r="CQ27" t="e">
        <f>AND(#REF!,"AAAAAHs+iV4=")</f>
        <v>#REF!</v>
      </c>
      <c r="CR27" t="e">
        <f>AND(#REF!,"AAAAAHs+iV8=")</f>
        <v>#REF!</v>
      </c>
      <c r="CS27" t="e">
        <f>AND(#REF!,"AAAAAHs+iWA=")</f>
        <v>#REF!</v>
      </c>
      <c r="CT27" t="e">
        <f>AND(#REF!,"AAAAAHs+iWE=")</f>
        <v>#REF!</v>
      </c>
      <c r="CU27" t="e">
        <f>AND(#REF!,"AAAAAHs+iWI=")</f>
        <v>#REF!</v>
      </c>
      <c r="CV27" t="e">
        <f>AND(#REF!,"AAAAAHs+iWM=")</f>
        <v>#REF!</v>
      </c>
      <c r="CW27" t="e">
        <f>AND(#REF!,"AAAAAHs+iWQ=")</f>
        <v>#REF!</v>
      </c>
      <c r="CX27" t="e">
        <f>AND(#REF!,"AAAAAHs+iWU=")</f>
        <v>#REF!</v>
      </c>
      <c r="CY27" t="e">
        <f>AND(#REF!,"AAAAAHs+iWY=")</f>
        <v>#REF!</v>
      </c>
      <c r="CZ27" t="e">
        <f>AND(#REF!,"AAAAAHs+iWc=")</f>
        <v>#REF!</v>
      </c>
      <c r="DA27" t="e">
        <f>AND(#REF!,"AAAAAHs+iWg=")</f>
        <v>#REF!</v>
      </c>
      <c r="DB27" t="e">
        <f>AND(#REF!,"AAAAAHs+iWk=")</f>
        <v>#REF!</v>
      </c>
      <c r="DC27" t="e">
        <f>AND(#REF!,"AAAAAHs+iWo=")</f>
        <v>#REF!</v>
      </c>
      <c r="DD27" t="e">
        <f>AND(#REF!,"AAAAAHs+iWs=")</f>
        <v>#REF!</v>
      </c>
      <c r="DE27" t="e">
        <f>AND(#REF!,"AAAAAHs+iWw=")</f>
        <v>#REF!</v>
      </c>
      <c r="DF27" t="e">
        <f>AND(#REF!,"AAAAAHs+iW0=")</f>
        <v>#REF!</v>
      </c>
      <c r="DG27" t="e">
        <f>AND(#REF!,"AAAAAHs+iW4=")</f>
        <v>#REF!</v>
      </c>
      <c r="DH27" t="e">
        <f>AND(#REF!,"AAAAAHs+iW8=")</f>
        <v>#REF!</v>
      </c>
      <c r="DI27" t="e">
        <f>AND(#REF!,"AAAAAHs+iXA=")</f>
        <v>#REF!</v>
      </c>
      <c r="DJ27" t="e">
        <f>AND(#REF!,"AAAAAHs+iXE=")</f>
        <v>#REF!</v>
      </c>
      <c r="DK27" t="e">
        <f>AND(#REF!,"AAAAAHs+iXI=")</f>
        <v>#REF!</v>
      </c>
      <c r="DL27" t="e">
        <f>AND(#REF!,"AAAAAHs+iXM=")</f>
        <v>#REF!</v>
      </c>
      <c r="DM27" t="e">
        <f>AND(#REF!,"AAAAAHs+iXQ=")</f>
        <v>#REF!</v>
      </c>
      <c r="DN27" t="e">
        <f>AND(#REF!,"AAAAAHs+iXU=")</f>
        <v>#REF!</v>
      </c>
      <c r="DO27" t="e">
        <f>AND(#REF!,"AAAAAHs+iXY=")</f>
        <v>#REF!</v>
      </c>
      <c r="DP27" t="e">
        <f>AND(#REF!,"AAAAAHs+iXc=")</f>
        <v>#REF!</v>
      </c>
      <c r="DQ27" t="e">
        <f>AND(#REF!,"AAAAAHs+iXg=")</f>
        <v>#REF!</v>
      </c>
      <c r="DR27" t="e">
        <f>AND(#REF!,"AAAAAHs+iXk=")</f>
        <v>#REF!</v>
      </c>
      <c r="DS27" t="e">
        <f>AND(#REF!,"AAAAAHs+iXo=")</f>
        <v>#REF!</v>
      </c>
      <c r="DT27" t="e">
        <f>AND(#REF!,"AAAAAHs+iXs=")</f>
        <v>#REF!</v>
      </c>
      <c r="DU27" t="e">
        <f>AND(#REF!,"AAAAAHs+iXw=")</f>
        <v>#REF!</v>
      </c>
      <c r="DV27" t="e">
        <f>AND(#REF!,"AAAAAHs+iX0=")</f>
        <v>#REF!</v>
      </c>
      <c r="DW27" t="e">
        <f>AND(#REF!,"AAAAAHs+iX4=")</f>
        <v>#REF!</v>
      </c>
      <c r="DX27" t="e">
        <f>AND(#REF!,"AAAAAHs+iX8=")</f>
        <v>#REF!</v>
      </c>
      <c r="DY27" t="e">
        <f>AND(#REF!,"AAAAAHs+iYA=")</f>
        <v>#REF!</v>
      </c>
      <c r="DZ27" t="e">
        <f>AND(#REF!,"AAAAAHs+iYE=")</f>
        <v>#REF!</v>
      </c>
      <c r="EA27" t="e">
        <f>AND(#REF!,"AAAAAHs+iYI=")</f>
        <v>#REF!</v>
      </c>
      <c r="EB27" t="e">
        <f>AND(#REF!,"AAAAAHs+iYM=")</f>
        <v>#REF!</v>
      </c>
      <c r="EC27" t="e">
        <f>AND(#REF!,"AAAAAHs+iYQ=")</f>
        <v>#REF!</v>
      </c>
      <c r="ED27" t="e">
        <f>AND(#REF!,"AAAAAHs+iYU=")</f>
        <v>#REF!</v>
      </c>
      <c r="EE27" t="e">
        <f>AND(#REF!,"AAAAAHs+iYY=")</f>
        <v>#REF!</v>
      </c>
      <c r="EF27" t="e">
        <f>AND(#REF!,"AAAAAHs+iYc=")</f>
        <v>#REF!</v>
      </c>
      <c r="EG27" t="e">
        <f>AND(#REF!,"AAAAAHs+iYg=")</f>
        <v>#REF!</v>
      </c>
      <c r="EH27" t="e">
        <f>AND(#REF!,"AAAAAHs+iYk=")</f>
        <v>#REF!</v>
      </c>
      <c r="EI27" t="e">
        <f>AND(#REF!,"AAAAAHs+iYo=")</f>
        <v>#REF!</v>
      </c>
      <c r="EJ27" t="e">
        <f>AND(#REF!,"AAAAAHs+iYs=")</f>
        <v>#REF!</v>
      </c>
      <c r="EK27" t="e">
        <f>AND(#REF!,"AAAAAHs+iYw=")</f>
        <v>#REF!</v>
      </c>
      <c r="EL27" t="e">
        <f>AND(#REF!,"AAAAAHs+iY0=")</f>
        <v>#REF!</v>
      </c>
      <c r="EM27" t="e">
        <f>AND(#REF!,"AAAAAHs+iY4=")</f>
        <v>#REF!</v>
      </c>
      <c r="EN27" t="e">
        <f>AND(#REF!,"AAAAAHs+iY8=")</f>
        <v>#REF!</v>
      </c>
      <c r="EO27" t="e">
        <f>AND(#REF!,"AAAAAHs+iZA=")</f>
        <v>#REF!</v>
      </c>
      <c r="EP27" t="e">
        <f>AND(#REF!,"AAAAAHs+iZE=")</f>
        <v>#REF!</v>
      </c>
      <c r="EQ27" t="e">
        <f>AND(#REF!,"AAAAAHs+iZI=")</f>
        <v>#REF!</v>
      </c>
      <c r="ER27" t="e">
        <f>AND(#REF!,"AAAAAHs+iZM=")</f>
        <v>#REF!</v>
      </c>
      <c r="ES27" t="e">
        <f>AND(#REF!,"AAAAAHs+iZQ=")</f>
        <v>#REF!</v>
      </c>
      <c r="ET27" t="e">
        <f>AND(#REF!,"AAAAAHs+iZU=")</f>
        <v>#REF!</v>
      </c>
      <c r="EU27" t="e">
        <f>AND(#REF!,"AAAAAHs+iZY=")</f>
        <v>#REF!</v>
      </c>
      <c r="EV27" t="e">
        <f>AND(#REF!,"AAAAAHs+iZc=")</f>
        <v>#REF!</v>
      </c>
      <c r="EW27" t="e">
        <f>AND(#REF!,"AAAAAHs+iZg=")</f>
        <v>#REF!</v>
      </c>
      <c r="EX27" t="e">
        <f>AND(#REF!,"AAAAAHs+iZk=")</f>
        <v>#REF!</v>
      </c>
      <c r="EY27" t="e">
        <f>AND(#REF!,"AAAAAHs+iZo=")</f>
        <v>#REF!</v>
      </c>
      <c r="EZ27" t="e">
        <f>AND(#REF!,"AAAAAHs+iZs=")</f>
        <v>#REF!</v>
      </c>
      <c r="FA27" t="e">
        <f>AND(#REF!,"AAAAAHs+iZw=")</f>
        <v>#REF!</v>
      </c>
      <c r="FB27" t="e">
        <f>AND(#REF!,"AAAAAHs+iZ0=")</f>
        <v>#REF!</v>
      </c>
      <c r="FC27" t="e">
        <f>AND(#REF!,"AAAAAHs+iZ4=")</f>
        <v>#REF!</v>
      </c>
      <c r="FD27" t="e">
        <f>AND(#REF!,"AAAAAHs+iZ8=")</f>
        <v>#REF!</v>
      </c>
      <c r="FE27" t="e">
        <f>AND(#REF!,"AAAAAHs+iaA=")</f>
        <v>#REF!</v>
      </c>
      <c r="FF27" t="e">
        <f>AND(#REF!,"AAAAAHs+iaE=")</f>
        <v>#REF!</v>
      </c>
      <c r="FG27" t="e">
        <f>AND(#REF!,"AAAAAHs+iaI=")</f>
        <v>#REF!</v>
      </c>
      <c r="FH27" t="e">
        <f>AND(#REF!,"AAAAAHs+iaM=")</f>
        <v>#REF!</v>
      </c>
      <c r="FI27" t="e">
        <f>AND(#REF!,"AAAAAHs+iaQ=")</f>
        <v>#REF!</v>
      </c>
      <c r="FJ27" t="e">
        <f>AND(#REF!,"AAAAAHs+iaU=")</f>
        <v>#REF!</v>
      </c>
      <c r="FK27" t="e">
        <f>AND(#REF!,"AAAAAHs+iaY=")</f>
        <v>#REF!</v>
      </c>
      <c r="FL27" t="e">
        <f>AND(#REF!,"AAAAAHs+iac=")</f>
        <v>#REF!</v>
      </c>
      <c r="FM27" t="e">
        <f>AND(#REF!,"AAAAAHs+iag=")</f>
        <v>#REF!</v>
      </c>
      <c r="FN27" t="e">
        <f>AND(#REF!,"AAAAAHs+iak=")</f>
        <v>#REF!</v>
      </c>
      <c r="FO27" t="e">
        <f>AND(#REF!,"AAAAAHs+iao=")</f>
        <v>#REF!</v>
      </c>
      <c r="FP27" t="e">
        <f>AND(#REF!,"AAAAAHs+ias=")</f>
        <v>#REF!</v>
      </c>
      <c r="FQ27" t="e">
        <f>AND(#REF!,"AAAAAHs+iaw=")</f>
        <v>#REF!</v>
      </c>
      <c r="FR27" t="e">
        <f>AND(#REF!,"AAAAAHs+ia0=")</f>
        <v>#REF!</v>
      </c>
      <c r="FS27" t="e">
        <f>AND(#REF!,"AAAAAHs+ia4=")</f>
        <v>#REF!</v>
      </c>
      <c r="FT27" t="e">
        <f>AND(#REF!,"AAAAAHs+ia8=")</f>
        <v>#REF!</v>
      </c>
      <c r="FU27" t="e">
        <f>AND(#REF!,"AAAAAHs+ibA=")</f>
        <v>#REF!</v>
      </c>
      <c r="FV27" t="e">
        <f>AND(#REF!,"AAAAAHs+ibE=")</f>
        <v>#REF!</v>
      </c>
      <c r="FW27" t="e">
        <f>AND(#REF!,"AAAAAHs+ibI=")</f>
        <v>#REF!</v>
      </c>
      <c r="FX27" t="e">
        <f>AND(#REF!,"AAAAAHs+ibM=")</f>
        <v>#REF!</v>
      </c>
      <c r="FY27" t="e">
        <f>AND(#REF!,"AAAAAHs+ibQ=")</f>
        <v>#REF!</v>
      </c>
      <c r="FZ27" t="e">
        <f>AND(#REF!,"AAAAAHs+ibU=")</f>
        <v>#REF!</v>
      </c>
      <c r="GA27" t="e">
        <f>AND(#REF!,"AAAAAHs+ibY=")</f>
        <v>#REF!</v>
      </c>
      <c r="GB27" t="e">
        <f>AND(#REF!,"AAAAAHs+ibc=")</f>
        <v>#REF!</v>
      </c>
      <c r="GC27" t="e">
        <f>AND(#REF!,"AAAAAHs+ibg=")</f>
        <v>#REF!</v>
      </c>
      <c r="GD27" t="e">
        <f>AND(#REF!,"AAAAAHs+ibk=")</f>
        <v>#REF!</v>
      </c>
      <c r="GE27" t="e">
        <f>AND(#REF!,"AAAAAHs+ibo=")</f>
        <v>#REF!</v>
      </c>
      <c r="GF27" t="e">
        <f>AND(#REF!,"AAAAAHs+ibs=")</f>
        <v>#REF!</v>
      </c>
      <c r="GG27" t="e">
        <f>AND(#REF!,"AAAAAHs+ibw=")</f>
        <v>#REF!</v>
      </c>
      <c r="GH27" t="e">
        <f>AND(#REF!,"AAAAAHs+ib0=")</f>
        <v>#REF!</v>
      </c>
      <c r="GI27" t="e">
        <f>AND(#REF!,"AAAAAHs+ib4=")</f>
        <v>#REF!</v>
      </c>
      <c r="GJ27" t="e">
        <f>AND(#REF!,"AAAAAHs+ib8=")</f>
        <v>#REF!</v>
      </c>
      <c r="GK27" t="e">
        <f>AND(#REF!,"AAAAAHs+icA=")</f>
        <v>#REF!</v>
      </c>
      <c r="GL27" t="e">
        <f>AND(#REF!,"AAAAAHs+icE=")</f>
        <v>#REF!</v>
      </c>
      <c r="GM27" t="e">
        <f>AND(#REF!,"AAAAAHs+icI=")</f>
        <v>#REF!</v>
      </c>
      <c r="GN27" t="e">
        <f>AND(#REF!,"AAAAAHs+icM=")</f>
        <v>#REF!</v>
      </c>
      <c r="GO27" t="e">
        <f>AND(#REF!,"AAAAAHs+icQ=")</f>
        <v>#REF!</v>
      </c>
      <c r="GP27" t="e">
        <f>AND(#REF!,"AAAAAHs+icU=")</f>
        <v>#REF!</v>
      </c>
      <c r="GQ27" t="e">
        <f>AND(#REF!,"AAAAAHs+icY=")</f>
        <v>#REF!</v>
      </c>
      <c r="GR27" t="e">
        <f>AND(#REF!,"AAAAAHs+icc=")</f>
        <v>#REF!</v>
      </c>
      <c r="GS27" t="e">
        <f>AND(#REF!,"AAAAAHs+icg=")</f>
        <v>#REF!</v>
      </c>
      <c r="GT27" t="e">
        <f>AND(#REF!,"AAAAAHs+ick=")</f>
        <v>#REF!</v>
      </c>
      <c r="GU27" t="e">
        <f>AND(#REF!,"AAAAAHs+ico=")</f>
        <v>#REF!</v>
      </c>
      <c r="GV27" t="e">
        <f>AND(#REF!,"AAAAAHs+ics=")</f>
        <v>#REF!</v>
      </c>
      <c r="GW27" t="e">
        <f>AND(#REF!,"AAAAAHs+icw=")</f>
        <v>#REF!</v>
      </c>
      <c r="GX27" t="e">
        <f>AND(#REF!,"AAAAAHs+ic0=")</f>
        <v>#REF!</v>
      </c>
      <c r="GY27" t="e">
        <f>AND(#REF!,"AAAAAHs+ic4=")</f>
        <v>#REF!</v>
      </c>
      <c r="GZ27" t="e">
        <f>AND(#REF!,"AAAAAHs+ic8=")</f>
        <v>#REF!</v>
      </c>
      <c r="HA27" t="e">
        <f>AND(#REF!,"AAAAAHs+idA=")</f>
        <v>#REF!</v>
      </c>
      <c r="HB27" t="e">
        <f>AND(#REF!,"AAAAAHs+idE=")</f>
        <v>#REF!</v>
      </c>
      <c r="HC27" t="e">
        <f>AND(#REF!,"AAAAAHs+idI=")</f>
        <v>#REF!</v>
      </c>
      <c r="HD27" t="e">
        <f>AND(#REF!,"AAAAAHs+idM=")</f>
        <v>#REF!</v>
      </c>
      <c r="HE27" t="e">
        <f>AND(#REF!,"AAAAAHs+idQ=")</f>
        <v>#REF!</v>
      </c>
      <c r="HF27" t="e">
        <f>AND(#REF!,"AAAAAHs+idU=")</f>
        <v>#REF!</v>
      </c>
      <c r="HG27" t="e">
        <f>AND(#REF!,"AAAAAHs+idY=")</f>
        <v>#REF!</v>
      </c>
      <c r="HH27" t="e">
        <f>AND(#REF!,"AAAAAHs+idc=")</f>
        <v>#REF!</v>
      </c>
      <c r="HI27" t="e">
        <f>AND(#REF!,"AAAAAHs+idg=")</f>
        <v>#REF!</v>
      </c>
      <c r="HJ27" t="e">
        <f>AND(#REF!,"AAAAAHs+idk=")</f>
        <v>#REF!</v>
      </c>
      <c r="HK27" t="e">
        <f>AND(#REF!,"AAAAAHs+ido=")</f>
        <v>#REF!</v>
      </c>
      <c r="HL27" t="e">
        <f>AND(#REF!,"AAAAAHs+ids=")</f>
        <v>#REF!</v>
      </c>
      <c r="HM27" t="e">
        <f>AND(#REF!,"AAAAAHs+idw=")</f>
        <v>#REF!</v>
      </c>
      <c r="HN27" t="e">
        <f>AND(#REF!,"AAAAAHs+id0=")</f>
        <v>#REF!</v>
      </c>
      <c r="HO27" t="e">
        <f>AND(#REF!,"AAAAAHs+id4=")</f>
        <v>#REF!</v>
      </c>
      <c r="HP27" t="e">
        <f>AND(#REF!,"AAAAAHs+id8=")</f>
        <v>#REF!</v>
      </c>
      <c r="HQ27" t="e">
        <f>AND(#REF!,"AAAAAHs+ieA=")</f>
        <v>#REF!</v>
      </c>
      <c r="HR27" t="e">
        <f>AND(#REF!,"AAAAAHs+ieE=")</f>
        <v>#REF!</v>
      </c>
      <c r="HS27" t="e">
        <f>AND(#REF!,"AAAAAHs+ieI=")</f>
        <v>#REF!</v>
      </c>
      <c r="HT27" t="e">
        <f>AND(#REF!,"AAAAAHs+ieM=")</f>
        <v>#REF!</v>
      </c>
      <c r="HU27" t="e">
        <f>AND(#REF!,"AAAAAHs+ieQ=")</f>
        <v>#REF!</v>
      </c>
      <c r="HV27" t="e">
        <f>AND(#REF!,"AAAAAHs+ieU=")</f>
        <v>#REF!</v>
      </c>
      <c r="HW27" t="e">
        <f>AND(#REF!,"AAAAAHs+ieY=")</f>
        <v>#REF!</v>
      </c>
      <c r="HX27" t="e">
        <f>AND(#REF!,"AAAAAHs+iec=")</f>
        <v>#REF!</v>
      </c>
      <c r="HY27" t="e">
        <f>AND(#REF!,"AAAAAHs+ieg=")</f>
        <v>#REF!</v>
      </c>
      <c r="HZ27" t="e">
        <f>AND(#REF!,"AAAAAHs+iek=")</f>
        <v>#REF!</v>
      </c>
      <c r="IA27" t="e">
        <f>AND(#REF!,"AAAAAHs+ieo=")</f>
        <v>#REF!</v>
      </c>
      <c r="IB27" t="e">
        <f>AND(#REF!,"AAAAAHs+ies=")</f>
        <v>#REF!</v>
      </c>
      <c r="IC27" t="e">
        <f>AND(#REF!,"AAAAAHs+iew=")</f>
        <v>#REF!</v>
      </c>
      <c r="ID27" t="e">
        <f>AND(#REF!,"AAAAAHs+ie0=")</f>
        <v>#REF!</v>
      </c>
      <c r="IE27" t="e">
        <f>AND(#REF!,"AAAAAHs+ie4=")</f>
        <v>#REF!</v>
      </c>
      <c r="IF27" t="e">
        <f>AND(#REF!,"AAAAAHs+ie8=")</f>
        <v>#REF!</v>
      </c>
      <c r="IG27" t="e">
        <f>AND(#REF!,"AAAAAHs+ifA=")</f>
        <v>#REF!</v>
      </c>
      <c r="IH27" t="e">
        <f>AND(#REF!,"AAAAAHs+ifE=")</f>
        <v>#REF!</v>
      </c>
      <c r="II27" t="e">
        <f>AND(#REF!,"AAAAAHs+ifI=")</f>
        <v>#REF!</v>
      </c>
      <c r="IJ27" t="e">
        <f>AND(#REF!,"AAAAAHs+ifM=")</f>
        <v>#REF!</v>
      </c>
      <c r="IK27" t="e">
        <f>AND(#REF!,"AAAAAHs+ifQ=")</f>
        <v>#REF!</v>
      </c>
      <c r="IL27" t="e">
        <f>AND(#REF!,"AAAAAHs+ifU=")</f>
        <v>#REF!</v>
      </c>
      <c r="IM27" t="e">
        <f>AND(#REF!,"AAAAAHs+ifY=")</f>
        <v>#REF!</v>
      </c>
      <c r="IN27" t="e">
        <f>AND(#REF!,"AAAAAHs+ifc=")</f>
        <v>#REF!</v>
      </c>
      <c r="IO27" t="e">
        <f>AND(#REF!,"AAAAAHs+ifg=")</f>
        <v>#REF!</v>
      </c>
      <c r="IP27" t="e">
        <f>AND(#REF!,"AAAAAHs+ifk=")</f>
        <v>#REF!</v>
      </c>
      <c r="IQ27" t="e">
        <f>AND(#REF!,"AAAAAHs+ifo=")</f>
        <v>#REF!</v>
      </c>
      <c r="IR27" t="e">
        <f>AND(#REF!,"AAAAAHs+ifs=")</f>
        <v>#REF!</v>
      </c>
      <c r="IS27" t="e">
        <f>AND(#REF!,"AAAAAHs+ifw=")</f>
        <v>#REF!</v>
      </c>
      <c r="IT27" t="e">
        <f>AND(#REF!,"AAAAAHs+if0=")</f>
        <v>#REF!</v>
      </c>
      <c r="IU27" t="e">
        <f>AND(#REF!,"AAAAAHs+if4=")</f>
        <v>#REF!</v>
      </c>
      <c r="IV27" t="e">
        <f>AND(#REF!,"AAAAAHs+if8=")</f>
        <v>#REF!</v>
      </c>
    </row>
    <row r="28" spans="1:256">
      <c r="A28" t="e">
        <f>AND(#REF!,"AAAAAG/3ewA=")</f>
        <v>#REF!</v>
      </c>
      <c r="B28" t="e">
        <f>AND(#REF!,"AAAAAG/3ewE=")</f>
        <v>#REF!</v>
      </c>
      <c r="C28" t="e">
        <f>AND(#REF!,"AAAAAG/3ewI=")</f>
        <v>#REF!</v>
      </c>
      <c r="D28" t="e">
        <f>AND(#REF!,"AAAAAG/3ewM=")</f>
        <v>#REF!</v>
      </c>
      <c r="E28" t="e">
        <f>AND(#REF!,"AAAAAG/3ewQ=")</f>
        <v>#REF!</v>
      </c>
      <c r="F28" t="e">
        <f>AND(#REF!,"AAAAAG/3ewU=")</f>
        <v>#REF!</v>
      </c>
      <c r="G28" t="e">
        <f>AND(#REF!,"AAAAAG/3ewY=")</f>
        <v>#REF!</v>
      </c>
      <c r="H28" t="e">
        <f>AND(#REF!,"AAAAAG/3ewc=")</f>
        <v>#REF!</v>
      </c>
      <c r="I28" t="e">
        <f>AND(#REF!,"AAAAAG/3ewg=")</f>
        <v>#REF!</v>
      </c>
      <c r="J28" t="e">
        <f>AND(#REF!,"AAAAAG/3ewk=")</f>
        <v>#REF!</v>
      </c>
      <c r="K28" t="e">
        <f>AND(#REF!,"AAAAAG/3ewo=")</f>
        <v>#REF!</v>
      </c>
      <c r="L28" t="e">
        <f>AND(#REF!,"AAAAAG/3ews=")</f>
        <v>#REF!</v>
      </c>
      <c r="M28" t="e">
        <f>AND(#REF!,"AAAAAG/3eww=")</f>
        <v>#REF!</v>
      </c>
      <c r="N28" t="e">
        <f>AND(#REF!,"AAAAAG/3ew0=")</f>
        <v>#REF!</v>
      </c>
      <c r="O28" t="e">
        <f>AND(#REF!,"AAAAAG/3ew4=")</f>
        <v>#REF!</v>
      </c>
      <c r="P28" t="e">
        <f>AND(#REF!,"AAAAAG/3ew8=")</f>
        <v>#REF!</v>
      </c>
      <c r="Q28" t="e">
        <f>AND(#REF!,"AAAAAG/3exA=")</f>
        <v>#REF!</v>
      </c>
      <c r="R28" t="e">
        <f>AND(#REF!,"AAAAAG/3exE=")</f>
        <v>#REF!</v>
      </c>
      <c r="S28" t="e">
        <f>AND(#REF!,"AAAAAG/3exI=")</f>
        <v>#REF!</v>
      </c>
      <c r="T28" t="e">
        <f>AND(#REF!,"AAAAAG/3exM=")</f>
        <v>#REF!</v>
      </c>
      <c r="U28" t="e">
        <f>AND(#REF!,"AAAAAG/3exQ=")</f>
        <v>#REF!</v>
      </c>
      <c r="V28" t="e">
        <f>AND(#REF!,"AAAAAG/3exU=")</f>
        <v>#REF!</v>
      </c>
      <c r="W28" t="e">
        <f>AND(#REF!,"AAAAAG/3exY=")</f>
        <v>#REF!</v>
      </c>
      <c r="X28" t="e">
        <f>AND(#REF!,"AAAAAG/3exc=")</f>
        <v>#REF!</v>
      </c>
      <c r="Y28">
        <f>IF(DSSP!2:2,"AAAAAG/3exg=",0)</f>
        <v>0</v>
      </c>
      <c r="Z28" t="e">
        <f>AND(DSSP!A2,"AAAAAG/3exk=")</f>
        <v>#VALUE!</v>
      </c>
      <c r="AA28" t="e">
        <f>AND(DSSP!B2,"AAAAAG/3exo=")</f>
        <v>#VALUE!</v>
      </c>
      <c r="AB28" t="e">
        <f>AND(DSSP!C2,"AAAAAG/3exs=")</f>
        <v>#VALUE!</v>
      </c>
      <c r="AC28" t="e">
        <f>AND(DSSP!E2,"AAAAAG/3exw=")</f>
        <v>#VALUE!</v>
      </c>
      <c r="AD28">
        <f>IF(DSSP!3:3,"AAAAAG/3ex0=",0)</f>
        <v>0</v>
      </c>
      <c r="AE28" t="e">
        <f>AND(DSSP!A3,"AAAAAG/3ex4=")</f>
        <v>#VALUE!</v>
      </c>
      <c r="AF28" t="e">
        <f>AND(DSSP!B3,"AAAAAG/3ex8=")</f>
        <v>#VALUE!</v>
      </c>
      <c r="AG28" t="e">
        <f>AND(DSSP!C3,"AAAAAG/3eyA=")</f>
        <v>#VALUE!</v>
      </c>
      <c r="AH28" t="e">
        <f>AND(DSSP!E3,"AAAAAG/3eyE=")</f>
        <v>#VALUE!</v>
      </c>
      <c r="AI28">
        <f>IF(DSSP!4:4,"AAAAAG/3eyI=",0)</f>
        <v>0</v>
      </c>
      <c r="AJ28" t="e">
        <f>AND(DSSP!A4,"AAAAAG/3eyM=")</f>
        <v>#VALUE!</v>
      </c>
      <c r="AK28" t="e">
        <f>AND(DSSP!B4,"AAAAAG/3eyQ=")</f>
        <v>#VALUE!</v>
      </c>
      <c r="AL28" t="e">
        <f>AND(DSSP!C4,"AAAAAG/3eyU=")</f>
        <v>#VALUE!</v>
      </c>
      <c r="AM28" t="e">
        <f>AND(DSSP!E4,"AAAAAG/3eyY=")</f>
        <v>#VALUE!</v>
      </c>
      <c r="AN28">
        <f>IF(DSSP!6:6,"AAAAAG/3eyc=",0)</f>
        <v>0</v>
      </c>
      <c r="AO28" t="e">
        <f>AND(DSSP!A6,"AAAAAG/3eyg=")</f>
        <v>#VALUE!</v>
      </c>
      <c r="AP28" t="e">
        <f>AND(DSSP!B6,"AAAAAG/3eyk=")</f>
        <v>#VALUE!</v>
      </c>
      <c r="AQ28" t="e">
        <f>AND(DSSP!C6,"AAAAAG/3eyo=")</f>
        <v>#VALUE!</v>
      </c>
      <c r="AR28" t="e">
        <f>AND(DSSP!E6,"AAAAAG/3eys=")</f>
        <v>#VALUE!</v>
      </c>
      <c r="AS28">
        <f>IF(DSSP!7:7,"AAAAAG/3eyw=",0)</f>
        <v>0</v>
      </c>
      <c r="AT28" t="e">
        <f>AND(DSSP!A7,"AAAAAG/3ey0=")</f>
        <v>#VALUE!</v>
      </c>
      <c r="AU28" t="e">
        <f>AND(DSSP!B7,"AAAAAG/3ey4=")</f>
        <v>#VALUE!</v>
      </c>
      <c r="AV28" t="e">
        <f>AND(DSSP!C7,"AAAAAG/3ey8=")</f>
        <v>#VALUE!</v>
      </c>
      <c r="AW28" t="e">
        <f>AND(DSSP!E7,"AAAAAG/3ezA=")</f>
        <v>#VALUE!</v>
      </c>
      <c r="AX28">
        <f>IF(DSSP!8:8,"AAAAAG/3ezE=",0)</f>
        <v>0</v>
      </c>
      <c r="AY28" t="e">
        <f>AND(DSSP!A8,"AAAAAG/3ezI=")</f>
        <v>#VALUE!</v>
      </c>
      <c r="AZ28" t="e">
        <f>AND(DSSP!B8,"AAAAAG/3ezM=")</f>
        <v>#VALUE!</v>
      </c>
      <c r="BA28" t="e">
        <f>AND(DSSP!C8,"AAAAAG/3ezQ=")</f>
        <v>#VALUE!</v>
      </c>
      <c r="BB28" t="e">
        <f>AND(DSSP!E8,"AAAAAG/3ezU=")</f>
        <v>#VALUE!</v>
      </c>
      <c r="BC28">
        <f>IF(DSSP!9:9,"AAAAAG/3ezY=",0)</f>
        <v>0</v>
      </c>
      <c r="BD28" t="e">
        <f>AND(DSSP!A9,"AAAAAG/3ezc=")</f>
        <v>#VALUE!</v>
      </c>
      <c r="BE28" t="e">
        <f>AND(DSSP!B9,"AAAAAG/3ezg=")</f>
        <v>#VALUE!</v>
      </c>
      <c r="BF28" t="e">
        <f>AND(DSSP!C9,"AAAAAG/3ezk=")</f>
        <v>#VALUE!</v>
      </c>
      <c r="BG28" t="e">
        <f>AND(DSSP!E9,"AAAAAG/3ezo=")</f>
        <v>#VALUE!</v>
      </c>
      <c r="BH28">
        <f>IF(DSSP!10:10,"AAAAAG/3ezs=",0)</f>
        <v>0</v>
      </c>
      <c r="BI28" t="e">
        <f>AND(DSSP!A10,"AAAAAG/3ezw=")</f>
        <v>#VALUE!</v>
      </c>
      <c r="BJ28" t="e">
        <f>AND(DSSP!B10,"AAAAAG/3ez0=")</f>
        <v>#VALUE!</v>
      </c>
      <c r="BK28" t="e">
        <f>AND(DSSP!C10,"AAAAAG/3ez4=")</f>
        <v>#VALUE!</v>
      </c>
      <c r="BL28" t="e">
        <f>AND(DSSP!E10,"AAAAAG/3ez8=")</f>
        <v>#VALUE!</v>
      </c>
      <c r="BM28">
        <f>IF(DSSP!11:11,"AAAAAG/3e0A=",0)</f>
        <v>0</v>
      </c>
      <c r="BN28" t="e">
        <f>AND(DSSP!A11,"AAAAAG/3e0E=")</f>
        <v>#VALUE!</v>
      </c>
      <c r="BO28" t="e">
        <f>AND(DSSP!B11,"AAAAAG/3e0I=")</f>
        <v>#VALUE!</v>
      </c>
      <c r="BP28" t="e">
        <f>AND(DSSP!C11,"AAAAAG/3e0M=")</f>
        <v>#VALUE!</v>
      </c>
      <c r="BQ28" t="e">
        <f>AND(DSSP!E11,"AAAAAG/3e0Q=")</f>
        <v>#VALUE!</v>
      </c>
      <c r="BR28">
        <f>IF(DSSP!12:12,"AAAAAG/3e0U=",0)</f>
        <v>0</v>
      </c>
      <c r="BS28" t="e">
        <f>AND(DSSP!A12,"AAAAAG/3e0Y=")</f>
        <v>#VALUE!</v>
      </c>
      <c r="BT28" t="e">
        <f>AND(DSSP!B12,"AAAAAG/3e0c=")</f>
        <v>#VALUE!</v>
      </c>
      <c r="BU28" t="e">
        <f>AND(DSSP!C12,"AAAAAG/3e0g=")</f>
        <v>#VALUE!</v>
      </c>
      <c r="BV28" t="e">
        <f>AND(DSSP!E12,"AAAAAG/3e0k=")</f>
        <v>#VALUE!</v>
      </c>
      <c r="BW28">
        <f>IF(DSSP!13:13,"AAAAAG/3e0o=",0)</f>
        <v>0</v>
      </c>
      <c r="BX28" t="e">
        <f>AND(DSSP!A13,"AAAAAG/3e0s=")</f>
        <v>#VALUE!</v>
      </c>
      <c r="BY28" t="e">
        <f>AND(DSSP!B13,"AAAAAG/3e0w=")</f>
        <v>#VALUE!</v>
      </c>
      <c r="BZ28" t="e">
        <f>AND(DSSP!C13,"AAAAAG/3e00=")</f>
        <v>#VALUE!</v>
      </c>
      <c r="CA28" t="e">
        <f>AND(DSSP!E13,"AAAAAG/3e04=")</f>
        <v>#VALUE!</v>
      </c>
      <c r="CB28">
        <f>IF(DSSP!14:14,"AAAAAG/3e08=",0)</f>
        <v>0</v>
      </c>
      <c r="CC28" t="e">
        <f>AND(DSSP!A14,"AAAAAG/3e1A=")</f>
        <v>#VALUE!</v>
      </c>
      <c r="CD28" t="e">
        <f>AND(DSSP!B14,"AAAAAG/3e1E=")</f>
        <v>#VALUE!</v>
      </c>
      <c r="CE28" t="e">
        <f>AND(DSSP!C14,"AAAAAG/3e1I=")</f>
        <v>#VALUE!</v>
      </c>
      <c r="CF28" t="e">
        <f>AND(DSSP!E14,"AAAAAG/3e1M=")</f>
        <v>#VALUE!</v>
      </c>
      <c r="CG28">
        <f>IF(DSSP!15:15,"AAAAAG/3e1Q=",0)</f>
        <v>0</v>
      </c>
      <c r="CH28" t="e">
        <f>AND(DSSP!A15,"AAAAAG/3e1U=")</f>
        <v>#VALUE!</v>
      </c>
      <c r="CI28" t="e">
        <f>AND(DSSP!B15,"AAAAAG/3e1Y=")</f>
        <v>#VALUE!</v>
      </c>
      <c r="CJ28" t="e">
        <f>AND(DSSP!C15,"AAAAAG/3e1c=")</f>
        <v>#VALUE!</v>
      </c>
      <c r="CK28" t="e">
        <f>AND(DSSP!E15,"AAAAAG/3e1g=")</f>
        <v>#VALUE!</v>
      </c>
      <c r="CL28">
        <f>IF(DSSP!16:16,"AAAAAG/3e1k=",0)</f>
        <v>0</v>
      </c>
      <c r="CM28" t="e">
        <f>AND(DSSP!A16,"AAAAAG/3e1o=")</f>
        <v>#VALUE!</v>
      </c>
      <c r="CN28" t="e">
        <f>AND(DSSP!B16,"AAAAAG/3e1s=")</f>
        <v>#VALUE!</v>
      </c>
      <c r="CO28" t="e">
        <f>AND(DSSP!C16,"AAAAAG/3e1w=")</f>
        <v>#VALUE!</v>
      </c>
      <c r="CP28" t="e">
        <f>AND(DSSP!E16,"AAAAAG/3e10=")</f>
        <v>#VALUE!</v>
      </c>
      <c r="CQ28">
        <f>IF(DSSP!17:17,"AAAAAG/3e14=",0)</f>
        <v>0</v>
      </c>
      <c r="CR28" t="e">
        <f>AND(DSSP!A17,"AAAAAG/3e18=")</f>
        <v>#VALUE!</v>
      </c>
      <c r="CS28" t="e">
        <f>AND(DSSP!B17,"AAAAAG/3e2A=")</f>
        <v>#VALUE!</v>
      </c>
      <c r="CT28" t="e">
        <f>AND(DSSP!C17,"AAAAAG/3e2E=")</f>
        <v>#VALUE!</v>
      </c>
      <c r="CU28" t="e">
        <f>AND(DSSP!E17,"AAAAAG/3e2I=")</f>
        <v>#VALUE!</v>
      </c>
      <c r="CV28">
        <f>IF(DSSP!18:18,"AAAAAG/3e2M=",0)</f>
        <v>0</v>
      </c>
      <c r="CW28" t="e">
        <f>AND(DSSP!A18,"AAAAAG/3e2Q=")</f>
        <v>#VALUE!</v>
      </c>
      <c r="CX28" t="e">
        <f>AND(DSSP!B18,"AAAAAG/3e2U=")</f>
        <v>#VALUE!</v>
      </c>
      <c r="CY28" t="e">
        <f>AND(DSSP!C18,"AAAAAG/3e2Y=")</f>
        <v>#VALUE!</v>
      </c>
      <c r="CZ28" t="e">
        <f>AND(DSSP!E18,"AAAAAG/3e2c=")</f>
        <v>#VALUE!</v>
      </c>
      <c r="DA28">
        <f>IF(DSSP!19:19,"AAAAAG/3e2g=",0)</f>
        <v>0</v>
      </c>
      <c r="DB28" t="e">
        <f>AND(DSSP!A19,"AAAAAG/3e2k=")</f>
        <v>#VALUE!</v>
      </c>
      <c r="DC28" t="e">
        <f>AND(DSSP!B19,"AAAAAG/3e2o=")</f>
        <v>#VALUE!</v>
      </c>
      <c r="DD28" t="e">
        <f>AND(DSSP!C19,"AAAAAG/3e2s=")</f>
        <v>#VALUE!</v>
      </c>
      <c r="DE28" t="e">
        <f>AND(DSSP!E19,"AAAAAG/3e2w=")</f>
        <v>#VALUE!</v>
      </c>
      <c r="DF28">
        <f>IF(DSSP!20:20,"AAAAAG/3e20=",0)</f>
        <v>0</v>
      </c>
      <c r="DG28" t="e">
        <f>AND(DSSP!A20,"AAAAAG/3e24=")</f>
        <v>#VALUE!</v>
      </c>
      <c r="DH28" t="e">
        <f>AND(DSSP!B20,"AAAAAG/3e28=")</f>
        <v>#VALUE!</v>
      </c>
      <c r="DI28" t="e">
        <f>AND(DSSP!C20,"AAAAAG/3e3A=")</f>
        <v>#VALUE!</v>
      </c>
      <c r="DJ28" t="e">
        <f>AND(DSSP!E20,"AAAAAG/3e3E=")</f>
        <v>#VALUE!</v>
      </c>
      <c r="DK28">
        <f>IF(DSSP!21:21,"AAAAAG/3e3I=",0)</f>
        <v>0</v>
      </c>
      <c r="DL28" t="e">
        <f>AND(DSSP!A21,"AAAAAG/3e3M=")</f>
        <v>#VALUE!</v>
      </c>
      <c r="DM28" t="e">
        <f>AND(DSSP!B21,"AAAAAG/3e3Q=")</f>
        <v>#VALUE!</v>
      </c>
      <c r="DN28" t="e">
        <f>AND(DSSP!C21,"AAAAAG/3e3U=")</f>
        <v>#VALUE!</v>
      </c>
      <c r="DO28" t="e">
        <f>AND(DSSP!E21,"AAAAAG/3e3Y=")</f>
        <v>#VALUE!</v>
      </c>
      <c r="DP28">
        <f>IF(DSSP!22:22,"AAAAAG/3e3c=",0)</f>
        <v>0</v>
      </c>
      <c r="DQ28" t="e">
        <f>AND(DSSP!A22,"AAAAAG/3e3g=")</f>
        <v>#VALUE!</v>
      </c>
      <c r="DR28" t="e">
        <f>AND(DSSP!B22,"AAAAAG/3e3k=")</f>
        <v>#VALUE!</v>
      </c>
      <c r="DS28" t="e">
        <f>AND(DSSP!C22,"AAAAAG/3e3o=")</f>
        <v>#VALUE!</v>
      </c>
      <c r="DT28" t="e">
        <f>AND(DSSP!E22,"AAAAAG/3e3s=")</f>
        <v>#VALUE!</v>
      </c>
      <c r="DU28">
        <f>IF(DSSP!23:23,"AAAAAG/3e3w=",0)</f>
        <v>0</v>
      </c>
      <c r="DV28" t="e">
        <f>AND(DSSP!A23,"AAAAAG/3e30=")</f>
        <v>#VALUE!</v>
      </c>
      <c r="DW28" t="e">
        <f>AND(DSSP!B23,"AAAAAG/3e34=")</f>
        <v>#VALUE!</v>
      </c>
      <c r="DX28" t="e">
        <f>AND(DSSP!C23,"AAAAAG/3e38=")</f>
        <v>#VALUE!</v>
      </c>
      <c r="DY28" t="e">
        <f>AND(DSSP!E23,"AAAAAG/3e4A=")</f>
        <v>#VALUE!</v>
      </c>
      <c r="DZ28">
        <f>IF(DSSP!24:24,"AAAAAG/3e4E=",0)</f>
        <v>0</v>
      </c>
      <c r="EA28" t="e">
        <f>AND(DSSP!A24,"AAAAAG/3e4I=")</f>
        <v>#VALUE!</v>
      </c>
      <c r="EB28" t="e">
        <f>AND(DSSP!B24,"AAAAAG/3e4M=")</f>
        <v>#VALUE!</v>
      </c>
      <c r="EC28" t="e">
        <f>AND(DSSP!C24,"AAAAAG/3e4Q=")</f>
        <v>#VALUE!</v>
      </c>
      <c r="ED28" t="e">
        <f>AND(DSSP!E24,"AAAAAG/3e4U=")</f>
        <v>#VALUE!</v>
      </c>
      <c r="EE28">
        <f>IF(DSSP!25:25,"AAAAAG/3e4Y=",0)</f>
        <v>0</v>
      </c>
      <c r="EF28" t="e">
        <f>AND(DSSP!A25,"AAAAAG/3e4c=")</f>
        <v>#VALUE!</v>
      </c>
      <c r="EG28" t="e">
        <f>AND(DSSP!B25,"AAAAAG/3e4g=")</f>
        <v>#VALUE!</v>
      </c>
      <c r="EH28" t="e">
        <f>AND(DSSP!C25,"AAAAAG/3e4k=")</f>
        <v>#VALUE!</v>
      </c>
      <c r="EI28" t="e">
        <f>AND(DSSP!E25,"AAAAAG/3e4o=")</f>
        <v>#VALUE!</v>
      </c>
      <c r="EJ28">
        <f>IF(DSSP!26:26,"AAAAAG/3e4s=",0)</f>
        <v>0</v>
      </c>
      <c r="EK28" t="e">
        <f>AND(DSSP!A26,"AAAAAG/3e4w=")</f>
        <v>#VALUE!</v>
      </c>
      <c r="EL28" t="e">
        <f>AND(DSSP!B26,"AAAAAG/3e40=")</f>
        <v>#VALUE!</v>
      </c>
      <c r="EM28" t="e">
        <f>AND(DSSP!C26,"AAAAAG/3e44=")</f>
        <v>#VALUE!</v>
      </c>
      <c r="EN28" t="e">
        <f>AND(DSSP!E26,"AAAAAG/3e48=")</f>
        <v>#VALUE!</v>
      </c>
      <c r="EO28">
        <f>IF(DSSP!27:27,"AAAAAG/3e5A=",0)</f>
        <v>0</v>
      </c>
      <c r="EP28" t="e">
        <f>AND(DSSP!A27,"AAAAAG/3e5E=")</f>
        <v>#VALUE!</v>
      </c>
      <c r="EQ28" t="e">
        <f>AND(DSSP!B27,"AAAAAG/3e5I=")</f>
        <v>#VALUE!</v>
      </c>
      <c r="ER28" t="e">
        <f>AND(DSSP!C27,"AAAAAG/3e5M=")</f>
        <v>#VALUE!</v>
      </c>
      <c r="ES28" t="e">
        <f>AND(DSSP!E27,"AAAAAG/3e5Q=")</f>
        <v>#VALUE!</v>
      </c>
      <c r="ET28">
        <f>IF(DSSP!28:28,"AAAAAG/3e5U=",0)</f>
        <v>0</v>
      </c>
      <c r="EU28" t="e">
        <f>AND(DSSP!A28,"AAAAAG/3e5Y=")</f>
        <v>#VALUE!</v>
      </c>
      <c r="EV28" t="e">
        <f>AND(DSSP!B28,"AAAAAG/3e5c=")</f>
        <v>#VALUE!</v>
      </c>
      <c r="EW28" t="e">
        <f>AND(DSSP!C28,"AAAAAG/3e5g=")</f>
        <v>#VALUE!</v>
      </c>
      <c r="EX28" t="e">
        <f>AND(DSSP!E28,"AAAAAG/3e5k=")</f>
        <v>#VALUE!</v>
      </c>
      <c r="EY28">
        <f>IF(DSSP!30:30,"AAAAAG/3e5o=",0)</f>
        <v>0</v>
      </c>
      <c r="EZ28" t="e">
        <f>AND(DSSP!A30,"AAAAAG/3e5s=")</f>
        <v>#VALUE!</v>
      </c>
      <c r="FA28" t="e">
        <f>AND(DSSP!B30,"AAAAAG/3e5w=")</f>
        <v>#VALUE!</v>
      </c>
      <c r="FB28" t="e">
        <f>AND(DSSP!C30,"AAAAAG/3e50=")</f>
        <v>#VALUE!</v>
      </c>
      <c r="FC28" t="e">
        <f>AND(DSSP!E30,"AAAAAG/3e54=")</f>
        <v>#VALUE!</v>
      </c>
      <c r="FD28">
        <f>IF(DSSP!31:31,"AAAAAG/3e58=",0)</f>
        <v>0</v>
      </c>
      <c r="FE28" t="e">
        <f>AND(DSSP!A31,"AAAAAG/3e6A=")</f>
        <v>#VALUE!</v>
      </c>
      <c r="FF28" t="e">
        <f>AND(DSSP!B31,"AAAAAG/3e6E=")</f>
        <v>#VALUE!</v>
      </c>
      <c r="FG28" t="e">
        <f>AND(DSSP!C31,"AAAAAG/3e6I=")</f>
        <v>#VALUE!</v>
      </c>
      <c r="FH28" t="e">
        <f>AND(DSSP!E31,"AAAAAG/3e6M=")</f>
        <v>#VALUE!</v>
      </c>
      <c r="FI28">
        <f>IF(DSSP!32:32,"AAAAAG/3e6Q=",0)</f>
        <v>0</v>
      </c>
      <c r="FJ28" t="e">
        <f>AND(DSSP!A32,"AAAAAG/3e6U=")</f>
        <v>#VALUE!</v>
      </c>
      <c r="FK28" t="e">
        <f>AND(DSSP!B32,"AAAAAG/3e6Y=")</f>
        <v>#VALUE!</v>
      </c>
      <c r="FL28" t="e">
        <f>AND(DSSP!C32,"AAAAAG/3e6c=")</f>
        <v>#VALUE!</v>
      </c>
      <c r="FM28" t="e">
        <f>AND(DSSP!E32,"AAAAAG/3e6g=")</f>
        <v>#VALUE!</v>
      </c>
      <c r="FN28">
        <f>IF(DSSP!33:33,"AAAAAG/3e6k=",0)</f>
        <v>0</v>
      </c>
      <c r="FO28" t="e">
        <f>AND(DSSP!A33,"AAAAAG/3e6o=")</f>
        <v>#VALUE!</v>
      </c>
      <c r="FP28" t="e">
        <f>AND(DSSP!B33,"AAAAAG/3e6s=")</f>
        <v>#VALUE!</v>
      </c>
      <c r="FQ28" t="e">
        <f>AND(DSSP!C33,"AAAAAG/3e6w=")</f>
        <v>#VALUE!</v>
      </c>
      <c r="FR28" t="e">
        <f>AND(DSSP!E33,"AAAAAG/3e60=")</f>
        <v>#VALUE!</v>
      </c>
      <c r="FS28">
        <f>IF(DSSP!34:34,"AAAAAG/3e64=",0)</f>
        <v>0</v>
      </c>
      <c r="FT28" t="e">
        <f>AND(DSSP!A34,"AAAAAG/3e68=")</f>
        <v>#VALUE!</v>
      </c>
      <c r="FU28" t="e">
        <f>AND(DSSP!B34,"AAAAAG/3e7A=")</f>
        <v>#VALUE!</v>
      </c>
      <c r="FV28" t="e">
        <f>AND(DSSP!C34,"AAAAAG/3e7E=")</f>
        <v>#VALUE!</v>
      </c>
      <c r="FW28" t="e">
        <f>AND(DSSP!E34,"AAAAAG/3e7I=")</f>
        <v>#VALUE!</v>
      </c>
      <c r="FX28">
        <f>IF(DSSP!35:35,"AAAAAG/3e7M=",0)</f>
        <v>0</v>
      </c>
      <c r="FY28" t="e">
        <f>AND(DSSP!A35,"AAAAAG/3e7Q=")</f>
        <v>#VALUE!</v>
      </c>
      <c r="FZ28" t="e">
        <f>AND(DSSP!B35,"AAAAAG/3e7U=")</f>
        <v>#VALUE!</v>
      </c>
      <c r="GA28" t="e">
        <f>AND(DSSP!C35,"AAAAAG/3e7Y=")</f>
        <v>#VALUE!</v>
      </c>
      <c r="GB28" t="e">
        <f>AND(DSSP!E35,"AAAAAG/3e7c=")</f>
        <v>#VALUE!</v>
      </c>
      <c r="GC28">
        <f>IF(DSSP!36:36,"AAAAAG/3e7g=",0)</f>
        <v>0</v>
      </c>
      <c r="GD28" t="e">
        <f>AND(DSSP!A36,"AAAAAG/3e7k=")</f>
        <v>#VALUE!</v>
      </c>
      <c r="GE28" t="e">
        <f>AND(DSSP!B36,"AAAAAG/3e7o=")</f>
        <v>#VALUE!</v>
      </c>
      <c r="GF28" t="e">
        <f>AND(DSSP!C36,"AAAAAG/3e7s=")</f>
        <v>#VALUE!</v>
      </c>
      <c r="GG28" t="e">
        <f>AND(DSSP!E36,"AAAAAG/3e7w=")</f>
        <v>#VALUE!</v>
      </c>
      <c r="GH28">
        <f>IF(DSSP!37:37,"AAAAAG/3e70=",0)</f>
        <v>0</v>
      </c>
      <c r="GI28" t="e">
        <f>AND(DSSP!A37,"AAAAAG/3e74=")</f>
        <v>#VALUE!</v>
      </c>
      <c r="GJ28" t="e">
        <f>AND(DSSP!B37,"AAAAAG/3e78=")</f>
        <v>#VALUE!</v>
      </c>
      <c r="GK28" t="e">
        <f>AND(DSSP!C37,"AAAAAG/3e8A=")</f>
        <v>#VALUE!</v>
      </c>
      <c r="GL28" t="e">
        <f>AND(DSSP!E37,"AAAAAG/3e8E=")</f>
        <v>#VALUE!</v>
      </c>
      <c r="GM28">
        <f>IF(DSSP!38:38,"AAAAAG/3e8I=",0)</f>
        <v>0</v>
      </c>
      <c r="GN28" t="e">
        <f>AND(DSSP!A38,"AAAAAG/3e8M=")</f>
        <v>#VALUE!</v>
      </c>
      <c r="GO28" t="e">
        <f>AND(DSSP!B38,"AAAAAG/3e8Q=")</f>
        <v>#VALUE!</v>
      </c>
      <c r="GP28" t="e">
        <f>AND(DSSP!C38,"AAAAAG/3e8U=")</f>
        <v>#VALUE!</v>
      </c>
      <c r="GQ28" t="e">
        <f>AND(DSSP!E38,"AAAAAG/3e8Y=")</f>
        <v>#VALUE!</v>
      </c>
      <c r="GR28">
        <f>IF(DSSP!39:39,"AAAAAG/3e8c=",0)</f>
        <v>0</v>
      </c>
      <c r="GS28" t="e">
        <f>AND(DSSP!A39,"AAAAAG/3e8g=")</f>
        <v>#VALUE!</v>
      </c>
      <c r="GT28" t="e">
        <f>AND(DSSP!B39,"AAAAAG/3e8k=")</f>
        <v>#VALUE!</v>
      </c>
      <c r="GU28" t="e">
        <f>AND(DSSP!C39,"AAAAAG/3e8o=")</f>
        <v>#VALUE!</v>
      </c>
      <c r="GV28" t="e">
        <f>AND(DSSP!E39,"AAAAAG/3e8s=")</f>
        <v>#VALUE!</v>
      </c>
      <c r="GW28">
        <f>IF(DSSP!40:40,"AAAAAG/3e8w=",0)</f>
        <v>0</v>
      </c>
      <c r="GX28" t="e">
        <f>AND(DSSP!A40,"AAAAAG/3e80=")</f>
        <v>#VALUE!</v>
      </c>
      <c r="GY28" t="e">
        <f>AND(DSSP!B40,"AAAAAG/3e84=")</f>
        <v>#VALUE!</v>
      </c>
      <c r="GZ28" t="e">
        <f>AND(DSSP!C40,"AAAAAG/3e88=")</f>
        <v>#VALUE!</v>
      </c>
      <c r="HA28" t="e">
        <f>AND(DSSP!E40,"AAAAAG/3e9A=")</f>
        <v>#VALUE!</v>
      </c>
      <c r="HB28">
        <f>IF(DSSP!41:41,"AAAAAG/3e9E=",0)</f>
        <v>0</v>
      </c>
      <c r="HC28" t="e">
        <f>AND(DSSP!A41,"AAAAAG/3e9I=")</f>
        <v>#VALUE!</v>
      </c>
      <c r="HD28" t="e">
        <f>AND(DSSP!B41,"AAAAAG/3e9M=")</f>
        <v>#VALUE!</v>
      </c>
      <c r="HE28" t="e">
        <f>AND(DSSP!C41,"AAAAAG/3e9Q=")</f>
        <v>#VALUE!</v>
      </c>
      <c r="HF28" t="e">
        <f>AND(DSSP!E41,"AAAAAG/3e9U=")</f>
        <v>#VALUE!</v>
      </c>
      <c r="HG28">
        <f>IF(DSSP!42:42,"AAAAAG/3e9Y=",0)</f>
        <v>0</v>
      </c>
      <c r="HH28" t="e">
        <f>AND(DSSP!A42,"AAAAAG/3e9c=")</f>
        <v>#VALUE!</v>
      </c>
      <c r="HI28" t="e">
        <f>AND(DSSP!B42,"AAAAAG/3e9g=")</f>
        <v>#VALUE!</v>
      </c>
      <c r="HJ28" t="e">
        <f>AND(DSSP!C42,"AAAAAG/3e9k=")</f>
        <v>#VALUE!</v>
      </c>
      <c r="HK28" t="e">
        <f>AND(DSSP!E42,"AAAAAG/3e9o=")</f>
        <v>#VALUE!</v>
      </c>
      <c r="HL28">
        <f>IF(DSSP!43:43,"AAAAAG/3e9s=",0)</f>
        <v>0</v>
      </c>
      <c r="HM28" t="e">
        <f>AND(DSSP!A43,"AAAAAG/3e9w=")</f>
        <v>#VALUE!</v>
      </c>
      <c r="HN28" t="e">
        <f>AND(DSSP!B43,"AAAAAG/3e90=")</f>
        <v>#VALUE!</v>
      </c>
      <c r="HO28" t="e">
        <f>AND(DSSP!C43,"AAAAAG/3e94=")</f>
        <v>#VALUE!</v>
      </c>
      <c r="HP28" t="e">
        <f>AND(DSSP!E43,"AAAAAG/3e98=")</f>
        <v>#VALUE!</v>
      </c>
      <c r="HQ28">
        <f>IF(DSSP!44:44,"AAAAAG/3e+A=",0)</f>
        <v>0</v>
      </c>
      <c r="HR28" t="e">
        <f>AND(DSSP!A44,"AAAAAG/3e+E=")</f>
        <v>#VALUE!</v>
      </c>
      <c r="HS28" t="e">
        <f>AND(DSSP!B44,"AAAAAG/3e+I=")</f>
        <v>#VALUE!</v>
      </c>
      <c r="HT28" t="e">
        <f>AND(DSSP!C44,"AAAAAG/3e+M=")</f>
        <v>#VALUE!</v>
      </c>
      <c r="HU28" t="e">
        <f>AND(DSSP!E44,"AAAAAG/3e+Q=")</f>
        <v>#VALUE!</v>
      </c>
      <c r="HV28">
        <f>IF(DSSP!45:45,"AAAAAG/3e+U=",0)</f>
        <v>0</v>
      </c>
      <c r="HW28" t="e">
        <f>AND(DSSP!A45,"AAAAAG/3e+Y=")</f>
        <v>#VALUE!</v>
      </c>
      <c r="HX28" t="e">
        <f>AND(DSSP!B45,"AAAAAG/3e+c=")</f>
        <v>#VALUE!</v>
      </c>
      <c r="HY28" t="e">
        <f>AND(DSSP!C45,"AAAAAG/3e+g=")</f>
        <v>#VALUE!</v>
      </c>
      <c r="HZ28" t="e">
        <f>AND(DSSP!E45,"AAAAAG/3e+k=")</f>
        <v>#VALUE!</v>
      </c>
      <c r="IA28">
        <f>IF(DSSP!46:46,"AAAAAG/3e+o=",0)</f>
        <v>0</v>
      </c>
      <c r="IB28" t="e">
        <f>AND(DSSP!A46,"AAAAAG/3e+s=")</f>
        <v>#VALUE!</v>
      </c>
      <c r="IC28" t="e">
        <f>AND(DSSP!B46,"AAAAAG/3e+w=")</f>
        <v>#VALUE!</v>
      </c>
      <c r="ID28" t="e">
        <f>AND(DSSP!C46,"AAAAAG/3e+0=")</f>
        <v>#VALUE!</v>
      </c>
      <c r="IE28" t="e">
        <f>AND(DSSP!E46,"AAAAAG/3e+4=")</f>
        <v>#VALUE!</v>
      </c>
      <c r="IF28">
        <f>IF(DSSP!47:47,"AAAAAG/3e+8=",0)</f>
        <v>0</v>
      </c>
      <c r="IG28" t="e">
        <f>AND(DSSP!A47,"AAAAAG/3e/A=")</f>
        <v>#VALUE!</v>
      </c>
      <c r="IH28" t="e">
        <f>AND(DSSP!B47,"AAAAAG/3e/E=")</f>
        <v>#VALUE!</v>
      </c>
      <c r="II28" t="e">
        <f>AND(DSSP!C47,"AAAAAG/3e/I=")</f>
        <v>#VALUE!</v>
      </c>
      <c r="IJ28" t="e">
        <f>AND(DSSP!E47,"AAAAAG/3e/M=")</f>
        <v>#VALUE!</v>
      </c>
      <c r="IK28">
        <f>IF(DSSP!48:48,"AAAAAG/3e/Q=",0)</f>
        <v>0</v>
      </c>
      <c r="IL28" t="e">
        <f>AND(DSSP!A48,"AAAAAG/3e/U=")</f>
        <v>#VALUE!</v>
      </c>
      <c r="IM28" t="e">
        <f>AND(DSSP!B48,"AAAAAG/3e/Y=")</f>
        <v>#VALUE!</v>
      </c>
      <c r="IN28" t="e">
        <f>AND(DSSP!C48,"AAAAAG/3e/c=")</f>
        <v>#VALUE!</v>
      </c>
      <c r="IO28" t="e">
        <f>AND(DSSP!E48,"AAAAAG/3e/g=")</f>
        <v>#VALUE!</v>
      </c>
      <c r="IP28">
        <f>IF(DSSP!49:49,"AAAAAG/3e/k=",0)</f>
        <v>0</v>
      </c>
      <c r="IQ28" t="e">
        <f>AND(DSSP!A49,"AAAAAG/3e/o=")</f>
        <v>#VALUE!</v>
      </c>
      <c r="IR28" t="e">
        <f>AND(DSSP!B49,"AAAAAG/3e/s=")</f>
        <v>#VALUE!</v>
      </c>
      <c r="IS28" t="e">
        <f>AND(DSSP!C49,"AAAAAG/3e/w=")</f>
        <v>#VALUE!</v>
      </c>
      <c r="IT28" t="e">
        <f>AND(DSSP!E49,"AAAAAG/3e/0=")</f>
        <v>#VALUE!</v>
      </c>
      <c r="IU28">
        <f>IF(DSSP!50:50,"AAAAAG/3e/4=",0)</f>
        <v>0</v>
      </c>
      <c r="IV28" t="e">
        <f>AND(DSSP!A50,"AAAAAG/3e/8=")</f>
        <v>#VALUE!</v>
      </c>
    </row>
    <row r="29" spans="1:256">
      <c r="A29" t="e">
        <f>AND(DSSP!B50,"AAAAAGud+wA=")</f>
        <v>#VALUE!</v>
      </c>
      <c r="B29" t="e">
        <f>AND(DSSP!C50,"AAAAAGud+wE=")</f>
        <v>#VALUE!</v>
      </c>
      <c r="C29" t="e">
        <f>AND(DSSP!E50,"AAAAAGud+wI=")</f>
        <v>#VALUE!</v>
      </c>
      <c r="D29">
        <f>IF(DSSP!51:51,"AAAAAGud+wM=",0)</f>
        <v>0</v>
      </c>
      <c r="E29" t="e">
        <f>AND(DSSP!A51,"AAAAAGud+wQ=")</f>
        <v>#VALUE!</v>
      </c>
      <c r="F29" t="e">
        <f>AND(DSSP!B51,"AAAAAGud+wU=")</f>
        <v>#VALUE!</v>
      </c>
      <c r="G29" t="e">
        <f>AND(DSSP!C51,"AAAAAGud+wY=")</f>
        <v>#VALUE!</v>
      </c>
      <c r="H29" t="e">
        <f>AND(DSSP!E51,"AAAAAGud+wc=")</f>
        <v>#VALUE!</v>
      </c>
      <c r="I29">
        <f>IF(DSSP!52:52,"AAAAAGud+wg=",0)</f>
        <v>0</v>
      </c>
      <c r="J29" t="e">
        <f>AND(DSSP!A52,"AAAAAGud+wk=")</f>
        <v>#VALUE!</v>
      </c>
      <c r="K29" t="e">
        <f>AND(DSSP!B52,"AAAAAGud+wo=")</f>
        <v>#VALUE!</v>
      </c>
      <c r="L29" t="e">
        <f>AND(DSSP!C52,"AAAAAGud+ws=")</f>
        <v>#VALUE!</v>
      </c>
      <c r="M29" t="e">
        <f>AND(DSSP!E52,"AAAAAGud+ww=")</f>
        <v>#VALUE!</v>
      </c>
      <c r="N29">
        <f>IF(DSSP!53:53,"AAAAAGud+w0=",0)</f>
        <v>0</v>
      </c>
      <c r="O29" t="e">
        <f>AND(DSSP!A53,"AAAAAGud+w4=")</f>
        <v>#VALUE!</v>
      </c>
      <c r="P29" t="e">
        <f>AND(DSSP!B53,"AAAAAGud+w8=")</f>
        <v>#VALUE!</v>
      </c>
      <c r="Q29" t="e">
        <f>AND(DSSP!C53,"AAAAAGud+xA=")</f>
        <v>#VALUE!</v>
      </c>
      <c r="R29" t="e">
        <f>AND(DSSP!E53,"AAAAAGud+xE=")</f>
        <v>#VALUE!</v>
      </c>
      <c r="S29">
        <f>IF(DSSP!54:54,"AAAAAGud+xI=",0)</f>
        <v>0</v>
      </c>
      <c r="T29" t="e">
        <f>AND(DSSP!A54,"AAAAAGud+xM=")</f>
        <v>#VALUE!</v>
      </c>
      <c r="U29" t="e">
        <f>AND(DSSP!B54,"AAAAAGud+xQ=")</f>
        <v>#VALUE!</v>
      </c>
      <c r="V29" t="e">
        <f>AND(DSSP!C54,"AAAAAGud+xU=")</f>
        <v>#VALUE!</v>
      </c>
      <c r="W29" t="e">
        <f>AND(DSSP!E54,"AAAAAGud+xY=")</f>
        <v>#VALUE!</v>
      </c>
      <c r="X29">
        <f>IF(DSSP!55:55,"AAAAAGud+xc=",0)</f>
        <v>0</v>
      </c>
      <c r="Y29" t="e">
        <f>AND(DSSP!A55,"AAAAAGud+xg=")</f>
        <v>#VALUE!</v>
      </c>
      <c r="Z29" t="e">
        <f>AND(DSSP!B55,"AAAAAGud+xk=")</f>
        <v>#VALUE!</v>
      </c>
      <c r="AA29" t="e">
        <f>AND(DSSP!C55,"AAAAAGud+xo=")</f>
        <v>#VALUE!</v>
      </c>
      <c r="AB29" t="e">
        <f>AND(DSSP!E55,"AAAAAGud+xs=")</f>
        <v>#VALUE!</v>
      </c>
      <c r="AC29">
        <f>IF(DSSP!56:56,"AAAAAGud+xw=",0)</f>
        <v>0</v>
      </c>
      <c r="AD29" t="e">
        <f>AND(DSSP!A56,"AAAAAGud+x0=")</f>
        <v>#VALUE!</v>
      </c>
      <c r="AE29" t="e">
        <f>AND(DSSP!B56,"AAAAAGud+x4=")</f>
        <v>#VALUE!</v>
      </c>
      <c r="AF29" t="e">
        <f>AND(DSSP!C56,"AAAAAGud+x8=")</f>
        <v>#VALUE!</v>
      </c>
      <c r="AG29" t="e">
        <f>AND(DSSP!E56,"AAAAAGud+yA=")</f>
        <v>#VALUE!</v>
      </c>
      <c r="AH29">
        <f>IF(DSSP!57:57,"AAAAAGud+yE=",0)</f>
        <v>0</v>
      </c>
      <c r="AI29" t="e">
        <f>AND(DSSP!A57,"AAAAAGud+yI=")</f>
        <v>#VALUE!</v>
      </c>
      <c r="AJ29" t="e">
        <f>AND(DSSP!B57,"AAAAAGud+yM=")</f>
        <v>#VALUE!</v>
      </c>
      <c r="AK29" t="e">
        <f>AND(DSSP!C57,"AAAAAGud+yQ=")</f>
        <v>#VALUE!</v>
      </c>
      <c r="AL29" t="e">
        <f>AND(DSSP!E57,"AAAAAGud+yU=")</f>
        <v>#VALUE!</v>
      </c>
      <c r="AM29">
        <f>IF(DSSP!58:58,"AAAAAGud+yY=",0)</f>
        <v>0</v>
      </c>
      <c r="AN29" t="e">
        <f>AND(DSSP!A58,"AAAAAGud+yc=")</f>
        <v>#VALUE!</v>
      </c>
      <c r="AO29" t="e">
        <f>AND(DSSP!B58,"AAAAAGud+yg=")</f>
        <v>#VALUE!</v>
      </c>
      <c r="AP29" t="e">
        <f>AND(DSSP!C58,"AAAAAGud+yk=")</f>
        <v>#VALUE!</v>
      </c>
      <c r="AQ29" t="e">
        <f>AND(DSSP!E58,"AAAAAGud+yo=")</f>
        <v>#VALUE!</v>
      </c>
      <c r="AR29">
        <f>IF(DSSP!59:59,"AAAAAGud+ys=",0)</f>
        <v>0</v>
      </c>
      <c r="AS29" t="e">
        <f>AND(DSSP!A59,"AAAAAGud+yw=")</f>
        <v>#VALUE!</v>
      </c>
      <c r="AT29" t="e">
        <f>AND(DSSP!B59,"AAAAAGud+y0=")</f>
        <v>#VALUE!</v>
      </c>
      <c r="AU29" t="e">
        <f>AND(DSSP!C59,"AAAAAGud+y4=")</f>
        <v>#VALUE!</v>
      </c>
      <c r="AV29" t="e">
        <f>AND(DSSP!E59,"AAAAAGud+y8=")</f>
        <v>#VALUE!</v>
      </c>
      <c r="AW29">
        <f>IF(DSSP!60:60,"AAAAAGud+zA=",0)</f>
        <v>0</v>
      </c>
      <c r="AX29" t="e">
        <f>AND(DSSP!A60,"AAAAAGud+zE=")</f>
        <v>#VALUE!</v>
      </c>
      <c r="AY29" t="e">
        <f>AND(DSSP!B60,"AAAAAGud+zI=")</f>
        <v>#VALUE!</v>
      </c>
      <c r="AZ29" t="e">
        <f>AND(DSSP!C60,"AAAAAGud+zM=")</f>
        <v>#VALUE!</v>
      </c>
      <c r="BA29" t="e">
        <f>AND(DSSP!E60,"AAAAAGud+zQ=")</f>
        <v>#VALUE!</v>
      </c>
      <c r="BB29">
        <f>IF(DSSP!61:61,"AAAAAGud+zU=",0)</f>
        <v>0</v>
      </c>
      <c r="BC29" t="e">
        <f>AND(DSSP!A61,"AAAAAGud+zY=")</f>
        <v>#VALUE!</v>
      </c>
      <c r="BD29" t="e">
        <f>AND(DSSP!B61,"AAAAAGud+zc=")</f>
        <v>#VALUE!</v>
      </c>
      <c r="BE29" t="e">
        <f>AND(DSSP!C61,"AAAAAGud+zg=")</f>
        <v>#VALUE!</v>
      </c>
      <c r="BF29" t="e">
        <f>AND(DSSP!E61,"AAAAAGud+zk=")</f>
        <v>#VALUE!</v>
      </c>
      <c r="BG29">
        <f>IF(DSSP!62:62,"AAAAAGud+zo=",0)</f>
        <v>0</v>
      </c>
      <c r="BH29" t="e">
        <f>AND(DSSP!A62,"AAAAAGud+zs=")</f>
        <v>#VALUE!</v>
      </c>
      <c r="BI29" t="e">
        <f>AND(DSSP!B62,"AAAAAGud+zw=")</f>
        <v>#VALUE!</v>
      </c>
      <c r="BJ29" t="e">
        <f>AND(DSSP!C62,"AAAAAGud+z0=")</f>
        <v>#VALUE!</v>
      </c>
      <c r="BK29" t="e">
        <f>AND(DSSP!E62,"AAAAAGud+z4=")</f>
        <v>#VALUE!</v>
      </c>
      <c r="BL29">
        <f>IF(DSSP!63:63,"AAAAAGud+z8=",0)</f>
        <v>0</v>
      </c>
      <c r="BM29" t="e">
        <f>AND(DSSP!A63,"AAAAAGud+0A=")</f>
        <v>#VALUE!</v>
      </c>
      <c r="BN29" t="e">
        <f>AND(DSSP!B63,"AAAAAGud+0E=")</f>
        <v>#VALUE!</v>
      </c>
      <c r="BO29" t="e">
        <f>AND(DSSP!C63,"AAAAAGud+0I=")</f>
        <v>#VALUE!</v>
      </c>
      <c r="BP29" t="e">
        <f>AND(DSSP!E63,"AAAAAGud+0M=")</f>
        <v>#VALUE!</v>
      </c>
      <c r="BQ29">
        <f>IF(DSSP!64:64,"AAAAAGud+0Q=",0)</f>
        <v>0</v>
      </c>
      <c r="BR29" t="e">
        <f>AND(DSSP!A64,"AAAAAGud+0U=")</f>
        <v>#VALUE!</v>
      </c>
      <c r="BS29" t="e">
        <f>AND(DSSP!B64,"AAAAAGud+0Y=")</f>
        <v>#VALUE!</v>
      </c>
      <c r="BT29" t="e">
        <f>AND(DSSP!C64,"AAAAAGud+0c=")</f>
        <v>#VALUE!</v>
      </c>
      <c r="BU29" t="e">
        <f>AND(DSSP!E64,"AAAAAGud+0g=")</f>
        <v>#VALUE!</v>
      </c>
      <c r="BV29">
        <f>IF(DSSP!65:65,"AAAAAGud+0k=",0)</f>
        <v>0</v>
      </c>
      <c r="BW29" t="e">
        <f>AND(DSSP!A65,"AAAAAGud+0o=")</f>
        <v>#VALUE!</v>
      </c>
      <c r="BX29" t="e">
        <f>AND(DSSP!B65,"AAAAAGud+0s=")</f>
        <v>#VALUE!</v>
      </c>
      <c r="BY29" t="e">
        <f>AND(DSSP!C65,"AAAAAGud+0w=")</f>
        <v>#VALUE!</v>
      </c>
      <c r="BZ29" t="e">
        <f>AND(DSSP!E65,"AAAAAGud+00=")</f>
        <v>#VALUE!</v>
      </c>
      <c r="CA29">
        <f>IF(DSSP!66:66,"AAAAAGud+04=",0)</f>
        <v>0</v>
      </c>
      <c r="CB29" t="e">
        <f>AND(DSSP!A66,"AAAAAGud+08=")</f>
        <v>#VALUE!</v>
      </c>
      <c r="CC29" t="e">
        <f>AND(DSSP!B66,"AAAAAGud+1A=")</f>
        <v>#VALUE!</v>
      </c>
      <c r="CD29" t="e">
        <f>AND(DSSP!C66,"AAAAAGud+1E=")</f>
        <v>#VALUE!</v>
      </c>
      <c r="CE29" t="e">
        <f>AND(DSSP!E66,"AAAAAGud+1I=")</f>
        <v>#VALUE!</v>
      </c>
      <c r="CF29">
        <f>IF(DSSP!67:67,"AAAAAGud+1M=",0)</f>
        <v>0</v>
      </c>
      <c r="CG29" t="e">
        <f>AND(DSSP!A67,"AAAAAGud+1Q=")</f>
        <v>#VALUE!</v>
      </c>
      <c r="CH29" t="e">
        <f>AND(DSSP!B67,"AAAAAGud+1U=")</f>
        <v>#VALUE!</v>
      </c>
      <c r="CI29" t="e">
        <f>AND(DSSP!C67,"AAAAAGud+1Y=")</f>
        <v>#VALUE!</v>
      </c>
      <c r="CJ29" t="e">
        <f>AND(DSSP!E67,"AAAAAGud+1c=")</f>
        <v>#VALUE!</v>
      </c>
      <c r="CK29">
        <f>IF(DSSP!68:68,"AAAAAGud+1g=",0)</f>
        <v>0</v>
      </c>
      <c r="CL29" t="e">
        <f>AND(DSSP!A68,"AAAAAGud+1k=")</f>
        <v>#VALUE!</v>
      </c>
      <c r="CM29" t="e">
        <f>AND(DSSP!B68,"AAAAAGud+1o=")</f>
        <v>#VALUE!</v>
      </c>
      <c r="CN29" t="e">
        <f>AND(DSSP!C68,"AAAAAGud+1s=")</f>
        <v>#VALUE!</v>
      </c>
      <c r="CO29" t="e">
        <f>AND(DSSP!E68,"AAAAAGud+1w=")</f>
        <v>#VALUE!</v>
      </c>
      <c r="CP29">
        <f>IF(DSSP!69:69,"AAAAAGud+10=",0)</f>
        <v>0</v>
      </c>
      <c r="CQ29" t="e">
        <f>AND(DSSP!A69,"AAAAAGud+14=")</f>
        <v>#VALUE!</v>
      </c>
      <c r="CR29" t="e">
        <f>AND(DSSP!B69,"AAAAAGud+18=")</f>
        <v>#VALUE!</v>
      </c>
      <c r="CS29" t="e">
        <f>AND(DSSP!C69,"AAAAAGud+2A=")</f>
        <v>#VALUE!</v>
      </c>
      <c r="CT29" t="e">
        <f>AND(DSSP!E69,"AAAAAGud+2E=")</f>
        <v>#VALUE!</v>
      </c>
      <c r="CU29">
        <f>IF(DSSP!70:70,"AAAAAGud+2I=",0)</f>
        <v>0</v>
      </c>
      <c r="CV29" t="e">
        <f>AND(DSSP!A70,"AAAAAGud+2M=")</f>
        <v>#VALUE!</v>
      </c>
      <c r="CW29" t="e">
        <f>AND(DSSP!B70,"AAAAAGud+2Q=")</f>
        <v>#VALUE!</v>
      </c>
      <c r="CX29" t="e">
        <f>AND(DSSP!C70,"AAAAAGud+2U=")</f>
        <v>#VALUE!</v>
      </c>
      <c r="CY29" t="e">
        <f>AND(DSSP!E70,"AAAAAGud+2Y=")</f>
        <v>#VALUE!</v>
      </c>
      <c r="CZ29">
        <f>IF(DSSP!71:71,"AAAAAGud+2c=",0)</f>
        <v>0</v>
      </c>
      <c r="DA29" t="e">
        <f>AND(DSSP!A71,"AAAAAGud+2g=")</f>
        <v>#VALUE!</v>
      </c>
      <c r="DB29" t="e">
        <f>AND(DSSP!B71,"AAAAAGud+2k=")</f>
        <v>#VALUE!</v>
      </c>
      <c r="DC29" t="e">
        <f>AND(DSSP!C71,"AAAAAGud+2o=")</f>
        <v>#VALUE!</v>
      </c>
      <c r="DD29" t="e">
        <f>AND(DSSP!E71,"AAAAAGud+2s=")</f>
        <v>#VALUE!</v>
      </c>
      <c r="DE29">
        <f>IF(DSSP!72:72,"AAAAAGud+2w=",0)</f>
        <v>0</v>
      </c>
      <c r="DF29" t="e">
        <f>AND(DSSP!A72,"AAAAAGud+20=")</f>
        <v>#VALUE!</v>
      </c>
      <c r="DG29" t="e">
        <f>AND(DSSP!B72,"AAAAAGud+24=")</f>
        <v>#VALUE!</v>
      </c>
      <c r="DH29" t="e">
        <f>AND(DSSP!C72,"AAAAAGud+28=")</f>
        <v>#VALUE!</v>
      </c>
      <c r="DI29" t="e">
        <f>AND(DSSP!E72,"AAAAAGud+3A=")</f>
        <v>#VALUE!</v>
      </c>
      <c r="DJ29">
        <f>IF(DSSP!73:73,"AAAAAGud+3E=",0)</f>
        <v>0</v>
      </c>
      <c r="DK29" t="e">
        <f>AND(DSSP!A73,"AAAAAGud+3I=")</f>
        <v>#VALUE!</v>
      </c>
      <c r="DL29" t="e">
        <f>AND(DSSP!B73,"AAAAAGud+3M=")</f>
        <v>#VALUE!</v>
      </c>
      <c r="DM29" t="e">
        <f>AND(DSSP!C73,"AAAAAGud+3Q=")</f>
        <v>#VALUE!</v>
      </c>
      <c r="DN29" t="e">
        <f>AND(DSSP!E73,"AAAAAGud+3U=")</f>
        <v>#VALUE!</v>
      </c>
      <c r="DO29">
        <f>IF(DSSP!74:74,"AAAAAGud+3Y=",0)</f>
        <v>0</v>
      </c>
      <c r="DP29" t="e">
        <f>AND(DSSP!A74,"AAAAAGud+3c=")</f>
        <v>#VALUE!</v>
      </c>
      <c r="DQ29" t="e">
        <f>AND(DSSP!B74,"AAAAAGud+3g=")</f>
        <v>#VALUE!</v>
      </c>
      <c r="DR29" t="e">
        <f>AND(DSSP!C74,"AAAAAGud+3k=")</f>
        <v>#VALUE!</v>
      </c>
      <c r="DS29" t="e">
        <f>AND(DSSP!E74,"AAAAAGud+3o=")</f>
        <v>#VALUE!</v>
      </c>
      <c r="DT29">
        <f>IF(DSSP!75:75,"AAAAAGud+3s=",0)</f>
        <v>0</v>
      </c>
      <c r="DU29" t="e">
        <f>AND(DSSP!A75,"AAAAAGud+3w=")</f>
        <v>#VALUE!</v>
      </c>
      <c r="DV29" t="e">
        <f>AND(DSSP!B75,"AAAAAGud+30=")</f>
        <v>#VALUE!</v>
      </c>
      <c r="DW29" t="e">
        <f>AND(DSSP!C75,"AAAAAGud+34=")</f>
        <v>#VALUE!</v>
      </c>
      <c r="DX29" t="e">
        <f>AND(DSSP!E75,"AAAAAGud+38=")</f>
        <v>#VALUE!</v>
      </c>
      <c r="DY29">
        <f>IF(DSSP!76:76,"AAAAAGud+4A=",0)</f>
        <v>0</v>
      </c>
      <c r="DZ29" t="e">
        <f>AND(DSSP!A76,"AAAAAGud+4E=")</f>
        <v>#VALUE!</v>
      </c>
      <c r="EA29" t="e">
        <f>AND(DSSP!B76,"AAAAAGud+4I=")</f>
        <v>#VALUE!</v>
      </c>
      <c r="EB29" t="e">
        <f>AND(DSSP!C76,"AAAAAGud+4M=")</f>
        <v>#VALUE!</v>
      </c>
      <c r="EC29" t="e">
        <f>AND(DSSP!E76,"AAAAAGud+4Q=")</f>
        <v>#VALUE!</v>
      </c>
      <c r="ED29">
        <f>IF(DSSP!77:77,"AAAAAGud+4U=",0)</f>
        <v>0</v>
      </c>
      <c r="EE29" t="e">
        <f>AND(DSSP!A77,"AAAAAGud+4Y=")</f>
        <v>#VALUE!</v>
      </c>
      <c r="EF29" t="e">
        <f>AND(DSSP!B77,"AAAAAGud+4c=")</f>
        <v>#VALUE!</v>
      </c>
      <c r="EG29" t="e">
        <f>AND(DSSP!C77,"AAAAAGud+4g=")</f>
        <v>#VALUE!</v>
      </c>
      <c r="EH29" t="e">
        <f>AND(DSSP!E77,"AAAAAGud+4k=")</f>
        <v>#VALUE!</v>
      </c>
      <c r="EI29">
        <f>IF(DSSP!78:78,"AAAAAGud+4o=",0)</f>
        <v>0</v>
      </c>
      <c r="EJ29" t="e">
        <f>AND(DSSP!A78,"AAAAAGud+4s=")</f>
        <v>#VALUE!</v>
      </c>
      <c r="EK29" t="e">
        <f>AND(DSSP!B78,"AAAAAGud+4w=")</f>
        <v>#VALUE!</v>
      </c>
      <c r="EL29" t="e">
        <f>AND(DSSP!C78,"AAAAAGud+40=")</f>
        <v>#VALUE!</v>
      </c>
      <c r="EM29" t="e">
        <f>AND(DSSP!E78,"AAAAAGud+44=")</f>
        <v>#VALUE!</v>
      </c>
      <c r="EN29">
        <f>IF(DSSP!79:79,"AAAAAGud+48=",0)</f>
        <v>0</v>
      </c>
      <c r="EO29" t="e">
        <f>AND(DSSP!A79,"AAAAAGud+5A=")</f>
        <v>#VALUE!</v>
      </c>
      <c r="EP29" t="e">
        <f>AND(DSSP!B79,"AAAAAGud+5E=")</f>
        <v>#VALUE!</v>
      </c>
      <c r="EQ29" t="e">
        <f>AND(DSSP!C79,"AAAAAGud+5I=")</f>
        <v>#VALUE!</v>
      </c>
      <c r="ER29" t="e">
        <f>AND(DSSP!E79,"AAAAAGud+5M=")</f>
        <v>#VALUE!</v>
      </c>
      <c r="ES29">
        <f>IF(DSSP!80:80,"AAAAAGud+5Q=",0)</f>
        <v>0</v>
      </c>
      <c r="ET29" t="e">
        <f>AND(DSSP!A80,"AAAAAGud+5U=")</f>
        <v>#VALUE!</v>
      </c>
      <c r="EU29" t="e">
        <f>AND(DSSP!B80,"AAAAAGud+5Y=")</f>
        <v>#VALUE!</v>
      </c>
      <c r="EV29" t="e">
        <f>AND(DSSP!C80,"AAAAAGud+5c=")</f>
        <v>#VALUE!</v>
      </c>
      <c r="EW29" t="e">
        <f>AND(DSSP!E80,"AAAAAGud+5g=")</f>
        <v>#VALUE!</v>
      </c>
      <c r="EX29">
        <f>IF(DSSP!81:81,"AAAAAGud+5k=",0)</f>
        <v>0</v>
      </c>
      <c r="EY29" t="e">
        <f>AND(DSSP!A81,"AAAAAGud+5o=")</f>
        <v>#VALUE!</v>
      </c>
      <c r="EZ29" t="e">
        <f>AND(DSSP!B81,"AAAAAGud+5s=")</f>
        <v>#VALUE!</v>
      </c>
      <c r="FA29" t="e">
        <f>AND(DSSP!C81,"AAAAAGud+5w=")</f>
        <v>#VALUE!</v>
      </c>
      <c r="FB29" t="e">
        <f>AND(DSSP!E81,"AAAAAGud+50=")</f>
        <v>#VALUE!</v>
      </c>
      <c r="FC29">
        <f>IF(DSSP!82:82,"AAAAAGud+54=",0)</f>
        <v>0</v>
      </c>
      <c r="FD29" t="e">
        <f>AND(DSSP!A82,"AAAAAGud+58=")</f>
        <v>#VALUE!</v>
      </c>
      <c r="FE29" t="e">
        <f>AND(DSSP!B82,"AAAAAGud+6A=")</f>
        <v>#VALUE!</v>
      </c>
      <c r="FF29" t="e">
        <f>AND(DSSP!C82,"AAAAAGud+6E=")</f>
        <v>#VALUE!</v>
      </c>
      <c r="FG29" t="e">
        <f>AND(DSSP!E82,"AAAAAGud+6I=")</f>
        <v>#VALUE!</v>
      </c>
      <c r="FH29">
        <f>IF(DSSP!83:83,"AAAAAGud+6M=",0)</f>
        <v>0</v>
      </c>
      <c r="FI29" t="e">
        <f>AND(DSSP!A83,"AAAAAGud+6Q=")</f>
        <v>#VALUE!</v>
      </c>
      <c r="FJ29" t="e">
        <f>AND(DSSP!B83,"AAAAAGud+6U=")</f>
        <v>#VALUE!</v>
      </c>
      <c r="FK29" t="e">
        <f>AND(DSSP!C83,"AAAAAGud+6Y=")</f>
        <v>#VALUE!</v>
      </c>
      <c r="FL29" t="e">
        <f>AND(DSSP!E83,"AAAAAGud+6c=")</f>
        <v>#VALUE!</v>
      </c>
      <c r="FM29">
        <f>IF(DSSP!84:84,"AAAAAGud+6g=",0)</f>
        <v>0</v>
      </c>
      <c r="FN29" t="e">
        <f>AND(DSSP!A84,"AAAAAGud+6k=")</f>
        <v>#VALUE!</v>
      </c>
      <c r="FO29" t="e">
        <f>AND(DSSP!B84,"AAAAAGud+6o=")</f>
        <v>#VALUE!</v>
      </c>
      <c r="FP29" t="e">
        <f>AND(DSSP!C84,"AAAAAGud+6s=")</f>
        <v>#VALUE!</v>
      </c>
      <c r="FQ29" t="e">
        <f>AND(DSSP!E84,"AAAAAGud+6w=")</f>
        <v>#VALUE!</v>
      </c>
      <c r="FR29">
        <f>IF(DSSP!85:85,"AAAAAGud+60=",0)</f>
        <v>0</v>
      </c>
      <c r="FS29" t="e">
        <f>AND(DSSP!A85,"AAAAAGud+64=")</f>
        <v>#VALUE!</v>
      </c>
      <c r="FT29" t="e">
        <f>AND(DSSP!B85,"AAAAAGud+68=")</f>
        <v>#VALUE!</v>
      </c>
      <c r="FU29" t="e">
        <f>AND(DSSP!C85,"AAAAAGud+7A=")</f>
        <v>#VALUE!</v>
      </c>
      <c r="FV29" t="e">
        <f>AND(DSSP!E85,"AAAAAGud+7E=")</f>
        <v>#VALUE!</v>
      </c>
      <c r="FW29">
        <f>IF(DSSP!86:86,"AAAAAGud+7I=",0)</f>
        <v>0</v>
      </c>
      <c r="FX29" t="e">
        <f>AND(DSSP!A86,"AAAAAGud+7M=")</f>
        <v>#VALUE!</v>
      </c>
      <c r="FY29" t="e">
        <f>AND(DSSP!B86,"AAAAAGud+7Q=")</f>
        <v>#VALUE!</v>
      </c>
      <c r="FZ29" t="e">
        <f>AND(DSSP!C86,"AAAAAGud+7U=")</f>
        <v>#VALUE!</v>
      </c>
      <c r="GA29" t="e">
        <f>AND(DSSP!E86,"AAAAAGud+7Y=")</f>
        <v>#VALUE!</v>
      </c>
      <c r="GB29">
        <f>IF(DSSP!87:87,"AAAAAGud+7c=",0)</f>
        <v>0</v>
      </c>
      <c r="GC29" t="e">
        <f>AND(DSSP!A87,"AAAAAGud+7g=")</f>
        <v>#VALUE!</v>
      </c>
      <c r="GD29" t="e">
        <f>AND(DSSP!B87,"AAAAAGud+7k=")</f>
        <v>#VALUE!</v>
      </c>
      <c r="GE29" t="e">
        <f>AND(DSSP!C87,"AAAAAGud+7o=")</f>
        <v>#VALUE!</v>
      </c>
      <c r="GF29" t="e">
        <f>AND(DSSP!E87,"AAAAAGud+7s=")</f>
        <v>#VALUE!</v>
      </c>
      <c r="GG29">
        <f>IF(DSSP!88:88,"AAAAAGud+7w=",0)</f>
        <v>0</v>
      </c>
      <c r="GH29" t="e">
        <f>AND(DSSP!A88,"AAAAAGud+70=")</f>
        <v>#VALUE!</v>
      </c>
      <c r="GI29" t="e">
        <f>AND(DSSP!B88,"AAAAAGud+74=")</f>
        <v>#VALUE!</v>
      </c>
      <c r="GJ29" t="e">
        <f>AND(DSSP!C88,"AAAAAGud+78=")</f>
        <v>#VALUE!</v>
      </c>
      <c r="GK29" t="e">
        <f>AND(DSSP!E88,"AAAAAGud+8A=")</f>
        <v>#VALUE!</v>
      </c>
      <c r="GL29">
        <f>IF(DSSP!89:89,"AAAAAGud+8E=",0)</f>
        <v>0</v>
      </c>
      <c r="GM29" t="e">
        <f>AND(DSSP!A89,"AAAAAGud+8I=")</f>
        <v>#VALUE!</v>
      </c>
      <c r="GN29" t="e">
        <f>AND(DSSP!B89,"AAAAAGud+8M=")</f>
        <v>#VALUE!</v>
      </c>
      <c r="GO29" t="e">
        <f>AND(DSSP!C89,"AAAAAGud+8Q=")</f>
        <v>#VALUE!</v>
      </c>
      <c r="GP29" t="e">
        <f>AND(DSSP!E89,"AAAAAGud+8U=")</f>
        <v>#VALUE!</v>
      </c>
      <c r="GQ29">
        <f>IF(DSSP!91:91,"AAAAAGud+8Y=",0)</f>
        <v>0</v>
      </c>
      <c r="GR29" t="e">
        <f>AND(DSSP!A91,"AAAAAGud+8c=")</f>
        <v>#VALUE!</v>
      </c>
      <c r="GS29" t="e">
        <f>AND(DSSP!B91,"AAAAAGud+8g=")</f>
        <v>#VALUE!</v>
      </c>
      <c r="GT29" t="e">
        <f>AND(DSSP!C91,"AAAAAGud+8k=")</f>
        <v>#VALUE!</v>
      </c>
      <c r="GU29" t="e">
        <f>AND(DSSP!E91,"AAAAAGud+8o=")</f>
        <v>#VALUE!</v>
      </c>
      <c r="GV29">
        <f>IF(DSSP!92:92,"AAAAAGud+8s=",0)</f>
        <v>0</v>
      </c>
      <c r="GW29" t="e">
        <f>AND(DSSP!A92,"AAAAAGud+8w=")</f>
        <v>#VALUE!</v>
      </c>
      <c r="GX29" t="e">
        <f>AND(DSSP!B92,"AAAAAGud+80=")</f>
        <v>#VALUE!</v>
      </c>
      <c r="GY29" t="e">
        <f>AND(DSSP!C92,"AAAAAGud+84=")</f>
        <v>#VALUE!</v>
      </c>
      <c r="GZ29" t="e">
        <f>AND(DSSP!E92,"AAAAAGud+88=")</f>
        <v>#VALUE!</v>
      </c>
      <c r="HA29">
        <f>IF(DSSP!93:93,"AAAAAGud+9A=",0)</f>
        <v>0</v>
      </c>
      <c r="HB29" t="e">
        <f>AND(DSSP!A93,"AAAAAGud+9E=")</f>
        <v>#VALUE!</v>
      </c>
      <c r="HC29" t="e">
        <f>AND(DSSP!B93,"AAAAAGud+9I=")</f>
        <v>#VALUE!</v>
      </c>
      <c r="HD29" t="e">
        <f>AND(DSSP!C93,"AAAAAGud+9M=")</f>
        <v>#VALUE!</v>
      </c>
      <c r="HE29" t="e">
        <f>AND(DSSP!E93,"AAAAAGud+9Q=")</f>
        <v>#VALUE!</v>
      </c>
      <c r="HF29">
        <f>IF(DSSP!94:94,"AAAAAGud+9U=",0)</f>
        <v>0</v>
      </c>
      <c r="HG29" t="e">
        <f>AND(DSSP!A94,"AAAAAGud+9Y=")</f>
        <v>#VALUE!</v>
      </c>
      <c r="HH29" t="e">
        <f>AND(DSSP!B94,"AAAAAGud+9c=")</f>
        <v>#VALUE!</v>
      </c>
      <c r="HI29" t="e">
        <f>AND(DSSP!C94,"AAAAAGud+9g=")</f>
        <v>#VALUE!</v>
      </c>
      <c r="HJ29" t="e">
        <f>AND(DSSP!E94,"AAAAAGud+9k=")</f>
        <v>#VALUE!</v>
      </c>
      <c r="HK29">
        <f>IF(DSSP!95:95,"AAAAAGud+9o=",0)</f>
        <v>0</v>
      </c>
      <c r="HL29" t="e">
        <f>AND(DSSP!A95,"AAAAAGud+9s=")</f>
        <v>#VALUE!</v>
      </c>
      <c r="HM29" t="e">
        <f>AND(DSSP!B95,"AAAAAGud+9w=")</f>
        <v>#VALUE!</v>
      </c>
      <c r="HN29" t="e">
        <f>AND(DSSP!C95,"AAAAAGud+90=")</f>
        <v>#VALUE!</v>
      </c>
      <c r="HO29" t="e">
        <f>AND(DSSP!E95,"AAAAAGud+94=")</f>
        <v>#VALUE!</v>
      </c>
      <c r="HP29">
        <f>IF(DSSP!96:96,"AAAAAGud+98=",0)</f>
        <v>0</v>
      </c>
      <c r="HQ29" t="e">
        <f>AND(DSSP!A96,"AAAAAGud++A=")</f>
        <v>#VALUE!</v>
      </c>
      <c r="HR29" t="e">
        <f>AND(DSSP!B96,"AAAAAGud++E=")</f>
        <v>#VALUE!</v>
      </c>
      <c r="HS29" t="e">
        <f>AND(DSSP!C96,"AAAAAGud++I=")</f>
        <v>#VALUE!</v>
      </c>
      <c r="HT29" t="e">
        <f>AND(DSSP!E96,"AAAAAGud++M=")</f>
        <v>#VALUE!</v>
      </c>
      <c r="HU29">
        <f>IF(DSSP!97:97,"AAAAAGud++Q=",0)</f>
        <v>0</v>
      </c>
      <c r="HV29" t="e">
        <f>AND(DSSP!A97,"AAAAAGud++U=")</f>
        <v>#VALUE!</v>
      </c>
      <c r="HW29" t="e">
        <f>AND(DSSP!B97,"AAAAAGud++Y=")</f>
        <v>#VALUE!</v>
      </c>
      <c r="HX29" t="e">
        <f>AND(DSSP!C97,"AAAAAGud++c=")</f>
        <v>#VALUE!</v>
      </c>
      <c r="HY29" t="e">
        <f>AND(DSSP!E97,"AAAAAGud++g=")</f>
        <v>#VALUE!</v>
      </c>
      <c r="HZ29">
        <f>IF(DSSP!98:98,"AAAAAGud++k=",0)</f>
        <v>0</v>
      </c>
      <c r="IA29" t="e">
        <f>AND(DSSP!A98,"AAAAAGud++o=")</f>
        <v>#VALUE!</v>
      </c>
      <c r="IB29" t="e">
        <f>AND(DSSP!B98,"AAAAAGud++s=")</f>
        <v>#VALUE!</v>
      </c>
      <c r="IC29" t="e">
        <f>AND(DSSP!C98,"AAAAAGud++w=")</f>
        <v>#VALUE!</v>
      </c>
      <c r="ID29" t="e">
        <f>AND(DSSP!E98,"AAAAAGud++0=")</f>
        <v>#VALUE!</v>
      </c>
      <c r="IE29">
        <f>IF(DSSP!99:99,"AAAAAGud++4=",0)</f>
        <v>0</v>
      </c>
      <c r="IF29" t="e">
        <f>AND(DSSP!A99,"AAAAAGud++8=")</f>
        <v>#VALUE!</v>
      </c>
      <c r="IG29" t="e">
        <f>AND(DSSP!B99,"AAAAAGud+/A=")</f>
        <v>#VALUE!</v>
      </c>
      <c r="IH29" t="e">
        <f>AND(DSSP!C99,"AAAAAGud+/E=")</f>
        <v>#VALUE!</v>
      </c>
      <c r="II29" t="e">
        <f>AND(DSSP!E99,"AAAAAGud+/I=")</f>
        <v>#VALUE!</v>
      </c>
      <c r="IJ29">
        <f>IF(DSSP!100:100,"AAAAAGud+/M=",0)</f>
        <v>0</v>
      </c>
      <c r="IK29" t="e">
        <f>AND(DSSP!A100,"AAAAAGud+/Q=")</f>
        <v>#VALUE!</v>
      </c>
      <c r="IL29" t="e">
        <f>AND(DSSP!B100,"AAAAAGud+/U=")</f>
        <v>#VALUE!</v>
      </c>
      <c r="IM29" t="e">
        <f>AND(DSSP!C100,"AAAAAGud+/Y=")</f>
        <v>#VALUE!</v>
      </c>
      <c r="IN29" t="e">
        <f>AND(DSSP!E100,"AAAAAGud+/c=")</f>
        <v>#VALUE!</v>
      </c>
      <c r="IO29">
        <f>IF(DSSP!107:107,"AAAAAGud+/g=",0)</f>
        <v>0</v>
      </c>
      <c r="IP29" t="e">
        <f>AND(DSSP!A107,"AAAAAGud+/k=")</f>
        <v>#VALUE!</v>
      </c>
      <c r="IQ29" t="e">
        <f>AND(DSSP!B107,"AAAAAGud+/o=")</f>
        <v>#VALUE!</v>
      </c>
      <c r="IR29" t="e">
        <f>AND(DSSP!C107,"AAAAAGud+/s=")</f>
        <v>#VALUE!</v>
      </c>
      <c r="IS29" t="e">
        <f>AND(DSSP!E107,"AAAAAGud+/w=")</f>
        <v>#VALUE!</v>
      </c>
      <c r="IT29">
        <f>IF(DSSP!108:108,"AAAAAGud+/0=",0)</f>
        <v>0</v>
      </c>
      <c r="IU29" t="e">
        <f>AND(DSSP!A108,"AAAAAGud+/4=")</f>
        <v>#VALUE!</v>
      </c>
      <c r="IV29" t="e">
        <f>AND(DSSP!B108,"AAAAAGud+/8=")</f>
        <v>#VALUE!</v>
      </c>
    </row>
    <row r="30" spans="1:256" ht="25.5">
      <c r="A30" t="e">
        <f>AND(DSSP!C108,"AAAAAHf+3wA=")</f>
        <v>#VALUE!</v>
      </c>
      <c r="B30" t="e">
        <f>AND(DSSP!E108,"AAAAAHf+3wE=")</f>
        <v>#VALUE!</v>
      </c>
      <c r="C30" t="str">
        <f>IF(DSSP!109:109,"AAAAAHf+3wI=",0)</f>
        <v>AAAAAHf+3wI=</v>
      </c>
      <c r="D30" t="e">
        <f>AND(DSSP!A109,"AAAAAHf+3wM=")</f>
        <v>#VALUE!</v>
      </c>
      <c r="E30" t="e">
        <f>AND(DSSP!B109,"AAAAAHf+3wQ=")</f>
        <v>#VALUE!</v>
      </c>
      <c r="F30" t="e">
        <f>AND(DSSP!C109,"AAAAAHf+3wU=")</f>
        <v>#VALUE!</v>
      </c>
      <c r="G30" t="e">
        <f>AND(DSSP!E109,"AAAAAHf+3wY=")</f>
        <v>#VALUE!</v>
      </c>
      <c r="H30">
        <f>IF(DSSP!110:110,"AAAAAHf+3wc=",0)</f>
        <v>0</v>
      </c>
      <c r="I30" t="e">
        <f>AND(DSSP!A110,"AAAAAHf+3wg=")</f>
        <v>#VALUE!</v>
      </c>
      <c r="J30" t="e">
        <f>AND(DSSP!B110,"AAAAAHf+3wk=")</f>
        <v>#VALUE!</v>
      </c>
      <c r="K30" t="e">
        <f>AND(DSSP!C110,"AAAAAHf+3wo=")</f>
        <v>#VALUE!</v>
      </c>
      <c r="L30" t="e">
        <f>AND(DSSP!E110,"AAAAAHf+3ws=")</f>
        <v>#VALUE!</v>
      </c>
      <c r="M30" t="e">
        <f>IF(DSSP!111:111,"AAAAAHf+3ww=",0)</f>
        <v>#VALUE!</v>
      </c>
      <c r="N30" t="e">
        <f>AND(DSSP!A111,"AAAAAHf+3w0=")</f>
        <v>#VALUE!</v>
      </c>
      <c r="O30" t="e">
        <f>AND(DSSP!B111,"AAAAAHf+3w4=")</f>
        <v>#VALUE!</v>
      </c>
      <c r="P30" t="e">
        <f>AND(DSSP!C111,"AAAAAHf+3w8=")</f>
        <v>#VALUE!</v>
      </c>
      <c r="Q30" t="e">
        <f>AND(DSSP!E111,"AAAAAHf+3xA=")</f>
        <v>#VALUE!</v>
      </c>
      <c r="R30">
        <f>IF(DSSP!112:112,"AAAAAHf+3xE=",0)</f>
        <v>0</v>
      </c>
      <c r="S30" t="e">
        <f>AND(DSSP!A112,"AAAAAHf+3xI=")</f>
        <v>#VALUE!</v>
      </c>
      <c r="T30" t="e">
        <f>AND(DSSP!B112,"AAAAAHf+3xM=")</f>
        <v>#VALUE!</v>
      </c>
      <c r="U30" t="e">
        <f>AND(DSSP!C112,"AAAAAHf+3xQ=")</f>
        <v>#VALUE!</v>
      </c>
      <c r="V30" t="e">
        <f>AND(DSSP!E112,"AAAAAHf+3xU=")</f>
        <v>#VALUE!</v>
      </c>
      <c r="W30">
        <f>IF(DSSP!113:113,"AAAAAHf+3xY=",0)</f>
        <v>0</v>
      </c>
      <c r="X30" t="e">
        <f>AND(DSSP!A113,"AAAAAHf+3xc=")</f>
        <v>#VALUE!</v>
      </c>
      <c r="Y30" t="e">
        <f>AND(DSSP!B113,"AAAAAHf+3xg=")</f>
        <v>#VALUE!</v>
      </c>
      <c r="Z30" t="e">
        <f>AND(DSSP!C113,"AAAAAHf+3xk=")</f>
        <v>#VALUE!</v>
      </c>
      <c r="AA30" t="e">
        <f>AND(DSSP!E113,"AAAAAHf+3xo=")</f>
        <v>#VALUE!</v>
      </c>
      <c r="AB30">
        <f>IF(DSSP!114:114,"AAAAAHf+3xs=",0)</f>
        <v>0</v>
      </c>
      <c r="AC30" t="e">
        <f>AND(DSSP!A114,"AAAAAHf+3xw=")</f>
        <v>#VALUE!</v>
      </c>
      <c r="AD30" t="e">
        <f>AND(DSSP!B114,"AAAAAHf+3x0=")</f>
        <v>#VALUE!</v>
      </c>
      <c r="AE30" t="e">
        <f>AND(DSSP!C114,"AAAAAHf+3x4=")</f>
        <v>#VALUE!</v>
      </c>
      <c r="AF30" t="e">
        <f>AND(DSSP!E114,"AAAAAHf+3x8=")</f>
        <v>#VALUE!</v>
      </c>
      <c r="AG30">
        <f>IF(DSSP!115:115,"AAAAAHf+3yA=",0)</f>
        <v>0</v>
      </c>
      <c r="AH30" t="e">
        <f>AND(DSSP!A115,"AAAAAHf+3yE=")</f>
        <v>#VALUE!</v>
      </c>
      <c r="AI30" t="e">
        <f>AND(DSSP!B115,"AAAAAHf+3yI=")</f>
        <v>#VALUE!</v>
      </c>
      <c r="AJ30" t="e">
        <f>AND(DSSP!C115,"AAAAAHf+3yM=")</f>
        <v>#VALUE!</v>
      </c>
      <c r="AK30" t="e">
        <f>AND(DSSP!E115,"AAAAAHf+3yQ=")</f>
        <v>#VALUE!</v>
      </c>
      <c r="AL30">
        <f>IF(DSSP!116:116,"AAAAAHf+3yU=",0)</f>
        <v>0</v>
      </c>
      <c r="AM30" t="e">
        <f>AND(DSSP!A116,"AAAAAHf+3yY=")</f>
        <v>#VALUE!</v>
      </c>
      <c r="AN30" t="e">
        <f>AND(DSSP!B116,"AAAAAHf+3yc=")</f>
        <v>#VALUE!</v>
      </c>
      <c r="AO30" t="e">
        <f>AND(DSSP!C116,"AAAAAHf+3yg=")</f>
        <v>#VALUE!</v>
      </c>
      <c r="AP30" t="e">
        <f>AND(DSSP!E116,"AAAAAHf+3yk=")</f>
        <v>#VALUE!</v>
      </c>
      <c r="AQ30">
        <f>IF(DSSP!117:117,"AAAAAHf+3yo=",0)</f>
        <v>0</v>
      </c>
      <c r="AR30" t="e">
        <f>AND(DSSP!A117,"AAAAAHf+3ys=")</f>
        <v>#VALUE!</v>
      </c>
      <c r="AS30" t="e">
        <f>AND(DSSP!B117,"AAAAAHf+3yw=")</f>
        <v>#VALUE!</v>
      </c>
      <c r="AT30" t="e">
        <f>AND(DSSP!C117,"AAAAAHf+3y0=")</f>
        <v>#VALUE!</v>
      </c>
      <c r="AU30" t="e">
        <f>AND(DSSP!E117,"AAAAAHf+3y4=")</f>
        <v>#VALUE!</v>
      </c>
      <c r="AV30">
        <f>IF(DSSP!118:118,"AAAAAHf+3y8=",0)</f>
        <v>0</v>
      </c>
      <c r="AW30" t="e">
        <f>AND(DSSP!A118,"AAAAAHf+3zA=")</f>
        <v>#VALUE!</v>
      </c>
      <c r="AX30" t="e">
        <f>AND(DSSP!B118,"AAAAAHf+3zE=")</f>
        <v>#VALUE!</v>
      </c>
      <c r="AY30" t="e">
        <f>AND(DSSP!C118,"AAAAAHf+3zI=")</f>
        <v>#VALUE!</v>
      </c>
      <c r="AZ30" t="e">
        <f>AND(DSSP!E118,"AAAAAHf+3zM=")</f>
        <v>#VALUE!</v>
      </c>
      <c r="BA30">
        <f>IF(DSSP!119:119,"AAAAAHf+3zQ=",0)</f>
        <v>0</v>
      </c>
      <c r="BB30" t="e">
        <f>AND(DSSP!A119,"AAAAAHf+3zU=")</f>
        <v>#VALUE!</v>
      </c>
      <c r="BC30" t="e">
        <f>AND(DSSP!B119,"AAAAAHf+3zY=")</f>
        <v>#VALUE!</v>
      </c>
      <c r="BD30" t="e">
        <f>AND(DSSP!C119,"AAAAAHf+3zc=")</f>
        <v>#VALUE!</v>
      </c>
      <c r="BE30" t="e">
        <f>AND(DSSP!E119,"AAAAAHf+3zg=")</f>
        <v>#VALUE!</v>
      </c>
      <c r="BF30">
        <f>IF(DSSP!120:120,"AAAAAHf+3zk=",0)</f>
        <v>0</v>
      </c>
      <c r="BG30" t="e">
        <f>AND(DSSP!A120,"AAAAAHf+3zo=")</f>
        <v>#VALUE!</v>
      </c>
      <c r="BH30" t="e">
        <f>AND(DSSP!B120,"AAAAAHf+3zs=")</f>
        <v>#VALUE!</v>
      </c>
      <c r="BI30" t="e">
        <f>AND(DSSP!C120,"AAAAAHf+3zw=")</f>
        <v>#VALUE!</v>
      </c>
      <c r="BJ30" t="e">
        <f>AND(DSSP!E120,"AAAAAHf+3z0=")</f>
        <v>#VALUE!</v>
      </c>
      <c r="BK30">
        <f>IF(DSSP!121:121,"AAAAAHf+3z4=",0)</f>
        <v>0</v>
      </c>
      <c r="BL30" t="e">
        <f>AND(DSSP!A121,"AAAAAHf+3z8=")</f>
        <v>#VALUE!</v>
      </c>
      <c r="BM30" t="e">
        <f>AND(DSSP!B121,"AAAAAHf+30A=")</f>
        <v>#VALUE!</v>
      </c>
      <c r="BN30" t="e">
        <f>AND(DSSP!C121,"AAAAAHf+30E=")</f>
        <v>#VALUE!</v>
      </c>
      <c r="BO30" t="e">
        <f>AND(DSSP!E121,"AAAAAHf+30I=")</f>
        <v>#VALUE!</v>
      </c>
      <c r="BP30">
        <f>IF(DSSP!122:122,"AAAAAHf+30M=",0)</f>
        <v>0</v>
      </c>
      <c r="BQ30" t="e">
        <f>AND(DSSP!A122,"AAAAAHf+30Q=")</f>
        <v>#VALUE!</v>
      </c>
      <c r="BR30" t="e">
        <f>AND(DSSP!B122,"AAAAAHf+30U=")</f>
        <v>#VALUE!</v>
      </c>
      <c r="BS30" t="e">
        <f>AND(DSSP!C122,"AAAAAHf+30Y=")</f>
        <v>#VALUE!</v>
      </c>
      <c r="BT30" t="e">
        <f>AND(DSSP!E122,"AAAAAHf+30c=")</f>
        <v>#VALUE!</v>
      </c>
      <c r="BU30">
        <f>IF(DSSP!123:123,"AAAAAHf+30g=",0)</f>
        <v>0</v>
      </c>
      <c r="BV30" t="e">
        <f>AND(DSSP!A123,"AAAAAHf+30k=")</f>
        <v>#VALUE!</v>
      </c>
      <c r="BW30" t="e">
        <f>AND(DSSP!B123,"AAAAAHf+30o=")</f>
        <v>#VALUE!</v>
      </c>
      <c r="BX30" t="e">
        <f>AND(DSSP!C123,"AAAAAHf+30s=")</f>
        <v>#VALUE!</v>
      </c>
      <c r="BY30" t="e">
        <f>AND(DSSP!E123,"AAAAAHf+30w=")</f>
        <v>#VALUE!</v>
      </c>
      <c r="BZ30">
        <f>IF(DSSP!124:124,"AAAAAHf+300=",0)</f>
        <v>0</v>
      </c>
      <c r="CA30" t="e">
        <f>AND(DSSP!A124,"AAAAAHf+304=")</f>
        <v>#VALUE!</v>
      </c>
      <c r="CB30" t="e">
        <f>AND(DSSP!B124,"AAAAAHf+308=")</f>
        <v>#VALUE!</v>
      </c>
      <c r="CC30" t="e">
        <f>AND(DSSP!C124,"AAAAAHf+31A=")</f>
        <v>#VALUE!</v>
      </c>
      <c r="CD30" t="e">
        <f>AND(DSSP!E124,"AAAAAHf+31E=")</f>
        <v>#VALUE!</v>
      </c>
      <c r="CE30">
        <f>IF(DSSP!125:125,"AAAAAHf+31I=",0)</f>
        <v>0</v>
      </c>
      <c r="CF30" t="e">
        <f>AND(DSSP!A125,"AAAAAHf+31M=")</f>
        <v>#VALUE!</v>
      </c>
      <c r="CG30" t="e">
        <f>AND(DSSP!B125,"AAAAAHf+31Q=")</f>
        <v>#VALUE!</v>
      </c>
      <c r="CH30" t="e">
        <f>AND(DSSP!C125,"AAAAAHf+31U=")</f>
        <v>#VALUE!</v>
      </c>
      <c r="CI30" t="e">
        <f>AND(DSSP!E125,"AAAAAHf+31Y=")</f>
        <v>#VALUE!</v>
      </c>
      <c r="CJ30">
        <f>IF(DSSP!126:126,"AAAAAHf+31c=",0)</f>
        <v>0</v>
      </c>
      <c r="CK30" t="e">
        <f>AND(DSSP!A126,"AAAAAHf+31g=")</f>
        <v>#VALUE!</v>
      </c>
      <c r="CL30" t="e">
        <f>AND(DSSP!B126,"AAAAAHf+31k=")</f>
        <v>#VALUE!</v>
      </c>
      <c r="CM30" t="e">
        <f>AND(DSSP!C126,"AAAAAHf+31o=")</f>
        <v>#VALUE!</v>
      </c>
      <c r="CN30" t="e">
        <f>AND(DSSP!E126,"AAAAAHf+31s=")</f>
        <v>#VALUE!</v>
      </c>
      <c r="CO30">
        <f>IF(DSSP!127:127,"AAAAAHf+31w=",0)</f>
        <v>0</v>
      </c>
      <c r="CP30" t="e">
        <f>AND(DSSP!A127,"AAAAAHf+310=")</f>
        <v>#VALUE!</v>
      </c>
      <c r="CQ30" t="e">
        <f>AND(DSSP!B127,"AAAAAHf+314=")</f>
        <v>#VALUE!</v>
      </c>
      <c r="CR30" t="e">
        <f>AND(DSSP!C127,"AAAAAHf+318=")</f>
        <v>#VALUE!</v>
      </c>
      <c r="CS30" t="e">
        <f>AND(DSSP!E127,"AAAAAHf+32A=")</f>
        <v>#VALUE!</v>
      </c>
      <c r="CT30">
        <f>IF(DSSP!128:128,"AAAAAHf+32E=",0)</f>
        <v>0</v>
      </c>
      <c r="CU30" t="e">
        <f>AND(DSSP!A128,"AAAAAHf+32I=")</f>
        <v>#VALUE!</v>
      </c>
      <c r="CV30" t="e">
        <f>AND(DSSP!B128,"AAAAAHf+32M=")</f>
        <v>#VALUE!</v>
      </c>
      <c r="CW30" t="e">
        <f>AND(DSSP!C128,"AAAAAHf+32Q=")</f>
        <v>#VALUE!</v>
      </c>
      <c r="CX30" t="e">
        <f>AND(DSSP!E128,"AAAAAHf+32U=")</f>
        <v>#VALUE!</v>
      </c>
      <c r="CY30">
        <f>IF(DSSP!129:129,"AAAAAHf+32Y=",0)</f>
        <v>0</v>
      </c>
      <c r="CZ30" t="e">
        <f>AND(DSSP!A129,"AAAAAHf+32c=")</f>
        <v>#VALUE!</v>
      </c>
      <c r="DA30" t="e">
        <f>AND(DSSP!B129,"AAAAAHf+32g=")</f>
        <v>#VALUE!</v>
      </c>
      <c r="DB30" t="e">
        <f>AND(DSSP!C129,"AAAAAHf+32k=")</f>
        <v>#VALUE!</v>
      </c>
      <c r="DC30" t="e">
        <f>AND(DSSP!E129,"AAAAAHf+32o=")</f>
        <v>#VALUE!</v>
      </c>
      <c r="DD30">
        <f>IF(DSSP!130:130,"AAAAAHf+32s=",0)</f>
        <v>0</v>
      </c>
      <c r="DE30" t="e">
        <f>AND(DSSP!A130,"AAAAAHf+32w=")</f>
        <v>#VALUE!</v>
      </c>
      <c r="DF30" t="e">
        <f>AND(DSSP!B130,"AAAAAHf+320=")</f>
        <v>#VALUE!</v>
      </c>
      <c r="DG30" t="e">
        <f>AND(DSSP!C130,"AAAAAHf+324=")</f>
        <v>#VALUE!</v>
      </c>
      <c r="DH30" t="e">
        <f>AND(DSSP!E130,"AAAAAHf+328=")</f>
        <v>#VALUE!</v>
      </c>
      <c r="DI30">
        <f>IF(DSSP!131:131,"AAAAAHf+33A=",0)</f>
        <v>0</v>
      </c>
      <c r="DJ30" t="e">
        <f>AND(DSSP!A131,"AAAAAHf+33E=")</f>
        <v>#VALUE!</v>
      </c>
      <c r="DK30" t="e">
        <f>AND(DSSP!B131,"AAAAAHf+33I=")</f>
        <v>#VALUE!</v>
      </c>
      <c r="DL30" t="e">
        <f>AND(DSSP!C131,"AAAAAHf+33M=")</f>
        <v>#VALUE!</v>
      </c>
      <c r="DM30" t="e">
        <f>AND(DSSP!E131,"AAAAAHf+33Q=")</f>
        <v>#VALUE!</v>
      </c>
      <c r="DN30">
        <f>IF(DSSP!132:132,"AAAAAHf+33U=",0)</f>
        <v>0</v>
      </c>
      <c r="DO30" t="e">
        <f>AND(DSSP!A132,"AAAAAHf+33Y=")</f>
        <v>#VALUE!</v>
      </c>
      <c r="DP30" t="e">
        <f>AND(DSSP!B132,"AAAAAHf+33c=")</f>
        <v>#VALUE!</v>
      </c>
      <c r="DQ30" t="e">
        <f>AND(DSSP!C132,"AAAAAHf+33g=")</f>
        <v>#VALUE!</v>
      </c>
      <c r="DR30" t="e">
        <f>AND(DSSP!E132,"AAAAAHf+33k=")</f>
        <v>#VALUE!</v>
      </c>
      <c r="DS30">
        <f>IF(DSSP!133:133,"AAAAAHf+33o=",0)</f>
        <v>0</v>
      </c>
      <c r="DT30" t="e">
        <f>AND(DSSP!A133,"AAAAAHf+33s=")</f>
        <v>#VALUE!</v>
      </c>
      <c r="DU30" t="e">
        <f>AND(DSSP!B133,"AAAAAHf+33w=")</f>
        <v>#VALUE!</v>
      </c>
      <c r="DV30" t="e">
        <f>AND(DSSP!C133,"AAAAAHf+330=")</f>
        <v>#VALUE!</v>
      </c>
      <c r="DW30" t="e">
        <f>AND(DSSP!E133,"AAAAAHf+334=")</f>
        <v>#VALUE!</v>
      </c>
      <c r="DX30">
        <f>IF(DSSP!134:134,"AAAAAHf+338=",0)</f>
        <v>0</v>
      </c>
      <c r="DY30" t="e">
        <f>AND(DSSP!A134,"AAAAAHf+34A=")</f>
        <v>#VALUE!</v>
      </c>
      <c r="DZ30" t="e">
        <f>AND(DSSP!B134,"AAAAAHf+34E=")</f>
        <v>#VALUE!</v>
      </c>
      <c r="EA30" t="e">
        <f>AND(DSSP!C134,"AAAAAHf+34I=")</f>
        <v>#VALUE!</v>
      </c>
      <c r="EB30" t="e">
        <f>AND(DSSP!E134,"AAAAAHf+34M=")</f>
        <v>#VALUE!</v>
      </c>
      <c r="EC30">
        <f>IF(DSSP!135:135,"AAAAAHf+34Q=",0)</f>
        <v>0</v>
      </c>
      <c r="ED30" t="e">
        <f>AND(DSSP!A135,"AAAAAHf+34U=")</f>
        <v>#VALUE!</v>
      </c>
      <c r="EE30" t="e">
        <f>AND(DSSP!B135,"AAAAAHf+34Y=")</f>
        <v>#VALUE!</v>
      </c>
      <c r="EF30" t="e">
        <f>AND(DSSP!C135,"AAAAAHf+34c=")</f>
        <v>#VALUE!</v>
      </c>
      <c r="EG30" t="e">
        <f>AND(DSSP!E135,"AAAAAHf+34g=")</f>
        <v>#VALUE!</v>
      </c>
      <c r="EH30">
        <f>IF(DSSP!136:136,"AAAAAHf+34k=",0)</f>
        <v>0</v>
      </c>
      <c r="EI30" t="e">
        <f>AND(DSSP!A136,"AAAAAHf+34o=")</f>
        <v>#VALUE!</v>
      </c>
      <c r="EJ30" t="e">
        <f>AND(DSSP!B136,"AAAAAHf+34s=")</f>
        <v>#VALUE!</v>
      </c>
      <c r="EK30" t="e">
        <f>AND(DSSP!C136,"AAAAAHf+34w=")</f>
        <v>#VALUE!</v>
      </c>
      <c r="EL30" t="e">
        <f>AND(DSSP!E136,"AAAAAHf+340=")</f>
        <v>#VALUE!</v>
      </c>
      <c r="EM30">
        <f>IF(DSSP!137:137,"AAAAAHf+344=",0)</f>
        <v>0</v>
      </c>
      <c r="EN30" t="e">
        <f>AND(DSSP!A137,"AAAAAHf+348=")</f>
        <v>#VALUE!</v>
      </c>
      <c r="EO30" t="e">
        <f>AND(DSSP!B137,"AAAAAHf+35A=")</f>
        <v>#VALUE!</v>
      </c>
      <c r="EP30" t="e">
        <f>AND(DSSP!C137,"AAAAAHf+35E=")</f>
        <v>#VALUE!</v>
      </c>
      <c r="EQ30" t="e">
        <f>AND(DSSP!E137,"AAAAAHf+35I=")</f>
        <v>#VALUE!</v>
      </c>
      <c r="ER30">
        <f>IF(DSSP!138:138,"AAAAAHf+35M=",0)</f>
        <v>0</v>
      </c>
      <c r="ES30" t="e">
        <f>AND(DSSP!A138,"AAAAAHf+35Q=")</f>
        <v>#VALUE!</v>
      </c>
      <c r="ET30" t="e">
        <f>AND(DSSP!B138,"AAAAAHf+35U=")</f>
        <v>#VALUE!</v>
      </c>
      <c r="EU30" t="e">
        <f>AND(DSSP!C138,"AAAAAHf+35Y=")</f>
        <v>#VALUE!</v>
      </c>
      <c r="EV30" t="e">
        <f>AND(DSSP!E138,"AAAAAHf+35c=")</f>
        <v>#VALUE!</v>
      </c>
      <c r="EW30">
        <f>IF(DSSP!139:139,"AAAAAHf+35g=",0)</f>
        <v>0</v>
      </c>
      <c r="EX30" t="e">
        <f>AND(DSSP!A139,"AAAAAHf+35k=")</f>
        <v>#VALUE!</v>
      </c>
      <c r="EY30" t="e">
        <f>AND(DSSP!B139,"AAAAAHf+35o=")</f>
        <v>#VALUE!</v>
      </c>
      <c r="EZ30" t="e">
        <f>AND(DSSP!C139,"AAAAAHf+35s=")</f>
        <v>#VALUE!</v>
      </c>
      <c r="FA30" t="e">
        <f>AND(DSSP!E139,"AAAAAHf+35w=")</f>
        <v>#VALUE!</v>
      </c>
      <c r="FB30">
        <f>IF(DSSP!140:140,"AAAAAHf+350=",0)</f>
        <v>0</v>
      </c>
      <c r="FC30" t="e">
        <f>AND(DSSP!A140,"AAAAAHf+354=")</f>
        <v>#VALUE!</v>
      </c>
      <c r="FD30" t="e">
        <f>AND(DSSP!B140,"AAAAAHf+358=")</f>
        <v>#VALUE!</v>
      </c>
      <c r="FE30" t="e">
        <f>AND(DSSP!C140,"AAAAAHf+36A=")</f>
        <v>#VALUE!</v>
      </c>
      <c r="FF30" t="e">
        <f>AND(DSSP!E140,"AAAAAHf+36E=")</f>
        <v>#VALUE!</v>
      </c>
      <c r="FG30">
        <f>IF(DSSP!141:141,"AAAAAHf+36I=",0)</f>
        <v>0</v>
      </c>
      <c r="FH30" t="e">
        <f>AND(DSSP!A141,"AAAAAHf+36M=")</f>
        <v>#VALUE!</v>
      </c>
      <c r="FI30" t="e">
        <f>AND(DSSP!B141,"AAAAAHf+36Q=")</f>
        <v>#VALUE!</v>
      </c>
      <c r="FJ30" t="e">
        <f>AND(DSSP!C141,"AAAAAHf+36U=")</f>
        <v>#VALUE!</v>
      </c>
      <c r="FK30" t="e">
        <f>AND(DSSP!E141,"AAAAAHf+36Y=")</f>
        <v>#VALUE!</v>
      </c>
      <c r="FL30">
        <f>IF(DSSP!142:142,"AAAAAHf+36c=",0)</f>
        <v>0</v>
      </c>
      <c r="FM30" t="e">
        <f>AND(DSSP!A142,"AAAAAHf+36g=")</f>
        <v>#VALUE!</v>
      </c>
      <c r="FN30" t="e">
        <f>AND(DSSP!B142,"AAAAAHf+36k=")</f>
        <v>#VALUE!</v>
      </c>
      <c r="FO30" t="e">
        <f>AND(DSSP!C142,"AAAAAHf+36o=")</f>
        <v>#VALUE!</v>
      </c>
      <c r="FP30" t="e">
        <f>AND(DSSP!E142,"AAAAAHf+36s=")</f>
        <v>#VALUE!</v>
      </c>
      <c r="FQ30">
        <f>IF(DSSP!143:143,"AAAAAHf+36w=",0)</f>
        <v>0</v>
      </c>
      <c r="FR30" t="e">
        <f>AND(DSSP!A143,"AAAAAHf+360=")</f>
        <v>#VALUE!</v>
      </c>
      <c r="FS30" t="e">
        <f>AND(DSSP!B143,"AAAAAHf+364=")</f>
        <v>#VALUE!</v>
      </c>
      <c r="FT30" t="e">
        <f>AND(DSSP!C143,"AAAAAHf+368=")</f>
        <v>#VALUE!</v>
      </c>
      <c r="FU30" t="e">
        <f>AND(DSSP!E143,"AAAAAHf+37A=")</f>
        <v>#VALUE!</v>
      </c>
      <c r="FV30">
        <f>IF(DSSP!144:144,"AAAAAHf+37E=",0)</f>
        <v>0</v>
      </c>
      <c r="FW30" t="e">
        <f>AND(DSSP!A144,"AAAAAHf+37I=")</f>
        <v>#VALUE!</v>
      </c>
      <c r="FX30" t="e">
        <f>AND(DSSP!B144,"AAAAAHf+37M=")</f>
        <v>#VALUE!</v>
      </c>
      <c r="FY30" t="e">
        <f>AND(DSSP!C144,"AAAAAHf+37Q=")</f>
        <v>#VALUE!</v>
      </c>
      <c r="FZ30" t="e">
        <f>AND(DSSP!E144,"AAAAAHf+37U=")</f>
        <v>#VALUE!</v>
      </c>
      <c r="GA30">
        <f>IF(DSSP!145:145,"AAAAAHf+37Y=",0)</f>
        <v>0</v>
      </c>
      <c r="GB30" t="e">
        <f>AND(DSSP!A145,"AAAAAHf+37c=")</f>
        <v>#VALUE!</v>
      </c>
      <c r="GC30" t="e">
        <f>AND(DSSP!B145,"AAAAAHf+37g=")</f>
        <v>#VALUE!</v>
      </c>
      <c r="GD30" t="e">
        <f>AND(DSSP!C145,"AAAAAHf+37k=")</f>
        <v>#VALUE!</v>
      </c>
      <c r="GE30" t="e">
        <f>AND(DSSP!E145,"AAAAAHf+37o=")</f>
        <v>#VALUE!</v>
      </c>
      <c r="GF30">
        <f>IF(DSSP!146:146,"AAAAAHf+37s=",0)</f>
        <v>0</v>
      </c>
      <c r="GG30" t="e">
        <f>AND(DSSP!A146,"AAAAAHf+37w=")</f>
        <v>#VALUE!</v>
      </c>
      <c r="GH30" t="e">
        <f>AND(DSSP!B146,"AAAAAHf+370=")</f>
        <v>#VALUE!</v>
      </c>
      <c r="GI30" t="e">
        <f>AND(DSSP!C146,"AAAAAHf+374=")</f>
        <v>#VALUE!</v>
      </c>
      <c r="GJ30" t="e">
        <f>AND(DSSP!E146,"AAAAAHf+378=")</f>
        <v>#VALUE!</v>
      </c>
      <c r="GK30">
        <f>IF(DSSP!147:147,"AAAAAHf+38A=",0)</f>
        <v>0</v>
      </c>
      <c r="GL30" t="e">
        <f>AND(DSSP!A147,"AAAAAHf+38E=")</f>
        <v>#VALUE!</v>
      </c>
      <c r="GM30" t="e">
        <f>AND(DSSP!B147,"AAAAAHf+38I=")</f>
        <v>#VALUE!</v>
      </c>
      <c r="GN30" t="e">
        <f>AND(DSSP!C147,"AAAAAHf+38M=")</f>
        <v>#VALUE!</v>
      </c>
      <c r="GO30" t="e">
        <f>AND(DSSP!E147,"AAAAAHf+38Q=")</f>
        <v>#VALUE!</v>
      </c>
      <c r="GP30">
        <f>IF(DSSP!148:148,"AAAAAHf+38U=",0)</f>
        <v>0</v>
      </c>
      <c r="GQ30" t="e">
        <f>AND(DSSP!A148,"AAAAAHf+38Y=")</f>
        <v>#VALUE!</v>
      </c>
      <c r="GR30" t="e">
        <f>AND(DSSP!B148,"AAAAAHf+38c=")</f>
        <v>#VALUE!</v>
      </c>
      <c r="GS30" t="e">
        <f>AND(DSSP!C148,"AAAAAHf+38g=")</f>
        <v>#VALUE!</v>
      </c>
      <c r="GT30" t="e">
        <f>AND(DSSP!E148,"AAAAAHf+38k=")</f>
        <v>#VALUE!</v>
      </c>
      <c r="GU30">
        <f>IF(DSSP!149:149,"AAAAAHf+38o=",0)</f>
        <v>0</v>
      </c>
      <c r="GV30" t="e">
        <f>AND(DSSP!A149,"AAAAAHf+38s=")</f>
        <v>#VALUE!</v>
      </c>
      <c r="GW30" t="e">
        <f>AND(DSSP!B149,"AAAAAHf+38w=")</f>
        <v>#VALUE!</v>
      </c>
      <c r="GX30" t="e">
        <f>AND(DSSP!C149,"AAAAAHf+380=")</f>
        <v>#VALUE!</v>
      </c>
      <c r="GY30" t="e">
        <f>AND(DSSP!E149,"AAAAAHf+384=")</f>
        <v>#VALUE!</v>
      </c>
      <c r="GZ30">
        <f>IF(DSSP!150:150,"AAAAAHf+388=",0)</f>
        <v>0</v>
      </c>
      <c r="HA30" t="e">
        <f>AND(DSSP!A150,"AAAAAHf+39A=")</f>
        <v>#VALUE!</v>
      </c>
      <c r="HB30" t="e">
        <f>AND(DSSP!B150,"AAAAAHf+39E=")</f>
        <v>#VALUE!</v>
      </c>
      <c r="HC30" t="e">
        <f>AND(DSSP!C150,"AAAAAHf+39I=")</f>
        <v>#VALUE!</v>
      </c>
      <c r="HD30" t="e">
        <f>AND(DSSP!E150,"AAAAAHf+39M=")</f>
        <v>#VALUE!</v>
      </c>
      <c r="HE30">
        <f>IF(DSSP!151:151,"AAAAAHf+39Q=",0)</f>
        <v>0</v>
      </c>
      <c r="HF30" t="e">
        <f>AND(DSSP!A151,"AAAAAHf+39U=")</f>
        <v>#VALUE!</v>
      </c>
      <c r="HG30" t="e">
        <f>AND(DSSP!B151,"AAAAAHf+39Y=")</f>
        <v>#VALUE!</v>
      </c>
      <c r="HH30" t="e">
        <f>AND(DSSP!C151,"AAAAAHf+39c=")</f>
        <v>#VALUE!</v>
      </c>
      <c r="HI30" t="e">
        <f>AND(DSSP!E151,"AAAAAHf+39g=")</f>
        <v>#VALUE!</v>
      </c>
      <c r="HJ30">
        <f>IF(DSSP!152:152,"AAAAAHf+39k=",0)</f>
        <v>0</v>
      </c>
      <c r="HK30" t="e">
        <f>AND(DSSP!A152,"AAAAAHf+39o=")</f>
        <v>#VALUE!</v>
      </c>
      <c r="HL30" t="e">
        <f>AND(DSSP!B152,"AAAAAHf+39s=")</f>
        <v>#VALUE!</v>
      </c>
      <c r="HM30" t="e">
        <f>AND(DSSP!C152,"AAAAAHf+39w=")</f>
        <v>#VALUE!</v>
      </c>
      <c r="HN30" t="e">
        <f>AND(DSSP!E152,"AAAAAHf+390=")</f>
        <v>#VALUE!</v>
      </c>
      <c r="HO30">
        <f>IF(DSSP!153:153,"AAAAAHf+394=",0)</f>
        <v>0</v>
      </c>
      <c r="HP30" t="e">
        <f>AND(DSSP!A153,"AAAAAHf+398=")</f>
        <v>#VALUE!</v>
      </c>
      <c r="HQ30" t="e">
        <f>AND(DSSP!B153,"AAAAAHf+3+A=")</f>
        <v>#VALUE!</v>
      </c>
      <c r="HR30" t="e">
        <f>AND(DSSP!C153,"AAAAAHf+3+E=")</f>
        <v>#VALUE!</v>
      </c>
      <c r="HS30" t="e">
        <f>AND(DSSP!E153,"AAAAAHf+3+I=")</f>
        <v>#VALUE!</v>
      </c>
      <c r="HT30">
        <f>IF(DSSP!154:154,"AAAAAHf+3+M=",0)</f>
        <v>0</v>
      </c>
      <c r="HU30" t="e">
        <f>AND(DSSP!A154,"AAAAAHf+3+Q=")</f>
        <v>#VALUE!</v>
      </c>
      <c r="HV30" t="e">
        <f>AND(DSSP!B154,"AAAAAHf+3+U=")</f>
        <v>#VALUE!</v>
      </c>
      <c r="HW30" t="e">
        <f>AND(DSSP!C154,"AAAAAHf+3+Y=")</f>
        <v>#VALUE!</v>
      </c>
      <c r="HX30" t="e">
        <f>AND(DSSP!E154,"AAAAAHf+3+c=")</f>
        <v>#VALUE!</v>
      </c>
      <c r="HY30">
        <f>IF(DSSP!155:155,"AAAAAHf+3+g=",0)</f>
        <v>0</v>
      </c>
      <c r="HZ30" t="e">
        <f>AND(DSSP!A155,"AAAAAHf+3+k=")</f>
        <v>#VALUE!</v>
      </c>
      <c r="IA30" t="e">
        <f>AND(DSSP!B155,"AAAAAHf+3+o=")</f>
        <v>#VALUE!</v>
      </c>
      <c r="IB30" t="e">
        <f>AND(DSSP!C155,"AAAAAHf+3+s=")</f>
        <v>#VALUE!</v>
      </c>
      <c r="IC30" t="e">
        <f>AND(DSSP!E155,"AAAAAHf+3+w=")</f>
        <v>#VALUE!</v>
      </c>
      <c r="ID30">
        <f>IF(DSSP!156:156,"AAAAAHf+3+0=",0)</f>
        <v>0</v>
      </c>
      <c r="IE30" t="e">
        <f>AND(DSSP!A156,"AAAAAHf+3+4=")</f>
        <v>#VALUE!</v>
      </c>
      <c r="IF30" t="e">
        <f>AND(DSSP!B156,"AAAAAHf+3+8=")</f>
        <v>#VALUE!</v>
      </c>
      <c r="IG30" t="e">
        <f>AND(DSSP!C156,"AAAAAHf+3/A=")</f>
        <v>#VALUE!</v>
      </c>
      <c r="IH30" t="e">
        <f>AND(DSSP!E156,"AAAAAHf+3/E=")</f>
        <v>#VALUE!</v>
      </c>
      <c r="II30">
        <f>IF(DSSP!157:157,"AAAAAHf+3/I=",0)</f>
        <v>0</v>
      </c>
      <c r="IJ30" t="e">
        <f>AND(DSSP!A157,"AAAAAHf+3/M=")</f>
        <v>#VALUE!</v>
      </c>
      <c r="IK30" t="e">
        <f>AND(DSSP!B157,"AAAAAHf+3/Q=")</f>
        <v>#VALUE!</v>
      </c>
      <c r="IL30" t="e">
        <f>AND(DSSP!C157,"AAAAAHf+3/U=")</f>
        <v>#VALUE!</v>
      </c>
      <c r="IM30" t="e">
        <f>AND(DSSP!E157,"AAAAAHf+3/Y=")</f>
        <v>#VALUE!</v>
      </c>
      <c r="IN30">
        <f>IF(DSSP!158:158,"AAAAAHf+3/c=",0)</f>
        <v>0</v>
      </c>
      <c r="IO30" t="e">
        <f>AND(DSSP!A158,"AAAAAHf+3/g=")</f>
        <v>#VALUE!</v>
      </c>
      <c r="IP30" t="e">
        <f>AND(DSSP!B158,"AAAAAHf+3/k=")</f>
        <v>#VALUE!</v>
      </c>
      <c r="IQ30" t="e">
        <f>AND(DSSP!C158,"AAAAAHf+3/o=")</f>
        <v>#VALUE!</v>
      </c>
      <c r="IR30" t="e">
        <f>AND(DSSP!E158,"AAAAAHf+3/s=")</f>
        <v>#VALUE!</v>
      </c>
      <c r="IS30">
        <f>IF(DSSP!159:159,"AAAAAHf+3/w=",0)</f>
        <v>0</v>
      </c>
      <c r="IT30" t="e">
        <f>AND(DSSP!A159,"AAAAAHf+3/0=")</f>
        <v>#VALUE!</v>
      </c>
      <c r="IU30" t="e">
        <f>AND(DSSP!B159,"AAAAAHf+3/4=")</f>
        <v>#VALUE!</v>
      </c>
      <c r="IV30" t="e">
        <f>AND(DSSP!C159,"AAAAAHf+3/8=")</f>
        <v>#VALUE!</v>
      </c>
    </row>
    <row r="31" spans="1:256" ht="25.5">
      <c r="A31" t="e">
        <f>AND(DSSP!E159,"AAAAAHv/uQA=")</f>
        <v>#VALUE!</v>
      </c>
      <c r="B31" t="e">
        <f>IF(DSSP!160:160,"AAAAAHv/uQE=",0)</f>
        <v>#VALUE!</v>
      </c>
      <c r="C31" t="e">
        <f>AND(DSSP!A160,"AAAAAHv/uQI=")</f>
        <v>#VALUE!</v>
      </c>
      <c r="D31" t="e">
        <f>AND(DSSP!B160,"AAAAAHv/uQM=")</f>
        <v>#VALUE!</v>
      </c>
      <c r="E31" t="e">
        <f>AND(DSSP!C160,"AAAAAHv/uQQ=")</f>
        <v>#VALUE!</v>
      </c>
      <c r="F31" t="e">
        <f>AND(DSSP!E160,"AAAAAHv/uQU=")</f>
        <v>#VALUE!</v>
      </c>
      <c r="G31" t="str">
        <f>IF(DSSP!161:161,"AAAAAHv/uQY=",0)</f>
        <v>AAAAAHv/uQY=</v>
      </c>
      <c r="H31" t="e">
        <f>AND(DSSP!A161,"AAAAAHv/uQc=")</f>
        <v>#VALUE!</v>
      </c>
      <c r="I31" t="e">
        <f>AND(DSSP!B161,"AAAAAHv/uQg=")</f>
        <v>#VALUE!</v>
      </c>
      <c r="J31" t="e">
        <f>AND(DSSP!C161,"AAAAAHv/uQk=")</f>
        <v>#VALUE!</v>
      </c>
      <c r="K31" t="e">
        <f>AND(DSSP!E161,"AAAAAHv/uQo=")</f>
        <v>#VALUE!</v>
      </c>
      <c r="L31" t="e">
        <f ca="1">IF(DSSP!162:162,"AAAAAHv/uQs=",0)</f>
        <v>#VALUE!</v>
      </c>
      <c r="M31" t="e">
        <f>AND(DSSP!A162,"AAAAAHv/uQw=")</f>
        <v>#VALUE!</v>
      </c>
      <c r="N31" t="e">
        <f>AND(DSSP!B162,"AAAAAHv/uQ0=")</f>
        <v>#VALUE!</v>
      </c>
      <c r="O31" t="e">
        <f>AND(DSSP!C162,"AAAAAHv/uQ4=")</f>
        <v>#VALUE!</v>
      </c>
      <c r="P31" t="e">
        <f>AND(DSSP!E162,"AAAAAHv/uQ8=")</f>
        <v>#VALUE!</v>
      </c>
      <c r="Q31">
        <f>IF(DSSP!164:164,"AAAAAHv/uRA=",0)</f>
        <v>0</v>
      </c>
      <c r="R31" t="e">
        <f>AND(DSSP!A164,"AAAAAHv/uRE=")</f>
        <v>#VALUE!</v>
      </c>
      <c r="S31" t="e">
        <f>AND(DSSP!B164,"AAAAAHv/uRI=")</f>
        <v>#VALUE!</v>
      </c>
      <c r="T31" t="e">
        <f>AND(DSSP!C164,"AAAAAHv/uRM=")</f>
        <v>#VALUE!</v>
      </c>
      <c r="U31" t="e">
        <f>AND(DSSP!E164,"AAAAAHv/uRQ=")</f>
        <v>#VALUE!</v>
      </c>
      <c r="V31">
        <f>IF(DSSP!166:166,"AAAAAHv/uRU=",0)</f>
        <v>0</v>
      </c>
      <c r="W31" t="e">
        <f>AND(DSSP!A166,"AAAAAHv/uRY=")</f>
        <v>#VALUE!</v>
      </c>
      <c r="X31" t="e">
        <f>AND(DSSP!B166,"AAAAAHv/uRc=")</f>
        <v>#VALUE!</v>
      </c>
      <c r="Y31" t="e">
        <f>AND(DSSP!C166,"AAAAAHv/uRg=")</f>
        <v>#VALUE!</v>
      </c>
      <c r="Z31" t="e">
        <f>AND(DSSP!E166,"AAAAAHv/uRk=")</f>
        <v>#VALUE!</v>
      </c>
      <c r="AA31">
        <f>IF(DSSP!167:167,"AAAAAHv/uRo=",0)</f>
        <v>0</v>
      </c>
      <c r="AB31" t="e">
        <f>AND(DSSP!A167,"AAAAAHv/uRs=")</f>
        <v>#VALUE!</v>
      </c>
      <c r="AC31" t="e">
        <f>AND(DSSP!B167,"AAAAAHv/uRw=")</f>
        <v>#VALUE!</v>
      </c>
      <c r="AD31" t="e">
        <f>AND(DSSP!C167,"AAAAAHv/uR0=")</f>
        <v>#VALUE!</v>
      </c>
      <c r="AE31" t="e">
        <f>AND(DSSP!E167,"AAAAAHv/uR4=")</f>
        <v>#VALUE!</v>
      </c>
      <c r="AF31">
        <f>IF(DSSP!168:168,"AAAAAHv/uR8=",0)</f>
        <v>0</v>
      </c>
      <c r="AG31" t="e">
        <f>AND(DSSP!A168,"AAAAAHv/uSA=")</f>
        <v>#VALUE!</v>
      </c>
      <c r="AH31" t="e">
        <f>AND(DSSP!B168,"AAAAAHv/uSE=")</f>
        <v>#VALUE!</v>
      </c>
      <c r="AI31" t="e">
        <f>AND(DSSP!C168,"AAAAAHv/uSI=")</f>
        <v>#VALUE!</v>
      </c>
      <c r="AJ31" t="e">
        <f>AND(DSSP!E168,"AAAAAHv/uSM=")</f>
        <v>#VALUE!</v>
      </c>
      <c r="AK31">
        <f>IF(DSSP!169:169,"AAAAAHv/uSQ=",0)</f>
        <v>0</v>
      </c>
      <c r="AL31" t="e">
        <f>AND(DSSP!A169,"AAAAAHv/uSU=")</f>
        <v>#VALUE!</v>
      </c>
      <c r="AM31" t="e">
        <f>AND(DSSP!B169,"AAAAAHv/uSY=")</f>
        <v>#VALUE!</v>
      </c>
      <c r="AN31" t="e">
        <f>AND(DSSP!C169,"AAAAAHv/uSc=")</f>
        <v>#VALUE!</v>
      </c>
      <c r="AO31" t="e">
        <f>AND(DSSP!E169,"AAAAAHv/uSg=")</f>
        <v>#VALUE!</v>
      </c>
      <c r="AP31">
        <f>IF(DSSP!170:170,"AAAAAHv/uSk=",0)</f>
        <v>0</v>
      </c>
      <c r="AQ31" t="e">
        <f>AND(DSSP!A170,"AAAAAHv/uSo=")</f>
        <v>#VALUE!</v>
      </c>
      <c r="AR31" t="e">
        <f>AND(DSSP!B170,"AAAAAHv/uSs=")</f>
        <v>#VALUE!</v>
      </c>
      <c r="AS31" t="e">
        <f>AND(DSSP!C170,"AAAAAHv/uSw=")</f>
        <v>#VALUE!</v>
      </c>
      <c r="AT31" t="e">
        <f>AND(DSSP!E170,"AAAAAHv/uS0=")</f>
        <v>#VALUE!</v>
      </c>
      <c r="AU31">
        <f>IF(DSSP!171:171,"AAAAAHv/uS4=",0)</f>
        <v>0</v>
      </c>
      <c r="AV31" t="e">
        <f>AND(DSSP!A171,"AAAAAHv/uS8=")</f>
        <v>#VALUE!</v>
      </c>
      <c r="AW31" t="e">
        <f>AND(DSSP!B171,"AAAAAHv/uTA=")</f>
        <v>#VALUE!</v>
      </c>
      <c r="AX31" t="e">
        <f>AND(DSSP!C171,"AAAAAHv/uTE=")</f>
        <v>#VALUE!</v>
      </c>
      <c r="AY31" t="e">
        <f>AND(DSSP!E171,"AAAAAHv/uTI=")</f>
        <v>#VALUE!</v>
      </c>
      <c r="AZ31">
        <f>IF(DSSP!172:172,"AAAAAHv/uTM=",0)</f>
        <v>0</v>
      </c>
      <c r="BA31" t="e">
        <f>AND(DSSP!A172,"AAAAAHv/uTQ=")</f>
        <v>#VALUE!</v>
      </c>
      <c r="BB31" t="e">
        <f>AND(DSSP!B172,"AAAAAHv/uTU=")</f>
        <v>#VALUE!</v>
      </c>
      <c r="BC31" t="e">
        <f>AND(DSSP!C172,"AAAAAHv/uTY=")</f>
        <v>#VALUE!</v>
      </c>
      <c r="BD31" t="e">
        <f>AND(DSSP!E172,"AAAAAHv/uTc=")</f>
        <v>#VALUE!</v>
      </c>
      <c r="BE31">
        <f>IF(DSSP!176:176,"AAAAAHv/uTg=",0)</f>
        <v>0</v>
      </c>
      <c r="BF31" t="e">
        <f>AND(DSSP!A176,"AAAAAHv/uTk=")</f>
        <v>#VALUE!</v>
      </c>
      <c r="BG31" t="e">
        <f>AND(DSSP!B176,"AAAAAHv/uTo=")</f>
        <v>#VALUE!</v>
      </c>
      <c r="BH31" t="e">
        <f>AND(DSSP!C176,"AAAAAHv/uTs=")</f>
        <v>#VALUE!</v>
      </c>
      <c r="BI31" t="e">
        <f>AND(DSSP!E176,"AAAAAHv/uTw=")</f>
        <v>#VALUE!</v>
      </c>
      <c r="BJ31">
        <f>IF(DSSP!177:177,"AAAAAHv/uT0=",0)</f>
        <v>0</v>
      </c>
      <c r="BK31" t="e">
        <f>AND(DSSP!A177,"AAAAAHv/uT4=")</f>
        <v>#VALUE!</v>
      </c>
      <c r="BL31" t="e">
        <f>AND(DSSP!B177,"AAAAAHv/uT8=")</f>
        <v>#VALUE!</v>
      </c>
      <c r="BM31" t="e">
        <f>AND(DSSP!C177,"AAAAAHv/uUA=")</f>
        <v>#VALUE!</v>
      </c>
      <c r="BN31" t="e">
        <f>AND(DSSP!E177,"AAAAAHv/uUE=")</f>
        <v>#VALUE!</v>
      </c>
      <c r="BO31">
        <f>IF(DSSP!178:178,"AAAAAHv/uUI=",0)</f>
        <v>0</v>
      </c>
      <c r="BP31" t="e">
        <f>AND(DSSP!A178,"AAAAAHv/uUM=")</f>
        <v>#VALUE!</v>
      </c>
      <c r="BQ31" t="e">
        <f>AND(DSSP!B178,"AAAAAHv/uUQ=")</f>
        <v>#VALUE!</v>
      </c>
      <c r="BR31" t="e">
        <f>AND(DSSP!C178,"AAAAAHv/uUU=")</f>
        <v>#VALUE!</v>
      </c>
      <c r="BS31" t="e">
        <f>AND(DSSP!E178,"AAAAAHv/uUY=")</f>
        <v>#VALUE!</v>
      </c>
      <c r="BT31">
        <f>IF(DSSP!179:179,"AAAAAHv/uUc=",0)</f>
        <v>0</v>
      </c>
      <c r="BU31" t="e">
        <f>AND(DSSP!A179,"AAAAAHv/uUg=")</f>
        <v>#VALUE!</v>
      </c>
      <c r="BV31" t="e">
        <f>AND(DSSP!B179,"AAAAAHv/uUk=")</f>
        <v>#VALUE!</v>
      </c>
      <c r="BW31" t="e">
        <f>AND(DSSP!C179,"AAAAAHv/uUo=")</f>
        <v>#VALUE!</v>
      </c>
      <c r="BX31" t="e">
        <f>AND(DSSP!E179,"AAAAAHv/uUs=")</f>
        <v>#VALUE!</v>
      </c>
      <c r="BY31">
        <f>IF(DSSP!180:180,"AAAAAHv/uUw=",0)</f>
        <v>0</v>
      </c>
      <c r="BZ31" t="e">
        <f>AND(DSSP!A180,"AAAAAHv/uU0=")</f>
        <v>#VALUE!</v>
      </c>
      <c r="CA31" t="e">
        <f>AND(DSSP!B180,"AAAAAHv/uU4=")</f>
        <v>#VALUE!</v>
      </c>
      <c r="CB31" t="e">
        <f>AND(DSSP!C180,"AAAAAHv/uU8=")</f>
        <v>#VALUE!</v>
      </c>
      <c r="CC31" t="e">
        <f>AND(DSSP!E180,"AAAAAHv/uVA=")</f>
        <v>#VALUE!</v>
      </c>
    </row>
    <row r="32" spans="1:256" ht="38.25">
      <c r="A32" t="e">
        <f>AND(DSSP!F2,"AAAAAH3//gA=")</f>
        <v>#VALUE!</v>
      </c>
      <c r="B32" t="e">
        <f>AND(DSSP!F3,"AAAAAH3//gE=")</f>
        <v>#VALUE!</v>
      </c>
      <c r="C32" t="e">
        <f>AND(DSSP!F4,"AAAAAH3//gI=")</f>
        <v>#VALUE!</v>
      </c>
      <c r="D32" t="e">
        <f>AND(DSSP!F6,"AAAAAH3//gM=")</f>
        <v>#VALUE!</v>
      </c>
      <c r="E32" t="e">
        <f>AND(DSSP!F7,"AAAAAH3//gQ=")</f>
        <v>#VALUE!</v>
      </c>
      <c r="F32" t="e">
        <f>AND(DSSP!F8,"AAAAAH3//gU=")</f>
        <v>#VALUE!</v>
      </c>
      <c r="G32" t="e">
        <f>AND(DSSP!F9,"AAAAAH3//gY=")</f>
        <v>#VALUE!</v>
      </c>
      <c r="H32" t="e">
        <f>AND(DSSP!F10,"AAAAAH3//gc=")</f>
        <v>#VALUE!</v>
      </c>
      <c r="I32" t="e">
        <f>AND(DSSP!F11,"AAAAAH3//gg=")</f>
        <v>#VALUE!</v>
      </c>
      <c r="J32" t="e">
        <f>AND(DSSP!F12,"AAAAAH3//gk=")</f>
        <v>#VALUE!</v>
      </c>
      <c r="K32" t="e">
        <f>AND(DSSP!F13,"AAAAAH3//go=")</f>
        <v>#VALUE!</v>
      </c>
      <c r="L32" t="e">
        <f>AND(DSSP!F14,"AAAAAH3//gs=")</f>
        <v>#VALUE!</v>
      </c>
      <c r="M32" t="e">
        <f>AND(DSSP!F15,"AAAAAH3//gw=")</f>
        <v>#VALUE!</v>
      </c>
      <c r="N32" t="e">
        <f>AND(DSSP!F16,"AAAAAH3//g0=")</f>
        <v>#VALUE!</v>
      </c>
      <c r="O32" t="e">
        <f>AND(DSSP!F17,"AAAAAH3//g4=")</f>
        <v>#VALUE!</v>
      </c>
      <c r="P32" t="e">
        <f>AND(DSSP!F18,"AAAAAH3//g8=")</f>
        <v>#VALUE!</v>
      </c>
      <c r="Q32" t="e">
        <f>AND(DSSP!F19,"AAAAAH3//hA=")</f>
        <v>#VALUE!</v>
      </c>
      <c r="R32" t="e">
        <f>AND(DSSP!F20,"AAAAAH3//hE=")</f>
        <v>#VALUE!</v>
      </c>
      <c r="S32" t="e">
        <f>AND(DSSP!F21,"AAAAAH3//hI=")</f>
        <v>#VALUE!</v>
      </c>
      <c r="T32" t="e">
        <f>AND(DSSP!F22,"AAAAAH3//hM=")</f>
        <v>#VALUE!</v>
      </c>
      <c r="U32" t="e">
        <f>AND(DSSP!F23,"AAAAAH3//hQ=")</f>
        <v>#VALUE!</v>
      </c>
      <c r="V32" t="e">
        <f>AND(DSSP!F24,"AAAAAH3//hU=")</f>
        <v>#VALUE!</v>
      </c>
      <c r="W32" t="e">
        <f>AND(DSSP!F25,"AAAAAH3//hY=")</f>
        <v>#VALUE!</v>
      </c>
      <c r="X32" t="e">
        <f>AND(DSSP!F26,"AAAAAH3//hc=")</f>
        <v>#VALUE!</v>
      </c>
      <c r="Y32" t="e">
        <f>AND(DSSP!F27,"AAAAAH3//hg=")</f>
        <v>#VALUE!</v>
      </c>
      <c r="Z32" t="e">
        <f>AND(DSSP!F28,"AAAAAH3//hk=")</f>
        <v>#VALUE!</v>
      </c>
      <c r="AA32" t="e">
        <f>AND(DSSP!F30,"AAAAAH3//ho=")</f>
        <v>#VALUE!</v>
      </c>
      <c r="AB32" t="e">
        <f>AND(DSSP!F31,"AAAAAH3//hs=")</f>
        <v>#VALUE!</v>
      </c>
      <c r="AC32" t="e">
        <f>AND(DSSP!F32,"AAAAAH3//hw=")</f>
        <v>#VALUE!</v>
      </c>
      <c r="AD32" t="e">
        <f>AND(DSSP!F33,"AAAAAH3//h0=")</f>
        <v>#VALUE!</v>
      </c>
      <c r="AE32" t="e">
        <f>AND(DSSP!F34,"AAAAAH3//h4=")</f>
        <v>#VALUE!</v>
      </c>
      <c r="AF32" t="e">
        <f>AND(DSSP!F35,"AAAAAH3//h8=")</f>
        <v>#VALUE!</v>
      </c>
      <c r="AG32" t="e">
        <f>AND(DSSP!F36,"AAAAAH3//iA=")</f>
        <v>#VALUE!</v>
      </c>
      <c r="AH32" t="e">
        <f>AND(DSSP!F37,"AAAAAH3//iE=")</f>
        <v>#VALUE!</v>
      </c>
      <c r="AI32" t="e">
        <f>AND(DSSP!F38,"AAAAAH3//iI=")</f>
        <v>#VALUE!</v>
      </c>
      <c r="AJ32" t="e">
        <f>AND(DSSP!F39,"AAAAAH3//iM=")</f>
        <v>#VALUE!</v>
      </c>
      <c r="AK32" t="e">
        <f>AND(DSSP!F40,"AAAAAH3//iQ=")</f>
        <v>#VALUE!</v>
      </c>
      <c r="AL32" t="e">
        <f>AND(DSSP!F41,"AAAAAH3//iU=")</f>
        <v>#VALUE!</v>
      </c>
      <c r="AM32" t="e">
        <f>AND(DSSP!F42,"AAAAAH3//iY=")</f>
        <v>#VALUE!</v>
      </c>
      <c r="AN32" t="e">
        <f>AND(DSSP!F43,"AAAAAH3//ic=")</f>
        <v>#VALUE!</v>
      </c>
      <c r="AO32" t="e">
        <f>AND(DSSP!F44,"AAAAAH3//ig=")</f>
        <v>#VALUE!</v>
      </c>
      <c r="AP32" t="e">
        <f>AND(DSSP!F45,"AAAAAH3//ik=")</f>
        <v>#VALUE!</v>
      </c>
      <c r="AQ32" t="e">
        <f>AND(DSSP!F46,"AAAAAH3//io=")</f>
        <v>#VALUE!</v>
      </c>
      <c r="AR32" t="e">
        <f>AND(DSSP!F47,"AAAAAH3//is=")</f>
        <v>#VALUE!</v>
      </c>
      <c r="AS32" t="e">
        <f>AND(DSSP!F48,"AAAAAH3//iw=")</f>
        <v>#VALUE!</v>
      </c>
      <c r="AT32" t="e">
        <f>AND(DSSP!F49,"AAAAAH3//i0=")</f>
        <v>#VALUE!</v>
      </c>
      <c r="AU32" t="e">
        <f>AND(DSSP!F50,"AAAAAH3//i4=")</f>
        <v>#VALUE!</v>
      </c>
      <c r="AV32" t="e">
        <f>AND(DSSP!F51,"AAAAAH3//i8=")</f>
        <v>#VALUE!</v>
      </c>
      <c r="AW32" t="e">
        <f>AND(DSSP!F52,"AAAAAH3//jA=")</f>
        <v>#VALUE!</v>
      </c>
      <c r="AX32" t="e">
        <f>AND(DSSP!F53,"AAAAAH3//jE=")</f>
        <v>#VALUE!</v>
      </c>
      <c r="AY32" t="e">
        <f>AND(DSSP!F54,"AAAAAH3//jI=")</f>
        <v>#VALUE!</v>
      </c>
      <c r="AZ32" t="e">
        <f>AND(DSSP!F55,"AAAAAH3//jM=")</f>
        <v>#VALUE!</v>
      </c>
      <c r="BA32" t="e">
        <f>AND(DSSP!F56,"AAAAAH3//jQ=")</f>
        <v>#VALUE!</v>
      </c>
      <c r="BB32" t="e">
        <f>AND(DSSP!F57,"AAAAAH3//jU=")</f>
        <v>#VALUE!</v>
      </c>
      <c r="BC32" t="e">
        <f>AND(DSSP!F58,"AAAAAH3//jY=")</f>
        <v>#VALUE!</v>
      </c>
      <c r="BD32" t="e">
        <f>AND(DSSP!F59,"AAAAAH3//jc=")</f>
        <v>#VALUE!</v>
      </c>
      <c r="BE32" t="e">
        <f>AND(DSSP!F60,"AAAAAH3//jg=")</f>
        <v>#VALUE!</v>
      </c>
      <c r="BF32" t="e">
        <f>AND(DSSP!F61,"AAAAAH3//jk=")</f>
        <v>#VALUE!</v>
      </c>
      <c r="BG32" t="e">
        <f>AND(DSSP!F62,"AAAAAH3//jo=")</f>
        <v>#VALUE!</v>
      </c>
      <c r="BH32" t="e">
        <f>AND(DSSP!F63,"AAAAAH3//js=")</f>
        <v>#VALUE!</v>
      </c>
      <c r="BI32" t="e">
        <f>AND(DSSP!F64,"AAAAAH3//jw=")</f>
        <v>#VALUE!</v>
      </c>
      <c r="BJ32" t="e">
        <f>AND(DSSP!F65,"AAAAAH3//j0=")</f>
        <v>#VALUE!</v>
      </c>
      <c r="BK32" t="e">
        <f>AND(DSSP!F66,"AAAAAH3//j4=")</f>
        <v>#VALUE!</v>
      </c>
      <c r="BL32" t="e">
        <f>AND(DSSP!F67,"AAAAAH3//j8=")</f>
        <v>#VALUE!</v>
      </c>
      <c r="BM32" t="e">
        <f>AND(DSSP!F68,"AAAAAH3//kA=")</f>
        <v>#VALUE!</v>
      </c>
      <c r="BN32" t="e">
        <f>AND(DSSP!F69,"AAAAAH3//kE=")</f>
        <v>#VALUE!</v>
      </c>
      <c r="BO32" t="e">
        <f>AND(DSSP!F70,"AAAAAH3//kI=")</f>
        <v>#VALUE!</v>
      </c>
      <c r="BP32" t="e">
        <f>AND(DSSP!F71,"AAAAAH3//kM=")</f>
        <v>#VALUE!</v>
      </c>
      <c r="BQ32" t="e">
        <f>AND(DSSP!F72,"AAAAAH3//kQ=")</f>
        <v>#VALUE!</v>
      </c>
      <c r="BR32" t="e">
        <f>AND(DSSP!F73,"AAAAAH3//kU=")</f>
        <v>#VALUE!</v>
      </c>
      <c r="BS32" t="e">
        <f>AND(DSSP!F74,"AAAAAH3//kY=")</f>
        <v>#VALUE!</v>
      </c>
      <c r="BT32" t="e">
        <f>AND(DSSP!F75,"AAAAAH3//kc=")</f>
        <v>#VALUE!</v>
      </c>
      <c r="BU32" t="e">
        <f>AND(DSSP!F76,"AAAAAH3//kg=")</f>
        <v>#VALUE!</v>
      </c>
      <c r="BV32" t="e">
        <f>AND(DSSP!F77,"AAAAAH3//kk=")</f>
        <v>#VALUE!</v>
      </c>
      <c r="BW32" t="e">
        <f>AND(DSSP!F78,"AAAAAH3//ko=")</f>
        <v>#VALUE!</v>
      </c>
      <c r="BX32" t="e">
        <f>AND(DSSP!F79,"AAAAAH3//ks=")</f>
        <v>#VALUE!</v>
      </c>
      <c r="BY32" t="e">
        <f>AND(DSSP!F80,"AAAAAH3//kw=")</f>
        <v>#VALUE!</v>
      </c>
      <c r="BZ32" t="e">
        <f>AND(DSSP!F81,"AAAAAH3//k0=")</f>
        <v>#VALUE!</v>
      </c>
      <c r="CA32" t="e">
        <f>AND(DSSP!F82,"AAAAAH3//k4=")</f>
        <v>#VALUE!</v>
      </c>
      <c r="CB32" t="e">
        <f>AND(DSSP!F83,"AAAAAH3//k8=")</f>
        <v>#VALUE!</v>
      </c>
      <c r="CC32" t="e">
        <f>AND(DSSP!F84,"AAAAAH3//lA=")</f>
        <v>#VALUE!</v>
      </c>
      <c r="CD32" t="e">
        <f>AND(DSSP!F85,"AAAAAH3//lE=")</f>
        <v>#VALUE!</v>
      </c>
      <c r="CE32" t="e">
        <f>AND(DSSP!F86,"AAAAAH3//lI=")</f>
        <v>#VALUE!</v>
      </c>
      <c r="CF32" t="e">
        <f>AND(DSSP!F87,"AAAAAH3//lM=")</f>
        <v>#VALUE!</v>
      </c>
      <c r="CG32" t="e">
        <f>AND(DSSP!F88,"AAAAAH3//lQ=")</f>
        <v>#VALUE!</v>
      </c>
      <c r="CH32" t="e">
        <f>AND(DSSP!F89,"AAAAAH3//lU=")</f>
        <v>#VALUE!</v>
      </c>
      <c r="CI32" t="e">
        <f>AND(DSSP!F91,"AAAAAH3//lY=")</f>
        <v>#VALUE!</v>
      </c>
      <c r="CJ32" t="e">
        <f>AND(DSSP!F92,"AAAAAH3//lc=")</f>
        <v>#VALUE!</v>
      </c>
      <c r="CK32" t="e">
        <f>AND(DSSP!F93,"AAAAAH3//lg=")</f>
        <v>#VALUE!</v>
      </c>
      <c r="CL32" t="e">
        <f>AND(DSSP!F94,"AAAAAH3//lk=")</f>
        <v>#VALUE!</v>
      </c>
      <c r="CM32" t="e">
        <f>AND(DSSP!F95,"AAAAAH3//lo=")</f>
        <v>#VALUE!</v>
      </c>
      <c r="CN32" t="e">
        <f>AND(DSSP!F96,"AAAAAH3//ls=")</f>
        <v>#VALUE!</v>
      </c>
      <c r="CO32" t="e">
        <f>AND(DSSP!F97,"AAAAAH3//lw=")</f>
        <v>#VALUE!</v>
      </c>
      <c r="CP32" t="e">
        <f>AND(DSSP!F98,"AAAAAH3//l0=")</f>
        <v>#VALUE!</v>
      </c>
      <c r="CQ32" t="e">
        <f>AND(DSSP!F99,"AAAAAH3//l4=")</f>
        <v>#VALUE!</v>
      </c>
      <c r="CR32" t="e">
        <f>AND(DSSP!F100,"AAAAAH3//l8=")</f>
        <v>#VALUE!</v>
      </c>
      <c r="CS32" t="e">
        <f>AND(DSSP!F107,"AAAAAH3//mA=")</f>
        <v>#VALUE!</v>
      </c>
      <c r="CT32" t="e">
        <f>AND(DSSP!F108,"AAAAAH3//mE=")</f>
        <v>#VALUE!</v>
      </c>
      <c r="CU32" t="e">
        <f>AND(DSSP!F109,"AAAAAH3//mI=")</f>
        <v>#VALUE!</v>
      </c>
      <c r="CV32" t="e">
        <f>AND(DSSP!F110,"AAAAAH3//mM=")</f>
        <v>#VALUE!</v>
      </c>
      <c r="CW32" t="e">
        <f>AND(DSSP!F111,"AAAAAH3//mQ=")</f>
        <v>#VALUE!</v>
      </c>
      <c r="CX32" t="e">
        <f>AND(DSSP!F112,"AAAAAH3//mU=")</f>
        <v>#VALUE!</v>
      </c>
      <c r="CY32" t="e">
        <f>AND(DSSP!F113,"AAAAAH3//mY=")</f>
        <v>#VALUE!</v>
      </c>
      <c r="CZ32" t="e">
        <f>AND(DSSP!F114,"AAAAAH3//mc=")</f>
        <v>#VALUE!</v>
      </c>
      <c r="DA32" t="e">
        <f>AND(DSSP!F115,"AAAAAH3//mg=")</f>
        <v>#VALUE!</v>
      </c>
      <c r="DB32" t="e">
        <f>AND(DSSP!F116,"AAAAAH3//mk=")</f>
        <v>#VALUE!</v>
      </c>
      <c r="DC32" t="e">
        <f>AND(DSSP!F117,"AAAAAH3//mo=")</f>
        <v>#VALUE!</v>
      </c>
      <c r="DD32" t="e">
        <f>AND(DSSP!F118,"AAAAAH3//ms=")</f>
        <v>#VALUE!</v>
      </c>
      <c r="DE32" t="e">
        <f>AND(DSSP!F119,"AAAAAH3//mw=")</f>
        <v>#VALUE!</v>
      </c>
      <c r="DF32" t="e">
        <f>AND(DSSP!F120,"AAAAAH3//m0=")</f>
        <v>#VALUE!</v>
      </c>
      <c r="DG32" t="e">
        <f>AND(DSSP!F121,"AAAAAH3//m4=")</f>
        <v>#VALUE!</v>
      </c>
      <c r="DH32" t="e">
        <f>AND(DSSP!F122,"AAAAAH3//m8=")</f>
        <v>#VALUE!</v>
      </c>
      <c r="DI32" t="e">
        <f>AND(DSSP!F123,"AAAAAH3//nA=")</f>
        <v>#VALUE!</v>
      </c>
      <c r="DJ32" t="e">
        <f>AND(DSSP!F124,"AAAAAH3//nE=")</f>
        <v>#VALUE!</v>
      </c>
      <c r="DK32" t="e">
        <f>AND(DSSP!F125,"AAAAAH3//nI=")</f>
        <v>#VALUE!</v>
      </c>
      <c r="DL32" t="e">
        <f>AND(DSSP!F126,"AAAAAH3//nM=")</f>
        <v>#VALUE!</v>
      </c>
      <c r="DM32" t="e">
        <f>AND(DSSP!F127,"AAAAAH3//nQ=")</f>
        <v>#VALUE!</v>
      </c>
      <c r="DN32" t="e">
        <f>AND(DSSP!F128,"AAAAAH3//nU=")</f>
        <v>#VALUE!</v>
      </c>
      <c r="DO32" t="e">
        <f>AND(DSSP!F129,"AAAAAH3//nY=")</f>
        <v>#VALUE!</v>
      </c>
      <c r="DP32" t="e">
        <f>AND(DSSP!F130,"AAAAAH3//nc=")</f>
        <v>#VALUE!</v>
      </c>
      <c r="DQ32" t="e">
        <f>AND(DSSP!F131,"AAAAAH3//ng=")</f>
        <v>#VALUE!</v>
      </c>
      <c r="DR32" t="e">
        <f>AND(DSSP!F132,"AAAAAH3//nk=")</f>
        <v>#VALUE!</v>
      </c>
      <c r="DS32" t="e">
        <f>AND(DSSP!F133,"AAAAAH3//no=")</f>
        <v>#VALUE!</v>
      </c>
      <c r="DT32" t="e">
        <f>AND(DSSP!F134,"AAAAAH3//ns=")</f>
        <v>#VALUE!</v>
      </c>
      <c r="DU32" t="e">
        <f>AND(DSSP!F135,"AAAAAH3//nw=")</f>
        <v>#VALUE!</v>
      </c>
      <c r="DV32" t="e">
        <f>AND(DSSP!F136,"AAAAAH3//n0=")</f>
        <v>#VALUE!</v>
      </c>
      <c r="DW32" t="e">
        <f>AND(DSSP!F137,"AAAAAH3//n4=")</f>
        <v>#VALUE!</v>
      </c>
      <c r="DX32" t="e">
        <f>AND(DSSP!F138,"AAAAAH3//n8=")</f>
        <v>#VALUE!</v>
      </c>
      <c r="DY32" t="e">
        <f>AND(DSSP!F139,"AAAAAH3//oA=")</f>
        <v>#VALUE!</v>
      </c>
      <c r="DZ32" t="e">
        <f>AND(DSSP!F140,"AAAAAH3//oE=")</f>
        <v>#VALUE!</v>
      </c>
      <c r="EA32" t="e">
        <f>AND(DSSP!F141,"AAAAAH3//oI=")</f>
        <v>#VALUE!</v>
      </c>
      <c r="EB32" t="e">
        <f>AND(DSSP!F142,"AAAAAH3//oM=")</f>
        <v>#VALUE!</v>
      </c>
      <c r="EC32" t="e">
        <f>AND(DSSP!F143,"AAAAAH3//oQ=")</f>
        <v>#VALUE!</v>
      </c>
      <c r="ED32" t="e">
        <f>AND(DSSP!F144,"AAAAAH3//oU=")</f>
        <v>#VALUE!</v>
      </c>
      <c r="EE32" t="e">
        <f>AND(DSSP!F145,"AAAAAH3//oY=")</f>
        <v>#VALUE!</v>
      </c>
      <c r="EF32" t="e">
        <f>AND(DSSP!F146,"AAAAAH3//oc=")</f>
        <v>#VALUE!</v>
      </c>
      <c r="EG32" t="e">
        <f>AND(DSSP!F147,"AAAAAH3//og=")</f>
        <v>#VALUE!</v>
      </c>
      <c r="EH32" t="e">
        <f>AND(DSSP!F148,"AAAAAH3//ok=")</f>
        <v>#VALUE!</v>
      </c>
      <c r="EI32" t="e">
        <f>AND(DSSP!F149,"AAAAAH3//oo=")</f>
        <v>#VALUE!</v>
      </c>
      <c r="EJ32" t="e">
        <f>AND(DSSP!F150,"AAAAAH3//os=")</f>
        <v>#VALUE!</v>
      </c>
      <c r="EK32" t="e">
        <f>AND(DSSP!F151,"AAAAAH3//ow=")</f>
        <v>#VALUE!</v>
      </c>
      <c r="EL32" t="e">
        <f>AND(DSSP!F152,"AAAAAH3//o0=")</f>
        <v>#VALUE!</v>
      </c>
      <c r="EM32" t="e">
        <f>AND(DSSP!F153,"AAAAAH3//o4=")</f>
        <v>#VALUE!</v>
      </c>
      <c r="EN32" t="e">
        <f>AND(DSSP!F154,"AAAAAH3//o8=")</f>
        <v>#VALUE!</v>
      </c>
      <c r="EO32" t="e">
        <f>AND(DSSP!F155,"AAAAAH3//pA=")</f>
        <v>#VALUE!</v>
      </c>
      <c r="EP32" t="e">
        <f>AND(DSSP!F156,"AAAAAH3//pE=")</f>
        <v>#VALUE!</v>
      </c>
      <c r="EQ32" t="e">
        <f>AND(DSSP!F157,"AAAAAH3//pI=")</f>
        <v>#VALUE!</v>
      </c>
      <c r="ER32" t="e">
        <f>AND(DSSP!F158,"AAAAAH3//pM=")</f>
        <v>#VALUE!</v>
      </c>
      <c r="ES32" t="e">
        <f>AND(DSSP!F159,"AAAAAH3//pQ=")</f>
        <v>#VALUE!</v>
      </c>
      <c r="ET32" t="e">
        <f>AND(DSSP!F160,"AAAAAH3//pU=")</f>
        <v>#VALUE!</v>
      </c>
      <c r="EU32" t="e">
        <f>AND(DSSP!F161,"AAAAAH3//pY=")</f>
        <v>#VALUE!</v>
      </c>
      <c r="EV32" t="e">
        <f>AND(DSSP!F162,"AAAAAH3//pc=")</f>
        <v>#VALUE!</v>
      </c>
      <c r="EW32" t="e">
        <f>AND(DSSP!F164,"AAAAAH3//pg=")</f>
        <v>#VALUE!</v>
      </c>
      <c r="EX32" t="e">
        <f>AND(DSSP!F166,"AAAAAH3//pk=")</f>
        <v>#VALUE!</v>
      </c>
      <c r="EY32" t="e">
        <f>AND(DSSP!F167,"AAAAAH3//po=")</f>
        <v>#VALUE!</v>
      </c>
      <c r="EZ32" t="e">
        <f>AND(DSSP!F168,"AAAAAH3//ps=")</f>
        <v>#VALUE!</v>
      </c>
      <c r="FA32" t="e">
        <f>AND(DSSP!F169,"AAAAAH3//pw=")</f>
        <v>#VALUE!</v>
      </c>
      <c r="FB32" t="e">
        <f>AND(DSSP!F170,"AAAAAH3//p0=")</f>
        <v>#VALUE!</v>
      </c>
      <c r="FC32" t="e">
        <f>AND(DSSP!F171,"AAAAAH3//p4=")</f>
        <v>#VALUE!</v>
      </c>
      <c r="FD32" t="e">
        <f>AND(DSSP!F172,"AAAAAH3//p8=")</f>
        <v>#VALUE!</v>
      </c>
      <c r="FE32" t="e">
        <f>AND(DSSP!F176,"AAAAAH3//qA=")</f>
        <v>#VALUE!</v>
      </c>
      <c r="FF32" t="e">
        <f>AND(DSSP!F177,"AAAAAH3//qE=")</f>
        <v>#VALUE!</v>
      </c>
      <c r="FG32" t="e">
        <f>AND(DSSP!F178,"AAAAAH3//qI=")</f>
        <v>#VALUE!</v>
      </c>
      <c r="FH32" t="e">
        <f>AND(DSSP!F179,"AAAAAH3//qM=")</f>
        <v>#VALUE!</v>
      </c>
      <c r="FI32" t="e">
        <f>AND(DSSP!F180,"AAAAAH3//qQ=")</f>
        <v>#VALUE!</v>
      </c>
      <c r="FJ32">
        <f>IF(DSSP!181:181,"AAAAAH3//qU=",0)</f>
        <v>0</v>
      </c>
      <c r="FK32" t="e">
        <f>AND(DSSP!A181,"AAAAAH3//qY=")</f>
        <v>#VALUE!</v>
      </c>
      <c r="FL32" t="e">
        <f>AND(DSSP!B181,"AAAAAH3//qc=")</f>
        <v>#VALUE!</v>
      </c>
      <c r="FM32" t="e">
        <f>AND(DSSP!C181,"AAAAAH3//qg=")</f>
        <v>#VALUE!</v>
      </c>
      <c r="FN32">
        <f>IF(DSSP!182:182,"AAAAAH3//qk=",0)</f>
        <v>0</v>
      </c>
      <c r="FO32" t="e">
        <f>AND(DSSP!A182,"AAAAAH3//qo=")</f>
        <v>#VALUE!</v>
      </c>
      <c r="FP32" t="e">
        <f>AND(DSSP!B182,"AAAAAH3//qs=")</f>
        <v>#VALUE!</v>
      </c>
      <c r="FQ32" t="e">
        <f>AND(DSSP!C182,"AAAAAH3//qw=")</f>
        <v>#VALUE!</v>
      </c>
      <c r="FR32">
        <f>IF(DSSP!183:183,"AAAAAH3//q0=",0)</f>
        <v>0</v>
      </c>
      <c r="FS32" t="e">
        <f>AND(DSSP!A183,"AAAAAH3//q4=")</f>
        <v>#VALUE!</v>
      </c>
      <c r="FT32" t="e">
        <f>AND(DSSP!B183,"AAAAAH3//q8=")</f>
        <v>#VALUE!</v>
      </c>
      <c r="FU32" t="e">
        <f>AND(DSSP!C183,"AAAAAH3//rA=")</f>
        <v>#VALUE!</v>
      </c>
      <c r="FV32">
        <f>IF(DSSP!184:184,"AAAAAH3//rE=",0)</f>
        <v>0</v>
      </c>
      <c r="FW32" t="e">
        <f>AND(DSSP!A184,"AAAAAH3//rI=")</f>
        <v>#VALUE!</v>
      </c>
      <c r="FX32" t="e">
        <f>AND(DSSP!B184,"AAAAAH3//rM=")</f>
        <v>#VALUE!</v>
      </c>
      <c r="FY32" t="e">
        <f>AND(DSSP!C184,"AAAAAH3//rQ=")</f>
        <v>#VALUE!</v>
      </c>
      <c r="FZ32">
        <f>IF(DSSP!185:185,"AAAAAH3//rU=",0)</f>
        <v>0</v>
      </c>
      <c r="GA32" t="e">
        <f>AND(DSSP!A185,"AAAAAH3//rY=")</f>
        <v>#VALUE!</v>
      </c>
      <c r="GB32" t="e">
        <f>AND(DSSP!B185,"AAAAAH3//rc=")</f>
        <v>#VALUE!</v>
      </c>
      <c r="GC32" t="e">
        <f>AND(DSSP!C185,"AAAAAH3//rg=")</f>
        <v>#VALUE!</v>
      </c>
      <c r="GD32" s="3" t="s">
        <v>312</v>
      </c>
    </row>
    <row r="33" spans="1:256">
      <c r="A33" t="e">
        <f>AND(#REF!,"AAAAAF7/0wA=")</f>
        <v>#REF!</v>
      </c>
      <c r="B33" t="e">
        <f>AND(#REF!,"AAAAAF7/0wE=")</f>
        <v>#REF!</v>
      </c>
      <c r="C33" t="e">
        <f>AND(#REF!,"AAAAAF7/0wI=")</f>
        <v>#REF!</v>
      </c>
      <c r="D33" t="e">
        <f>AND(#REF!,"AAAAAF7/0wM=")</f>
        <v>#REF!</v>
      </c>
      <c r="E33" t="e">
        <f>AND(#REF!,"AAAAAF7/0wQ=")</f>
        <v>#REF!</v>
      </c>
      <c r="F33" t="e">
        <f>AND(#REF!,"AAAAAF7/0wU=")</f>
        <v>#REF!</v>
      </c>
      <c r="G33" t="e">
        <f>AND(#REF!,"AAAAAF7/0wY=")</f>
        <v>#REF!</v>
      </c>
      <c r="H33" t="e">
        <f>AND(#REF!,"AAAAAF7/0wc=")</f>
        <v>#REF!</v>
      </c>
      <c r="I33" t="e">
        <f>AND(#REF!,"AAAAAF7/0wg=")</f>
        <v>#REF!</v>
      </c>
      <c r="J33" t="e">
        <f>AND(#REF!,"AAAAAF7/0wk=")</f>
        <v>#REF!</v>
      </c>
      <c r="K33" t="e">
        <f>AND(#REF!,"AAAAAF7/0wo=")</f>
        <v>#REF!</v>
      </c>
      <c r="L33" t="e">
        <f>AND(#REF!,"AAAAAF7/0ws=")</f>
        <v>#REF!</v>
      </c>
      <c r="M33" t="e">
        <f>AND(#REF!,"AAAAAF7/0ww=")</f>
        <v>#REF!</v>
      </c>
      <c r="N33" t="e">
        <f>AND(#REF!,"AAAAAF7/0w0=")</f>
        <v>#REF!</v>
      </c>
      <c r="O33" t="e">
        <f>AND(#REF!,"AAAAAF7/0w4=")</f>
        <v>#REF!</v>
      </c>
      <c r="P33" t="e">
        <f>AND(#REF!,"AAAAAF7/0w8=")</f>
        <v>#REF!</v>
      </c>
      <c r="Q33" t="e">
        <f>AND(#REF!,"AAAAAF7/0xA=")</f>
        <v>#REF!</v>
      </c>
      <c r="R33" t="e">
        <f>AND(#REF!,"AAAAAF7/0xE=")</f>
        <v>#REF!</v>
      </c>
      <c r="S33" t="e">
        <f>AND(#REF!,"AAAAAF7/0xI=")</f>
        <v>#REF!</v>
      </c>
      <c r="T33" t="e">
        <f>AND(#REF!,"AAAAAF7/0xM=")</f>
        <v>#REF!</v>
      </c>
      <c r="U33" t="e">
        <f>AND(#REF!,"AAAAAF7/0xQ=")</f>
        <v>#REF!</v>
      </c>
      <c r="V33" t="e">
        <f>AND(#REF!,"AAAAAF7/0xU=")</f>
        <v>#REF!</v>
      </c>
      <c r="W33" t="e">
        <f>AND(#REF!,"AAAAAF7/0xY=")</f>
        <v>#REF!</v>
      </c>
      <c r="X33" t="e">
        <f>AND(#REF!,"AAAAAF7/0xc=")</f>
        <v>#REF!</v>
      </c>
      <c r="Y33" t="e">
        <f>AND(#REF!,"AAAAAF7/0xg=")</f>
        <v>#REF!</v>
      </c>
      <c r="Z33" t="e">
        <f>AND(#REF!,"AAAAAF7/0xk=")</f>
        <v>#REF!</v>
      </c>
      <c r="AA33" t="e">
        <f>AND(#REF!,"AAAAAF7/0xo=")</f>
        <v>#REF!</v>
      </c>
      <c r="AB33" t="e">
        <f>AND(#REF!,"AAAAAF7/0xs=")</f>
        <v>#REF!</v>
      </c>
      <c r="AC33" t="e">
        <f>AND(#REF!,"AAAAAF7/0xw=")</f>
        <v>#REF!</v>
      </c>
      <c r="AD33" t="e">
        <f>AND(#REF!,"AAAAAF7/0x0=")</f>
        <v>#REF!</v>
      </c>
      <c r="AE33" t="e">
        <f>AND(#REF!,"AAAAAF7/0x4=")</f>
        <v>#REF!</v>
      </c>
      <c r="AF33" t="e">
        <f>AND(#REF!,"AAAAAF7/0x8=")</f>
        <v>#REF!</v>
      </c>
      <c r="AG33" t="e">
        <f>AND(#REF!,"AAAAAF7/0yA=")</f>
        <v>#REF!</v>
      </c>
      <c r="AH33" t="e">
        <f>AND(#REF!,"AAAAAF7/0yE=")</f>
        <v>#REF!</v>
      </c>
      <c r="AI33" t="e">
        <f>AND(#REF!,"AAAAAF7/0yI=")</f>
        <v>#REF!</v>
      </c>
      <c r="AJ33" t="e">
        <f>AND(#REF!,"AAAAAF7/0yM=")</f>
        <v>#REF!</v>
      </c>
      <c r="AK33" t="e">
        <f>AND(#REF!,"AAAAAF7/0yQ=")</f>
        <v>#REF!</v>
      </c>
      <c r="AL33" t="e">
        <f>IF(#REF!,"AAAAAF7/0yU=",0)</f>
        <v>#REF!</v>
      </c>
      <c r="AM33" t="e">
        <f>AND(#REF!,"AAAAAF7/0yY=")</f>
        <v>#REF!</v>
      </c>
      <c r="AN33" t="e">
        <f>AND(#REF!,"AAAAAF7/0yc=")</f>
        <v>#REF!</v>
      </c>
      <c r="AO33" t="e">
        <f>AND(#REF!,"AAAAAF7/0yg=")</f>
        <v>#REF!</v>
      </c>
      <c r="AP33" t="e">
        <f>AND(#REF!,"AAAAAF7/0yk=")</f>
        <v>#REF!</v>
      </c>
      <c r="AQ33" t="e">
        <f>AND(#REF!,"AAAAAF7/0yo=")</f>
        <v>#REF!</v>
      </c>
      <c r="AR33" t="e">
        <f>AND(#REF!,"AAAAAF7/0ys=")</f>
        <v>#REF!</v>
      </c>
      <c r="AS33" t="e">
        <f>AND(#REF!,"AAAAAF7/0yw=")</f>
        <v>#REF!</v>
      </c>
      <c r="AT33" t="e">
        <f>AND(#REF!,"AAAAAF7/0y0=")</f>
        <v>#REF!</v>
      </c>
      <c r="AU33" t="e">
        <f>AND(#REF!,"AAAAAF7/0y4=")</f>
        <v>#REF!</v>
      </c>
      <c r="AV33" t="e">
        <f>AND(#REF!,"AAAAAF7/0y8=")</f>
        <v>#REF!</v>
      </c>
      <c r="AW33" t="e">
        <f>IF(#REF!,"AAAAAF7/0zA=",0)</f>
        <v>#REF!</v>
      </c>
      <c r="AX33" t="e">
        <f>AND(NhatkyBan!#REF!,"AAAAAF7/0zE=")</f>
        <v>#REF!</v>
      </c>
      <c r="AY33" t="e">
        <f>AND(NhatkyBan!#REF!,"AAAAAF7/0zI=")</f>
        <v>#REF!</v>
      </c>
      <c r="AZ33" t="e">
        <f>AND(NhatkyBan!#REF!,"AAAAAF7/0zM=")</f>
        <v>#REF!</v>
      </c>
      <c r="BA33" t="e">
        <f>AND(NhatkyBan!#REF!,"AAAAAF7/0zQ=")</f>
        <v>#REF!</v>
      </c>
      <c r="BB33" t="e">
        <f>AND(NhatkyBan!#REF!,"AAAAAF7/0zU=")</f>
        <v>#REF!</v>
      </c>
      <c r="BC33" t="e">
        <f>AND(NhatkyBan!#REF!,"AAAAAF7/0zY=")</f>
        <v>#REF!</v>
      </c>
      <c r="BD33" t="e">
        <f>AND(NhatkyBan!#REF!,"AAAAAF7/0zc=")</f>
        <v>#REF!</v>
      </c>
      <c r="BE33" t="e">
        <f>AND(NhatkyBan!#REF!,"AAAAAF7/0zg=")</f>
        <v>#REF!</v>
      </c>
      <c r="BF33" t="e">
        <f>AND(NhatkyBan!#REF!,"AAAAAF7/0zk=")</f>
        <v>#REF!</v>
      </c>
      <c r="BG33" t="e">
        <f>AND(NhatkyBan!#REF!,"AAAAAF7/0zo=")</f>
        <v>#REF!</v>
      </c>
      <c r="BH33" t="e">
        <f>AND(NhatkyBan!#REF!,"AAAAAF7/0zs=")</f>
        <v>#REF!</v>
      </c>
      <c r="BI33" t="e">
        <f>AND(NhatkyBan!#REF!,"AAAAAF7/0zw=")</f>
        <v>#REF!</v>
      </c>
      <c r="BJ33" t="e">
        <f>AND(NhatkyBan!#REF!,"AAAAAF7/0z0=")</f>
        <v>#REF!</v>
      </c>
      <c r="BK33" t="e">
        <f>AND(NhatkyBan!#REF!,"AAAAAF7/0z4=")</f>
        <v>#REF!</v>
      </c>
      <c r="BL33" t="e">
        <f>AND(NhatkyBan!#REF!,"AAAAAF7/0z8=")</f>
        <v>#REF!</v>
      </c>
      <c r="BM33" t="e">
        <f>AND(NhatkyBan!#REF!,"AAAAAF7/00A=")</f>
        <v>#REF!</v>
      </c>
      <c r="BN33" t="e">
        <f>AND(NhatkyBan!#REF!,"AAAAAF7/00E=")</f>
        <v>#REF!</v>
      </c>
      <c r="BO33" t="e">
        <f>AND(NhatkyBan!#REF!,"AAAAAF7/00I=")</f>
        <v>#REF!</v>
      </c>
      <c r="BP33" t="e">
        <f>AND(NhatkyBan!#REF!,"AAAAAF7/00M=")</f>
        <v>#REF!</v>
      </c>
      <c r="BQ33" t="e">
        <f>AND(NhatkyBan!#REF!,"AAAAAF7/00Q=")</f>
        <v>#REF!</v>
      </c>
      <c r="BR33" t="e">
        <f>AND(NhatkyBan!#REF!,"AAAAAF7/00U=")</f>
        <v>#REF!</v>
      </c>
      <c r="BS33" t="e">
        <f>AND(NhatkyBan!#REF!,"AAAAAF7/00Y=")</f>
        <v>#REF!</v>
      </c>
      <c r="BT33" t="e">
        <f>AND(NhatkyBan!#REF!,"AAAAAF7/00c=")</f>
        <v>#REF!</v>
      </c>
      <c r="BU33" t="e">
        <f>AND(NhatkyBan!#REF!,"AAAAAF7/00g=")</f>
        <v>#REF!</v>
      </c>
      <c r="BV33" t="e">
        <f>AND(NhatkyBan!#REF!,"AAAAAF7/00k=")</f>
        <v>#REF!</v>
      </c>
      <c r="BW33" t="e">
        <f>AND(NhatkyBan!#REF!,"AAAAAF7/00o=")</f>
        <v>#REF!</v>
      </c>
      <c r="BX33" t="e">
        <f>AND(NhatkyBan!#REF!,"AAAAAF7/00s=")</f>
        <v>#REF!</v>
      </c>
      <c r="BY33" t="e">
        <f>AND(NhatkyBan!#REF!,"AAAAAF7/00w=")</f>
        <v>#REF!</v>
      </c>
      <c r="BZ33" t="e">
        <f>AND(NhatkyBan!#REF!,"AAAAAF7/000=")</f>
        <v>#REF!</v>
      </c>
      <c r="CA33" t="e">
        <f>AND(NhatkyBan!#REF!,"AAAAAF7/004=")</f>
        <v>#REF!</v>
      </c>
      <c r="CB33" t="e">
        <f>AND(NhatkyBan!#REF!,"AAAAAF7/008=")</f>
        <v>#REF!</v>
      </c>
      <c r="CC33" t="e">
        <f>AND(NhatkyBan!#REF!,"AAAAAF7/01A=")</f>
        <v>#REF!</v>
      </c>
      <c r="CD33" t="e">
        <f>AND(NhatkyBan!#REF!,"AAAAAF7/01E=")</f>
        <v>#REF!</v>
      </c>
      <c r="CE33" t="e">
        <f>AND(NhatkyBan!#REF!,"AAAAAF7/01I=")</f>
        <v>#REF!</v>
      </c>
      <c r="CF33" t="e">
        <f>AND(NhatkyBan!#REF!,"AAAAAF7/01M=")</f>
        <v>#REF!</v>
      </c>
      <c r="CG33" t="e">
        <f>AND(NhatkyBan!#REF!,"AAAAAF7/01Q=")</f>
        <v>#REF!</v>
      </c>
      <c r="CH33" t="e">
        <f>AND(NhatkyBan!#REF!,"AAAAAF7/01U=")</f>
        <v>#REF!</v>
      </c>
      <c r="CI33" t="e">
        <f>AND(NhatkyBan!#REF!,"AAAAAF7/01Y=")</f>
        <v>#REF!</v>
      </c>
      <c r="CJ33" t="e">
        <f>AND(NhatkyBan!#REF!,"AAAAAF7/01c=")</f>
        <v>#REF!</v>
      </c>
      <c r="CK33" t="e">
        <f>AND(NhatkyBan!#REF!,"AAAAAF7/01g=")</f>
        <v>#REF!</v>
      </c>
      <c r="CL33" t="e">
        <f>AND(NhatkyBan!#REF!,"AAAAAF7/01k=")</f>
        <v>#REF!</v>
      </c>
      <c r="CM33" t="e">
        <f>AND(NhatkyBan!#REF!,"AAAAAF7/01o=")</f>
        <v>#REF!</v>
      </c>
      <c r="CN33" t="e">
        <f>AND(NhatkyBan!#REF!,"AAAAAF7/01s=")</f>
        <v>#REF!</v>
      </c>
      <c r="CO33" t="e">
        <f>AND(NhatkyBan!#REF!,"AAAAAF7/01w=")</f>
        <v>#REF!</v>
      </c>
      <c r="CP33" t="e">
        <f>AND(NhatkyBan!#REF!,"AAAAAF7/010=")</f>
        <v>#REF!</v>
      </c>
      <c r="CQ33" t="e">
        <f>AND(NhatkyBan!#REF!,"AAAAAF7/014=")</f>
        <v>#REF!</v>
      </c>
      <c r="CR33" t="e">
        <f>AND(NhatkyBan!#REF!,"AAAAAF7/018=")</f>
        <v>#REF!</v>
      </c>
      <c r="CS33" t="e">
        <f>AND(NhatkyBan!#REF!,"AAAAAF7/02A=")</f>
        <v>#REF!</v>
      </c>
      <c r="CT33" t="e">
        <f>AND(NhatkyBan!#REF!,"AAAAAF7/02E=")</f>
        <v>#REF!</v>
      </c>
      <c r="CU33" t="e">
        <f>AND(NhatkyBan!#REF!,"AAAAAF7/02I=")</f>
        <v>#REF!</v>
      </c>
      <c r="CV33" t="e">
        <f>AND(NhatkyBan!#REF!,"AAAAAF7/02M=")</f>
        <v>#REF!</v>
      </c>
      <c r="CW33" t="e">
        <f>AND(NhatkyBan!#REF!,"AAAAAF7/02Q=")</f>
        <v>#REF!</v>
      </c>
      <c r="CX33" t="e">
        <f>AND(NhatkyBan!#REF!,"AAAAAF7/02U=")</f>
        <v>#REF!</v>
      </c>
      <c r="CY33" t="e">
        <f>AND(NhatkyBan!#REF!,"AAAAAF7/02Y=")</f>
        <v>#REF!</v>
      </c>
      <c r="CZ33" t="e">
        <f>AND(NhatkyBan!#REF!,"AAAAAF7/02c=")</f>
        <v>#REF!</v>
      </c>
      <c r="DA33" t="e">
        <f>AND(NhatkyBan!#REF!,"AAAAAF7/02g=")</f>
        <v>#REF!</v>
      </c>
      <c r="DB33" t="e">
        <f>AND(NhatkyBan!#REF!,"AAAAAF7/02k=")</f>
        <v>#REF!</v>
      </c>
      <c r="DC33" t="e">
        <f>AND(NhatkyBan!#REF!,"AAAAAF7/02o=")</f>
        <v>#REF!</v>
      </c>
      <c r="DD33" t="e">
        <f>AND(NhatkyBan!#REF!,"AAAAAF7/02s=")</f>
        <v>#REF!</v>
      </c>
      <c r="DE33" t="e">
        <f>AND(NhatkyBan!#REF!,"AAAAAF7/02w=")</f>
        <v>#REF!</v>
      </c>
      <c r="DF33" t="e">
        <f>AND(NhatkyBan!#REF!,"AAAAAF7/020=")</f>
        <v>#REF!</v>
      </c>
      <c r="DG33" t="e">
        <f>AND(NhatkyBan!#REF!,"AAAAAF7/024=")</f>
        <v>#REF!</v>
      </c>
      <c r="DH33" t="e">
        <f>AND(NhatkyBan!#REF!,"AAAAAF7/028=")</f>
        <v>#REF!</v>
      </c>
      <c r="DI33" t="e">
        <f>AND(NhatkyBan!#REF!,"AAAAAF7/03A=")</f>
        <v>#REF!</v>
      </c>
      <c r="DJ33" t="e">
        <f>AND(NhatkyBan!#REF!,"AAAAAF7/03E=")</f>
        <v>#REF!</v>
      </c>
      <c r="DK33" t="e">
        <f>AND(NhatkyBan!#REF!,"AAAAAF7/03I=")</f>
        <v>#REF!</v>
      </c>
      <c r="DL33" t="e">
        <f>AND(NhatkyBan!#REF!,"AAAAAF7/03M=")</f>
        <v>#REF!</v>
      </c>
      <c r="DM33" t="e">
        <f>AND(NhatkyBan!#REF!,"AAAAAF7/03Q=")</f>
        <v>#REF!</v>
      </c>
      <c r="DN33" t="e">
        <f>AND(NhatkyBan!#REF!,"AAAAAF7/03U=")</f>
        <v>#REF!</v>
      </c>
      <c r="DO33" t="e">
        <f>AND(NhatkyBan!#REF!,"AAAAAF7/03Y=")</f>
        <v>#REF!</v>
      </c>
      <c r="DP33" t="e">
        <f>AND(NhatkyBan!#REF!,"AAAAAF7/03c=")</f>
        <v>#REF!</v>
      </c>
      <c r="DQ33" t="e">
        <f>AND(NhatkyBan!#REF!,"AAAAAF7/03g=")</f>
        <v>#REF!</v>
      </c>
      <c r="DR33" t="e">
        <f>AND(NhatkyBan!#REF!,"AAAAAF7/03k=")</f>
        <v>#REF!</v>
      </c>
      <c r="DS33" t="e">
        <f>AND(NhatkyBan!#REF!,"AAAAAF7/03o=")</f>
        <v>#REF!</v>
      </c>
      <c r="DT33" t="e">
        <f>AND(NhatkyBan!#REF!,"AAAAAF7/03s=")</f>
        <v>#REF!</v>
      </c>
      <c r="DU33" t="e">
        <f>AND(NhatkyBan!#REF!,"AAAAAF7/03w=")</f>
        <v>#REF!</v>
      </c>
      <c r="DV33" t="e">
        <f>AND(NhatkyBan!#REF!,"AAAAAF7/030=")</f>
        <v>#REF!</v>
      </c>
      <c r="DW33" t="e">
        <f>AND(NhatkyBan!#REF!,"AAAAAF7/034=")</f>
        <v>#REF!</v>
      </c>
      <c r="DX33" t="e">
        <f>AND(NhatkyBan!#REF!,"AAAAAF7/038=")</f>
        <v>#REF!</v>
      </c>
      <c r="DY33" t="e">
        <f>AND(NhatkyBan!#REF!,"AAAAAF7/04A=")</f>
        <v>#REF!</v>
      </c>
      <c r="DZ33" t="e">
        <f>AND(NhatkyBan!#REF!,"AAAAAF7/04E=")</f>
        <v>#REF!</v>
      </c>
      <c r="EA33" t="e">
        <f>AND(NhatkyBan!#REF!,"AAAAAF7/04I=")</f>
        <v>#REF!</v>
      </c>
      <c r="EB33" t="e">
        <f>AND(NhatkyBan!#REF!,"AAAAAF7/04M=")</f>
        <v>#REF!</v>
      </c>
      <c r="EC33" t="e">
        <f>AND(NhatkyBan!#REF!,"AAAAAF7/04Q=")</f>
        <v>#REF!</v>
      </c>
      <c r="ED33" t="e">
        <f>AND(NhatkyBan!#REF!,"AAAAAF7/04U=")</f>
        <v>#REF!</v>
      </c>
      <c r="EE33" t="e">
        <f>AND(NhatkyBan!#REF!,"AAAAAF7/04Y=")</f>
        <v>#REF!</v>
      </c>
      <c r="EF33" t="e">
        <f>AND(NhatkyBan!#REF!,"AAAAAF7/04c=")</f>
        <v>#REF!</v>
      </c>
      <c r="EG33" t="e">
        <f>AND(NhatkyBan!#REF!,"AAAAAF7/04g=")</f>
        <v>#REF!</v>
      </c>
      <c r="EH33" t="e">
        <f>AND(NhatkyBan!#REF!,"AAAAAF7/04k=")</f>
        <v>#REF!</v>
      </c>
      <c r="EI33" t="e">
        <f>AND(NhatkyBan!#REF!,"AAAAAF7/04o=")</f>
        <v>#REF!</v>
      </c>
      <c r="EJ33" t="e">
        <f>AND(NhatkyBan!#REF!,"AAAAAF7/04s=")</f>
        <v>#REF!</v>
      </c>
      <c r="EK33" t="e">
        <f>AND(NhatkyBan!#REF!,"AAAAAF7/04w=")</f>
        <v>#REF!</v>
      </c>
      <c r="EL33" t="e">
        <f>AND(NhatkyBan!#REF!,"AAAAAF7/040=")</f>
        <v>#REF!</v>
      </c>
      <c r="EM33" t="e">
        <f>AND(NhatkyBan!#REF!,"AAAAAF7/044=")</f>
        <v>#REF!</v>
      </c>
      <c r="EN33" t="e">
        <f>AND(NhatkyBan!#REF!,"AAAAAF7/048=")</f>
        <v>#REF!</v>
      </c>
      <c r="EO33" t="e">
        <f>AND(NhatkyBan!#REF!,"AAAAAF7/05A=")</f>
        <v>#REF!</v>
      </c>
      <c r="EP33" t="e">
        <f>AND(NhatkyBan!#REF!,"AAAAAF7/05E=")</f>
        <v>#REF!</v>
      </c>
      <c r="EQ33" t="e">
        <f>AND(NhatkyBan!#REF!,"AAAAAF7/05I=")</f>
        <v>#REF!</v>
      </c>
      <c r="ER33" t="e">
        <f>AND(NhatkyBan!#REF!,"AAAAAF7/05M=")</f>
        <v>#REF!</v>
      </c>
      <c r="ES33" t="e">
        <f>AND(NhatkyBan!#REF!,"AAAAAF7/05Q=")</f>
        <v>#REF!</v>
      </c>
      <c r="ET33" t="e">
        <f>AND(NhatkyBan!#REF!,"AAAAAF7/05U=")</f>
        <v>#REF!</v>
      </c>
      <c r="EU33" t="e">
        <f>AND(NhatkyBan!#REF!,"AAAAAF7/05Y=")</f>
        <v>#REF!</v>
      </c>
      <c r="EV33" t="e">
        <f>AND(NhatkyBan!#REF!,"AAAAAF7/05c=")</f>
        <v>#REF!</v>
      </c>
      <c r="EW33" t="e">
        <f>AND(NhatkyBan!#REF!,"AAAAAF7/05g=")</f>
        <v>#REF!</v>
      </c>
      <c r="EX33" t="e">
        <f>AND(NhatkyBan!#REF!,"AAAAAF7/05k=")</f>
        <v>#REF!</v>
      </c>
      <c r="EY33" t="e">
        <f>AND(NhatkyBan!#REF!,"AAAAAF7/05o=")</f>
        <v>#REF!</v>
      </c>
      <c r="EZ33" t="e">
        <f>AND(NhatkyBan!#REF!,"AAAAAF7/05s=")</f>
        <v>#REF!</v>
      </c>
      <c r="FA33" t="e">
        <f>AND(NhatkyBan!#REF!,"AAAAAF7/05w=")</f>
        <v>#REF!</v>
      </c>
      <c r="FB33" t="e">
        <f>AND(NhatkyBan!#REF!,"AAAAAF7/050=")</f>
        <v>#REF!</v>
      </c>
      <c r="FC33" t="e">
        <f>AND(NhatkyBan!#REF!,"AAAAAF7/054=")</f>
        <v>#REF!</v>
      </c>
      <c r="FD33" t="e">
        <f>AND(NhatkyBan!#REF!,"AAAAAF7/058=")</f>
        <v>#REF!</v>
      </c>
      <c r="FE33" t="e">
        <f>AND(NhatkyBan!#REF!,"AAAAAF7/06A=")</f>
        <v>#REF!</v>
      </c>
      <c r="FF33" t="e">
        <f>AND(NhatkyBan!#REF!,"AAAAAF7/06E=")</f>
        <v>#REF!</v>
      </c>
      <c r="FG33" t="e">
        <f>AND(NhatkyBan!#REF!,"AAAAAF7/06I=")</f>
        <v>#REF!</v>
      </c>
      <c r="FH33" t="e">
        <f>AND(NhatkyBan!#REF!,"AAAAAF7/06M=")</f>
        <v>#REF!</v>
      </c>
      <c r="FI33" t="e">
        <f>AND(NhatkyBan!#REF!,"AAAAAF7/06Q=")</f>
        <v>#REF!</v>
      </c>
      <c r="FJ33" t="e">
        <f>AND(NhatkyBan!#REF!,"AAAAAF7/06U=")</f>
        <v>#REF!</v>
      </c>
      <c r="FK33" t="e">
        <f>AND(NhatkyBan!#REF!,"AAAAAF7/06Y=")</f>
        <v>#REF!</v>
      </c>
      <c r="FL33" t="e">
        <f>AND(NhatkyBan!#REF!,"AAAAAF7/06c=")</f>
        <v>#REF!</v>
      </c>
      <c r="FM33" t="e">
        <f>AND(NhatkyBan!#REF!,"AAAAAF7/06g=")</f>
        <v>#REF!</v>
      </c>
      <c r="FN33" t="e">
        <f>AND(NhatkyBan!#REF!,"AAAAAF7/06k=")</f>
        <v>#REF!</v>
      </c>
      <c r="FO33" t="e">
        <f>AND(NhatkyBan!#REF!,"AAAAAF7/06o=")</f>
        <v>#REF!</v>
      </c>
      <c r="FP33" t="e">
        <f>AND(NhatkyBan!#REF!,"AAAAAF7/06s=")</f>
        <v>#REF!</v>
      </c>
      <c r="FQ33" t="e">
        <f>AND(NhatkyBan!#REF!,"AAAAAF7/06w=")</f>
        <v>#REF!</v>
      </c>
      <c r="FR33" t="e">
        <f>AND(NhatkyBan!#REF!,"AAAAAF7/060=")</f>
        <v>#REF!</v>
      </c>
      <c r="FS33" t="e">
        <f>AND(NhatkyBan!#REF!,"AAAAAF7/064=")</f>
        <v>#REF!</v>
      </c>
      <c r="FT33" t="e">
        <f>AND(NhatkyBan!#REF!,"AAAAAF7/068=")</f>
        <v>#REF!</v>
      </c>
      <c r="FU33" t="e">
        <f>AND(NhatkyBan!#REF!,"AAAAAF7/07A=")</f>
        <v>#REF!</v>
      </c>
      <c r="FV33" t="e">
        <f>AND(NhatkyBan!#REF!,"AAAAAF7/07E=")</f>
        <v>#REF!</v>
      </c>
      <c r="FW33" t="e">
        <f>AND(NhatkyBan!#REF!,"AAAAAF7/07I=")</f>
        <v>#REF!</v>
      </c>
      <c r="FX33" t="e">
        <f>AND(NhatkyBan!#REF!,"AAAAAF7/07M=")</f>
        <v>#REF!</v>
      </c>
      <c r="FY33" t="e">
        <f>AND(NhatkyBan!#REF!,"AAAAAF7/07Q=")</f>
        <v>#REF!</v>
      </c>
      <c r="FZ33" t="e">
        <f>AND(NhatkyBan!#REF!,"AAAAAF7/07U=")</f>
        <v>#REF!</v>
      </c>
      <c r="GA33" t="e">
        <f>AND(NhatkyBan!#REF!,"AAAAAF7/07Y=")</f>
        <v>#REF!</v>
      </c>
      <c r="GB33" t="e">
        <f>AND(NhatkyBan!#REF!,"AAAAAF7/07c=")</f>
        <v>#REF!</v>
      </c>
      <c r="GC33" t="e">
        <f>AND(NhatkyBan!#REF!,"AAAAAF7/07g=")</f>
        <v>#REF!</v>
      </c>
      <c r="GD33" t="e">
        <f>AND(NhatkyBan!#REF!,"AAAAAF7/07k=")</f>
        <v>#REF!</v>
      </c>
      <c r="GE33" t="e">
        <f>AND(NhatkyBan!#REF!,"AAAAAF7/07o=")</f>
        <v>#REF!</v>
      </c>
      <c r="GF33" t="e">
        <f>AND(NhatkyBan!#REF!,"AAAAAF7/07s=")</f>
        <v>#REF!</v>
      </c>
      <c r="GG33" t="e">
        <f>AND(NhatkyBan!#REF!,"AAAAAF7/07w=")</f>
        <v>#REF!</v>
      </c>
      <c r="GH33" t="e">
        <f>AND(NhatkyBan!#REF!,"AAAAAF7/070=")</f>
        <v>#REF!</v>
      </c>
      <c r="GI33" t="e">
        <f>AND(NhatkyBan!#REF!,"AAAAAF7/074=")</f>
        <v>#REF!</v>
      </c>
      <c r="GJ33" t="e">
        <f>AND(NhatkyBan!#REF!,"AAAAAF7/078=")</f>
        <v>#REF!</v>
      </c>
      <c r="GK33" t="e">
        <f>AND(NhatkyBan!#REF!,"AAAAAF7/08A=")</f>
        <v>#REF!</v>
      </c>
      <c r="GL33" t="e">
        <f>AND(NhatkyBan!#REF!,"AAAAAF7/08E=")</f>
        <v>#REF!</v>
      </c>
      <c r="GM33" t="e">
        <f>AND(NhatkyBan!#REF!,"AAAAAF7/08I=")</f>
        <v>#REF!</v>
      </c>
      <c r="GN33" t="e">
        <f>AND(NhatkyBan!#REF!,"AAAAAF7/08M=")</f>
        <v>#REF!</v>
      </c>
      <c r="GO33" t="e">
        <f>AND(NhatkyBan!#REF!,"AAAAAF7/08Q=")</f>
        <v>#REF!</v>
      </c>
      <c r="GP33" t="e">
        <f>AND(NhatkyBan!#REF!,"AAAAAF7/08U=")</f>
        <v>#REF!</v>
      </c>
      <c r="GQ33" t="e">
        <f>AND(NhatkyBan!#REF!,"AAAAAF7/08Y=")</f>
        <v>#REF!</v>
      </c>
      <c r="GR33" t="e">
        <f>AND(NhatkyBan!#REF!,"AAAAAF7/08c=")</f>
        <v>#REF!</v>
      </c>
      <c r="GS33" t="e">
        <f>AND(NhatkyBan!#REF!,"AAAAAF7/08g=")</f>
        <v>#REF!</v>
      </c>
      <c r="GT33" t="e">
        <f>AND(NhatkyBan!#REF!,"AAAAAF7/08k=")</f>
        <v>#REF!</v>
      </c>
      <c r="GU33" t="e">
        <f>AND(NhatkyBan!#REF!,"AAAAAF7/08o=")</f>
        <v>#REF!</v>
      </c>
      <c r="GV33" t="e">
        <f>AND(NhatkyBan!#REF!,"AAAAAF7/08s=")</f>
        <v>#REF!</v>
      </c>
      <c r="GW33" t="e">
        <f>AND(NhatkyBan!#REF!,"AAAAAF7/08w=")</f>
        <v>#REF!</v>
      </c>
      <c r="GX33" t="e">
        <f>AND(NhatkyBan!#REF!,"AAAAAF7/080=")</f>
        <v>#REF!</v>
      </c>
      <c r="GY33" t="e">
        <f>AND(NhatkyBan!#REF!,"AAAAAF7/084=")</f>
        <v>#REF!</v>
      </c>
      <c r="GZ33" t="e">
        <f>AND(NhatkyBan!#REF!,"AAAAAF7/088=")</f>
        <v>#REF!</v>
      </c>
      <c r="HA33" t="e">
        <f>AND(NhatkyBan!#REF!,"AAAAAF7/09A=")</f>
        <v>#REF!</v>
      </c>
      <c r="HB33" t="e">
        <f>AND(NhatkyBan!#REF!,"AAAAAF7/09E=")</f>
        <v>#REF!</v>
      </c>
      <c r="HC33" t="e">
        <f>AND(NhatkyBan!#REF!,"AAAAAF7/09I=")</f>
        <v>#REF!</v>
      </c>
      <c r="HD33" t="e">
        <f>AND(NhatkyBan!#REF!,"AAAAAF7/09M=")</f>
        <v>#REF!</v>
      </c>
      <c r="HE33" t="e">
        <f>AND(NhatkyBan!#REF!,"AAAAAF7/09Q=")</f>
        <v>#REF!</v>
      </c>
      <c r="HF33" t="e">
        <f>AND(NhatkyBan!#REF!,"AAAAAF7/09U=")</f>
        <v>#REF!</v>
      </c>
      <c r="HG33" t="e">
        <f>AND(NhatkyBan!#REF!,"AAAAAF7/09Y=")</f>
        <v>#REF!</v>
      </c>
      <c r="HH33" t="e">
        <f>AND(NhatkyBan!#REF!,"AAAAAF7/09c=")</f>
        <v>#REF!</v>
      </c>
      <c r="HI33" t="e">
        <f>AND(NhatkyBan!#REF!,"AAAAAF7/09g=")</f>
        <v>#REF!</v>
      </c>
      <c r="HJ33" t="e">
        <f>AND(NhatkyBan!#REF!,"AAAAAF7/09k=")</f>
        <v>#REF!</v>
      </c>
      <c r="HK33" t="e">
        <f>AND(NhatkyBan!#REF!,"AAAAAF7/09o=")</f>
        <v>#REF!</v>
      </c>
      <c r="HL33" t="e">
        <f>AND(NhatkyBan!#REF!,"AAAAAF7/09s=")</f>
        <v>#REF!</v>
      </c>
      <c r="HM33" t="e">
        <f>AND(NhatkyBan!#REF!,"AAAAAF7/09w=")</f>
        <v>#REF!</v>
      </c>
      <c r="HN33" t="e">
        <f>AND(NhatkyBan!#REF!,"AAAAAF7/090=")</f>
        <v>#REF!</v>
      </c>
      <c r="HO33" t="e">
        <f>AND(NhatkyBan!#REF!,"AAAAAF7/094=")</f>
        <v>#REF!</v>
      </c>
      <c r="HP33" t="e">
        <f>AND(NhatkyBan!#REF!,"AAAAAF7/098=")</f>
        <v>#REF!</v>
      </c>
      <c r="HQ33" t="e">
        <f>AND(NhatkyBan!#REF!,"AAAAAF7/0+A=")</f>
        <v>#REF!</v>
      </c>
      <c r="HR33" t="e">
        <f>AND(NhatkyBan!#REF!,"AAAAAF7/0+E=")</f>
        <v>#REF!</v>
      </c>
      <c r="HS33" t="e">
        <f>AND(NhatkyBan!#REF!,"AAAAAF7/0+I=")</f>
        <v>#REF!</v>
      </c>
      <c r="HT33" t="e">
        <f>AND(NhatkyBan!#REF!,"AAAAAF7/0+M=")</f>
        <v>#REF!</v>
      </c>
      <c r="HU33" t="e">
        <f>AND(NhatkyBan!#REF!,"AAAAAF7/0+Q=")</f>
        <v>#REF!</v>
      </c>
      <c r="HV33" t="e">
        <f>AND(NhatkyBan!#REF!,"AAAAAF7/0+U=")</f>
        <v>#REF!</v>
      </c>
      <c r="HW33" t="e">
        <f>AND(NhatkyBan!#REF!,"AAAAAF7/0+Y=")</f>
        <v>#REF!</v>
      </c>
      <c r="HX33" t="e">
        <f>AND(NhatkyBan!#REF!,"AAAAAF7/0+c=")</f>
        <v>#REF!</v>
      </c>
      <c r="HY33" t="e">
        <f>AND(NhatkyBan!#REF!,"AAAAAF7/0+g=")</f>
        <v>#REF!</v>
      </c>
      <c r="HZ33" t="e">
        <f>AND(NhatkyBan!#REF!,"AAAAAF7/0+k=")</f>
        <v>#REF!</v>
      </c>
      <c r="IA33" t="e">
        <f>AND(NhatkyBan!#REF!,"AAAAAF7/0+o=")</f>
        <v>#REF!</v>
      </c>
      <c r="IB33" t="e">
        <f>AND(NhatkyBan!#REF!,"AAAAAF7/0+s=")</f>
        <v>#REF!</v>
      </c>
      <c r="IC33" t="e">
        <f>AND(NhatkyBan!#REF!,"AAAAAF7/0+w=")</f>
        <v>#REF!</v>
      </c>
      <c r="ID33" t="e">
        <f>AND(NhatkyBan!#REF!,"AAAAAF7/0+0=")</f>
        <v>#REF!</v>
      </c>
      <c r="IE33" t="e">
        <f>AND(NhatkyBan!#REF!,"AAAAAF7/0+4=")</f>
        <v>#REF!</v>
      </c>
      <c r="IF33" t="e">
        <f>AND(NhatkyBan!#REF!,"AAAAAF7/0+8=")</f>
        <v>#REF!</v>
      </c>
      <c r="IG33" t="e">
        <f>AND(NhatkyBan!#REF!,"AAAAAF7/0/A=")</f>
        <v>#REF!</v>
      </c>
      <c r="IH33" t="e">
        <f>AND(NhatkyBan!#REF!,"AAAAAF7/0/E=")</f>
        <v>#REF!</v>
      </c>
      <c r="II33" t="e">
        <f>AND(NhatkyBan!#REF!,"AAAAAF7/0/I=")</f>
        <v>#REF!</v>
      </c>
      <c r="IJ33" t="e">
        <f>AND(NhatkyBan!#REF!,"AAAAAF7/0/M=")</f>
        <v>#REF!</v>
      </c>
      <c r="IK33" t="e">
        <f>AND(NhatkyBan!#REF!,"AAAAAF7/0/Q=")</f>
        <v>#REF!</v>
      </c>
      <c r="IL33" t="e">
        <f>AND(NhatkyBan!#REF!,"AAAAAF7/0/U=")</f>
        <v>#REF!</v>
      </c>
      <c r="IM33" t="e">
        <f>AND(NhatkyBan!#REF!,"AAAAAF7/0/Y=")</f>
        <v>#REF!</v>
      </c>
      <c r="IN33" t="e">
        <f>AND(NhatkyBan!#REF!,"AAAAAF7/0/c=")</f>
        <v>#REF!</v>
      </c>
      <c r="IO33" t="e">
        <f>AND(NhatkyBan!#REF!,"AAAAAF7/0/g=")</f>
        <v>#REF!</v>
      </c>
      <c r="IP33" t="e">
        <f>AND(NhatkyBan!#REF!,"AAAAAF7/0/k=")</f>
        <v>#REF!</v>
      </c>
      <c r="IQ33" t="e">
        <f>AND(NhatkyBan!#REF!,"AAAAAF7/0/o=")</f>
        <v>#REF!</v>
      </c>
      <c r="IR33" t="e">
        <f>AND(NhatkyBan!#REF!,"AAAAAF7/0/s=")</f>
        <v>#REF!</v>
      </c>
      <c r="IS33" t="e">
        <f>AND(NhatkyBan!#REF!,"AAAAAF7/0/w=")</f>
        <v>#REF!</v>
      </c>
      <c r="IT33" t="e">
        <f>AND(NhatkyBan!#REF!,"AAAAAF7/0/0=")</f>
        <v>#REF!</v>
      </c>
      <c r="IU33" t="e">
        <f>AND(NhatkyBan!#REF!,"AAAAAF7/0/4=")</f>
        <v>#REF!</v>
      </c>
      <c r="IV33" t="e">
        <f>AND(NhatkyBan!#REF!,"AAAAAF7/0/8=")</f>
        <v>#REF!</v>
      </c>
    </row>
    <row r="34" spans="1:256">
      <c r="A34" t="e">
        <f>AND(NhatkyBan!#REF!,"AAAAAHu6nwA=")</f>
        <v>#REF!</v>
      </c>
      <c r="B34" t="e">
        <f>AND(NhatkyBan!#REF!,"AAAAAHu6nwE=")</f>
        <v>#REF!</v>
      </c>
      <c r="C34" t="e">
        <f>AND(NhatkyBan!#REF!,"AAAAAHu6nwI=")</f>
        <v>#REF!</v>
      </c>
      <c r="D34" t="e">
        <f>AND(NhatkyBan!#REF!,"AAAAAHu6nwM=")</f>
        <v>#REF!</v>
      </c>
      <c r="E34" t="e">
        <f>AND(NhatkyBan!#REF!,"AAAAAHu6nwQ=")</f>
        <v>#REF!</v>
      </c>
      <c r="F34" t="e">
        <f>AND(NhatkyBan!#REF!,"AAAAAHu6nwU=")</f>
        <v>#REF!</v>
      </c>
      <c r="G34" t="e">
        <f>AND(NhatkyBan!#REF!,"AAAAAHu6nwY=")</f>
        <v>#REF!</v>
      </c>
      <c r="H34" t="e">
        <f>AND(NhatkyBan!#REF!,"AAAAAHu6nwc=")</f>
        <v>#REF!</v>
      </c>
      <c r="I34" t="e">
        <f>AND(NhatkyBan!#REF!,"AAAAAHu6nwg=")</f>
        <v>#REF!</v>
      </c>
      <c r="J34" t="e">
        <f>AND(NhatkyBan!#REF!,"AAAAAHu6nwk=")</f>
        <v>#REF!</v>
      </c>
      <c r="K34" t="e">
        <f>AND(NhatkyBan!#REF!,"AAAAAHu6nwo=")</f>
        <v>#REF!</v>
      </c>
      <c r="L34" t="e">
        <f>AND(NhatkyBan!#REF!,"AAAAAHu6nws=")</f>
        <v>#REF!</v>
      </c>
      <c r="M34" t="e">
        <f>AND(NhatkyBan!#REF!,"AAAAAHu6nww=")</f>
        <v>#REF!</v>
      </c>
      <c r="N34" t="e">
        <f>AND(NhatkyBan!#REF!,"AAAAAHu6nw0=")</f>
        <v>#REF!</v>
      </c>
      <c r="O34" t="e">
        <f>AND(NhatkyBan!#REF!,"AAAAAHu6nw4=")</f>
        <v>#REF!</v>
      </c>
      <c r="P34" t="e">
        <f>AND(NhatkyBan!#REF!,"AAAAAHu6nw8=")</f>
        <v>#REF!</v>
      </c>
      <c r="Q34" t="e">
        <f>AND(NhatkyBan!#REF!,"AAAAAHu6nxA=")</f>
        <v>#REF!</v>
      </c>
      <c r="R34" t="e">
        <f>AND(NhatkyBan!#REF!,"AAAAAHu6nxE=")</f>
        <v>#REF!</v>
      </c>
      <c r="S34" t="e">
        <f>AND(NhatkyBan!#REF!,"AAAAAHu6nxI=")</f>
        <v>#REF!</v>
      </c>
      <c r="T34" t="e">
        <f>AND(NhatkyBan!#REF!,"AAAAAHu6nxM=")</f>
        <v>#REF!</v>
      </c>
      <c r="U34" t="e">
        <f>AND(NhatkyBan!#REF!,"AAAAAHu6nxQ=")</f>
        <v>#REF!</v>
      </c>
      <c r="V34" t="e">
        <f>AND(NhatkyBan!#REF!,"AAAAAHu6nxU=")</f>
        <v>#REF!</v>
      </c>
      <c r="W34" t="e">
        <f>AND(NhatkyBan!#REF!,"AAAAAHu6nxY=")</f>
        <v>#REF!</v>
      </c>
      <c r="X34" t="e">
        <f>AND(NhatkyBan!#REF!,"AAAAAHu6nxc=")</f>
        <v>#REF!</v>
      </c>
      <c r="Y34" t="e">
        <f>AND(NhatkyBan!#REF!,"AAAAAHu6nxg=")</f>
        <v>#REF!</v>
      </c>
      <c r="Z34" t="e">
        <f>AND(NhatkyBan!#REF!,"AAAAAHu6nxk=")</f>
        <v>#REF!</v>
      </c>
      <c r="AA34" t="e">
        <f>AND(NhatkyBan!#REF!,"AAAAAHu6nxo=")</f>
        <v>#REF!</v>
      </c>
      <c r="AB34" t="e">
        <f>AND(NhatkyBan!#REF!,"AAAAAHu6nxs=")</f>
        <v>#REF!</v>
      </c>
      <c r="AC34" t="e">
        <f>AND(NhatkyBan!#REF!,"AAAAAHu6nxw=")</f>
        <v>#REF!</v>
      </c>
      <c r="AD34" t="e">
        <f>AND(NhatkyBan!#REF!,"AAAAAHu6nx0=")</f>
        <v>#REF!</v>
      </c>
      <c r="AE34" t="e">
        <f>AND(NhatkyBan!#REF!,"AAAAAHu6nx4=")</f>
        <v>#REF!</v>
      </c>
      <c r="AF34" t="e">
        <f>AND(NhatkyBan!#REF!,"AAAAAHu6nx8=")</f>
        <v>#REF!</v>
      </c>
      <c r="AG34" t="e">
        <f>AND(NhatkyBan!#REF!,"AAAAAHu6nyA=")</f>
        <v>#REF!</v>
      </c>
      <c r="AH34" t="e">
        <f>AND(NhatkyBan!#REF!,"AAAAAHu6nyE=")</f>
        <v>#REF!</v>
      </c>
      <c r="AI34" t="e">
        <f>AND(NhatkyBan!#REF!,"AAAAAHu6nyI=")</f>
        <v>#REF!</v>
      </c>
      <c r="AJ34" t="e">
        <f>AND(NhatkyBan!#REF!,"AAAAAHu6nyM=")</f>
        <v>#REF!</v>
      </c>
      <c r="AK34" t="e">
        <f>AND(NhatkyBan!#REF!,"AAAAAHu6nyQ=")</f>
        <v>#REF!</v>
      </c>
      <c r="AL34" t="e">
        <f>AND(NhatkyBan!#REF!,"AAAAAHu6nyU=")</f>
        <v>#REF!</v>
      </c>
      <c r="AM34" t="e">
        <f>AND(NhatkyBan!#REF!,"AAAAAHu6nyY=")</f>
        <v>#REF!</v>
      </c>
      <c r="AN34" t="e">
        <f>AND(NhatkyBan!#REF!,"AAAAAHu6nyc=")</f>
        <v>#REF!</v>
      </c>
      <c r="AO34" t="e">
        <f>AND(NhatkyBan!#REF!,"AAAAAHu6nyg=")</f>
        <v>#REF!</v>
      </c>
      <c r="AP34" t="e">
        <f>AND(NhatkyBan!#REF!,"AAAAAHu6nyk=")</f>
        <v>#REF!</v>
      </c>
      <c r="AQ34" t="e">
        <f>AND(NhatkyBan!#REF!,"AAAAAHu6nyo=")</f>
        <v>#REF!</v>
      </c>
      <c r="AR34" t="e">
        <f>AND(NhatkyBan!#REF!,"AAAAAHu6nys=")</f>
        <v>#REF!</v>
      </c>
      <c r="AS34" t="e">
        <f>AND(NhatkyBan!#REF!,"AAAAAHu6nyw=")</f>
        <v>#REF!</v>
      </c>
      <c r="AT34" t="e">
        <f>AND(NhatkyBan!#REF!,"AAAAAHu6ny0=")</f>
        <v>#REF!</v>
      </c>
      <c r="AU34" t="e">
        <f>AND(NhatkyBan!#REF!,"AAAAAHu6ny4=")</f>
        <v>#REF!</v>
      </c>
      <c r="AV34" t="e">
        <f>AND(NhatkyBan!#REF!,"AAAAAHu6ny8=")</f>
        <v>#REF!</v>
      </c>
      <c r="AW34" t="e">
        <f>AND(NhatkyBan!#REF!,"AAAAAHu6nzA=")</f>
        <v>#REF!</v>
      </c>
      <c r="AX34" t="e">
        <f>AND(NhatkyBan!#REF!,"AAAAAHu6nzE=")</f>
        <v>#REF!</v>
      </c>
      <c r="AY34" t="e">
        <f>AND(NhatkyBan!#REF!,"AAAAAHu6nzI=")</f>
        <v>#REF!</v>
      </c>
      <c r="AZ34" t="e">
        <f>AND(NhatkyBan!#REF!,"AAAAAHu6nzM=")</f>
        <v>#REF!</v>
      </c>
      <c r="BA34" t="e">
        <f>AND(NhatkyBan!#REF!,"AAAAAHu6nzQ=")</f>
        <v>#REF!</v>
      </c>
      <c r="BB34" t="e">
        <f>AND(NhatkyBan!#REF!,"AAAAAHu6nzU=")</f>
        <v>#REF!</v>
      </c>
      <c r="BC34" t="e">
        <f>AND(NhatkyBan!#REF!,"AAAAAHu6nzY=")</f>
        <v>#REF!</v>
      </c>
      <c r="BD34" t="e">
        <f>AND(NhatkyBan!#REF!,"AAAAAHu6nzc=")</f>
        <v>#REF!</v>
      </c>
      <c r="BE34" t="e">
        <f>AND(NhatkyBan!#REF!,"AAAAAHu6nzg=")</f>
        <v>#REF!</v>
      </c>
      <c r="BF34" t="e">
        <f>AND(NhatkyBan!#REF!,"AAAAAHu6nzk=")</f>
        <v>#REF!</v>
      </c>
      <c r="BG34" t="e">
        <f>AND(NhatkyBan!#REF!,"AAAAAHu6nzo=")</f>
        <v>#REF!</v>
      </c>
      <c r="BH34" t="e">
        <f>AND(NhatkyBan!#REF!,"AAAAAHu6nzs=")</f>
        <v>#REF!</v>
      </c>
      <c r="BI34" t="e">
        <f>AND(NhatkyBan!#REF!,"AAAAAHu6nzw=")</f>
        <v>#REF!</v>
      </c>
      <c r="BJ34" t="e">
        <f>AND(NhatkyBan!#REF!,"AAAAAHu6nz0=")</f>
        <v>#REF!</v>
      </c>
      <c r="BK34" t="e">
        <f>AND(NhatkyBan!#REF!,"AAAAAHu6nz4=")</f>
        <v>#REF!</v>
      </c>
      <c r="BL34" t="e">
        <f>AND(NhatkyBan!#REF!,"AAAAAHu6nz8=")</f>
        <v>#REF!</v>
      </c>
      <c r="BM34" t="e">
        <f>AND(NhatkyBan!#REF!,"AAAAAHu6n0A=")</f>
        <v>#REF!</v>
      </c>
      <c r="BN34" t="e">
        <f>AND(NhatkyBan!#REF!,"AAAAAHu6n0E=")</f>
        <v>#REF!</v>
      </c>
      <c r="BO34" t="e">
        <f>AND(NhatkyBan!#REF!,"AAAAAHu6n0I=")</f>
        <v>#REF!</v>
      </c>
      <c r="BP34" t="e">
        <f>AND(NhatkyBan!#REF!,"AAAAAHu6n0M=")</f>
        <v>#REF!</v>
      </c>
      <c r="BQ34" t="e">
        <f>AND(NhatkyBan!#REF!,"AAAAAHu6n0Q=")</f>
        <v>#REF!</v>
      </c>
      <c r="BR34" t="e">
        <f>AND(NhatkyBan!#REF!,"AAAAAHu6n0U=")</f>
        <v>#REF!</v>
      </c>
      <c r="BS34" t="e">
        <f>AND(NhatkyBan!#REF!,"AAAAAHu6n0Y=")</f>
        <v>#REF!</v>
      </c>
      <c r="BT34" t="e">
        <f>AND(NhatkyBan!#REF!,"AAAAAHu6n0c=")</f>
        <v>#REF!</v>
      </c>
      <c r="BU34" t="e">
        <f>AND(NhatkyBan!#REF!,"AAAAAHu6n0g=")</f>
        <v>#REF!</v>
      </c>
      <c r="BV34" t="e">
        <f>AND(NhatkyBan!#REF!,"AAAAAHu6n0k=")</f>
        <v>#REF!</v>
      </c>
      <c r="BW34" t="e">
        <f>AND(NhatkyBan!#REF!,"AAAAAHu6n0o=")</f>
        <v>#REF!</v>
      </c>
      <c r="BX34" t="e">
        <f>AND(NhatkyBan!#REF!,"AAAAAHu6n0s=")</f>
        <v>#REF!</v>
      </c>
      <c r="BY34" t="e">
        <f>AND(NhatkyBan!#REF!,"AAAAAHu6n0w=")</f>
        <v>#REF!</v>
      </c>
      <c r="BZ34" t="e">
        <f>AND(NhatkyBan!#REF!,"AAAAAHu6n00=")</f>
        <v>#REF!</v>
      </c>
      <c r="CA34" t="e">
        <f>AND(NhatkyBan!#REF!,"AAAAAHu6n04=")</f>
        <v>#REF!</v>
      </c>
      <c r="CB34" t="e">
        <f>AND(NhatkyBan!#REF!,"AAAAAHu6n08=")</f>
        <v>#REF!</v>
      </c>
      <c r="CC34" t="e">
        <f>AND(NhatkyBan!#REF!,"AAAAAHu6n1A=")</f>
        <v>#REF!</v>
      </c>
      <c r="CD34" t="e">
        <f>AND(NhatkyBan!#REF!,"AAAAAHu6n1E=")</f>
        <v>#REF!</v>
      </c>
      <c r="CE34" t="e">
        <f>AND(NhatkyBan!#REF!,"AAAAAHu6n1I=")</f>
        <v>#REF!</v>
      </c>
      <c r="CF34" t="e">
        <f>AND(NhatkyBan!#REF!,"AAAAAHu6n1M=")</f>
        <v>#REF!</v>
      </c>
      <c r="CG34" t="e">
        <f>AND(NhatkyBan!#REF!,"AAAAAHu6n1Q=")</f>
        <v>#REF!</v>
      </c>
      <c r="CH34" t="e">
        <f>AND(NhatkyBan!#REF!,"AAAAAHu6n1U=")</f>
        <v>#REF!</v>
      </c>
      <c r="CI34" t="e">
        <f>AND(NhatkyBan!#REF!,"AAAAAHu6n1Y=")</f>
        <v>#REF!</v>
      </c>
      <c r="CJ34" t="e">
        <f>AND(NhatkyBan!#REF!,"AAAAAHu6n1c=")</f>
        <v>#REF!</v>
      </c>
      <c r="CK34" t="e">
        <f>AND(NhatkyBan!#REF!,"AAAAAHu6n1g=")</f>
        <v>#REF!</v>
      </c>
      <c r="CL34" t="e">
        <f>AND(NhatkyBan!#REF!,"AAAAAHu6n1k=")</f>
        <v>#REF!</v>
      </c>
      <c r="CM34" t="e">
        <f>AND(NhatkyBan!#REF!,"AAAAAHu6n1o=")</f>
        <v>#REF!</v>
      </c>
      <c r="CN34" t="e">
        <f>AND(NhatkyBan!#REF!,"AAAAAHu6n1s=")</f>
        <v>#REF!</v>
      </c>
      <c r="CO34" t="e">
        <f>AND(NhatkyBan!#REF!,"AAAAAHu6n1w=")</f>
        <v>#REF!</v>
      </c>
      <c r="CP34" t="e">
        <f>AND(NhatkyBan!#REF!,"AAAAAHu6n10=")</f>
        <v>#REF!</v>
      </c>
      <c r="CQ34" t="e">
        <f>AND(NhatkyBan!#REF!,"AAAAAHu6n14=")</f>
        <v>#REF!</v>
      </c>
      <c r="CR34" t="e">
        <f>AND(NhatkyBan!#REF!,"AAAAAHu6n18=")</f>
        <v>#REF!</v>
      </c>
      <c r="CS34" t="e">
        <f>AND(NhatkyBan!#REF!,"AAAAAHu6n2A=")</f>
        <v>#REF!</v>
      </c>
      <c r="CT34" t="e">
        <f>AND(NhatkyBan!#REF!,"AAAAAHu6n2E=")</f>
        <v>#REF!</v>
      </c>
      <c r="CU34" t="e">
        <f>AND(NhatkyBan!#REF!,"AAAAAHu6n2I=")</f>
        <v>#REF!</v>
      </c>
      <c r="CV34" t="e">
        <f>AND(NhatkyBan!#REF!,"AAAAAHu6n2M=")</f>
        <v>#REF!</v>
      </c>
      <c r="CW34" t="e">
        <f>AND(NhatkyBan!#REF!,"AAAAAHu6n2Q=")</f>
        <v>#REF!</v>
      </c>
      <c r="CX34" t="e">
        <f>AND(NhatkyBan!#REF!,"AAAAAHu6n2U=")</f>
        <v>#REF!</v>
      </c>
      <c r="CY34" t="e">
        <f>AND(NhatkyBan!#REF!,"AAAAAHu6n2Y=")</f>
        <v>#REF!</v>
      </c>
      <c r="CZ34" t="e">
        <f>AND(NhatkyBan!#REF!,"AAAAAHu6n2c=")</f>
        <v>#REF!</v>
      </c>
      <c r="DA34" t="e">
        <f>AND(NhatkyBan!#REF!,"AAAAAHu6n2g=")</f>
        <v>#REF!</v>
      </c>
      <c r="DB34" t="e">
        <f>AND(NhatkyBan!#REF!,"AAAAAHu6n2k=")</f>
        <v>#REF!</v>
      </c>
      <c r="DC34" t="e">
        <f>AND(NhatkyBan!#REF!,"AAAAAHu6n2o=")</f>
        <v>#REF!</v>
      </c>
      <c r="DD34" t="e">
        <f>AND(NhatkyBan!#REF!,"AAAAAHu6n2s=")</f>
        <v>#REF!</v>
      </c>
      <c r="DE34" t="e">
        <f>AND(NhatkyBan!#REF!,"AAAAAHu6n2w=")</f>
        <v>#REF!</v>
      </c>
      <c r="DF34" t="e">
        <f>AND(NhatkyBan!#REF!,"AAAAAHu6n20=")</f>
        <v>#REF!</v>
      </c>
      <c r="DG34" t="e">
        <f>AND(NhatkyBan!#REF!,"AAAAAHu6n24=")</f>
        <v>#REF!</v>
      </c>
      <c r="DH34" t="e">
        <f>AND(NhatkyBan!#REF!,"AAAAAHu6n28=")</f>
        <v>#REF!</v>
      </c>
      <c r="DI34" t="e">
        <f>AND(NhatkyBan!#REF!,"AAAAAHu6n3A=")</f>
        <v>#REF!</v>
      </c>
      <c r="DJ34" t="e">
        <f>AND(NhatkyBan!#REF!,"AAAAAHu6n3E=")</f>
        <v>#REF!</v>
      </c>
      <c r="DK34" t="e">
        <f>AND(NhatkyBan!#REF!,"AAAAAHu6n3I=")</f>
        <v>#REF!</v>
      </c>
      <c r="DL34" t="e">
        <f>AND(NhatkyBan!#REF!,"AAAAAHu6n3M=")</f>
        <v>#REF!</v>
      </c>
      <c r="DM34" t="e">
        <f>AND(NhatkyBan!#REF!,"AAAAAHu6n3Q=")</f>
        <v>#REF!</v>
      </c>
      <c r="DN34" t="e">
        <f>AND(NhatkyBan!#REF!,"AAAAAHu6n3U=")</f>
        <v>#REF!</v>
      </c>
      <c r="DO34" t="e">
        <f>AND(NhatkyBan!#REF!,"AAAAAHu6n3Y=")</f>
        <v>#REF!</v>
      </c>
      <c r="DP34" t="e">
        <f>AND(NhatkyBan!#REF!,"AAAAAHu6n3c=")</f>
        <v>#REF!</v>
      </c>
      <c r="DQ34" t="e">
        <f>AND(NhatkyBan!#REF!,"AAAAAHu6n3g=")</f>
        <v>#REF!</v>
      </c>
      <c r="DR34" t="e">
        <f>AND(NhatkyBan!#REF!,"AAAAAHu6n3k=")</f>
        <v>#REF!</v>
      </c>
      <c r="DS34" t="e">
        <f>AND(NhatkyBan!#REF!,"AAAAAHu6n3o=")</f>
        <v>#REF!</v>
      </c>
      <c r="DT34" t="e">
        <f>AND(NhatkyBan!#REF!,"AAAAAHu6n3s=")</f>
        <v>#REF!</v>
      </c>
      <c r="DU34" t="e">
        <f>AND(NhatkyBan!#REF!,"AAAAAHu6n3w=")</f>
        <v>#REF!</v>
      </c>
      <c r="DV34" t="e">
        <f>AND(NhatkyBan!#REF!,"AAAAAHu6n30=")</f>
        <v>#REF!</v>
      </c>
      <c r="DW34" t="e">
        <f>AND(NhatkyBan!#REF!,"AAAAAHu6n34=")</f>
        <v>#REF!</v>
      </c>
      <c r="DX34" t="e">
        <f>AND(NhatkyBan!#REF!,"AAAAAHu6n38=")</f>
        <v>#REF!</v>
      </c>
      <c r="DY34" t="e">
        <f>AND(NhatkyBan!#REF!,"AAAAAHu6n4A=")</f>
        <v>#REF!</v>
      </c>
      <c r="DZ34" t="e">
        <f>AND(NhatkyBan!#REF!,"AAAAAHu6n4E=")</f>
        <v>#REF!</v>
      </c>
      <c r="EA34" t="e">
        <f>AND(NhatkyBan!#REF!,"AAAAAHu6n4I=")</f>
        <v>#REF!</v>
      </c>
      <c r="EB34" t="e">
        <f>AND(NhatkyBan!#REF!,"AAAAAHu6n4M=")</f>
        <v>#REF!</v>
      </c>
      <c r="EC34" t="e">
        <f>AND(NhatkyBan!#REF!,"AAAAAHu6n4Q=")</f>
        <v>#REF!</v>
      </c>
      <c r="ED34" t="e">
        <f>AND(NhatkyBan!#REF!,"AAAAAHu6n4U=")</f>
        <v>#REF!</v>
      </c>
      <c r="EE34" t="e">
        <f>AND(NhatkyBan!#REF!,"AAAAAHu6n4Y=")</f>
        <v>#REF!</v>
      </c>
      <c r="EF34" t="e">
        <f>AND(NhatkyBan!#REF!,"AAAAAHu6n4c=")</f>
        <v>#REF!</v>
      </c>
      <c r="EG34" t="e">
        <f>AND(NhatkyBan!#REF!,"AAAAAHu6n4g=")</f>
        <v>#REF!</v>
      </c>
      <c r="EH34" t="e">
        <f>AND(NhatkyBan!#REF!,"AAAAAHu6n4k=")</f>
        <v>#REF!</v>
      </c>
      <c r="EI34" t="e">
        <f>AND(NhatkyBan!#REF!,"AAAAAHu6n4o=")</f>
        <v>#REF!</v>
      </c>
      <c r="EJ34" t="e">
        <f>AND(NhatkyBan!#REF!,"AAAAAHu6n4s=")</f>
        <v>#REF!</v>
      </c>
      <c r="EK34" t="e">
        <f>AND(NhatkyBan!#REF!,"AAAAAHu6n4w=")</f>
        <v>#REF!</v>
      </c>
      <c r="EL34" t="e">
        <f>AND(NhatkyBan!#REF!,"AAAAAHu6n40=")</f>
        <v>#REF!</v>
      </c>
      <c r="EM34" t="e">
        <f>AND(NhatkyBan!#REF!,"AAAAAHu6n44=")</f>
        <v>#REF!</v>
      </c>
      <c r="EN34" t="e">
        <f>AND(NhatkyBan!#REF!,"AAAAAHu6n48=")</f>
        <v>#REF!</v>
      </c>
      <c r="EO34" t="e">
        <f>AND(NhatkyBan!#REF!,"AAAAAHu6n5A=")</f>
        <v>#REF!</v>
      </c>
      <c r="EP34" t="e">
        <f>AND(NhatkyBan!#REF!,"AAAAAHu6n5E=")</f>
        <v>#REF!</v>
      </c>
      <c r="EQ34" t="e">
        <f>AND(NhatkyBan!#REF!,"AAAAAHu6n5I=")</f>
        <v>#REF!</v>
      </c>
      <c r="ER34" t="e">
        <f>AND(NhatkyBan!#REF!,"AAAAAHu6n5M=")</f>
        <v>#REF!</v>
      </c>
      <c r="ES34" t="e">
        <f>AND(NhatkyBan!#REF!,"AAAAAHu6n5Q=")</f>
        <v>#REF!</v>
      </c>
      <c r="ET34" t="e">
        <f>AND(NhatkyBan!#REF!,"AAAAAHu6n5U=")</f>
        <v>#REF!</v>
      </c>
      <c r="EU34" t="e">
        <f>AND(NhatkyBan!#REF!,"AAAAAHu6n5Y=")</f>
        <v>#REF!</v>
      </c>
      <c r="EV34" t="e">
        <f>AND(NhatkyBan!#REF!,"AAAAAHu6n5c=")</f>
        <v>#REF!</v>
      </c>
      <c r="EW34" t="e">
        <f>AND(NhatkyBan!#REF!,"AAAAAHu6n5g=")</f>
        <v>#REF!</v>
      </c>
      <c r="EX34" t="e">
        <f>AND(NhatkyBan!#REF!,"AAAAAHu6n5k=")</f>
        <v>#REF!</v>
      </c>
      <c r="EY34" t="e">
        <f>AND(NhatkyBan!#REF!,"AAAAAHu6n5o=")</f>
        <v>#REF!</v>
      </c>
      <c r="EZ34" t="e">
        <f>AND(NhatkyBan!#REF!,"AAAAAHu6n5s=")</f>
        <v>#REF!</v>
      </c>
      <c r="FA34" t="e">
        <f>AND(NhatkyBan!#REF!,"AAAAAHu6n5w=")</f>
        <v>#REF!</v>
      </c>
      <c r="FB34" t="e">
        <f>AND(NhatkyBan!#REF!,"AAAAAHu6n50=")</f>
        <v>#REF!</v>
      </c>
      <c r="FC34" t="e">
        <f>AND(NhatkyBan!#REF!,"AAAAAHu6n54=")</f>
        <v>#REF!</v>
      </c>
      <c r="FD34" t="e">
        <f>AND(NhatkyBan!#REF!,"AAAAAHu6n58=")</f>
        <v>#REF!</v>
      </c>
      <c r="FE34" t="e">
        <f>AND(NhatkyBan!#REF!,"AAAAAHu6n6A=")</f>
        <v>#REF!</v>
      </c>
      <c r="FF34" t="e">
        <f>AND(NhatkyBan!#REF!,"AAAAAHu6n6E=")</f>
        <v>#REF!</v>
      </c>
      <c r="FG34" t="e">
        <f>AND(NhatkyBan!#REF!,"AAAAAHu6n6I=")</f>
        <v>#REF!</v>
      </c>
      <c r="FH34" t="e">
        <f>AND(NhatkyBan!#REF!,"AAAAAHu6n6M=")</f>
        <v>#REF!</v>
      </c>
      <c r="FI34" t="e">
        <f>AND(NhatkyBan!#REF!,"AAAAAHu6n6Q=")</f>
        <v>#REF!</v>
      </c>
      <c r="FJ34" t="e">
        <f>AND(NhatkyBan!#REF!,"AAAAAHu6n6U=")</f>
        <v>#REF!</v>
      </c>
      <c r="FK34" t="e">
        <f>AND(NhatkyBan!#REF!,"AAAAAHu6n6Y=")</f>
        <v>#REF!</v>
      </c>
      <c r="FL34" t="e">
        <f>AND(NhatkyBan!#REF!,"AAAAAHu6n6c=")</f>
        <v>#REF!</v>
      </c>
      <c r="FM34" t="e">
        <f>AND(NhatkyBan!#REF!,"AAAAAHu6n6g=")</f>
        <v>#REF!</v>
      </c>
      <c r="FN34" t="e">
        <f>AND(NhatkyBan!#REF!,"AAAAAHu6n6k=")</f>
        <v>#REF!</v>
      </c>
      <c r="FO34" t="e">
        <f>AND(NhatkyBan!#REF!,"AAAAAHu6n6o=")</f>
        <v>#REF!</v>
      </c>
      <c r="FP34" t="e">
        <f>AND(NhatkyBan!#REF!,"AAAAAHu6n6s=")</f>
        <v>#REF!</v>
      </c>
      <c r="FQ34" t="e">
        <f>AND(NhatkyBan!#REF!,"AAAAAHu6n6w=")</f>
        <v>#REF!</v>
      </c>
      <c r="FR34" t="e">
        <f>AND(NhatkyBan!#REF!,"AAAAAHu6n60=")</f>
        <v>#REF!</v>
      </c>
      <c r="FS34" t="e">
        <f>AND(NhatkyBan!#REF!,"AAAAAHu6n64=")</f>
        <v>#REF!</v>
      </c>
      <c r="FT34" t="e">
        <f>AND(NhatkyBan!#REF!,"AAAAAHu6n68=")</f>
        <v>#REF!</v>
      </c>
      <c r="FU34" t="e">
        <f>AND(NhatkyBan!#REF!,"AAAAAHu6n7A=")</f>
        <v>#REF!</v>
      </c>
      <c r="FV34" t="e">
        <f>AND(NhatkyBan!#REF!,"AAAAAHu6n7E=")</f>
        <v>#REF!</v>
      </c>
      <c r="FW34" t="e">
        <f>AND(NhatkyBan!#REF!,"AAAAAHu6n7I=")</f>
        <v>#REF!</v>
      </c>
      <c r="FX34" t="e">
        <f>AND(NhatkyBan!#REF!,"AAAAAHu6n7M=")</f>
        <v>#REF!</v>
      </c>
      <c r="FY34" t="e">
        <f>AND(NhatkyBan!#REF!,"AAAAAHu6n7Q=")</f>
        <v>#REF!</v>
      </c>
      <c r="FZ34" t="e">
        <f>AND(NhatkyBan!#REF!,"AAAAAHu6n7U=")</f>
        <v>#REF!</v>
      </c>
      <c r="GA34" t="e">
        <f>AND(NhatkyBan!#REF!,"AAAAAHu6n7Y=")</f>
        <v>#REF!</v>
      </c>
      <c r="GB34" t="e">
        <f>AND(NhatkyBan!#REF!,"AAAAAHu6n7c=")</f>
        <v>#REF!</v>
      </c>
      <c r="GC34" t="e">
        <f>AND(NhatkyBan!#REF!,"AAAAAHu6n7g=")</f>
        <v>#REF!</v>
      </c>
      <c r="GD34" t="e">
        <f>AND(NhatkyBan!#REF!,"AAAAAHu6n7k=")</f>
        <v>#REF!</v>
      </c>
      <c r="GE34" t="e">
        <f>AND(NhatkyBan!#REF!,"AAAAAHu6n7o=")</f>
        <v>#REF!</v>
      </c>
      <c r="GF34" t="e">
        <f>AND(NhatkyBan!#REF!,"AAAAAHu6n7s=")</f>
        <v>#REF!</v>
      </c>
      <c r="GG34" t="e">
        <f>AND(NhatkyBan!#REF!,"AAAAAHu6n7w=")</f>
        <v>#REF!</v>
      </c>
      <c r="GH34" t="e">
        <f>AND(NhatkyBan!#REF!,"AAAAAHu6n70=")</f>
        <v>#REF!</v>
      </c>
      <c r="GI34" t="e">
        <f>AND(NhatkyBan!#REF!,"AAAAAHu6n74=")</f>
        <v>#REF!</v>
      </c>
      <c r="GJ34" t="e">
        <f>AND(NhatkyBan!#REF!,"AAAAAHu6n78=")</f>
        <v>#REF!</v>
      </c>
      <c r="GK34" t="e">
        <f>AND(NhatkyBan!#REF!,"AAAAAHu6n8A=")</f>
        <v>#REF!</v>
      </c>
      <c r="GL34" t="e">
        <f>AND(NhatkyBan!#REF!,"AAAAAHu6n8E=")</f>
        <v>#REF!</v>
      </c>
      <c r="GM34" t="e">
        <f>AND(NhatkyBan!#REF!,"AAAAAHu6n8I=")</f>
        <v>#REF!</v>
      </c>
      <c r="GN34" t="e">
        <f>AND(NhatkyBan!#REF!,"AAAAAHu6n8M=")</f>
        <v>#REF!</v>
      </c>
      <c r="GO34" t="e">
        <f>AND(NhatkyBan!#REF!,"AAAAAHu6n8Q=")</f>
        <v>#REF!</v>
      </c>
      <c r="GP34" t="e">
        <f>AND(NhatkyBan!#REF!,"AAAAAHu6n8U=")</f>
        <v>#REF!</v>
      </c>
      <c r="GQ34" t="e">
        <f>AND(NhatkyBan!#REF!,"AAAAAHu6n8Y=")</f>
        <v>#REF!</v>
      </c>
      <c r="GR34" t="e">
        <f>AND(NhatkyBan!#REF!,"AAAAAHu6n8c=")</f>
        <v>#REF!</v>
      </c>
      <c r="GS34" t="e">
        <f>AND(NhatkyBan!#REF!,"AAAAAHu6n8g=")</f>
        <v>#REF!</v>
      </c>
      <c r="GT34" t="e">
        <f>AND(NhatkyBan!#REF!,"AAAAAHu6n8k=")</f>
        <v>#REF!</v>
      </c>
      <c r="GU34" t="e">
        <f>AND(NhatkyBan!#REF!,"AAAAAHu6n8o=")</f>
        <v>#REF!</v>
      </c>
      <c r="GV34" t="e">
        <f>AND(NhatkyBan!#REF!,"AAAAAHu6n8s=")</f>
        <v>#REF!</v>
      </c>
      <c r="GW34" t="e">
        <f>AND(NhatkyBan!#REF!,"AAAAAHu6n8w=")</f>
        <v>#REF!</v>
      </c>
      <c r="GX34" t="e">
        <f>AND(NhatkyBan!#REF!,"AAAAAHu6n80=")</f>
        <v>#REF!</v>
      </c>
      <c r="GY34" t="e">
        <f>AND(NhatkyBan!#REF!,"AAAAAHu6n84=")</f>
        <v>#REF!</v>
      </c>
      <c r="GZ34" t="e">
        <f>AND(NhatkyBan!#REF!,"AAAAAHu6n88=")</f>
        <v>#REF!</v>
      </c>
      <c r="HA34" t="e">
        <f>AND(NhatkyBan!#REF!,"AAAAAHu6n9A=")</f>
        <v>#REF!</v>
      </c>
      <c r="HB34" t="e">
        <f>AND(NhatkyBan!#REF!,"AAAAAHu6n9E=")</f>
        <v>#REF!</v>
      </c>
      <c r="HC34" t="e">
        <f>AND(NhatkyBan!#REF!,"AAAAAHu6n9I=")</f>
        <v>#REF!</v>
      </c>
      <c r="HD34" t="e">
        <f>AND(NhatkyBan!#REF!,"AAAAAHu6n9M=")</f>
        <v>#REF!</v>
      </c>
      <c r="HE34" t="e">
        <f>AND(NhatkyBan!#REF!,"AAAAAHu6n9Q=")</f>
        <v>#REF!</v>
      </c>
      <c r="HF34" t="e">
        <f>AND(NhatkyBan!#REF!,"AAAAAHu6n9U=")</f>
        <v>#REF!</v>
      </c>
      <c r="HG34" t="e">
        <f>AND(NhatkyBan!#REF!,"AAAAAHu6n9Y=")</f>
        <v>#REF!</v>
      </c>
      <c r="HH34" t="e">
        <f>AND(NhatkyBan!#REF!,"AAAAAHu6n9c=")</f>
        <v>#REF!</v>
      </c>
      <c r="HI34" t="e">
        <f>AND(NhatkyBan!#REF!,"AAAAAHu6n9g=")</f>
        <v>#REF!</v>
      </c>
      <c r="HJ34" t="e">
        <f>AND(NhatkyBan!#REF!,"AAAAAHu6n9k=")</f>
        <v>#REF!</v>
      </c>
      <c r="HK34" t="e">
        <f>AND(NhatkyBan!#REF!,"AAAAAHu6n9o=")</f>
        <v>#REF!</v>
      </c>
      <c r="HL34" t="e">
        <f>AND(NhatkyBan!#REF!,"AAAAAHu6n9s=")</f>
        <v>#REF!</v>
      </c>
      <c r="HM34" t="e">
        <f>AND(NhatkyBan!#REF!,"AAAAAHu6n9w=")</f>
        <v>#REF!</v>
      </c>
      <c r="HN34" t="e">
        <f>AND(NhatkyBan!#REF!,"AAAAAHu6n90=")</f>
        <v>#REF!</v>
      </c>
      <c r="HO34" t="e">
        <f>AND(NhatkyBan!#REF!,"AAAAAHu6n94=")</f>
        <v>#REF!</v>
      </c>
      <c r="HP34" t="e">
        <f>AND(NhatkyBan!#REF!,"AAAAAHu6n98=")</f>
        <v>#REF!</v>
      </c>
      <c r="HQ34" t="e">
        <f>AND(NhatkyBan!#REF!,"AAAAAHu6n+A=")</f>
        <v>#REF!</v>
      </c>
      <c r="HR34" t="e">
        <f>AND(NhatkyBan!#REF!,"AAAAAHu6n+E=")</f>
        <v>#REF!</v>
      </c>
      <c r="HS34" t="e">
        <f>AND(NhatkyBan!#REF!,"AAAAAHu6n+I=")</f>
        <v>#REF!</v>
      </c>
      <c r="HT34" t="e">
        <f>AND(NhatkyBan!#REF!,"AAAAAHu6n+M=")</f>
        <v>#REF!</v>
      </c>
      <c r="HU34" t="e">
        <f>AND(NhatkyBan!#REF!,"AAAAAHu6n+Q=")</f>
        <v>#REF!</v>
      </c>
      <c r="HV34" t="e">
        <f>AND(NhatkyBan!#REF!,"AAAAAHu6n+U=")</f>
        <v>#REF!</v>
      </c>
      <c r="HW34" t="e">
        <f>AND(NhatkyBan!#REF!,"AAAAAHu6n+Y=")</f>
        <v>#REF!</v>
      </c>
      <c r="HX34" t="e">
        <f>AND(NhatkyBan!#REF!,"AAAAAHu6n+c=")</f>
        <v>#REF!</v>
      </c>
      <c r="HY34" t="e">
        <f>AND(NhatkyBan!#REF!,"AAAAAHu6n+g=")</f>
        <v>#REF!</v>
      </c>
      <c r="HZ34" t="e">
        <f>AND(NhatkyBan!#REF!,"AAAAAHu6n+k=")</f>
        <v>#REF!</v>
      </c>
      <c r="IA34" t="e">
        <f>AND(NhatkyBan!#REF!,"AAAAAHu6n+o=")</f>
        <v>#REF!</v>
      </c>
      <c r="IB34" t="e">
        <f>AND(NhatkyBan!#REF!,"AAAAAHu6n+s=")</f>
        <v>#REF!</v>
      </c>
      <c r="IC34" t="e">
        <f>AND(NhatkyBan!#REF!,"AAAAAHu6n+w=")</f>
        <v>#REF!</v>
      </c>
      <c r="ID34" t="e">
        <f>AND(NhatkyBan!#REF!,"AAAAAHu6n+0=")</f>
        <v>#REF!</v>
      </c>
      <c r="IE34" t="e">
        <f>AND(NhatkyBan!#REF!,"AAAAAHu6n+4=")</f>
        <v>#REF!</v>
      </c>
      <c r="IF34" t="e">
        <f>AND(NhatkyBan!#REF!,"AAAAAHu6n+8=")</f>
        <v>#REF!</v>
      </c>
      <c r="IG34" t="e">
        <f>AND(NhatkyBan!#REF!,"AAAAAHu6n/A=")</f>
        <v>#REF!</v>
      </c>
      <c r="IH34" t="e">
        <f>AND(NhatkyBan!#REF!,"AAAAAHu6n/E=")</f>
        <v>#REF!</v>
      </c>
      <c r="II34" t="e">
        <f>AND(NhatkyBan!#REF!,"AAAAAHu6n/I=")</f>
        <v>#REF!</v>
      </c>
      <c r="IJ34" t="e">
        <f>AND(NhatkyBan!#REF!,"AAAAAHu6n/M=")</f>
        <v>#REF!</v>
      </c>
      <c r="IK34" t="e">
        <f>AND(NhatkyBan!#REF!,"AAAAAHu6n/Q=")</f>
        <v>#REF!</v>
      </c>
      <c r="IL34" t="e">
        <f>AND(NhatkyBan!#REF!,"AAAAAHu6n/U=")</f>
        <v>#REF!</v>
      </c>
      <c r="IM34" t="e">
        <f>AND(NhatkyBan!#REF!,"AAAAAHu6n/Y=")</f>
        <v>#REF!</v>
      </c>
      <c r="IN34" t="e">
        <f>AND(NhatkyBan!#REF!,"AAAAAHu6n/c=")</f>
        <v>#REF!</v>
      </c>
      <c r="IO34" t="e">
        <f>AND(NhatkyBan!#REF!,"AAAAAHu6n/g=")</f>
        <v>#REF!</v>
      </c>
      <c r="IP34" t="e">
        <f>AND(NhatkyBan!#REF!,"AAAAAHu6n/k=")</f>
        <v>#REF!</v>
      </c>
      <c r="IQ34" t="e">
        <f>AND(NhatkyBan!#REF!,"AAAAAHu6n/o=")</f>
        <v>#REF!</v>
      </c>
      <c r="IR34" t="e">
        <f>AND(NhatkyBan!#REF!,"AAAAAHu6n/s=")</f>
        <v>#REF!</v>
      </c>
      <c r="IS34" t="e">
        <f>AND(NhatkyBan!#REF!,"AAAAAHu6n/w=")</f>
        <v>#REF!</v>
      </c>
      <c r="IT34" t="e">
        <f>AND(NhatkyBan!#REF!,"AAAAAHu6n/0=")</f>
        <v>#REF!</v>
      </c>
      <c r="IU34" t="e">
        <f>AND(NhatkyBan!#REF!,"AAAAAHu6n/4=")</f>
        <v>#REF!</v>
      </c>
      <c r="IV34" t="e">
        <f>AND(NhatkyBan!#REF!,"AAAAAHu6n/8=")</f>
        <v>#REF!</v>
      </c>
    </row>
    <row r="35" spans="1:256">
      <c r="A35" t="e">
        <f>AND(NhatkyBan!#REF!,"AAAAAFd+9wA=")</f>
        <v>#REF!</v>
      </c>
      <c r="B35" t="e">
        <f>AND(NhatkyBan!#REF!,"AAAAAFd+9wE=")</f>
        <v>#REF!</v>
      </c>
      <c r="C35" t="e">
        <f>AND(NhatkyBan!#REF!,"AAAAAFd+9wI=")</f>
        <v>#REF!</v>
      </c>
      <c r="D35" t="e">
        <f>AND(NhatkyBan!#REF!,"AAAAAFd+9wM=")</f>
        <v>#REF!</v>
      </c>
      <c r="E35" t="e">
        <f>AND(NhatkyBan!#REF!,"AAAAAFd+9wQ=")</f>
        <v>#REF!</v>
      </c>
      <c r="F35" t="e">
        <f>AND(NhatkyBan!#REF!,"AAAAAFd+9wU=")</f>
        <v>#REF!</v>
      </c>
      <c r="G35" t="e">
        <f>AND(NhatkyBan!#REF!,"AAAAAFd+9wY=")</f>
        <v>#REF!</v>
      </c>
      <c r="H35" t="e">
        <f>AND(NhatkyBan!#REF!,"AAAAAFd+9wc=")</f>
        <v>#REF!</v>
      </c>
      <c r="I35" t="e">
        <f>AND(NhatkyBan!#REF!,"AAAAAFd+9wg=")</f>
        <v>#REF!</v>
      </c>
      <c r="J35" t="e">
        <f>AND(NhatkyBan!#REF!,"AAAAAFd+9wk=")</f>
        <v>#REF!</v>
      </c>
      <c r="K35" t="e">
        <f>AND(NhatkyBan!#REF!,"AAAAAFd+9wo=")</f>
        <v>#REF!</v>
      </c>
      <c r="L35" t="e">
        <f>AND(NhatkyBan!#REF!,"AAAAAFd+9ws=")</f>
        <v>#REF!</v>
      </c>
      <c r="M35" t="e">
        <f>AND(NhatkyBan!#REF!,"AAAAAFd+9ww=")</f>
        <v>#REF!</v>
      </c>
      <c r="N35" t="e">
        <f>AND(NhatkyBan!#REF!,"AAAAAFd+9w0=")</f>
        <v>#REF!</v>
      </c>
      <c r="O35" t="e">
        <f>AND(NhatkyBan!#REF!,"AAAAAFd+9w4=")</f>
        <v>#REF!</v>
      </c>
      <c r="P35" t="e">
        <f>AND(NhatkyBan!#REF!,"AAAAAFd+9w8=")</f>
        <v>#REF!</v>
      </c>
      <c r="Q35" t="e">
        <f>AND(NhatkyBan!#REF!,"AAAAAFd+9xA=")</f>
        <v>#REF!</v>
      </c>
      <c r="R35" t="e">
        <f>AND(NhatkyBan!#REF!,"AAAAAFd+9xE=")</f>
        <v>#REF!</v>
      </c>
      <c r="S35" t="e">
        <f>AND(NhatkyBan!#REF!,"AAAAAFd+9xI=")</f>
        <v>#REF!</v>
      </c>
      <c r="T35" t="e">
        <f>AND(NhatkyBan!#REF!,"AAAAAFd+9xM=")</f>
        <v>#REF!</v>
      </c>
      <c r="U35" t="e">
        <f>AND(NhatkyBan!#REF!,"AAAAAFd+9xQ=")</f>
        <v>#REF!</v>
      </c>
      <c r="V35" t="e">
        <f>AND(NhatkyBan!#REF!,"AAAAAFd+9xU=")</f>
        <v>#REF!</v>
      </c>
      <c r="W35" t="e">
        <f>AND(NhatkyBan!#REF!,"AAAAAFd+9xY=")</f>
        <v>#REF!</v>
      </c>
      <c r="X35" t="e">
        <f>AND(NhatkyBan!#REF!,"AAAAAFd+9xc=")</f>
        <v>#REF!</v>
      </c>
      <c r="Y35" t="e">
        <f>AND(NhatkyBan!#REF!,"AAAAAFd+9xg=")</f>
        <v>#REF!</v>
      </c>
      <c r="Z35" t="e">
        <f>AND(NhatkyBan!#REF!,"AAAAAFd+9xk=")</f>
        <v>#REF!</v>
      </c>
      <c r="AA35" t="e">
        <f>AND(NhatkyBan!#REF!,"AAAAAFd+9xo=")</f>
        <v>#REF!</v>
      </c>
      <c r="AB35" t="e">
        <f>AND(NhatkyBan!#REF!,"AAAAAFd+9xs=")</f>
        <v>#REF!</v>
      </c>
      <c r="AC35" t="e">
        <f>AND(NhatkyBan!#REF!,"AAAAAFd+9xw=")</f>
        <v>#REF!</v>
      </c>
      <c r="AD35" t="e">
        <f>AND(NhatkyBan!#REF!,"AAAAAFd+9x0=")</f>
        <v>#REF!</v>
      </c>
      <c r="AE35" t="e">
        <f>AND(NhatkyBan!#REF!,"AAAAAFd+9x4=")</f>
        <v>#REF!</v>
      </c>
      <c r="AF35" t="e">
        <f>AND(NhatkyBan!#REF!,"AAAAAFd+9x8=")</f>
        <v>#REF!</v>
      </c>
      <c r="AG35" t="e">
        <f>AND(NhatkyBan!#REF!,"AAAAAFd+9yA=")</f>
        <v>#REF!</v>
      </c>
      <c r="AH35" t="e">
        <f>AND(NhatkyBan!#REF!,"AAAAAFd+9yE=")</f>
        <v>#REF!</v>
      </c>
      <c r="AI35" t="e">
        <f>AND(NhatkyBan!#REF!,"AAAAAFd+9yI=")</f>
        <v>#REF!</v>
      </c>
      <c r="AJ35" t="e">
        <f>AND(NhatkyBan!#REF!,"AAAAAFd+9yM=")</f>
        <v>#REF!</v>
      </c>
      <c r="AK35" t="e">
        <f>AND(NhatkyBan!#REF!,"AAAAAFd+9yQ=")</f>
        <v>#REF!</v>
      </c>
      <c r="AL35" t="e">
        <f>AND(NhatkyBan!#REF!,"AAAAAFd+9yU=")</f>
        <v>#REF!</v>
      </c>
      <c r="AM35" t="e">
        <f>AND(NhatkyBan!#REF!,"AAAAAFd+9yY=")</f>
        <v>#REF!</v>
      </c>
      <c r="AN35" t="e">
        <f>AND(NhatkyBan!#REF!,"AAAAAFd+9yc=")</f>
        <v>#REF!</v>
      </c>
      <c r="AO35" t="e">
        <f>AND(NhatkyBan!#REF!,"AAAAAFd+9yg=")</f>
        <v>#REF!</v>
      </c>
      <c r="AP35" t="e">
        <f>AND(NhatkyBan!#REF!,"AAAAAFd+9yk=")</f>
        <v>#REF!</v>
      </c>
      <c r="AQ35" t="e">
        <f>AND(NhatkyBan!#REF!,"AAAAAFd+9yo=")</f>
        <v>#REF!</v>
      </c>
      <c r="AR35" t="e">
        <f>AND(NhatkyBan!#REF!,"AAAAAFd+9ys=")</f>
        <v>#REF!</v>
      </c>
      <c r="AS35" t="e">
        <f>AND(NhatkyBan!#REF!,"AAAAAFd+9yw=")</f>
        <v>#REF!</v>
      </c>
      <c r="AT35" t="e">
        <f>AND(NhatkyBan!#REF!,"AAAAAFd+9y0=")</f>
        <v>#REF!</v>
      </c>
      <c r="AU35" t="e">
        <f>AND(NhatkyBan!#REF!,"AAAAAFd+9y4=")</f>
        <v>#REF!</v>
      </c>
      <c r="AV35" t="e">
        <f>AND(NhatkyBan!#REF!,"AAAAAFd+9y8=")</f>
        <v>#REF!</v>
      </c>
      <c r="AW35" t="e">
        <f>AND(NhatkyBan!#REF!,"AAAAAFd+9zA=")</f>
        <v>#REF!</v>
      </c>
      <c r="AX35" t="e">
        <f>AND(NhatkyBan!#REF!,"AAAAAFd+9zE=")</f>
        <v>#REF!</v>
      </c>
      <c r="AY35" t="e">
        <f>AND(NhatkyBan!#REF!,"AAAAAFd+9zI=")</f>
        <v>#REF!</v>
      </c>
      <c r="AZ35" t="e">
        <f>AND(NhatkyBan!#REF!,"AAAAAFd+9zM=")</f>
        <v>#REF!</v>
      </c>
      <c r="BA35" t="e">
        <f>AND(NhatkyBan!#REF!,"AAAAAFd+9zQ=")</f>
        <v>#REF!</v>
      </c>
      <c r="BB35" t="e">
        <f>AND(NhatkyBan!#REF!,"AAAAAFd+9zU=")</f>
        <v>#REF!</v>
      </c>
      <c r="BC35" t="e">
        <f>AND(NhatkyBan!#REF!,"AAAAAFd+9zY=")</f>
        <v>#REF!</v>
      </c>
      <c r="BD35" t="e">
        <f>AND(NhatkyBan!#REF!,"AAAAAFd+9zc=")</f>
        <v>#REF!</v>
      </c>
      <c r="BE35" t="e">
        <f>AND(NhatkyBan!#REF!,"AAAAAFd+9zg=")</f>
        <v>#REF!</v>
      </c>
      <c r="BF35" t="e">
        <f>AND(NhatkyBan!#REF!,"AAAAAFd+9zk=")</f>
        <v>#REF!</v>
      </c>
      <c r="BG35" t="e">
        <f>AND(NhatkyBan!#REF!,"AAAAAFd+9zo=")</f>
        <v>#REF!</v>
      </c>
      <c r="BH35" t="e">
        <f>AND(NhatkyBan!#REF!,"AAAAAFd+9zs=")</f>
        <v>#REF!</v>
      </c>
      <c r="BI35" t="e">
        <f>AND(NhatkyBan!#REF!,"AAAAAFd+9zw=")</f>
        <v>#REF!</v>
      </c>
      <c r="BJ35" t="e">
        <f>AND(NhatkyBan!#REF!,"AAAAAFd+9z0=")</f>
        <v>#REF!</v>
      </c>
      <c r="BK35" t="e">
        <f>AND(NhatkyBan!#REF!,"AAAAAFd+9z4=")</f>
        <v>#REF!</v>
      </c>
      <c r="BL35" t="e">
        <f>AND(NhatkyBan!#REF!,"AAAAAFd+9z8=")</f>
        <v>#REF!</v>
      </c>
      <c r="BM35" t="e">
        <f>AND(NhatkyBan!#REF!,"AAAAAFd+90A=")</f>
        <v>#REF!</v>
      </c>
      <c r="BN35" t="e">
        <f>AND(NhatkyBan!#REF!,"AAAAAFd+90E=")</f>
        <v>#REF!</v>
      </c>
      <c r="BO35" t="e">
        <f>AND(NhatkyBan!#REF!,"AAAAAFd+90I=")</f>
        <v>#REF!</v>
      </c>
      <c r="BP35" t="e">
        <f>AND(NhatkyBan!#REF!,"AAAAAFd+90M=")</f>
        <v>#REF!</v>
      </c>
      <c r="BQ35" t="e">
        <f>AND(NhatkyBan!#REF!,"AAAAAFd+90Q=")</f>
        <v>#REF!</v>
      </c>
      <c r="BR35" t="e">
        <f>AND(NhatkyBan!#REF!,"AAAAAFd+90U=")</f>
        <v>#REF!</v>
      </c>
      <c r="BS35" t="e">
        <f>AND(NhatkyBan!#REF!,"AAAAAFd+90Y=")</f>
        <v>#REF!</v>
      </c>
      <c r="BT35" t="e">
        <f>AND(NhatkyBan!#REF!,"AAAAAFd+90c=")</f>
        <v>#REF!</v>
      </c>
      <c r="BU35" t="e">
        <f>AND(NhatkyBan!#REF!,"AAAAAFd+90g=")</f>
        <v>#REF!</v>
      </c>
      <c r="BV35" t="e">
        <f>AND(NhatkyBan!#REF!,"AAAAAFd+90k=")</f>
        <v>#REF!</v>
      </c>
      <c r="BW35" t="e">
        <f>AND(NhatkyBan!#REF!,"AAAAAFd+90o=")</f>
        <v>#REF!</v>
      </c>
      <c r="BX35" t="e">
        <f>AND(NhatkyBan!#REF!,"AAAAAFd+90s=")</f>
        <v>#REF!</v>
      </c>
      <c r="BY35" t="e">
        <f>AND(NhatkyBan!#REF!,"AAAAAFd+90w=")</f>
        <v>#REF!</v>
      </c>
      <c r="BZ35" t="e">
        <f>AND(NhatkyBan!#REF!,"AAAAAFd+900=")</f>
        <v>#REF!</v>
      </c>
      <c r="CA35" t="e">
        <f>AND(NhatkyBan!#REF!,"AAAAAFd+904=")</f>
        <v>#REF!</v>
      </c>
      <c r="CB35" t="e">
        <f>AND(NhatkyBan!#REF!,"AAAAAFd+908=")</f>
        <v>#REF!</v>
      </c>
      <c r="CC35" t="e">
        <f>AND(NhatkyBan!#REF!,"AAAAAFd+91A=")</f>
        <v>#REF!</v>
      </c>
      <c r="CD35" t="e">
        <f>AND(NhatkyBan!#REF!,"AAAAAFd+91E=")</f>
        <v>#REF!</v>
      </c>
      <c r="CE35" t="e">
        <f>AND(NhatkyBan!#REF!,"AAAAAFd+91I=")</f>
        <v>#REF!</v>
      </c>
      <c r="CF35" t="e">
        <f>AND(NhatkyBan!#REF!,"AAAAAFd+91M=")</f>
        <v>#REF!</v>
      </c>
      <c r="CG35" t="e">
        <f>AND(NhatkyBan!#REF!,"AAAAAFd+91Q=")</f>
        <v>#REF!</v>
      </c>
      <c r="CH35" t="e">
        <f>AND(NhatkyBan!#REF!,"AAAAAFd+91U=")</f>
        <v>#REF!</v>
      </c>
      <c r="CI35" t="e">
        <f>AND(NhatkyBan!#REF!,"AAAAAFd+91Y=")</f>
        <v>#REF!</v>
      </c>
      <c r="CJ35" t="e">
        <f>AND(NhatkyBan!#REF!,"AAAAAFd+91c=")</f>
        <v>#REF!</v>
      </c>
      <c r="CK35" t="e">
        <f>AND(NhatkyBan!#REF!,"AAAAAFd+91g=")</f>
        <v>#REF!</v>
      </c>
      <c r="CL35" t="e">
        <f>AND(NhatkyBan!#REF!,"AAAAAFd+91k=")</f>
        <v>#REF!</v>
      </c>
      <c r="CM35" t="e">
        <f>AND(NhatkyBan!#REF!,"AAAAAFd+91o=")</f>
        <v>#REF!</v>
      </c>
      <c r="CN35" t="e">
        <f>AND(NhatkyBan!#REF!,"AAAAAFd+91s=")</f>
        <v>#REF!</v>
      </c>
      <c r="CO35" t="e">
        <f>AND(NhatkyBan!#REF!,"AAAAAFd+91w=")</f>
        <v>#REF!</v>
      </c>
      <c r="CP35" t="e">
        <f>AND(NhatkyBan!#REF!,"AAAAAFd+910=")</f>
        <v>#REF!</v>
      </c>
      <c r="CQ35" t="e">
        <f>AND(NhatkyBan!#REF!,"AAAAAFd+914=")</f>
        <v>#REF!</v>
      </c>
      <c r="CR35" t="e">
        <f>AND(NhatkyBan!#REF!,"AAAAAFd+918=")</f>
        <v>#REF!</v>
      </c>
      <c r="CS35" t="e">
        <f>AND(NhatkyBan!#REF!,"AAAAAFd+92A=")</f>
        <v>#REF!</v>
      </c>
      <c r="CT35" t="e">
        <f>AND(NhatkyBan!#REF!,"AAAAAFd+92E=")</f>
        <v>#REF!</v>
      </c>
      <c r="CU35" t="e">
        <f>AND(NhatkyBan!#REF!,"AAAAAFd+92I=")</f>
        <v>#REF!</v>
      </c>
      <c r="CV35" t="e">
        <f>AND(NhatkyBan!#REF!,"AAAAAFd+92M=")</f>
        <v>#REF!</v>
      </c>
      <c r="CW35" t="e">
        <f>AND(NhatkyBan!#REF!,"AAAAAFd+92Q=")</f>
        <v>#REF!</v>
      </c>
      <c r="CX35" t="e">
        <f>AND(NhatkyBan!#REF!,"AAAAAFd+92U=")</f>
        <v>#REF!</v>
      </c>
      <c r="CY35" t="e">
        <f>AND(NhatkyBan!#REF!,"AAAAAFd+92Y=")</f>
        <v>#REF!</v>
      </c>
      <c r="CZ35" t="e">
        <f>AND(NhatkyBan!#REF!,"AAAAAFd+92c=")</f>
        <v>#REF!</v>
      </c>
      <c r="DA35" t="e">
        <f>AND(NhatkyBan!#REF!,"AAAAAFd+92g=")</f>
        <v>#REF!</v>
      </c>
      <c r="DB35" t="e">
        <f>AND(NhatkyBan!#REF!,"AAAAAFd+92k=")</f>
        <v>#REF!</v>
      </c>
      <c r="DC35" t="e">
        <f>AND(NhatkyBan!#REF!,"AAAAAFd+92o=")</f>
        <v>#REF!</v>
      </c>
      <c r="DD35" t="e">
        <f>AND(NhatkyBan!#REF!,"AAAAAFd+92s=")</f>
        <v>#REF!</v>
      </c>
      <c r="DE35" t="e">
        <f>AND(NhatkyBan!#REF!,"AAAAAFd+92w=")</f>
        <v>#REF!</v>
      </c>
      <c r="DF35" t="e">
        <f>AND(NhatkyBan!#REF!,"AAAAAFd+920=")</f>
        <v>#REF!</v>
      </c>
      <c r="DG35" t="e">
        <f>AND(NhatkyBan!#REF!,"AAAAAFd+924=")</f>
        <v>#REF!</v>
      </c>
      <c r="DH35" t="e">
        <f>AND(NhatkyBan!#REF!,"AAAAAFd+928=")</f>
        <v>#REF!</v>
      </c>
      <c r="DI35" t="e">
        <f>AND(NhatkyBan!#REF!,"AAAAAFd+93A=")</f>
        <v>#REF!</v>
      </c>
      <c r="DJ35" t="e">
        <f>AND(NhatkyBan!#REF!,"AAAAAFd+93E=")</f>
        <v>#REF!</v>
      </c>
      <c r="DK35" t="e">
        <f>AND(NhatkyBan!#REF!,"AAAAAFd+93I=")</f>
        <v>#REF!</v>
      </c>
      <c r="DL35" t="e">
        <f>AND(NhatkyBan!#REF!,"AAAAAFd+93M=")</f>
        <v>#REF!</v>
      </c>
      <c r="DM35" t="e">
        <f>AND(NhatkyBan!#REF!,"AAAAAFd+93Q=")</f>
        <v>#REF!</v>
      </c>
      <c r="DN35" t="e">
        <f>AND(NhatkyBan!#REF!,"AAAAAFd+93U=")</f>
        <v>#REF!</v>
      </c>
      <c r="DO35" t="e">
        <f>AND(NhatkyBan!#REF!,"AAAAAFd+93Y=")</f>
        <v>#REF!</v>
      </c>
      <c r="DP35" t="e">
        <f>AND(NhatkyBan!#REF!,"AAAAAFd+93c=")</f>
        <v>#REF!</v>
      </c>
      <c r="DQ35" t="e">
        <f>AND(NhatkyBan!#REF!,"AAAAAFd+93g=")</f>
        <v>#REF!</v>
      </c>
      <c r="DR35" t="e">
        <f>AND(NhatkyBan!#REF!,"AAAAAFd+93k=")</f>
        <v>#REF!</v>
      </c>
      <c r="DS35" t="e">
        <f>AND(NhatkyBan!#REF!,"AAAAAFd+93o=")</f>
        <v>#REF!</v>
      </c>
      <c r="DT35" t="e">
        <f>AND(NhatkyBan!#REF!,"AAAAAFd+93s=")</f>
        <v>#REF!</v>
      </c>
      <c r="DU35" t="e">
        <f>AND(NhatkyBan!#REF!,"AAAAAFd+93w=")</f>
        <v>#REF!</v>
      </c>
      <c r="DV35" t="e">
        <f>AND(NhatkyBan!#REF!,"AAAAAFd+930=")</f>
        <v>#REF!</v>
      </c>
      <c r="DW35" t="e">
        <f>AND(NhatkyBan!#REF!,"AAAAAFd+934=")</f>
        <v>#REF!</v>
      </c>
      <c r="DX35" t="e">
        <f>AND(NhatkyBan!#REF!,"AAAAAFd+938=")</f>
        <v>#REF!</v>
      </c>
      <c r="DY35" t="e">
        <f>AND(NhatkyBan!#REF!,"AAAAAFd+94A=")</f>
        <v>#REF!</v>
      </c>
      <c r="DZ35" t="e">
        <f>AND(NhatkyBan!#REF!,"AAAAAFd+94E=")</f>
        <v>#REF!</v>
      </c>
      <c r="EA35" t="e">
        <f>AND(NhatkyBan!#REF!,"AAAAAFd+94I=")</f>
        <v>#REF!</v>
      </c>
      <c r="EB35" t="e">
        <f>AND(NhatkyBan!#REF!,"AAAAAFd+94M=")</f>
        <v>#REF!</v>
      </c>
      <c r="EC35" t="e">
        <f>AND(NhatkyBan!#REF!,"AAAAAFd+94Q=")</f>
        <v>#REF!</v>
      </c>
      <c r="ED35" t="e">
        <f>AND(NhatkyBan!#REF!,"AAAAAFd+94U=")</f>
        <v>#REF!</v>
      </c>
      <c r="EE35" t="e">
        <f>AND(NhatkyBan!#REF!,"AAAAAFd+94Y=")</f>
        <v>#REF!</v>
      </c>
      <c r="EF35" t="e">
        <f>AND(NhatkyBan!#REF!,"AAAAAFd+94c=")</f>
        <v>#REF!</v>
      </c>
      <c r="EG35" t="e">
        <f>AND(NhatkyBan!#REF!,"AAAAAFd+94g=")</f>
        <v>#REF!</v>
      </c>
      <c r="EH35" t="e">
        <f>AND(NhatkyBan!#REF!,"AAAAAFd+94k=")</f>
        <v>#REF!</v>
      </c>
      <c r="EI35" t="e">
        <f>AND(NhatkyBan!#REF!,"AAAAAFd+94o=")</f>
        <v>#REF!</v>
      </c>
      <c r="EJ35" t="e">
        <f>AND(NhatkyBan!#REF!,"AAAAAFd+94s=")</f>
        <v>#REF!</v>
      </c>
      <c r="EK35" t="e">
        <f>AND(NhatkyBan!#REF!,"AAAAAFd+94w=")</f>
        <v>#REF!</v>
      </c>
      <c r="EL35" t="e">
        <f>AND(NhatkyBan!#REF!,"AAAAAFd+940=")</f>
        <v>#REF!</v>
      </c>
      <c r="EM35" t="e">
        <f>AND(NhatkyBan!#REF!,"AAAAAFd+944=")</f>
        <v>#REF!</v>
      </c>
      <c r="EN35" t="e">
        <f>AND(NhatkyBan!#REF!,"AAAAAFd+948=")</f>
        <v>#REF!</v>
      </c>
      <c r="EO35" t="e">
        <f>AND(NhatkyBan!#REF!,"AAAAAFd+95A=")</f>
        <v>#REF!</v>
      </c>
      <c r="EP35" t="e">
        <f>AND(NhatkyBan!#REF!,"AAAAAFd+95E=")</f>
        <v>#REF!</v>
      </c>
      <c r="EQ35" t="e">
        <f>AND(NhatkyBan!#REF!,"AAAAAFd+95I=")</f>
        <v>#REF!</v>
      </c>
      <c r="ER35" t="e">
        <f>AND(NhatkyBan!#REF!,"AAAAAFd+95M=")</f>
        <v>#REF!</v>
      </c>
      <c r="ES35" t="e">
        <f>AND(NhatkyBan!#REF!,"AAAAAFd+95Q=")</f>
        <v>#REF!</v>
      </c>
      <c r="ET35" t="e">
        <f>AND(NhatkyBan!#REF!,"AAAAAFd+95U=")</f>
        <v>#REF!</v>
      </c>
      <c r="EU35" t="e">
        <f>AND(NhatkyBan!#REF!,"AAAAAFd+95Y=")</f>
        <v>#REF!</v>
      </c>
      <c r="EV35" t="e">
        <f>AND(NhatkyBan!#REF!,"AAAAAFd+95c=")</f>
        <v>#REF!</v>
      </c>
      <c r="EW35" t="e">
        <f>AND(NhatkyBan!#REF!,"AAAAAFd+95g=")</f>
        <v>#REF!</v>
      </c>
      <c r="EX35" t="e">
        <f>AND(NhatkyBan!#REF!,"AAAAAFd+95k=")</f>
        <v>#REF!</v>
      </c>
      <c r="EY35" t="e">
        <f>AND(NhatkyBan!#REF!,"AAAAAFd+95o=")</f>
        <v>#REF!</v>
      </c>
      <c r="EZ35" t="e">
        <f>AND(NhatkyBan!#REF!,"AAAAAFd+95s=")</f>
        <v>#REF!</v>
      </c>
      <c r="FA35" t="e">
        <f>AND(NhatkyBan!#REF!,"AAAAAFd+95w=")</f>
        <v>#REF!</v>
      </c>
      <c r="FB35" t="e">
        <f>AND(NhatkyBan!#REF!,"AAAAAFd+950=")</f>
        <v>#REF!</v>
      </c>
      <c r="FC35" t="e">
        <f>AND(NhatkyBan!#REF!,"AAAAAFd+954=")</f>
        <v>#REF!</v>
      </c>
      <c r="FD35" t="e">
        <f>AND(NhatkyBan!#REF!,"AAAAAFd+958=")</f>
        <v>#REF!</v>
      </c>
      <c r="FE35" t="e">
        <f>AND(NhatkyBan!#REF!,"AAAAAFd+96A=")</f>
        <v>#REF!</v>
      </c>
      <c r="FF35" t="e">
        <f>AND(NhatkyBan!#REF!,"AAAAAFd+96E=")</f>
        <v>#REF!</v>
      </c>
      <c r="FG35" t="e">
        <f>AND(NhatkyBan!#REF!,"AAAAAFd+96I=")</f>
        <v>#REF!</v>
      </c>
      <c r="FH35" t="e">
        <f>AND(NhatkyBan!#REF!,"AAAAAFd+96M=")</f>
        <v>#REF!</v>
      </c>
      <c r="FI35" t="e">
        <f>AND(NhatkyBan!#REF!,"AAAAAFd+96Q=")</f>
        <v>#REF!</v>
      </c>
      <c r="FJ35" t="e">
        <f>AND(NhatkyBan!#REF!,"AAAAAFd+96U=")</f>
        <v>#REF!</v>
      </c>
      <c r="FK35" t="e">
        <f>AND(NhatkyBan!#REF!,"AAAAAFd+96Y=")</f>
        <v>#REF!</v>
      </c>
      <c r="FL35" t="e">
        <f>AND(NhatkyBan!#REF!,"AAAAAFd+96c=")</f>
        <v>#REF!</v>
      </c>
      <c r="FM35" t="e">
        <f>AND(NhatkyBan!#REF!,"AAAAAFd+96g=")</f>
        <v>#REF!</v>
      </c>
      <c r="FN35" t="e">
        <f>AND(NhatkyBan!#REF!,"AAAAAFd+96k=")</f>
        <v>#REF!</v>
      </c>
      <c r="FO35" t="e">
        <f>AND(NhatkyBan!#REF!,"AAAAAFd+96o=")</f>
        <v>#REF!</v>
      </c>
      <c r="FP35" t="e">
        <f>AND(NhatkyBan!#REF!,"AAAAAFd+96s=")</f>
        <v>#REF!</v>
      </c>
      <c r="FQ35" t="e">
        <f>AND(NhatkyBan!#REF!,"AAAAAFd+96w=")</f>
        <v>#REF!</v>
      </c>
      <c r="FR35" t="e">
        <f>AND(NhatkyBan!#REF!,"AAAAAFd+960=")</f>
        <v>#REF!</v>
      </c>
      <c r="FS35" t="e">
        <f>AND(NhatkyBan!#REF!,"AAAAAFd+964=")</f>
        <v>#REF!</v>
      </c>
      <c r="FT35" t="e">
        <f>AND(NhatkyBan!#REF!,"AAAAAFd+968=")</f>
        <v>#REF!</v>
      </c>
      <c r="FU35" t="e">
        <f>AND(NhatkyBan!#REF!,"AAAAAFd+97A=")</f>
        <v>#REF!</v>
      </c>
      <c r="FV35" t="e">
        <f>AND(NhatkyBan!#REF!,"AAAAAFd+97E=")</f>
        <v>#REF!</v>
      </c>
      <c r="FW35" t="e">
        <f>AND(NhatkyBan!#REF!,"AAAAAFd+97I=")</f>
        <v>#REF!</v>
      </c>
      <c r="FX35" t="e">
        <f>AND(NhatkyBan!#REF!,"AAAAAFd+97M=")</f>
        <v>#REF!</v>
      </c>
      <c r="FY35" t="e">
        <f>AND(NhatkyBan!#REF!,"AAAAAFd+97Q=")</f>
        <v>#REF!</v>
      </c>
      <c r="FZ35" t="e">
        <f>AND(NhatkyBan!#REF!,"AAAAAFd+97U=")</f>
        <v>#REF!</v>
      </c>
      <c r="GA35" t="e">
        <f>AND(NhatkyBan!#REF!,"AAAAAFd+97Y=")</f>
        <v>#REF!</v>
      </c>
      <c r="GB35" t="e">
        <f>AND(NhatkyBan!#REF!,"AAAAAFd+97c=")</f>
        <v>#REF!</v>
      </c>
      <c r="GC35" t="e">
        <f>AND(NhatkyBan!#REF!,"AAAAAFd+97g=")</f>
        <v>#REF!</v>
      </c>
      <c r="GD35" t="e">
        <f>AND(NhatkyBan!#REF!,"AAAAAFd+97k=")</f>
        <v>#REF!</v>
      </c>
      <c r="GE35" t="e">
        <f>AND(NhatkyBan!#REF!,"AAAAAFd+97o=")</f>
        <v>#REF!</v>
      </c>
      <c r="GF35" t="e">
        <f>AND(NhatkyBan!#REF!,"AAAAAFd+97s=")</f>
        <v>#REF!</v>
      </c>
      <c r="GG35" t="e">
        <f>AND(NhatkyBan!#REF!,"AAAAAFd+97w=")</f>
        <v>#REF!</v>
      </c>
      <c r="GH35" t="e">
        <f>AND(NhatkyBan!#REF!,"AAAAAFd+970=")</f>
        <v>#REF!</v>
      </c>
      <c r="GI35" t="e">
        <f>AND(NhatkyBan!#REF!,"AAAAAFd+974=")</f>
        <v>#REF!</v>
      </c>
      <c r="GJ35" t="e">
        <f>AND(NhatkyBan!#REF!,"AAAAAFd+978=")</f>
        <v>#REF!</v>
      </c>
      <c r="GK35" t="e">
        <f>AND(NhatkyBan!#REF!,"AAAAAFd+98A=")</f>
        <v>#REF!</v>
      </c>
      <c r="GL35" t="e">
        <f>AND(NhatkyBan!#REF!,"AAAAAFd+98E=")</f>
        <v>#REF!</v>
      </c>
      <c r="GM35" t="e">
        <f>AND(NhatkyBan!#REF!,"AAAAAFd+98I=")</f>
        <v>#REF!</v>
      </c>
      <c r="GN35" t="e">
        <f>AND(NhatkyBan!#REF!,"AAAAAFd+98M=")</f>
        <v>#REF!</v>
      </c>
      <c r="GO35" t="e">
        <f>AND(NhatkyBan!#REF!,"AAAAAFd+98Q=")</f>
        <v>#REF!</v>
      </c>
      <c r="GP35" t="e">
        <f>AND(NhatkyBan!#REF!,"AAAAAFd+98U=")</f>
        <v>#REF!</v>
      </c>
      <c r="GQ35" t="e">
        <f>AND(NhatkyBan!#REF!,"AAAAAFd+98Y=")</f>
        <v>#REF!</v>
      </c>
      <c r="GR35" t="e">
        <f>AND(NhatkyBan!#REF!,"AAAAAFd+98c=")</f>
        <v>#REF!</v>
      </c>
      <c r="GS35" t="e">
        <f>AND(NhatkyBan!#REF!,"AAAAAFd+98g=")</f>
        <v>#REF!</v>
      </c>
      <c r="GT35" t="e">
        <f>AND(NhatkyBan!#REF!,"AAAAAFd+98k=")</f>
        <v>#REF!</v>
      </c>
      <c r="GU35" t="e">
        <f>AND(NhatkyBan!#REF!,"AAAAAFd+98o=")</f>
        <v>#REF!</v>
      </c>
      <c r="GV35" t="e">
        <f>AND(NhatkyBan!#REF!,"AAAAAFd+98s=")</f>
        <v>#REF!</v>
      </c>
      <c r="GW35" t="e">
        <f>AND(NhatkyBan!#REF!,"AAAAAFd+98w=")</f>
        <v>#REF!</v>
      </c>
      <c r="GX35" t="e">
        <f>AND(NhatkyBan!#REF!,"AAAAAFd+980=")</f>
        <v>#REF!</v>
      </c>
      <c r="GY35" t="e">
        <f>AND(NhatkyBan!#REF!,"AAAAAFd+984=")</f>
        <v>#REF!</v>
      </c>
      <c r="GZ35" t="e">
        <f>AND(NhatkyBan!#REF!,"AAAAAFd+988=")</f>
        <v>#REF!</v>
      </c>
      <c r="HA35" t="e">
        <f>AND(NhatkyBan!#REF!,"AAAAAFd+99A=")</f>
        <v>#REF!</v>
      </c>
      <c r="HB35" t="e">
        <f>AND(NhatkyBan!#REF!,"AAAAAFd+99E=")</f>
        <v>#REF!</v>
      </c>
      <c r="HC35" t="e">
        <f>AND(NhatkyBan!#REF!,"AAAAAFd+99I=")</f>
        <v>#REF!</v>
      </c>
      <c r="HD35" t="e">
        <f>AND(NhatkyBan!#REF!,"AAAAAFd+99M=")</f>
        <v>#REF!</v>
      </c>
      <c r="HE35" t="e">
        <f>AND(NhatkyBan!#REF!,"AAAAAFd+99Q=")</f>
        <v>#REF!</v>
      </c>
      <c r="HF35" t="e">
        <f>AND(NhatkyBan!#REF!,"AAAAAFd+99U=")</f>
        <v>#REF!</v>
      </c>
      <c r="HG35" t="e">
        <f>AND(NhatkyBan!#REF!,"AAAAAFd+99Y=")</f>
        <v>#REF!</v>
      </c>
      <c r="HH35" t="e">
        <f>AND(NhatkyBan!#REF!,"AAAAAFd+99c=")</f>
        <v>#REF!</v>
      </c>
      <c r="HI35" t="e">
        <f>AND(NhatkyBan!#REF!,"AAAAAFd+99g=")</f>
        <v>#REF!</v>
      </c>
      <c r="HJ35" t="e">
        <f>IF(NhatkyBan!#REF!,"AAAAAFd+99k=",0)</f>
        <v>#REF!</v>
      </c>
      <c r="HK35" t="e">
        <f>AND(NhatkyBan!#REF!,"AAAAAFd+99o=")</f>
        <v>#REF!</v>
      </c>
      <c r="HL35" t="e">
        <f>AND(NhatkyBan!#REF!,"AAAAAFd+99s=")</f>
        <v>#REF!</v>
      </c>
      <c r="HM35" t="e">
        <f>AND(NhatkyBan!#REF!,"AAAAAFd+99w=")</f>
        <v>#REF!</v>
      </c>
      <c r="HN35" t="e">
        <f>AND(NhatkyBan!#REF!,"AAAAAFd+990=")</f>
        <v>#REF!</v>
      </c>
      <c r="HO35" t="e">
        <f>AND(NhatkyBan!#REF!,"AAAAAFd+994=")</f>
        <v>#REF!</v>
      </c>
      <c r="HP35" t="e">
        <f>AND(NhatkyBan!#REF!,"AAAAAFd+998=")</f>
        <v>#REF!</v>
      </c>
      <c r="HQ35" t="e">
        <f>AND(NhatkyBan!#REF!,"AAAAAFd+9+A=")</f>
        <v>#REF!</v>
      </c>
      <c r="HR35" t="e">
        <f>AND(NhatkyBan!#REF!,"AAAAAFd+9+E=")</f>
        <v>#REF!</v>
      </c>
      <c r="HS35" t="e">
        <f>AND(NhatkyBan!#REF!,"AAAAAFd+9+I=")</f>
        <v>#REF!</v>
      </c>
      <c r="HT35" t="e">
        <f>AND(NhatkyBan!#REF!,"AAAAAFd+9+M=")</f>
        <v>#REF!</v>
      </c>
      <c r="HU35" t="e">
        <f>AND(NhatkyBan!#REF!,"AAAAAFd+9+Q=")</f>
        <v>#REF!</v>
      </c>
      <c r="HV35" t="e">
        <f>AND(NhatkyBan!#REF!,"AAAAAFd+9+U=")</f>
        <v>#REF!</v>
      </c>
      <c r="HW35" t="e">
        <f>AND(NhatkyBan!#REF!,"AAAAAFd+9+Y=")</f>
        <v>#REF!</v>
      </c>
      <c r="HX35" t="e">
        <f>AND(NhatkyBan!#REF!,"AAAAAFd+9+c=")</f>
        <v>#REF!</v>
      </c>
      <c r="HY35" t="e">
        <f>AND(NhatkyBan!#REF!,"AAAAAFd+9+g=")</f>
        <v>#REF!</v>
      </c>
      <c r="HZ35" t="e">
        <f>AND(NhatkyBan!#REF!,"AAAAAFd+9+k=")</f>
        <v>#REF!</v>
      </c>
      <c r="IA35" t="e">
        <f>AND(NhatkyBan!#REF!,"AAAAAFd+9+o=")</f>
        <v>#REF!</v>
      </c>
      <c r="IB35" t="e">
        <f>AND(NhatkyBan!#REF!,"AAAAAFd+9+s=")</f>
        <v>#REF!</v>
      </c>
      <c r="IC35" t="e">
        <f>AND(NhatkyBan!#REF!,"AAAAAFd+9+w=")</f>
        <v>#REF!</v>
      </c>
      <c r="ID35" t="e">
        <f>AND(NhatkyBan!#REF!,"AAAAAFd+9+0=")</f>
        <v>#REF!</v>
      </c>
      <c r="IE35" t="e">
        <f>AND(NhatkyBan!#REF!,"AAAAAFd+9+4=")</f>
        <v>#REF!</v>
      </c>
      <c r="IF35" t="e">
        <f>AND(NhatkyBan!#REF!,"AAAAAFd+9+8=")</f>
        <v>#REF!</v>
      </c>
      <c r="IG35" t="e">
        <f>AND(NhatkyBan!#REF!,"AAAAAFd+9/A=")</f>
        <v>#REF!</v>
      </c>
      <c r="IH35" t="e">
        <f>AND(NhatkyBan!#REF!,"AAAAAFd+9/E=")</f>
        <v>#REF!</v>
      </c>
      <c r="II35" t="e">
        <f>AND(NhatkyBan!#REF!,"AAAAAFd+9/I=")</f>
        <v>#REF!</v>
      </c>
      <c r="IJ35" t="e">
        <f>AND(NhatkyBan!#REF!,"AAAAAFd+9/M=")</f>
        <v>#REF!</v>
      </c>
      <c r="IK35" t="e">
        <f>AND(NhatkyBan!#REF!,"AAAAAFd+9/Q=")</f>
        <v>#REF!</v>
      </c>
      <c r="IL35" t="e">
        <f>AND(NhatkyBan!#REF!,"AAAAAFd+9/U=")</f>
        <v>#REF!</v>
      </c>
      <c r="IM35" t="e">
        <f>AND(NhatkyBan!#REF!,"AAAAAFd+9/Y=")</f>
        <v>#REF!</v>
      </c>
      <c r="IN35" t="e">
        <f>AND(NhatkyBan!#REF!,"AAAAAFd+9/c=")</f>
        <v>#REF!</v>
      </c>
      <c r="IO35" t="e">
        <f>AND(NhatkyBan!#REF!,"AAAAAFd+9/g=")</f>
        <v>#REF!</v>
      </c>
      <c r="IP35" t="e">
        <f>AND(NhatkyBan!#REF!,"AAAAAFd+9/k=")</f>
        <v>#REF!</v>
      </c>
      <c r="IQ35" t="e">
        <f>AND(NhatkyBan!#REF!,"AAAAAFd+9/o=")</f>
        <v>#REF!</v>
      </c>
      <c r="IR35" t="e">
        <f>AND(NhatkyBan!#REF!,"AAAAAFd+9/s=")</f>
        <v>#REF!</v>
      </c>
      <c r="IS35" t="e">
        <f>IF(NhatkyBan!#REF!,"AAAAAFd+9/w=",0)</f>
        <v>#REF!</v>
      </c>
      <c r="IT35" t="e">
        <f>AND(NhatkyBan!#REF!,"AAAAAFd+9/0=")</f>
        <v>#REF!</v>
      </c>
      <c r="IU35" t="e">
        <f>AND(NhatkyBan!#REF!,"AAAAAFd+9/4=")</f>
        <v>#REF!</v>
      </c>
      <c r="IV35" t="e">
        <f>AND(NhatkyBan!#REF!,"AAAAAFd+9/8=")</f>
        <v>#REF!</v>
      </c>
    </row>
    <row r="36" spans="1:256">
      <c r="A36" t="e">
        <f>AND(NhatkyBan!#REF!,"AAAAAH9zowA=")</f>
        <v>#REF!</v>
      </c>
      <c r="B36" t="e">
        <f>AND(NhatkyBan!#REF!,"AAAAAH9zowE=")</f>
        <v>#REF!</v>
      </c>
      <c r="C36" t="e">
        <f>AND(NhatkyBan!#REF!,"AAAAAH9zowI=")</f>
        <v>#REF!</v>
      </c>
      <c r="D36" t="e">
        <f>AND(NhatkyBan!#REF!,"AAAAAH9zowM=")</f>
        <v>#REF!</v>
      </c>
      <c r="E36" t="e">
        <f>AND(NhatkyBan!#REF!,"AAAAAH9zowQ=")</f>
        <v>#REF!</v>
      </c>
      <c r="F36" t="e">
        <f>AND(NhatkyBan!#REF!,"AAAAAH9zowU=")</f>
        <v>#REF!</v>
      </c>
      <c r="G36" t="e">
        <f>AND(NhatkyBan!#REF!,"AAAAAH9zowY=")</f>
        <v>#REF!</v>
      </c>
      <c r="H36" t="e">
        <f>AND(NhatkyBan!#REF!,"AAAAAH9zowc=")</f>
        <v>#REF!</v>
      </c>
      <c r="I36" t="e">
        <f>AND(NhatkyBan!#REF!,"AAAAAH9zowg=")</f>
        <v>#REF!</v>
      </c>
      <c r="J36" t="e">
        <f>AND(NhatkyBan!#REF!,"AAAAAH9zowk=")</f>
        <v>#REF!</v>
      </c>
      <c r="K36" t="e">
        <f>AND(NhatkyBan!#REF!,"AAAAAH9zowo=")</f>
        <v>#REF!</v>
      </c>
      <c r="L36" t="e">
        <f>AND(NhatkyBan!#REF!,"AAAAAH9zows=")</f>
        <v>#REF!</v>
      </c>
      <c r="M36" t="e">
        <f>AND(NhatkyBan!#REF!,"AAAAAH9zoww=")</f>
        <v>#REF!</v>
      </c>
      <c r="N36" t="e">
        <f>AND(NhatkyBan!#REF!,"AAAAAH9zow0=")</f>
        <v>#REF!</v>
      </c>
      <c r="O36" t="e">
        <f>AND(NhatkyBan!#REF!,"AAAAAH9zow4=")</f>
        <v>#REF!</v>
      </c>
      <c r="P36" t="e">
        <f>AND(NhatkyBan!#REF!,"AAAAAH9zow8=")</f>
        <v>#REF!</v>
      </c>
      <c r="Q36" t="e">
        <f>AND(NhatkyBan!#REF!,"AAAAAH9zoxA=")</f>
        <v>#REF!</v>
      </c>
      <c r="R36" t="e">
        <f>AND(NhatkyBan!#REF!,"AAAAAH9zoxE=")</f>
        <v>#REF!</v>
      </c>
      <c r="S36" t="e">
        <f>AND(NhatkyBan!#REF!,"AAAAAH9zoxI=")</f>
        <v>#REF!</v>
      </c>
      <c r="T36" t="e">
        <f>AND(NhatkyBan!#REF!,"AAAAAH9zoxM=")</f>
        <v>#REF!</v>
      </c>
      <c r="U36" t="e">
        <f>AND(NhatkyBan!#REF!,"AAAAAH9zoxQ=")</f>
        <v>#REF!</v>
      </c>
      <c r="V36" t="e">
        <f>AND(NhatkyBan!#REF!,"AAAAAH9zoxU=")</f>
        <v>#REF!</v>
      </c>
      <c r="W36" t="e">
        <f>AND(NhatkyBan!#REF!,"AAAAAH9zoxY=")</f>
        <v>#REF!</v>
      </c>
      <c r="X36" t="e">
        <f>AND(NhatkyBan!#REF!,"AAAAAH9zoxc=")</f>
        <v>#REF!</v>
      </c>
      <c r="Y36" t="e">
        <f>AND(NhatkyBan!#REF!,"AAAAAH9zoxg=")</f>
        <v>#REF!</v>
      </c>
      <c r="Z36" t="e">
        <f>AND(NhatkyBan!#REF!,"AAAAAH9zoxk=")</f>
        <v>#REF!</v>
      </c>
      <c r="AA36" t="e">
        <f>AND(NhatkyBan!#REF!,"AAAAAH9zoxo=")</f>
        <v>#REF!</v>
      </c>
      <c r="AB36" t="e">
        <f>AND(NhatkyBan!#REF!,"AAAAAH9zoxs=")</f>
        <v>#REF!</v>
      </c>
      <c r="AC36" t="e">
        <f>AND(NhatkyBan!#REF!,"AAAAAH9zoxw=")</f>
        <v>#REF!</v>
      </c>
      <c r="AD36" t="e">
        <f>AND(NhatkyBan!#REF!,"AAAAAH9zox0=")</f>
        <v>#REF!</v>
      </c>
      <c r="AE36" t="e">
        <f>AND(NhatkyBan!#REF!,"AAAAAH9zox4=")</f>
        <v>#REF!</v>
      </c>
      <c r="AF36" t="e">
        <f>IF(NhatkyBan!#REF!,"AAAAAH9zox8=",0)</f>
        <v>#REF!</v>
      </c>
      <c r="AG36" t="e">
        <f>AND(NhatkyBan!#REF!,"AAAAAH9zoyA=")</f>
        <v>#REF!</v>
      </c>
      <c r="AH36" t="e">
        <f>AND(NhatkyBan!#REF!,"AAAAAH9zoyE=")</f>
        <v>#REF!</v>
      </c>
      <c r="AI36" t="e">
        <f>AND(NhatkyBan!#REF!,"AAAAAH9zoyI=")</f>
        <v>#REF!</v>
      </c>
      <c r="AJ36" t="e">
        <f>AND(NhatkyBan!#REF!,"AAAAAH9zoyM=")</f>
        <v>#REF!</v>
      </c>
      <c r="AK36" t="e">
        <f>AND(NhatkyBan!#REF!,"AAAAAH9zoyQ=")</f>
        <v>#REF!</v>
      </c>
      <c r="AL36" t="e">
        <f>AND(NhatkyBan!#REF!,"AAAAAH9zoyU=")</f>
        <v>#REF!</v>
      </c>
      <c r="AM36" t="e">
        <f>AND(NhatkyBan!#REF!,"AAAAAH9zoyY=")</f>
        <v>#REF!</v>
      </c>
      <c r="AN36" t="e">
        <f>AND(NhatkyBan!#REF!,"AAAAAH9zoyc=")</f>
        <v>#REF!</v>
      </c>
      <c r="AO36" t="e">
        <f>AND(NhatkyBan!#REF!,"AAAAAH9zoyg=")</f>
        <v>#REF!</v>
      </c>
      <c r="AP36" t="e">
        <f>AND(NhatkyBan!#REF!,"AAAAAH9zoyk=")</f>
        <v>#REF!</v>
      </c>
      <c r="AQ36" t="e">
        <f>AND(NhatkyBan!#REF!,"AAAAAH9zoyo=")</f>
        <v>#REF!</v>
      </c>
      <c r="AR36" t="e">
        <f>AND(NhatkyBan!#REF!,"AAAAAH9zoys=")</f>
        <v>#REF!</v>
      </c>
      <c r="AS36" t="e">
        <f>AND(NhatkyBan!#REF!,"AAAAAH9zoyw=")</f>
        <v>#REF!</v>
      </c>
      <c r="AT36" t="e">
        <f>AND(NhatkyBan!#REF!,"AAAAAH9zoy0=")</f>
        <v>#REF!</v>
      </c>
      <c r="AU36" t="e">
        <f>AND(NhatkyBan!#REF!,"AAAAAH9zoy4=")</f>
        <v>#REF!</v>
      </c>
      <c r="AV36" t="e">
        <f>AND(NhatkyBan!#REF!,"AAAAAH9zoy8=")</f>
        <v>#REF!</v>
      </c>
      <c r="AW36" t="e">
        <f>AND(NhatkyBan!#REF!,"AAAAAH9zozA=")</f>
        <v>#REF!</v>
      </c>
      <c r="AX36" t="e">
        <f>AND(NhatkyBan!#REF!,"AAAAAH9zozE=")</f>
        <v>#REF!</v>
      </c>
      <c r="AY36" t="e">
        <f>AND(NhatkyBan!#REF!,"AAAAAH9zozI=")</f>
        <v>#REF!</v>
      </c>
      <c r="AZ36" t="e">
        <f>AND(NhatkyBan!#REF!,"AAAAAH9zozM=")</f>
        <v>#REF!</v>
      </c>
      <c r="BA36" t="e">
        <f>AND(NhatkyBan!#REF!,"AAAAAH9zozQ=")</f>
        <v>#REF!</v>
      </c>
      <c r="BB36" t="e">
        <f>AND(NhatkyBan!#REF!,"AAAAAH9zozU=")</f>
        <v>#REF!</v>
      </c>
      <c r="BC36" t="e">
        <f>AND(NhatkyBan!#REF!,"AAAAAH9zozY=")</f>
        <v>#REF!</v>
      </c>
      <c r="BD36" t="e">
        <f>AND(NhatkyBan!#REF!,"AAAAAH9zozc=")</f>
        <v>#REF!</v>
      </c>
      <c r="BE36" t="e">
        <f>AND(NhatkyBan!#REF!,"AAAAAH9zozg=")</f>
        <v>#REF!</v>
      </c>
      <c r="BF36" t="e">
        <f>AND(NhatkyBan!#REF!,"AAAAAH9zozk=")</f>
        <v>#REF!</v>
      </c>
      <c r="BG36" t="e">
        <f>AND(NhatkyBan!#REF!,"AAAAAH9zozo=")</f>
        <v>#REF!</v>
      </c>
      <c r="BH36" t="e">
        <f>AND(NhatkyBan!#REF!,"AAAAAH9zozs=")</f>
        <v>#REF!</v>
      </c>
      <c r="BI36" t="e">
        <f>AND(NhatkyBan!#REF!,"AAAAAH9zozw=")</f>
        <v>#REF!</v>
      </c>
      <c r="BJ36" t="e">
        <f>AND(NhatkyBan!#REF!,"AAAAAH9zoz0=")</f>
        <v>#REF!</v>
      </c>
      <c r="BK36" t="e">
        <f>AND(NhatkyBan!#REF!,"AAAAAH9zoz4=")</f>
        <v>#REF!</v>
      </c>
      <c r="BL36" t="e">
        <f>AND(NhatkyBan!#REF!,"AAAAAH9zoz8=")</f>
        <v>#REF!</v>
      </c>
      <c r="BM36" t="e">
        <f>AND(NhatkyBan!#REF!,"AAAAAH9zo0A=")</f>
        <v>#REF!</v>
      </c>
      <c r="BN36" t="e">
        <f>AND(NhatkyBan!#REF!,"AAAAAH9zo0E=")</f>
        <v>#REF!</v>
      </c>
      <c r="BO36" t="e">
        <f>IF(NhatkyBan!#REF!,"AAAAAH9zo0I=",0)</f>
        <v>#REF!</v>
      </c>
      <c r="BP36" t="e">
        <f>AND(NhatkyBan!#REF!,"AAAAAH9zo0M=")</f>
        <v>#REF!</v>
      </c>
      <c r="BQ36" t="e">
        <f>AND(NhatkyBan!#REF!,"AAAAAH9zo0Q=")</f>
        <v>#REF!</v>
      </c>
      <c r="BR36" t="e">
        <f>AND(NhatkyBan!#REF!,"AAAAAH9zo0U=")</f>
        <v>#REF!</v>
      </c>
      <c r="BS36" t="e">
        <f>AND(NhatkyBan!#REF!,"AAAAAH9zo0Y=")</f>
        <v>#REF!</v>
      </c>
      <c r="BT36" t="e">
        <f>AND(NhatkyBan!#REF!,"AAAAAH9zo0c=")</f>
        <v>#REF!</v>
      </c>
      <c r="BU36" t="e">
        <f>AND(NhatkyBan!#REF!,"AAAAAH9zo0g=")</f>
        <v>#REF!</v>
      </c>
      <c r="BV36" t="e">
        <f>AND(NhatkyBan!#REF!,"AAAAAH9zo0k=")</f>
        <v>#REF!</v>
      </c>
      <c r="BW36" t="e">
        <f>AND(NhatkyBan!#REF!,"AAAAAH9zo0o=")</f>
        <v>#REF!</v>
      </c>
      <c r="BX36" t="e">
        <f>AND(NhatkyBan!#REF!,"AAAAAH9zo0s=")</f>
        <v>#REF!</v>
      </c>
      <c r="BY36" t="e">
        <f>AND(NhatkyBan!#REF!,"AAAAAH9zo0w=")</f>
        <v>#REF!</v>
      </c>
      <c r="BZ36" t="e">
        <f>AND(NhatkyBan!#REF!,"AAAAAH9zo00=")</f>
        <v>#REF!</v>
      </c>
      <c r="CA36" t="e">
        <f>AND(NhatkyBan!#REF!,"AAAAAH9zo04=")</f>
        <v>#REF!</v>
      </c>
      <c r="CB36" t="e">
        <f>AND(NhatkyBan!#REF!,"AAAAAH9zo08=")</f>
        <v>#REF!</v>
      </c>
      <c r="CC36" t="e">
        <f>AND(NhatkyBan!#REF!,"AAAAAH9zo1A=")</f>
        <v>#REF!</v>
      </c>
      <c r="CD36" t="e">
        <f>AND(NhatkyBan!#REF!,"AAAAAH9zo1E=")</f>
        <v>#REF!</v>
      </c>
      <c r="CE36" t="e">
        <f>AND(NhatkyBan!#REF!,"AAAAAH9zo1I=")</f>
        <v>#REF!</v>
      </c>
      <c r="CF36" t="e">
        <f>AND(NhatkyBan!#REF!,"AAAAAH9zo1M=")</f>
        <v>#REF!</v>
      </c>
      <c r="CG36" t="e">
        <f>AND(NhatkyBan!#REF!,"AAAAAH9zo1Q=")</f>
        <v>#REF!</v>
      </c>
      <c r="CH36" t="e">
        <f>AND(NhatkyBan!#REF!,"AAAAAH9zo1U=")</f>
        <v>#REF!</v>
      </c>
      <c r="CI36" t="e">
        <f>AND(NhatkyBan!#REF!,"AAAAAH9zo1Y=")</f>
        <v>#REF!</v>
      </c>
      <c r="CJ36" t="e">
        <f>AND(NhatkyBan!#REF!,"AAAAAH9zo1c=")</f>
        <v>#REF!</v>
      </c>
      <c r="CK36" t="e">
        <f>AND(NhatkyBan!#REF!,"AAAAAH9zo1g=")</f>
        <v>#REF!</v>
      </c>
      <c r="CL36" t="e">
        <f>AND(NhatkyBan!#REF!,"AAAAAH9zo1k=")</f>
        <v>#REF!</v>
      </c>
      <c r="CM36" t="e">
        <f>AND(NhatkyBan!#REF!,"AAAAAH9zo1o=")</f>
        <v>#REF!</v>
      </c>
      <c r="CN36" t="e">
        <f>AND(NhatkyBan!#REF!,"AAAAAH9zo1s=")</f>
        <v>#REF!</v>
      </c>
      <c r="CO36" t="e">
        <f>AND(NhatkyBan!#REF!,"AAAAAH9zo1w=")</f>
        <v>#REF!</v>
      </c>
      <c r="CP36" t="e">
        <f>AND(NhatkyBan!#REF!,"AAAAAH9zo10=")</f>
        <v>#REF!</v>
      </c>
      <c r="CQ36" t="e">
        <f>AND(NhatkyBan!#REF!,"AAAAAH9zo14=")</f>
        <v>#REF!</v>
      </c>
      <c r="CR36" t="e">
        <f>AND(NhatkyBan!#REF!,"AAAAAH9zo18=")</f>
        <v>#REF!</v>
      </c>
      <c r="CS36" t="e">
        <f>AND(NhatkyBan!#REF!,"AAAAAH9zo2A=")</f>
        <v>#REF!</v>
      </c>
      <c r="CT36" t="e">
        <f>AND(NhatkyBan!#REF!,"AAAAAH9zo2E=")</f>
        <v>#REF!</v>
      </c>
      <c r="CU36" t="e">
        <f>AND(NhatkyBan!#REF!,"AAAAAH9zo2I=")</f>
        <v>#REF!</v>
      </c>
      <c r="CV36" t="e">
        <f>AND(NhatkyBan!#REF!,"AAAAAH9zo2M=")</f>
        <v>#REF!</v>
      </c>
      <c r="CW36" t="e">
        <f>AND(NhatkyBan!#REF!,"AAAAAH9zo2Q=")</f>
        <v>#REF!</v>
      </c>
      <c r="CX36" t="e">
        <f>IF(NhatkyBan!#REF!,"AAAAAH9zo2U=",0)</f>
        <v>#REF!</v>
      </c>
      <c r="CY36" t="e">
        <f>AND(NhatkyBan!#REF!,"AAAAAH9zo2Y=")</f>
        <v>#REF!</v>
      </c>
      <c r="CZ36" t="e">
        <f>AND(NhatkyBan!#REF!,"AAAAAH9zo2c=")</f>
        <v>#REF!</v>
      </c>
      <c r="DA36" t="e">
        <f>AND(NhatkyBan!#REF!,"AAAAAH9zo2g=")</f>
        <v>#REF!</v>
      </c>
      <c r="DB36" t="e">
        <f>AND(NhatkyBan!#REF!,"AAAAAH9zo2k=")</f>
        <v>#REF!</v>
      </c>
      <c r="DC36" t="e">
        <f>AND(NhatkyBan!#REF!,"AAAAAH9zo2o=")</f>
        <v>#REF!</v>
      </c>
      <c r="DD36" t="e">
        <f>AND(NhatkyBan!#REF!,"AAAAAH9zo2s=")</f>
        <v>#REF!</v>
      </c>
      <c r="DE36" t="e">
        <f>AND(NhatkyBan!#REF!,"AAAAAH9zo2w=")</f>
        <v>#REF!</v>
      </c>
      <c r="DF36" t="e">
        <f>AND(NhatkyBan!#REF!,"AAAAAH9zo20=")</f>
        <v>#REF!</v>
      </c>
      <c r="DG36" t="e">
        <f>AND(NhatkyBan!#REF!,"AAAAAH9zo24=")</f>
        <v>#REF!</v>
      </c>
      <c r="DH36" t="e">
        <f>AND(NhatkyBan!#REF!,"AAAAAH9zo28=")</f>
        <v>#REF!</v>
      </c>
      <c r="DI36" t="e">
        <f>AND(NhatkyBan!#REF!,"AAAAAH9zo3A=")</f>
        <v>#REF!</v>
      </c>
      <c r="DJ36" t="e">
        <f>AND(NhatkyBan!#REF!,"AAAAAH9zo3E=")</f>
        <v>#REF!</v>
      </c>
      <c r="DK36" t="e">
        <f>AND(NhatkyBan!#REF!,"AAAAAH9zo3I=")</f>
        <v>#REF!</v>
      </c>
      <c r="DL36" t="e">
        <f>AND(NhatkyBan!#REF!,"AAAAAH9zo3M=")</f>
        <v>#REF!</v>
      </c>
      <c r="DM36" t="e">
        <f>AND(NhatkyBan!#REF!,"AAAAAH9zo3Q=")</f>
        <v>#REF!</v>
      </c>
      <c r="DN36" t="e">
        <f>AND(NhatkyBan!#REF!,"AAAAAH9zo3U=")</f>
        <v>#REF!</v>
      </c>
      <c r="DO36" t="e">
        <f>AND(NhatkyBan!#REF!,"AAAAAH9zo3Y=")</f>
        <v>#REF!</v>
      </c>
      <c r="DP36" t="e">
        <f>AND(NhatkyBan!#REF!,"AAAAAH9zo3c=")</f>
        <v>#REF!</v>
      </c>
      <c r="DQ36" t="e">
        <f>AND(NhatkyBan!#REF!,"AAAAAH9zo3g=")</f>
        <v>#REF!</v>
      </c>
      <c r="DR36" t="e">
        <f>AND(NhatkyBan!#REF!,"AAAAAH9zo3k=")</f>
        <v>#REF!</v>
      </c>
      <c r="DS36" t="e">
        <f>AND(NhatkyBan!#REF!,"AAAAAH9zo3o=")</f>
        <v>#REF!</v>
      </c>
      <c r="DT36" t="e">
        <f>AND(NhatkyBan!#REF!,"AAAAAH9zo3s=")</f>
        <v>#REF!</v>
      </c>
      <c r="DU36" t="e">
        <f>AND(NhatkyBan!#REF!,"AAAAAH9zo3w=")</f>
        <v>#REF!</v>
      </c>
      <c r="DV36" t="e">
        <f>AND(NhatkyBan!#REF!,"AAAAAH9zo30=")</f>
        <v>#REF!</v>
      </c>
      <c r="DW36" t="e">
        <f>AND(NhatkyBan!#REF!,"AAAAAH9zo34=")</f>
        <v>#REF!</v>
      </c>
      <c r="DX36" t="e">
        <f>AND(NhatkyBan!#REF!,"AAAAAH9zo38=")</f>
        <v>#REF!</v>
      </c>
      <c r="DY36" t="e">
        <f>AND(NhatkyBan!#REF!,"AAAAAH9zo4A=")</f>
        <v>#REF!</v>
      </c>
      <c r="DZ36" t="e">
        <f>AND(NhatkyBan!#REF!,"AAAAAH9zo4E=")</f>
        <v>#REF!</v>
      </c>
      <c r="EA36" t="e">
        <f>AND(NhatkyBan!#REF!,"AAAAAH9zo4I=")</f>
        <v>#REF!</v>
      </c>
      <c r="EB36" t="e">
        <f>AND(NhatkyBan!#REF!,"AAAAAH9zo4M=")</f>
        <v>#REF!</v>
      </c>
      <c r="EC36" t="e">
        <f>AND(NhatkyBan!#REF!,"AAAAAH9zo4Q=")</f>
        <v>#REF!</v>
      </c>
      <c r="ED36" t="e">
        <f>AND(NhatkyBan!#REF!,"AAAAAH9zo4U=")</f>
        <v>#REF!</v>
      </c>
      <c r="EE36" t="e">
        <f>AND(NhatkyBan!#REF!,"AAAAAH9zo4Y=")</f>
        <v>#REF!</v>
      </c>
      <c r="EF36" t="e">
        <f>AND(NhatkyBan!#REF!,"AAAAAH9zo4c=")</f>
        <v>#REF!</v>
      </c>
      <c r="EG36" t="e">
        <f>IF(NhatkyBan!#REF!,"AAAAAH9zo4g=",0)</f>
        <v>#REF!</v>
      </c>
      <c r="EH36" t="e">
        <f>AND(NhatkyBan!#REF!,"AAAAAH9zo4k=")</f>
        <v>#REF!</v>
      </c>
      <c r="EI36" t="e">
        <f>AND(NhatkyBan!#REF!,"AAAAAH9zo4o=")</f>
        <v>#REF!</v>
      </c>
      <c r="EJ36" t="e">
        <f>AND(NhatkyBan!#REF!,"AAAAAH9zo4s=")</f>
        <v>#REF!</v>
      </c>
      <c r="EK36" t="e">
        <f>AND(NhatkyBan!#REF!,"AAAAAH9zo4w=")</f>
        <v>#REF!</v>
      </c>
      <c r="EL36" t="e">
        <f>AND(NhatkyBan!#REF!,"AAAAAH9zo40=")</f>
        <v>#REF!</v>
      </c>
      <c r="EM36" t="e">
        <f>AND(NhatkyBan!#REF!,"AAAAAH9zo44=")</f>
        <v>#REF!</v>
      </c>
      <c r="EN36" t="e">
        <f>AND(NhatkyBan!#REF!,"AAAAAH9zo48=")</f>
        <v>#REF!</v>
      </c>
      <c r="EO36" t="e">
        <f>AND(NhatkyBan!#REF!,"AAAAAH9zo5A=")</f>
        <v>#REF!</v>
      </c>
      <c r="EP36" t="e">
        <f>AND(NhatkyBan!#REF!,"AAAAAH9zo5E=")</f>
        <v>#REF!</v>
      </c>
      <c r="EQ36" t="e">
        <f>AND(NhatkyBan!#REF!,"AAAAAH9zo5I=")</f>
        <v>#REF!</v>
      </c>
      <c r="ER36" t="e">
        <f>AND(NhatkyBan!#REF!,"AAAAAH9zo5M=")</f>
        <v>#REF!</v>
      </c>
      <c r="ES36" t="e">
        <f>AND(NhatkyBan!#REF!,"AAAAAH9zo5Q=")</f>
        <v>#REF!</v>
      </c>
      <c r="ET36" t="e">
        <f>AND(NhatkyBan!#REF!,"AAAAAH9zo5U=")</f>
        <v>#REF!</v>
      </c>
      <c r="EU36" t="e">
        <f>AND(NhatkyBan!#REF!,"AAAAAH9zo5Y=")</f>
        <v>#REF!</v>
      </c>
      <c r="EV36" t="e">
        <f>AND(NhatkyBan!#REF!,"AAAAAH9zo5c=")</f>
        <v>#REF!</v>
      </c>
      <c r="EW36" t="e">
        <f>AND(NhatkyBan!#REF!,"AAAAAH9zo5g=")</f>
        <v>#REF!</v>
      </c>
      <c r="EX36" t="e">
        <f>AND(NhatkyBan!#REF!,"AAAAAH9zo5k=")</f>
        <v>#REF!</v>
      </c>
      <c r="EY36" t="e">
        <f>AND(NhatkyBan!#REF!,"AAAAAH9zo5o=")</f>
        <v>#REF!</v>
      </c>
      <c r="EZ36" t="e">
        <f>AND(NhatkyBan!#REF!,"AAAAAH9zo5s=")</f>
        <v>#REF!</v>
      </c>
      <c r="FA36" t="e">
        <f>AND(NhatkyBan!#REF!,"AAAAAH9zo5w=")</f>
        <v>#REF!</v>
      </c>
      <c r="FB36" t="e">
        <f>AND(NhatkyBan!#REF!,"AAAAAH9zo50=")</f>
        <v>#REF!</v>
      </c>
      <c r="FC36" t="e">
        <f>AND(NhatkyBan!#REF!,"AAAAAH9zo54=")</f>
        <v>#REF!</v>
      </c>
      <c r="FD36" t="e">
        <f>AND(NhatkyBan!#REF!,"AAAAAH9zo58=")</f>
        <v>#REF!</v>
      </c>
      <c r="FE36" t="e">
        <f>AND(NhatkyBan!#REF!,"AAAAAH9zo6A=")</f>
        <v>#REF!</v>
      </c>
      <c r="FF36" t="e">
        <f>AND(NhatkyBan!#REF!,"AAAAAH9zo6E=")</f>
        <v>#REF!</v>
      </c>
      <c r="FG36" t="e">
        <f>AND(NhatkyBan!#REF!,"AAAAAH9zo6I=")</f>
        <v>#REF!</v>
      </c>
      <c r="FH36" t="e">
        <f>AND(NhatkyBan!#REF!,"AAAAAH9zo6M=")</f>
        <v>#REF!</v>
      </c>
      <c r="FI36" t="e">
        <f>AND(NhatkyBan!#REF!,"AAAAAH9zo6Q=")</f>
        <v>#REF!</v>
      </c>
      <c r="FJ36" t="e">
        <f>AND(NhatkyBan!#REF!,"AAAAAH9zo6U=")</f>
        <v>#REF!</v>
      </c>
      <c r="FK36" t="e">
        <f>AND(NhatkyBan!#REF!,"AAAAAH9zo6Y=")</f>
        <v>#REF!</v>
      </c>
      <c r="FL36" t="e">
        <f>AND(NhatkyBan!#REF!,"AAAAAH9zo6c=")</f>
        <v>#REF!</v>
      </c>
      <c r="FM36" t="e">
        <f>AND(NhatkyBan!#REF!,"AAAAAH9zo6g=")</f>
        <v>#REF!</v>
      </c>
      <c r="FN36" t="e">
        <f>AND(NhatkyBan!#REF!,"AAAAAH9zo6k=")</f>
        <v>#REF!</v>
      </c>
      <c r="FO36" t="e">
        <f>AND(NhatkyBan!#REF!,"AAAAAH9zo6o=")</f>
        <v>#REF!</v>
      </c>
      <c r="FP36" t="e">
        <f>IF(NhatkyBan!#REF!,"AAAAAH9zo6s=",0)</f>
        <v>#REF!</v>
      </c>
      <c r="FQ36" t="e">
        <f>AND(NhatkyBan!#REF!,"AAAAAH9zo6w=")</f>
        <v>#REF!</v>
      </c>
      <c r="FR36" t="e">
        <f>AND(NhatkyBan!#REF!,"AAAAAH9zo60=")</f>
        <v>#REF!</v>
      </c>
      <c r="FS36" t="e">
        <f>AND(NhatkyBan!#REF!,"AAAAAH9zo64=")</f>
        <v>#REF!</v>
      </c>
      <c r="FT36" t="e">
        <f>AND(NhatkyBan!#REF!,"AAAAAH9zo68=")</f>
        <v>#REF!</v>
      </c>
      <c r="FU36" t="e">
        <f>AND(NhatkyBan!#REF!,"AAAAAH9zo7A=")</f>
        <v>#REF!</v>
      </c>
      <c r="FV36" t="e">
        <f>AND(NhatkyBan!#REF!,"AAAAAH9zo7E=")</f>
        <v>#REF!</v>
      </c>
      <c r="FW36" t="e">
        <f>AND(NhatkyBan!#REF!,"AAAAAH9zo7I=")</f>
        <v>#REF!</v>
      </c>
      <c r="FX36" t="e">
        <f>AND(NhatkyBan!#REF!,"AAAAAH9zo7M=")</f>
        <v>#REF!</v>
      </c>
      <c r="FY36" t="e">
        <f>AND(NhatkyBan!#REF!,"AAAAAH9zo7Q=")</f>
        <v>#REF!</v>
      </c>
      <c r="FZ36" t="e">
        <f>AND(NhatkyBan!#REF!,"AAAAAH9zo7U=")</f>
        <v>#REF!</v>
      </c>
      <c r="GA36" t="e">
        <f>AND(NhatkyBan!#REF!,"AAAAAH9zo7Y=")</f>
        <v>#REF!</v>
      </c>
      <c r="GB36" t="e">
        <f>AND(NhatkyBan!#REF!,"AAAAAH9zo7c=")</f>
        <v>#REF!</v>
      </c>
      <c r="GC36" t="e">
        <f>AND(NhatkyBan!#REF!,"AAAAAH9zo7g=")</f>
        <v>#REF!</v>
      </c>
      <c r="GD36" t="e">
        <f>AND(NhatkyBan!#REF!,"AAAAAH9zo7k=")</f>
        <v>#REF!</v>
      </c>
      <c r="GE36" t="e">
        <f>AND(NhatkyBan!#REF!,"AAAAAH9zo7o=")</f>
        <v>#REF!</v>
      </c>
      <c r="GF36" t="e">
        <f>AND(NhatkyBan!#REF!,"AAAAAH9zo7s=")</f>
        <v>#REF!</v>
      </c>
      <c r="GG36" t="e">
        <f>AND(NhatkyBan!#REF!,"AAAAAH9zo7w=")</f>
        <v>#REF!</v>
      </c>
      <c r="GH36" t="e">
        <f>AND(NhatkyBan!#REF!,"AAAAAH9zo70=")</f>
        <v>#REF!</v>
      </c>
      <c r="GI36" t="e">
        <f>AND(NhatkyBan!#REF!,"AAAAAH9zo74=")</f>
        <v>#REF!</v>
      </c>
      <c r="GJ36" t="e">
        <f>AND(NhatkyBan!#REF!,"AAAAAH9zo78=")</f>
        <v>#REF!</v>
      </c>
      <c r="GK36" t="e">
        <f>AND(NhatkyBan!#REF!,"AAAAAH9zo8A=")</f>
        <v>#REF!</v>
      </c>
      <c r="GL36" t="e">
        <f>AND(NhatkyBan!#REF!,"AAAAAH9zo8E=")</f>
        <v>#REF!</v>
      </c>
      <c r="GM36" t="e">
        <f>AND(NhatkyBan!#REF!,"AAAAAH9zo8I=")</f>
        <v>#REF!</v>
      </c>
      <c r="GN36" t="e">
        <f>AND(NhatkyBan!#REF!,"AAAAAH9zo8M=")</f>
        <v>#REF!</v>
      </c>
      <c r="GO36" t="e">
        <f>AND(NhatkyBan!#REF!,"AAAAAH9zo8Q=")</f>
        <v>#REF!</v>
      </c>
      <c r="GP36" t="e">
        <f>AND(NhatkyBan!#REF!,"AAAAAH9zo8U=")</f>
        <v>#REF!</v>
      </c>
      <c r="GQ36" t="e">
        <f>AND(NhatkyBan!#REF!,"AAAAAH9zo8Y=")</f>
        <v>#REF!</v>
      </c>
      <c r="GR36" t="e">
        <f>AND(NhatkyBan!#REF!,"AAAAAH9zo8c=")</f>
        <v>#REF!</v>
      </c>
      <c r="GS36" t="e">
        <f>AND(NhatkyBan!#REF!,"AAAAAH9zo8g=")</f>
        <v>#REF!</v>
      </c>
      <c r="GT36" t="e">
        <f>AND(NhatkyBan!#REF!,"AAAAAH9zo8k=")</f>
        <v>#REF!</v>
      </c>
      <c r="GU36" t="e">
        <f>AND(NhatkyBan!#REF!,"AAAAAH9zo8o=")</f>
        <v>#REF!</v>
      </c>
      <c r="GV36" t="e">
        <f>AND(NhatkyBan!#REF!,"AAAAAH9zo8s=")</f>
        <v>#REF!</v>
      </c>
      <c r="GW36" t="e">
        <f>AND(NhatkyBan!#REF!,"AAAAAH9zo8w=")</f>
        <v>#REF!</v>
      </c>
      <c r="GX36" t="e">
        <f>AND(NhatkyBan!#REF!,"AAAAAH9zo80=")</f>
        <v>#REF!</v>
      </c>
      <c r="GY36" t="e">
        <f>IF(NhatkyBan!#REF!,"AAAAAH9zo84=",0)</f>
        <v>#REF!</v>
      </c>
      <c r="GZ36" t="e">
        <f>AND(NhatkyBan!#REF!,"AAAAAH9zo88=")</f>
        <v>#REF!</v>
      </c>
      <c r="HA36" t="e">
        <f>AND(NhatkyBan!#REF!,"AAAAAH9zo9A=")</f>
        <v>#REF!</v>
      </c>
      <c r="HB36" t="e">
        <f>AND(NhatkyBan!#REF!,"AAAAAH9zo9E=")</f>
        <v>#REF!</v>
      </c>
      <c r="HC36" t="e">
        <f>AND(NhatkyBan!#REF!,"AAAAAH9zo9I=")</f>
        <v>#REF!</v>
      </c>
      <c r="HD36" t="e">
        <f>AND(NhatkyBan!#REF!,"AAAAAH9zo9M=")</f>
        <v>#REF!</v>
      </c>
      <c r="HE36" t="e">
        <f>AND(NhatkyBan!#REF!,"AAAAAH9zo9Q=")</f>
        <v>#REF!</v>
      </c>
      <c r="HF36" t="e">
        <f>AND(NhatkyBan!#REF!,"AAAAAH9zo9U=")</f>
        <v>#REF!</v>
      </c>
      <c r="HG36" t="e">
        <f>AND(NhatkyBan!#REF!,"AAAAAH9zo9Y=")</f>
        <v>#REF!</v>
      </c>
      <c r="HH36" t="e">
        <f>AND(NhatkyBan!#REF!,"AAAAAH9zo9c=")</f>
        <v>#REF!</v>
      </c>
      <c r="HI36" t="e">
        <f>AND(NhatkyBan!#REF!,"AAAAAH9zo9g=")</f>
        <v>#REF!</v>
      </c>
      <c r="HJ36" t="e">
        <f>AND(NhatkyBan!#REF!,"AAAAAH9zo9k=")</f>
        <v>#REF!</v>
      </c>
      <c r="HK36" t="e">
        <f>AND(NhatkyBan!#REF!,"AAAAAH9zo9o=")</f>
        <v>#REF!</v>
      </c>
      <c r="HL36" t="e">
        <f>AND(NhatkyBan!#REF!,"AAAAAH9zo9s=")</f>
        <v>#REF!</v>
      </c>
      <c r="HM36" t="e">
        <f>AND(NhatkyBan!#REF!,"AAAAAH9zo9w=")</f>
        <v>#REF!</v>
      </c>
      <c r="HN36" t="e">
        <f>AND(NhatkyBan!#REF!,"AAAAAH9zo90=")</f>
        <v>#REF!</v>
      </c>
      <c r="HO36" t="e">
        <f>AND(NhatkyBan!#REF!,"AAAAAH9zo94=")</f>
        <v>#REF!</v>
      </c>
      <c r="HP36" t="e">
        <f>AND(NhatkyBan!#REF!,"AAAAAH9zo98=")</f>
        <v>#REF!</v>
      </c>
      <c r="HQ36" t="e">
        <f>AND(NhatkyBan!#REF!,"AAAAAH9zo+A=")</f>
        <v>#REF!</v>
      </c>
      <c r="HR36" t="e">
        <f>AND(NhatkyBan!#REF!,"AAAAAH9zo+E=")</f>
        <v>#REF!</v>
      </c>
      <c r="HS36" t="e">
        <f>AND(NhatkyBan!#REF!,"AAAAAH9zo+I=")</f>
        <v>#REF!</v>
      </c>
      <c r="HT36" t="e">
        <f>AND(NhatkyBan!#REF!,"AAAAAH9zo+M=")</f>
        <v>#REF!</v>
      </c>
      <c r="HU36" t="e">
        <f>AND(NhatkyBan!#REF!,"AAAAAH9zo+Q=")</f>
        <v>#REF!</v>
      </c>
      <c r="HV36" t="e">
        <f>AND(NhatkyBan!#REF!,"AAAAAH9zo+U=")</f>
        <v>#REF!</v>
      </c>
      <c r="HW36" t="e">
        <f>AND(NhatkyBan!#REF!,"AAAAAH9zo+Y=")</f>
        <v>#REF!</v>
      </c>
      <c r="HX36" t="e">
        <f>AND(NhatkyBan!#REF!,"AAAAAH9zo+c=")</f>
        <v>#REF!</v>
      </c>
      <c r="HY36" t="e">
        <f>AND(NhatkyBan!#REF!,"AAAAAH9zo+g=")</f>
        <v>#REF!</v>
      </c>
      <c r="HZ36" t="e">
        <f>AND(NhatkyBan!#REF!,"AAAAAH9zo+k=")</f>
        <v>#REF!</v>
      </c>
      <c r="IA36" t="e">
        <f>AND(NhatkyBan!#REF!,"AAAAAH9zo+o=")</f>
        <v>#REF!</v>
      </c>
      <c r="IB36" t="e">
        <f>AND(NhatkyBan!#REF!,"AAAAAH9zo+s=")</f>
        <v>#REF!</v>
      </c>
      <c r="IC36" t="e">
        <f>AND(NhatkyBan!#REF!,"AAAAAH9zo+w=")</f>
        <v>#REF!</v>
      </c>
      <c r="ID36" t="e">
        <f>AND(NhatkyBan!#REF!,"AAAAAH9zo+0=")</f>
        <v>#REF!</v>
      </c>
      <c r="IE36" t="e">
        <f>AND(NhatkyBan!#REF!,"AAAAAH9zo+4=")</f>
        <v>#REF!</v>
      </c>
      <c r="IF36" t="e">
        <f>AND(NhatkyBan!#REF!,"AAAAAH9zo+8=")</f>
        <v>#REF!</v>
      </c>
      <c r="IG36" t="e">
        <f>AND(NhatkyBan!#REF!,"AAAAAH9zo/A=")</f>
        <v>#REF!</v>
      </c>
      <c r="IH36" t="e">
        <f>IF(NhatkyBan!#REF!,"AAAAAH9zo/E=",0)</f>
        <v>#REF!</v>
      </c>
      <c r="II36" t="e">
        <f>AND(NhatkyBan!#REF!,"AAAAAH9zo/I=")</f>
        <v>#REF!</v>
      </c>
      <c r="IJ36" t="e">
        <f>AND(NhatkyBan!#REF!,"AAAAAH9zo/M=")</f>
        <v>#REF!</v>
      </c>
      <c r="IK36" t="e">
        <f>AND(NhatkyBan!#REF!,"AAAAAH9zo/Q=")</f>
        <v>#REF!</v>
      </c>
      <c r="IL36" t="e">
        <f>AND(NhatkyBan!#REF!,"AAAAAH9zo/U=")</f>
        <v>#REF!</v>
      </c>
      <c r="IM36" t="e">
        <f>AND(NhatkyBan!#REF!,"AAAAAH9zo/Y=")</f>
        <v>#REF!</v>
      </c>
      <c r="IN36" t="e">
        <f>AND(NhatkyBan!#REF!,"AAAAAH9zo/c=")</f>
        <v>#REF!</v>
      </c>
      <c r="IO36" t="e">
        <f>AND(NhatkyBan!#REF!,"AAAAAH9zo/g=")</f>
        <v>#REF!</v>
      </c>
      <c r="IP36" t="e">
        <f>AND(NhatkyBan!#REF!,"AAAAAH9zo/k=")</f>
        <v>#REF!</v>
      </c>
      <c r="IQ36" t="e">
        <f>AND(NhatkyBan!#REF!,"AAAAAH9zo/o=")</f>
        <v>#REF!</v>
      </c>
      <c r="IR36" t="e">
        <f>AND(NhatkyBan!#REF!,"AAAAAH9zo/s=")</f>
        <v>#REF!</v>
      </c>
      <c r="IS36" t="e">
        <f>AND(NhatkyBan!#REF!,"AAAAAH9zo/w=")</f>
        <v>#REF!</v>
      </c>
      <c r="IT36" t="e">
        <f>AND(NhatkyBan!#REF!,"AAAAAH9zo/0=")</f>
        <v>#REF!</v>
      </c>
      <c r="IU36" t="e">
        <f>AND(NhatkyBan!#REF!,"AAAAAH9zo/4=")</f>
        <v>#REF!</v>
      </c>
      <c r="IV36" t="e">
        <f>AND(NhatkyBan!#REF!,"AAAAAH9zo/8=")</f>
        <v>#REF!</v>
      </c>
    </row>
    <row r="37" spans="1:256">
      <c r="A37" t="e">
        <f>AND(NhatkyBan!#REF!,"AAAAAHvf8wA=")</f>
        <v>#REF!</v>
      </c>
      <c r="B37" t="e">
        <f>AND(NhatkyBan!#REF!,"AAAAAHvf8wE=")</f>
        <v>#REF!</v>
      </c>
      <c r="C37" t="e">
        <f>AND(NhatkyBan!#REF!,"AAAAAHvf8wI=")</f>
        <v>#REF!</v>
      </c>
      <c r="D37" t="e">
        <f>AND(NhatkyBan!#REF!,"AAAAAHvf8wM=")</f>
        <v>#REF!</v>
      </c>
      <c r="E37" t="e">
        <f>AND(NhatkyBan!#REF!,"AAAAAHvf8wQ=")</f>
        <v>#REF!</v>
      </c>
      <c r="F37" t="e">
        <f>AND(NhatkyBan!#REF!,"AAAAAHvf8wU=")</f>
        <v>#REF!</v>
      </c>
      <c r="G37" t="e">
        <f>AND(NhatkyBan!#REF!,"AAAAAHvf8wY=")</f>
        <v>#REF!</v>
      </c>
      <c r="H37" t="e">
        <f>AND(NhatkyBan!#REF!,"AAAAAHvf8wc=")</f>
        <v>#REF!</v>
      </c>
      <c r="I37" t="e">
        <f>AND(NhatkyBan!#REF!,"AAAAAHvf8wg=")</f>
        <v>#REF!</v>
      </c>
      <c r="J37" t="e">
        <f>AND(NhatkyBan!#REF!,"AAAAAHvf8wk=")</f>
        <v>#REF!</v>
      </c>
      <c r="K37" t="e">
        <f>AND(NhatkyBan!#REF!,"AAAAAHvf8wo=")</f>
        <v>#REF!</v>
      </c>
      <c r="L37" t="e">
        <f>AND(NhatkyBan!#REF!,"AAAAAHvf8ws=")</f>
        <v>#REF!</v>
      </c>
      <c r="M37" t="e">
        <f>AND(NhatkyBan!#REF!,"AAAAAHvf8ww=")</f>
        <v>#REF!</v>
      </c>
      <c r="N37" t="e">
        <f>AND(NhatkyBan!#REF!,"AAAAAHvf8w0=")</f>
        <v>#REF!</v>
      </c>
      <c r="O37" t="e">
        <f>AND(NhatkyBan!#REF!,"AAAAAHvf8w4=")</f>
        <v>#REF!</v>
      </c>
      <c r="P37" t="e">
        <f>AND(NhatkyBan!#REF!,"AAAAAHvf8w8=")</f>
        <v>#REF!</v>
      </c>
      <c r="Q37" t="e">
        <f>AND(NhatkyBan!#REF!,"AAAAAHvf8xA=")</f>
        <v>#REF!</v>
      </c>
      <c r="R37" t="e">
        <f>AND(NhatkyBan!#REF!,"AAAAAHvf8xE=")</f>
        <v>#REF!</v>
      </c>
      <c r="S37" t="e">
        <f>AND(NhatkyBan!#REF!,"AAAAAHvf8xI=")</f>
        <v>#REF!</v>
      </c>
      <c r="T37" t="e">
        <f>AND(NhatkyBan!#REF!,"AAAAAHvf8xM=")</f>
        <v>#REF!</v>
      </c>
      <c r="U37" t="e">
        <f>IF(NhatkyBan!#REF!,"AAAAAHvf8xQ=",0)</f>
        <v>#REF!</v>
      </c>
      <c r="V37" t="e">
        <f>AND(NhatkyBan!#REF!,"AAAAAHvf8xU=")</f>
        <v>#REF!</v>
      </c>
      <c r="W37" t="e">
        <f>AND(NhatkyBan!#REF!,"AAAAAHvf8xY=")</f>
        <v>#REF!</v>
      </c>
      <c r="X37" t="e">
        <f>AND(NhatkyBan!#REF!,"AAAAAHvf8xc=")</f>
        <v>#REF!</v>
      </c>
      <c r="Y37" t="e">
        <f>AND(NhatkyBan!#REF!,"AAAAAHvf8xg=")</f>
        <v>#REF!</v>
      </c>
      <c r="Z37" t="e">
        <f>AND(NhatkyBan!#REF!,"AAAAAHvf8xk=")</f>
        <v>#REF!</v>
      </c>
      <c r="AA37" t="e">
        <f>AND(NhatkyBan!#REF!,"AAAAAHvf8xo=")</f>
        <v>#REF!</v>
      </c>
      <c r="AB37" t="e">
        <f>AND(NhatkyBan!#REF!,"AAAAAHvf8xs=")</f>
        <v>#REF!</v>
      </c>
      <c r="AC37" t="e">
        <f>AND(NhatkyBan!#REF!,"AAAAAHvf8xw=")</f>
        <v>#REF!</v>
      </c>
      <c r="AD37" t="e">
        <f>AND(NhatkyBan!#REF!,"AAAAAHvf8x0=")</f>
        <v>#REF!</v>
      </c>
      <c r="AE37" t="e">
        <f>AND(NhatkyBan!#REF!,"AAAAAHvf8x4=")</f>
        <v>#REF!</v>
      </c>
      <c r="AF37" t="e">
        <f>AND(NhatkyBan!#REF!,"AAAAAHvf8x8=")</f>
        <v>#REF!</v>
      </c>
      <c r="AG37" t="e">
        <f>AND(NhatkyBan!#REF!,"AAAAAHvf8yA=")</f>
        <v>#REF!</v>
      </c>
      <c r="AH37" t="e">
        <f>AND(NhatkyBan!#REF!,"AAAAAHvf8yE=")</f>
        <v>#REF!</v>
      </c>
      <c r="AI37" t="e">
        <f>AND(NhatkyBan!#REF!,"AAAAAHvf8yI=")</f>
        <v>#REF!</v>
      </c>
      <c r="AJ37" t="e">
        <f>AND(NhatkyBan!#REF!,"AAAAAHvf8yM=")</f>
        <v>#REF!</v>
      </c>
      <c r="AK37" t="e">
        <f>AND(NhatkyBan!#REF!,"AAAAAHvf8yQ=")</f>
        <v>#REF!</v>
      </c>
      <c r="AL37" t="e">
        <f>AND(NhatkyBan!#REF!,"AAAAAHvf8yU=")</f>
        <v>#REF!</v>
      </c>
      <c r="AM37" t="e">
        <f>AND(NhatkyBan!#REF!,"AAAAAHvf8yY=")</f>
        <v>#REF!</v>
      </c>
      <c r="AN37" t="e">
        <f>AND(NhatkyBan!#REF!,"AAAAAHvf8yc=")</f>
        <v>#REF!</v>
      </c>
      <c r="AO37" t="e">
        <f>AND(NhatkyBan!#REF!,"AAAAAHvf8yg=")</f>
        <v>#REF!</v>
      </c>
      <c r="AP37" t="e">
        <f>AND(NhatkyBan!#REF!,"AAAAAHvf8yk=")</f>
        <v>#REF!</v>
      </c>
      <c r="AQ37" t="e">
        <f>AND(NhatkyBan!#REF!,"AAAAAHvf8yo=")</f>
        <v>#REF!</v>
      </c>
      <c r="AR37" t="e">
        <f>AND(NhatkyBan!#REF!,"AAAAAHvf8ys=")</f>
        <v>#REF!</v>
      </c>
      <c r="AS37" t="e">
        <f>AND(NhatkyBan!#REF!,"AAAAAHvf8yw=")</f>
        <v>#REF!</v>
      </c>
      <c r="AT37" t="e">
        <f>AND(NhatkyBan!#REF!,"AAAAAHvf8y0=")</f>
        <v>#REF!</v>
      </c>
      <c r="AU37" t="e">
        <f>AND(NhatkyBan!#REF!,"AAAAAHvf8y4=")</f>
        <v>#REF!</v>
      </c>
      <c r="AV37" t="e">
        <f>AND(NhatkyBan!#REF!,"AAAAAHvf8y8=")</f>
        <v>#REF!</v>
      </c>
      <c r="AW37" t="e">
        <f>AND(NhatkyBan!#REF!,"AAAAAHvf8zA=")</f>
        <v>#REF!</v>
      </c>
      <c r="AX37" t="e">
        <f>AND(NhatkyBan!#REF!,"AAAAAHvf8zE=")</f>
        <v>#REF!</v>
      </c>
      <c r="AY37" t="e">
        <f>AND(NhatkyBan!#REF!,"AAAAAHvf8zI=")</f>
        <v>#REF!</v>
      </c>
      <c r="AZ37" t="e">
        <f>AND(NhatkyBan!#REF!,"AAAAAHvf8zM=")</f>
        <v>#REF!</v>
      </c>
      <c r="BA37" t="e">
        <f>AND(NhatkyBan!#REF!,"AAAAAHvf8zQ=")</f>
        <v>#REF!</v>
      </c>
      <c r="BB37" t="e">
        <f>AND(NhatkyBan!#REF!,"AAAAAHvf8zU=")</f>
        <v>#REF!</v>
      </c>
      <c r="BC37" t="e">
        <f>AND(NhatkyBan!#REF!,"AAAAAHvf8zY=")</f>
        <v>#REF!</v>
      </c>
      <c r="BD37" t="e">
        <f>IF(NhatkyBan!#REF!,"AAAAAHvf8zc=",0)</f>
        <v>#REF!</v>
      </c>
      <c r="BE37" t="e">
        <f>AND(NhatkyBan!#REF!,"AAAAAHvf8zg=")</f>
        <v>#REF!</v>
      </c>
      <c r="BF37" t="e">
        <f>AND(NhatkyBan!#REF!,"AAAAAHvf8zk=")</f>
        <v>#REF!</v>
      </c>
      <c r="BG37" t="e">
        <f>AND(NhatkyBan!#REF!,"AAAAAHvf8zo=")</f>
        <v>#REF!</v>
      </c>
      <c r="BH37" t="e">
        <f>AND(NhatkyBan!#REF!,"AAAAAHvf8zs=")</f>
        <v>#REF!</v>
      </c>
      <c r="BI37" t="e">
        <f>AND(NhatkyBan!#REF!,"AAAAAHvf8zw=")</f>
        <v>#REF!</v>
      </c>
      <c r="BJ37" t="e">
        <f>AND(NhatkyBan!#REF!,"AAAAAHvf8z0=")</f>
        <v>#REF!</v>
      </c>
      <c r="BK37" t="e">
        <f>AND(NhatkyBan!#REF!,"AAAAAHvf8z4=")</f>
        <v>#REF!</v>
      </c>
      <c r="BL37" t="e">
        <f>AND(NhatkyBan!#REF!,"AAAAAHvf8z8=")</f>
        <v>#REF!</v>
      </c>
      <c r="BM37" t="e">
        <f>AND(NhatkyBan!#REF!,"AAAAAHvf80A=")</f>
        <v>#REF!</v>
      </c>
      <c r="BN37" t="e">
        <f>AND(NhatkyBan!#REF!,"AAAAAHvf80E=")</f>
        <v>#REF!</v>
      </c>
      <c r="BO37" t="e">
        <f>AND(NhatkyBan!#REF!,"AAAAAHvf80I=")</f>
        <v>#REF!</v>
      </c>
      <c r="BP37" t="e">
        <f>AND(NhatkyBan!#REF!,"AAAAAHvf80M=")</f>
        <v>#REF!</v>
      </c>
      <c r="BQ37" t="e">
        <f>AND(NhatkyBan!#REF!,"AAAAAHvf80Q=")</f>
        <v>#REF!</v>
      </c>
      <c r="BR37" t="e">
        <f>AND(NhatkyBan!#REF!,"AAAAAHvf80U=")</f>
        <v>#REF!</v>
      </c>
      <c r="BS37" t="e">
        <f>AND(NhatkyBan!#REF!,"AAAAAHvf80Y=")</f>
        <v>#REF!</v>
      </c>
      <c r="BT37" t="e">
        <f>AND(NhatkyBan!#REF!,"AAAAAHvf80c=")</f>
        <v>#REF!</v>
      </c>
      <c r="BU37" t="e">
        <f>AND(NhatkyBan!#REF!,"AAAAAHvf80g=")</f>
        <v>#REF!</v>
      </c>
      <c r="BV37" t="e">
        <f>AND(NhatkyBan!#REF!,"AAAAAHvf80k=")</f>
        <v>#REF!</v>
      </c>
      <c r="BW37" t="e">
        <f>AND(NhatkyBan!#REF!,"AAAAAHvf80o=")</f>
        <v>#REF!</v>
      </c>
      <c r="BX37" t="e">
        <f>AND(NhatkyBan!#REF!,"AAAAAHvf80s=")</f>
        <v>#REF!</v>
      </c>
      <c r="BY37" t="e">
        <f>AND(NhatkyBan!#REF!,"AAAAAHvf80w=")</f>
        <v>#REF!</v>
      </c>
      <c r="BZ37" t="e">
        <f>AND(NhatkyBan!#REF!,"AAAAAHvf800=")</f>
        <v>#REF!</v>
      </c>
      <c r="CA37" t="e">
        <f>AND(NhatkyBan!#REF!,"AAAAAHvf804=")</f>
        <v>#REF!</v>
      </c>
      <c r="CB37" t="e">
        <f>AND(NhatkyBan!#REF!,"AAAAAHvf808=")</f>
        <v>#REF!</v>
      </c>
      <c r="CC37" t="e">
        <f>AND(NhatkyBan!#REF!,"AAAAAHvf81A=")</f>
        <v>#REF!</v>
      </c>
      <c r="CD37" t="e">
        <f>AND(NhatkyBan!#REF!,"AAAAAHvf81E=")</f>
        <v>#REF!</v>
      </c>
      <c r="CE37" t="e">
        <f>AND(NhatkyBan!#REF!,"AAAAAHvf81I=")</f>
        <v>#REF!</v>
      </c>
      <c r="CF37" t="e">
        <f>AND(NhatkyBan!#REF!,"AAAAAHvf81M=")</f>
        <v>#REF!</v>
      </c>
      <c r="CG37" t="e">
        <f>AND(NhatkyBan!#REF!,"AAAAAHvf81Q=")</f>
        <v>#REF!</v>
      </c>
      <c r="CH37" t="e">
        <f>AND(NhatkyBan!#REF!,"AAAAAHvf81U=")</f>
        <v>#REF!</v>
      </c>
      <c r="CI37" t="e">
        <f>AND(NhatkyBan!#REF!,"AAAAAHvf81Y=")</f>
        <v>#REF!</v>
      </c>
      <c r="CJ37" t="e">
        <f>AND(NhatkyBan!#REF!,"AAAAAHvf81c=")</f>
        <v>#REF!</v>
      </c>
      <c r="CK37" t="e">
        <f>AND(NhatkyBan!#REF!,"AAAAAHvf81g=")</f>
        <v>#REF!</v>
      </c>
      <c r="CL37" t="e">
        <f>AND(NhatkyBan!#REF!,"AAAAAHvf81k=")</f>
        <v>#REF!</v>
      </c>
      <c r="CM37" t="e">
        <f>IF(NhatkyBan!#REF!,"AAAAAHvf81o=",0)</f>
        <v>#REF!</v>
      </c>
      <c r="CN37" t="e">
        <f>AND(NhatkyBan!#REF!,"AAAAAHvf81s=")</f>
        <v>#REF!</v>
      </c>
      <c r="CO37" t="e">
        <f>AND(NhatkyBan!#REF!,"AAAAAHvf81w=")</f>
        <v>#REF!</v>
      </c>
      <c r="CP37" t="e">
        <f>AND(NhatkyBan!#REF!,"AAAAAHvf810=")</f>
        <v>#REF!</v>
      </c>
      <c r="CQ37" t="e">
        <f>AND(NhatkyBan!#REF!,"AAAAAHvf814=")</f>
        <v>#REF!</v>
      </c>
      <c r="CR37" t="e">
        <f>AND(NhatkyBan!#REF!,"AAAAAHvf818=")</f>
        <v>#REF!</v>
      </c>
      <c r="CS37" t="e">
        <f>AND(NhatkyBan!#REF!,"AAAAAHvf82A=")</f>
        <v>#REF!</v>
      </c>
      <c r="CT37" t="e">
        <f>AND(NhatkyBan!#REF!,"AAAAAHvf82E=")</f>
        <v>#REF!</v>
      </c>
      <c r="CU37" t="e">
        <f>AND(NhatkyBan!#REF!,"AAAAAHvf82I=")</f>
        <v>#REF!</v>
      </c>
      <c r="CV37" t="e">
        <f>AND(NhatkyBan!#REF!,"AAAAAHvf82M=")</f>
        <v>#REF!</v>
      </c>
      <c r="CW37" t="e">
        <f>AND(NhatkyBan!#REF!,"AAAAAHvf82Q=")</f>
        <v>#REF!</v>
      </c>
      <c r="CX37" t="e">
        <f>AND(NhatkyBan!#REF!,"AAAAAHvf82U=")</f>
        <v>#REF!</v>
      </c>
      <c r="CY37" t="e">
        <f>AND(NhatkyBan!#REF!,"AAAAAHvf82Y=")</f>
        <v>#REF!</v>
      </c>
      <c r="CZ37" t="e">
        <f>AND(NhatkyBan!#REF!,"AAAAAHvf82c=")</f>
        <v>#REF!</v>
      </c>
      <c r="DA37" t="e">
        <f>AND(NhatkyBan!#REF!,"AAAAAHvf82g=")</f>
        <v>#REF!</v>
      </c>
      <c r="DB37" t="e">
        <f>AND(NhatkyBan!#REF!,"AAAAAHvf82k=")</f>
        <v>#REF!</v>
      </c>
      <c r="DC37" t="e">
        <f>AND(NhatkyBan!#REF!,"AAAAAHvf82o=")</f>
        <v>#REF!</v>
      </c>
      <c r="DD37" t="e">
        <f>AND(NhatkyBan!#REF!,"AAAAAHvf82s=")</f>
        <v>#REF!</v>
      </c>
      <c r="DE37" t="e">
        <f>AND(NhatkyBan!#REF!,"AAAAAHvf82w=")</f>
        <v>#REF!</v>
      </c>
      <c r="DF37" t="e">
        <f>AND(NhatkyBan!#REF!,"AAAAAHvf820=")</f>
        <v>#REF!</v>
      </c>
      <c r="DG37" t="e">
        <f>AND(NhatkyBan!#REF!,"AAAAAHvf824=")</f>
        <v>#REF!</v>
      </c>
      <c r="DH37" t="e">
        <f>AND(NhatkyBan!#REF!,"AAAAAHvf828=")</f>
        <v>#REF!</v>
      </c>
      <c r="DI37" t="e">
        <f>AND(NhatkyBan!#REF!,"AAAAAHvf83A=")</f>
        <v>#REF!</v>
      </c>
      <c r="DJ37" t="e">
        <f>AND(NhatkyBan!#REF!,"AAAAAHvf83E=")</f>
        <v>#REF!</v>
      </c>
      <c r="DK37" t="e">
        <f>AND(NhatkyBan!#REF!,"AAAAAHvf83I=")</f>
        <v>#REF!</v>
      </c>
      <c r="DL37" t="e">
        <f>AND(NhatkyBan!#REF!,"AAAAAHvf83M=")</f>
        <v>#REF!</v>
      </c>
      <c r="DM37" t="e">
        <f>AND(NhatkyBan!#REF!,"AAAAAHvf83Q=")</f>
        <v>#REF!</v>
      </c>
      <c r="DN37" t="e">
        <f>AND(NhatkyBan!#REF!,"AAAAAHvf83U=")</f>
        <v>#REF!</v>
      </c>
      <c r="DO37" t="e">
        <f>AND(NhatkyBan!#REF!,"AAAAAHvf83Y=")</f>
        <v>#REF!</v>
      </c>
      <c r="DP37" t="e">
        <f>AND(NhatkyBan!#REF!,"AAAAAHvf83c=")</f>
        <v>#REF!</v>
      </c>
      <c r="DQ37" t="e">
        <f>AND(NhatkyBan!#REF!,"AAAAAHvf83g=")</f>
        <v>#REF!</v>
      </c>
      <c r="DR37" t="e">
        <f>AND(NhatkyBan!#REF!,"AAAAAHvf83k=")</f>
        <v>#REF!</v>
      </c>
      <c r="DS37" t="e">
        <f>AND(NhatkyBan!#REF!,"AAAAAHvf83o=")</f>
        <v>#REF!</v>
      </c>
      <c r="DT37" t="e">
        <f>AND(NhatkyBan!#REF!,"AAAAAHvf83s=")</f>
        <v>#REF!</v>
      </c>
      <c r="DU37" t="e">
        <f>AND(NhatkyBan!#REF!,"AAAAAHvf83w=")</f>
        <v>#REF!</v>
      </c>
      <c r="DV37" t="e">
        <f>IF(NhatkyBan!#REF!,"AAAAAHvf830=",0)</f>
        <v>#REF!</v>
      </c>
      <c r="DW37" t="e">
        <f>AND(NhatkyBan!#REF!,"AAAAAHvf834=")</f>
        <v>#REF!</v>
      </c>
      <c r="DX37" t="e">
        <f>AND(NhatkyBan!#REF!,"AAAAAHvf838=")</f>
        <v>#REF!</v>
      </c>
      <c r="DY37" t="e">
        <f>AND(NhatkyBan!#REF!,"AAAAAHvf84A=")</f>
        <v>#REF!</v>
      </c>
      <c r="DZ37" t="e">
        <f>AND(NhatkyBan!#REF!,"AAAAAHvf84E=")</f>
        <v>#REF!</v>
      </c>
      <c r="EA37" t="e">
        <f>AND(NhatkyBan!#REF!,"AAAAAHvf84I=")</f>
        <v>#REF!</v>
      </c>
      <c r="EB37" t="e">
        <f>AND(NhatkyBan!#REF!,"AAAAAHvf84M=")</f>
        <v>#REF!</v>
      </c>
      <c r="EC37" t="e">
        <f>AND(NhatkyBan!#REF!,"AAAAAHvf84Q=")</f>
        <v>#REF!</v>
      </c>
      <c r="ED37" t="e">
        <f>AND(NhatkyBan!#REF!,"AAAAAHvf84U=")</f>
        <v>#REF!</v>
      </c>
      <c r="EE37" t="e">
        <f>AND(NhatkyBan!#REF!,"AAAAAHvf84Y=")</f>
        <v>#REF!</v>
      </c>
      <c r="EF37" t="e">
        <f>AND(NhatkyBan!#REF!,"AAAAAHvf84c=")</f>
        <v>#REF!</v>
      </c>
      <c r="EG37" t="e">
        <f>AND(NhatkyBan!#REF!,"AAAAAHvf84g=")</f>
        <v>#REF!</v>
      </c>
      <c r="EH37" t="e">
        <f>AND(NhatkyBan!#REF!,"AAAAAHvf84k=")</f>
        <v>#REF!</v>
      </c>
      <c r="EI37" t="e">
        <f>AND(NhatkyBan!#REF!,"AAAAAHvf84o=")</f>
        <v>#REF!</v>
      </c>
      <c r="EJ37" t="e">
        <f>AND(NhatkyBan!#REF!,"AAAAAHvf84s=")</f>
        <v>#REF!</v>
      </c>
      <c r="EK37" t="e">
        <f>AND(NhatkyBan!#REF!,"AAAAAHvf84w=")</f>
        <v>#REF!</v>
      </c>
      <c r="EL37" t="e">
        <f>AND(NhatkyBan!#REF!,"AAAAAHvf840=")</f>
        <v>#REF!</v>
      </c>
      <c r="EM37" t="e">
        <f>AND(NhatkyBan!#REF!,"AAAAAHvf844=")</f>
        <v>#REF!</v>
      </c>
      <c r="EN37" t="e">
        <f>AND(NhatkyBan!#REF!,"AAAAAHvf848=")</f>
        <v>#REF!</v>
      </c>
      <c r="EO37" t="e">
        <f>AND(NhatkyBan!#REF!,"AAAAAHvf85A=")</f>
        <v>#REF!</v>
      </c>
      <c r="EP37" t="e">
        <f>AND(NhatkyBan!#REF!,"AAAAAHvf85E=")</f>
        <v>#REF!</v>
      </c>
      <c r="EQ37" t="e">
        <f>AND(NhatkyBan!#REF!,"AAAAAHvf85I=")</f>
        <v>#REF!</v>
      </c>
      <c r="ER37" t="e">
        <f>AND(NhatkyBan!#REF!,"AAAAAHvf85M=")</f>
        <v>#REF!</v>
      </c>
      <c r="ES37" t="e">
        <f>AND(NhatkyBan!#REF!,"AAAAAHvf85Q=")</f>
        <v>#REF!</v>
      </c>
      <c r="ET37" t="e">
        <f>AND(NhatkyBan!#REF!,"AAAAAHvf85U=")</f>
        <v>#REF!</v>
      </c>
      <c r="EU37" t="e">
        <f>AND(NhatkyBan!#REF!,"AAAAAHvf85Y=")</f>
        <v>#REF!</v>
      </c>
      <c r="EV37" t="e">
        <f>AND(NhatkyBan!#REF!,"AAAAAHvf85c=")</f>
        <v>#REF!</v>
      </c>
      <c r="EW37" t="e">
        <f>AND(NhatkyBan!#REF!,"AAAAAHvf85g=")</f>
        <v>#REF!</v>
      </c>
      <c r="EX37" t="e">
        <f>AND(NhatkyBan!#REF!,"AAAAAHvf85k=")</f>
        <v>#REF!</v>
      </c>
      <c r="EY37" t="e">
        <f>AND(NhatkyBan!#REF!,"AAAAAHvf85o=")</f>
        <v>#REF!</v>
      </c>
      <c r="EZ37" t="e">
        <f>AND(NhatkyBan!#REF!,"AAAAAHvf85s=")</f>
        <v>#REF!</v>
      </c>
      <c r="FA37" t="e">
        <f>AND(NhatkyBan!#REF!,"AAAAAHvf85w=")</f>
        <v>#REF!</v>
      </c>
      <c r="FB37" t="e">
        <f>AND(NhatkyBan!#REF!,"AAAAAHvf850=")</f>
        <v>#REF!</v>
      </c>
      <c r="FC37" t="e">
        <f>AND(NhatkyBan!#REF!,"AAAAAHvf854=")</f>
        <v>#REF!</v>
      </c>
      <c r="FD37" t="e">
        <f>AND(NhatkyBan!#REF!,"AAAAAHvf858=")</f>
        <v>#REF!</v>
      </c>
      <c r="FE37" t="e">
        <f>IF(NhatkyBan!#REF!,"AAAAAHvf86A=",0)</f>
        <v>#REF!</v>
      </c>
      <c r="FF37" t="e">
        <f>AND(NhatkyBan!#REF!,"AAAAAHvf86E=")</f>
        <v>#REF!</v>
      </c>
      <c r="FG37" t="e">
        <f>AND(NhatkyBan!#REF!,"AAAAAHvf86I=")</f>
        <v>#REF!</v>
      </c>
      <c r="FH37" t="e">
        <f>AND(NhatkyBan!#REF!,"AAAAAHvf86M=")</f>
        <v>#REF!</v>
      </c>
      <c r="FI37" t="e">
        <f>AND(NhatkyBan!#REF!,"AAAAAHvf86Q=")</f>
        <v>#REF!</v>
      </c>
      <c r="FJ37" t="e">
        <f>AND(NhatkyBan!#REF!,"AAAAAHvf86U=")</f>
        <v>#REF!</v>
      </c>
      <c r="FK37" t="e">
        <f>AND(NhatkyBan!#REF!,"AAAAAHvf86Y=")</f>
        <v>#REF!</v>
      </c>
      <c r="FL37" t="e">
        <f>AND(NhatkyBan!#REF!,"AAAAAHvf86c=")</f>
        <v>#REF!</v>
      </c>
      <c r="FM37" t="e">
        <f>AND(NhatkyBan!#REF!,"AAAAAHvf86g=")</f>
        <v>#REF!</v>
      </c>
      <c r="FN37" t="e">
        <f>AND(NhatkyBan!#REF!,"AAAAAHvf86k=")</f>
        <v>#REF!</v>
      </c>
      <c r="FO37" t="e">
        <f>AND(NhatkyBan!#REF!,"AAAAAHvf86o=")</f>
        <v>#REF!</v>
      </c>
      <c r="FP37" t="e">
        <f>AND(NhatkyBan!#REF!,"AAAAAHvf86s=")</f>
        <v>#REF!</v>
      </c>
      <c r="FQ37" t="e">
        <f>AND(NhatkyBan!#REF!,"AAAAAHvf86w=")</f>
        <v>#REF!</v>
      </c>
      <c r="FR37" t="e">
        <f>AND(NhatkyBan!#REF!,"AAAAAHvf860=")</f>
        <v>#REF!</v>
      </c>
      <c r="FS37" t="e">
        <f>AND(NhatkyBan!#REF!,"AAAAAHvf864=")</f>
        <v>#REF!</v>
      </c>
      <c r="FT37" t="e">
        <f>AND(NhatkyBan!#REF!,"AAAAAHvf868=")</f>
        <v>#REF!</v>
      </c>
      <c r="FU37" t="e">
        <f>AND(NhatkyBan!#REF!,"AAAAAHvf87A=")</f>
        <v>#REF!</v>
      </c>
      <c r="FV37" t="e">
        <f>AND(NhatkyBan!#REF!,"AAAAAHvf87E=")</f>
        <v>#REF!</v>
      </c>
      <c r="FW37" t="e">
        <f>AND(NhatkyBan!#REF!,"AAAAAHvf87I=")</f>
        <v>#REF!</v>
      </c>
      <c r="FX37" t="e">
        <f>AND(NhatkyBan!#REF!,"AAAAAHvf87M=")</f>
        <v>#REF!</v>
      </c>
      <c r="FY37" t="e">
        <f>AND(NhatkyBan!#REF!,"AAAAAHvf87Q=")</f>
        <v>#REF!</v>
      </c>
      <c r="FZ37" t="e">
        <f>AND(NhatkyBan!#REF!,"AAAAAHvf87U=")</f>
        <v>#REF!</v>
      </c>
      <c r="GA37" t="e">
        <f>AND(NhatkyBan!#REF!,"AAAAAHvf87Y=")</f>
        <v>#REF!</v>
      </c>
      <c r="GB37" t="e">
        <f>AND(NhatkyBan!#REF!,"AAAAAHvf87c=")</f>
        <v>#REF!</v>
      </c>
      <c r="GC37" t="e">
        <f>AND(NhatkyBan!#REF!,"AAAAAHvf87g=")</f>
        <v>#REF!</v>
      </c>
      <c r="GD37" t="e">
        <f>AND(NhatkyBan!#REF!,"AAAAAHvf87k=")</f>
        <v>#REF!</v>
      </c>
      <c r="GE37" t="e">
        <f>AND(NhatkyBan!#REF!,"AAAAAHvf87o=")</f>
        <v>#REF!</v>
      </c>
      <c r="GF37" t="e">
        <f>AND(NhatkyBan!#REF!,"AAAAAHvf87s=")</f>
        <v>#REF!</v>
      </c>
      <c r="GG37" t="e">
        <f>AND(NhatkyBan!#REF!,"AAAAAHvf87w=")</f>
        <v>#REF!</v>
      </c>
      <c r="GH37" t="e">
        <f>AND(NhatkyBan!#REF!,"AAAAAHvf870=")</f>
        <v>#REF!</v>
      </c>
      <c r="GI37" t="e">
        <f>AND(NhatkyBan!#REF!,"AAAAAHvf874=")</f>
        <v>#REF!</v>
      </c>
      <c r="GJ37" t="e">
        <f>AND(NhatkyBan!#REF!,"AAAAAHvf878=")</f>
        <v>#REF!</v>
      </c>
      <c r="GK37" t="e">
        <f>AND(NhatkyBan!#REF!,"AAAAAHvf88A=")</f>
        <v>#REF!</v>
      </c>
      <c r="GL37" t="e">
        <f>AND(NhatkyBan!#REF!,"AAAAAHvf88E=")</f>
        <v>#REF!</v>
      </c>
      <c r="GM37" t="e">
        <f>AND(NhatkyBan!#REF!,"AAAAAHvf88I=")</f>
        <v>#REF!</v>
      </c>
      <c r="GN37" t="e">
        <f>IF(NhatkyBan!#REF!,"AAAAAHvf88M=",0)</f>
        <v>#REF!</v>
      </c>
      <c r="GO37" t="e">
        <f>AND(NhatkyBan!#REF!,"AAAAAHvf88Q=")</f>
        <v>#REF!</v>
      </c>
      <c r="GP37" t="e">
        <f>AND(NhatkyBan!#REF!,"AAAAAHvf88U=")</f>
        <v>#REF!</v>
      </c>
      <c r="GQ37" t="e">
        <f>AND(NhatkyBan!#REF!,"AAAAAHvf88Y=")</f>
        <v>#REF!</v>
      </c>
      <c r="GR37" t="e">
        <f>AND(NhatkyBan!#REF!,"AAAAAHvf88c=")</f>
        <v>#REF!</v>
      </c>
      <c r="GS37" t="e">
        <f>AND(NhatkyBan!#REF!,"AAAAAHvf88g=")</f>
        <v>#REF!</v>
      </c>
      <c r="GT37" t="e">
        <f>AND(NhatkyBan!#REF!,"AAAAAHvf88k=")</f>
        <v>#REF!</v>
      </c>
      <c r="GU37" t="e">
        <f>AND(NhatkyBan!#REF!,"AAAAAHvf88o=")</f>
        <v>#REF!</v>
      </c>
      <c r="GV37" t="e">
        <f>AND(NhatkyBan!#REF!,"AAAAAHvf88s=")</f>
        <v>#REF!</v>
      </c>
      <c r="GW37" t="e">
        <f>AND(NhatkyBan!#REF!,"AAAAAHvf88w=")</f>
        <v>#REF!</v>
      </c>
      <c r="GX37" t="e">
        <f>AND(NhatkyBan!#REF!,"AAAAAHvf880=")</f>
        <v>#REF!</v>
      </c>
      <c r="GY37" t="e">
        <f>AND(NhatkyBan!#REF!,"AAAAAHvf884=")</f>
        <v>#REF!</v>
      </c>
      <c r="GZ37" t="e">
        <f>AND(NhatkyBan!#REF!,"AAAAAHvf888=")</f>
        <v>#REF!</v>
      </c>
      <c r="HA37" t="e">
        <f>AND(NhatkyBan!#REF!,"AAAAAHvf89A=")</f>
        <v>#REF!</v>
      </c>
      <c r="HB37" t="e">
        <f>AND(NhatkyBan!#REF!,"AAAAAHvf89E=")</f>
        <v>#REF!</v>
      </c>
      <c r="HC37" t="e">
        <f>AND(NhatkyBan!#REF!,"AAAAAHvf89I=")</f>
        <v>#REF!</v>
      </c>
      <c r="HD37" t="e">
        <f>AND(NhatkyBan!#REF!,"AAAAAHvf89M=")</f>
        <v>#REF!</v>
      </c>
      <c r="HE37" t="e">
        <f>AND(NhatkyBan!#REF!,"AAAAAHvf89Q=")</f>
        <v>#REF!</v>
      </c>
      <c r="HF37" t="e">
        <f>AND(NhatkyBan!#REF!,"AAAAAHvf89U=")</f>
        <v>#REF!</v>
      </c>
      <c r="HG37" t="e">
        <f>AND(NhatkyBan!#REF!,"AAAAAHvf89Y=")</f>
        <v>#REF!</v>
      </c>
      <c r="HH37" t="e">
        <f>AND(NhatkyBan!#REF!,"AAAAAHvf89c=")</f>
        <v>#REF!</v>
      </c>
      <c r="HI37" t="e">
        <f>AND(NhatkyBan!#REF!,"AAAAAHvf89g=")</f>
        <v>#REF!</v>
      </c>
      <c r="HJ37" t="e">
        <f>AND(NhatkyBan!#REF!,"AAAAAHvf89k=")</f>
        <v>#REF!</v>
      </c>
      <c r="HK37" t="e">
        <f>AND(NhatkyBan!#REF!,"AAAAAHvf89o=")</f>
        <v>#REF!</v>
      </c>
      <c r="HL37" t="e">
        <f>AND(NhatkyBan!#REF!,"AAAAAHvf89s=")</f>
        <v>#REF!</v>
      </c>
      <c r="HM37" t="e">
        <f>AND(NhatkyBan!#REF!,"AAAAAHvf89w=")</f>
        <v>#REF!</v>
      </c>
      <c r="HN37" t="e">
        <f>AND(NhatkyBan!#REF!,"AAAAAHvf890=")</f>
        <v>#REF!</v>
      </c>
      <c r="HO37" t="e">
        <f>AND(NhatkyBan!#REF!,"AAAAAHvf894=")</f>
        <v>#REF!</v>
      </c>
      <c r="HP37" t="e">
        <f>AND(NhatkyBan!#REF!,"AAAAAHvf898=")</f>
        <v>#REF!</v>
      </c>
      <c r="HQ37" t="e">
        <f>AND(NhatkyBan!#REF!,"AAAAAHvf8+A=")</f>
        <v>#REF!</v>
      </c>
      <c r="HR37" t="e">
        <f>AND(NhatkyBan!#REF!,"AAAAAHvf8+E=")</f>
        <v>#REF!</v>
      </c>
      <c r="HS37" t="e">
        <f>AND(NhatkyBan!#REF!,"AAAAAHvf8+I=")</f>
        <v>#REF!</v>
      </c>
      <c r="HT37" t="e">
        <f>AND(NhatkyBan!#REF!,"AAAAAHvf8+M=")</f>
        <v>#REF!</v>
      </c>
      <c r="HU37" t="e">
        <f>AND(NhatkyBan!#REF!,"AAAAAHvf8+Q=")</f>
        <v>#REF!</v>
      </c>
      <c r="HV37" t="e">
        <f>AND(NhatkyBan!#REF!,"AAAAAHvf8+U=")</f>
        <v>#REF!</v>
      </c>
      <c r="HW37" t="e">
        <f>IF(NhatkyBan!#REF!,"AAAAAHvf8+Y=",0)</f>
        <v>#REF!</v>
      </c>
      <c r="HX37" t="e">
        <f>AND(NhatkyBan!#REF!,"AAAAAHvf8+c=")</f>
        <v>#REF!</v>
      </c>
      <c r="HY37" t="e">
        <f>AND(NhatkyBan!#REF!,"AAAAAHvf8+g=")</f>
        <v>#REF!</v>
      </c>
      <c r="HZ37" t="e">
        <f>AND(NhatkyBan!#REF!,"AAAAAHvf8+k=")</f>
        <v>#REF!</v>
      </c>
      <c r="IA37" t="e">
        <f>AND(NhatkyBan!#REF!,"AAAAAHvf8+o=")</f>
        <v>#REF!</v>
      </c>
      <c r="IB37" t="e">
        <f>AND(NhatkyBan!#REF!,"AAAAAHvf8+s=")</f>
        <v>#REF!</v>
      </c>
      <c r="IC37" t="e">
        <f>AND(NhatkyBan!#REF!,"AAAAAHvf8+w=")</f>
        <v>#REF!</v>
      </c>
      <c r="ID37" t="e">
        <f>AND(NhatkyBan!#REF!,"AAAAAHvf8+0=")</f>
        <v>#REF!</v>
      </c>
      <c r="IE37" t="e">
        <f>AND(NhatkyBan!#REF!,"AAAAAHvf8+4=")</f>
        <v>#REF!</v>
      </c>
      <c r="IF37" t="e">
        <f>AND(NhatkyBan!#REF!,"AAAAAHvf8+8=")</f>
        <v>#REF!</v>
      </c>
      <c r="IG37" t="e">
        <f>AND(NhatkyBan!#REF!,"AAAAAHvf8/A=")</f>
        <v>#REF!</v>
      </c>
      <c r="IH37" t="e">
        <f>AND(NhatkyBan!#REF!,"AAAAAHvf8/E=")</f>
        <v>#REF!</v>
      </c>
      <c r="II37" t="e">
        <f>AND(NhatkyBan!#REF!,"AAAAAHvf8/I=")</f>
        <v>#REF!</v>
      </c>
      <c r="IJ37" t="e">
        <f>AND(NhatkyBan!#REF!,"AAAAAHvf8/M=")</f>
        <v>#REF!</v>
      </c>
      <c r="IK37" t="e">
        <f>AND(NhatkyBan!#REF!,"AAAAAHvf8/Q=")</f>
        <v>#REF!</v>
      </c>
      <c r="IL37" t="e">
        <f>AND(NhatkyBan!#REF!,"AAAAAHvf8/U=")</f>
        <v>#REF!</v>
      </c>
      <c r="IM37" t="e">
        <f>AND(NhatkyBan!#REF!,"AAAAAHvf8/Y=")</f>
        <v>#REF!</v>
      </c>
      <c r="IN37" t="e">
        <f>AND(NhatkyBan!#REF!,"AAAAAHvf8/c=")</f>
        <v>#REF!</v>
      </c>
      <c r="IO37" t="e">
        <f>AND(NhatkyBan!#REF!,"AAAAAHvf8/g=")</f>
        <v>#REF!</v>
      </c>
      <c r="IP37" t="e">
        <f>AND(NhatkyBan!#REF!,"AAAAAHvf8/k=")</f>
        <v>#REF!</v>
      </c>
      <c r="IQ37" t="e">
        <f>AND(NhatkyBan!#REF!,"AAAAAHvf8/o=")</f>
        <v>#REF!</v>
      </c>
      <c r="IR37" t="e">
        <f>AND(NhatkyBan!#REF!,"AAAAAHvf8/s=")</f>
        <v>#REF!</v>
      </c>
      <c r="IS37" t="e">
        <f>AND(NhatkyBan!#REF!,"AAAAAHvf8/w=")</f>
        <v>#REF!</v>
      </c>
      <c r="IT37" t="e">
        <f>AND(NhatkyBan!#REF!,"AAAAAHvf8/0=")</f>
        <v>#REF!</v>
      </c>
      <c r="IU37" t="e">
        <f>AND(NhatkyBan!#REF!,"AAAAAHvf8/4=")</f>
        <v>#REF!</v>
      </c>
      <c r="IV37" t="e">
        <f>AND(NhatkyBan!#REF!,"AAAAAHvf8/8=")</f>
        <v>#REF!</v>
      </c>
    </row>
    <row r="38" spans="1:256">
      <c r="A38" t="e">
        <f>AND(NhatkyBan!#REF!,"AAAAABj4sgA=")</f>
        <v>#REF!</v>
      </c>
      <c r="B38" t="e">
        <f>AND(NhatkyBan!#REF!,"AAAAABj4sgE=")</f>
        <v>#REF!</v>
      </c>
      <c r="C38" t="e">
        <f>AND(NhatkyBan!#REF!,"AAAAABj4sgI=")</f>
        <v>#REF!</v>
      </c>
      <c r="D38" t="e">
        <f>AND(NhatkyBan!#REF!,"AAAAABj4sgM=")</f>
        <v>#REF!</v>
      </c>
      <c r="E38" t="e">
        <f>AND(NhatkyBan!#REF!,"AAAAABj4sgQ=")</f>
        <v>#REF!</v>
      </c>
      <c r="F38" t="e">
        <f>AND(NhatkyBan!#REF!,"AAAAABj4sgU=")</f>
        <v>#REF!</v>
      </c>
      <c r="G38" t="e">
        <f>AND(NhatkyBan!#REF!,"AAAAABj4sgY=")</f>
        <v>#REF!</v>
      </c>
      <c r="H38" t="e">
        <f>AND(NhatkyBan!#REF!,"AAAAABj4sgc=")</f>
        <v>#REF!</v>
      </c>
      <c r="I38" t="e">
        <f>AND(NhatkyBan!#REF!,"AAAAABj4sgg=")</f>
        <v>#REF!</v>
      </c>
      <c r="J38" t="e">
        <f>IF(NhatkyBan!#REF!,"AAAAABj4sgk=",0)</f>
        <v>#REF!</v>
      </c>
      <c r="K38" t="e">
        <f>AND(NhatkyBan!#REF!,"AAAAABj4sgo=")</f>
        <v>#REF!</v>
      </c>
      <c r="L38" t="e">
        <f>AND(NhatkyBan!#REF!,"AAAAABj4sgs=")</f>
        <v>#REF!</v>
      </c>
      <c r="M38" t="e">
        <f>AND(NhatkyBan!#REF!,"AAAAABj4sgw=")</f>
        <v>#REF!</v>
      </c>
      <c r="N38" t="e">
        <f>AND(NhatkyBan!#REF!,"AAAAABj4sg0=")</f>
        <v>#REF!</v>
      </c>
      <c r="O38" t="e">
        <f>AND(NhatkyBan!#REF!,"AAAAABj4sg4=")</f>
        <v>#REF!</v>
      </c>
      <c r="P38" t="e">
        <f>AND(NhatkyBan!#REF!,"AAAAABj4sg8=")</f>
        <v>#REF!</v>
      </c>
      <c r="Q38" t="e">
        <f>AND(NhatkyBan!#REF!,"AAAAABj4shA=")</f>
        <v>#REF!</v>
      </c>
      <c r="R38" t="e">
        <f>AND(NhatkyBan!#REF!,"AAAAABj4shE=")</f>
        <v>#REF!</v>
      </c>
      <c r="S38" t="e">
        <f>AND(NhatkyBan!#REF!,"AAAAABj4shI=")</f>
        <v>#REF!</v>
      </c>
      <c r="T38" t="e">
        <f>AND(NhatkyBan!#REF!,"AAAAABj4shM=")</f>
        <v>#REF!</v>
      </c>
      <c r="U38" t="e">
        <f>AND(NhatkyBan!#REF!,"AAAAABj4shQ=")</f>
        <v>#REF!</v>
      </c>
      <c r="V38" t="e">
        <f>AND(NhatkyBan!#REF!,"AAAAABj4shU=")</f>
        <v>#REF!</v>
      </c>
      <c r="W38" t="e">
        <f>AND(NhatkyBan!#REF!,"AAAAABj4shY=")</f>
        <v>#REF!</v>
      </c>
      <c r="X38" t="e">
        <f>AND(NhatkyBan!#REF!,"AAAAABj4shc=")</f>
        <v>#REF!</v>
      </c>
      <c r="Y38" t="e">
        <f>AND(NhatkyBan!#REF!,"AAAAABj4shg=")</f>
        <v>#REF!</v>
      </c>
      <c r="Z38" t="e">
        <f>AND(NhatkyBan!#REF!,"AAAAABj4shk=")</f>
        <v>#REF!</v>
      </c>
      <c r="AA38" t="e">
        <f>AND(NhatkyBan!#REF!,"AAAAABj4sho=")</f>
        <v>#REF!</v>
      </c>
      <c r="AB38" t="e">
        <f>AND(NhatkyBan!#REF!,"AAAAABj4shs=")</f>
        <v>#REF!</v>
      </c>
      <c r="AC38" t="e">
        <f>AND(NhatkyBan!#REF!,"AAAAABj4shw=")</f>
        <v>#REF!</v>
      </c>
      <c r="AD38" t="e">
        <f>AND(NhatkyBan!#REF!,"AAAAABj4sh0=")</f>
        <v>#REF!</v>
      </c>
      <c r="AE38" t="e">
        <f>AND(NhatkyBan!#REF!,"AAAAABj4sh4=")</f>
        <v>#REF!</v>
      </c>
      <c r="AF38" t="e">
        <f>AND(NhatkyBan!#REF!,"AAAAABj4sh8=")</f>
        <v>#REF!</v>
      </c>
      <c r="AG38" t="e">
        <f>AND(NhatkyBan!#REF!,"AAAAABj4siA=")</f>
        <v>#REF!</v>
      </c>
      <c r="AH38" t="e">
        <f>AND(NhatkyBan!#REF!,"AAAAABj4siE=")</f>
        <v>#REF!</v>
      </c>
      <c r="AI38" t="e">
        <f>AND(NhatkyBan!#REF!,"AAAAABj4siI=")</f>
        <v>#REF!</v>
      </c>
      <c r="AJ38" t="e">
        <f>AND(NhatkyBan!#REF!,"AAAAABj4siM=")</f>
        <v>#REF!</v>
      </c>
      <c r="AK38" t="e">
        <f>AND(NhatkyBan!#REF!,"AAAAABj4siQ=")</f>
        <v>#REF!</v>
      </c>
      <c r="AL38" t="e">
        <f>AND(NhatkyBan!#REF!,"AAAAABj4siU=")</f>
        <v>#REF!</v>
      </c>
      <c r="AM38" t="e">
        <f>AND(NhatkyBan!#REF!,"AAAAABj4siY=")</f>
        <v>#REF!</v>
      </c>
      <c r="AN38" t="e">
        <f>AND(NhatkyBan!#REF!,"AAAAABj4sic=")</f>
        <v>#REF!</v>
      </c>
      <c r="AO38" t="e">
        <f>AND(NhatkyBan!#REF!,"AAAAABj4sig=")</f>
        <v>#REF!</v>
      </c>
      <c r="AP38" t="e">
        <f>AND(NhatkyBan!#REF!,"AAAAABj4sik=")</f>
        <v>#REF!</v>
      </c>
      <c r="AQ38" t="e">
        <f>AND(NhatkyBan!#REF!,"AAAAABj4sio=")</f>
        <v>#REF!</v>
      </c>
      <c r="AR38" t="e">
        <f>AND(NhatkyBan!#REF!,"AAAAABj4sis=")</f>
        <v>#REF!</v>
      </c>
      <c r="AS38" t="e">
        <f>IF(NhatkyBan!#REF!,"AAAAABj4siw=",0)</f>
        <v>#REF!</v>
      </c>
      <c r="AT38" t="e">
        <f>AND(NhatkyBan!#REF!,"AAAAABj4si0=")</f>
        <v>#REF!</v>
      </c>
      <c r="AU38" t="e">
        <f>AND(NhatkyBan!#REF!,"AAAAABj4si4=")</f>
        <v>#REF!</v>
      </c>
      <c r="AV38" t="e">
        <f>AND(NhatkyBan!#REF!,"AAAAABj4si8=")</f>
        <v>#REF!</v>
      </c>
      <c r="AW38" t="e">
        <f>AND(NhatkyBan!#REF!,"AAAAABj4sjA=")</f>
        <v>#REF!</v>
      </c>
      <c r="AX38" t="e">
        <f>AND(NhatkyBan!#REF!,"AAAAABj4sjE=")</f>
        <v>#REF!</v>
      </c>
      <c r="AY38" t="e">
        <f>AND(NhatkyBan!#REF!,"AAAAABj4sjI=")</f>
        <v>#REF!</v>
      </c>
      <c r="AZ38" t="e">
        <f>AND(NhatkyBan!#REF!,"AAAAABj4sjM=")</f>
        <v>#REF!</v>
      </c>
      <c r="BA38" t="e">
        <f>AND(NhatkyBan!#REF!,"AAAAABj4sjQ=")</f>
        <v>#REF!</v>
      </c>
      <c r="BB38" t="e">
        <f>AND(NhatkyBan!#REF!,"AAAAABj4sjU=")</f>
        <v>#REF!</v>
      </c>
      <c r="BC38" t="e">
        <f>AND(NhatkyBan!#REF!,"AAAAABj4sjY=")</f>
        <v>#REF!</v>
      </c>
      <c r="BD38" t="e">
        <f>AND(NhatkyBan!#REF!,"AAAAABj4sjc=")</f>
        <v>#REF!</v>
      </c>
      <c r="BE38" t="e">
        <f>AND(NhatkyBan!#REF!,"AAAAABj4sjg=")</f>
        <v>#REF!</v>
      </c>
      <c r="BF38" t="e">
        <f>AND(NhatkyBan!#REF!,"AAAAABj4sjk=")</f>
        <v>#REF!</v>
      </c>
      <c r="BG38" t="e">
        <f>AND(NhatkyBan!#REF!,"AAAAABj4sjo=")</f>
        <v>#REF!</v>
      </c>
      <c r="BH38" t="e">
        <f>AND(NhatkyBan!#REF!,"AAAAABj4sjs=")</f>
        <v>#REF!</v>
      </c>
      <c r="BI38" t="e">
        <f>AND(NhatkyBan!#REF!,"AAAAABj4sjw=")</f>
        <v>#REF!</v>
      </c>
      <c r="BJ38" t="e">
        <f>AND(NhatkyBan!#REF!,"AAAAABj4sj0=")</f>
        <v>#REF!</v>
      </c>
      <c r="BK38" t="e">
        <f>AND(NhatkyBan!#REF!,"AAAAABj4sj4=")</f>
        <v>#REF!</v>
      </c>
      <c r="BL38" t="e">
        <f>AND(NhatkyBan!#REF!,"AAAAABj4sj8=")</f>
        <v>#REF!</v>
      </c>
      <c r="BM38" t="e">
        <f>AND(NhatkyBan!#REF!,"AAAAABj4skA=")</f>
        <v>#REF!</v>
      </c>
      <c r="BN38" t="e">
        <f>AND(NhatkyBan!#REF!,"AAAAABj4skE=")</f>
        <v>#REF!</v>
      </c>
      <c r="BO38" t="e">
        <f>AND(NhatkyBan!#REF!,"AAAAABj4skI=")</f>
        <v>#REF!</v>
      </c>
      <c r="BP38" t="e">
        <f>AND(NhatkyBan!#REF!,"AAAAABj4skM=")</f>
        <v>#REF!</v>
      </c>
      <c r="BQ38" t="e">
        <f>AND(NhatkyBan!#REF!,"AAAAABj4skQ=")</f>
        <v>#REF!</v>
      </c>
      <c r="BR38" t="e">
        <f>AND(NhatkyBan!#REF!,"AAAAABj4skU=")</f>
        <v>#REF!</v>
      </c>
      <c r="BS38" t="e">
        <f>AND(NhatkyBan!#REF!,"AAAAABj4skY=")</f>
        <v>#REF!</v>
      </c>
      <c r="BT38" t="e">
        <f>AND(NhatkyBan!#REF!,"AAAAABj4skc=")</f>
        <v>#REF!</v>
      </c>
      <c r="BU38" t="e">
        <f>AND(NhatkyBan!#REF!,"AAAAABj4skg=")</f>
        <v>#REF!</v>
      </c>
      <c r="BV38" t="e">
        <f>AND(NhatkyBan!#REF!,"AAAAABj4skk=")</f>
        <v>#REF!</v>
      </c>
      <c r="BW38" t="e">
        <f>AND(NhatkyBan!#REF!,"AAAAABj4sko=")</f>
        <v>#REF!</v>
      </c>
      <c r="BX38" t="e">
        <f>AND(NhatkyBan!#REF!,"AAAAABj4sks=")</f>
        <v>#REF!</v>
      </c>
      <c r="BY38" t="e">
        <f>AND(NhatkyBan!#REF!,"AAAAABj4skw=")</f>
        <v>#REF!</v>
      </c>
      <c r="BZ38" t="e">
        <f>AND(NhatkyBan!#REF!,"AAAAABj4sk0=")</f>
        <v>#REF!</v>
      </c>
      <c r="CA38" t="e">
        <f>AND(NhatkyBan!#REF!,"AAAAABj4sk4=")</f>
        <v>#REF!</v>
      </c>
      <c r="CB38" t="e">
        <f>IF(NhatkyBan!#REF!,"AAAAABj4sk8=",0)</f>
        <v>#REF!</v>
      </c>
      <c r="CC38" t="e">
        <f>AND(NhatkyBan!#REF!,"AAAAABj4slA=")</f>
        <v>#REF!</v>
      </c>
      <c r="CD38" t="e">
        <f>AND(NhatkyBan!#REF!,"AAAAABj4slE=")</f>
        <v>#REF!</v>
      </c>
      <c r="CE38" t="e">
        <f>AND(NhatkyBan!#REF!,"AAAAABj4slI=")</f>
        <v>#REF!</v>
      </c>
      <c r="CF38" t="e">
        <f>AND(NhatkyBan!#REF!,"AAAAABj4slM=")</f>
        <v>#REF!</v>
      </c>
      <c r="CG38" t="e">
        <f>AND(NhatkyBan!#REF!,"AAAAABj4slQ=")</f>
        <v>#REF!</v>
      </c>
      <c r="CH38" t="e">
        <f>AND(NhatkyBan!#REF!,"AAAAABj4slU=")</f>
        <v>#REF!</v>
      </c>
      <c r="CI38" t="e">
        <f>AND(NhatkyBan!#REF!,"AAAAABj4slY=")</f>
        <v>#REF!</v>
      </c>
      <c r="CJ38" t="e">
        <f>AND(NhatkyBan!#REF!,"AAAAABj4slc=")</f>
        <v>#REF!</v>
      </c>
      <c r="CK38" t="e">
        <f>AND(NhatkyBan!#REF!,"AAAAABj4slg=")</f>
        <v>#REF!</v>
      </c>
      <c r="CL38" t="e">
        <f>AND(NhatkyBan!#REF!,"AAAAABj4slk=")</f>
        <v>#REF!</v>
      </c>
      <c r="CM38" t="e">
        <f>AND(NhatkyBan!#REF!,"AAAAABj4slo=")</f>
        <v>#REF!</v>
      </c>
      <c r="CN38" t="e">
        <f>AND(NhatkyBan!#REF!,"AAAAABj4sls=")</f>
        <v>#REF!</v>
      </c>
      <c r="CO38" t="e">
        <f>AND(NhatkyBan!#REF!,"AAAAABj4slw=")</f>
        <v>#REF!</v>
      </c>
      <c r="CP38" t="e">
        <f>AND(NhatkyBan!#REF!,"AAAAABj4sl0=")</f>
        <v>#REF!</v>
      </c>
      <c r="CQ38" t="e">
        <f>AND(NhatkyBan!#REF!,"AAAAABj4sl4=")</f>
        <v>#REF!</v>
      </c>
      <c r="CR38" t="e">
        <f>AND(NhatkyBan!#REF!,"AAAAABj4sl8=")</f>
        <v>#REF!</v>
      </c>
      <c r="CS38" t="e">
        <f>AND(NhatkyBan!#REF!,"AAAAABj4smA=")</f>
        <v>#REF!</v>
      </c>
      <c r="CT38" t="e">
        <f>AND(NhatkyBan!#REF!,"AAAAABj4smE=")</f>
        <v>#REF!</v>
      </c>
      <c r="CU38" t="e">
        <f>AND(NhatkyBan!#REF!,"AAAAABj4smI=")</f>
        <v>#REF!</v>
      </c>
      <c r="CV38" t="e">
        <f>AND(NhatkyBan!#REF!,"AAAAABj4smM=")</f>
        <v>#REF!</v>
      </c>
      <c r="CW38" t="e">
        <f>AND(NhatkyBan!#REF!,"AAAAABj4smQ=")</f>
        <v>#REF!</v>
      </c>
      <c r="CX38" t="e">
        <f>AND(NhatkyBan!#REF!,"AAAAABj4smU=")</f>
        <v>#REF!</v>
      </c>
      <c r="CY38" t="e">
        <f>AND(NhatkyBan!#REF!,"AAAAABj4smY=")</f>
        <v>#REF!</v>
      </c>
      <c r="CZ38" t="e">
        <f>AND(NhatkyBan!#REF!,"AAAAABj4smc=")</f>
        <v>#REF!</v>
      </c>
      <c r="DA38" t="e">
        <f>AND(NhatkyBan!#REF!,"AAAAABj4smg=")</f>
        <v>#REF!</v>
      </c>
      <c r="DB38" t="e">
        <f>AND(NhatkyBan!#REF!,"AAAAABj4smk=")</f>
        <v>#REF!</v>
      </c>
      <c r="DC38" t="e">
        <f>AND(NhatkyBan!#REF!,"AAAAABj4smo=")</f>
        <v>#REF!</v>
      </c>
      <c r="DD38" t="e">
        <f>AND(NhatkyBan!#REF!,"AAAAABj4sms=")</f>
        <v>#REF!</v>
      </c>
      <c r="DE38" t="e">
        <f>AND(NhatkyBan!#REF!,"AAAAABj4smw=")</f>
        <v>#REF!</v>
      </c>
      <c r="DF38" t="e">
        <f>AND(NhatkyBan!#REF!,"AAAAABj4sm0=")</f>
        <v>#REF!</v>
      </c>
      <c r="DG38" t="e">
        <f>AND(NhatkyBan!#REF!,"AAAAABj4sm4=")</f>
        <v>#REF!</v>
      </c>
      <c r="DH38" t="e">
        <f>AND(NhatkyBan!#REF!,"AAAAABj4sm8=")</f>
        <v>#REF!</v>
      </c>
      <c r="DI38" t="e">
        <f>AND(NhatkyBan!#REF!,"AAAAABj4snA=")</f>
        <v>#REF!</v>
      </c>
      <c r="DJ38" t="e">
        <f>AND(NhatkyBan!#REF!,"AAAAABj4snE=")</f>
        <v>#REF!</v>
      </c>
      <c r="DK38" t="e">
        <f>IF(NhatkyBan!#REF!,"AAAAABj4snI=",0)</f>
        <v>#REF!</v>
      </c>
      <c r="DL38" t="e">
        <f>AND(NhatkyBan!#REF!,"AAAAABj4snM=")</f>
        <v>#REF!</v>
      </c>
      <c r="DM38" t="e">
        <f>AND(NhatkyBan!#REF!,"AAAAABj4snQ=")</f>
        <v>#REF!</v>
      </c>
      <c r="DN38" t="e">
        <f>AND(NhatkyBan!#REF!,"AAAAABj4snU=")</f>
        <v>#REF!</v>
      </c>
      <c r="DO38" t="e">
        <f>AND(NhatkyBan!#REF!,"AAAAABj4snY=")</f>
        <v>#REF!</v>
      </c>
      <c r="DP38" t="e">
        <f>AND(NhatkyBan!#REF!,"AAAAABj4snc=")</f>
        <v>#REF!</v>
      </c>
      <c r="DQ38" t="e">
        <f>AND(NhatkyBan!#REF!,"AAAAABj4sng=")</f>
        <v>#REF!</v>
      </c>
      <c r="DR38" t="e">
        <f>AND(NhatkyBan!#REF!,"AAAAABj4snk=")</f>
        <v>#REF!</v>
      </c>
      <c r="DS38" t="e">
        <f>AND(NhatkyBan!#REF!,"AAAAABj4sno=")</f>
        <v>#REF!</v>
      </c>
      <c r="DT38" t="e">
        <f>AND(NhatkyBan!#REF!,"AAAAABj4sns=")</f>
        <v>#REF!</v>
      </c>
      <c r="DU38" t="e">
        <f>AND(NhatkyBan!#REF!,"AAAAABj4snw=")</f>
        <v>#REF!</v>
      </c>
      <c r="DV38" t="e">
        <f>AND(NhatkyBan!#REF!,"AAAAABj4sn0=")</f>
        <v>#REF!</v>
      </c>
      <c r="DW38" t="e">
        <f>AND(NhatkyBan!#REF!,"AAAAABj4sn4=")</f>
        <v>#REF!</v>
      </c>
      <c r="DX38" t="e">
        <f>AND(NhatkyBan!#REF!,"AAAAABj4sn8=")</f>
        <v>#REF!</v>
      </c>
      <c r="DY38" t="e">
        <f>AND(NhatkyBan!#REF!,"AAAAABj4soA=")</f>
        <v>#REF!</v>
      </c>
      <c r="DZ38" t="e">
        <f>AND(NhatkyBan!#REF!,"AAAAABj4soE=")</f>
        <v>#REF!</v>
      </c>
      <c r="EA38" t="e">
        <f>AND(NhatkyBan!#REF!,"AAAAABj4soI=")</f>
        <v>#REF!</v>
      </c>
      <c r="EB38" t="e">
        <f>AND(NhatkyBan!#REF!,"AAAAABj4soM=")</f>
        <v>#REF!</v>
      </c>
      <c r="EC38" t="e">
        <f>AND(NhatkyBan!#REF!,"AAAAABj4soQ=")</f>
        <v>#REF!</v>
      </c>
      <c r="ED38" t="e">
        <f>AND(NhatkyBan!#REF!,"AAAAABj4soU=")</f>
        <v>#REF!</v>
      </c>
      <c r="EE38" t="e">
        <f>AND(NhatkyBan!#REF!,"AAAAABj4soY=")</f>
        <v>#REF!</v>
      </c>
      <c r="EF38" t="e">
        <f>AND(NhatkyBan!#REF!,"AAAAABj4soc=")</f>
        <v>#REF!</v>
      </c>
      <c r="EG38" t="e">
        <f>AND(NhatkyBan!#REF!,"AAAAABj4sog=")</f>
        <v>#REF!</v>
      </c>
      <c r="EH38" t="e">
        <f>AND(NhatkyBan!#REF!,"AAAAABj4sok=")</f>
        <v>#REF!</v>
      </c>
      <c r="EI38" t="e">
        <f>AND(NhatkyBan!#REF!,"AAAAABj4soo=")</f>
        <v>#REF!</v>
      </c>
      <c r="EJ38" t="e">
        <f>AND(NhatkyBan!#REF!,"AAAAABj4sos=")</f>
        <v>#REF!</v>
      </c>
      <c r="EK38" t="e">
        <f>AND(NhatkyBan!#REF!,"AAAAABj4sow=")</f>
        <v>#REF!</v>
      </c>
      <c r="EL38" t="e">
        <f>AND(NhatkyBan!#REF!,"AAAAABj4so0=")</f>
        <v>#REF!</v>
      </c>
      <c r="EM38" t="e">
        <f>AND(NhatkyBan!#REF!,"AAAAABj4so4=")</f>
        <v>#REF!</v>
      </c>
      <c r="EN38" t="e">
        <f>AND(NhatkyBan!#REF!,"AAAAABj4so8=")</f>
        <v>#REF!</v>
      </c>
      <c r="EO38" t="e">
        <f>AND(NhatkyBan!#REF!,"AAAAABj4spA=")</f>
        <v>#REF!</v>
      </c>
      <c r="EP38" t="e">
        <f>AND(NhatkyBan!#REF!,"AAAAABj4spE=")</f>
        <v>#REF!</v>
      </c>
      <c r="EQ38" t="e">
        <f>AND(NhatkyBan!#REF!,"AAAAABj4spI=")</f>
        <v>#REF!</v>
      </c>
      <c r="ER38" t="e">
        <f>AND(NhatkyBan!#REF!,"AAAAABj4spM=")</f>
        <v>#REF!</v>
      </c>
      <c r="ES38" t="e">
        <f>AND(NhatkyBan!#REF!,"AAAAABj4spQ=")</f>
        <v>#REF!</v>
      </c>
      <c r="ET38" t="e">
        <f>IF(NhatkyBan!#REF!,"AAAAABj4spU=",0)</f>
        <v>#REF!</v>
      </c>
      <c r="EU38" t="e">
        <f>AND(NhatkyBan!#REF!,"AAAAABj4spY=")</f>
        <v>#REF!</v>
      </c>
      <c r="EV38" t="e">
        <f>AND(NhatkyBan!#REF!,"AAAAABj4spc=")</f>
        <v>#REF!</v>
      </c>
      <c r="EW38" t="e">
        <f>AND(NhatkyBan!#REF!,"AAAAABj4spg=")</f>
        <v>#REF!</v>
      </c>
      <c r="EX38" t="e">
        <f>AND(NhatkyBan!#REF!,"AAAAABj4spk=")</f>
        <v>#REF!</v>
      </c>
      <c r="EY38" t="e">
        <f>AND(NhatkyBan!#REF!,"AAAAABj4spo=")</f>
        <v>#REF!</v>
      </c>
      <c r="EZ38" t="e">
        <f>AND(NhatkyBan!#REF!,"AAAAABj4sps=")</f>
        <v>#REF!</v>
      </c>
      <c r="FA38" t="e">
        <f>AND(NhatkyBan!#REF!,"AAAAABj4spw=")</f>
        <v>#REF!</v>
      </c>
      <c r="FB38" t="e">
        <f>AND(NhatkyBan!#REF!,"AAAAABj4sp0=")</f>
        <v>#REF!</v>
      </c>
      <c r="FC38" t="e">
        <f>AND(NhatkyBan!#REF!,"AAAAABj4sp4=")</f>
        <v>#REF!</v>
      </c>
      <c r="FD38" t="e">
        <f>AND(NhatkyBan!#REF!,"AAAAABj4sp8=")</f>
        <v>#REF!</v>
      </c>
      <c r="FE38" t="e">
        <f>AND(NhatkyBan!#REF!,"AAAAABj4sqA=")</f>
        <v>#REF!</v>
      </c>
      <c r="FF38" t="e">
        <f>AND(NhatkyBan!#REF!,"AAAAABj4sqE=")</f>
        <v>#REF!</v>
      </c>
      <c r="FG38" t="e">
        <f>AND(NhatkyBan!#REF!,"AAAAABj4sqI=")</f>
        <v>#REF!</v>
      </c>
      <c r="FH38" t="e">
        <f>AND(NhatkyBan!#REF!,"AAAAABj4sqM=")</f>
        <v>#REF!</v>
      </c>
      <c r="FI38" t="e">
        <f>AND(NhatkyBan!#REF!,"AAAAABj4sqQ=")</f>
        <v>#REF!</v>
      </c>
      <c r="FJ38" t="e">
        <f>AND(NhatkyBan!#REF!,"AAAAABj4sqU=")</f>
        <v>#REF!</v>
      </c>
      <c r="FK38" t="e">
        <f>AND(NhatkyBan!#REF!,"AAAAABj4sqY=")</f>
        <v>#REF!</v>
      </c>
      <c r="FL38" t="e">
        <f>AND(NhatkyBan!#REF!,"AAAAABj4sqc=")</f>
        <v>#REF!</v>
      </c>
      <c r="FM38" t="e">
        <f>AND(NhatkyBan!#REF!,"AAAAABj4sqg=")</f>
        <v>#REF!</v>
      </c>
      <c r="FN38" t="e">
        <f>AND(NhatkyBan!#REF!,"AAAAABj4sqk=")</f>
        <v>#REF!</v>
      </c>
      <c r="FO38" t="e">
        <f>AND(NhatkyBan!#REF!,"AAAAABj4sqo=")</f>
        <v>#REF!</v>
      </c>
      <c r="FP38" t="e">
        <f>AND(NhatkyBan!#REF!,"AAAAABj4sqs=")</f>
        <v>#REF!</v>
      </c>
      <c r="FQ38" t="e">
        <f>AND(NhatkyBan!#REF!,"AAAAABj4sqw=")</f>
        <v>#REF!</v>
      </c>
      <c r="FR38" t="e">
        <f>AND(NhatkyBan!#REF!,"AAAAABj4sq0=")</f>
        <v>#REF!</v>
      </c>
      <c r="FS38" t="e">
        <f>AND(NhatkyBan!#REF!,"AAAAABj4sq4=")</f>
        <v>#REF!</v>
      </c>
      <c r="FT38" t="e">
        <f>AND(NhatkyBan!#REF!,"AAAAABj4sq8=")</f>
        <v>#REF!</v>
      </c>
      <c r="FU38" t="e">
        <f>AND(NhatkyBan!#REF!,"AAAAABj4srA=")</f>
        <v>#REF!</v>
      </c>
      <c r="FV38" t="e">
        <f>AND(NhatkyBan!#REF!,"AAAAABj4srE=")</f>
        <v>#REF!</v>
      </c>
      <c r="FW38" t="e">
        <f>AND(NhatkyBan!#REF!,"AAAAABj4srI=")</f>
        <v>#REF!</v>
      </c>
      <c r="FX38" t="e">
        <f>AND(NhatkyBan!#REF!,"AAAAABj4srM=")</f>
        <v>#REF!</v>
      </c>
      <c r="FY38" t="e">
        <f>AND(NhatkyBan!#REF!,"AAAAABj4srQ=")</f>
        <v>#REF!</v>
      </c>
      <c r="FZ38" t="e">
        <f>AND(NhatkyBan!#REF!,"AAAAABj4srU=")</f>
        <v>#REF!</v>
      </c>
      <c r="GA38" t="e">
        <f>AND(NhatkyBan!#REF!,"AAAAABj4srY=")</f>
        <v>#REF!</v>
      </c>
      <c r="GB38" t="e">
        <f>AND(NhatkyBan!#REF!,"AAAAABj4src=")</f>
        <v>#REF!</v>
      </c>
      <c r="GC38" t="e">
        <f>IF(NhatkyBan!#REF!,"AAAAABj4srg=",0)</f>
        <v>#REF!</v>
      </c>
      <c r="GD38" t="e">
        <f>AND(NhatkyBan!#REF!,"AAAAABj4srk=")</f>
        <v>#REF!</v>
      </c>
      <c r="GE38" t="e">
        <f>AND(NhatkyBan!#REF!,"AAAAABj4sro=")</f>
        <v>#REF!</v>
      </c>
      <c r="GF38" t="e">
        <f>AND(NhatkyBan!#REF!,"AAAAABj4srs=")</f>
        <v>#REF!</v>
      </c>
      <c r="GG38" t="e">
        <f>AND(NhatkyBan!#REF!,"AAAAABj4srw=")</f>
        <v>#REF!</v>
      </c>
      <c r="GH38" t="e">
        <f>AND(NhatkyBan!#REF!,"AAAAABj4sr0=")</f>
        <v>#REF!</v>
      </c>
      <c r="GI38" t="e">
        <f>AND(NhatkyBan!#REF!,"AAAAABj4sr4=")</f>
        <v>#REF!</v>
      </c>
      <c r="GJ38" t="e">
        <f>AND(NhatkyBan!#REF!,"AAAAABj4sr8=")</f>
        <v>#REF!</v>
      </c>
      <c r="GK38" t="e">
        <f>AND(NhatkyBan!#REF!,"AAAAABj4ssA=")</f>
        <v>#REF!</v>
      </c>
      <c r="GL38" t="e">
        <f>AND(NhatkyBan!#REF!,"AAAAABj4ssE=")</f>
        <v>#REF!</v>
      </c>
      <c r="GM38" t="e">
        <f>AND(NhatkyBan!#REF!,"AAAAABj4ssI=")</f>
        <v>#REF!</v>
      </c>
      <c r="GN38" t="e">
        <f>AND(NhatkyBan!#REF!,"AAAAABj4ssM=")</f>
        <v>#REF!</v>
      </c>
      <c r="GO38" t="e">
        <f>AND(NhatkyBan!#REF!,"AAAAABj4ssQ=")</f>
        <v>#REF!</v>
      </c>
      <c r="GP38" t="e">
        <f>AND(NhatkyBan!#REF!,"AAAAABj4ssU=")</f>
        <v>#REF!</v>
      </c>
      <c r="GQ38" t="e">
        <f>AND(NhatkyBan!#REF!,"AAAAABj4ssY=")</f>
        <v>#REF!</v>
      </c>
      <c r="GR38" t="e">
        <f>AND(NhatkyBan!#REF!,"AAAAABj4ssc=")</f>
        <v>#REF!</v>
      </c>
      <c r="GS38" t="e">
        <f>AND(NhatkyBan!#REF!,"AAAAABj4ssg=")</f>
        <v>#REF!</v>
      </c>
      <c r="GT38" t="e">
        <f>AND(NhatkyBan!#REF!,"AAAAABj4ssk=")</f>
        <v>#REF!</v>
      </c>
      <c r="GU38" t="e">
        <f>AND(NhatkyBan!#REF!,"AAAAABj4sso=")</f>
        <v>#REF!</v>
      </c>
      <c r="GV38" t="e">
        <f>AND(NhatkyBan!#REF!,"AAAAABj4sss=")</f>
        <v>#REF!</v>
      </c>
      <c r="GW38" t="e">
        <f>AND(NhatkyBan!#REF!,"AAAAABj4ssw=")</f>
        <v>#REF!</v>
      </c>
      <c r="GX38" t="e">
        <f>AND(NhatkyBan!#REF!,"AAAAABj4ss0=")</f>
        <v>#REF!</v>
      </c>
      <c r="GY38" t="e">
        <f>AND(NhatkyBan!#REF!,"AAAAABj4ss4=")</f>
        <v>#REF!</v>
      </c>
      <c r="GZ38" t="e">
        <f>AND(NhatkyBan!#REF!,"AAAAABj4ss8=")</f>
        <v>#REF!</v>
      </c>
      <c r="HA38" t="e">
        <f>AND(NhatkyBan!#REF!,"AAAAABj4stA=")</f>
        <v>#REF!</v>
      </c>
      <c r="HB38" t="e">
        <f>AND(NhatkyBan!#REF!,"AAAAABj4stE=")</f>
        <v>#REF!</v>
      </c>
      <c r="HC38" t="e">
        <f>AND(NhatkyBan!#REF!,"AAAAABj4stI=")</f>
        <v>#REF!</v>
      </c>
      <c r="HD38" t="e">
        <f>AND(NhatkyBan!#REF!,"AAAAABj4stM=")</f>
        <v>#REF!</v>
      </c>
      <c r="HE38" t="e">
        <f>AND(NhatkyBan!#REF!,"AAAAABj4stQ=")</f>
        <v>#REF!</v>
      </c>
      <c r="HF38" t="e">
        <f>AND(NhatkyBan!#REF!,"AAAAABj4stU=")</f>
        <v>#REF!</v>
      </c>
      <c r="HG38" t="e">
        <f>AND(NhatkyBan!#REF!,"AAAAABj4stY=")</f>
        <v>#REF!</v>
      </c>
      <c r="HH38" t="e">
        <f>AND(NhatkyBan!#REF!,"AAAAABj4stc=")</f>
        <v>#REF!</v>
      </c>
      <c r="HI38" t="e">
        <f>AND(NhatkyBan!#REF!,"AAAAABj4stg=")</f>
        <v>#REF!</v>
      </c>
      <c r="HJ38" t="e">
        <f>AND(NhatkyBan!#REF!,"AAAAABj4stk=")</f>
        <v>#REF!</v>
      </c>
      <c r="HK38" t="e">
        <f>AND(NhatkyBan!#REF!,"AAAAABj4sto=")</f>
        <v>#REF!</v>
      </c>
      <c r="HL38" t="e">
        <f>IF(NhatkyBan!#REF!,"AAAAABj4sts=",0)</f>
        <v>#REF!</v>
      </c>
      <c r="HM38" t="e">
        <f>AND(NhatkyBan!#REF!,"AAAAABj4stw=")</f>
        <v>#REF!</v>
      </c>
      <c r="HN38" t="e">
        <f>AND(NhatkyBan!#REF!,"AAAAABj4st0=")</f>
        <v>#REF!</v>
      </c>
      <c r="HO38" t="e">
        <f>AND(NhatkyBan!#REF!,"AAAAABj4st4=")</f>
        <v>#REF!</v>
      </c>
      <c r="HP38" t="e">
        <f>AND(NhatkyBan!#REF!,"AAAAABj4st8=")</f>
        <v>#REF!</v>
      </c>
      <c r="HQ38" t="e">
        <f>AND(NhatkyBan!#REF!,"AAAAABj4suA=")</f>
        <v>#REF!</v>
      </c>
      <c r="HR38" t="e">
        <f>AND(NhatkyBan!#REF!,"AAAAABj4suE=")</f>
        <v>#REF!</v>
      </c>
      <c r="HS38" t="e">
        <f>AND(NhatkyBan!#REF!,"AAAAABj4suI=")</f>
        <v>#REF!</v>
      </c>
      <c r="HT38" t="e">
        <f>AND(NhatkyBan!#REF!,"AAAAABj4suM=")</f>
        <v>#REF!</v>
      </c>
      <c r="HU38" t="e">
        <f>AND(NhatkyBan!#REF!,"AAAAABj4suQ=")</f>
        <v>#REF!</v>
      </c>
      <c r="HV38" t="e">
        <f>AND(NhatkyBan!#REF!,"AAAAABj4suU=")</f>
        <v>#REF!</v>
      </c>
      <c r="HW38" t="e">
        <f>AND(NhatkyBan!#REF!,"AAAAABj4suY=")</f>
        <v>#REF!</v>
      </c>
      <c r="HX38" t="e">
        <f>AND(NhatkyBan!#REF!,"AAAAABj4suc=")</f>
        <v>#REF!</v>
      </c>
      <c r="HY38" t="e">
        <f>AND(NhatkyBan!#REF!,"AAAAABj4sug=")</f>
        <v>#REF!</v>
      </c>
      <c r="HZ38" t="e">
        <f>AND(NhatkyBan!#REF!,"AAAAABj4suk=")</f>
        <v>#REF!</v>
      </c>
      <c r="IA38" t="e">
        <f>AND(NhatkyBan!#REF!,"AAAAABj4suo=")</f>
        <v>#REF!</v>
      </c>
      <c r="IB38" t="e">
        <f>AND(NhatkyBan!#REF!,"AAAAABj4sus=")</f>
        <v>#REF!</v>
      </c>
      <c r="IC38" t="e">
        <f>AND(NhatkyBan!#REF!,"AAAAABj4suw=")</f>
        <v>#REF!</v>
      </c>
      <c r="ID38" t="e">
        <f>AND(NhatkyBan!#REF!,"AAAAABj4su0=")</f>
        <v>#REF!</v>
      </c>
      <c r="IE38" t="e">
        <f>AND(NhatkyBan!#REF!,"AAAAABj4su4=")</f>
        <v>#REF!</v>
      </c>
      <c r="IF38" t="e">
        <f>AND(NhatkyBan!#REF!,"AAAAABj4su8=")</f>
        <v>#REF!</v>
      </c>
      <c r="IG38" t="e">
        <f>AND(NhatkyBan!#REF!,"AAAAABj4svA=")</f>
        <v>#REF!</v>
      </c>
      <c r="IH38" t="e">
        <f>AND(NhatkyBan!#REF!,"AAAAABj4svE=")</f>
        <v>#REF!</v>
      </c>
      <c r="II38" t="e">
        <f>AND(NhatkyBan!#REF!,"AAAAABj4svI=")</f>
        <v>#REF!</v>
      </c>
      <c r="IJ38" t="e">
        <f>AND(NhatkyBan!#REF!,"AAAAABj4svM=")</f>
        <v>#REF!</v>
      </c>
      <c r="IK38" t="e">
        <f>AND(NhatkyBan!#REF!,"AAAAABj4svQ=")</f>
        <v>#REF!</v>
      </c>
      <c r="IL38" t="e">
        <f>AND(NhatkyBan!#REF!,"AAAAABj4svU=")</f>
        <v>#REF!</v>
      </c>
      <c r="IM38" t="e">
        <f>AND(NhatkyBan!#REF!,"AAAAABj4svY=")</f>
        <v>#REF!</v>
      </c>
      <c r="IN38" t="e">
        <f>AND(NhatkyBan!#REF!,"AAAAABj4svc=")</f>
        <v>#REF!</v>
      </c>
      <c r="IO38" t="e">
        <f>AND(NhatkyBan!#REF!,"AAAAABj4svg=")</f>
        <v>#REF!</v>
      </c>
      <c r="IP38" t="e">
        <f>AND(NhatkyBan!#REF!,"AAAAABj4svk=")</f>
        <v>#REF!</v>
      </c>
      <c r="IQ38" t="e">
        <f>AND(NhatkyBan!#REF!,"AAAAABj4svo=")</f>
        <v>#REF!</v>
      </c>
      <c r="IR38" t="e">
        <f>AND(NhatkyBan!#REF!,"AAAAABj4svs=")</f>
        <v>#REF!</v>
      </c>
      <c r="IS38" t="e">
        <f>AND(NhatkyBan!#REF!,"AAAAABj4svw=")</f>
        <v>#REF!</v>
      </c>
      <c r="IT38" t="e">
        <f>AND(NhatkyBan!#REF!,"AAAAABj4sv0=")</f>
        <v>#REF!</v>
      </c>
      <c r="IU38" t="e">
        <f>IF(NhatkyBan!#REF!,"AAAAABj4sv4=",0)</f>
        <v>#REF!</v>
      </c>
      <c r="IV38" t="e">
        <f>AND(NhatkyBan!#REF!,"AAAAABj4sv8=")</f>
        <v>#REF!</v>
      </c>
    </row>
    <row r="39" spans="1:256">
      <c r="A39" t="e">
        <f>AND(NhatkyBan!#REF!,"AAAAAH9//gA=")</f>
        <v>#REF!</v>
      </c>
      <c r="B39" t="e">
        <f>AND(NhatkyBan!#REF!,"AAAAAH9//gE=")</f>
        <v>#REF!</v>
      </c>
      <c r="C39" t="e">
        <f>AND(NhatkyBan!#REF!,"AAAAAH9//gI=")</f>
        <v>#REF!</v>
      </c>
      <c r="D39" t="e">
        <f>AND(NhatkyBan!#REF!,"AAAAAH9//gM=")</f>
        <v>#REF!</v>
      </c>
      <c r="E39" t="e">
        <f>AND(NhatkyBan!#REF!,"AAAAAH9//gQ=")</f>
        <v>#REF!</v>
      </c>
      <c r="F39" t="e">
        <f>AND(NhatkyBan!#REF!,"AAAAAH9//gU=")</f>
        <v>#REF!</v>
      </c>
      <c r="G39" t="e">
        <f>AND(NhatkyBan!#REF!,"AAAAAH9//gY=")</f>
        <v>#REF!</v>
      </c>
      <c r="H39" t="e">
        <f>AND(NhatkyBan!#REF!,"AAAAAH9//gc=")</f>
        <v>#REF!</v>
      </c>
      <c r="I39" t="e">
        <f>AND(NhatkyBan!#REF!,"AAAAAH9//gg=")</f>
        <v>#REF!</v>
      </c>
      <c r="J39" t="e">
        <f>AND(NhatkyBan!#REF!,"AAAAAH9//gk=")</f>
        <v>#REF!</v>
      </c>
      <c r="K39" t="e">
        <f>AND(NhatkyBan!#REF!,"AAAAAH9//go=")</f>
        <v>#REF!</v>
      </c>
      <c r="L39" t="e">
        <f>AND(NhatkyBan!#REF!,"AAAAAH9//gs=")</f>
        <v>#REF!</v>
      </c>
      <c r="M39" t="e">
        <f>AND(NhatkyBan!#REF!,"AAAAAH9//gw=")</f>
        <v>#REF!</v>
      </c>
      <c r="N39" t="e">
        <f>AND(NhatkyBan!#REF!,"AAAAAH9//g0=")</f>
        <v>#REF!</v>
      </c>
      <c r="O39" t="e">
        <f>AND(NhatkyBan!#REF!,"AAAAAH9//g4=")</f>
        <v>#REF!</v>
      </c>
      <c r="P39" t="e">
        <f>AND(NhatkyBan!#REF!,"AAAAAH9//g8=")</f>
        <v>#REF!</v>
      </c>
      <c r="Q39" t="e">
        <f>AND(NhatkyBan!#REF!,"AAAAAH9//hA=")</f>
        <v>#REF!</v>
      </c>
      <c r="R39" t="e">
        <f>AND(NhatkyBan!#REF!,"AAAAAH9//hE=")</f>
        <v>#REF!</v>
      </c>
      <c r="S39" t="e">
        <f>AND(NhatkyBan!#REF!,"AAAAAH9//hI=")</f>
        <v>#REF!</v>
      </c>
      <c r="T39" t="e">
        <f>AND(NhatkyBan!#REF!,"AAAAAH9//hM=")</f>
        <v>#REF!</v>
      </c>
      <c r="U39" t="e">
        <f>AND(NhatkyBan!#REF!,"AAAAAH9//hQ=")</f>
        <v>#REF!</v>
      </c>
      <c r="V39" t="e">
        <f>AND(NhatkyBan!#REF!,"AAAAAH9//hU=")</f>
        <v>#REF!</v>
      </c>
      <c r="W39" t="e">
        <f>AND(NhatkyBan!#REF!,"AAAAAH9//hY=")</f>
        <v>#REF!</v>
      </c>
      <c r="X39" t="e">
        <f>AND(NhatkyBan!#REF!,"AAAAAH9//hc=")</f>
        <v>#REF!</v>
      </c>
      <c r="Y39" t="e">
        <f>AND(NhatkyBan!#REF!,"AAAAAH9//hg=")</f>
        <v>#REF!</v>
      </c>
      <c r="Z39" t="e">
        <f>AND(NhatkyBan!#REF!,"AAAAAH9//hk=")</f>
        <v>#REF!</v>
      </c>
      <c r="AA39" t="e">
        <f>AND(NhatkyBan!#REF!,"AAAAAH9//ho=")</f>
        <v>#REF!</v>
      </c>
      <c r="AB39" t="e">
        <f>AND(NhatkyBan!#REF!,"AAAAAH9//hs=")</f>
        <v>#REF!</v>
      </c>
      <c r="AC39" t="e">
        <f>AND(NhatkyBan!#REF!,"AAAAAH9//hw=")</f>
        <v>#REF!</v>
      </c>
      <c r="AD39" t="e">
        <f>AND(NhatkyBan!#REF!,"AAAAAH9//h0=")</f>
        <v>#REF!</v>
      </c>
      <c r="AE39" t="e">
        <f>AND(NhatkyBan!#REF!,"AAAAAH9//h4=")</f>
        <v>#REF!</v>
      </c>
      <c r="AF39" t="e">
        <f>AND(NhatkyBan!#REF!,"AAAAAH9//h8=")</f>
        <v>#REF!</v>
      </c>
      <c r="AG39" t="e">
        <f>AND(NhatkyBan!#REF!,"AAAAAH9//iA=")</f>
        <v>#REF!</v>
      </c>
      <c r="AH39" t="e">
        <f>IF(NhatkyBan!#REF!,"AAAAAH9//iE=",0)</f>
        <v>#REF!</v>
      </c>
      <c r="AI39" t="e">
        <f>AND(NhatkyBan!#REF!,"AAAAAH9//iI=")</f>
        <v>#REF!</v>
      </c>
      <c r="AJ39" t="e">
        <f>AND(NhatkyBan!#REF!,"AAAAAH9//iM=")</f>
        <v>#REF!</v>
      </c>
      <c r="AK39" t="e">
        <f>AND(NhatkyBan!#REF!,"AAAAAH9//iQ=")</f>
        <v>#REF!</v>
      </c>
      <c r="AL39" t="e">
        <f>AND(NhatkyBan!#REF!,"AAAAAH9//iU=")</f>
        <v>#REF!</v>
      </c>
      <c r="AM39" t="e">
        <f>AND(NhatkyBan!#REF!,"AAAAAH9//iY=")</f>
        <v>#REF!</v>
      </c>
      <c r="AN39" t="e">
        <f>AND(NhatkyBan!#REF!,"AAAAAH9//ic=")</f>
        <v>#REF!</v>
      </c>
      <c r="AO39" t="e">
        <f>AND(NhatkyBan!#REF!,"AAAAAH9//ig=")</f>
        <v>#REF!</v>
      </c>
      <c r="AP39" t="e">
        <f>AND(NhatkyBan!#REF!,"AAAAAH9//ik=")</f>
        <v>#REF!</v>
      </c>
      <c r="AQ39" t="e">
        <f>AND(NhatkyBan!#REF!,"AAAAAH9//io=")</f>
        <v>#REF!</v>
      </c>
      <c r="AR39" t="e">
        <f>AND(NhatkyBan!#REF!,"AAAAAH9//is=")</f>
        <v>#REF!</v>
      </c>
      <c r="AS39" t="e">
        <f>AND(NhatkyBan!#REF!,"AAAAAH9//iw=")</f>
        <v>#REF!</v>
      </c>
      <c r="AT39" t="e">
        <f>AND(NhatkyBan!#REF!,"AAAAAH9//i0=")</f>
        <v>#REF!</v>
      </c>
      <c r="AU39" t="e">
        <f>AND(NhatkyBan!#REF!,"AAAAAH9//i4=")</f>
        <v>#REF!</v>
      </c>
      <c r="AV39" t="e">
        <f>AND(NhatkyBan!#REF!,"AAAAAH9//i8=")</f>
        <v>#REF!</v>
      </c>
      <c r="AW39" t="e">
        <f>AND(NhatkyBan!#REF!,"AAAAAH9//jA=")</f>
        <v>#REF!</v>
      </c>
      <c r="AX39" t="e">
        <f>AND(NhatkyBan!#REF!,"AAAAAH9//jE=")</f>
        <v>#REF!</v>
      </c>
      <c r="AY39" t="e">
        <f>AND(NhatkyBan!#REF!,"AAAAAH9//jI=")</f>
        <v>#REF!</v>
      </c>
      <c r="AZ39" t="e">
        <f>AND(NhatkyBan!#REF!,"AAAAAH9//jM=")</f>
        <v>#REF!</v>
      </c>
      <c r="BA39" t="e">
        <f>AND(NhatkyBan!#REF!,"AAAAAH9//jQ=")</f>
        <v>#REF!</v>
      </c>
      <c r="BB39" t="e">
        <f>AND(NhatkyBan!#REF!,"AAAAAH9//jU=")</f>
        <v>#REF!</v>
      </c>
      <c r="BC39" t="e">
        <f>AND(NhatkyBan!#REF!,"AAAAAH9//jY=")</f>
        <v>#REF!</v>
      </c>
      <c r="BD39" t="e">
        <f>AND(NhatkyBan!#REF!,"AAAAAH9//jc=")</f>
        <v>#REF!</v>
      </c>
      <c r="BE39" t="e">
        <f>AND(NhatkyBan!#REF!,"AAAAAH9//jg=")</f>
        <v>#REF!</v>
      </c>
      <c r="BF39" t="e">
        <f>AND(NhatkyBan!#REF!,"AAAAAH9//jk=")</f>
        <v>#REF!</v>
      </c>
      <c r="BG39" t="e">
        <f>AND(NhatkyBan!#REF!,"AAAAAH9//jo=")</f>
        <v>#REF!</v>
      </c>
      <c r="BH39" t="e">
        <f>AND(NhatkyBan!#REF!,"AAAAAH9//js=")</f>
        <v>#REF!</v>
      </c>
      <c r="BI39" t="e">
        <f>AND(NhatkyBan!#REF!,"AAAAAH9//jw=")</f>
        <v>#REF!</v>
      </c>
      <c r="BJ39" t="e">
        <f>AND(NhatkyBan!#REF!,"AAAAAH9//j0=")</f>
        <v>#REF!</v>
      </c>
      <c r="BK39" t="e">
        <f>AND(NhatkyBan!#REF!,"AAAAAH9//j4=")</f>
        <v>#REF!</v>
      </c>
      <c r="BL39" t="e">
        <f>AND(NhatkyBan!#REF!,"AAAAAH9//j8=")</f>
        <v>#REF!</v>
      </c>
      <c r="BM39" t="e">
        <f>AND(NhatkyBan!#REF!,"AAAAAH9//kA=")</f>
        <v>#REF!</v>
      </c>
      <c r="BN39" t="e">
        <f>AND(NhatkyBan!#REF!,"AAAAAH9//kE=")</f>
        <v>#REF!</v>
      </c>
      <c r="BO39" t="e">
        <f>AND(NhatkyBan!#REF!,"AAAAAH9//kI=")</f>
        <v>#REF!</v>
      </c>
      <c r="BP39" t="e">
        <f>AND(NhatkyBan!#REF!,"AAAAAH9//kM=")</f>
        <v>#REF!</v>
      </c>
      <c r="BQ39" t="e">
        <f>IF(NhatkyBan!#REF!,"AAAAAH9//kQ=",0)</f>
        <v>#REF!</v>
      </c>
      <c r="BR39" t="e">
        <f>AND(NhatkyBan!#REF!,"AAAAAH9//kU=")</f>
        <v>#REF!</v>
      </c>
      <c r="BS39" t="e">
        <f>AND(NhatkyBan!#REF!,"AAAAAH9//kY=")</f>
        <v>#REF!</v>
      </c>
      <c r="BT39" t="e">
        <f>AND(NhatkyBan!#REF!,"AAAAAH9//kc=")</f>
        <v>#REF!</v>
      </c>
      <c r="BU39" t="e">
        <f>AND(NhatkyBan!#REF!,"AAAAAH9//kg=")</f>
        <v>#REF!</v>
      </c>
      <c r="BV39" t="e">
        <f>AND(NhatkyBan!#REF!,"AAAAAH9//kk=")</f>
        <v>#REF!</v>
      </c>
      <c r="BW39" t="e">
        <f>AND(NhatkyBan!#REF!,"AAAAAH9//ko=")</f>
        <v>#REF!</v>
      </c>
      <c r="BX39" t="e">
        <f>AND(NhatkyBan!#REF!,"AAAAAH9//ks=")</f>
        <v>#REF!</v>
      </c>
      <c r="BY39" t="e">
        <f>AND(NhatkyBan!#REF!,"AAAAAH9//kw=")</f>
        <v>#REF!</v>
      </c>
      <c r="BZ39" t="e">
        <f>AND(NhatkyBan!#REF!,"AAAAAH9//k0=")</f>
        <v>#REF!</v>
      </c>
      <c r="CA39" t="e">
        <f>AND(NhatkyBan!#REF!,"AAAAAH9//k4=")</f>
        <v>#REF!</v>
      </c>
      <c r="CB39" t="e">
        <f>AND(NhatkyBan!#REF!,"AAAAAH9//k8=")</f>
        <v>#REF!</v>
      </c>
      <c r="CC39" t="e">
        <f>AND(NhatkyBan!#REF!,"AAAAAH9//lA=")</f>
        <v>#REF!</v>
      </c>
      <c r="CD39" t="e">
        <f>AND(NhatkyBan!#REF!,"AAAAAH9//lE=")</f>
        <v>#REF!</v>
      </c>
      <c r="CE39" t="e">
        <f>AND(NhatkyBan!#REF!,"AAAAAH9//lI=")</f>
        <v>#REF!</v>
      </c>
      <c r="CF39" t="e">
        <f>AND(NhatkyBan!#REF!,"AAAAAH9//lM=")</f>
        <v>#REF!</v>
      </c>
      <c r="CG39" t="e">
        <f>AND(NhatkyBan!#REF!,"AAAAAH9//lQ=")</f>
        <v>#REF!</v>
      </c>
      <c r="CH39" t="e">
        <f>AND(NhatkyBan!#REF!,"AAAAAH9//lU=")</f>
        <v>#REF!</v>
      </c>
      <c r="CI39" t="e">
        <f>AND(NhatkyBan!#REF!,"AAAAAH9//lY=")</f>
        <v>#REF!</v>
      </c>
      <c r="CJ39" t="e">
        <f>AND(NhatkyBan!#REF!,"AAAAAH9//lc=")</f>
        <v>#REF!</v>
      </c>
      <c r="CK39" t="e">
        <f>AND(NhatkyBan!#REF!,"AAAAAH9//lg=")</f>
        <v>#REF!</v>
      </c>
      <c r="CL39" t="e">
        <f>AND(NhatkyBan!#REF!,"AAAAAH9//lk=")</f>
        <v>#REF!</v>
      </c>
      <c r="CM39" t="e">
        <f>AND(NhatkyBan!#REF!,"AAAAAH9//lo=")</f>
        <v>#REF!</v>
      </c>
      <c r="CN39" t="e">
        <f>AND(NhatkyBan!#REF!,"AAAAAH9//ls=")</f>
        <v>#REF!</v>
      </c>
      <c r="CO39" t="e">
        <f>AND(NhatkyBan!#REF!,"AAAAAH9//lw=")</f>
        <v>#REF!</v>
      </c>
      <c r="CP39" t="e">
        <f>AND(NhatkyBan!#REF!,"AAAAAH9//l0=")</f>
        <v>#REF!</v>
      </c>
      <c r="CQ39" t="e">
        <f>AND(NhatkyBan!#REF!,"AAAAAH9//l4=")</f>
        <v>#REF!</v>
      </c>
      <c r="CR39" t="e">
        <f>AND(NhatkyBan!#REF!,"AAAAAH9//l8=")</f>
        <v>#REF!</v>
      </c>
      <c r="CS39" t="e">
        <f>AND(NhatkyBan!#REF!,"AAAAAH9//mA=")</f>
        <v>#REF!</v>
      </c>
      <c r="CT39" t="e">
        <f>AND(NhatkyBan!#REF!,"AAAAAH9//mE=")</f>
        <v>#REF!</v>
      </c>
      <c r="CU39" t="e">
        <f>AND(NhatkyBan!#REF!,"AAAAAH9//mI=")</f>
        <v>#REF!</v>
      </c>
      <c r="CV39" t="e">
        <f>AND(NhatkyBan!#REF!,"AAAAAH9//mM=")</f>
        <v>#REF!</v>
      </c>
      <c r="CW39" t="e">
        <f>AND(NhatkyBan!#REF!,"AAAAAH9//mQ=")</f>
        <v>#REF!</v>
      </c>
      <c r="CX39" t="e">
        <f>AND(NhatkyBan!#REF!,"AAAAAH9//mU=")</f>
        <v>#REF!</v>
      </c>
      <c r="CY39" t="e">
        <f>AND(NhatkyBan!#REF!,"AAAAAH9//mY=")</f>
        <v>#REF!</v>
      </c>
      <c r="CZ39" t="e">
        <f>IF(NhatkyBan!#REF!,"AAAAAH9//mc=",0)</f>
        <v>#REF!</v>
      </c>
      <c r="DA39" t="e">
        <f>AND(NhatkyBan!#REF!,"AAAAAH9//mg=")</f>
        <v>#REF!</v>
      </c>
      <c r="DB39" t="e">
        <f>AND(NhatkyBan!#REF!,"AAAAAH9//mk=")</f>
        <v>#REF!</v>
      </c>
      <c r="DC39" t="e">
        <f>AND(NhatkyBan!#REF!,"AAAAAH9//mo=")</f>
        <v>#REF!</v>
      </c>
      <c r="DD39" t="e">
        <f>AND(NhatkyBan!#REF!,"AAAAAH9//ms=")</f>
        <v>#REF!</v>
      </c>
      <c r="DE39" t="e">
        <f>AND(NhatkyBan!#REF!,"AAAAAH9//mw=")</f>
        <v>#REF!</v>
      </c>
      <c r="DF39" t="e">
        <f>AND(NhatkyBan!#REF!,"AAAAAH9//m0=")</f>
        <v>#REF!</v>
      </c>
      <c r="DG39" t="e">
        <f>AND(NhatkyBan!#REF!,"AAAAAH9//m4=")</f>
        <v>#REF!</v>
      </c>
      <c r="DH39" t="e">
        <f>AND(NhatkyBan!#REF!,"AAAAAH9//m8=")</f>
        <v>#REF!</v>
      </c>
      <c r="DI39" t="e">
        <f>AND(NhatkyBan!#REF!,"AAAAAH9//nA=")</f>
        <v>#REF!</v>
      </c>
      <c r="DJ39" t="e">
        <f>AND(NhatkyBan!#REF!,"AAAAAH9//nE=")</f>
        <v>#REF!</v>
      </c>
      <c r="DK39" t="e">
        <f>AND(NhatkyBan!#REF!,"AAAAAH9//nI=")</f>
        <v>#REF!</v>
      </c>
      <c r="DL39" t="e">
        <f>AND(NhatkyBan!#REF!,"AAAAAH9//nM=")</f>
        <v>#REF!</v>
      </c>
      <c r="DM39" t="e">
        <f>AND(NhatkyBan!#REF!,"AAAAAH9//nQ=")</f>
        <v>#REF!</v>
      </c>
      <c r="DN39" t="e">
        <f>AND(NhatkyBan!#REF!,"AAAAAH9//nU=")</f>
        <v>#REF!</v>
      </c>
      <c r="DO39" t="e">
        <f>AND(NhatkyBan!#REF!,"AAAAAH9//nY=")</f>
        <v>#REF!</v>
      </c>
      <c r="DP39" t="e">
        <f>AND(NhatkyBan!#REF!,"AAAAAH9//nc=")</f>
        <v>#REF!</v>
      </c>
      <c r="DQ39" t="e">
        <f>AND(NhatkyBan!#REF!,"AAAAAH9//ng=")</f>
        <v>#REF!</v>
      </c>
      <c r="DR39" t="e">
        <f>AND(NhatkyBan!#REF!,"AAAAAH9//nk=")</f>
        <v>#REF!</v>
      </c>
      <c r="DS39" t="e">
        <f>AND(NhatkyBan!#REF!,"AAAAAH9//no=")</f>
        <v>#REF!</v>
      </c>
      <c r="DT39" t="e">
        <f>AND(NhatkyBan!#REF!,"AAAAAH9//ns=")</f>
        <v>#REF!</v>
      </c>
      <c r="DU39" t="e">
        <f>AND(NhatkyBan!#REF!,"AAAAAH9//nw=")</f>
        <v>#REF!</v>
      </c>
      <c r="DV39" t="e">
        <f>AND(NhatkyBan!#REF!,"AAAAAH9//n0=")</f>
        <v>#REF!</v>
      </c>
      <c r="DW39" t="e">
        <f>AND(NhatkyBan!#REF!,"AAAAAH9//n4=")</f>
        <v>#REF!</v>
      </c>
      <c r="DX39" t="e">
        <f>AND(NhatkyBan!#REF!,"AAAAAH9//n8=")</f>
        <v>#REF!</v>
      </c>
      <c r="DY39" t="e">
        <f>AND(NhatkyBan!#REF!,"AAAAAH9//oA=")</f>
        <v>#REF!</v>
      </c>
      <c r="DZ39" t="e">
        <f>AND(NhatkyBan!#REF!,"AAAAAH9//oE=")</f>
        <v>#REF!</v>
      </c>
      <c r="EA39" t="e">
        <f>AND(NhatkyBan!#REF!,"AAAAAH9//oI=")</f>
        <v>#REF!</v>
      </c>
      <c r="EB39" t="e">
        <f>AND(NhatkyBan!#REF!,"AAAAAH9//oM=")</f>
        <v>#REF!</v>
      </c>
      <c r="EC39" t="e">
        <f>AND(NhatkyBan!#REF!,"AAAAAH9//oQ=")</f>
        <v>#REF!</v>
      </c>
      <c r="ED39" t="e">
        <f>AND(NhatkyBan!#REF!,"AAAAAH9//oU=")</f>
        <v>#REF!</v>
      </c>
      <c r="EE39" t="e">
        <f>AND(NhatkyBan!#REF!,"AAAAAH9//oY=")</f>
        <v>#REF!</v>
      </c>
      <c r="EF39" t="e">
        <f>AND(NhatkyBan!#REF!,"AAAAAH9//oc=")</f>
        <v>#REF!</v>
      </c>
      <c r="EG39" t="e">
        <f>AND(NhatkyBan!#REF!,"AAAAAH9//og=")</f>
        <v>#REF!</v>
      </c>
      <c r="EH39" t="e">
        <f>AND(NhatkyBan!#REF!,"AAAAAH9//ok=")</f>
        <v>#REF!</v>
      </c>
      <c r="EI39" t="e">
        <f>IF(NhatkyBan!#REF!,"AAAAAH9//oo=",0)</f>
        <v>#REF!</v>
      </c>
      <c r="EJ39" t="e">
        <f>AND(NhatkyBan!#REF!,"AAAAAH9//os=")</f>
        <v>#REF!</v>
      </c>
      <c r="EK39" t="e">
        <f>AND(NhatkyBan!#REF!,"AAAAAH9//ow=")</f>
        <v>#REF!</v>
      </c>
      <c r="EL39" t="e">
        <f>AND(NhatkyBan!#REF!,"AAAAAH9//o0=")</f>
        <v>#REF!</v>
      </c>
      <c r="EM39" t="e">
        <f>AND(NhatkyBan!#REF!,"AAAAAH9//o4=")</f>
        <v>#REF!</v>
      </c>
      <c r="EN39" t="e">
        <f>AND(NhatkyBan!#REF!,"AAAAAH9//o8=")</f>
        <v>#REF!</v>
      </c>
      <c r="EO39" t="e">
        <f>AND(NhatkyBan!#REF!,"AAAAAH9//pA=")</f>
        <v>#REF!</v>
      </c>
      <c r="EP39" t="e">
        <f>AND(NhatkyBan!#REF!,"AAAAAH9//pE=")</f>
        <v>#REF!</v>
      </c>
      <c r="EQ39" t="e">
        <f>AND(NhatkyBan!#REF!,"AAAAAH9//pI=")</f>
        <v>#REF!</v>
      </c>
      <c r="ER39" t="e">
        <f>AND(NhatkyBan!#REF!,"AAAAAH9//pM=")</f>
        <v>#REF!</v>
      </c>
      <c r="ES39" t="e">
        <f>AND(NhatkyBan!#REF!,"AAAAAH9//pQ=")</f>
        <v>#REF!</v>
      </c>
      <c r="ET39" t="e">
        <f>AND(NhatkyBan!#REF!,"AAAAAH9//pU=")</f>
        <v>#REF!</v>
      </c>
      <c r="EU39" t="e">
        <f>AND(NhatkyBan!#REF!,"AAAAAH9//pY=")</f>
        <v>#REF!</v>
      </c>
      <c r="EV39" t="e">
        <f>AND(NhatkyBan!#REF!,"AAAAAH9//pc=")</f>
        <v>#REF!</v>
      </c>
      <c r="EW39" t="e">
        <f>AND(NhatkyBan!#REF!,"AAAAAH9//pg=")</f>
        <v>#REF!</v>
      </c>
      <c r="EX39" t="e">
        <f>AND(NhatkyBan!#REF!,"AAAAAH9//pk=")</f>
        <v>#REF!</v>
      </c>
      <c r="EY39" t="e">
        <f>AND(NhatkyBan!#REF!,"AAAAAH9//po=")</f>
        <v>#REF!</v>
      </c>
      <c r="EZ39" t="e">
        <f>AND(NhatkyBan!#REF!,"AAAAAH9//ps=")</f>
        <v>#REF!</v>
      </c>
      <c r="FA39" t="e">
        <f>AND(NhatkyBan!#REF!,"AAAAAH9//pw=")</f>
        <v>#REF!</v>
      </c>
      <c r="FB39" t="e">
        <f>AND(NhatkyBan!#REF!,"AAAAAH9//p0=")</f>
        <v>#REF!</v>
      </c>
      <c r="FC39" t="e">
        <f>AND(NhatkyBan!#REF!,"AAAAAH9//p4=")</f>
        <v>#REF!</v>
      </c>
      <c r="FD39" t="e">
        <f>AND(NhatkyBan!#REF!,"AAAAAH9//p8=")</f>
        <v>#REF!</v>
      </c>
      <c r="FE39" t="e">
        <f>AND(NhatkyBan!#REF!,"AAAAAH9//qA=")</f>
        <v>#REF!</v>
      </c>
      <c r="FF39" t="e">
        <f>AND(NhatkyBan!#REF!,"AAAAAH9//qE=")</f>
        <v>#REF!</v>
      </c>
      <c r="FG39" t="e">
        <f>AND(NhatkyBan!#REF!,"AAAAAH9//qI=")</f>
        <v>#REF!</v>
      </c>
      <c r="FH39" t="e">
        <f>AND(NhatkyBan!#REF!,"AAAAAH9//qM=")</f>
        <v>#REF!</v>
      </c>
      <c r="FI39" t="e">
        <f>AND(NhatkyBan!#REF!,"AAAAAH9//qQ=")</f>
        <v>#REF!</v>
      </c>
      <c r="FJ39" t="e">
        <f>AND(NhatkyBan!#REF!,"AAAAAH9//qU=")</f>
        <v>#REF!</v>
      </c>
      <c r="FK39" t="e">
        <f>AND(NhatkyBan!#REF!,"AAAAAH9//qY=")</f>
        <v>#REF!</v>
      </c>
      <c r="FL39" t="e">
        <f>AND(NhatkyBan!#REF!,"AAAAAH9//qc=")</f>
        <v>#REF!</v>
      </c>
      <c r="FM39" t="e">
        <f>AND(NhatkyBan!#REF!,"AAAAAH9//qg=")</f>
        <v>#REF!</v>
      </c>
      <c r="FN39" t="e">
        <f>AND(NhatkyBan!#REF!,"AAAAAH9//qk=")</f>
        <v>#REF!</v>
      </c>
      <c r="FO39" t="e">
        <f>AND(NhatkyBan!#REF!,"AAAAAH9//qo=")</f>
        <v>#REF!</v>
      </c>
      <c r="FP39" t="e">
        <f>AND(NhatkyBan!#REF!,"AAAAAH9//qs=")</f>
        <v>#REF!</v>
      </c>
      <c r="FQ39" t="e">
        <f>AND(NhatkyBan!#REF!,"AAAAAH9//qw=")</f>
        <v>#REF!</v>
      </c>
      <c r="FR39" t="e">
        <f>IF(NhatkyBan!#REF!,"AAAAAH9//q0=",0)</f>
        <v>#REF!</v>
      </c>
      <c r="FS39" t="e">
        <f>AND(NhatkyBan!#REF!,"AAAAAH9//q4=")</f>
        <v>#REF!</v>
      </c>
      <c r="FT39" t="e">
        <f>AND(NhatkyBan!#REF!,"AAAAAH9//q8=")</f>
        <v>#REF!</v>
      </c>
      <c r="FU39" t="e">
        <f>AND(NhatkyBan!#REF!,"AAAAAH9//rA=")</f>
        <v>#REF!</v>
      </c>
      <c r="FV39" t="e">
        <f>AND(NhatkyBan!#REF!,"AAAAAH9//rE=")</f>
        <v>#REF!</v>
      </c>
      <c r="FW39" t="e">
        <f>AND(NhatkyBan!#REF!,"AAAAAH9//rI=")</f>
        <v>#REF!</v>
      </c>
      <c r="FX39" t="e">
        <f>AND(NhatkyBan!#REF!,"AAAAAH9//rM=")</f>
        <v>#REF!</v>
      </c>
      <c r="FY39" t="e">
        <f>AND(NhatkyBan!#REF!,"AAAAAH9//rQ=")</f>
        <v>#REF!</v>
      </c>
      <c r="FZ39" t="e">
        <f>AND(NhatkyBan!#REF!,"AAAAAH9//rU=")</f>
        <v>#REF!</v>
      </c>
      <c r="GA39" t="e">
        <f>AND(NhatkyBan!#REF!,"AAAAAH9//rY=")</f>
        <v>#REF!</v>
      </c>
      <c r="GB39" t="e">
        <f>AND(NhatkyBan!#REF!,"AAAAAH9//rc=")</f>
        <v>#REF!</v>
      </c>
      <c r="GC39" t="e">
        <f>AND(NhatkyBan!#REF!,"AAAAAH9//rg=")</f>
        <v>#REF!</v>
      </c>
      <c r="GD39" t="e">
        <f>AND(NhatkyBan!#REF!,"AAAAAH9//rk=")</f>
        <v>#REF!</v>
      </c>
      <c r="GE39" t="e">
        <f>AND(NhatkyBan!#REF!,"AAAAAH9//ro=")</f>
        <v>#REF!</v>
      </c>
      <c r="GF39" t="e">
        <f>AND(NhatkyBan!#REF!,"AAAAAH9//rs=")</f>
        <v>#REF!</v>
      </c>
      <c r="GG39" t="e">
        <f>AND(NhatkyBan!#REF!,"AAAAAH9//rw=")</f>
        <v>#REF!</v>
      </c>
      <c r="GH39" t="e">
        <f>AND(NhatkyBan!#REF!,"AAAAAH9//r0=")</f>
        <v>#REF!</v>
      </c>
      <c r="GI39" t="e">
        <f>AND(NhatkyBan!#REF!,"AAAAAH9//r4=")</f>
        <v>#REF!</v>
      </c>
      <c r="GJ39" t="e">
        <f>AND(NhatkyBan!#REF!,"AAAAAH9//r8=")</f>
        <v>#REF!</v>
      </c>
      <c r="GK39" t="e">
        <f>AND(NhatkyBan!#REF!,"AAAAAH9//sA=")</f>
        <v>#REF!</v>
      </c>
      <c r="GL39" t="e">
        <f>AND(NhatkyBan!#REF!,"AAAAAH9//sE=")</f>
        <v>#REF!</v>
      </c>
      <c r="GM39" t="e">
        <f>AND(NhatkyBan!#REF!,"AAAAAH9//sI=")</f>
        <v>#REF!</v>
      </c>
      <c r="GN39" t="e">
        <f>AND(NhatkyBan!#REF!,"AAAAAH9//sM=")</f>
        <v>#REF!</v>
      </c>
      <c r="GO39" t="e">
        <f>AND(NhatkyBan!#REF!,"AAAAAH9//sQ=")</f>
        <v>#REF!</v>
      </c>
      <c r="GP39" t="e">
        <f>AND(NhatkyBan!#REF!,"AAAAAH9//sU=")</f>
        <v>#REF!</v>
      </c>
      <c r="GQ39" t="e">
        <f>AND(NhatkyBan!#REF!,"AAAAAH9//sY=")</f>
        <v>#REF!</v>
      </c>
      <c r="GR39" t="e">
        <f>AND(NhatkyBan!#REF!,"AAAAAH9//sc=")</f>
        <v>#REF!</v>
      </c>
      <c r="GS39" t="e">
        <f>AND(NhatkyBan!#REF!,"AAAAAH9//sg=")</f>
        <v>#REF!</v>
      </c>
      <c r="GT39" t="e">
        <f>AND(NhatkyBan!#REF!,"AAAAAH9//sk=")</f>
        <v>#REF!</v>
      </c>
      <c r="GU39" t="e">
        <f>AND(NhatkyBan!#REF!,"AAAAAH9//so=")</f>
        <v>#REF!</v>
      </c>
      <c r="GV39" t="e">
        <f>AND(NhatkyBan!#REF!,"AAAAAH9//ss=")</f>
        <v>#REF!</v>
      </c>
      <c r="GW39" t="e">
        <f>AND(NhatkyBan!#REF!,"AAAAAH9//sw=")</f>
        <v>#REF!</v>
      </c>
      <c r="GX39" t="e">
        <f>AND(NhatkyBan!#REF!,"AAAAAH9//s0=")</f>
        <v>#REF!</v>
      </c>
      <c r="GY39" t="e">
        <f>AND(NhatkyBan!#REF!,"AAAAAH9//s4=")</f>
        <v>#REF!</v>
      </c>
      <c r="GZ39" t="e">
        <f>AND(NhatkyBan!#REF!,"AAAAAH9//s8=")</f>
        <v>#REF!</v>
      </c>
      <c r="HA39" t="e">
        <f>IF(NhatkyBan!#REF!,"AAAAAH9//tA=",0)</f>
        <v>#REF!</v>
      </c>
      <c r="HB39" t="e">
        <f>AND(NhatkyBan!#REF!,"AAAAAH9//tE=")</f>
        <v>#REF!</v>
      </c>
      <c r="HC39" t="e">
        <f>AND(NhatkyBan!#REF!,"AAAAAH9//tI=")</f>
        <v>#REF!</v>
      </c>
      <c r="HD39" t="e">
        <f>AND(NhatkyBan!#REF!,"AAAAAH9//tM=")</f>
        <v>#REF!</v>
      </c>
      <c r="HE39" t="e">
        <f>AND(NhatkyBan!#REF!,"AAAAAH9//tQ=")</f>
        <v>#REF!</v>
      </c>
      <c r="HF39" t="e">
        <f>AND(NhatkyBan!#REF!,"AAAAAH9//tU=")</f>
        <v>#REF!</v>
      </c>
      <c r="HG39" t="e">
        <f>AND(NhatkyBan!#REF!,"AAAAAH9//tY=")</f>
        <v>#REF!</v>
      </c>
      <c r="HH39" t="e">
        <f>AND(NhatkyBan!#REF!,"AAAAAH9//tc=")</f>
        <v>#REF!</v>
      </c>
      <c r="HI39" t="e">
        <f>AND(NhatkyBan!#REF!,"AAAAAH9//tg=")</f>
        <v>#REF!</v>
      </c>
      <c r="HJ39" t="e">
        <f>AND(NhatkyBan!#REF!,"AAAAAH9//tk=")</f>
        <v>#REF!</v>
      </c>
      <c r="HK39" t="e">
        <f>AND(NhatkyBan!#REF!,"AAAAAH9//to=")</f>
        <v>#REF!</v>
      </c>
      <c r="HL39" t="e">
        <f>AND(NhatkyBan!#REF!,"AAAAAH9//ts=")</f>
        <v>#REF!</v>
      </c>
      <c r="HM39" t="e">
        <f>AND(NhatkyBan!#REF!,"AAAAAH9//tw=")</f>
        <v>#REF!</v>
      </c>
      <c r="HN39" t="e">
        <f>AND(NhatkyBan!#REF!,"AAAAAH9//t0=")</f>
        <v>#REF!</v>
      </c>
      <c r="HO39" t="e">
        <f>AND(NhatkyBan!#REF!,"AAAAAH9//t4=")</f>
        <v>#REF!</v>
      </c>
      <c r="HP39" t="e">
        <f>AND(NhatkyBan!#REF!,"AAAAAH9//t8=")</f>
        <v>#REF!</v>
      </c>
      <c r="HQ39" t="e">
        <f>AND(NhatkyBan!#REF!,"AAAAAH9//uA=")</f>
        <v>#REF!</v>
      </c>
      <c r="HR39" t="e">
        <f>AND(NhatkyBan!#REF!,"AAAAAH9//uE=")</f>
        <v>#REF!</v>
      </c>
      <c r="HS39" t="e">
        <f>AND(NhatkyBan!#REF!,"AAAAAH9//uI=")</f>
        <v>#REF!</v>
      </c>
      <c r="HT39" t="e">
        <f>AND(NhatkyBan!#REF!,"AAAAAH9//uM=")</f>
        <v>#REF!</v>
      </c>
      <c r="HU39" t="e">
        <f>AND(NhatkyBan!#REF!,"AAAAAH9//uQ=")</f>
        <v>#REF!</v>
      </c>
      <c r="HV39" t="e">
        <f>AND(NhatkyBan!#REF!,"AAAAAH9//uU=")</f>
        <v>#REF!</v>
      </c>
      <c r="HW39" t="e">
        <f>AND(NhatkyBan!#REF!,"AAAAAH9//uY=")</f>
        <v>#REF!</v>
      </c>
      <c r="HX39" t="e">
        <f>AND(NhatkyBan!#REF!,"AAAAAH9//uc=")</f>
        <v>#REF!</v>
      </c>
      <c r="HY39" t="e">
        <f>AND(NhatkyBan!#REF!,"AAAAAH9//ug=")</f>
        <v>#REF!</v>
      </c>
      <c r="HZ39" t="e">
        <f>AND(NhatkyBan!#REF!,"AAAAAH9//uk=")</f>
        <v>#REF!</v>
      </c>
      <c r="IA39" t="e">
        <f>AND(NhatkyBan!#REF!,"AAAAAH9//uo=")</f>
        <v>#REF!</v>
      </c>
      <c r="IB39" t="e">
        <f>AND(NhatkyBan!#REF!,"AAAAAH9//us=")</f>
        <v>#REF!</v>
      </c>
      <c r="IC39" t="e">
        <f>AND(NhatkyBan!#REF!,"AAAAAH9//uw=")</f>
        <v>#REF!</v>
      </c>
      <c r="ID39" t="e">
        <f>AND(NhatkyBan!#REF!,"AAAAAH9//u0=")</f>
        <v>#REF!</v>
      </c>
      <c r="IE39" t="e">
        <f>AND(NhatkyBan!#REF!,"AAAAAH9//u4=")</f>
        <v>#REF!</v>
      </c>
      <c r="IF39" t="e">
        <f>AND(NhatkyBan!#REF!,"AAAAAH9//u8=")</f>
        <v>#REF!</v>
      </c>
      <c r="IG39" t="e">
        <f>AND(NhatkyBan!#REF!,"AAAAAH9//vA=")</f>
        <v>#REF!</v>
      </c>
      <c r="IH39" t="e">
        <f>AND(NhatkyBan!#REF!,"AAAAAH9//vE=")</f>
        <v>#REF!</v>
      </c>
      <c r="II39" t="e">
        <f>AND(NhatkyBan!#REF!,"AAAAAH9//vI=")</f>
        <v>#REF!</v>
      </c>
      <c r="IJ39" t="e">
        <f>IF(NhatkyBan!#REF!,"AAAAAH9//vM=",0)</f>
        <v>#REF!</v>
      </c>
      <c r="IK39" t="e">
        <f>AND(NhatkyBan!#REF!,"AAAAAH9//vQ=")</f>
        <v>#REF!</v>
      </c>
      <c r="IL39" t="e">
        <f>AND(NhatkyBan!#REF!,"AAAAAH9//vU=")</f>
        <v>#REF!</v>
      </c>
      <c r="IM39" t="e">
        <f>AND(NhatkyBan!#REF!,"AAAAAH9//vY=")</f>
        <v>#REF!</v>
      </c>
      <c r="IN39" t="e">
        <f>AND(NhatkyBan!#REF!,"AAAAAH9//vc=")</f>
        <v>#REF!</v>
      </c>
      <c r="IO39" t="e">
        <f>AND(NhatkyBan!#REF!,"AAAAAH9//vg=")</f>
        <v>#REF!</v>
      </c>
      <c r="IP39" t="e">
        <f>AND(NhatkyBan!#REF!,"AAAAAH9//vk=")</f>
        <v>#REF!</v>
      </c>
      <c r="IQ39" t="e">
        <f>AND(NhatkyBan!#REF!,"AAAAAH9//vo=")</f>
        <v>#REF!</v>
      </c>
      <c r="IR39" t="e">
        <f>AND(NhatkyBan!#REF!,"AAAAAH9//vs=")</f>
        <v>#REF!</v>
      </c>
      <c r="IS39" t="e">
        <f>AND(NhatkyBan!#REF!,"AAAAAH9//vw=")</f>
        <v>#REF!</v>
      </c>
      <c r="IT39" t="e">
        <f>AND(NhatkyBan!#REF!,"AAAAAH9//v0=")</f>
        <v>#REF!</v>
      </c>
      <c r="IU39" t="e">
        <f>AND(NhatkyBan!#REF!,"AAAAAH9//v4=")</f>
        <v>#REF!</v>
      </c>
      <c r="IV39" t="e">
        <f>AND(NhatkyBan!#REF!,"AAAAAH9//v8=")</f>
        <v>#REF!</v>
      </c>
    </row>
    <row r="40" spans="1:256">
      <c r="A40" t="e">
        <f>AND(NhatkyBan!#REF!,"AAAAAGlHzwA=")</f>
        <v>#REF!</v>
      </c>
      <c r="B40" t="e">
        <f>AND(NhatkyBan!#REF!,"AAAAAGlHzwE=")</f>
        <v>#REF!</v>
      </c>
      <c r="C40" t="e">
        <f>AND(NhatkyBan!#REF!,"AAAAAGlHzwI=")</f>
        <v>#REF!</v>
      </c>
      <c r="D40" t="e">
        <f>AND(NhatkyBan!#REF!,"AAAAAGlHzwM=")</f>
        <v>#REF!</v>
      </c>
      <c r="E40" t="e">
        <f>AND(NhatkyBan!#REF!,"AAAAAGlHzwQ=")</f>
        <v>#REF!</v>
      </c>
      <c r="F40" t="e">
        <f>AND(NhatkyBan!#REF!,"AAAAAGlHzwU=")</f>
        <v>#REF!</v>
      </c>
      <c r="G40" t="e">
        <f>AND(NhatkyBan!#REF!,"AAAAAGlHzwY=")</f>
        <v>#REF!</v>
      </c>
      <c r="H40" t="e">
        <f>AND(NhatkyBan!#REF!,"AAAAAGlHzwc=")</f>
        <v>#REF!</v>
      </c>
      <c r="I40" t="e">
        <f>AND(NhatkyBan!#REF!,"AAAAAGlHzwg=")</f>
        <v>#REF!</v>
      </c>
      <c r="J40" t="e">
        <f>AND(NhatkyBan!#REF!,"AAAAAGlHzwk=")</f>
        <v>#REF!</v>
      </c>
      <c r="K40" t="e">
        <f>AND(NhatkyBan!#REF!,"AAAAAGlHzwo=")</f>
        <v>#REF!</v>
      </c>
      <c r="L40" t="e">
        <f>AND(NhatkyBan!#REF!,"AAAAAGlHzws=")</f>
        <v>#REF!</v>
      </c>
      <c r="M40" t="e">
        <f>AND(NhatkyBan!#REF!,"AAAAAGlHzww=")</f>
        <v>#REF!</v>
      </c>
      <c r="N40" t="e">
        <f>AND(NhatkyBan!#REF!,"AAAAAGlHzw0=")</f>
        <v>#REF!</v>
      </c>
      <c r="O40" t="e">
        <f>AND(NhatkyBan!#REF!,"AAAAAGlHzw4=")</f>
        <v>#REF!</v>
      </c>
      <c r="P40" t="e">
        <f>AND(NhatkyBan!#REF!,"AAAAAGlHzw8=")</f>
        <v>#REF!</v>
      </c>
      <c r="Q40" t="e">
        <f>AND(NhatkyBan!#REF!,"AAAAAGlHzxA=")</f>
        <v>#REF!</v>
      </c>
      <c r="R40" t="e">
        <f>AND(NhatkyBan!#REF!,"AAAAAGlHzxE=")</f>
        <v>#REF!</v>
      </c>
      <c r="S40" t="e">
        <f>AND(NhatkyBan!#REF!,"AAAAAGlHzxI=")</f>
        <v>#REF!</v>
      </c>
      <c r="T40" t="e">
        <f>AND(NhatkyBan!#REF!,"AAAAAGlHzxM=")</f>
        <v>#REF!</v>
      </c>
      <c r="U40" t="e">
        <f>AND(NhatkyBan!#REF!,"AAAAAGlHzxQ=")</f>
        <v>#REF!</v>
      </c>
      <c r="V40" t="e">
        <f>AND(NhatkyBan!#REF!,"AAAAAGlHzxU=")</f>
        <v>#REF!</v>
      </c>
      <c r="W40" t="e">
        <f>IF(NhatkyBan!#REF!,"AAAAAGlHzxY=",0)</f>
        <v>#REF!</v>
      </c>
      <c r="X40" t="e">
        <f>AND(NhatkyBan!#REF!,"AAAAAGlHzxc=")</f>
        <v>#REF!</v>
      </c>
      <c r="Y40" t="e">
        <f>AND(NhatkyBan!#REF!,"AAAAAGlHzxg=")</f>
        <v>#REF!</v>
      </c>
      <c r="Z40" t="e">
        <f>AND(NhatkyBan!#REF!,"AAAAAGlHzxk=")</f>
        <v>#REF!</v>
      </c>
      <c r="AA40" t="e">
        <f>AND(NhatkyBan!#REF!,"AAAAAGlHzxo=")</f>
        <v>#REF!</v>
      </c>
      <c r="AB40" t="e">
        <f>AND(NhatkyBan!#REF!,"AAAAAGlHzxs=")</f>
        <v>#REF!</v>
      </c>
      <c r="AC40" t="e">
        <f>AND(NhatkyBan!#REF!,"AAAAAGlHzxw=")</f>
        <v>#REF!</v>
      </c>
      <c r="AD40" t="e">
        <f>AND(NhatkyBan!#REF!,"AAAAAGlHzx0=")</f>
        <v>#REF!</v>
      </c>
      <c r="AE40" t="e">
        <f>AND(NhatkyBan!#REF!,"AAAAAGlHzx4=")</f>
        <v>#REF!</v>
      </c>
      <c r="AF40" t="e">
        <f>AND(NhatkyBan!#REF!,"AAAAAGlHzx8=")</f>
        <v>#REF!</v>
      </c>
      <c r="AG40" t="e">
        <f>AND(NhatkyBan!#REF!,"AAAAAGlHzyA=")</f>
        <v>#REF!</v>
      </c>
      <c r="AH40" t="e">
        <f>AND(NhatkyBan!#REF!,"AAAAAGlHzyE=")</f>
        <v>#REF!</v>
      </c>
      <c r="AI40" t="e">
        <f>AND(NhatkyBan!#REF!,"AAAAAGlHzyI=")</f>
        <v>#REF!</v>
      </c>
      <c r="AJ40" t="e">
        <f>AND(NhatkyBan!#REF!,"AAAAAGlHzyM=")</f>
        <v>#REF!</v>
      </c>
      <c r="AK40" t="e">
        <f>AND(NhatkyBan!#REF!,"AAAAAGlHzyQ=")</f>
        <v>#REF!</v>
      </c>
      <c r="AL40" t="e">
        <f>AND(NhatkyBan!#REF!,"AAAAAGlHzyU=")</f>
        <v>#REF!</v>
      </c>
      <c r="AM40" t="e">
        <f>AND(NhatkyBan!#REF!,"AAAAAGlHzyY=")</f>
        <v>#REF!</v>
      </c>
      <c r="AN40" t="e">
        <f>AND(NhatkyBan!#REF!,"AAAAAGlHzyc=")</f>
        <v>#REF!</v>
      </c>
      <c r="AO40" t="e">
        <f>AND(NhatkyBan!#REF!,"AAAAAGlHzyg=")</f>
        <v>#REF!</v>
      </c>
      <c r="AP40" t="e">
        <f>AND(NhatkyBan!#REF!,"AAAAAGlHzyk=")</f>
        <v>#REF!</v>
      </c>
      <c r="AQ40" t="e">
        <f>AND(NhatkyBan!#REF!,"AAAAAGlHzyo=")</f>
        <v>#REF!</v>
      </c>
      <c r="AR40" t="e">
        <f>AND(NhatkyBan!#REF!,"AAAAAGlHzys=")</f>
        <v>#REF!</v>
      </c>
      <c r="AS40" t="e">
        <f>AND(NhatkyBan!#REF!,"AAAAAGlHzyw=")</f>
        <v>#REF!</v>
      </c>
      <c r="AT40" t="e">
        <f>AND(NhatkyBan!#REF!,"AAAAAGlHzy0=")</f>
        <v>#REF!</v>
      </c>
      <c r="AU40" t="e">
        <f>AND(NhatkyBan!#REF!,"AAAAAGlHzy4=")</f>
        <v>#REF!</v>
      </c>
      <c r="AV40" t="e">
        <f>AND(NhatkyBan!#REF!,"AAAAAGlHzy8=")</f>
        <v>#REF!</v>
      </c>
      <c r="AW40" t="e">
        <f>AND(NhatkyBan!#REF!,"AAAAAGlHzzA=")</f>
        <v>#REF!</v>
      </c>
      <c r="AX40" t="e">
        <f>AND(NhatkyBan!#REF!,"AAAAAGlHzzE=")</f>
        <v>#REF!</v>
      </c>
      <c r="AY40" t="e">
        <f>AND(NhatkyBan!#REF!,"AAAAAGlHzzI=")</f>
        <v>#REF!</v>
      </c>
      <c r="AZ40" t="e">
        <f>AND(NhatkyBan!#REF!,"AAAAAGlHzzM=")</f>
        <v>#REF!</v>
      </c>
      <c r="BA40" t="e">
        <f>AND(NhatkyBan!#REF!,"AAAAAGlHzzQ=")</f>
        <v>#REF!</v>
      </c>
      <c r="BB40" t="e">
        <f>AND(NhatkyBan!#REF!,"AAAAAGlHzzU=")</f>
        <v>#REF!</v>
      </c>
      <c r="BC40" t="e">
        <f>AND(NhatkyBan!#REF!,"AAAAAGlHzzY=")</f>
        <v>#REF!</v>
      </c>
      <c r="BD40" t="e">
        <f>AND(NhatkyBan!#REF!,"AAAAAGlHzzc=")</f>
        <v>#REF!</v>
      </c>
      <c r="BE40" t="e">
        <f>AND(NhatkyBan!#REF!,"AAAAAGlHzzg=")</f>
        <v>#REF!</v>
      </c>
      <c r="BF40" t="e">
        <f>IF(NhatkyBan!#REF!,"AAAAAGlHzzk=",0)</f>
        <v>#REF!</v>
      </c>
      <c r="BG40" t="e">
        <f>AND(NhatkyBan!#REF!,"AAAAAGlHzzo=")</f>
        <v>#REF!</v>
      </c>
      <c r="BH40" t="e">
        <f>AND(NhatkyBan!#REF!,"AAAAAGlHzzs=")</f>
        <v>#REF!</v>
      </c>
      <c r="BI40" t="e">
        <f>AND(NhatkyBan!#REF!,"AAAAAGlHzzw=")</f>
        <v>#REF!</v>
      </c>
      <c r="BJ40" t="e">
        <f>AND(NhatkyBan!#REF!,"AAAAAGlHzz0=")</f>
        <v>#REF!</v>
      </c>
      <c r="BK40" t="e">
        <f>AND(NhatkyBan!#REF!,"AAAAAGlHzz4=")</f>
        <v>#REF!</v>
      </c>
      <c r="BL40" t="e">
        <f>AND(NhatkyBan!#REF!,"AAAAAGlHzz8=")</f>
        <v>#REF!</v>
      </c>
      <c r="BM40" t="e">
        <f>AND(NhatkyBan!#REF!,"AAAAAGlHz0A=")</f>
        <v>#REF!</v>
      </c>
      <c r="BN40" t="e">
        <f>AND(NhatkyBan!#REF!,"AAAAAGlHz0E=")</f>
        <v>#REF!</v>
      </c>
      <c r="BO40" t="e">
        <f>AND(NhatkyBan!#REF!,"AAAAAGlHz0I=")</f>
        <v>#REF!</v>
      </c>
      <c r="BP40" t="e">
        <f>AND(NhatkyBan!#REF!,"AAAAAGlHz0M=")</f>
        <v>#REF!</v>
      </c>
      <c r="BQ40" t="e">
        <f>AND(NhatkyBan!#REF!,"AAAAAGlHz0Q=")</f>
        <v>#REF!</v>
      </c>
      <c r="BR40" t="e">
        <f>AND(NhatkyBan!#REF!,"AAAAAGlHz0U=")</f>
        <v>#REF!</v>
      </c>
      <c r="BS40" t="e">
        <f>AND(NhatkyBan!#REF!,"AAAAAGlHz0Y=")</f>
        <v>#REF!</v>
      </c>
      <c r="BT40" t="e">
        <f>AND(NhatkyBan!#REF!,"AAAAAGlHz0c=")</f>
        <v>#REF!</v>
      </c>
      <c r="BU40" t="e">
        <f>AND(NhatkyBan!#REF!,"AAAAAGlHz0g=")</f>
        <v>#REF!</v>
      </c>
      <c r="BV40" t="e">
        <f>AND(NhatkyBan!#REF!,"AAAAAGlHz0k=")</f>
        <v>#REF!</v>
      </c>
      <c r="BW40" t="e">
        <f>AND(NhatkyBan!#REF!,"AAAAAGlHz0o=")</f>
        <v>#REF!</v>
      </c>
      <c r="BX40" t="e">
        <f>AND(NhatkyBan!#REF!,"AAAAAGlHz0s=")</f>
        <v>#REF!</v>
      </c>
      <c r="BY40" t="e">
        <f>AND(NhatkyBan!#REF!,"AAAAAGlHz0w=")</f>
        <v>#REF!</v>
      </c>
      <c r="BZ40" t="e">
        <f>AND(NhatkyBan!#REF!,"AAAAAGlHz00=")</f>
        <v>#REF!</v>
      </c>
      <c r="CA40" t="e">
        <f>AND(NhatkyBan!#REF!,"AAAAAGlHz04=")</f>
        <v>#REF!</v>
      </c>
      <c r="CB40" t="e">
        <f>AND(NhatkyBan!#REF!,"AAAAAGlHz08=")</f>
        <v>#REF!</v>
      </c>
      <c r="CC40" t="e">
        <f>AND(NhatkyBan!#REF!,"AAAAAGlHz1A=")</f>
        <v>#REF!</v>
      </c>
      <c r="CD40" t="e">
        <f>AND(NhatkyBan!#REF!,"AAAAAGlHz1E=")</f>
        <v>#REF!</v>
      </c>
      <c r="CE40" t="e">
        <f>AND(NhatkyBan!#REF!,"AAAAAGlHz1I=")</f>
        <v>#REF!</v>
      </c>
      <c r="CF40" t="e">
        <f>AND(NhatkyBan!#REF!,"AAAAAGlHz1M=")</f>
        <v>#REF!</v>
      </c>
      <c r="CG40" t="e">
        <f>AND(NhatkyBan!#REF!,"AAAAAGlHz1Q=")</f>
        <v>#REF!</v>
      </c>
      <c r="CH40" t="e">
        <f>AND(NhatkyBan!#REF!,"AAAAAGlHz1U=")</f>
        <v>#REF!</v>
      </c>
      <c r="CI40" t="e">
        <f>AND(NhatkyBan!#REF!,"AAAAAGlHz1Y=")</f>
        <v>#REF!</v>
      </c>
      <c r="CJ40" t="e">
        <f>AND(NhatkyBan!#REF!,"AAAAAGlHz1c=")</f>
        <v>#REF!</v>
      </c>
      <c r="CK40" t="e">
        <f>AND(NhatkyBan!#REF!,"AAAAAGlHz1g=")</f>
        <v>#REF!</v>
      </c>
      <c r="CL40" t="e">
        <f>AND(NhatkyBan!#REF!,"AAAAAGlHz1k=")</f>
        <v>#REF!</v>
      </c>
      <c r="CM40" t="e">
        <f>AND(NhatkyBan!#REF!,"AAAAAGlHz1o=")</f>
        <v>#REF!</v>
      </c>
      <c r="CN40" t="e">
        <f>AND(NhatkyBan!#REF!,"AAAAAGlHz1s=")</f>
        <v>#REF!</v>
      </c>
      <c r="CO40" t="e">
        <f>IF(NhatkyBan!#REF!,"AAAAAGlHz1w=",0)</f>
        <v>#REF!</v>
      </c>
      <c r="CP40" t="e">
        <f>AND(NhatkyBan!#REF!,"AAAAAGlHz10=")</f>
        <v>#REF!</v>
      </c>
      <c r="CQ40" t="e">
        <f>AND(NhatkyBan!#REF!,"AAAAAGlHz14=")</f>
        <v>#REF!</v>
      </c>
      <c r="CR40" t="e">
        <f>AND(NhatkyBan!#REF!,"AAAAAGlHz18=")</f>
        <v>#REF!</v>
      </c>
      <c r="CS40" t="e">
        <f>AND(NhatkyBan!#REF!,"AAAAAGlHz2A=")</f>
        <v>#REF!</v>
      </c>
      <c r="CT40" t="e">
        <f>AND(NhatkyBan!#REF!,"AAAAAGlHz2E=")</f>
        <v>#REF!</v>
      </c>
      <c r="CU40" t="e">
        <f>AND(NhatkyBan!#REF!,"AAAAAGlHz2I=")</f>
        <v>#REF!</v>
      </c>
      <c r="CV40" t="e">
        <f>AND(NhatkyBan!#REF!,"AAAAAGlHz2M=")</f>
        <v>#REF!</v>
      </c>
      <c r="CW40" t="e">
        <f>AND(NhatkyBan!#REF!,"AAAAAGlHz2Q=")</f>
        <v>#REF!</v>
      </c>
      <c r="CX40" t="e">
        <f>AND(NhatkyBan!#REF!,"AAAAAGlHz2U=")</f>
        <v>#REF!</v>
      </c>
      <c r="CY40" t="e">
        <f>AND(NhatkyBan!#REF!,"AAAAAGlHz2Y=")</f>
        <v>#REF!</v>
      </c>
      <c r="CZ40" t="e">
        <f>AND(NhatkyBan!#REF!,"AAAAAGlHz2c=")</f>
        <v>#REF!</v>
      </c>
      <c r="DA40" t="e">
        <f>AND(NhatkyBan!#REF!,"AAAAAGlHz2g=")</f>
        <v>#REF!</v>
      </c>
      <c r="DB40" t="e">
        <f>AND(NhatkyBan!#REF!,"AAAAAGlHz2k=")</f>
        <v>#REF!</v>
      </c>
      <c r="DC40" t="e">
        <f>AND(NhatkyBan!#REF!,"AAAAAGlHz2o=")</f>
        <v>#REF!</v>
      </c>
      <c r="DD40" t="e">
        <f>AND(NhatkyBan!#REF!,"AAAAAGlHz2s=")</f>
        <v>#REF!</v>
      </c>
      <c r="DE40" t="e">
        <f>AND(NhatkyBan!#REF!,"AAAAAGlHz2w=")</f>
        <v>#REF!</v>
      </c>
      <c r="DF40" t="e">
        <f>AND(NhatkyBan!#REF!,"AAAAAGlHz20=")</f>
        <v>#REF!</v>
      </c>
      <c r="DG40" t="e">
        <f>AND(NhatkyBan!#REF!,"AAAAAGlHz24=")</f>
        <v>#REF!</v>
      </c>
      <c r="DH40" t="e">
        <f>AND(NhatkyBan!#REF!,"AAAAAGlHz28=")</f>
        <v>#REF!</v>
      </c>
      <c r="DI40" t="e">
        <f>AND(NhatkyBan!#REF!,"AAAAAGlHz3A=")</f>
        <v>#REF!</v>
      </c>
      <c r="DJ40" t="e">
        <f>AND(NhatkyBan!#REF!,"AAAAAGlHz3E=")</f>
        <v>#REF!</v>
      </c>
      <c r="DK40" t="e">
        <f>AND(NhatkyBan!#REF!,"AAAAAGlHz3I=")</f>
        <v>#REF!</v>
      </c>
      <c r="DL40" t="e">
        <f>AND(NhatkyBan!#REF!,"AAAAAGlHz3M=")</f>
        <v>#REF!</v>
      </c>
      <c r="DM40" t="e">
        <f>AND(NhatkyBan!#REF!,"AAAAAGlHz3Q=")</f>
        <v>#REF!</v>
      </c>
      <c r="DN40" t="e">
        <f>AND(NhatkyBan!#REF!,"AAAAAGlHz3U=")</f>
        <v>#REF!</v>
      </c>
      <c r="DO40" t="e">
        <f>AND(NhatkyBan!#REF!,"AAAAAGlHz3Y=")</f>
        <v>#REF!</v>
      </c>
      <c r="DP40" t="e">
        <f>AND(NhatkyBan!#REF!,"AAAAAGlHz3c=")</f>
        <v>#REF!</v>
      </c>
      <c r="DQ40" t="e">
        <f>AND(NhatkyBan!#REF!,"AAAAAGlHz3g=")</f>
        <v>#REF!</v>
      </c>
      <c r="DR40" t="e">
        <f>AND(NhatkyBan!#REF!,"AAAAAGlHz3k=")</f>
        <v>#REF!</v>
      </c>
      <c r="DS40" t="e">
        <f>AND(NhatkyBan!#REF!,"AAAAAGlHz3o=")</f>
        <v>#REF!</v>
      </c>
      <c r="DT40" t="e">
        <f>AND(NhatkyBan!#REF!,"AAAAAGlHz3s=")</f>
        <v>#REF!</v>
      </c>
      <c r="DU40" t="e">
        <f>AND(NhatkyBan!#REF!,"AAAAAGlHz3w=")</f>
        <v>#REF!</v>
      </c>
      <c r="DV40" t="e">
        <f>AND(NhatkyBan!#REF!,"AAAAAGlHz30=")</f>
        <v>#REF!</v>
      </c>
      <c r="DW40" t="e">
        <f>AND(NhatkyBan!#REF!,"AAAAAGlHz34=")</f>
        <v>#REF!</v>
      </c>
      <c r="DX40" t="e">
        <f>IF(NhatkyBan!#REF!,"AAAAAGlHz38=",0)</f>
        <v>#REF!</v>
      </c>
      <c r="DY40" t="e">
        <f>AND(NhatkyBan!#REF!,"AAAAAGlHz4A=")</f>
        <v>#REF!</v>
      </c>
      <c r="DZ40" t="e">
        <f>AND(NhatkyBan!#REF!,"AAAAAGlHz4E=")</f>
        <v>#REF!</v>
      </c>
      <c r="EA40" t="e">
        <f>AND(NhatkyBan!#REF!,"AAAAAGlHz4I=")</f>
        <v>#REF!</v>
      </c>
      <c r="EB40" t="e">
        <f>AND(NhatkyBan!#REF!,"AAAAAGlHz4M=")</f>
        <v>#REF!</v>
      </c>
      <c r="EC40" t="e">
        <f>AND(NhatkyBan!#REF!,"AAAAAGlHz4Q=")</f>
        <v>#REF!</v>
      </c>
      <c r="ED40" t="e">
        <f>AND(NhatkyBan!#REF!,"AAAAAGlHz4U=")</f>
        <v>#REF!</v>
      </c>
      <c r="EE40" t="e">
        <f>AND(NhatkyBan!#REF!,"AAAAAGlHz4Y=")</f>
        <v>#REF!</v>
      </c>
      <c r="EF40" t="e">
        <f>AND(NhatkyBan!#REF!,"AAAAAGlHz4c=")</f>
        <v>#REF!</v>
      </c>
      <c r="EG40" t="e">
        <f>AND(NhatkyBan!#REF!,"AAAAAGlHz4g=")</f>
        <v>#REF!</v>
      </c>
      <c r="EH40" t="e">
        <f>AND(NhatkyBan!#REF!,"AAAAAGlHz4k=")</f>
        <v>#REF!</v>
      </c>
      <c r="EI40" t="e">
        <f>AND(NhatkyBan!#REF!,"AAAAAGlHz4o=")</f>
        <v>#REF!</v>
      </c>
      <c r="EJ40" t="e">
        <f>AND(NhatkyBan!#REF!,"AAAAAGlHz4s=")</f>
        <v>#REF!</v>
      </c>
      <c r="EK40" t="e">
        <f>AND(NhatkyBan!#REF!,"AAAAAGlHz4w=")</f>
        <v>#REF!</v>
      </c>
      <c r="EL40" t="e">
        <f>AND(NhatkyBan!#REF!,"AAAAAGlHz40=")</f>
        <v>#REF!</v>
      </c>
      <c r="EM40" t="e">
        <f>AND(NhatkyBan!#REF!,"AAAAAGlHz44=")</f>
        <v>#REF!</v>
      </c>
      <c r="EN40" t="e">
        <f>AND(NhatkyBan!#REF!,"AAAAAGlHz48=")</f>
        <v>#REF!</v>
      </c>
      <c r="EO40" t="e">
        <f>AND(NhatkyBan!#REF!,"AAAAAGlHz5A=")</f>
        <v>#REF!</v>
      </c>
      <c r="EP40" t="e">
        <f>AND(NhatkyBan!#REF!,"AAAAAGlHz5E=")</f>
        <v>#REF!</v>
      </c>
      <c r="EQ40" t="e">
        <f>AND(NhatkyBan!#REF!,"AAAAAGlHz5I=")</f>
        <v>#REF!</v>
      </c>
      <c r="ER40" t="e">
        <f>AND(NhatkyBan!#REF!,"AAAAAGlHz5M=")</f>
        <v>#REF!</v>
      </c>
      <c r="ES40" t="e">
        <f>AND(NhatkyBan!#REF!,"AAAAAGlHz5Q=")</f>
        <v>#REF!</v>
      </c>
      <c r="ET40" t="e">
        <f>AND(NhatkyBan!#REF!,"AAAAAGlHz5U=")</f>
        <v>#REF!</v>
      </c>
      <c r="EU40" t="e">
        <f>AND(NhatkyBan!#REF!,"AAAAAGlHz5Y=")</f>
        <v>#REF!</v>
      </c>
      <c r="EV40" t="e">
        <f>AND(NhatkyBan!#REF!,"AAAAAGlHz5c=")</f>
        <v>#REF!</v>
      </c>
      <c r="EW40" t="e">
        <f>AND(NhatkyBan!#REF!,"AAAAAGlHz5g=")</f>
        <v>#REF!</v>
      </c>
      <c r="EX40" t="e">
        <f>AND(NhatkyBan!#REF!,"AAAAAGlHz5k=")</f>
        <v>#REF!</v>
      </c>
      <c r="EY40" t="e">
        <f>AND(NhatkyBan!#REF!,"AAAAAGlHz5o=")</f>
        <v>#REF!</v>
      </c>
      <c r="EZ40" t="e">
        <f>AND(NhatkyBan!#REF!,"AAAAAGlHz5s=")</f>
        <v>#REF!</v>
      </c>
      <c r="FA40" t="e">
        <f>AND(NhatkyBan!#REF!,"AAAAAGlHz5w=")</f>
        <v>#REF!</v>
      </c>
      <c r="FB40" t="e">
        <f>AND(NhatkyBan!#REF!,"AAAAAGlHz50=")</f>
        <v>#REF!</v>
      </c>
      <c r="FC40" t="e">
        <f>AND(NhatkyBan!#REF!,"AAAAAGlHz54=")</f>
        <v>#REF!</v>
      </c>
      <c r="FD40" t="e">
        <f>AND(NhatkyBan!#REF!,"AAAAAGlHz58=")</f>
        <v>#REF!</v>
      </c>
      <c r="FE40" t="e">
        <f>AND(NhatkyBan!#REF!,"AAAAAGlHz6A=")</f>
        <v>#REF!</v>
      </c>
      <c r="FF40" t="e">
        <f>AND(NhatkyBan!#REF!,"AAAAAGlHz6E=")</f>
        <v>#REF!</v>
      </c>
      <c r="FG40" t="e">
        <f>IF(NhatkyBan!#REF!,"AAAAAGlHz6I=",0)</f>
        <v>#REF!</v>
      </c>
      <c r="FH40" t="e">
        <f>AND(NhatkyBan!#REF!,"AAAAAGlHz6M=")</f>
        <v>#REF!</v>
      </c>
      <c r="FI40" t="e">
        <f>AND(NhatkyBan!#REF!,"AAAAAGlHz6Q=")</f>
        <v>#REF!</v>
      </c>
      <c r="FJ40" t="e">
        <f>AND(NhatkyBan!#REF!,"AAAAAGlHz6U=")</f>
        <v>#REF!</v>
      </c>
      <c r="FK40" t="e">
        <f>AND(NhatkyBan!#REF!,"AAAAAGlHz6Y=")</f>
        <v>#REF!</v>
      </c>
      <c r="FL40" t="e">
        <f>AND(NhatkyBan!#REF!,"AAAAAGlHz6c=")</f>
        <v>#REF!</v>
      </c>
      <c r="FM40" t="e">
        <f>AND(NhatkyBan!#REF!,"AAAAAGlHz6g=")</f>
        <v>#REF!</v>
      </c>
      <c r="FN40" t="e">
        <f>AND(NhatkyBan!#REF!,"AAAAAGlHz6k=")</f>
        <v>#REF!</v>
      </c>
      <c r="FO40" t="e">
        <f>AND(NhatkyBan!#REF!,"AAAAAGlHz6o=")</f>
        <v>#REF!</v>
      </c>
      <c r="FP40" t="e">
        <f>AND(NhatkyBan!#REF!,"AAAAAGlHz6s=")</f>
        <v>#REF!</v>
      </c>
      <c r="FQ40" t="e">
        <f>AND(NhatkyBan!#REF!,"AAAAAGlHz6w=")</f>
        <v>#REF!</v>
      </c>
      <c r="FR40" t="e">
        <f>AND(NhatkyBan!#REF!,"AAAAAGlHz60=")</f>
        <v>#REF!</v>
      </c>
      <c r="FS40" t="e">
        <f>AND(NhatkyBan!#REF!,"AAAAAGlHz64=")</f>
        <v>#REF!</v>
      </c>
      <c r="FT40" t="e">
        <f>AND(NhatkyBan!#REF!,"AAAAAGlHz68=")</f>
        <v>#REF!</v>
      </c>
      <c r="FU40" t="e">
        <f>AND(NhatkyBan!#REF!,"AAAAAGlHz7A=")</f>
        <v>#REF!</v>
      </c>
      <c r="FV40" t="e">
        <f>AND(NhatkyBan!#REF!,"AAAAAGlHz7E=")</f>
        <v>#REF!</v>
      </c>
      <c r="FW40" t="e">
        <f>AND(NhatkyBan!#REF!,"AAAAAGlHz7I=")</f>
        <v>#REF!</v>
      </c>
      <c r="FX40" t="e">
        <f>AND(NhatkyBan!#REF!,"AAAAAGlHz7M=")</f>
        <v>#REF!</v>
      </c>
      <c r="FY40" t="e">
        <f>AND(NhatkyBan!#REF!,"AAAAAGlHz7Q=")</f>
        <v>#REF!</v>
      </c>
      <c r="FZ40" t="e">
        <f>AND(NhatkyBan!#REF!,"AAAAAGlHz7U=")</f>
        <v>#REF!</v>
      </c>
      <c r="GA40" t="e">
        <f>AND(NhatkyBan!#REF!,"AAAAAGlHz7Y=")</f>
        <v>#REF!</v>
      </c>
      <c r="GB40" t="e">
        <f>AND(NhatkyBan!#REF!,"AAAAAGlHz7c=")</f>
        <v>#REF!</v>
      </c>
      <c r="GC40" t="e">
        <f>AND(NhatkyBan!#REF!,"AAAAAGlHz7g=")</f>
        <v>#REF!</v>
      </c>
      <c r="GD40" t="e">
        <f>AND(NhatkyBan!#REF!,"AAAAAGlHz7k=")</f>
        <v>#REF!</v>
      </c>
      <c r="GE40" t="e">
        <f>AND(NhatkyBan!#REF!,"AAAAAGlHz7o=")</f>
        <v>#REF!</v>
      </c>
      <c r="GF40" t="e">
        <f>AND(NhatkyBan!#REF!,"AAAAAGlHz7s=")</f>
        <v>#REF!</v>
      </c>
      <c r="GG40" t="e">
        <f>AND(NhatkyBan!#REF!,"AAAAAGlHz7w=")</f>
        <v>#REF!</v>
      </c>
      <c r="GH40" t="e">
        <f>AND(NhatkyBan!#REF!,"AAAAAGlHz70=")</f>
        <v>#REF!</v>
      </c>
      <c r="GI40" t="e">
        <f>AND(NhatkyBan!#REF!,"AAAAAGlHz74=")</f>
        <v>#REF!</v>
      </c>
      <c r="GJ40" t="e">
        <f>AND(NhatkyBan!#REF!,"AAAAAGlHz78=")</f>
        <v>#REF!</v>
      </c>
      <c r="GK40" t="e">
        <f>AND(NhatkyBan!#REF!,"AAAAAGlHz8A=")</f>
        <v>#REF!</v>
      </c>
      <c r="GL40" t="e">
        <f>AND(NhatkyBan!#REF!,"AAAAAGlHz8E=")</f>
        <v>#REF!</v>
      </c>
      <c r="GM40" t="e">
        <f>AND(NhatkyBan!#REF!,"AAAAAGlHz8I=")</f>
        <v>#REF!</v>
      </c>
      <c r="GN40" t="e">
        <f>AND(NhatkyBan!#REF!,"AAAAAGlHz8M=")</f>
        <v>#REF!</v>
      </c>
      <c r="GO40" t="e">
        <f>AND(NhatkyBan!#REF!,"AAAAAGlHz8Q=")</f>
        <v>#REF!</v>
      </c>
      <c r="GP40" t="e">
        <f>IF(NhatkyBan!#REF!,"AAAAAGlHz8U=",0)</f>
        <v>#REF!</v>
      </c>
      <c r="GQ40" t="e">
        <f>AND(NhatkyBan!#REF!,"AAAAAGlHz8Y=")</f>
        <v>#REF!</v>
      </c>
      <c r="GR40" t="e">
        <f>AND(NhatkyBan!#REF!,"AAAAAGlHz8c=")</f>
        <v>#REF!</v>
      </c>
      <c r="GS40" t="e">
        <f>AND(NhatkyBan!#REF!,"AAAAAGlHz8g=")</f>
        <v>#REF!</v>
      </c>
      <c r="GT40" t="e">
        <f>AND(NhatkyBan!#REF!,"AAAAAGlHz8k=")</f>
        <v>#REF!</v>
      </c>
      <c r="GU40" t="e">
        <f>AND(NhatkyBan!#REF!,"AAAAAGlHz8o=")</f>
        <v>#REF!</v>
      </c>
      <c r="GV40" t="e">
        <f>AND(NhatkyBan!#REF!,"AAAAAGlHz8s=")</f>
        <v>#REF!</v>
      </c>
      <c r="GW40" t="e">
        <f>AND(NhatkyBan!#REF!,"AAAAAGlHz8w=")</f>
        <v>#REF!</v>
      </c>
      <c r="GX40" t="e">
        <f>AND(NhatkyBan!#REF!,"AAAAAGlHz80=")</f>
        <v>#REF!</v>
      </c>
      <c r="GY40" t="e">
        <f>AND(NhatkyBan!#REF!,"AAAAAGlHz84=")</f>
        <v>#REF!</v>
      </c>
      <c r="GZ40" t="e">
        <f>AND(NhatkyBan!#REF!,"AAAAAGlHz88=")</f>
        <v>#REF!</v>
      </c>
      <c r="HA40" t="e">
        <f>AND(NhatkyBan!#REF!,"AAAAAGlHz9A=")</f>
        <v>#REF!</v>
      </c>
      <c r="HB40" t="e">
        <f>AND(NhatkyBan!#REF!,"AAAAAGlHz9E=")</f>
        <v>#REF!</v>
      </c>
      <c r="HC40" t="e">
        <f>AND(NhatkyBan!#REF!,"AAAAAGlHz9I=")</f>
        <v>#REF!</v>
      </c>
      <c r="HD40" t="e">
        <f>AND(NhatkyBan!#REF!,"AAAAAGlHz9M=")</f>
        <v>#REF!</v>
      </c>
      <c r="HE40" t="e">
        <f>AND(NhatkyBan!#REF!,"AAAAAGlHz9Q=")</f>
        <v>#REF!</v>
      </c>
      <c r="HF40" t="e">
        <f>AND(NhatkyBan!#REF!,"AAAAAGlHz9U=")</f>
        <v>#REF!</v>
      </c>
      <c r="HG40" t="e">
        <f>AND(NhatkyBan!#REF!,"AAAAAGlHz9Y=")</f>
        <v>#REF!</v>
      </c>
      <c r="HH40" t="e">
        <f>AND(NhatkyBan!#REF!,"AAAAAGlHz9c=")</f>
        <v>#REF!</v>
      </c>
      <c r="HI40" t="e">
        <f>AND(NhatkyBan!#REF!,"AAAAAGlHz9g=")</f>
        <v>#REF!</v>
      </c>
      <c r="HJ40" t="e">
        <f>AND(NhatkyBan!#REF!,"AAAAAGlHz9k=")</f>
        <v>#REF!</v>
      </c>
      <c r="HK40" t="e">
        <f>AND(NhatkyBan!#REF!,"AAAAAGlHz9o=")</f>
        <v>#REF!</v>
      </c>
      <c r="HL40" t="e">
        <f>AND(NhatkyBan!#REF!,"AAAAAGlHz9s=")</f>
        <v>#REF!</v>
      </c>
      <c r="HM40" t="e">
        <f>AND(NhatkyBan!#REF!,"AAAAAGlHz9w=")</f>
        <v>#REF!</v>
      </c>
      <c r="HN40" t="e">
        <f>AND(NhatkyBan!#REF!,"AAAAAGlHz90=")</f>
        <v>#REF!</v>
      </c>
      <c r="HO40" t="e">
        <f>AND(NhatkyBan!#REF!,"AAAAAGlHz94=")</f>
        <v>#REF!</v>
      </c>
      <c r="HP40" t="e">
        <f>AND(NhatkyBan!#REF!,"AAAAAGlHz98=")</f>
        <v>#REF!</v>
      </c>
      <c r="HQ40" t="e">
        <f>AND(NhatkyBan!#REF!,"AAAAAGlHz+A=")</f>
        <v>#REF!</v>
      </c>
      <c r="HR40" t="e">
        <f>AND(NhatkyBan!#REF!,"AAAAAGlHz+E=")</f>
        <v>#REF!</v>
      </c>
      <c r="HS40" t="e">
        <f>AND(NhatkyBan!#REF!,"AAAAAGlHz+I=")</f>
        <v>#REF!</v>
      </c>
      <c r="HT40" t="e">
        <f>AND(NhatkyBan!#REF!,"AAAAAGlHz+M=")</f>
        <v>#REF!</v>
      </c>
      <c r="HU40" t="e">
        <f>AND(NhatkyBan!#REF!,"AAAAAGlHz+Q=")</f>
        <v>#REF!</v>
      </c>
      <c r="HV40" t="e">
        <f>AND(NhatkyBan!#REF!,"AAAAAGlHz+U=")</f>
        <v>#REF!</v>
      </c>
      <c r="HW40" t="e">
        <f>AND(NhatkyBan!#REF!,"AAAAAGlHz+Y=")</f>
        <v>#REF!</v>
      </c>
      <c r="HX40" t="e">
        <f>AND(NhatkyBan!#REF!,"AAAAAGlHz+c=")</f>
        <v>#REF!</v>
      </c>
      <c r="HY40" t="e">
        <f>IF(NhatkyBan!#REF!,"AAAAAGlHz+g=",0)</f>
        <v>#REF!</v>
      </c>
      <c r="HZ40" t="e">
        <f>AND(NhatkyBan!#REF!,"AAAAAGlHz+k=")</f>
        <v>#REF!</v>
      </c>
      <c r="IA40" t="e">
        <f>AND(NhatkyBan!#REF!,"AAAAAGlHz+o=")</f>
        <v>#REF!</v>
      </c>
      <c r="IB40" t="e">
        <f>AND(NhatkyBan!#REF!,"AAAAAGlHz+s=")</f>
        <v>#REF!</v>
      </c>
      <c r="IC40" t="e">
        <f>AND(NhatkyBan!#REF!,"AAAAAGlHz+w=")</f>
        <v>#REF!</v>
      </c>
      <c r="ID40" t="e">
        <f>AND(NhatkyBan!#REF!,"AAAAAGlHz+0=")</f>
        <v>#REF!</v>
      </c>
      <c r="IE40" t="e">
        <f>AND(NhatkyBan!#REF!,"AAAAAGlHz+4=")</f>
        <v>#REF!</v>
      </c>
      <c r="IF40" t="e">
        <f>AND(NhatkyBan!#REF!,"AAAAAGlHz+8=")</f>
        <v>#REF!</v>
      </c>
      <c r="IG40" t="e">
        <f>AND(NhatkyBan!#REF!,"AAAAAGlHz/A=")</f>
        <v>#REF!</v>
      </c>
      <c r="IH40" t="e">
        <f>AND(NhatkyBan!#REF!,"AAAAAGlHz/E=")</f>
        <v>#REF!</v>
      </c>
      <c r="II40" t="e">
        <f>AND(NhatkyBan!#REF!,"AAAAAGlHz/I=")</f>
        <v>#REF!</v>
      </c>
      <c r="IJ40" t="e">
        <f>AND(NhatkyBan!#REF!,"AAAAAGlHz/M=")</f>
        <v>#REF!</v>
      </c>
      <c r="IK40" t="e">
        <f>AND(NhatkyBan!#REF!,"AAAAAGlHz/Q=")</f>
        <v>#REF!</v>
      </c>
      <c r="IL40" t="e">
        <f>AND(NhatkyBan!#REF!,"AAAAAGlHz/U=")</f>
        <v>#REF!</v>
      </c>
      <c r="IM40" t="e">
        <f>AND(NhatkyBan!#REF!,"AAAAAGlHz/Y=")</f>
        <v>#REF!</v>
      </c>
      <c r="IN40" t="e">
        <f>AND(NhatkyBan!#REF!,"AAAAAGlHz/c=")</f>
        <v>#REF!</v>
      </c>
      <c r="IO40" t="e">
        <f>AND(NhatkyBan!#REF!,"AAAAAGlHz/g=")</f>
        <v>#REF!</v>
      </c>
      <c r="IP40" t="e">
        <f>AND(NhatkyBan!#REF!,"AAAAAGlHz/k=")</f>
        <v>#REF!</v>
      </c>
      <c r="IQ40" t="e">
        <f>AND(NhatkyBan!#REF!,"AAAAAGlHz/o=")</f>
        <v>#REF!</v>
      </c>
      <c r="IR40" t="e">
        <f>AND(NhatkyBan!#REF!,"AAAAAGlHz/s=")</f>
        <v>#REF!</v>
      </c>
      <c r="IS40" t="e">
        <f>AND(NhatkyBan!#REF!,"AAAAAGlHz/w=")</f>
        <v>#REF!</v>
      </c>
      <c r="IT40" t="e">
        <f>AND(NhatkyBan!#REF!,"AAAAAGlHz/0=")</f>
        <v>#REF!</v>
      </c>
      <c r="IU40" t="e">
        <f>AND(NhatkyBan!#REF!,"AAAAAGlHz/4=")</f>
        <v>#REF!</v>
      </c>
      <c r="IV40" t="e">
        <f>AND(NhatkyBan!#REF!,"AAAAAGlHz/8=")</f>
        <v>#REF!</v>
      </c>
    </row>
    <row r="41" spans="1:256">
      <c r="A41" t="e">
        <f>AND(NhatkyBan!#REF!,"AAAAAH/zvwA=")</f>
        <v>#REF!</v>
      </c>
      <c r="B41" t="e">
        <f>AND(NhatkyBan!#REF!,"AAAAAH/zvwE=")</f>
        <v>#REF!</v>
      </c>
      <c r="C41" t="e">
        <f>AND(NhatkyBan!#REF!,"AAAAAH/zvwI=")</f>
        <v>#REF!</v>
      </c>
      <c r="D41" t="e">
        <f>AND(NhatkyBan!#REF!,"AAAAAH/zvwM=")</f>
        <v>#REF!</v>
      </c>
      <c r="E41" t="e">
        <f>AND(NhatkyBan!#REF!,"AAAAAH/zvwQ=")</f>
        <v>#REF!</v>
      </c>
      <c r="F41" t="e">
        <f>AND(NhatkyBan!#REF!,"AAAAAH/zvwU=")</f>
        <v>#REF!</v>
      </c>
      <c r="G41" t="e">
        <f>AND(NhatkyBan!#REF!,"AAAAAH/zvwY=")</f>
        <v>#REF!</v>
      </c>
      <c r="H41" t="e">
        <f>AND(NhatkyBan!#REF!,"AAAAAH/zvwc=")</f>
        <v>#REF!</v>
      </c>
      <c r="I41" t="e">
        <f>AND(NhatkyBan!#REF!,"AAAAAH/zvwg=")</f>
        <v>#REF!</v>
      </c>
      <c r="J41" t="e">
        <f>AND(NhatkyBan!#REF!,"AAAAAH/zvwk=")</f>
        <v>#REF!</v>
      </c>
      <c r="K41" t="e">
        <f>AND(NhatkyBan!#REF!,"AAAAAH/zvwo=")</f>
        <v>#REF!</v>
      </c>
      <c r="L41" t="e">
        <f>IF(NhatkyBan!#REF!,"AAAAAH/zvws=",0)</f>
        <v>#REF!</v>
      </c>
      <c r="M41" t="e">
        <f>AND(NhatkyBan!#REF!,"AAAAAH/zvww=")</f>
        <v>#REF!</v>
      </c>
      <c r="N41" t="e">
        <f>AND(NhatkyBan!#REF!,"AAAAAH/zvw0=")</f>
        <v>#REF!</v>
      </c>
      <c r="O41" t="e">
        <f>AND(NhatkyBan!#REF!,"AAAAAH/zvw4=")</f>
        <v>#REF!</v>
      </c>
      <c r="P41" t="e">
        <f>AND(NhatkyBan!#REF!,"AAAAAH/zvw8=")</f>
        <v>#REF!</v>
      </c>
      <c r="Q41" t="e">
        <f>AND(NhatkyBan!#REF!,"AAAAAH/zvxA=")</f>
        <v>#REF!</v>
      </c>
      <c r="R41" t="e">
        <f>AND(NhatkyBan!#REF!,"AAAAAH/zvxE=")</f>
        <v>#REF!</v>
      </c>
      <c r="S41" t="e">
        <f>AND(NhatkyBan!#REF!,"AAAAAH/zvxI=")</f>
        <v>#REF!</v>
      </c>
      <c r="T41" t="e">
        <f>AND(NhatkyBan!#REF!,"AAAAAH/zvxM=")</f>
        <v>#REF!</v>
      </c>
      <c r="U41" t="e">
        <f>AND(NhatkyBan!#REF!,"AAAAAH/zvxQ=")</f>
        <v>#REF!</v>
      </c>
      <c r="V41" t="e">
        <f>AND(NhatkyBan!#REF!,"AAAAAH/zvxU=")</f>
        <v>#REF!</v>
      </c>
      <c r="W41" t="e">
        <f>AND(NhatkyBan!#REF!,"AAAAAH/zvxY=")</f>
        <v>#REF!</v>
      </c>
      <c r="X41" t="e">
        <f>AND(NhatkyBan!#REF!,"AAAAAH/zvxc=")</f>
        <v>#REF!</v>
      </c>
      <c r="Y41" t="e">
        <f>AND(NhatkyBan!#REF!,"AAAAAH/zvxg=")</f>
        <v>#REF!</v>
      </c>
      <c r="Z41" t="e">
        <f>AND(NhatkyBan!#REF!,"AAAAAH/zvxk=")</f>
        <v>#REF!</v>
      </c>
      <c r="AA41" t="e">
        <f>AND(NhatkyBan!#REF!,"AAAAAH/zvxo=")</f>
        <v>#REF!</v>
      </c>
      <c r="AB41" t="e">
        <f>AND(NhatkyBan!#REF!,"AAAAAH/zvxs=")</f>
        <v>#REF!</v>
      </c>
      <c r="AC41" t="e">
        <f>AND(NhatkyBan!#REF!,"AAAAAH/zvxw=")</f>
        <v>#REF!</v>
      </c>
      <c r="AD41" t="e">
        <f>AND(NhatkyBan!#REF!,"AAAAAH/zvx0=")</f>
        <v>#REF!</v>
      </c>
      <c r="AE41" t="e">
        <f>AND(NhatkyBan!#REF!,"AAAAAH/zvx4=")</f>
        <v>#REF!</v>
      </c>
      <c r="AF41" t="e">
        <f>AND(NhatkyBan!#REF!,"AAAAAH/zvx8=")</f>
        <v>#REF!</v>
      </c>
      <c r="AG41" t="e">
        <f>AND(NhatkyBan!#REF!,"AAAAAH/zvyA=")</f>
        <v>#REF!</v>
      </c>
      <c r="AH41" t="e">
        <f>AND(NhatkyBan!#REF!,"AAAAAH/zvyE=")</f>
        <v>#REF!</v>
      </c>
      <c r="AI41" t="e">
        <f>AND(NhatkyBan!#REF!,"AAAAAH/zvyI=")</f>
        <v>#REF!</v>
      </c>
      <c r="AJ41" t="e">
        <f>AND(NhatkyBan!#REF!,"AAAAAH/zvyM=")</f>
        <v>#REF!</v>
      </c>
      <c r="AK41" t="e">
        <f>AND(NhatkyBan!#REF!,"AAAAAH/zvyQ=")</f>
        <v>#REF!</v>
      </c>
      <c r="AL41" t="e">
        <f>AND(NhatkyBan!#REF!,"AAAAAH/zvyU=")</f>
        <v>#REF!</v>
      </c>
      <c r="AM41" t="e">
        <f>AND(NhatkyBan!#REF!,"AAAAAH/zvyY=")</f>
        <v>#REF!</v>
      </c>
      <c r="AN41" t="e">
        <f>AND(NhatkyBan!#REF!,"AAAAAH/zvyc=")</f>
        <v>#REF!</v>
      </c>
      <c r="AO41" t="e">
        <f>AND(NhatkyBan!#REF!,"AAAAAH/zvyg=")</f>
        <v>#REF!</v>
      </c>
      <c r="AP41" t="e">
        <f>AND(NhatkyBan!#REF!,"AAAAAH/zvyk=")</f>
        <v>#REF!</v>
      </c>
      <c r="AQ41" t="e">
        <f>AND(NhatkyBan!#REF!,"AAAAAH/zvyo=")</f>
        <v>#REF!</v>
      </c>
      <c r="AR41" t="e">
        <f>AND(NhatkyBan!#REF!,"AAAAAH/zvys=")</f>
        <v>#REF!</v>
      </c>
      <c r="AS41" t="e">
        <f>AND(NhatkyBan!#REF!,"AAAAAH/zvyw=")</f>
        <v>#REF!</v>
      </c>
      <c r="AT41" t="e">
        <f>AND(NhatkyBan!#REF!,"AAAAAH/zvy0=")</f>
        <v>#REF!</v>
      </c>
      <c r="AU41" t="e">
        <f>IF(NhatkyBan!#REF!,"AAAAAH/zvy4=",0)</f>
        <v>#REF!</v>
      </c>
      <c r="AV41" t="e">
        <f>AND(NhatkyBan!#REF!,"AAAAAH/zvy8=")</f>
        <v>#REF!</v>
      </c>
      <c r="AW41" t="e">
        <f>AND(NhatkyBan!#REF!,"AAAAAH/zvzA=")</f>
        <v>#REF!</v>
      </c>
      <c r="AX41" t="e">
        <f>AND(NhatkyBan!#REF!,"AAAAAH/zvzE=")</f>
        <v>#REF!</v>
      </c>
      <c r="AY41" t="e">
        <f>AND(NhatkyBan!#REF!,"AAAAAH/zvzI=")</f>
        <v>#REF!</v>
      </c>
      <c r="AZ41" t="e">
        <f>AND(NhatkyBan!#REF!,"AAAAAH/zvzM=")</f>
        <v>#REF!</v>
      </c>
      <c r="BA41" t="e">
        <f>AND(NhatkyBan!#REF!,"AAAAAH/zvzQ=")</f>
        <v>#REF!</v>
      </c>
      <c r="BB41" t="e">
        <f>AND(NhatkyBan!#REF!,"AAAAAH/zvzU=")</f>
        <v>#REF!</v>
      </c>
      <c r="BC41" t="e">
        <f>AND(NhatkyBan!#REF!,"AAAAAH/zvzY=")</f>
        <v>#REF!</v>
      </c>
      <c r="BD41" t="e">
        <f>AND(NhatkyBan!#REF!,"AAAAAH/zvzc=")</f>
        <v>#REF!</v>
      </c>
      <c r="BE41" t="e">
        <f>AND(NhatkyBan!#REF!,"AAAAAH/zvzg=")</f>
        <v>#REF!</v>
      </c>
      <c r="BF41" t="e">
        <f>AND(NhatkyBan!#REF!,"AAAAAH/zvzk=")</f>
        <v>#REF!</v>
      </c>
      <c r="BG41" t="e">
        <f>AND(NhatkyBan!#REF!,"AAAAAH/zvzo=")</f>
        <v>#REF!</v>
      </c>
      <c r="BH41" t="e">
        <f>AND(NhatkyBan!#REF!,"AAAAAH/zvzs=")</f>
        <v>#REF!</v>
      </c>
      <c r="BI41" t="e">
        <f>AND(NhatkyBan!#REF!,"AAAAAH/zvzw=")</f>
        <v>#REF!</v>
      </c>
      <c r="BJ41" t="e">
        <f>AND(NhatkyBan!#REF!,"AAAAAH/zvz0=")</f>
        <v>#REF!</v>
      </c>
      <c r="BK41" t="e">
        <f>AND(NhatkyBan!#REF!,"AAAAAH/zvz4=")</f>
        <v>#REF!</v>
      </c>
      <c r="BL41" t="e">
        <f>AND(NhatkyBan!#REF!,"AAAAAH/zvz8=")</f>
        <v>#REF!</v>
      </c>
      <c r="BM41" t="e">
        <f>AND(NhatkyBan!#REF!,"AAAAAH/zv0A=")</f>
        <v>#REF!</v>
      </c>
      <c r="BN41" t="e">
        <f>AND(NhatkyBan!#REF!,"AAAAAH/zv0E=")</f>
        <v>#REF!</v>
      </c>
      <c r="BO41" t="e">
        <f>AND(NhatkyBan!#REF!,"AAAAAH/zv0I=")</f>
        <v>#REF!</v>
      </c>
      <c r="BP41" t="e">
        <f>AND(NhatkyBan!#REF!,"AAAAAH/zv0M=")</f>
        <v>#REF!</v>
      </c>
      <c r="BQ41" t="e">
        <f>AND(NhatkyBan!#REF!,"AAAAAH/zv0Q=")</f>
        <v>#REF!</v>
      </c>
      <c r="BR41" t="e">
        <f>AND(NhatkyBan!#REF!,"AAAAAH/zv0U=")</f>
        <v>#REF!</v>
      </c>
      <c r="BS41" t="e">
        <f>AND(NhatkyBan!#REF!,"AAAAAH/zv0Y=")</f>
        <v>#REF!</v>
      </c>
      <c r="BT41" t="e">
        <f>AND(NhatkyBan!#REF!,"AAAAAH/zv0c=")</f>
        <v>#REF!</v>
      </c>
      <c r="BU41" t="e">
        <f>AND(NhatkyBan!#REF!,"AAAAAH/zv0g=")</f>
        <v>#REF!</v>
      </c>
      <c r="BV41" t="e">
        <f>AND(NhatkyBan!#REF!,"AAAAAH/zv0k=")</f>
        <v>#REF!</v>
      </c>
      <c r="BW41" t="e">
        <f>AND(NhatkyBan!#REF!,"AAAAAH/zv0o=")</f>
        <v>#REF!</v>
      </c>
      <c r="BX41" t="e">
        <f>AND(NhatkyBan!#REF!,"AAAAAH/zv0s=")</f>
        <v>#REF!</v>
      </c>
      <c r="BY41" t="e">
        <f>AND(NhatkyBan!#REF!,"AAAAAH/zv0w=")</f>
        <v>#REF!</v>
      </c>
      <c r="BZ41" t="e">
        <f>AND(NhatkyBan!#REF!,"AAAAAH/zv00=")</f>
        <v>#REF!</v>
      </c>
      <c r="CA41" t="e">
        <f>AND(NhatkyBan!#REF!,"AAAAAH/zv04=")</f>
        <v>#REF!</v>
      </c>
      <c r="CB41" t="e">
        <f>AND(NhatkyBan!#REF!,"AAAAAH/zv08=")</f>
        <v>#REF!</v>
      </c>
      <c r="CC41" t="e">
        <f>AND(NhatkyBan!#REF!,"AAAAAH/zv1A=")</f>
        <v>#REF!</v>
      </c>
      <c r="CD41" t="e">
        <f>IF(NhatkyBan!#REF!,"AAAAAH/zv1E=",0)</f>
        <v>#REF!</v>
      </c>
      <c r="CE41" t="e">
        <f>AND(NhatkyBan!#REF!,"AAAAAH/zv1I=")</f>
        <v>#REF!</v>
      </c>
      <c r="CF41" t="e">
        <f>AND(NhatkyBan!#REF!,"AAAAAH/zv1M=")</f>
        <v>#REF!</v>
      </c>
      <c r="CG41" t="e">
        <f>AND(NhatkyBan!#REF!,"AAAAAH/zv1Q=")</f>
        <v>#REF!</v>
      </c>
      <c r="CH41" t="e">
        <f>AND(NhatkyBan!#REF!,"AAAAAH/zv1U=")</f>
        <v>#REF!</v>
      </c>
      <c r="CI41" t="e">
        <f>AND(NhatkyBan!#REF!,"AAAAAH/zv1Y=")</f>
        <v>#REF!</v>
      </c>
      <c r="CJ41" t="e">
        <f>AND(NhatkyBan!#REF!,"AAAAAH/zv1c=")</f>
        <v>#REF!</v>
      </c>
      <c r="CK41" t="e">
        <f>AND(NhatkyBan!#REF!,"AAAAAH/zv1g=")</f>
        <v>#REF!</v>
      </c>
      <c r="CL41" t="e">
        <f>AND(NhatkyBan!#REF!,"AAAAAH/zv1k=")</f>
        <v>#REF!</v>
      </c>
      <c r="CM41" t="e">
        <f>AND(NhatkyBan!#REF!,"AAAAAH/zv1o=")</f>
        <v>#REF!</v>
      </c>
      <c r="CN41" t="e">
        <f>AND(NhatkyBan!#REF!,"AAAAAH/zv1s=")</f>
        <v>#REF!</v>
      </c>
      <c r="CO41" t="e">
        <f>AND(NhatkyBan!#REF!,"AAAAAH/zv1w=")</f>
        <v>#REF!</v>
      </c>
      <c r="CP41" t="e">
        <f>AND(NhatkyBan!#REF!,"AAAAAH/zv10=")</f>
        <v>#REF!</v>
      </c>
      <c r="CQ41" t="e">
        <f>AND(NhatkyBan!#REF!,"AAAAAH/zv14=")</f>
        <v>#REF!</v>
      </c>
      <c r="CR41" t="e">
        <f>AND(NhatkyBan!#REF!,"AAAAAH/zv18=")</f>
        <v>#REF!</v>
      </c>
      <c r="CS41" t="e">
        <f>AND(NhatkyBan!#REF!,"AAAAAH/zv2A=")</f>
        <v>#REF!</v>
      </c>
      <c r="CT41" t="e">
        <f>AND(NhatkyBan!#REF!,"AAAAAH/zv2E=")</f>
        <v>#REF!</v>
      </c>
      <c r="CU41" t="e">
        <f>AND(NhatkyBan!#REF!,"AAAAAH/zv2I=")</f>
        <v>#REF!</v>
      </c>
      <c r="CV41" t="e">
        <f>AND(NhatkyBan!#REF!,"AAAAAH/zv2M=")</f>
        <v>#REF!</v>
      </c>
      <c r="CW41" t="e">
        <f>AND(NhatkyBan!#REF!,"AAAAAH/zv2Q=")</f>
        <v>#REF!</v>
      </c>
      <c r="CX41" t="e">
        <f>AND(NhatkyBan!#REF!,"AAAAAH/zv2U=")</f>
        <v>#REF!</v>
      </c>
      <c r="CY41" t="e">
        <f>AND(NhatkyBan!#REF!,"AAAAAH/zv2Y=")</f>
        <v>#REF!</v>
      </c>
      <c r="CZ41" t="e">
        <f>AND(NhatkyBan!#REF!,"AAAAAH/zv2c=")</f>
        <v>#REF!</v>
      </c>
      <c r="DA41" t="e">
        <f>AND(NhatkyBan!#REF!,"AAAAAH/zv2g=")</f>
        <v>#REF!</v>
      </c>
      <c r="DB41" t="e">
        <f>AND(NhatkyBan!#REF!,"AAAAAH/zv2k=")</f>
        <v>#REF!</v>
      </c>
      <c r="DC41" t="e">
        <f>AND(NhatkyBan!#REF!,"AAAAAH/zv2o=")</f>
        <v>#REF!</v>
      </c>
      <c r="DD41" t="e">
        <f>AND(NhatkyBan!#REF!,"AAAAAH/zv2s=")</f>
        <v>#REF!</v>
      </c>
      <c r="DE41" t="e">
        <f>AND(NhatkyBan!#REF!,"AAAAAH/zv2w=")</f>
        <v>#REF!</v>
      </c>
      <c r="DF41" t="e">
        <f>AND(NhatkyBan!#REF!,"AAAAAH/zv20=")</f>
        <v>#REF!</v>
      </c>
      <c r="DG41" t="e">
        <f>AND(NhatkyBan!#REF!,"AAAAAH/zv24=")</f>
        <v>#REF!</v>
      </c>
      <c r="DH41" t="e">
        <f>AND(NhatkyBan!#REF!,"AAAAAH/zv28=")</f>
        <v>#REF!</v>
      </c>
      <c r="DI41" t="e">
        <f>AND(NhatkyBan!#REF!,"AAAAAH/zv3A=")</f>
        <v>#REF!</v>
      </c>
      <c r="DJ41" t="e">
        <f>AND(NhatkyBan!#REF!,"AAAAAH/zv3E=")</f>
        <v>#REF!</v>
      </c>
      <c r="DK41" t="e">
        <f>AND(NhatkyBan!#REF!,"AAAAAH/zv3I=")</f>
        <v>#REF!</v>
      </c>
      <c r="DL41" t="e">
        <f>AND(NhatkyBan!#REF!,"AAAAAH/zv3M=")</f>
        <v>#REF!</v>
      </c>
      <c r="DM41" t="e">
        <f>IF(NhatkyBan!#REF!,"AAAAAH/zv3Q=",0)</f>
        <v>#REF!</v>
      </c>
      <c r="DN41" t="e">
        <f>AND(NhatkyBan!#REF!,"AAAAAH/zv3U=")</f>
        <v>#REF!</v>
      </c>
      <c r="DO41" t="e">
        <f>AND(NhatkyBan!#REF!,"AAAAAH/zv3Y=")</f>
        <v>#REF!</v>
      </c>
      <c r="DP41" t="e">
        <f>AND(NhatkyBan!#REF!,"AAAAAH/zv3c=")</f>
        <v>#REF!</v>
      </c>
      <c r="DQ41" t="e">
        <f>AND(NhatkyBan!#REF!,"AAAAAH/zv3g=")</f>
        <v>#REF!</v>
      </c>
      <c r="DR41" t="e">
        <f>AND(NhatkyBan!#REF!,"AAAAAH/zv3k=")</f>
        <v>#REF!</v>
      </c>
      <c r="DS41" t="e">
        <f>AND(NhatkyBan!#REF!,"AAAAAH/zv3o=")</f>
        <v>#REF!</v>
      </c>
      <c r="DT41" t="e">
        <f>AND(NhatkyBan!#REF!,"AAAAAH/zv3s=")</f>
        <v>#REF!</v>
      </c>
      <c r="DU41" t="e">
        <f>AND(NhatkyBan!#REF!,"AAAAAH/zv3w=")</f>
        <v>#REF!</v>
      </c>
      <c r="DV41" t="e">
        <f>AND(NhatkyBan!#REF!,"AAAAAH/zv30=")</f>
        <v>#REF!</v>
      </c>
      <c r="DW41" t="e">
        <f>AND(NhatkyBan!#REF!,"AAAAAH/zv34=")</f>
        <v>#REF!</v>
      </c>
      <c r="DX41" t="e">
        <f>AND(NhatkyBan!#REF!,"AAAAAH/zv38=")</f>
        <v>#REF!</v>
      </c>
      <c r="DY41" t="e">
        <f>AND(NhatkyBan!#REF!,"AAAAAH/zv4A=")</f>
        <v>#REF!</v>
      </c>
      <c r="DZ41" t="e">
        <f>AND(NhatkyBan!#REF!,"AAAAAH/zv4E=")</f>
        <v>#REF!</v>
      </c>
      <c r="EA41" t="e">
        <f>AND(NhatkyBan!#REF!,"AAAAAH/zv4I=")</f>
        <v>#REF!</v>
      </c>
      <c r="EB41" t="e">
        <f>AND(NhatkyBan!#REF!,"AAAAAH/zv4M=")</f>
        <v>#REF!</v>
      </c>
      <c r="EC41" t="e">
        <f>AND(NhatkyBan!#REF!,"AAAAAH/zv4Q=")</f>
        <v>#REF!</v>
      </c>
      <c r="ED41" t="e">
        <f>AND(NhatkyBan!#REF!,"AAAAAH/zv4U=")</f>
        <v>#REF!</v>
      </c>
      <c r="EE41" t="e">
        <f>AND(NhatkyBan!#REF!,"AAAAAH/zv4Y=")</f>
        <v>#REF!</v>
      </c>
      <c r="EF41" t="e">
        <f>AND(NhatkyBan!#REF!,"AAAAAH/zv4c=")</f>
        <v>#REF!</v>
      </c>
      <c r="EG41" t="e">
        <f>AND(NhatkyBan!#REF!,"AAAAAH/zv4g=")</f>
        <v>#REF!</v>
      </c>
      <c r="EH41" t="e">
        <f>AND(NhatkyBan!#REF!,"AAAAAH/zv4k=")</f>
        <v>#REF!</v>
      </c>
      <c r="EI41" t="e">
        <f>AND(NhatkyBan!#REF!,"AAAAAH/zv4o=")</f>
        <v>#REF!</v>
      </c>
      <c r="EJ41" t="e">
        <f>AND(NhatkyBan!#REF!,"AAAAAH/zv4s=")</f>
        <v>#REF!</v>
      </c>
      <c r="EK41" t="e">
        <f>AND(NhatkyBan!#REF!,"AAAAAH/zv4w=")</f>
        <v>#REF!</v>
      </c>
      <c r="EL41" t="e">
        <f>AND(NhatkyBan!#REF!,"AAAAAH/zv40=")</f>
        <v>#REF!</v>
      </c>
      <c r="EM41" t="e">
        <f>AND(NhatkyBan!#REF!,"AAAAAH/zv44=")</f>
        <v>#REF!</v>
      </c>
      <c r="EN41" t="e">
        <f>AND(NhatkyBan!#REF!,"AAAAAH/zv48=")</f>
        <v>#REF!</v>
      </c>
      <c r="EO41" t="e">
        <f>AND(NhatkyBan!#REF!,"AAAAAH/zv5A=")</f>
        <v>#REF!</v>
      </c>
      <c r="EP41" t="e">
        <f>AND(NhatkyBan!#REF!,"AAAAAH/zv5E=")</f>
        <v>#REF!</v>
      </c>
      <c r="EQ41" t="e">
        <f>AND(NhatkyBan!#REF!,"AAAAAH/zv5I=")</f>
        <v>#REF!</v>
      </c>
      <c r="ER41" t="e">
        <f>AND(NhatkyBan!#REF!,"AAAAAH/zv5M=")</f>
        <v>#REF!</v>
      </c>
      <c r="ES41" t="e">
        <f>AND(NhatkyBan!#REF!,"AAAAAH/zv5Q=")</f>
        <v>#REF!</v>
      </c>
      <c r="ET41" t="e">
        <f>AND(NhatkyBan!#REF!,"AAAAAH/zv5U=")</f>
        <v>#REF!</v>
      </c>
      <c r="EU41" t="e">
        <f>AND(NhatkyBan!#REF!,"AAAAAH/zv5Y=")</f>
        <v>#REF!</v>
      </c>
      <c r="EV41" t="e">
        <f>IF(NhatkyBan!#REF!,"AAAAAH/zv5c=",0)</f>
        <v>#REF!</v>
      </c>
      <c r="EW41" t="e">
        <f>AND(NhatkyBan!#REF!,"AAAAAH/zv5g=")</f>
        <v>#REF!</v>
      </c>
      <c r="EX41" t="e">
        <f>AND(NhatkyBan!#REF!,"AAAAAH/zv5k=")</f>
        <v>#REF!</v>
      </c>
      <c r="EY41" t="e">
        <f>AND(NhatkyBan!#REF!,"AAAAAH/zv5o=")</f>
        <v>#REF!</v>
      </c>
      <c r="EZ41" t="e">
        <f>AND(NhatkyBan!#REF!,"AAAAAH/zv5s=")</f>
        <v>#REF!</v>
      </c>
      <c r="FA41" t="e">
        <f>AND(NhatkyBan!#REF!,"AAAAAH/zv5w=")</f>
        <v>#REF!</v>
      </c>
      <c r="FB41" t="e">
        <f>AND(NhatkyBan!#REF!,"AAAAAH/zv50=")</f>
        <v>#REF!</v>
      </c>
      <c r="FC41" t="e">
        <f>AND(NhatkyBan!#REF!,"AAAAAH/zv54=")</f>
        <v>#REF!</v>
      </c>
      <c r="FD41" t="e">
        <f>AND(NhatkyBan!#REF!,"AAAAAH/zv58=")</f>
        <v>#REF!</v>
      </c>
      <c r="FE41" t="e">
        <f>AND(NhatkyBan!#REF!,"AAAAAH/zv6A=")</f>
        <v>#REF!</v>
      </c>
      <c r="FF41" t="e">
        <f>AND(NhatkyBan!#REF!,"AAAAAH/zv6E=")</f>
        <v>#REF!</v>
      </c>
      <c r="FG41" t="e">
        <f>AND(NhatkyBan!#REF!,"AAAAAH/zv6I=")</f>
        <v>#REF!</v>
      </c>
      <c r="FH41" t="e">
        <f>AND(NhatkyBan!#REF!,"AAAAAH/zv6M=")</f>
        <v>#REF!</v>
      </c>
      <c r="FI41" t="e">
        <f>AND(NhatkyBan!#REF!,"AAAAAH/zv6Q=")</f>
        <v>#REF!</v>
      </c>
      <c r="FJ41" t="e">
        <f>AND(NhatkyBan!#REF!,"AAAAAH/zv6U=")</f>
        <v>#REF!</v>
      </c>
      <c r="FK41" t="e">
        <f>AND(NhatkyBan!#REF!,"AAAAAH/zv6Y=")</f>
        <v>#REF!</v>
      </c>
      <c r="FL41" t="e">
        <f>AND(NhatkyBan!#REF!,"AAAAAH/zv6c=")</f>
        <v>#REF!</v>
      </c>
      <c r="FM41" t="e">
        <f>AND(NhatkyBan!#REF!,"AAAAAH/zv6g=")</f>
        <v>#REF!</v>
      </c>
      <c r="FN41" t="e">
        <f>AND(NhatkyBan!#REF!,"AAAAAH/zv6k=")</f>
        <v>#REF!</v>
      </c>
      <c r="FO41" t="e">
        <f>AND(NhatkyBan!#REF!,"AAAAAH/zv6o=")</f>
        <v>#REF!</v>
      </c>
      <c r="FP41" t="e">
        <f>AND(NhatkyBan!#REF!,"AAAAAH/zv6s=")</f>
        <v>#REF!</v>
      </c>
      <c r="FQ41" t="e">
        <f>AND(NhatkyBan!#REF!,"AAAAAH/zv6w=")</f>
        <v>#REF!</v>
      </c>
      <c r="FR41" t="e">
        <f>AND(NhatkyBan!#REF!,"AAAAAH/zv60=")</f>
        <v>#REF!</v>
      </c>
      <c r="FS41" t="e">
        <f>AND(NhatkyBan!#REF!,"AAAAAH/zv64=")</f>
        <v>#REF!</v>
      </c>
      <c r="FT41" t="e">
        <f>AND(NhatkyBan!#REF!,"AAAAAH/zv68=")</f>
        <v>#REF!</v>
      </c>
      <c r="FU41" t="e">
        <f>AND(NhatkyBan!#REF!,"AAAAAH/zv7A=")</f>
        <v>#REF!</v>
      </c>
      <c r="FV41" t="e">
        <f>AND(NhatkyBan!#REF!,"AAAAAH/zv7E=")</f>
        <v>#REF!</v>
      </c>
      <c r="FW41" t="e">
        <f>AND(NhatkyBan!#REF!,"AAAAAH/zv7I=")</f>
        <v>#REF!</v>
      </c>
      <c r="FX41" t="e">
        <f>AND(NhatkyBan!#REF!,"AAAAAH/zv7M=")</f>
        <v>#REF!</v>
      </c>
      <c r="FY41" t="e">
        <f>AND(NhatkyBan!#REF!,"AAAAAH/zv7Q=")</f>
        <v>#REF!</v>
      </c>
      <c r="FZ41" t="e">
        <f>AND(NhatkyBan!#REF!,"AAAAAH/zv7U=")</f>
        <v>#REF!</v>
      </c>
      <c r="GA41" t="e">
        <f>AND(NhatkyBan!#REF!,"AAAAAH/zv7Y=")</f>
        <v>#REF!</v>
      </c>
      <c r="GB41" t="e">
        <f>AND(NhatkyBan!#REF!,"AAAAAH/zv7c=")</f>
        <v>#REF!</v>
      </c>
      <c r="GC41" t="e">
        <f>AND(NhatkyBan!#REF!,"AAAAAH/zv7g=")</f>
        <v>#REF!</v>
      </c>
      <c r="GD41" t="e">
        <f>AND(NhatkyBan!#REF!,"AAAAAH/zv7k=")</f>
        <v>#REF!</v>
      </c>
      <c r="GE41" t="e">
        <f>IF(NhatkyBan!#REF!,"AAAAAH/zv7o=",0)</f>
        <v>#REF!</v>
      </c>
      <c r="GF41" t="e">
        <f>AND(NhatkyBan!#REF!,"AAAAAH/zv7s=")</f>
        <v>#REF!</v>
      </c>
      <c r="GG41" t="e">
        <f>AND(NhatkyBan!#REF!,"AAAAAH/zv7w=")</f>
        <v>#REF!</v>
      </c>
      <c r="GH41" t="e">
        <f>AND(NhatkyBan!#REF!,"AAAAAH/zv70=")</f>
        <v>#REF!</v>
      </c>
      <c r="GI41" t="e">
        <f>AND(NhatkyBan!#REF!,"AAAAAH/zv74=")</f>
        <v>#REF!</v>
      </c>
      <c r="GJ41" t="e">
        <f>AND(NhatkyBan!#REF!,"AAAAAH/zv78=")</f>
        <v>#REF!</v>
      </c>
      <c r="GK41" t="e">
        <f>AND(NhatkyBan!#REF!,"AAAAAH/zv8A=")</f>
        <v>#REF!</v>
      </c>
      <c r="GL41" t="e">
        <f>AND(NhatkyBan!#REF!,"AAAAAH/zv8E=")</f>
        <v>#REF!</v>
      </c>
      <c r="GM41" t="e">
        <f>AND(NhatkyBan!#REF!,"AAAAAH/zv8I=")</f>
        <v>#REF!</v>
      </c>
      <c r="GN41" t="e">
        <f>AND(NhatkyBan!#REF!,"AAAAAH/zv8M=")</f>
        <v>#REF!</v>
      </c>
      <c r="GO41" t="e">
        <f>AND(NhatkyBan!#REF!,"AAAAAH/zv8Q=")</f>
        <v>#REF!</v>
      </c>
      <c r="GP41" t="e">
        <f>AND(NhatkyBan!#REF!,"AAAAAH/zv8U=")</f>
        <v>#REF!</v>
      </c>
      <c r="GQ41" t="e">
        <f>AND(NhatkyBan!#REF!,"AAAAAH/zv8Y=")</f>
        <v>#REF!</v>
      </c>
      <c r="GR41" t="e">
        <f>AND(NhatkyBan!#REF!,"AAAAAH/zv8c=")</f>
        <v>#REF!</v>
      </c>
      <c r="GS41" t="e">
        <f>AND(NhatkyBan!#REF!,"AAAAAH/zv8g=")</f>
        <v>#REF!</v>
      </c>
      <c r="GT41" t="e">
        <f>AND(NhatkyBan!#REF!,"AAAAAH/zv8k=")</f>
        <v>#REF!</v>
      </c>
      <c r="GU41" t="e">
        <f>AND(NhatkyBan!#REF!,"AAAAAH/zv8o=")</f>
        <v>#REF!</v>
      </c>
      <c r="GV41" t="e">
        <f>AND(NhatkyBan!#REF!,"AAAAAH/zv8s=")</f>
        <v>#REF!</v>
      </c>
      <c r="GW41" t="e">
        <f>AND(NhatkyBan!#REF!,"AAAAAH/zv8w=")</f>
        <v>#REF!</v>
      </c>
      <c r="GX41" t="e">
        <f>AND(NhatkyBan!#REF!,"AAAAAH/zv80=")</f>
        <v>#REF!</v>
      </c>
      <c r="GY41" t="e">
        <f>AND(NhatkyBan!#REF!,"AAAAAH/zv84=")</f>
        <v>#REF!</v>
      </c>
      <c r="GZ41" t="e">
        <f>AND(NhatkyBan!#REF!,"AAAAAH/zv88=")</f>
        <v>#REF!</v>
      </c>
      <c r="HA41" t="e">
        <f>AND(NhatkyBan!#REF!,"AAAAAH/zv9A=")</f>
        <v>#REF!</v>
      </c>
      <c r="HB41" t="e">
        <f>AND(NhatkyBan!#REF!,"AAAAAH/zv9E=")</f>
        <v>#REF!</v>
      </c>
      <c r="HC41" t="e">
        <f>AND(NhatkyBan!#REF!,"AAAAAH/zv9I=")</f>
        <v>#REF!</v>
      </c>
      <c r="HD41" t="e">
        <f>AND(NhatkyBan!#REF!,"AAAAAH/zv9M=")</f>
        <v>#REF!</v>
      </c>
      <c r="HE41" t="e">
        <f>AND(NhatkyBan!#REF!,"AAAAAH/zv9Q=")</f>
        <v>#REF!</v>
      </c>
      <c r="HF41" t="e">
        <f>AND(NhatkyBan!#REF!,"AAAAAH/zv9U=")</f>
        <v>#REF!</v>
      </c>
      <c r="HG41" t="e">
        <f>AND(NhatkyBan!#REF!,"AAAAAH/zv9Y=")</f>
        <v>#REF!</v>
      </c>
      <c r="HH41" t="e">
        <f>AND(NhatkyBan!#REF!,"AAAAAH/zv9c=")</f>
        <v>#REF!</v>
      </c>
      <c r="HI41" t="e">
        <f>AND(NhatkyBan!#REF!,"AAAAAH/zv9g=")</f>
        <v>#REF!</v>
      </c>
      <c r="HJ41" t="e">
        <f>AND(NhatkyBan!#REF!,"AAAAAH/zv9k=")</f>
        <v>#REF!</v>
      </c>
      <c r="HK41" t="e">
        <f>AND(NhatkyBan!#REF!,"AAAAAH/zv9o=")</f>
        <v>#REF!</v>
      </c>
      <c r="HL41" t="e">
        <f>AND(NhatkyBan!#REF!,"AAAAAH/zv9s=")</f>
        <v>#REF!</v>
      </c>
      <c r="HM41" t="e">
        <f>AND(NhatkyBan!#REF!,"AAAAAH/zv9w=")</f>
        <v>#REF!</v>
      </c>
      <c r="HN41" t="e">
        <f>IF(NhatkyBan!#REF!,"AAAAAH/zv90=",0)</f>
        <v>#REF!</v>
      </c>
      <c r="HO41" t="e">
        <f>AND(NhatkyBan!#REF!,"AAAAAH/zv94=")</f>
        <v>#REF!</v>
      </c>
      <c r="HP41" t="e">
        <f>AND(NhatkyBan!#REF!,"AAAAAH/zv98=")</f>
        <v>#REF!</v>
      </c>
      <c r="HQ41" t="e">
        <f>AND(NhatkyBan!#REF!,"AAAAAH/zv+A=")</f>
        <v>#REF!</v>
      </c>
      <c r="HR41" t="e">
        <f>AND(NhatkyBan!#REF!,"AAAAAH/zv+E=")</f>
        <v>#REF!</v>
      </c>
      <c r="HS41" t="e">
        <f>AND(NhatkyBan!#REF!,"AAAAAH/zv+I=")</f>
        <v>#REF!</v>
      </c>
      <c r="HT41" t="e">
        <f>AND(NhatkyBan!#REF!,"AAAAAH/zv+M=")</f>
        <v>#REF!</v>
      </c>
      <c r="HU41" t="e">
        <f>AND(NhatkyBan!#REF!,"AAAAAH/zv+Q=")</f>
        <v>#REF!</v>
      </c>
      <c r="HV41" t="e">
        <f>AND(NhatkyBan!#REF!,"AAAAAH/zv+U=")</f>
        <v>#REF!</v>
      </c>
      <c r="HW41" t="e">
        <f>AND(NhatkyBan!#REF!,"AAAAAH/zv+Y=")</f>
        <v>#REF!</v>
      </c>
      <c r="HX41" t="e">
        <f>AND(NhatkyBan!#REF!,"AAAAAH/zv+c=")</f>
        <v>#REF!</v>
      </c>
      <c r="HY41" t="e">
        <f>AND(NhatkyBan!#REF!,"AAAAAH/zv+g=")</f>
        <v>#REF!</v>
      </c>
      <c r="HZ41" t="e">
        <f>AND(NhatkyBan!#REF!,"AAAAAH/zv+k=")</f>
        <v>#REF!</v>
      </c>
      <c r="IA41" t="e">
        <f>AND(NhatkyBan!#REF!,"AAAAAH/zv+o=")</f>
        <v>#REF!</v>
      </c>
      <c r="IB41" t="e">
        <f>AND(NhatkyBan!#REF!,"AAAAAH/zv+s=")</f>
        <v>#REF!</v>
      </c>
      <c r="IC41" t="e">
        <f>AND(NhatkyBan!#REF!,"AAAAAH/zv+w=")</f>
        <v>#REF!</v>
      </c>
      <c r="ID41" t="e">
        <f>AND(NhatkyBan!#REF!,"AAAAAH/zv+0=")</f>
        <v>#REF!</v>
      </c>
      <c r="IE41" t="e">
        <f>AND(NhatkyBan!#REF!,"AAAAAH/zv+4=")</f>
        <v>#REF!</v>
      </c>
      <c r="IF41" t="e">
        <f>AND(NhatkyBan!#REF!,"AAAAAH/zv+8=")</f>
        <v>#REF!</v>
      </c>
      <c r="IG41" t="e">
        <f>AND(NhatkyBan!#REF!,"AAAAAH/zv/A=")</f>
        <v>#REF!</v>
      </c>
      <c r="IH41" t="e">
        <f>AND(NhatkyBan!#REF!,"AAAAAH/zv/E=")</f>
        <v>#REF!</v>
      </c>
      <c r="II41" t="e">
        <f>AND(NhatkyBan!#REF!,"AAAAAH/zv/I=")</f>
        <v>#REF!</v>
      </c>
      <c r="IJ41" t="e">
        <f>AND(NhatkyBan!#REF!,"AAAAAH/zv/M=")</f>
        <v>#REF!</v>
      </c>
      <c r="IK41" t="e">
        <f>AND(NhatkyBan!#REF!,"AAAAAH/zv/Q=")</f>
        <v>#REF!</v>
      </c>
      <c r="IL41" t="e">
        <f>AND(NhatkyBan!#REF!,"AAAAAH/zv/U=")</f>
        <v>#REF!</v>
      </c>
      <c r="IM41" t="e">
        <f>AND(NhatkyBan!#REF!,"AAAAAH/zv/Y=")</f>
        <v>#REF!</v>
      </c>
      <c r="IN41" t="e">
        <f>AND(NhatkyBan!#REF!,"AAAAAH/zv/c=")</f>
        <v>#REF!</v>
      </c>
      <c r="IO41" t="e">
        <f>AND(NhatkyBan!#REF!,"AAAAAH/zv/g=")</f>
        <v>#REF!</v>
      </c>
      <c r="IP41" t="e">
        <f>AND(NhatkyBan!#REF!,"AAAAAH/zv/k=")</f>
        <v>#REF!</v>
      </c>
      <c r="IQ41" t="e">
        <f>AND(NhatkyBan!#REF!,"AAAAAH/zv/o=")</f>
        <v>#REF!</v>
      </c>
      <c r="IR41" t="e">
        <f>AND(NhatkyBan!#REF!,"AAAAAH/zv/s=")</f>
        <v>#REF!</v>
      </c>
      <c r="IS41" t="e">
        <f>AND(NhatkyBan!#REF!,"AAAAAH/zv/w=")</f>
        <v>#REF!</v>
      </c>
      <c r="IT41" t="e">
        <f>AND(NhatkyBan!#REF!,"AAAAAH/zv/0=")</f>
        <v>#REF!</v>
      </c>
      <c r="IU41" t="e">
        <f>AND(NhatkyBan!#REF!,"AAAAAH/zv/4=")</f>
        <v>#REF!</v>
      </c>
      <c r="IV41" t="e">
        <f>AND(NhatkyBan!#REF!,"AAAAAH/zv/8=")</f>
        <v>#REF!</v>
      </c>
    </row>
    <row r="42" spans="1:256">
      <c r="A42" t="e">
        <f>IF(NhatkyBan!#REF!,"AAAAACd5vwA=",0)</f>
        <v>#REF!</v>
      </c>
      <c r="B42" t="e">
        <f>AND(NhatkyBan!#REF!,"AAAAACd5vwE=")</f>
        <v>#REF!</v>
      </c>
      <c r="C42" t="e">
        <f>AND(NhatkyBan!#REF!,"AAAAACd5vwI=")</f>
        <v>#REF!</v>
      </c>
      <c r="D42" t="e">
        <f>AND(NhatkyBan!#REF!,"AAAAACd5vwM=")</f>
        <v>#REF!</v>
      </c>
      <c r="E42" t="e">
        <f>AND(NhatkyBan!#REF!,"AAAAACd5vwQ=")</f>
        <v>#REF!</v>
      </c>
      <c r="F42" t="e">
        <f>AND(NhatkyBan!#REF!,"AAAAACd5vwU=")</f>
        <v>#REF!</v>
      </c>
      <c r="G42" t="e">
        <f>AND(NhatkyBan!#REF!,"AAAAACd5vwY=")</f>
        <v>#REF!</v>
      </c>
      <c r="H42" t="e">
        <f>AND(NhatkyBan!#REF!,"AAAAACd5vwc=")</f>
        <v>#REF!</v>
      </c>
      <c r="I42" t="e">
        <f>AND(NhatkyBan!#REF!,"AAAAACd5vwg=")</f>
        <v>#REF!</v>
      </c>
      <c r="J42" t="e">
        <f>AND(NhatkyBan!#REF!,"AAAAACd5vwk=")</f>
        <v>#REF!</v>
      </c>
      <c r="K42" t="e">
        <f>AND(NhatkyBan!#REF!,"AAAAACd5vwo=")</f>
        <v>#REF!</v>
      </c>
      <c r="L42" t="e">
        <f>AND(NhatkyBan!#REF!,"AAAAACd5vws=")</f>
        <v>#REF!</v>
      </c>
      <c r="M42" t="e">
        <f>AND(NhatkyBan!#REF!,"AAAAACd5vww=")</f>
        <v>#REF!</v>
      </c>
      <c r="N42" t="e">
        <f>AND(NhatkyBan!#REF!,"AAAAACd5vw0=")</f>
        <v>#REF!</v>
      </c>
      <c r="O42" t="e">
        <f>AND(NhatkyBan!#REF!,"AAAAACd5vw4=")</f>
        <v>#REF!</v>
      </c>
      <c r="P42" t="e">
        <f>AND(NhatkyBan!#REF!,"AAAAACd5vw8=")</f>
        <v>#REF!</v>
      </c>
      <c r="Q42" t="e">
        <f>AND(NhatkyBan!#REF!,"AAAAACd5vxA=")</f>
        <v>#REF!</v>
      </c>
      <c r="R42" t="e">
        <f>AND(NhatkyBan!#REF!,"AAAAACd5vxE=")</f>
        <v>#REF!</v>
      </c>
      <c r="S42" t="e">
        <f>AND(NhatkyBan!#REF!,"AAAAACd5vxI=")</f>
        <v>#REF!</v>
      </c>
      <c r="T42" t="e">
        <f>AND(NhatkyBan!#REF!,"AAAAACd5vxM=")</f>
        <v>#REF!</v>
      </c>
      <c r="U42" t="e">
        <f>AND(NhatkyBan!#REF!,"AAAAACd5vxQ=")</f>
        <v>#REF!</v>
      </c>
      <c r="V42" t="e">
        <f>AND(NhatkyBan!#REF!,"AAAAACd5vxU=")</f>
        <v>#REF!</v>
      </c>
      <c r="W42" t="e">
        <f>AND(NhatkyBan!#REF!,"AAAAACd5vxY=")</f>
        <v>#REF!</v>
      </c>
      <c r="X42" t="e">
        <f>AND(NhatkyBan!#REF!,"AAAAACd5vxc=")</f>
        <v>#REF!</v>
      </c>
      <c r="Y42" t="e">
        <f>AND(NhatkyBan!#REF!,"AAAAACd5vxg=")</f>
        <v>#REF!</v>
      </c>
      <c r="Z42" t="e">
        <f>AND(NhatkyBan!#REF!,"AAAAACd5vxk=")</f>
        <v>#REF!</v>
      </c>
      <c r="AA42" t="e">
        <f>AND(NhatkyBan!#REF!,"AAAAACd5vxo=")</f>
        <v>#REF!</v>
      </c>
      <c r="AB42" t="e">
        <f>AND(NhatkyBan!#REF!,"AAAAACd5vxs=")</f>
        <v>#REF!</v>
      </c>
      <c r="AC42" t="e">
        <f>AND(NhatkyBan!#REF!,"AAAAACd5vxw=")</f>
        <v>#REF!</v>
      </c>
      <c r="AD42" t="e">
        <f>AND(NhatkyBan!#REF!,"AAAAACd5vx0=")</f>
        <v>#REF!</v>
      </c>
      <c r="AE42" t="e">
        <f>AND(NhatkyBan!#REF!,"AAAAACd5vx4=")</f>
        <v>#REF!</v>
      </c>
      <c r="AF42" t="e">
        <f>AND(NhatkyBan!#REF!,"AAAAACd5vx8=")</f>
        <v>#REF!</v>
      </c>
      <c r="AG42" t="e">
        <f>AND(NhatkyBan!#REF!,"AAAAACd5vyA=")</f>
        <v>#REF!</v>
      </c>
      <c r="AH42" t="e">
        <f>AND(NhatkyBan!#REF!,"AAAAACd5vyE=")</f>
        <v>#REF!</v>
      </c>
      <c r="AI42" t="e">
        <f>AND(NhatkyBan!#REF!,"AAAAACd5vyI=")</f>
        <v>#REF!</v>
      </c>
      <c r="AJ42" t="e">
        <f>IF(NhatkyBan!#REF!,"AAAAACd5vyM=",0)</f>
        <v>#REF!</v>
      </c>
      <c r="AK42" t="e">
        <f>AND(NhatkyBan!#REF!,"AAAAACd5vyQ=")</f>
        <v>#REF!</v>
      </c>
      <c r="AL42" t="e">
        <f>AND(NhatkyBan!#REF!,"AAAAACd5vyU=")</f>
        <v>#REF!</v>
      </c>
      <c r="AM42" t="e">
        <f>AND(NhatkyBan!#REF!,"AAAAACd5vyY=")</f>
        <v>#REF!</v>
      </c>
      <c r="AN42" t="e">
        <f>AND(NhatkyBan!#REF!,"AAAAACd5vyc=")</f>
        <v>#REF!</v>
      </c>
      <c r="AO42" t="e">
        <f>AND(NhatkyBan!#REF!,"AAAAACd5vyg=")</f>
        <v>#REF!</v>
      </c>
      <c r="AP42" t="e">
        <f>AND(NhatkyBan!#REF!,"AAAAACd5vyk=")</f>
        <v>#REF!</v>
      </c>
      <c r="AQ42" t="e">
        <f>AND(NhatkyBan!#REF!,"AAAAACd5vyo=")</f>
        <v>#REF!</v>
      </c>
      <c r="AR42" t="e">
        <f>AND(NhatkyBan!#REF!,"AAAAACd5vys=")</f>
        <v>#REF!</v>
      </c>
      <c r="AS42" t="e">
        <f>AND(NhatkyBan!#REF!,"AAAAACd5vyw=")</f>
        <v>#REF!</v>
      </c>
      <c r="AT42" t="e">
        <f>AND(NhatkyBan!#REF!,"AAAAACd5vy0=")</f>
        <v>#REF!</v>
      </c>
      <c r="AU42" t="e">
        <f>AND(NhatkyBan!#REF!,"AAAAACd5vy4=")</f>
        <v>#REF!</v>
      </c>
      <c r="AV42" t="e">
        <f>AND(NhatkyBan!#REF!,"AAAAACd5vy8=")</f>
        <v>#REF!</v>
      </c>
      <c r="AW42" t="e">
        <f>AND(NhatkyBan!#REF!,"AAAAACd5vzA=")</f>
        <v>#REF!</v>
      </c>
      <c r="AX42" t="e">
        <f>AND(NhatkyBan!#REF!,"AAAAACd5vzE=")</f>
        <v>#REF!</v>
      </c>
      <c r="AY42" t="e">
        <f>AND(NhatkyBan!#REF!,"AAAAACd5vzI=")</f>
        <v>#REF!</v>
      </c>
      <c r="AZ42" t="e">
        <f>AND(NhatkyBan!#REF!,"AAAAACd5vzM=")</f>
        <v>#REF!</v>
      </c>
      <c r="BA42" t="e">
        <f>AND(NhatkyBan!#REF!,"AAAAACd5vzQ=")</f>
        <v>#REF!</v>
      </c>
      <c r="BB42" t="e">
        <f>AND(NhatkyBan!#REF!,"AAAAACd5vzU=")</f>
        <v>#REF!</v>
      </c>
      <c r="BC42" t="e">
        <f>AND(NhatkyBan!#REF!,"AAAAACd5vzY=")</f>
        <v>#REF!</v>
      </c>
      <c r="BD42" t="e">
        <f>AND(NhatkyBan!#REF!,"AAAAACd5vzc=")</f>
        <v>#REF!</v>
      </c>
      <c r="BE42" t="e">
        <f>AND(NhatkyBan!#REF!,"AAAAACd5vzg=")</f>
        <v>#REF!</v>
      </c>
      <c r="BF42" t="e">
        <f>AND(NhatkyBan!#REF!,"AAAAACd5vzk=")</f>
        <v>#REF!</v>
      </c>
      <c r="BG42" t="e">
        <f>AND(NhatkyBan!#REF!,"AAAAACd5vzo=")</f>
        <v>#REF!</v>
      </c>
      <c r="BH42" t="e">
        <f>AND(NhatkyBan!#REF!,"AAAAACd5vzs=")</f>
        <v>#REF!</v>
      </c>
      <c r="BI42" t="e">
        <f>AND(NhatkyBan!#REF!,"AAAAACd5vzw=")</f>
        <v>#REF!</v>
      </c>
      <c r="BJ42" t="e">
        <f>AND(NhatkyBan!#REF!,"AAAAACd5vz0=")</f>
        <v>#REF!</v>
      </c>
      <c r="BK42" t="e">
        <f>AND(NhatkyBan!#REF!,"AAAAACd5vz4=")</f>
        <v>#REF!</v>
      </c>
      <c r="BL42" t="e">
        <f>AND(NhatkyBan!#REF!,"AAAAACd5vz8=")</f>
        <v>#REF!</v>
      </c>
      <c r="BM42" t="e">
        <f>AND(NhatkyBan!#REF!,"AAAAACd5v0A=")</f>
        <v>#REF!</v>
      </c>
      <c r="BN42" t="e">
        <f>AND(NhatkyBan!#REF!,"AAAAACd5v0E=")</f>
        <v>#REF!</v>
      </c>
      <c r="BO42" t="e">
        <f>AND(NhatkyBan!#REF!,"AAAAACd5v0I=")</f>
        <v>#REF!</v>
      </c>
      <c r="BP42" t="e">
        <f>AND(NhatkyBan!#REF!,"AAAAACd5v0M=")</f>
        <v>#REF!</v>
      </c>
      <c r="BQ42" t="e">
        <f>AND(NhatkyBan!#REF!,"AAAAACd5v0Q=")</f>
        <v>#REF!</v>
      </c>
      <c r="BR42" t="e">
        <f>AND(NhatkyBan!#REF!,"AAAAACd5v0U=")</f>
        <v>#REF!</v>
      </c>
      <c r="BS42" t="e">
        <f>IF(NhatkyBan!#REF!,"AAAAACd5v0Y=",0)</f>
        <v>#REF!</v>
      </c>
      <c r="BT42" t="e">
        <f>AND(NhatkyBan!#REF!,"AAAAACd5v0c=")</f>
        <v>#REF!</v>
      </c>
      <c r="BU42" t="e">
        <f>AND(NhatkyBan!#REF!,"AAAAACd5v0g=")</f>
        <v>#REF!</v>
      </c>
      <c r="BV42" t="e">
        <f>AND(NhatkyBan!#REF!,"AAAAACd5v0k=")</f>
        <v>#REF!</v>
      </c>
      <c r="BW42" t="e">
        <f>AND(NhatkyBan!#REF!,"AAAAACd5v0o=")</f>
        <v>#REF!</v>
      </c>
      <c r="BX42" t="e">
        <f>AND(NhatkyBan!#REF!,"AAAAACd5v0s=")</f>
        <v>#REF!</v>
      </c>
      <c r="BY42" t="e">
        <f>AND(NhatkyBan!#REF!,"AAAAACd5v0w=")</f>
        <v>#REF!</v>
      </c>
      <c r="BZ42" t="e">
        <f>AND(NhatkyBan!#REF!,"AAAAACd5v00=")</f>
        <v>#REF!</v>
      </c>
      <c r="CA42" t="e">
        <f>AND(NhatkyBan!#REF!,"AAAAACd5v04=")</f>
        <v>#REF!</v>
      </c>
      <c r="CB42" t="e">
        <f>AND(NhatkyBan!#REF!,"AAAAACd5v08=")</f>
        <v>#REF!</v>
      </c>
      <c r="CC42" t="e">
        <f>AND(NhatkyBan!#REF!,"AAAAACd5v1A=")</f>
        <v>#REF!</v>
      </c>
      <c r="CD42" t="e">
        <f>AND(NhatkyBan!#REF!,"AAAAACd5v1E=")</f>
        <v>#REF!</v>
      </c>
      <c r="CE42" t="e">
        <f>AND(NhatkyBan!#REF!,"AAAAACd5v1I=")</f>
        <v>#REF!</v>
      </c>
      <c r="CF42" t="e">
        <f>AND(NhatkyBan!#REF!,"AAAAACd5v1M=")</f>
        <v>#REF!</v>
      </c>
      <c r="CG42" t="e">
        <f>AND(NhatkyBan!#REF!,"AAAAACd5v1Q=")</f>
        <v>#REF!</v>
      </c>
      <c r="CH42" t="e">
        <f>AND(NhatkyBan!#REF!,"AAAAACd5v1U=")</f>
        <v>#REF!</v>
      </c>
      <c r="CI42" t="e">
        <f>AND(NhatkyBan!#REF!,"AAAAACd5v1Y=")</f>
        <v>#REF!</v>
      </c>
      <c r="CJ42" t="e">
        <f>AND(NhatkyBan!#REF!,"AAAAACd5v1c=")</f>
        <v>#REF!</v>
      </c>
      <c r="CK42" t="e">
        <f>AND(NhatkyBan!#REF!,"AAAAACd5v1g=")</f>
        <v>#REF!</v>
      </c>
      <c r="CL42" t="e">
        <f>AND(NhatkyBan!#REF!,"AAAAACd5v1k=")</f>
        <v>#REF!</v>
      </c>
      <c r="CM42" t="e">
        <f>AND(NhatkyBan!#REF!,"AAAAACd5v1o=")</f>
        <v>#REF!</v>
      </c>
      <c r="CN42" t="e">
        <f>AND(NhatkyBan!#REF!,"AAAAACd5v1s=")</f>
        <v>#REF!</v>
      </c>
      <c r="CO42" t="e">
        <f>AND(NhatkyBan!#REF!,"AAAAACd5v1w=")</f>
        <v>#REF!</v>
      </c>
      <c r="CP42" t="e">
        <f>AND(NhatkyBan!#REF!,"AAAAACd5v10=")</f>
        <v>#REF!</v>
      </c>
      <c r="CQ42" t="e">
        <f>AND(NhatkyBan!#REF!,"AAAAACd5v14=")</f>
        <v>#REF!</v>
      </c>
      <c r="CR42" t="e">
        <f>AND(NhatkyBan!#REF!,"AAAAACd5v18=")</f>
        <v>#REF!</v>
      </c>
      <c r="CS42" t="e">
        <f>AND(NhatkyBan!#REF!,"AAAAACd5v2A=")</f>
        <v>#REF!</v>
      </c>
      <c r="CT42" t="e">
        <f>AND(NhatkyBan!#REF!,"AAAAACd5v2E=")</f>
        <v>#REF!</v>
      </c>
      <c r="CU42" t="e">
        <f>AND(NhatkyBan!#REF!,"AAAAACd5v2I=")</f>
        <v>#REF!</v>
      </c>
      <c r="CV42" t="e">
        <f>AND(NhatkyBan!#REF!,"AAAAACd5v2M=")</f>
        <v>#REF!</v>
      </c>
      <c r="CW42" t="e">
        <f>AND(NhatkyBan!#REF!,"AAAAACd5v2Q=")</f>
        <v>#REF!</v>
      </c>
      <c r="CX42" t="e">
        <f>AND(NhatkyBan!#REF!,"AAAAACd5v2U=")</f>
        <v>#REF!</v>
      </c>
      <c r="CY42" t="e">
        <f>AND(NhatkyBan!#REF!,"AAAAACd5v2Y=")</f>
        <v>#REF!</v>
      </c>
      <c r="CZ42" t="e">
        <f>AND(NhatkyBan!#REF!,"AAAAACd5v2c=")</f>
        <v>#REF!</v>
      </c>
      <c r="DA42" t="e">
        <f>AND(NhatkyBan!#REF!,"AAAAACd5v2g=")</f>
        <v>#REF!</v>
      </c>
      <c r="DB42" t="e">
        <f>IF(NhatkyBan!#REF!,"AAAAACd5v2k=",0)</f>
        <v>#REF!</v>
      </c>
      <c r="DC42" t="e">
        <f>AND(NhatkyBan!#REF!,"AAAAACd5v2o=")</f>
        <v>#REF!</v>
      </c>
      <c r="DD42" t="e">
        <f>AND(NhatkyBan!#REF!,"AAAAACd5v2s=")</f>
        <v>#REF!</v>
      </c>
      <c r="DE42" t="e">
        <f>AND(NhatkyBan!#REF!,"AAAAACd5v2w=")</f>
        <v>#REF!</v>
      </c>
      <c r="DF42" t="e">
        <f>AND(NhatkyBan!#REF!,"AAAAACd5v20=")</f>
        <v>#REF!</v>
      </c>
      <c r="DG42" t="e">
        <f>AND(NhatkyBan!#REF!,"AAAAACd5v24=")</f>
        <v>#REF!</v>
      </c>
      <c r="DH42" t="e">
        <f>AND(NhatkyBan!#REF!,"AAAAACd5v28=")</f>
        <v>#REF!</v>
      </c>
      <c r="DI42" t="e">
        <f>AND(NhatkyBan!#REF!,"AAAAACd5v3A=")</f>
        <v>#REF!</v>
      </c>
      <c r="DJ42" t="e">
        <f>AND(NhatkyBan!#REF!,"AAAAACd5v3E=")</f>
        <v>#REF!</v>
      </c>
      <c r="DK42" t="e">
        <f>AND(NhatkyBan!#REF!,"AAAAACd5v3I=")</f>
        <v>#REF!</v>
      </c>
      <c r="DL42" t="e">
        <f>AND(NhatkyBan!#REF!,"AAAAACd5v3M=")</f>
        <v>#REF!</v>
      </c>
      <c r="DM42" t="e">
        <f>AND(NhatkyBan!#REF!,"AAAAACd5v3Q=")</f>
        <v>#REF!</v>
      </c>
      <c r="DN42" t="e">
        <f>AND(NhatkyBan!#REF!,"AAAAACd5v3U=")</f>
        <v>#REF!</v>
      </c>
      <c r="DO42" t="e">
        <f>AND(NhatkyBan!#REF!,"AAAAACd5v3Y=")</f>
        <v>#REF!</v>
      </c>
      <c r="DP42" t="e">
        <f>AND(NhatkyBan!#REF!,"AAAAACd5v3c=")</f>
        <v>#REF!</v>
      </c>
      <c r="DQ42" t="e">
        <f>AND(NhatkyBan!#REF!,"AAAAACd5v3g=")</f>
        <v>#REF!</v>
      </c>
      <c r="DR42" t="e">
        <f>AND(NhatkyBan!#REF!,"AAAAACd5v3k=")</f>
        <v>#REF!</v>
      </c>
      <c r="DS42" t="e">
        <f>AND(NhatkyBan!#REF!,"AAAAACd5v3o=")</f>
        <v>#REF!</v>
      </c>
      <c r="DT42" t="e">
        <f>AND(NhatkyBan!#REF!,"AAAAACd5v3s=")</f>
        <v>#REF!</v>
      </c>
      <c r="DU42" t="e">
        <f>AND(NhatkyBan!#REF!,"AAAAACd5v3w=")</f>
        <v>#REF!</v>
      </c>
      <c r="DV42" t="e">
        <f>AND(NhatkyBan!#REF!,"AAAAACd5v30=")</f>
        <v>#REF!</v>
      </c>
      <c r="DW42" t="e">
        <f>AND(NhatkyBan!#REF!,"AAAAACd5v34=")</f>
        <v>#REF!</v>
      </c>
      <c r="DX42" t="e">
        <f>AND(NhatkyBan!#REF!,"AAAAACd5v38=")</f>
        <v>#REF!</v>
      </c>
      <c r="DY42" t="e">
        <f>AND(NhatkyBan!#REF!,"AAAAACd5v4A=")</f>
        <v>#REF!</v>
      </c>
      <c r="DZ42" t="e">
        <f>AND(NhatkyBan!#REF!,"AAAAACd5v4E=")</f>
        <v>#REF!</v>
      </c>
      <c r="EA42" t="e">
        <f>AND(NhatkyBan!#REF!,"AAAAACd5v4I=")</f>
        <v>#REF!</v>
      </c>
      <c r="EB42" t="e">
        <f>AND(NhatkyBan!#REF!,"AAAAACd5v4M=")</f>
        <v>#REF!</v>
      </c>
      <c r="EC42" t="e">
        <f>AND(NhatkyBan!#REF!,"AAAAACd5v4Q=")</f>
        <v>#REF!</v>
      </c>
      <c r="ED42" t="e">
        <f>AND(NhatkyBan!#REF!,"AAAAACd5v4U=")</f>
        <v>#REF!</v>
      </c>
      <c r="EE42" t="e">
        <f>AND(NhatkyBan!#REF!,"AAAAACd5v4Y=")</f>
        <v>#REF!</v>
      </c>
      <c r="EF42" t="e">
        <f>AND(NhatkyBan!#REF!,"AAAAACd5v4c=")</f>
        <v>#REF!</v>
      </c>
      <c r="EG42" t="e">
        <f>AND(NhatkyBan!#REF!,"AAAAACd5v4g=")</f>
        <v>#REF!</v>
      </c>
      <c r="EH42" t="e">
        <f>AND(NhatkyBan!#REF!,"AAAAACd5v4k=")</f>
        <v>#REF!</v>
      </c>
      <c r="EI42" t="e">
        <f>AND(NhatkyBan!#REF!,"AAAAACd5v4o=")</f>
        <v>#REF!</v>
      </c>
      <c r="EJ42" t="e">
        <f>AND(NhatkyBan!#REF!,"AAAAACd5v4s=")</f>
        <v>#REF!</v>
      </c>
      <c r="EK42">
        <f>IF(DSSP!186:186,"AAAAACd5v4w=",0)</f>
        <v>0</v>
      </c>
      <c r="EL42" t="e">
        <f>AND(DSSP!A186,"AAAAACd5v40=")</f>
        <v>#VALUE!</v>
      </c>
      <c r="EM42" t="e">
        <f>AND(DSSP!B186,"AAAAACd5v44=")</f>
        <v>#VALUE!</v>
      </c>
      <c r="EN42" t="e">
        <f>AND(DSSP!C186,"AAAAACd5v48=")</f>
        <v>#VALUE!</v>
      </c>
      <c r="EO42">
        <f>IF(DSSP!187:187,"AAAAACd5v5A=",0)</f>
        <v>0</v>
      </c>
      <c r="EP42" t="e">
        <f>AND(DSSP!A187,"AAAAACd5v5E=")</f>
        <v>#VALUE!</v>
      </c>
      <c r="EQ42" t="e">
        <f>AND(DSSP!B187,"AAAAACd5v5I=")</f>
        <v>#VALUE!</v>
      </c>
      <c r="ER42" t="e">
        <f>AND(DSSP!C187,"AAAAACd5v5M=")</f>
        <v>#VALUE!</v>
      </c>
      <c r="ES42">
        <f>IF(DSSP!188:188,"AAAAACd5v5Q=",0)</f>
        <v>0</v>
      </c>
      <c r="ET42" t="e">
        <f>AND(DSSP!A188,"AAAAACd5v5U=")</f>
        <v>#VALUE!</v>
      </c>
      <c r="EU42" t="e">
        <f>AND(DSSP!B188,"AAAAACd5v5Y=")</f>
        <v>#VALUE!</v>
      </c>
      <c r="EV42" t="e">
        <f>AND(DSSP!C188,"AAAAACd5v5c=")</f>
        <v>#VALUE!</v>
      </c>
      <c r="EW42">
        <f>IF(DSSP!189:189,"AAAAACd5v5g=",0)</f>
        <v>0</v>
      </c>
      <c r="EX42" t="e">
        <f>AND(DSSP!A189,"AAAAACd5v5k=")</f>
        <v>#VALUE!</v>
      </c>
      <c r="EY42" t="e">
        <f>AND(DSSP!B189,"AAAAACd5v5o=")</f>
        <v>#VALUE!</v>
      </c>
      <c r="EZ42" t="e">
        <f>AND(DSSP!C189,"AAAAACd5v5s=")</f>
        <v>#VALUE!</v>
      </c>
      <c r="FA42">
        <f>IF(DSSP!190:190,"AAAAACd5v5w=",0)</f>
        <v>0</v>
      </c>
      <c r="FB42" t="e">
        <f>AND(DSSP!A190,"AAAAACd5v50=")</f>
        <v>#VALUE!</v>
      </c>
      <c r="FC42" t="e">
        <f>AND(DSSP!B190,"AAAAACd5v54=")</f>
        <v>#VALUE!</v>
      </c>
      <c r="FD42" t="e">
        <f>AND(DSSP!C190,"AAAAACd5v58=")</f>
        <v>#VALUE!</v>
      </c>
      <c r="FE42">
        <f>IF(DSSP!191:191,"AAAAACd5v6A=",0)</f>
        <v>0</v>
      </c>
      <c r="FF42" t="e">
        <f>AND(DSSP!A191,"AAAAACd5v6E=")</f>
        <v>#VALUE!</v>
      </c>
      <c r="FG42" t="e">
        <f>AND(DSSP!B191,"AAAAACd5v6I=")</f>
        <v>#VALUE!</v>
      </c>
      <c r="FH42" t="e">
        <f>AND(DSSP!C191,"AAAAACd5v6M=")</f>
        <v>#VALUE!</v>
      </c>
      <c r="FI42">
        <f>IF(DSSP!192:192,"AAAAACd5v6Q=",0)</f>
        <v>0</v>
      </c>
      <c r="FJ42" t="e">
        <f>AND(DSSP!A192,"AAAAACd5v6U=")</f>
        <v>#VALUE!</v>
      </c>
      <c r="FK42" t="e">
        <f>AND(DSSP!B192,"AAAAACd5v6Y=")</f>
        <v>#VALUE!</v>
      </c>
      <c r="FL42" t="e">
        <f>AND(DSSP!C192,"AAAAACd5v6c=")</f>
        <v>#VALUE!</v>
      </c>
      <c r="FM42">
        <f>IF(DSSP!193:193,"AAAAACd5v6g=",0)</f>
        <v>0</v>
      </c>
      <c r="FN42" t="e">
        <f>AND(DSSP!A193,"AAAAACd5v6k=")</f>
        <v>#VALUE!</v>
      </c>
      <c r="FO42" t="e">
        <f>AND(DSSP!B193,"AAAAACd5v6o=")</f>
        <v>#VALUE!</v>
      </c>
      <c r="FP42" t="e">
        <f>AND(DSSP!C193,"AAAAACd5v6s=")</f>
        <v>#VALUE!</v>
      </c>
      <c r="FQ42">
        <f>IF(DSSP!194:194,"AAAAACd5v6w=",0)</f>
        <v>0</v>
      </c>
      <c r="FR42" t="e">
        <f>AND(DSSP!A194,"AAAAACd5v60=")</f>
        <v>#VALUE!</v>
      </c>
      <c r="FS42" t="e">
        <f>AND(DSSP!B194,"AAAAACd5v64=")</f>
        <v>#VALUE!</v>
      </c>
      <c r="FT42" t="e">
        <f>AND(DSSP!C194,"AAAAACd5v68=")</f>
        <v>#VALUE!</v>
      </c>
      <c r="FU42">
        <f>IF(DSSP!195:195,"AAAAACd5v7A=",0)</f>
        <v>0</v>
      </c>
      <c r="FV42" t="e">
        <f>AND(DSSP!A195,"AAAAACd5v7E=")</f>
        <v>#VALUE!</v>
      </c>
      <c r="FW42" t="e">
        <f>AND(DSSP!B195,"AAAAACd5v7I=")</f>
        <v>#VALUE!</v>
      </c>
      <c r="FX42" t="e">
        <f>AND(DSSP!C195,"AAAAACd5v7M=")</f>
        <v>#VALUE!</v>
      </c>
      <c r="FY42">
        <f>IF(DSSP!196:196,"AAAAACd5v7Q=",0)</f>
        <v>0</v>
      </c>
      <c r="FZ42" t="e">
        <f>AND(DSSP!A196,"AAAAACd5v7U=")</f>
        <v>#VALUE!</v>
      </c>
      <c r="GA42" t="e">
        <f>AND(DSSP!B196,"AAAAACd5v7Y=")</f>
        <v>#VALUE!</v>
      </c>
      <c r="GB42" t="e">
        <f>AND(DSSP!C196,"AAAAACd5v7c=")</f>
        <v>#VALUE!</v>
      </c>
      <c r="GC42">
        <f>IF(DSSP!197:197,"AAAAACd5v7g=",0)</f>
        <v>0</v>
      </c>
      <c r="GD42" t="e">
        <f>AND(DSSP!A197,"AAAAACd5v7k=")</f>
        <v>#VALUE!</v>
      </c>
      <c r="GE42" t="e">
        <f>AND(DSSP!B197,"AAAAACd5v7o=")</f>
        <v>#VALUE!</v>
      </c>
      <c r="GF42" t="e">
        <f>AND(DSSP!C197,"AAAAACd5v7s=")</f>
        <v>#VALUE!</v>
      </c>
      <c r="GG42">
        <f>IF(DSSP!198:198,"AAAAACd5v7w=",0)</f>
        <v>0</v>
      </c>
      <c r="GH42" t="e">
        <f>AND(DSSP!A198,"AAAAACd5v70=")</f>
        <v>#VALUE!</v>
      </c>
      <c r="GI42" t="e">
        <f>AND(DSSP!B198,"AAAAACd5v74=")</f>
        <v>#VALUE!</v>
      </c>
      <c r="GJ42" t="e">
        <f>AND(DSSP!C198,"AAAAACd5v78=")</f>
        <v>#VALUE!</v>
      </c>
      <c r="GK42">
        <f>IF(DSSP!250:250,"AAAAACd5v8A=",0)</f>
        <v>0</v>
      </c>
      <c r="GL42" t="e">
        <f>AND(DSSP!A250,"AAAAACd5v8E=")</f>
        <v>#VALUE!</v>
      </c>
      <c r="GM42" t="e">
        <f>AND(DSSP!B250,"AAAAACd5v8I=")</f>
        <v>#VALUE!</v>
      </c>
      <c r="GN42" t="e">
        <f>AND(DSSP!C250,"AAAAACd5v8M=")</f>
        <v>#VALUE!</v>
      </c>
      <c r="GO42">
        <f>IF(DSSP!251:251,"AAAAACd5v8Q=",0)</f>
        <v>0</v>
      </c>
      <c r="GP42" t="e">
        <f>AND(DSSP!A251,"AAAAACd5v8U=")</f>
        <v>#VALUE!</v>
      </c>
      <c r="GQ42" t="e">
        <f>AND(DSSP!B251,"AAAAACd5v8Y=")</f>
        <v>#VALUE!</v>
      </c>
      <c r="GR42" t="e">
        <f>AND(DSSP!C251,"AAAAACd5v8c=")</f>
        <v>#VALUE!</v>
      </c>
      <c r="GS42">
        <f>IF(DSSP!252:252,"AAAAACd5v8g=",0)</f>
        <v>0</v>
      </c>
      <c r="GT42" t="e">
        <f>AND(DSSP!A252,"AAAAACd5v8k=")</f>
        <v>#VALUE!</v>
      </c>
      <c r="GU42" t="e">
        <f>AND(DSSP!B252,"AAAAACd5v8o=")</f>
        <v>#VALUE!</v>
      </c>
      <c r="GV42" t="e">
        <f>AND(DSSP!C252,"AAAAACd5v8s=")</f>
        <v>#VALUE!</v>
      </c>
      <c r="GW42">
        <f>IF(DSSP!253:253,"AAAAACd5v8w=",0)</f>
        <v>0</v>
      </c>
      <c r="GX42" t="e">
        <f>AND(DSSP!A253,"AAAAACd5v80=")</f>
        <v>#VALUE!</v>
      </c>
      <c r="GY42" t="e">
        <f>AND(DSSP!B253,"AAAAACd5v84=")</f>
        <v>#VALUE!</v>
      </c>
      <c r="GZ42" t="e">
        <f>AND(DSSP!C253,"AAAAACd5v88=")</f>
        <v>#VALUE!</v>
      </c>
      <c r="HA42">
        <f>IF(DSSP!254:254,"AAAAACd5v9A=",0)</f>
        <v>0</v>
      </c>
      <c r="HB42" t="e">
        <f>AND(DSSP!A254,"AAAAACd5v9E=")</f>
        <v>#VALUE!</v>
      </c>
      <c r="HC42" t="e">
        <f>AND(DSSP!B254,"AAAAACd5v9I=")</f>
        <v>#VALUE!</v>
      </c>
      <c r="HD42" t="e">
        <f>AND(DSSP!C254,"AAAAACd5v9M=")</f>
        <v>#VALUE!</v>
      </c>
    </row>
    <row r="43" spans="1:256">
      <c r="A43" t="e">
        <f>AND(#REF!,"AAAAAFt5dwA=")</f>
        <v>#REF!</v>
      </c>
      <c r="B43" t="e">
        <f>AND(#REF!,"AAAAAFt5dwE=")</f>
        <v>#REF!</v>
      </c>
      <c r="C43" t="e">
        <f>AND(#REF!,"AAAAAFt5dwI=")</f>
        <v>#REF!</v>
      </c>
      <c r="D43" t="e">
        <f>AND(#REF!,"AAAAAFt5dwM=")</f>
        <v>#REF!</v>
      </c>
      <c r="E43" t="e">
        <f>AND(#REF!,"AAAAAFt5dwQ=")</f>
        <v>#REF!</v>
      </c>
      <c r="F43" t="e">
        <f>AND(#REF!,"AAAAAFt5dwU=")</f>
        <v>#REF!</v>
      </c>
      <c r="G43" t="e">
        <f>AND(#REF!,"AAAAAFt5dwY=")</f>
        <v>#REF!</v>
      </c>
      <c r="H43" t="e">
        <f>AND(#REF!,"AAAAAFt5dwc=")</f>
        <v>#REF!</v>
      </c>
      <c r="I43" t="e">
        <f>AND(#REF!,"AAAAAFt5dwg=")</f>
        <v>#REF!</v>
      </c>
      <c r="J43" t="e">
        <f>AND(#REF!,"AAAAAFt5dwk=")</f>
        <v>#REF!</v>
      </c>
      <c r="K43" t="e">
        <f>AND(#REF!,"AAAAAFt5dwo=")</f>
        <v>#REF!</v>
      </c>
      <c r="L43" t="e">
        <f>AND(#REF!,"AAAAAFt5dws=")</f>
        <v>#REF!</v>
      </c>
      <c r="M43" t="e">
        <f>AND(#REF!,"AAAAAFt5dww=")</f>
        <v>#REF!</v>
      </c>
      <c r="N43" t="e">
        <f>AND(#REF!,"AAAAAFt5dw0=")</f>
        <v>#REF!</v>
      </c>
      <c r="O43" t="e">
        <f>AND(#REF!,"AAAAAFt5dw4=")</f>
        <v>#REF!</v>
      </c>
      <c r="P43" t="e">
        <f>AND(#REF!,"AAAAAFt5dw8=")</f>
        <v>#REF!</v>
      </c>
      <c r="Q43" t="e">
        <f>AND(#REF!,"AAAAAFt5dxA=")</f>
        <v>#REF!</v>
      </c>
      <c r="R43" t="e">
        <f>AND(#REF!,"AAAAAFt5dxE=")</f>
        <v>#REF!</v>
      </c>
      <c r="S43" t="e">
        <f>AND(#REF!,"AAAAAFt5dxI=")</f>
        <v>#REF!</v>
      </c>
      <c r="T43" t="e">
        <f>AND(#REF!,"AAAAAFt5dxM=")</f>
        <v>#REF!</v>
      </c>
      <c r="U43" t="e">
        <f>AND(#REF!,"AAAAAFt5dxQ=")</f>
        <v>#REF!</v>
      </c>
      <c r="V43" t="e">
        <f>AND(#REF!,"AAAAAFt5dxU=")</f>
        <v>#REF!</v>
      </c>
      <c r="W43" t="e">
        <f>AND(#REF!,"AAAAAFt5dxY=")</f>
        <v>#REF!</v>
      </c>
      <c r="X43" t="e">
        <f>AND(#REF!,"AAAAAFt5dxc=")</f>
        <v>#REF!</v>
      </c>
      <c r="Y43" t="e">
        <f>AND(#REF!,"AAAAAFt5dxg=")</f>
        <v>#REF!</v>
      </c>
      <c r="Z43" t="e">
        <f>AND(#REF!,"AAAAAFt5dxk=")</f>
        <v>#REF!</v>
      </c>
      <c r="AA43" t="e">
        <f>AND(#REF!,"AAAAAFt5dxo=")</f>
        <v>#REF!</v>
      </c>
      <c r="AB43" t="e">
        <f>AND(#REF!,"AAAAAFt5dxs=")</f>
        <v>#REF!</v>
      </c>
      <c r="AC43" t="e">
        <f>AND(#REF!,"AAAAAFt5dxw=")</f>
        <v>#REF!</v>
      </c>
      <c r="AD43" t="e">
        <f>AND(#REF!,"AAAAAFt5dx0=")</f>
        <v>#REF!</v>
      </c>
      <c r="AE43" t="e">
        <f>AND(#REF!,"AAAAAFt5dx4=")</f>
        <v>#REF!</v>
      </c>
      <c r="AF43" t="e">
        <f>AND(#REF!,"AAAAAFt5dx8=")</f>
        <v>#REF!</v>
      </c>
      <c r="AG43" t="e">
        <f>AND(#REF!,"AAAAAFt5dyA=")</f>
        <v>#REF!</v>
      </c>
      <c r="AH43" t="e">
        <f>AND(#REF!,"AAAAAFt5dyE=")</f>
        <v>#REF!</v>
      </c>
      <c r="AI43" t="e">
        <f>AND(#REF!,"AAAAAFt5dyI=")</f>
        <v>#REF!</v>
      </c>
      <c r="AJ43" t="e">
        <f>AND(#REF!,"AAAAAFt5dyM=")</f>
        <v>#REF!</v>
      </c>
      <c r="AK43" t="e">
        <f>AND(#REF!,"AAAAAFt5dyQ=")</f>
        <v>#REF!</v>
      </c>
      <c r="AL43" t="e">
        <f>AND(#REF!,"AAAAAFt5dyU=")</f>
        <v>#REF!</v>
      </c>
      <c r="AM43" t="e">
        <f>AND(#REF!,"AAAAAFt5dyY=")</f>
        <v>#REF!</v>
      </c>
      <c r="AN43" t="e">
        <f>AND(#REF!,"AAAAAFt5dyc=")</f>
        <v>#REF!</v>
      </c>
      <c r="AO43" t="e">
        <f>AND(#REF!,"AAAAAFt5dyg=")</f>
        <v>#REF!</v>
      </c>
      <c r="AP43" t="e">
        <f>AND(#REF!,"AAAAAFt5dyk=")</f>
        <v>#REF!</v>
      </c>
      <c r="AQ43" t="e">
        <f>AND(#REF!,"AAAAAFt5dyo=")</f>
        <v>#REF!</v>
      </c>
      <c r="AR43" t="e">
        <f>AND(#REF!,"AAAAAFt5dys=")</f>
        <v>#REF!</v>
      </c>
      <c r="AS43" t="e">
        <f>AND(#REF!,"AAAAAFt5dyw=")</f>
        <v>#REF!</v>
      </c>
      <c r="AT43" t="e">
        <f>AND(#REF!,"AAAAAFt5dy0=")</f>
        <v>#REF!</v>
      </c>
      <c r="AU43" t="e">
        <f>AND(#REF!,"AAAAAFt5dy4=")</f>
        <v>#REF!</v>
      </c>
      <c r="AV43" t="e">
        <f>AND(#REF!,"AAAAAFt5dy8=")</f>
        <v>#REF!</v>
      </c>
      <c r="AW43" t="e">
        <f>AND(#REF!,"AAAAAFt5dzA=")</f>
        <v>#REF!</v>
      </c>
      <c r="AX43" t="e">
        <f>AND(#REF!,"AAAAAFt5dzE=")</f>
        <v>#REF!</v>
      </c>
      <c r="AY43" t="e">
        <f>AND(#REF!,"AAAAAFt5dzI=")</f>
        <v>#REF!</v>
      </c>
      <c r="AZ43" t="e">
        <f>AND(#REF!,"AAAAAFt5dzM=")</f>
        <v>#REF!</v>
      </c>
      <c r="BA43" t="e">
        <f>AND(#REF!,"AAAAAFt5dzQ=")</f>
        <v>#REF!</v>
      </c>
      <c r="BB43" t="e">
        <f>AND(#REF!,"AAAAAFt5dzU=")</f>
        <v>#REF!</v>
      </c>
      <c r="BC43" t="e">
        <f>AND(#REF!,"AAAAAFt5dzY=")</f>
        <v>#REF!</v>
      </c>
      <c r="BD43" t="e">
        <f>AND(#REF!,"AAAAAFt5dzc=")</f>
        <v>#REF!</v>
      </c>
      <c r="BE43" t="e">
        <f>AND(#REF!,"AAAAAFt5dzg=")</f>
        <v>#REF!</v>
      </c>
      <c r="BF43" t="e">
        <f>AND(#REF!,"AAAAAFt5dzk=")</f>
        <v>#REF!</v>
      </c>
      <c r="BG43" t="e">
        <f>AND(#REF!,"AAAAAFt5dzo=")</f>
        <v>#REF!</v>
      </c>
      <c r="BH43" t="e">
        <f>AND(#REF!,"AAAAAFt5dzs=")</f>
        <v>#REF!</v>
      </c>
      <c r="BI43" t="e">
        <f>AND(#REF!,"AAAAAFt5dzw=")</f>
        <v>#REF!</v>
      </c>
      <c r="BJ43" t="e">
        <f>AND(#REF!,"AAAAAFt5dz0=")</f>
        <v>#REF!</v>
      </c>
      <c r="BK43" t="e">
        <f>AND(#REF!,"AAAAAFt5dz4=")</f>
        <v>#REF!</v>
      </c>
      <c r="BL43" t="e">
        <f>AND(#REF!,"AAAAAFt5dz8=")</f>
        <v>#REF!</v>
      </c>
      <c r="BM43" t="e">
        <f>AND(#REF!,"AAAAAFt5d0A=")</f>
        <v>#REF!</v>
      </c>
      <c r="BN43" t="e">
        <f>AND(#REF!,"AAAAAFt5d0E=")</f>
        <v>#REF!</v>
      </c>
      <c r="BO43" t="e">
        <f>AND(#REF!,"AAAAAFt5d0I=")</f>
        <v>#REF!</v>
      </c>
      <c r="BP43" t="e">
        <f>AND(#REF!,"AAAAAFt5d0M=")</f>
        <v>#REF!</v>
      </c>
      <c r="BQ43" t="e">
        <f>AND(#REF!,"AAAAAFt5d0Q=")</f>
        <v>#REF!</v>
      </c>
      <c r="BR43" t="e">
        <f>AND(#REF!,"AAAAAFt5d0U=")</f>
        <v>#REF!</v>
      </c>
      <c r="BS43" t="e">
        <f>AND(#REF!,"AAAAAFt5d0Y=")</f>
        <v>#REF!</v>
      </c>
      <c r="BT43" t="e">
        <f>AND(#REF!,"AAAAAFt5d0c=")</f>
        <v>#REF!</v>
      </c>
      <c r="BU43" t="e">
        <f>AND(#REF!,"AAAAAFt5d0g=")</f>
        <v>#REF!</v>
      </c>
      <c r="BV43" t="e">
        <f>AND(#REF!,"AAAAAFt5d0k=")</f>
        <v>#REF!</v>
      </c>
      <c r="BW43" t="e">
        <f>AND(#REF!,"AAAAAFt5d0o=")</f>
        <v>#REF!</v>
      </c>
      <c r="BX43" t="e">
        <f>AND(#REF!,"AAAAAFt5d0s=")</f>
        <v>#REF!</v>
      </c>
      <c r="BY43" t="e">
        <f>AND(#REF!,"AAAAAFt5d0w=")</f>
        <v>#REF!</v>
      </c>
      <c r="BZ43" t="e">
        <f>AND(#REF!,"AAAAAFt5d00=")</f>
        <v>#REF!</v>
      </c>
      <c r="CA43" t="e">
        <f>AND(#REF!,"AAAAAFt5d04=")</f>
        <v>#REF!</v>
      </c>
      <c r="CB43" t="e">
        <f>AND(#REF!,"AAAAAFt5d08=")</f>
        <v>#REF!</v>
      </c>
      <c r="CC43" t="e">
        <f>AND(#REF!,"AAAAAFt5d1A=")</f>
        <v>#REF!</v>
      </c>
      <c r="CD43" t="e">
        <f>AND(#REF!,"AAAAAFt5d1E=")</f>
        <v>#REF!</v>
      </c>
      <c r="CE43" t="e">
        <f>AND(#REF!,"AAAAAFt5d1I=")</f>
        <v>#REF!</v>
      </c>
      <c r="CF43" t="e">
        <f>AND(#REF!,"AAAAAFt5d1M=")</f>
        <v>#REF!</v>
      </c>
      <c r="CG43" t="e">
        <f>AND(#REF!,"AAAAAFt5d1Q=")</f>
        <v>#REF!</v>
      </c>
      <c r="CH43" t="e">
        <f>AND(#REF!,"AAAAAFt5d1U=")</f>
        <v>#REF!</v>
      </c>
      <c r="CI43" t="e">
        <f>AND(#REF!,"AAAAAFt5d1Y=")</f>
        <v>#REF!</v>
      </c>
      <c r="CJ43" t="e">
        <f>AND(#REF!,"AAAAAFt5d1c=")</f>
        <v>#REF!</v>
      </c>
      <c r="CK43" t="e">
        <f>AND(#REF!,"AAAAAFt5d1g=")</f>
        <v>#REF!</v>
      </c>
      <c r="CL43" t="e">
        <f>AND(#REF!,"AAAAAFt5d1k=")</f>
        <v>#REF!</v>
      </c>
      <c r="CM43" t="e">
        <f>AND(#REF!,"AAAAAFt5d1o=")</f>
        <v>#REF!</v>
      </c>
      <c r="CN43" t="e">
        <f>AND(#REF!,"AAAAAFt5d1s=")</f>
        <v>#REF!</v>
      </c>
      <c r="CO43" t="e">
        <f>AND(#REF!,"AAAAAFt5d1w=")</f>
        <v>#REF!</v>
      </c>
      <c r="CP43" t="e">
        <f>AND(#REF!,"AAAAAFt5d10=")</f>
        <v>#REF!</v>
      </c>
      <c r="CQ43" t="e">
        <f>AND(#REF!,"AAAAAFt5d14=")</f>
        <v>#REF!</v>
      </c>
      <c r="CR43" t="e">
        <f>AND(#REF!,"AAAAAFt5d18=")</f>
        <v>#REF!</v>
      </c>
      <c r="CS43" t="e">
        <f>AND(#REF!,"AAAAAFt5d2A=")</f>
        <v>#REF!</v>
      </c>
      <c r="CT43" t="e">
        <f>AND(#REF!,"AAAAAFt5d2E=")</f>
        <v>#REF!</v>
      </c>
      <c r="CU43" t="e">
        <f>AND(#REF!,"AAAAAFt5d2I=")</f>
        <v>#REF!</v>
      </c>
      <c r="CV43" t="e">
        <f>AND(#REF!,"AAAAAFt5d2M=")</f>
        <v>#REF!</v>
      </c>
      <c r="CW43" t="e">
        <f>AND(#REF!,"AAAAAFt5d2Q=")</f>
        <v>#REF!</v>
      </c>
      <c r="CX43" t="e">
        <f>AND(#REF!,"AAAAAFt5d2U=")</f>
        <v>#REF!</v>
      </c>
      <c r="CY43" t="e">
        <f>AND(#REF!,"AAAAAFt5d2Y=")</f>
        <v>#REF!</v>
      </c>
      <c r="CZ43" t="e">
        <f>AND(#REF!,"AAAAAFt5d2c=")</f>
        <v>#REF!</v>
      </c>
      <c r="DA43" t="e">
        <f>AND(#REF!,"AAAAAFt5d2g=")</f>
        <v>#REF!</v>
      </c>
      <c r="DB43" t="e">
        <f>AND(#REF!,"AAAAAFt5d2k=")</f>
        <v>#REF!</v>
      </c>
      <c r="DC43" t="e">
        <f>AND(#REF!,"AAAAAFt5d2o=")</f>
        <v>#REF!</v>
      </c>
      <c r="DD43" t="e">
        <f>AND(#REF!,"AAAAAFt5d2s=")</f>
        <v>#REF!</v>
      </c>
      <c r="DE43" t="e">
        <f>AND(#REF!,"AAAAAFt5d2w=")</f>
        <v>#REF!</v>
      </c>
      <c r="DF43" t="e">
        <f>AND(#REF!,"AAAAAFt5d20=")</f>
        <v>#REF!</v>
      </c>
      <c r="DG43" t="e">
        <f>AND(#REF!,"AAAAAFt5d24=")</f>
        <v>#REF!</v>
      </c>
      <c r="DH43" t="e">
        <f>AND(#REF!,"AAAAAFt5d28=")</f>
        <v>#REF!</v>
      </c>
      <c r="DI43" t="e">
        <f>AND(#REF!,"AAAAAFt5d3A=")</f>
        <v>#REF!</v>
      </c>
      <c r="DJ43" t="e">
        <f>AND(#REF!,"AAAAAFt5d3E=")</f>
        <v>#REF!</v>
      </c>
      <c r="DK43" t="e">
        <f>AND(#REF!,"AAAAAFt5d3I=")</f>
        <v>#REF!</v>
      </c>
      <c r="DL43" t="e">
        <f>AND(#REF!,"AAAAAFt5d3M=")</f>
        <v>#REF!</v>
      </c>
      <c r="DM43" t="e">
        <f>AND(#REF!,"AAAAAFt5d3Q=")</f>
        <v>#REF!</v>
      </c>
      <c r="DN43" t="e">
        <f>AND(NhatkyNhap!B1,"AAAAAFt5d3U=")</f>
        <v>#VALUE!</v>
      </c>
      <c r="DO43" t="e">
        <f>AND(NhatkyNhap!C1,"AAAAAFt5d3Y=")</f>
        <v>#VALUE!</v>
      </c>
      <c r="DP43" t="e">
        <f>AND(NhatkyNhap!D1,"AAAAAFt5d3c=")</f>
        <v>#VALUE!</v>
      </c>
      <c r="DQ43" t="e">
        <f>AND(NhatkyNhap!E1,"AAAAAFt5d3g=")</f>
        <v>#VALUE!</v>
      </c>
      <c r="DR43" t="e">
        <f>AND(NhatkyNhap!F1,"AAAAAFt5d3k=")</f>
        <v>#VALUE!</v>
      </c>
      <c r="DS43" t="e">
        <f>AND(NhatkyNhap!G1,"AAAAAFt5d3o=")</f>
        <v>#VALUE!</v>
      </c>
      <c r="DT43" t="e">
        <f>AND(NhatkyNhap!H1,"AAAAAFt5d3s=")</f>
        <v>#VALUE!</v>
      </c>
      <c r="DU43" t="e">
        <f>AND(NhatkyNhap!I1,"AAAAAFt5d3w=")</f>
        <v>#VALUE!</v>
      </c>
      <c r="DV43" t="e">
        <f>AND(NhatkyNhap!J1,"AAAAAFt5d30=")</f>
        <v>#VALUE!</v>
      </c>
      <c r="DW43" t="e">
        <f>AND(NhatkyNhap!K1,"AAAAAFt5d34=")</f>
        <v>#VALUE!</v>
      </c>
      <c r="DX43" t="e">
        <f>AND(NhatkyNhap!L1,"AAAAAFt5d38=")</f>
        <v>#VALUE!</v>
      </c>
      <c r="DY43" t="e">
        <f>AND(NhatkyNhap!M1,"AAAAAFt5d4A=")</f>
        <v>#VALUE!</v>
      </c>
      <c r="DZ43" t="e">
        <f>AND(NhatkyNhap!N1,"AAAAAFt5d4E=")</f>
        <v>#VALUE!</v>
      </c>
      <c r="EA43" t="e">
        <f>AND(NhatkyNhap!O1,"AAAAAFt5d4I=")</f>
        <v>#VALUE!</v>
      </c>
      <c r="EB43" t="e">
        <f>AND(NhatkyNhap!P1,"AAAAAFt5d4M=")</f>
        <v>#VALUE!</v>
      </c>
      <c r="EC43" t="e">
        <f>AND(NhatkyNhap!Q1,"AAAAAFt5d4Q=")</f>
        <v>#VALUE!</v>
      </c>
      <c r="ED43" t="e">
        <f>AND(NhatkyNhap!R1,"AAAAAFt5d4U=")</f>
        <v>#VALUE!</v>
      </c>
      <c r="EE43" t="e">
        <f>AND(NhatkyNhap!S1,"AAAAAFt5d4Y=")</f>
        <v>#VALUE!</v>
      </c>
      <c r="EF43" t="e">
        <f>AND(NhatkyNhap!T1,"AAAAAFt5d4c=")</f>
        <v>#VALUE!</v>
      </c>
      <c r="EG43" t="e">
        <f>AND(NhatkyNhap!U1,"AAAAAFt5d4g=")</f>
        <v>#VALUE!</v>
      </c>
      <c r="EH43" t="e">
        <f>AND(NhatkyNhap!V1,"AAAAAFt5d4k=")</f>
        <v>#VALUE!</v>
      </c>
      <c r="EI43" t="e">
        <f>AND(NhatkyNhap!W1,"AAAAAFt5d4o=")</f>
        <v>#VALUE!</v>
      </c>
      <c r="EJ43" t="e">
        <f>AND(NhatkyNhap!X1,"AAAAAFt5d4s=")</f>
        <v>#VALUE!</v>
      </c>
      <c r="EK43" t="e">
        <f>AND(NhatkyNhap!Y1,"AAAAAFt5d4w=")</f>
        <v>#VALUE!</v>
      </c>
      <c r="EL43" t="e">
        <f>AND(NhatkyNhap!Z1,"AAAAAFt5d40=")</f>
        <v>#VALUE!</v>
      </c>
      <c r="EM43" t="e">
        <f>AND(NhatkyNhap!AA1,"AAAAAFt5d44=")</f>
        <v>#VALUE!</v>
      </c>
      <c r="EN43" t="e">
        <f>AND(NhatkyNhap!AB1,"AAAAAFt5d48=")</f>
        <v>#VALUE!</v>
      </c>
      <c r="EO43" t="e">
        <f>AND(NhatkyNhap!AC1,"AAAAAFt5d5A=")</f>
        <v>#VALUE!</v>
      </c>
      <c r="EP43" t="e">
        <f>AND(NhatkyNhap!AD1,"AAAAAFt5d5E=")</f>
        <v>#VALUE!</v>
      </c>
      <c r="EQ43" t="e">
        <f>AND(NhatkyNhap!AE1,"AAAAAFt5d5I=")</f>
        <v>#VALUE!</v>
      </c>
      <c r="ER43" t="e">
        <f>AND(NhatkyNhap!AF1,"AAAAAFt5d5M=")</f>
        <v>#VALUE!</v>
      </c>
      <c r="ES43" t="e">
        <f>AND(NhatkyNhap!AG1,"AAAAAFt5d5Q=")</f>
        <v>#VALUE!</v>
      </c>
      <c r="ET43" t="e">
        <f>AND(NhatkyNhap!AH1,"AAAAAFt5d5U=")</f>
        <v>#VALUE!</v>
      </c>
      <c r="EU43">
        <f>IF(NhatkyNhap!2:2,"AAAAAFt5d5Y=",0)</f>
        <v>0</v>
      </c>
      <c r="EV43" t="e">
        <f>AND(NhatkyNhap!A2,"AAAAAFt5d5c=")</f>
        <v>#VALUE!</v>
      </c>
      <c r="EW43" t="e">
        <f>AND(NhatkyNhap!B2,"AAAAAFt5d5g=")</f>
        <v>#VALUE!</v>
      </c>
      <c r="EX43" t="e">
        <f>AND(NhatkyNhap!C2,"AAAAAFt5d5k=")</f>
        <v>#VALUE!</v>
      </c>
      <c r="EY43" t="e">
        <f>AND(NhatkyNhap!D2,"AAAAAFt5d5o=")</f>
        <v>#VALUE!</v>
      </c>
      <c r="EZ43" t="e">
        <f>AND(NhatkyNhap!E2,"AAAAAFt5d5s=")</f>
        <v>#VALUE!</v>
      </c>
      <c r="FA43" t="e">
        <f>AND(NhatkyNhap!F2,"AAAAAFt5d5w=")</f>
        <v>#VALUE!</v>
      </c>
      <c r="FB43" t="e">
        <f>AND(NhatkyNhap!G2,"AAAAAFt5d50=")</f>
        <v>#VALUE!</v>
      </c>
      <c r="FC43" t="e">
        <f>AND(NhatkyNhap!H2,"AAAAAFt5d54=")</f>
        <v>#VALUE!</v>
      </c>
      <c r="FD43" t="e">
        <f>AND(NhatkyNhap!I2,"AAAAAFt5d58=")</f>
        <v>#VALUE!</v>
      </c>
      <c r="FE43" t="e">
        <f>AND(NhatkyNhap!J2,"AAAAAFt5d6A=")</f>
        <v>#VALUE!</v>
      </c>
      <c r="FF43" t="e">
        <f>AND(NhatkyNhap!K2,"AAAAAFt5d6E=")</f>
        <v>#VALUE!</v>
      </c>
      <c r="FG43" t="e">
        <f>AND(NhatkyNhap!L2,"AAAAAFt5d6I=")</f>
        <v>#VALUE!</v>
      </c>
      <c r="FH43" t="e">
        <f>AND(NhatkyNhap!M2,"AAAAAFt5d6M=")</f>
        <v>#VALUE!</v>
      </c>
      <c r="FI43" t="e">
        <f>AND(NhatkyNhap!N2,"AAAAAFt5d6Q=")</f>
        <v>#VALUE!</v>
      </c>
      <c r="FJ43" t="e">
        <f>AND(NhatkyNhap!O2,"AAAAAFt5d6U=")</f>
        <v>#VALUE!</v>
      </c>
      <c r="FK43" t="e">
        <f>AND(NhatkyNhap!P2,"AAAAAFt5d6Y=")</f>
        <v>#VALUE!</v>
      </c>
      <c r="FL43" t="e">
        <f>AND(NhatkyNhap!Q2,"AAAAAFt5d6c=")</f>
        <v>#VALUE!</v>
      </c>
      <c r="FM43" t="e">
        <f>AND(NhatkyNhap!R2,"AAAAAFt5d6g=")</f>
        <v>#VALUE!</v>
      </c>
      <c r="FN43" t="e">
        <f>AND(NhatkyNhap!S2,"AAAAAFt5d6k=")</f>
        <v>#VALUE!</v>
      </c>
      <c r="FO43" t="e">
        <f>AND(NhatkyNhap!T2,"AAAAAFt5d6o=")</f>
        <v>#VALUE!</v>
      </c>
      <c r="FP43" t="e">
        <f>AND(NhatkyNhap!U2,"AAAAAFt5d6s=")</f>
        <v>#VALUE!</v>
      </c>
      <c r="FQ43" t="e">
        <f>AND(NhatkyNhap!V2,"AAAAAFt5d6w=")</f>
        <v>#VALUE!</v>
      </c>
      <c r="FR43" t="e">
        <f>AND(NhatkyNhap!W2,"AAAAAFt5d60=")</f>
        <v>#VALUE!</v>
      </c>
      <c r="FS43" t="e">
        <f>AND(NhatkyNhap!X2,"AAAAAFt5d64=")</f>
        <v>#VALUE!</v>
      </c>
      <c r="FT43" t="e">
        <f>AND(NhatkyNhap!Y2,"AAAAAFt5d68=")</f>
        <v>#VALUE!</v>
      </c>
      <c r="FU43" t="e">
        <f>AND(NhatkyNhap!Z2,"AAAAAFt5d7A=")</f>
        <v>#VALUE!</v>
      </c>
      <c r="FV43" t="e">
        <f>AND(NhatkyNhap!AA2,"AAAAAFt5d7E=")</f>
        <v>#VALUE!</v>
      </c>
      <c r="FW43" t="e">
        <f>AND(NhatkyNhap!AB2,"AAAAAFt5d7I=")</f>
        <v>#VALUE!</v>
      </c>
      <c r="FX43" t="e">
        <f>AND(NhatkyNhap!AC2,"AAAAAFt5d7M=")</f>
        <v>#VALUE!</v>
      </c>
      <c r="FY43" t="e">
        <f>AND(NhatkyNhap!AD2,"AAAAAFt5d7Q=")</f>
        <v>#VALUE!</v>
      </c>
      <c r="FZ43" t="e">
        <f>AND(NhatkyNhap!AE2,"AAAAAFt5d7U=")</f>
        <v>#VALUE!</v>
      </c>
      <c r="GA43" t="e">
        <f>AND(NhatkyNhap!AF2,"AAAAAFt5d7Y=")</f>
        <v>#VALUE!</v>
      </c>
      <c r="GB43" t="e">
        <f>AND(NhatkyNhap!AG2,"AAAAAFt5d7c=")</f>
        <v>#VALUE!</v>
      </c>
      <c r="GC43" t="e">
        <f>AND(NhatkyNhap!AH2,"AAAAAFt5d7g=")</f>
        <v>#VALUE!</v>
      </c>
      <c r="GD43">
        <f>IF(NhatkyNhap!3:3,"AAAAAFt5d7k=",0)</f>
        <v>0</v>
      </c>
      <c r="GE43" t="e">
        <f>AND(NhatkyNhap!A3,"AAAAAFt5d7o=")</f>
        <v>#VALUE!</v>
      </c>
      <c r="GF43" t="e">
        <f>AND(NhatkyNhap!B3,"AAAAAFt5d7s=")</f>
        <v>#VALUE!</v>
      </c>
      <c r="GG43" t="e">
        <f>AND(NhatkyNhap!C3,"AAAAAFt5d7w=")</f>
        <v>#VALUE!</v>
      </c>
      <c r="GH43" t="e">
        <f>AND(NhatkyNhap!D3,"AAAAAFt5d70=")</f>
        <v>#VALUE!</v>
      </c>
      <c r="GI43" t="e">
        <f>AND(NhatkyNhap!E3,"AAAAAFt5d74=")</f>
        <v>#VALUE!</v>
      </c>
      <c r="GJ43" t="e">
        <f>AND(NhatkyNhap!F3,"AAAAAFt5d78=")</f>
        <v>#VALUE!</v>
      </c>
      <c r="GK43" t="e">
        <f>AND(NhatkyNhap!G3,"AAAAAFt5d8A=")</f>
        <v>#VALUE!</v>
      </c>
      <c r="GL43" t="e">
        <f>AND(NhatkyNhap!H3,"AAAAAFt5d8E=")</f>
        <v>#VALUE!</v>
      </c>
      <c r="GM43" t="e">
        <f>AND(NhatkyNhap!I3,"AAAAAFt5d8I=")</f>
        <v>#VALUE!</v>
      </c>
      <c r="GN43" t="e">
        <f>AND(NhatkyNhap!J3,"AAAAAFt5d8M=")</f>
        <v>#VALUE!</v>
      </c>
      <c r="GO43" t="e">
        <f>AND(NhatkyNhap!K3,"AAAAAFt5d8Q=")</f>
        <v>#VALUE!</v>
      </c>
      <c r="GP43" t="e">
        <f>AND(NhatkyNhap!L3,"AAAAAFt5d8U=")</f>
        <v>#VALUE!</v>
      </c>
      <c r="GQ43" t="e">
        <f>AND(NhatkyNhap!M3,"AAAAAFt5d8Y=")</f>
        <v>#VALUE!</v>
      </c>
      <c r="GR43" t="e">
        <f>AND(NhatkyNhap!N3,"AAAAAFt5d8c=")</f>
        <v>#VALUE!</v>
      </c>
      <c r="GS43" t="e">
        <f>AND(NhatkyNhap!O3,"AAAAAFt5d8g=")</f>
        <v>#VALUE!</v>
      </c>
      <c r="GT43" t="e">
        <f>AND(NhatkyNhap!P3,"AAAAAFt5d8k=")</f>
        <v>#VALUE!</v>
      </c>
      <c r="GU43" t="e">
        <f>AND(NhatkyNhap!Q3,"AAAAAFt5d8o=")</f>
        <v>#VALUE!</v>
      </c>
      <c r="GV43" t="e">
        <f>AND(NhatkyNhap!R3,"AAAAAFt5d8s=")</f>
        <v>#VALUE!</v>
      </c>
      <c r="GW43" t="e">
        <f>AND(NhatkyNhap!S3,"AAAAAFt5d8w=")</f>
        <v>#VALUE!</v>
      </c>
      <c r="GX43" t="e">
        <f>AND(NhatkyNhap!T3,"AAAAAFt5d80=")</f>
        <v>#VALUE!</v>
      </c>
      <c r="GY43" t="e">
        <f>AND(NhatkyNhap!U3,"AAAAAFt5d84=")</f>
        <v>#VALUE!</v>
      </c>
      <c r="GZ43" t="e">
        <f>AND(NhatkyNhap!V3,"AAAAAFt5d88=")</f>
        <v>#VALUE!</v>
      </c>
      <c r="HA43" t="e">
        <f>AND(NhatkyNhap!W3,"AAAAAFt5d9A=")</f>
        <v>#VALUE!</v>
      </c>
      <c r="HB43" t="e">
        <f>AND(NhatkyNhap!X3,"AAAAAFt5d9E=")</f>
        <v>#VALUE!</v>
      </c>
      <c r="HC43" t="e">
        <f>AND(NhatkyNhap!Y3,"AAAAAFt5d9I=")</f>
        <v>#VALUE!</v>
      </c>
      <c r="HD43" t="e">
        <f>AND(NhatkyNhap!Z3,"AAAAAFt5d9M=")</f>
        <v>#VALUE!</v>
      </c>
      <c r="HE43" t="e">
        <f>AND(NhatkyNhap!AA3,"AAAAAFt5d9Q=")</f>
        <v>#VALUE!</v>
      </c>
      <c r="HF43" t="e">
        <f>AND(NhatkyNhap!AB3,"AAAAAFt5d9U=")</f>
        <v>#VALUE!</v>
      </c>
      <c r="HG43" t="e">
        <f>AND(NhatkyNhap!AC3,"AAAAAFt5d9Y=")</f>
        <v>#VALUE!</v>
      </c>
      <c r="HH43" t="e">
        <f>AND(NhatkyNhap!AD3,"AAAAAFt5d9c=")</f>
        <v>#VALUE!</v>
      </c>
      <c r="HI43" t="e">
        <f>AND(NhatkyNhap!AE3,"AAAAAFt5d9g=")</f>
        <v>#VALUE!</v>
      </c>
      <c r="HJ43" t="e">
        <f>AND(NhatkyNhap!AF3,"AAAAAFt5d9k=")</f>
        <v>#VALUE!</v>
      </c>
      <c r="HK43" t="e">
        <f>AND(NhatkyNhap!AG3,"AAAAAFt5d9o=")</f>
        <v>#VALUE!</v>
      </c>
      <c r="HL43" t="e">
        <f>AND(NhatkyNhap!AH3,"AAAAAFt5d9s=")</f>
        <v>#VALUE!</v>
      </c>
      <c r="HM43" t="e">
        <f>IF(NhatkyNhap!#REF!,"AAAAAFt5d9w=",0)</f>
        <v>#REF!</v>
      </c>
      <c r="HN43" t="e">
        <f>AND(NhatkyNhap!#REF!,"AAAAAFt5d90=")</f>
        <v>#REF!</v>
      </c>
      <c r="HO43" t="e">
        <f>AND(NhatkyNhap!#REF!,"AAAAAFt5d94=")</f>
        <v>#REF!</v>
      </c>
      <c r="HP43" t="e">
        <f>AND(NhatkyNhap!#REF!,"AAAAAFt5d98=")</f>
        <v>#REF!</v>
      </c>
      <c r="HQ43" t="e">
        <f>AND(NhatkyNhap!#REF!,"AAAAAFt5d+A=")</f>
        <v>#REF!</v>
      </c>
      <c r="HR43" t="e">
        <f>AND(NhatkyNhap!#REF!,"AAAAAFt5d+E=")</f>
        <v>#REF!</v>
      </c>
      <c r="HS43" t="e">
        <f>AND(NhatkyNhap!#REF!,"AAAAAFt5d+I=")</f>
        <v>#REF!</v>
      </c>
      <c r="HT43" t="e">
        <f>AND(NhatkyNhap!#REF!,"AAAAAFt5d+M=")</f>
        <v>#REF!</v>
      </c>
      <c r="HU43" t="e">
        <f>AND(NhatkyNhap!#REF!,"AAAAAFt5d+Q=")</f>
        <v>#REF!</v>
      </c>
      <c r="HV43" t="e">
        <f>AND(NhatkyNhap!#REF!,"AAAAAFt5d+U=")</f>
        <v>#REF!</v>
      </c>
      <c r="HW43" t="e">
        <f>AND(NhatkyNhap!#REF!,"AAAAAFt5d+Y=")</f>
        <v>#REF!</v>
      </c>
      <c r="HX43" t="e">
        <f>AND(NhatkyNhap!#REF!,"AAAAAFt5d+c=")</f>
        <v>#REF!</v>
      </c>
      <c r="HY43" t="e">
        <f>AND(NhatkyNhap!#REF!,"AAAAAFt5d+g=")</f>
        <v>#REF!</v>
      </c>
      <c r="HZ43" t="e">
        <f>AND(NhatkyNhap!#REF!,"AAAAAFt5d+k=")</f>
        <v>#REF!</v>
      </c>
      <c r="IA43" t="e">
        <f>AND(NhatkyNhap!#REF!,"AAAAAFt5d+o=")</f>
        <v>#REF!</v>
      </c>
      <c r="IB43" t="e">
        <f>AND(NhatkyNhap!#REF!,"AAAAAFt5d+s=")</f>
        <v>#REF!</v>
      </c>
      <c r="IC43" t="e">
        <f>AND(NhatkyNhap!#REF!,"AAAAAFt5d+w=")</f>
        <v>#REF!</v>
      </c>
      <c r="ID43" t="e">
        <f>AND(NhatkyNhap!#REF!,"AAAAAFt5d+0=")</f>
        <v>#REF!</v>
      </c>
      <c r="IE43" t="e">
        <f>AND(NhatkyNhap!#REF!,"AAAAAFt5d+4=")</f>
        <v>#REF!</v>
      </c>
      <c r="IF43" t="e">
        <f>AND(NhatkyNhap!#REF!,"AAAAAFt5d+8=")</f>
        <v>#REF!</v>
      </c>
      <c r="IG43" t="e">
        <f>AND(NhatkyNhap!#REF!,"AAAAAFt5d/A=")</f>
        <v>#REF!</v>
      </c>
      <c r="IH43" t="e">
        <f>AND(NhatkyNhap!#REF!,"AAAAAFt5d/E=")</f>
        <v>#REF!</v>
      </c>
      <c r="II43" t="e">
        <f>AND(NhatkyNhap!#REF!,"AAAAAFt5d/I=")</f>
        <v>#REF!</v>
      </c>
      <c r="IJ43" t="e">
        <f>AND(NhatkyNhap!#REF!,"AAAAAFt5d/M=")</f>
        <v>#REF!</v>
      </c>
      <c r="IK43" t="e">
        <f>AND(NhatkyNhap!#REF!,"AAAAAFt5d/Q=")</f>
        <v>#REF!</v>
      </c>
      <c r="IL43" t="e">
        <f>AND(NhatkyNhap!#REF!,"AAAAAFt5d/U=")</f>
        <v>#REF!</v>
      </c>
      <c r="IM43" t="e">
        <f>AND(NhatkyNhap!#REF!,"AAAAAFt5d/Y=")</f>
        <v>#REF!</v>
      </c>
      <c r="IN43" t="e">
        <f>AND(NhatkyNhap!#REF!,"AAAAAFt5d/c=")</f>
        <v>#REF!</v>
      </c>
      <c r="IO43" t="e">
        <f>AND(NhatkyNhap!#REF!,"AAAAAFt5d/g=")</f>
        <v>#REF!</v>
      </c>
      <c r="IP43" t="e">
        <f>AND(NhatkyNhap!#REF!,"AAAAAFt5d/k=")</f>
        <v>#REF!</v>
      </c>
      <c r="IQ43" t="e">
        <f>AND(NhatkyNhap!#REF!,"AAAAAFt5d/o=")</f>
        <v>#REF!</v>
      </c>
      <c r="IR43" t="e">
        <f>AND(NhatkyNhap!#REF!,"AAAAAFt5d/s=")</f>
        <v>#REF!</v>
      </c>
      <c r="IS43" t="e">
        <f>AND(NhatkyNhap!#REF!,"AAAAAFt5d/w=")</f>
        <v>#REF!</v>
      </c>
      <c r="IT43" t="e">
        <f>AND(NhatkyNhap!#REF!,"AAAAAFt5d/0=")</f>
        <v>#REF!</v>
      </c>
      <c r="IU43" t="e">
        <f>AND(NhatkyNhap!#REF!,"AAAAAFt5d/4=")</f>
        <v>#REF!</v>
      </c>
      <c r="IV43" t="e">
        <f>IF(NhatkyNhap!#REF!,"AAAAAFt5d/8=",0)</f>
        <v>#REF!</v>
      </c>
    </row>
    <row r="44" spans="1:256">
      <c r="A44" t="e">
        <f>AND(NhatkyNhap!#REF!,"AAAAAE2f3wA=")</f>
        <v>#REF!</v>
      </c>
      <c r="B44" t="e">
        <f>AND(NhatkyNhap!#REF!,"AAAAAE2f3wE=")</f>
        <v>#REF!</v>
      </c>
      <c r="C44" t="e">
        <f>AND(NhatkyNhap!#REF!,"AAAAAE2f3wI=")</f>
        <v>#REF!</v>
      </c>
      <c r="D44" t="e">
        <f>AND(NhatkyNhap!#REF!,"AAAAAE2f3wM=")</f>
        <v>#REF!</v>
      </c>
      <c r="E44" t="e">
        <f>AND(NhatkyNhap!#REF!,"AAAAAE2f3wQ=")</f>
        <v>#REF!</v>
      </c>
      <c r="F44" t="e">
        <f>AND(NhatkyNhap!#REF!,"AAAAAE2f3wU=")</f>
        <v>#REF!</v>
      </c>
      <c r="G44" t="e">
        <f>AND(NhatkyNhap!#REF!,"AAAAAE2f3wY=")</f>
        <v>#REF!</v>
      </c>
      <c r="H44" t="e">
        <f>AND(NhatkyNhap!#REF!,"AAAAAE2f3wc=")</f>
        <v>#REF!</v>
      </c>
      <c r="I44" t="e">
        <f>AND(NhatkyNhap!#REF!,"AAAAAE2f3wg=")</f>
        <v>#REF!</v>
      </c>
      <c r="J44" t="e">
        <f>AND(NhatkyNhap!#REF!,"AAAAAE2f3wk=")</f>
        <v>#REF!</v>
      </c>
      <c r="K44" t="e">
        <f>AND(NhatkyNhap!#REF!,"AAAAAE2f3wo=")</f>
        <v>#REF!</v>
      </c>
      <c r="L44" t="e">
        <f>AND(NhatkyNhap!#REF!,"AAAAAE2f3ws=")</f>
        <v>#REF!</v>
      </c>
      <c r="M44" t="e">
        <f>AND(NhatkyNhap!#REF!,"AAAAAE2f3ww=")</f>
        <v>#REF!</v>
      </c>
      <c r="N44" t="e">
        <f>AND(NhatkyNhap!#REF!,"AAAAAE2f3w0=")</f>
        <v>#REF!</v>
      </c>
      <c r="O44" t="e">
        <f>AND(NhatkyNhap!#REF!,"AAAAAE2f3w4=")</f>
        <v>#REF!</v>
      </c>
      <c r="P44" t="e">
        <f>AND(NhatkyNhap!#REF!,"AAAAAE2f3w8=")</f>
        <v>#REF!</v>
      </c>
      <c r="Q44" t="e">
        <f>AND(NhatkyNhap!#REF!,"AAAAAE2f3xA=")</f>
        <v>#REF!</v>
      </c>
      <c r="R44" t="e">
        <f>AND(NhatkyNhap!#REF!,"AAAAAE2f3xE=")</f>
        <v>#REF!</v>
      </c>
      <c r="S44" t="e">
        <f>AND(NhatkyNhap!#REF!,"AAAAAE2f3xI=")</f>
        <v>#REF!</v>
      </c>
      <c r="T44" t="e">
        <f>AND(NhatkyNhap!#REF!,"AAAAAE2f3xM=")</f>
        <v>#REF!</v>
      </c>
      <c r="U44" t="e">
        <f>AND(NhatkyNhap!#REF!,"AAAAAE2f3xQ=")</f>
        <v>#REF!</v>
      </c>
      <c r="V44" t="e">
        <f>AND(NhatkyNhap!#REF!,"AAAAAE2f3xU=")</f>
        <v>#REF!</v>
      </c>
      <c r="W44" t="e">
        <f>AND(NhatkyNhap!#REF!,"AAAAAE2f3xY=")</f>
        <v>#REF!</v>
      </c>
      <c r="X44" t="e">
        <f>AND(NhatkyNhap!#REF!,"AAAAAE2f3xc=")</f>
        <v>#REF!</v>
      </c>
      <c r="Y44" t="e">
        <f>AND(NhatkyNhap!#REF!,"AAAAAE2f3xg=")</f>
        <v>#REF!</v>
      </c>
      <c r="Z44" t="e">
        <f>AND(NhatkyNhap!#REF!,"AAAAAE2f3xk=")</f>
        <v>#REF!</v>
      </c>
      <c r="AA44" t="e">
        <f>AND(NhatkyNhap!#REF!,"AAAAAE2f3xo=")</f>
        <v>#REF!</v>
      </c>
      <c r="AB44" t="e">
        <f>AND(NhatkyNhap!#REF!,"AAAAAE2f3xs=")</f>
        <v>#REF!</v>
      </c>
      <c r="AC44" t="e">
        <f>AND(NhatkyNhap!#REF!,"AAAAAE2f3xw=")</f>
        <v>#REF!</v>
      </c>
      <c r="AD44" t="e">
        <f>AND(NhatkyNhap!#REF!,"AAAAAE2f3x0=")</f>
        <v>#REF!</v>
      </c>
      <c r="AE44" t="e">
        <f>AND(NhatkyNhap!#REF!,"AAAAAE2f3x4=")</f>
        <v>#REF!</v>
      </c>
      <c r="AF44" t="e">
        <f>AND(NhatkyNhap!#REF!,"AAAAAE2f3x8=")</f>
        <v>#REF!</v>
      </c>
      <c r="AG44" t="e">
        <f>AND(NhatkyNhap!#REF!,"AAAAAE2f3yA=")</f>
        <v>#REF!</v>
      </c>
      <c r="AH44" t="e">
        <f>AND(NhatkyNhap!#REF!,"AAAAAE2f3yE=")</f>
        <v>#REF!</v>
      </c>
      <c r="AI44" t="e">
        <f>IF(NhatkyNhap!#REF!,"AAAAAE2f3yI=",0)</f>
        <v>#REF!</v>
      </c>
      <c r="AJ44" t="e">
        <f>AND(NhatkyNhap!#REF!,"AAAAAE2f3yM=")</f>
        <v>#REF!</v>
      </c>
      <c r="AK44" t="e">
        <f>AND(NhatkyNhap!#REF!,"AAAAAE2f3yQ=")</f>
        <v>#REF!</v>
      </c>
      <c r="AL44" t="e">
        <f>AND(NhatkyNhap!#REF!,"AAAAAE2f3yU=")</f>
        <v>#REF!</v>
      </c>
      <c r="AM44" t="e">
        <f>AND(NhatkyNhap!#REF!,"AAAAAE2f3yY=")</f>
        <v>#REF!</v>
      </c>
      <c r="AN44" t="e">
        <f>AND(NhatkyNhap!#REF!,"AAAAAE2f3yc=")</f>
        <v>#REF!</v>
      </c>
      <c r="AO44" t="e">
        <f>AND(NhatkyNhap!#REF!,"AAAAAE2f3yg=")</f>
        <v>#REF!</v>
      </c>
      <c r="AP44" t="e">
        <f>AND(NhatkyNhap!#REF!,"AAAAAE2f3yk=")</f>
        <v>#REF!</v>
      </c>
      <c r="AQ44" t="e">
        <f>AND(NhatkyNhap!#REF!,"AAAAAE2f3yo=")</f>
        <v>#REF!</v>
      </c>
      <c r="AR44" t="e">
        <f>AND(NhatkyNhap!#REF!,"AAAAAE2f3ys=")</f>
        <v>#REF!</v>
      </c>
      <c r="AS44" t="e">
        <f>AND(NhatkyNhap!#REF!,"AAAAAE2f3yw=")</f>
        <v>#REF!</v>
      </c>
      <c r="AT44" t="e">
        <f>AND(NhatkyNhap!#REF!,"AAAAAE2f3y0=")</f>
        <v>#REF!</v>
      </c>
      <c r="AU44" t="e">
        <f>AND(NhatkyNhap!#REF!,"AAAAAE2f3y4=")</f>
        <v>#REF!</v>
      </c>
      <c r="AV44" t="e">
        <f>AND(NhatkyNhap!#REF!,"AAAAAE2f3y8=")</f>
        <v>#REF!</v>
      </c>
      <c r="AW44" t="e">
        <f>AND(NhatkyNhap!#REF!,"AAAAAE2f3zA=")</f>
        <v>#REF!</v>
      </c>
      <c r="AX44" t="e">
        <f>AND(NhatkyNhap!#REF!,"AAAAAE2f3zE=")</f>
        <v>#REF!</v>
      </c>
      <c r="AY44" t="e">
        <f>AND(NhatkyNhap!#REF!,"AAAAAE2f3zI=")</f>
        <v>#REF!</v>
      </c>
      <c r="AZ44" t="e">
        <f>AND(NhatkyNhap!#REF!,"AAAAAE2f3zM=")</f>
        <v>#REF!</v>
      </c>
      <c r="BA44" t="e">
        <f>AND(NhatkyNhap!#REF!,"AAAAAE2f3zQ=")</f>
        <v>#REF!</v>
      </c>
      <c r="BB44" t="e">
        <f>AND(NhatkyNhap!#REF!,"AAAAAE2f3zU=")</f>
        <v>#REF!</v>
      </c>
      <c r="BC44" t="e">
        <f>AND(NhatkyNhap!#REF!,"AAAAAE2f3zY=")</f>
        <v>#REF!</v>
      </c>
      <c r="BD44" t="e">
        <f>AND(NhatkyNhap!#REF!,"AAAAAE2f3zc=")</f>
        <v>#REF!</v>
      </c>
      <c r="BE44" t="e">
        <f>AND(NhatkyNhap!#REF!,"AAAAAE2f3zg=")</f>
        <v>#REF!</v>
      </c>
      <c r="BF44" t="e">
        <f>AND(NhatkyNhap!#REF!,"AAAAAE2f3zk=")</f>
        <v>#REF!</v>
      </c>
      <c r="BG44" t="e">
        <f>AND(NhatkyNhap!#REF!,"AAAAAE2f3zo=")</f>
        <v>#REF!</v>
      </c>
      <c r="BH44" t="e">
        <f>AND(NhatkyNhap!#REF!,"AAAAAE2f3zs=")</f>
        <v>#REF!</v>
      </c>
      <c r="BI44" t="e">
        <f>AND(NhatkyNhap!#REF!,"AAAAAE2f3zw=")</f>
        <v>#REF!</v>
      </c>
      <c r="BJ44" t="e">
        <f>AND(NhatkyNhap!#REF!,"AAAAAE2f3z0=")</f>
        <v>#REF!</v>
      </c>
      <c r="BK44" t="e">
        <f>AND(NhatkyNhap!#REF!,"AAAAAE2f3z4=")</f>
        <v>#REF!</v>
      </c>
      <c r="BL44" t="e">
        <f>AND(NhatkyNhap!#REF!,"AAAAAE2f3z8=")</f>
        <v>#REF!</v>
      </c>
      <c r="BM44" t="e">
        <f>AND(NhatkyNhap!#REF!,"AAAAAE2f30A=")</f>
        <v>#REF!</v>
      </c>
      <c r="BN44" t="e">
        <f>AND(NhatkyNhap!#REF!,"AAAAAE2f30E=")</f>
        <v>#REF!</v>
      </c>
      <c r="BO44" t="e">
        <f>AND(NhatkyNhap!#REF!,"AAAAAE2f30I=")</f>
        <v>#REF!</v>
      </c>
      <c r="BP44" t="e">
        <f>AND(NhatkyNhap!#REF!,"AAAAAE2f30M=")</f>
        <v>#REF!</v>
      </c>
      <c r="BQ44" t="e">
        <f>AND(NhatkyNhap!#REF!,"AAAAAE2f30Q=")</f>
        <v>#REF!</v>
      </c>
      <c r="BR44" t="e">
        <f>IF(NhatkyNhap!#REF!,"AAAAAE2f30U=",0)</f>
        <v>#REF!</v>
      </c>
      <c r="BS44" t="e">
        <f>AND(NhatkyNhap!#REF!,"AAAAAE2f30Y=")</f>
        <v>#REF!</v>
      </c>
      <c r="BT44" t="e">
        <f>AND(NhatkyNhap!#REF!,"AAAAAE2f30c=")</f>
        <v>#REF!</v>
      </c>
      <c r="BU44" t="e">
        <f>AND(NhatkyNhap!#REF!,"AAAAAE2f30g=")</f>
        <v>#REF!</v>
      </c>
      <c r="BV44" t="e">
        <f>AND(NhatkyNhap!#REF!,"AAAAAE2f30k=")</f>
        <v>#REF!</v>
      </c>
      <c r="BW44" t="e">
        <f>AND(NhatkyNhap!#REF!,"AAAAAE2f30o=")</f>
        <v>#REF!</v>
      </c>
      <c r="BX44" t="e">
        <f>AND(NhatkyNhap!#REF!,"AAAAAE2f30s=")</f>
        <v>#REF!</v>
      </c>
      <c r="BY44" t="e">
        <f>AND(NhatkyNhap!#REF!,"AAAAAE2f30w=")</f>
        <v>#REF!</v>
      </c>
      <c r="BZ44" t="e">
        <f>AND(NhatkyNhap!#REF!,"AAAAAE2f300=")</f>
        <v>#REF!</v>
      </c>
      <c r="CA44" t="e">
        <f>AND(NhatkyNhap!#REF!,"AAAAAE2f304=")</f>
        <v>#REF!</v>
      </c>
      <c r="CB44" t="e">
        <f>AND(NhatkyNhap!#REF!,"AAAAAE2f308=")</f>
        <v>#REF!</v>
      </c>
      <c r="CC44" t="e">
        <f>AND(NhatkyNhap!#REF!,"AAAAAE2f31A=")</f>
        <v>#REF!</v>
      </c>
      <c r="CD44" t="e">
        <f>AND(NhatkyNhap!#REF!,"AAAAAE2f31E=")</f>
        <v>#REF!</v>
      </c>
      <c r="CE44" t="e">
        <f>AND(NhatkyNhap!#REF!,"AAAAAE2f31I=")</f>
        <v>#REF!</v>
      </c>
      <c r="CF44" t="e">
        <f>AND(NhatkyNhap!#REF!,"AAAAAE2f31M=")</f>
        <v>#REF!</v>
      </c>
      <c r="CG44" t="e">
        <f>AND(NhatkyNhap!#REF!,"AAAAAE2f31Q=")</f>
        <v>#REF!</v>
      </c>
      <c r="CH44" t="e">
        <f>AND(NhatkyNhap!#REF!,"AAAAAE2f31U=")</f>
        <v>#REF!</v>
      </c>
      <c r="CI44" t="e">
        <f>AND(NhatkyNhap!#REF!,"AAAAAE2f31Y=")</f>
        <v>#REF!</v>
      </c>
      <c r="CJ44" t="e">
        <f>AND(NhatkyNhap!#REF!,"AAAAAE2f31c=")</f>
        <v>#REF!</v>
      </c>
      <c r="CK44" t="e">
        <f>AND(NhatkyNhap!#REF!,"AAAAAE2f31g=")</f>
        <v>#REF!</v>
      </c>
      <c r="CL44" t="e">
        <f>AND(NhatkyNhap!#REF!,"AAAAAE2f31k=")</f>
        <v>#REF!</v>
      </c>
      <c r="CM44" t="e">
        <f>AND(NhatkyNhap!#REF!,"AAAAAE2f31o=")</f>
        <v>#REF!</v>
      </c>
      <c r="CN44" t="e">
        <f>AND(NhatkyNhap!#REF!,"AAAAAE2f31s=")</f>
        <v>#REF!</v>
      </c>
      <c r="CO44" t="e">
        <f>AND(NhatkyNhap!#REF!,"AAAAAE2f31w=")</f>
        <v>#REF!</v>
      </c>
      <c r="CP44" t="e">
        <f>AND(NhatkyNhap!#REF!,"AAAAAE2f310=")</f>
        <v>#REF!</v>
      </c>
      <c r="CQ44" t="e">
        <f>AND(NhatkyNhap!#REF!,"AAAAAE2f314=")</f>
        <v>#REF!</v>
      </c>
      <c r="CR44" t="e">
        <f>AND(NhatkyNhap!#REF!,"AAAAAE2f318=")</f>
        <v>#REF!</v>
      </c>
      <c r="CS44" t="e">
        <f>AND(NhatkyNhap!#REF!,"AAAAAE2f32A=")</f>
        <v>#REF!</v>
      </c>
      <c r="CT44" t="e">
        <f>AND(NhatkyNhap!#REF!,"AAAAAE2f32E=")</f>
        <v>#REF!</v>
      </c>
      <c r="CU44" t="e">
        <f>AND(NhatkyNhap!#REF!,"AAAAAE2f32I=")</f>
        <v>#REF!</v>
      </c>
      <c r="CV44" t="e">
        <f>AND(NhatkyNhap!#REF!,"AAAAAE2f32M=")</f>
        <v>#REF!</v>
      </c>
      <c r="CW44" t="e">
        <f>AND(NhatkyNhap!#REF!,"AAAAAE2f32Q=")</f>
        <v>#REF!</v>
      </c>
      <c r="CX44" t="e">
        <f>AND(NhatkyNhap!#REF!,"AAAAAE2f32U=")</f>
        <v>#REF!</v>
      </c>
      <c r="CY44" t="e">
        <f>AND(NhatkyNhap!#REF!,"AAAAAE2f32Y=")</f>
        <v>#REF!</v>
      </c>
      <c r="CZ44" t="e">
        <f>AND(NhatkyNhap!#REF!,"AAAAAE2f32c=")</f>
        <v>#REF!</v>
      </c>
      <c r="DA44" t="e">
        <f>IF(NhatkyNhap!#REF!,"AAAAAE2f32g=",0)</f>
        <v>#REF!</v>
      </c>
      <c r="DB44" t="e">
        <f>AND(NhatkyNhap!#REF!,"AAAAAE2f32k=")</f>
        <v>#REF!</v>
      </c>
      <c r="DC44" t="e">
        <f>AND(NhatkyNhap!#REF!,"AAAAAE2f32o=")</f>
        <v>#REF!</v>
      </c>
      <c r="DD44" t="e">
        <f>AND(NhatkyNhap!#REF!,"AAAAAE2f32s=")</f>
        <v>#REF!</v>
      </c>
      <c r="DE44" t="e">
        <f>AND(NhatkyNhap!#REF!,"AAAAAE2f32w=")</f>
        <v>#REF!</v>
      </c>
      <c r="DF44" t="e">
        <f>AND(NhatkyNhap!#REF!,"AAAAAE2f320=")</f>
        <v>#REF!</v>
      </c>
      <c r="DG44" t="e">
        <f>AND(NhatkyNhap!#REF!,"AAAAAE2f324=")</f>
        <v>#REF!</v>
      </c>
      <c r="DH44" t="e">
        <f>AND(NhatkyNhap!#REF!,"AAAAAE2f328=")</f>
        <v>#REF!</v>
      </c>
      <c r="DI44" t="e">
        <f>AND(NhatkyNhap!#REF!,"AAAAAE2f33A=")</f>
        <v>#REF!</v>
      </c>
      <c r="DJ44" t="e">
        <f>AND(NhatkyNhap!#REF!,"AAAAAE2f33E=")</f>
        <v>#REF!</v>
      </c>
      <c r="DK44" t="e">
        <f>AND(NhatkyNhap!#REF!,"AAAAAE2f33I=")</f>
        <v>#REF!</v>
      </c>
      <c r="DL44" t="e">
        <f>AND(NhatkyNhap!#REF!,"AAAAAE2f33M=")</f>
        <v>#REF!</v>
      </c>
      <c r="DM44" t="e">
        <f>AND(NhatkyNhap!#REF!,"AAAAAE2f33Q=")</f>
        <v>#REF!</v>
      </c>
      <c r="DN44" t="e">
        <f>AND(NhatkyNhap!#REF!,"AAAAAE2f33U=")</f>
        <v>#REF!</v>
      </c>
      <c r="DO44" t="e">
        <f>AND(NhatkyNhap!#REF!,"AAAAAE2f33Y=")</f>
        <v>#REF!</v>
      </c>
      <c r="DP44" t="e">
        <f>AND(NhatkyNhap!#REF!,"AAAAAE2f33c=")</f>
        <v>#REF!</v>
      </c>
      <c r="DQ44" t="e">
        <f>AND(NhatkyNhap!#REF!,"AAAAAE2f33g=")</f>
        <v>#REF!</v>
      </c>
      <c r="DR44" t="e">
        <f>AND(NhatkyNhap!#REF!,"AAAAAE2f33k=")</f>
        <v>#REF!</v>
      </c>
      <c r="DS44" t="e">
        <f>AND(NhatkyNhap!#REF!,"AAAAAE2f33o=")</f>
        <v>#REF!</v>
      </c>
      <c r="DT44" t="e">
        <f>AND(NhatkyNhap!#REF!,"AAAAAE2f33s=")</f>
        <v>#REF!</v>
      </c>
      <c r="DU44" t="e">
        <f>AND(NhatkyNhap!#REF!,"AAAAAE2f33w=")</f>
        <v>#REF!</v>
      </c>
      <c r="DV44" t="e">
        <f>AND(NhatkyNhap!#REF!,"AAAAAE2f330=")</f>
        <v>#REF!</v>
      </c>
      <c r="DW44" t="e">
        <f>AND(NhatkyNhap!#REF!,"AAAAAE2f334=")</f>
        <v>#REF!</v>
      </c>
      <c r="DX44" t="e">
        <f>AND(NhatkyNhap!#REF!,"AAAAAE2f338=")</f>
        <v>#REF!</v>
      </c>
      <c r="DY44" t="e">
        <f>AND(NhatkyNhap!#REF!,"AAAAAE2f34A=")</f>
        <v>#REF!</v>
      </c>
      <c r="DZ44" t="e">
        <f>AND(NhatkyNhap!#REF!,"AAAAAE2f34E=")</f>
        <v>#REF!</v>
      </c>
      <c r="EA44" t="e">
        <f>AND(NhatkyNhap!#REF!,"AAAAAE2f34I=")</f>
        <v>#REF!</v>
      </c>
      <c r="EB44" t="e">
        <f>AND(NhatkyNhap!#REF!,"AAAAAE2f34M=")</f>
        <v>#REF!</v>
      </c>
      <c r="EC44" t="e">
        <f>AND(NhatkyNhap!#REF!,"AAAAAE2f34Q=")</f>
        <v>#REF!</v>
      </c>
      <c r="ED44" t="e">
        <f>AND(NhatkyNhap!#REF!,"AAAAAE2f34U=")</f>
        <v>#REF!</v>
      </c>
      <c r="EE44" t="e">
        <f>AND(NhatkyNhap!#REF!,"AAAAAE2f34Y=")</f>
        <v>#REF!</v>
      </c>
      <c r="EF44" t="e">
        <f>AND(NhatkyNhap!#REF!,"AAAAAE2f34c=")</f>
        <v>#REF!</v>
      </c>
      <c r="EG44" t="e">
        <f>AND(NhatkyNhap!#REF!,"AAAAAE2f34g=")</f>
        <v>#REF!</v>
      </c>
      <c r="EH44" t="e">
        <f>AND(NhatkyNhap!#REF!,"AAAAAE2f34k=")</f>
        <v>#REF!</v>
      </c>
      <c r="EI44" t="e">
        <f>AND(NhatkyNhap!#REF!,"AAAAAE2f34o=")</f>
        <v>#REF!</v>
      </c>
      <c r="EJ44" t="e">
        <f>IF(NhatkyNhap!#REF!,"AAAAAE2f34s=",0)</f>
        <v>#REF!</v>
      </c>
      <c r="EK44" t="e">
        <f>AND(NhatkyNhap!#REF!,"AAAAAE2f34w=")</f>
        <v>#REF!</v>
      </c>
      <c r="EL44" t="e">
        <f>AND(NhatkyNhap!#REF!,"AAAAAE2f340=")</f>
        <v>#REF!</v>
      </c>
      <c r="EM44" t="e">
        <f>AND(NhatkyNhap!#REF!,"AAAAAE2f344=")</f>
        <v>#REF!</v>
      </c>
      <c r="EN44" t="e">
        <f>AND(NhatkyNhap!#REF!,"AAAAAE2f348=")</f>
        <v>#REF!</v>
      </c>
      <c r="EO44" t="e">
        <f>AND(NhatkyNhap!#REF!,"AAAAAE2f35A=")</f>
        <v>#REF!</v>
      </c>
      <c r="EP44" t="e">
        <f>AND(NhatkyNhap!#REF!,"AAAAAE2f35E=")</f>
        <v>#REF!</v>
      </c>
      <c r="EQ44" t="e">
        <f>AND(NhatkyNhap!#REF!,"AAAAAE2f35I=")</f>
        <v>#REF!</v>
      </c>
      <c r="ER44" t="e">
        <f>AND(NhatkyNhap!#REF!,"AAAAAE2f35M=")</f>
        <v>#REF!</v>
      </c>
      <c r="ES44" t="e">
        <f>AND(NhatkyNhap!#REF!,"AAAAAE2f35Q=")</f>
        <v>#REF!</v>
      </c>
      <c r="ET44" t="e">
        <f>AND(NhatkyNhap!#REF!,"AAAAAE2f35U=")</f>
        <v>#REF!</v>
      </c>
      <c r="EU44" t="e">
        <f>AND(NhatkyNhap!#REF!,"AAAAAE2f35Y=")</f>
        <v>#REF!</v>
      </c>
      <c r="EV44" t="e">
        <f>AND(NhatkyNhap!#REF!,"AAAAAE2f35c=")</f>
        <v>#REF!</v>
      </c>
      <c r="EW44" t="e">
        <f>AND(NhatkyNhap!#REF!,"AAAAAE2f35g=")</f>
        <v>#REF!</v>
      </c>
      <c r="EX44" t="e">
        <f>AND(NhatkyNhap!#REF!,"AAAAAE2f35k=")</f>
        <v>#REF!</v>
      </c>
      <c r="EY44" t="e">
        <f>AND(NhatkyNhap!#REF!,"AAAAAE2f35o=")</f>
        <v>#REF!</v>
      </c>
      <c r="EZ44" t="e">
        <f>AND(NhatkyNhap!#REF!,"AAAAAE2f35s=")</f>
        <v>#REF!</v>
      </c>
      <c r="FA44" t="e">
        <f>AND(NhatkyNhap!#REF!,"AAAAAE2f35w=")</f>
        <v>#REF!</v>
      </c>
      <c r="FB44" t="e">
        <f>AND(NhatkyNhap!#REF!,"AAAAAE2f350=")</f>
        <v>#REF!</v>
      </c>
      <c r="FC44" t="e">
        <f>AND(NhatkyNhap!#REF!,"AAAAAE2f354=")</f>
        <v>#REF!</v>
      </c>
      <c r="FD44" t="e">
        <f>AND(NhatkyNhap!#REF!,"AAAAAE2f358=")</f>
        <v>#REF!</v>
      </c>
      <c r="FE44" t="e">
        <f>AND(NhatkyNhap!#REF!,"AAAAAE2f36A=")</f>
        <v>#REF!</v>
      </c>
      <c r="FF44" t="e">
        <f>AND(NhatkyNhap!#REF!,"AAAAAE2f36E=")</f>
        <v>#REF!</v>
      </c>
      <c r="FG44" t="e">
        <f>AND(NhatkyNhap!#REF!,"AAAAAE2f36I=")</f>
        <v>#REF!</v>
      </c>
      <c r="FH44" t="e">
        <f>AND(NhatkyNhap!#REF!,"AAAAAE2f36M=")</f>
        <v>#REF!</v>
      </c>
      <c r="FI44" t="e">
        <f>AND(NhatkyNhap!#REF!,"AAAAAE2f36Q=")</f>
        <v>#REF!</v>
      </c>
      <c r="FJ44" t="e">
        <f>AND(NhatkyNhap!#REF!,"AAAAAE2f36U=")</f>
        <v>#REF!</v>
      </c>
      <c r="FK44" t="e">
        <f>AND(NhatkyNhap!#REF!,"AAAAAE2f36Y=")</f>
        <v>#REF!</v>
      </c>
      <c r="FL44" t="e">
        <f>AND(NhatkyNhap!#REF!,"AAAAAE2f36c=")</f>
        <v>#REF!</v>
      </c>
      <c r="FM44" t="e">
        <f>AND(NhatkyNhap!#REF!,"AAAAAE2f36g=")</f>
        <v>#REF!</v>
      </c>
      <c r="FN44" t="e">
        <f>AND(NhatkyNhap!#REF!,"AAAAAE2f36k=")</f>
        <v>#REF!</v>
      </c>
      <c r="FO44" t="e">
        <f>AND(NhatkyNhap!#REF!,"AAAAAE2f36o=")</f>
        <v>#REF!</v>
      </c>
      <c r="FP44" t="e">
        <f>AND(NhatkyNhap!#REF!,"AAAAAE2f36s=")</f>
        <v>#REF!</v>
      </c>
      <c r="FQ44" t="e">
        <f>AND(NhatkyNhap!#REF!,"AAAAAE2f36w=")</f>
        <v>#REF!</v>
      </c>
      <c r="FR44" t="e">
        <f>AND(NhatkyNhap!#REF!,"AAAAAE2f360=")</f>
        <v>#REF!</v>
      </c>
      <c r="FS44" t="e">
        <f>IF(NhatkyNhap!#REF!,"AAAAAE2f364=",0)</f>
        <v>#REF!</v>
      </c>
      <c r="FT44" t="e">
        <f>AND(NhatkyNhap!#REF!,"AAAAAE2f368=")</f>
        <v>#REF!</v>
      </c>
      <c r="FU44" t="e">
        <f>AND(NhatkyNhap!#REF!,"AAAAAE2f37A=")</f>
        <v>#REF!</v>
      </c>
      <c r="FV44" t="e">
        <f>AND(NhatkyNhap!#REF!,"AAAAAE2f37E=")</f>
        <v>#REF!</v>
      </c>
      <c r="FW44" t="e">
        <f>AND(NhatkyNhap!#REF!,"AAAAAE2f37I=")</f>
        <v>#REF!</v>
      </c>
      <c r="FX44" t="e">
        <f>AND(NhatkyNhap!#REF!,"AAAAAE2f37M=")</f>
        <v>#REF!</v>
      </c>
      <c r="FY44" t="e">
        <f>AND(NhatkyNhap!#REF!,"AAAAAE2f37Q=")</f>
        <v>#REF!</v>
      </c>
      <c r="FZ44" t="e">
        <f>AND(NhatkyNhap!#REF!,"AAAAAE2f37U=")</f>
        <v>#REF!</v>
      </c>
      <c r="GA44" t="e">
        <f>AND(NhatkyNhap!#REF!,"AAAAAE2f37Y=")</f>
        <v>#REF!</v>
      </c>
      <c r="GB44" t="e">
        <f>AND(NhatkyNhap!#REF!,"AAAAAE2f37c=")</f>
        <v>#REF!</v>
      </c>
      <c r="GC44" t="e">
        <f>AND(NhatkyNhap!#REF!,"AAAAAE2f37g=")</f>
        <v>#REF!</v>
      </c>
      <c r="GD44" t="e">
        <f>AND(NhatkyNhap!#REF!,"AAAAAE2f37k=")</f>
        <v>#REF!</v>
      </c>
      <c r="GE44" t="e">
        <f>AND(NhatkyNhap!#REF!,"AAAAAE2f37o=")</f>
        <v>#REF!</v>
      </c>
      <c r="GF44" t="e">
        <f>AND(NhatkyNhap!#REF!,"AAAAAE2f37s=")</f>
        <v>#REF!</v>
      </c>
      <c r="GG44" t="e">
        <f>AND(NhatkyNhap!#REF!,"AAAAAE2f37w=")</f>
        <v>#REF!</v>
      </c>
      <c r="GH44" t="e">
        <f>AND(NhatkyNhap!#REF!,"AAAAAE2f370=")</f>
        <v>#REF!</v>
      </c>
      <c r="GI44" t="e">
        <f>AND(NhatkyNhap!#REF!,"AAAAAE2f374=")</f>
        <v>#REF!</v>
      </c>
      <c r="GJ44" t="e">
        <f>AND(NhatkyNhap!#REF!,"AAAAAE2f378=")</f>
        <v>#REF!</v>
      </c>
      <c r="GK44" t="e">
        <f>AND(NhatkyNhap!#REF!,"AAAAAE2f38A=")</f>
        <v>#REF!</v>
      </c>
      <c r="GL44" t="e">
        <f>AND(NhatkyNhap!#REF!,"AAAAAE2f38E=")</f>
        <v>#REF!</v>
      </c>
      <c r="GM44" t="e">
        <f>AND(NhatkyNhap!#REF!,"AAAAAE2f38I=")</f>
        <v>#REF!</v>
      </c>
      <c r="GN44" t="e">
        <f>AND(NhatkyNhap!#REF!,"AAAAAE2f38M=")</f>
        <v>#REF!</v>
      </c>
      <c r="GO44" t="e">
        <f>AND(NhatkyNhap!#REF!,"AAAAAE2f38Q=")</f>
        <v>#REF!</v>
      </c>
      <c r="GP44" t="e">
        <f>AND(NhatkyNhap!#REF!,"AAAAAE2f38U=")</f>
        <v>#REF!</v>
      </c>
      <c r="GQ44" t="e">
        <f>AND(NhatkyNhap!#REF!,"AAAAAE2f38Y=")</f>
        <v>#REF!</v>
      </c>
      <c r="GR44" t="e">
        <f>AND(NhatkyNhap!#REF!,"AAAAAE2f38c=")</f>
        <v>#REF!</v>
      </c>
      <c r="GS44" t="e">
        <f>AND(NhatkyNhap!#REF!,"AAAAAE2f38g=")</f>
        <v>#REF!</v>
      </c>
      <c r="GT44" t="e">
        <f>AND(NhatkyNhap!#REF!,"AAAAAE2f38k=")</f>
        <v>#REF!</v>
      </c>
      <c r="GU44" t="e">
        <f>AND(NhatkyNhap!#REF!,"AAAAAE2f38o=")</f>
        <v>#REF!</v>
      </c>
      <c r="GV44" t="e">
        <f>AND(NhatkyNhap!#REF!,"AAAAAE2f38s=")</f>
        <v>#REF!</v>
      </c>
      <c r="GW44" t="e">
        <f>AND(NhatkyNhap!#REF!,"AAAAAE2f38w=")</f>
        <v>#REF!</v>
      </c>
      <c r="GX44" t="e">
        <f>AND(NhatkyNhap!#REF!,"AAAAAE2f380=")</f>
        <v>#REF!</v>
      </c>
      <c r="GY44" t="e">
        <f>AND(NhatkyNhap!#REF!,"AAAAAE2f384=")</f>
        <v>#REF!</v>
      </c>
      <c r="GZ44" t="e">
        <f>AND(NhatkyNhap!#REF!,"AAAAAE2f388=")</f>
        <v>#REF!</v>
      </c>
      <c r="HA44" t="e">
        <f>AND(NhatkyNhap!#REF!,"AAAAAE2f39A=")</f>
        <v>#REF!</v>
      </c>
      <c r="HB44" t="e">
        <f>IF(NhatkyNhap!#REF!,"AAAAAE2f39E=",0)</f>
        <v>#REF!</v>
      </c>
      <c r="HC44" t="e">
        <f>AND(NhatkyNhap!#REF!,"AAAAAE2f39I=")</f>
        <v>#REF!</v>
      </c>
      <c r="HD44" t="e">
        <f>AND(NhatkyNhap!#REF!,"AAAAAE2f39M=")</f>
        <v>#REF!</v>
      </c>
      <c r="HE44" t="e">
        <f>AND(NhatkyNhap!#REF!,"AAAAAE2f39Q=")</f>
        <v>#REF!</v>
      </c>
      <c r="HF44" t="e">
        <f>AND(NhatkyNhap!#REF!,"AAAAAE2f39U=")</f>
        <v>#REF!</v>
      </c>
      <c r="HG44" t="e">
        <f>AND(NhatkyNhap!#REF!,"AAAAAE2f39Y=")</f>
        <v>#REF!</v>
      </c>
      <c r="HH44" t="e">
        <f>AND(NhatkyNhap!#REF!,"AAAAAE2f39c=")</f>
        <v>#REF!</v>
      </c>
      <c r="HI44" t="e">
        <f>AND(NhatkyNhap!#REF!,"AAAAAE2f39g=")</f>
        <v>#REF!</v>
      </c>
      <c r="HJ44" t="e">
        <f>AND(NhatkyNhap!#REF!,"AAAAAE2f39k=")</f>
        <v>#REF!</v>
      </c>
      <c r="HK44" t="e">
        <f>AND(NhatkyNhap!#REF!,"AAAAAE2f39o=")</f>
        <v>#REF!</v>
      </c>
      <c r="HL44" t="e">
        <f>AND(NhatkyNhap!#REF!,"AAAAAE2f39s=")</f>
        <v>#REF!</v>
      </c>
      <c r="HM44" t="e">
        <f>AND(NhatkyNhap!#REF!,"AAAAAE2f39w=")</f>
        <v>#REF!</v>
      </c>
      <c r="HN44" t="e">
        <f>AND(NhatkyNhap!#REF!,"AAAAAE2f390=")</f>
        <v>#REF!</v>
      </c>
      <c r="HO44" t="e">
        <f>AND(NhatkyNhap!#REF!,"AAAAAE2f394=")</f>
        <v>#REF!</v>
      </c>
      <c r="HP44" t="e">
        <f>AND(NhatkyNhap!#REF!,"AAAAAE2f398=")</f>
        <v>#REF!</v>
      </c>
      <c r="HQ44" t="e">
        <f>AND(NhatkyNhap!#REF!,"AAAAAE2f3+A=")</f>
        <v>#REF!</v>
      </c>
      <c r="HR44" t="e">
        <f>AND(NhatkyNhap!#REF!,"AAAAAE2f3+E=")</f>
        <v>#REF!</v>
      </c>
      <c r="HS44" t="e">
        <f>AND(NhatkyNhap!#REF!,"AAAAAE2f3+I=")</f>
        <v>#REF!</v>
      </c>
      <c r="HT44" t="e">
        <f>AND(NhatkyNhap!#REF!,"AAAAAE2f3+M=")</f>
        <v>#REF!</v>
      </c>
      <c r="HU44" t="e">
        <f>AND(NhatkyNhap!#REF!,"AAAAAE2f3+Q=")</f>
        <v>#REF!</v>
      </c>
      <c r="HV44" t="e">
        <f>AND(NhatkyNhap!#REF!,"AAAAAE2f3+U=")</f>
        <v>#REF!</v>
      </c>
      <c r="HW44" t="e">
        <f>AND(NhatkyNhap!#REF!,"AAAAAE2f3+Y=")</f>
        <v>#REF!</v>
      </c>
      <c r="HX44" t="e">
        <f>AND(NhatkyNhap!#REF!,"AAAAAE2f3+c=")</f>
        <v>#REF!</v>
      </c>
      <c r="HY44" t="e">
        <f>AND(NhatkyNhap!#REF!,"AAAAAE2f3+g=")</f>
        <v>#REF!</v>
      </c>
      <c r="HZ44" t="e">
        <f>AND(NhatkyNhap!#REF!,"AAAAAE2f3+k=")</f>
        <v>#REF!</v>
      </c>
      <c r="IA44" t="e">
        <f>AND(NhatkyNhap!#REF!,"AAAAAE2f3+o=")</f>
        <v>#REF!</v>
      </c>
      <c r="IB44" t="e">
        <f>AND(NhatkyNhap!#REF!,"AAAAAE2f3+s=")</f>
        <v>#REF!</v>
      </c>
      <c r="IC44" t="e">
        <f>AND(NhatkyNhap!#REF!,"AAAAAE2f3+w=")</f>
        <v>#REF!</v>
      </c>
      <c r="ID44" t="e">
        <f>AND(NhatkyNhap!#REF!,"AAAAAE2f3+0=")</f>
        <v>#REF!</v>
      </c>
      <c r="IE44" t="e">
        <f>AND(NhatkyNhap!#REF!,"AAAAAE2f3+4=")</f>
        <v>#REF!</v>
      </c>
      <c r="IF44" t="e">
        <f>AND(NhatkyNhap!#REF!,"AAAAAE2f3+8=")</f>
        <v>#REF!</v>
      </c>
      <c r="IG44" t="e">
        <f>AND(NhatkyNhap!#REF!,"AAAAAE2f3/A=")</f>
        <v>#REF!</v>
      </c>
      <c r="IH44" t="e">
        <f>AND(NhatkyNhap!#REF!,"AAAAAE2f3/E=")</f>
        <v>#REF!</v>
      </c>
      <c r="II44" t="e">
        <f>AND(NhatkyNhap!#REF!,"AAAAAE2f3/I=")</f>
        <v>#REF!</v>
      </c>
      <c r="IJ44" t="e">
        <f>AND(NhatkyNhap!#REF!,"AAAAAE2f3/M=")</f>
        <v>#REF!</v>
      </c>
      <c r="IK44" t="e">
        <f>IF(NhatkyNhap!#REF!,"AAAAAE2f3/Q=",0)</f>
        <v>#REF!</v>
      </c>
      <c r="IL44" t="e">
        <f>AND(NhatkyNhap!#REF!,"AAAAAE2f3/U=")</f>
        <v>#REF!</v>
      </c>
      <c r="IM44" t="e">
        <f>AND(NhatkyNhap!#REF!,"AAAAAE2f3/Y=")</f>
        <v>#REF!</v>
      </c>
      <c r="IN44" t="e">
        <f>AND(NhatkyNhap!#REF!,"AAAAAE2f3/c=")</f>
        <v>#REF!</v>
      </c>
      <c r="IO44" t="e">
        <f>AND(NhatkyNhap!#REF!,"AAAAAE2f3/g=")</f>
        <v>#REF!</v>
      </c>
      <c r="IP44" t="e">
        <f>AND(NhatkyNhap!#REF!,"AAAAAE2f3/k=")</f>
        <v>#REF!</v>
      </c>
      <c r="IQ44" t="e">
        <f>AND(NhatkyNhap!#REF!,"AAAAAE2f3/o=")</f>
        <v>#REF!</v>
      </c>
      <c r="IR44" t="e">
        <f>AND(NhatkyNhap!#REF!,"AAAAAE2f3/s=")</f>
        <v>#REF!</v>
      </c>
      <c r="IS44" t="e">
        <f>AND(NhatkyNhap!#REF!,"AAAAAE2f3/w=")</f>
        <v>#REF!</v>
      </c>
      <c r="IT44" t="e">
        <f>AND(NhatkyNhap!#REF!,"AAAAAE2f3/0=")</f>
        <v>#REF!</v>
      </c>
      <c r="IU44" t="e">
        <f>AND(NhatkyNhap!#REF!,"AAAAAE2f3/4=")</f>
        <v>#REF!</v>
      </c>
      <c r="IV44" t="e">
        <f>AND(NhatkyNhap!#REF!,"AAAAAE2f3/8=")</f>
        <v>#REF!</v>
      </c>
    </row>
    <row r="45" spans="1:256">
      <c r="A45" t="e">
        <f>AND(NhatkyNhap!#REF!,"AAAAAHG87wA=")</f>
        <v>#REF!</v>
      </c>
      <c r="B45" t="e">
        <f>AND(NhatkyNhap!#REF!,"AAAAAHG87wE=")</f>
        <v>#REF!</v>
      </c>
      <c r="C45" t="e">
        <f>AND(NhatkyNhap!#REF!,"AAAAAHG87wI=")</f>
        <v>#REF!</v>
      </c>
      <c r="D45" t="e">
        <f>AND(NhatkyNhap!#REF!,"AAAAAHG87wM=")</f>
        <v>#REF!</v>
      </c>
      <c r="E45" t="e">
        <f>AND(NhatkyNhap!#REF!,"AAAAAHG87wQ=")</f>
        <v>#REF!</v>
      </c>
      <c r="F45" t="e">
        <f>AND(NhatkyNhap!#REF!,"AAAAAHG87wU=")</f>
        <v>#REF!</v>
      </c>
      <c r="G45" t="e">
        <f>AND(NhatkyNhap!#REF!,"AAAAAHG87wY=")</f>
        <v>#REF!</v>
      </c>
      <c r="H45" t="e">
        <f>AND(NhatkyNhap!#REF!,"AAAAAHG87wc=")</f>
        <v>#REF!</v>
      </c>
      <c r="I45" t="e">
        <f>AND(NhatkyNhap!#REF!,"AAAAAHG87wg=")</f>
        <v>#REF!</v>
      </c>
      <c r="J45" t="e">
        <f>AND(NhatkyNhap!#REF!,"AAAAAHG87wk=")</f>
        <v>#REF!</v>
      </c>
      <c r="K45" t="e">
        <f>AND(NhatkyNhap!#REF!,"AAAAAHG87wo=")</f>
        <v>#REF!</v>
      </c>
      <c r="L45" t="e">
        <f>AND(NhatkyNhap!#REF!,"AAAAAHG87ws=")</f>
        <v>#REF!</v>
      </c>
      <c r="M45" t="e">
        <f>AND(NhatkyNhap!#REF!,"AAAAAHG87ww=")</f>
        <v>#REF!</v>
      </c>
      <c r="N45" t="e">
        <f>AND(NhatkyNhap!#REF!,"AAAAAHG87w0=")</f>
        <v>#REF!</v>
      </c>
      <c r="O45" t="e">
        <f>AND(NhatkyNhap!#REF!,"AAAAAHG87w4=")</f>
        <v>#REF!</v>
      </c>
      <c r="P45" t="e">
        <f>AND(NhatkyNhap!#REF!,"AAAAAHG87w8=")</f>
        <v>#REF!</v>
      </c>
      <c r="Q45" t="e">
        <f>AND(NhatkyNhap!#REF!,"AAAAAHG87xA=")</f>
        <v>#REF!</v>
      </c>
      <c r="R45" t="e">
        <f>AND(NhatkyNhap!#REF!,"AAAAAHG87xE=")</f>
        <v>#REF!</v>
      </c>
      <c r="S45" t="e">
        <f>AND(NhatkyNhap!#REF!,"AAAAAHG87xI=")</f>
        <v>#REF!</v>
      </c>
      <c r="T45" t="e">
        <f>AND(NhatkyNhap!#REF!,"AAAAAHG87xM=")</f>
        <v>#REF!</v>
      </c>
      <c r="U45" t="e">
        <f>AND(NhatkyNhap!#REF!,"AAAAAHG87xQ=")</f>
        <v>#REF!</v>
      </c>
      <c r="V45" t="e">
        <f>AND(NhatkyNhap!#REF!,"AAAAAHG87xU=")</f>
        <v>#REF!</v>
      </c>
      <c r="W45" t="e">
        <f>AND(NhatkyNhap!#REF!,"AAAAAHG87xY=")</f>
        <v>#REF!</v>
      </c>
      <c r="X45" t="e">
        <f>IF(NhatkyNhap!#REF!,"AAAAAHG87xc=",0)</f>
        <v>#REF!</v>
      </c>
      <c r="Y45" t="e">
        <f>AND(NhatkyNhap!#REF!,"AAAAAHG87xg=")</f>
        <v>#REF!</v>
      </c>
      <c r="Z45" t="e">
        <f>AND(NhatkyNhap!#REF!,"AAAAAHG87xk=")</f>
        <v>#REF!</v>
      </c>
      <c r="AA45" t="e">
        <f>AND(NhatkyNhap!#REF!,"AAAAAHG87xo=")</f>
        <v>#REF!</v>
      </c>
      <c r="AB45" t="e">
        <f>AND(NhatkyNhap!#REF!,"AAAAAHG87xs=")</f>
        <v>#REF!</v>
      </c>
      <c r="AC45" t="e">
        <f>AND(NhatkyNhap!#REF!,"AAAAAHG87xw=")</f>
        <v>#REF!</v>
      </c>
      <c r="AD45" t="e">
        <f>AND(NhatkyNhap!#REF!,"AAAAAHG87x0=")</f>
        <v>#REF!</v>
      </c>
      <c r="AE45" t="e">
        <f>AND(NhatkyNhap!#REF!,"AAAAAHG87x4=")</f>
        <v>#REF!</v>
      </c>
      <c r="AF45" t="e">
        <f>AND(NhatkyNhap!#REF!,"AAAAAHG87x8=")</f>
        <v>#REF!</v>
      </c>
      <c r="AG45" t="e">
        <f>AND(NhatkyNhap!#REF!,"AAAAAHG87yA=")</f>
        <v>#REF!</v>
      </c>
      <c r="AH45" t="e">
        <f>AND(NhatkyNhap!#REF!,"AAAAAHG87yE=")</f>
        <v>#REF!</v>
      </c>
      <c r="AI45" t="e">
        <f>AND(NhatkyNhap!#REF!,"AAAAAHG87yI=")</f>
        <v>#REF!</v>
      </c>
      <c r="AJ45" t="e">
        <f>AND(NhatkyNhap!#REF!,"AAAAAHG87yM=")</f>
        <v>#REF!</v>
      </c>
      <c r="AK45" t="e">
        <f>AND(NhatkyNhap!#REF!,"AAAAAHG87yQ=")</f>
        <v>#REF!</v>
      </c>
      <c r="AL45" t="e">
        <f>AND(NhatkyNhap!#REF!,"AAAAAHG87yU=")</f>
        <v>#REF!</v>
      </c>
      <c r="AM45" t="e">
        <f>AND(NhatkyNhap!#REF!,"AAAAAHG87yY=")</f>
        <v>#REF!</v>
      </c>
      <c r="AN45" t="e">
        <f>AND(NhatkyNhap!#REF!,"AAAAAHG87yc=")</f>
        <v>#REF!</v>
      </c>
      <c r="AO45" t="e">
        <f>AND(NhatkyNhap!#REF!,"AAAAAHG87yg=")</f>
        <v>#REF!</v>
      </c>
      <c r="AP45" t="e">
        <f>AND(NhatkyNhap!#REF!,"AAAAAHG87yk=")</f>
        <v>#REF!</v>
      </c>
      <c r="AQ45" t="e">
        <f>AND(NhatkyNhap!#REF!,"AAAAAHG87yo=")</f>
        <v>#REF!</v>
      </c>
      <c r="AR45" t="e">
        <f>AND(NhatkyNhap!#REF!,"AAAAAHG87ys=")</f>
        <v>#REF!</v>
      </c>
      <c r="AS45" t="e">
        <f>AND(NhatkyNhap!#REF!,"AAAAAHG87yw=")</f>
        <v>#REF!</v>
      </c>
      <c r="AT45" t="e">
        <f>AND(NhatkyNhap!#REF!,"AAAAAHG87y0=")</f>
        <v>#REF!</v>
      </c>
      <c r="AU45" t="e">
        <f>AND(NhatkyNhap!#REF!,"AAAAAHG87y4=")</f>
        <v>#REF!</v>
      </c>
      <c r="AV45" t="e">
        <f>AND(NhatkyNhap!#REF!,"AAAAAHG87y8=")</f>
        <v>#REF!</v>
      </c>
      <c r="AW45" t="e">
        <f>AND(NhatkyNhap!#REF!,"AAAAAHG87zA=")</f>
        <v>#REF!</v>
      </c>
      <c r="AX45" t="e">
        <f>AND(NhatkyNhap!#REF!,"AAAAAHG87zE=")</f>
        <v>#REF!</v>
      </c>
      <c r="AY45" t="e">
        <f>AND(NhatkyNhap!#REF!,"AAAAAHG87zI=")</f>
        <v>#REF!</v>
      </c>
      <c r="AZ45" t="e">
        <f>AND(NhatkyNhap!#REF!,"AAAAAHG87zM=")</f>
        <v>#REF!</v>
      </c>
      <c r="BA45" t="e">
        <f>AND(NhatkyNhap!#REF!,"AAAAAHG87zQ=")</f>
        <v>#REF!</v>
      </c>
      <c r="BB45" t="e">
        <f>AND(NhatkyNhap!#REF!,"AAAAAHG87zU=")</f>
        <v>#REF!</v>
      </c>
      <c r="BC45" t="e">
        <f>AND(NhatkyNhap!#REF!,"AAAAAHG87zY=")</f>
        <v>#REF!</v>
      </c>
      <c r="BD45" t="e">
        <f>AND(NhatkyNhap!#REF!,"AAAAAHG87zc=")</f>
        <v>#REF!</v>
      </c>
      <c r="BE45" t="e">
        <f>AND(NhatkyNhap!#REF!,"AAAAAHG87zg=")</f>
        <v>#REF!</v>
      </c>
      <c r="BF45" t="e">
        <f>AND(NhatkyNhap!#REF!,"AAAAAHG87zk=")</f>
        <v>#REF!</v>
      </c>
      <c r="BG45" t="e">
        <f>IF(NhatkyNhap!#REF!,"AAAAAHG87zo=",0)</f>
        <v>#REF!</v>
      </c>
      <c r="BH45" t="e">
        <f>AND(NhatkyNhap!#REF!,"AAAAAHG87zs=")</f>
        <v>#REF!</v>
      </c>
      <c r="BI45" t="e">
        <f>AND(NhatkyNhap!#REF!,"AAAAAHG87zw=")</f>
        <v>#REF!</v>
      </c>
      <c r="BJ45" t="e">
        <f>AND(NhatkyNhap!#REF!,"AAAAAHG87z0=")</f>
        <v>#REF!</v>
      </c>
      <c r="BK45" t="e">
        <f>AND(NhatkyNhap!#REF!,"AAAAAHG87z4=")</f>
        <v>#REF!</v>
      </c>
      <c r="BL45" t="e">
        <f>AND(NhatkyNhap!#REF!,"AAAAAHG87z8=")</f>
        <v>#REF!</v>
      </c>
      <c r="BM45" t="e">
        <f>AND(NhatkyNhap!#REF!,"AAAAAHG870A=")</f>
        <v>#REF!</v>
      </c>
      <c r="BN45" t="e">
        <f>AND(NhatkyNhap!#REF!,"AAAAAHG870E=")</f>
        <v>#REF!</v>
      </c>
      <c r="BO45" t="e">
        <f>AND(NhatkyNhap!#REF!,"AAAAAHG870I=")</f>
        <v>#REF!</v>
      </c>
      <c r="BP45" t="e">
        <f>AND(NhatkyNhap!#REF!,"AAAAAHG870M=")</f>
        <v>#REF!</v>
      </c>
      <c r="BQ45" t="e">
        <f>AND(NhatkyNhap!#REF!,"AAAAAHG870Q=")</f>
        <v>#REF!</v>
      </c>
      <c r="BR45" t="e">
        <f>AND(NhatkyNhap!#REF!,"AAAAAHG870U=")</f>
        <v>#REF!</v>
      </c>
      <c r="BS45" t="e">
        <f>AND(NhatkyNhap!#REF!,"AAAAAHG870Y=")</f>
        <v>#REF!</v>
      </c>
      <c r="BT45" t="e">
        <f>AND(NhatkyNhap!#REF!,"AAAAAHG870c=")</f>
        <v>#REF!</v>
      </c>
      <c r="BU45" t="e">
        <f>AND(NhatkyNhap!#REF!,"AAAAAHG870g=")</f>
        <v>#REF!</v>
      </c>
      <c r="BV45" t="e">
        <f>AND(NhatkyNhap!#REF!,"AAAAAHG870k=")</f>
        <v>#REF!</v>
      </c>
      <c r="BW45" t="e">
        <f>AND(NhatkyNhap!#REF!,"AAAAAHG870o=")</f>
        <v>#REF!</v>
      </c>
      <c r="BX45" t="e">
        <f>AND(NhatkyNhap!#REF!,"AAAAAHG870s=")</f>
        <v>#REF!</v>
      </c>
      <c r="BY45" t="e">
        <f>AND(NhatkyNhap!#REF!,"AAAAAHG870w=")</f>
        <v>#REF!</v>
      </c>
      <c r="BZ45" t="e">
        <f>AND(NhatkyNhap!#REF!,"AAAAAHG8700=")</f>
        <v>#REF!</v>
      </c>
      <c r="CA45" t="e">
        <f>AND(NhatkyNhap!#REF!,"AAAAAHG8704=")</f>
        <v>#REF!</v>
      </c>
      <c r="CB45" t="e">
        <f>AND(NhatkyNhap!#REF!,"AAAAAHG8708=")</f>
        <v>#REF!</v>
      </c>
      <c r="CC45" t="e">
        <f>AND(NhatkyNhap!#REF!,"AAAAAHG871A=")</f>
        <v>#REF!</v>
      </c>
      <c r="CD45" t="e">
        <f>AND(NhatkyNhap!#REF!,"AAAAAHG871E=")</f>
        <v>#REF!</v>
      </c>
      <c r="CE45" t="e">
        <f>AND(NhatkyNhap!#REF!,"AAAAAHG871I=")</f>
        <v>#REF!</v>
      </c>
      <c r="CF45" t="e">
        <f>AND(NhatkyNhap!#REF!,"AAAAAHG871M=")</f>
        <v>#REF!</v>
      </c>
      <c r="CG45" t="e">
        <f>AND(NhatkyNhap!#REF!,"AAAAAHG871Q=")</f>
        <v>#REF!</v>
      </c>
      <c r="CH45" t="e">
        <f>AND(NhatkyNhap!#REF!,"AAAAAHG871U=")</f>
        <v>#REF!</v>
      </c>
      <c r="CI45" t="e">
        <f>AND(NhatkyNhap!#REF!,"AAAAAHG871Y=")</f>
        <v>#REF!</v>
      </c>
      <c r="CJ45" t="e">
        <f>AND(NhatkyNhap!#REF!,"AAAAAHG871c=")</f>
        <v>#REF!</v>
      </c>
      <c r="CK45" t="e">
        <f>AND(NhatkyNhap!#REF!,"AAAAAHG871g=")</f>
        <v>#REF!</v>
      </c>
      <c r="CL45" t="e">
        <f>AND(NhatkyNhap!#REF!,"AAAAAHG871k=")</f>
        <v>#REF!</v>
      </c>
      <c r="CM45" t="e">
        <f>AND(NhatkyNhap!#REF!,"AAAAAHG871o=")</f>
        <v>#REF!</v>
      </c>
      <c r="CN45" t="e">
        <f>AND(NhatkyNhap!#REF!,"AAAAAHG871s=")</f>
        <v>#REF!</v>
      </c>
      <c r="CO45" t="e">
        <f>AND(NhatkyNhap!#REF!,"AAAAAHG871w=")</f>
        <v>#REF!</v>
      </c>
      <c r="CP45" t="e">
        <f>IF(NhatkyNhap!#REF!,"AAAAAHG8710=",0)</f>
        <v>#REF!</v>
      </c>
      <c r="CQ45" t="e">
        <f>AND(NhatkyNhap!#REF!,"AAAAAHG8714=")</f>
        <v>#REF!</v>
      </c>
      <c r="CR45" t="e">
        <f>AND(NhatkyNhap!#REF!,"AAAAAHG8718=")</f>
        <v>#REF!</v>
      </c>
      <c r="CS45" t="e">
        <f>AND(NhatkyNhap!#REF!,"AAAAAHG872A=")</f>
        <v>#REF!</v>
      </c>
      <c r="CT45" t="e">
        <f>AND(NhatkyNhap!#REF!,"AAAAAHG872E=")</f>
        <v>#REF!</v>
      </c>
      <c r="CU45" t="e">
        <f>AND(NhatkyNhap!#REF!,"AAAAAHG872I=")</f>
        <v>#REF!</v>
      </c>
      <c r="CV45" t="e">
        <f>AND(NhatkyNhap!#REF!,"AAAAAHG872M=")</f>
        <v>#REF!</v>
      </c>
      <c r="CW45" t="e">
        <f>AND(NhatkyNhap!#REF!,"AAAAAHG872Q=")</f>
        <v>#REF!</v>
      </c>
      <c r="CX45" t="e">
        <f>AND(NhatkyNhap!#REF!,"AAAAAHG872U=")</f>
        <v>#REF!</v>
      </c>
      <c r="CY45" t="e">
        <f>AND(NhatkyNhap!#REF!,"AAAAAHG872Y=")</f>
        <v>#REF!</v>
      </c>
      <c r="CZ45" t="e">
        <f>AND(NhatkyNhap!#REF!,"AAAAAHG872c=")</f>
        <v>#REF!</v>
      </c>
      <c r="DA45" t="e">
        <f>AND(NhatkyNhap!#REF!,"AAAAAHG872g=")</f>
        <v>#REF!</v>
      </c>
      <c r="DB45" t="e">
        <f>AND(NhatkyNhap!#REF!,"AAAAAHG872k=")</f>
        <v>#REF!</v>
      </c>
      <c r="DC45" t="e">
        <f>AND(NhatkyNhap!#REF!,"AAAAAHG872o=")</f>
        <v>#REF!</v>
      </c>
      <c r="DD45" t="e">
        <f>AND(NhatkyNhap!#REF!,"AAAAAHG872s=")</f>
        <v>#REF!</v>
      </c>
      <c r="DE45" t="e">
        <f>AND(NhatkyNhap!#REF!,"AAAAAHG872w=")</f>
        <v>#REF!</v>
      </c>
      <c r="DF45" t="e">
        <f>AND(NhatkyNhap!#REF!,"AAAAAHG8720=")</f>
        <v>#REF!</v>
      </c>
      <c r="DG45" t="e">
        <f>AND(NhatkyNhap!#REF!,"AAAAAHG8724=")</f>
        <v>#REF!</v>
      </c>
      <c r="DH45" t="e">
        <f>AND(NhatkyNhap!#REF!,"AAAAAHG8728=")</f>
        <v>#REF!</v>
      </c>
      <c r="DI45" t="e">
        <f>AND(NhatkyNhap!#REF!,"AAAAAHG873A=")</f>
        <v>#REF!</v>
      </c>
      <c r="DJ45" t="e">
        <f>AND(NhatkyNhap!#REF!,"AAAAAHG873E=")</f>
        <v>#REF!</v>
      </c>
      <c r="DK45" t="e">
        <f>AND(NhatkyNhap!#REF!,"AAAAAHG873I=")</f>
        <v>#REF!</v>
      </c>
      <c r="DL45" t="e">
        <f>AND(NhatkyNhap!#REF!,"AAAAAHG873M=")</f>
        <v>#REF!</v>
      </c>
      <c r="DM45" t="e">
        <f>AND(NhatkyNhap!#REF!,"AAAAAHG873Q=")</f>
        <v>#REF!</v>
      </c>
      <c r="DN45" t="e">
        <f>AND(NhatkyNhap!#REF!,"AAAAAHG873U=")</f>
        <v>#REF!</v>
      </c>
      <c r="DO45" t="e">
        <f>AND(NhatkyNhap!#REF!,"AAAAAHG873Y=")</f>
        <v>#REF!</v>
      </c>
      <c r="DP45" t="e">
        <f>AND(NhatkyNhap!#REF!,"AAAAAHG873c=")</f>
        <v>#REF!</v>
      </c>
      <c r="DQ45" t="e">
        <f>AND(NhatkyNhap!#REF!,"AAAAAHG873g=")</f>
        <v>#REF!</v>
      </c>
      <c r="DR45" t="e">
        <f>AND(NhatkyNhap!#REF!,"AAAAAHG873k=")</f>
        <v>#REF!</v>
      </c>
      <c r="DS45" t="e">
        <f>AND(NhatkyNhap!#REF!,"AAAAAHG873o=")</f>
        <v>#REF!</v>
      </c>
      <c r="DT45" t="e">
        <f>AND(NhatkyNhap!#REF!,"AAAAAHG873s=")</f>
        <v>#REF!</v>
      </c>
      <c r="DU45" t="e">
        <f>AND(NhatkyNhap!#REF!,"AAAAAHG873w=")</f>
        <v>#REF!</v>
      </c>
      <c r="DV45" t="e">
        <f>AND(NhatkyNhap!#REF!,"AAAAAHG8730=")</f>
        <v>#REF!</v>
      </c>
      <c r="DW45" t="e">
        <f>AND(NhatkyNhap!#REF!,"AAAAAHG8734=")</f>
        <v>#REF!</v>
      </c>
      <c r="DX45" t="e">
        <f>AND(NhatkyNhap!#REF!,"AAAAAHG8738=")</f>
        <v>#REF!</v>
      </c>
      <c r="DY45" t="e">
        <f>IF(NhatkyNhap!#REF!,"AAAAAHG874A=",0)</f>
        <v>#REF!</v>
      </c>
      <c r="DZ45" t="e">
        <f>AND(NhatkyNhap!#REF!,"AAAAAHG874E=")</f>
        <v>#REF!</v>
      </c>
      <c r="EA45" t="e">
        <f>AND(NhatkyNhap!#REF!,"AAAAAHG874I=")</f>
        <v>#REF!</v>
      </c>
      <c r="EB45" t="e">
        <f>AND(NhatkyNhap!#REF!,"AAAAAHG874M=")</f>
        <v>#REF!</v>
      </c>
      <c r="EC45" t="e">
        <f>AND(NhatkyNhap!#REF!,"AAAAAHG874Q=")</f>
        <v>#REF!</v>
      </c>
      <c r="ED45" t="e">
        <f>AND(NhatkyNhap!#REF!,"AAAAAHG874U=")</f>
        <v>#REF!</v>
      </c>
      <c r="EE45" t="e">
        <f>AND(NhatkyNhap!#REF!,"AAAAAHG874Y=")</f>
        <v>#REF!</v>
      </c>
      <c r="EF45" t="e">
        <f>AND(NhatkyNhap!#REF!,"AAAAAHG874c=")</f>
        <v>#REF!</v>
      </c>
      <c r="EG45" t="e">
        <f>AND(NhatkyNhap!#REF!,"AAAAAHG874g=")</f>
        <v>#REF!</v>
      </c>
      <c r="EH45" t="e">
        <f>AND(NhatkyNhap!#REF!,"AAAAAHG874k=")</f>
        <v>#REF!</v>
      </c>
      <c r="EI45" t="e">
        <f>AND(NhatkyNhap!#REF!,"AAAAAHG874o=")</f>
        <v>#REF!</v>
      </c>
      <c r="EJ45" t="e">
        <f>AND(NhatkyNhap!#REF!,"AAAAAHG874s=")</f>
        <v>#REF!</v>
      </c>
      <c r="EK45" t="e">
        <f>AND(NhatkyNhap!#REF!,"AAAAAHG874w=")</f>
        <v>#REF!</v>
      </c>
      <c r="EL45" t="e">
        <f>AND(NhatkyNhap!#REF!,"AAAAAHG8740=")</f>
        <v>#REF!</v>
      </c>
      <c r="EM45" t="e">
        <f>AND(NhatkyNhap!#REF!,"AAAAAHG8744=")</f>
        <v>#REF!</v>
      </c>
      <c r="EN45" t="e">
        <f>AND(NhatkyNhap!#REF!,"AAAAAHG8748=")</f>
        <v>#REF!</v>
      </c>
      <c r="EO45" t="e">
        <f>AND(NhatkyNhap!#REF!,"AAAAAHG875A=")</f>
        <v>#REF!</v>
      </c>
      <c r="EP45" t="e">
        <f>AND(NhatkyNhap!#REF!,"AAAAAHG875E=")</f>
        <v>#REF!</v>
      </c>
      <c r="EQ45" t="e">
        <f>AND(NhatkyNhap!#REF!,"AAAAAHG875I=")</f>
        <v>#REF!</v>
      </c>
      <c r="ER45" t="e">
        <f>AND(NhatkyNhap!#REF!,"AAAAAHG875M=")</f>
        <v>#REF!</v>
      </c>
      <c r="ES45" t="e">
        <f>AND(NhatkyNhap!#REF!,"AAAAAHG875Q=")</f>
        <v>#REF!</v>
      </c>
      <c r="ET45" t="e">
        <f>AND(NhatkyNhap!#REF!,"AAAAAHG875U=")</f>
        <v>#REF!</v>
      </c>
      <c r="EU45" t="e">
        <f>AND(NhatkyNhap!#REF!,"AAAAAHG875Y=")</f>
        <v>#REF!</v>
      </c>
      <c r="EV45" t="e">
        <f>AND(NhatkyNhap!#REF!,"AAAAAHG875c=")</f>
        <v>#REF!</v>
      </c>
      <c r="EW45" t="e">
        <f>AND(NhatkyNhap!#REF!,"AAAAAHG875g=")</f>
        <v>#REF!</v>
      </c>
      <c r="EX45" t="e">
        <f>AND(NhatkyNhap!#REF!,"AAAAAHG875k=")</f>
        <v>#REF!</v>
      </c>
      <c r="EY45" t="e">
        <f>AND(NhatkyNhap!#REF!,"AAAAAHG875o=")</f>
        <v>#REF!</v>
      </c>
      <c r="EZ45" t="e">
        <f>AND(NhatkyNhap!#REF!,"AAAAAHG875s=")</f>
        <v>#REF!</v>
      </c>
      <c r="FA45" t="e">
        <f>AND(NhatkyNhap!#REF!,"AAAAAHG875w=")</f>
        <v>#REF!</v>
      </c>
      <c r="FB45" t="e">
        <f>AND(NhatkyNhap!#REF!,"AAAAAHG8750=")</f>
        <v>#REF!</v>
      </c>
      <c r="FC45" t="e">
        <f>AND(NhatkyNhap!#REF!,"AAAAAHG8754=")</f>
        <v>#REF!</v>
      </c>
      <c r="FD45" t="e">
        <f>AND(NhatkyNhap!#REF!,"AAAAAHG8758=")</f>
        <v>#REF!</v>
      </c>
      <c r="FE45" t="e">
        <f>AND(NhatkyNhap!#REF!,"AAAAAHG876A=")</f>
        <v>#REF!</v>
      </c>
      <c r="FF45" t="e">
        <f>AND(NhatkyNhap!#REF!,"AAAAAHG876E=")</f>
        <v>#REF!</v>
      </c>
      <c r="FG45" t="e">
        <f>AND(NhatkyNhap!#REF!,"AAAAAHG876I=")</f>
        <v>#REF!</v>
      </c>
      <c r="FH45" t="e">
        <f>IF(NhatkyNhap!#REF!,"AAAAAHG876M=",0)</f>
        <v>#REF!</v>
      </c>
      <c r="FI45" t="e">
        <f>AND(NhatkyNhap!#REF!,"AAAAAHG876Q=")</f>
        <v>#REF!</v>
      </c>
      <c r="FJ45" t="e">
        <f>AND(NhatkyNhap!#REF!,"AAAAAHG876U=")</f>
        <v>#REF!</v>
      </c>
      <c r="FK45" t="e">
        <f>AND(NhatkyNhap!#REF!,"AAAAAHG876Y=")</f>
        <v>#REF!</v>
      </c>
      <c r="FL45" t="e">
        <f>AND(NhatkyNhap!#REF!,"AAAAAHG876c=")</f>
        <v>#REF!</v>
      </c>
      <c r="FM45" t="e">
        <f>AND(NhatkyNhap!#REF!,"AAAAAHG876g=")</f>
        <v>#REF!</v>
      </c>
      <c r="FN45" t="e">
        <f>AND(NhatkyNhap!#REF!,"AAAAAHG876k=")</f>
        <v>#REF!</v>
      </c>
      <c r="FO45" t="e">
        <f>AND(NhatkyNhap!#REF!,"AAAAAHG876o=")</f>
        <v>#REF!</v>
      </c>
      <c r="FP45" t="e">
        <f>AND(NhatkyNhap!#REF!,"AAAAAHG876s=")</f>
        <v>#REF!</v>
      </c>
      <c r="FQ45" t="e">
        <f>AND(NhatkyNhap!#REF!,"AAAAAHG876w=")</f>
        <v>#REF!</v>
      </c>
      <c r="FR45" t="e">
        <f>AND(NhatkyNhap!#REF!,"AAAAAHG8760=")</f>
        <v>#REF!</v>
      </c>
      <c r="FS45" t="e">
        <f>AND(NhatkyNhap!#REF!,"AAAAAHG8764=")</f>
        <v>#REF!</v>
      </c>
      <c r="FT45" t="e">
        <f>AND(NhatkyNhap!#REF!,"AAAAAHG8768=")</f>
        <v>#REF!</v>
      </c>
      <c r="FU45" t="e">
        <f>AND(NhatkyNhap!#REF!,"AAAAAHG877A=")</f>
        <v>#REF!</v>
      </c>
      <c r="FV45" t="e">
        <f>AND(NhatkyNhap!#REF!,"AAAAAHG877E=")</f>
        <v>#REF!</v>
      </c>
      <c r="FW45" t="e">
        <f>AND(NhatkyNhap!#REF!,"AAAAAHG877I=")</f>
        <v>#REF!</v>
      </c>
      <c r="FX45" t="e">
        <f>AND(NhatkyNhap!#REF!,"AAAAAHG877M=")</f>
        <v>#REF!</v>
      </c>
      <c r="FY45" t="e">
        <f>AND(NhatkyNhap!#REF!,"AAAAAHG877Q=")</f>
        <v>#REF!</v>
      </c>
      <c r="FZ45" t="e">
        <f>AND(NhatkyNhap!#REF!,"AAAAAHG877U=")</f>
        <v>#REF!</v>
      </c>
      <c r="GA45" t="e">
        <f>AND(NhatkyNhap!#REF!,"AAAAAHG877Y=")</f>
        <v>#REF!</v>
      </c>
      <c r="GB45" t="e">
        <f>AND(NhatkyNhap!#REF!,"AAAAAHG877c=")</f>
        <v>#REF!</v>
      </c>
      <c r="GC45" t="e">
        <f>AND(NhatkyNhap!#REF!,"AAAAAHG877g=")</f>
        <v>#REF!</v>
      </c>
      <c r="GD45" t="e">
        <f>AND(NhatkyNhap!#REF!,"AAAAAHG877k=")</f>
        <v>#REF!</v>
      </c>
      <c r="GE45" t="e">
        <f>AND(NhatkyNhap!#REF!,"AAAAAHG877o=")</f>
        <v>#REF!</v>
      </c>
      <c r="GF45" t="e">
        <f>AND(NhatkyNhap!#REF!,"AAAAAHG877s=")</f>
        <v>#REF!</v>
      </c>
      <c r="GG45" t="e">
        <f>AND(NhatkyNhap!#REF!,"AAAAAHG877w=")</f>
        <v>#REF!</v>
      </c>
      <c r="GH45" t="e">
        <f>AND(NhatkyNhap!#REF!,"AAAAAHG8770=")</f>
        <v>#REF!</v>
      </c>
      <c r="GI45" t="e">
        <f>AND(NhatkyNhap!#REF!,"AAAAAHG8774=")</f>
        <v>#REF!</v>
      </c>
      <c r="GJ45" t="e">
        <f>AND(NhatkyNhap!#REF!,"AAAAAHG8778=")</f>
        <v>#REF!</v>
      </c>
      <c r="GK45" t="e">
        <f>AND(NhatkyNhap!#REF!,"AAAAAHG878A=")</f>
        <v>#REF!</v>
      </c>
      <c r="GL45" t="e">
        <f>AND(NhatkyNhap!#REF!,"AAAAAHG878E=")</f>
        <v>#REF!</v>
      </c>
      <c r="GM45" t="e">
        <f>AND(NhatkyNhap!#REF!,"AAAAAHG878I=")</f>
        <v>#REF!</v>
      </c>
      <c r="GN45" t="e">
        <f>AND(NhatkyNhap!#REF!,"AAAAAHG878M=")</f>
        <v>#REF!</v>
      </c>
      <c r="GO45" t="e">
        <f>AND(NhatkyNhap!#REF!,"AAAAAHG878Q=")</f>
        <v>#REF!</v>
      </c>
      <c r="GP45" t="e">
        <f>AND(NhatkyNhap!#REF!,"AAAAAHG878U=")</f>
        <v>#REF!</v>
      </c>
      <c r="GQ45" t="e">
        <f>IF(NhatkyNhap!#REF!,"AAAAAHG878Y=",0)</f>
        <v>#REF!</v>
      </c>
      <c r="GR45" t="e">
        <f>AND(NhatkyNhap!#REF!,"AAAAAHG878c=")</f>
        <v>#REF!</v>
      </c>
      <c r="GS45" t="e">
        <f>AND(NhatkyNhap!#REF!,"AAAAAHG878g=")</f>
        <v>#REF!</v>
      </c>
      <c r="GT45" t="e">
        <f>AND(NhatkyNhap!#REF!,"AAAAAHG878k=")</f>
        <v>#REF!</v>
      </c>
      <c r="GU45" t="e">
        <f>AND(NhatkyNhap!#REF!,"AAAAAHG878o=")</f>
        <v>#REF!</v>
      </c>
      <c r="GV45" t="e">
        <f>AND(NhatkyNhap!#REF!,"AAAAAHG878s=")</f>
        <v>#REF!</v>
      </c>
      <c r="GW45" t="e">
        <f>AND(NhatkyNhap!#REF!,"AAAAAHG878w=")</f>
        <v>#REF!</v>
      </c>
      <c r="GX45" t="e">
        <f>AND(NhatkyNhap!#REF!,"AAAAAHG8780=")</f>
        <v>#REF!</v>
      </c>
      <c r="GY45" t="e">
        <f>AND(NhatkyNhap!#REF!,"AAAAAHG8784=")</f>
        <v>#REF!</v>
      </c>
      <c r="GZ45" t="e">
        <f>AND(NhatkyNhap!#REF!,"AAAAAHG8788=")</f>
        <v>#REF!</v>
      </c>
      <c r="HA45" t="e">
        <f>AND(NhatkyNhap!#REF!,"AAAAAHG879A=")</f>
        <v>#REF!</v>
      </c>
      <c r="HB45" t="e">
        <f>AND(NhatkyNhap!#REF!,"AAAAAHG879E=")</f>
        <v>#REF!</v>
      </c>
      <c r="HC45" t="e">
        <f>AND(NhatkyNhap!#REF!,"AAAAAHG879I=")</f>
        <v>#REF!</v>
      </c>
      <c r="HD45" t="e">
        <f>AND(NhatkyNhap!#REF!,"AAAAAHG879M=")</f>
        <v>#REF!</v>
      </c>
      <c r="HE45" t="e">
        <f>AND(NhatkyNhap!#REF!,"AAAAAHG879Q=")</f>
        <v>#REF!</v>
      </c>
      <c r="HF45" t="e">
        <f>AND(NhatkyNhap!#REF!,"AAAAAHG879U=")</f>
        <v>#REF!</v>
      </c>
      <c r="HG45" t="e">
        <f>AND(NhatkyNhap!#REF!,"AAAAAHG879Y=")</f>
        <v>#REF!</v>
      </c>
      <c r="HH45" t="e">
        <f>AND(NhatkyNhap!#REF!,"AAAAAHG879c=")</f>
        <v>#REF!</v>
      </c>
      <c r="HI45" t="e">
        <f>AND(NhatkyNhap!#REF!,"AAAAAHG879g=")</f>
        <v>#REF!</v>
      </c>
      <c r="HJ45" t="e">
        <f>AND(NhatkyNhap!#REF!,"AAAAAHG879k=")</f>
        <v>#REF!</v>
      </c>
      <c r="HK45" t="e">
        <f>AND(NhatkyNhap!#REF!,"AAAAAHG879o=")</f>
        <v>#REF!</v>
      </c>
      <c r="HL45" t="e">
        <f>AND(NhatkyNhap!#REF!,"AAAAAHG879s=")</f>
        <v>#REF!</v>
      </c>
      <c r="HM45" t="e">
        <f>AND(NhatkyNhap!#REF!,"AAAAAHG879w=")</f>
        <v>#REF!</v>
      </c>
      <c r="HN45" t="e">
        <f>AND(NhatkyNhap!#REF!,"AAAAAHG8790=")</f>
        <v>#REF!</v>
      </c>
      <c r="HO45" t="e">
        <f>AND(NhatkyNhap!#REF!,"AAAAAHG8794=")</f>
        <v>#REF!</v>
      </c>
      <c r="HP45" t="e">
        <f>AND(NhatkyNhap!#REF!,"AAAAAHG8798=")</f>
        <v>#REF!</v>
      </c>
      <c r="HQ45" t="e">
        <f>AND(NhatkyNhap!#REF!,"AAAAAHG87+A=")</f>
        <v>#REF!</v>
      </c>
      <c r="HR45" t="e">
        <f>AND(NhatkyNhap!#REF!,"AAAAAHG87+E=")</f>
        <v>#REF!</v>
      </c>
      <c r="HS45" t="e">
        <f>AND(NhatkyNhap!#REF!,"AAAAAHG87+I=")</f>
        <v>#REF!</v>
      </c>
      <c r="HT45" t="e">
        <f>AND(NhatkyNhap!#REF!,"AAAAAHG87+M=")</f>
        <v>#REF!</v>
      </c>
      <c r="HU45" t="e">
        <f>AND(NhatkyNhap!#REF!,"AAAAAHG87+Q=")</f>
        <v>#REF!</v>
      </c>
      <c r="HV45" t="e">
        <f>AND(NhatkyNhap!#REF!,"AAAAAHG87+U=")</f>
        <v>#REF!</v>
      </c>
      <c r="HW45" t="e">
        <f>AND(NhatkyNhap!#REF!,"AAAAAHG87+Y=")</f>
        <v>#REF!</v>
      </c>
      <c r="HX45" t="e">
        <f>AND(NhatkyNhap!#REF!,"AAAAAHG87+c=")</f>
        <v>#REF!</v>
      </c>
      <c r="HY45" t="e">
        <f>AND(NhatkyNhap!#REF!,"AAAAAHG87+g=")</f>
        <v>#REF!</v>
      </c>
      <c r="HZ45" t="e">
        <f>IF(NhatkyNhap!#REF!,"AAAAAHG87+k=",0)</f>
        <v>#REF!</v>
      </c>
      <c r="IA45" t="e">
        <f>AND(NhatkyNhap!#REF!,"AAAAAHG87+o=")</f>
        <v>#REF!</v>
      </c>
      <c r="IB45" t="e">
        <f>AND(NhatkyNhap!#REF!,"AAAAAHG87+s=")</f>
        <v>#REF!</v>
      </c>
      <c r="IC45" t="e">
        <f>AND(NhatkyNhap!#REF!,"AAAAAHG87+w=")</f>
        <v>#REF!</v>
      </c>
      <c r="ID45" t="e">
        <f>AND(NhatkyNhap!#REF!,"AAAAAHG87+0=")</f>
        <v>#REF!</v>
      </c>
      <c r="IE45" t="e">
        <f>AND(NhatkyNhap!#REF!,"AAAAAHG87+4=")</f>
        <v>#REF!</v>
      </c>
      <c r="IF45" t="e">
        <f>AND(NhatkyNhap!#REF!,"AAAAAHG87+8=")</f>
        <v>#REF!</v>
      </c>
      <c r="IG45" t="e">
        <f>AND(NhatkyNhap!#REF!,"AAAAAHG87/A=")</f>
        <v>#REF!</v>
      </c>
      <c r="IH45" t="e">
        <f>AND(NhatkyNhap!#REF!,"AAAAAHG87/E=")</f>
        <v>#REF!</v>
      </c>
      <c r="II45" t="e">
        <f>AND(NhatkyNhap!#REF!,"AAAAAHG87/I=")</f>
        <v>#REF!</v>
      </c>
      <c r="IJ45" t="e">
        <f>AND(NhatkyNhap!#REF!,"AAAAAHG87/M=")</f>
        <v>#REF!</v>
      </c>
      <c r="IK45" t="e">
        <f>AND(NhatkyNhap!#REF!,"AAAAAHG87/Q=")</f>
        <v>#REF!</v>
      </c>
      <c r="IL45" t="e">
        <f>AND(NhatkyNhap!#REF!,"AAAAAHG87/U=")</f>
        <v>#REF!</v>
      </c>
      <c r="IM45" t="e">
        <f>AND(NhatkyNhap!#REF!,"AAAAAHG87/Y=")</f>
        <v>#REF!</v>
      </c>
      <c r="IN45" t="e">
        <f>AND(NhatkyNhap!#REF!,"AAAAAHG87/c=")</f>
        <v>#REF!</v>
      </c>
      <c r="IO45" t="e">
        <f>AND(NhatkyNhap!#REF!,"AAAAAHG87/g=")</f>
        <v>#REF!</v>
      </c>
      <c r="IP45" t="e">
        <f>AND(NhatkyNhap!#REF!,"AAAAAHG87/k=")</f>
        <v>#REF!</v>
      </c>
      <c r="IQ45" t="e">
        <f>AND(NhatkyNhap!#REF!,"AAAAAHG87/o=")</f>
        <v>#REF!</v>
      </c>
      <c r="IR45" t="e">
        <f>AND(NhatkyNhap!#REF!,"AAAAAHG87/s=")</f>
        <v>#REF!</v>
      </c>
      <c r="IS45" t="e">
        <f>AND(NhatkyNhap!#REF!,"AAAAAHG87/w=")</f>
        <v>#REF!</v>
      </c>
      <c r="IT45" t="e">
        <f>AND(NhatkyNhap!#REF!,"AAAAAHG87/0=")</f>
        <v>#REF!</v>
      </c>
      <c r="IU45" t="e">
        <f>AND(NhatkyNhap!#REF!,"AAAAAHG87/4=")</f>
        <v>#REF!</v>
      </c>
      <c r="IV45" t="e">
        <f>AND(NhatkyNhap!#REF!,"AAAAAHG87/8=")</f>
        <v>#REF!</v>
      </c>
    </row>
    <row r="46" spans="1:256">
      <c r="A46" t="e">
        <f>AND(NhatkyNhap!#REF!,"AAAAAFfPzQA=")</f>
        <v>#REF!</v>
      </c>
      <c r="B46" t="e">
        <f>AND(NhatkyNhap!#REF!,"AAAAAFfPzQE=")</f>
        <v>#REF!</v>
      </c>
      <c r="C46" t="e">
        <f>AND(NhatkyNhap!#REF!,"AAAAAFfPzQI=")</f>
        <v>#REF!</v>
      </c>
      <c r="D46" t="e">
        <f>AND(NhatkyNhap!#REF!,"AAAAAFfPzQM=")</f>
        <v>#REF!</v>
      </c>
      <c r="E46" t="e">
        <f>AND(NhatkyNhap!#REF!,"AAAAAFfPzQQ=")</f>
        <v>#REF!</v>
      </c>
      <c r="F46" t="e">
        <f>AND(NhatkyNhap!#REF!,"AAAAAFfPzQU=")</f>
        <v>#REF!</v>
      </c>
      <c r="G46" t="e">
        <f>AND(NhatkyNhap!#REF!,"AAAAAFfPzQY=")</f>
        <v>#REF!</v>
      </c>
      <c r="H46" t="e">
        <f>AND(NhatkyNhap!#REF!,"AAAAAFfPzQc=")</f>
        <v>#REF!</v>
      </c>
      <c r="I46" t="e">
        <f>AND(NhatkyNhap!#REF!,"AAAAAFfPzQg=")</f>
        <v>#REF!</v>
      </c>
      <c r="J46" t="e">
        <f>AND(NhatkyNhap!#REF!,"AAAAAFfPzQk=")</f>
        <v>#REF!</v>
      </c>
      <c r="K46" t="e">
        <f>AND(NhatkyNhap!#REF!,"AAAAAFfPzQo=")</f>
        <v>#REF!</v>
      </c>
      <c r="L46" t="e">
        <f>AND(NhatkyNhap!#REF!,"AAAAAFfPzQs=")</f>
        <v>#REF!</v>
      </c>
      <c r="M46" t="e">
        <f>IF(NhatkyNhap!#REF!,"AAAAAFfPzQw=",0)</f>
        <v>#REF!</v>
      </c>
      <c r="N46" t="e">
        <f>AND(NhatkyNhap!#REF!,"AAAAAFfPzQ0=")</f>
        <v>#REF!</v>
      </c>
      <c r="O46" t="e">
        <f>AND(NhatkyNhap!#REF!,"AAAAAFfPzQ4=")</f>
        <v>#REF!</v>
      </c>
      <c r="P46" t="e">
        <f>AND(NhatkyNhap!#REF!,"AAAAAFfPzQ8=")</f>
        <v>#REF!</v>
      </c>
      <c r="Q46" t="e">
        <f>AND(NhatkyNhap!#REF!,"AAAAAFfPzRA=")</f>
        <v>#REF!</v>
      </c>
      <c r="R46" t="e">
        <f>AND(NhatkyNhap!#REF!,"AAAAAFfPzRE=")</f>
        <v>#REF!</v>
      </c>
      <c r="S46" t="e">
        <f>AND(NhatkyNhap!#REF!,"AAAAAFfPzRI=")</f>
        <v>#REF!</v>
      </c>
      <c r="T46" t="e">
        <f>AND(NhatkyNhap!#REF!,"AAAAAFfPzRM=")</f>
        <v>#REF!</v>
      </c>
      <c r="U46" t="e">
        <f>AND(NhatkyNhap!#REF!,"AAAAAFfPzRQ=")</f>
        <v>#REF!</v>
      </c>
      <c r="V46" t="e">
        <f>AND(NhatkyNhap!#REF!,"AAAAAFfPzRU=")</f>
        <v>#REF!</v>
      </c>
      <c r="W46" t="e">
        <f>AND(NhatkyNhap!#REF!,"AAAAAFfPzRY=")</f>
        <v>#REF!</v>
      </c>
      <c r="X46" t="e">
        <f>AND(NhatkyNhap!#REF!,"AAAAAFfPzRc=")</f>
        <v>#REF!</v>
      </c>
      <c r="Y46" t="e">
        <f>AND(NhatkyNhap!#REF!,"AAAAAFfPzRg=")</f>
        <v>#REF!</v>
      </c>
      <c r="Z46" t="e">
        <f>AND(NhatkyNhap!#REF!,"AAAAAFfPzRk=")</f>
        <v>#REF!</v>
      </c>
      <c r="AA46" t="e">
        <f>AND(NhatkyNhap!#REF!,"AAAAAFfPzRo=")</f>
        <v>#REF!</v>
      </c>
      <c r="AB46" t="e">
        <f>AND(NhatkyNhap!#REF!,"AAAAAFfPzRs=")</f>
        <v>#REF!</v>
      </c>
      <c r="AC46" t="e">
        <f>AND(NhatkyNhap!#REF!,"AAAAAFfPzRw=")</f>
        <v>#REF!</v>
      </c>
      <c r="AD46" t="e">
        <f>AND(NhatkyNhap!#REF!,"AAAAAFfPzR0=")</f>
        <v>#REF!</v>
      </c>
      <c r="AE46" t="e">
        <f>AND(NhatkyNhap!#REF!,"AAAAAFfPzR4=")</f>
        <v>#REF!</v>
      </c>
      <c r="AF46" t="e">
        <f>AND(NhatkyNhap!#REF!,"AAAAAFfPzR8=")</f>
        <v>#REF!</v>
      </c>
      <c r="AG46" t="e">
        <f>AND(NhatkyNhap!#REF!,"AAAAAFfPzSA=")</f>
        <v>#REF!</v>
      </c>
      <c r="AH46" t="e">
        <f>AND(NhatkyNhap!#REF!,"AAAAAFfPzSE=")</f>
        <v>#REF!</v>
      </c>
      <c r="AI46" t="e">
        <f>AND(NhatkyNhap!#REF!,"AAAAAFfPzSI=")</f>
        <v>#REF!</v>
      </c>
      <c r="AJ46" t="e">
        <f>AND(NhatkyNhap!#REF!,"AAAAAFfPzSM=")</f>
        <v>#REF!</v>
      </c>
      <c r="AK46" t="e">
        <f>AND(NhatkyNhap!#REF!,"AAAAAFfPzSQ=")</f>
        <v>#REF!</v>
      </c>
      <c r="AL46" t="e">
        <f>AND(NhatkyNhap!#REF!,"AAAAAFfPzSU=")</f>
        <v>#REF!</v>
      </c>
      <c r="AM46" t="e">
        <f>AND(NhatkyNhap!#REF!,"AAAAAFfPzSY=")</f>
        <v>#REF!</v>
      </c>
      <c r="AN46" t="e">
        <f>AND(NhatkyNhap!#REF!,"AAAAAFfPzSc=")</f>
        <v>#REF!</v>
      </c>
      <c r="AO46" t="e">
        <f>AND(NhatkyNhap!#REF!,"AAAAAFfPzSg=")</f>
        <v>#REF!</v>
      </c>
      <c r="AP46" t="e">
        <f>AND(NhatkyNhap!#REF!,"AAAAAFfPzSk=")</f>
        <v>#REF!</v>
      </c>
      <c r="AQ46" t="e">
        <f>AND(NhatkyNhap!#REF!,"AAAAAFfPzSo=")</f>
        <v>#REF!</v>
      </c>
      <c r="AR46" t="e">
        <f>AND(NhatkyNhap!#REF!,"AAAAAFfPzSs=")</f>
        <v>#REF!</v>
      </c>
      <c r="AS46" t="e">
        <f>AND(NhatkyNhap!#REF!,"AAAAAFfPzSw=")</f>
        <v>#REF!</v>
      </c>
      <c r="AT46" t="e">
        <f>AND(NhatkyNhap!#REF!,"AAAAAFfPzS0=")</f>
        <v>#REF!</v>
      </c>
      <c r="AU46" t="e">
        <f>AND(NhatkyNhap!#REF!,"AAAAAFfPzS4=")</f>
        <v>#REF!</v>
      </c>
      <c r="AV46" t="e">
        <f>IF(NhatkyNhap!#REF!,"AAAAAFfPzS8=",0)</f>
        <v>#REF!</v>
      </c>
      <c r="AW46" t="e">
        <f>AND(NhatkyNhap!#REF!,"AAAAAFfPzTA=")</f>
        <v>#REF!</v>
      </c>
      <c r="AX46" t="e">
        <f>AND(NhatkyNhap!#REF!,"AAAAAFfPzTE=")</f>
        <v>#REF!</v>
      </c>
      <c r="AY46" t="e">
        <f>AND(NhatkyNhap!#REF!,"AAAAAFfPzTI=")</f>
        <v>#REF!</v>
      </c>
      <c r="AZ46" t="e">
        <f>AND(NhatkyNhap!#REF!,"AAAAAFfPzTM=")</f>
        <v>#REF!</v>
      </c>
      <c r="BA46" t="e">
        <f>AND(NhatkyNhap!#REF!,"AAAAAFfPzTQ=")</f>
        <v>#REF!</v>
      </c>
      <c r="BB46" t="e">
        <f>AND(NhatkyNhap!#REF!,"AAAAAFfPzTU=")</f>
        <v>#REF!</v>
      </c>
      <c r="BC46" t="e">
        <f>AND(NhatkyNhap!#REF!,"AAAAAFfPzTY=")</f>
        <v>#REF!</v>
      </c>
      <c r="BD46" t="e">
        <f>AND(NhatkyNhap!#REF!,"AAAAAFfPzTc=")</f>
        <v>#REF!</v>
      </c>
      <c r="BE46" t="e">
        <f>AND(NhatkyNhap!#REF!,"AAAAAFfPzTg=")</f>
        <v>#REF!</v>
      </c>
      <c r="BF46" t="e">
        <f>AND(NhatkyNhap!#REF!,"AAAAAFfPzTk=")</f>
        <v>#REF!</v>
      </c>
      <c r="BG46" t="e">
        <f>AND(NhatkyNhap!#REF!,"AAAAAFfPzTo=")</f>
        <v>#REF!</v>
      </c>
      <c r="BH46" t="e">
        <f>AND(NhatkyNhap!#REF!,"AAAAAFfPzTs=")</f>
        <v>#REF!</v>
      </c>
      <c r="BI46" t="e">
        <f>AND(NhatkyNhap!#REF!,"AAAAAFfPzTw=")</f>
        <v>#REF!</v>
      </c>
      <c r="BJ46" t="e">
        <f>AND(NhatkyNhap!#REF!,"AAAAAFfPzT0=")</f>
        <v>#REF!</v>
      </c>
      <c r="BK46" t="e">
        <f>AND(NhatkyNhap!#REF!,"AAAAAFfPzT4=")</f>
        <v>#REF!</v>
      </c>
      <c r="BL46" t="e">
        <f>AND(NhatkyNhap!#REF!,"AAAAAFfPzT8=")</f>
        <v>#REF!</v>
      </c>
      <c r="BM46" t="e">
        <f>AND(NhatkyNhap!#REF!,"AAAAAFfPzUA=")</f>
        <v>#REF!</v>
      </c>
      <c r="BN46" t="e">
        <f>AND(NhatkyNhap!#REF!,"AAAAAFfPzUE=")</f>
        <v>#REF!</v>
      </c>
      <c r="BO46" t="e">
        <f>AND(NhatkyNhap!#REF!,"AAAAAFfPzUI=")</f>
        <v>#REF!</v>
      </c>
      <c r="BP46" t="e">
        <f>AND(NhatkyNhap!#REF!,"AAAAAFfPzUM=")</f>
        <v>#REF!</v>
      </c>
      <c r="BQ46" t="e">
        <f>AND(NhatkyNhap!#REF!,"AAAAAFfPzUQ=")</f>
        <v>#REF!</v>
      </c>
      <c r="BR46" t="e">
        <f>AND(NhatkyNhap!#REF!,"AAAAAFfPzUU=")</f>
        <v>#REF!</v>
      </c>
      <c r="BS46" t="e">
        <f>AND(NhatkyNhap!#REF!,"AAAAAFfPzUY=")</f>
        <v>#REF!</v>
      </c>
      <c r="BT46" t="e">
        <f>AND(NhatkyNhap!#REF!,"AAAAAFfPzUc=")</f>
        <v>#REF!</v>
      </c>
      <c r="BU46" t="e">
        <f>AND(NhatkyNhap!#REF!,"AAAAAFfPzUg=")</f>
        <v>#REF!</v>
      </c>
      <c r="BV46" t="e">
        <f>AND(NhatkyNhap!#REF!,"AAAAAFfPzUk=")</f>
        <v>#REF!</v>
      </c>
      <c r="BW46" t="e">
        <f>AND(NhatkyNhap!#REF!,"AAAAAFfPzUo=")</f>
        <v>#REF!</v>
      </c>
      <c r="BX46" t="e">
        <f>AND(NhatkyNhap!#REF!,"AAAAAFfPzUs=")</f>
        <v>#REF!</v>
      </c>
      <c r="BY46" t="e">
        <f>AND(NhatkyNhap!#REF!,"AAAAAFfPzUw=")</f>
        <v>#REF!</v>
      </c>
      <c r="BZ46" t="e">
        <f>AND(NhatkyNhap!#REF!,"AAAAAFfPzU0=")</f>
        <v>#REF!</v>
      </c>
      <c r="CA46" t="e">
        <f>AND(NhatkyNhap!#REF!,"AAAAAFfPzU4=")</f>
        <v>#REF!</v>
      </c>
      <c r="CB46" t="e">
        <f>AND(NhatkyNhap!#REF!,"AAAAAFfPzU8=")</f>
        <v>#REF!</v>
      </c>
      <c r="CC46" t="e">
        <f>AND(NhatkyNhap!#REF!,"AAAAAFfPzVA=")</f>
        <v>#REF!</v>
      </c>
      <c r="CD46" t="e">
        <f>AND(NhatkyNhap!#REF!,"AAAAAFfPzVE=")</f>
        <v>#REF!</v>
      </c>
      <c r="CE46" t="e">
        <f>IF(NhatkyNhap!#REF!,"AAAAAFfPzVI=",0)</f>
        <v>#REF!</v>
      </c>
      <c r="CF46" t="e">
        <f>AND(NhatkyNhap!#REF!,"AAAAAFfPzVM=")</f>
        <v>#REF!</v>
      </c>
      <c r="CG46" t="e">
        <f>AND(NhatkyNhap!#REF!,"AAAAAFfPzVQ=")</f>
        <v>#REF!</v>
      </c>
      <c r="CH46" t="e">
        <f>AND(NhatkyNhap!#REF!,"AAAAAFfPzVU=")</f>
        <v>#REF!</v>
      </c>
      <c r="CI46" t="e">
        <f>AND(NhatkyNhap!#REF!,"AAAAAFfPzVY=")</f>
        <v>#REF!</v>
      </c>
      <c r="CJ46" t="e">
        <f>AND(NhatkyNhap!#REF!,"AAAAAFfPzVc=")</f>
        <v>#REF!</v>
      </c>
      <c r="CK46" t="e">
        <f>AND(NhatkyNhap!#REF!,"AAAAAFfPzVg=")</f>
        <v>#REF!</v>
      </c>
      <c r="CL46" t="e">
        <f>AND(NhatkyNhap!#REF!,"AAAAAFfPzVk=")</f>
        <v>#REF!</v>
      </c>
      <c r="CM46" t="e">
        <f>AND(NhatkyNhap!#REF!,"AAAAAFfPzVo=")</f>
        <v>#REF!</v>
      </c>
      <c r="CN46" t="e">
        <f>AND(NhatkyNhap!#REF!,"AAAAAFfPzVs=")</f>
        <v>#REF!</v>
      </c>
      <c r="CO46" t="e">
        <f>AND(NhatkyNhap!#REF!,"AAAAAFfPzVw=")</f>
        <v>#REF!</v>
      </c>
      <c r="CP46" t="e">
        <f>AND(NhatkyNhap!#REF!,"AAAAAFfPzV0=")</f>
        <v>#REF!</v>
      </c>
      <c r="CQ46" t="e">
        <f>AND(NhatkyNhap!#REF!,"AAAAAFfPzV4=")</f>
        <v>#REF!</v>
      </c>
      <c r="CR46" t="e">
        <f>AND(NhatkyNhap!#REF!,"AAAAAFfPzV8=")</f>
        <v>#REF!</v>
      </c>
      <c r="CS46" t="e">
        <f>AND(NhatkyNhap!#REF!,"AAAAAFfPzWA=")</f>
        <v>#REF!</v>
      </c>
      <c r="CT46" t="e">
        <f>AND(NhatkyNhap!#REF!,"AAAAAFfPzWE=")</f>
        <v>#REF!</v>
      </c>
      <c r="CU46" t="e">
        <f>AND(NhatkyNhap!#REF!,"AAAAAFfPzWI=")</f>
        <v>#REF!</v>
      </c>
      <c r="CV46" t="e">
        <f>AND(NhatkyNhap!#REF!,"AAAAAFfPzWM=")</f>
        <v>#REF!</v>
      </c>
      <c r="CW46" t="e">
        <f>AND(NhatkyNhap!#REF!,"AAAAAFfPzWQ=")</f>
        <v>#REF!</v>
      </c>
      <c r="CX46" t="e">
        <f>AND(NhatkyNhap!#REF!,"AAAAAFfPzWU=")</f>
        <v>#REF!</v>
      </c>
      <c r="CY46" t="e">
        <f>AND(NhatkyNhap!#REF!,"AAAAAFfPzWY=")</f>
        <v>#REF!</v>
      </c>
      <c r="CZ46" t="e">
        <f>AND(NhatkyNhap!#REF!,"AAAAAFfPzWc=")</f>
        <v>#REF!</v>
      </c>
      <c r="DA46" t="e">
        <f>AND(NhatkyNhap!#REF!,"AAAAAFfPzWg=")</f>
        <v>#REF!</v>
      </c>
      <c r="DB46" t="e">
        <f>AND(NhatkyNhap!#REF!,"AAAAAFfPzWk=")</f>
        <v>#REF!</v>
      </c>
      <c r="DC46" t="e">
        <f>AND(NhatkyNhap!#REF!,"AAAAAFfPzWo=")</f>
        <v>#REF!</v>
      </c>
      <c r="DD46" t="e">
        <f>AND(NhatkyNhap!#REF!,"AAAAAFfPzWs=")</f>
        <v>#REF!</v>
      </c>
      <c r="DE46" t="e">
        <f>AND(NhatkyNhap!#REF!,"AAAAAFfPzWw=")</f>
        <v>#REF!</v>
      </c>
      <c r="DF46" t="e">
        <f>AND(NhatkyNhap!#REF!,"AAAAAFfPzW0=")</f>
        <v>#REF!</v>
      </c>
      <c r="DG46" t="e">
        <f>AND(NhatkyNhap!#REF!,"AAAAAFfPzW4=")</f>
        <v>#REF!</v>
      </c>
      <c r="DH46" t="e">
        <f>AND(NhatkyNhap!#REF!,"AAAAAFfPzW8=")</f>
        <v>#REF!</v>
      </c>
      <c r="DI46" t="e">
        <f>AND(NhatkyNhap!#REF!,"AAAAAFfPzXA=")</f>
        <v>#REF!</v>
      </c>
      <c r="DJ46" t="e">
        <f>AND(NhatkyNhap!#REF!,"AAAAAFfPzXE=")</f>
        <v>#REF!</v>
      </c>
      <c r="DK46" t="e">
        <f>AND(NhatkyNhap!#REF!,"AAAAAFfPzXI=")</f>
        <v>#REF!</v>
      </c>
      <c r="DL46" t="e">
        <f>AND(NhatkyNhap!#REF!,"AAAAAFfPzXM=")</f>
        <v>#REF!</v>
      </c>
      <c r="DM46" t="e">
        <f>AND(NhatkyNhap!#REF!,"AAAAAFfPzXQ=")</f>
        <v>#REF!</v>
      </c>
      <c r="DN46" t="e">
        <f>IF(NhatkyNhap!#REF!,"AAAAAFfPzXU=",0)</f>
        <v>#REF!</v>
      </c>
      <c r="DO46" t="e">
        <f>AND(NhatkyNhap!#REF!,"AAAAAFfPzXY=")</f>
        <v>#REF!</v>
      </c>
      <c r="DP46" t="e">
        <f>AND(NhatkyNhap!#REF!,"AAAAAFfPzXc=")</f>
        <v>#REF!</v>
      </c>
      <c r="DQ46" t="e">
        <f>AND(NhatkyNhap!#REF!,"AAAAAFfPzXg=")</f>
        <v>#REF!</v>
      </c>
      <c r="DR46" t="e">
        <f>AND(NhatkyNhap!#REF!,"AAAAAFfPzXk=")</f>
        <v>#REF!</v>
      </c>
      <c r="DS46" t="e">
        <f>AND(NhatkyNhap!#REF!,"AAAAAFfPzXo=")</f>
        <v>#REF!</v>
      </c>
      <c r="DT46" t="e">
        <f>AND(NhatkyNhap!#REF!,"AAAAAFfPzXs=")</f>
        <v>#REF!</v>
      </c>
      <c r="DU46" t="e">
        <f>AND(NhatkyNhap!#REF!,"AAAAAFfPzXw=")</f>
        <v>#REF!</v>
      </c>
      <c r="DV46" t="e">
        <f>AND(NhatkyNhap!#REF!,"AAAAAFfPzX0=")</f>
        <v>#REF!</v>
      </c>
      <c r="DW46" t="e">
        <f>AND(NhatkyNhap!#REF!,"AAAAAFfPzX4=")</f>
        <v>#REF!</v>
      </c>
      <c r="DX46" t="e">
        <f>AND(NhatkyNhap!#REF!,"AAAAAFfPzX8=")</f>
        <v>#REF!</v>
      </c>
      <c r="DY46" t="e">
        <f>AND(NhatkyNhap!#REF!,"AAAAAFfPzYA=")</f>
        <v>#REF!</v>
      </c>
      <c r="DZ46" t="e">
        <f>AND(NhatkyNhap!#REF!,"AAAAAFfPzYE=")</f>
        <v>#REF!</v>
      </c>
      <c r="EA46" t="e">
        <f>AND(NhatkyNhap!#REF!,"AAAAAFfPzYI=")</f>
        <v>#REF!</v>
      </c>
      <c r="EB46" t="e">
        <f>AND(NhatkyNhap!#REF!,"AAAAAFfPzYM=")</f>
        <v>#REF!</v>
      </c>
      <c r="EC46" t="e">
        <f>AND(NhatkyNhap!#REF!,"AAAAAFfPzYQ=")</f>
        <v>#REF!</v>
      </c>
      <c r="ED46" t="e">
        <f>AND(NhatkyNhap!#REF!,"AAAAAFfPzYU=")</f>
        <v>#REF!</v>
      </c>
      <c r="EE46" t="e">
        <f>AND(NhatkyNhap!#REF!,"AAAAAFfPzYY=")</f>
        <v>#REF!</v>
      </c>
      <c r="EF46" t="e">
        <f>AND(NhatkyNhap!#REF!,"AAAAAFfPzYc=")</f>
        <v>#REF!</v>
      </c>
      <c r="EG46" t="e">
        <f>AND(NhatkyNhap!#REF!,"AAAAAFfPzYg=")</f>
        <v>#REF!</v>
      </c>
      <c r="EH46" t="e">
        <f>AND(NhatkyNhap!#REF!,"AAAAAFfPzYk=")</f>
        <v>#REF!</v>
      </c>
      <c r="EI46" t="e">
        <f>AND(NhatkyNhap!#REF!,"AAAAAFfPzYo=")</f>
        <v>#REF!</v>
      </c>
      <c r="EJ46" t="e">
        <f>AND(NhatkyNhap!#REF!,"AAAAAFfPzYs=")</f>
        <v>#REF!</v>
      </c>
      <c r="EK46" t="e">
        <f>AND(NhatkyNhap!#REF!,"AAAAAFfPzYw=")</f>
        <v>#REF!</v>
      </c>
      <c r="EL46" t="e">
        <f>AND(NhatkyNhap!#REF!,"AAAAAFfPzY0=")</f>
        <v>#REF!</v>
      </c>
      <c r="EM46" t="e">
        <f>AND(NhatkyNhap!#REF!,"AAAAAFfPzY4=")</f>
        <v>#REF!</v>
      </c>
      <c r="EN46" t="e">
        <f>AND(NhatkyNhap!#REF!,"AAAAAFfPzY8=")</f>
        <v>#REF!</v>
      </c>
      <c r="EO46" t="e">
        <f>AND(NhatkyNhap!#REF!,"AAAAAFfPzZA=")</f>
        <v>#REF!</v>
      </c>
      <c r="EP46" t="e">
        <f>AND(NhatkyNhap!#REF!,"AAAAAFfPzZE=")</f>
        <v>#REF!</v>
      </c>
      <c r="EQ46" t="e">
        <f>AND(NhatkyNhap!#REF!,"AAAAAFfPzZI=")</f>
        <v>#REF!</v>
      </c>
      <c r="ER46" t="e">
        <f>AND(NhatkyNhap!#REF!,"AAAAAFfPzZM=")</f>
        <v>#REF!</v>
      </c>
      <c r="ES46" t="e">
        <f>AND(NhatkyNhap!#REF!,"AAAAAFfPzZQ=")</f>
        <v>#REF!</v>
      </c>
      <c r="ET46" t="e">
        <f>AND(NhatkyNhap!#REF!,"AAAAAFfPzZU=")</f>
        <v>#REF!</v>
      </c>
      <c r="EU46" t="e">
        <f>AND(NhatkyNhap!#REF!,"AAAAAFfPzZY=")</f>
        <v>#REF!</v>
      </c>
      <c r="EV46" t="e">
        <f>AND(NhatkyNhap!#REF!,"AAAAAFfPzZc=")</f>
        <v>#REF!</v>
      </c>
      <c r="EW46" t="e">
        <f>IF(NhatkyNhap!#REF!,"AAAAAFfPzZg=",0)</f>
        <v>#REF!</v>
      </c>
      <c r="EX46" t="e">
        <f>AND(NhatkyNhap!#REF!,"AAAAAFfPzZk=")</f>
        <v>#REF!</v>
      </c>
      <c r="EY46" t="e">
        <f>AND(NhatkyNhap!#REF!,"AAAAAFfPzZo=")</f>
        <v>#REF!</v>
      </c>
      <c r="EZ46" t="e">
        <f>AND(NhatkyNhap!#REF!,"AAAAAFfPzZs=")</f>
        <v>#REF!</v>
      </c>
      <c r="FA46" t="e">
        <f>AND(NhatkyNhap!#REF!,"AAAAAFfPzZw=")</f>
        <v>#REF!</v>
      </c>
      <c r="FB46" t="e">
        <f>AND(NhatkyNhap!#REF!,"AAAAAFfPzZ0=")</f>
        <v>#REF!</v>
      </c>
      <c r="FC46" t="e">
        <f>AND(NhatkyNhap!#REF!,"AAAAAFfPzZ4=")</f>
        <v>#REF!</v>
      </c>
      <c r="FD46" t="e">
        <f>AND(NhatkyNhap!#REF!,"AAAAAFfPzZ8=")</f>
        <v>#REF!</v>
      </c>
      <c r="FE46" t="e">
        <f>AND(NhatkyNhap!#REF!,"AAAAAFfPzaA=")</f>
        <v>#REF!</v>
      </c>
      <c r="FF46" t="e">
        <f>AND(NhatkyNhap!#REF!,"AAAAAFfPzaE=")</f>
        <v>#REF!</v>
      </c>
      <c r="FG46" t="e">
        <f>AND(NhatkyNhap!#REF!,"AAAAAFfPzaI=")</f>
        <v>#REF!</v>
      </c>
      <c r="FH46" t="e">
        <f>AND(NhatkyNhap!#REF!,"AAAAAFfPzaM=")</f>
        <v>#REF!</v>
      </c>
      <c r="FI46" t="e">
        <f>AND(NhatkyNhap!#REF!,"AAAAAFfPzaQ=")</f>
        <v>#REF!</v>
      </c>
      <c r="FJ46" t="e">
        <f>AND(NhatkyNhap!#REF!,"AAAAAFfPzaU=")</f>
        <v>#REF!</v>
      </c>
      <c r="FK46" t="e">
        <f>AND(NhatkyNhap!#REF!,"AAAAAFfPzaY=")</f>
        <v>#REF!</v>
      </c>
      <c r="FL46" t="e">
        <f>AND(NhatkyNhap!#REF!,"AAAAAFfPzac=")</f>
        <v>#REF!</v>
      </c>
      <c r="FM46" t="e">
        <f>AND(NhatkyNhap!#REF!,"AAAAAFfPzag=")</f>
        <v>#REF!</v>
      </c>
      <c r="FN46" t="e">
        <f>AND(NhatkyNhap!#REF!,"AAAAAFfPzak=")</f>
        <v>#REF!</v>
      </c>
      <c r="FO46" t="e">
        <f>AND(NhatkyNhap!#REF!,"AAAAAFfPzao=")</f>
        <v>#REF!</v>
      </c>
      <c r="FP46" t="e">
        <f>AND(NhatkyNhap!#REF!,"AAAAAFfPzas=")</f>
        <v>#REF!</v>
      </c>
      <c r="FQ46" t="e">
        <f>AND(NhatkyNhap!#REF!,"AAAAAFfPzaw=")</f>
        <v>#REF!</v>
      </c>
      <c r="FR46" t="e">
        <f>AND(NhatkyNhap!#REF!,"AAAAAFfPza0=")</f>
        <v>#REF!</v>
      </c>
      <c r="FS46" t="e">
        <f>AND(NhatkyNhap!#REF!,"AAAAAFfPza4=")</f>
        <v>#REF!</v>
      </c>
      <c r="FT46" t="e">
        <f>AND(NhatkyNhap!#REF!,"AAAAAFfPza8=")</f>
        <v>#REF!</v>
      </c>
      <c r="FU46" t="e">
        <f>AND(NhatkyNhap!#REF!,"AAAAAFfPzbA=")</f>
        <v>#REF!</v>
      </c>
      <c r="FV46" t="e">
        <f>AND(NhatkyNhap!#REF!,"AAAAAFfPzbE=")</f>
        <v>#REF!</v>
      </c>
      <c r="FW46" t="e">
        <f>AND(NhatkyNhap!#REF!,"AAAAAFfPzbI=")</f>
        <v>#REF!</v>
      </c>
      <c r="FX46" t="e">
        <f>AND(NhatkyNhap!#REF!,"AAAAAFfPzbM=")</f>
        <v>#REF!</v>
      </c>
      <c r="FY46" t="e">
        <f>AND(NhatkyNhap!#REF!,"AAAAAFfPzbQ=")</f>
        <v>#REF!</v>
      </c>
      <c r="FZ46" t="e">
        <f>AND(NhatkyNhap!#REF!,"AAAAAFfPzbU=")</f>
        <v>#REF!</v>
      </c>
      <c r="GA46" t="e">
        <f>AND(NhatkyNhap!#REF!,"AAAAAFfPzbY=")</f>
        <v>#REF!</v>
      </c>
      <c r="GB46" t="e">
        <f>AND(NhatkyNhap!#REF!,"AAAAAFfPzbc=")</f>
        <v>#REF!</v>
      </c>
      <c r="GC46" t="e">
        <f>AND(NhatkyNhap!#REF!,"AAAAAFfPzbg=")</f>
        <v>#REF!</v>
      </c>
      <c r="GD46" t="e">
        <f>AND(NhatkyNhap!#REF!,"AAAAAFfPzbk=")</f>
        <v>#REF!</v>
      </c>
      <c r="GE46" t="e">
        <f>AND(NhatkyNhap!#REF!,"AAAAAFfPzbo=")</f>
        <v>#REF!</v>
      </c>
      <c r="GF46" t="e">
        <f>IF(NhatkyNhap!#REF!,"AAAAAFfPzbs=",0)</f>
        <v>#REF!</v>
      </c>
      <c r="GG46" t="e">
        <f>AND(NhatkyNhap!#REF!,"AAAAAFfPzbw=")</f>
        <v>#REF!</v>
      </c>
      <c r="GH46" t="e">
        <f>AND(NhatkyNhap!#REF!,"AAAAAFfPzb0=")</f>
        <v>#REF!</v>
      </c>
      <c r="GI46" t="e">
        <f>AND(NhatkyNhap!#REF!,"AAAAAFfPzb4=")</f>
        <v>#REF!</v>
      </c>
      <c r="GJ46" t="e">
        <f>AND(NhatkyNhap!#REF!,"AAAAAFfPzb8=")</f>
        <v>#REF!</v>
      </c>
      <c r="GK46" t="e">
        <f>AND(NhatkyNhap!#REF!,"AAAAAFfPzcA=")</f>
        <v>#REF!</v>
      </c>
      <c r="GL46" t="e">
        <f>AND(NhatkyNhap!#REF!,"AAAAAFfPzcE=")</f>
        <v>#REF!</v>
      </c>
      <c r="GM46" t="e">
        <f>AND(NhatkyNhap!#REF!,"AAAAAFfPzcI=")</f>
        <v>#REF!</v>
      </c>
      <c r="GN46" t="e">
        <f>AND(NhatkyNhap!#REF!,"AAAAAFfPzcM=")</f>
        <v>#REF!</v>
      </c>
      <c r="GO46" t="e">
        <f>AND(NhatkyNhap!#REF!,"AAAAAFfPzcQ=")</f>
        <v>#REF!</v>
      </c>
      <c r="GP46" t="e">
        <f>AND(NhatkyNhap!#REF!,"AAAAAFfPzcU=")</f>
        <v>#REF!</v>
      </c>
      <c r="GQ46" t="e">
        <f>AND(NhatkyNhap!#REF!,"AAAAAFfPzcY=")</f>
        <v>#REF!</v>
      </c>
      <c r="GR46" t="e">
        <f>AND(NhatkyNhap!#REF!,"AAAAAFfPzcc=")</f>
        <v>#REF!</v>
      </c>
      <c r="GS46" t="e">
        <f>AND(NhatkyNhap!#REF!,"AAAAAFfPzcg=")</f>
        <v>#REF!</v>
      </c>
      <c r="GT46" t="e">
        <f>AND(NhatkyNhap!#REF!,"AAAAAFfPzck=")</f>
        <v>#REF!</v>
      </c>
      <c r="GU46" t="e">
        <f>AND(NhatkyNhap!#REF!,"AAAAAFfPzco=")</f>
        <v>#REF!</v>
      </c>
      <c r="GV46" t="e">
        <f>AND(NhatkyNhap!#REF!,"AAAAAFfPzcs=")</f>
        <v>#REF!</v>
      </c>
      <c r="GW46" t="e">
        <f>AND(NhatkyNhap!#REF!,"AAAAAFfPzcw=")</f>
        <v>#REF!</v>
      </c>
      <c r="GX46" t="e">
        <f>AND(NhatkyNhap!#REF!,"AAAAAFfPzc0=")</f>
        <v>#REF!</v>
      </c>
      <c r="GY46" t="e">
        <f>AND(NhatkyNhap!#REF!,"AAAAAFfPzc4=")</f>
        <v>#REF!</v>
      </c>
      <c r="GZ46" t="e">
        <f>AND(NhatkyNhap!#REF!,"AAAAAFfPzc8=")</f>
        <v>#REF!</v>
      </c>
      <c r="HA46" t="e">
        <f>AND(NhatkyNhap!#REF!,"AAAAAFfPzdA=")</f>
        <v>#REF!</v>
      </c>
      <c r="HB46" t="e">
        <f>AND(NhatkyNhap!#REF!,"AAAAAFfPzdE=")</f>
        <v>#REF!</v>
      </c>
      <c r="HC46" t="e">
        <f>AND(NhatkyNhap!#REF!,"AAAAAFfPzdI=")</f>
        <v>#REF!</v>
      </c>
      <c r="HD46" t="e">
        <f>AND(NhatkyNhap!#REF!,"AAAAAFfPzdM=")</f>
        <v>#REF!</v>
      </c>
      <c r="HE46" t="e">
        <f>AND(NhatkyNhap!#REF!,"AAAAAFfPzdQ=")</f>
        <v>#REF!</v>
      </c>
      <c r="HF46" t="e">
        <f>AND(NhatkyNhap!#REF!,"AAAAAFfPzdU=")</f>
        <v>#REF!</v>
      </c>
      <c r="HG46" t="e">
        <f>AND(NhatkyNhap!#REF!,"AAAAAFfPzdY=")</f>
        <v>#REF!</v>
      </c>
      <c r="HH46" t="e">
        <f>AND(NhatkyNhap!#REF!,"AAAAAFfPzdc=")</f>
        <v>#REF!</v>
      </c>
      <c r="HI46" t="e">
        <f>AND(NhatkyNhap!#REF!,"AAAAAFfPzdg=")</f>
        <v>#REF!</v>
      </c>
      <c r="HJ46" t="e">
        <f>AND(NhatkyNhap!#REF!,"AAAAAFfPzdk=")</f>
        <v>#REF!</v>
      </c>
      <c r="HK46" t="e">
        <f>AND(NhatkyNhap!#REF!,"AAAAAFfPzdo=")</f>
        <v>#REF!</v>
      </c>
      <c r="HL46" t="e">
        <f>AND(NhatkyNhap!#REF!,"AAAAAFfPzds=")</f>
        <v>#REF!</v>
      </c>
      <c r="HM46" t="e">
        <f>AND(NhatkyNhap!#REF!,"AAAAAFfPzdw=")</f>
        <v>#REF!</v>
      </c>
      <c r="HN46" t="e">
        <f>AND(NhatkyNhap!#REF!,"AAAAAFfPzd0=")</f>
        <v>#REF!</v>
      </c>
      <c r="HO46" t="e">
        <f>IF(NhatkyNhap!#REF!,"AAAAAFfPzd4=",0)</f>
        <v>#REF!</v>
      </c>
      <c r="HP46" t="e">
        <f>AND(NhatkyNhap!#REF!,"AAAAAFfPzd8=")</f>
        <v>#REF!</v>
      </c>
      <c r="HQ46" t="e">
        <f>AND(NhatkyNhap!#REF!,"AAAAAFfPzeA=")</f>
        <v>#REF!</v>
      </c>
      <c r="HR46" t="e">
        <f>AND(NhatkyNhap!#REF!,"AAAAAFfPzeE=")</f>
        <v>#REF!</v>
      </c>
      <c r="HS46" t="e">
        <f>AND(NhatkyNhap!#REF!,"AAAAAFfPzeI=")</f>
        <v>#REF!</v>
      </c>
      <c r="HT46" t="e">
        <f>AND(NhatkyNhap!#REF!,"AAAAAFfPzeM=")</f>
        <v>#REF!</v>
      </c>
      <c r="HU46" t="e">
        <f>AND(NhatkyNhap!#REF!,"AAAAAFfPzeQ=")</f>
        <v>#REF!</v>
      </c>
      <c r="HV46" t="e">
        <f>AND(NhatkyNhap!#REF!,"AAAAAFfPzeU=")</f>
        <v>#REF!</v>
      </c>
      <c r="HW46" t="e">
        <f>AND(NhatkyNhap!#REF!,"AAAAAFfPzeY=")</f>
        <v>#REF!</v>
      </c>
      <c r="HX46" t="e">
        <f>AND(NhatkyNhap!#REF!,"AAAAAFfPzec=")</f>
        <v>#REF!</v>
      </c>
      <c r="HY46" t="e">
        <f>AND(NhatkyNhap!#REF!,"AAAAAFfPzeg=")</f>
        <v>#REF!</v>
      </c>
      <c r="HZ46" t="e">
        <f>AND(NhatkyNhap!#REF!,"AAAAAFfPzek=")</f>
        <v>#REF!</v>
      </c>
      <c r="IA46" t="e">
        <f>AND(NhatkyNhap!#REF!,"AAAAAFfPzeo=")</f>
        <v>#REF!</v>
      </c>
      <c r="IB46" t="e">
        <f>AND(NhatkyNhap!#REF!,"AAAAAFfPzes=")</f>
        <v>#REF!</v>
      </c>
      <c r="IC46" t="e">
        <f>AND(NhatkyNhap!#REF!,"AAAAAFfPzew=")</f>
        <v>#REF!</v>
      </c>
      <c r="ID46" t="e">
        <f>AND(NhatkyNhap!#REF!,"AAAAAFfPze0=")</f>
        <v>#REF!</v>
      </c>
      <c r="IE46" t="e">
        <f>AND(NhatkyNhap!#REF!,"AAAAAFfPze4=")</f>
        <v>#REF!</v>
      </c>
      <c r="IF46" t="e">
        <f>AND(NhatkyNhap!#REF!,"AAAAAFfPze8=")</f>
        <v>#REF!</v>
      </c>
      <c r="IG46" t="e">
        <f>AND(NhatkyNhap!#REF!,"AAAAAFfPzfA=")</f>
        <v>#REF!</v>
      </c>
      <c r="IH46" t="e">
        <f>AND(NhatkyNhap!#REF!,"AAAAAFfPzfE=")</f>
        <v>#REF!</v>
      </c>
      <c r="II46" t="e">
        <f>AND(NhatkyNhap!#REF!,"AAAAAFfPzfI=")</f>
        <v>#REF!</v>
      </c>
      <c r="IJ46" t="e">
        <f>AND(NhatkyNhap!#REF!,"AAAAAFfPzfM=")</f>
        <v>#REF!</v>
      </c>
      <c r="IK46" t="e">
        <f>AND(NhatkyNhap!#REF!,"AAAAAFfPzfQ=")</f>
        <v>#REF!</v>
      </c>
      <c r="IL46" t="e">
        <f>AND(NhatkyNhap!#REF!,"AAAAAFfPzfU=")</f>
        <v>#REF!</v>
      </c>
      <c r="IM46" t="e">
        <f>AND(NhatkyNhap!#REF!,"AAAAAFfPzfY=")</f>
        <v>#REF!</v>
      </c>
      <c r="IN46" t="e">
        <f>AND(NhatkyNhap!#REF!,"AAAAAFfPzfc=")</f>
        <v>#REF!</v>
      </c>
      <c r="IO46" t="e">
        <f>AND(NhatkyNhap!#REF!,"AAAAAFfPzfg=")</f>
        <v>#REF!</v>
      </c>
      <c r="IP46" t="e">
        <f>AND(NhatkyNhap!#REF!,"AAAAAFfPzfk=")</f>
        <v>#REF!</v>
      </c>
      <c r="IQ46" t="e">
        <f>AND(NhatkyNhap!#REF!,"AAAAAFfPzfo=")</f>
        <v>#REF!</v>
      </c>
      <c r="IR46" t="e">
        <f>AND(NhatkyNhap!#REF!,"AAAAAFfPzfs=")</f>
        <v>#REF!</v>
      </c>
      <c r="IS46" t="e">
        <f>AND(NhatkyNhap!#REF!,"AAAAAFfPzfw=")</f>
        <v>#REF!</v>
      </c>
      <c r="IT46" t="e">
        <f>AND(NhatkyNhap!#REF!,"AAAAAFfPzf0=")</f>
        <v>#REF!</v>
      </c>
      <c r="IU46" t="e">
        <f>AND(NhatkyNhap!#REF!,"AAAAAFfPzf4=")</f>
        <v>#REF!</v>
      </c>
      <c r="IV46" t="e">
        <f>AND(NhatkyNhap!#REF!,"AAAAAFfPzf8=")</f>
        <v>#REF!</v>
      </c>
    </row>
    <row r="47" spans="1:256">
      <c r="A47" t="e">
        <f>AND(NhatkyNhap!#REF!,"AAAAAF/3/wA=")</f>
        <v>#REF!</v>
      </c>
      <c r="B47" t="e">
        <f>IF(NhatkyNhap!#REF!,"AAAAAF/3/wE=",0)</f>
        <v>#REF!</v>
      </c>
      <c r="C47" t="e">
        <f>AND(NhatkyNhap!#REF!,"AAAAAF/3/wI=")</f>
        <v>#REF!</v>
      </c>
      <c r="D47" t="e">
        <f>AND(NhatkyNhap!#REF!,"AAAAAF/3/wM=")</f>
        <v>#REF!</v>
      </c>
      <c r="E47" t="e">
        <f>AND(NhatkyNhap!#REF!,"AAAAAF/3/wQ=")</f>
        <v>#REF!</v>
      </c>
      <c r="F47" t="e">
        <f>AND(NhatkyNhap!#REF!,"AAAAAF/3/wU=")</f>
        <v>#REF!</v>
      </c>
      <c r="G47" t="e">
        <f>AND(NhatkyNhap!#REF!,"AAAAAF/3/wY=")</f>
        <v>#REF!</v>
      </c>
      <c r="H47" t="e">
        <f>AND(NhatkyNhap!#REF!,"AAAAAF/3/wc=")</f>
        <v>#REF!</v>
      </c>
      <c r="I47" t="e">
        <f>AND(NhatkyNhap!#REF!,"AAAAAF/3/wg=")</f>
        <v>#REF!</v>
      </c>
      <c r="J47" t="e">
        <f>AND(NhatkyNhap!#REF!,"AAAAAF/3/wk=")</f>
        <v>#REF!</v>
      </c>
      <c r="K47" t="e">
        <f>AND(NhatkyNhap!#REF!,"AAAAAF/3/wo=")</f>
        <v>#REF!</v>
      </c>
      <c r="L47" t="e">
        <f>AND(NhatkyNhap!#REF!,"AAAAAF/3/ws=")</f>
        <v>#REF!</v>
      </c>
      <c r="M47" t="e">
        <f>AND(NhatkyNhap!#REF!,"AAAAAF/3/ww=")</f>
        <v>#REF!</v>
      </c>
      <c r="N47" t="e">
        <f>AND(NhatkyNhap!#REF!,"AAAAAF/3/w0=")</f>
        <v>#REF!</v>
      </c>
      <c r="O47" t="e">
        <f>AND(NhatkyNhap!#REF!,"AAAAAF/3/w4=")</f>
        <v>#REF!</v>
      </c>
      <c r="P47" t="e">
        <f>AND(NhatkyNhap!#REF!,"AAAAAF/3/w8=")</f>
        <v>#REF!</v>
      </c>
      <c r="Q47" t="e">
        <f>AND(NhatkyNhap!#REF!,"AAAAAF/3/xA=")</f>
        <v>#REF!</v>
      </c>
      <c r="R47" t="e">
        <f>AND(NhatkyNhap!#REF!,"AAAAAF/3/xE=")</f>
        <v>#REF!</v>
      </c>
      <c r="S47" t="e">
        <f>AND(NhatkyNhap!#REF!,"AAAAAF/3/xI=")</f>
        <v>#REF!</v>
      </c>
      <c r="T47" t="e">
        <f>AND(NhatkyNhap!#REF!,"AAAAAF/3/xM=")</f>
        <v>#REF!</v>
      </c>
      <c r="U47" t="e">
        <f>AND(NhatkyNhap!#REF!,"AAAAAF/3/xQ=")</f>
        <v>#REF!</v>
      </c>
      <c r="V47" t="e">
        <f>AND(NhatkyNhap!#REF!,"AAAAAF/3/xU=")</f>
        <v>#REF!</v>
      </c>
      <c r="W47" t="e">
        <f>AND(NhatkyNhap!#REF!,"AAAAAF/3/xY=")</f>
        <v>#REF!</v>
      </c>
      <c r="X47" t="e">
        <f>AND(NhatkyNhap!#REF!,"AAAAAF/3/xc=")</f>
        <v>#REF!</v>
      </c>
      <c r="Y47" t="e">
        <f>AND(NhatkyNhap!#REF!,"AAAAAF/3/xg=")</f>
        <v>#REF!</v>
      </c>
      <c r="Z47" t="e">
        <f>AND(NhatkyNhap!#REF!,"AAAAAF/3/xk=")</f>
        <v>#REF!</v>
      </c>
      <c r="AA47" t="e">
        <f>AND(NhatkyNhap!#REF!,"AAAAAF/3/xo=")</f>
        <v>#REF!</v>
      </c>
      <c r="AB47" t="e">
        <f>AND(NhatkyNhap!#REF!,"AAAAAF/3/xs=")</f>
        <v>#REF!</v>
      </c>
      <c r="AC47" t="e">
        <f>AND(NhatkyNhap!#REF!,"AAAAAF/3/xw=")</f>
        <v>#REF!</v>
      </c>
      <c r="AD47" t="e">
        <f>AND(NhatkyNhap!#REF!,"AAAAAF/3/x0=")</f>
        <v>#REF!</v>
      </c>
      <c r="AE47" t="e">
        <f>AND(NhatkyNhap!#REF!,"AAAAAF/3/x4=")</f>
        <v>#REF!</v>
      </c>
      <c r="AF47" t="e">
        <f>AND(NhatkyNhap!#REF!,"AAAAAF/3/x8=")</f>
        <v>#REF!</v>
      </c>
      <c r="AG47" t="e">
        <f>AND(NhatkyNhap!#REF!,"AAAAAF/3/yA=")</f>
        <v>#REF!</v>
      </c>
      <c r="AH47" t="e">
        <f>AND(NhatkyNhap!#REF!,"AAAAAF/3/yE=")</f>
        <v>#REF!</v>
      </c>
      <c r="AI47" t="e">
        <f>AND(NhatkyNhap!#REF!,"AAAAAF/3/yI=")</f>
        <v>#REF!</v>
      </c>
      <c r="AJ47" t="e">
        <f>AND(NhatkyNhap!#REF!,"AAAAAF/3/yM=")</f>
        <v>#REF!</v>
      </c>
      <c r="AK47" t="e">
        <f>IF(NhatkyNhap!#REF!,"AAAAAF/3/yQ=",0)</f>
        <v>#REF!</v>
      </c>
      <c r="AL47" t="e">
        <f>AND(NhatkyNhap!#REF!,"AAAAAF/3/yU=")</f>
        <v>#REF!</v>
      </c>
      <c r="AM47" t="e">
        <f>AND(NhatkyNhap!#REF!,"AAAAAF/3/yY=")</f>
        <v>#REF!</v>
      </c>
      <c r="AN47" t="e">
        <f>AND(NhatkyNhap!#REF!,"AAAAAF/3/yc=")</f>
        <v>#REF!</v>
      </c>
      <c r="AO47" t="e">
        <f>AND(NhatkyNhap!#REF!,"AAAAAF/3/yg=")</f>
        <v>#REF!</v>
      </c>
      <c r="AP47" t="e">
        <f>AND(NhatkyNhap!#REF!,"AAAAAF/3/yk=")</f>
        <v>#REF!</v>
      </c>
      <c r="AQ47" t="e">
        <f>AND(NhatkyNhap!#REF!,"AAAAAF/3/yo=")</f>
        <v>#REF!</v>
      </c>
      <c r="AR47" t="e">
        <f>AND(NhatkyNhap!#REF!,"AAAAAF/3/ys=")</f>
        <v>#REF!</v>
      </c>
      <c r="AS47" t="e">
        <f>AND(NhatkyNhap!#REF!,"AAAAAF/3/yw=")</f>
        <v>#REF!</v>
      </c>
      <c r="AT47" t="e">
        <f>AND(NhatkyNhap!#REF!,"AAAAAF/3/y0=")</f>
        <v>#REF!</v>
      </c>
      <c r="AU47" t="e">
        <f>AND(NhatkyNhap!#REF!,"AAAAAF/3/y4=")</f>
        <v>#REF!</v>
      </c>
      <c r="AV47" t="e">
        <f>AND(NhatkyNhap!#REF!,"AAAAAF/3/y8=")</f>
        <v>#REF!</v>
      </c>
      <c r="AW47" t="e">
        <f>AND(NhatkyNhap!#REF!,"AAAAAF/3/zA=")</f>
        <v>#REF!</v>
      </c>
      <c r="AX47" t="e">
        <f>AND(NhatkyNhap!#REF!,"AAAAAF/3/zE=")</f>
        <v>#REF!</v>
      </c>
      <c r="AY47" t="e">
        <f>AND(NhatkyNhap!#REF!,"AAAAAF/3/zI=")</f>
        <v>#REF!</v>
      </c>
      <c r="AZ47" t="e">
        <f>AND(NhatkyNhap!#REF!,"AAAAAF/3/zM=")</f>
        <v>#REF!</v>
      </c>
      <c r="BA47" t="e">
        <f>AND(NhatkyNhap!#REF!,"AAAAAF/3/zQ=")</f>
        <v>#REF!</v>
      </c>
      <c r="BB47" t="e">
        <f>AND(NhatkyNhap!#REF!,"AAAAAF/3/zU=")</f>
        <v>#REF!</v>
      </c>
      <c r="BC47" t="e">
        <f>AND(NhatkyNhap!#REF!,"AAAAAF/3/zY=")</f>
        <v>#REF!</v>
      </c>
      <c r="BD47" t="e">
        <f>AND(NhatkyNhap!#REF!,"AAAAAF/3/zc=")</f>
        <v>#REF!</v>
      </c>
      <c r="BE47" t="e">
        <f>AND(NhatkyNhap!#REF!,"AAAAAF/3/zg=")</f>
        <v>#REF!</v>
      </c>
      <c r="BF47" t="e">
        <f>AND(NhatkyNhap!#REF!,"AAAAAF/3/zk=")</f>
        <v>#REF!</v>
      </c>
      <c r="BG47" t="e">
        <f>AND(NhatkyNhap!#REF!,"AAAAAF/3/zo=")</f>
        <v>#REF!</v>
      </c>
      <c r="BH47" t="e">
        <f>AND(NhatkyNhap!#REF!,"AAAAAF/3/zs=")</f>
        <v>#REF!</v>
      </c>
      <c r="BI47" t="e">
        <f>AND(NhatkyNhap!#REF!,"AAAAAF/3/zw=")</f>
        <v>#REF!</v>
      </c>
      <c r="BJ47" t="e">
        <f>AND(NhatkyNhap!#REF!,"AAAAAF/3/z0=")</f>
        <v>#REF!</v>
      </c>
      <c r="BK47" t="e">
        <f>AND(NhatkyNhap!#REF!,"AAAAAF/3/z4=")</f>
        <v>#REF!</v>
      </c>
      <c r="BL47" t="e">
        <f>AND(NhatkyNhap!#REF!,"AAAAAF/3/z8=")</f>
        <v>#REF!</v>
      </c>
      <c r="BM47" t="e">
        <f>AND(NhatkyNhap!#REF!,"AAAAAF/3/0A=")</f>
        <v>#REF!</v>
      </c>
      <c r="BN47" t="e">
        <f>AND(NhatkyNhap!#REF!,"AAAAAF/3/0E=")</f>
        <v>#REF!</v>
      </c>
      <c r="BO47" t="e">
        <f>AND(NhatkyNhap!#REF!,"AAAAAF/3/0I=")</f>
        <v>#REF!</v>
      </c>
      <c r="BP47" t="e">
        <f>AND(NhatkyNhap!#REF!,"AAAAAF/3/0M=")</f>
        <v>#REF!</v>
      </c>
      <c r="BQ47" t="e">
        <f>AND(NhatkyNhap!#REF!,"AAAAAF/3/0Q=")</f>
        <v>#REF!</v>
      </c>
      <c r="BR47" t="e">
        <f>AND(NhatkyNhap!#REF!,"AAAAAF/3/0U=")</f>
        <v>#REF!</v>
      </c>
      <c r="BS47" t="e">
        <f>AND(NhatkyNhap!#REF!,"AAAAAF/3/0Y=")</f>
        <v>#REF!</v>
      </c>
      <c r="BT47" t="e">
        <f>IF(NhatkyNhap!#REF!,"AAAAAF/3/0c=",0)</f>
        <v>#REF!</v>
      </c>
      <c r="BU47" t="e">
        <f>AND(NhatkyNhap!#REF!,"AAAAAF/3/0g=")</f>
        <v>#REF!</v>
      </c>
      <c r="BV47" t="e">
        <f>AND(NhatkyNhap!#REF!,"AAAAAF/3/0k=")</f>
        <v>#REF!</v>
      </c>
      <c r="BW47" t="e">
        <f>AND(NhatkyNhap!#REF!,"AAAAAF/3/0o=")</f>
        <v>#REF!</v>
      </c>
      <c r="BX47" t="e">
        <f>AND(NhatkyNhap!#REF!,"AAAAAF/3/0s=")</f>
        <v>#REF!</v>
      </c>
      <c r="BY47" t="e">
        <f>AND(NhatkyNhap!#REF!,"AAAAAF/3/0w=")</f>
        <v>#REF!</v>
      </c>
      <c r="BZ47" t="e">
        <f>AND(NhatkyNhap!#REF!,"AAAAAF/3/00=")</f>
        <v>#REF!</v>
      </c>
      <c r="CA47" t="e">
        <f>AND(NhatkyNhap!#REF!,"AAAAAF/3/04=")</f>
        <v>#REF!</v>
      </c>
      <c r="CB47" t="e">
        <f>AND(NhatkyNhap!#REF!,"AAAAAF/3/08=")</f>
        <v>#REF!</v>
      </c>
      <c r="CC47" t="e">
        <f>AND(NhatkyNhap!#REF!,"AAAAAF/3/1A=")</f>
        <v>#REF!</v>
      </c>
      <c r="CD47" t="e">
        <f>AND(NhatkyNhap!#REF!,"AAAAAF/3/1E=")</f>
        <v>#REF!</v>
      </c>
      <c r="CE47" t="e">
        <f>AND(NhatkyNhap!#REF!,"AAAAAF/3/1I=")</f>
        <v>#REF!</v>
      </c>
      <c r="CF47" t="e">
        <f>AND(NhatkyNhap!#REF!,"AAAAAF/3/1M=")</f>
        <v>#REF!</v>
      </c>
      <c r="CG47" t="e">
        <f>AND(NhatkyNhap!#REF!,"AAAAAF/3/1Q=")</f>
        <v>#REF!</v>
      </c>
      <c r="CH47" t="e">
        <f>AND(NhatkyNhap!#REF!,"AAAAAF/3/1U=")</f>
        <v>#REF!</v>
      </c>
      <c r="CI47" t="e">
        <f>AND(NhatkyNhap!#REF!,"AAAAAF/3/1Y=")</f>
        <v>#REF!</v>
      </c>
      <c r="CJ47" t="e">
        <f>AND(NhatkyNhap!#REF!,"AAAAAF/3/1c=")</f>
        <v>#REF!</v>
      </c>
      <c r="CK47" t="e">
        <f>AND(NhatkyNhap!#REF!,"AAAAAF/3/1g=")</f>
        <v>#REF!</v>
      </c>
      <c r="CL47" t="e">
        <f>AND(NhatkyNhap!#REF!,"AAAAAF/3/1k=")</f>
        <v>#REF!</v>
      </c>
      <c r="CM47" t="e">
        <f>AND(NhatkyNhap!#REF!,"AAAAAF/3/1o=")</f>
        <v>#REF!</v>
      </c>
      <c r="CN47" t="e">
        <f>AND(NhatkyNhap!#REF!,"AAAAAF/3/1s=")</f>
        <v>#REF!</v>
      </c>
      <c r="CO47" t="e">
        <f>AND(NhatkyNhap!#REF!,"AAAAAF/3/1w=")</f>
        <v>#REF!</v>
      </c>
      <c r="CP47" t="e">
        <f>AND(NhatkyNhap!#REF!,"AAAAAF/3/10=")</f>
        <v>#REF!</v>
      </c>
      <c r="CQ47" t="e">
        <f>AND(NhatkyNhap!#REF!,"AAAAAF/3/14=")</f>
        <v>#REF!</v>
      </c>
      <c r="CR47" t="e">
        <f>AND(NhatkyNhap!#REF!,"AAAAAF/3/18=")</f>
        <v>#REF!</v>
      </c>
      <c r="CS47" t="e">
        <f>AND(NhatkyNhap!#REF!,"AAAAAF/3/2A=")</f>
        <v>#REF!</v>
      </c>
      <c r="CT47" t="e">
        <f>AND(NhatkyNhap!#REF!,"AAAAAF/3/2E=")</f>
        <v>#REF!</v>
      </c>
      <c r="CU47" t="e">
        <f>AND(NhatkyNhap!#REF!,"AAAAAF/3/2I=")</f>
        <v>#REF!</v>
      </c>
      <c r="CV47" t="e">
        <f>AND(NhatkyNhap!#REF!,"AAAAAF/3/2M=")</f>
        <v>#REF!</v>
      </c>
      <c r="CW47" t="e">
        <f>AND(NhatkyNhap!#REF!,"AAAAAF/3/2Q=")</f>
        <v>#REF!</v>
      </c>
      <c r="CX47" t="e">
        <f>AND(NhatkyNhap!#REF!,"AAAAAF/3/2U=")</f>
        <v>#REF!</v>
      </c>
      <c r="CY47" t="e">
        <f>AND(NhatkyNhap!#REF!,"AAAAAF/3/2Y=")</f>
        <v>#REF!</v>
      </c>
      <c r="CZ47" t="e">
        <f>AND(NhatkyNhap!#REF!,"AAAAAF/3/2c=")</f>
        <v>#REF!</v>
      </c>
      <c r="DA47" t="e">
        <f>AND(NhatkyNhap!#REF!,"AAAAAF/3/2g=")</f>
        <v>#REF!</v>
      </c>
      <c r="DB47" t="e">
        <f>AND(NhatkyNhap!#REF!,"AAAAAF/3/2k=")</f>
        <v>#REF!</v>
      </c>
      <c r="DC47" t="e">
        <f>IF(NhatkyNhap!#REF!,"AAAAAF/3/2o=",0)</f>
        <v>#REF!</v>
      </c>
      <c r="DD47" t="e">
        <f>AND(NhatkyNhap!#REF!,"AAAAAF/3/2s=")</f>
        <v>#REF!</v>
      </c>
      <c r="DE47" t="e">
        <f>AND(NhatkyNhap!#REF!,"AAAAAF/3/2w=")</f>
        <v>#REF!</v>
      </c>
      <c r="DF47" t="e">
        <f>AND(NhatkyNhap!#REF!,"AAAAAF/3/20=")</f>
        <v>#REF!</v>
      </c>
      <c r="DG47" t="e">
        <f>AND(NhatkyNhap!#REF!,"AAAAAF/3/24=")</f>
        <v>#REF!</v>
      </c>
      <c r="DH47" t="e">
        <f>AND(NhatkyNhap!#REF!,"AAAAAF/3/28=")</f>
        <v>#REF!</v>
      </c>
      <c r="DI47" t="e">
        <f>AND(NhatkyNhap!#REF!,"AAAAAF/3/3A=")</f>
        <v>#REF!</v>
      </c>
      <c r="DJ47" t="e">
        <f>AND(NhatkyNhap!#REF!,"AAAAAF/3/3E=")</f>
        <v>#REF!</v>
      </c>
      <c r="DK47" t="e">
        <f>AND(NhatkyNhap!#REF!,"AAAAAF/3/3I=")</f>
        <v>#REF!</v>
      </c>
      <c r="DL47" t="e">
        <f>AND(NhatkyNhap!#REF!,"AAAAAF/3/3M=")</f>
        <v>#REF!</v>
      </c>
      <c r="DM47" t="e">
        <f>AND(NhatkyNhap!#REF!,"AAAAAF/3/3Q=")</f>
        <v>#REF!</v>
      </c>
      <c r="DN47" t="e">
        <f>AND(NhatkyNhap!#REF!,"AAAAAF/3/3U=")</f>
        <v>#REF!</v>
      </c>
      <c r="DO47" t="e">
        <f>AND(NhatkyNhap!#REF!,"AAAAAF/3/3Y=")</f>
        <v>#REF!</v>
      </c>
      <c r="DP47" t="e">
        <f>AND(NhatkyNhap!#REF!,"AAAAAF/3/3c=")</f>
        <v>#REF!</v>
      </c>
      <c r="DQ47" t="e">
        <f>AND(NhatkyNhap!#REF!,"AAAAAF/3/3g=")</f>
        <v>#REF!</v>
      </c>
      <c r="DR47" t="e">
        <f>AND(NhatkyNhap!#REF!,"AAAAAF/3/3k=")</f>
        <v>#REF!</v>
      </c>
      <c r="DS47" t="e">
        <f>AND(NhatkyNhap!#REF!,"AAAAAF/3/3o=")</f>
        <v>#REF!</v>
      </c>
      <c r="DT47" t="e">
        <f>AND(NhatkyNhap!#REF!,"AAAAAF/3/3s=")</f>
        <v>#REF!</v>
      </c>
      <c r="DU47" t="e">
        <f>AND(NhatkyNhap!#REF!,"AAAAAF/3/3w=")</f>
        <v>#REF!</v>
      </c>
      <c r="DV47" t="e">
        <f>AND(NhatkyNhap!#REF!,"AAAAAF/3/30=")</f>
        <v>#REF!</v>
      </c>
      <c r="DW47" t="e">
        <f>AND(NhatkyNhap!#REF!,"AAAAAF/3/34=")</f>
        <v>#REF!</v>
      </c>
      <c r="DX47" t="e">
        <f>AND(NhatkyNhap!#REF!,"AAAAAF/3/38=")</f>
        <v>#REF!</v>
      </c>
      <c r="DY47" t="e">
        <f>AND(NhatkyNhap!#REF!,"AAAAAF/3/4A=")</f>
        <v>#REF!</v>
      </c>
      <c r="DZ47" t="e">
        <f>AND(NhatkyNhap!#REF!,"AAAAAF/3/4E=")</f>
        <v>#REF!</v>
      </c>
      <c r="EA47" t="e">
        <f>AND(NhatkyNhap!#REF!,"AAAAAF/3/4I=")</f>
        <v>#REF!</v>
      </c>
      <c r="EB47" t="e">
        <f>AND(NhatkyNhap!#REF!,"AAAAAF/3/4M=")</f>
        <v>#REF!</v>
      </c>
      <c r="EC47" t="e">
        <f>AND(NhatkyNhap!#REF!,"AAAAAF/3/4Q=")</f>
        <v>#REF!</v>
      </c>
      <c r="ED47" t="e">
        <f>AND(NhatkyNhap!#REF!,"AAAAAF/3/4U=")</f>
        <v>#REF!</v>
      </c>
      <c r="EE47" t="e">
        <f>AND(NhatkyNhap!#REF!,"AAAAAF/3/4Y=")</f>
        <v>#REF!</v>
      </c>
      <c r="EF47" t="e">
        <f>AND(NhatkyNhap!#REF!,"AAAAAF/3/4c=")</f>
        <v>#REF!</v>
      </c>
      <c r="EG47" t="e">
        <f>AND(NhatkyNhap!#REF!,"AAAAAF/3/4g=")</f>
        <v>#REF!</v>
      </c>
      <c r="EH47" t="e">
        <f>AND(NhatkyNhap!#REF!,"AAAAAF/3/4k=")</f>
        <v>#REF!</v>
      </c>
      <c r="EI47" t="e">
        <f>AND(NhatkyNhap!#REF!,"AAAAAF/3/4o=")</f>
        <v>#REF!</v>
      </c>
      <c r="EJ47" t="e">
        <f>AND(NhatkyNhap!#REF!,"AAAAAF/3/4s=")</f>
        <v>#REF!</v>
      </c>
      <c r="EK47" t="e">
        <f>AND(NhatkyNhap!#REF!,"AAAAAF/3/4w=")</f>
        <v>#REF!</v>
      </c>
      <c r="EL47" t="e">
        <f>IF(NhatkyNhap!#REF!,"AAAAAF/3/40=",0)</f>
        <v>#REF!</v>
      </c>
      <c r="EM47" t="e">
        <f>AND(NhatkyNhap!#REF!,"AAAAAF/3/44=")</f>
        <v>#REF!</v>
      </c>
      <c r="EN47" t="e">
        <f>AND(NhatkyNhap!#REF!,"AAAAAF/3/48=")</f>
        <v>#REF!</v>
      </c>
      <c r="EO47" t="e">
        <f>AND(NhatkyNhap!#REF!,"AAAAAF/3/5A=")</f>
        <v>#REF!</v>
      </c>
      <c r="EP47" t="e">
        <f>AND(NhatkyNhap!#REF!,"AAAAAF/3/5E=")</f>
        <v>#REF!</v>
      </c>
      <c r="EQ47" t="e">
        <f>AND(NhatkyNhap!#REF!,"AAAAAF/3/5I=")</f>
        <v>#REF!</v>
      </c>
      <c r="ER47" t="e">
        <f>AND(NhatkyNhap!#REF!,"AAAAAF/3/5M=")</f>
        <v>#REF!</v>
      </c>
      <c r="ES47" t="e">
        <f>AND(NhatkyNhap!#REF!,"AAAAAF/3/5Q=")</f>
        <v>#REF!</v>
      </c>
      <c r="ET47" t="e">
        <f>AND(NhatkyNhap!#REF!,"AAAAAF/3/5U=")</f>
        <v>#REF!</v>
      </c>
      <c r="EU47" t="e">
        <f>AND(NhatkyNhap!#REF!,"AAAAAF/3/5Y=")</f>
        <v>#REF!</v>
      </c>
      <c r="EV47" t="e">
        <f>AND(NhatkyNhap!#REF!,"AAAAAF/3/5c=")</f>
        <v>#REF!</v>
      </c>
      <c r="EW47" t="e">
        <f>AND(NhatkyNhap!#REF!,"AAAAAF/3/5g=")</f>
        <v>#REF!</v>
      </c>
      <c r="EX47" t="e">
        <f>AND(NhatkyNhap!#REF!,"AAAAAF/3/5k=")</f>
        <v>#REF!</v>
      </c>
      <c r="EY47" t="e">
        <f>AND(NhatkyNhap!#REF!,"AAAAAF/3/5o=")</f>
        <v>#REF!</v>
      </c>
      <c r="EZ47" t="e">
        <f>AND(NhatkyNhap!#REF!,"AAAAAF/3/5s=")</f>
        <v>#REF!</v>
      </c>
      <c r="FA47" t="e">
        <f>AND(NhatkyNhap!#REF!,"AAAAAF/3/5w=")</f>
        <v>#REF!</v>
      </c>
      <c r="FB47" t="e">
        <f>AND(NhatkyNhap!#REF!,"AAAAAF/3/50=")</f>
        <v>#REF!</v>
      </c>
      <c r="FC47" t="e">
        <f>AND(NhatkyNhap!#REF!,"AAAAAF/3/54=")</f>
        <v>#REF!</v>
      </c>
      <c r="FD47" t="e">
        <f>AND(NhatkyNhap!#REF!,"AAAAAF/3/58=")</f>
        <v>#REF!</v>
      </c>
      <c r="FE47" t="e">
        <f>AND(NhatkyNhap!#REF!,"AAAAAF/3/6A=")</f>
        <v>#REF!</v>
      </c>
      <c r="FF47" t="e">
        <f>AND(NhatkyNhap!#REF!,"AAAAAF/3/6E=")</f>
        <v>#REF!</v>
      </c>
      <c r="FG47" t="e">
        <f>AND(NhatkyNhap!#REF!,"AAAAAF/3/6I=")</f>
        <v>#REF!</v>
      </c>
      <c r="FH47" t="e">
        <f>AND(NhatkyNhap!#REF!,"AAAAAF/3/6M=")</f>
        <v>#REF!</v>
      </c>
      <c r="FI47" t="e">
        <f>AND(NhatkyNhap!#REF!,"AAAAAF/3/6Q=")</f>
        <v>#REF!</v>
      </c>
      <c r="FJ47" t="e">
        <f>AND(NhatkyNhap!#REF!,"AAAAAF/3/6U=")</f>
        <v>#REF!</v>
      </c>
      <c r="FK47" t="e">
        <f>AND(NhatkyNhap!#REF!,"AAAAAF/3/6Y=")</f>
        <v>#REF!</v>
      </c>
      <c r="FL47" t="e">
        <f>AND(NhatkyNhap!#REF!,"AAAAAF/3/6c=")</f>
        <v>#REF!</v>
      </c>
      <c r="FM47" t="e">
        <f>AND(NhatkyNhap!#REF!,"AAAAAF/3/6g=")</f>
        <v>#REF!</v>
      </c>
      <c r="FN47" t="e">
        <f>AND(NhatkyNhap!#REF!,"AAAAAF/3/6k=")</f>
        <v>#REF!</v>
      </c>
      <c r="FO47" t="e">
        <f>AND(NhatkyNhap!#REF!,"AAAAAF/3/6o=")</f>
        <v>#REF!</v>
      </c>
      <c r="FP47" t="e">
        <f>AND(NhatkyNhap!#REF!,"AAAAAF/3/6s=")</f>
        <v>#REF!</v>
      </c>
      <c r="FQ47" t="e">
        <f>AND(NhatkyNhap!#REF!,"AAAAAF/3/6w=")</f>
        <v>#REF!</v>
      </c>
      <c r="FR47" t="e">
        <f>AND(NhatkyNhap!#REF!,"AAAAAF/3/60=")</f>
        <v>#REF!</v>
      </c>
      <c r="FS47" t="e">
        <f>AND(NhatkyNhap!#REF!,"AAAAAF/3/64=")</f>
        <v>#REF!</v>
      </c>
      <c r="FT47" t="e">
        <f>AND(NhatkyNhap!#REF!,"AAAAAF/3/68=")</f>
        <v>#REF!</v>
      </c>
      <c r="FU47" t="e">
        <f>IF(NhatkyNhap!#REF!,"AAAAAF/3/7A=",0)</f>
        <v>#REF!</v>
      </c>
      <c r="FV47" t="e">
        <f>AND(NhatkyNhap!#REF!,"AAAAAF/3/7E=")</f>
        <v>#REF!</v>
      </c>
      <c r="FW47" t="e">
        <f>AND(NhatkyNhap!#REF!,"AAAAAF/3/7I=")</f>
        <v>#REF!</v>
      </c>
      <c r="FX47" t="e">
        <f>AND(NhatkyNhap!#REF!,"AAAAAF/3/7M=")</f>
        <v>#REF!</v>
      </c>
      <c r="FY47" t="e">
        <f>AND(NhatkyNhap!#REF!,"AAAAAF/3/7Q=")</f>
        <v>#REF!</v>
      </c>
      <c r="FZ47" t="e">
        <f>AND(NhatkyNhap!#REF!,"AAAAAF/3/7U=")</f>
        <v>#REF!</v>
      </c>
      <c r="GA47" t="e">
        <f>AND(NhatkyNhap!#REF!,"AAAAAF/3/7Y=")</f>
        <v>#REF!</v>
      </c>
      <c r="GB47" t="e">
        <f>AND(NhatkyNhap!#REF!,"AAAAAF/3/7c=")</f>
        <v>#REF!</v>
      </c>
      <c r="GC47" t="e">
        <f>AND(NhatkyNhap!#REF!,"AAAAAF/3/7g=")</f>
        <v>#REF!</v>
      </c>
      <c r="GD47" t="e">
        <f>AND(NhatkyNhap!#REF!,"AAAAAF/3/7k=")</f>
        <v>#REF!</v>
      </c>
      <c r="GE47" t="e">
        <f>AND(NhatkyNhap!#REF!,"AAAAAF/3/7o=")</f>
        <v>#REF!</v>
      </c>
      <c r="GF47" t="e">
        <f>AND(NhatkyNhap!#REF!,"AAAAAF/3/7s=")</f>
        <v>#REF!</v>
      </c>
      <c r="GG47" t="e">
        <f>AND(NhatkyNhap!#REF!,"AAAAAF/3/7w=")</f>
        <v>#REF!</v>
      </c>
      <c r="GH47" t="e">
        <f>AND(NhatkyNhap!#REF!,"AAAAAF/3/70=")</f>
        <v>#REF!</v>
      </c>
      <c r="GI47" t="e">
        <f>AND(NhatkyNhap!#REF!,"AAAAAF/3/74=")</f>
        <v>#REF!</v>
      </c>
      <c r="GJ47" t="e">
        <f>AND(NhatkyNhap!#REF!,"AAAAAF/3/78=")</f>
        <v>#REF!</v>
      </c>
      <c r="GK47" t="e">
        <f>AND(NhatkyNhap!#REF!,"AAAAAF/3/8A=")</f>
        <v>#REF!</v>
      </c>
      <c r="GL47" t="e">
        <f>AND(NhatkyNhap!#REF!,"AAAAAF/3/8E=")</f>
        <v>#REF!</v>
      </c>
      <c r="GM47" t="e">
        <f>AND(NhatkyNhap!#REF!,"AAAAAF/3/8I=")</f>
        <v>#REF!</v>
      </c>
      <c r="GN47" t="e">
        <f>AND(NhatkyNhap!#REF!,"AAAAAF/3/8M=")</f>
        <v>#REF!</v>
      </c>
      <c r="GO47" t="e">
        <f>AND(NhatkyNhap!#REF!,"AAAAAF/3/8Q=")</f>
        <v>#REF!</v>
      </c>
      <c r="GP47" t="e">
        <f>AND(NhatkyNhap!#REF!,"AAAAAF/3/8U=")</f>
        <v>#REF!</v>
      </c>
      <c r="GQ47" t="e">
        <f>AND(NhatkyNhap!#REF!,"AAAAAF/3/8Y=")</f>
        <v>#REF!</v>
      </c>
      <c r="GR47" t="e">
        <f>AND(NhatkyNhap!#REF!,"AAAAAF/3/8c=")</f>
        <v>#REF!</v>
      </c>
      <c r="GS47" t="e">
        <f>AND(NhatkyNhap!#REF!,"AAAAAF/3/8g=")</f>
        <v>#REF!</v>
      </c>
      <c r="GT47" t="e">
        <f>AND(NhatkyNhap!#REF!,"AAAAAF/3/8k=")</f>
        <v>#REF!</v>
      </c>
      <c r="GU47" t="e">
        <f>AND(NhatkyNhap!#REF!,"AAAAAF/3/8o=")</f>
        <v>#REF!</v>
      </c>
      <c r="GV47" t="e">
        <f>AND(NhatkyNhap!#REF!,"AAAAAF/3/8s=")</f>
        <v>#REF!</v>
      </c>
      <c r="GW47" t="e">
        <f>AND(NhatkyNhap!#REF!,"AAAAAF/3/8w=")</f>
        <v>#REF!</v>
      </c>
      <c r="GX47" t="e">
        <f>AND(NhatkyNhap!#REF!,"AAAAAF/3/80=")</f>
        <v>#REF!</v>
      </c>
      <c r="GY47" t="e">
        <f>AND(NhatkyNhap!#REF!,"AAAAAF/3/84=")</f>
        <v>#REF!</v>
      </c>
      <c r="GZ47" t="e">
        <f>AND(NhatkyNhap!#REF!,"AAAAAF/3/88=")</f>
        <v>#REF!</v>
      </c>
      <c r="HA47" t="e">
        <f>AND(NhatkyNhap!#REF!,"AAAAAF/3/9A=")</f>
        <v>#REF!</v>
      </c>
      <c r="HB47" t="e">
        <f>AND(NhatkyNhap!#REF!,"AAAAAF/3/9E=")</f>
        <v>#REF!</v>
      </c>
      <c r="HC47" t="e">
        <f>AND(NhatkyNhap!#REF!,"AAAAAF/3/9I=")</f>
        <v>#REF!</v>
      </c>
      <c r="HD47" t="e">
        <f>IF(NhatkyNhap!#REF!,"AAAAAF/3/9M=",0)</f>
        <v>#REF!</v>
      </c>
      <c r="HE47" t="e">
        <f>AND(NhatkyNhap!#REF!,"AAAAAF/3/9Q=")</f>
        <v>#REF!</v>
      </c>
      <c r="HF47" t="e">
        <f>AND(NhatkyNhap!#REF!,"AAAAAF/3/9U=")</f>
        <v>#REF!</v>
      </c>
      <c r="HG47" t="e">
        <f>AND(NhatkyNhap!#REF!,"AAAAAF/3/9Y=")</f>
        <v>#REF!</v>
      </c>
      <c r="HH47" t="e">
        <f>AND(NhatkyNhap!#REF!,"AAAAAF/3/9c=")</f>
        <v>#REF!</v>
      </c>
      <c r="HI47" t="e">
        <f>AND(NhatkyNhap!#REF!,"AAAAAF/3/9g=")</f>
        <v>#REF!</v>
      </c>
      <c r="HJ47" t="e">
        <f>AND(NhatkyNhap!#REF!,"AAAAAF/3/9k=")</f>
        <v>#REF!</v>
      </c>
      <c r="HK47" t="e">
        <f>AND(NhatkyNhap!#REF!,"AAAAAF/3/9o=")</f>
        <v>#REF!</v>
      </c>
      <c r="HL47" t="e">
        <f>AND(NhatkyNhap!#REF!,"AAAAAF/3/9s=")</f>
        <v>#REF!</v>
      </c>
      <c r="HM47" t="e">
        <f>AND(NhatkyNhap!#REF!,"AAAAAF/3/9w=")</f>
        <v>#REF!</v>
      </c>
      <c r="HN47" t="e">
        <f>AND(NhatkyNhap!#REF!,"AAAAAF/3/90=")</f>
        <v>#REF!</v>
      </c>
      <c r="HO47" t="e">
        <f>AND(NhatkyNhap!#REF!,"AAAAAF/3/94=")</f>
        <v>#REF!</v>
      </c>
      <c r="HP47" t="e">
        <f>AND(NhatkyNhap!#REF!,"AAAAAF/3/98=")</f>
        <v>#REF!</v>
      </c>
      <c r="HQ47" t="e">
        <f>AND(NhatkyNhap!#REF!,"AAAAAF/3/+A=")</f>
        <v>#REF!</v>
      </c>
      <c r="HR47" t="e">
        <f>AND(NhatkyNhap!#REF!,"AAAAAF/3/+E=")</f>
        <v>#REF!</v>
      </c>
      <c r="HS47" t="e">
        <f>AND(NhatkyNhap!#REF!,"AAAAAF/3/+I=")</f>
        <v>#REF!</v>
      </c>
      <c r="HT47" t="e">
        <f>AND(NhatkyNhap!#REF!,"AAAAAF/3/+M=")</f>
        <v>#REF!</v>
      </c>
      <c r="HU47" t="e">
        <f>AND(NhatkyNhap!#REF!,"AAAAAF/3/+Q=")</f>
        <v>#REF!</v>
      </c>
      <c r="HV47" t="e">
        <f>AND(NhatkyNhap!#REF!,"AAAAAF/3/+U=")</f>
        <v>#REF!</v>
      </c>
      <c r="HW47" t="e">
        <f>AND(NhatkyNhap!#REF!,"AAAAAF/3/+Y=")</f>
        <v>#REF!</v>
      </c>
      <c r="HX47" t="e">
        <f>AND(NhatkyNhap!#REF!,"AAAAAF/3/+c=")</f>
        <v>#REF!</v>
      </c>
      <c r="HY47" t="e">
        <f>AND(NhatkyNhap!#REF!,"AAAAAF/3/+g=")</f>
        <v>#REF!</v>
      </c>
      <c r="HZ47" t="e">
        <f>AND(NhatkyNhap!#REF!,"AAAAAF/3/+k=")</f>
        <v>#REF!</v>
      </c>
      <c r="IA47" t="e">
        <f>AND(NhatkyNhap!#REF!,"AAAAAF/3/+o=")</f>
        <v>#REF!</v>
      </c>
      <c r="IB47" t="e">
        <f>AND(NhatkyNhap!#REF!,"AAAAAF/3/+s=")</f>
        <v>#REF!</v>
      </c>
      <c r="IC47" t="e">
        <f>AND(NhatkyNhap!#REF!,"AAAAAF/3/+w=")</f>
        <v>#REF!</v>
      </c>
      <c r="ID47" t="e">
        <f>AND(NhatkyNhap!#REF!,"AAAAAF/3/+0=")</f>
        <v>#REF!</v>
      </c>
      <c r="IE47" t="e">
        <f>AND(NhatkyNhap!#REF!,"AAAAAF/3/+4=")</f>
        <v>#REF!</v>
      </c>
      <c r="IF47" t="e">
        <f>AND(NhatkyNhap!#REF!,"AAAAAF/3/+8=")</f>
        <v>#REF!</v>
      </c>
      <c r="IG47" t="e">
        <f>AND(NhatkyNhap!#REF!,"AAAAAF/3//A=")</f>
        <v>#REF!</v>
      </c>
      <c r="IH47" t="e">
        <f>AND(NhatkyNhap!#REF!,"AAAAAF/3//E=")</f>
        <v>#REF!</v>
      </c>
      <c r="II47" t="e">
        <f>AND(NhatkyNhap!#REF!,"AAAAAF/3//I=")</f>
        <v>#REF!</v>
      </c>
      <c r="IJ47" t="e">
        <f>AND(NhatkyNhap!#REF!,"AAAAAF/3//M=")</f>
        <v>#REF!</v>
      </c>
      <c r="IK47" t="e">
        <f>AND(NhatkyNhap!#REF!,"AAAAAF/3//Q=")</f>
        <v>#REF!</v>
      </c>
      <c r="IL47" t="e">
        <f>AND(NhatkyNhap!#REF!,"AAAAAF/3//U=")</f>
        <v>#REF!</v>
      </c>
      <c r="IM47" t="e">
        <f>IF(NhatkyNhap!#REF!,"AAAAAF/3//Y=",0)</f>
        <v>#REF!</v>
      </c>
      <c r="IN47" t="e">
        <f>AND(NhatkyNhap!#REF!,"AAAAAF/3//c=")</f>
        <v>#REF!</v>
      </c>
      <c r="IO47" t="e">
        <f>AND(NhatkyNhap!#REF!,"AAAAAF/3//g=")</f>
        <v>#REF!</v>
      </c>
      <c r="IP47" t="e">
        <f>AND(NhatkyNhap!#REF!,"AAAAAF/3//k=")</f>
        <v>#REF!</v>
      </c>
      <c r="IQ47" t="e">
        <f>AND(NhatkyNhap!#REF!,"AAAAAF/3//o=")</f>
        <v>#REF!</v>
      </c>
      <c r="IR47" t="e">
        <f>AND(NhatkyNhap!#REF!,"AAAAAF/3//s=")</f>
        <v>#REF!</v>
      </c>
      <c r="IS47" t="e">
        <f>AND(NhatkyNhap!#REF!,"AAAAAF/3//w=")</f>
        <v>#REF!</v>
      </c>
      <c r="IT47" t="e">
        <f>AND(NhatkyNhap!#REF!,"AAAAAF/3//0=")</f>
        <v>#REF!</v>
      </c>
      <c r="IU47" t="e">
        <f>AND(NhatkyNhap!#REF!,"AAAAAF/3//4=")</f>
        <v>#REF!</v>
      </c>
      <c r="IV47" t="e">
        <f>AND(NhatkyNhap!#REF!,"AAAAAF/3//8=")</f>
        <v>#REF!</v>
      </c>
    </row>
    <row r="48" spans="1:256">
      <c r="A48" t="e">
        <f>AND(NhatkyNhap!#REF!,"AAAAAD33WwA=")</f>
        <v>#REF!</v>
      </c>
      <c r="B48" t="e">
        <f>AND(NhatkyNhap!#REF!,"AAAAAD33WwE=")</f>
        <v>#REF!</v>
      </c>
      <c r="C48" t="e">
        <f>AND(NhatkyNhap!#REF!,"AAAAAD33WwI=")</f>
        <v>#REF!</v>
      </c>
      <c r="D48" t="e">
        <f>AND(NhatkyNhap!#REF!,"AAAAAD33WwM=")</f>
        <v>#REF!</v>
      </c>
      <c r="E48" t="e">
        <f>AND(NhatkyNhap!#REF!,"AAAAAD33WwQ=")</f>
        <v>#REF!</v>
      </c>
      <c r="F48" t="e">
        <f>AND(NhatkyNhap!#REF!,"AAAAAD33WwU=")</f>
        <v>#REF!</v>
      </c>
      <c r="G48" t="e">
        <f>AND(NhatkyNhap!#REF!,"AAAAAD33WwY=")</f>
        <v>#REF!</v>
      </c>
      <c r="H48" t="e">
        <f>AND(NhatkyNhap!#REF!,"AAAAAD33Wwc=")</f>
        <v>#REF!</v>
      </c>
      <c r="I48" t="e">
        <f>AND(NhatkyNhap!#REF!,"AAAAAD33Wwg=")</f>
        <v>#REF!</v>
      </c>
      <c r="J48" t="e">
        <f>AND(NhatkyNhap!#REF!,"AAAAAD33Wwk=")</f>
        <v>#REF!</v>
      </c>
      <c r="K48" t="e">
        <f>AND(NhatkyNhap!#REF!,"AAAAAD33Wwo=")</f>
        <v>#REF!</v>
      </c>
      <c r="L48" t="e">
        <f>AND(NhatkyNhap!#REF!,"AAAAAD33Wws=")</f>
        <v>#REF!</v>
      </c>
      <c r="M48" t="e">
        <f>AND(NhatkyNhap!#REF!,"AAAAAD33Www=")</f>
        <v>#REF!</v>
      </c>
      <c r="N48" t="e">
        <f>AND(NhatkyNhap!#REF!,"AAAAAD33Ww0=")</f>
        <v>#REF!</v>
      </c>
      <c r="O48" t="e">
        <f>AND(NhatkyNhap!#REF!,"AAAAAD33Ww4=")</f>
        <v>#REF!</v>
      </c>
      <c r="P48" t="e">
        <f>AND(NhatkyNhap!#REF!,"AAAAAD33Ww8=")</f>
        <v>#REF!</v>
      </c>
      <c r="Q48" t="e">
        <f>AND(NhatkyNhap!#REF!,"AAAAAD33WxA=")</f>
        <v>#REF!</v>
      </c>
      <c r="R48" t="e">
        <f>AND(NhatkyNhap!#REF!,"AAAAAD33WxE=")</f>
        <v>#REF!</v>
      </c>
      <c r="S48" t="e">
        <f>AND(NhatkyNhap!#REF!,"AAAAAD33WxI=")</f>
        <v>#REF!</v>
      </c>
      <c r="T48" t="e">
        <f>AND(NhatkyNhap!#REF!,"AAAAAD33WxM=")</f>
        <v>#REF!</v>
      </c>
      <c r="U48" t="e">
        <f>AND(NhatkyNhap!#REF!,"AAAAAD33WxQ=")</f>
        <v>#REF!</v>
      </c>
      <c r="V48" t="e">
        <f>AND(NhatkyNhap!#REF!,"AAAAAD33WxU=")</f>
        <v>#REF!</v>
      </c>
      <c r="W48" t="e">
        <f>AND(NhatkyNhap!#REF!,"AAAAAD33WxY=")</f>
        <v>#REF!</v>
      </c>
      <c r="X48" t="e">
        <f>AND(NhatkyNhap!#REF!,"AAAAAD33Wxc=")</f>
        <v>#REF!</v>
      </c>
      <c r="Y48" t="e">
        <f>AND(NhatkyNhap!#REF!,"AAAAAD33Wxg=")</f>
        <v>#REF!</v>
      </c>
      <c r="Z48" t="e">
        <f>IF(NhatkyNhap!#REF!,"AAAAAD33Wxk=",0)</f>
        <v>#REF!</v>
      </c>
      <c r="AA48" t="e">
        <f>AND(NhatkyNhap!#REF!,"AAAAAD33Wxo=")</f>
        <v>#REF!</v>
      </c>
      <c r="AB48" t="e">
        <f>AND(NhatkyNhap!#REF!,"AAAAAD33Wxs=")</f>
        <v>#REF!</v>
      </c>
      <c r="AC48" t="e">
        <f>AND(NhatkyNhap!#REF!,"AAAAAD33Wxw=")</f>
        <v>#REF!</v>
      </c>
      <c r="AD48" t="e">
        <f>AND(NhatkyNhap!#REF!,"AAAAAD33Wx0=")</f>
        <v>#REF!</v>
      </c>
      <c r="AE48" t="e">
        <f>AND(NhatkyNhap!#REF!,"AAAAAD33Wx4=")</f>
        <v>#REF!</v>
      </c>
      <c r="AF48" t="e">
        <f>AND(NhatkyNhap!#REF!,"AAAAAD33Wx8=")</f>
        <v>#REF!</v>
      </c>
      <c r="AG48" t="e">
        <f>AND(NhatkyNhap!#REF!,"AAAAAD33WyA=")</f>
        <v>#REF!</v>
      </c>
      <c r="AH48" t="e">
        <f>AND(NhatkyNhap!#REF!,"AAAAAD33WyE=")</f>
        <v>#REF!</v>
      </c>
      <c r="AI48" t="e">
        <f>AND(NhatkyNhap!#REF!,"AAAAAD33WyI=")</f>
        <v>#REF!</v>
      </c>
      <c r="AJ48" t="e">
        <f>AND(NhatkyNhap!#REF!,"AAAAAD33WyM=")</f>
        <v>#REF!</v>
      </c>
      <c r="AK48" t="e">
        <f>AND(NhatkyNhap!#REF!,"AAAAAD33WyQ=")</f>
        <v>#REF!</v>
      </c>
      <c r="AL48" t="e">
        <f>AND(NhatkyNhap!#REF!,"AAAAAD33WyU=")</f>
        <v>#REF!</v>
      </c>
      <c r="AM48" t="e">
        <f>AND(NhatkyNhap!#REF!,"AAAAAD33WyY=")</f>
        <v>#REF!</v>
      </c>
      <c r="AN48" t="e">
        <f>AND(NhatkyNhap!#REF!,"AAAAAD33Wyc=")</f>
        <v>#REF!</v>
      </c>
      <c r="AO48" t="e">
        <f>AND(NhatkyNhap!#REF!,"AAAAAD33Wyg=")</f>
        <v>#REF!</v>
      </c>
      <c r="AP48" t="e">
        <f>AND(NhatkyNhap!#REF!,"AAAAAD33Wyk=")</f>
        <v>#REF!</v>
      </c>
      <c r="AQ48" t="e">
        <f>AND(NhatkyNhap!#REF!,"AAAAAD33Wyo=")</f>
        <v>#REF!</v>
      </c>
      <c r="AR48" t="e">
        <f>AND(NhatkyNhap!#REF!,"AAAAAD33Wys=")</f>
        <v>#REF!</v>
      </c>
      <c r="AS48" t="e">
        <f>AND(NhatkyNhap!#REF!,"AAAAAD33Wyw=")</f>
        <v>#REF!</v>
      </c>
      <c r="AT48" t="e">
        <f>AND(NhatkyNhap!#REF!,"AAAAAD33Wy0=")</f>
        <v>#REF!</v>
      </c>
      <c r="AU48" t="e">
        <f>AND(NhatkyNhap!#REF!,"AAAAAD33Wy4=")</f>
        <v>#REF!</v>
      </c>
      <c r="AV48" t="e">
        <f>AND(NhatkyNhap!#REF!,"AAAAAD33Wy8=")</f>
        <v>#REF!</v>
      </c>
      <c r="AW48" t="e">
        <f>AND(NhatkyNhap!#REF!,"AAAAAD33WzA=")</f>
        <v>#REF!</v>
      </c>
      <c r="AX48" t="e">
        <f>AND(NhatkyNhap!#REF!,"AAAAAD33WzE=")</f>
        <v>#REF!</v>
      </c>
      <c r="AY48" t="e">
        <f>AND(NhatkyNhap!#REF!,"AAAAAD33WzI=")</f>
        <v>#REF!</v>
      </c>
      <c r="AZ48" t="e">
        <f>AND(NhatkyNhap!#REF!,"AAAAAD33WzM=")</f>
        <v>#REF!</v>
      </c>
      <c r="BA48" t="e">
        <f>AND(NhatkyNhap!#REF!,"AAAAAD33WzQ=")</f>
        <v>#REF!</v>
      </c>
      <c r="BB48" t="e">
        <f>AND(NhatkyNhap!#REF!,"AAAAAD33WzU=")</f>
        <v>#REF!</v>
      </c>
      <c r="BC48" t="e">
        <f>AND(NhatkyNhap!#REF!,"AAAAAD33WzY=")</f>
        <v>#REF!</v>
      </c>
      <c r="BD48" t="e">
        <f>AND(NhatkyNhap!#REF!,"AAAAAD33Wzc=")</f>
        <v>#REF!</v>
      </c>
      <c r="BE48" t="e">
        <f>AND(NhatkyNhap!#REF!,"AAAAAD33Wzg=")</f>
        <v>#REF!</v>
      </c>
      <c r="BF48" t="e">
        <f>AND(NhatkyNhap!#REF!,"AAAAAD33Wzk=")</f>
        <v>#REF!</v>
      </c>
      <c r="BG48" t="e">
        <f>AND(NhatkyNhap!#REF!,"AAAAAD33Wzo=")</f>
        <v>#REF!</v>
      </c>
      <c r="BH48" t="e">
        <f>AND(NhatkyNhap!#REF!,"AAAAAD33Wzs=")</f>
        <v>#REF!</v>
      </c>
      <c r="BI48" t="e">
        <f>IF(NhatkyNhap!#REF!,"AAAAAD33Wzw=",0)</f>
        <v>#REF!</v>
      </c>
      <c r="BJ48" t="e">
        <f>AND(NhatkyNhap!#REF!,"AAAAAD33Wz0=")</f>
        <v>#REF!</v>
      </c>
      <c r="BK48" t="e">
        <f>AND(NhatkyNhap!#REF!,"AAAAAD33Wz4=")</f>
        <v>#REF!</v>
      </c>
      <c r="BL48" t="e">
        <f>AND(NhatkyNhap!#REF!,"AAAAAD33Wz8=")</f>
        <v>#REF!</v>
      </c>
      <c r="BM48" t="e">
        <f>AND(NhatkyNhap!#REF!,"AAAAAD33W0A=")</f>
        <v>#REF!</v>
      </c>
      <c r="BN48" t="e">
        <f>AND(NhatkyNhap!#REF!,"AAAAAD33W0E=")</f>
        <v>#REF!</v>
      </c>
      <c r="BO48" t="e">
        <f>AND(NhatkyNhap!#REF!,"AAAAAD33W0I=")</f>
        <v>#REF!</v>
      </c>
      <c r="BP48" t="e">
        <f>AND(NhatkyNhap!#REF!,"AAAAAD33W0M=")</f>
        <v>#REF!</v>
      </c>
      <c r="BQ48" t="e">
        <f>AND(NhatkyNhap!#REF!,"AAAAAD33W0Q=")</f>
        <v>#REF!</v>
      </c>
      <c r="BR48" t="e">
        <f>AND(NhatkyNhap!#REF!,"AAAAAD33W0U=")</f>
        <v>#REF!</v>
      </c>
      <c r="BS48" t="e">
        <f>AND(NhatkyNhap!#REF!,"AAAAAD33W0Y=")</f>
        <v>#REF!</v>
      </c>
      <c r="BT48" t="e">
        <f>AND(NhatkyNhap!#REF!,"AAAAAD33W0c=")</f>
        <v>#REF!</v>
      </c>
      <c r="BU48" t="e">
        <f>AND(NhatkyNhap!#REF!,"AAAAAD33W0g=")</f>
        <v>#REF!</v>
      </c>
      <c r="BV48" t="e">
        <f>AND(NhatkyNhap!#REF!,"AAAAAD33W0k=")</f>
        <v>#REF!</v>
      </c>
      <c r="BW48" t="e">
        <f>AND(NhatkyNhap!#REF!,"AAAAAD33W0o=")</f>
        <v>#REF!</v>
      </c>
      <c r="BX48" t="e">
        <f>AND(NhatkyNhap!#REF!,"AAAAAD33W0s=")</f>
        <v>#REF!</v>
      </c>
      <c r="BY48" t="e">
        <f>AND(NhatkyNhap!#REF!,"AAAAAD33W0w=")</f>
        <v>#REF!</v>
      </c>
      <c r="BZ48" t="e">
        <f>AND(NhatkyNhap!#REF!,"AAAAAD33W00=")</f>
        <v>#REF!</v>
      </c>
      <c r="CA48" t="e">
        <f>AND(NhatkyNhap!#REF!,"AAAAAD33W04=")</f>
        <v>#REF!</v>
      </c>
      <c r="CB48" t="e">
        <f>AND(NhatkyNhap!#REF!,"AAAAAD33W08=")</f>
        <v>#REF!</v>
      </c>
      <c r="CC48" t="e">
        <f>AND(NhatkyNhap!#REF!,"AAAAAD33W1A=")</f>
        <v>#REF!</v>
      </c>
      <c r="CD48" t="e">
        <f>AND(NhatkyNhap!#REF!,"AAAAAD33W1E=")</f>
        <v>#REF!</v>
      </c>
      <c r="CE48" t="e">
        <f>AND(NhatkyNhap!#REF!,"AAAAAD33W1I=")</f>
        <v>#REF!</v>
      </c>
      <c r="CF48" t="e">
        <f>AND(NhatkyNhap!#REF!,"AAAAAD33W1M=")</f>
        <v>#REF!</v>
      </c>
      <c r="CG48" t="e">
        <f>AND(NhatkyNhap!#REF!,"AAAAAD33W1Q=")</f>
        <v>#REF!</v>
      </c>
      <c r="CH48" t="e">
        <f>AND(NhatkyNhap!#REF!,"AAAAAD33W1U=")</f>
        <v>#REF!</v>
      </c>
      <c r="CI48" t="e">
        <f>AND(NhatkyNhap!#REF!,"AAAAAD33W1Y=")</f>
        <v>#REF!</v>
      </c>
      <c r="CJ48" t="e">
        <f>AND(NhatkyNhap!#REF!,"AAAAAD33W1c=")</f>
        <v>#REF!</v>
      </c>
      <c r="CK48" t="e">
        <f>AND(NhatkyNhap!#REF!,"AAAAAD33W1g=")</f>
        <v>#REF!</v>
      </c>
      <c r="CL48" t="e">
        <f>AND(NhatkyNhap!#REF!,"AAAAAD33W1k=")</f>
        <v>#REF!</v>
      </c>
      <c r="CM48" t="e">
        <f>AND(NhatkyNhap!#REF!,"AAAAAD33W1o=")</f>
        <v>#REF!</v>
      </c>
      <c r="CN48" t="e">
        <f>AND(NhatkyNhap!#REF!,"AAAAAD33W1s=")</f>
        <v>#REF!</v>
      </c>
      <c r="CO48" t="e">
        <f>AND(NhatkyNhap!#REF!,"AAAAAD33W1w=")</f>
        <v>#REF!</v>
      </c>
      <c r="CP48" t="e">
        <f>AND(NhatkyNhap!#REF!,"AAAAAD33W10=")</f>
        <v>#REF!</v>
      </c>
      <c r="CQ48" t="e">
        <f>AND(NhatkyNhap!#REF!,"AAAAAD33W14=")</f>
        <v>#REF!</v>
      </c>
      <c r="CR48" t="e">
        <f>IF(NhatkyNhap!#REF!,"AAAAAD33W18=",0)</f>
        <v>#REF!</v>
      </c>
      <c r="CS48" t="e">
        <f>AND(NhatkyNhap!#REF!,"AAAAAD33W2A=")</f>
        <v>#REF!</v>
      </c>
      <c r="CT48" t="e">
        <f>AND(NhatkyNhap!#REF!,"AAAAAD33W2E=")</f>
        <v>#REF!</v>
      </c>
      <c r="CU48" t="e">
        <f>AND(NhatkyNhap!#REF!,"AAAAAD33W2I=")</f>
        <v>#REF!</v>
      </c>
      <c r="CV48" t="e">
        <f>AND(NhatkyNhap!#REF!,"AAAAAD33W2M=")</f>
        <v>#REF!</v>
      </c>
      <c r="CW48" t="e">
        <f>AND(NhatkyNhap!#REF!,"AAAAAD33W2Q=")</f>
        <v>#REF!</v>
      </c>
      <c r="CX48" t="e">
        <f>AND(NhatkyNhap!#REF!,"AAAAAD33W2U=")</f>
        <v>#REF!</v>
      </c>
      <c r="CY48" t="e">
        <f>AND(NhatkyNhap!#REF!,"AAAAAD33W2Y=")</f>
        <v>#REF!</v>
      </c>
      <c r="CZ48" t="e">
        <f>AND(NhatkyNhap!#REF!,"AAAAAD33W2c=")</f>
        <v>#REF!</v>
      </c>
      <c r="DA48" t="e">
        <f>AND(NhatkyNhap!#REF!,"AAAAAD33W2g=")</f>
        <v>#REF!</v>
      </c>
      <c r="DB48" t="e">
        <f>AND(NhatkyNhap!#REF!,"AAAAAD33W2k=")</f>
        <v>#REF!</v>
      </c>
      <c r="DC48" t="e">
        <f>AND(NhatkyNhap!#REF!,"AAAAAD33W2o=")</f>
        <v>#REF!</v>
      </c>
      <c r="DD48" t="e">
        <f>AND(NhatkyNhap!#REF!,"AAAAAD33W2s=")</f>
        <v>#REF!</v>
      </c>
      <c r="DE48" t="e">
        <f>AND(NhatkyNhap!#REF!,"AAAAAD33W2w=")</f>
        <v>#REF!</v>
      </c>
      <c r="DF48" t="e">
        <f>AND(NhatkyNhap!#REF!,"AAAAAD33W20=")</f>
        <v>#REF!</v>
      </c>
      <c r="DG48" t="e">
        <f>AND(NhatkyNhap!#REF!,"AAAAAD33W24=")</f>
        <v>#REF!</v>
      </c>
      <c r="DH48" t="e">
        <f>AND(NhatkyNhap!#REF!,"AAAAAD33W28=")</f>
        <v>#REF!</v>
      </c>
      <c r="DI48" t="e">
        <f>AND(NhatkyNhap!#REF!,"AAAAAD33W3A=")</f>
        <v>#REF!</v>
      </c>
      <c r="DJ48" t="e">
        <f>AND(NhatkyNhap!#REF!,"AAAAAD33W3E=")</f>
        <v>#REF!</v>
      </c>
      <c r="DK48" t="e">
        <f>AND(NhatkyNhap!#REF!,"AAAAAD33W3I=")</f>
        <v>#REF!</v>
      </c>
      <c r="DL48" t="e">
        <f>AND(NhatkyNhap!#REF!,"AAAAAD33W3M=")</f>
        <v>#REF!</v>
      </c>
      <c r="DM48" t="e">
        <f>AND(NhatkyNhap!#REF!,"AAAAAD33W3Q=")</f>
        <v>#REF!</v>
      </c>
      <c r="DN48" t="e">
        <f>AND(NhatkyNhap!#REF!,"AAAAAD33W3U=")</f>
        <v>#REF!</v>
      </c>
      <c r="DO48" t="e">
        <f>AND(NhatkyNhap!#REF!,"AAAAAD33W3Y=")</f>
        <v>#REF!</v>
      </c>
      <c r="DP48" t="e">
        <f>AND(NhatkyNhap!#REF!,"AAAAAD33W3c=")</f>
        <v>#REF!</v>
      </c>
      <c r="DQ48" t="e">
        <f>AND(NhatkyNhap!#REF!,"AAAAAD33W3g=")</f>
        <v>#REF!</v>
      </c>
      <c r="DR48" t="e">
        <f>AND(NhatkyNhap!#REF!,"AAAAAD33W3k=")</f>
        <v>#REF!</v>
      </c>
      <c r="DS48" t="e">
        <f>AND(NhatkyNhap!#REF!,"AAAAAD33W3o=")</f>
        <v>#REF!</v>
      </c>
      <c r="DT48" t="e">
        <f>AND(NhatkyNhap!#REF!,"AAAAAD33W3s=")</f>
        <v>#REF!</v>
      </c>
      <c r="DU48" t="e">
        <f>AND(NhatkyNhap!#REF!,"AAAAAD33W3w=")</f>
        <v>#REF!</v>
      </c>
      <c r="DV48" t="e">
        <f>AND(NhatkyNhap!#REF!,"AAAAAD33W30=")</f>
        <v>#REF!</v>
      </c>
      <c r="DW48" t="e">
        <f>AND(NhatkyNhap!#REF!,"AAAAAD33W34=")</f>
        <v>#REF!</v>
      </c>
      <c r="DX48" t="e">
        <f>AND(NhatkyNhap!#REF!,"AAAAAD33W38=")</f>
        <v>#REF!</v>
      </c>
      <c r="DY48" t="e">
        <f>AND(NhatkyNhap!#REF!,"AAAAAD33W4A=")</f>
        <v>#REF!</v>
      </c>
      <c r="DZ48" t="e">
        <f>AND(NhatkyNhap!#REF!,"AAAAAD33W4E=")</f>
        <v>#REF!</v>
      </c>
      <c r="EA48" t="e">
        <f>IF(NhatkyNhap!#REF!,"AAAAAD33W4I=",0)</f>
        <v>#REF!</v>
      </c>
      <c r="EB48" t="e">
        <f>AND(NhatkyNhap!#REF!,"AAAAAD33W4M=")</f>
        <v>#REF!</v>
      </c>
      <c r="EC48" t="e">
        <f>AND(NhatkyNhap!#REF!,"AAAAAD33W4Q=")</f>
        <v>#REF!</v>
      </c>
      <c r="ED48" t="e">
        <f>AND(NhatkyNhap!#REF!,"AAAAAD33W4U=")</f>
        <v>#REF!</v>
      </c>
      <c r="EE48" t="e">
        <f>AND(NhatkyNhap!#REF!,"AAAAAD33W4Y=")</f>
        <v>#REF!</v>
      </c>
      <c r="EF48" t="e">
        <f>AND(NhatkyNhap!#REF!,"AAAAAD33W4c=")</f>
        <v>#REF!</v>
      </c>
      <c r="EG48" t="e">
        <f>AND(NhatkyNhap!#REF!,"AAAAAD33W4g=")</f>
        <v>#REF!</v>
      </c>
      <c r="EH48" t="e">
        <f>AND(NhatkyNhap!#REF!,"AAAAAD33W4k=")</f>
        <v>#REF!</v>
      </c>
      <c r="EI48" t="e">
        <f>AND(NhatkyNhap!#REF!,"AAAAAD33W4o=")</f>
        <v>#REF!</v>
      </c>
      <c r="EJ48" t="e">
        <f>AND(NhatkyNhap!#REF!,"AAAAAD33W4s=")</f>
        <v>#REF!</v>
      </c>
      <c r="EK48" t="e">
        <f>AND(NhatkyNhap!#REF!,"AAAAAD33W4w=")</f>
        <v>#REF!</v>
      </c>
      <c r="EL48" t="e">
        <f>AND(NhatkyNhap!#REF!,"AAAAAD33W40=")</f>
        <v>#REF!</v>
      </c>
      <c r="EM48" t="e">
        <f>AND(NhatkyNhap!#REF!,"AAAAAD33W44=")</f>
        <v>#REF!</v>
      </c>
      <c r="EN48" t="e">
        <f>AND(NhatkyNhap!#REF!,"AAAAAD33W48=")</f>
        <v>#REF!</v>
      </c>
      <c r="EO48" t="e">
        <f>AND(NhatkyNhap!#REF!,"AAAAAD33W5A=")</f>
        <v>#REF!</v>
      </c>
      <c r="EP48" t="e">
        <f>AND(NhatkyNhap!#REF!,"AAAAAD33W5E=")</f>
        <v>#REF!</v>
      </c>
      <c r="EQ48" t="e">
        <f>AND(NhatkyNhap!#REF!,"AAAAAD33W5I=")</f>
        <v>#REF!</v>
      </c>
      <c r="ER48" t="e">
        <f>AND(NhatkyNhap!#REF!,"AAAAAD33W5M=")</f>
        <v>#REF!</v>
      </c>
      <c r="ES48" t="e">
        <f>AND(NhatkyNhap!#REF!,"AAAAAD33W5Q=")</f>
        <v>#REF!</v>
      </c>
      <c r="ET48" t="e">
        <f>AND(NhatkyNhap!#REF!,"AAAAAD33W5U=")</f>
        <v>#REF!</v>
      </c>
      <c r="EU48" t="e">
        <f>AND(NhatkyNhap!#REF!,"AAAAAD33W5Y=")</f>
        <v>#REF!</v>
      </c>
      <c r="EV48" t="e">
        <f>AND(NhatkyNhap!#REF!,"AAAAAD33W5c=")</f>
        <v>#REF!</v>
      </c>
      <c r="EW48" t="e">
        <f>AND(NhatkyNhap!#REF!,"AAAAAD33W5g=")</f>
        <v>#REF!</v>
      </c>
      <c r="EX48" t="e">
        <f>AND(NhatkyNhap!#REF!,"AAAAAD33W5k=")</f>
        <v>#REF!</v>
      </c>
      <c r="EY48" t="e">
        <f>AND(NhatkyNhap!#REF!,"AAAAAD33W5o=")</f>
        <v>#REF!</v>
      </c>
      <c r="EZ48" t="e">
        <f>AND(NhatkyNhap!#REF!,"AAAAAD33W5s=")</f>
        <v>#REF!</v>
      </c>
      <c r="FA48" t="e">
        <f>AND(NhatkyNhap!#REF!,"AAAAAD33W5w=")</f>
        <v>#REF!</v>
      </c>
      <c r="FB48" t="e">
        <f>AND(NhatkyNhap!#REF!,"AAAAAD33W50=")</f>
        <v>#REF!</v>
      </c>
      <c r="FC48" t="e">
        <f>AND(NhatkyNhap!#REF!,"AAAAAD33W54=")</f>
        <v>#REF!</v>
      </c>
      <c r="FD48" t="e">
        <f>AND(NhatkyNhap!#REF!,"AAAAAD33W58=")</f>
        <v>#REF!</v>
      </c>
      <c r="FE48" t="e">
        <f>AND(NhatkyNhap!#REF!,"AAAAAD33W6A=")</f>
        <v>#REF!</v>
      </c>
      <c r="FF48" t="e">
        <f>AND(NhatkyNhap!#REF!,"AAAAAD33W6E=")</f>
        <v>#REF!</v>
      </c>
      <c r="FG48" t="e">
        <f>AND(NhatkyNhap!#REF!,"AAAAAD33W6I=")</f>
        <v>#REF!</v>
      </c>
      <c r="FH48" t="e">
        <f>AND(NhatkyNhap!#REF!,"AAAAAD33W6M=")</f>
        <v>#REF!</v>
      </c>
      <c r="FI48" t="e">
        <f>AND(NhatkyNhap!#REF!,"AAAAAD33W6Q=")</f>
        <v>#REF!</v>
      </c>
      <c r="FJ48" t="e">
        <f>IF(NhatkyNhap!#REF!,"AAAAAD33W6U=",0)</f>
        <v>#REF!</v>
      </c>
      <c r="FK48" t="e">
        <f>AND(NhatkyNhap!#REF!,"AAAAAD33W6Y=")</f>
        <v>#REF!</v>
      </c>
      <c r="FL48" t="e">
        <f>AND(NhatkyNhap!#REF!,"AAAAAD33W6c=")</f>
        <v>#REF!</v>
      </c>
      <c r="FM48" t="e">
        <f>AND(NhatkyNhap!#REF!,"AAAAAD33W6g=")</f>
        <v>#REF!</v>
      </c>
      <c r="FN48" t="e">
        <f>AND(NhatkyNhap!#REF!,"AAAAAD33W6k=")</f>
        <v>#REF!</v>
      </c>
      <c r="FO48" t="e">
        <f>AND(NhatkyNhap!#REF!,"AAAAAD33W6o=")</f>
        <v>#REF!</v>
      </c>
      <c r="FP48" t="e">
        <f>AND(NhatkyNhap!#REF!,"AAAAAD33W6s=")</f>
        <v>#REF!</v>
      </c>
      <c r="FQ48" t="e">
        <f>AND(NhatkyNhap!#REF!,"AAAAAD33W6w=")</f>
        <v>#REF!</v>
      </c>
      <c r="FR48" t="e">
        <f>AND(NhatkyNhap!#REF!,"AAAAAD33W60=")</f>
        <v>#REF!</v>
      </c>
      <c r="FS48" t="e">
        <f>AND(NhatkyNhap!#REF!,"AAAAAD33W64=")</f>
        <v>#REF!</v>
      </c>
      <c r="FT48" t="e">
        <f>AND(NhatkyNhap!#REF!,"AAAAAD33W68=")</f>
        <v>#REF!</v>
      </c>
      <c r="FU48" t="e">
        <f>AND(NhatkyNhap!#REF!,"AAAAAD33W7A=")</f>
        <v>#REF!</v>
      </c>
      <c r="FV48" t="e">
        <f>AND(NhatkyNhap!#REF!,"AAAAAD33W7E=")</f>
        <v>#REF!</v>
      </c>
      <c r="FW48" t="e">
        <f>AND(NhatkyNhap!#REF!,"AAAAAD33W7I=")</f>
        <v>#REF!</v>
      </c>
      <c r="FX48" t="e">
        <f>AND(NhatkyNhap!#REF!,"AAAAAD33W7M=")</f>
        <v>#REF!</v>
      </c>
      <c r="FY48" t="e">
        <f>AND(NhatkyNhap!#REF!,"AAAAAD33W7Q=")</f>
        <v>#REF!</v>
      </c>
      <c r="FZ48" t="e">
        <f>AND(NhatkyNhap!#REF!,"AAAAAD33W7U=")</f>
        <v>#REF!</v>
      </c>
      <c r="GA48" t="e">
        <f>AND(NhatkyNhap!#REF!,"AAAAAD33W7Y=")</f>
        <v>#REF!</v>
      </c>
      <c r="GB48" t="e">
        <f>AND(NhatkyNhap!#REF!,"AAAAAD33W7c=")</f>
        <v>#REF!</v>
      </c>
      <c r="GC48" t="e">
        <f>AND(NhatkyNhap!#REF!,"AAAAAD33W7g=")</f>
        <v>#REF!</v>
      </c>
      <c r="GD48" t="e">
        <f>AND(NhatkyNhap!#REF!,"AAAAAD33W7k=")</f>
        <v>#REF!</v>
      </c>
      <c r="GE48" t="e">
        <f>AND(NhatkyNhap!#REF!,"AAAAAD33W7o=")</f>
        <v>#REF!</v>
      </c>
      <c r="GF48" t="e">
        <f>AND(NhatkyNhap!#REF!,"AAAAAD33W7s=")</f>
        <v>#REF!</v>
      </c>
      <c r="GG48" t="e">
        <f>AND(NhatkyNhap!#REF!,"AAAAAD33W7w=")</f>
        <v>#REF!</v>
      </c>
      <c r="GH48" t="e">
        <f>AND(NhatkyNhap!#REF!,"AAAAAD33W70=")</f>
        <v>#REF!</v>
      </c>
      <c r="GI48" t="e">
        <f>AND(NhatkyNhap!#REF!,"AAAAAD33W74=")</f>
        <v>#REF!</v>
      </c>
      <c r="GJ48" t="e">
        <f>AND(NhatkyNhap!#REF!,"AAAAAD33W78=")</f>
        <v>#REF!</v>
      </c>
      <c r="GK48" t="e">
        <f>AND(NhatkyNhap!#REF!,"AAAAAD33W8A=")</f>
        <v>#REF!</v>
      </c>
      <c r="GL48" t="e">
        <f>AND(NhatkyNhap!#REF!,"AAAAAD33W8E=")</f>
        <v>#REF!</v>
      </c>
      <c r="GM48" t="e">
        <f>AND(NhatkyNhap!#REF!,"AAAAAD33W8I=")</f>
        <v>#REF!</v>
      </c>
      <c r="GN48" t="e">
        <f>AND(NhatkyNhap!#REF!,"AAAAAD33W8M=")</f>
        <v>#REF!</v>
      </c>
      <c r="GO48" t="e">
        <f>AND(NhatkyNhap!#REF!,"AAAAAD33W8Q=")</f>
        <v>#REF!</v>
      </c>
      <c r="GP48" t="e">
        <f>AND(NhatkyNhap!#REF!,"AAAAAD33W8U=")</f>
        <v>#REF!</v>
      </c>
      <c r="GQ48" t="e">
        <f>AND(NhatkyNhap!#REF!,"AAAAAD33W8Y=")</f>
        <v>#REF!</v>
      </c>
      <c r="GR48" t="e">
        <f>AND(NhatkyNhap!#REF!,"AAAAAD33W8c=")</f>
        <v>#REF!</v>
      </c>
      <c r="GS48" t="e">
        <f>IF(NhatkyNhap!#REF!,"AAAAAD33W8g=",0)</f>
        <v>#REF!</v>
      </c>
      <c r="GT48" t="e">
        <f>AND(NhatkyNhap!#REF!,"AAAAAD33W8k=")</f>
        <v>#REF!</v>
      </c>
      <c r="GU48" t="e">
        <f>AND(NhatkyNhap!#REF!,"AAAAAD33W8o=")</f>
        <v>#REF!</v>
      </c>
      <c r="GV48" t="e">
        <f>AND(NhatkyNhap!#REF!,"AAAAAD33W8s=")</f>
        <v>#REF!</v>
      </c>
      <c r="GW48" t="e">
        <f>AND(NhatkyNhap!#REF!,"AAAAAD33W8w=")</f>
        <v>#REF!</v>
      </c>
      <c r="GX48" t="e">
        <f>AND(NhatkyNhap!#REF!,"AAAAAD33W80=")</f>
        <v>#REF!</v>
      </c>
      <c r="GY48" t="e">
        <f>AND(NhatkyNhap!#REF!,"AAAAAD33W84=")</f>
        <v>#REF!</v>
      </c>
      <c r="GZ48" t="e">
        <f>AND(NhatkyNhap!#REF!,"AAAAAD33W88=")</f>
        <v>#REF!</v>
      </c>
      <c r="HA48" t="e">
        <f>AND(NhatkyNhap!#REF!,"AAAAAD33W9A=")</f>
        <v>#REF!</v>
      </c>
      <c r="HB48" t="e">
        <f>AND(NhatkyNhap!#REF!,"AAAAAD33W9E=")</f>
        <v>#REF!</v>
      </c>
      <c r="HC48" t="e">
        <f>AND(NhatkyNhap!#REF!,"AAAAAD33W9I=")</f>
        <v>#REF!</v>
      </c>
      <c r="HD48" t="e">
        <f>AND(NhatkyNhap!#REF!,"AAAAAD33W9M=")</f>
        <v>#REF!</v>
      </c>
      <c r="HE48" t="e">
        <f>AND(NhatkyNhap!#REF!,"AAAAAD33W9Q=")</f>
        <v>#REF!</v>
      </c>
      <c r="HF48" t="e">
        <f>AND(NhatkyNhap!#REF!,"AAAAAD33W9U=")</f>
        <v>#REF!</v>
      </c>
      <c r="HG48" t="e">
        <f>AND(NhatkyNhap!#REF!,"AAAAAD33W9Y=")</f>
        <v>#REF!</v>
      </c>
      <c r="HH48" t="e">
        <f>AND(NhatkyNhap!#REF!,"AAAAAD33W9c=")</f>
        <v>#REF!</v>
      </c>
      <c r="HI48" t="e">
        <f>AND(NhatkyNhap!#REF!,"AAAAAD33W9g=")</f>
        <v>#REF!</v>
      </c>
      <c r="HJ48" t="e">
        <f>AND(NhatkyNhap!#REF!,"AAAAAD33W9k=")</f>
        <v>#REF!</v>
      </c>
      <c r="HK48" t="e">
        <f>AND(NhatkyNhap!#REF!,"AAAAAD33W9o=")</f>
        <v>#REF!</v>
      </c>
      <c r="HL48" t="e">
        <f>AND(NhatkyNhap!#REF!,"AAAAAD33W9s=")</f>
        <v>#REF!</v>
      </c>
      <c r="HM48" t="e">
        <f>AND(NhatkyNhap!#REF!,"AAAAAD33W9w=")</f>
        <v>#REF!</v>
      </c>
      <c r="HN48" t="e">
        <f>AND(NhatkyNhap!#REF!,"AAAAAD33W90=")</f>
        <v>#REF!</v>
      </c>
      <c r="HO48" t="e">
        <f>AND(NhatkyNhap!#REF!,"AAAAAD33W94=")</f>
        <v>#REF!</v>
      </c>
      <c r="HP48" t="e">
        <f>AND(NhatkyNhap!#REF!,"AAAAAD33W98=")</f>
        <v>#REF!</v>
      </c>
      <c r="HQ48" t="e">
        <f>AND(NhatkyNhap!#REF!,"AAAAAD33W+A=")</f>
        <v>#REF!</v>
      </c>
      <c r="HR48" t="e">
        <f>AND(NhatkyNhap!#REF!,"AAAAAD33W+E=")</f>
        <v>#REF!</v>
      </c>
      <c r="HS48" t="e">
        <f>AND(NhatkyNhap!#REF!,"AAAAAD33W+I=")</f>
        <v>#REF!</v>
      </c>
      <c r="HT48" t="e">
        <f>AND(NhatkyNhap!#REF!,"AAAAAD33W+M=")</f>
        <v>#REF!</v>
      </c>
      <c r="HU48" t="e">
        <f>AND(NhatkyNhap!#REF!,"AAAAAD33W+Q=")</f>
        <v>#REF!</v>
      </c>
      <c r="HV48" t="e">
        <f>AND(NhatkyNhap!#REF!,"AAAAAD33W+U=")</f>
        <v>#REF!</v>
      </c>
      <c r="HW48" t="e">
        <f>AND(NhatkyNhap!#REF!,"AAAAAD33W+Y=")</f>
        <v>#REF!</v>
      </c>
      <c r="HX48" t="e">
        <f>AND(NhatkyNhap!#REF!,"AAAAAD33W+c=")</f>
        <v>#REF!</v>
      </c>
      <c r="HY48" t="e">
        <f>AND(NhatkyNhap!#REF!,"AAAAAD33W+g=")</f>
        <v>#REF!</v>
      </c>
      <c r="HZ48" t="e">
        <f>AND(NhatkyNhap!#REF!,"AAAAAD33W+k=")</f>
        <v>#REF!</v>
      </c>
      <c r="IA48" t="e">
        <f>AND(NhatkyNhap!#REF!,"AAAAAD33W+o=")</f>
        <v>#REF!</v>
      </c>
      <c r="IB48" t="e">
        <f>IF(NhatkyNhap!#REF!,"AAAAAD33W+s=",0)</f>
        <v>#REF!</v>
      </c>
      <c r="IC48" t="e">
        <f>AND(NhatkyNhap!#REF!,"AAAAAD33W+w=")</f>
        <v>#REF!</v>
      </c>
      <c r="ID48" t="e">
        <f>AND(NhatkyNhap!#REF!,"AAAAAD33W+0=")</f>
        <v>#REF!</v>
      </c>
      <c r="IE48" t="e">
        <f>AND(NhatkyNhap!#REF!,"AAAAAD33W+4=")</f>
        <v>#REF!</v>
      </c>
      <c r="IF48" t="e">
        <f>AND(NhatkyNhap!#REF!,"AAAAAD33W+8=")</f>
        <v>#REF!</v>
      </c>
      <c r="IG48" t="e">
        <f>AND(NhatkyNhap!#REF!,"AAAAAD33W/A=")</f>
        <v>#REF!</v>
      </c>
      <c r="IH48" t="e">
        <f>AND(NhatkyNhap!#REF!,"AAAAAD33W/E=")</f>
        <v>#REF!</v>
      </c>
      <c r="II48" t="e">
        <f>AND(NhatkyNhap!#REF!,"AAAAAD33W/I=")</f>
        <v>#REF!</v>
      </c>
      <c r="IJ48" t="e">
        <f>AND(NhatkyNhap!#REF!,"AAAAAD33W/M=")</f>
        <v>#REF!</v>
      </c>
      <c r="IK48" t="e">
        <f>AND(NhatkyNhap!#REF!,"AAAAAD33W/Q=")</f>
        <v>#REF!</v>
      </c>
      <c r="IL48" t="e">
        <f>AND(NhatkyNhap!#REF!,"AAAAAD33W/U=")</f>
        <v>#REF!</v>
      </c>
      <c r="IM48" t="e">
        <f>AND(NhatkyNhap!#REF!,"AAAAAD33W/Y=")</f>
        <v>#REF!</v>
      </c>
      <c r="IN48" t="e">
        <f>AND(NhatkyNhap!#REF!,"AAAAAD33W/c=")</f>
        <v>#REF!</v>
      </c>
      <c r="IO48" t="e">
        <f>AND(NhatkyNhap!#REF!,"AAAAAD33W/g=")</f>
        <v>#REF!</v>
      </c>
      <c r="IP48" t="e">
        <f>AND(NhatkyNhap!#REF!,"AAAAAD33W/k=")</f>
        <v>#REF!</v>
      </c>
      <c r="IQ48" t="e">
        <f>AND(NhatkyNhap!#REF!,"AAAAAD33W/o=")</f>
        <v>#REF!</v>
      </c>
      <c r="IR48" t="e">
        <f>AND(NhatkyNhap!#REF!,"AAAAAD33W/s=")</f>
        <v>#REF!</v>
      </c>
      <c r="IS48" t="e">
        <f>AND(NhatkyNhap!#REF!,"AAAAAD33W/w=")</f>
        <v>#REF!</v>
      </c>
      <c r="IT48" t="e">
        <f>AND(NhatkyNhap!#REF!,"AAAAAD33W/0=")</f>
        <v>#REF!</v>
      </c>
      <c r="IU48" t="e">
        <f>AND(NhatkyNhap!#REF!,"AAAAAD33W/4=")</f>
        <v>#REF!</v>
      </c>
      <c r="IV48" t="e">
        <f>AND(NhatkyNhap!#REF!,"AAAAAD33W/8=")</f>
        <v>#REF!</v>
      </c>
    </row>
    <row r="49" spans="1:256">
      <c r="A49" t="e">
        <f>AND(NhatkyNhap!#REF!,"AAAAAH7P+wA=")</f>
        <v>#REF!</v>
      </c>
      <c r="B49" t="e">
        <f>AND(NhatkyNhap!#REF!,"AAAAAH7P+wE=")</f>
        <v>#REF!</v>
      </c>
      <c r="C49" t="e">
        <f>AND(NhatkyNhap!#REF!,"AAAAAH7P+wI=")</f>
        <v>#REF!</v>
      </c>
      <c r="D49" t="e">
        <f>AND(NhatkyNhap!#REF!,"AAAAAH7P+wM=")</f>
        <v>#REF!</v>
      </c>
      <c r="E49" t="e">
        <f>AND(NhatkyNhap!#REF!,"AAAAAH7P+wQ=")</f>
        <v>#REF!</v>
      </c>
      <c r="F49" t="e">
        <f>AND(NhatkyNhap!#REF!,"AAAAAH7P+wU=")</f>
        <v>#REF!</v>
      </c>
      <c r="G49" t="e">
        <f>AND(NhatkyNhap!#REF!,"AAAAAH7P+wY=")</f>
        <v>#REF!</v>
      </c>
      <c r="H49" t="e">
        <f>AND(NhatkyNhap!#REF!,"AAAAAH7P+wc=")</f>
        <v>#REF!</v>
      </c>
      <c r="I49" t="e">
        <f>AND(NhatkyNhap!#REF!,"AAAAAH7P+wg=")</f>
        <v>#REF!</v>
      </c>
      <c r="J49" t="e">
        <f>AND(NhatkyNhap!#REF!,"AAAAAH7P+wk=")</f>
        <v>#REF!</v>
      </c>
      <c r="K49" t="e">
        <f>AND(NhatkyNhap!#REF!,"AAAAAH7P+wo=")</f>
        <v>#REF!</v>
      </c>
      <c r="L49" t="e">
        <f>AND(NhatkyNhap!#REF!,"AAAAAH7P+ws=")</f>
        <v>#REF!</v>
      </c>
      <c r="M49" t="e">
        <f>AND(NhatkyNhap!#REF!,"AAAAAH7P+ww=")</f>
        <v>#REF!</v>
      </c>
      <c r="N49" t="e">
        <f>AND(NhatkyNhap!#REF!,"AAAAAH7P+w0=")</f>
        <v>#REF!</v>
      </c>
      <c r="O49" t="e">
        <f>IF(NhatkyNhap!#REF!,"AAAAAH7P+w4=",0)</f>
        <v>#REF!</v>
      </c>
      <c r="P49" t="e">
        <f>AND(NhatkyNhap!#REF!,"AAAAAH7P+w8=")</f>
        <v>#REF!</v>
      </c>
      <c r="Q49" t="e">
        <f>AND(NhatkyNhap!#REF!,"AAAAAH7P+xA=")</f>
        <v>#REF!</v>
      </c>
      <c r="R49" t="e">
        <f>AND(NhatkyNhap!#REF!,"AAAAAH7P+xE=")</f>
        <v>#REF!</v>
      </c>
      <c r="S49" t="e">
        <f>AND(NhatkyNhap!#REF!,"AAAAAH7P+xI=")</f>
        <v>#REF!</v>
      </c>
      <c r="T49" t="e">
        <f>AND(NhatkyNhap!#REF!,"AAAAAH7P+xM=")</f>
        <v>#REF!</v>
      </c>
      <c r="U49" t="e">
        <f>AND(NhatkyNhap!#REF!,"AAAAAH7P+xQ=")</f>
        <v>#REF!</v>
      </c>
      <c r="V49" t="e">
        <f>AND(NhatkyNhap!#REF!,"AAAAAH7P+xU=")</f>
        <v>#REF!</v>
      </c>
      <c r="W49" t="e">
        <f>AND(NhatkyNhap!#REF!,"AAAAAH7P+xY=")</f>
        <v>#REF!</v>
      </c>
      <c r="X49" t="e">
        <f>AND(NhatkyNhap!#REF!,"AAAAAH7P+xc=")</f>
        <v>#REF!</v>
      </c>
      <c r="Y49" t="e">
        <f>AND(NhatkyNhap!#REF!,"AAAAAH7P+xg=")</f>
        <v>#REF!</v>
      </c>
      <c r="Z49" t="e">
        <f>AND(NhatkyNhap!#REF!,"AAAAAH7P+xk=")</f>
        <v>#REF!</v>
      </c>
      <c r="AA49" t="e">
        <f>AND(NhatkyNhap!#REF!,"AAAAAH7P+xo=")</f>
        <v>#REF!</v>
      </c>
      <c r="AB49" t="e">
        <f>AND(NhatkyNhap!#REF!,"AAAAAH7P+xs=")</f>
        <v>#REF!</v>
      </c>
      <c r="AC49" t="e">
        <f>AND(NhatkyNhap!#REF!,"AAAAAH7P+xw=")</f>
        <v>#REF!</v>
      </c>
      <c r="AD49" t="e">
        <f>AND(NhatkyNhap!#REF!,"AAAAAH7P+x0=")</f>
        <v>#REF!</v>
      </c>
      <c r="AE49" t="e">
        <f>AND(NhatkyNhap!#REF!,"AAAAAH7P+x4=")</f>
        <v>#REF!</v>
      </c>
      <c r="AF49" t="e">
        <f>AND(NhatkyNhap!#REF!,"AAAAAH7P+x8=")</f>
        <v>#REF!</v>
      </c>
      <c r="AG49" t="e">
        <f>AND(NhatkyNhap!#REF!,"AAAAAH7P+yA=")</f>
        <v>#REF!</v>
      </c>
      <c r="AH49" t="e">
        <f>AND(NhatkyNhap!#REF!,"AAAAAH7P+yE=")</f>
        <v>#REF!</v>
      </c>
      <c r="AI49" t="e">
        <f>AND(NhatkyNhap!#REF!,"AAAAAH7P+yI=")</f>
        <v>#REF!</v>
      </c>
      <c r="AJ49" t="e">
        <f>AND(NhatkyNhap!#REF!,"AAAAAH7P+yM=")</f>
        <v>#REF!</v>
      </c>
      <c r="AK49" t="e">
        <f>AND(NhatkyNhap!#REF!,"AAAAAH7P+yQ=")</f>
        <v>#REF!</v>
      </c>
      <c r="AL49" t="e">
        <f>AND(NhatkyNhap!#REF!,"AAAAAH7P+yU=")</f>
        <v>#REF!</v>
      </c>
      <c r="AM49" t="e">
        <f>AND(NhatkyNhap!#REF!,"AAAAAH7P+yY=")</f>
        <v>#REF!</v>
      </c>
      <c r="AN49" t="e">
        <f>AND(NhatkyNhap!#REF!,"AAAAAH7P+yc=")</f>
        <v>#REF!</v>
      </c>
      <c r="AO49" t="e">
        <f>AND(NhatkyNhap!#REF!,"AAAAAH7P+yg=")</f>
        <v>#REF!</v>
      </c>
      <c r="AP49" t="e">
        <f>AND(NhatkyNhap!#REF!,"AAAAAH7P+yk=")</f>
        <v>#REF!</v>
      </c>
      <c r="AQ49" t="e">
        <f>AND(NhatkyNhap!#REF!,"AAAAAH7P+yo=")</f>
        <v>#REF!</v>
      </c>
      <c r="AR49" t="e">
        <f>AND(NhatkyNhap!#REF!,"AAAAAH7P+ys=")</f>
        <v>#REF!</v>
      </c>
      <c r="AS49" t="e">
        <f>AND(NhatkyNhap!#REF!,"AAAAAH7P+yw=")</f>
        <v>#REF!</v>
      </c>
      <c r="AT49" t="e">
        <f>AND(NhatkyNhap!#REF!,"AAAAAH7P+y0=")</f>
        <v>#REF!</v>
      </c>
      <c r="AU49" t="e">
        <f>AND(NhatkyNhap!#REF!,"AAAAAH7P+y4=")</f>
        <v>#REF!</v>
      </c>
      <c r="AV49" t="e">
        <f>AND(NhatkyNhap!#REF!,"AAAAAH7P+y8=")</f>
        <v>#REF!</v>
      </c>
      <c r="AW49" t="e">
        <f>AND(NhatkyNhap!#REF!,"AAAAAH7P+zA=")</f>
        <v>#REF!</v>
      </c>
      <c r="AX49" t="e">
        <f>IF(NhatkyNhap!#REF!,"AAAAAH7P+zE=",0)</f>
        <v>#REF!</v>
      </c>
      <c r="AY49" t="e">
        <f>AND(NhatkyNhap!#REF!,"AAAAAH7P+zI=")</f>
        <v>#REF!</v>
      </c>
      <c r="AZ49" t="e">
        <f>AND(NhatkyNhap!#REF!,"AAAAAH7P+zM=")</f>
        <v>#REF!</v>
      </c>
      <c r="BA49" t="e">
        <f>AND(NhatkyNhap!#REF!,"AAAAAH7P+zQ=")</f>
        <v>#REF!</v>
      </c>
      <c r="BB49" t="e">
        <f>AND(NhatkyNhap!#REF!,"AAAAAH7P+zU=")</f>
        <v>#REF!</v>
      </c>
      <c r="BC49" t="e">
        <f>AND(NhatkyNhap!#REF!,"AAAAAH7P+zY=")</f>
        <v>#REF!</v>
      </c>
      <c r="BD49" t="e">
        <f>AND(NhatkyNhap!#REF!,"AAAAAH7P+zc=")</f>
        <v>#REF!</v>
      </c>
      <c r="BE49" t="e">
        <f>AND(NhatkyNhap!#REF!,"AAAAAH7P+zg=")</f>
        <v>#REF!</v>
      </c>
      <c r="BF49" t="e">
        <f>AND(NhatkyNhap!#REF!,"AAAAAH7P+zk=")</f>
        <v>#REF!</v>
      </c>
      <c r="BG49" t="e">
        <f>AND(NhatkyNhap!#REF!,"AAAAAH7P+zo=")</f>
        <v>#REF!</v>
      </c>
      <c r="BH49" t="e">
        <f>AND(NhatkyNhap!#REF!,"AAAAAH7P+zs=")</f>
        <v>#REF!</v>
      </c>
      <c r="BI49" t="e">
        <f>AND(NhatkyNhap!#REF!,"AAAAAH7P+zw=")</f>
        <v>#REF!</v>
      </c>
      <c r="BJ49" t="e">
        <f>AND(NhatkyNhap!#REF!,"AAAAAH7P+z0=")</f>
        <v>#REF!</v>
      </c>
      <c r="BK49" t="e">
        <f>AND(NhatkyNhap!#REF!,"AAAAAH7P+z4=")</f>
        <v>#REF!</v>
      </c>
      <c r="BL49" t="e">
        <f>AND(NhatkyNhap!#REF!,"AAAAAH7P+z8=")</f>
        <v>#REF!</v>
      </c>
      <c r="BM49" t="e">
        <f>AND(NhatkyNhap!#REF!,"AAAAAH7P+0A=")</f>
        <v>#REF!</v>
      </c>
      <c r="BN49" t="e">
        <f>AND(NhatkyNhap!#REF!,"AAAAAH7P+0E=")</f>
        <v>#REF!</v>
      </c>
      <c r="BO49" t="e">
        <f>AND(NhatkyNhap!#REF!,"AAAAAH7P+0I=")</f>
        <v>#REF!</v>
      </c>
      <c r="BP49" t="e">
        <f>AND(NhatkyNhap!#REF!,"AAAAAH7P+0M=")</f>
        <v>#REF!</v>
      </c>
      <c r="BQ49" t="e">
        <f>AND(NhatkyNhap!#REF!,"AAAAAH7P+0Q=")</f>
        <v>#REF!</v>
      </c>
      <c r="BR49" t="e">
        <f>AND(NhatkyNhap!#REF!,"AAAAAH7P+0U=")</f>
        <v>#REF!</v>
      </c>
      <c r="BS49" t="e">
        <f>AND(NhatkyNhap!#REF!,"AAAAAH7P+0Y=")</f>
        <v>#REF!</v>
      </c>
      <c r="BT49" t="e">
        <f>AND(NhatkyNhap!#REF!,"AAAAAH7P+0c=")</f>
        <v>#REF!</v>
      </c>
      <c r="BU49" t="e">
        <f>AND(NhatkyNhap!#REF!,"AAAAAH7P+0g=")</f>
        <v>#REF!</v>
      </c>
      <c r="BV49" t="e">
        <f>AND(NhatkyNhap!#REF!,"AAAAAH7P+0k=")</f>
        <v>#REF!</v>
      </c>
      <c r="BW49" t="e">
        <f>AND(NhatkyNhap!#REF!,"AAAAAH7P+0o=")</f>
        <v>#REF!</v>
      </c>
      <c r="BX49" t="e">
        <f>AND(NhatkyNhap!#REF!,"AAAAAH7P+0s=")</f>
        <v>#REF!</v>
      </c>
      <c r="BY49" t="e">
        <f>AND(NhatkyNhap!#REF!,"AAAAAH7P+0w=")</f>
        <v>#REF!</v>
      </c>
      <c r="BZ49" t="e">
        <f>AND(NhatkyNhap!#REF!,"AAAAAH7P+00=")</f>
        <v>#REF!</v>
      </c>
      <c r="CA49" t="e">
        <f>AND(NhatkyNhap!#REF!,"AAAAAH7P+04=")</f>
        <v>#REF!</v>
      </c>
      <c r="CB49" t="e">
        <f>AND(NhatkyNhap!#REF!,"AAAAAH7P+08=")</f>
        <v>#REF!</v>
      </c>
      <c r="CC49" t="e">
        <f>AND(NhatkyNhap!#REF!,"AAAAAH7P+1A=")</f>
        <v>#REF!</v>
      </c>
      <c r="CD49" t="e">
        <f>AND(NhatkyNhap!#REF!,"AAAAAH7P+1E=")</f>
        <v>#REF!</v>
      </c>
      <c r="CE49" t="e">
        <f>AND(NhatkyNhap!#REF!,"AAAAAH7P+1I=")</f>
        <v>#REF!</v>
      </c>
      <c r="CF49" t="e">
        <f>AND(NhatkyNhap!#REF!,"AAAAAH7P+1M=")</f>
        <v>#REF!</v>
      </c>
      <c r="CG49" t="e">
        <f>IF(NhatkyNhap!#REF!,"AAAAAH7P+1Q=",0)</f>
        <v>#REF!</v>
      </c>
      <c r="CH49" t="e">
        <f>AND(NhatkyNhap!#REF!,"AAAAAH7P+1U=")</f>
        <v>#REF!</v>
      </c>
      <c r="CI49" t="e">
        <f>AND(NhatkyNhap!#REF!,"AAAAAH7P+1Y=")</f>
        <v>#REF!</v>
      </c>
      <c r="CJ49" t="e">
        <f>AND(NhatkyNhap!#REF!,"AAAAAH7P+1c=")</f>
        <v>#REF!</v>
      </c>
      <c r="CK49" t="e">
        <f>AND(NhatkyNhap!#REF!,"AAAAAH7P+1g=")</f>
        <v>#REF!</v>
      </c>
      <c r="CL49" t="e">
        <f>AND(NhatkyNhap!#REF!,"AAAAAH7P+1k=")</f>
        <v>#REF!</v>
      </c>
      <c r="CM49" t="e">
        <f>AND(NhatkyNhap!#REF!,"AAAAAH7P+1o=")</f>
        <v>#REF!</v>
      </c>
      <c r="CN49" t="e">
        <f>AND(NhatkyNhap!#REF!,"AAAAAH7P+1s=")</f>
        <v>#REF!</v>
      </c>
      <c r="CO49" t="e">
        <f>AND(NhatkyNhap!#REF!,"AAAAAH7P+1w=")</f>
        <v>#REF!</v>
      </c>
      <c r="CP49" t="e">
        <f>AND(NhatkyNhap!#REF!,"AAAAAH7P+10=")</f>
        <v>#REF!</v>
      </c>
      <c r="CQ49" t="e">
        <f>AND(NhatkyNhap!#REF!,"AAAAAH7P+14=")</f>
        <v>#REF!</v>
      </c>
      <c r="CR49" t="e">
        <f>AND(NhatkyNhap!#REF!,"AAAAAH7P+18=")</f>
        <v>#REF!</v>
      </c>
      <c r="CS49" t="e">
        <f>AND(NhatkyNhap!#REF!,"AAAAAH7P+2A=")</f>
        <v>#REF!</v>
      </c>
      <c r="CT49" t="e">
        <f>AND(NhatkyNhap!#REF!,"AAAAAH7P+2E=")</f>
        <v>#REF!</v>
      </c>
      <c r="CU49" t="e">
        <f>AND(NhatkyNhap!#REF!,"AAAAAH7P+2I=")</f>
        <v>#REF!</v>
      </c>
      <c r="CV49" t="e">
        <f>AND(NhatkyNhap!#REF!,"AAAAAH7P+2M=")</f>
        <v>#REF!</v>
      </c>
      <c r="CW49" t="e">
        <f>AND(NhatkyNhap!#REF!,"AAAAAH7P+2Q=")</f>
        <v>#REF!</v>
      </c>
      <c r="CX49" t="e">
        <f>AND(NhatkyNhap!#REF!,"AAAAAH7P+2U=")</f>
        <v>#REF!</v>
      </c>
      <c r="CY49" t="e">
        <f>AND(NhatkyNhap!#REF!,"AAAAAH7P+2Y=")</f>
        <v>#REF!</v>
      </c>
      <c r="CZ49" t="e">
        <f>AND(NhatkyNhap!#REF!,"AAAAAH7P+2c=")</f>
        <v>#REF!</v>
      </c>
      <c r="DA49" t="e">
        <f>AND(NhatkyNhap!#REF!,"AAAAAH7P+2g=")</f>
        <v>#REF!</v>
      </c>
      <c r="DB49" t="e">
        <f>AND(NhatkyNhap!#REF!,"AAAAAH7P+2k=")</f>
        <v>#REF!</v>
      </c>
      <c r="DC49" t="e">
        <f>AND(NhatkyNhap!#REF!,"AAAAAH7P+2o=")</f>
        <v>#REF!</v>
      </c>
      <c r="DD49" t="e">
        <f>AND(NhatkyNhap!#REF!,"AAAAAH7P+2s=")</f>
        <v>#REF!</v>
      </c>
      <c r="DE49" t="e">
        <f>AND(NhatkyNhap!#REF!,"AAAAAH7P+2w=")</f>
        <v>#REF!</v>
      </c>
      <c r="DF49" t="e">
        <f>AND(NhatkyNhap!#REF!,"AAAAAH7P+20=")</f>
        <v>#REF!</v>
      </c>
      <c r="DG49" t="e">
        <f>AND(NhatkyNhap!#REF!,"AAAAAH7P+24=")</f>
        <v>#REF!</v>
      </c>
      <c r="DH49" t="e">
        <f>AND(NhatkyNhap!#REF!,"AAAAAH7P+28=")</f>
        <v>#REF!</v>
      </c>
      <c r="DI49" t="e">
        <f>AND(NhatkyNhap!#REF!,"AAAAAH7P+3A=")</f>
        <v>#REF!</v>
      </c>
      <c r="DJ49" t="e">
        <f>AND(NhatkyNhap!#REF!,"AAAAAH7P+3E=")</f>
        <v>#REF!</v>
      </c>
      <c r="DK49" t="e">
        <f>AND(NhatkyNhap!#REF!,"AAAAAH7P+3I=")</f>
        <v>#REF!</v>
      </c>
      <c r="DL49" t="e">
        <f>AND(NhatkyNhap!#REF!,"AAAAAH7P+3M=")</f>
        <v>#REF!</v>
      </c>
      <c r="DM49" t="e">
        <f>AND(NhatkyNhap!#REF!,"AAAAAH7P+3Q=")</f>
        <v>#REF!</v>
      </c>
      <c r="DN49" t="e">
        <f>AND(NhatkyNhap!#REF!,"AAAAAH7P+3U=")</f>
        <v>#REF!</v>
      </c>
      <c r="DO49" t="e">
        <f>AND(NhatkyNhap!#REF!,"AAAAAH7P+3Y=")</f>
        <v>#REF!</v>
      </c>
      <c r="DP49" t="e">
        <f>IF(NhatkyNhap!#REF!,"AAAAAH7P+3c=",0)</f>
        <v>#REF!</v>
      </c>
      <c r="DQ49" t="e">
        <f>AND(NhatkyNhap!#REF!,"AAAAAH7P+3g=")</f>
        <v>#REF!</v>
      </c>
      <c r="DR49" t="e">
        <f>AND(NhatkyNhap!#REF!,"AAAAAH7P+3k=")</f>
        <v>#REF!</v>
      </c>
      <c r="DS49" t="e">
        <f>AND(NhatkyNhap!#REF!,"AAAAAH7P+3o=")</f>
        <v>#REF!</v>
      </c>
      <c r="DT49" t="e">
        <f>AND(NhatkyNhap!#REF!,"AAAAAH7P+3s=")</f>
        <v>#REF!</v>
      </c>
      <c r="DU49" t="e">
        <f>AND(NhatkyNhap!#REF!,"AAAAAH7P+3w=")</f>
        <v>#REF!</v>
      </c>
      <c r="DV49" t="e">
        <f>AND(NhatkyNhap!#REF!,"AAAAAH7P+30=")</f>
        <v>#REF!</v>
      </c>
      <c r="DW49" t="e">
        <f>AND(NhatkyNhap!#REF!,"AAAAAH7P+34=")</f>
        <v>#REF!</v>
      </c>
      <c r="DX49" t="e">
        <f>AND(NhatkyNhap!#REF!,"AAAAAH7P+38=")</f>
        <v>#REF!</v>
      </c>
      <c r="DY49" t="e">
        <f>AND(NhatkyNhap!#REF!,"AAAAAH7P+4A=")</f>
        <v>#REF!</v>
      </c>
      <c r="DZ49" t="e">
        <f>AND(NhatkyNhap!#REF!,"AAAAAH7P+4E=")</f>
        <v>#REF!</v>
      </c>
      <c r="EA49" t="e">
        <f>AND(NhatkyNhap!#REF!,"AAAAAH7P+4I=")</f>
        <v>#REF!</v>
      </c>
      <c r="EB49" t="e">
        <f>AND(NhatkyNhap!#REF!,"AAAAAH7P+4M=")</f>
        <v>#REF!</v>
      </c>
      <c r="EC49" t="e">
        <f>AND(NhatkyNhap!#REF!,"AAAAAH7P+4Q=")</f>
        <v>#REF!</v>
      </c>
      <c r="ED49" t="e">
        <f>AND(NhatkyNhap!#REF!,"AAAAAH7P+4U=")</f>
        <v>#REF!</v>
      </c>
      <c r="EE49" t="e">
        <f>AND(NhatkyNhap!#REF!,"AAAAAH7P+4Y=")</f>
        <v>#REF!</v>
      </c>
      <c r="EF49" t="e">
        <f>AND(NhatkyNhap!#REF!,"AAAAAH7P+4c=")</f>
        <v>#REF!</v>
      </c>
      <c r="EG49" t="e">
        <f>AND(NhatkyNhap!#REF!,"AAAAAH7P+4g=")</f>
        <v>#REF!</v>
      </c>
      <c r="EH49" t="e">
        <f>AND(NhatkyNhap!#REF!,"AAAAAH7P+4k=")</f>
        <v>#REF!</v>
      </c>
      <c r="EI49" t="e">
        <f>AND(NhatkyNhap!#REF!,"AAAAAH7P+4o=")</f>
        <v>#REF!</v>
      </c>
      <c r="EJ49" t="e">
        <f>AND(NhatkyNhap!#REF!,"AAAAAH7P+4s=")</f>
        <v>#REF!</v>
      </c>
      <c r="EK49" t="e">
        <f>AND(NhatkyNhap!#REF!,"AAAAAH7P+4w=")</f>
        <v>#REF!</v>
      </c>
      <c r="EL49" t="e">
        <f>AND(NhatkyNhap!#REF!,"AAAAAH7P+40=")</f>
        <v>#REF!</v>
      </c>
      <c r="EM49" t="e">
        <f>AND(NhatkyNhap!#REF!,"AAAAAH7P+44=")</f>
        <v>#REF!</v>
      </c>
      <c r="EN49" t="e">
        <f>AND(NhatkyNhap!#REF!,"AAAAAH7P+48=")</f>
        <v>#REF!</v>
      </c>
      <c r="EO49" t="e">
        <f>AND(NhatkyNhap!#REF!,"AAAAAH7P+5A=")</f>
        <v>#REF!</v>
      </c>
      <c r="EP49" t="e">
        <f>AND(NhatkyNhap!#REF!,"AAAAAH7P+5E=")</f>
        <v>#REF!</v>
      </c>
      <c r="EQ49" t="e">
        <f>AND(NhatkyNhap!#REF!,"AAAAAH7P+5I=")</f>
        <v>#REF!</v>
      </c>
      <c r="ER49" t="e">
        <f>AND(NhatkyNhap!#REF!,"AAAAAH7P+5M=")</f>
        <v>#REF!</v>
      </c>
      <c r="ES49" t="e">
        <f>AND(NhatkyNhap!#REF!,"AAAAAH7P+5Q=")</f>
        <v>#REF!</v>
      </c>
      <c r="ET49" t="e">
        <f>AND(NhatkyNhap!#REF!,"AAAAAH7P+5U=")</f>
        <v>#REF!</v>
      </c>
      <c r="EU49" t="e">
        <f>AND(NhatkyNhap!#REF!,"AAAAAH7P+5Y=")</f>
        <v>#REF!</v>
      </c>
      <c r="EV49" t="e">
        <f>AND(NhatkyNhap!#REF!,"AAAAAH7P+5c=")</f>
        <v>#REF!</v>
      </c>
      <c r="EW49" t="e">
        <f>AND(NhatkyNhap!#REF!,"AAAAAH7P+5g=")</f>
        <v>#REF!</v>
      </c>
      <c r="EX49" t="e">
        <f>AND(NhatkyNhap!#REF!,"AAAAAH7P+5k=")</f>
        <v>#REF!</v>
      </c>
      <c r="EY49" t="e">
        <f>IF(NhatkyNhap!#REF!,"AAAAAH7P+5o=",0)</f>
        <v>#REF!</v>
      </c>
      <c r="EZ49" t="e">
        <f>AND(NhatkyNhap!#REF!,"AAAAAH7P+5s=")</f>
        <v>#REF!</v>
      </c>
      <c r="FA49" t="e">
        <f>AND(NhatkyNhap!#REF!,"AAAAAH7P+5w=")</f>
        <v>#REF!</v>
      </c>
      <c r="FB49" t="e">
        <f>AND(NhatkyNhap!#REF!,"AAAAAH7P+50=")</f>
        <v>#REF!</v>
      </c>
      <c r="FC49" t="e">
        <f>AND(NhatkyNhap!#REF!,"AAAAAH7P+54=")</f>
        <v>#REF!</v>
      </c>
      <c r="FD49" t="e">
        <f>AND(NhatkyNhap!#REF!,"AAAAAH7P+58=")</f>
        <v>#REF!</v>
      </c>
      <c r="FE49" t="e">
        <f>AND(NhatkyNhap!#REF!,"AAAAAH7P+6A=")</f>
        <v>#REF!</v>
      </c>
      <c r="FF49" t="e">
        <f>AND(NhatkyNhap!#REF!,"AAAAAH7P+6E=")</f>
        <v>#REF!</v>
      </c>
      <c r="FG49" t="e">
        <f>AND(NhatkyNhap!#REF!,"AAAAAH7P+6I=")</f>
        <v>#REF!</v>
      </c>
      <c r="FH49" t="e">
        <f>AND(NhatkyNhap!#REF!,"AAAAAH7P+6M=")</f>
        <v>#REF!</v>
      </c>
      <c r="FI49" t="e">
        <f>AND(NhatkyNhap!#REF!,"AAAAAH7P+6Q=")</f>
        <v>#REF!</v>
      </c>
      <c r="FJ49" t="e">
        <f>AND(NhatkyNhap!#REF!,"AAAAAH7P+6U=")</f>
        <v>#REF!</v>
      </c>
      <c r="FK49" t="e">
        <f>AND(NhatkyNhap!#REF!,"AAAAAH7P+6Y=")</f>
        <v>#REF!</v>
      </c>
      <c r="FL49" t="e">
        <f>AND(NhatkyNhap!#REF!,"AAAAAH7P+6c=")</f>
        <v>#REF!</v>
      </c>
      <c r="FM49" t="e">
        <f>AND(NhatkyNhap!#REF!,"AAAAAH7P+6g=")</f>
        <v>#REF!</v>
      </c>
      <c r="FN49" t="e">
        <f>AND(NhatkyNhap!#REF!,"AAAAAH7P+6k=")</f>
        <v>#REF!</v>
      </c>
      <c r="FO49" t="e">
        <f>AND(NhatkyNhap!#REF!,"AAAAAH7P+6o=")</f>
        <v>#REF!</v>
      </c>
      <c r="FP49" t="e">
        <f>AND(NhatkyNhap!#REF!,"AAAAAH7P+6s=")</f>
        <v>#REF!</v>
      </c>
      <c r="FQ49" t="e">
        <f>AND(NhatkyNhap!#REF!,"AAAAAH7P+6w=")</f>
        <v>#REF!</v>
      </c>
      <c r="FR49" t="e">
        <f>AND(NhatkyNhap!#REF!,"AAAAAH7P+60=")</f>
        <v>#REF!</v>
      </c>
      <c r="FS49" t="e">
        <f>AND(NhatkyNhap!#REF!,"AAAAAH7P+64=")</f>
        <v>#REF!</v>
      </c>
      <c r="FT49" t="e">
        <f>AND(NhatkyNhap!#REF!,"AAAAAH7P+68=")</f>
        <v>#REF!</v>
      </c>
      <c r="FU49" t="e">
        <f>AND(NhatkyNhap!#REF!,"AAAAAH7P+7A=")</f>
        <v>#REF!</v>
      </c>
      <c r="FV49" t="e">
        <f>AND(NhatkyNhap!#REF!,"AAAAAH7P+7E=")</f>
        <v>#REF!</v>
      </c>
      <c r="FW49" t="e">
        <f>AND(NhatkyNhap!#REF!,"AAAAAH7P+7I=")</f>
        <v>#REF!</v>
      </c>
      <c r="FX49" t="e">
        <f>AND(NhatkyNhap!#REF!,"AAAAAH7P+7M=")</f>
        <v>#REF!</v>
      </c>
      <c r="FY49" t="e">
        <f>AND(NhatkyNhap!#REF!,"AAAAAH7P+7Q=")</f>
        <v>#REF!</v>
      </c>
      <c r="FZ49" t="e">
        <f>AND(NhatkyNhap!#REF!,"AAAAAH7P+7U=")</f>
        <v>#REF!</v>
      </c>
      <c r="GA49" t="e">
        <f>AND(NhatkyNhap!#REF!,"AAAAAH7P+7Y=")</f>
        <v>#REF!</v>
      </c>
      <c r="GB49" t="e">
        <f>AND(NhatkyNhap!#REF!,"AAAAAH7P+7c=")</f>
        <v>#REF!</v>
      </c>
      <c r="GC49" t="e">
        <f>AND(NhatkyNhap!#REF!,"AAAAAH7P+7g=")</f>
        <v>#REF!</v>
      </c>
      <c r="GD49" t="e">
        <f>AND(NhatkyNhap!#REF!,"AAAAAH7P+7k=")</f>
        <v>#REF!</v>
      </c>
      <c r="GE49" t="e">
        <f>AND(NhatkyNhap!#REF!,"AAAAAH7P+7o=")</f>
        <v>#REF!</v>
      </c>
      <c r="GF49" t="e">
        <f>AND(NhatkyNhap!#REF!,"AAAAAH7P+7s=")</f>
        <v>#REF!</v>
      </c>
      <c r="GG49" t="e">
        <f>AND(NhatkyNhap!#REF!,"AAAAAH7P+7w=")</f>
        <v>#REF!</v>
      </c>
      <c r="GH49" t="e">
        <f>IF(NhatkyNhap!#REF!,"AAAAAH7P+70=",0)</f>
        <v>#REF!</v>
      </c>
      <c r="GI49" t="e">
        <f>AND(NhatkyNhap!#REF!,"AAAAAH7P+74=")</f>
        <v>#REF!</v>
      </c>
      <c r="GJ49" t="e">
        <f>AND(NhatkyNhap!#REF!,"AAAAAH7P+78=")</f>
        <v>#REF!</v>
      </c>
      <c r="GK49" t="e">
        <f>AND(NhatkyNhap!#REF!,"AAAAAH7P+8A=")</f>
        <v>#REF!</v>
      </c>
      <c r="GL49" t="e">
        <f>AND(NhatkyNhap!#REF!,"AAAAAH7P+8E=")</f>
        <v>#REF!</v>
      </c>
      <c r="GM49" t="e">
        <f>AND(NhatkyNhap!#REF!,"AAAAAH7P+8I=")</f>
        <v>#REF!</v>
      </c>
      <c r="GN49" t="e">
        <f>AND(NhatkyNhap!#REF!,"AAAAAH7P+8M=")</f>
        <v>#REF!</v>
      </c>
      <c r="GO49" t="e">
        <f>AND(NhatkyNhap!#REF!,"AAAAAH7P+8Q=")</f>
        <v>#REF!</v>
      </c>
      <c r="GP49" t="e">
        <f>AND(NhatkyNhap!#REF!,"AAAAAH7P+8U=")</f>
        <v>#REF!</v>
      </c>
      <c r="GQ49" t="e">
        <f>AND(NhatkyNhap!#REF!,"AAAAAH7P+8Y=")</f>
        <v>#REF!</v>
      </c>
      <c r="GR49" t="e">
        <f>AND(NhatkyNhap!#REF!,"AAAAAH7P+8c=")</f>
        <v>#REF!</v>
      </c>
      <c r="GS49" t="e">
        <f>AND(NhatkyNhap!#REF!,"AAAAAH7P+8g=")</f>
        <v>#REF!</v>
      </c>
      <c r="GT49" t="e">
        <f>AND(NhatkyNhap!#REF!,"AAAAAH7P+8k=")</f>
        <v>#REF!</v>
      </c>
      <c r="GU49" t="e">
        <f>AND(NhatkyNhap!#REF!,"AAAAAH7P+8o=")</f>
        <v>#REF!</v>
      </c>
      <c r="GV49" t="e">
        <f>AND(NhatkyNhap!#REF!,"AAAAAH7P+8s=")</f>
        <v>#REF!</v>
      </c>
      <c r="GW49" t="e">
        <f>AND(NhatkyNhap!#REF!,"AAAAAH7P+8w=")</f>
        <v>#REF!</v>
      </c>
      <c r="GX49" t="e">
        <f>AND(NhatkyNhap!#REF!,"AAAAAH7P+80=")</f>
        <v>#REF!</v>
      </c>
      <c r="GY49" t="e">
        <f>AND(NhatkyNhap!#REF!,"AAAAAH7P+84=")</f>
        <v>#REF!</v>
      </c>
      <c r="GZ49" t="e">
        <f>AND(NhatkyNhap!#REF!,"AAAAAH7P+88=")</f>
        <v>#REF!</v>
      </c>
      <c r="HA49" t="e">
        <f>AND(NhatkyNhap!#REF!,"AAAAAH7P+9A=")</f>
        <v>#REF!</v>
      </c>
      <c r="HB49" t="e">
        <f>AND(NhatkyNhap!#REF!,"AAAAAH7P+9E=")</f>
        <v>#REF!</v>
      </c>
      <c r="HC49" t="e">
        <f>AND(NhatkyNhap!#REF!,"AAAAAH7P+9I=")</f>
        <v>#REF!</v>
      </c>
      <c r="HD49" t="e">
        <f>AND(NhatkyNhap!#REF!,"AAAAAH7P+9M=")</f>
        <v>#REF!</v>
      </c>
      <c r="HE49" t="e">
        <f>AND(NhatkyNhap!#REF!,"AAAAAH7P+9Q=")</f>
        <v>#REF!</v>
      </c>
      <c r="HF49" t="e">
        <f>AND(NhatkyNhap!#REF!,"AAAAAH7P+9U=")</f>
        <v>#REF!</v>
      </c>
      <c r="HG49" t="e">
        <f>AND(NhatkyNhap!#REF!,"AAAAAH7P+9Y=")</f>
        <v>#REF!</v>
      </c>
      <c r="HH49" t="e">
        <f>AND(NhatkyNhap!#REF!,"AAAAAH7P+9c=")</f>
        <v>#REF!</v>
      </c>
      <c r="HI49" t="e">
        <f>AND(NhatkyNhap!#REF!,"AAAAAH7P+9g=")</f>
        <v>#REF!</v>
      </c>
      <c r="HJ49" t="e">
        <f>AND(NhatkyNhap!#REF!,"AAAAAH7P+9k=")</f>
        <v>#REF!</v>
      </c>
      <c r="HK49" t="e">
        <f>AND(NhatkyNhap!#REF!,"AAAAAH7P+9o=")</f>
        <v>#REF!</v>
      </c>
      <c r="HL49" t="e">
        <f>AND(NhatkyNhap!#REF!,"AAAAAH7P+9s=")</f>
        <v>#REF!</v>
      </c>
      <c r="HM49" t="e">
        <f>AND(NhatkyNhap!#REF!,"AAAAAH7P+9w=")</f>
        <v>#REF!</v>
      </c>
      <c r="HN49" t="e">
        <f>AND(NhatkyNhap!#REF!,"AAAAAH7P+90=")</f>
        <v>#REF!</v>
      </c>
      <c r="HO49" t="e">
        <f>AND(NhatkyNhap!#REF!,"AAAAAH7P+94=")</f>
        <v>#REF!</v>
      </c>
      <c r="HP49" t="e">
        <f>AND(NhatkyNhap!#REF!,"AAAAAH7P+98=")</f>
        <v>#REF!</v>
      </c>
      <c r="HQ49" t="e">
        <f>IF(NhatkyNhap!#REF!,"AAAAAH7P++A=",0)</f>
        <v>#REF!</v>
      </c>
      <c r="HR49" t="e">
        <f>AND(NhatkyNhap!#REF!,"AAAAAH7P++E=")</f>
        <v>#REF!</v>
      </c>
      <c r="HS49" t="e">
        <f>AND(NhatkyNhap!#REF!,"AAAAAH7P++I=")</f>
        <v>#REF!</v>
      </c>
      <c r="HT49" t="e">
        <f>AND(NhatkyNhap!#REF!,"AAAAAH7P++M=")</f>
        <v>#REF!</v>
      </c>
      <c r="HU49" t="e">
        <f>AND(NhatkyNhap!#REF!,"AAAAAH7P++Q=")</f>
        <v>#REF!</v>
      </c>
      <c r="HV49" t="e">
        <f>AND(NhatkyNhap!#REF!,"AAAAAH7P++U=")</f>
        <v>#REF!</v>
      </c>
      <c r="HW49" t="e">
        <f>AND(NhatkyNhap!#REF!,"AAAAAH7P++Y=")</f>
        <v>#REF!</v>
      </c>
      <c r="HX49" t="e">
        <f>AND(NhatkyNhap!#REF!,"AAAAAH7P++c=")</f>
        <v>#REF!</v>
      </c>
      <c r="HY49" t="e">
        <f>AND(NhatkyNhap!#REF!,"AAAAAH7P++g=")</f>
        <v>#REF!</v>
      </c>
      <c r="HZ49" t="e">
        <f>AND(NhatkyNhap!#REF!,"AAAAAH7P++k=")</f>
        <v>#REF!</v>
      </c>
      <c r="IA49" t="e">
        <f>AND(NhatkyNhap!#REF!,"AAAAAH7P++o=")</f>
        <v>#REF!</v>
      </c>
      <c r="IB49" t="e">
        <f>AND(NhatkyNhap!#REF!,"AAAAAH7P++s=")</f>
        <v>#REF!</v>
      </c>
      <c r="IC49" t="e">
        <f>AND(NhatkyNhap!#REF!,"AAAAAH7P++w=")</f>
        <v>#REF!</v>
      </c>
      <c r="ID49" t="e">
        <f>AND(NhatkyNhap!#REF!,"AAAAAH7P++0=")</f>
        <v>#REF!</v>
      </c>
      <c r="IE49" t="e">
        <f>AND(NhatkyNhap!#REF!,"AAAAAH7P++4=")</f>
        <v>#REF!</v>
      </c>
      <c r="IF49" t="e">
        <f>AND(NhatkyNhap!#REF!,"AAAAAH7P++8=")</f>
        <v>#REF!</v>
      </c>
      <c r="IG49" t="e">
        <f>AND(NhatkyNhap!#REF!,"AAAAAH7P+/A=")</f>
        <v>#REF!</v>
      </c>
      <c r="IH49" t="e">
        <f>AND(NhatkyNhap!#REF!,"AAAAAH7P+/E=")</f>
        <v>#REF!</v>
      </c>
      <c r="II49" t="e">
        <f>AND(NhatkyNhap!#REF!,"AAAAAH7P+/I=")</f>
        <v>#REF!</v>
      </c>
      <c r="IJ49" t="e">
        <f>AND(NhatkyNhap!#REF!,"AAAAAH7P+/M=")</f>
        <v>#REF!</v>
      </c>
      <c r="IK49" t="e">
        <f>AND(NhatkyNhap!#REF!,"AAAAAH7P+/Q=")</f>
        <v>#REF!</v>
      </c>
      <c r="IL49" t="e">
        <f>AND(NhatkyNhap!#REF!,"AAAAAH7P+/U=")</f>
        <v>#REF!</v>
      </c>
      <c r="IM49" t="e">
        <f>AND(NhatkyNhap!#REF!,"AAAAAH7P+/Y=")</f>
        <v>#REF!</v>
      </c>
      <c r="IN49" t="e">
        <f>AND(NhatkyNhap!#REF!,"AAAAAH7P+/c=")</f>
        <v>#REF!</v>
      </c>
      <c r="IO49" t="e">
        <f>AND(NhatkyNhap!#REF!,"AAAAAH7P+/g=")</f>
        <v>#REF!</v>
      </c>
      <c r="IP49" t="e">
        <f>AND(NhatkyNhap!#REF!,"AAAAAH7P+/k=")</f>
        <v>#REF!</v>
      </c>
      <c r="IQ49" t="e">
        <f>AND(NhatkyNhap!#REF!,"AAAAAH7P+/o=")</f>
        <v>#REF!</v>
      </c>
      <c r="IR49" t="e">
        <f>AND(NhatkyNhap!#REF!,"AAAAAH7P+/s=")</f>
        <v>#REF!</v>
      </c>
      <c r="IS49" t="e">
        <f>AND(NhatkyNhap!#REF!,"AAAAAH7P+/w=")</f>
        <v>#REF!</v>
      </c>
      <c r="IT49" t="e">
        <f>AND(NhatkyNhap!#REF!,"AAAAAH7P+/0=")</f>
        <v>#REF!</v>
      </c>
      <c r="IU49" t="e">
        <f>AND(NhatkyNhap!#REF!,"AAAAAH7P+/4=")</f>
        <v>#REF!</v>
      </c>
      <c r="IV49" t="e">
        <f>AND(NhatkyNhap!#REF!,"AAAAAH7P+/8=")</f>
        <v>#REF!</v>
      </c>
    </row>
    <row r="50" spans="1:256">
      <c r="A50" t="e">
        <f>AND(NhatkyNhap!#REF!,"AAAAADi99wA=")</f>
        <v>#REF!</v>
      </c>
      <c r="B50" t="e">
        <f>AND(NhatkyNhap!#REF!,"AAAAADi99wE=")</f>
        <v>#REF!</v>
      </c>
      <c r="C50" t="e">
        <f>AND(NhatkyNhap!#REF!,"AAAAADi99wI=")</f>
        <v>#REF!</v>
      </c>
      <c r="D50" t="e">
        <f>IF(NhatkyNhap!#REF!,"AAAAADi99wM=",0)</f>
        <v>#REF!</v>
      </c>
      <c r="E50" t="e">
        <f>AND(NhatkyNhap!#REF!,"AAAAADi99wQ=")</f>
        <v>#REF!</v>
      </c>
      <c r="F50" t="e">
        <f>AND(NhatkyNhap!#REF!,"AAAAADi99wU=")</f>
        <v>#REF!</v>
      </c>
      <c r="G50" t="e">
        <f>AND(NhatkyNhap!#REF!,"AAAAADi99wY=")</f>
        <v>#REF!</v>
      </c>
      <c r="H50" t="e">
        <f>AND(NhatkyNhap!#REF!,"AAAAADi99wc=")</f>
        <v>#REF!</v>
      </c>
      <c r="I50" t="e">
        <f>AND(NhatkyNhap!#REF!,"AAAAADi99wg=")</f>
        <v>#REF!</v>
      </c>
      <c r="J50" t="e">
        <f>AND(NhatkyNhap!#REF!,"AAAAADi99wk=")</f>
        <v>#REF!</v>
      </c>
      <c r="K50" t="e">
        <f>AND(NhatkyNhap!#REF!,"AAAAADi99wo=")</f>
        <v>#REF!</v>
      </c>
      <c r="L50" t="e">
        <f>AND(NhatkyNhap!#REF!,"AAAAADi99ws=")</f>
        <v>#REF!</v>
      </c>
      <c r="M50" t="e">
        <f>AND(NhatkyNhap!#REF!,"AAAAADi99ww=")</f>
        <v>#REF!</v>
      </c>
      <c r="N50" t="e">
        <f>AND(NhatkyNhap!#REF!,"AAAAADi99w0=")</f>
        <v>#REF!</v>
      </c>
      <c r="O50" t="e">
        <f>AND(NhatkyNhap!#REF!,"AAAAADi99w4=")</f>
        <v>#REF!</v>
      </c>
      <c r="P50" t="e">
        <f>AND(NhatkyNhap!#REF!,"AAAAADi99w8=")</f>
        <v>#REF!</v>
      </c>
      <c r="Q50" t="e">
        <f>AND(NhatkyNhap!#REF!,"AAAAADi99xA=")</f>
        <v>#REF!</v>
      </c>
      <c r="R50" t="e">
        <f>AND(NhatkyNhap!#REF!,"AAAAADi99xE=")</f>
        <v>#REF!</v>
      </c>
      <c r="S50" t="e">
        <f>AND(NhatkyNhap!#REF!,"AAAAADi99xI=")</f>
        <v>#REF!</v>
      </c>
      <c r="T50" t="e">
        <f>AND(NhatkyNhap!#REF!,"AAAAADi99xM=")</f>
        <v>#REF!</v>
      </c>
      <c r="U50" t="e">
        <f>AND(NhatkyNhap!#REF!,"AAAAADi99xQ=")</f>
        <v>#REF!</v>
      </c>
      <c r="V50" t="e">
        <f>AND(NhatkyNhap!#REF!,"AAAAADi99xU=")</f>
        <v>#REF!</v>
      </c>
      <c r="W50" t="e">
        <f>AND(NhatkyNhap!#REF!,"AAAAADi99xY=")</f>
        <v>#REF!</v>
      </c>
      <c r="X50" t="e">
        <f>AND(NhatkyNhap!#REF!,"AAAAADi99xc=")</f>
        <v>#REF!</v>
      </c>
      <c r="Y50" t="e">
        <f>AND(NhatkyNhap!#REF!,"AAAAADi99xg=")</f>
        <v>#REF!</v>
      </c>
      <c r="Z50" t="e">
        <f>AND(NhatkyNhap!#REF!,"AAAAADi99xk=")</f>
        <v>#REF!</v>
      </c>
      <c r="AA50" t="e">
        <f>AND(NhatkyNhap!#REF!,"AAAAADi99xo=")</f>
        <v>#REF!</v>
      </c>
      <c r="AB50" t="e">
        <f>AND(NhatkyNhap!#REF!,"AAAAADi99xs=")</f>
        <v>#REF!</v>
      </c>
      <c r="AC50" t="e">
        <f>AND(NhatkyNhap!#REF!,"AAAAADi99xw=")</f>
        <v>#REF!</v>
      </c>
      <c r="AD50" t="e">
        <f>AND(NhatkyNhap!#REF!,"AAAAADi99x0=")</f>
        <v>#REF!</v>
      </c>
      <c r="AE50" t="e">
        <f>AND(NhatkyNhap!#REF!,"AAAAADi99x4=")</f>
        <v>#REF!</v>
      </c>
      <c r="AF50" t="e">
        <f>AND(NhatkyNhap!#REF!,"AAAAADi99x8=")</f>
        <v>#REF!</v>
      </c>
      <c r="AG50" t="e">
        <f>AND(NhatkyNhap!#REF!,"AAAAADi99yA=")</f>
        <v>#REF!</v>
      </c>
      <c r="AH50" t="e">
        <f>AND(NhatkyNhap!#REF!,"AAAAADi99yE=")</f>
        <v>#REF!</v>
      </c>
      <c r="AI50" t="e">
        <f>AND(NhatkyNhap!#REF!,"AAAAADi99yI=")</f>
        <v>#REF!</v>
      </c>
      <c r="AJ50" t="e">
        <f>AND(NhatkyNhap!#REF!,"AAAAADi99yM=")</f>
        <v>#REF!</v>
      </c>
      <c r="AK50" t="e">
        <f>AND(NhatkyNhap!#REF!,"AAAAADi99yQ=")</f>
        <v>#REF!</v>
      </c>
      <c r="AL50" t="e">
        <f>AND(NhatkyNhap!#REF!,"AAAAADi99yU=")</f>
        <v>#REF!</v>
      </c>
      <c r="AM50" t="e">
        <f>IF(NhatkyNhap!#REF!,"AAAAADi99yY=",0)</f>
        <v>#REF!</v>
      </c>
      <c r="AN50" t="e">
        <f>AND(NhatkyNhap!#REF!,"AAAAADi99yc=")</f>
        <v>#REF!</v>
      </c>
      <c r="AO50" t="e">
        <f>AND(NhatkyNhap!#REF!,"AAAAADi99yg=")</f>
        <v>#REF!</v>
      </c>
      <c r="AP50" t="e">
        <f>AND(NhatkyNhap!#REF!,"AAAAADi99yk=")</f>
        <v>#REF!</v>
      </c>
      <c r="AQ50" t="e">
        <f>AND(NhatkyNhap!#REF!,"AAAAADi99yo=")</f>
        <v>#REF!</v>
      </c>
      <c r="AR50" t="e">
        <f>AND(NhatkyNhap!#REF!,"AAAAADi99ys=")</f>
        <v>#REF!</v>
      </c>
      <c r="AS50" t="e">
        <f>AND(NhatkyNhap!#REF!,"AAAAADi99yw=")</f>
        <v>#REF!</v>
      </c>
      <c r="AT50" t="e">
        <f>AND(NhatkyNhap!#REF!,"AAAAADi99y0=")</f>
        <v>#REF!</v>
      </c>
      <c r="AU50" t="e">
        <f>AND(NhatkyNhap!#REF!,"AAAAADi99y4=")</f>
        <v>#REF!</v>
      </c>
      <c r="AV50" t="e">
        <f>AND(NhatkyNhap!#REF!,"AAAAADi99y8=")</f>
        <v>#REF!</v>
      </c>
      <c r="AW50" t="e">
        <f>AND(NhatkyNhap!#REF!,"AAAAADi99zA=")</f>
        <v>#REF!</v>
      </c>
      <c r="AX50" t="e">
        <f>AND(NhatkyNhap!#REF!,"AAAAADi99zE=")</f>
        <v>#REF!</v>
      </c>
      <c r="AY50" t="e">
        <f>AND(NhatkyNhap!#REF!,"AAAAADi99zI=")</f>
        <v>#REF!</v>
      </c>
      <c r="AZ50" t="e">
        <f>AND(NhatkyNhap!#REF!,"AAAAADi99zM=")</f>
        <v>#REF!</v>
      </c>
      <c r="BA50" t="e">
        <f>AND(NhatkyNhap!#REF!,"AAAAADi99zQ=")</f>
        <v>#REF!</v>
      </c>
      <c r="BB50" t="e">
        <f>AND(NhatkyNhap!#REF!,"AAAAADi99zU=")</f>
        <v>#REF!</v>
      </c>
      <c r="BC50" t="e">
        <f>AND(NhatkyNhap!#REF!,"AAAAADi99zY=")</f>
        <v>#REF!</v>
      </c>
      <c r="BD50" t="e">
        <f>AND(NhatkyNhap!#REF!,"AAAAADi99zc=")</f>
        <v>#REF!</v>
      </c>
      <c r="BE50" t="e">
        <f>AND(NhatkyNhap!#REF!,"AAAAADi99zg=")</f>
        <v>#REF!</v>
      </c>
      <c r="BF50" t="e">
        <f>AND(NhatkyNhap!#REF!,"AAAAADi99zk=")</f>
        <v>#REF!</v>
      </c>
      <c r="BG50" t="e">
        <f>AND(NhatkyNhap!#REF!,"AAAAADi99zo=")</f>
        <v>#REF!</v>
      </c>
      <c r="BH50" t="e">
        <f>AND(NhatkyNhap!#REF!,"AAAAADi99zs=")</f>
        <v>#REF!</v>
      </c>
      <c r="BI50" t="e">
        <f>AND(NhatkyNhap!#REF!,"AAAAADi99zw=")</f>
        <v>#REF!</v>
      </c>
      <c r="BJ50" t="e">
        <f>AND(NhatkyNhap!#REF!,"AAAAADi99z0=")</f>
        <v>#REF!</v>
      </c>
      <c r="BK50" t="e">
        <f>AND(NhatkyNhap!#REF!,"AAAAADi99z4=")</f>
        <v>#REF!</v>
      </c>
      <c r="BL50" t="e">
        <f>AND(NhatkyNhap!#REF!,"AAAAADi99z8=")</f>
        <v>#REF!</v>
      </c>
      <c r="BM50" t="e">
        <f>AND(NhatkyNhap!#REF!,"AAAAADi990A=")</f>
        <v>#REF!</v>
      </c>
      <c r="BN50" t="e">
        <f>AND(NhatkyNhap!#REF!,"AAAAADi990E=")</f>
        <v>#REF!</v>
      </c>
      <c r="BO50" t="e">
        <f>AND(NhatkyNhap!#REF!,"AAAAADi990I=")</f>
        <v>#REF!</v>
      </c>
      <c r="BP50" t="e">
        <f>AND(NhatkyNhap!#REF!,"AAAAADi990M=")</f>
        <v>#REF!</v>
      </c>
      <c r="BQ50" t="e">
        <f>AND(NhatkyNhap!#REF!,"AAAAADi990Q=")</f>
        <v>#REF!</v>
      </c>
      <c r="BR50" t="e">
        <f>AND(NhatkyNhap!#REF!,"AAAAADi990U=")</f>
        <v>#REF!</v>
      </c>
      <c r="BS50" t="e">
        <f>AND(NhatkyNhap!#REF!,"AAAAADi990Y=")</f>
        <v>#REF!</v>
      </c>
      <c r="BT50" t="e">
        <f>AND(NhatkyNhap!#REF!,"AAAAADi990c=")</f>
        <v>#REF!</v>
      </c>
      <c r="BU50" t="e">
        <f>AND(NhatkyNhap!#REF!,"AAAAADi990g=")</f>
        <v>#REF!</v>
      </c>
      <c r="BV50" t="e">
        <f>IF(NhatkyNhap!#REF!,"AAAAADi990k=",0)</f>
        <v>#REF!</v>
      </c>
      <c r="BW50" t="e">
        <f>AND(NhatkyNhap!#REF!,"AAAAADi990o=")</f>
        <v>#REF!</v>
      </c>
      <c r="BX50" t="e">
        <f>AND(NhatkyNhap!#REF!,"AAAAADi990s=")</f>
        <v>#REF!</v>
      </c>
      <c r="BY50" t="e">
        <f>AND(NhatkyNhap!#REF!,"AAAAADi990w=")</f>
        <v>#REF!</v>
      </c>
      <c r="BZ50" t="e">
        <f>AND(NhatkyNhap!#REF!,"AAAAADi9900=")</f>
        <v>#REF!</v>
      </c>
      <c r="CA50" t="e">
        <f>AND(NhatkyNhap!#REF!,"AAAAADi9904=")</f>
        <v>#REF!</v>
      </c>
      <c r="CB50" t="e">
        <f>AND(NhatkyNhap!#REF!,"AAAAADi9908=")</f>
        <v>#REF!</v>
      </c>
      <c r="CC50" t="e">
        <f>AND(NhatkyNhap!#REF!,"AAAAADi991A=")</f>
        <v>#REF!</v>
      </c>
      <c r="CD50" t="e">
        <f>AND(NhatkyNhap!#REF!,"AAAAADi991E=")</f>
        <v>#REF!</v>
      </c>
      <c r="CE50" t="e">
        <f>AND(NhatkyNhap!#REF!,"AAAAADi991I=")</f>
        <v>#REF!</v>
      </c>
      <c r="CF50" t="e">
        <f>AND(NhatkyNhap!#REF!,"AAAAADi991M=")</f>
        <v>#REF!</v>
      </c>
      <c r="CG50" t="e">
        <f>AND(NhatkyNhap!#REF!,"AAAAADi991Q=")</f>
        <v>#REF!</v>
      </c>
      <c r="CH50" t="e">
        <f>AND(NhatkyNhap!#REF!,"AAAAADi991U=")</f>
        <v>#REF!</v>
      </c>
      <c r="CI50" t="e">
        <f>AND(NhatkyNhap!#REF!,"AAAAADi991Y=")</f>
        <v>#REF!</v>
      </c>
      <c r="CJ50" t="e">
        <f>AND(NhatkyNhap!#REF!,"AAAAADi991c=")</f>
        <v>#REF!</v>
      </c>
      <c r="CK50" t="e">
        <f>AND(NhatkyNhap!#REF!,"AAAAADi991g=")</f>
        <v>#REF!</v>
      </c>
      <c r="CL50" t="e">
        <f>AND(NhatkyNhap!#REF!,"AAAAADi991k=")</f>
        <v>#REF!</v>
      </c>
      <c r="CM50" t="e">
        <f>AND(NhatkyNhap!#REF!,"AAAAADi991o=")</f>
        <v>#REF!</v>
      </c>
      <c r="CN50" t="e">
        <f>AND(NhatkyNhap!#REF!,"AAAAADi991s=")</f>
        <v>#REF!</v>
      </c>
      <c r="CO50" t="e">
        <f>AND(NhatkyNhap!#REF!,"AAAAADi991w=")</f>
        <v>#REF!</v>
      </c>
      <c r="CP50" t="e">
        <f>AND(NhatkyNhap!#REF!,"AAAAADi9910=")</f>
        <v>#REF!</v>
      </c>
      <c r="CQ50" t="e">
        <f>AND(NhatkyNhap!#REF!,"AAAAADi9914=")</f>
        <v>#REF!</v>
      </c>
      <c r="CR50" t="e">
        <f>AND(NhatkyNhap!#REF!,"AAAAADi9918=")</f>
        <v>#REF!</v>
      </c>
      <c r="CS50" t="e">
        <f>AND(NhatkyNhap!#REF!,"AAAAADi992A=")</f>
        <v>#REF!</v>
      </c>
      <c r="CT50" t="e">
        <f>AND(NhatkyNhap!#REF!,"AAAAADi992E=")</f>
        <v>#REF!</v>
      </c>
      <c r="CU50" t="e">
        <f>AND(NhatkyNhap!#REF!,"AAAAADi992I=")</f>
        <v>#REF!</v>
      </c>
      <c r="CV50" t="e">
        <f>AND(NhatkyNhap!#REF!,"AAAAADi992M=")</f>
        <v>#REF!</v>
      </c>
      <c r="CW50" t="e">
        <f>AND(NhatkyNhap!#REF!,"AAAAADi992Q=")</f>
        <v>#REF!</v>
      </c>
      <c r="CX50" t="e">
        <f>AND(NhatkyNhap!#REF!,"AAAAADi992U=")</f>
        <v>#REF!</v>
      </c>
      <c r="CY50" t="e">
        <f>AND(NhatkyNhap!#REF!,"AAAAADi992Y=")</f>
        <v>#REF!</v>
      </c>
      <c r="CZ50" t="e">
        <f>AND(NhatkyNhap!#REF!,"AAAAADi992c=")</f>
        <v>#REF!</v>
      </c>
      <c r="DA50" t="e">
        <f>AND(NhatkyNhap!#REF!,"AAAAADi992g=")</f>
        <v>#REF!</v>
      </c>
      <c r="DB50" t="e">
        <f>AND(NhatkyNhap!#REF!,"AAAAADi992k=")</f>
        <v>#REF!</v>
      </c>
      <c r="DC50" t="e">
        <f>AND(NhatkyNhap!#REF!,"AAAAADi992o=")</f>
        <v>#REF!</v>
      </c>
      <c r="DD50" t="e">
        <f>AND(NhatkyNhap!#REF!,"AAAAADi992s=")</f>
        <v>#REF!</v>
      </c>
      <c r="DE50" t="e">
        <f>IF(NhatkyNhap!#REF!,"AAAAADi992w=",0)</f>
        <v>#REF!</v>
      </c>
      <c r="DF50" t="e">
        <f>AND(NhatkyNhap!#REF!,"AAAAADi9920=")</f>
        <v>#REF!</v>
      </c>
      <c r="DG50" t="e">
        <f>AND(NhatkyNhap!#REF!,"AAAAADi9924=")</f>
        <v>#REF!</v>
      </c>
      <c r="DH50" t="e">
        <f>AND(NhatkyNhap!#REF!,"AAAAADi9928=")</f>
        <v>#REF!</v>
      </c>
      <c r="DI50" t="e">
        <f>AND(NhatkyNhap!#REF!,"AAAAADi993A=")</f>
        <v>#REF!</v>
      </c>
      <c r="DJ50" t="e">
        <f>AND(NhatkyNhap!#REF!,"AAAAADi993E=")</f>
        <v>#REF!</v>
      </c>
      <c r="DK50" t="e">
        <f>AND(NhatkyNhap!#REF!,"AAAAADi993I=")</f>
        <v>#REF!</v>
      </c>
      <c r="DL50" t="e">
        <f>AND(NhatkyNhap!#REF!,"AAAAADi993M=")</f>
        <v>#REF!</v>
      </c>
      <c r="DM50" t="e">
        <f>AND(NhatkyNhap!#REF!,"AAAAADi993Q=")</f>
        <v>#REF!</v>
      </c>
      <c r="DN50" t="e">
        <f>AND(NhatkyNhap!#REF!,"AAAAADi993U=")</f>
        <v>#REF!</v>
      </c>
      <c r="DO50" t="e">
        <f>AND(NhatkyNhap!#REF!,"AAAAADi993Y=")</f>
        <v>#REF!</v>
      </c>
      <c r="DP50" t="e">
        <f>AND(NhatkyNhap!#REF!,"AAAAADi993c=")</f>
        <v>#REF!</v>
      </c>
      <c r="DQ50" t="e">
        <f>AND(NhatkyNhap!#REF!,"AAAAADi993g=")</f>
        <v>#REF!</v>
      </c>
      <c r="DR50" t="e">
        <f>AND(NhatkyNhap!#REF!,"AAAAADi993k=")</f>
        <v>#REF!</v>
      </c>
      <c r="DS50" t="e">
        <f>AND(NhatkyNhap!#REF!,"AAAAADi993o=")</f>
        <v>#REF!</v>
      </c>
      <c r="DT50" t="e">
        <f>AND(NhatkyNhap!#REF!,"AAAAADi993s=")</f>
        <v>#REF!</v>
      </c>
      <c r="DU50" t="e">
        <f>AND(NhatkyNhap!#REF!,"AAAAADi993w=")</f>
        <v>#REF!</v>
      </c>
      <c r="DV50" t="e">
        <f>AND(NhatkyNhap!#REF!,"AAAAADi9930=")</f>
        <v>#REF!</v>
      </c>
      <c r="DW50" t="e">
        <f>AND(NhatkyNhap!#REF!,"AAAAADi9934=")</f>
        <v>#REF!</v>
      </c>
      <c r="DX50" t="e">
        <f>AND(NhatkyNhap!#REF!,"AAAAADi9938=")</f>
        <v>#REF!</v>
      </c>
      <c r="DY50" t="e">
        <f>AND(NhatkyNhap!#REF!,"AAAAADi994A=")</f>
        <v>#REF!</v>
      </c>
      <c r="DZ50" t="e">
        <f>AND(NhatkyNhap!#REF!,"AAAAADi994E=")</f>
        <v>#REF!</v>
      </c>
      <c r="EA50" t="e">
        <f>AND(NhatkyNhap!#REF!,"AAAAADi994I=")</f>
        <v>#REF!</v>
      </c>
      <c r="EB50" t="e">
        <f>AND(NhatkyNhap!#REF!,"AAAAADi994M=")</f>
        <v>#REF!</v>
      </c>
      <c r="EC50" t="e">
        <f>AND(NhatkyNhap!#REF!,"AAAAADi994Q=")</f>
        <v>#REF!</v>
      </c>
      <c r="ED50" t="e">
        <f>AND(NhatkyNhap!#REF!,"AAAAADi994U=")</f>
        <v>#REF!</v>
      </c>
      <c r="EE50" t="e">
        <f>AND(NhatkyNhap!#REF!,"AAAAADi994Y=")</f>
        <v>#REF!</v>
      </c>
      <c r="EF50" t="e">
        <f>AND(NhatkyNhap!#REF!,"AAAAADi994c=")</f>
        <v>#REF!</v>
      </c>
      <c r="EG50" t="e">
        <f>AND(NhatkyNhap!#REF!,"AAAAADi994g=")</f>
        <v>#REF!</v>
      </c>
      <c r="EH50" t="e">
        <f>AND(NhatkyNhap!#REF!,"AAAAADi994k=")</f>
        <v>#REF!</v>
      </c>
      <c r="EI50" t="e">
        <f>AND(NhatkyNhap!#REF!,"AAAAADi994o=")</f>
        <v>#REF!</v>
      </c>
      <c r="EJ50" t="e">
        <f>AND(NhatkyNhap!#REF!,"AAAAADi994s=")</f>
        <v>#REF!</v>
      </c>
      <c r="EK50" t="e">
        <f>AND(NhatkyNhap!#REF!,"AAAAADi994w=")</f>
        <v>#REF!</v>
      </c>
      <c r="EL50" t="e">
        <f>AND(NhatkyNhap!#REF!,"AAAAADi9940=")</f>
        <v>#REF!</v>
      </c>
      <c r="EM50" t="e">
        <f>AND(NhatkyNhap!#REF!,"AAAAADi9944=")</f>
        <v>#REF!</v>
      </c>
      <c r="EN50" t="e">
        <f>IF(NhatkyNhap!#REF!,"AAAAADi9948=",0)</f>
        <v>#REF!</v>
      </c>
      <c r="EO50" t="e">
        <f>AND(NhatkyNhap!#REF!,"AAAAADi995A=")</f>
        <v>#REF!</v>
      </c>
      <c r="EP50" t="e">
        <f>AND(NhatkyNhap!#REF!,"AAAAADi995E=")</f>
        <v>#REF!</v>
      </c>
      <c r="EQ50" t="e">
        <f>AND(NhatkyNhap!#REF!,"AAAAADi995I=")</f>
        <v>#REF!</v>
      </c>
      <c r="ER50" t="e">
        <f>AND(NhatkyNhap!#REF!,"AAAAADi995M=")</f>
        <v>#REF!</v>
      </c>
      <c r="ES50" t="e">
        <f>AND(NhatkyNhap!#REF!,"AAAAADi995Q=")</f>
        <v>#REF!</v>
      </c>
      <c r="ET50" t="e">
        <f>AND(NhatkyNhap!#REF!,"AAAAADi995U=")</f>
        <v>#REF!</v>
      </c>
      <c r="EU50" t="e">
        <f>AND(NhatkyNhap!#REF!,"AAAAADi995Y=")</f>
        <v>#REF!</v>
      </c>
      <c r="EV50" t="e">
        <f>AND(NhatkyNhap!#REF!,"AAAAADi995c=")</f>
        <v>#REF!</v>
      </c>
      <c r="EW50" t="e">
        <f>AND(NhatkyNhap!#REF!,"AAAAADi995g=")</f>
        <v>#REF!</v>
      </c>
      <c r="EX50" t="e">
        <f>AND(NhatkyNhap!#REF!,"AAAAADi995k=")</f>
        <v>#REF!</v>
      </c>
      <c r="EY50" t="e">
        <f>AND(NhatkyNhap!#REF!,"AAAAADi995o=")</f>
        <v>#REF!</v>
      </c>
      <c r="EZ50" t="e">
        <f>AND(NhatkyNhap!#REF!,"AAAAADi995s=")</f>
        <v>#REF!</v>
      </c>
      <c r="FA50" t="e">
        <f>AND(NhatkyNhap!#REF!,"AAAAADi995w=")</f>
        <v>#REF!</v>
      </c>
      <c r="FB50" t="e">
        <f>AND(NhatkyNhap!#REF!,"AAAAADi9950=")</f>
        <v>#REF!</v>
      </c>
      <c r="FC50" t="e">
        <f>AND(NhatkyNhap!#REF!,"AAAAADi9954=")</f>
        <v>#REF!</v>
      </c>
      <c r="FD50" t="e">
        <f>AND(NhatkyNhap!#REF!,"AAAAADi9958=")</f>
        <v>#REF!</v>
      </c>
      <c r="FE50" t="e">
        <f>AND(NhatkyNhap!#REF!,"AAAAADi996A=")</f>
        <v>#REF!</v>
      </c>
      <c r="FF50" t="e">
        <f>AND(NhatkyNhap!#REF!,"AAAAADi996E=")</f>
        <v>#REF!</v>
      </c>
      <c r="FG50" t="e">
        <f>AND(NhatkyNhap!#REF!,"AAAAADi996I=")</f>
        <v>#REF!</v>
      </c>
      <c r="FH50" t="e">
        <f>AND(NhatkyNhap!#REF!,"AAAAADi996M=")</f>
        <v>#REF!</v>
      </c>
      <c r="FI50" t="e">
        <f>AND(NhatkyNhap!#REF!,"AAAAADi996Q=")</f>
        <v>#REF!</v>
      </c>
      <c r="FJ50" t="e">
        <f>AND(NhatkyNhap!#REF!,"AAAAADi996U=")</f>
        <v>#REF!</v>
      </c>
      <c r="FK50" t="e">
        <f>AND(NhatkyNhap!#REF!,"AAAAADi996Y=")</f>
        <v>#REF!</v>
      </c>
      <c r="FL50" t="e">
        <f>AND(NhatkyNhap!#REF!,"AAAAADi996c=")</f>
        <v>#REF!</v>
      </c>
      <c r="FM50" t="e">
        <f>AND(NhatkyNhap!#REF!,"AAAAADi996g=")</f>
        <v>#REF!</v>
      </c>
      <c r="FN50" t="e">
        <f>AND(NhatkyNhap!#REF!,"AAAAADi996k=")</f>
        <v>#REF!</v>
      </c>
      <c r="FO50" t="e">
        <f>AND(NhatkyNhap!#REF!,"AAAAADi996o=")</f>
        <v>#REF!</v>
      </c>
      <c r="FP50" t="e">
        <f>AND(NhatkyNhap!#REF!,"AAAAADi996s=")</f>
        <v>#REF!</v>
      </c>
      <c r="FQ50" t="e">
        <f>AND(NhatkyNhap!#REF!,"AAAAADi996w=")</f>
        <v>#REF!</v>
      </c>
      <c r="FR50" t="e">
        <f>AND(NhatkyNhap!#REF!,"AAAAADi9960=")</f>
        <v>#REF!</v>
      </c>
      <c r="FS50" t="e">
        <f>AND(NhatkyNhap!#REF!,"AAAAADi9964=")</f>
        <v>#REF!</v>
      </c>
      <c r="FT50" t="e">
        <f>AND(NhatkyNhap!#REF!,"AAAAADi9968=")</f>
        <v>#REF!</v>
      </c>
      <c r="FU50" t="e">
        <f>AND(NhatkyNhap!#REF!,"AAAAADi997A=")</f>
        <v>#REF!</v>
      </c>
      <c r="FV50" t="e">
        <f>AND(NhatkyNhap!#REF!,"AAAAADi997E=")</f>
        <v>#REF!</v>
      </c>
      <c r="FW50" t="e">
        <f>IF(NhatkyNhap!#REF!,"AAAAADi997I=",0)</f>
        <v>#REF!</v>
      </c>
      <c r="FX50" t="e">
        <f>AND(NhatkyNhap!#REF!,"AAAAADi997M=")</f>
        <v>#REF!</v>
      </c>
      <c r="FY50" t="e">
        <f>AND(NhatkyNhap!#REF!,"AAAAADi997Q=")</f>
        <v>#REF!</v>
      </c>
      <c r="FZ50" t="e">
        <f>AND(NhatkyNhap!#REF!,"AAAAADi997U=")</f>
        <v>#REF!</v>
      </c>
      <c r="GA50" t="e">
        <f>AND(NhatkyNhap!#REF!,"AAAAADi997Y=")</f>
        <v>#REF!</v>
      </c>
      <c r="GB50" t="e">
        <f>AND(NhatkyNhap!#REF!,"AAAAADi997c=")</f>
        <v>#REF!</v>
      </c>
      <c r="GC50" t="e">
        <f>AND(NhatkyNhap!#REF!,"AAAAADi997g=")</f>
        <v>#REF!</v>
      </c>
      <c r="GD50" t="e">
        <f>AND(NhatkyNhap!#REF!,"AAAAADi997k=")</f>
        <v>#REF!</v>
      </c>
      <c r="GE50" t="e">
        <f>AND(NhatkyNhap!#REF!,"AAAAADi997o=")</f>
        <v>#REF!</v>
      </c>
      <c r="GF50" t="e">
        <f>AND(NhatkyNhap!#REF!,"AAAAADi997s=")</f>
        <v>#REF!</v>
      </c>
      <c r="GG50" t="e">
        <f>AND(NhatkyNhap!#REF!,"AAAAADi997w=")</f>
        <v>#REF!</v>
      </c>
      <c r="GH50" t="e">
        <f>AND(NhatkyNhap!#REF!,"AAAAADi9970=")</f>
        <v>#REF!</v>
      </c>
      <c r="GI50" t="e">
        <f>AND(NhatkyNhap!#REF!,"AAAAADi9974=")</f>
        <v>#REF!</v>
      </c>
      <c r="GJ50" t="e">
        <f>AND(NhatkyNhap!#REF!,"AAAAADi9978=")</f>
        <v>#REF!</v>
      </c>
      <c r="GK50" t="e">
        <f>AND(NhatkyNhap!#REF!,"AAAAADi998A=")</f>
        <v>#REF!</v>
      </c>
      <c r="GL50" t="e">
        <f>AND(NhatkyNhap!#REF!,"AAAAADi998E=")</f>
        <v>#REF!</v>
      </c>
      <c r="GM50" t="e">
        <f>AND(NhatkyNhap!#REF!,"AAAAADi998I=")</f>
        <v>#REF!</v>
      </c>
      <c r="GN50" t="e">
        <f>AND(NhatkyNhap!#REF!,"AAAAADi998M=")</f>
        <v>#REF!</v>
      </c>
      <c r="GO50" t="e">
        <f>AND(NhatkyNhap!#REF!,"AAAAADi998Q=")</f>
        <v>#REF!</v>
      </c>
      <c r="GP50" t="e">
        <f>AND(NhatkyNhap!#REF!,"AAAAADi998U=")</f>
        <v>#REF!</v>
      </c>
      <c r="GQ50" t="e">
        <f>AND(NhatkyNhap!#REF!,"AAAAADi998Y=")</f>
        <v>#REF!</v>
      </c>
      <c r="GR50" t="e">
        <f>AND(NhatkyNhap!#REF!,"AAAAADi998c=")</f>
        <v>#REF!</v>
      </c>
      <c r="GS50" t="e">
        <f>AND(NhatkyNhap!#REF!,"AAAAADi998g=")</f>
        <v>#REF!</v>
      </c>
      <c r="GT50" t="e">
        <f>AND(NhatkyNhap!#REF!,"AAAAADi998k=")</f>
        <v>#REF!</v>
      </c>
      <c r="GU50" t="e">
        <f>AND(NhatkyNhap!#REF!,"AAAAADi998o=")</f>
        <v>#REF!</v>
      </c>
      <c r="GV50" t="e">
        <f>AND(NhatkyNhap!#REF!,"AAAAADi998s=")</f>
        <v>#REF!</v>
      </c>
      <c r="GW50" t="e">
        <f>AND(NhatkyNhap!#REF!,"AAAAADi998w=")</f>
        <v>#REF!</v>
      </c>
      <c r="GX50" t="e">
        <f>AND(NhatkyNhap!#REF!,"AAAAADi9980=")</f>
        <v>#REF!</v>
      </c>
      <c r="GY50" t="e">
        <f>AND(NhatkyNhap!#REF!,"AAAAADi9984=")</f>
        <v>#REF!</v>
      </c>
      <c r="GZ50" t="e">
        <f>AND(NhatkyNhap!#REF!,"AAAAADi9988=")</f>
        <v>#REF!</v>
      </c>
      <c r="HA50" t="e">
        <f>AND(NhatkyNhap!#REF!,"AAAAADi999A=")</f>
        <v>#REF!</v>
      </c>
      <c r="HB50" t="e">
        <f>AND(NhatkyNhap!#REF!,"AAAAADi999E=")</f>
        <v>#REF!</v>
      </c>
      <c r="HC50" t="e">
        <f>AND(NhatkyNhap!#REF!,"AAAAADi999I=")</f>
        <v>#REF!</v>
      </c>
      <c r="HD50" t="e">
        <f>AND(NhatkyNhap!#REF!,"AAAAADi999M=")</f>
        <v>#REF!</v>
      </c>
      <c r="HE50" t="e">
        <f>AND(NhatkyNhap!#REF!,"AAAAADi999Q=")</f>
        <v>#REF!</v>
      </c>
      <c r="HF50" t="e">
        <f>IF(NhatkyNhap!#REF!,"AAAAADi999U=",0)</f>
        <v>#REF!</v>
      </c>
      <c r="HG50" t="e">
        <f>AND(NhatkyNhap!#REF!,"AAAAADi999Y=")</f>
        <v>#REF!</v>
      </c>
      <c r="HH50" t="e">
        <f>AND(NhatkyNhap!#REF!,"AAAAADi999c=")</f>
        <v>#REF!</v>
      </c>
      <c r="HI50" t="e">
        <f>AND(NhatkyNhap!#REF!,"AAAAADi999g=")</f>
        <v>#REF!</v>
      </c>
      <c r="HJ50" t="e">
        <f>AND(NhatkyNhap!#REF!,"AAAAADi999k=")</f>
        <v>#REF!</v>
      </c>
      <c r="HK50" t="e">
        <f>AND(NhatkyNhap!#REF!,"AAAAADi999o=")</f>
        <v>#REF!</v>
      </c>
      <c r="HL50" t="e">
        <f>AND(NhatkyNhap!#REF!,"AAAAADi999s=")</f>
        <v>#REF!</v>
      </c>
      <c r="HM50" t="e">
        <f>AND(NhatkyNhap!#REF!,"AAAAADi999w=")</f>
        <v>#REF!</v>
      </c>
      <c r="HN50" t="e">
        <f>AND(NhatkyNhap!#REF!,"AAAAADi9990=")</f>
        <v>#REF!</v>
      </c>
      <c r="HO50" t="e">
        <f>AND(NhatkyNhap!#REF!,"AAAAADi9994=")</f>
        <v>#REF!</v>
      </c>
      <c r="HP50" t="e">
        <f>AND(NhatkyNhap!#REF!,"AAAAADi9998=")</f>
        <v>#REF!</v>
      </c>
      <c r="HQ50" t="e">
        <f>AND(NhatkyNhap!#REF!,"AAAAADi99+A=")</f>
        <v>#REF!</v>
      </c>
      <c r="HR50" t="e">
        <f>AND(NhatkyNhap!#REF!,"AAAAADi99+E=")</f>
        <v>#REF!</v>
      </c>
      <c r="HS50" t="e">
        <f>AND(NhatkyNhap!#REF!,"AAAAADi99+I=")</f>
        <v>#REF!</v>
      </c>
      <c r="HT50" t="e">
        <f>AND(NhatkyNhap!#REF!,"AAAAADi99+M=")</f>
        <v>#REF!</v>
      </c>
      <c r="HU50" t="e">
        <f>AND(NhatkyNhap!#REF!,"AAAAADi99+Q=")</f>
        <v>#REF!</v>
      </c>
      <c r="HV50" t="e">
        <f>AND(NhatkyNhap!#REF!,"AAAAADi99+U=")</f>
        <v>#REF!</v>
      </c>
      <c r="HW50" t="e">
        <f>AND(NhatkyNhap!#REF!,"AAAAADi99+Y=")</f>
        <v>#REF!</v>
      </c>
      <c r="HX50" t="e">
        <f>AND(NhatkyNhap!#REF!,"AAAAADi99+c=")</f>
        <v>#REF!</v>
      </c>
      <c r="HY50" t="e">
        <f>AND(NhatkyNhap!#REF!,"AAAAADi99+g=")</f>
        <v>#REF!</v>
      </c>
      <c r="HZ50" t="e">
        <f>AND(NhatkyNhap!#REF!,"AAAAADi99+k=")</f>
        <v>#REF!</v>
      </c>
      <c r="IA50" t="e">
        <f>AND(NhatkyNhap!#REF!,"AAAAADi99+o=")</f>
        <v>#REF!</v>
      </c>
      <c r="IB50" t="e">
        <f>AND(NhatkyNhap!#REF!,"AAAAADi99+s=")</f>
        <v>#REF!</v>
      </c>
      <c r="IC50" t="e">
        <f>AND(NhatkyNhap!#REF!,"AAAAADi99+w=")</f>
        <v>#REF!</v>
      </c>
      <c r="ID50" t="e">
        <f>AND(NhatkyNhap!#REF!,"AAAAADi99+0=")</f>
        <v>#REF!</v>
      </c>
      <c r="IE50" t="e">
        <f>AND(NhatkyNhap!#REF!,"AAAAADi99+4=")</f>
        <v>#REF!</v>
      </c>
      <c r="IF50" t="e">
        <f>AND(NhatkyNhap!#REF!,"AAAAADi99+8=")</f>
        <v>#REF!</v>
      </c>
      <c r="IG50" t="e">
        <f>AND(NhatkyNhap!#REF!,"AAAAADi99/A=")</f>
        <v>#REF!</v>
      </c>
      <c r="IH50" t="e">
        <f>AND(NhatkyNhap!#REF!,"AAAAADi99/E=")</f>
        <v>#REF!</v>
      </c>
      <c r="II50" t="e">
        <f>AND(NhatkyNhap!#REF!,"AAAAADi99/I=")</f>
        <v>#REF!</v>
      </c>
      <c r="IJ50" t="e">
        <f>AND(NhatkyNhap!#REF!,"AAAAADi99/M=")</f>
        <v>#REF!</v>
      </c>
      <c r="IK50" t="e">
        <f>AND(NhatkyNhap!#REF!,"AAAAADi99/Q=")</f>
        <v>#REF!</v>
      </c>
      <c r="IL50" t="e">
        <f>AND(NhatkyNhap!#REF!,"AAAAADi99/U=")</f>
        <v>#REF!</v>
      </c>
      <c r="IM50" t="e">
        <f>AND(NhatkyNhap!#REF!,"AAAAADi99/Y=")</f>
        <v>#REF!</v>
      </c>
      <c r="IN50" t="e">
        <f>AND(NhatkyNhap!#REF!,"AAAAADi99/c=")</f>
        <v>#REF!</v>
      </c>
      <c r="IO50" t="e">
        <f>IF(NhatkyNhap!#REF!,"AAAAADi99/g=",0)</f>
        <v>#REF!</v>
      </c>
      <c r="IP50" t="e">
        <f>AND(NhatkyNhap!#REF!,"AAAAADi99/k=")</f>
        <v>#REF!</v>
      </c>
      <c r="IQ50" t="e">
        <f>AND(NhatkyNhap!#REF!,"AAAAADi99/o=")</f>
        <v>#REF!</v>
      </c>
      <c r="IR50" t="e">
        <f>AND(NhatkyNhap!#REF!,"AAAAADi99/s=")</f>
        <v>#REF!</v>
      </c>
      <c r="IS50" t="e">
        <f>AND(NhatkyNhap!#REF!,"AAAAADi99/w=")</f>
        <v>#REF!</v>
      </c>
      <c r="IT50" t="e">
        <f>AND(NhatkyNhap!#REF!,"AAAAADi99/0=")</f>
        <v>#REF!</v>
      </c>
      <c r="IU50" t="e">
        <f>AND(NhatkyNhap!#REF!,"AAAAADi99/4=")</f>
        <v>#REF!</v>
      </c>
      <c r="IV50" t="e">
        <f>AND(NhatkyNhap!#REF!,"AAAAADi99/8=")</f>
        <v>#REF!</v>
      </c>
    </row>
    <row r="51" spans="1:256">
      <c r="A51" t="e">
        <f>AND(NhatkyNhap!#REF!,"AAAAAF5euQA=")</f>
        <v>#REF!</v>
      </c>
      <c r="B51" t="e">
        <f>AND(NhatkyNhap!#REF!,"AAAAAF5euQE=")</f>
        <v>#REF!</v>
      </c>
      <c r="C51" t="e">
        <f>AND(NhatkyNhap!#REF!,"AAAAAF5euQI=")</f>
        <v>#REF!</v>
      </c>
      <c r="D51" t="e">
        <f>AND(NhatkyNhap!#REF!,"AAAAAF5euQM=")</f>
        <v>#REF!</v>
      </c>
      <c r="E51" t="e">
        <f>AND(NhatkyNhap!#REF!,"AAAAAF5euQQ=")</f>
        <v>#REF!</v>
      </c>
      <c r="F51" t="e">
        <f>AND(NhatkyNhap!#REF!,"AAAAAF5euQU=")</f>
        <v>#REF!</v>
      </c>
      <c r="G51" t="e">
        <f>AND(NhatkyNhap!#REF!,"AAAAAF5euQY=")</f>
        <v>#REF!</v>
      </c>
      <c r="H51" t="e">
        <f>AND(NhatkyNhap!#REF!,"AAAAAF5euQc=")</f>
        <v>#REF!</v>
      </c>
      <c r="I51" t="e">
        <f>AND(NhatkyNhap!#REF!,"AAAAAF5euQg=")</f>
        <v>#REF!</v>
      </c>
      <c r="J51" t="e">
        <f>AND(NhatkyNhap!#REF!,"AAAAAF5euQk=")</f>
        <v>#REF!</v>
      </c>
      <c r="K51" t="e">
        <f>AND(NhatkyNhap!#REF!,"AAAAAF5euQo=")</f>
        <v>#REF!</v>
      </c>
      <c r="L51" t="e">
        <f>AND(NhatkyNhap!#REF!,"AAAAAF5euQs=")</f>
        <v>#REF!</v>
      </c>
      <c r="M51" t="e">
        <f>AND(NhatkyNhap!#REF!,"AAAAAF5euQw=")</f>
        <v>#REF!</v>
      </c>
      <c r="N51" t="e">
        <f>AND(NhatkyNhap!#REF!,"AAAAAF5euQ0=")</f>
        <v>#REF!</v>
      </c>
      <c r="O51" t="e">
        <f>AND(NhatkyNhap!#REF!,"AAAAAF5euQ4=")</f>
        <v>#REF!</v>
      </c>
      <c r="P51" t="e">
        <f>AND(NhatkyNhap!#REF!,"AAAAAF5euQ8=")</f>
        <v>#REF!</v>
      </c>
      <c r="Q51" t="e">
        <f>AND(NhatkyNhap!#REF!,"AAAAAF5euRA=")</f>
        <v>#REF!</v>
      </c>
      <c r="R51" t="e">
        <f>AND(NhatkyNhap!#REF!,"AAAAAF5euRE=")</f>
        <v>#REF!</v>
      </c>
      <c r="S51" t="e">
        <f>AND(NhatkyNhap!#REF!,"AAAAAF5euRI=")</f>
        <v>#REF!</v>
      </c>
      <c r="T51" t="e">
        <f>AND(NhatkyNhap!#REF!,"AAAAAF5euRM=")</f>
        <v>#REF!</v>
      </c>
      <c r="U51" t="e">
        <f>AND(NhatkyNhap!#REF!,"AAAAAF5euRQ=")</f>
        <v>#REF!</v>
      </c>
      <c r="V51" t="e">
        <f>AND(NhatkyNhap!#REF!,"AAAAAF5euRU=")</f>
        <v>#REF!</v>
      </c>
      <c r="W51" t="e">
        <f>AND(NhatkyNhap!#REF!,"AAAAAF5euRY=")</f>
        <v>#REF!</v>
      </c>
      <c r="X51" t="e">
        <f>AND(NhatkyNhap!#REF!,"AAAAAF5euRc=")</f>
        <v>#REF!</v>
      </c>
      <c r="Y51" t="e">
        <f>AND(NhatkyNhap!#REF!,"AAAAAF5euRg=")</f>
        <v>#REF!</v>
      </c>
      <c r="Z51" t="e">
        <f>AND(NhatkyNhap!#REF!,"AAAAAF5euRk=")</f>
        <v>#REF!</v>
      </c>
      <c r="AA51" t="e">
        <f>AND(NhatkyNhap!#REF!,"AAAAAF5euRo=")</f>
        <v>#REF!</v>
      </c>
      <c r="AB51" t="e">
        <f>IF(NhatkyNhap!#REF!,"AAAAAF5euRs=",0)</f>
        <v>#REF!</v>
      </c>
      <c r="AC51" t="e">
        <f>AND(NhatkyNhap!#REF!,"AAAAAF5euRw=")</f>
        <v>#REF!</v>
      </c>
      <c r="AD51" t="e">
        <f>AND(NhatkyNhap!#REF!,"AAAAAF5euR0=")</f>
        <v>#REF!</v>
      </c>
      <c r="AE51" t="e">
        <f>AND(NhatkyNhap!#REF!,"AAAAAF5euR4=")</f>
        <v>#REF!</v>
      </c>
      <c r="AF51" t="e">
        <f>AND(NhatkyNhap!#REF!,"AAAAAF5euR8=")</f>
        <v>#REF!</v>
      </c>
      <c r="AG51" t="e">
        <f>AND(NhatkyNhap!#REF!,"AAAAAF5euSA=")</f>
        <v>#REF!</v>
      </c>
      <c r="AH51" t="e">
        <f>AND(NhatkyNhap!#REF!,"AAAAAF5euSE=")</f>
        <v>#REF!</v>
      </c>
      <c r="AI51" t="e">
        <f>AND(NhatkyNhap!#REF!,"AAAAAF5euSI=")</f>
        <v>#REF!</v>
      </c>
      <c r="AJ51" t="e">
        <f>AND(NhatkyNhap!#REF!,"AAAAAF5euSM=")</f>
        <v>#REF!</v>
      </c>
      <c r="AK51" t="e">
        <f>AND(NhatkyNhap!#REF!,"AAAAAF5euSQ=")</f>
        <v>#REF!</v>
      </c>
      <c r="AL51" t="e">
        <f>AND(NhatkyNhap!#REF!,"AAAAAF5euSU=")</f>
        <v>#REF!</v>
      </c>
      <c r="AM51" t="e">
        <f>AND(NhatkyNhap!#REF!,"AAAAAF5euSY=")</f>
        <v>#REF!</v>
      </c>
      <c r="AN51" t="e">
        <f>AND(NhatkyNhap!#REF!,"AAAAAF5euSc=")</f>
        <v>#REF!</v>
      </c>
      <c r="AO51" t="e">
        <f>AND(NhatkyNhap!#REF!,"AAAAAF5euSg=")</f>
        <v>#REF!</v>
      </c>
      <c r="AP51" t="e">
        <f>AND(NhatkyNhap!#REF!,"AAAAAF5euSk=")</f>
        <v>#REF!</v>
      </c>
      <c r="AQ51" t="e">
        <f>AND(NhatkyNhap!#REF!,"AAAAAF5euSo=")</f>
        <v>#REF!</v>
      </c>
      <c r="AR51" t="e">
        <f>AND(NhatkyNhap!#REF!,"AAAAAF5euSs=")</f>
        <v>#REF!</v>
      </c>
      <c r="AS51" t="e">
        <f>AND(NhatkyNhap!#REF!,"AAAAAF5euSw=")</f>
        <v>#REF!</v>
      </c>
      <c r="AT51" t="e">
        <f>AND(NhatkyNhap!#REF!,"AAAAAF5euS0=")</f>
        <v>#REF!</v>
      </c>
      <c r="AU51" t="e">
        <f>AND(NhatkyNhap!#REF!,"AAAAAF5euS4=")</f>
        <v>#REF!</v>
      </c>
      <c r="AV51" t="e">
        <f>AND(NhatkyNhap!#REF!,"AAAAAF5euS8=")</f>
        <v>#REF!</v>
      </c>
      <c r="AW51" t="e">
        <f>AND(NhatkyNhap!#REF!,"AAAAAF5euTA=")</f>
        <v>#REF!</v>
      </c>
      <c r="AX51" t="e">
        <f>AND(NhatkyNhap!#REF!,"AAAAAF5euTE=")</f>
        <v>#REF!</v>
      </c>
      <c r="AY51" t="e">
        <f>AND(NhatkyNhap!#REF!,"AAAAAF5euTI=")</f>
        <v>#REF!</v>
      </c>
      <c r="AZ51" t="e">
        <f>AND(NhatkyNhap!#REF!,"AAAAAF5euTM=")</f>
        <v>#REF!</v>
      </c>
      <c r="BA51" t="e">
        <f>AND(NhatkyNhap!#REF!,"AAAAAF5euTQ=")</f>
        <v>#REF!</v>
      </c>
      <c r="BB51" t="e">
        <f>AND(NhatkyNhap!#REF!,"AAAAAF5euTU=")</f>
        <v>#REF!</v>
      </c>
      <c r="BC51" t="e">
        <f>AND(NhatkyNhap!#REF!,"AAAAAF5euTY=")</f>
        <v>#REF!</v>
      </c>
      <c r="BD51" t="e">
        <f>AND(NhatkyNhap!#REF!,"AAAAAF5euTc=")</f>
        <v>#REF!</v>
      </c>
      <c r="BE51" t="e">
        <f>AND(NhatkyNhap!#REF!,"AAAAAF5euTg=")</f>
        <v>#REF!</v>
      </c>
      <c r="BF51" t="e">
        <f>AND(NhatkyNhap!#REF!,"AAAAAF5euTk=")</f>
        <v>#REF!</v>
      </c>
      <c r="BG51" t="e">
        <f>AND(NhatkyNhap!#REF!,"AAAAAF5euTo=")</f>
        <v>#REF!</v>
      </c>
      <c r="BH51" t="e">
        <f>AND(NhatkyNhap!#REF!,"AAAAAF5euTs=")</f>
        <v>#REF!</v>
      </c>
      <c r="BI51" t="e">
        <f>AND(NhatkyNhap!#REF!,"AAAAAF5euTw=")</f>
        <v>#REF!</v>
      </c>
      <c r="BJ51" t="e">
        <f>AND(NhatkyNhap!#REF!,"AAAAAF5euT0=")</f>
        <v>#REF!</v>
      </c>
      <c r="BK51" t="e">
        <f>IF(NhatkyNhap!#REF!,"AAAAAF5euT4=",0)</f>
        <v>#REF!</v>
      </c>
      <c r="BL51" t="e">
        <f>AND(NhatkyNhap!#REF!,"AAAAAF5euT8=")</f>
        <v>#REF!</v>
      </c>
      <c r="BM51" t="e">
        <f>AND(NhatkyNhap!#REF!,"AAAAAF5euUA=")</f>
        <v>#REF!</v>
      </c>
      <c r="BN51" t="e">
        <f>AND(NhatkyNhap!#REF!,"AAAAAF5euUE=")</f>
        <v>#REF!</v>
      </c>
      <c r="BO51" t="e">
        <f>AND(NhatkyNhap!#REF!,"AAAAAF5euUI=")</f>
        <v>#REF!</v>
      </c>
      <c r="BP51" t="e">
        <f>AND(NhatkyNhap!#REF!,"AAAAAF5euUM=")</f>
        <v>#REF!</v>
      </c>
      <c r="BQ51" t="e">
        <f>AND(NhatkyNhap!#REF!,"AAAAAF5euUQ=")</f>
        <v>#REF!</v>
      </c>
      <c r="BR51" t="e">
        <f>AND(NhatkyNhap!#REF!,"AAAAAF5euUU=")</f>
        <v>#REF!</v>
      </c>
      <c r="BS51" t="e">
        <f>AND(NhatkyNhap!#REF!,"AAAAAF5euUY=")</f>
        <v>#REF!</v>
      </c>
      <c r="BT51" t="e">
        <f>AND(NhatkyNhap!#REF!,"AAAAAF5euUc=")</f>
        <v>#REF!</v>
      </c>
      <c r="BU51" t="e">
        <f>AND(NhatkyNhap!#REF!,"AAAAAF5euUg=")</f>
        <v>#REF!</v>
      </c>
      <c r="BV51" t="e">
        <f>AND(NhatkyNhap!#REF!,"AAAAAF5euUk=")</f>
        <v>#REF!</v>
      </c>
      <c r="BW51" t="e">
        <f>AND(NhatkyNhap!#REF!,"AAAAAF5euUo=")</f>
        <v>#REF!</v>
      </c>
      <c r="BX51" t="e">
        <f>AND(NhatkyNhap!#REF!,"AAAAAF5euUs=")</f>
        <v>#REF!</v>
      </c>
      <c r="BY51" t="e">
        <f>AND(NhatkyNhap!#REF!,"AAAAAF5euUw=")</f>
        <v>#REF!</v>
      </c>
      <c r="BZ51" t="e">
        <f>AND(NhatkyNhap!#REF!,"AAAAAF5euU0=")</f>
        <v>#REF!</v>
      </c>
      <c r="CA51" t="e">
        <f>AND(NhatkyNhap!#REF!,"AAAAAF5euU4=")</f>
        <v>#REF!</v>
      </c>
      <c r="CB51" t="e">
        <f>AND(NhatkyNhap!#REF!,"AAAAAF5euU8=")</f>
        <v>#REF!</v>
      </c>
      <c r="CC51" t="e">
        <f>AND(NhatkyNhap!#REF!,"AAAAAF5euVA=")</f>
        <v>#REF!</v>
      </c>
      <c r="CD51" t="e">
        <f>AND(NhatkyNhap!#REF!,"AAAAAF5euVE=")</f>
        <v>#REF!</v>
      </c>
      <c r="CE51" t="e">
        <f>AND(NhatkyNhap!#REF!,"AAAAAF5euVI=")</f>
        <v>#REF!</v>
      </c>
      <c r="CF51" t="e">
        <f>AND(NhatkyNhap!#REF!,"AAAAAF5euVM=")</f>
        <v>#REF!</v>
      </c>
      <c r="CG51" t="e">
        <f>AND(NhatkyNhap!#REF!,"AAAAAF5euVQ=")</f>
        <v>#REF!</v>
      </c>
      <c r="CH51" t="e">
        <f>AND(NhatkyNhap!#REF!,"AAAAAF5euVU=")</f>
        <v>#REF!</v>
      </c>
      <c r="CI51" t="e">
        <f>AND(NhatkyNhap!#REF!,"AAAAAF5euVY=")</f>
        <v>#REF!</v>
      </c>
      <c r="CJ51" t="e">
        <f>AND(NhatkyNhap!#REF!,"AAAAAF5euVc=")</f>
        <v>#REF!</v>
      </c>
      <c r="CK51" t="e">
        <f>AND(NhatkyNhap!#REF!,"AAAAAF5euVg=")</f>
        <v>#REF!</v>
      </c>
      <c r="CL51" t="e">
        <f>AND(NhatkyNhap!#REF!,"AAAAAF5euVk=")</f>
        <v>#REF!</v>
      </c>
      <c r="CM51" t="e">
        <f>AND(NhatkyNhap!#REF!,"AAAAAF5euVo=")</f>
        <v>#REF!</v>
      </c>
      <c r="CN51" t="e">
        <f>AND(NhatkyNhap!#REF!,"AAAAAF5euVs=")</f>
        <v>#REF!</v>
      </c>
      <c r="CO51" t="e">
        <f>AND(NhatkyNhap!#REF!,"AAAAAF5euVw=")</f>
        <v>#REF!</v>
      </c>
      <c r="CP51" t="e">
        <f>AND(NhatkyNhap!#REF!,"AAAAAF5euV0=")</f>
        <v>#REF!</v>
      </c>
      <c r="CQ51" t="e">
        <f>AND(NhatkyNhap!#REF!,"AAAAAF5euV4=")</f>
        <v>#REF!</v>
      </c>
      <c r="CR51" t="e">
        <f>AND(NhatkyNhap!#REF!,"AAAAAF5euV8=")</f>
        <v>#REF!</v>
      </c>
      <c r="CS51" t="e">
        <f>AND(NhatkyNhap!#REF!,"AAAAAF5euWA=")</f>
        <v>#REF!</v>
      </c>
      <c r="CT51" t="e">
        <f>IF(NhatkyNhap!#REF!,"AAAAAF5euWE=",0)</f>
        <v>#REF!</v>
      </c>
      <c r="CU51" t="e">
        <f>AND(NhatkyNhap!#REF!,"AAAAAF5euWI=")</f>
        <v>#REF!</v>
      </c>
      <c r="CV51" t="e">
        <f>AND(NhatkyNhap!#REF!,"AAAAAF5euWM=")</f>
        <v>#REF!</v>
      </c>
      <c r="CW51" t="e">
        <f>AND(NhatkyNhap!#REF!,"AAAAAF5euWQ=")</f>
        <v>#REF!</v>
      </c>
      <c r="CX51" t="e">
        <f>AND(NhatkyNhap!#REF!,"AAAAAF5euWU=")</f>
        <v>#REF!</v>
      </c>
      <c r="CY51" t="e">
        <f>AND(NhatkyNhap!#REF!,"AAAAAF5euWY=")</f>
        <v>#REF!</v>
      </c>
      <c r="CZ51" t="e">
        <f>AND(NhatkyNhap!#REF!,"AAAAAF5euWc=")</f>
        <v>#REF!</v>
      </c>
      <c r="DA51" t="e">
        <f>AND(NhatkyNhap!#REF!,"AAAAAF5euWg=")</f>
        <v>#REF!</v>
      </c>
      <c r="DB51" t="e">
        <f>AND(NhatkyNhap!#REF!,"AAAAAF5euWk=")</f>
        <v>#REF!</v>
      </c>
      <c r="DC51" t="e">
        <f>AND(NhatkyNhap!#REF!,"AAAAAF5euWo=")</f>
        <v>#REF!</v>
      </c>
      <c r="DD51" t="e">
        <f>AND(NhatkyNhap!#REF!,"AAAAAF5euWs=")</f>
        <v>#REF!</v>
      </c>
      <c r="DE51" t="e">
        <f>AND(NhatkyNhap!#REF!,"AAAAAF5euWw=")</f>
        <v>#REF!</v>
      </c>
      <c r="DF51" t="e">
        <f>AND(NhatkyNhap!#REF!,"AAAAAF5euW0=")</f>
        <v>#REF!</v>
      </c>
      <c r="DG51" t="e">
        <f>AND(NhatkyNhap!#REF!,"AAAAAF5euW4=")</f>
        <v>#REF!</v>
      </c>
      <c r="DH51" t="e">
        <f>AND(NhatkyNhap!#REF!,"AAAAAF5euW8=")</f>
        <v>#REF!</v>
      </c>
      <c r="DI51" t="e">
        <f>AND(NhatkyNhap!#REF!,"AAAAAF5euXA=")</f>
        <v>#REF!</v>
      </c>
      <c r="DJ51" t="e">
        <f>AND(NhatkyNhap!#REF!,"AAAAAF5euXE=")</f>
        <v>#REF!</v>
      </c>
      <c r="DK51" t="e">
        <f>AND(NhatkyNhap!#REF!,"AAAAAF5euXI=")</f>
        <v>#REF!</v>
      </c>
      <c r="DL51" t="e">
        <f>AND(NhatkyNhap!#REF!,"AAAAAF5euXM=")</f>
        <v>#REF!</v>
      </c>
      <c r="DM51" t="e">
        <f>AND(NhatkyNhap!#REF!,"AAAAAF5euXQ=")</f>
        <v>#REF!</v>
      </c>
      <c r="DN51" t="e">
        <f>AND(NhatkyNhap!#REF!,"AAAAAF5euXU=")</f>
        <v>#REF!</v>
      </c>
      <c r="DO51" t="e">
        <f>AND(NhatkyNhap!#REF!,"AAAAAF5euXY=")</f>
        <v>#REF!</v>
      </c>
      <c r="DP51" t="e">
        <f>AND(NhatkyNhap!#REF!,"AAAAAF5euXc=")</f>
        <v>#REF!</v>
      </c>
      <c r="DQ51" t="e">
        <f>AND(NhatkyNhap!#REF!,"AAAAAF5euXg=")</f>
        <v>#REF!</v>
      </c>
      <c r="DR51" t="e">
        <f>AND(NhatkyNhap!#REF!,"AAAAAF5euXk=")</f>
        <v>#REF!</v>
      </c>
      <c r="DS51" t="e">
        <f>AND(NhatkyNhap!#REF!,"AAAAAF5euXo=")</f>
        <v>#REF!</v>
      </c>
      <c r="DT51" t="e">
        <f>AND(NhatkyNhap!#REF!,"AAAAAF5euXs=")</f>
        <v>#REF!</v>
      </c>
      <c r="DU51" t="e">
        <f>AND(NhatkyNhap!#REF!,"AAAAAF5euXw=")</f>
        <v>#REF!</v>
      </c>
      <c r="DV51" t="e">
        <f>AND(NhatkyNhap!#REF!,"AAAAAF5euX0=")</f>
        <v>#REF!</v>
      </c>
      <c r="DW51" t="e">
        <f>AND(NhatkyNhap!#REF!,"AAAAAF5euX4=")</f>
        <v>#REF!</v>
      </c>
      <c r="DX51" t="e">
        <f>AND(NhatkyNhap!#REF!,"AAAAAF5euX8=")</f>
        <v>#REF!</v>
      </c>
      <c r="DY51" t="e">
        <f>AND(NhatkyNhap!#REF!,"AAAAAF5euYA=")</f>
        <v>#REF!</v>
      </c>
      <c r="DZ51" t="e">
        <f>AND(NhatkyNhap!#REF!,"AAAAAF5euYE=")</f>
        <v>#REF!</v>
      </c>
      <c r="EA51" t="e">
        <f>AND(NhatkyNhap!#REF!,"AAAAAF5euYI=")</f>
        <v>#REF!</v>
      </c>
      <c r="EB51" t="e">
        <f>AND(NhatkyNhap!#REF!,"AAAAAF5euYM=")</f>
        <v>#REF!</v>
      </c>
      <c r="EC51" t="e">
        <f>IF(NhatkyNhap!#REF!,"AAAAAF5euYQ=",0)</f>
        <v>#REF!</v>
      </c>
      <c r="ED51" t="e">
        <f>AND(NhatkyNhap!#REF!,"AAAAAF5euYU=")</f>
        <v>#REF!</v>
      </c>
      <c r="EE51" t="e">
        <f>AND(NhatkyNhap!#REF!,"AAAAAF5euYY=")</f>
        <v>#REF!</v>
      </c>
      <c r="EF51" t="e">
        <f>AND(NhatkyNhap!#REF!,"AAAAAF5euYc=")</f>
        <v>#REF!</v>
      </c>
      <c r="EG51" t="e">
        <f>AND(NhatkyNhap!#REF!,"AAAAAF5euYg=")</f>
        <v>#REF!</v>
      </c>
      <c r="EH51" t="e">
        <f>AND(NhatkyNhap!#REF!,"AAAAAF5euYk=")</f>
        <v>#REF!</v>
      </c>
      <c r="EI51" t="e">
        <f>AND(NhatkyNhap!#REF!,"AAAAAF5euYo=")</f>
        <v>#REF!</v>
      </c>
      <c r="EJ51" t="e">
        <f>AND(NhatkyNhap!#REF!,"AAAAAF5euYs=")</f>
        <v>#REF!</v>
      </c>
      <c r="EK51" t="e">
        <f>AND(NhatkyNhap!#REF!,"AAAAAF5euYw=")</f>
        <v>#REF!</v>
      </c>
      <c r="EL51" t="e">
        <f>AND(NhatkyNhap!#REF!,"AAAAAF5euY0=")</f>
        <v>#REF!</v>
      </c>
      <c r="EM51" t="e">
        <f>AND(NhatkyNhap!#REF!,"AAAAAF5euY4=")</f>
        <v>#REF!</v>
      </c>
      <c r="EN51" t="e">
        <f>AND(NhatkyNhap!#REF!,"AAAAAF5euY8=")</f>
        <v>#REF!</v>
      </c>
      <c r="EO51" t="e">
        <f>AND(NhatkyNhap!#REF!,"AAAAAF5euZA=")</f>
        <v>#REF!</v>
      </c>
      <c r="EP51" t="e">
        <f>AND(NhatkyNhap!#REF!,"AAAAAF5euZE=")</f>
        <v>#REF!</v>
      </c>
      <c r="EQ51" t="e">
        <f>AND(NhatkyNhap!#REF!,"AAAAAF5euZI=")</f>
        <v>#REF!</v>
      </c>
      <c r="ER51" t="e">
        <f>AND(NhatkyNhap!#REF!,"AAAAAF5euZM=")</f>
        <v>#REF!</v>
      </c>
      <c r="ES51" t="e">
        <f>AND(NhatkyNhap!#REF!,"AAAAAF5euZQ=")</f>
        <v>#REF!</v>
      </c>
      <c r="ET51" t="e">
        <f>AND(NhatkyNhap!#REF!,"AAAAAF5euZU=")</f>
        <v>#REF!</v>
      </c>
      <c r="EU51" t="e">
        <f>AND(NhatkyNhap!#REF!,"AAAAAF5euZY=")</f>
        <v>#REF!</v>
      </c>
      <c r="EV51" t="e">
        <f>AND(NhatkyNhap!#REF!,"AAAAAF5euZc=")</f>
        <v>#REF!</v>
      </c>
      <c r="EW51" t="e">
        <f>AND(NhatkyNhap!#REF!,"AAAAAF5euZg=")</f>
        <v>#REF!</v>
      </c>
      <c r="EX51" t="e">
        <f>AND(NhatkyNhap!#REF!,"AAAAAF5euZk=")</f>
        <v>#REF!</v>
      </c>
      <c r="EY51" t="e">
        <f>AND(NhatkyNhap!#REF!,"AAAAAF5euZo=")</f>
        <v>#REF!</v>
      </c>
      <c r="EZ51" t="e">
        <f>AND(NhatkyNhap!#REF!,"AAAAAF5euZs=")</f>
        <v>#REF!</v>
      </c>
      <c r="FA51" t="e">
        <f>AND(NhatkyNhap!#REF!,"AAAAAF5euZw=")</f>
        <v>#REF!</v>
      </c>
      <c r="FB51" t="e">
        <f>AND(NhatkyNhap!#REF!,"AAAAAF5euZ0=")</f>
        <v>#REF!</v>
      </c>
      <c r="FC51" t="e">
        <f>AND(NhatkyNhap!#REF!,"AAAAAF5euZ4=")</f>
        <v>#REF!</v>
      </c>
      <c r="FD51" t="e">
        <f>AND(NhatkyNhap!#REF!,"AAAAAF5euZ8=")</f>
        <v>#REF!</v>
      </c>
      <c r="FE51" t="e">
        <f>AND(NhatkyNhap!#REF!,"AAAAAF5euaA=")</f>
        <v>#REF!</v>
      </c>
      <c r="FF51" t="e">
        <f>AND(NhatkyNhap!#REF!,"AAAAAF5euaE=")</f>
        <v>#REF!</v>
      </c>
      <c r="FG51" t="e">
        <f>AND(NhatkyNhap!#REF!,"AAAAAF5euaI=")</f>
        <v>#REF!</v>
      </c>
      <c r="FH51" t="e">
        <f>AND(NhatkyNhap!#REF!,"AAAAAF5euaM=")</f>
        <v>#REF!</v>
      </c>
      <c r="FI51" t="e">
        <f>AND(NhatkyNhap!#REF!,"AAAAAF5euaQ=")</f>
        <v>#REF!</v>
      </c>
      <c r="FJ51" t="e">
        <f>AND(NhatkyNhap!#REF!,"AAAAAF5euaU=")</f>
        <v>#REF!</v>
      </c>
      <c r="FK51" t="e">
        <f>AND(NhatkyNhap!#REF!,"AAAAAF5euaY=")</f>
        <v>#REF!</v>
      </c>
      <c r="FL51" t="e">
        <f>IF(NhatkyNhap!#REF!,"AAAAAF5euac=",0)</f>
        <v>#REF!</v>
      </c>
      <c r="FM51" t="e">
        <f>AND(NhatkyNhap!#REF!,"AAAAAF5euag=")</f>
        <v>#REF!</v>
      </c>
      <c r="FN51" t="e">
        <f>AND(NhatkyNhap!#REF!,"AAAAAF5euak=")</f>
        <v>#REF!</v>
      </c>
      <c r="FO51" t="e">
        <f>AND(NhatkyNhap!#REF!,"AAAAAF5euao=")</f>
        <v>#REF!</v>
      </c>
      <c r="FP51" t="e">
        <f>AND(NhatkyNhap!#REF!,"AAAAAF5euas=")</f>
        <v>#REF!</v>
      </c>
      <c r="FQ51" t="e">
        <f>AND(NhatkyNhap!#REF!,"AAAAAF5euaw=")</f>
        <v>#REF!</v>
      </c>
      <c r="FR51" t="e">
        <f>AND(NhatkyNhap!#REF!,"AAAAAF5eua0=")</f>
        <v>#REF!</v>
      </c>
      <c r="FS51" t="e">
        <f>AND(NhatkyNhap!#REF!,"AAAAAF5eua4=")</f>
        <v>#REF!</v>
      </c>
      <c r="FT51" t="e">
        <f>AND(NhatkyNhap!#REF!,"AAAAAF5eua8=")</f>
        <v>#REF!</v>
      </c>
      <c r="FU51" t="e">
        <f>AND(NhatkyNhap!#REF!,"AAAAAF5eubA=")</f>
        <v>#REF!</v>
      </c>
      <c r="FV51" t="e">
        <f>AND(NhatkyNhap!#REF!,"AAAAAF5eubE=")</f>
        <v>#REF!</v>
      </c>
      <c r="FW51" t="e">
        <f>AND(NhatkyNhap!#REF!,"AAAAAF5eubI=")</f>
        <v>#REF!</v>
      </c>
      <c r="FX51" t="e">
        <f>AND(NhatkyNhap!#REF!,"AAAAAF5eubM=")</f>
        <v>#REF!</v>
      </c>
      <c r="FY51" t="e">
        <f>AND(NhatkyNhap!#REF!,"AAAAAF5eubQ=")</f>
        <v>#REF!</v>
      </c>
      <c r="FZ51" t="e">
        <f>AND(NhatkyNhap!#REF!,"AAAAAF5eubU=")</f>
        <v>#REF!</v>
      </c>
      <c r="GA51" t="e">
        <f>AND(NhatkyNhap!#REF!,"AAAAAF5eubY=")</f>
        <v>#REF!</v>
      </c>
      <c r="GB51" t="e">
        <f>AND(NhatkyNhap!#REF!,"AAAAAF5eubc=")</f>
        <v>#REF!</v>
      </c>
      <c r="GC51" t="e">
        <f>AND(NhatkyNhap!#REF!,"AAAAAF5eubg=")</f>
        <v>#REF!</v>
      </c>
      <c r="GD51" t="e">
        <f>AND(NhatkyNhap!#REF!,"AAAAAF5eubk=")</f>
        <v>#REF!</v>
      </c>
      <c r="GE51" t="e">
        <f>AND(NhatkyNhap!#REF!,"AAAAAF5eubo=")</f>
        <v>#REF!</v>
      </c>
      <c r="GF51" t="e">
        <f>AND(NhatkyNhap!#REF!,"AAAAAF5eubs=")</f>
        <v>#REF!</v>
      </c>
      <c r="GG51" t="e">
        <f>AND(NhatkyNhap!#REF!,"AAAAAF5eubw=")</f>
        <v>#REF!</v>
      </c>
      <c r="GH51" t="e">
        <f>AND(NhatkyNhap!#REF!,"AAAAAF5eub0=")</f>
        <v>#REF!</v>
      </c>
      <c r="GI51" t="e">
        <f>AND(NhatkyNhap!#REF!,"AAAAAF5eub4=")</f>
        <v>#REF!</v>
      </c>
      <c r="GJ51" t="e">
        <f>AND(NhatkyNhap!#REF!,"AAAAAF5eub8=")</f>
        <v>#REF!</v>
      </c>
      <c r="GK51" t="e">
        <f>AND(NhatkyNhap!#REF!,"AAAAAF5eucA=")</f>
        <v>#REF!</v>
      </c>
      <c r="GL51" t="e">
        <f>AND(NhatkyNhap!#REF!,"AAAAAF5eucE=")</f>
        <v>#REF!</v>
      </c>
      <c r="GM51" t="e">
        <f>AND(NhatkyNhap!#REF!,"AAAAAF5eucI=")</f>
        <v>#REF!</v>
      </c>
      <c r="GN51" t="e">
        <f>AND(NhatkyNhap!#REF!,"AAAAAF5eucM=")</f>
        <v>#REF!</v>
      </c>
      <c r="GO51" t="e">
        <f>AND(NhatkyNhap!#REF!,"AAAAAF5eucQ=")</f>
        <v>#REF!</v>
      </c>
      <c r="GP51" t="e">
        <f>AND(NhatkyNhap!#REF!,"AAAAAF5eucU=")</f>
        <v>#REF!</v>
      </c>
      <c r="GQ51" t="e">
        <f>AND(NhatkyNhap!#REF!,"AAAAAF5eucY=")</f>
        <v>#REF!</v>
      </c>
      <c r="GR51" t="e">
        <f>AND(NhatkyNhap!#REF!,"AAAAAF5eucc=")</f>
        <v>#REF!</v>
      </c>
      <c r="GS51" t="e">
        <f>AND(NhatkyNhap!#REF!,"AAAAAF5eucg=")</f>
        <v>#REF!</v>
      </c>
      <c r="GT51" t="e">
        <f>AND(NhatkyNhap!#REF!,"AAAAAF5euck=")</f>
        <v>#REF!</v>
      </c>
      <c r="GU51" t="e">
        <f>IF(NhatkyNhap!#REF!,"AAAAAF5euco=",0)</f>
        <v>#REF!</v>
      </c>
      <c r="GV51" t="e">
        <f>AND(NhatkyNhap!#REF!,"AAAAAF5eucs=")</f>
        <v>#REF!</v>
      </c>
      <c r="GW51" t="e">
        <f>AND(NhatkyNhap!#REF!,"AAAAAF5eucw=")</f>
        <v>#REF!</v>
      </c>
      <c r="GX51" t="e">
        <f>AND(NhatkyNhap!#REF!,"AAAAAF5euc0=")</f>
        <v>#REF!</v>
      </c>
      <c r="GY51" t="e">
        <f>AND(NhatkyNhap!#REF!,"AAAAAF5euc4=")</f>
        <v>#REF!</v>
      </c>
      <c r="GZ51" t="e">
        <f>AND(NhatkyNhap!#REF!,"AAAAAF5euc8=")</f>
        <v>#REF!</v>
      </c>
      <c r="HA51" t="e">
        <f>AND(NhatkyNhap!#REF!,"AAAAAF5eudA=")</f>
        <v>#REF!</v>
      </c>
      <c r="HB51" t="e">
        <f>AND(NhatkyNhap!#REF!,"AAAAAF5eudE=")</f>
        <v>#REF!</v>
      </c>
      <c r="HC51" t="e">
        <f>AND(NhatkyNhap!#REF!,"AAAAAF5eudI=")</f>
        <v>#REF!</v>
      </c>
      <c r="HD51" t="e">
        <f>AND(NhatkyNhap!#REF!,"AAAAAF5eudM=")</f>
        <v>#REF!</v>
      </c>
      <c r="HE51" t="e">
        <f>AND(NhatkyNhap!#REF!,"AAAAAF5eudQ=")</f>
        <v>#REF!</v>
      </c>
      <c r="HF51" t="e">
        <f>AND(NhatkyNhap!#REF!,"AAAAAF5eudU=")</f>
        <v>#REF!</v>
      </c>
      <c r="HG51" t="e">
        <f>AND(NhatkyNhap!#REF!,"AAAAAF5eudY=")</f>
        <v>#REF!</v>
      </c>
      <c r="HH51" t="e">
        <f>AND(NhatkyNhap!#REF!,"AAAAAF5eudc=")</f>
        <v>#REF!</v>
      </c>
      <c r="HI51" t="e">
        <f>AND(NhatkyNhap!#REF!,"AAAAAF5eudg=")</f>
        <v>#REF!</v>
      </c>
      <c r="HJ51" t="e">
        <f>AND(NhatkyNhap!#REF!,"AAAAAF5eudk=")</f>
        <v>#REF!</v>
      </c>
      <c r="HK51" t="e">
        <f>AND(NhatkyNhap!#REF!,"AAAAAF5eudo=")</f>
        <v>#REF!</v>
      </c>
      <c r="HL51" t="e">
        <f>AND(NhatkyNhap!#REF!,"AAAAAF5euds=")</f>
        <v>#REF!</v>
      </c>
      <c r="HM51" t="e">
        <f>AND(NhatkyNhap!#REF!,"AAAAAF5eudw=")</f>
        <v>#REF!</v>
      </c>
      <c r="HN51" t="e">
        <f>AND(NhatkyNhap!#REF!,"AAAAAF5eud0=")</f>
        <v>#REF!</v>
      </c>
      <c r="HO51" t="e">
        <f>AND(NhatkyNhap!#REF!,"AAAAAF5eud4=")</f>
        <v>#REF!</v>
      </c>
      <c r="HP51" t="e">
        <f>AND(NhatkyNhap!#REF!,"AAAAAF5eud8=")</f>
        <v>#REF!</v>
      </c>
      <c r="HQ51" t="e">
        <f>AND(NhatkyNhap!#REF!,"AAAAAF5eueA=")</f>
        <v>#REF!</v>
      </c>
      <c r="HR51" t="e">
        <f>AND(NhatkyNhap!#REF!,"AAAAAF5eueE=")</f>
        <v>#REF!</v>
      </c>
      <c r="HS51" t="e">
        <f>AND(NhatkyNhap!#REF!,"AAAAAF5eueI=")</f>
        <v>#REF!</v>
      </c>
      <c r="HT51" t="e">
        <f>AND(NhatkyNhap!#REF!,"AAAAAF5eueM=")</f>
        <v>#REF!</v>
      </c>
      <c r="HU51" t="e">
        <f>AND(NhatkyNhap!#REF!,"AAAAAF5eueQ=")</f>
        <v>#REF!</v>
      </c>
      <c r="HV51" t="e">
        <f>AND(NhatkyNhap!#REF!,"AAAAAF5eueU=")</f>
        <v>#REF!</v>
      </c>
      <c r="HW51" t="e">
        <f>AND(NhatkyNhap!#REF!,"AAAAAF5eueY=")</f>
        <v>#REF!</v>
      </c>
      <c r="HX51" t="e">
        <f>AND(NhatkyNhap!#REF!,"AAAAAF5euec=")</f>
        <v>#REF!</v>
      </c>
      <c r="HY51" t="e">
        <f>AND(NhatkyNhap!#REF!,"AAAAAF5eueg=")</f>
        <v>#REF!</v>
      </c>
      <c r="HZ51" t="e">
        <f>AND(NhatkyNhap!#REF!,"AAAAAF5euek=")</f>
        <v>#REF!</v>
      </c>
      <c r="IA51" t="e">
        <f>AND(NhatkyNhap!#REF!,"AAAAAF5eueo=")</f>
        <v>#REF!</v>
      </c>
      <c r="IB51" t="e">
        <f>AND(NhatkyNhap!#REF!,"AAAAAF5eues=")</f>
        <v>#REF!</v>
      </c>
      <c r="IC51" t="e">
        <f>AND(NhatkyNhap!#REF!,"AAAAAF5euew=")</f>
        <v>#REF!</v>
      </c>
      <c r="ID51" t="e">
        <f>IF(NhatkyNhap!#REF!,"AAAAAF5eue0=",0)</f>
        <v>#REF!</v>
      </c>
      <c r="IE51" t="e">
        <f>AND(NhatkyNhap!#REF!,"AAAAAF5eue4=")</f>
        <v>#REF!</v>
      </c>
      <c r="IF51" t="e">
        <f>AND(NhatkyNhap!#REF!,"AAAAAF5eue8=")</f>
        <v>#REF!</v>
      </c>
      <c r="IG51" t="e">
        <f>AND(NhatkyNhap!#REF!,"AAAAAF5eufA=")</f>
        <v>#REF!</v>
      </c>
      <c r="IH51" t="e">
        <f>AND(NhatkyNhap!#REF!,"AAAAAF5eufE=")</f>
        <v>#REF!</v>
      </c>
      <c r="II51" t="e">
        <f>AND(NhatkyNhap!#REF!,"AAAAAF5eufI=")</f>
        <v>#REF!</v>
      </c>
      <c r="IJ51" t="e">
        <f>AND(NhatkyNhap!#REF!,"AAAAAF5eufM=")</f>
        <v>#REF!</v>
      </c>
      <c r="IK51" t="e">
        <f>AND(NhatkyNhap!#REF!,"AAAAAF5eufQ=")</f>
        <v>#REF!</v>
      </c>
      <c r="IL51" t="e">
        <f>AND(NhatkyNhap!#REF!,"AAAAAF5eufU=")</f>
        <v>#REF!</v>
      </c>
      <c r="IM51" t="e">
        <f>AND(NhatkyNhap!#REF!,"AAAAAF5eufY=")</f>
        <v>#REF!</v>
      </c>
      <c r="IN51" t="e">
        <f>AND(NhatkyNhap!#REF!,"AAAAAF5eufc=")</f>
        <v>#REF!</v>
      </c>
      <c r="IO51" t="e">
        <f>AND(NhatkyNhap!#REF!,"AAAAAF5eufg=")</f>
        <v>#REF!</v>
      </c>
      <c r="IP51" t="e">
        <f>AND(NhatkyNhap!#REF!,"AAAAAF5eufk=")</f>
        <v>#REF!</v>
      </c>
      <c r="IQ51" t="e">
        <f>AND(NhatkyNhap!#REF!,"AAAAAF5eufo=")</f>
        <v>#REF!</v>
      </c>
      <c r="IR51" t="e">
        <f>AND(NhatkyNhap!#REF!,"AAAAAF5eufs=")</f>
        <v>#REF!</v>
      </c>
      <c r="IS51" t="e">
        <f>AND(NhatkyNhap!#REF!,"AAAAAF5eufw=")</f>
        <v>#REF!</v>
      </c>
      <c r="IT51" t="e">
        <f>AND(NhatkyNhap!#REF!,"AAAAAF5euf0=")</f>
        <v>#REF!</v>
      </c>
      <c r="IU51" t="e">
        <f>AND(NhatkyNhap!#REF!,"AAAAAF5euf4=")</f>
        <v>#REF!</v>
      </c>
      <c r="IV51" t="e">
        <f>AND(NhatkyNhap!#REF!,"AAAAAF5euf8=")</f>
        <v>#REF!</v>
      </c>
    </row>
    <row r="52" spans="1:256">
      <c r="A52" t="e">
        <f>AND(NhatkyNhap!#REF!,"AAAAAD/+vQA=")</f>
        <v>#REF!</v>
      </c>
      <c r="B52" t="e">
        <f>AND(NhatkyNhap!#REF!,"AAAAAD/+vQE=")</f>
        <v>#REF!</v>
      </c>
      <c r="C52" t="e">
        <f>AND(NhatkyNhap!#REF!,"AAAAAD/+vQI=")</f>
        <v>#REF!</v>
      </c>
      <c r="D52" t="e">
        <f>AND(NhatkyNhap!#REF!,"AAAAAD/+vQM=")</f>
        <v>#REF!</v>
      </c>
      <c r="E52" t="e">
        <f>AND(NhatkyNhap!#REF!,"AAAAAD/+vQQ=")</f>
        <v>#REF!</v>
      </c>
      <c r="F52" t="e">
        <f>AND(NhatkyNhap!#REF!,"AAAAAD/+vQU=")</f>
        <v>#REF!</v>
      </c>
      <c r="G52" t="e">
        <f>AND(NhatkyNhap!#REF!,"AAAAAD/+vQY=")</f>
        <v>#REF!</v>
      </c>
      <c r="H52" t="e">
        <f>AND(NhatkyNhap!#REF!,"AAAAAD/+vQc=")</f>
        <v>#REF!</v>
      </c>
      <c r="I52" t="e">
        <f>AND(NhatkyNhap!#REF!,"AAAAAD/+vQg=")</f>
        <v>#REF!</v>
      </c>
      <c r="J52" t="e">
        <f>AND(NhatkyNhap!#REF!,"AAAAAD/+vQk=")</f>
        <v>#REF!</v>
      </c>
      <c r="K52" t="e">
        <f>AND(NhatkyNhap!#REF!,"AAAAAD/+vQo=")</f>
        <v>#REF!</v>
      </c>
      <c r="L52" t="e">
        <f>AND(NhatkyNhap!#REF!,"AAAAAD/+vQs=")</f>
        <v>#REF!</v>
      </c>
      <c r="M52" t="e">
        <f>AND(NhatkyNhap!#REF!,"AAAAAD/+vQw=")</f>
        <v>#REF!</v>
      </c>
      <c r="N52" t="e">
        <f>AND(NhatkyNhap!#REF!,"AAAAAD/+vQ0=")</f>
        <v>#REF!</v>
      </c>
      <c r="O52" t="e">
        <f>AND(NhatkyNhap!#REF!,"AAAAAD/+vQ4=")</f>
        <v>#REF!</v>
      </c>
      <c r="P52" t="e">
        <f>AND(NhatkyNhap!#REF!,"AAAAAD/+vQ8=")</f>
        <v>#REF!</v>
      </c>
      <c r="Q52" t="e">
        <f>IF(NhatkyNhap!#REF!,"AAAAAD/+vRA=",0)</f>
        <v>#REF!</v>
      </c>
      <c r="R52" t="e">
        <f>AND(NhatkyNhap!#REF!,"AAAAAD/+vRE=")</f>
        <v>#REF!</v>
      </c>
      <c r="S52" t="e">
        <f>AND(NhatkyNhap!#REF!,"AAAAAD/+vRI=")</f>
        <v>#REF!</v>
      </c>
      <c r="T52" t="e">
        <f>AND(NhatkyNhap!#REF!,"AAAAAD/+vRM=")</f>
        <v>#REF!</v>
      </c>
      <c r="U52" t="e">
        <f>AND(NhatkyNhap!#REF!,"AAAAAD/+vRQ=")</f>
        <v>#REF!</v>
      </c>
      <c r="V52" t="e">
        <f>AND(NhatkyNhap!#REF!,"AAAAAD/+vRU=")</f>
        <v>#REF!</v>
      </c>
      <c r="W52" t="e">
        <f>AND(NhatkyNhap!#REF!,"AAAAAD/+vRY=")</f>
        <v>#REF!</v>
      </c>
      <c r="X52" t="e">
        <f>AND(NhatkyNhap!#REF!,"AAAAAD/+vRc=")</f>
        <v>#REF!</v>
      </c>
      <c r="Y52" t="e">
        <f>AND(NhatkyNhap!#REF!,"AAAAAD/+vRg=")</f>
        <v>#REF!</v>
      </c>
      <c r="Z52" t="e">
        <f>AND(NhatkyNhap!#REF!,"AAAAAD/+vRk=")</f>
        <v>#REF!</v>
      </c>
      <c r="AA52" t="e">
        <f>AND(NhatkyNhap!#REF!,"AAAAAD/+vRo=")</f>
        <v>#REF!</v>
      </c>
      <c r="AB52" t="e">
        <f>AND(NhatkyNhap!#REF!,"AAAAAD/+vRs=")</f>
        <v>#REF!</v>
      </c>
      <c r="AC52" t="e">
        <f>AND(NhatkyNhap!#REF!,"AAAAAD/+vRw=")</f>
        <v>#REF!</v>
      </c>
      <c r="AD52" t="e">
        <f>AND(NhatkyNhap!#REF!,"AAAAAD/+vR0=")</f>
        <v>#REF!</v>
      </c>
      <c r="AE52" t="e">
        <f>AND(NhatkyNhap!#REF!,"AAAAAD/+vR4=")</f>
        <v>#REF!</v>
      </c>
      <c r="AF52" t="e">
        <f>AND(NhatkyNhap!#REF!,"AAAAAD/+vR8=")</f>
        <v>#REF!</v>
      </c>
      <c r="AG52" t="e">
        <f>AND(NhatkyNhap!#REF!,"AAAAAD/+vSA=")</f>
        <v>#REF!</v>
      </c>
      <c r="AH52" t="e">
        <f>AND(NhatkyNhap!#REF!,"AAAAAD/+vSE=")</f>
        <v>#REF!</v>
      </c>
      <c r="AI52" t="e">
        <f>AND(NhatkyNhap!#REF!,"AAAAAD/+vSI=")</f>
        <v>#REF!</v>
      </c>
      <c r="AJ52" t="e">
        <f>AND(NhatkyNhap!#REF!,"AAAAAD/+vSM=")</f>
        <v>#REF!</v>
      </c>
      <c r="AK52" t="e">
        <f>AND(NhatkyNhap!#REF!,"AAAAAD/+vSQ=")</f>
        <v>#REF!</v>
      </c>
      <c r="AL52" t="e">
        <f>AND(NhatkyNhap!#REF!,"AAAAAD/+vSU=")</f>
        <v>#REF!</v>
      </c>
      <c r="AM52" t="e">
        <f>AND(NhatkyNhap!#REF!,"AAAAAD/+vSY=")</f>
        <v>#REF!</v>
      </c>
      <c r="AN52" t="e">
        <f>AND(NhatkyNhap!#REF!,"AAAAAD/+vSc=")</f>
        <v>#REF!</v>
      </c>
      <c r="AO52" t="e">
        <f>AND(NhatkyNhap!#REF!,"AAAAAD/+vSg=")</f>
        <v>#REF!</v>
      </c>
      <c r="AP52" t="e">
        <f>AND(NhatkyNhap!#REF!,"AAAAAD/+vSk=")</f>
        <v>#REF!</v>
      </c>
      <c r="AQ52" t="e">
        <f>AND(NhatkyNhap!#REF!,"AAAAAD/+vSo=")</f>
        <v>#REF!</v>
      </c>
      <c r="AR52" t="e">
        <f>AND(NhatkyNhap!#REF!,"AAAAAD/+vSs=")</f>
        <v>#REF!</v>
      </c>
      <c r="AS52" t="e">
        <f>AND(NhatkyNhap!#REF!,"AAAAAD/+vSw=")</f>
        <v>#REF!</v>
      </c>
      <c r="AT52" t="e">
        <f>AND(NhatkyNhap!#REF!,"AAAAAD/+vS0=")</f>
        <v>#REF!</v>
      </c>
      <c r="AU52" t="e">
        <f>AND(NhatkyNhap!#REF!,"AAAAAD/+vS4=")</f>
        <v>#REF!</v>
      </c>
      <c r="AV52" t="e">
        <f>AND(NhatkyNhap!#REF!,"AAAAAD/+vS8=")</f>
        <v>#REF!</v>
      </c>
      <c r="AW52" t="e">
        <f>AND(NhatkyNhap!#REF!,"AAAAAD/+vTA=")</f>
        <v>#REF!</v>
      </c>
      <c r="AX52" t="e">
        <f>AND(NhatkyNhap!#REF!,"AAAAAD/+vTE=")</f>
        <v>#REF!</v>
      </c>
      <c r="AY52" t="e">
        <f>AND(NhatkyNhap!#REF!,"AAAAAD/+vTI=")</f>
        <v>#REF!</v>
      </c>
      <c r="AZ52" t="e">
        <f>IF(NhatkyNhap!#REF!,"AAAAAD/+vTM=",0)</f>
        <v>#REF!</v>
      </c>
      <c r="BA52" t="e">
        <f>AND(NhatkyNhap!#REF!,"AAAAAD/+vTQ=")</f>
        <v>#REF!</v>
      </c>
      <c r="BB52" t="e">
        <f>AND(NhatkyNhap!#REF!,"AAAAAD/+vTU=")</f>
        <v>#REF!</v>
      </c>
      <c r="BC52" t="e">
        <f>AND(NhatkyNhap!#REF!,"AAAAAD/+vTY=")</f>
        <v>#REF!</v>
      </c>
      <c r="BD52" t="e">
        <f>AND(NhatkyNhap!#REF!,"AAAAAD/+vTc=")</f>
        <v>#REF!</v>
      </c>
      <c r="BE52" t="e">
        <f>AND(NhatkyNhap!#REF!,"AAAAAD/+vTg=")</f>
        <v>#REF!</v>
      </c>
      <c r="BF52" t="e">
        <f>AND(NhatkyNhap!#REF!,"AAAAAD/+vTk=")</f>
        <v>#REF!</v>
      </c>
      <c r="BG52" t="e">
        <f>AND(NhatkyNhap!#REF!,"AAAAAD/+vTo=")</f>
        <v>#REF!</v>
      </c>
      <c r="BH52" t="e">
        <f>AND(NhatkyNhap!#REF!,"AAAAAD/+vTs=")</f>
        <v>#REF!</v>
      </c>
      <c r="BI52" t="e">
        <f>AND(NhatkyNhap!#REF!,"AAAAAD/+vTw=")</f>
        <v>#REF!</v>
      </c>
      <c r="BJ52" t="e">
        <f>AND(NhatkyNhap!#REF!,"AAAAAD/+vT0=")</f>
        <v>#REF!</v>
      </c>
      <c r="BK52" t="e">
        <f>AND(NhatkyNhap!#REF!,"AAAAAD/+vT4=")</f>
        <v>#REF!</v>
      </c>
      <c r="BL52" t="e">
        <f>AND(NhatkyNhap!#REF!,"AAAAAD/+vT8=")</f>
        <v>#REF!</v>
      </c>
      <c r="BM52" t="e">
        <f>AND(NhatkyNhap!#REF!,"AAAAAD/+vUA=")</f>
        <v>#REF!</v>
      </c>
      <c r="BN52" t="e">
        <f>AND(NhatkyNhap!#REF!,"AAAAAD/+vUE=")</f>
        <v>#REF!</v>
      </c>
      <c r="BO52" t="e">
        <f>AND(NhatkyNhap!#REF!,"AAAAAD/+vUI=")</f>
        <v>#REF!</v>
      </c>
      <c r="BP52" t="e">
        <f>AND(NhatkyNhap!#REF!,"AAAAAD/+vUM=")</f>
        <v>#REF!</v>
      </c>
      <c r="BQ52" t="e">
        <f>AND(NhatkyNhap!#REF!,"AAAAAD/+vUQ=")</f>
        <v>#REF!</v>
      </c>
      <c r="BR52" t="e">
        <f>AND(NhatkyNhap!#REF!,"AAAAAD/+vUU=")</f>
        <v>#REF!</v>
      </c>
      <c r="BS52" t="e">
        <f>AND(NhatkyNhap!#REF!,"AAAAAD/+vUY=")</f>
        <v>#REF!</v>
      </c>
      <c r="BT52" t="e">
        <f>AND(NhatkyNhap!#REF!,"AAAAAD/+vUc=")</f>
        <v>#REF!</v>
      </c>
      <c r="BU52" t="e">
        <f>AND(NhatkyNhap!#REF!,"AAAAAD/+vUg=")</f>
        <v>#REF!</v>
      </c>
      <c r="BV52" t="e">
        <f>AND(NhatkyNhap!#REF!,"AAAAAD/+vUk=")</f>
        <v>#REF!</v>
      </c>
      <c r="BW52" t="e">
        <f>AND(NhatkyNhap!#REF!,"AAAAAD/+vUo=")</f>
        <v>#REF!</v>
      </c>
      <c r="BX52" t="e">
        <f>AND(NhatkyNhap!#REF!,"AAAAAD/+vUs=")</f>
        <v>#REF!</v>
      </c>
      <c r="BY52" t="e">
        <f>AND(NhatkyNhap!#REF!,"AAAAAD/+vUw=")</f>
        <v>#REF!</v>
      </c>
      <c r="BZ52" t="e">
        <f>AND(NhatkyNhap!#REF!,"AAAAAD/+vU0=")</f>
        <v>#REF!</v>
      </c>
      <c r="CA52" t="e">
        <f>AND(NhatkyNhap!#REF!,"AAAAAD/+vU4=")</f>
        <v>#REF!</v>
      </c>
      <c r="CB52" t="e">
        <f>AND(NhatkyNhap!#REF!,"AAAAAD/+vU8=")</f>
        <v>#REF!</v>
      </c>
      <c r="CC52" t="e">
        <f>AND(NhatkyNhap!#REF!,"AAAAAD/+vVA=")</f>
        <v>#REF!</v>
      </c>
      <c r="CD52" t="e">
        <f>AND(NhatkyNhap!#REF!,"AAAAAD/+vVE=")</f>
        <v>#REF!</v>
      </c>
      <c r="CE52" t="e">
        <f>AND(NhatkyNhap!#REF!,"AAAAAD/+vVI=")</f>
        <v>#REF!</v>
      </c>
      <c r="CF52" t="e">
        <f>AND(NhatkyNhap!#REF!,"AAAAAD/+vVM=")</f>
        <v>#REF!</v>
      </c>
      <c r="CG52" t="e">
        <f>AND(NhatkyNhap!#REF!,"AAAAAD/+vVQ=")</f>
        <v>#REF!</v>
      </c>
      <c r="CH52" t="e">
        <f>AND(NhatkyNhap!#REF!,"AAAAAD/+vVU=")</f>
        <v>#REF!</v>
      </c>
      <c r="CI52" t="e">
        <f>IF(NhatkyNhap!#REF!,"AAAAAD/+vVY=",0)</f>
        <v>#REF!</v>
      </c>
      <c r="CJ52" t="e">
        <f>AND(NhatkyNhap!#REF!,"AAAAAD/+vVc=")</f>
        <v>#REF!</v>
      </c>
      <c r="CK52" t="e">
        <f>AND(NhatkyNhap!#REF!,"AAAAAD/+vVg=")</f>
        <v>#REF!</v>
      </c>
      <c r="CL52" t="e">
        <f>AND(NhatkyNhap!#REF!,"AAAAAD/+vVk=")</f>
        <v>#REF!</v>
      </c>
      <c r="CM52" t="e">
        <f>AND(NhatkyNhap!#REF!,"AAAAAD/+vVo=")</f>
        <v>#REF!</v>
      </c>
      <c r="CN52" t="e">
        <f>AND(NhatkyNhap!#REF!,"AAAAAD/+vVs=")</f>
        <v>#REF!</v>
      </c>
      <c r="CO52" t="e">
        <f>AND(NhatkyNhap!#REF!,"AAAAAD/+vVw=")</f>
        <v>#REF!</v>
      </c>
      <c r="CP52" t="e">
        <f>AND(NhatkyNhap!#REF!,"AAAAAD/+vV0=")</f>
        <v>#REF!</v>
      </c>
      <c r="CQ52" t="e">
        <f>AND(NhatkyNhap!#REF!,"AAAAAD/+vV4=")</f>
        <v>#REF!</v>
      </c>
      <c r="CR52" t="e">
        <f>AND(NhatkyNhap!#REF!,"AAAAAD/+vV8=")</f>
        <v>#REF!</v>
      </c>
      <c r="CS52" t="e">
        <f>AND(NhatkyNhap!#REF!,"AAAAAD/+vWA=")</f>
        <v>#REF!</v>
      </c>
      <c r="CT52" t="e">
        <f>AND(NhatkyNhap!#REF!,"AAAAAD/+vWE=")</f>
        <v>#REF!</v>
      </c>
      <c r="CU52" t="e">
        <f>AND(NhatkyNhap!#REF!,"AAAAAD/+vWI=")</f>
        <v>#REF!</v>
      </c>
      <c r="CV52" t="e">
        <f>AND(NhatkyNhap!#REF!,"AAAAAD/+vWM=")</f>
        <v>#REF!</v>
      </c>
      <c r="CW52" t="e">
        <f>AND(NhatkyNhap!#REF!,"AAAAAD/+vWQ=")</f>
        <v>#REF!</v>
      </c>
      <c r="CX52" t="e">
        <f>AND(NhatkyNhap!#REF!,"AAAAAD/+vWU=")</f>
        <v>#REF!</v>
      </c>
      <c r="CY52" t="e">
        <f>AND(NhatkyNhap!#REF!,"AAAAAD/+vWY=")</f>
        <v>#REF!</v>
      </c>
      <c r="CZ52" t="e">
        <f>AND(NhatkyNhap!#REF!,"AAAAAD/+vWc=")</f>
        <v>#REF!</v>
      </c>
      <c r="DA52" t="e">
        <f>AND(NhatkyNhap!#REF!,"AAAAAD/+vWg=")</f>
        <v>#REF!</v>
      </c>
      <c r="DB52" t="e">
        <f>AND(NhatkyNhap!#REF!,"AAAAAD/+vWk=")</f>
        <v>#REF!</v>
      </c>
      <c r="DC52" t="e">
        <f>AND(NhatkyNhap!#REF!,"AAAAAD/+vWo=")</f>
        <v>#REF!</v>
      </c>
      <c r="DD52" t="e">
        <f>AND(NhatkyNhap!#REF!,"AAAAAD/+vWs=")</f>
        <v>#REF!</v>
      </c>
      <c r="DE52" t="e">
        <f>AND(NhatkyNhap!#REF!,"AAAAAD/+vWw=")</f>
        <v>#REF!</v>
      </c>
      <c r="DF52" t="e">
        <f>AND(NhatkyNhap!#REF!,"AAAAAD/+vW0=")</f>
        <v>#REF!</v>
      </c>
      <c r="DG52" t="e">
        <f>AND(NhatkyNhap!#REF!,"AAAAAD/+vW4=")</f>
        <v>#REF!</v>
      </c>
      <c r="DH52" t="e">
        <f>AND(NhatkyNhap!#REF!,"AAAAAD/+vW8=")</f>
        <v>#REF!</v>
      </c>
      <c r="DI52" t="e">
        <f>AND(NhatkyNhap!#REF!,"AAAAAD/+vXA=")</f>
        <v>#REF!</v>
      </c>
      <c r="DJ52" t="e">
        <f>AND(NhatkyNhap!#REF!,"AAAAAD/+vXE=")</f>
        <v>#REF!</v>
      </c>
      <c r="DK52" t="e">
        <f>AND(NhatkyNhap!#REF!,"AAAAAD/+vXI=")</f>
        <v>#REF!</v>
      </c>
      <c r="DL52" t="e">
        <f>AND(NhatkyNhap!#REF!,"AAAAAD/+vXM=")</f>
        <v>#REF!</v>
      </c>
      <c r="DM52" t="e">
        <f>AND(NhatkyNhap!#REF!,"AAAAAD/+vXQ=")</f>
        <v>#REF!</v>
      </c>
      <c r="DN52" t="e">
        <f>AND(NhatkyNhap!#REF!,"AAAAAD/+vXU=")</f>
        <v>#REF!</v>
      </c>
      <c r="DO52" t="e">
        <f>AND(NhatkyNhap!#REF!,"AAAAAD/+vXY=")</f>
        <v>#REF!</v>
      </c>
      <c r="DP52" t="e">
        <f>AND(NhatkyNhap!#REF!,"AAAAAD/+vXc=")</f>
        <v>#REF!</v>
      </c>
      <c r="DQ52" t="e">
        <f>AND(NhatkyNhap!#REF!,"AAAAAD/+vXg=")</f>
        <v>#REF!</v>
      </c>
      <c r="DR52" t="e">
        <f>IF(NhatkyNhap!#REF!,"AAAAAD/+vXk=",0)</f>
        <v>#REF!</v>
      </c>
      <c r="DS52" t="e">
        <f>AND(NhatkyNhap!#REF!,"AAAAAD/+vXo=")</f>
        <v>#REF!</v>
      </c>
      <c r="DT52" t="e">
        <f>AND(NhatkyNhap!#REF!,"AAAAAD/+vXs=")</f>
        <v>#REF!</v>
      </c>
      <c r="DU52" t="e">
        <f>AND(NhatkyNhap!#REF!,"AAAAAD/+vXw=")</f>
        <v>#REF!</v>
      </c>
      <c r="DV52" t="e">
        <f>AND(NhatkyNhap!#REF!,"AAAAAD/+vX0=")</f>
        <v>#REF!</v>
      </c>
      <c r="DW52" t="e">
        <f>AND(NhatkyNhap!#REF!,"AAAAAD/+vX4=")</f>
        <v>#REF!</v>
      </c>
      <c r="DX52" t="e">
        <f>AND(NhatkyNhap!#REF!,"AAAAAD/+vX8=")</f>
        <v>#REF!</v>
      </c>
      <c r="DY52" t="e">
        <f>AND(NhatkyNhap!#REF!,"AAAAAD/+vYA=")</f>
        <v>#REF!</v>
      </c>
      <c r="DZ52" t="e">
        <f>AND(NhatkyNhap!#REF!,"AAAAAD/+vYE=")</f>
        <v>#REF!</v>
      </c>
      <c r="EA52" t="e">
        <f>AND(NhatkyNhap!#REF!,"AAAAAD/+vYI=")</f>
        <v>#REF!</v>
      </c>
      <c r="EB52" t="e">
        <f>AND(NhatkyNhap!#REF!,"AAAAAD/+vYM=")</f>
        <v>#REF!</v>
      </c>
      <c r="EC52" t="e">
        <f>AND(NhatkyNhap!#REF!,"AAAAAD/+vYQ=")</f>
        <v>#REF!</v>
      </c>
      <c r="ED52" t="e">
        <f>AND(NhatkyNhap!#REF!,"AAAAAD/+vYU=")</f>
        <v>#REF!</v>
      </c>
      <c r="EE52" t="e">
        <f>AND(NhatkyNhap!#REF!,"AAAAAD/+vYY=")</f>
        <v>#REF!</v>
      </c>
      <c r="EF52" t="e">
        <f>AND(NhatkyNhap!#REF!,"AAAAAD/+vYc=")</f>
        <v>#REF!</v>
      </c>
      <c r="EG52" t="e">
        <f>AND(NhatkyNhap!#REF!,"AAAAAD/+vYg=")</f>
        <v>#REF!</v>
      </c>
      <c r="EH52" t="e">
        <f>AND(NhatkyNhap!#REF!,"AAAAAD/+vYk=")</f>
        <v>#REF!</v>
      </c>
      <c r="EI52" t="e">
        <f>AND(NhatkyNhap!#REF!,"AAAAAD/+vYo=")</f>
        <v>#REF!</v>
      </c>
      <c r="EJ52" t="e">
        <f>AND(NhatkyNhap!#REF!,"AAAAAD/+vYs=")</f>
        <v>#REF!</v>
      </c>
      <c r="EK52" t="e">
        <f>AND(NhatkyNhap!#REF!,"AAAAAD/+vYw=")</f>
        <v>#REF!</v>
      </c>
      <c r="EL52" t="e">
        <f>AND(NhatkyNhap!#REF!,"AAAAAD/+vY0=")</f>
        <v>#REF!</v>
      </c>
      <c r="EM52" t="e">
        <f>AND(NhatkyNhap!#REF!,"AAAAAD/+vY4=")</f>
        <v>#REF!</v>
      </c>
      <c r="EN52" t="e">
        <f>AND(NhatkyNhap!#REF!,"AAAAAD/+vY8=")</f>
        <v>#REF!</v>
      </c>
      <c r="EO52" t="e">
        <f>AND(NhatkyNhap!#REF!,"AAAAAD/+vZA=")</f>
        <v>#REF!</v>
      </c>
      <c r="EP52" t="e">
        <f>AND(NhatkyNhap!#REF!,"AAAAAD/+vZE=")</f>
        <v>#REF!</v>
      </c>
      <c r="EQ52" t="e">
        <f>AND(NhatkyNhap!#REF!,"AAAAAD/+vZI=")</f>
        <v>#REF!</v>
      </c>
      <c r="ER52" t="e">
        <f>AND(NhatkyNhap!#REF!,"AAAAAD/+vZM=")</f>
        <v>#REF!</v>
      </c>
      <c r="ES52" t="e">
        <f>AND(NhatkyNhap!#REF!,"AAAAAD/+vZQ=")</f>
        <v>#REF!</v>
      </c>
      <c r="ET52" t="e">
        <f>AND(NhatkyNhap!#REF!,"AAAAAD/+vZU=")</f>
        <v>#REF!</v>
      </c>
      <c r="EU52" t="e">
        <f>AND(NhatkyNhap!#REF!,"AAAAAD/+vZY=")</f>
        <v>#REF!</v>
      </c>
      <c r="EV52" t="e">
        <f>AND(NhatkyNhap!#REF!,"AAAAAD/+vZc=")</f>
        <v>#REF!</v>
      </c>
      <c r="EW52" t="e">
        <f>AND(NhatkyNhap!#REF!,"AAAAAD/+vZg=")</f>
        <v>#REF!</v>
      </c>
      <c r="EX52" t="e">
        <f>AND(NhatkyNhap!#REF!,"AAAAAD/+vZk=")</f>
        <v>#REF!</v>
      </c>
      <c r="EY52" t="e">
        <f>AND(NhatkyNhap!#REF!,"AAAAAD/+vZo=")</f>
        <v>#REF!</v>
      </c>
      <c r="EZ52" t="e">
        <f>AND(NhatkyNhap!#REF!,"AAAAAD/+vZs=")</f>
        <v>#REF!</v>
      </c>
      <c r="FA52" t="e">
        <f>IF(NhatkyNhap!#REF!,"AAAAAD/+vZw=",0)</f>
        <v>#REF!</v>
      </c>
      <c r="FB52" t="e">
        <f>AND(NhatkyNhap!#REF!,"AAAAAD/+vZ0=")</f>
        <v>#REF!</v>
      </c>
      <c r="FC52" t="e">
        <f>AND(NhatkyNhap!#REF!,"AAAAAD/+vZ4=")</f>
        <v>#REF!</v>
      </c>
      <c r="FD52" t="e">
        <f>AND(NhatkyNhap!#REF!,"AAAAAD/+vZ8=")</f>
        <v>#REF!</v>
      </c>
      <c r="FE52" t="e">
        <f>AND(NhatkyNhap!#REF!,"AAAAAD/+vaA=")</f>
        <v>#REF!</v>
      </c>
      <c r="FF52" t="e">
        <f>AND(NhatkyNhap!#REF!,"AAAAAD/+vaE=")</f>
        <v>#REF!</v>
      </c>
      <c r="FG52" t="e">
        <f>AND(NhatkyNhap!#REF!,"AAAAAD/+vaI=")</f>
        <v>#REF!</v>
      </c>
      <c r="FH52" t="e">
        <f>AND(NhatkyNhap!#REF!,"AAAAAD/+vaM=")</f>
        <v>#REF!</v>
      </c>
      <c r="FI52" t="e">
        <f>AND(NhatkyNhap!#REF!,"AAAAAD/+vaQ=")</f>
        <v>#REF!</v>
      </c>
      <c r="FJ52" t="e">
        <f>AND(NhatkyNhap!#REF!,"AAAAAD/+vaU=")</f>
        <v>#REF!</v>
      </c>
      <c r="FK52" t="e">
        <f>AND(NhatkyNhap!#REF!,"AAAAAD/+vaY=")</f>
        <v>#REF!</v>
      </c>
      <c r="FL52" t="e">
        <f>AND(NhatkyNhap!#REF!,"AAAAAD/+vac=")</f>
        <v>#REF!</v>
      </c>
      <c r="FM52" t="e">
        <f>AND(NhatkyNhap!#REF!,"AAAAAD/+vag=")</f>
        <v>#REF!</v>
      </c>
      <c r="FN52" t="e">
        <f>AND(NhatkyNhap!#REF!,"AAAAAD/+vak=")</f>
        <v>#REF!</v>
      </c>
      <c r="FO52" t="e">
        <f>AND(NhatkyNhap!#REF!,"AAAAAD/+vao=")</f>
        <v>#REF!</v>
      </c>
      <c r="FP52" t="e">
        <f>AND(NhatkyNhap!#REF!,"AAAAAD/+vas=")</f>
        <v>#REF!</v>
      </c>
      <c r="FQ52" t="e">
        <f>AND(NhatkyNhap!#REF!,"AAAAAD/+vaw=")</f>
        <v>#REF!</v>
      </c>
      <c r="FR52" t="e">
        <f>AND(NhatkyNhap!#REF!,"AAAAAD/+va0=")</f>
        <v>#REF!</v>
      </c>
      <c r="FS52" t="e">
        <f>AND(NhatkyNhap!#REF!,"AAAAAD/+va4=")</f>
        <v>#REF!</v>
      </c>
      <c r="FT52" t="e">
        <f>AND(NhatkyNhap!#REF!,"AAAAAD/+va8=")</f>
        <v>#REF!</v>
      </c>
      <c r="FU52" t="e">
        <f>AND(NhatkyNhap!#REF!,"AAAAAD/+vbA=")</f>
        <v>#REF!</v>
      </c>
      <c r="FV52" t="e">
        <f>AND(NhatkyNhap!#REF!,"AAAAAD/+vbE=")</f>
        <v>#REF!</v>
      </c>
      <c r="FW52" t="e">
        <f>AND(NhatkyNhap!#REF!,"AAAAAD/+vbI=")</f>
        <v>#REF!</v>
      </c>
      <c r="FX52" t="e">
        <f>AND(NhatkyNhap!#REF!,"AAAAAD/+vbM=")</f>
        <v>#REF!</v>
      </c>
      <c r="FY52" t="e">
        <f>AND(NhatkyNhap!#REF!,"AAAAAD/+vbQ=")</f>
        <v>#REF!</v>
      </c>
      <c r="FZ52" t="e">
        <f>AND(NhatkyNhap!#REF!,"AAAAAD/+vbU=")</f>
        <v>#REF!</v>
      </c>
      <c r="GA52" t="e">
        <f>AND(NhatkyNhap!#REF!,"AAAAAD/+vbY=")</f>
        <v>#REF!</v>
      </c>
      <c r="GB52" t="e">
        <f>AND(NhatkyNhap!#REF!,"AAAAAD/+vbc=")</f>
        <v>#REF!</v>
      </c>
      <c r="GC52" t="e">
        <f>AND(NhatkyNhap!#REF!,"AAAAAD/+vbg=")</f>
        <v>#REF!</v>
      </c>
      <c r="GD52" t="e">
        <f>AND(NhatkyNhap!#REF!,"AAAAAD/+vbk=")</f>
        <v>#REF!</v>
      </c>
      <c r="GE52" t="e">
        <f>AND(NhatkyNhap!#REF!,"AAAAAD/+vbo=")</f>
        <v>#REF!</v>
      </c>
      <c r="GF52" t="e">
        <f>AND(NhatkyNhap!#REF!,"AAAAAD/+vbs=")</f>
        <v>#REF!</v>
      </c>
      <c r="GG52" t="e">
        <f>AND(NhatkyNhap!#REF!,"AAAAAD/+vbw=")</f>
        <v>#REF!</v>
      </c>
      <c r="GH52" t="e">
        <f>AND(NhatkyNhap!#REF!,"AAAAAD/+vb0=")</f>
        <v>#REF!</v>
      </c>
      <c r="GI52" t="e">
        <f>AND(NhatkyNhap!#REF!,"AAAAAD/+vb4=")</f>
        <v>#REF!</v>
      </c>
      <c r="GJ52" t="e">
        <f>IF(NhatkyNhap!#REF!,"AAAAAD/+vb8=",0)</f>
        <v>#REF!</v>
      </c>
      <c r="GK52" t="e">
        <f>AND(NhatkyNhap!#REF!,"AAAAAD/+vcA=")</f>
        <v>#REF!</v>
      </c>
      <c r="GL52" t="e">
        <f>AND(NhatkyNhap!#REF!,"AAAAAD/+vcE=")</f>
        <v>#REF!</v>
      </c>
      <c r="GM52" t="e">
        <f>AND(NhatkyNhap!#REF!,"AAAAAD/+vcI=")</f>
        <v>#REF!</v>
      </c>
      <c r="GN52" t="e">
        <f>AND(NhatkyNhap!#REF!,"AAAAAD/+vcM=")</f>
        <v>#REF!</v>
      </c>
      <c r="GO52" t="e">
        <f>AND(NhatkyNhap!#REF!,"AAAAAD/+vcQ=")</f>
        <v>#REF!</v>
      </c>
      <c r="GP52" t="e">
        <f>AND(NhatkyNhap!#REF!,"AAAAAD/+vcU=")</f>
        <v>#REF!</v>
      </c>
      <c r="GQ52" t="e">
        <f>AND(NhatkyNhap!#REF!,"AAAAAD/+vcY=")</f>
        <v>#REF!</v>
      </c>
      <c r="GR52" t="e">
        <f>AND(NhatkyNhap!#REF!,"AAAAAD/+vcc=")</f>
        <v>#REF!</v>
      </c>
      <c r="GS52" t="e">
        <f>AND(NhatkyNhap!#REF!,"AAAAAD/+vcg=")</f>
        <v>#REF!</v>
      </c>
      <c r="GT52" t="e">
        <f>AND(NhatkyNhap!#REF!,"AAAAAD/+vck=")</f>
        <v>#REF!</v>
      </c>
      <c r="GU52" t="e">
        <f>AND(NhatkyNhap!#REF!,"AAAAAD/+vco=")</f>
        <v>#REF!</v>
      </c>
      <c r="GV52" t="e">
        <f>AND(NhatkyNhap!#REF!,"AAAAAD/+vcs=")</f>
        <v>#REF!</v>
      </c>
      <c r="GW52" t="e">
        <f>AND(NhatkyNhap!#REF!,"AAAAAD/+vcw=")</f>
        <v>#REF!</v>
      </c>
      <c r="GX52" t="e">
        <f>AND(NhatkyNhap!#REF!,"AAAAAD/+vc0=")</f>
        <v>#REF!</v>
      </c>
      <c r="GY52" t="e">
        <f>AND(NhatkyNhap!#REF!,"AAAAAD/+vc4=")</f>
        <v>#REF!</v>
      </c>
      <c r="GZ52" t="e">
        <f>AND(NhatkyNhap!#REF!,"AAAAAD/+vc8=")</f>
        <v>#REF!</v>
      </c>
      <c r="HA52" t="e">
        <f>AND(NhatkyNhap!#REF!,"AAAAAD/+vdA=")</f>
        <v>#REF!</v>
      </c>
      <c r="HB52" t="e">
        <f>AND(NhatkyNhap!#REF!,"AAAAAD/+vdE=")</f>
        <v>#REF!</v>
      </c>
      <c r="HC52" t="e">
        <f>AND(NhatkyNhap!#REF!,"AAAAAD/+vdI=")</f>
        <v>#REF!</v>
      </c>
      <c r="HD52" t="e">
        <f>AND(NhatkyNhap!#REF!,"AAAAAD/+vdM=")</f>
        <v>#REF!</v>
      </c>
      <c r="HE52" t="e">
        <f>AND(NhatkyNhap!#REF!,"AAAAAD/+vdQ=")</f>
        <v>#REF!</v>
      </c>
      <c r="HF52" t="e">
        <f>AND(NhatkyNhap!#REF!,"AAAAAD/+vdU=")</f>
        <v>#REF!</v>
      </c>
      <c r="HG52" t="e">
        <f>AND(NhatkyNhap!#REF!,"AAAAAD/+vdY=")</f>
        <v>#REF!</v>
      </c>
      <c r="HH52" t="e">
        <f>AND(NhatkyNhap!#REF!,"AAAAAD/+vdc=")</f>
        <v>#REF!</v>
      </c>
      <c r="HI52" t="e">
        <f>AND(NhatkyNhap!#REF!,"AAAAAD/+vdg=")</f>
        <v>#REF!</v>
      </c>
      <c r="HJ52" t="e">
        <f>AND(NhatkyNhap!#REF!,"AAAAAD/+vdk=")</f>
        <v>#REF!</v>
      </c>
      <c r="HK52" t="e">
        <f>AND(NhatkyNhap!#REF!,"AAAAAD/+vdo=")</f>
        <v>#REF!</v>
      </c>
      <c r="HL52" t="e">
        <f>AND(NhatkyNhap!#REF!,"AAAAAD/+vds=")</f>
        <v>#REF!</v>
      </c>
      <c r="HM52" t="e">
        <f>AND(NhatkyNhap!#REF!,"AAAAAD/+vdw=")</f>
        <v>#REF!</v>
      </c>
      <c r="HN52" t="e">
        <f>AND(NhatkyNhap!#REF!,"AAAAAD/+vd0=")</f>
        <v>#REF!</v>
      </c>
      <c r="HO52" t="e">
        <f>AND(NhatkyNhap!#REF!,"AAAAAD/+vd4=")</f>
        <v>#REF!</v>
      </c>
      <c r="HP52" t="e">
        <f>AND(NhatkyNhap!#REF!,"AAAAAD/+vd8=")</f>
        <v>#REF!</v>
      </c>
      <c r="HQ52" t="e">
        <f>AND(NhatkyNhap!#REF!,"AAAAAD/+veA=")</f>
        <v>#REF!</v>
      </c>
      <c r="HR52" t="e">
        <f>AND(NhatkyNhap!#REF!,"AAAAAD/+veE=")</f>
        <v>#REF!</v>
      </c>
      <c r="HS52" t="e">
        <f>IF(NhatkyNhap!#REF!,"AAAAAD/+veI=",0)</f>
        <v>#REF!</v>
      </c>
      <c r="HT52" t="e">
        <f>AND(NhatkyNhap!#REF!,"AAAAAD/+veM=")</f>
        <v>#REF!</v>
      </c>
      <c r="HU52" t="e">
        <f>AND(NhatkyNhap!#REF!,"AAAAAD/+veQ=")</f>
        <v>#REF!</v>
      </c>
      <c r="HV52" t="e">
        <f>AND(NhatkyNhap!#REF!,"AAAAAD/+veU=")</f>
        <v>#REF!</v>
      </c>
      <c r="HW52" t="e">
        <f>AND(NhatkyNhap!#REF!,"AAAAAD/+veY=")</f>
        <v>#REF!</v>
      </c>
      <c r="HX52" t="e">
        <f>AND(NhatkyNhap!#REF!,"AAAAAD/+vec=")</f>
        <v>#REF!</v>
      </c>
      <c r="HY52" t="e">
        <f>AND(NhatkyNhap!#REF!,"AAAAAD/+veg=")</f>
        <v>#REF!</v>
      </c>
      <c r="HZ52" t="e">
        <f>AND(NhatkyNhap!#REF!,"AAAAAD/+vek=")</f>
        <v>#REF!</v>
      </c>
      <c r="IA52" t="e">
        <f>AND(NhatkyNhap!#REF!,"AAAAAD/+veo=")</f>
        <v>#REF!</v>
      </c>
      <c r="IB52" t="e">
        <f>AND(NhatkyNhap!#REF!,"AAAAAD/+ves=")</f>
        <v>#REF!</v>
      </c>
      <c r="IC52" t="e">
        <f>AND(NhatkyNhap!#REF!,"AAAAAD/+vew=")</f>
        <v>#REF!</v>
      </c>
      <c r="ID52" t="e">
        <f>AND(NhatkyNhap!#REF!,"AAAAAD/+ve0=")</f>
        <v>#REF!</v>
      </c>
      <c r="IE52" t="e">
        <f>AND(NhatkyNhap!#REF!,"AAAAAD/+ve4=")</f>
        <v>#REF!</v>
      </c>
      <c r="IF52" t="e">
        <f>AND(NhatkyNhap!#REF!,"AAAAAD/+ve8=")</f>
        <v>#REF!</v>
      </c>
      <c r="IG52" t="e">
        <f>AND(NhatkyNhap!#REF!,"AAAAAD/+vfA=")</f>
        <v>#REF!</v>
      </c>
      <c r="IH52" t="e">
        <f>AND(NhatkyNhap!#REF!,"AAAAAD/+vfE=")</f>
        <v>#REF!</v>
      </c>
      <c r="II52" t="e">
        <f>AND(NhatkyNhap!#REF!,"AAAAAD/+vfI=")</f>
        <v>#REF!</v>
      </c>
      <c r="IJ52" t="e">
        <f>AND(NhatkyNhap!#REF!,"AAAAAD/+vfM=")</f>
        <v>#REF!</v>
      </c>
      <c r="IK52" t="e">
        <f>AND(NhatkyNhap!#REF!,"AAAAAD/+vfQ=")</f>
        <v>#REF!</v>
      </c>
      <c r="IL52" t="e">
        <f>AND(NhatkyNhap!#REF!,"AAAAAD/+vfU=")</f>
        <v>#REF!</v>
      </c>
      <c r="IM52" t="e">
        <f>AND(NhatkyNhap!#REF!,"AAAAAD/+vfY=")</f>
        <v>#REF!</v>
      </c>
      <c r="IN52" t="e">
        <f>AND(NhatkyNhap!#REF!,"AAAAAD/+vfc=")</f>
        <v>#REF!</v>
      </c>
      <c r="IO52" t="e">
        <f>AND(NhatkyNhap!#REF!,"AAAAAD/+vfg=")</f>
        <v>#REF!</v>
      </c>
      <c r="IP52" t="e">
        <f>AND(NhatkyNhap!#REF!,"AAAAAD/+vfk=")</f>
        <v>#REF!</v>
      </c>
      <c r="IQ52" t="e">
        <f>AND(NhatkyNhap!#REF!,"AAAAAD/+vfo=")</f>
        <v>#REF!</v>
      </c>
      <c r="IR52" t="e">
        <f>AND(NhatkyNhap!#REF!,"AAAAAD/+vfs=")</f>
        <v>#REF!</v>
      </c>
      <c r="IS52" t="e">
        <f>AND(NhatkyNhap!#REF!,"AAAAAD/+vfw=")</f>
        <v>#REF!</v>
      </c>
      <c r="IT52" t="e">
        <f>AND(NhatkyNhap!#REF!,"AAAAAD/+vf0=")</f>
        <v>#REF!</v>
      </c>
      <c r="IU52" t="e">
        <f>AND(NhatkyNhap!#REF!,"AAAAAD/+vf4=")</f>
        <v>#REF!</v>
      </c>
      <c r="IV52" t="e">
        <f>AND(NhatkyNhap!#REF!,"AAAAAD/+vf8=")</f>
        <v>#REF!</v>
      </c>
    </row>
    <row r="53" spans="1:256">
      <c r="A53" t="e">
        <f>AND(NhatkyNhap!#REF!,"AAAAAF7z3gA=")</f>
        <v>#REF!</v>
      </c>
      <c r="B53" t="e">
        <f>AND(NhatkyNhap!#REF!,"AAAAAF7z3gE=")</f>
        <v>#REF!</v>
      </c>
      <c r="C53" t="e">
        <f>AND(NhatkyNhap!#REF!,"AAAAAF7z3gI=")</f>
        <v>#REF!</v>
      </c>
      <c r="D53" t="e">
        <f>AND(NhatkyNhap!#REF!,"AAAAAF7z3gM=")</f>
        <v>#REF!</v>
      </c>
      <c r="E53" t="e">
        <f>AND(NhatkyNhap!#REF!,"AAAAAF7z3gQ=")</f>
        <v>#REF!</v>
      </c>
      <c r="F53" t="e">
        <f>IF(NhatkyNhap!#REF!,"AAAAAF7z3gU=",0)</f>
        <v>#REF!</v>
      </c>
      <c r="G53" t="e">
        <f>AND(NhatkyNhap!#REF!,"AAAAAF7z3gY=")</f>
        <v>#REF!</v>
      </c>
      <c r="H53" t="e">
        <f>AND(NhatkyNhap!#REF!,"AAAAAF7z3gc=")</f>
        <v>#REF!</v>
      </c>
      <c r="I53" t="e">
        <f>AND(NhatkyNhap!#REF!,"AAAAAF7z3gg=")</f>
        <v>#REF!</v>
      </c>
      <c r="J53" t="e">
        <f>AND(NhatkyNhap!#REF!,"AAAAAF7z3gk=")</f>
        <v>#REF!</v>
      </c>
      <c r="K53" t="e">
        <f>AND(NhatkyNhap!#REF!,"AAAAAF7z3go=")</f>
        <v>#REF!</v>
      </c>
      <c r="L53" t="e">
        <f>AND(NhatkyNhap!#REF!,"AAAAAF7z3gs=")</f>
        <v>#REF!</v>
      </c>
      <c r="M53" t="e">
        <f>AND(NhatkyNhap!#REF!,"AAAAAF7z3gw=")</f>
        <v>#REF!</v>
      </c>
      <c r="N53" t="e">
        <f>AND(NhatkyNhap!#REF!,"AAAAAF7z3g0=")</f>
        <v>#REF!</v>
      </c>
      <c r="O53" t="e">
        <f>AND(NhatkyNhap!#REF!,"AAAAAF7z3g4=")</f>
        <v>#REF!</v>
      </c>
      <c r="P53" t="e">
        <f>AND(NhatkyNhap!#REF!,"AAAAAF7z3g8=")</f>
        <v>#REF!</v>
      </c>
      <c r="Q53" t="e">
        <f>AND(NhatkyNhap!#REF!,"AAAAAF7z3hA=")</f>
        <v>#REF!</v>
      </c>
      <c r="R53" t="e">
        <f>AND(NhatkyNhap!#REF!,"AAAAAF7z3hE=")</f>
        <v>#REF!</v>
      </c>
      <c r="S53" t="e">
        <f>AND(NhatkyNhap!#REF!,"AAAAAF7z3hI=")</f>
        <v>#REF!</v>
      </c>
      <c r="T53" t="e">
        <f>AND(NhatkyNhap!#REF!,"AAAAAF7z3hM=")</f>
        <v>#REF!</v>
      </c>
      <c r="U53" t="e">
        <f>AND(NhatkyNhap!#REF!,"AAAAAF7z3hQ=")</f>
        <v>#REF!</v>
      </c>
      <c r="V53" t="e">
        <f>AND(NhatkyNhap!#REF!,"AAAAAF7z3hU=")</f>
        <v>#REF!</v>
      </c>
      <c r="W53" t="e">
        <f>AND(NhatkyNhap!#REF!,"AAAAAF7z3hY=")</f>
        <v>#REF!</v>
      </c>
      <c r="X53" t="e">
        <f>AND(NhatkyNhap!#REF!,"AAAAAF7z3hc=")</f>
        <v>#REF!</v>
      </c>
      <c r="Y53" t="e">
        <f>AND(NhatkyNhap!#REF!,"AAAAAF7z3hg=")</f>
        <v>#REF!</v>
      </c>
      <c r="Z53" t="e">
        <f>AND(NhatkyNhap!#REF!,"AAAAAF7z3hk=")</f>
        <v>#REF!</v>
      </c>
      <c r="AA53" t="e">
        <f>AND(NhatkyNhap!#REF!,"AAAAAF7z3ho=")</f>
        <v>#REF!</v>
      </c>
      <c r="AB53" t="e">
        <f>AND(NhatkyNhap!#REF!,"AAAAAF7z3hs=")</f>
        <v>#REF!</v>
      </c>
      <c r="AC53" t="e">
        <f>AND(NhatkyNhap!#REF!,"AAAAAF7z3hw=")</f>
        <v>#REF!</v>
      </c>
      <c r="AD53" t="e">
        <f>AND(NhatkyNhap!#REF!,"AAAAAF7z3h0=")</f>
        <v>#REF!</v>
      </c>
      <c r="AE53" t="e">
        <f>AND(NhatkyNhap!#REF!,"AAAAAF7z3h4=")</f>
        <v>#REF!</v>
      </c>
      <c r="AF53" t="e">
        <f>AND(NhatkyNhap!#REF!,"AAAAAF7z3h8=")</f>
        <v>#REF!</v>
      </c>
      <c r="AG53" t="e">
        <f>AND(NhatkyNhap!#REF!,"AAAAAF7z3iA=")</f>
        <v>#REF!</v>
      </c>
      <c r="AH53" t="e">
        <f>AND(NhatkyNhap!#REF!,"AAAAAF7z3iE=")</f>
        <v>#REF!</v>
      </c>
      <c r="AI53" t="e">
        <f>AND(NhatkyNhap!#REF!,"AAAAAF7z3iI=")</f>
        <v>#REF!</v>
      </c>
      <c r="AJ53" t="e">
        <f>AND(NhatkyNhap!#REF!,"AAAAAF7z3iM=")</f>
        <v>#REF!</v>
      </c>
      <c r="AK53" t="e">
        <f>AND(NhatkyNhap!#REF!,"AAAAAF7z3iQ=")</f>
        <v>#REF!</v>
      </c>
      <c r="AL53" t="e">
        <f>AND(NhatkyNhap!#REF!,"AAAAAF7z3iU=")</f>
        <v>#REF!</v>
      </c>
      <c r="AM53" t="e">
        <f>AND(NhatkyNhap!#REF!,"AAAAAF7z3iY=")</f>
        <v>#REF!</v>
      </c>
      <c r="AN53" t="e">
        <f>AND(NhatkyNhap!#REF!,"AAAAAF7z3ic=")</f>
        <v>#REF!</v>
      </c>
      <c r="AO53" t="e">
        <f>IF(NhatkyNhap!#REF!,"AAAAAF7z3ig=",0)</f>
        <v>#REF!</v>
      </c>
      <c r="AP53" t="e">
        <f>AND(NhatkyNhap!#REF!,"AAAAAF7z3ik=")</f>
        <v>#REF!</v>
      </c>
      <c r="AQ53" t="e">
        <f>AND(NhatkyNhap!#REF!,"AAAAAF7z3io=")</f>
        <v>#REF!</v>
      </c>
      <c r="AR53" t="e">
        <f>AND(NhatkyNhap!#REF!,"AAAAAF7z3is=")</f>
        <v>#REF!</v>
      </c>
      <c r="AS53" t="e">
        <f>AND(NhatkyNhap!#REF!,"AAAAAF7z3iw=")</f>
        <v>#REF!</v>
      </c>
      <c r="AT53" t="e">
        <f>AND(NhatkyNhap!#REF!,"AAAAAF7z3i0=")</f>
        <v>#REF!</v>
      </c>
      <c r="AU53" t="e">
        <f>AND(NhatkyNhap!#REF!,"AAAAAF7z3i4=")</f>
        <v>#REF!</v>
      </c>
      <c r="AV53" t="e">
        <f>AND(NhatkyNhap!#REF!,"AAAAAF7z3i8=")</f>
        <v>#REF!</v>
      </c>
      <c r="AW53" t="e">
        <f>AND(NhatkyNhap!#REF!,"AAAAAF7z3jA=")</f>
        <v>#REF!</v>
      </c>
      <c r="AX53" t="e">
        <f>AND(NhatkyNhap!#REF!,"AAAAAF7z3jE=")</f>
        <v>#REF!</v>
      </c>
      <c r="AY53" t="e">
        <f>AND(NhatkyNhap!#REF!,"AAAAAF7z3jI=")</f>
        <v>#REF!</v>
      </c>
      <c r="AZ53" t="e">
        <f>AND(NhatkyNhap!#REF!,"AAAAAF7z3jM=")</f>
        <v>#REF!</v>
      </c>
      <c r="BA53" t="e">
        <f>AND(NhatkyNhap!#REF!,"AAAAAF7z3jQ=")</f>
        <v>#REF!</v>
      </c>
      <c r="BB53" t="e">
        <f>AND(NhatkyNhap!#REF!,"AAAAAF7z3jU=")</f>
        <v>#REF!</v>
      </c>
      <c r="BC53" t="e">
        <f>AND(NhatkyNhap!#REF!,"AAAAAF7z3jY=")</f>
        <v>#REF!</v>
      </c>
      <c r="BD53" t="e">
        <f>AND(NhatkyNhap!#REF!,"AAAAAF7z3jc=")</f>
        <v>#REF!</v>
      </c>
      <c r="BE53" t="e">
        <f>AND(NhatkyNhap!#REF!,"AAAAAF7z3jg=")</f>
        <v>#REF!</v>
      </c>
      <c r="BF53" t="e">
        <f>AND(NhatkyNhap!#REF!,"AAAAAF7z3jk=")</f>
        <v>#REF!</v>
      </c>
      <c r="BG53" t="e">
        <f>AND(NhatkyNhap!#REF!,"AAAAAF7z3jo=")</f>
        <v>#REF!</v>
      </c>
      <c r="BH53" t="e">
        <f>AND(NhatkyNhap!#REF!,"AAAAAF7z3js=")</f>
        <v>#REF!</v>
      </c>
      <c r="BI53" t="e">
        <f>AND(NhatkyNhap!#REF!,"AAAAAF7z3jw=")</f>
        <v>#REF!</v>
      </c>
      <c r="BJ53" t="e">
        <f>AND(NhatkyNhap!#REF!,"AAAAAF7z3j0=")</f>
        <v>#REF!</v>
      </c>
      <c r="BK53" t="e">
        <f>AND(NhatkyNhap!#REF!,"AAAAAF7z3j4=")</f>
        <v>#REF!</v>
      </c>
      <c r="BL53" t="e">
        <f>AND(NhatkyNhap!#REF!,"AAAAAF7z3j8=")</f>
        <v>#REF!</v>
      </c>
      <c r="BM53" t="e">
        <f>AND(NhatkyNhap!#REF!,"AAAAAF7z3kA=")</f>
        <v>#REF!</v>
      </c>
      <c r="BN53" t="e">
        <f>AND(NhatkyNhap!#REF!,"AAAAAF7z3kE=")</f>
        <v>#REF!</v>
      </c>
      <c r="BO53" t="e">
        <f>AND(NhatkyNhap!#REF!,"AAAAAF7z3kI=")</f>
        <v>#REF!</v>
      </c>
      <c r="BP53" t="e">
        <f>AND(NhatkyNhap!#REF!,"AAAAAF7z3kM=")</f>
        <v>#REF!</v>
      </c>
      <c r="BQ53" t="e">
        <f>AND(NhatkyNhap!#REF!,"AAAAAF7z3kQ=")</f>
        <v>#REF!</v>
      </c>
      <c r="BR53" t="e">
        <f>AND(NhatkyNhap!#REF!,"AAAAAF7z3kU=")</f>
        <v>#REF!</v>
      </c>
      <c r="BS53" t="e">
        <f>AND(NhatkyNhap!#REF!,"AAAAAF7z3kY=")</f>
        <v>#REF!</v>
      </c>
      <c r="BT53" t="e">
        <f>AND(NhatkyNhap!#REF!,"AAAAAF7z3kc=")</f>
        <v>#REF!</v>
      </c>
      <c r="BU53" t="e">
        <f>AND(NhatkyNhap!#REF!,"AAAAAF7z3kg=")</f>
        <v>#REF!</v>
      </c>
      <c r="BV53" t="e">
        <f>AND(NhatkyNhap!#REF!,"AAAAAF7z3kk=")</f>
        <v>#REF!</v>
      </c>
      <c r="BW53" t="e">
        <f>AND(NhatkyNhap!#REF!,"AAAAAF7z3ko=")</f>
        <v>#REF!</v>
      </c>
      <c r="BX53" t="e">
        <f>IF(NhatkyNhap!#REF!,"AAAAAF7z3ks=",0)</f>
        <v>#REF!</v>
      </c>
      <c r="BY53" t="e">
        <f>AND(NhatkyNhap!#REF!,"AAAAAF7z3kw=")</f>
        <v>#REF!</v>
      </c>
      <c r="BZ53" t="e">
        <f>AND(NhatkyNhap!#REF!,"AAAAAF7z3k0=")</f>
        <v>#REF!</v>
      </c>
      <c r="CA53" t="e">
        <f>AND(NhatkyNhap!#REF!,"AAAAAF7z3k4=")</f>
        <v>#REF!</v>
      </c>
      <c r="CB53" t="e">
        <f>AND(NhatkyNhap!#REF!,"AAAAAF7z3k8=")</f>
        <v>#REF!</v>
      </c>
      <c r="CC53" t="e">
        <f>AND(NhatkyNhap!#REF!,"AAAAAF7z3lA=")</f>
        <v>#REF!</v>
      </c>
      <c r="CD53" t="e">
        <f>AND(NhatkyNhap!#REF!,"AAAAAF7z3lE=")</f>
        <v>#REF!</v>
      </c>
      <c r="CE53" t="e">
        <f>AND(NhatkyNhap!#REF!,"AAAAAF7z3lI=")</f>
        <v>#REF!</v>
      </c>
      <c r="CF53" t="e">
        <f>AND(NhatkyNhap!#REF!,"AAAAAF7z3lM=")</f>
        <v>#REF!</v>
      </c>
      <c r="CG53" t="e">
        <f>AND(NhatkyNhap!#REF!,"AAAAAF7z3lQ=")</f>
        <v>#REF!</v>
      </c>
      <c r="CH53" t="e">
        <f>AND(NhatkyNhap!#REF!,"AAAAAF7z3lU=")</f>
        <v>#REF!</v>
      </c>
      <c r="CI53" t="e">
        <f>AND(NhatkyNhap!#REF!,"AAAAAF7z3lY=")</f>
        <v>#REF!</v>
      </c>
      <c r="CJ53" t="e">
        <f>AND(NhatkyNhap!#REF!,"AAAAAF7z3lc=")</f>
        <v>#REF!</v>
      </c>
      <c r="CK53" t="e">
        <f>AND(NhatkyNhap!#REF!,"AAAAAF7z3lg=")</f>
        <v>#REF!</v>
      </c>
      <c r="CL53" t="e">
        <f>AND(NhatkyNhap!#REF!,"AAAAAF7z3lk=")</f>
        <v>#REF!</v>
      </c>
      <c r="CM53" t="e">
        <f>AND(NhatkyNhap!#REF!,"AAAAAF7z3lo=")</f>
        <v>#REF!</v>
      </c>
      <c r="CN53" t="e">
        <f>AND(NhatkyNhap!#REF!,"AAAAAF7z3ls=")</f>
        <v>#REF!</v>
      </c>
      <c r="CO53" t="e">
        <f>AND(NhatkyNhap!#REF!,"AAAAAF7z3lw=")</f>
        <v>#REF!</v>
      </c>
      <c r="CP53" t="e">
        <f>AND(NhatkyNhap!#REF!,"AAAAAF7z3l0=")</f>
        <v>#REF!</v>
      </c>
      <c r="CQ53" t="e">
        <f>AND(NhatkyNhap!#REF!,"AAAAAF7z3l4=")</f>
        <v>#REF!</v>
      </c>
      <c r="CR53" t="e">
        <f>AND(NhatkyNhap!#REF!,"AAAAAF7z3l8=")</f>
        <v>#REF!</v>
      </c>
      <c r="CS53" t="e">
        <f>AND(NhatkyNhap!#REF!,"AAAAAF7z3mA=")</f>
        <v>#REF!</v>
      </c>
      <c r="CT53" t="e">
        <f>AND(NhatkyNhap!#REF!,"AAAAAF7z3mE=")</f>
        <v>#REF!</v>
      </c>
      <c r="CU53" t="e">
        <f>AND(NhatkyNhap!#REF!,"AAAAAF7z3mI=")</f>
        <v>#REF!</v>
      </c>
      <c r="CV53" t="e">
        <f>AND(NhatkyNhap!#REF!,"AAAAAF7z3mM=")</f>
        <v>#REF!</v>
      </c>
      <c r="CW53" t="e">
        <f>AND(NhatkyNhap!#REF!,"AAAAAF7z3mQ=")</f>
        <v>#REF!</v>
      </c>
      <c r="CX53" t="e">
        <f>AND(NhatkyNhap!#REF!,"AAAAAF7z3mU=")</f>
        <v>#REF!</v>
      </c>
      <c r="CY53" t="e">
        <f>AND(NhatkyNhap!#REF!,"AAAAAF7z3mY=")</f>
        <v>#REF!</v>
      </c>
      <c r="CZ53" t="e">
        <f>AND(NhatkyNhap!#REF!,"AAAAAF7z3mc=")</f>
        <v>#REF!</v>
      </c>
      <c r="DA53" t="e">
        <f>AND(NhatkyNhap!#REF!,"AAAAAF7z3mg=")</f>
        <v>#REF!</v>
      </c>
      <c r="DB53" t="e">
        <f>AND(NhatkyNhap!#REF!,"AAAAAF7z3mk=")</f>
        <v>#REF!</v>
      </c>
      <c r="DC53" t="e">
        <f>AND(NhatkyNhap!#REF!,"AAAAAF7z3mo=")</f>
        <v>#REF!</v>
      </c>
      <c r="DD53" t="e">
        <f>AND(NhatkyNhap!#REF!,"AAAAAF7z3ms=")</f>
        <v>#REF!</v>
      </c>
      <c r="DE53" t="e">
        <f>AND(NhatkyNhap!#REF!,"AAAAAF7z3mw=")</f>
        <v>#REF!</v>
      </c>
      <c r="DF53" t="e">
        <f>AND(NhatkyNhap!#REF!,"AAAAAF7z3m0=")</f>
        <v>#REF!</v>
      </c>
      <c r="DG53" t="e">
        <f>IF(NhatkyNhap!#REF!,"AAAAAF7z3m4=",0)</f>
        <v>#REF!</v>
      </c>
      <c r="DH53" t="e">
        <f>AND(NhatkyNhap!#REF!,"AAAAAF7z3m8=")</f>
        <v>#REF!</v>
      </c>
      <c r="DI53" t="e">
        <f>AND(NhatkyNhap!#REF!,"AAAAAF7z3nA=")</f>
        <v>#REF!</v>
      </c>
      <c r="DJ53" t="e">
        <f>AND(NhatkyNhap!#REF!,"AAAAAF7z3nE=")</f>
        <v>#REF!</v>
      </c>
      <c r="DK53" t="e">
        <f>AND(NhatkyNhap!#REF!,"AAAAAF7z3nI=")</f>
        <v>#REF!</v>
      </c>
      <c r="DL53" t="e">
        <f>AND(NhatkyNhap!#REF!,"AAAAAF7z3nM=")</f>
        <v>#REF!</v>
      </c>
      <c r="DM53" t="e">
        <f>AND(NhatkyNhap!#REF!,"AAAAAF7z3nQ=")</f>
        <v>#REF!</v>
      </c>
      <c r="DN53" t="e">
        <f>AND(NhatkyNhap!#REF!,"AAAAAF7z3nU=")</f>
        <v>#REF!</v>
      </c>
      <c r="DO53" t="e">
        <f>AND(NhatkyNhap!#REF!,"AAAAAF7z3nY=")</f>
        <v>#REF!</v>
      </c>
      <c r="DP53" t="e">
        <f>AND(NhatkyNhap!#REF!,"AAAAAF7z3nc=")</f>
        <v>#REF!</v>
      </c>
      <c r="DQ53" t="e">
        <f>AND(NhatkyNhap!#REF!,"AAAAAF7z3ng=")</f>
        <v>#REF!</v>
      </c>
      <c r="DR53" t="e">
        <f>AND(NhatkyNhap!#REF!,"AAAAAF7z3nk=")</f>
        <v>#REF!</v>
      </c>
      <c r="DS53" t="e">
        <f>AND(NhatkyNhap!#REF!,"AAAAAF7z3no=")</f>
        <v>#REF!</v>
      </c>
      <c r="DT53" t="e">
        <f>AND(NhatkyNhap!#REF!,"AAAAAF7z3ns=")</f>
        <v>#REF!</v>
      </c>
      <c r="DU53" t="e">
        <f>AND(NhatkyNhap!#REF!,"AAAAAF7z3nw=")</f>
        <v>#REF!</v>
      </c>
      <c r="DV53" t="e">
        <f>AND(NhatkyNhap!#REF!,"AAAAAF7z3n0=")</f>
        <v>#REF!</v>
      </c>
      <c r="DW53" t="e">
        <f>AND(NhatkyNhap!#REF!,"AAAAAF7z3n4=")</f>
        <v>#REF!</v>
      </c>
      <c r="DX53" t="e">
        <f>AND(NhatkyNhap!#REF!,"AAAAAF7z3n8=")</f>
        <v>#REF!</v>
      </c>
      <c r="DY53" t="e">
        <f>AND(NhatkyNhap!#REF!,"AAAAAF7z3oA=")</f>
        <v>#REF!</v>
      </c>
      <c r="DZ53" t="e">
        <f>AND(NhatkyNhap!#REF!,"AAAAAF7z3oE=")</f>
        <v>#REF!</v>
      </c>
      <c r="EA53" t="e">
        <f>AND(NhatkyNhap!#REF!,"AAAAAF7z3oI=")</f>
        <v>#REF!</v>
      </c>
      <c r="EB53" t="e">
        <f>AND(NhatkyNhap!#REF!,"AAAAAF7z3oM=")</f>
        <v>#REF!</v>
      </c>
      <c r="EC53" t="e">
        <f>AND(NhatkyNhap!#REF!,"AAAAAF7z3oQ=")</f>
        <v>#REF!</v>
      </c>
      <c r="ED53" t="e">
        <f>AND(NhatkyNhap!#REF!,"AAAAAF7z3oU=")</f>
        <v>#REF!</v>
      </c>
      <c r="EE53" t="e">
        <f>AND(NhatkyNhap!#REF!,"AAAAAF7z3oY=")</f>
        <v>#REF!</v>
      </c>
      <c r="EF53" t="e">
        <f>AND(NhatkyNhap!#REF!,"AAAAAF7z3oc=")</f>
        <v>#REF!</v>
      </c>
      <c r="EG53" t="e">
        <f>AND(NhatkyNhap!#REF!,"AAAAAF7z3og=")</f>
        <v>#REF!</v>
      </c>
      <c r="EH53" t="e">
        <f>AND(NhatkyNhap!#REF!,"AAAAAF7z3ok=")</f>
        <v>#REF!</v>
      </c>
      <c r="EI53" t="e">
        <f>AND(NhatkyNhap!#REF!,"AAAAAF7z3oo=")</f>
        <v>#REF!</v>
      </c>
      <c r="EJ53" t="e">
        <f>AND(NhatkyNhap!#REF!,"AAAAAF7z3os=")</f>
        <v>#REF!</v>
      </c>
      <c r="EK53" t="e">
        <f>AND(NhatkyNhap!#REF!,"AAAAAF7z3ow=")</f>
        <v>#REF!</v>
      </c>
      <c r="EL53" t="e">
        <f>AND(NhatkyNhap!#REF!,"AAAAAF7z3o0=")</f>
        <v>#REF!</v>
      </c>
      <c r="EM53" t="e">
        <f>AND(NhatkyNhap!#REF!,"AAAAAF7z3o4=")</f>
        <v>#REF!</v>
      </c>
      <c r="EN53" t="e">
        <f>AND(NhatkyNhap!#REF!,"AAAAAF7z3o8=")</f>
        <v>#REF!</v>
      </c>
      <c r="EO53" t="e">
        <f>AND(NhatkyNhap!#REF!,"AAAAAF7z3pA=")</f>
        <v>#REF!</v>
      </c>
      <c r="EP53" t="e">
        <f>IF(NhatkyNhap!#REF!,"AAAAAF7z3pE=",0)</f>
        <v>#REF!</v>
      </c>
      <c r="EQ53" t="e">
        <f>AND(NhatkyNhap!#REF!,"AAAAAF7z3pI=")</f>
        <v>#REF!</v>
      </c>
      <c r="ER53" t="e">
        <f>AND(NhatkyNhap!#REF!,"AAAAAF7z3pM=")</f>
        <v>#REF!</v>
      </c>
      <c r="ES53" t="e">
        <f>AND(NhatkyNhap!#REF!,"AAAAAF7z3pQ=")</f>
        <v>#REF!</v>
      </c>
      <c r="ET53" t="e">
        <f>AND(NhatkyNhap!#REF!,"AAAAAF7z3pU=")</f>
        <v>#REF!</v>
      </c>
      <c r="EU53" t="e">
        <f>AND(NhatkyNhap!#REF!,"AAAAAF7z3pY=")</f>
        <v>#REF!</v>
      </c>
      <c r="EV53" t="e">
        <f>AND(NhatkyNhap!#REF!,"AAAAAF7z3pc=")</f>
        <v>#REF!</v>
      </c>
      <c r="EW53" t="e">
        <f>AND(NhatkyNhap!#REF!,"AAAAAF7z3pg=")</f>
        <v>#REF!</v>
      </c>
      <c r="EX53" t="e">
        <f>AND(NhatkyNhap!#REF!,"AAAAAF7z3pk=")</f>
        <v>#REF!</v>
      </c>
      <c r="EY53" t="e">
        <f>AND(NhatkyNhap!#REF!,"AAAAAF7z3po=")</f>
        <v>#REF!</v>
      </c>
      <c r="EZ53" t="e">
        <f>AND(NhatkyNhap!#REF!,"AAAAAF7z3ps=")</f>
        <v>#REF!</v>
      </c>
      <c r="FA53" t="e">
        <f>AND(NhatkyNhap!#REF!,"AAAAAF7z3pw=")</f>
        <v>#REF!</v>
      </c>
      <c r="FB53" t="e">
        <f>AND(NhatkyNhap!#REF!,"AAAAAF7z3p0=")</f>
        <v>#REF!</v>
      </c>
      <c r="FC53" t="e">
        <f>AND(NhatkyNhap!#REF!,"AAAAAF7z3p4=")</f>
        <v>#REF!</v>
      </c>
      <c r="FD53" t="e">
        <f>AND(NhatkyNhap!#REF!,"AAAAAF7z3p8=")</f>
        <v>#REF!</v>
      </c>
      <c r="FE53" t="e">
        <f>AND(NhatkyNhap!#REF!,"AAAAAF7z3qA=")</f>
        <v>#REF!</v>
      </c>
      <c r="FF53" t="e">
        <f>AND(NhatkyNhap!#REF!,"AAAAAF7z3qE=")</f>
        <v>#REF!</v>
      </c>
      <c r="FG53" t="e">
        <f>AND(NhatkyNhap!#REF!,"AAAAAF7z3qI=")</f>
        <v>#REF!</v>
      </c>
      <c r="FH53" t="e">
        <f>AND(NhatkyNhap!#REF!,"AAAAAF7z3qM=")</f>
        <v>#REF!</v>
      </c>
      <c r="FI53" t="e">
        <f>AND(NhatkyNhap!#REF!,"AAAAAF7z3qQ=")</f>
        <v>#REF!</v>
      </c>
      <c r="FJ53" t="e">
        <f>AND(NhatkyNhap!#REF!,"AAAAAF7z3qU=")</f>
        <v>#REF!</v>
      </c>
      <c r="FK53" t="e">
        <f>AND(NhatkyNhap!#REF!,"AAAAAF7z3qY=")</f>
        <v>#REF!</v>
      </c>
      <c r="FL53" t="e">
        <f>AND(NhatkyNhap!#REF!,"AAAAAF7z3qc=")</f>
        <v>#REF!</v>
      </c>
      <c r="FM53" t="e">
        <f>AND(NhatkyNhap!#REF!,"AAAAAF7z3qg=")</f>
        <v>#REF!</v>
      </c>
      <c r="FN53" t="e">
        <f>AND(NhatkyNhap!#REF!,"AAAAAF7z3qk=")</f>
        <v>#REF!</v>
      </c>
      <c r="FO53" t="e">
        <f>AND(NhatkyNhap!#REF!,"AAAAAF7z3qo=")</f>
        <v>#REF!</v>
      </c>
      <c r="FP53" t="e">
        <f>AND(NhatkyNhap!#REF!,"AAAAAF7z3qs=")</f>
        <v>#REF!</v>
      </c>
      <c r="FQ53" t="e">
        <f>AND(NhatkyNhap!#REF!,"AAAAAF7z3qw=")</f>
        <v>#REF!</v>
      </c>
      <c r="FR53" t="e">
        <f>AND(NhatkyNhap!#REF!,"AAAAAF7z3q0=")</f>
        <v>#REF!</v>
      </c>
      <c r="FS53" t="e">
        <f>AND(NhatkyNhap!#REF!,"AAAAAF7z3q4=")</f>
        <v>#REF!</v>
      </c>
      <c r="FT53" t="e">
        <f>AND(NhatkyNhap!#REF!,"AAAAAF7z3q8=")</f>
        <v>#REF!</v>
      </c>
      <c r="FU53" t="e">
        <f>AND(NhatkyNhap!#REF!,"AAAAAF7z3rA=")</f>
        <v>#REF!</v>
      </c>
      <c r="FV53" t="e">
        <f>AND(NhatkyNhap!#REF!,"AAAAAF7z3rE=")</f>
        <v>#REF!</v>
      </c>
      <c r="FW53" t="e">
        <f>AND(NhatkyNhap!#REF!,"AAAAAF7z3rI=")</f>
        <v>#REF!</v>
      </c>
      <c r="FX53" t="e">
        <f>AND(NhatkyNhap!#REF!,"AAAAAF7z3rM=")</f>
        <v>#REF!</v>
      </c>
      <c r="FY53" t="e">
        <f>IF(NhatkyNhap!#REF!,"AAAAAF7z3rQ=",0)</f>
        <v>#REF!</v>
      </c>
      <c r="FZ53" t="e">
        <f>AND(NhatkyNhap!#REF!,"AAAAAF7z3rU=")</f>
        <v>#REF!</v>
      </c>
      <c r="GA53" t="e">
        <f>AND(NhatkyNhap!#REF!,"AAAAAF7z3rY=")</f>
        <v>#REF!</v>
      </c>
      <c r="GB53" t="e">
        <f>AND(NhatkyNhap!#REF!,"AAAAAF7z3rc=")</f>
        <v>#REF!</v>
      </c>
      <c r="GC53" t="e">
        <f>AND(NhatkyNhap!#REF!,"AAAAAF7z3rg=")</f>
        <v>#REF!</v>
      </c>
      <c r="GD53" t="e">
        <f>AND(NhatkyNhap!#REF!,"AAAAAF7z3rk=")</f>
        <v>#REF!</v>
      </c>
      <c r="GE53" t="e">
        <f>AND(NhatkyNhap!#REF!,"AAAAAF7z3ro=")</f>
        <v>#REF!</v>
      </c>
      <c r="GF53" t="e">
        <f>AND(NhatkyNhap!#REF!,"AAAAAF7z3rs=")</f>
        <v>#REF!</v>
      </c>
      <c r="GG53" t="e">
        <f>AND(NhatkyNhap!#REF!,"AAAAAF7z3rw=")</f>
        <v>#REF!</v>
      </c>
      <c r="GH53" t="e">
        <f>AND(NhatkyNhap!#REF!,"AAAAAF7z3r0=")</f>
        <v>#REF!</v>
      </c>
      <c r="GI53" t="e">
        <f>AND(NhatkyNhap!#REF!,"AAAAAF7z3r4=")</f>
        <v>#REF!</v>
      </c>
      <c r="GJ53" t="e">
        <f>AND(NhatkyNhap!#REF!,"AAAAAF7z3r8=")</f>
        <v>#REF!</v>
      </c>
      <c r="GK53" t="e">
        <f>AND(NhatkyNhap!#REF!,"AAAAAF7z3sA=")</f>
        <v>#REF!</v>
      </c>
      <c r="GL53" t="e">
        <f>AND(NhatkyNhap!#REF!,"AAAAAF7z3sE=")</f>
        <v>#REF!</v>
      </c>
      <c r="GM53" t="e">
        <f>AND(NhatkyNhap!#REF!,"AAAAAF7z3sI=")</f>
        <v>#REF!</v>
      </c>
      <c r="GN53" t="e">
        <f>AND(NhatkyNhap!#REF!,"AAAAAF7z3sM=")</f>
        <v>#REF!</v>
      </c>
      <c r="GO53" t="e">
        <f>AND(NhatkyNhap!#REF!,"AAAAAF7z3sQ=")</f>
        <v>#REF!</v>
      </c>
      <c r="GP53" t="e">
        <f>AND(NhatkyNhap!#REF!,"AAAAAF7z3sU=")</f>
        <v>#REF!</v>
      </c>
      <c r="GQ53" t="e">
        <f>AND(NhatkyNhap!#REF!,"AAAAAF7z3sY=")</f>
        <v>#REF!</v>
      </c>
      <c r="GR53" t="e">
        <f>AND(NhatkyNhap!#REF!,"AAAAAF7z3sc=")</f>
        <v>#REF!</v>
      </c>
      <c r="GS53" t="e">
        <f>AND(NhatkyNhap!#REF!,"AAAAAF7z3sg=")</f>
        <v>#REF!</v>
      </c>
      <c r="GT53" t="e">
        <f>AND(NhatkyNhap!#REF!,"AAAAAF7z3sk=")</f>
        <v>#REF!</v>
      </c>
      <c r="GU53" t="e">
        <f>AND(NhatkyNhap!#REF!,"AAAAAF7z3so=")</f>
        <v>#REF!</v>
      </c>
      <c r="GV53" t="e">
        <f>AND(NhatkyNhap!#REF!,"AAAAAF7z3ss=")</f>
        <v>#REF!</v>
      </c>
      <c r="GW53" t="e">
        <f>AND(NhatkyNhap!#REF!,"AAAAAF7z3sw=")</f>
        <v>#REF!</v>
      </c>
      <c r="GX53" t="e">
        <f>AND(NhatkyNhap!#REF!,"AAAAAF7z3s0=")</f>
        <v>#REF!</v>
      </c>
      <c r="GY53" t="e">
        <f>AND(NhatkyNhap!#REF!,"AAAAAF7z3s4=")</f>
        <v>#REF!</v>
      </c>
      <c r="GZ53" t="e">
        <f>AND(NhatkyNhap!#REF!,"AAAAAF7z3s8=")</f>
        <v>#REF!</v>
      </c>
      <c r="HA53" t="e">
        <f>AND(NhatkyNhap!#REF!,"AAAAAF7z3tA=")</f>
        <v>#REF!</v>
      </c>
      <c r="HB53" t="e">
        <f>AND(NhatkyNhap!#REF!,"AAAAAF7z3tE=")</f>
        <v>#REF!</v>
      </c>
      <c r="HC53" t="e">
        <f>AND(NhatkyNhap!#REF!,"AAAAAF7z3tI=")</f>
        <v>#REF!</v>
      </c>
      <c r="HD53" t="e">
        <f>AND(NhatkyNhap!#REF!,"AAAAAF7z3tM=")</f>
        <v>#REF!</v>
      </c>
      <c r="HE53" t="e">
        <f>AND(NhatkyNhap!#REF!,"AAAAAF7z3tQ=")</f>
        <v>#REF!</v>
      </c>
      <c r="HF53" t="e">
        <f>AND(NhatkyNhap!#REF!,"AAAAAF7z3tU=")</f>
        <v>#REF!</v>
      </c>
      <c r="HG53" t="e">
        <f>AND(NhatkyNhap!#REF!,"AAAAAF7z3tY=")</f>
        <v>#REF!</v>
      </c>
      <c r="HH53" t="e">
        <f>IF(NhatkyNhap!#REF!,"AAAAAF7z3tc=",0)</f>
        <v>#REF!</v>
      </c>
      <c r="HI53" t="e">
        <f>AND(NhatkyNhap!#REF!,"AAAAAF7z3tg=")</f>
        <v>#REF!</v>
      </c>
      <c r="HJ53" t="e">
        <f>AND(NhatkyNhap!#REF!,"AAAAAF7z3tk=")</f>
        <v>#REF!</v>
      </c>
      <c r="HK53" t="e">
        <f>AND(NhatkyNhap!#REF!,"AAAAAF7z3to=")</f>
        <v>#REF!</v>
      </c>
      <c r="HL53" t="e">
        <f>AND(NhatkyNhap!#REF!,"AAAAAF7z3ts=")</f>
        <v>#REF!</v>
      </c>
      <c r="HM53" t="e">
        <f>AND(NhatkyNhap!#REF!,"AAAAAF7z3tw=")</f>
        <v>#REF!</v>
      </c>
      <c r="HN53" t="e">
        <f>AND(NhatkyNhap!#REF!,"AAAAAF7z3t0=")</f>
        <v>#REF!</v>
      </c>
      <c r="HO53" t="e">
        <f>AND(NhatkyNhap!#REF!,"AAAAAF7z3t4=")</f>
        <v>#REF!</v>
      </c>
      <c r="HP53" t="e">
        <f>AND(NhatkyNhap!#REF!,"AAAAAF7z3t8=")</f>
        <v>#REF!</v>
      </c>
      <c r="HQ53" t="e">
        <f>AND(NhatkyNhap!#REF!,"AAAAAF7z3uA=")</f>
        <v>#REF!</v>
      </c>
      <c r="HR53" t="e">
        <f>AND(NhatkyNhap!#REF!,"AAAAAF7z3uE=")</f>
        <v>#REF!</v>
      </c>
      <c r="HS53" t="e">
        <f>AND(NhatkyNhap!#REF!,"AAAAAF7z3uI=")</f>
        <v>#REF!</v>
      </c>
      <c r="HT53" t="e">
        <f>AND(NhatkyNhap!#REF!,"AAAAAF7z3uM=")</f>
        <v>#REF!</v>
      </c>
      <c r="HU53" t="e">
        <f>AND(NhatkyNhap!#REF!,"AAAAAF7z3uQ=")</f>
        <v>#REF!</v>
      </c>
      <c r="HV53" t="e">
        <f>AND(NhatkyNhap!#REF!,"AAAAAF7z3uU=")</f>
        <v>#REF!</v>
      </c>
      <c r="HW53" t="e">
        <f>AND(NhatkyNhap!#REF!,"AAAAAF7z3uY=")</f>
        <v>#REF!</v>
      </c>
      <c r="HX53" t="e">
        <f>AND(NhatkyNhap!#REF!,"AAAAAF7z3uc=")</f>
        <v>#REF!</v>
      </c>
      <c r="HY53" t="e">
        <f>AND(NhatkyNhap!#REF!,"AAAAAF7z3ug=")</f>
        <v>#REF!</v>
      </c>
      <c r="HZ53" t="e">
        <f>AND(NhatkyNhap!#REF!,"AAAAAF7z3uk=")</f>
        <v>#REF!</v>
      </c>
      <c r="IA53" t="e">
        <f>AND(NhatkyNhap!#REF!,"AAAAAF7z3uo=")</f>
        <v>#REF!</v>
      </c>
      <c r="IB53" t="e">
        <f>AND(NhatkyNhap!#REF!,"AAAAAF7z3us=")</f>
        <v>#REF!</v>
      </c>
      <c r="IC53" t="e">
        <f>AND(NhatkyNhap!#REF!,"AAAAAF7z3uw=")</f>
        <v>#REF!</v>
      </c>
      <c r="ID53" t="e">
        <f>AND(NhatkyNhap!#REF!,"AAAAAF7z3u0=")</f>
        <v>#REF!</v>
      </c>
      <c r="IE53" t="e">
        <f>AND(NhatkyNhap!#REF!,"AAAAAF7z3u4=")</f>
        <v>#REF!</v>
      </c>
      <c r="IF53" t="e">
        <f>AND(NhatkyNhap!#REF!,"AAAAAF7z3u8=")</f>
        <v>#REF!</v>
      </c>
      <c r="IG53" t="e">
        <f>AND(NhatkyNhap!#REF!,"AAAAAF7z3vA=")</f>
        <v>#REF!</v>
      </c>
      <c r="IH53" t="e">
        <f>AND(NhatkyNhap!#REF!,"AAAAAF7z3vE=")</f>
        <v>#REF!</v>
      </c>
      <c r="II53" t="e">
        <f>AND(NhatkyNhap!#REF!,"AAAAAF7z3vI=")</f>
        <v>#REF!</v>
      </c>
      <c r="IJ53" t="e">
        <f>AND(NhatkyNhap!#REF!,"AAAAAF7z3vM=")</f>
        <v>#REF!</v>
      </c>
      <c r="IK53" t="e">
        <f>AND(NhatkyNhap!#REF!,"AAAAAF7z3vQ=")</f>
        <v>#REF!</v>
      </c>
      <c r="IL53" t="e">
        <f>AND(NhatkyNhap!#REF!,"AAAAAF7z3vU=")</f>
        <v>#REF!</v>
      </c>
      <c r="IM53" t="e">
        <f>AND(NhatkyNhap!#REF!,"AAAAAF7z3vY=")</f>
        <v>#REF!</v>
      </c>
      <c r="IN53" t="e">
        <f>AND(NhatkyNhap!#REF!,"AAAAAF7z3vc=")</f>
        <v>#REF!</v>
      </c>
      <c r="IO53" t="e">
        <f>AND(NhatkyNhap!#REF!,"AAAAAF7z3vg=")</f>
        <v>#REF!</v>
      </c>
      <c r="IP53" t="e">
        <f>AND(NhatkyNhap!#REF!,"AAAAAF7z3vk=")</f>
        <v>#REF!</v>
      </c>
      <c r="IQ53" t="e">
        <f>IF(NhatkyNhap!#REF!,"AAAAAF7z3vo=",0)</f>
        <v>#REF!</v>
      </c>
      <c r="IR53" t="e">
        <f>AND(NhatkyNhap!#REF!,"AAAAAF7z3vs=")</f>
        <v>#REF!</v>
      </c>
      <c r="IS53" t="e">
        <f>AND(NhatkyNhap!#REF!,"AAAAAF7z3vw=")</f>
        <v>#REF!</v>
      </c>
      <c r="IT53" t="e">
        <f>AND(NhatkyNhap!#REF!,"AAAAAF7z3v0=")</f>
        <v>#REF!</v>
      </c>
      <c r="IU53" t="e">
        <f>AND(NhatkyNhap!#REF!,"AAAAAF7z3v4=")</f>
        <v>#REF!</v>
      </c>
      <c r="IV53" t="e">
        <f>AND(NhatkyNhap!#REF!,"AAAAAF7z3v8=")</f>
        <v>#REF!</v>
      </c>
    </row>
    <row r="54" spans="1:256">
      <c r="A54" t="e">
        <f>AND(NhatkyNhap!#REF!,"AAAAAD29fwA=")</f>
        <v>#REF!</v>
      </c>
      <c r="B54" t="e">
        <f>AND(NhatkyNhap!#REF!,"AAAAAD29fwE=")</f>
        <v>#REF!</v>
      </c>
      <c r="C54" t="e">
        <f>AND(NhatkyNhap!#REF!,"AAAAAD29fwI=")</f>
        <v>#REF!</v>
      </c>
      <c r="D54" t="e">
        <f>AND(NhatkyNhap!#REF!,"AAAAAD29fwM=")</f>
        <v>#REF!</v>
      </c>
      <c r="E54" t="e">
        <f>AND(NhatkyNhap!#REF!,"AAAAAD29fwQ=")</f>
        <v>#REF!</v>
      </c>
      <c r="F54" t="e">
        <f>AND(NhatkyNhap!#REF!,"AAAAAD29fwU=")</f>
        <v>#REF!</v>
      </c>
      <c r="G54" t="e">
        <f>AND(NhatkyNhap!#REF!,"AAAAAD29fwY=")</f>
        <v>#REF!</v>
      </c>
      <c r="H54" t="e">
        <f>AND(NhatkyNhap!#REF!,"AAAAAD29fwc=")</f>
        <v>#REF!</v>
      </c>
      <c r="I54" t="e">
        <f>AND(NhatkyNhap!#REF!,"AAAAAD29fwg=")</f>
        <v>#REF!</v>
      </c>
      <c r="J54" t="e">
        <f>AND(NhatkyNhap!#REF!,"AAAAAD29fwk=")</f>
        <v>#REF!</v>
      </c>
      <c r="K54" t="e">
        <f>AND(NhatkyNhap!#REF!,"AAAAAD29fwo=")</f>
        <v>#REF!</v>
      </c>
      <c r="L54" t="e">
        <f>AND(NhatkyNhap!#REF!,"AAAAAD29fws=")</f>
        <v>#REF!</v>
      </c>
      <c r="M54" t="e">
        <f>AND(NhatkyNhap!#REF!,"AAAAAD29fww=")</f>
        <v>#REF!</v>
      </c>
      <c r="N54" t="e">
        <f>AND(NhatkyNhap!#REF!,"AAAAAD29fw0=")</f>
        <v>#REF!</v>
      </c>
      <c r="O54" t="e">
        <f>AND(NhatkyNhap!#REF!,"AAAAAD29fw4=")</f>
        <v>#REF!</v>
      </c>
      <c r="P54" t="e">
        <f>AND(NhatkyNhap!#REF!,"AAAAAD29fw8=")</f>
        <v>#REF!</v>
      </c>
      <c r="Q54" t="e">
        <f>AND(NhatkyNhap!#REF!,"AAAAAD29fxA=")</f>
        <v>#REF!</v>
      </c>
      <c r="R54" t="e">
        <f>AND(NhatkyNhap!#REF!,"AAAAAD29fxE=")</f>
        <v>#REF!</v>
      </c>
      <c r="S54" t="e">
        <f>AND(NhatkyNhap!#REF!,"AAAAAD29fxI=")</f>
        <v>#REF!</v>
      </c>
      <c r="T54" t="e">
        <f>AND(NhatkyNhap!#REF!,"AAAAAD29fxM=")</f>
        <v>#REF!</v>
      </c>
      <c r="U54" t="e">
        <f>AND(NhatkyNhap!#REF!,"AAAAAD29fxQ=")</f>
        <v>#REF!</v>
      </c>
      <c r="V54" t="e">
        <f>AND(NhatkyNhap!#REF!,"AAAAAD29fxU=")</f>
        <v>#REF!</v>
      </c>
      <c r="W54" t="e">
        <f>AND(NhatkyNhap!#REF!,"AAAAAD29fxY=")</f>
        <v>#REF!</v>
      </c>
      <c r="X54" t="e">
        <f>AND(NhatkyNhap!#REF!,"AAAAAD29fxc=")</f>
        <v>#REF!</v>
      </c>
      <c r="Y54" t="e">
        <f>AND(NhatkyNhap!#REF!,"AAAAAD29fxg=")</f>
        <v>#REF!</v>
      </c>
      <c r="Z54" t="e">
        <f>AND(NhatkyNhap!#REF!,"AAAAAD29fxk=")</f>
        <v>#REF!</v>
      </c>
      <c r="AA54" t="e">
        <f>AND(NhatkyNhap!#REF!,"AAAAAD29fxo=")</f>
        <v>#REF!</v>
      </c>
      <c r="AB54" t="e">
        <f>AND(NhatkyNhap!#REF!,"AAAAAD29fxs=")</f>
        <v>#REF!</v>
      </c>
      <c r="AC54" t="e">
        <f>AND(NhatkyNhap!#REF!,"AAAAAD29fxw=")</f>
        <v>#REF!</v>
      </c>
      <c r="AD54" t="e">
        <f>IF(NhatkyNhap!#REF!,"AAAAAD29fx0=",0)</f>
        <v>#REF!</v>
      </c>
      <c r="AE54" t="e">
        <f>AND(NhatkyNhap!#REF!,"AAAAAD29fx4=")</f>
        <v>#REF!</v>
      </c>
      <c r="AF54" t="e">
        <f>AND(NhatkyNhap!#REF!,"AAAAAD29fx8=")</f>
        <v>#REF!</v>
      </c>
      <c r="AG54" t="e">
        <f>AND(NhatkyNhap!#REF!,"AAAAAD29fyA=")</f>
        <v>#REF!</v>
      </c>
      <c r="AH54" t="e">
        <f>AND(NhatkyNhap!#REF!,"AAAAAD29fyE=")</f>
        <v>#REF!</v>
      </c>
      <c r="AI54" t="e">
        <f>AND(NhatkyNhap!#REF!,"AAAAAD29fyI=")</f>
        <v>#REF!</v>
      </c>
      <c r="AJ54" t="e">
        <f>AND(NhatkyNhap!#REF!,"AAAAAD29fyM=")</f>
        <v>#REF!</v>
      </c>
      <c r="AK54" t="e">
        <f>AND(NhatkyNhap!#REF!,"AAAAAD29fyQ=")</f>
        <v>#REF!</v>
      </c>
      <c r="AL54" t="e">
        <f>AND(NhatkyNhap!#REF!,"AAAAAD29fyU=")</f>
        <v>#REF!</v>
      </c>
      <c r="AM54" t="e">
        <f>AND(NhatkyNhap!#REF!,"AAAAAD29fyY=")</f>
        <v>#REF!</v>
      </c>
      <c r="AN54" t="e">
        <f>AND(NhatkyNhap!#REF!,"AAAAAD29fyc=")</f>
        <v>#REF!</v>
      </c>
      <c r="AO54" t="e">
        <f>AND(NhatkyNhap!#REF!,"AAAAAD29fyg=")</f>
        <v>#REF!</v>
      </c>
      <c r="AP54" t="e">
        <f>AND(NhatkyNhap!#REF!,"AAAAAD29fyk=")</f>
        <v>#REF!</v>
      </c>
      <c r="AQ54" t="e">
        <f>AND(NhatkyNhap!#REF!,"AAAAAD29fyo=")</f>
        <v>#REF!</v>
      </c>
      <c r="AR54" t="e">
        <f>AND(NhatkyNhap!#REF!,"AAAAAD29fys=")</f>
        <v>#REF!</v>
      </c>
      <c r="AS54" t="e">
        <f>AND(NhatkyNhap!#REF!,"AAAAAD29fyw=")</f>
        <v>#REF!</v>
      </c>
      <c r="AT54" t="e">
        <f>AND(NhatkyNhap!#REF!,"AAAAAD29fy0=")</f>
        <v>#REF!</v>
      </c>
      <c r="AU54" t="e">
        <f>AND(NhatkyNhap!#REF!,"AAAAAD29fy4=")</f>
        <v>#REF!</v>
      </c>
      <c r="AV54" t="e">
        <f>AND(NhatkyNhap!#REF!,"AAAAAD29fy8=")</f>
        <v>#REF!</v>
      </c>
      <c r="AW54" t="e">
        <f>AND(NhatkyNhap!#REF!,"AAAAAD29fzA=")</f>
        <v>#REF!</v>
      </c>
      <c r="AX54" t="e">
        <f>AND(NhatkyNhap!#REF!,"AAAAAD29fzE=")</f>
        <v>#REF!</v>
      </c>
      <c r="AY54" t="e">
        <f>AND(NhatkyNhap!#REF!,"AAAAAD29fzI=")</f>
        <v>#REF!</v>
      </c>
      <c r="AZ54" t="e">
        <f>AND(NhatkyNhap!#REF!,"AAAAAD29fzM=")</f>
        <v>#REF!</v>
      </c>
      <c r="BA54" t="e">
        <f>AND(NhatkyNhap!#REF!,"AAAAAD29fzQ=")</f>
        <v>#REF!</v>
      </c>
      <c r="BB54" t="e">
        <f>AND(NhatkyNhap!#REF!,"AAAAAD29fzU=")</f>
        <v>#REF!</v>
      </c>
      <c r="BC54" t="e">
        <f>AND(NhatkyNhap!#REF!,"AAAAAD29fzY=")</f>
        <v>#REF!</v>
      </c>
      <c r="BD54" t="e">
        <f>AND(NhatkyNhap!#REF!,"AAAAAD29fzc=")</f>
        <v>#REF!</v>
      </c>
      <c r="BE54" t="e">
        <f>AND(NhatkyNhap!#REF!,"AAAAAD29fzg=")</f>
        <v>#REF!</v>
      </c>
      <c r="BF54" t="e">
        <f>AND(NhatkyNhap!#REF!,"AAAAAD29fzk=")</f>
        <v>#REF!</v>
      </c>
      <c r="BG54" t="e">
        <f>AND(NhatkyNhap!#REF!,"AAAAAD29fzo=")</f>
        <v>#REF!</v>
      </c>
      <c r="BH54" t="e">
        <f>AND(NhatkyNhap!#REF!,"AAAAAD29fzs=")</f>
        <v>#REF!</v>
      </c>
      <c r="BI54" t="e">
        <f>AND(NhatkyNhap!#REF!,"AAAAAD29fzw=")</f>
        <v>#REF!</v>
      </c>
      <c r="BJ54" t="e">
        <f>AND(NhatkyNhap!#REF!,"AAAAAD29fz0=")</f>
        <v>#REF!</v>
      </c>
      <c r="BK54" t="e">
        <f>AND(NhatkyNhap!#REF!,"AAAAAD29fz4=")</f>
        <v>#REF!</v>
      </c>
      <c r="BL54" t="e">
        <f>AND(NhatkyNhap!#REF!,"AAAAAD29fz8=")</f>
        <v>#REF!</v>
      </c>
      <c r="BM54" t="e">
        <f>IF(NhatkyNhap!#REF!,"AAAAAD29f0A=",0)</f>
        <v>#REF!</v>
      </c>
      <c r="BN54" t="e">
        <f>AND(NhatkyNhap!#REF!,"AAAAAD29f0E=")</f>
        <v>#REF!</v>
      </c>
      <c r="BO54" t="e">
        <f>AND(NhatkyNhap!#REF!,"AAAAAD29f0I=")</f>
        <v>#REF!</v>
      </c>
      <c r="BP54" t="e">
        <f>AND(NhatkyNhap!#REF!,"AAAAAD29f0M=")</f>
        <v>#REF!</v>
      </c>
      <c r="BQ54" t="e">
        <f>AND(NhatkyNhap!#REF!,"AAAAAD29f0Q=")</f>
        <v>#REF!</v>
      </c>
      <c r="BR54" t="e">
        <f>AND(NhatkyNhap!#REF!,"AAAAAD29f0U=")</f>
        <v>#REF!</v>
      </c>
      <c r="BS54" t="e">
        <f>AND(NhatkyNhap!#REF!,"AAAAAD29f0Y=")</f>
        <v>#REF!</v>
      </c>
      <c r="BT54" t="e">
        <f>AND(NhatkyNhap!#REF!,"AAAAAD29f0c=")</f>
        <v>#REF!</v>
      </c>
      <c r="BU54" t="e">
        <f>AND(NhatkyNhap!#REF!,"AAAAAD29f0g=")</f>
        <v>#REF!</v>
      </c>
      <c r="BV54" t="e">
        <f>AND(NhatkyNhap!#REF!,"AAAAAD29f0k=")</f>
        <v>#REF!</v>
      </c>
      <c r="BW54" t="e">
        <f>AND(NhatkyNhap!#REF!,"AAAAAD29f0o=")</f>
        <v>#REF!</v>
      </c>
      <c r="BX54" t="e">
        <f>AND(NhatkyNhap!#REF!,"AAAAAD29f0s=")</f>
        <v>#REF!</v>
      </c>
      <c r="BY54" t="e">
        <f>AND(NhatkyNhap!#REF!,"AAAAAD29f0w=")</f>
        <v>#REF!</v>
      </c>
      <c r="BZ54" t="e">
        <f>AND(NhatkyNhap!#REF!,"AAAAAD29f00=")</f>
        <v>#REF!</v>
      </c>
      <c r="CA54" t="e">
        <f>AND(NhatkyNhap!#REF!,"AAAAAD29f04=")</f>
        <v>#REF!</v>
      </c>
      <c r="CB54" t="e">
        <f>AND(NhatkyNhap!#REF!,"AAAAAD29f08=")</f>
        <v>#REF!</v>
      </c>
      <c r="CC54" t="e">
        <f>AND(NhatkyNhap!#REF!,"AAAAAD29f1A=")</f>
        <v>#REF!</v>
      </c>
      <c r="CD54" t="e">
        <f>AND(NhatkyNhap!#REF!,"AAAAAD29f1E=")</f>
        <v>#REF!</v>
      </c>
      <c r="CE54" t="e">
        <f>AND(NhatkyNhap!#REF!,"AAAAAD29f1I=")</f>
        <v>#REF!</v>
      </c>
      <c r="CF54" t="e">
        <f>AND(NhatkyNhap!#REF!,"AAAAAD29f1M=")</f>
        <v>#REF!</v>
      </c>
      <c r="CG54" t="e">
        <f>AND(NhatkyNhap!#REF!,"AAAAAD29f1Q=")</f>
        <v>#REF!</v>
      </c>
      <c r="CH54" t="e">
        <f>AND(NhatkyNhap!#REF!,"AAAAAD29f1U=")</f>
        <v>#REF!</v>
      </c>
      <c r="CI54" t="e">
        <f>AND(NhatkyNhap!#REF!,"AAAAAD29f1Y=")</f>
        <v>#REF!</v>
      </c>
      <c r="CJ54" t="e">
        <f>AND(NhatkyNhap!#REF!,"AAAAAD29f1c=")</f>
        <v>#REF!</v>
      </c>
      <c r="CK54" t="e">
        <f>AND(NhatkyNhap!#REF!,"AAAAAD29f1g=")</f>
        <v>#REF!</v>
      </c>
      <c r="CL54" t="e">
        <f>AND(NhatkyNhap!#REF!,"AAAAAD29f1k=")</f>
        <v>#REF!</v>
      </c>
      <c r="CM54" t="e">
        <f>AND(NhatkyNhap!#REF!,"AAAAAD29f1o=")</f>
        <v>#REF!</v>
      </c>
      <c r="CN54" t="e">
        <f>AND(NhatkyNhap!#REF!,"AAAAAD29f1s=")</f>
        <v>#REF!</v>
      </c>
      <c r="CO54" t="e">
        <f>AND(NhatkyNhap!#REF!,"AAAAAD29f1w=")</f>
        <v>#REF!</v>
      </c>
      <c r="CP54" t="e">
        <f>AND(NhatkyNhap!#REF!,"AAAAAD29f10=")</f>
        <v>#REF!</v>
      </c>
      <c r="CQ54" t="e">
        <f>AND(NhatkyNhap!#REF!,"AAAAAD29f14=")</f>
        <v>#REF!</v>
      </c>
      <c r="CR54" t="e">
        <f>AND(NhatkyNhap!#REF!,"AAAAAD29f18=")</f>
        <v>#REF!</v>
      </c>
      <c r="CS54" t="e">
        <f>AND(NhatkyNhap!#REF!,"AAAAAD29f2A=")</f>
        <v>#REF!</v>
      </c>
      <c r="CT54" t="e">
        <f>AND(NhatkyNhap!#REF!,"AAAAAD29f2E=")</f>
        <v>#REF!</v>
      </c>
      <c r="CU54" t="e">
        <f>AND(NhatkyNhap!#REF!,"AAAAAD29f2I=")</f>
        <v>#REF!</v>
      </c>
      <c r="CV54" t="e">
        <f>IF(NhatkyNhap!#REF!,"AAAAAD29f2M=",0)</f>
        <v>#REF!</v>
      </c>
      <c r="CW54" t="e">
        <f>AND(NhatkyNhap!#REF!,"AAAAAD29f2Q=")</f>
        <v>#REF!</v>
      </c>
      <c r="CX54" t="e">
        <f>AND(NhatkyNhap!#REF!,"AAAAAD29f2U=")</f>
        <v>#REF!</v>
      </c>
      <c r="CY54" t="e">
        <f>AND(NhatkyNhap!#REF!,"AAAAAD29f2Y=")</f>
        <v>#REF!</v>
      </c>
      <c r="CZ54" t="e">
        <f>AND(NhatkyNhap!#REF!,"AAAAAD29f2c=")</f>
        <v>#REF!</v>
      </c>
      <c r="DA54" t="e">
        <f>AND(NhatkyNhap!#REF!,"AAAAAD29f2g=")</f>
        <v>#REF!</v>
      </c>
      <c r="DB54" t="e">
        <f>AND(NhatkyNhap!#REF!,"AAAAAD29f2k=")</f>
        <v>#REF!</v>
      </c>
      <c r="DC54" t="e">
        <f>AND(NhatkyNhap!#REF!,"AAAAAD29f2o=")</f>
        <v>#REF!</v>
      </c>
      <c r="DD54" t="e">
        <f>AND(NhatkyNhap!#REF!,"AAAAAD29f2s=")</f>
        <v>#REF!</v>
      </c>
      <c r="DE54" t="e">
        <f>AND(NhatkyNhap!#REF!,"AAAAAD29f2w=")</f>
        <v>#REF!</v>
      </c>
      <c r="DF54" t="e">
        <f>AND(NhatkyNhap!#REF!,"AAAAAD29f20=")</f>
        <v>#REF!</v>
      </c>
      <c r="DG54" t="e">
        <f>AND(NhatkyNhap!#REF!,"AAAAAD29f24=")</f>
        <v>#REF!</v>
      </c>
      <c r="DH54" t="e">
        <f>AND(NhatkyNhap!#REF!,"AAAAAD29f28=")</f>
        <v>#REF!</v>
      </c>
      <c r="DI54" t="e">
        <f>AND(NhatkyNhap!#REF!,"AAAAAD29f3A=")</f>
        <v>#REF!</v>
      </c>
      <c r="DJ54" t="e">
        <f>AND(NhatkyNhap!#REF!,"AAAAAD29f3E=")</f>
        <v>#REF!</v>
      </c>
      <c r="DK54" t="e">
        <f>AND(NhatkyNhap!#REF!,"AAAAAD29f3I=")</f>
        <v>#REF!</v>
      </c>
      <c r="DL54" t="e">
        <f>AND(NhatkyNhap!#REF!,"AAAAAD29f3M=")</f>
        <v>#REF!</v>
      </c>
      <c r="DM54" t="e">
        <f>AND(NhatkyNhap!#REF!,"AAAAAD29f3Q=")</f>
        <v>#REF!</v>
      </c>
      <c r="DN54" t="e">
        <f>AND(NhatkyNhap!#REF!,"AAAAAD29f3U=")</f>
        <v>#REF!</v>
      </c>
      <c r="DO54" t="e">
        <f>AND(NhatkyNhap!#REF!,"AAAAAD29f3Y=")</f>
        <v>#REF!</v>
      </c>
      <c r="DP54" t="e">
        <f>AND(NhatkyNhap!#REF!,"AAAAAD29f3c=")</f>
        <v>#REF!</v>
      </c>
      <c r="DQ54" t="e">
        <f>AND(NhatkyNhap!#REF!,"AAAAAD29f3g=")</f>
        <v>#REF!</v>
      </c>
      <c r="DR54" t="e">
        <f>AND(NhatkyNhap!#REF!,"AAAAAD29f3k=")</f>
        <v>#REF!</v>
      </c>
      <c r="DS54" t="e">
        <f>AND(NhatkyNhap!#REF!,"AAAAAD29f3o=")</f>
        <v>#REF!</v>
      </c>
      <c r="DT54" t="e">
        <f>AND(NhatkyNhap!#REF!,"AAAAAD29f3s=")</f>
        <v>#REF!</v>
      </c>
      <c r="DU54" t="e">
        <f>AND(NhatkyNhap!#REF!,"AAAAAD29f3w=")</f>
        <v>#REF!</v>
      </c>
      <c r="DV54" t="e">
        <f>AND(NhatkyNhap!#REF!,"AAAAAD29f30=")</f>
        <v>#REF!</v>
      </c>
      <c r="DW54" t="e">
        <f>AND(NhatkyNhap!#REF!,"AAAAAD29f34=")</f>
        <v>#REF!</v>
      </c>
      <c r="DX54" t="e">
        <f>AND(NhatkyNhap!#REF!,"AAAAAD29f38=")</f>
        <v>#REF!</v>
      </c>
      <c r="DY54" t="e">
        <f>AND(NhatkyNhap!#REF!,"AAAAAD29f4A=")</f>
        <v>#REF!</v>
      </c>
      <c r="DZ54" t="e">
        <f>AND(NhatkyNhap!#REF!,"AAAAAD29f4E=")</f>
        <v>#REF!</v>
      </c>
      <c r="EA54" t="e">
        <f>AND(NhatkyNhap!#REF!,"AAAAAD29f4I=")</f>
        <v>#REF!</v>
      </c>
      <c r="EB54" t="e">
        <f>AND(NhatkyNhap!#REF!,"AAAAAD29f4M=")</f>
        <v>#REF!</v>
      </c>
      <c r="EC54" t="e">
        <f>AND(NhatkyNhap!#REF!,"AAAAAD29f4Q=")</f>
        <v>#REF!</v>
      </c>
      <c r="ED54" t="e">
        <f>AND(NhatkyNhap!#REF!,"AAAAAD29f4U=")</f>
        <v>#REF!</v>
      </c>
      <c r="EE54" t="e">
        <f>IF(NhatkyNhap!#REF!,"AAAAAD29f4Y=",0)</f>
        <v>#REF!</v>
      </c>
      <c r="EF54" t="e">
        <f>AND(NhatkyNhap!#REF!,"AAAAAD29f4c=")</f>
        <v>#REF!</v>
      </c>
      <c r="EG54" t="e">
        <f>AND(NhatkyNhap!#REF!,"AAAAAD29f4g=")</f>
        <v>#REF!</v>
      </c>
      <c r="EH54" t="e">
        <f>AND(NhatkyNhap!#REF!,"AAAAAD29f4k=")</f>
        <v>#REF!</v>
      </c>
      <c r="EI54" t="e">
        <f>AND(NhatkyNhap!#REF!,"AAAAAD29f4o=")</f>
        <v>#REF!</v>
      </c>
      <c r="EJ54" t="e">
        <f>AND(NhatkyNhap!#REF!,"AAAAAD29f4s=")</f>
        <v>#REF!</v>
      </c>
      <c r="EK54" t="e">
        <f>AND(NhatkyNhap!#REF!,"AAAAAD29f4w=")</f>
        <v>#REF!</v>
      </c>
      <c r="EL54" t="e">
        <f>AND(NhatkyNhap!#REF!,"AAAAAD29f40=")</f>
        <v>#REF!</v>
      </c>
      <c r="EM54" t="e">
        <f>AND(NhatkyNhap!#REF!,"AAAAAD29f44=")</f>
        <v>#REF!</v>
      </c>
      <c r="EN54" t="e">
        <f>AND(NhatkyNhap!#REF!,"AAAAAD29f48=")</f>
        <v>#REF!</v>
      </c>
      <c r="EO54" t="e">
        <f>AND(NhatkyNhap!#REF!,"AAAAAD29f5A=")</f>
        <v>#REF!</v>
      </c>
      <c r="EP54" t="e">
        <f>AND(NhatkyNhap!#REF!,"AAAAAD29f5E=")</f>
        <v>#REF!</v>
      </c>
      <c r="EQ54" t="e">
        <f>AND(NhatkyNhap!#REF!,"AAAAAD29f5I=")</f>
        <v>#REF!</v>
      </c>
      <c r="ER54" t="e">
        <f>AND(NhatkyNhap!#REF!,"AAAAAD29f5M=")</f>
        <v>#REF!</v>
      </c>
      <c r="ES54" t="e">
        <f>AND(NhatkyNhap!#REF!,"AAAAAD29f5Q=")</f>
        <v>#REF!</v>
      </c>
      <c r="ET54" t="e">
        <f>AND(NhatkyNhap!#REF!,"AAAAAD29f5U=")</f>
        <v>#REF!</v>
      </c>
      <c r="EU54" t="e">
        <f>AND(NhatkyNhap!#REF!,"AAAAAD29f5Y=")</f>
        <v>#REF!</v>
      </c>
      <c r="EV54" t="e">
        <f>AND(NhatkyNhap!#REF!,"AAAAAD29f5c=")</f>
        <v>#REF!</v>
      </c>
      <c r="EW54" t="e">
        <f>AND(NhatkyNhap!#REF!,"AAAAAD29f5g=")</f>
        <v>#REF!</v>
      </c>
      <c r="EX54" t="e">
        <f>AND(NhatkyNhap!#REF!,"AAAAAD29f5k=")</f>
        <v>#REF!</v>
      </c>
      <c r="EY54" t="e">
        <f>AND(NhatkyNhap!#REF!,"AAAAAD29f5o=")</f>
        <v>#REF!</v>
      </c>
      <c r="EZ54" t="e">
        <f>AND(NhatkyNhap!#REF!,"AAAAAD29f5s=")</f>
        <v>#REF!</v>
      </c>
      <c r="FA54" t="e">
        <f>AND(NhatkyNhap!#REF!,"AAAAAD29f5w=")</f>
        <v>#REF!</v>
      </c>
      <c r="FB54" t="e">
        <f>AND(NhatkyNhap!#REF!,"AAAAAD29f50=")</f>
        <v>#REF!</v>
      </c>
      <c r="FC54" t="e">
        <f>AND(NhatkyNhap!#REF!,"AAAAAD29f54=")</f>
        <v>#REF!</v>
      </c>
      <c r="FD54" t="e">
        <f>AND(NhatkyNhap!#REF!,"AAAAAD29f58=")</f>
        <v>#REF!</v>
      </c>
      <c r="FE54" t="e">
        <f>AND(NhatkyNhap!#REF!,"AAAAAD29f6A=")</f>
        <v>#REF!</v>
      </c>
      <c r="FF54" t="e">
        <f>AND(NhatkyNhap!#REF!,"AAAAAD29f6E=")</f>
        <v>#REF!</v>
      </c>
      <c r="FG54" t="e">
        <f>AND(NhatkyNhap!#REF!,"AAAAAD29f6I=")</f>
        <v>#REF!</v>
      </c>
      <c r="FH54" t="e">
        <f>AND(NhatkyNhap!#REF!,"AAAAAD29f6M=")</f>
        <v>#REF!</v>
      </c>
      <c r="FI54" t="e">
        <f>AND(NhatkyNhap!#REF!,"AAAAAD29f6Q=")</f>
        <v>#REF!</v>
      </c>
      <c r="FJ54" t="e">
        <f>AND(NhatkyNhap!#REF!,"AAAAAD29f6U=")</f>
        <v>#REF!</v>
      </c>
      <c r="FK54" t="e">
        <f>AND(NhatkyNhap!#REF!,"AAAAAD29f6Y=")</f>
        <v>#REF!</v>
      </c>
      <c r="FL54" t="e">
        <f>AND(NhatkyNhap!#REF!,"AAAAAD29f6c=")</f>
        <v>#REF!</v>
      </c>
      <c r="FM54" t="e">
        <f>AND(NhatkyNhap!#REF!,"AAAAAD29f6g=")</f>
        <v>#REF!</v>
      </c>
      <c r="FN54" t="e">
        <f>IF(NhatkyNhap!#REF!,"AAAAAD29f6k=",0)</f>
        <v>#REF!</v>
      </c>
      <c r="FO54" t="e">
        <f>AND(NhatkyNhap!#REF!,"AAAAAD29f6o=")</f>
        <v>#REF!</v>
      </c>
      <c r="FP54" t="e">
        <f>AND(NhatkyNhap!#REF!,"AAAAAD29f6s=")</f>
        <v>#REF!</v>
      </c>
      <c r="FQ54" t="e">
        <f>AND(NhatkyNhap!#REF!,"AAAAAD29f6w=")</f>
        <v>#REF!</v>
      </c>
      <c r="FR54" t="e">
        <f>AND(NhatkyNhap!#REF!,"AAAAAD29f60=")</f>
        <v>#REF!</v>
      </c>
      <c r="FS54" t="e">
        <f>AND(NhatkyNhap!#REF!,"AAAAAD29f64=")</f>
        <v>#REF!</v>
      </c>
      <c r="FT54" t="e">
        <f>AND(NhatkyNhap!#REF!,"AAAAAD29f68=")</f>
        <v>#REF!</v>
      </c>
      <c r="FU54" t="e">
        <f>AND(NhatkyNhap!#REF!,"AAAAAD29f7A=")</f>
        <v>#REF!</v>
      </c>
      <c r="FV54" t="e">
        <f>AND(NhatkyNhap!#REF!,"AAAAAD29f7E=")</f>
        <v>#REF!</v>
      </c>
      <c r="FW54" t="e">
        <f>AND(NhatkyNhap!#REF!,"AAAAAD29f7I=")</f>
        <v>#REF!</v>
      </c>
      <c r="FX54" t="e">
        <f>AND(NhatkyNhap!#REF!,"AAAAAD29f7M=")</f>
        <v>#REF!</v>
      </c>
      <c r="FY54" t="e">
        <f>AND(NhatkyNhap!#REF!,"AAAAAD29f7Q=")</f>
        <v>#REF!</v>
      </c>
      <c r="FZ54" t="e">
        <f>AND(NhatkyNhap!#REF!,"AAAAAD29f7U=")</f>
        <v>#REF!</v>
      </c>
      <c r="GA54" t="e">
        <f>AND(NhatkyNhap!#REF!,"AAAAAD29f7Y=")</f>
        <v>#REF!</v>
      </c>
      <c r="GB54" t="e">
        <f>AND(NhatkyNhap!#REF!,"AAAAAD29f7c=")</f>
        <v>#REF!</v>
      </c>
      <c r="GC54" t="e">
        <f>AND(NhatkyNhap!#REF!,"AAAAAD29f7g=")</f>
        <v>#REF!</v>
      </c>
      <c r="GD54" t="e">
        <f>AND(NhatkyNhap!#REF!,"AAAAAD29f7k=")</f>
        <v>#REF!</v>
      </c>
      <c r="GE54" t="e">
        <f>AND(NhatkyNhap!#REF!,"AAAAAD29f7o=")</f>
        <v>#REF!</v>
      </c>
      <c r="GF54" t="e">
        <f>AND(NhatkyNhap!#REF!,"AAAAAD29f7s=")</f>
        <v>#REF!</v>
      </c>
      <c r="GG54" t="e">
        <f>AND(NhatkyNhap!#REF!,"AAAAAD29f7w=")</f>
        <v>#REF!</v>
      </c>
      <c r="GH54" t="e">
        <f>AND(NhatkyNhap!#REF!,"AAAAAD29f70=")</f>
        <v>#REF!</v>
      </c>
      <c r="GI54" t="e">
        <f>AND(NhatkyNhap!#REF!,"AAAAAD29f74=")</f>
        <v>#REF!</v>
      </c>
      <c r="GJ54" t="e">
        <f>AND(NhatkyNhap!#REF!,"AAAAAD29f78=")</f>
        <v>#REF!</v>
      </c>
      <c r="GK54" t="e">
        <f>AND(NhatkyNhap!#REF!,"AAAAAD29f8A=")</f>
        <v>#REF!</v>
      </c>
      <c r="GL54" t="e">
        <f>AND(NhatkyNhap!#REF!,"AAAAAD29f8E=")</f>
        <v>#REF!</v>
      </c>
      <c r="GM54" t="e">
        <f>AND(NhatkyNhap!#REF!,"AAAAAD29f8I=")</f>
        <v>#REF!</v>
      </c>
      <c r="GN54" t="e">
        <f>AND(NhatkyNhap!#REF!,"AAAAAD29f8M=")</f>
        <v>#REF!</v>
      </c>
      <c r="GO54" t="e">
        <f>AND(NhatkyNhap!#REF!,"AAAAAD29f8Q=")</f>
        <v>#REF!</v>
      </c>
      <c r="GP54" t="e">
        <f>AND(NhatkyNhap!#REF!,"AAAAAD29f8U=")</f>
        <v>#REF!</v>
      </c>
      <c r="GQ54" t="e">
        <f>AND(NhatkyNhap!#REF!,"AAAAAD29f8Y=")</f>
        <v>#REF!</v>
      </c>
      <c r="GR54" t="e">
        <f>AND(NhatkyNhap!#REF!,"AAAAAD29f8c=")</f>
        <v>#REF!</v>
      </c>
      <c r="GS54" t="e">
        <f>AND(NhatkyNhap!#REF!,"AAAAAD29f8g=")</f>
        <v>#REF!</v>
      </c>
      <c r="GT54" t="e">
        <f>AND(NhatkyNhap!#REF!,"AAAAAD29f8k=")</f>
        <v>#REF!</v>
      </c>
      <c r="GU54" t="e">
        <f>AND(NhatkyNhap!#REF!,"AAAAAD29f8o=")</f>
        <v>#REF!</v>
      </c>
      <c r="GV54" t="e">
        <f>AND(NhatkyNhap!#REF!,"AAAAAD29f8s=")</f>
        <v>#REF!</v>
      </c>
      <c r="GW54" t="e">
        <f>IF(NhatkyNhap!#REF!,"AAAAAD29f8w=",0)</f>
        <v>#REF!</v>
      </c>
      <c r="GX54" t="e">
        <f>AND(NhatkyNhap!#REF!,"AAAAAD29f80=")</f>
        <v>#REF!</v>
      </c>
      <c r="GY54" t="e">
        <f>AND(NhatkyNhap!#REF!,"AAAAAD29f84=")</f>
        <v>#REF!</v>
      </c>
      <c r="GZ54" t="e">
        <f>AND(NhatkyNhap!#REF!,"AAAAAD29f88=")</f>
        <v>#REF!</v>
      </c>
      <c r="HA54" t="e">
        <f>AND(NhatkyNhap!#REF!,"AAAAAD29f9A=")</f>
        <v>#REF!</v>
      </c>
      <c r="HB54" t="e">
        <f>AND(NhatkyNhap!#REF!,"AAAAAD29f9E=")</f>
        <v>#REF!</v>
      </c>
      <c r="HC54" t="e">
        <f>AND(NhatkyNhap!#REF!,"AAAAAD29f9I=")</f>
        <v>#REF!</v>
      </c>
      <c r="HD54" t="e">
        <f>AND(NhatkyNhap!#REF!,"AAAAAD29f9M=")</f>
        <v>#REF!</v>
      </c>
      <c r="HE54" t="e">
        <f>AND(NhatkyNhap!#REF!,"AAAAAD29f9Q=")</f>
        <v>#REF!</v>
      </c>
      <c r="HF54" t="e">
        <f>AND(NhatkyNhap!#REF!,"AAAAAD29f9U=")</f>
        <v>#REF!</v>
      </c>
      <c r="HG54" t="e">
        <f>AND(NhatkyNhap!#REF!,"AAAAAD29f9Y=")</f>
        <v>#REF!</v>
      </c>
      <c r="HH54" t="e">
        <f>AND(NhatkyNhap!#REF!,"AAAAAD29f9c=")</f>
        <v>#REF!</v>
      </c>
      <c r="HI54" t="e">
        <f>AND(NhatkyNhap!#REF!,"AAAAAD29f9g=")</f>
        <v>#REF!</v>
      </c>
      <c r="HJ54" t="e">
        <f>AND(NhatkyNhap!#REF!,"AAAAAD29f9k=")</f>
        <v>#REF!</v>
      </c>
      <c r="HK54" t="e">
        <f>AND(NhatkyNhap!#REF!,"AAAAAD29f9o=")</f>
        <v>#REF!</v>
      </c>
      <c r="HL54" t="e">
        <f>AND(NhatkyNhap!#REF!,"AAAAAD29f9s=")</f>
        <v>#REF!</v>
      </c>
      <c r="HM54" t="e">
        <f>AND(NhatkyNhap!#REF!,"AAAAAD29f9w=")</f>
        <v>#REF!</v>
      </c>
      <c r="HN54" t="e">
        <f>AND(NhatkyNhap!#REF!,"AAAAAD29f90=")</f>
        <v>#REF!</v>
      </c>
      <c r="HO54" t="e">
        <f>AND(NhatkyNhap!#REF!,"AAAAAD29f94=")</f>
        <v>#REF!</v>
      </c>
      <c r="HP54" t="e">
        <f>AND(NhatkyNhap!#REF!,"AAAAAD29f98=")</f>
        <v>#REF!</v>
      </c>
      <c r="HQ54" t="e">
        <f>AND(NhatkyNhap!#REF!,"AAAAAD29f+A=")</f>
        <v>#REF!</v>
      </c>
      <c r="HR54" t="e">
        <f>AND(NhatkyNhap!#REF!,"AAAAAD29f+E=")</f>
        <v>#REF!</v>
      </c>
      <c r="HS54" t="e">
        <f>AND(NhatkyNhap!#REF!,"AAAAAD29f+I=")</f>
        <v>#REF!</v>
      </c>
      <c r="HT54" t="e">
        <f>AND(NhatkyNhap!#REF!,"AAAAAD29f+M=")</f>
        <v>#REF!</v>
      </c>
      <c r="HU54" t="e">
        <f>AND(NhatkyNhap!#REF!,"AAAAAD29f+Q=")</f>
        <v>#REF!</v>
      </c>
      <c r="HV54" t="e">
        <f>AND(NhatkyNhap!#REF!,"AAAAAD29f+U=")</f>
        <v>#REF!</v>
      </c>
      <c r="HW54" t="e">
        <f>AND(NhatkyNhap!#REF!,"AAAAAD29f+Y=")</f>
        <v>#REF!</v>
      </c>
      <c r="HX54" t="e">
        <f>AND(NhatkyNhap!#REF!,"AAAAAD29f+c=")</f>
        <v>#REF!</v>
      </c>
      <c r="HY54" t="e">
        <f>AND(NhatkyNhap!#REF!,"AAAAAD29f+g=")</f>
        <v>#REF!</v>
      </c>
      <c r="HZ54" t="e">
        <f>AND(NhatkyNhap!#REF!,"AAAAAD29f+k=")</f>
        <v>#REF!</v>
      </c>
      <c r="IA54" t="e">
        <f>AND(NhatkyNhap!#REF!,"AAAAAD29f+o=")</f>
        <v>#REF!</v>
      </c>
      <c r="IB54" t="e">
        <f>AND(NhatkyNhap!#REF!,"AAAAAD29f+s=")</f>
        <v>#REF!</v>
      </c>
      <c r="IC54" t="e">
        <f>AND(NhatkyNhap!#REF!,"AAAAAD29f+w=")</f>
        <v>#REF!</v>
      </c>
      <c r="ID54" t="e">
        <f>AND(NhatkyNhap!#REF!,"AAAAAD29f+0=")</f>
        <v>#REF!</v>
      </c>
      <c r="IE54" t="e">
        <f>AND(NhatkyNhap!#REF!,"AAAAAD29f+4=")</f>
        <v>#REF!</v>
      </c>
      <c r="IF54" t="e">
        <f>IF(NhatkyNhap!#REF!,"AAAAAD29f+8=",0)</f>
        <v>#REF!</v>
      </c>
      <c r="IG54" t="e">
        <f>AND(NhatkyNhap!#REF!,"AAAAAD29f/A=")</f>
        <v>#REF!</v>
      </c>
      <c r="IH54" t="e">
        <f>AND(NhatkyNhap!#REF!,"AAAAAD29f/E=")</f>
        <v>#REF!</v>
      </c>
      <c r="II54" t="e">
        <f>AND(NhatkyNhap!#REF!,"AAAAAD29f/I=")</f>
        <v>#REF!</v>
      </c>
      <c r="IJ54" t="e">
        <f>AND(NhatkyNhap!#REF!,"AAAAAD29f/M=")</f>
        <v>#REF!</v>
      </c>
      <c r="IK54" t="e">
        <f>AND(NhatkyNhap!#REF!,"AAAAAD29f/Q=")</f>
        <v>#REF!</v>
      </c>
      <c r="IL54" t="e">
        <f>AND(NhatkyNhap!#REF!,"AAAAAD29f/U=")</f>
        <v>#REF!</v>
      </c>
      <c r="IM54" t="e">
        <f>AND(NhatkyNhap!#REF!,"AAAAAD29f/Y=")</f>
        <v>#REF!</v>
      </c>
      <c r="IN54" t="e">
        <f>AND(NhatkyNhap!#REF!,"AAAAAD29f/c=")</f>
        <v>#REF!</v>
      </c>
      <c r="IO54" t="e">
        <f>AND(NhatkyNhap!#REF!,"AAAAAD29f/g=")</f>
        <v>#REF!</v>
      </c>
      <c r="IP54" t="e">
        <f>AND(NhatkyNhap!#REF!,"AAAAAD29f/k=")</f>
        <v>#REF!</v>
      </c>
      <c r="IQ54" t="e">
        <f>AND(NhatkyNhap!#REF!,"AAAAAD29f/o=")</f>
        <v>#REF!</v>
      </c>
      <c r="IR54" t="e">
        <f>AND(NhatkyNhap!#REF!,"AAAAAD29f/s=")</f>
        <v>#REF!</v>
      </c>
      <c r="IS54" t="e">
        <f>AND(NhatkyNhap!#REF!,"AAAAAD29f/w=")</f>
        <v>#REF!</v>
      </c>
      <c r="IT54" t="e">
        <f>AND(NhatkyNhap!#REF!,"AAAAAD29f/0=")</f>
        <v>#REF!</v>
      </c>
      <c r="IU54" t="e">
        <f>AND(NhatkyNhap!#REF!,"AAAAAD29f/4=")</f>
        <v>#REF!</v>
      </c>
      <c r="IV54" t="e">
        <f>AND(NhatkyNhap!#REF!,"AAAAAD29f/8=")</f>
        <v>#REF!</v>
      </c>
    </row>
    <row r="55" spans="1:256">
      <c r="A55" t="e">
        <f>AND(NhatkyNhap!#REF!,"AAAAAC6XTQA=")</f>
        <v>#REF!</v>
      </c>
      <c r="B55" t="e">
        <f>AND(NhatkyNhap!#REF!,"AAAAAC6XTQE=")</f>
        <v>#REF!</v>
      </c>
      <c r="C55" t="e">
        <f>AND(NhatkyNhap!#REF!,"AAAAAC6XTQI=")</f>
        <v>#REF!</v>
      </c>
      <c r="D55" t="e">
        <f>AND(NhatkyNhap!#REF!,"AAAAAC6XTQM=")</f>
        <v>#REF!</v>
      </c>
      <c r="E55" t="e">
        <f>AND(NhatkyNhap!#REF!,"AAAAAC6XTQQ=")</f>
        <v>#REF!</v>
      </c>
      <c r="F55" t="e">
        <f>AND(NhatkyNhap!#REF!,"AAAAAC6XTQU=")</f>
        <v>#REF!</v>
      </c>
      <c r="G55" t="e">
        <f>AND(NhatkyNhap!#REF!,"AAAAAC6XTQY=")</f>
        <v>#REF!</v>
      </c>
      <c r="H55" t="e">
        <f>AND(NhatkyNhap!#REF!,"AAAAAC6XTQc=")</f>
        <v>#REF!</v>
      </c>
      <c r="I55" t="e">
        <f>AND(NhatkyNhap!#REF!,"AAAAAC6XTQg=")</f>
        <v>#REF!</v>
      </c>
      <c r="J55" t="e">
        <f>AND(NhatkyNhap!#REF!,"AAAAAC6XTQk=")</f>
        <v>#REF!</v>
      </c>
      <c r="K55" t="e">
        <f>AND(NhatkyNhap!#REF!,"AAAAAC6XTQo=")</f>
        <v>#REF!</v>
      </c>
      <c r="L55" t="e">
        <f>AND(NhatkyNhap!#REF!,"AAAAAC6XTQs=")</f>
        <v>#REF!</v>
      </c>
      <c r="M55" t="e">
        <f>AND(NhatkyNhap!#REF!,"AAAAAC6XTQw=")</f>
        <v>#REF!</v>
      </c>
      <c r="N55" t="e">
        <f>AND(NhatkyNhap!#REF!,"AAAAAC6XTQ0=")</f>
        <v>#REF!</v>
      </c>
      <c r="O55" t="e">
        <f>AND(NhatkyNhap!#REF!,"AAAAAC6XTQ4=")</f>
        <v>#REF!</v>
      </c>
      <c r="P55" t="e">
        <f>AND(NhatkyNhap!#REF!,"AAAAAC6XTQ8=")</f>
        <v>#REF!</v>
      </c>
      <c r="Q55" t="e">
        <f>AND(NhatkyNhap!#REF!,"AAAAAC6XTRA=")</f>
        <v>#REF!</v>
      </c>
      <c r="R55" t="e">
        <f>AND(NhatkyNhap!#REF!,"AAAAAC6XTRE=")</f>
        <v>#REF!</v>
      </c>
      <c r="S55" t="e">
        <f>IF(NhatkyNhap!#REF!,"AAAAAC6XTRI=",0)</f>
        <v>#REF!</v>
      </c>
      <c r="T55" t="e">
        <f>AND(NhatkyNhap!#REF!,"AAAAAC6XTRM=")</f>
        <v>#REF!</v>
      </c>
      <c r="U55" t="e">
        <f>AND(NhatkyNhap!#REF!,"AAAAAC6XTRQ=")</f>
        <v>#REF!</v>
      </c>
      <c r="V55" t="e">
        <f>AND(NhatkyNhap!#REF!,"AAAAAC6XTRU=")</f>
        <v>#REF!</v>
      </c>
      <c r="W55" t="e">
        <f>AND(NhatkyNhap!#REF!,"AAAAAC6XTRY=")</f>
        <v>#REF!</v>
      </c>
      <c r="X55" t="e">
        <f>AND(NhatkyNhap!#REF!,"AAAAAC6XTRc=")</f>
        <v>#REF!</v>
      </c>
      <c r="Y55" t="e">
        <f>AND(NhatkyNhap!#REF!,"AAAAAC6XTRg=")</f>
        <v>#REF!</v>
      </c>
      <c r="Z55" t="e">
        <f>AND(NhatkyNhap!#REF!,"AAAAAC6XTRk=")</f>
        <v>#REF!</v>
      </c>
      <c r="AA55" t="e">
        <f>AND(NhatkyNhap!#REF!,"AAAAAC6XTRo=")</f>
        <v>#REF!</v>
      </c>
      <c r="AB55" t="e">
        <f>AND(NhatkyNhap!#REF!,"AAAAAC6XTRs=")</f>
        <v>#REF!</v>
      </c>
      <c r="AC55" t="e">
        <f>AND(NhatkyNhap!#REF!,"AAAAAC6XTRw=")</f>
        <v>#REF!</v>
      </c>
      <c r="AD55" t="e">
        <f>AND(NhatkyNhap!#REF!,"AAAAAC6XTR0=")</f>
        <v>#REF!</v>
      </c>
      <c r="AE55" t="e">
        <f>AND(NhatkyNhap!#REF!,"AAAAAC6XTR4=")</f>
        <v>#REF!</v>
      </c>
      <c r="AF55" t="e">
        <f>AND(NhatkyNhap!#REF!,"AAAAAC6XTR8=")</f>
        <v>#REF!</v>
      </c>
      <c r="AG55" t="e">
        <f>AND(NhatkyNhap!#REF!,"AAAAAC6XTSA=")</f>
        <v>#REF!</v>
      </c>
      <c r="AH55" t="e">
        <f>AND(NhatkyNhap!#REF!,"AAAAAC6XTSE=")</f>
        <v>#REF!</v>
      </c>
      <c r="AI55" t="e">
        <f>AND(NhatkyNhap!#REF!,"AAAAAC6XTSI=")</f>
        <v>#REF!</v>
      </c>
      <c r="AJ55" t="e">
        <f>AND(NhatkyNhap!#REF!,"AAAAAC6XTSM=")</f>
        <v>#REF!</v>
      </c>
      <c r="AK55" t="e">
        <f>AND(NhatkyNhap!#REF!,"AAAAAC6XTSQ=")</f>
        <v>#REF!</v>
      </c>
      <c r="AL55" t="e">
        <f>AND(NhatkyNhap!#REF!,"AAAAAC6XTSU=")</f>
        <v>#REF!</v>
      </c>
      <c r="AM55" t="e">
        <f>AND(NhatkyNhap!#REF!,"AAAAAC6XTSY=")</f>
        <v>#REF!</v>
      </c>
      <c r="AN55" t="e">
        <f>AND(NhatkyNhap!#REF!,"AAAAAC6XTSc=")</f>
        <v>#REF!</v>
      </c>
      <c r="AO55" t="e">
        <f>AND(NhatkyNhap!#REF!,"AAAAAC6XTSg=")</f>
        <v>#REF!</v>
      </c>
      <c r="AP55" t="e">
        <f>AND(NhatkyNhap!#REF!,"AAAAAC6XTSk=")</f>
        <v>#REF!</v>
      </c>
      <c r="AQ55" t="e">
        <f>AND(NhatkyNhap!#REF!,"AAAAAC6XTSo=")</f>
        <v>#REF!</v>
      </c>
      <c r="AR55" t="e">
        <f>AND(NhatkyNhap!#REF!,"AAAAAC6XTSs=")</f>
        <v>#REF!</v>
      </c>
      <c r="AS55" t="e">
        <f>AND(NhatkyNhap!#REF!,"AAAAAC6XTSw=")</f>
        <v>#REF!</v>
      </c>
      <c r="AT55" t="e">
        <f>AND(NhatkyNhap!#REF!,"AAAAAC6XTS0=")</f>
        <v>#REF!</v>
      </c>
      <c r="AU55" t="e">
        <f>AND(NhatkyNhap!#REF!,"AAAAAC6XTS4=")</f>
        <v>#REF!</v>
      </c>
      <c r="AV55" t="e">
        <f>AND(NhatkyNhap!#REF!,"AAAAAC6XTS8=")</f>
        <v>#REF!</v>
      </c>
      <c r="AW55" t="e">
        <f>AND(NhatkyNhap!#REF!,"AAAAAC6XTTA=")</f>
        <v>#REF!</v>
      </c>
      <c r="AX55" t="e">
        <f>AND(NhatkyNhap!#REF!,"AAAAAC6XTTE=")</f>
        <v>#REF!</v>
      </c>
      <c r="AY55" t="e">
        <f>AND(NhatkyNhap!#REF!,"AAAAAC6XTTI=")</f>
        <v>#REF!</v>
      </c>
      <c r="AZ55" t="e">
        <f>AND(NhatkyNhap!#REF!,"AAAAAC6XTTM=")</f>
        <v>#REF!</v>
      </c>
      <c r="BA55" t="e">
        <f>AND(NhatkyNhap!#REF!,"AAAAAC6XTTQ=")</f>
        <v>#REF!</v>
      </c>
      <c r="BB55" t="e">
        <f>IF(NhatkyNhap!#REF!,"AAAAAC6XTTU=",0)</f>
        <v>#REF!</v>
      </c>
      <c r="BC55" t="e">
        <f>AND(NhatkyNhap!#REF!,"AAAAAC6XTTY=")</f>
        <v>#REF!</v>
      </c>
      <c r="BD55" t="e">
        <f>AND(NhatkyNhap!#REF!,"AAAAAC6XTTc=")</f>
        <v>#REF!</v>
      </c>
      <c r="BE55" t="e">
        <f>AND(NhatkyNhap!#REF!,"AAAAAC6XTTg=")</f>
        <v>#REF!</v>
      </c>
      <c r="BF55" t="e">
        <f>AND(NhatkyNhap!#REF!,"AAAAAC6XTTk=")</f>
        <v>#REF!</v>
      </c>
      <c r="BG55" t="e">
        <f>AND(NhatkyNhap!#REF!,"AAAAAC6XTTo=")</f>
        <v>#REF!</v>
      </c>
      <c r="BH55" t="e">
        <f>AND(NhatkyNhap!#REF!,"AAAAAC6XTTs=")</f>
        <v>#REF!</v>
      </c>
      <c r="BI55" t="e">
        <f>AND(NhatkyNhap!#REF!,"AAAAAC6XTTw=")</f>
        <v>#REF!</v>
      </c>
      <c r="BJ55" t="e">
        <f>AND(NhatkyNhap!#REF!,"AAAAAC6XTT0=")</f>
        <v>#REF!</v>
      </c>
      <c r="BK55" t="e">
        <f>AND(NhatkyNhap!#REF!,"AAAAAC6XTT4=")</f>
        <v>#REF!</v>
      </c>
      <c r="BL55" t="e">
        <f>AND(NhatkyNhap!#REF!,"AAAAAC6XTT8=")</f>
        <v>#REF!</v>
      </c>
      <c r="BM55" t="e">
        <f>AND(NhatkyNhap!#REF!,"AAAAAC6XTUA=")</f>
        <v>#REF!</v>
      </c>
      <c r="BN55" t="e">
        <f>AND(NhatkyNhap!#REF!,"AAAAAC6XTUE=")</f>
        <v>#REF!</v>
      </c>
      <c r="BO55" t="e">
        <f>AND(NhatkyNhap!#REF!,"AAAAAC6XTUI=")</f>
        <v>#REF!</v>
      </c>
      <c r="BP55" t="e">
        <f>AND(NhatkyNhap!#REF!,"AAAAAC6XTUM=")</f>
        <v>#REF!</v>
      </c>
      <c r="BQ55" t="e">
        <f>AND(NhatkyNhap!#REF!,"AAAAAC6XTUQ=")</f>
        <v>#REF!</v>
      </c>
      <c r="BR55" t="e">
        <f>AND(NhatkyNhap!#REF!,"AAAAAC6XTUU=")</f>
        <v>#REF!</v>
      </c>
      <c r="BS55" t="e">
        <f>AND(NhatkyNhap!#REF!,"AAAAAC6XTUY=")</f>
        <v>#REF!</v>
      </c>
      <c r="BT55" t="e">
        <f>AND(NhatkyNhap!#REF!,"AAAAAC6XTUc=")</f>
        <v>#REF!</v>
      </c>
      <c r="BU55" t="e">
        <f>AND(NhatkyNhap!#REF!,"AAAAAC6XTUg=")</f>
        <v>#REF!</v>
      </c>
      <c r="BV55" t="e">
        <f>AND(NhatkyNhap!#REF!,"AAAAAC6XTUk=")</f>
        <v>#REF!</v>
      </c>
      <c r="BW55" t="e">
        <f>AND(NhatkyNhap!#REF!,"AAAAAC6XTUo=")</f>
        <v>#REF!</v>
      </c>
      <c r="BX55" t="e">
        <f>AND(NhatkyNhap!#REF!,"AAAAAC6XTUs=")</f>
        <v>#REF!</v>
      </c>
      <c r="BY55" t="e">
        <f>AND(NhatkyNhap!#REF!,"AAAAAC6XTUw=")</f>
        <v>#REF!</v>
      </c>
      <c r="BZ55" t="e">
        <f>AND(NhatkyNhap!#REF!,"AAAAAC6XTU0=")</f>
        <v>#REF!</v>
      </c>
      <c r="CA55" t="e">
        <f>AND(NhatkyNhap!#REF!,"AAAAAC6XTU4=")</f>
        <v>#REF!</v>
      </c>
      <c r="CB55" t="e">
        <f>AND(NhatkyNhap!#REF!,"AAAAAC6XTU8=")</f>
        <v>#REF!</v>
      </c>
      <c r="CC55" t="e">
        <f>AND(NhatkyNhap!#REF!,"AAAAAC6XTVA=")</f>
        <v>#REF!</v>
      </c>
      <c r="CD55" t="e">
        <f>AND(NhatkyNhap!#REF!,"AAAAAC6XTVE=")</f>
        <v>#REF!</v>
      </c>
      <c r="CE55" t="e">
        <f>AND(NhatkyNhap!#REF!,"AAAAAC6XTVI=")</f>
        <v>#REF!</v>
      </c>
      <c r="CF55" t="e">
        <f>AND(NhatkyNhap!#REF!,"AAAAAC6XTVM=")</f>
        <v>#REF!</v>
      </c>
      <c r="CG55" t="e">
        <f>AND(NhatkyNhap!#REF!,"AAAAAC6XTVQ=")</f>
        <v>#REF!</v>
      </c>
      <c r="CH55" t="e">
        <f>AND(NhatkyNhap!#REF!,"AAAAAC6XTVU=")</f>
        <v>#REF!</v>
      </c>
      <c r="CI55" t="e">
        <f>AND(NhatkyNhap!#REF!,"AAAAAC6XTVY=")</f>
        <v>#REF!</v>
      </c>
      <c r="CJ55" t="e">
        <f>AND(NhatkyNhap!#REF!,"AAAAAC6XTVc=")</f>
        <v>#REF!</v>
      </c>
      <c r="CK55" t="e">
        <f>IF(NhatkyNhap!#REF!,"AAAAAC6XTVg=",0)</f>
        <v>#REF!</v>
      </c>
      <c r="CL55" t="e">
        <f>AND(NhatkyNhap!#REF!,"AAAAAC6XTVk=")</f>
        <v>#REF!</v>
      </c>
      <c r="CM55" t="e">
        <f>AND(NhatkyNhap!#REF!,"AAAAAC6XTVo=")</f>
        <v>#REF!</v>
      </c>
      <c r="CN55" t="e">
        <f>AND(NhatkyNhap!#REF!,"AAAAAC6XTVs=")</f>
        <v>#REF!</v>
      </c>
      <c r="CO55" t="e">
        <f>AND(NhatkyNhap!#REF!,"AAAAAC6XTVw=")</f>
        <v>#REF!</v>
      </c>
      <c r="CP55" t="e">
        <f>AND(NhatkyNhap!#REF!,"AAAAAC6XTV0=")</f>
        <v>#REF!</v>
      </c>
      <c r="CQ55" t="e">
        <f>AND(NhatkyNhap!#REF!,"AAAAAC6XTV4=")</f>
        <v>#REF!</v>
      </c>
      <c r="CR55" t="e">
        <f>AND(NhatkyNhap!#REF!,"AAAAAC6XTV8=")</f>
        <v>#REF!</v>
      </c>
      <c r="CS55" t="e">
        <f>AND(NhatkyNhap!#REF!,"AAAAAC6XTWA=")</f>
        <v>#REF!</v>
      </c>
      <c r="CT55" t="e">
        <f>AND(NhatkyNhap!#REF!,"AAAAAC6XTWE=")</f>
        <v>#REF!</v>
      </c>
      <c r="CU55" t="e">
        <f>AND(NhatkyNhap!#REF!,"AAAAAC6XTWI=")</f>
        <v>#REF!</v>
      </c>
      <c r="CV55" t="e">
        <f>AND(NhatkyNhap!#REF!,"AAAAAC6XTWM=")</f>
        <v>#REF!</v>
      </c>
      <c r="CW55" t="e">
        <f>AND(NhatkyNhap!#REF!,"AAAAAC6XTWQ=")</f>
        <v>#REF!</v>
      </c>
      <c r="CX55" t="e">
        <f>AND(NhatkyNhap!#REF!,"AAAAAC6XTWU=")</f>
        <v>#REF!</v>
      </c>
      <c r="CY55" t="e">
        <f>AND(NhatkyNhap!#REF!,"AAAAAC6XTWY=")</f>
        <v>#REF!</v>
      </c>
      <c r="CZ55" t="e">
        <f>AND(NhatkyNhap!#REF!,"AAAAAC6XTWc=")</f>
        <v>#REF!</v>
      </c>
      <c r="DA55" t="e">
        <f>AND(NhatkyNhap!#REF!,"AAAAAC6XTWg=")</f>
        <v>#REF!</v>
      </c>
      <c r="DB55" t="e">
        <f>AND(NhatkyNhap!#REF!,"AAAAAC6XTWk=")</f>
        <v>#REF!</v>
      </c>
      <c r="DC55" t="e">
        <f>AND(NhatkyNhap!#REF!,"AAAAAC6XTWo=")</f>
        <v>#REF!</v>
      </c>
      <c r="DD55" t="e">
        <f>AND(NhatkyNhap!#REF!,"AAAAAC6XTWs=")</f>
        <v>#REF!</v>
      </c>
      <c r="DE55" t="e">
        <f>AND(NhatkyNhap!#REF!,"AAAAAC6XTWw=")</f>
        <v>#REF!</v>
      </c>
      <c r="DF55" t="e">
        <f>AND(NhatkyNhap!#REF!,"AAAAAC6XTW0=")</f>
        <v>#REF!</v>
      </c>
      <c r="DG55" t="e">
        <f>AND(NhatkyNhap!#REF!,"AAAAAC6XTW4=")</f>
        <v>#REF!</v>
      </c>
      <c r="DH55" t="e">
        <f>AND(NhatkyNhap!#REF!,"AAAAAC6XTW8=")</f>
        <v>#REF!</v>
      </c>
      <c r="DI55" t="e">
        <f>AND(NhatkyNhap!#REF!,"AAAAAC6XTXA=")</f>
        <v>#REF!</v>
      </c>
      <c r="DJ55" t="e">
        <f>AND(NhatkyNhap!#REF!,"AAAAAC6XTXE=")</f>
        <v>#REF!</v>
      </c>
      <c r="DK55" t="e">
        <f>AND(NhatkyNhap!#REF!,"AAAAAC6XTXI=")</f>
        <v>#REF!</v>
      </c>
      <c r="DL55" t="e">
        <f>AND(NhatkyNhap!#REF!,"AAAAAC6XTXM=")</f>
        <v>#REF!</v>
      </c>
      <c r="DM55" t="e">
        <f>AND(NhatkyNhap!#REF!,"AAAAAC6XTXQ=")</f>
        <v>#REF!</v>
      </c>
      <c r="DN55" t="e">
        <f>AND(NhatkyNhap!#REF!,"AAAAAC6XTXU=")</f>
        <v>#REF!</v>
      </c>
      <c r="DO55" t="e">
        <f>AND(NhatkyNhap!#REF!,"AAAAAC6XTXY=")</f>
        <v>#REF!</v>
      </c>
      <c r="DP55" t="e">
        <f>AND(NhatkyNhap!#REF!,"AAAAAC6XTXc=")</f>
        <v>#REF!</v>
      </c>
      <c r="DQ55" t="e">
        <f>AND(NhatkyNhap!#REF!,"AAAAAC6XTXg=")</f>
        <v>#REF!</v>
      </c>
      <c r="DR55" t="e">
        <f>AND(NhatkyNhap!#REF!,"AAAAAC6XTXk=")</f>
        <v>#REF!</v>
      </c>
      <c r="DS55" t="e">
        <f>AND(NhatkyNhap!#REF!,"AAAAAC6XTXo=")</f>
        <v>#REF!</v>
      </c>
      <c r="DT55" t="e">
        <f>IF(NhatkyNhap!#REF!,"AAAAAC6XTXs=",0)</f>
        <v>#REF!</v>
      </c>
      <c r="DU55" t="e">
        <f>AND(NhatkyNhap!#REF!,"AAAAAC6XTXw=")</f>
        <v>#REF!</v>
      </c>
      <c r="DV55" t="e">
        <f>AND(NhatkyNhap!#REF!,"AAAAAC6XTX0=")</f>
        <v>#REF!</v>
      </c>
      <c r="DW55" t="e">
        <f>AND(NhatkyNhap!#REF!,"AAAAAC6XTX4=")</f>
        <v>#REF!</v>
      </c>
      <c r="DX55" t="e">
        <f>AND(NhatkyNhap!#REF!,"AAAAAC6XTX8=")</f>
        <v>#REF!</v>
      </c>
      <c r="DY55" t="e">
        <f>AND(NhatkyNhap!#REF!,"AAAAAC6XTYA=")</f>
        <v>#REF!</v>
      </c>
      <c r="DZ55" t="e">
        <f>AND(NhatkyNhap!#REF!,"AAAAAC6XTYE=")</f>
        <v>#REF!</v>
      </c>
      <c r="EA55" t="e">
        <f>AND(NhatkyNhap!#REF!,"AAAAAC6XTYI=")</f>
        <v>#REF!</v>
      </c>
      <c r="EB55" t="e">
        <f>AND(NhatkyNhap!#REF!,"AAAAAC6XTYM=")</f>
        <v>#REF!</v>
      </c>
      <c r="EC55" t="e">
        <f>AND(NhatkyNhap!#REF!,"AAAAAC6XTYQ=")</f>
        <v>#REF!</v>
      </c>
      <c r="ED55" t="e">
        <f>AND(NhatkyNhap!#REF!,"AAAAAC6XTYU=")</f>
        <v>#REF!</v>
      </c>
      <c r="EE55" t="e">
        <f>AND(NhatkyNhap!#REF!,"AAAAAC6XTYY=")</f>
        <v>#REF!</v>
      </c>
      <c r="EF55" t="e">
        <f>AND(NhatkyNhap!#REF!,"AAAAAC6XTYc=")</f>
        <v>#REF!</v>
      </c>
      <c r="EG55" t="e">
        <f>AND(NhatkyNhap!#REF!,"AAAAAC6XTYg=")</f>
        <v>#REF!</v>
      </c>
      <c r="EH55" t="e">
        <f>AND(NhatkyNhap!#REF!,"AAAAAC6XTYk=")</f>
        <v>#REF!</v>
      </c>
      <c r="EI55" t="e">
        <f>AND(NhatkyNhap!#REF!,"AAAAAC6XTYo=")</f>
        <v>#REF!</v>
      </c>
      <c r="EJ55" t="e">
        <f>AND(NhatkyNhap!#REF!,"AAAAAC6XTYs=")</f>
        <v>#REF!</v>
      </c>
      <c r="EK55" t="e">
        <f>AND(NhatkyNhap!#REF!,"AAAAAC6XTYw=")</f>
        <v>#REF!</v>
      </c>
      <c r="EL55" t="e">
        <f>AND(NhatkyNhap!#REF!,"AAAAAC6XTY0=")</f>
        <v>#REF!</v>
      </c>
      <c r="EM55" t="e">
        <f>AND(NhatkyNhap!#REF!,"AAAAAC6XTY4=")</f>
        <v>#REF!</v>
      </c>
      <c r="EN55" t="e">
        <f>AND(NhatkyNhap!#REF!,"AAAAAC6XTY8=")</f>
        <v>#REF!</v>
      </c>
      <c r="EO55" t="e">
        <f>AND(NhatkyNhap!#REF!,"AAAAAC6XTZA=")</f>
        <v>#REF!</v>
      </c>
      <c r="EP55" t="e">
        <f>AND(NhatkyNhap!#REF!,"AAAAAC6XTZE=")</f>
        <v>#REF!</v>
      </c>
      <c r="EQ55" t="e">
        <f>AND(NhatkyNhap!#REF!,"AAAAAC6XTZI=")</f>
        <v>#REF!</v>
      </c>
      <c r="ER55" t="e">
        <f>AND(NhatkyNhap!#REF!,"AAAAAC6XTZM=")</f>
        <v>#REF!</v>
      </c>
      <c r="ES55" t="e">
        <f>AND(NhatkyNhap!#REF!,"AAAAAC6XTZQ=")</f>
        <v>#REF!</v>
      </c>
      <c r="ET55" t="e">
        <f>AND(NhatkyNhap!#REF!,"AAAAAC6XTZU=")</f>
        <v>#REF!</v>
      </c>
      <c r="EU55" t="e">
        <f>AND(NhatkyNhap!#REF!,"AAAAAC6XTZY=")</f>
        <v>#REF!</v>
      </c>
      <c r="EV55" t="e">
        <f>AND(NhatkyNhap!#REF!,"AAAAAC6XTZc=")</f>
        <v>#REF!</v>
      </c>
      <c r="EW55" t="e">
        <f>AND(NhatkyNhap!#REF!,"AAAAAC6XTZg=")</f>
        <v>#REF!</v>
      </c>
      <c r="EX55" t="e">
        <f>AND(NhatkyNhap!#REF!,"AAAAAC6XTZk=")</f>
        <v>#REF!</v>
      </c>
      <c r="EY55" t="e">
        <f>AND(NhatkyNhap!#REF!,"AAAAAC6XTZo=")</f>
        <v>#REF!</v>
      </c>
      <c r="EZ55" t="e">
        <f>AND(NhatkyNhap!#REF!,"AAAAAC6XTZs=")</f>
        <v>#REF!</v>
      </c>
      <c r="FA55" t="e">
        <f>AND(NhatkyNhap!#REF!,"AAAAAC6XTZw=")</f>
        <v>#REF!</v>
      </c>
      <c r="FB55" t="e">
        <f>AND(NhatkyNhap!#REF!,"AAAAAC6XTZ0=")</f>
        <v>#REF!</v>
      </c>
      <c r="FC55" t="e">
        <f>IF(NhatkyNhap!#REF!,"AAAAAC6XTZ4=",0)</f>
        <v>#REF!</v>
      </c>
      <c r="FD55" t="e">
        <f>AND(NhatkyNhap!#REF!,"AAAAAC6XTZ8=")</f>
        <v>#REF!</v>
      </c>
      <c r="FE55" t="e">
        <f>AND(NhatkyNhap!#REF!,"AAAAAC6XTaA=")</f>
        <v>#REF!</v>
      </c>
      <c r="FF55" t="e">
        <f>AND(NhatkyNhap!#REF!,"AAAAAC6XTaE=")</f>
        <v>#REF!</v>
      </c>
      <c r="FG55" t="e">
        <f>AND(NhatkyNhap!#REF!,"AAAAAC6XTaI=")</f>
        <v>#REF!</v>
      </c>
      <c r="FH55" t="e">
        <f>AND(NhatkyNhap!#REF!,"AAAAAC6XTaM=")</f>
        <v>#REF!</v>
      </c>
      <c r="FI55" t="e">
        <f>AND(NhatkyNhap!#REF!,"AAAAAC6XTaQ=")</f>
        <v>#REF!</v>
      </c>
      <c r="FJ55" t="e">
        <f>AND(NhatkyNhap!#REF!,"AAAAAC6XTaU=")</f>
        <v>#REF!</v>
      </c>
      <c r="FK55" t="e">
        <f>AND(NhatkyNhap!#REF!,"AAAAAC6XTaY=")</f>
        <v>#REF!</v>
      </c>
      <c r="FL55" t="e">
        <f>AND(NhatkyNhap!#REF!,"AAAAAC6XTac=")</f>
        <v>#REF!</v>
      </c>
      <c r="FM55" t="e">
        <f>AND(NhatkyNhap!#REF!,"AAAAAC6XTag=")</f>
        <v>#REF!</v>
      </c>
      <c r="FN55" t="e">
        <f>AND(NhatkyNhap!#REF!,"AAAAAC6XTak=")</f>
        <v>#REF!</v>
      </c>
      <c r="FO55" t="e">
        <f>AND(NhatkyNhap!#REF!,"AAAAAC6XTao=")</f>
        <v>#REF!</v>
      </c>
      <c r="FP55" t="e">
        <f>AND(NhatkyNhap!#REF!,"AAAAAC6XTas=")</f>
        <v>#REF!</v>
      </c>
      <c r="FQ55" t="e">
        <f>AND(NhatkyNhap!#REF!,"AAAAAC6XTaw=")</f>
        <v>#REF!</v>
      </c>
      <c r="FR55" t="e">
        <f>AND(NhatkyNhap!#REF!,"AAAAAC6XTa0=")</f>
        <v>#REF!</v>
      </c>
      <c r="FS55" t="e">
        <f>AND(NhatkyNhap!#REF!,"AAAAAC6XTa4=")</f>
        <v>#REF!</v>
      </c>
      <c r="FT55" t="e">
        <f>AND(NhatkyNhap!#REF!,"AAAAAC6XTa8=")</f>
        <v>#REF!</v>
      </c>
      <c r="FU55" t="e">
        <f>AND(NhatkyNhap!#REF!,"AAAAAC6XTbA=")</f>
        <v>#REF!</v>
      </c>
      <c r="FV55" t="e">
        <f>AND(NhatkyNhap!#REF!,"AAAAAC6XTbE=")</f>
        <v>#REF!</v>
      </c>
      <c r="FW55" t="e">
        <f>AND(NhatkyNhap!#REF!,"AAAAAC6XTbI=")</f>
        <v>#REF!</v>
      </c>
      <c r="FX55" t="e">
        <f>AND(NhatkyNhap!#REF!,"AAAAAC6XTbM=")</f>
        <v>#REF!</v>
      </c>
      <c r="FY55" t="e">
        <f>AND(NhatkyNhap!#REF!,"AAAAAC6XTbQ=")</f>
        <v>#REF!</v>
      </c>
      <c r="FZ55" t="e">
        <f>AND(NhatkyNhap!#REF!,"AAAAAC6XTbU=")</f>
        <v>#REF!</v>
      </c>
      <c r="GA55" t="e">
        <f>AND(NhatkyNhap!#REF!,"AAAAAC6XTbY=")</f>
        <v>#REF!</v>
      </c>
      <c r="GB55" t="e">
        <f>AND(NhatkyNhap!#REF!,"AAAAAC6XTbc=")</f>
        <v>#REF!</v>
      </c>
      <c r="GC55" t="e">
        <f>AND(NhatkyNhap!#REF!,"AAAAAC6XTbg=")</f>
        <v>#REF!</v>
      </c>
      <c r="GD55" t="e">
        <f>AND(NhatkyNhap!#REF!,"AAAAAC6XTbk=")</f>
        <v>#REF!</v>
      </c>
      <c r="GE55" t="e">
        <f>AND(NhatkyNhap!#REF!,"AAAAAC6XTbo=")</f>
        <v>#REF!</v>
      </c>
      <c r="GF55" t="e">
        <f>AND(NhatkyNhap!#REF!,"AAAAAC6XTbs=")</f>
        <v>#REF!</v>
      </c>
      <c r="GG55" t="e">
        <f>AND(NhatkyNhap!#REF!,"AAAAAC6XTbw=")</f>
        <v>#REF!</v>
      </c>
      <c r="GH55" t="e">
        <f>AND(NhatkyNhap!#REF!,"AAAAAC6XTb0=")</f>
        <v>#REF!</v>
      </c>
      <c r="GI55" t="e">
        <f>AND(NhatkyNhap!#REF!,"AAAAAC6XTb4=")</f>
        <v>#REF!</v>
      </c>
      <c r="GJ55" t="e">
        <f>AND(NhatkyNhap!#REF!,"AAAAAC6XTb8=")</f>
        <v>#REF!</v>
      </c>
      <c r="GK55" t="e">
        <f>AND(NhatkyNhap!#REF!,"AAAAAC6XTcA=")</f>
        <v>#REF!</v>
      </c>
      <c r="GL55" t="e">
        <f>IF(NhatkyNhap!#REF!,"AAAAAC6XTcE=",0)</f>
        <v>#REF!</v>
      </c>
      <c r="GM55" t="e">
        <f>AND(NhatkyNhap!#REF!,"AAAAAC6XTcI=")</f>
        <v>#REF!</v>
      </c>
      <c r="GN55" t="e">
        <f>AND(NhatkyNhap!#REF!,"AAAAAC6XTcM=")</f>
        <v>#REF!</v>
      </c>
      <c r="GO55" t="e">
        <f>AND(NhatkyNhap!#REF!,"AAAAAC6XTcQ=")</f>
        <v>#REF!</v>
      </c>
      <c r="GP55" t="e">
        <f>AND(NhatkyNhap!#REF!,"AAAAAC6XTcU=")</f>
        <v>#REF!</v>
      </c>
      <c r="GQ55" t="e">
        <f>AND(NhatkyNhap!#REF!,"AAAAAC6XTcY=")</f>
        <v>#REF!</v>
      </c>
      <c r="GR55" t="e">
        <f>AND(NhatkyNhap!#REF!,"AAAAAC6XTcc=")</f>
        <v>#REF!</v>
      </c>
      <c r="GS55" t="e">
        <f>AND(NhatkyNhap!#REF!,"AAAAAC6XTcg=")</f>
        <v>#REF!</v>
      </c>
      <c r="GT55" t="e">
        <f>AND(NhatkyNhap!#REF!,"AAAAAC6XTck=")</f>
        <v>#REF!</v>
      </c>
      <c r="GU55" t="e">
        <f>AND(NhatkyNhap!#REF!,"AAAAAC6XTco=")</f>
        <v>#REF!</v>
      </c>
      <c r="GV55" t="e">
        <f>AND(NhatkyNhap!#REF!,"AAAAAC6XTcs=")</f>
        <v>#REF!</v>
      </c>
      <c r="GW55" t="e">
        <f>AND(NhatkyNhap!#REF!,"AAAAAC6XTcw=")</f>
        <v>#REF!</v>
      </c>
      <c r="GX55" t="e">
        <f>AND(NhatkyNhap!#REF!,"AAAAAC6XTc0=")</f>
        <v>#REF!</v>
      </c>
      <c r="GY55" t="e">
        <f>AND(NhatkyNhap!#REF!,"AAAAAC6XTc4=")</f>
        <v>#REF!</v>
      </c>
      <c r="GZ55" t="e">
        <f>AND(NhatkyNhap!#REF!,"AAAAAC6XTc8=")</f>
        <v>#REF!</v>
      </c>
      <c r="HA55" t="e">
        <f>AND(NhatkyNhap!#REF!,"AAAAAC6XTdA=")</f>
        <v>#REF!</v>
      </c>
      <c r="HB55" t="e">
        <f>AND(NhatkyNhap!#REF!,"AAAAAC6XTdE=")</f>
        <v>#REF!</v>
      </c>
      <c r="HC55" t="e">
        <f>AND(NhatkyNhap!#REF!,"AAAAAC6XTdI=")</f>
        <v>#REF!</v>
      </c>
      <c r="HD55" t="e">
        <f>AND(NhatkyNhap!#REF!,"AAAAAC6XTdM=")</f>
        <v>#REF!</v>
      </c>
      <c r="HE55" t="e">
        <f>AND(NhatkyNhap!#REF!,"AAAAAC6XTdQ=")</f>
        <v>#REF!</v>
      </c>
      <c r="HF55" t="e">
        <f>AND(NhatkyNhap!#REF!,"AAAAAC6XTdU=")</f>
        <v>#REF!</v>
      </c>
      <c r="HG55" t="e">
        <f>AND(NhatkyNhap!#REF!,"AAAAAC6XTdY=")</f>
        <v>#REF!</v>
      </c>
      <c r="HH55" t="e">
        <f>AND(NhatkyNhap!#REF!,"AAAAAC6XTdc=")</f>
        <v>#REF!</v>
      </c>
      <c r="HI55" t="e">
        <f>AND(NhatkyNhap!#REF!,"AAAAAC6XTdg=")</f>
        <v>#REF!</v>
      </c>
      <c r="HJ55" t="e">
        <f>AND(NhatkyNhap!#REF!,"AAAAAC6XTdk=")</f>
        <v>#REF!</v>
      </c>
      <c r="HK55" t="e">
        <f>AND(NhatkyNhap!#REF!,"AAAAAC6XTdo=")</f>
        <v>#REF!</v>
      </c>
      <c r="HL55" t="e">
        <f>AND(NhatkyNhap!#REF!,"AAAAAC6XTds=")</f>
        <v>#REF!</v>
      </c>
      <c r="HM55" t="e">
        <f>AND(NhatkyNhap!#REF!,"AAAAAC6XTdw=")</f>
        <v>#REF!</v>
      </c>
      <c r="HN55" t="e">
        <f>AND(NhatkyNhap!#REF!,"AAAAAC6XTd0=")</f>
        <v>#REF!</v>
      </c>
      <c r="HO55" t="e">
        <f>AND(NhatkyNhap!#REF!,"AAAAAC6XTd4=")</f>
        <v>#REF!</v>
      </c>
      <c r="HP55" t="e">
        <f>AND(NhatkyNhap!#REF!,"AAAAAC6XTd8=")</f>
        <v>#REF!</v>
      </c>
      <c r="HQ55" t="e">
        <f>AND(NhatkyNhap!#REF!,"AAAAAC6XTeA=")</f>
        <v>#REF!</v>
      </c>
      <c r="HR55" t="e">
        <f>AND(NhatkyNhap!#REF!,"AAAAAC6XTeE=")</f>
        <v>#REF!</v>
      </c>
      <c r="HS55" t="e">
        <f>AND(NhatkyNhap!#REF!,"AAAAAC6XTeI=")</f>
        <v>#REF!</v>
      </c>
      <c r="HT55" t="e">
        <f>AND(NhatkyNhap!#REF!,"AAAAAC6XTeM=")</f>
        <v>#REF!</v>
      </c>
      <c r="HU55" t="e">
        <f>IF(NhatkyNhap!#REF!,"AAAAAC6XTeQ=",0)</f>
        <v>#REF!</v>
      </c>
      <c r="HV55" t="e">
        <f>AND(NhatkyNhap!#REF!,"AAAAAC6XTeU=")</f>
        <v>#REF!</v>
      </c>
      <c r="HW55" t="e">
        <f>AND(NhatkyNhap!#REF!,"AAAAAC6XTeY=")</f>
        <v>#REF!</v>
      </c>
      <c r="HX55" t="e">
        <f>AND(NhatkyNhap!#REF!,"AAAAAC6XTec=")</f>
        <v>#REF!</v>
      </c>
      <c r="HY55" t="e">
        <f>AND(NhatkyNhap!#REF!,"AAAAAC6XTeg=")</f>
        <v>#REF!</v>
      </c>
      <c r="HZ55" t="e">
        <f>AND(NhatkyNhap!#REF!,"AAAAAC6XTek=")</f>
        <v>#REF!</v>
      </c>
      <c r="IA55" t="e">
        <f>AND(NhatkyNhap!#REF!,"AAAAAC6XTeo=")</f>
        <v>#REF!</v>
      </c>
      <c r="IB55" t="e">
        <f>AND(NhatkyNhap!#REF!,"AAAAAC6XTes=")</f>
        <v>#REF!</v>
      </c>
      <c r="IC55" t="e">
        <f>AND(NhatkyNhap!#REF!,"AAAAAC6XTew=")</f>
        <v>#REF!</v>
      </c>
      <c r="ID55" t="e">
        <f>AND(NhatkyNhap!#REF!,"AAAAAC6XTe0=")</f>
        <v>#REF!</v>
      </c>
      <c r="IE55" t="e">
        <f>AND(NhatkyNhap!#REF!,"AAAAAC6XTe4=")</f>
        <v>#REF!</v>
      </c>
      <c r="IF55" t="e">
        <f>AND(NhatkyNhap!#REF!,"AAAAAC6XTe8=")</f>
        <v>#REF!</v>
      </c>
      <c r="IG55" t="e">
        <f>AND(NhatkyNhap!#REF!,"AAAAAC6XTfA=")</f>
        <v>#REF!</v>
      </c>
      <c r="IH55" t="e">
        <f>AND(NhatkyNhap!#REF!,"AAAAAC6XTfE=")</f>
        <v>#REF!</v>
      </c>
      <c r="II55" t="e">
        <f>AND(NhatkyNhap!#REF!,"AAAAAC6XTfI=")</f>
        <v>#REF!</v>
      </c>
      <c r="IJ55" t="e">
        <f>AND(NhatkyNhap!#REF!,"AAAAAC6XTfM=")</f>
        <v>#REF!</v>
      </c>
      <c r="IK55" t="e">
        <f>AND(NhatkyNhap!#REF!,"AAAAAC6XTfQ=")</f>
        <v>#REF!</v>
      </c>
      <c r="IL55" t="e">
        <f>AND(NhatkyNhap!#REF!,"AAAAAC6XTfU=")</f>
        <v>#REF!</v>
      </c>
      <c r="IM55" t="e">
        <f>AND(NhatkyNhap!#REF!,"AAAAAC6XTfY=")</f>
        <v>#REF!</v>
      </c>
      <c r="IN55" t="e">
        <f>AND(NhatkyNhap!#REF!,"AAAAAC6XTfc=")</f>
        <v>#REF!</v>
      </c>
      <c r="IO55" t="e">
        <f>AND(NhatkyNhap!#REF!,"AAAAAC6XTfg=")</f>
        <v>#REF!</v>
      </c>
      <c r="IP55" t="e">
        <f>AND(NhatkyNhap!#REF!,"AAAAAC6XTfk=")</f>
        <v>#REF!</v>
      </c>
      <c r="IQ55" t="e">
        <f>AND(NhatkyNhap!#REF!,"AAAAAC6XTfo=")</f>
        <v>#REF!</v>
      </c>
      <c r="IR55" t="e">
        <f>AND(NhatkyNhap!#REF!,"AAAAAC6XTfs=")</f>
        <v>#REF!</v>
      </c>
      <c r="IS55" t="e">
        <f>AND(NhatkyNhap!#REF!,"AAAAAC6XTfw=")</f>
        <v>#REF!</v>
      </c>
      <c r="IT55" t="e">
        <f>AND(NhatkyNhap!#REF!,"AAAAAC6XTf0=")</f>
        <v>#REF!</v>
      </c>
      <c r="IU55" t="e">
        <f>AND(NhatkyNhap!#REF!,"AAAAAC6XTf4=")</f>
        <v>#REF!</v>
      </c>
      <c r="IV55" t="e">
        <f>AND(NhatkyNhap!#REF!,"AAAAAC6XTf8=")</f>
        <v>#REF!</v>
      </c>
    </row>
    <row r="56" spans="1:256">
      <c r="A56" t="e">
        <f>AND(NhatkyNhap!#REF!,"AAAAAHf9vwA=")</f>
        <v>#REF!</v>
      </c>
      <c r="B56" t="e">
        <f>AND(NhatkyNhap!#REF!,"AAAAAHf9vwE=")</f>
        <v>#REF!</v>
      </c>
      <c r="C56" t="e">
        <f>AND(NhatkyNhap!#REF!,"AAAAAHf9vwI=")</f>
        <v>#REF!</v>
      </c>
      <c r="D56" t="e">
        <f>AND(NhatkyNhap!#REF!,"AAAAAHf9vwM=")</f>
        <v>#REF!</v>
      </c>
      <c r="E56" t="e">
        <f>AND(NhatkyNhap!#REF!,"AAAAAHf9vwQ=")</f>
        <v>#REF!</v>
      </c>
      <c r="F56" t="e">
        <f>AND(NhatkyNhap!#REF!,"AAAAAHf9vwU=")</f>
        <v>#REF!</v>
      </c>
      <c r="G56" t="e">
        <f>AND(NhatkyNhap!#REF!,"AAAAAHf9vwY=")</f>
        <v>#REF!</v>
      </c>
      <c r="H56" t="e">
        <f>IF(NhatkyNhap!#REF!,"AAAAAHf9vwc=",0)</f>
        <v>#REF!</v>
      </c>
      <c r="I56" t="e">
        <f>AND(NhatkyNhap!#REF!,"AAAAAHf9vwg=")</f>
        <v>#REF!</v>
      </c>
      <c r="J56" t="e">
        <f>AND(NhatkyNhap!#REF!,"AAAAAHf9vwk=")</f>
        <v>#REF!</v>
      </c>
      <c r="K56" t="e">
        <f>AND(NhatkyNhap!#REF!,"AAAAAHf9vwo=")</f>
        <v>#REF!</v>
      </c>
      <c r="L56" t="e">
        <f>AND(NhatkyNhap!#REF!,"AAAAAHf9vws=")</f>
        <v>#REF!</v>
      </c>
      <c r="M56" t="e">
        <f>AND(NhatkyNhap!#REF!,"AAAAAHf9vww=")</f>
        <v>#REF!</v>
      </c>
      <c r="N56" t="e">
        <f>AND(NhatkyNhap!#REF!,"AAAAAHf9vw0=")</f>
        <v>#REF!</v>
      </c>
      <c r="O56" t="e">
        <f>AND(NhatkyNhap!#REF!,"AAAAAHf9vw4=")</f>
        <v>#REF!</v>
      </c>
      <c r="P56" t="e">
        <f>AND(NhatkyNhap!#REF!,"AAAAAHf9vw8=")</f>
        <v>#REF!</v>
      </c>
      <c r="Q56" t="e">
        <f>AND(NhatkyNhap!#REF!,"AAAAAHf9vxA=")</f>
        <v>#REF!</v>
      </c>
      <c r="R56" t="e">
        <f>AND(NhatkyNhap!#REF!,"AAAAAHf9vxE=")</f>
        <v>#REF!</v>
      </c>
      <c r="S56" t="e">
        <f>AND(NhatkyNhap!#REF!,"AAAAAHf9vxI=")</f>
        <v>#REF!</v>
      </c>
      <c r="T56" t="e">
        <f>AND(NhatkyNhap!#REF!,"AAAAAHf9vxM=")</f>
        <v>#REF!</v>
      </c>
      <c r="U56" t="e">
        <f>AND(NhatkyNhap!#REF!,"AAAAAHf9vxQ=")</f>
        <v>#REF!</v>
      </c>
      <c r="V56" t="e">
        <f>AND(NhatkyNhap!#REF!,"AAAAAHf9vxU=")</f>
        <v>#REF!</v>
      </c>
      <c r="W56" t="e">
        <f>AND(NhatkyNhap!#REF!,"AAAAAHf9vxY=")</f>
        <v>#REF!</v>
      </c>
      <c r="X56" t="e">
        <f>AND(NhatkyNhap!#REF!,"AAAAAHf9vxc=")</f>
        <v>#REF!</v>
      </c>
      <c r="Y56" t="e">
        <f>AND(NhatkyNhap!#REF!,"AAAAAHf9vxg=")</f>
        <v>#REF!</v>
      </c>
      <c r="Z56" t="e">
        <f>AND(NhatkyNhap!#REF!,"AAAAAHf9vxk=")</f>
        <v>#REF!</v>
      </c>
      <c r="AA56" t="e">
        <f>AND(NhatkyNhap!#REF!,"AAAAAHf9vxo=")</f>
        <v>#REF!</v>
      </c>
      <c r="AB56" t="e">
        <f>AND(NhatkyNhap!#REF!,"AAAAAHf9vxs=")</f>
        <v>#REF!</v>
      </c>
      <c r="AC56" t="e">
        <f>AND(NhatkyNhap!#REF!,"AAAAAHf9vxw=")</f>
        <v>#REF!</v>
      </c>
      <c r="AD56" t="e">
        <f>AND(NhatkyNhap!#REF!,"AAAAAHf9vx0=")</f>
        <v>#REF!</v>
      </c>
      <c r="AE56" t="e">
        <f>AND(NhatkyNhap!#REF!,"AAAAAHf9vx4=")</f>
        <v>#REF!</v>
      </c>
      <c r="AF56" t="e">
        <f>AND(NhatkyNhap!#REF!,"AAAAAHf9vx8=")</f>
        <v>#REF!</v>
      </c>
      <c r="AG56" t="e">
        <f>AND(NhatkyNhap!#REF!,"AAAAAHf9vyA=")</f>
        <v>#REF!</v>
      </c>
      <c r="AH56" t="e">
        <f>AND(NhatkyNhap!#REF!,"AAAAAHf9vyE=")</f>
        <v>#REF!</v>
      </c>
      <c r="AI56" t="e">
        <f>AND(NhatkyNhap!#REF!,"AAAAAHf9vyI=")</f>
        <v>#REF!</v>
      </c>
      <c r="AJ56" t="e">
        <f>AND(NhatkyNhap!#REF!,"AAAAAHf9vyM=")</f>
        <v>#REF!</v>
      </c>
      <c r="AK56" t="e">
        <f>AND(NhatkyNhap!#REF!,"AAAAAHf9vyQ=")</f>
        <v>#REF!</v>
      </c>
      <c r="AL56" t="e">
        <f>AND(NhatkyNhap!#REF!,"AAAAAHf9vyU=")</f>
        <v>#REF!</v>
      </c>
      <c r="AM56" t="e">
        <f>AND(NhatkyNhap!#REF!,"AAAAAHf9vyY=")</f>
        <v>#REF!</v>
      </c>
      <c r="AN56" t="e">
        <f>AND(NhatkyNhap!#REF!,"AAAAAHf9vyc=")</f>
        <v>#REF!</v>
      </c>
      <c r="AO56" t="e">
        <f>AND(NhatkyNhap!#REF!,"AAAAAHf9vyg=")</f>
        <v>#REF!</v>
      </c>
      <c r="AP56" t="e">
        <f>AND(NhatkyNhap!#REF!,"AAAAAHf9vyk=")</f>
        <v>#REF!</v>
      </c>
      <c r="AQ56" t="e">
        <f>IF(NhatkyNhap!#REF!,"AAAAAHf9vyo=",0)</f>
        <v>#REF!</v>
      </c>
      <c r="AR56" t="e">
        <f>AND(NhatkyNhap!#REF!,"AAAAAHf9vys=")</f>
        <v>#REF!</v>
      </c>
      <c r="AS56" t="e">
        <f>AND(NhatkyNhap!#REF!,"AAAAAHf9vyw=")</f>
        <v>#REF!</v>
      </c>
      <c r="AT56" t="e">
        <f>AND(NhatkyNhap!#REF!,"AAAAAHf9vy0=")</f>
        <v>#REF!</v>
      </c>
      <c r="AU56" t="e">
        <f>AND(NhatkyNhap!#REF!,"AAAAAHf9vy4=")</f>
        <v>#REF!</v>
      </c>
      <c r="AV56" t="e">
        <f>AND(NhatkyNhap!#REF!,"AAAAAHf9vy8=")</f>
        <v>#REF!</v>
      </c>
      <c r="AW56" t="e">
        <f>AND(NhatkyNhap!#REF!,"AAAAAHf9vzA=")</f>
        <v>#REF!</v>
      </c>
      <c r="AX56" t="e">
        <f>AND(NhatkyNhap!#REF!,"AAAAAHf9vzE=")</f>
        <v>#REF!</v>
      </c>
      <c r="AY56" t="e">
        <f>AND(NhatkyNhap!#REF!,"AAAAAHf9vzI=")</f>
        <v>#REF!</v>
      </c>
      <c r="AZ56" t="e">
        <f>AND(NhatkyNhap!#REF!,"AAAAAHf9vzM=")</f>
        <v>#REF!</v>
      </c>
      <c r="BA56" t="e">
        <f>AND(NhatkyNhap!#REF!,"AAAAAHf9vzQ=")</f>
        <v>#REF!</v>
      </c>
      <c r="BB56" t="e">
        <f>AND(NhatkyNhap!#REF!,"AAAAAHf9vzU=")</f>
        <v>#REF!</v>
      </c>
      <c r="BC56" t="e">
        <f>AND(NhatkyNhap!#REF!,"AAAAAHf9vzY=")</f>
        <v>#REF!</v>
      </c>
      <c r="BD56" t="e">
        <f>AND(NhatkyNhap!#REF!,"AAAAAHf9vzc=")</f>
        <v>#REF!</v>
      </c>
      <c r="BE56" t="e">
        <f>AND(NhatkyNhap!#REF!,"AAAAAHf9vzg=")</f>
        <v>#REF!</v>
      </c>
      <c r="BF56" t="e">
        <f>AND(NhatkyNhap!#REF!,"AAAAAHf9vzk=")</f>
        <v>#REF!</v>
      </c>
      <c r="BG56" t="e">
        <f>AND(NhatkyNhap!#REF!,"AAAAAHf9vzo=")</f>
        <v>#REF!</v>
      </c>
      <c r="BH56" t="e">
        <f>AND(NhatkyNhap!#REF!,"AAAAAHf9vzs=")</f>
        <v>#REF!</v>
      </c>
      <c r="BI56" t="e">
        <f>AND(NhatkyNhap!#REF!,"AAAAAHf9vzw=")</f>
        <v>#REF!</v>
      </c>
      <c r="BJ56" t="e">
        <f>AND(NhatkyNhap!#REF!,"AAAAAHf9vz0=")</f>
        <v>#REF!</v>
      </c>
      <c r="BK56" t="e">
        <f>AND(NhatkyNhap!#REF!,"AAAAAHf9vz4=")</f>
        <v>#REF!</v>
      </c>
      <c r="BL56" t="e">
        <f>AND(NhatkyNhap!#REF!,"AAAAAHf9vz8=")</f>
        <v>#REF!</v>
      </c>
      <c r="BM56" t="e">
        <f>AND(NhatkyNhap!#REF!,"AAAAAHf9v0A=")</f>
        <v>#REF!</v>
      </c>
      <c r="BN56" t="e">
        <f>AND(NhatkyNhap!#REF!,"AAAAAHf9v0E=")</f>
        <v>#REF!</v>
      </c>
      <c r="BO56" t="e">
        <f>AND(NhatkyNhap!#REF!,"AAAAAHf9v0I=")</f>
        <v>#REF!</v>
      </c>
      <c r="BP56" t="e">
        <f>AND(NhatkyNhap!#REF!,"AAAAAHf9v0M=")</f>
        <v>#REF!</v>
      </c>
      <c r="BQ56" t="e">
        <f>AND(NhatkyNhap!#REF!,"AAAAAHf9v0Q=")</f>
        <v>#REF!</v>
      </c>
      <c r="BR56" t="e">
        <f>AND(NhatkyNhap!#REF!,"AAAAAHf9v0U=")</f>
        <v>#REF!</v>
      </c>
      <c r="BS56" t="e">
        <f>AND(NhatkyNhap!#REF!,"AAAAAHf9v0Y=")</f>
        <v>#REF!</v>
      </c>
      <c r="BT56" t="e">
        <f>AND(NhatkyNhap!#REF!,"AAAAAHf9v0c=")</f>
        <v>#REF!</v>
      </c>
      <c r="BU56" t="e">
        <f>AND(NhatkyNhap!#REF!,"AAAAAHf9v0g=")</f>
        <v>#REF!</v>
      </c>
      <c r="BV56" t="e">
        <f>AND(NhatkyNhap!#REF!,"AAAAAHf9v0k=")</f>
        <v>#REF!</v>
      </c>
      <c r="BW56" t="e">
        <f>AND(NhatkyNhap!#REF!,"AAAAAHf9v0o=")</f>
        <v>#REF!</v>
      </c>
      <c r="BX56" t="e">
        <f>AND(NhatkyNhap!#REF!,"AAAAAHf9v0s=")</f>
        <v>#REF!</v>
      </c>
      <c r="BY56" t="e">
        <f>AND(NhatkyNhap!#REF!,"AAAAAHf9v0w=")</f>
        <v>#REF!</v>
      </c>
      <c r="BZ56" t="e">
        <f>IF(NhatkyNhap!#REF!,"AAAAAHf9v00=",0)</f>
        <v>#REF!</v>
      </c>
      <c r="CA56" t="e">
        <f>AND(NhatkyNhap!#REF!,"AAAAAHf9v04=")</f>
        <v>#REF!</v>
      </c>
      <c r="CB56" t="e">
        <f>AND(NhatkyNhap!#REF!,"AAAAAHf9v08=")</f>
        <v>#REF!</v>
      </c>
      <c r="CC56" t="e">
        <f>AND(NhatkyNhap!#REF!,"AAAAAHf9v1A=")</f>
        <v>#REF!</v>
      </c>
      <c r="CD56" t="e">
        <f>AND(NhatkyNhap!#REF!,"AAAAAHf9v1E=")</f>
        <v>#REF!</v>
      </c>
      <c r="CE56" t="e">
        <f>AND(NhatkyNhap!#REF!,"AAAAAHf9v1I=")</f>
        <v>#REF!</v>
      </c>
      <c r="CF56" t="e">
        <f>AND(NhatkyNhap!#REF!,"AAAAAHf9v1M=")</f>
        <v>#REF!</v>
      </c>
      <c r="CG56" t="e">
        <f>AND(NhatkyNhap!#REF!,"AAAAAHf9v1Q=")</f>
        <v>#REF!</v>
      </c>
      <c r="CH56" t="e">
        <f>AND(NhatkyNhap!#REF!,"AAAAAHf9v1U=")</f>
        <v>#REF!</v>
      </c>
      <c r="CI56" t="e">
        <f>AND(NhatkyNhap!#REF!,"AAAAAHf9v1Y=")</f>
        <v>#REF!</v>
      </c>
      <c r="CJ56" t="e">
        <f>AND(NhatkyNhap!#REF!,"AAAAAHf9v1c=")</f>
        <v>#REF!</v>
      </c>
      <c r="CK56" t="e">
        <f>AND(NhatkyNhap!#REF!,"AAAAAHf9v1g=")</f>
        <v>#REF!</v>
      </c>
      <c r="CL56" t="e">
        <f>AND(NhatkyNhap!#REF!,"AAAAAHf9v1k=")</f>
        <v>#REF!</v>
      </c>
      <c r="CM56" t="e">
        <f>AND(NhatkyNhap!#REF!,"AAAAAHf9v1o=")</f>
        <v>#REF!</v>
      </c>
      <c r="CN56" t="e">
        <f>AND(NhatkyNhap!#REF!,"AAAAAHf9v1s=")</f>
        <v>#REF!</v>
      </c>
      <c r="CO56" t="e">
        <f>AND(NhatkyNhap!#REF!,"AAAAAHf9v1w=")</f>
        <v>#REF!</v>
      </c>
      <c r="CP56" t="e">
        <f>AND(NhatkyNhap!#REF!,"AAAAAHf9v10=")</f>
        <v>#REF!</v>
      </c>
      <c r="CQ56" t="e">
        <f>AND(NhatkyNhap!#REF!,"AAAAAHf9v14=")</f>
        <v>#REF!</v>
      </c>
      <c r="CR56" t="e">
        <f>AND(NhatkyNhap!#REF!,"AAAAAHf9v18=")</f>
        <v>#REF!</v>
      </c>
      <c r="CS56" t="e">
        <f>AND(NhatkyNhap!#REF!,"AAAAAHf9v2A=")</f>
        <v>#REF!</v>
      </c>
      <c r="CT56" t="e">
        <f>AND(NhatkyNhap!#REF!,"AAAAAHf9v2E=")</f>
        <v>#REF!</v>
      </c>
      <c r="CU56" t="e">
        <f>AND(NhatkyNhap!#REF!,"AAAAAHf9v2I=")</f>
        <v>#REF!</v>
      </c>
      <c r="CV56" t="e">
        <f>AND(NhatkyNhap!#REF!,"AAAAAHf9v2M=")</f>
        <v>#REF!</v>
      </c>
      <c r="CW56" t="e">
        <f>AND(NhatkyNhap!#REF!,"AAAAAHf9v2Q=")</f>
        <v>#REF!</v>
      </c>
      <c r="CX56" t="e">
        <f>AND(NhatkyNhap!#REF!,"AAAAAHf9v2U=")</f>
        <v>#REF!</v>
      </c>
      <c r="CY56" t="e">
        <f>AND(NhatkyNhap!#REF!,"AAAAAHf9v2Y=")</f>
        <v>#REF!</v>
      </c>
      <c r="CZ56" t="e">
        <f>AND(NhatkyNhap!#REF!,"AAAAAHf9v2c=")</f>
        <v>#REF!</v>
      </c>
      <c r="DA56" t="e">
        <f>AND(NhatkyNhap!#REF!,"AAAAAHf9v2g=")</f>
        <v>#REF!</v>
      </c>
      <c r="DB56" t="e">
        <f>AND(NhatkyNhap!#REF!,"AAAAAHf9v2k=")</f>
        <v>#REF!</v>
      </c>
      <c r="DC56" t="e">
        <f>AND(NhatkyNhap!#REF!,"AAAAAHf9v2o=")</f>
        <v>#REF!</v>
      </c>
      <c r="DD56" t="e">
        <f>AND(NhatkyNhap!#REF!,"AAAAAHf9v2s=")</f>
        <v>#REF!</v>
      </c>
      <c r="DE56" t="e">
        <f>AND(NhatkyNhap!#REF!,"AAAAAHf9v2w=")</f>
        <v>#REF!</v>
      </c>
      <c r="DF56" t="e">
        <f>AND(NhatkyNhap!#REF!,"AAAAAHf9v20=")</f>
        <v>#REF!</v>
      </c>
      <c r="DG56" t="e">
        <f>AND(NhatkyNhap!#REF!,"AAAAAHf9v24=")</f>
        <v>#REF!</v>
      </c>
      <c r="DH56" t="e">
        <f>AND(NhatkyNhap!#REF!,"AAAAAHf9v28=")</f>
        <v>#REF!</v>
      </c>
      <c r="DI56" t="e">
        <f>IF(NhatkyNhap!#REF!,"AAAAAHf9v3A=",0)</f>
        <v>#REF!</v>
      </c>
      <c r="DJ56" t="e">
        <f>AND(NhatkyNhap!#REF!,"AAAAAHf9v3E=")</f>
        <v>#REF!</v>
      </c>
      <c r="DK56" t="e">
        <f>AND(NhatkyNhap!#REF!,"AAAAAHf9v3I=")</f>
        <v>#REF!</v>
      </c>
      <c r="DL56" t="e">
        <f>AND(NhatkyNhap!#REF!,"AAAAAHf9v3M=")</f>
        <v>#REF!</v>
      </c>
      <c r="DM56" t="e">
        <f>AND(NhatkyNhap!#REF!,"AAAAAHf9v3Q=")</f>
        <v>#REF!</v>
      </c>
      <c r="DN56" t="e">
        <f>AND(NhatkyNhap!#REF!,"AAAAAHf9v3U=")</f>
        <v>#REF!</v>
      </c>
      <c r="DO56" t="e">
        <f>AND(NhatkyNhap!#REF!,"AAAAAHf9v3Y=")</f>
        <v>#REF!</v>
      </c>
      <c r="DP56" t="e">
        <f>AND(NhatkyNhap!#REF!,"AAAAAHf9v3c=")</f>
        <v>#REF!</v>
      </c>
      <c r="DQ56" t="e">
        <f>AND(NhatkyNhap!#REF!,"AAAAAHf9v3g=")</f>
        <v>#REF!</v>
      </c>
      <c r="DR56" t="e">
        <f>AND(NhatkyNhap!#REF!,"AAAAAHf9v3k=")</f>
        <v>#REF!</v>
      </c>
      <c r="DS56" t="e">
        <f>AND(NhatkyNhap!#REF!,"AAAAAHf9v3o=")</f>
        <v>#REF!</v>
      </c>
      <c r="DT56" t="e">
        <f>AND(NhatkyNhap!#REF!,"AAAAAHf9v3s=")</f>
        <v>#REF!</v>
      </c>
      <c r="DU56" t="e">
        <f>AND(NhatkyNhap!#REF!,"AAAAAHf9v3w=")</f>
        <v>#REF!</v>
      </c>
      <c r="DV56" t="e">
        <f>AND(NhatkyNhap!#REF!,"AAAAAHf9v30=")</f>
        <v>#REF!</v>
      </c>
      <c r="DW56" t="e">
        <f>AND(NhatkyNhap!#REF!,"AAAAAHf9v34=")</f>
        <v>#REF!</v>
      </c>
      <c r="DX56" t="e">
        <f>AND(NhatkyNhap!#REF!,"AAAAAHf9v38=")</f>
        <v>#REF!</v>
      </c>
      <c r="DY56" t="e">
        <f>AND(NhatkyNhap!#REF!,"AAAAAHf9v4A=")</f>
        <v>#REF!</v>
      </c>
      <c r="DZ56" t="e">
        <f>AND(NhatkyNhap!#REF!,"AAAAAHf9v4E=")</f>
        <v>#REF!</v>
      </c>
      <c r="EA56" t="e">
        <f>AND(NhatkyNhap!#REF!,"AAAAAHf9v4I=")</f>
        <v>#REF!</v>
      </c>
      <c r="EB56" t="e">
        <f>AND(NhatkyNhap!#REF!,"AAAAAHf9v4M=")</f>
        <v>#REF!</v>
      </c>
      <c r="EC56" t="e">
        <f>AND(NhatkyNhap!#REF!,"AAAAAHf9v4Q=")</f>
        <v>#REF!</v>
      </c>
      <c r="ED56" t="e">
        <f>AND(NhatkyNhap!#REF!,"AAAAAHf9v4U=")</f>
        <v>#REF!</v>
      </c>
      <c r="EE56" t="e">
        <f>AND(NhatkyNhap!#REF!,"AAAAAHf9v4Y=")</f>
        <v>#REF!</v>
      </c>
      <c r="EF56" t="e">
        <f>AND(NhatkyNhap!#REF!,"AAAAAHf9v4c=")</f>
        <v>#REF!</v>
      </c>
      <c r="EG56" t="e">
        <f>AND(NhatkyNhap!#REF!,"AAAAAHf9v4g=")</f>
        <v>#REF!</v>
      </c>
      <c r="EH56" t="e">
        <f>AND(NhatkyNhap!#REF!,"AAAAAHf9v4k=")</f>
        <v>#REF!</v>
      </c>
      <c r="EI56" t="e">
        <f>AND(NhatkyNhap!#REF!,"AAAAAHf9v4o=")</f>
        <v>#REF!</v>
      </c>
      <c r="EJ56" t="e">
        <f>AND(NhatkyNhap!#REF!,"AAAAAHf9v4s=")</f>
        <v>#REF!</v>
      </c>
      <c r="EK56" t="e">
        <f>AND(NhatkyNhap!#REF!,"AAAAAHf9v4w=")</f>
        <v>#REF!</v>
      </c>
      <c r="EL56" t="e">
        <f>AND(NhatkyNhap!#REF!,"AAAAAHf9v40=")</f>
        <v>#REF!</v>
      </c>
      <c r="EM56" t="e">
        <f>AND(NhatkyNhap!#REF!,"AAAAAHf9v44=")</f>
        <v>#REF!</v>
      </c>
      <c r="EN56" t="e">
        <f>AND(NhatkyNhap!#REF!,"AAAAAHf9v48=")</f>
        <v>#REF!</v>
      </c>
      <c r="EO56" t="e">
        <f>AND(NhatkyNhap!#REF!,"AAAAAHf9v5A=")</f>
        <v>#REF!</v>
      </c>
      <c r="EP56" t="e">
        <f>AND(NhatkyNhap!#REF!,"AAAAAHf9v5E=")</f>
        <v>#REF!</v>
      </c>
      <c r="EQ56" t="e">
        <f>AND(NhatkyNhap!#REF!,"AAAAAHf9v5I=")</f>
        <v>#REF!</v>
      </c>
      <c r="ER56" t="e">
        <f>IF(NhatkyNhap!#REF!,"AAAAAHf9v5M=",0)</f>
        <v>#REF!</v>
      </c>
      <c r="ES56" t="e">
        <f>AND(NhatkyNhap!#REF!,"AAAAAHf9v5Q=")</f>
        <v>#REF!</v>
      </c>
      <c r="ET56" t="e">
        <f>AND(NhatkyNhap!#REF!,"AAAAAHf9v5U=")</f>
        <v>#REF!</v>
      </c>
      <c r="EU56" t="e">
        <f>AND(NhatkyNhap!#REF!,"AAAAAHf9v5Y=")</f>
        <v>#REF!</v>
      </c>
      <c r="EV56" t="e">
        <f>AND(NhatkyNhap!#REF!,"AAAAAHf9v5c=")</f>
        <v>#REF!</v>
      </c>
      <c r="EW56" t="e">
        <f>AND(NhatkyNhap!#REF!,"AAAAAHf9v5g=")</f>
        <v>#REF!</v>
      </c>
      <c r="EX56" t="e">
        <f>AND(NhatkyNhap!#REF!,"AAAAAHf9v5k=")</f>
        <v>#REF!</v>
      </c>
      <c r="EY56" t="e">
        <f>AND(NhatkyNhap!#REF!,"AAAAAHf9v5o=")</f>
        <v>#REF!</v>
      </c>
      <c r="EZ56" t="e">
        <f>AND(NhatkyNhap!#REF!,"AAAAAHf9v5s=")</f>
        <v>#REF!</v>
      </c>
      <c r="FA56" t="e">
        <f>AND(NhatkyNhap!#REF!,"AAAAAHf9v5w=")</f>
        <v>#REF!</v>
      </c>
      <c r="FB56" t="e">
        <f>AND(NhatkyNhap!#REF!,"AAAAAHf9v50=")</f>
        <v>#REF!</v>
      </c>
      <c r="FC56" t="e">
        <f>AND(NhatkyNhap!#REF!,"AAAAAHf9v54=")</f>
        <v>#REF!</v>
      </c>
      <c r="FD56" t="e">
        <f>AND(NhatkyNhap!#REF!,"AAAAAHf9v58=")</f>
        <v>#REF!</v>
      </c>
      <c r="FE56" t="e">
        <f>AND(NhatkyNhap!#REF!,"AAAAAHf9v6A=")</f>
        <v>#REF!</v>
      </c>
      <c r="FF56" t="e">
        <f>AND(NhatkyNhap!#REF!,"AAAAAHf9v6E=")</f>
        <v>#REF!</v>
      </c>
      <c r="FG56" t="e">
        <f>AND(NhatkyNhap!#REF!,"AAAAAHf9v6I=")</f>
        <v>#REF!</v>
      </c>
      <c r="FH56" t="e">
        <f>AND(NhatkyNhap!#REF!,"AAAAAHf9v6M=")</f>
        <v>#REF!</v>
      </c>
      <c r="FI56" t="e">
        <f>AND(NhatkyNhap!#REF!,"AAAAAHf9v6Q=")</f>
        <v>#REF!</v>
      </c>
      <c r="FJ56" t="e">
        <f>AND(NhatkyNhap!#REF!,"AAAAAHf9v6U=")</f>
        <v>#REF!</v>
      </c>
      <c r="FK56" t="e">
        <f>AND(NhatkyNhap!#REF!,"AAAAAHf9v6Y=")</f>
        <v>#REF!</v>
      </c>
      <c r="FL56" t="e">
        <f>AND(NhatkyNhap!#REF!,"AAAAAHf9v6c=")</f>
        <v>#REF!</v>
      </c>
      <c r="FM56" t="e">
        <f>AND(NhatkyNhap!#REF!,"AAAAAHf9v6g=")</f>
        <v>#REF!</v>
      </c>
      <c r="FN56" t="e">
        <f>AND(NhatkyNhap!#REF!,"AAAAAHf9v6k=")</f>
        <v>#REF!</v>
      </c>
      <c r="FO56" t="e">
        <f>AND(NhatkyNhap!#REF!,"AAAAAHf9v6o=")</f>
        <v>#REF!</v>
      </c>
      <c r="FP56" t="e">
        <f>AND(NhatkyNhap!#REF!,"AAAAAHf9v6s=")</f>
        <v>#REF!</v>
      </c>
      <c r="FQ56" t="e">
        <f>AND(NhatkyNhap!#REF!,"AAAAAHf9v6w=")</f>
        <v>#REF!</v>
      </c>
      <c r="FR56" t="e">
        <f>AND(NhatkyNhap!#REF!,"AAAAAHf9v60=")</f>
        <v>#REF!</v>
      </c>
      <c r="FS56" t="e">
        <f>AND(NhatkyNhap!#REF!,"AAAAAHf9v64=")</f>
        <v>#REF!</v>
      </c>
      <c r="FT56" t="e">
        <f>AND(NhatkyNhap!#REF!,"AAAAAHf9v68=")</f>
        <v>#REF!</v>
      </c>
      <c r="FU56" t="e">
        <f>AND(NhatkyNhap!#REF!,"AAAAAHf9v7A=")</f>
        <v>#REF!</v>
      </c>
      <c r="FV56" t="e">
        <f>AND(NhatkyNhap!#REF!,"AAAAAHf9v7E=")</f>
        <v>#REF!</v>
      </c>
      <c r="FW56" t="e">
        <f>AND(NhatkyNhap!#REF!,"AAAAAHf9v7I=")</f>
        <v>#REF!</v>
      </c>
      <c r="FX56" t="e">
        <f>AND(NhatkyNhap!#REF!,"AAAAAHf9v7M=")</f>
        <v>#REF!</v>
      </c>
      <c r="FY56" t="e">
        <f>AND(NhatkyNhap!#REF!,"AAAAAHf9v7Q=")</f>
        <v>#REF!</v>
      </c>
      <c r="FZ56" t="e">
        <f>AND(NhatkyNhap!#REF!,"AAAAAHf9v7U=")</f>
        <v>#REF!</v>
      </c>
      <c r="GA56" t="e">
        <f>IF(NhatkyNhap!#REF!,"AAAAAHf9v7Y=",0)</f>
        <v>#REF!</v>
      </c>
      <c r="GB56" t="e">
        <f>AND(NhatkyNhap!#REF!,"AAAAAHf9v7c=")</f>
        <v>#REF!</v>
      </c>
      <c r="GC56" t="e">
        <f>AND(NhatkyNhap!#REF!,"AAAAAHf9v7g=")</f>
        <v>#REF!</v>
      </c>
      <c r="GD56" t="e">
        <f>AND(NhatkyNhap!#REF!,"AAAAAHf9v7k=")</f>
        <v>#REF!</v>
      </c>
      <c r="GE56" t="e">
        <f>AND(NhatkyNhap!#REF!,"AAAAAHf9v7o=")</f>
        <v>#REF!</v>
      </c>
      <c r="GF56" t="e">
        <f>AND(NhatkyNhap!#REF!,"AAAAAHf9v7s=")</f>
        <v>#REF!</v>
      </c>
      <c r="GG56" t="e">
        <f>AND(NhatkyNhap!#REF!,"AAAAAHf9v7w=")</f>
        <v>#REF!</v>
      </c>
      <c r="GH56" t="e">
        <f>AND(NhatkyNhap!#REF!,"AAAAAHf9v70=")</f>
        <v>#REF!</v>
      </c>
      <c r="GI56" t="e">
        <f>AND(NhatkyNhap!#REF!,"AAAAAHf9v74=")</f>
        <v>#REF!</v>
      </c>
      <c r="GJ56" t="e">
        <f>AND(NhatkyNhap!#REF!,"AAAAAHf9v78=")</f>
        <v>#REF!</v>
      </c>
      <c r="GK56" t="e">
        <f>AND(NhatkyNhap!#REF!,"AAAAAHf9v8A=")</f>
        <v>#REF!</v>
      </c>
      <c r="GL56" t="e">
        <f>AND(NhatkyNhap!#REF!,"AAAAAHf9v8E=")</f>
        <v>#REF!</v>
      </c>
      <c r="GM56" t="e">
        <f>AND(NhatkyNhap!#REF!,"AAAAAHf9v8I=")</f>
        <v>#REF!</v>
      </c>
      <c r="GN56" t="e">
        <f>AND(NhatkyNhap!#REF!,"AAAAAHf9v8M=")</f>
        <v>#REF!</v>
      </c>
      <c r="GO56" t="e">
        <f>AND(NhatkyNhap!#REF!,"AAAAAHf9v8Q=")</f>
        <v>#REF!</v>
      </c>
      <c r="GP56" t="e">
        <f>AND(NhatkyNhap!#REF!,"AAAAAHf9v8U=")</f>
        <v>#REF!</v>
      </c>
      <c r="GQ56" t="e">
        <f>AND(NhatkyNhap!#REF!,"AAAAAHf9v8Y=")</f>
        <v>#REF!</v>
      </c>
      <c r="GR56" t="e">
        <f>AND(NhatkyNhap!#REF!,"AAAAAHf9v8c=")</f>
        <v>#REF!</v>
      </c>
      <c r="GS56" t="e">
        <f>AND(NhatkyNhap!#REF!,"AAAAAHf9v8g=")</f>
        <v>#REF!</v>
      </c>
      <c r="GT56" t="e">
        <f>AND(NhatkyNhap!#REF!,"AAAAAHf9v8k=")</f>
        <v>#REF!</v>
      </c>
      <c r="GU56" t="e">
        <f>AND(NhatkyNhap!#REF!,"AAAAAHf9v8o=")</f>
        <v>#REF!</v>
      </c>
      <c r="GV56" t="e">
        <f>AND(NhatkyNhap!#REF!,"AAAAAHf9v8s=")</f>
        <v>#REF!</v>
      </c>
      <c r="GW56" t="e">
        <f>AND(NhatkyNhap!#REF!,"AAAAAHf9v8w=")</f>
        <v>#REF!</v>
      </c>
      <c r="GX56" t="e">
        <f>AND(NhatkyNhap!#REF!,"AAAAAHf9v80=")</f>
        <v>#REF!</v>
      </c>
      <c r="GY56" t="e">
        <f>AND(NhatkyNhap!#REF!,"AAAAAHf9v84=")</f>
        <v>#REF!</v>
      </c>
      <c r="GZ56" t="e">
        <f>AND(NhatkyNhap!#REF!,"AAAAAHf9v88=")</f>
        <v>#REF!</v>
      </c>
      <c r="HA56" t="e">
        <f>AND(NhatkyNhap!#REF!,"AAAAAHf9v9A=")</f>
        <v>#REF!</v>
      </c>
      <c r="HB56" t="e">
        <f>AND(NhatkyNhap!#REF!,"AAAAAHf9v9E=")</f>
        <v>#REF!</v>
      </c>
      <c r="HC56" t="e">
        <f>AND(NhatkyNhap!#REF!,"AAAAAHf9v9I=")</f>
        <v>#REF!</v>
      </c>
      <c r="HD56" t="e">
        <f>AND(NhatkyNhap!#REF!,"AAAAAHf9v9M=")</f>
        <v>#REF!</v>
      </c>
      <c r="HE56" t="e">
        <f>AND(NhatkyNhap!#REF!,"AAAAAHf9v9Q=")</f>
        <v>#REF!</v>
      </c>
      <c r="HF56" t="e">
        <f>AND(NhatkyNhap!#REF!,"AAAAAHf9v9U=")</f>
        <v>#REF!</v>
      </c>
      <c r="HG56" t="e">
        <f>AND(NhatkyNhap!#REF!,"AAAAAHf9v9Y=")</f>
        <v>#REF!</v>
      </c>
      <c r="HH56" t="e">
        <f>AND(NhatkyNhap!#REF!,"AAAAAHf9v9c=")</f>
        <v>#REF!</v>
      </c>
      <c r="HI56" t="e">
        <f>AND(NhatkyNhap!#REF!,"AAAAAHf9v9g=")</f>
        <v>#REF!</v>
      </c>
      <c r="HJ56" t="e">
        <f>IF(NhatkyNhap!#REF!,"AAAAAHf9v9k=",0)</f>
        <v>#REF!</v>
      </c>
      <c r="HK56" t="e">
        <f>AND(NhatkyNhap!#REF!,"AAAAAHf9v9o=")</f>
        <v>#REF!</v>
      </c>
      <c r="HL56" t="e">
        <f>AND(NhatkyNhap!#REF!,"AAAAAHf9v9s=")</f>
        <v>#REF!</v>
      </c>
      <c r="HM56" t="e">
        <f>AND(NhatkyNhap!#REF!,"AAAAAHf9v9w=")</f>
        <v>#REF!</v>
      </c>
      <c r="HN56" t="e">
        <f>AND(NhatkyNhap!#REF!,"AAAAAHf9v90=")</f>
        <v>#REF!</v>
      </c>
      <c r="HO56" t="e">
        <f>AND(NhatkyNhap!#REF!,"AAAAAHf9v94=")</f>
        <v>#REF!</v>
      </c>
      <c r="HP56" t="e">
        <f>AND(NhatkyNhap!#REF!,"AAAAAHf9v98=")</f>
        <v>#REF!</v>
      </c>
      <c r="HQ56" t="e">
        <f>AND(NhatkyNhap!#REF!,"AAAAAHf9v+A=")</f>
        <v>#REF!</v>
      </c>
      <c r="HR56" t="e">
        <f>AND(NhatkyNhap!#REF!,"AAAAAHf9v+E=")</f>
        <v>#REF!</v>
      </c>
      <c r="HS56" t="e">
        <f>AND(NhatkyNhap!#REF!,"AAAAAHf9v+I=")</f>
        <v>#REF!</v>
      </c>
      <c r="HT56" t="e">
        <f>AND(NhatkyNhap!#REF!,"AAAAAHf9v+M=")</f>
        <v>#REF!</v>
      </c>
      <c r="HU56" t="e">
        <f>AND(NhatkyNhap!#REF!,"AAAAAHf9v+Q=")</f>
        <v>#REF!</v>
      </c>
      <c r="HV56" t="e">
        <f>AND(NhatkyNhap!#REF!,"AAAAAHf9v+U=")</f>
        <v>#REF!</v>
      </c>
      <c r="HW56" t="e">
        <f>AND(NhatkyNhap!#REF!,"AAAAAHf9v+Y=")</f>
        <v>#REF!</v>
      </c>
      <c r="HX56" t="e">
        <f>AND(NhatkyNhap!#REF!,"AAAAAHf9v+c=")</f>
        <v>#REF!</v>
      </c>
      <c r="HY56" t="e">
        <f>AND(NhatkyNhap!#REF!,"AAAAAHf9v+g=")</f>
        <v>#REF!</v>
      </c>
      <c r="HZ56" t="e">
        <f>AND(NhatkyNhap!#REF!,"AAAAAHf9v+k=")</f>
        <v>#REF!</v>
      </c>
      <c r="IA56" t="e">
        <f>AND(NhatkyNhap!#REF!,"AAAAAHf9v+o=")</f>
        <v>#REF!</v>
      </c>
      <c r="IB56" t="e">
        <f>AND(NhatkyNhap!#REF!,"AAAAAHf9v+s=")</f>
        <v>#REF!</v>
      </c>
      <c r="IC56" t="e">
        <f>AND(NhatkyNhap!#REF!,"AAAAAHf9v+w=")</f>
        <v>#REF!</v>
      </c>
      <c r="ID56" t="e">
        <f>AND(NhatkyNhap!#REF!,"AAAAAHf9v+0=")</f>
        <v>#REF!</v>
      </c>
      <c r="IE56" t="e">
        <f>AND(NhatkyNhap!#REF!,"AAAAAHf9v+4=")</f>
        <v>#REF!</v>
      </c>
      <c r="IF56" t="e">
        <f>AND(NhatkyNhap!#REF!,"AAAAAHf9v+8=")</f>
        <v>#REF!</v>
      </c>
      <c r="IG56" t="e">
        <f>AND(NhatkyNhap!#REF!,"AAAAAHf9v/A=")</f>
        <v>#REF!</v>
      </c>
      <c r="IH56" t="e">
        <f>AND(NhatkyNhap!#REF!,"AAAAAHf9v/E=")</f>
        <v>#REF!</v>
      </c>
      <c r="II56" t="e">
        <f>AND(NhatkyNhap!#REF!,"AAAAAHf9v/I=")</f>
        <v>#REF!</v>
      </c>
      <c r="IJ56" t="e">
        <f>AND(NhatkyNhap!#REF!,"AAAAAHf9v/M=")</f>
        <v>#REF!</v>
      </c>
      <c r="IK56" t="e">
        <f>AND(NhatkyNhap!#REF!,"AAAAAHf9v/Q=")</f>
        <v>#REF!</v>
      </c>
      <c r="IL56" t="e">
        <f>AND(NhatkyNhap!#REF!,"AAAAAHf9v/U=")</f>
        <v>#REF!</v>
      </c>
      <c r="IM56" t="e">
        <f>AND(NhatkyNhap!#REF!,"AAAAAHf9v/Y=")</f>
        <v>#REF!</v>
      </c>
      <c r="IN56" t="e">
        <f>AND(NhatkyNhap!#REF!,"AAAAAHf9v/c=")</f>
        <v>#REF!</v>
      </c>
      <c r="IO56" t="e">
        <f>AND(NhatkyNhap!#REF!,"AAAAAHf9v/g=")</f>
        <v>#REF!</v>
      </c>
      <c r="IP56" t="e">
        <f>AND(NhatkyNhap!#REF!,"AAAAAHf9v/k=")</f>
        <v>#REF!</v>
      </c>
      <c r="IQ56" t="e">
        <f>AND(NhatkyNhap!#REF!,"AAAAAHf9v/o=")</f>
        <v>#REF!</v>
      </c>
      <c r="IR56" t="e">
        <f>AND(NhatkyNhap!#REF!,"AAAAAHf9v/s=")</f>
        <v>#REF!</v>
      </c>
      <c r="IS56" t="e">
        <f>IF(NhatkyNhap!#REF!,"AAAAAHf9v/w=",0)</f>
        <v>#REF!</v>
      </c>
      <c r="IT56" t="e">
        <f>AND(NhatkyNhap!#REF!,"AAAAAHf9v/0=")</f>
        <v>#REF!</v>
      </c>
      <c r="IU56" t="e">
        <f>AND(NhatkyNhap!#REF!,"AAAAAHf9v/4=")</f>
        <v>#REF!</v>
      </c>
      <c r="IV56" t="e">
        <f>AND(NhatkyNhap!#REF!,"AAAAAHf9v/8=")</f>
        <v>#REF!</v>
      </c>
    </row>
    <row r="57" spans="1:256">
      <c r="A57" t="e">
        <f>AND(NhatkyNhap!#REF!,"AAAAAHvO9gA=")</f>
        <v>#REF!</v>
      </c>
      <c r="B57" t="e">
        <f>AND(NhatkyNhap!#REF!,"AAAAAHvO9gE=")</f>
        <v>#REF!</v>
      </c>
      <c r="C57" t="e">
        <f>AND(NhatkyNhap!#REF!,"AAAAAHvO9gI=")</f>
        <v>#REF!</v>
      </c>
      <c r="D57" t="e">
        <f>AND(NhatkyNhap!#REF!,"AAAAAHvO9gM=")</f>
        <v>#REF!</v>
      </c>
      <c r="E57" t="e">
        <f>AND(NhatkyNhap!#REF!,"AAAAAHvO9gQ=")</f>
        <v>#REF!</v>
      </c>
      <c r="F57" t="e">
        <f>AND(NhatkyNhap!#REF!,"AAAAAHvO9gU=")</f>
        <v>#REF!</v>
      </c>
      <c r="G57" t="e">
        <f>AND(NhatkyNhap!#REF!,"AAAAAHvO9gY=")</f>
        <v>#REF!</v>
      </c>
      <c r="H57" t="e">
        <f>AND(NhatkyNhap!#REF!,"AAAAAHvO9gc=")</f>
        <v>#REF!</v>
      </c>
      <c r="I57" t="e">
        <f>AND(NhatkyNhap!#REF!,"AAAAAHvO9gg=")</f>
        <v>#REF!</v>
      </c>
      <c r="J57" t="e">
        <f>AND(NhatkyNhap!#REF!,"AAAAAHvO9gk=")</f>
        <v>#REF!</v>
      </c>
      <c r="K57" t="e">
        <f>AND(NhatkyNhap!#REF!,"AAAAAHvO9go=")</f>
        <v>#REF!</v>
      </c>
      <c r="L57" t="e">
        <f>AND(NhatkyNhap!#REF!,"AAAAAHvO9gs=")</f>
        <v>#REF!</v>
      </c>
      <c r="M57" t="e">
        <f>AND(NhatkyNhap!#REF!,"AAAAAHvO9gw=")</f>
        <v>#REF!</v>
      </c>
      <c r="N57" t="e">
        <f>AND(NhatkyNhap!#REF!,"AAAAAHvO9g0=")</f>
        <v>#REF!</v>
      </c>
      <c r="O57" t="e">
        <f>AND(NhatkyNhap!#REF!,"AAAAAHvO9g4=")</f>
        <v>#REF!</v>
      </c>
      <c r="P57" t="e">
        <f>AND(NhatkyNhap!#REF!,"AAAAAHvO9g8=")</f>
        <v>#REF!</v>
      </c>
      <c r="Q57" t="e">
        <f>AND(NhatkyNhap!#REF!,"AAAAAHvO9hA=")</f>
        <v>#REF!</v>
      </c>
      <c r="R57" t="e">
        <f>AND(NhatkyNhap!#REF!,"AAAAAHvO9hE=")</f>
        <v>#REF!</v>
      </c>
      <c r="S57" t="e">
        <f>AND(NhatkyNhap!#REF!,"AAAAAHvO9hI=")</f>
        <v>#REF!</v>
      </c>
      <c r="T57" t="e">
        <f>AND(NhatkyNhap!#REF!,"AAAAAHvO9hM=")</f>
        <v>#REF!</v>
      </c>
      <c r="U57" t="e">
        <f>AND(NhatkyNhap!#REF!,"AAAAAHvO9hQ=")</f>
        <v>#REF!</v>
      </c>
      <c r="V57" t="e">
        <f>AND(NhatkyNhap!#REF!,"AAAAAHvO9hU=")</f>
        <v>#REF!</v>
      </c>
      <c r="W57" t="e">
        <f>AND(NhatkyNhap!#REF!,"AAAAAHvO9hY=")</f>
        <v>#REF!</v>
      </c>
      <c r="X57" t="e">
        <f>AND(NhatkyNhap!#REF!,"AAAAAHvO9hc=")</f>
        <v>#REF!</v>
      </c>
      <c r="Y57" t="e">
        <f>AND(NhatkyNhap!#REF!,"AAAAAHvO9hg=")</f>
        <v>#REF!</v>
      </c>
      <c r="Z57" t="e">
        <f>AND(NhatkyNhap!#REF!,"AAAAAHvO9hk=")</f>
        <v>#REF!</v>
      </c>
      <c r="AA57" t="e">
        <f>AND(NhatkyNhap!#REF!,"AAAAAHvO9ho=")</f>
        <v>#REF!</v>
      </c>
      <c r="AB57" t="e">
        <f>AND(NhatkyNhap!#REF!,"AAAAAHvO9hs=")</f>
        <v>#REF!</v>
      </c>
      <c r="AC57" t="e">
        <f>AND(NhatkyNhap!#REF!,"AAAAAHvO9hw=")</f>
        <v>#REF!</v>
      </c>
      <c r="AD57" t="e">
        <f>AND(NhatkyNhap!#REF!,"AAAAAHvO9h0=")</f>
        <v>#REF!</v>
      </c>
      <c r="AE57" t="e">
        <f>AND(NhatkyNhap!#REF!,"AAAAAHvO9h4=")</f>
        <v>#REF!</v>
      </c>
      <c r="AF57" t="e">
        <f>IF(NhatkyNhap!#REF!,"AAAAAHvO9h8=",0)</f>
        <v>#REF!</v>
      </c>
      <c r="AG57" t="e">
        <f>AND(NhatkyNhap!#REF!,"AAAAAHvO9iA=")</f>
        <v>#REF!</v>
      </c>
      <c r="AH57" t="e">
        <f>AND(NhatkyNhap!#REF!,"AAAAAHvO9iE=")</f>
        <v>#REF!</v>
      </c>
      <c r="AI57" t="e">
        <f>AND(NhatkyNhap!#REF!,"AAAAAHvO9iI=")</f>
        <v>#REF!</v>
      </c>
      <c r="AJ57" t="e">
        <f>AND(NhatkyNhap!#REF!,"AAAAAHvO9iM=")</f>
        <v>#REF!</v>
      </c>
      <c r="AK57" t="e">
        <f>AND(NhatkyNhap!#REF!,"AAAAAHvO9iQ=")</f>
        <v>#REF!</v>
      </c>
      <c r="AL57" t="e">
        <f>AND(NhatkyNhap!#REF!,"AAAAAHvO9iU=")</f>
        <v>#REF!</v>
      </c>
      <c r="AM57" t="e">
        <f>AND(NhatkyNhap!#REF!,"AAAAAHvO9iY=")</f>
        <v>#REF!</v>
      </c>
      <c r="AN57" t="e">
        <f>AND(NhatkyNhap!#REF!,"AAAAAHvO9ic=")</f>
        <v>#REF!</v>
      </c>
      <c r="AO57" t="e">
        <f>AND(NhatkyNhap!#REF!,"AAAAAHvO9ig=")</f>
        <v>#REF!</v>
      </c>
      <c r="AP57" t="e">
        <f>AND(NhatkyNhap!#REF!,"AAAAAHvO9ik=")</f>
        <v>#REF!</v>
      </c>
      <c r="AQ57" t="e">
        <f>AND(NhatkyNhap!#REF!,"AAAAAHvO9io=")</f>
        <v>#REF!</v>
      </c>
      <c r="AR57" t="e">
        <f>AND(NhatkyNhap!#REF!,"AAAAAHvO9is=")</f>
        <v>#REF!</v>
      </c>
      <c r="AS57" t="e">
        <f>AND(NhatkyNhap!#REF!,"AAAAAHvO9iw=")</f>
        <v>#REF!</v>
      </c>
      <c r="AT57" t="e">
        <f>AND(NhatkyNhap!#REF!,"AAAAAHvO9i0=")</f>
        <v>#REF!</v>
      </c>
      <c r="AU57" t="e">
        <f>AND(NhatkyNhap!#REF!,"AAAAAHvO9i4=")</f>
        <v>#REF!</v>
      </c>
      <c r="AV57" t="e">
        <f>AND(NhatkyNhap!#REF!,"AAAAAHvO9i8=")</f>
        <v>#REF!</v>
      </c>
      <c r="AW57" t="e">
        <f>AND(NhatkyNhap!#REF!,"AAAAAHvO9jA=")</f>
        <v>#REF!</v>
      </c>
      <c r="AX57" t="e">
        <f>AND(NhatkyNhap!#REF!,"AAAAAHvO9jE=")</f>
        <v>#REF!</v>
      </c>
      <c r="AY57" t="e">
        <f>AND(NhatkyNhap!#REF!,"AAAAAHvO9jI=")</f>
        <v>#REF!</v>
      </c>
      <c r="AZ57" t="e">
        <f>AND(NhatkyNhap!#REF!,"AAAAAHvO9jM=")</f>
        <v>#REF!</v>
      </c>
      <c r="BA57" t="e">
        <f>AND(NhatkyNhap!#REF!,"AAAAAHvO9jQ=")</f>
        <v>#REF!</v>
      </c>
      <c r="BB57" t="e">
        <f>AND(NhatkyNhap!#REF!,"AAAAAHvO9jU=")</f>
        <v>#REF!</v>
      </c>
      <c r="BC57" t="e">
        <f>AND(NhatkyNhap!#REF!,"AAAAAHvO9jY=")</f>
        <v>#REF!</v>
      </c>
      <c r="BD57" t="e">
        <f>AND(NhatkyNhap!#REF!,"AAAAAHvO9jc=")</f>
        <v>#REF!</v>
      </c>
      <c r="BE57" t="e">
        <f>AND(NhatkyNhap!#REF!,"AAAAAHvO9jg=")</f>
        <v>#REF!</v>
      </c>
      <c r="BF57" t="e">
        <f>AND(NhatkyNhap!#REF!,"AAAAAHvO9jk=")</f>
        <v>#REF!</v>
      </c>
      <c r="BG57" t="e">
        <f>AND(NhatkyNhap!#REF!,"AAAAAHvO9jo=")</f>
        <v>#REF!</v>
      </c>
      <c r="BH57" t="e">
        <f>AND(NhatkyNhap!#REF!,"AAAAAHvO9js=")</f>
        <v>#REF!</v>
      </c>
      <c r="BI57" t="e">
        <f>AND(NhatkyNhap!#REF!,"AAAAAHvO9jw=")</f>
        <v>#REF!</v>
      </c>
      <c r="BJ57" t="e">
        <f>AND(NhatkyNhap!#REF!,"AAAAAHvO9j0=")</f>
        <v>#REF!</v>
      </c>
      <c r="BK57" t="e">
        <f>AND(NhatkyNhap!#REF!,"AAAAAHvO9j4=")</f>
        <v>#REF!</v>
      </c>
      <c r="BL57" t="e">
        <f>AND(NhatkyNhap!#REF!,"AAAAAHvO9j8=")</f>
        <v>#REF!</v>
      </c>
      <c r="BM57" t="e">
        <f>AND(NhatkyNhap!#REF!,"AAAAAHvO9kA=")</f>
        <v>#REF!</v>
      </c>
      <c r="BN57" t="e">
        <f>AND(NhatkyNhap!#REF!,"AAAAAHvO9kE=")</f>
        <v>#REF!</v>
      </c>
      <c r="BO57" t="e">
        <f>IF(NhatkyNhap!#REF!,"AAAAAHvO9kI=",0)</f>
        <v>#REF!</v>
      </c>
      <c r="BP57" t="e">
        <f>AND(NhatkyNhap!#REF!,"AAAAAHvO9kM=")</f>
        <v>#REF!</v>
      </c>
      <c r="BQ57" t="e">
        <f>AND(NhatkyNhap!#REF!,"AAAAAHvO9kQ=")</f>
        <v>#REF!</v>
      </c>
      <c r="BR57" t="e">
        <f>AND(NhatkyNhap!#REF!,"AAAAAHvO9kU=")</f>
        <v>#REF!</v>
      </c>
      <c r="BS57" t="e">
        <f>AND(NhatkyNhap!#REF!,"AAAAAHvO9kY=")</f>
        <v>#REF!</v>
      </c>
      <c r="BT57" t="e">
        <f>AND(NhatkyNhap!#REF!,"AAAAAHvO9kc=")</f>
        <v>#REF!</v>
      </c>
      <c r="BU57" t="e">
        <f>AND(NhatkyNhap!#REF!,"AAAAAHvO9kg=")</f>
        <v>#REF!</v>
      </c>
      <c r="BV57" t="e">
        <f>AND(NhatkyNhap!#REF!,"AAAAAHvO9kk=")</f>
        <v>#REF!</v>
      </c>
      <c r="BW57" t="e">
        <f>AND(NhatkyNhap!#REF!,"AAAAAHvO9ko=")</f>
        <v>#REF!</v>
      </c>
      <c r="BX57" t="e">
        <f>AND(NhatkyNhap!#REF!,"AAAAAHvO9ks=")</f>
        <v>#REF!</v>
      </c>
      <c r="BY57" t="e">
        <f>AND(NhatkyNhap!#REF!,"AAAAAHvO9kw=")</f>
        <v>#REF!</v>
      </c>
      <c r="BZ57" t="e">
        <f>AND(NhatkyNhap!#REF!,"AAAAAHvO9k0=")</f>
        <v>#REF!</v>
      </c>
      <c r="CA57" t="e">
        <f>AND(NhatkyNhap!#REF!,"AAAAAHvO9k4=")</f>
        <v>#REF!</v>
      </c>
      <c r="CB57" t="e">
        <f>AND(NhatkyNhap!#REF!,"AAAAAHvO9k8=")</f>
        <v>#REF!</v>
      </c>
      <c r="CC57" t="e">
        <f>AND(NhatkyNhap!#REF!,"AAAAAHvO9lA=")</f>
        <v>#REF!</v>
      </c>
      <c r="CD57" t="e">
        <f>AND(NhatkyNhap!#REF!,"AAAAAHvO9lE=")</f>
        <v>#REF!</v>
      </c>
      <c r="CE57" t="e">
        <f>AND(NhatkyNhap!#REF!,"AAAAAHvO9lI=")</f>
        <v>#REF!</v>
      </c>
      <c r="CF57" t="e">
        <f>AND(NhatkyNhap!#REF!,"AAAAAHvO9lM=")</f>
        <v>#REF!</v>
      </c>
      <c r="CG57" t="e">
        <f>AND(NhatkyNhap!#REF!,"AAAAAHvO9lQ=")</f>
        <v>#REF!</v>
      </c>
      <c r="CH57" t="e">
        <f>AND(NhatkyNhap!#REF!,"AAAAAHvO9lU=")</f>
        <v>#REF!</v>
      </c>
      <c r="CI57" t="e">
        <f>AND(NhatkyNhap!#REF!,"AAAAAHvO9lY=")</f>
        <v>#REF!</v>
      </c>
      <c r="CJ57" t="e">
        <f>AND(NhatkyNhap!#REF!,"AAAAAHvO9lc=")</f>
        <v>#REF!</v>
      </c>
      <c r="CK57" t="e">
        <f>AND(NhatkyNhap!#REF!,"AAAAAHvO9lg=")</f>
        <v>#REF!</v>
      </c>
      <c r="CL57" t="e">
        <f>AND(NhatkyNhap!#REF!,"AAAAAHvO9lk=")</f>
        <v>#REF!</v>
      </c>
      <c r="CM57" t="e">
        <f>AND(NhatkyNhap!#REF!,"AAAAAHvO9lo=")</f>
        <v>#REF!</v>
      </c>
      <c r="CN57" t="e">
        <f>AND(NhatkyNhap!#REF!,"AAAAAHvO9ls=")</f>
        <v>#REF!</v>
      </c>
      <c r="CO57" t="e">
        <f>AND(NhatkyNhap!#REF!,"AAAAAHvO9lw=")</f>
        <v>#REF!</v>
      </c>
      <c r="CP57" t="e">
        <f>AND(NhatkyNhap!#REF!,"AAAAAHvO9l0=")</f>
        <v>#REF!</v>
      </c>
      <c r="CQ57" t="e">
        <f>AND(NhatkyNhap!#REF!,"AAAAAHvO9l4=")</f>
        <v>#REF!</v>
      </c>
      <c r="CR57" t="e">
        <f>AND(NhatkyNhap!#REF!,"AAAAAHvO9l8=")</f>
        <v>#REF!</v>
      </c>
      <c r="CS57" t="e">
        <f>AND(NhatkyNhap!#REF!,"AAAAAHvO9mA=")</f>
        <v>#REF!</v>
      </c>
      <c r="CT57" t="e">
        <f>AND(NhatkyNhap!#REF!,"AAAAAHvO9mE=")</f>
        <v>#REF!</v>
      </c>
      <c r="CU57" t="e">
        <f>AND(NhatkyNhap!#REF!,"AAAAAHvO9mI=")</f>
        <v>#REF!</v>
      </c>
      <c r="CV57" t="e">
        <f>AND(NhatkyNhap!#REF!,"AAAAAHvO9mM=")</f>
        <v>#REF!</v>
      </c>
      <c r="CW57" t="e">
        <f>AND(NhatkyNhap!#REF!,"AAAAAHvO9mQ=")</f>
        <v>#REF!</v>
      </c>
      <c r="CX57" t="e">
        <f>IF(NhatkyNhap!#REF!,"AAAAAHvO9mU=",0)</f>
        <v>#REF!</v>
      </c>
      <c r="CY57" t="e">
        <f>AND(NhatkyNhap!#REF!,"AAAAAHvO9mY=")</f>
        <v>#REF!</v>
      </c>
      <c r="CZ57" t="e">
        <f>AND(NhatkyNhap!#REF!,"AAAAAHvO9mc=")</f>
        <v>#REF!</v>
      </c>
      <c r="DA57" t="e">
        <f>AND(NhatkyNhap!#REF!,"AAAAAHvO9mg=")</f>
        <v>#REF!</v>
      </c>
      <c r="DB57" t="e">
        <f>AND(NhatkyNhap!#REF!,"AAAAAHvO9mk=")</f>
        <v>#REF!</v>
      </c>
      <c r="DC57" t="e">
        <f>AND(NhatkyNhap!#REF!,"AAAAAHvO9mo=")</f>
        <v>#REF!</v>
      </c>
      <c r="DD57" t="e">
        <f>AND(NhatkyNhap!#REF!,"AAAAAHvO9ms=")</f>
        <v>#REF!</v>
      </c>
      <c r="DE57" t="e">
        <f>AND(NhatkyNhap!#REF!,"AAAAAHvO9mw=")</f>
        <v>#REF!</v>
      </c>
      <c r="DF57" t="e">
        <f>AND(NhatkyNhap!#REF!,"AAAAAHvO9m0=")</f>
        <v>#REF!</v>
      </c>
      <c r="DG57" t="e">
        <f>AND(NhatkyNhap!#REF!,"AAAAAHvO9m4=")</f>
        <v>#REF!</v>
      </c>
      <c r="DH57" t="e">
        <f>AND(NhatkyNhap!#REF!,"AAAAAHvO9m8=")</f>
        <v>#REF!</v>
      </c>
      <c r="DI57" t="e">
        <f>AND(NhatkyNhap!#REF!,"AAAAAHvO9nA=")</f>
        <v>#REF!</v>
      </c>
      <c r="DJ57" t="e">
        <f>AND(NhatkyNhap!#REF!,"AAAAAHvO9nE=")</f>
        <v>#REF!</v>
      </c>
      <c r="DK57" t="e">
        <f>AND(NhatkyNhap!#REF!,"AAAAAHvO9nI=")</f>
        <v>#REF!</v>
      </c>
      <c r="DL57" t="e">
        <f>AND(NhatkyNhap!#REF!,"AAAAAHvO9nM=")</f>
        <v>#REF!</v>
      </c>
      <c r="DM57" t="e">
        <f>AND(NhatkyNhap!#REF!,"AAAAAHvO9nQ=")</f>
        <v>#REF!</v>
      </c>
      <c r="DN57" t="e">
        <f>AND(NhatkyNhap!#REF!,"AAAAAHvO9nU=")</f>
        <v>#REF!</v>
      </c>
      <c r="DO57" t="e">
        <f>AND(NhatkyNhap!#REF!,"AAAAAHvO9nY=")</f>
        <v>#REF!</v>
      </c>
      <c r="DP57" t="e">
        <f>AND(NhatkyNhap!#REF!,"AAAAAHvO9nc=")</f>
        <v>#REF!</v>
      </c>
      <c r="DQ57" t="e">
        <f>AND(NhatkyNhap!#REF!,"AAAAAHvO9ng=")</f>
        <v>#REF!</v>
      </c>
      <c r="DR57" t="e">
        <f>AND(NhatkyNhap!#REF!,"AAAAAHvO9nk=")</f>
        <v>#REF!</v>
      </c>
      <c r="DS57" t="e">
        <f>AND(NhatkyNhap!#REF!,"AAAAAHvO9no=")</f>
        <v>#REF!</v>
      </c>
      <c r="DT57" t="e">
        <f>AND(NhatkyNhap!#REF!,"AAAAAHvO9ns=")</f>
        <v>#REF!</v>
      </c>
      <c r="DU57" t="e">
        <f>AND(NhatkyNhap!#REF!,"AAAAAHvO9nw=")</f>
        <v>#REF!</v>
      </c>
      <c r="DV57" t="e">
        <f>AND(NhatkyNhap!#REF!,"AAAAAHvO9n0=")</f>
        <v>#REF!</v>
      </c>
      <c r="DW57" t="e">
        <f>AND(NhatkyNhap!#REF!,"AAAAAHvO9n4=")</f>
        <v>#REF!</v>
      </c>
      <c r="DX57" t="e">
        <f>AND(NhatkyNhap!#REF!,"AAAAAHvO9n8=")</f>
        <v>#REF!</v>
      </c>
      <c r="DY57" t="e">
        <f>AND(NhatkyNhap!#REF!,"AAAAAHvO9oA=")</f>
        <v>#REF!</v>
      </c>
      <c r="DZ57" t="e">
        <f>AND(NhatkyNhap!#REF!,"AAAAAHvO9oE=")</f>
        <v>#REF!</v>
      </c>
      <c r="EA57" t="e">
        <f>AND(NhatkyNhap!#REF!,"AAAAAHvO9oI=")</f>
        <v>#REF!</v>
      </c>
      <c r="EB57" t="e">
        <f>AND(NhatkyNhap!#REF!,"AAAAAHvO9oM=")</f>
        <v>#REF!</v>
      </c>
      <c r="EC57" t="e">
        <f>AND(NhatkyNhap!#REF!,"AAAAAHvO9oQ=")</f>
        <v>#REF!</v>
      </c>
      <c r="ED57" t="e">
        <f>AND(NhatkyNhap!#REF!,"AAAAAHvO9oU=")</f>
        <v>#REF!</v>
      </c>
      <c r="EE57" t="e">
        <f>AND(NhatkyNhap!#REF!,"AAAAAHvO9oY=")</f>
        <v>#REF!</v>
      </c>
      <c r="EF57" t="e">
        <f>AND(NhatkyNhap!#REF!,"AAAAAHvO9oc=")</f>
        <v>#REF!</v>
      </c>
      <c r="EG57" t="e">
        <f>IF(NhatkyNhap!#REF!,"AAAAAHvO9og=",0)</f>
        <v>#REF!</v>
      </c>
      <c r="EH57" t="e">
        <f>AND(NhatkyNhap!#REF!,"AAAAAHvO9ok=")</f>
        <v>#REF!</v>
      </c>
      <c r="EI57" t="e">
        <f>AND(NhatkyNhap!#REF!,"AAAAAHvO9oo=")</f>
        <v>#REF!</v>
      </c>
      <c r="EJ57" t="e">
        <f>AND(NhatkyNhap!#REF!,"AAAAAHvO9os=")</f>
        <v>#REF!</v>
      </c>
      <c r="EK57" t="e">
        <f>AND(NhatkyNhap!#REF!,"AAAAAHvO9ow=")</f>
        <v>#REF!</v>
      </c>
      <c r="EL57" t="e">
        <f>AND(NhatkyNhap!#REF!,"AAAAAHvO9o0=")</f>
        <v>#REF!</v>
      </c>
      <c r="EM57" t="e">
        <f>AND(NhatkyNhap!#REF!,"AAAAAHvO9o4=")</f>
        <v>#REF!</v>
      </c>
      <c r="EN57" t="e">
        <f>AND(NhatkyNhap!#REF!,"AAAAAHvO9o8=")</f>
        <v>#REF!</v>
      </c>
      <c r="EO57" t="e">
        <f>AND(NhatkyNhap!#REF!,"AAAAAHvO9pA=")</f>
        <v>#REF!</v>
      </c>
      <c r="EP57" t="e">
        <f>AND(NhatkyNhap!#REF!,"AAAAAHvO9pE=")</f>
        <v>#REF!</v>
      </c>
      <c r="EQ57" t="e">
        <f>AND(NhatkyNhap!#REF!,"AAAAAHvO9pI=")</f>
        <v>#REF!</v>
      </c>
      <c r="ER57" t="e">
        <f>AND(NhatkyNhap!#REF!,"AAAAAHvO9pM=")</f>
        <v>#REF!</v>
      </c>
      <c r="ES57" t="e">
        <f>AND(NhatkyNhap!#REF!,"AAAAAHvO9pQ=")</f>
        <v>#REF!</v>
      </c>
      <c r="ET57" t="e">
        <f>AND(NhatkyNhap!#REF!,"AAAAAHvO9pU=")</f>
        <v>#REF!</v>
      </c>
      <c r="EU57" t="e">
        <f>AND(NhatkyNhap!#REF!,"AAAAAHvO9pY=")</f>
        <v>#REF!</v>
      </c>
      <c r="EV57" t="e">
        <f>AND(NhatkyNhap!#REF!,"AAAAAHvO9pc=")</f>
        <v>#REF!</v>
      </c>
      <c r="EW57" t="e">
        <f>AND(NhatkyNhap!#REF!,"AAAAAHvO9pg=")</f>
        <v>#REF!</v>
      </c>
      <c r="EX57" t="e">
        <f>AND(NhatkyNhap!#REF!,"AAAAAHvO9pk=")</f>
        <v>#REF!</v>
      </c>
      <c r="EY57" t="e">
        <f>AND(NhatkyNhap!#REF!,"AAAAAHvO9po=")</f>
        <v>#REF!</v>
      </c>
      <c r="EZ57" t="e">
        <f>AND(NhatkyNhap!#REF!,"AAAAAHvO9ps=")</f>
        <v>#REF!</v>
      </c>
      <c r="FA57" t="e">
        <f>AND(NhatkyNhap!#REF!,"AAAAAHvO9pw=")</f>
        <v>#REF!</v>
      </c>
      <c r="FB57" t="e">
        <f>AND(NhatkyNhap!#REF!,"AAAAAHvO9p0=")</f>
        <v>#REF!</v>
      </c>
      <c r="FC57" t="e">
        <f>AND(NhatkyNhap!#REF!,"AAAAAHvO9p4=")</f>
        <v>#REF!</v>
      </c>
      <c r="FD57" t="e">
        <f>AND(NhatkyNhap!#REF!,"AAAAAHvO9p8=")</f>
        <v>#REF!</v>
      </c>
      <c r="FE57" t="e">
        <f>AND(NhatkyNhap!#REF!,"AAAAAHvO9qA=")</f>
        <v>#REF!</v>
      </c>
      <c r="FF57" t="e">
        <f>AND(NhatkyNhap!#REF!,"AAAAAHvO9qE=")</f>
        <v>#REF!</v>
      </c>
      <c r="FG57" t="e">
        <f>AND(NhatkyNhap!#REF!,"AAAAAHvO9qI=")</f>
        <v>#REF!</v>
      </c>
      <c r="FH57" t="e">
        <f>AND(NhatkyNhap!#REF!,"AAAAAHvO9qM=")</f>
        <v>#REF!</v>
      </c>
      <c r="FI57" t="e">
        <f>AND(NhatkyNhap!#REF!,"AAAAAHvO9qQ=")</f>
        <v>#REF!</v>
      </c>
      <c r="FJ57" t="e">
        <f>AND(NhatkyNhap!#REF!,"AAAAAHvO9qU=")</f>
        <v>#REF!</v>
      </c>
      <c r="FK57" t="e">
        <f>AND(NhatkyNhap!#REF!,"AAAAAHvO9qY=")</f>
        <v>#REF!</v>
      </c>
      <c r="FL57" t="e">
        <f>AND(NhatkyNhap!#REF!,"AAAAAHvO9qc=")</f>
        <v>#REF!</v>
      </c>
      <c r="FM57" t="e">
        <f>AND(NhatkyNhap!#REF!,"AAAAAHvO9qg=")</f>
        <v>#REF!</v>
      </c>
      <c r="FN57" t="e">
        <f>AND(NhatkyNhap!#REF!,"AAAAAHvO9qk=")</f>
        <v>#REF!</v>
      </c>
      <c r="FO57" t="e">
        <f>AND(NhatkyNhap!#REF!,"AAAAAHvO9qo=")</f>
        <v>#REF!</v>
      </c>
      <c r="FP57" t="e">
        <f>IF(NhatkyNhap!#REF!,"AAAAAHvO9qs=",0)</f>
        <v>#REF!</v>
      </c>
      <c r="FQ57" t="e">
        <f>AND(NhatkyNhap!#REF!,"AAAAAHvO9qw=")</f>
        <v>#REF!</v>
      </c>
      <c r="FR57" t="e">
        <f>AND(NhatkyNhap!#REF!,"AAAAAHvO9q0=")</f>
        <v>#REF!</v>
      </c>
      <c r="FS57" t="e">
        <f>AND(NhatkyNhap!#REF!,"AAAAAHvO9q4=")</f>
        <v>#REF!</v>
      </c>
      <c r="FT57" t="e">
        <f>AND(NhatkyNhap!#REF!,"AAAAAHvO9q8=")</f>
        <v>#REF!</v>
      </c>
      <c r="FU57" t="e">
        <f>AND(NhatkyNhap!#REF!,"AAAAAHvO9rA=")</f>
        <v>#REF!</v>
      </c>
      <c r="FV57" t="e">
        <f>AND(NhatkyNhap!#REF!,"AAAAAHvO9rE=")</f>
        <v>#REF!</v>
      </c>
      <c r="FW57" t="e">
        <f>AND(NhatkyNhap!#REF!,"AAAAAHvO9rI=")</f>
        <v>#REF!</v>
      </c>
      <c r="FX57" t="e">
        <f>AND(NhatkyNhap!#REF!,"AAAAAHvO9rM=")</f>
        <v>#REF!</v>
      </c>
      <c r="FY57" t="e">
        <f>AND(NhatkyNhap!#REF!,"AAAAAHvO9rQ=")</f>
        <v>#REF!</v>
      </c>
      <c r="FZ57" t="e">
        <f>AND(NhatkyNhap!#REF!,"AAAAAHvO9rU=")</f>
        <v>#REF!</v>
      </c>
      <c r="GA57" t="e">
        <f>AND(NhatkyNhap!#REF!,"AAAAAHvO9rY=")</f>
        <v>#REF!</v>
      </c>
      <c r="GB57" t="e">
        <f>AND(NhatkyNhap!#REF!,"AAAAAHvO9rc=")</f>
        <v>#REF!</v>
      </c>
      <c r="GC57" t="e">
        <f>AND(NhatkyNhap!#REF!,"AAAAAHvO9rg=")</f>
        <v>#REF!</v>
      </c>
      <c r="GD57" t="e">
        <f>AND(NhatkyNhap!#REF!,"AAAAAHvO9rk=")</f>
        <v>#REF!</v>
      </c>
      <c r="GE57" t="e">
        <f>AND(NhatkyNhap!#REF!,"AAAAAHvO9ro=")</f>
        <v>#REF!</v>
      </c>
      <c r="GF57" t="e">
        <f>AND(NhatkyNhap!#REF!,"AAAAAHvO9rs=")</f>
        <v>#REF!</v>
      </c>
      <c r="GG57" t="e">
        <f>AND(NhatkyNhap!#REF!,"AAAAAHvO9rw=")</f>
        <v>#REF!</v>
      </c>
      <c r="GH57" t="e">
        <f>AND(NhatkyNhap!#REF!,"AAAAAHvO9r0=")</f>
        <v>#REF!</v>
      </c>
      <c r="GI57" t="e">
        <f>AND(NhatkyNhap!#REF!,"AAAAAHvO9r4=")</f>
        <v>#REF!</v>
      </c>
      <c r="GJ57" t="e">
        <f>AND(NhatkyNhap!#REF!,"AAAAAHvO9r8=")</f>
        <v>#REF!</v>
      </c>
      <c r="GK57" t="e">
        <f>AND(NhatkyNhap!#REF!,"AAAAAHvO9sA=")</f>
        <v>#REF!</v>
      </c>
      <c r="GL57" t="e">
        <f>AND(NhatkyNhap!#REF!,"AAAAAHvO9sE=")</f>
        <v>#REF!</v>
      </c>
      <c r="GM57" t="e">
        <f>AND(NhatkyNhap!#REF!,"AAAAAHvO9sI=")</f>
        <v>#REF!</v>
      </c>
      <c r="GN57" t="e">
        <f>AND(NhatkyNhap!#REF!,"AAAAAHvO9sM=")</f>
        <v>#REF!</v>
      </c>
      <c r="GO57" t="e">
        <f>AND(NhatkyNhap!#REF!,"AAAAAHvO9sQ=")</f>
        <v>#REF!</v>
      </c>
      <c r="GP57" t="e">
        <f>AND(NhatkyNhap!#REF!,"AAAAAHvO9sU=")</f>
        <v>#REF!</v>
      </c>
      <c r="GQ57" t="e">
        <f>AND(NhatkyNhap!#REF!,"AAAAAHvO9sY=")</f>
        <v>#REF!</v>
      </c>
      <c r="GR57" t="e">
        <f>AND(NhatkyNhap!#REF!,"AAAAAHvO9sc=")</f>
        <v>#REF!</v>
      </c>
      <c r="GS57" t="e">
        <f>AND(NhatkyNhap!#REF!,"AAAAAHvO9sg=")</f>
        <v>#REF!</v>
      </c>
      <c r="GT57" t="e">
        <f>AND(NhatkyNhap!#REF!,"AAAAAHvO9sk=")</f>
        <v>#REF!</v>
      </c>
      <c r="GU57" t="e">
        <f>AND(NhatkyNhap!#REF!,"AAAAAHvO9so=")</f>
        <v>#REF!</v>
      </c>
      <c r="GV57" t="e">
        <f>AND(NhatkyNhap!#REF!,"AAAAAHvO9ss=")</f>
        <v>#REF!</v>
      </c>
      <c r="GW57" t="e">
        <f>AND(NhatkyNhap!#REF!,"AAAAAHvO9sw=")</f>
        <v>#REF!</v>
      </c>
      <c r="GX57" t="e">
        <f>AND(NhatkyNhap!#REF!,"AAAAAHvO9s0=")</f>
        <v>#REF!</v>
      </c>
      <c r="GY57" t="e">
        <f>IF(NhatkyNhap!#REF!,"AAAAAHvO9s4=",0)</f>
        <v>#REF!</v>
      </c>
      <c r="GZ57" t="e">
        <f>AND(NhatkyNhap!#REF!,"AAAAAHvO9s8=")</f>
        <v>#REF!</v>
      </c>
      <c r="HA57" t="e">
        <f>AND(NhatkyNhap!#REF!,"AAAAAHvO9tA=")</f>
        <v>#REF!</v>
      </c>
      <c r="HB57" t="e">
        <f>AND(NhatkyNhap!#REF!,"AAAAAHvO9tE=")</f>
        <v>#REF!</v>
      </c>
      <c r="HC57" t="e">
        <f>AND(NhatkyNhap!#REF!,"AAAAAHvO9tI=")</f>
        <v>#REF!</v>
      </c>
      <c r="HD57" t="e">
        <f>AND(NhatkyNhap!#REF!,"AAAAAHvO9tM=")</f>
        <v>#REF!</v>
      </c>
      <c r="HE57" t="e">
        <f>AND(NhatkyNhap!#REF!,"AAAAAHvO9tQ=")</f>
        <v>#REF!</v>
      </c>
      <c r="HF57" t="e">
        <f>AND(NhatkyNhap!#REF!,"AAAAAHvO9tU=")</f>
        <v>#REF!</v>
      </c>
      <c r="HG57" t="e">
        <f>AND(NhatkyNhap!#REF!,"AAAAAHvO9tY=")</f>
        <v>#REF!</v>
      </c>
      <c r="HH57" t="e">
        <f>AND(NhatkyNhap!#REF!,"AAAAAHvO9tc=")</f>
        <v>#REF!</v>
      </c>
      <c r="HI57" t="e">
        <f>AND(NhatkyNhap!#REF!,"AAAAAHvO9tg=")</f>
        <v>#REF!</v>
      </c>
      <c r="HJ57" t="e">
        <f>AND(NhatkyNhap!#REF!,"AAAAAHvO9tk=")</f>
        <v>#REF!</v>
      </c>
      <c r="HK57" t="e">
        <f>AND(NhatkyNhap!#REF!,"AAAAAHvO9to=")</f>
        <v>#REF!</v>
      </c>
      <c r="HL57" t="e">
        <f>AND(NhatkyNhap!#REF!,"AAAAAHvO9ts=")</f>
        <v>#REF!</v>
      </c>
      <c r="HM57" t="e">
        <f>AND(NhatkyNhap!#REF!,"AAAAAHvO9tw=")</f>
        <v>#REF!</v>
      </c>
      <c r="HN57" t="e">
        <f>AND(NhatkyNhap!#REF!,"AAAAAHvO9t0=")</f>
        <v>#REF!</v>
      </c>
      <c r="HO57" t="e">
        <f>AND(NhatkyNhap!#REF!,"AAAAAHvO9t4=")</f>
        <v>#REF!</v>
      </c>
      <c r="HP57" t="e">
        <f>AND(NhatkyNhap!#REF!,"AAAAAHvO9t8=")</f>
        <v>#REF!</v>
      </c>
      <c r="HQ57" t="e">
        <f>AND(NhatkyNhap!#REF!,"AAAAAHvO9uA=")</f>
        <v>#REF!</v>
      </c>
      <c r="HR57" t="e">
        <f>AND(NhatkyNhap!#REF!,"AAAAAHvO9uE=")</f>
        <v>#REF!</v>
      </c>
      <c r="HS57" t="e">
        <f>AND(NhatkyNhap!#REF!,"AAAAAHvO9uI=")</f>
        <v>#REF!</v>
      </c>
      <c r="HT57" t="e">
        <f>AND(NhatkyNhap!#REF!,"AAAAAHvO9uM=")</f>
        <v>#REF!</v>
      </c>
      <c r="HU57" t="e">
        <f>AND(NhatkyNhap!#REF!,"AAAAAHvO9uQ=")</f>
        <v>#REF!</v>
      </c>
      <c r="HV57" t="e">
        <f>AND(NhatkyNhap!#REF!,"AAAAAHvO9uU=")</f>
        <v>#REF!</v>
      </c>
      <c r="HW57" t="e">
        <f>AND(NhatkyNhap!#REF!,"AAAAAHvO9uY=")</f>
        <v>#REF!</v>
      </c>
      <c r="HX57" t="e">
        <f>AND(NhatkyNhap!#REF!,"AAAAAHvO9uc=")</f>
        <v>#REF!</v>
      </c>
      <c r="HY57" t="e">
        <f>AND(NhatkyNhap!#REF!,"AAAAAHvO9ug=")</f>
        <v>#REF!</v>
      </c>
      <c r="HZ57" t="e">
        <f>AND(NhatkyNhap!#REF!,"AAAAAHvO9uk=")</f>
        <v>#REF!</v>
      </c>
      <c r="IA57" t="e">
        <f>AND(NhatkyNhap!#REF!,"AAAAAHvO9uo=")</f>
        <v>#REF!</v>
      </c>
      <c r="IB57" t="e">
        <f>AND(NhatkyNhap!#REF!,"AAAAAHvO9us=")</f>
        <v>#REF!</v>
      </c>
      <c r="IC57" t="e">
        <f>AND(NhatkyNhap!#REF!,"AAAAAHvO9uw=")</f>
        <v>#REF!</v>
      </c>
      <c r="ID57" t="e">
        <f>AND(NhatkyNhap!#REF!,"AAAAAHvO9u0=")</f>
        <v>#REF!</v>
      </c>
      <c r="IE57" t="e">
        <f>AND(NhatkyNhap!#REF!,"AAAAAHvO9u4=")</f>
        <v>#REF!</v>
      </c>
      <c r="IF57" t="e">
        <f>AND(NhatkyNhap!#REF!,"AAAAAHvO9u8=")</f>
        <v>#REF!</v>
      </c>
      <c r="IG57" t="e">
        <f>AND(NhatkyNhap!#REF!,"AAAAAHvO9vA=")</f>
        <v>#REF!</v>
      </c>
      <c r="IH57" t="e">
        <f>IF(NhatkyNhap!#REF!,"AAAAAHvO9vE=",0)</f>
        <v>#REF!</v>
      </c>
      <c r="II57" t="e">
        <f>AND(NhatkyNhap!#REF!,"AAAAAHvO9vI=")</f>
        <v>#REF!</v>
      </c>
      <c r="IJ57" t="e">
        <f>AND(NhatkyNhap!#REF!,"AAAAAHvO9vM=")</f>
        <v>#REF!</v>
      </c>
      <c r="IK57" t="e">
        <f>AND(NhatkyNhap!#REF!,"AAAAAHvO9vQ=")</f>
        <v>#REF!</v>
      </c>
      <c r="IL57" t="e">
        <f>AND(NhatkyNhap!#REF!,"AAAAAHvO9vU=")</f>
        <v>#REF!</v>
      </c>
      <c r="IM57" t="e">
        <f>AND(NhatkyNhap!#REF!,"AAAAAHvO9vY=")</f>
        <v>#REF!</v>
      </c>
      <c r="IN57" t="e">
        <f>AND(NhatkyNhap!#REF!,"AAAAAHvO9vc=")</f>
        <v>#REF!</v>
      </c>
      <c r="IO57" t="e">
        <f>AND(NhatkyNhap!#REF!,"AAAAAHvO9vg=")</f>
        <v>#REF!</v>
      </c>
      <c r="IP57" t="e">
        <f>AND(NhatkyNhap!#REF!,"AAAAAHvO9vk=")</f>
        <v>#REF!</v>
      </c>
      <c r="IQ57" t="e">
        <f>AND(NhatkyNhap!#REF!,"AAAAAHvO9vo=")</f>
        <v>#REF!</v>
      </c>
      <c r="IR57" t="e">
        <f>AND(NhatkyNhap!#REF!,"AAAAAHvO9vs=")</f>
        <v>#REF!</v>
      </c>
      <c r="IS57" t="e">
        <f>AND(NhatkyNhap!#REF!,"AAAAAHvO9vw=")</f>
        <v>#REF!</v>
      </c>
      <c r="IT57" t="e">
        <f>AND(NhatkyNhap!#REF!,"AAAAAHvO9v0=")</f>
        <v>#REF!</v>
      </c>
      <c r="IU57" t="e">
        <f>AND(NhatkyNhap!#REF!,"AAAAAHvO9v4=")</f>
        <v>#REF!</v>
      </c>
      <c r="IV57" t="e">
        <f>AND(NhatkyNhap!#REF!,"AAAAAHvO9v8=")</f>
        <v>#REF!</v>
      </c>
    </row>
    <row r="58" spans="1:256">
      <c r="A58" t="e">
        <f>AND(NhatkyNhap!#REF!,"AAAAAD/+pAA=")</f>
        <v>#REF!</v>
      </c>
      <c r="B58" t="e">
        <f>AND(NhatkyNhap!#REF!,"AAAAAD/+pAE=")</f>
        <v>#REF!</v>
      </c>
      <c r="C58" t="e">
        <f>AND(NhatkyNhap!#REF!,"AAAAAD/+pAI=")</f>
        <v>#REF!</v>
      </c>
      <c r="D58" t="e">
        <f>AND(NhatkyNhap!#REF!,"AAAAAD/+pAM=")</f>
        <v>#REF!</v>
      </c>
      <c r="E58" t="e">
        <f>AND(NhatkyNhap!#REF!,"AAAAAD/+pAQ=")</f>
        <v>#REF!</v>
      </c>
      <c r="F58" t="e">
        <f>AND(NhatkyNhap!#REF!,"AAAAAD/+pAU=")</f>
        <v>#REF!</v>
      </c>
      <c r="G58" t="e">
        <f>AND(NhatkyNhap!#REF!,"AAAAAD/+pAY=")</f>
        <v>#REF!</v>
      </c>
      <c r="H58" t="e">
        <f>AND(NhatkyNhap!#REF!,"AAAAAD/+pAc=")</f>
        <v>#REF!</v>
      </c>
      <c r="I58" t="e">
        <f>AND(NhatkyNhap!#REF!,"AAAAAD/+pAg=")</f>
        <v>#REF!</v>
      </c>
      <c r="J58" t="e">
        <f>AND(NhatkyNhap!#REF!,"AAAAAD/+pAk=")</f>
        <v>#REF!</v>
      </c>
      <c r="K58" t="e">
        <f>AND(NhatkyNhap!#REF!,"AAAAAD/+pAo=")</f>
        <v>#REF!</v>
      </c>
      <c r="L58" t="e">
        <f>AND(NhatkyNhap!#REF!,"AAAAAD/+pAs=")</f>
        <v>#REF!</v>
      </c>
      <c r="M58" t="e">
        <f>AND(NhatkyNhap!#REF!,"AAAAAD/+pAw=")</f>
        <v>#REF!</v>
      </c>
      <c r="N58" t="e">
        <f>AND(NhatkyNhap!#REF!,"AAAAAD/+pA0=")</f>
        <v>#REF!</v>
      </c>
      <c r="O58" t="e">
        <f>AND(NhatkyNhap!#REF!,"AAAAAD/+pA4=")</f>
        <v>#REF!</v>
      </c>
      <c r="P58" t="e">
        <f>AND(NhatkyNhap!#REF!,"AAAAAD/+pA8=")</f>
        <v>#REF!</v>
      </c>
      <c r="Q58" t="e">
        <f>AND(NhatkyNhap!#REF!,"AAAAAD/+pBA=")</f>
        <v>#REF!</v>
      </c>
      <c r="R58" t="e">
        <f>AND(NhatkyNhap!#REF!,"AAAAAD/+pBE=")</f>
        <v>#REF!</v>
      </c>
      <c r="S58" t="e">
        <f>AND(NhatkyNhap!#REF!,"AAAAAD/+pBI=")</f>
        <v>#REF!</v>
      </c>
      <c r="T58" t="e">
        <f>AND(NhatkyNhap!#REF!,"AAAAAD/+pBM=")</f>
        <v>#REF!</v>
      </c>
      <c r="U58" t="e">
        <f>IF(NhatkyNhap!#REF!,"AAAAAD/+pBQ=",0)</f>
        <v>#REF!</v>
      </c>
      <c r="V58" t="e">
        <f>AND(NhatkyNhap!#REF!,"AAAAAD/+pBU=")</f>
        <v>#REF!</v>
      </c>
      <c r="W58" t="e">
        <f>AND(NhatkyNhap!#REF!,"AAAAAD/+pBY=")</f>
        <v>#REF!</v>
      </c>
      <c r="X58" t="e">
        <f>AND(NhatkyNhap!#REF!,"AAAAAD/+pBc=")</f>
        <v>#REF!</v>
      </c>
      <c r="Y58" t="e">
        <f>AND(NhatkyNhap!#REF!,"AAAAAD/+pBg=")</f>
        <v>#REF!</v>
      </c>
      <c r="Z58" t="e">
        <f>AND(NhatkyNhap!#REF!,"AAAAAD/+pBk=")</f>
        <v>#REF!</v>
      </c>
      <c r="AA58" t="e">
        <f>AND(NhatkyNhap!#REF!,"AAAAAD/+pBo=")</f>
        <v>#REF!</v>
      </c>
      <c r="AB58" t="e">
        <f>AND(NhatkyNhap!#REF!,"AAAAAD/+pBs=")</f>
        <v>#REF!</v>
      </c>
      <c r="AC58" t="e">
        <f>AND(NhatkyNhap!#REF!,"AAAAAD/+pBw=")</f>
        <v>#REF!</v>
      </c>
      <c r="AD58" t="e">
        <f>AND(NhatkyNhap!#REF!,"AAAAAD/+pB0=")</f>
        <v>#REF!</v>
      </c>
      <c r="AE58" t="e">
        <f>AND(NhatkyNhap!#REF!,"AAAAAD/+pB4=")</f>
        <v>#REF!</v>
      </c>
      <c r="AF58" t="e">
        <f>AND(NhatkyNhap!#REF!,"AAAAAD/+pB8=")</f>
        <v>#REF!</v>
      </c>
      <c r="AG58" t="e">
        <f>AND(NhatkyNhap!#REF!,"AAAAAD/+pCA=")</f>
        <v>#REF!</v>
      </c>
      <c r="AH58" t="e">
        <f>AND(NhatkyNhap!#REF!,"AAAAAD/+pCE=")</f>
        <v>#REF!</v>
      </c>
      <c r="AI58" t="e">
        <f>AND(NhatkyNhap!#REF!,"AAAAAD/+pCI=")</f>
        <v>#REF!</v>
      </c>
      <c r="AJ58" t="e">
        <f>AND(NhatkyNhap!#REF!,"AAAAAD/+pCM=")</f>
        <v>#REF!</v>
      </c>
      <c r="AK58" t="e">
        <f>AND(NhatkyNhap!#REF!,"AAAAAD/+pCQ=")</f>
        <v>#REF!</v>
      </c>
      <c r="AL58" t="e">
        <f>AND(NhatkyNhap!#REF!,"AAAAAD/+pCU=")</f>
        <v>#REF!</v>
      </c>
      <c r="AM58" t="e">
        <f>AND(NhatkyNhap!#REF!,"AAAAAD/+pCY=")</f>
        <v>#REF!</v>
      </c>
      <c r="AN58" t="e">
        <f>AND(NhatkyNhap!#REF!,"AAAAAD/+pCc=")</f>
        <v>#REF!</v>
      </c>
      <c r="AO58" t="e">
        <f>AND(NhatkyNhap!#REF!,"AAAAAD/+pCg=")</f>
        <v>#REF!</v>
      </c>
      <c r="AP58" t="e">
        <f>AND(NhatkyNhap!#REF!,"AAAAAD/+pCk=")</f>
        <v>#REF!</v>
      </c>
      <c r="AQ58" t="e">
        <f>AND(NhatkyNhap!#REF!,"AAAAAD/+pCo=")</f>
        <v>#REF!</v>
      </c>
      <c r="AR58" t="e">
        <f>AND(NhatkyNhap!#REF!,"AAAAAD/+pCs=")</f>
        <v>#REF!</v>
      </c>
      <c r="AS58" t="e">
        <f>AND(NhatkyNhap!#REF!,"AAAAAD/+pCw=")</f>
        <v>#REF!</v>
      </c>
      <c r="AT58" t="e">
        <f>AND(NhatkyNhap!#REF!,"AAAAAD/+pC0=")</f>
        <v>#REF!</v>
      </c>
      <c r="AU58" t="e">
        <f>AND(NhatkyNhap!#REF!,"AAAAAD/+pC4=")</f>
        <v>#REF!</v>
      </c>
      <c r="AV58" t="e">
        <f>AND(NhatkyNhap!#REF!,"AAAAAD/+pC8=")</f>
        <v>#REF!</v>
      </c>
      <c r="AW58" t="e">
        <f>AND(NhatkyNhap!#REF!,"AAAAAD/+pDA=")</f>
        <v>#REF!</v>
      </c>
      <c r="AX58" t="e">
        <f>AND(NhatkyNhap!#REF!,"AAAAAD/+pDE=")</f>
        <v>#REF!</v>
      </c>
      <c r="AY58" t="e">
        <f>AND(NhatkyNhap!#REF!,"AAAAAD/+pDI=")</f>
        <v>#REF!</v>
      </c>
      <c r="AZ58" t="e">
        <f>AND(NhatkyNhap!#REF!,"AAAAAD/+pDM=")</f>
        <v>#REF!</v>
      </c>
      <c r="BA58" t="e">
        <f>AND(NhatkyNhap!#REF!,"AAAAAD/+pDQ=")</f>
        <v>#REF!</v>
      </c>
      <c r="BB58" t="e">
        <f>AND(NhatkyNhap!#REF!,"AAAAAD/+pDU=")</f>
        <v>#REF!</v>
      </c>
      <c r="BC58" t="e">
        <f>AND(NhatkyNhap!#REF!,"AAAAAD/+pDY=")</f>
        <v>#REF!</v>
      </c>
      <c r="BD58" t="e">
        <f>IF(NhatkyNhap!#REF!,"AAAAAD/+pDc=",0)</f>
        <v>#REF!</v>
      </c>
      <c r="BE58" t="e">
        <f>AND(NhatkyNhap!#REF!,"AAAAAD/+pDg=")</f>
        <v>#REF!</v>
      </c>
      <c r="BF58" t="e">
        <f>AND(NhatkyNhap!#REF!,"AAAAAD/+pDk=")</f>
        <v>#REF!</v>
      </c>
      <c r="BG58" t="e">
        <f>AND(NhatkyNhap!#REF!,"AAAAAD/+pDo=")</f>
        <v>#REF!</v>
      </c>
      <c r="BH58" t="e">
        <f>AND(NhatkyNhap!#REF!,"AAAAAD/+pDs=")</f>
        <v>#REF!</v>
      </c>
      <c r="BI58" t="e">
        <f>AND(NhatkyNhap!#REF!,"AAAAAD/+pDw=")</f>
        <v>#REF!</v>
      </c>
      <c r="BJ58" t="e">
        <f>AND(NhatkyNhap!#REF!,"AAAAAD/+pD0=")</f>
        <v>#REF!</v>
      </c>
      <c r="BK58" t="e">
        <f>AND(NhatkyNhap!#REF!,"AAAAAD/+pD4=")</f>
        <v>#REF!</v>
      </c>
      <c r="BL58" t="e">
        <f>AND(NhatkyNhap!#REF!,"AAAAAD/+pD8=")</f>
        <v>#REF!</v>
      </c>
      <c r="BM58" t="e">
        <f>AND(NhatkyNhap!#REF!,"AAAAAD/+pEA=")</f>
        <v>#REF!</v>
      </c>
      <c r="BN58" t="e">
        <f>AND(NhatkyNhap!#REF!,"AAAAAD/+pEE=")</f>
        <v>#REF!</v>
      </c>
      <c r="BO58" t="e">
        <f>AND(NhatkyNhap!#REF!,"AAAAAD/+pEI=")</f>
        <v>#REF!</v>
      </c>
      <c r="BP58" t="e">
        <f>AND(NhatkyNhap!#REF!,"AAAAAD/+pEM=")</f>
        <v>#REF!</v>
      </c>
      <c r="BQ58" t="e">
        <f>AND(NhatkyNhap!#REF!,"AAAAAD/+pEQ=")</f>
        <v>#REF!</v>
      </c>
      <c r="BR58" t="e">
        <f>AND(NhatkyNhap!#REF!,"AAAAAD/+pEU=")</f>
        <v>#REF!</v>
      </c>
      <c r="BS58" t="e">
        <f>AND(NhatkyNhap!#REF!,"AAAAAD/+pEY=")</f>
        <v>#REF!</v>
      </c>
      <c r="BT58" t="e">
        <f>AND(NhatkyNhap!#REF!,"AAAAAD/+pEc=")</f>
        <v>#REF!</v>
      </c>
      <c r="BU58" t="e">
        <f>AND(NhatkyNhap!#REF!,"AAAAAD/+pEg=")</f>
        <v>#REF!</v>
      </c>
      <c r="BV58" t="e">
        <f>AND(NhatkyNhap!#REF!,"AAAAAD/+pEk=")</f>
        <v>#REF!</v>
      </c>
      <c r="BW58" t="e">
        <f>AND(NhatkyNhap!#REF!,"AAAAAD/+pEo=")</f>
        <v>#REF!</v>
      </c>
      <c r="BX58" t="e">
        <f>AND(NhatkyNhap!#REF!,"AAAAAD/+pEs=")</f>
        <v>#REF!</v>
      </c>
      <c r="BY58" t="e">
        <f>AND(NhatkyNhap!#REF!,"AAAAAD/+pEw=")</f>
        <v>#REF!</v>
      </c>
      <c r="BZ58" t="e">
        <f>AND(NhatkyNhap!#REF!,"AAAAAD/+pE0=")</f>
        <v>#REF!</v>
      </c>
      <c r="CA58" t="e">
        <f>AND(NhatkyNhap!#REF!,"AAAAAD/+pE4=")</f>
        <v>#REF!</v>
      </c>
      <c r="CB58" t="e">
        <f>AND(NhatkyNhap!#REF!,"AAAAAD/+pE8=")</f>
        <v>#REF!</v>
      </c>
      <c r="CC58" t="e">
        <f>AND(NhatkyNhap!#REF!,"AAAAAD/+pFA=")</f>
        <v>#REF!</v>
      </c>
      <c r="CD58" t="e">
        <f>AND(NhatkyNhap!#REF!,"AAAAAD/+pFE=")</f>
        <v>#REF!</v>
      </c>
      <c r="CE58" t="e">
        <f>AND(NhatkyNhap!#REF!,"AAAAAD/+pFI=")</f>
        <v>#REF!</v>
      </c>
      <c r="CF58" t="e">
        <f>AND(NhatkyNhap!#REF!,"AAAAAD/+pFM=")</f>
        <v>#REF!</v>
      </c>
      <c r="CG58" t="e">
        <f>AND(NhatkyNhap!#REF!,"AAAAAD/+pFQ=")</f>
        <v>#REF!</v>
      </c>
      <c r="CH58" t="e">
        <f>AND(NhatkyNhap!#REF!,"AAAAAD/+pFU=")</f>
        <v>#REF!</v>
      </c>
      <c r="CI58" t="e">
        <f>AND(NhatkyNhap!#REF!,"AAAAAD/+pFY=")</f>
        <v>#REF!</v>
      </c>
      <c r="CJ58" t="e">
        <f>AND(NhatkyNhap!#REF!,"AAAAAD/+pFc=")</f>
        <v>#REF!</v>
      </c>
      <c r="CK58" t="e">
        <f>AND(NhatkyNhap!#REF!,"AAAAAD/+pFg=")</f>
        <v>#REF!</v>
      </c>
      <c r="CL58" t="e">
        <f>AND(NhatkyNhap!#REF!,"AAAAAD/+pFk=")</f>
        <v>#REF!</v>
      </c>
      <c r="CM58" t="e">
        <f>IF(NhatkyNhap!#REF!,"AAAAAD/+pFo=",0)</f>
        <v>#REF!</v>
      </c>
      <c r="CN58" t="e">
        <f>AND(NhatkyNhap!#REF!,"AAAAAD/+pFs=")</f>
        <v>#REF!</v>
      </c>
      <c r="CO58" t="e">
        <f>AND(NhatkyNhap!#REF!,"AAAAAD/+pFw=")</f>
        <v>#REF!</v>
      </c>
      <c r="CP58" t="e">
        <f>AND(NhatkyNhap!#REF!,"AAAAAD/+pF0=")</f>
        <v>#REF!</v>
      </c>
      <c r="CQ58" t="e">
        <f>AND(NhatkyNhap!#REF!,"AAAAAD/+pF4=")</f>
        <v>#REF!</v>
      </c>
      <c r="CR58" t="e">
        <f>AND(NhatkyNhap!#REF!,"AAAAAD/+pF8=")</f>
        <v>#REF!</v>
      </c>
      <c r="CS58" t="e">
        <f>AND(NhatkyNhap!#REF!,"AAAAAD/+pGA=")</f>
        <v>#REF!</v>
      </c>
      <c r="CT58" t="e">
        <f>AND(NhatkyNhap!#REF!,"AAAAAD/+pGE=")</f>
        <v>#REF!</v>
      </c>
      <c r="CU58" t="e">
        <f>AND(NhatkyNhap!#REF!,"AAAAAD/+pGI=")</f>
        <v>#REF!</v>
      </c>
      <c r="CV58" t="e">
        <f>AND(NhatkyNhap!#REF!,"AAAAAD/+pGM=")</f>
        <v>#REF!</v>
      </c>
      <c r="CW58" t="e">
        <f>AND(NhatkyNhap!#REF!,"AAAAAD/+pGQ=")</f>
        <v>#REF!</v>
      </c>
      <c r="CX58" t="e">
        <f>AND(NhatkyNhap!#REF!,"AAAAAD/+pGU=")</f>
        <v>#REF!</v>
      </c>
      <c r="CY58" t="e">
        <f>AND(NhatkyNhap!#REF!,"AAAAAD/+pGY=")</f>
        <v>#REF!</v>
      </c>
      <c r="CZ58" t="e">
        <f>AND(NhatkyNhap!#REF!,"AAAAAD/+pGc=")</f>
        <v>#REF!</v>
      </c>
      <c r="DA58" t="e">
        <f>AND(NhatkyNhap!#REF!,"AAAAAD/+pGg=")</f>
        <v>#REF!</v>
      </c>
      <c r="DB58" t="e">
        <f>AND(NhatkyNhap!#REF!,"AAAAAD/+pGk=")</f>
        <v>#REF!</v>
      </c>
      <c r="DC58" t="e">
        <f>AND(NhatkyNhap!#REF!,"AAAAAD/+pGo=")</f>
        <v>#REF!</v>
      </c>
      <c r="DD58" t="e">
        <f>AND(NhatkyNhap!#REF!,"AAAAAD/+pGs=")</f>
        <v>#REF!</v>
      </c>
      <c r="DE58" t="e">
        <f>AND(NhatkyNhap!#REF!,"AAAAAD/+pGw=")</f>
        <v>#REF!</v>
      </c>
      <c r="DF58" t="e">
        <f>AND(NhatkyNhap!#REF!,"AAAAAD/+pG0=")</f>
        <v>#REF!</v>
      </c>
      <c r="DG58" t="e">
        <f>AND(NhatkyNhap!#REF!,"AAAAAD/+pG4=")</f>
        <v>#REF!</v>
      </c>
      <c r="DH58" t="e">
        <f>AND(NhatkyNhap!#REF!,"AAAAAD/+pG8=")</f>
        <v>#REF!</v>
      </c>
      <c r="DI58" t="e">
        <f>AND(NhatkyNhap!#REF!,"AAAAAD/+pHA=")</f>
        <v>#REF!</v>
      </c>
      <c r="DJ58" t="e">
        <f>AND(NhatkyNhap!#REF!,"AAAAAD/+pHE=")</f>
        <v>#REF!</v>
      </c>
      <c r="DK58" t="e">
        <f>AND(NhatkyNhap!#REF!,"AAAAAD/+pHI=")</f>
        <v>#REF!</v>
      </c>
      <c r="DL58" t="e">
        <f>AND(NhatkyNhap!#REF!,"AAAAAD/+pHM=")</f>
        <v>#REF!</v>
      </c>
      <c r="DM58" t="e">
        <f>AND(NhatkyNhap!#REF!,"AAAAAD/+pHQ=")</f>
        <v>#REF!</v>
      </c>
      <c r="DN58" t="e">
        <f>AND(NhatkyNhap!#REF!,"AAAAAD/+pHU=")</f>
        <v>#REF!</v>
      </c>
      <c r="DO58" t="e">
        <f>AND(NhatkyNhap!#REF!,"AAAAAD/+pHY=")</f>
        <v>#REF!</v>
      </c>
      <c r="DP58" t="e">
        <f>AND(NhatkyNhap!#REF!,"AAAAAD/+pHc=")</f>
        <v>#REF!</v>
      </c>
      <c r="DQ58" t="e">
        <f>AND(NhatkyNhap!#REF!,"AAAAAD/+pHg=")</f>
        <v>#REF!</v>
      </c>
      <c r="DR58" t="e">
        <f>AND(NhatkyNhap!#REF!,"AAAAAD/+pHk=")</f>
        <v>#REF!</v>
      </c>
      <c r="DS58" t="e">
        <f>AND(NhatkyNhap!#REF!,"AAAAAD/+pHo=")</f>
        <v>#REF!</v>
      </c>
      <c r="DT58" t="e">
        <f>AND(NhatkyNhap!#REF!,"AAAAAD/+pHs=")</f>
        <v>#REF!</v>
      </c>
      <c r="DU58" t="e">
        <f>AND(NhatkyNhap!#REF!,"AAAAAD/+pHw=")</f>
        <v>#REF!</v>
      </c>
      <c r="DV58" t="e">
        <f>IF(NhatkyNhap!#REF!,"AAAAAD/+pH0=",0)</f>
        <v>#REF!</v>
      </c>
      <c r="DW58" t="e">
        <f>AND(NhatkyNhap!#REF!,"AAAAAD/+pH4=")</f>
        <v>#REF!</v>
      </c>
      <c r="DX58" t="e">
        <f>AND(NhatkyNhap!#REF!,"AAAAAD/+pH8=")</f>
        <v>#REF!</v>
      </c>
      <c r="DY58" t="e">
        <f>AND(NhatkyNhap!#REF!,"AAAAAD/+pIA=")</f>
        <v>#REF!</v>
      </c>
      <c r="DZ58" t="e">
        <f>AND(NhatkyNhap!#REF!,"AAAAAD/+pIE=")</f>
        <v>#REF!</v>
      </c>
      <c r="EA58" t="e">
        <f>AND(NhatkyNhap!#REF!,"AAAAAD/+pII=")</f>
        <v>#REF!</v>
      </c>
      <c r="EB58" t="e">
        <f>AND(NhatkyNhap!#REF!,"AAAAAD/+pIM=")</f>
        <v>#REF!</v>
      </c>
      <c r="EC58" t="e">
        <f>AND(NhatkyNhap!#REF!,"AAAAAD/+pIQ=")</f>
        <v>#REF!</v>
      </c>
      <c r="ED58" t="e">
        <f>AND(NhatkyNhap!#REF!,"AAAAAD/+pIU=")</f>
        <v>#REF!</v>
      </c>
      <c r="EE58" t="e">
        <f>AND(NhatkyNhap!#REF!,"AAAAAD/+pIY=")</f>
        <v>#REF!</v>
      </c>
      <c r="EF58" t="e">
        <f>AND(NhatkyNhap!#REF!,"AAAAAD/+pIc=")</f>
        <v>#REF!</v>
      </c>
      <c r="EG58" t="e">
        <f>AND(NhatkyNhap!#REF!,"AAAAAD/+pIg=")</f>
        <v>#REF!</v>
      </c>
      <c r="EH58" t="e">
        <f>AND(NhatkyNhap!#REF!,"AAAAAD/+pIk=")</f>
        <v>#REF!</v>
      </c>
      <c r="EI58" t="e">
        <f>AND(NhatkyNhap!#REF!,"AAAAAD/+pIo=")</f>
        <v>#REF!</v>
      </c>
      <c r="EJ58" t="e">
        <f>AND(NhatkyNhap!#REF!,"AAAAAD/+pIs=")</f>
        <v>#REF!</v>
      </c>
      <c r="EK58" t="e">
        <f>AND(NhatkyNhap!#REF!,"AAAAAD/+pIw=")</f>
        <v>#REF!</v>
      </c>
      <c r="EL58" t="e">
        <f>AND(NhatkyNhap!#REF!,"AAAAAD/+pI0=")</f>
        <v>#REF!</v>
      </c>
      <c r="EM58" t="e">
        <f>AND(NhatkyNhap!#REF!,"AAAAAD/+pI4=")</f>
        <v>#REF!</v>
      </c>
      <c r="EN58" t="e">
        <f>AND(NhatkyNhap!#REF!,"AAAAAD/+pI8=")</f>
        <v>#REF!</v>
      </c>
      <c r="EO58" t="e">
        <f>AND(NhatkyNhap!#REF!,"AAAAAD/+pJA=")</f>
        <v>#REF!</v>
      </c>
      <c r="EP58" t="e">
        <f>AND(NhatkyNhap!#REF!,"AAAAAD/+pJE=")</f>
        <v>#REF!</v>
      </c>
      <c r="EQ58" t="e">
        <f>AND(NhatkyNhap!#REF!,"AAAAAD/+pJI=")</f>
        <v>#REF!</v>
      </c>
      <c r="ER58" t="e">
        <f>AND(NhatkyNhap!#REF!,"AAAAAD/+pJM=")</f>
        <v>#REF!</v>
      </c>
      <c r="ES58" t="e">
        <f>AND(NhatkyNhap!#REF!,"AAAAAD/+pJQ=")</f>
        <v>#REF!</v>
      </c>
      <c r="ET58" t="e">
        <f>AND(NhatkyNhap!#REF!,"AAAAAD/+pJU=")</f>
        <v>#REF!</v>
      </c>
      <c r="EU58" t="e">
        <f>AND(NhatkyNhap!#REF!,"AAAAAD/+pJY=")</f>
        <v>#REF!</v>
      </c>
      <c r="EV58" t="e">
        <f>AND(NhatkyNhap!#REF!,"AAAAAD/+pJc=")</f>
        <v>#REF!</v>
      </c>
      <c r="EW58" t="e">
        <f>AND(NhatkyNhap!#REF!,"AAAAAD/+pJg=")</f>
        <v>#REF!</v>
      </c>
      <c r="EX58" t="e">
        <f>AND(NhatkyNhap!#REF!,"AAAAAD/+pJk=")</f>
        <v>#REF!</v>
      </c>
      <c r="EY58" t="e">
        <f>AND(NhatkyNhap!#REF!,"AAAAAD/+pJo=")</f>
        <v>#REF!</v>
      </c>
      <c r="EZ58" t="e">
        <f>AND(NhatkyNhap!#REF!,"AAAAAD/+pJs=")</f>
        <v>#REF!</v>
      </c>
      <c r="FA58" t="e">
        <f>AND(NhatkyNhap!#REF!,"AAAAAD/+pJw=")</f>
        <v>#REF!</v>
      </c>
      <c r="FB58" t="e">
        <f>AND(NhatkyNhap!#REF!,"AAAAAD/+pJ0=")</f>
        <v>#REF!</v>
      </c>
      <c r="FC58" t="e">
        <f>AND(NhatkyNhap!#REF!,"AAAAAD/+pJ4=")</f>
        <v>#REF!</v>
      </c>
      <c r="FD58" t="e">
        <f>AND(NhatkyNhap!#REF!,"AAAAAD/+pJ8=")</f>
        <v>#REF!</v>
      </c>
      <c r="FE58" t="e">
        <f>IF(NhatkyNhap!#REF!,"AAAAAD/+pKA=",0)</f>
        <v>#REF!</v>
      </c>
      <c r="FF58" t="e">
        <f>AND(NhatkyNhap!#REF!,"AAAAAD/+pKE=")</f>
        <v>#REF!</v>
      </c>
      <c r="FG58" t="e">
        <f>AND(NhatkyNhap!#REF!,"AAAAAD/+pKI=")</f>
        <v>#REF!</v>
      </c>
      <c r="FH58" t="e">
        <f>AND(NhatkyNhap!#REF!,"AAAAAD/+pKM=")</f>
        <v>#REF!</v>
      </c>
      <c r="FI58" t="e">
        <f>AND(NhatkyNhap!#REF!,"AAAAAD/+pKQ=")</f>
        <v>#REF!</v>
      </c>
      <c r="FJ58" t="e">
        <f>AND(NhatkyNhap!#REF!,"AAAAAD/+pKU=")</f>
        <v>#REF!</v>
      </c>
      <c r="FK58" t="e">
        <f>AND(NhatkyNhap!#REF!,"AAAAAD/+pKY=")</f>
        <v>#REF!</v>
      </c>
      <c r="FL58" t="e">
        <f>AND(NhatkyNhap!#REF!,"AAAAAD/+pKc=")</f>
        <v>#REF!</v>
      </c>
      <c r="FM58" t="e">
        <f>AND(NhatkyNhap!#REF!,"AAAAAD/+pKg=")</f>
        <v>#REF!</v>
      </c>
      <c r="FN58" t="e">
        <f>AND(NhatkyNhap!#REF!,"AAAAAD/+pKk=")</f>
        <v>#REF!</v>
      </c>
      <c r="FO58" t="e">
        <f>AND(NhatkyNhap!#REF!,"AAAAAD/+pKo=")</f>
        <v>#REF!</v>
      </c>
      <c r="FP58" t="e">
        <f>AND(NhatkyNhap!#REF!,"AAAAAD/+pKs=")</f>
        <v>#REF!</v>
      </c>
      <c r="FQ58" t="e">
        <f>AND(NhatkyNhap!#REF!,"AAAAAD/+pKw=")</f>
        <v>#REF!</v>
      </c>
      <c r="FR58" t="e">
        <f>AND(NhatkyNhap!#REF!,"AAAAAD/+pK0=")</f>
        <v>#REF!</v>
      </c>
      <c r="FS58" t="e">
        <f>AND(NhatkyNhap!#REF!,"AAAAAD/+pK4=")</f>
        <v>#REF!</v>
      </c>
      <c r="FT58" t="e">
        <f>AND(NhatkyNhap!#REF!,"AAAAAD/+pK8=")</f>
        <v>#REF!</v>
      </c>
      <c r="FU58" t="e">
        <f>AND(NhatkyNhap!#REF!,"AAAAAD/+pLA=")</f>
        <v>#REF!</v>
      </c>
      <c r="FV58" t="e">
        <f>AND(NhatkyNhap!#REF!,"AAAAAD/+pLE=")</f>
        <v>#REF!</v>
      </c>
      <c r="FW58" t="e">
        <f>AND(NhatkyNhap!#REF!,"AAAAAD/+pLI=")</f>
        <v>#REF!</v>
      </c>
      <c r="FX58" t="e">
        <f>AND(NhatkyNhap!#REF!,"AAAAAD/+pLM=")</f>
        <v>#REF!</v>
      </c>
      <c r="FY58" t="e">
        <f>AND(NhatkyNhap!#REF!,"AAAAAD/+pLQ=")</f>
        <v>#REF!</v>
      </c>
      <c r="FZ58" t="e">
        <f>AND(NhatkyNhap!#REF!,"AAAAAD/+pLU=")</f>
        <v>#REF!</v>
      </c>
      <c r="GA58" t="e">
        <f>AND(NhatkyNhap!#REF!,"AAAAAD/+pLY=")</f>
        <v>#REF!</v>
      </c>
      <c r="GB58" t="e">
        <f>AND(NhatkyNhap!#REF!,"AAAAAD/+pLc=")</f>
        <v>#REF!</v>
      </c>
      <c r="GC58" t="e">
        <f>AND(NhatkyNhap!#REF!,"AAAAAD/+pLg=")</f>
        <v>#REF!</v>
      </c>
      <c r="GD58" t="e">
        <f>AND(NhatkyNhap!#REF!,"AAAAAD/+pLk=")</f>
        <v>#REF!</v>
      </c>
      <c r="GE58" t="e">
        <f>AND(NhatkyNhap!#REF!,"AAAAAD/+pLo=")</f>
        <v>#REF!</v>
      </c>
      <c r="GF58" t="e">
        <f>AND(NhatkyNhap!#REF!,"AAAAAD/+pLs=")</f>
        <v>#REF!</v>
      </c>
      <c r="GG58" t="e">
        <f>AND(NhatkyNhap!#REF!,"AAAAAD/+pLw=")</f>
        <v>#REF!</v>
      </c>
      <c r="GH58" t="e">
        <f>AND(NhatkyNhap!#REF!,"AAAAAD/+pL0=")</f>
        <v>#REF!</v>
      </c>
      <c r="GI58" t="e">
        <f>AND(NhatkyNhap!#REF!,"AAAAAD/+pL4=")</f>
        <v>#REF!</v>
      </c>
      <c r="GJ58" t="e">
        <f>AND(NhatkyNhap!#REF!,"AAAAAD/+pL8=")</f>
        <v>#REF!</v>
      </c>
      <c r="GK58" t="e">
        <f>AND(NhatkyNhap!#REF!,"AAAAAD/+pMA=")</f>
        <v>#REF!</v>
      </c>
      <c r="GL58" t="e">
        <f>AND(NhatkyNhap!#REF!,"AAAAAD/+pME=")</f>
        <v>#REF!</v>
      </c>
      <c r="GM58" t="e">
        <f>AND(NhatkyNhap!#REF!,"AAAAAD/+pMI=")</f>
        <v>#REF!</v>
      </c>
      <c r="GN58" t="e">
        <f>IF(NhatkyNhap!#REF!,"AAAAAD/+pMM=",0)</f>
        <v>#REF!</v>
      </c>
      <c r="GO58" t="e">
        <f>AND(NhatkyNhap!#REF!,"AAAAAD/+pMQ=")</f>
        <v>#REF!</v>
      </c>
      <c r="GP58" t="e">
        <f>AND(NhatkyNhap!#REF!,"AAAAAD/+pMU=")</f>
        <v>#REF!</v>
      </c>
      <c r="GQ58" t="e">
        <f>AND(NhatkyNhap!#REF!,"AAAAAD/+pMY=")</f>
        <v>#REF!</v>
      </c>
      <c r="GR58" t="e">
        <f>AND(NhatkyNhap!#REF!,"AAAAAD/+pMc=")</f>
        <v>#REF!</v>
      </c>
      <c r="GS58" t="e">
        <f>AND(NhatkyNhap!#REF!,"AAAAAD/+pMg=")</f>
        <v>#REF!</v>
      </c>
      <c r="GT58" t="e">
        <f>AND(NhatkyNhap!#REF!,"AAAAAD/+pMk=")</f>
        <v>#REF!</v>
      </c>
      <c r="GU58" t="e">
        <f>AND(NhatkyNhap!#REF!,"AAAAAD/+pMo=")</f>
        <v>#REF!</v>
      </c>
      <c r="GV58" t="e">
        <f>AND(NhatkyNhap!#REF!,"AAAAAD/+pMs=")</f>
        <v>#REF!</v>
      </c>
      <c r="GW58" t="e">
        <f>AND(NhatkyNhap!#REF!,"AAAAAD/+pMw=")</f>
        <v>#REF!</v>
      </c>
      <c r="GX58" t="e">
        <f>AND(NhatkyNhap!#REF!,"AAAAAD/+pM0=")</f>
        <v>#REF!</v>
      </c>
      <c r="GY58" t="e">
        <f>AND(NhatkyNhap!#REF!,"AAAAAD/+pM4=")</f>
        <v>#REF!</v>
      </c>
      <c r="GZ58" t="e">
        <f>AND(NhatkyNhap!#REF!,"AAAAAD/+pM8=")</f>
        <v>#REF!</v>
      </c>
      <c r="HA58" t="e">
        <f>AND(NhatkyNhap!#REF!,"AAAAAD/+pNA=")</f>
        <v>#REF!</v>
      </c>
      <c r="HB58" t="e">
        <f>AND(NhatkyNhap!#REF!,"AAAAAD/+pNE=")</f>
        <v>#REF!</v>
      </c>
      <c r="HC58" t="e">
        <f>AND(NhatkyNhap!#REF!,"AAAAAD/+pNI=")</f>
        <v>#REF!</v>
      </c>
      <c r="HD58" t="e">
        <f>AND(NhatkyNhap!#REF!,"AAAAAD/+pNM=")</f>
        <v>#REF!</v>
      </c>
      <c r="HE58" t="e">
        <f>AND(NhatkyNhap!#REF!,"AAAAAD/+pNQ=")</f>
        <v>#REF!</v>
      </c>
      <c r="HF58" t="e">
        <f>AND(NhatkyNhap!#REF!,"AAAAAD/+pNU=")</f>
        <v>#REF!</v>
      </c>
      <c r="HG58" t="e">
        <f>AND(NhatkyNhap!#REF!,"AAAAAD/+pNY=")</f>
        <v>#REF!</v>
      </c>
      <c r="HH58" t="e">
        <f>AND(NhatkyNhap!#REF!,"AAAAAD/+pNc=")</f>
        <v>#REF!</v>
      </c>
      <c r="HI58" t="e">
        <f>AND(NhatkyNhap!#REF!,"AAAAAD/+pNg=")</f>
        <v>#REF!</v>
      </c>
      <c r="HJ58" t="e">
        <f>AND(NhatkyNhap!#REF!,"AAAAAD/+pNk=")</f>
        <v>#REF!</v>
      </c>
      <c r="HK58" t="e">
        <f>AND(NhatkyNhap!#REF!,"AAAAAD/+pNo=")</f>
        <v>#REF!</v>
      </c>
      <c r="HL58" t="e">
        <f>AND(NhatkyNhap!#REF!,"AAAAAD/+pNs=")</f>
        <v>#REF!</v>
      </c>
      <c r="HM58" t="e">
        <f>AND(NhatkyNhap!#REF!,"AAAAAD/+pNw=")</f>
        <v>#REF!</v>
      </c>
      <c r="HN58" t="e">
        <f>AND(NhatkyNhap!#REF!,"AAAAAD/+pN0=")</f>
        <v>#REF!</v>
      </c>
      <c r="HO58" t="e">
        <f>AND(NhatkyNhap!#REF!,"AAAAAD/+pN4=")</f>
        <v>#REF!</v>
      </c>
      <c r="HP58" t="e">
        <f>AND(NhatkyNhap!#REF!,"AAAAAD/+pN8=")</f>
        <v>#REF!</v>
      </c>
      <c r="HQ58" t="e">
        <f>AND(NhatkyNhap!#REF!,"AAAAAD/+pOA=")</f>
        <v>#REF!</v>
      </c>
      <c r="HR58" t="e">
        <f>AND(NhatkyNhap!#REF!,"AAAAAD/+pOE=")</f>
        <v>#REF!</v>
      </c>
      <c r="HS58" t="e">
        <f>AND(NhatkyNhap!#REF!,"AAAAAD/+pOI=")</f>
        <v>#REF!</v>
      </c>
      <c r="HT58" t="e">
        <f>AND(NhatkyNhap!#REF!,"AAAAAD/+pOM=")</f>
        <v>#REF!</v>
      </c>
      <c r="HU58" t="e">
        <f>AND(NhatkyNhap!#REF!,"AAAAAD/+pOQ=")</f>
        <v>#REF!</v>
      </c>
      <c r="HV58" t="e">
        <f>AND(NhatkyNhap!#REF!,"AAAAAD/+pOU=")</f>
        <v>#REF!</v>
      </c>
      <c r="HW58" t="e">
        <f>IF(NhatkyNhap!#REF!,"AAAAAD/+pOY=",0)</f>
        <v>#REF!</v>
      </c>
      <c r="HX58" t="e">
        <f>AND(NhatkyNhap!#REF!,"AAAAAD/+pOc=")</f>
        <v>#REF!</v>
      </c>
      <c r="HY58" t="e">
        <f>AND(NhatkyNhap!#REF!,"AAAAAD/+pOg=")</f>
        <v>#REF!</v>
      </c>
      <c r="HZ58" t="e">
        <f>AND(NhatkyNhap!#REF!,"AAAAAD/+pOk=")</f>
        <v>#REF!</v>
      </c>
      <c r="IA58" t="e">
        <f>AND(NhatkyNhap!#REF!,"AAAAAD/+pOo=")</f>
        <v>#REF!</v>
      </c>
      <c r="IB58" t="e">
        <f>AND(NhatkyNhap!#REF!,"AAAAAD/+pOs=")</f>
        <v>#REF!</v>
      </c>
      <c r="IC58" t="e">
        <f>AND(NhatkyNhap!#REF!,"AAAAAD/+pOw=")</f>
        <v>#REF!</v>
      </c>
      <c r="ID58" t="e">
        <f>AND(NhatkyNhap!#REF!,"AAAAAD/+pO0=")</f>
        <v>#REF!</v>
      </c>
      <c r="IE58" t="e">
        <f>AND(NhatkyNhap!#REF!,"AAAAAD/+pO4=")</f>
        <v>#REF!</v>
      </c>
      <c r="IF58" t="e">
        <f>AND(NhatkyNhap!#REF!,"AAAAAD/+pO8=")</f>
        <v>#REF!</v>
      </c>
      <c r="IG58" t="e">
        <f>AND(NhatkyNhap!#REF!,"AAAAAD/+pPA=")</f>
        <v>#REF!</v>
      </c>
      <c r="IH58" t="e">
        <f>AND(NhatkyNhap!#REF!,"AAAAAD/+pPE=")</f>
        <v>#REF!</v>
      </c>
      <c r="II58" t="e">
        <f>AND(NhatkyNhap!#REF!,"AAAAAD/+pPI=")</f>
        <v>#REF!</v>
      </c>
      <c r="IJ58" t="e">
        <f>AND(NhatkyNhap!#REF!,"AAAAAD/+pPM=")</f>
        <v>#REF!</v>
      </c>
      <c r="IK58" t="e">
        <f>AND(NhatkyNhap!#REF!,"AAAAAD/+pPQ=")</f>
        <v>#REF!</v>
      </c>
      <c r="IL58" t="e">
        <f>AND(NhatkyNhap!#REF!,"AAAAAD/+pPU=")</f>
        <v>#REF!</v>
      </c>
      <c r="IM58" t="e">
        <f>AND(NhatkyNhap!#REF!,"AAAAAD/+pPY=")</f>
        <v>#REF!</v>
      </c>
      <c r="IN58" t="e">
        <f>AND(NhatkyNhap!#REF!,"AAAAAD/+pPc=")</f>
        <v>#REF!</v>
      </c>
      <c r="IO58" t="e">
        <f>AND(NhatkyNhap!#REF!,"AAAAAD/+pPg=")</f>
        <v>#REF!</v>
      </c>
      <c r="IP58" t="e">
        <f>AND(NhatkyNhap!#REF!,"AAAAAD/+pPk=")</f>
        <v>#REF!</v>
      </c>
      <c r="IQ58" t="e">
        <f>AND(NhatkyNhap!#REF!,"AAAAAD/+pPo=")</f>
        <v>#REF!</v>
      </c>
      <c r="IR58" t="e">
        <f>AND(NhatkyNhap!#REF!,"AAAAAD/+pPs=")</f>
        <v>#REF!</v>
      </c>
      <c r="IS58" t="e">
        <f>AND(NhatkyNhap!#REF!,"AAAAAD/+pPw=")</f>
        <v>#REF!</v>
      </c>
      <c r="IT58" t="e">
        <f>AND(NhatkyNhap!#REF!,"AAAAAD/+pP0=")</f>
        <v>#REF!</v>
      </c>
      <c r="IU58" t="e">
        <f>AND(NhatkyNhap!#REF!,"AAAAAD/+pP4=")</f>
        <v>#REF!</v>
      </c>
      <c r="IV58" t="e">
        <f>AND(NhatkyNhap!#REF!,"AAAAAD/+pP8=")</f>
        <v>#REF!</v>
      </c>
    </row>
    <row r="59" spans="1:256">
      <c r="A59" t="e">
        <f>AND(NhatkyNhap!#REF!,"AAAAAAuuqgA=")</f>
        <v>#REF!</v>
      </c>
      <c r="B59" t="e">
        <f>AND(NhatkyNhap!#REF!,"AAAAAAuuqgE=")</f>
        <v>#REF!</v>
      </c>
      <c r="C59" t="e">
        <f>AND(NhatkyNhap!#REF!,"AAAAAAuuqgI=")</f>
        <v>#REF!</v>
      </c>
      <c r="D59" t="e">
        <f>AND(NhatkyNhap!#REF!,"AAAAAAuuqgM=")</f>
        <v>#REF!</v>
      </c>
      <c r="E59" t="e">
        <f>AND(NhatkyNhap!#REF!,"AAAAAAuuqgQ=")</f>
        <v>#REF!</v>
      </c>
      <c r="F59" t="e">
        <f>AND(NhatkyNhap!#REF!,"AAAAAAuuqgU=")</f>
        <v>#REF!</v>
      </c>
      <c r="G59" t="e">
        <f>AND(NhatkyNhap!#REF!,"AAAAAAuuqgY=")</f>
        <v>#REF!</v>
      </c>
      <c r="H59" t="e">
        <f>AND(NhatkyNhap!#REF!,"AAAAAAuuqgc=")</f>
        <v>#REF!</v>
      </c>
      <c r="I59" t="e">
        <f>AND(NhatkyNhap!#REF!,"AAAAAAuuqgg=")</f>
        <v>#REF!</v>
      </c>
      <c r="J59" t="e">
        <f>IF(NhatkyNhap!#REF!,"AAAAAAuuqgk=",0)</f>
        <v>#REF!</v>
      </c>
      <c r="K59" t="e">
        <f>AND(NhatkyNhap!#REF!,"AAAAAAuuqgo=")</f>
        <v>#REF!</v>
      </c>
      <c r="L59" t="e">
        <f>AND(NhatkyNhap!#REF!,"AAAAAAuuqgs=")</f>
        <v>#REF!</v>
      </c>
      <c r="M59" t="e">
        <f>AND(NhatkyNhap!#REF!,"AAAAAAuuqgw=")</f>
        <v>#REF!</v>
      </c>
      <c r="N59" t="e">
        <f>AND(NhatkyNhap!#REF!,"AAAAAAuuqg0=")</f>
        <v>#REF!</v>
      </c>
      <c r="O59" t="e">
        <f>AND(NhatkyNhap!#REF!,"AAAAAAuuqg4=")</f>
        <v>#REF!</v>
      </c>
      <c r="P59" t="e">
        <f>AND(NhatkyNhap!#REF!,"AAAAAAuuqg8=")</f>
        <v>#REF!</v>
      </c>
      <c r="Q59" t="e">
        <f>AND(NhatkyNhap!#REF!,"AAAAAAuuqhA=")</f>
        <v>#REF!</v>
      </c>
      <c r="R59" t="e">
        <f>AND(NhatkyNhap!#REF!,"AAAAAAuuqhE=")</f>
        <v>#REF!</v>
      </c>
      <c r="S59" t="e">
        <f>AND(NhatkyNhap!#REF!,"AAAAAAuuqhI=")</f>
        <v>#REF!</v>
      </c>
      <c r="T59" t="e">
        <f>AND(NhatkyNhap!#REF!,"AAAAAAuuqhM=")</f>
        <v>#REF!</v>
      </c>
      <c r="U59" t="e">
        <f>AND(NhatkyNhap!#REF!,"AAAAAAuuqhQ=")</f>
        <v>#REF!</v>
      </c>
      <c r="V59" t="e">
        <f>AND(NhatkyNhap!#REF!,"AAAAAAuuqhU=")</f>
        <v>#REF!</v>
      </c>
      <c r="W59" t="e">
        <f>AND(NhatkyNhap!#REF!,"AAAAAAuuqhY=")</f>
        <v>#REF!</v>
      </c>
      <c r="X59" t="e">
        <f>AND(NhatkyNhap!#REF!,"AAAAAAuuqhc=")</f>
        <v>#REF!</v>
      </c>
      <c r="Y59" t="e">
        <f>AND(NhatkyNhap!#REF!,"AAAAAAuuqhg=")</f>
        <v>#REF!</v>
      </c>
      <c r="Z59" t="e">
        <f>AND(NhatkyNhap!#REF!,"AAAAAAuuqhk=")</f>
        <v>#REF!</v>
      </c>
      <c r="AA59" t="e">
        <f>AND(NhatkyNhap!#REF!,"AAAAAAuuqho=")</f>
        <v>#REF!</v>
      </c>
      <c r="AB59" t="e">
        <f>AND(NhatkyNhap!#REF!,"AAAAAAuuqhs=")</f>
        <v>#REF!</v>
      </c>
      <c r="AC59" t="e">
        <f>AND(NhatkyNhap!#REF!,"AAAAAAuuqhw=")</f>
        <v>#REF!</v>
      </c>
      <c r="AD59" t="e">
        <f>AND(NhatkyNhap!#REF!,"AAAAAAuuqh0=")</f>
        <v>#REF!</v>
      </c>
      <c r="AE59" t="e">
        <f>AND(NhatkyNhap!#REF!,"AAAAAAuuqh4=")</f>
        <v>#REF!</v>
      </c>
      <c r="AF59" t="e">
        <f>AND(NhatkyNhap!#REF!,"AAAAAAuuqh8=")</f>
        <v>#REF!</v>
      </c>
      <c r="AG59" t="e">
        <f>AND(NhatkyNhap!#REF!,"AAAAAAuuqiA=")</f>
        <v>#REF!</v>
      </c>
      <c r="AH59" t="e">
        <f>AND(NhatkyNhap!#REF!,"AAAAAAuuqiE=")</f>
        <v>#REF!</v>
      </c>
      <c r="AI59" t="e">
        <f>AND(NhatkyNhap!#REF!,"AAAAAAuuqiI=")</f>
        <v>#REF!</v>
      </c>
      <c r="AJ59" t="e">
        <f>AND(NhatkyNhap!#REF!,"AAAAAAuuqiM=")</f>
        <v>#REF!</v>
      </c>
      <c r="AK59" t="e">
        <f>AND(NhatkyNhap!#REF!,"AAAAAAuuqiQ=")</f>
        <v>#REF!</v>
      </c>
      <c r="AL59" t="e">
        <f>AND(NhatkyNhap!#REF!,"AAAAAAuuqiU=")</f>
        <v>#REF!</v>
      </c>
      <c r="AM59" t="e">
        <f>AND(NhatkyNhap!#REF!,"AAAAAAuuqiY=")</f>
        <v>#REF!</v>
      </c>
      <c r="AN59" t="e">
        <f>AND(NhatkyNhap!#REF!,"AAAAAAuuqic=")</f>
        <v>#REF!</v>
      </c>
      <c r="AO59" t="e">
        <f>AND(NhatkyNhap!#REF!,"AAAAAAuuqig=")</f>
        <v>#REF!</v>
      </c>
      <c r="AP59" t="e">
        <f>AND(NhatkyNhap!#REF!,"AAAAAAuuqik=")</f>
        <v>#REF!</v>
      </c>
      <c r="AQ59" t="e">
        <f>AND(NhatkyNhap!#REF!,"AAAAAAuuqio=")</f>
        <v>#REF!</v>
      </c>
      <c r="AR59" t="e">
        <f>AND(NhatkyNhap!#REF!,"AAAAAAuuqis=")</f>
        <v>#REF!</v>
      </c>
      <c r="AS59" t="e">
        <f>IF(NhatkyNhap!#REF!,"AAAAAAuuqiw=",0)</f>
        <v>#REF!</v>
      </c>
      <c r="AT59" t="e">
        <f>AND(NhatkyNhap!#REF!,"AAAAAAuuqi0=")</f>
        <v>#REF!</v>
      </c>
      <c r="AU59" t="e">
        <f>AND(NhatkyNhap!#REF!,"AAAAAAuuqi4=")</f>
        <v>#REF!</v>
      </c>
      <c r="AV59" t="e">
        <f>AND(NhatkyNhap!#REF!,"AAAAAAuuqi8=")</f>
        <v>#REF!</v>
      </c>
      <c r="AW59" t="e">
        <f>AND(NhatkyNhap!#REF!,"AAAAAAuuqjA=")</f>
        <v>#REF!</v>
      </c>
      <c r="AX59" t="e">
        <f>AND(NhatkyNhap!#REF!,"AAAAAAuuqjE=")</f>
        <v>#REF!</v>
      </c>
      <c r="AY59" t="e">
        <f>AND(NhatkyNhap!#REF!,"AAAAAAuuqjI=")</f>
        <v>#REF!</v>
      </c>
      <c r="AZ59" t="e">
        <f>AND(NhatkyNhap!#REF!,"AAAAAAuuqjM=")</f>
        <v>#REF!</v>
      </c>
      <c r="BA59" t="e">
        <f>AND(NhatkyNhap!#REF!,"AAAAAAuuqjQ=")</f>
        <v>#REF!</v>
      </c>
      <c r="BB59" t="e">
        <f>AND(NhatkyNhap!#REF!,"AAAAAAuuqjU=")</f>
        <v>#REF!</v>
      </c>
      <c r="BC59" t="e">
        <f>AND(NhatkyNhap!#REF!,"AAAAAAuuqjY=")</f>
        <v>#REF!</v>
      </c>
      <c r="BD59" t="e">
        <f>AND(NhatkyNhap!#REF!,"AAAAAAuuqjc=")</f>
        <v>#REF!</v>
      </c>
      <c r="BE59" t="e">
        <f>AND(NhatkyNhap!#REF!,"AAAAAAuuqjg=")</f>
        <v>#REF!</v>
      </c>
      <c r="BF59" t="e">
        <f>AND(NhatkyNhap!#REF!,"AAAAAAuuqjk=")</f>
        <v>#REF!</v>
      </c>
      <c r="BG59" t="e">
        <f>AND(NhatkyNhap!#REF!,"AAAAAAuuqjo=")</f>
        <v>#REF!</v>
      </c>
      <c r="BH59" t="e">
        <f>AND(NhatkyNhap!#REF!,"AAAAAAuuqjs=")</f>
        <v>#REF!</v>
      </c>
      <c r="BI59" t="e">
        <f>AND(NhatkyNhap!#REF!,"AAAAAAuuqjw=")</f>
        <v>#REF!</v>
      </c>
      <c r="BJ59" t="e">
        <f>AND(NhatkyNhap!#REF!,"AAAAAAuuqj0=")</f>
        <v>#REF!</v>
      </c>
      <c r="BK59" t="e">
        <f>AND(NhatkyNhap!#REF!,"AAAAAAuuqj4=")</f>
        <v>#REF!</v>
      </c>
      <c r="BL59" t="e">
        <f>AND(NhatkyNhap!#REF!,"AAAAAAuuqj8=")</f>
        <v>#REF!</v>
      </c>
      <c r="BM59" t="e">
        <f>AND(NhatkyNhap!#REF!,"AAAAAAuuqkA=")</f>
        <v>#REF!</v>
      </c>
      <c r="BN59" t="e">
        <f>AND(NhatkyNhap!#REF!,"AAAAAAuuqkE=")</f>
        <v>#REF!</v>
      </c>
      <c r="BO59" t="e">
        <f>AND(NhatkyNhap!#REF!,"AAAAAAuuqkI=")</f>
        <v>#REF!</v>
      </c>
      <c r="BP59" t="e">
        <f>AND(NhatkyNhap!#REF!,"AAAAAAuuqkM=")</f>
        <v>#REF!</v>
      </c>
      <c r="BQ59" t="e">
        <f>AND(NhatkyNhap!#REF!,"AAAAAAuuqkQ=")</f>
        <v>#REF!</v>
      </c>
      <c r="BR59" t="e">
        <f>AND(NhatkyNhap!#REF!,"AAAAAAuuqkU=")</f>
        <v>#REF!</v>
      </c>
      <c r="BS59" t="e">
        <f>AND(NhatkyNhap!#REF!,"AAAAAAuuqkY=")</f>
        <v>#REF!</v>
      </c>
      <c r="BT59" t="e">
        <f>AND(NhatkyNhap!#REF!,"AAAAAAuuqkc=")</f>
        <v>#REF!</v>
      </c>
      <c r="BU59" t="e">
        <f>AND(NhatkyNhap!#REF!,"AAAAAAuuqkg=")</f>
        <v>#REF!</v>
      </c>
      <c r="BV59" t="e">
        <f>AND(NhatkyNhap!#REF!,"AAAAAAuuqkk=")</f>
        <v>#REF!</v>
      </c>
      <c r="BW59" t="e">
        <f>AND(NhatkyNhap!#REF!,"AAAAAAuuqko=")</f>
        <v>#REF!</v>
      </c>
      <c r="BX59" t="e">
        <f>AND(NhatkyNhap!#REF!,"AAAAAAuuqks=")</f>
        <v>#REF!</v>
      </c>
      <c r="BY59" t="e">
        <f>AND(NhatkyNhap!#REF!,"AAAAAAuuqkw=")</f>
        <v>#REF!</v>
      </c>
      <c r="BZ59" t="e">
        <f>AND(NhatkyNhap!#REF!,"AAAAAAuuqk0=")</f>
        <v>#REF!</v>
      </c>
      <c r="CA59" t="e">
        <f>AND(NhatkyNhap!#REF!,"AAAAAAuuqk4=")</f>
        <v>#REF!</v>
      </c>
      <c r="CB59" t="e">
        <f>IF(NhatkyNhap!#REF!,"AAAAAAuuqk8=",0)</f>
        <v>#REF!</v>
      </c>
      <c r="CC59" t="e">
        <f>AND(NhatkyNhap!#REF!,"AAAAAAuuqlA=")</f>
        <v>#REF!</v>
      </c>
      <c r="CD59" t="e">
        <f>AND(NhatkyNhap!#REF!,"AAAAAAuuqlE=")</f>
        <v>#REF!</v>
      </c>
      <c r="CE59" t="e">
        <f>AND(NhatkyNhap!#REF!,"AAAAAAuuqlI=")</f>
        <v>#REF!</v>
      </c>
      <c r="CF59" t="e">
        <f>AND(NhatkyNhap!#REF!,"AAAAAAuuqlM=")</f>
        <v>#REF!</v>
      </c>
      <c r="CG59" t="e">
        <f>AND(NhatkyNhap!#REF!,"AAAAAAuuqlQ=")</f>
        <v>#REF!</v>
      </c>
      <c r="CH59" t="e">
        <f>AND(NhatkyNhap!#REF!,"AAAAAAuuqlU=")</f>
        <v>#REF!</v>
      </c>
      <c r="CI59" t="e">
        <f>AND(NhatkyNhap!#REF!,"AAAAAAuuqlY=")</f>
        <v>#REF!</v>
      </c>
      <c r="CJ59" t="e">
        <f>AND(NhatkyNhap!#REF!,"AAAAAAuuqlc=")</f>
        <v>#REF!</v>
      </c>
      <c r="CK59" t="e">
        <f>AND(NhatkyNhap!#REF!,"AAAAAAuuqlg=")</f>
        <v>#REF!</v>
      </c>
      <c r="CL59" t="e">
        <f>AND(NhatkyNhap!#REF!,"AAAAAAuuqlk=")</f>
        <v>#REF!</v>
      </c>
      <c r="CM59" t="e">
        <f>AND(NhatkyNhap!#REF!,"AAAAAAuuqlo=")</f>
        <v>#REF!</v>
      </c>
      <c r="CN59" t="e">
        <f>AND(NhatkyNhap!#REF!,"AAAAAAuuqls=")</f>
        <v>#REF!</v>
      </c>
      <c r="CO59" t="e">
        <f>AND(NhatkyNhap!#REF!,"AAAAAAuuqlw=")</f>
        <v>#REF!</v>
      </c>
      <c r="CP59" t="e">
        <f>AND(NhatkyNhap!#REF!,"AAAAAAuuql0=")</f>
        <v>#REF!</v>
      </c>
      <c r="CQ59" t="e">
        <f>AND(NhatkyNhap!#REF!,"AAAAAAuuql4=")</f>
        <v>#REF!</v>
      </c>
      <c r="CR59" t="e">
        <f>AND(NhatkyNhap!#REF!,"AAAAAAuuql8=")</f>
        <v>#REF!</v>
      </c>
      <c r="CS59" t="e">
        <f>AND(NhatkyNhap!#REF!,"AAAAAAuuqmA=")</f>
        <v>#REF!</v>
      </c>
      <c r="CT59" t="e">
        <f>AND(NhatkyNhap!#REF!,"AAAAAAuuqmE=")</f>
        <v>#REF!</v>
      </c>
      <c r="CU59" t="e">
        <f>AND(NhatkyNhap!#REF!,"AAAAAAuuqmI=")</f>
        <v>#REF!</v>
      </c>
      <c r="CV59" t="e">
        <f>AND(NhatkyNhap!#REF!,"AAAAAAuuqmM=")</f>
        <v>#REF!</v>
      </c>
      <c r="CW59" t="e">
        <f>AND(NhatkyNhap!#REF!,"AAAAAAuuqmQ=")</f>
        <v>#REF!</v>
      </c>
      <c r="CX59" t="e">
        <f>AND(NhatkyNhap!#REF!,"AAAAAAuuqmU=")</f>
        <v>#REF!</v>
      </c>
      <c r="CY59" t="e">
        <f>AND(NhatkyNhap!#REF!,"AAAAAAuuqmY=")</f>
        <v>#REF!</v>
      </c>
      <c r="CZ59" t="e">
        <f>AND(NhatkyNhap!#REF!,"AAAAAAuuqmc=")</f>
        <v>#REF!</v>
      </c>
      <c r="DA59" t="e">
        <f>AND(NhatkyNhap!#REF!,"AAAAAAuuqmg=")</f>
        <v>#REF!</v>
      </c>
      <c r="DB59" t="e">
        <f>AND(NhatkyNhap!#REF!,"AAAAAAuuqmk=")</f>
        <v>#REF!</v>
      </c>
      <c r="DC59" t="e">
        <f>AND(NhatkyNhap!#REF!,"AAAAAAuuqmo=")</f>
        <v>#REF!</v>
      </c>
      <c r="DD59" t="e">
        <f>AND(NhatkyNhap!#REF!,"AAAAAAuuqms=")</f>
        <v>#REF!</v>
      </c>
      <c r="DE59" t="e">
        <f>AND(NhatkyNhap!#REF!,"AAAAAAuuqmw=")</f>
        <v>#REF!</v>
      </c>
      <c r="DF59" t="e">
        <f>AND(NhatkyNhap!#REF!,"AAAAAAuuqm0=")</f>
        <v>#REF!</v>
      </c>
      <c r="DG59" t="e">
        <f>AND(NhatkyNhap!#REF!,"AAAAAAuuqm4=")</f>
        <v>#REF!</v>
      </c>
      <c r="DH59" t="e">
        <f>AND(NhatkyNhap!#REF!,"AAAAAAuuqm8=")</f>
        <v>#REF!</v>
      </c>
      <c r="DI59" t="e">
        <f>AND(NhatkyNhap!#REF!,"AAAAAAuuqnA=")</f>
        <v>#REF!</v>
      </c>
      <c r="DJ59" t="e">
        <f>AND(NhatkyNhap!#REF!,"AAAAAAuuqnE=")</f>
        <v>#REF!</v>
      </c>
      <c r="DK59" t="e">
        <f>IF(NhatkyNhap!#REF!,"AAAAAAuuqnI=",0)</f>
        <v>#REF!</v>
      </c>
      <c r="DL59" t="e">
        <f>AND(NhatkyNhap!#REF!,"AAAAAAuuqnM=")</f>
        <v>#REF!</v>
      </c>
      <c r="DM59" t="e">
        <f>AND(NhatkyNhap!#REF!,"AAAAAAuuqnQ=")</f>
        <v>#REF!</v>
      </c>
      <c r="DN59" t="e">
        <f>AND(NhatkyNhap!#REF!,"AAAAAAuuqnU=")</f>
        <v>#REF!</v>
      </c>
      <c r="DO59" t="e">
        <f>AND(NhatkyNhap!#REF!,"AAAAAAuuqnY=")</f>
        <v>#REF!</v>
      </c>
      <c r="DP59" t="e">
        <f>AND(NhatkyNhap!#REF!,"AAAAAAuuqnc=")</f>
        <v>#REF!</v>
      </c>
      <c r="DQ59" t="e">
        <f>AND(NhatkyNhap!#REF!,"AAAAAAuuqng=")</f>
        <v>#REF!</v>
      </c>
      <c r="DR59" t="e">
        <f>AND(NhatkyNhap!#REF!,"AAAAAAuuqnk=")</f>
        <v>#REF!</v>
      </c>
      <c r="DS59" t="e">
        <f>AND(NhatkyNhap!#REF!,"AAAAAAuuqno=")</f>
        <v>#REF!</v>
      </c>
      <c r="DT59" t="e">
        <f>AND(NhatkyNhap!#REF!,"AAAAAAuuqns=")</f>
        <v>#REF!</v>
      </c>
      <c r="DU59" t="e">
        <f>AND(NhatkyNhap!#REF!,"AAAAAAuuqnw=")</f>
        <v>#REF!</v>
      </c>
      <c r="DV59" t="e">
        <f>AND(NhatkyNhap!#REF!,"AAAAAAuuqn0=")</f>
        <v>#REF!</v>
      </c>
      <c r="DW59" t="e">
        <f>AND(NhatkyNhap!#REF!,"AAAAAAuuqn4=")</f>
        <v>#REF!</v>
      </c>
      <c r="DX59" t="e">
        <f>AND(NhatkyNhap!#REF!,"AAAAAAuuqn8=")</f>
        <v>#REF!</v>
      </c>
      <c r="DY59" t="e">
        <f>AND(NhatkyNhap!#REF!,"AAAAAAuuqoA=")</f>
        <v>#REF!</v>
      </c>
      <c r="DZ59" t="e">
        <f>AND(NhatkyNhap!#REF!,"AAAAAAuuqoE=")</f>
        <v>#REF!</v>
      </c>
      <c r="EA59" t="e">
        <f>AND(NhatkyNhap!#REF!,"AAAAAAuuqoI=")</f>
        <v>#REF!</v>
      </c>
      <c r="EB59" t="e">
        <f>AND(NhatkyNhap!#REF!,"AAAAAAuuqoM=")</f>
        <v>#REF!</v>
      </c>
      <c r="EC59" t="e">
        <f>AND(NhatkyNhap!#REF!,"AAAAAAuuqoQ=")</f>
        <v>#REF!</v>
      </c>
      <c r="ED59" t="e">
        <f>AND(NhatkyNhap!#REF!,"AAAAAAuuqoU=")</f>
        <v>#REF!</v>
      </c>
      <c r="EE59" t="e">
        <f>AND(NhatkyNhap!#REF!,"AAAAAAuuqoY=")</f>
        <v>#REF!</v>
      </c>
      <c r="EF59" t="e">
        <f>AND(NhatkyNhap!#REF!,"AAAAAAuuqoc=")</f>
        <v>#REF!</v>
      </c>
      <c r="EG59" t="e">
        <f>AND(NhatkyNhap!#REF!,"AAAAAAuuqog=")</f>
        <v>#REF!</v>
      </c>
      <c r="EH59" t="e">
        <f>AND(NhatkyNhap!#REF!,"AAAAAAuuqok=")</f>
        <v>#REF!</v>
      </c>
      <c r="EI59" t="e">
        <f>AND(NhatkyNhap!#REF!,"AAAAAAuuqoo=")</f>
        <v>#REF!</v>
      </c>
      <c r="EJ59" t="e">
        <f>AND(NhatkyNhap!#REF!,"AAAAAAuuqos=")</f>
        <v>#REF!</v>
      </c>
      <c r="EK59" t="e">
        <f>AND(NhatkyNhap!#REF!,"AAAAAAuuqow=")</f>
        <v>#REF!</v>
      </c>
      <c r="EL59" t="e">
        <f>AND(NhatkyNhap!#REF!,"AAAAAAuuqo0=")</f>
        <v>#REF!</v>
      </c>
      <c r="EM59" t="e">
        <f>AND(NhatkyNhap!#REF!,"AAAAAAuuqo4=")</f>
        <v>#REF!</v>
      </c>
      <c r="EN59" t="e">
        <f>AND(NhatkyNhap!#REF!,"AAAAAAuuqo8=")</f>
        <v>#REF!</v>
      </c>
      <c r="EO59" t="e">
        <f>AND(NhatkyNhap!#REF!,"AAAAAAuuqpA=")</f>
        <v>#REF!</v>
      </c>
      <c r="EP59" t="e">
        <f>AND(NhatkyNhap!#REF!,"AAAAAAuuqpE=")</f>
        <v>#REF!</v>
      </c>
      <c r="EQ59" t="e">
        <f>AND(NhatkyNhap!#REF!,"AAAAAAuuqpI=")</f>
        <v>#REF!</v>
      </c>
      <c r="ER59" t="e">
        <f>AND(NhatkyNhap!#REF!,"AAAAAAuuqpM=")</f>
        <v>#REF!</v>
      </c>
      <c r="ES59" t="e">
        <f>AND(NhatkyNhap!#REF!,"AAAAAAuuqpQ=")</f>
        <v>#REF!</v>
      </c>
      <c r="ET59" t="e">
        <f>IF(NhatkyNhap!#REF!,"AAAAAAuuqpU=",0)</f>
        <v>#REF!</v>
      </c>
      <c r="EU59" t="e">
        <f>AND(NhatkyNhap!#REF!,"AAAAAAuuqpY=")</f>
        <v>#REF!</v>
      </c>
      <c r="EV59" t="e">
        <f>AND(NhatkyNhap!#REF!,"AAAAAAuuqpc=")</f>
        <v>#REF!</v>
      </c>
      <c r="EW59" t="e">
        <f>AND(NhatkyNhap!#REF!,"AAAAAAuuqpg=")</f>
        <v>#REF!</v>
      </c>
      <c r="EX59" t="e">
        <f>AND(NhatkyNhap!#REF!,"AAAAAAuuqpk=")</f>
        <v>#REF!</v>
      </c>
      <c r="EY59" t="e">
        <f>AND(NhatkyNhap!#REF!,"AAAAAAuuqpo=")</f>
        <v>#REF!</v>
      </c>
      <c r="EZ59" t="e">
        <f>AND(NhatkyNhap!#REF!,"AAAAAAuuqps=")</f>
        <v>#REF!</v>
      </c>
      <c r="FA59" t="e">
        <f>AND(NhatkyNhap!#REF!,"AAAAAAuuqpw=")</f>
        <v>#REF!</v>
      </c>
      <c r="FB59" t="e">
        <f>AND(NhatkyNhap!#REF!,"AAAAAAuuqp0=")</f>
        <v>#REF!</v>
      </c>
      <c r="FC59" t="e">
        <f>AND(NhatkyNhap!#REF!,"AAAAAAuuqp4=")</f>
        <v>#REF!</v>
      </c>
      <c r="FD59" t="e">
        <f>AND(NhatkyNhap!#REF!,"AAAAAAuuqp8=")</f>
        <v>#REF!</v>
      </c>
      <c r="FE59" t="e">
        <f>AND(NhatkyNhap!#REF!,"AAAAAAuuqqA=")</f>
        <v>#REF!</v>
      </c>
      <c r="FF59" t="e">
        <f>AND(NhatkyNhap!#REF!,"AAAAAAuuqqE=")</f>
        <v>#REF!</v>
      </c>
      <c r="FG59" t="e">
        <f>AND(NhatkyNhap!#REF!,"AAAAAAuuqqI=")</f>
        <v>#REF!</v>
      </c>
      <c r="FH59" t="e">
        <f>AND(NhatkyNhap!#REF!,"AAAAAAuuqqM=")</f>
        <v>#REF!</v>
      </c>
      <c r="FI59" t="e">
        <f>AND(NhatkyNhap!#REF!,"AAAAAAuuqqQ=")</f>
        <v>#REF!</v>
      </c>
      <c r="FJ59" t="e">
        <f>AND(NhatkyNhap!#REF!,"AAAAAAuuqqU=")</f>
        <v>#REF!</v>
      </c>
      <c r="FK59" t="e">
        <f>AND(NhatkyNhap!#REF!,"AAAAAAuuqqY=")</f>
        <v>#REF!</v>
      </c>
      <c r="FL59" t="e">
        <f>AND(NhatkyNhap!#REF!,"AAAAAAuuqqc=")</f>
        <v>#REF!</v>
      </c>
      <c r="FM59" t="e">
        <f>AND(NhatkyNhap!#REF!,"AAAAAAuuqqg=")</f>
        <v>#REF!</v>
      </c>
      <c r="FN59" t="e">
        <f>AND(NhatkyNhap!#REF!,"AAAAAAuuqqk=")</f>
        <v>#REF!</v>
      </c>
      <c r="FO59" t="e">
        <f>AND(NhatkyNhap!#REF!,"AAAAAAuuqqo=")</f>
        <v>#REF!</v>
      </c>
      <c r="FP59" t="e">
        <f>AND(NhatkyNhap!#REF!,"AAAAAAuuqqs=")</f>
        <v>#REF!</v>
      </c>
      <c r="FQ59" t="e">
        <f>AND(NhatkyNhap!#REF!,"AAAAAAuuqqw=")</f>
        <v>#REF!</v>
      </c>
      <c r="FR59" t="e">
        <f>AND(NhatkyNhap!#REF!,"AAAAAAuuqq0=")</f>
        <v>#REF!</v>
      </c>
      <c r="FS59" t="e">
        <f>AND(NhatkyNhap!#REF!,"AAAAAAuuqq4=")</f>
        <v>#REF!</v>
      </c>
      <c r="FT59" t="e">
        <f>AND(NhatkyNhap!#REF!,"AAAAAAuuqq8=")</f>
        <v>#REF!</v>
      </c>
      <c r="FU59" t="e">
        <f>AND(NhatkyNhap!#REF!,"AAAAAAuuqrA=")</f>
        <v>#REF!</v>
      </c>
      <c r="FV59" t="e">
        <f>AND(NhatkyNhap!#REF!,"AAAAAAuuqrE=")</f>
        <v>#REF!</v>
      </c>
      <c r="FW59" t="e">
        <f>AND(NhatkyNhap!#REF!,"AAAAAAuuqrI=")</f>
        <v>#REF!</v>
      </c>
      <c r="FX59" t="e">
        <f>AND(NhatkyNhap!#REF!,"AAAAAAuuqrM=")</f>
        <v>#REF!</v>
      </c>
      <c r="FY59" t="e">
        <f>AND(NhatkyNhap!#REF!,"AAAAAAuuqrQ=")</f>
        <v>#REF!</v>
      </c>
      <c r="FZ59" t="e">
        <f>AND(NhatkyNhap!#REF!,"AAAAAAuuqrU=")</f>
        <v>#REF!</v>
      </c>
      <c r="GA59" t="e">
        <f>AND(NhatkyNhap!#REF!,"AAAAAAuuqrY=")</f>
        <v>#REF!</v>
      </c>
      <c r="GB59" t="e">
        <f>AND(NhatkyNhap!#REF!,"AAAAAAuuqrc=")</f>
        <v>#REF!</v>
      </c>
      <c r="GC59" t="e">
        <f>IF(NhatkyNhap!#REF!,"AAAAAAuuqrg=",0)</f>
        <v>#REF!</v>
      </c>
      <c r="GD59" t="e">
        <f>AND(NhatkyNhap!#REF!,"AAAAAAuuqrk=")</f>
        <v>#REF!</v>
      </c>
      <c r="GE59" t="e">
        <f>AND(NhatkyNhap!#REF!,"AAAAAAuuqro=")</f>
        <v>#REF!</v>
      </c>
      <c r="GF59" t="e">
        <f>AND(NhatkyNhap!#REF!,"AAAAAAuuqrs=")</f>
        <v>#REF!</v>
      </c>
      <c r="GG59" t="e">
        <f>AND(NhatkyNhap!#REF!,"AAAAAAuuqrw=")</f>
        <v>#REF!</v>
      </c>
      <c r="GH59" t="e">
        <f>AND(NhatkyNhap!#REF!,"AAAAAAuuqr0=")</f>
        <v>#REF!</v>
      </c>
      <c r="GI59" t="e">
        <f>AND(NhatkyNhap!#REF!,"AAAAAAuuqr4=")</f>
        <v>#REF!</v>
      </c>
      <c r="GJ59" t="e">
        <f>AND(NhatkyNhap!#REF!,"AAAAAAuuqr8=")</f>
        <v>#REF!</v>
      </c>
      <c r="GK59" t="e">
        <f>AND(NhatkyNhap!#REF!,"AAAAAAuuqsA=")</f>
        <v>#REF!</v>
      </c>
      <c r="GL59" t="e">
        <f>AND(NhatkyNhap!#REF!,"AAAAAAuuqsE=")</f>
        <v>#REF!</v>
      </c>
      <c r="GM59" t="e">
        <f>AND(NhatkyNhap!#REF!,"AAAAAAuuqsI=")</f>
        <v>#REF!</v>
      </c>
      <c r="GN59" t="e">
        <f>AND(NhatkyNhap!#REF!,"AAAAAAuuqsM=")</f>
        <v>#REF!</v>
      </c>
      <c r="GO59" t="e">
        <f>AND(NhatkyNhap!#REF!,"AAAAAAuuqsQ=")</f>
        <v>#REF!</v>
      </c>
      <c r="GP59" t="e">
        <f>AND(NhatkyNhap!#REF!,"AAAAAAuuqsU=")</f>
        <v>#REF!</v>
      </c>
      <c r="GQ59" t="e">
        <f>AND(NhatkyNhap!#REF!,"AAAAAAuuqsY=")</f>
        <v>#REF!</v>
      </c>
      <c r="GR59" t="e">
        <f>AND(NhatkyNhap!#REF!,"AAAAAAuuqsc=")</f>
        <v>#REF!</v>
      </c>
      <c r="GS59" t="e">
        <f>AND(NhatkyNhap!#REF!,"AAAAAAuuqsg=")</f>
        <v>#REF!</v>
      </c>
      <c r="GT59" t="e">
        <f>AND(NhatkyNhap!#REF!,"AAAAAAuuqsk=")</f>
        <v>#REF!</v>
      </c>
      <c r="GU59" t="e">
        <f>AND(NhatkyNhap!#REF!,"AAAAAAuuqso=")</f>
        <v>#REF!</v>
      </c>
      <c r="GV59" t="e">
        <f>AND(NhatkyNhap!#REF!,"AAAAAAuuqss=")</f>
        <v>#REF!</v>
      </c>
      <c r="GW59" t="e">
        <f>AND(NhatkyNhap!#REF!,"AAAAAAuuqsw=")</f>
        <v>#REF!</v>
      </c>
      <c r="GX59" t="e">
        <f>AND(NhatkyNhap!#REF!,"AAAAAAuuqs0=")</f>
        <v>#REF!</v>
      </c>
      <c r="GY59" t="e">
        <f>AND(NhatkyNhap!#REF!,"AAAAAAuuqs4=")</f>
        <v>#REF!</v>
      </c>
      <c r="GZ59" t="e">
        <f>AND(NhatkyNhap!#REF!,"AAAAAAuuqs8=")</f>
        <v>#REF!</v>
      </c>
      <c r="HA59" t="e">
        <f>AND(NhatkyNhap!#REF!,"AAAAAAuuqtA=")</f>
        <v>#REF!</v>
      </c>
      <c r="HB59" t="e">
        <f>AND(NhatkyNhap!#REF!,"AAAAAAuuqtE=")</f>
        <v>#REF!</v>
      </c>
      <c r="HC59" t="e">
        <f>AND(NhatkyNhap!#REF!,"AAAAAAuuqtI=")</f>
        <v>#REF!</v>
      </c>
      <c r="HD59" t="e">
        <f>AND(NhatkyNhap!#REF!,"AAAAAAuuqtM=")</f>
        <v>#REF!</v>
      </c>
      <c r="HE59" t="e">
        <f>AND(NhatkyNhap!#REF!,"AAAAAAuuqtQ=")</f>
        <v>#REF!</v>
      </c>
      <c r="HF59" t="e">
        <f>AND(NhatkyNhap!#REF!,"AAAAAAuuqtU=")</f>
        <v>#REF!</v>
      </c>
      <c r="HG59" t="e">
        <f>AND(NhatkyNhap!#REF!,"AAAAAAuuqtY=")</f>
        <v>#REF!</v>
      </c>
      <c r="HH59" t="e">
        <f>AND(NhatkyNhap!#REF!,"AAAAAAuuqtc=")</f>
        <v>#REF!</v>
      </c>
      <c r="HI59" t="e">
        <f>AND(NhatkyNhap!#REF!,"AAAAAAuuqtg=")</f>
        <v>#REF!</v>
      </c>
      <c r="HJ59" t="e">
        <f>AND(NhatkyNhap!#REF!,"AAAAAAuuqtk=")</f>
        <v>#REF!</v>
      </c>
      <c r="HK59" t="e">
        <f>AND(NhatkyNhap!#REF!,"AAAAAAuuqto=")</f>
        <v>#REF!</v>
      </c>
      <c r="HL59" t="e">
        <f>IF(NhatkyNhap!#REF!,"AAAAAAuuqts=",0)</f>
        <v>#REF!</v>
      </c>
      <c r="HM59" t="e">
        <f>AND(NhatkyNhap!#REF!,"AAAAAAuuqtw=")</f>
        <v>#REF!</v>
      </c>
      <c r="HN59" t="e">
        <f>AND(NhatkyNhap!#REF!,"AAAAAAuuqt0=")</f>
        <v>#REF!</v>
      </c>
      <c r="HO59" t="e">
        <f>AND(NhatkyNhap!#REF!,"AAAAAAuuqt4=")</f>
        <v>#REF!</v>
      </c>
      <c r="HP59" t="e">
        <f>AND(NhatkyNhap!#REF!,"AAAAAAuuqt8=")</f>
        <v>#REF!</v>
      </c>
      <c r="HQ59" t="e">
        <f>AND(NhatkyNhap!#REF!,"AAAAAAuuquA=")</f>
        <v>#REF!</v>
      </c>
      <c r="HR59" t="e">
        <f>AND(NhatkyNhap!#REF!,"AAAAAAuuquE=")</f>
        <v>#REF!</v>
      </c>
      <c r="HS59" t="e">
        <f>AND(NhatkyNhap!#REF!,"AAAAAAuuquI=")</f>
        <v>#REF!</v>
      </c>
      <c r="HT59" t="e">
        <f>AND(NhatkyNhap!#REF!,"AAAAAAuuquM=")</f>
        <v>#REF!</v>
      </c>
      <c r="HU59" t="e">
        <f>AND(NhatkyNhap!#REF!,"AAAAAAuuquQ=")</f>
        <v>#REF!</v>
      </c>
      <c r="HV59" t="e">
        <f>AND(NhatkyNhap!#REF!,"AAAAAAuuquU=")</f>
        <v>#REF!</v>
      </c>
      <c r="HW59" t="e">
        <f>AND(NhatkyNhap!#REF!,"AAAAAAuuquY=")</f>
        <v>#REF!</v>
      </c>
      <c r="HX59" t="e">
        <f>AND(NhatkyNhap!#REF!,"AAAAAAuuquc=")</f>
        <v>#REF!</v>
      </c>
      <c r="HY59" t="e">
        <f>AND(NhatkyNhap!#REF!,"AAAAAAuuqug=")</f>
        <v>#REF!</v>
      </c>
      <c r="HZ59" t="e">
        <f>AND(NhatkyNhap!#REF!,"AAAAAAuuquk=")</f>
        <v>#REF!</v>
      </c>
      <c r="IA59" t="e">
        <f>AND(NhatkyNhap!#REF!,"AAAAAAuuquo=")</f>
        <v>#REF!</v>
      </c>
      <c r="IB59" t="e">
        <f>AND(NhatkyNhap!#REF!,"AAAAAAuuqus=")</f>
        <v>#REF!</v>
      </c>
      <c r="IC59" t="e">
        <f>AND(NhatkyNhap!#REF!,"AAAAAAuuquw=")</f>
        <v>#REF!</v>
      </c>
      <c r="ID59" t="e">
        <f>AND(NhatkyNhap!#REF!,"AAAAAAuuqu0=")</f>
        <v>#REF!</v>
      </c>
      <c r="IE59" t="e">
        <f>AND(NhatkyNhap!#REF!,"AAAAAAuuqu4=")</f>
        <v>#REF!</v>
      </c>
      <c r="IF59" t="e">
        <f>AND(NhatkyNhap!#REF!,"AAAAAAuuqu8=")</f>
        <v>#REF!</v>
      </c>
      <c r="IG59" t="e">
        <f>AND(NhatkyNhap!#REF!,"AAAAAAuuqvA=")</f>
        <v>#REF!</v>
      </c>
      <c r="IH59" t="e">
        <f>AND(NhatkyNhap!#REF!,"AAAAAAuuqvE=")</f>
        <v>#REF!</v>
      </c>
      <c r="II59" t="e">
        <f>AND(NhatkyNhap!#REF!,"AAAAAAuuqvI=")</f>
        <v>#REF!</v>
      </c>
      <c r="IJ59" t="e">
        <f>AND(NhatkyNhap!#REF!,"AAAAAAuuqvM=")</f>
        <v>#REF!</v>
      </c>
      <c r="IK59" t="e">
        <f>AND(NhatkyNhap!#REF!,"AAAAAAuuqvQ=")</f>
        <v>#REF!</v>
      </c>
      <c r="IL59" t="e">
        <f>AND(NhatkyNhap!#REF!,"AAAAAAuuqvU=")</f>
        <v>#REF!</v>
      </c>
      <c r="IM59" t="e">
        <f>AND(NhatkyNhap!#REF!,"AAAAAAuuqvY=")</f>
        <v>#REF!</v>
      </c>
      <c r="IN59" t="e">
        <f>AND(NhatkyNhap!#REF!,"AAAAAAuuqvc=")</f>
        <v>#REF!</v>
      </c>
      <c r="IO59" t="e">
        <f>AND(NhatkyNhap!#REF!,"AAAAAAuuqvg=")</f>
        <v>#REF!</v>
      </c>
      <c r="IP59" t="e">
        <f>AND(NhatkyNhap!#REF!,"AAAAAAuuqvk=")</f>
        <v>#REF!</v>
      </c>
      <c r="IQ59" t="e">
        <f>AND(NhatkyNhap!#REF!,"AAAAAAuuqvo=")</f>
        <v>#REF!</v>
      </c>
      <c r="IR59" t="e">
        <f>AND(NhatkyNhap!#REF!,"AAAAAAuuqvs=")</f>
        <v>#REF!</v>
      </c>
      <c r="IS59" t="e">
        <f>AND(NhatkyNhap!#REF!,"AAAAAAuuqvw=")</f>
        <v>#REF!</v>
      </c>
      <c r="IT59" t="e">
        <f>AND(NhatkyNhap!#REF!,"AAAAAAuuqv0=")</f>
        <v>#REF!</v>
      </c>
      <c r="IU59" t="e">
        <f>IF(NhatkyNhap!#REF!,"AAAAAAuuqv4=",0)</f>
        <v>#REF!</v>
      </c>
      <c r="IV59" t="e">
        <f>AND(NhatkyNhap!#REF!,"AAAAAAuuqv8=")</f>
        <v>#REF!</v>
      </c>
    </row>
    <row r="60" spans="1:256">
      <c r="A60" t="e">
        <f>AND(NhatkyNhap!#REF!,"AAAAAHf//QA=")</f>
        <v>#REF!</v>
      </c>
      <c r="B60" t="e">
        <f>AND(NhatkyNhap!#REF!,"AAAAAHf//QE=")</f>
        <v>#REF!</v>
      </c>
      <c r="C60" t="e">
        <f>AND(NhatkyNhap!#REF!,"AAAAAHf//QI=")</f>
        <v>#REF!</v>
      </c>
      <c r="D60" t="e">
        <f>AND(NhatkyNhap!#REF!,"AAAAAHf//QM=")</f>
        <v>#REF!</v>
      </c>
      <c r="E60" t="e">
        <f>AND(NhatkyNhap!#REF!,"AAAAAHf//QQ=")</f>
        <v>#REF!</v>
      </c>
      <c r="F60" t="e">
        <f>AND(NhatkyNhap!#REF!,"AAAAAHf//QU=")</f>
        <v>#REF!</v>
      </c>
      <c r="G60" t="e">
        <f>AND(NhatkyNhap!#REF!,"AAAAAHf//QY=")</f>
        <v>#REF!</v>
      </c>
      <c r="H60" t="e">
        <f>AND(NhatkyNhap!#REF!,"AAAAAHf//Qc=")</f>
        <v>#REF!</v>
      </c>
      <c r="I60" t="e">
        <f>AND(NhatkyNhap!#REF!,"AAAAAHf//Qg=")</f>
        <v>#REF!</v>
      </c>
      <c r="J60" t="e">
        <f>AND(NhatkyNhap!#REF!,"AAAAAHf//Qk=")</f>
        <v>#REF!</v>
      </c>
      <c r="K60" t="e">
        <f>AND(NhatkyNhap!#REF!,"AAAAAHf//Qo=")</f>
        <v>#REF!</v>
      </c>
      <c r="L60" t="e">
        <f>AND(NhatkyNhap!#REF!,"AAAAAHf//Qs=")</f>
        <v>#REF!</v>
      </c>
      <c r="M60" t="e">
        <f>AND(NhatkyNhap!#REF!,"AAAAAHf//Qw=")</f>
        <v>#REF!</v>
      </c>
      <c r="N60" t="e">
        <f>AND(NhatkyNhap!#REF!,"AAAAAHf//Q0=")</f>
        <v>#REF!</v>
      </c>
      <c r="O60" t="e">
        <f>AND(NhatkyNhap!#REF!,"AAAAAHf//Q4=")</f>
        <v>#REF!</v>
      </c>
      <c r="P60" t="e">
        <f>AND(NhatkyNhap!#REF!,"AAAAAHf//Q8=")</f>
        <v>#REF!</v>
      </c>
      <c r="Q60" t="e">
        <f>AND(NhatkyNhap!#REF!,"AAAAAHf//RA=")</f>
        <v>#REF!</v>
      </c>
      <c r="R60" t="e">
        <f>AND(NhatkyNhap!#REF!,"AAAAAHf//RE=")</f>
        <v>#REF!</v>
      </c>
      <c r="S60" t="e">
        <f>AND(NhatkyNhap!#REF!,"AAAAAHf//RI=")</f>
        <v>#REF!</v>
      </c>
      <c r="T60" t="e">
        <f>AND(NhatkyNhap!#REF!,"AAAAAHf//RM=")</f>
        <v>#REF!</v>
      </c>
      <c r="U60" t="e">
        <f>AND(NhatkyNhap!#REF!,"AAAAAHf//RQ=")</f>
        <v>#REF!</v>
      </c>
      <c r="V60" t="e">
        <f>AND(NhatkyNhap!#REF!,"AAAAAHf//RU=")</f>
        <v>#REF!</v>
      </c>
      <c r="W60" t="e">
        <f>AND(NhatkyNhap!#REF!,"AAAAAHf//RY=")</f>
        <v>#REF!</v>
      </c>
      <c r="X60" t="e">
        <f>AND(NhatkyNhap!#REF!,"AAAAAHf//Rc=")</f>
        <v>#REF!</v>
      </c>
      <c r="Y60" t="e">
        <f>AND(NhatkyNhap!#REF!,"AAAAAHf//Rg=")</f>
        <v>#REF!</v>
      </c>
      <c r="Z60" t="e">
        <f>AND(NhatkyNhap!#REF!,"AAAAAHf//Rk=")</f>
        <v>#REF!</v>
      </c>
      <c r="AA60" t="e">
        <f>AND(NhatkyNhap!#REF!,"AAAAAHf//Ro=")</f>
        <v>#REF!</v>
      </c>
      <c r="AB60" t="e">
        <f>AND(NhatkyNhap!#REF!,"AAAAAHf//Rs=")</f>
        <v>#REF!</v>
      </c>
      <c r="AC60" t="e">
        <f>AND(NhatkyNhap!#REF!,"AAAAAHf//Rw=")</f>
        <v>#REF!</v>
      </c>
      <c r="AD60" t="e">
        <f>AND(NhatkyNhap!#REF!,"AAAAAHf//R0=")</f>
        <v>#REF!</v>
      </c>
      <c r="AE60" t="e">
        <f>AND(NhatkyNhap!#REF!,"AAAAAHf//R4=")</f>
        <v>#REF!</v>
      </c>
      <c r="AF60" t="e">
        <f>AND(NhatkyNhap!#REF!,"AAAAAHf//R8=")</f>
        <v>#REF!</v>
      </c>
      <c r="AG60" t="e">
        <f>AND(NhatkyNhap!#REF!,"AAAAAHf//SA=")</f>
        <v>#REF!</v>
      </c>
      <c r="AH60" t="e">
        <f>IF(NhatkyNhap!#REF!,"AAAAAHf//SE=",0)</f>
        <v>#REF!</v>
      </c>
      <c r="AI60" t="e">
        <f>AND(NhatkyNhap!#REF!,"AAAAAHf//SI=")</f>
        <v>#REF!</v>
      </c>
      <c r="AJ60" t="e">
        <f>AND(NhatkyNhap!#REF!,"AAAAAHf//SM=")</f>
        <v>#REF!</v>
      </c>
      <c r="AK60" t="e">
        <f>AND(NhatkyNhap!#REF!,"AAAAAHf//SQ=")</f>
        <v>#REF!</v>
      </c>
      <c r="AL60" t="e">
        <f>AND(NhatkyNhap!#REF!,"AAAAAHf//SU=")</f>
        <v>#REF!</v>
      </c>
      <c r="AM60" t="e">
        <f>AND(NhatkyNhap!#REF!,"AAAAAHf//SY=")</f>
        <v>#REF!</v>
      </c>
      <c r="AN60" t="e">
        <f>AND(NhatkyNhap!#REF!,"AAAAAHf//Sc=")</f>
        <v>#REF!</v>
      </c>
      <c r="AO60" t="e">
        <f>AND(NhatkyNhap!#REF!,"AAAAAHf//Sg=")</f>
        <v>#REF!</v>
      </c>
      <c r="AP60" t="e">
        <f>AND(NhatkyNhap!#REF!,"AAAAAHf//Sk=")</f>
        <v>#REF!</v>
      </c>
      <c r="AQ60" t="e">
        <f>AND(NhatkyNhap!#REF!,"AAAAAHf//So=")</f>
        <v>#REF!</v>
      </c>
      <c r="AR60" t="e">
        <f>AND(NhatkyNhap!#REF!,"AAAAAHf//Ss=")</f>
        <v>#REF!</v>
      </c>
      <c r="AS60" t="e">
        <f>AND(NhatkyNhap!#REF!,"AAAAAHf//Sw=")</f>
        <v>#REF!</v>
      </c>
      <c r="AT60" t="e">
        <f>AND(NhatkyNhap!#REF!,"AAAAAHf//S0=")</f>
        <v>#REF!</v>
      </c>
      <c r="AU60" t="e">
        <f>AND(NhatkyNhap!#REF!,"AAAAAHf//S4=")</f>
        <v>#REF!</v>
      </c>
      <c r="AV60" t="e">
        <f>AND(NhatkyNhap!#REF!,"AAAAAHf//S8=")</f>
        <v>#REF!</v>
      </c>
      <c r="AW60" t="e">
        <f>AND(NhatkyNhap!#REF!,"AAAAAHf//TA=")</f>
        <v>#REF!</v>
      </c>
      <c r="AX60" t="e">
        <f>AND(NhatkyNhap!#REF!,"AAAAAHf//TE=")</f>
        <v>#REF!</v>
      </c>
      <c r="AY60" t="e">
        <f>AND(NhatkyNhap!#REF!,"AAAAAHf//TI=")</f>
        <v>#REF!</v>
      </c>
      <c r="AZ60" t="e">
        <f>AND(NhatkyNhap!#REF!,"AAAAAHf//TM=")</f>
        <v>#REF!</v>
      </c>
      <c r="BA60" t="e">
        <f>AND(NhatkyNhap!#REF!,"AAAAAHf//TQ=")</f>
        <v>#REF!</v>
      </c>
      <c r="BB60" t="e">
        <f>AND(NhatkyNhap!#REF!,"AAAAAHf//TU=")</f>
        <v>#REF!</v>
      </c>
      <c r="BC60" t="e">
        <f>AND(NhatkyNhap!#REF!,"AAAAAHf//TY=")</f>
        <v>#REF!</v>
      </c>
      <c r="BD60" t="e">
        <f>AND(NhatkyNhap!#REF!,"AAAAAHf//Tc=")</f>
        <v>#REF!</v>
      </c>
      <c r="BE60" t="e">
        <f>AND(NhatkyNhap!#REF!,"AAAAAHf//Tg=")</f>
        <v>#REF!</v>
      </c>
      <c r="BF60" t="e">
        <f>AND(NhatkyNhap!#REF!,"AAAAAHf//Tk=")</f>
        <v>#REF!</v>
      </c>
      <c r="BG60" t="e">
        <f>AND(NhatkyNhap!#REF!,"AAAAAHf//To=")</f>
        <v>#REF!</v>
      </c>
      <c r="BH60" t="e">
        <f>AND(NhatkyNhap!#REF!,"AAAAAHf//Ts=")</f>
        <v>#REF!</v>
      </c>
      <c r="BI60" t="e">
        <f>AND(NhatkyNhap!#REF!,"AAAAAHf//Tw=")</f>
        <v>#REF!</v>
      </c>
      <c r="BJ60" t="e">
        <f>AND(NhatkyNhap!#REF!,"AAAAAHf//T0=")</f>
        <v>#REF!</v>
      </c>
      <c r="BK60" t="e">
        <f>AND(NhatkyNhap!#REF!,"AAAAAHf//T4=")</f>
        <v>#REF!</v>
      </c>
      <c r="BL60" t="e">
        <f>AND(NhatkyNhap!#REF!,"AAAAAHf//T8=")</f>
        <v>#REF!</v>
      </c>
      <c r="BM60" t="e">
        <f>AND(NhatkyNhap!#REF!,"AAAAAHf//UA=")</f>
        <v>#REF!</v>
      </c>
      <c r="BN60" t="e">
        <f>AND(NhatkyNhap!#REF!,"AAAAAHf//UE=")</f>
        <v>#REF!</v>
      </c>
      <c r="BO60" t="e">
        <f>AND(NhatkyNhap!#REF!,"AAAAAHf//UI=")</f>
        <v>#REF!</v>
      </c>
      <c r="BP60" t="e">
        <f>AND(NhatkyNhap!#REF!,"AAAAAHf//UM=")</f>
        <v>#REF!</v>
      </c>
      <c r="BQ60" t="e">
        <f>IF(NhatkyNhap!#REF!,"AAAAAHf//UQ=",0)</f>
        <v>#REF!</v>
      </c>
      <c r="BR60" t="e">
        <f>AND(NhatkyNhap!#REF!,"AAAAAHf//UU=")</f>
        <v>#REF!</v>
      </c>
      <c r="BS60" t="e">
        <f>AND(NhatkyNhap!#REF!,"AAAAAHf//UY=")</f>
        <v>#REF!</v>
      </c>
      <c r="BT60" t="e">
        <f>AND(NhatkyNhap!#REF!,"AAAAAHf//Uc=")</f>
        <v>#REF!</v>
      </c>
      <c r="BU60" t="e">
        <f>AND(NhatkyNhap!#REF!,"AAAAAHf//Ug=")</f>
        <v>#REF!</v>
      </c>
      <c r="BV60" t="e">
        <f>AND(NhatkyNhap!#REF!,"AAAAAHf//Uk=")</f>
        <v>#REF!</v>
      </c>
      <c r="BW60" t="e">
        <f>AND(NhatkyNhap!#REF!,"AAAAAHf//Uo=")</f>
        <v>#REF!</v>
      </c>
      <c r="BX60" t="e">
        <f>AND(NhatkyNhap!#REF!,"AAAAAHf//Us=")</f>
        <v>#REF!</v>
      </c>
      <c r="BY60" t="e">
        <f>AND(NhatkyNhap!#REF!,"AAAAAHf//Uw=")</f>
        <v>#REF!</v>
      </c>
      <c r="BZ60" t="e">
        <f>AND(NhatkyNhap!#REF!,"AAAAAHf//U0=")</f>
        <v>#REF!</v>
      </c>
      <c r="CA60" t="e">
        <f>AND(NhatkyNhap!#REF!,"AAAAAHf//U4=")</f>
        <v>#REF!</v>
      </c>
      <c r="CB60" t="e">
        <f>AND(NhatkyNhap!#REF!,"AAAAAHf//U8=")</f>
        <v>#REF!</v>
      </c>
      <c r="CC60" t="e">
        <f>AND(NhatkyNhap!#REF!,"AAAAAHf//VA=")</f>
        <v>#REF!</v>
      </c>
      <c r="CD60" t="e">
        <f>AND(NhatkyNhap!#REF!,"AAAAAHf//VE=")</f>
        <v>#REF!</v>
      </c>
      <c r="CE60" t="e">
        <f>AND(NhatkyNhap!#REF!,"AAAAAHf//VI=")</f>
        <v>#REF!</v>
      </c>
      <c r="CF60" t="e">
        <f>AND(NhatkyNhap!#REF!,"AAAAAHf//VM=")</f>
        <v>#REF!</v>
      </c>
      <c r="CG60" t="e">
        <f>AND(NhatkyNhap!#REF!,"AAAAAHf//VQ=")</f>
        <v>#REF!</v>
      </c>
      <c r="CH60" t="e">
        <f>AND(NhatkyNhap!#REF!,"AAAAAHf//VU=")</f>
        <v>#REF!</v>
      </c>
      <c r="CI60" t="e">
        <f>AND(NhatkyNhap!#REF!,"AAAAAHf//VY=")</f>
        <v>#REF!</v>
      </c>
      <c r="CJ60" t="e">
        <f>AND(NhatkyNhap!#REF!,"AAAAAHf//Vc=")</f>
        <v>#REF!</v>
      </c>
      <c r="CK60" t="e">
        <f>AND(NhatkyNhap!#REF!,"AAAAAHf//Vg=")</f>
        <v>#REF!</v>
      </c>
      <c r="CL60" t="e">
        <f>AND(NhatkyNhap!#REF!,"AAAAAHf//Vk=")</f>
        <v>#REF!</v>
      </c>
      <c r="CM60" t="e">
        <f>AND(NhatkyNhap!#REF!,"AAAAAHf//Vo=")</f>
        <v>#REF!</v>
      </c>
      <c r="CN60" t="e">
        <f>AND(NhatkyNhap!#REF!,"AAAAAHf//Vs=")</f>
        <v>#REF!</v>
      </c>
      <c r="CO60" t="e">
        <f>AND(NhatkyNhap!#REF!,"AAAAAHf//Vw=")</f>
        <v>#REF!</v>
      </c>
      <c r="CP60" t="e">
        <f>AND(NhatkyNhap!#REF!,"AAAAAHf//V0=")</f>
        <v>#REF!</v>
      </c>
      <c r="CQ60" t="e">
        <f>AND(NhatkyNhap!#REF!,"AAAAAHf//V4=")</f>
        <v>#REF!</v>
      </c>
      <c r="CR60" t="e">
        <f>AND(NhatkyNhap!#REF!,"AAAAAHf//V8=")</f>
        <v>#REF!</v>
      </c>
      <c r="CS60" t="e">
        <f>AND(NhatkyNhap!#REF!,"AAAAAHf//WA=")</f>
        <v>#REF!</v>
      </c>
      <c r="CT60" t="e">
        <f>AND(NhatkyNhap!#REF!,"AAAAAHf//WE=")</f>
        <v>#REF!</v>
      </c>
      <c r="CU60" t="e">
        <f>AND(NhatkyNhap!#REF!,"AAAAAHf//WI=")</f>
        <v>#REF!</v>
      </c>
      <c r="CV60" t="e">
        <f>AND(NhatkyNhap!#REF!,"AAAAAHf//WM=")</f>
        <v>#REF!</v>
      </c>
      <c r="CW60" t="e">
        <f>AND(NhatkyNhap!#REF!,"AAAAAHf//WQ=")</f>
        <v>#REF!</v>
      </c>
      <c r="CX60" t="e">
        <f>AND(NhatkyNhap!#REF!,"AAAAAHf//WU=")</f>
        <v>#REF!</v>
      </c>
      <c r="CY60" t="e">
        <f>AND(NhatkyNhap!#REF!,"AAAAAHf//WY=")</f>
        <v>#REF!</v>
      </c>
      <c r="CZ60" t="e">
        <f>IF(NhatkyNhap!#REF!,"AAAAAHf//Wc=",0)</f>
        <v>#REF!</v>
      </c>
      <c r="DA60" t="e">
        <f>AND(NhatkyNhap!#REF!,"AAAAAHf//Wg=")</f>
        <v>#REF!</v>
      </c>
      <c r="DB60" t="e">
        <f>AND(NhatkyNhap!#REF!,"AAAAAHf//Wk=")</f>
        <v>#REF!</v>
      </c>
      <c r="DC60" t="e">
        <f>AND(NhatkyNhap!#REF!,"AAAAAHf//Wo=")</f>
        <v>#REF!</v>
      </c>
      <c r="DD60" t="e">
        <f>AND(NhatkyNhap!#REF!,"AAAAAHf//Ws=")</f>
        <v>#REF!</v>
      </c>
      <c r="DE60" t="e">
        <f>AND(NhatkyNhap!#REF!,"AAAAAHf//Ww=")</f>
        <v>#REF!</v>
      </c>
      <c r="DF60" t="e">
        <f>AND(NhatkyNhap!#REF!,"AAAAAHf//W0=")</f>
        <v>#REF!</v>
      </c>
      <c r="DG60" t="e">
        <f>AND(NhatkyNhap!#REF!,"AAAAAHf//W4=")</f>
        <v>#REF!</v>
      </c>
      <c r="DH60" t="e">
        <f>AND(NhatkyNhap!#REF!,"AAAAAHf//W8=")</f>
        <v>#REF!</v>
      </c>
      <c r="DI60" t="e">
        <f>AND(NhatkyNhap!#REF!,"AAAAAHf//XA=")</f>
        <v>#REF!</v>
      </c>
      <c r="DJ60" t="e">
        <f>AND(NhatkyNhap!#REF!,"AAAAAHf//XE=")</f>
        <v>#REF!</v>
      </c>
      <c r="DK60" t="e">
        <f>AND(NhatkyNhap!#REF!,"AAAAAHf//XI=")</f>
        <v>#REF!</v>
      </c>
      <c r="DL60" t="e">
        <f>AND(NhatkyNhap!#REF!,"AAAAAHf//XM=")</f>
        <v>#REF!</v>
      </c>
      <c r="DM60" t="e">
        <f>AND(NhatkyNhap!#REF!,"AAAAAHf//XQ=")</f>
        <v>#REF!</v>
      </c>
      <c r="DN60" t="e">
        <f>AND(NhatkyNhap!#REF!,"AAAAAHf//XU=")</f>
        <v>#REF!</v>
      </c>
      <c r="DO60" t="e">
        <f>AND(NhatkyNhap!#REF!,"AAAAAHf//XY=")</f>
        <v>#REF!</v>
      </c>
      <c r="DP60" t="e">
        <f>AND(NhatkyNhap!#REF!,"AAAAAHf//Xc=")</f>
        <v>#REF!</v>
      </c>
      <c r="DQ60" t="e">
        <f>AND(NhatkyNhap!#REF!,"AAAAAHf//Xg=")</f>
        <v>#REF!</v>
      </c>
      <c r="DR60" t="e">
        <f>AND(NhatkyNhap!#REF!,"AAAAAHf//Xk=")</f>
        <v>#REF!</v>
      </c>
      <c r="DS60" t="e">
        <f>AND(NhatkyNhap!#REF!,"AAAAAHf//Xo=")</f>
        <v>#REF!</v>
      </c>
      <c r="DT60" t="e">
        <f>AND(NhatkyNhap!#REF!,"AAAAAHf//Xs=")</f>
        <v>#REF!</v>
      </c>
      <c r="DU60" t="e">
        <f>AND(NhatkyNhap!#REF!,"AAAAAHf//Xw=")</f>
        <v>#REF!</v>
      </c>
      <c r="DV60" t="e">
        <f>AND(NhatkyNhap!#REF!,"AAAAAHf//X0=")</f>
        <v>#REF!</v>
      </c>
      <c r="DW60" t="e">
        <f>AND(NhatkyNhap!#REF!,"AAAAAHf//X4=")</f>
        <v>#REF!</v>
      </c>
      <c r="DX60" t="e">
        <f>AND(NhatkyNhap!#REF!,"AAAAAHf//X8=")</f>
        <v>#REF!</v>
      </c>
      <c r="DY60" t="e">
        <f>AND(NhatkyNhap!#REF!,"AAAAAHf//YA=")</f>
        <v>#REF!</v>
      </c>
      <c r="DZ60" t="e">
        <f>AND(NhatkyNhap!#REF!,"AAAAAHf//YE=")</f>
        <v>#REF!</v>
      </c>
      <c r="EA60" t="e">
        <f>AND(NhatkyNhap!#REF!,"AAAAAHf//YI=")</f>
        <v>#REF!</v>
      </c>
      <c r="EB60" t="e">
        <f>AND(NhatkyNhap!#REF!,"AAAAAHf//YM=")</f>
        <v>#REF!</v>
      </c>
      <c r="EC60" t="e">
        <f>AND(NhatkyNhap!#REF!,"AAAAAHf//YQ=")</f>
        <v>#REF!</v>
      </c>
      <c r="ED60" t="e">
        <f>AND(NhatkyNhap!#REF!,"AAAAAHf//YU=")</f>
        <v>#REF!</v>
      </c>
      <c r="EE60" t="e">
        <f>AND(NhatkyNhap!#REF!,"AAAAAHf//YY=")</f>
        <v>#REF!</v>
      </c>
      <c r="EF60" t="e">
        <f>AND(NhatkyNhap!#REF!,"AAAAAHf//Yc=")</f>
        <v>#REF!</v>
      </c>
      <c r="EG60" t="e">
        <f>AND(NhatkyNhap!#REF!,"AAAAAHf//Yg=")</f>
        <v>#REF!</v>
      </c>
      <c r="EH60" t="e">
        <f>AND(NhatkyNhap!#REF!,"AAAAAHf//Yk=")</f>
        <v>#REF!</v>
      </c>
      <c r="EI60" t="e">
        <f>IF(NhatkyNhap!#REF!,"AAAAAHf//Yo=",0)</f>
        <v>#REF!</v>
      </c>
      <c r="EJ60" t="e">
        <f>AND(NhatkyNhap!#REF!,"AAAAAHf//Ys=")</f>
        <v>#REF!</v>
      </c>
      <c r="EK60" t="e">
        <f>AND(NhatkyNhap!#REF!,"AAAAAHf//Yw=")</f>
        <v>#REF!</v>
      </c>
      <c r="EL60" t="e">
        <f>AND(NhatkyNhap!#REF!,"AAAAAHf//Y0=")</f>
        <v>#REF!</v>
      </c>
      <c r="EM60" t="e">
        <f>AND(NhatkyNhap!#REF!,"AAAAAHf//Y4=")</f>
        <v>#REF!</v>
      </c>
      <c r="EN60" t="e">
        <f>AND(NhatkyNhap!#REF!,"AAAAAHf//Y8=")</f>
        <v>#REF!</v>
      </c>
      <c r="EO60" t="e">
        <f>AND(NhatkyNhap!#REF!,"AAAAAHf//ZA=")</f>
        <v>#REF!</v>
      </c>
      <c r="EP60" t="e">
        <f>AND(NhatkyNhap!#REF!,"AAAAAHf//ZE=")</f>
        <v>#REF!</v>
      </c>
      <c r="EQ60" t="e">
        <f>AND(NhatkyNhap!#REF!,"AAAAAHf//ZI=")</f>
        <v>#REF!</v>
      </c>
      <c r="ER60" t="e">
        <f>AND(NhatkyNhap!#REF!,"AAAAAHf//ZM=")</f>
        <v>#REF!</v>
      </c>
      <c r="ES60" t="e">
        <f>AND(NhatkyNhap!#REF!,"AAAAAHf//ZQ=")</f>
        <v>#REF!</v>
      </c>
      <c r="ET60" t="e">
        <f>AND(NhatkyNhap!#REF!,"AAAAAHf//ZU=")</f>
        <v>#REF!</v>
      </c>
      <c r="EU60" t="e">
        <f>AND(NhatkyNhap!#REF!,"AAAAAHf//ZY=")</f>
        <v>#REF!</v>
      </c>
      <c r="EV60" t="e">
        <f>AND(NhatkyNhap!#REF!,"AAAAAHf//Zc=")</f>
        <v>#REF!</v>
      </c>
      <c r="EW60" t="e">
        <f>AND(NhatkyNhap!#REF!,"AAAAAHf//Zg=")</f>
        <v>#REF!</v>
      </c>
      <c r="EX60" t="e">
        <f>AND(NhatkyNhap!#REF!,"AAAAAHf//Zk=")</f>
        <v>#REF!</v>
      </c>
      <c r="EY60" t="e">
        <f>AND(NhatkyNhap!#REF!,"AAAAAHf//Zo=")</f>
        <v>#REF!</v>
      </c>
      <c r="EZ60" t="e">
        <f>AND(NhatkyNhap!#REF!,"AAAAAHf//Zs=")</f>
        <v>#REF!</v>
      </c>
      <c r="FA60" t="e">
        <f>AND(NhatkyNhap!#REF!,"AAAAAHf//Zw=")</f>
        <v>#REF!</v>
      </c>
      <c r="FB60" t="e">
        <f>AND(NhatkyNhap!#REF!,"AAAAAHf//Z0=")</f>
        <v>#REF!</v>
      </c>
      <c r="FC60" t="e">
        <f>AND(NhatkyNhap!#REF!,"AAAAAHf//Z4=")</f>
        <v>#REF!</v>
      </c>
      <c r="FD60" t="e">
        <f>AND(NhatkyNhap!#REF!,"AAAAAHf//Z8=")</f>
        <v>#REF!</v>
      </c>
      <c r="FE60" t="e">
        <f>AND(NhatkyNhap!#REF!,"AAAAAHf//aA=")</f>
        <v>#REF!</v>
      </c>
      <c r="FF60" t="e">
        <f>AND(NhatkyNhap!#REF!,"AAAAAHf//aE=")</f>
        <v>#REF!</v>
      </c>
      <c r="FG60" t="e">
        <f>AND(NhatkyNhap!#REF!,"AAAAAHf//aI=")</f>
        <v>#REF!</v>
      </c>
      <c r="FH60" t="e">
        <f>AND(NhatkyNhap!#REF!,"AAAAAHf//aM=")</f>
        <v>#REF!</v>
      </c>
      <c r="FI60" t="e">
        <f>AND(NhatkyNhap!#REF!,"AAAAAHf//aQ=")</f>
        <v>#REF!</v>
      </c>
      <c r="FJ60" t="e">
        <f>AND(NhatkyNhap!#REF!,"AAAAAHf//aU=")</f>
        <v>#REF!</v>
      </c>
      <c r="FK60" t="e">
        <f>AND(NhatkyNhap!#REF!,"AAAAAHf//aY=")</f>
        <v>#REF!</v>
      </c>
      <c r="FL60" t="e">
        <f>AND(NhatkyNhap!#REF!,"AAAAAHf//ac=")</f>
        <v>#REF!</v>
      </c>
      <c r="FM60" t="e">
        <f>AND(NhatkyNhap!#REF!,"AAAAAHf//ag=")</f>
        <v>#REF!</v>
      </c>
      <c r="FN60" t="e">
        <f>AND(NhatkyNhap!#REF!,"AAAAAHf//ak=")</f>
        <v>#REF!</v>
      </c>
      <c r="FO60" t="e">
        <f>AND(NhatkyNhap!#REF!,"AAAAAHf//ao=")</f>
        <v>#REF!</v>
      </c>
      <c r="FP60" t="e">
        <f>AND(NhatkyNhap!#REF!,"AAAAAHf//as=")</f>
        <v>#REF!</v>
      </c>
      <c r="FQ60" t="e">
        <f>AND(NhatkyNhap!#REF!,"AAAAAHf//aw=")</f>
        <v>#REF!</v>
      </c>
      <c r="FR60" t="e">
        <f>IF(NhatkyNhap!#REF!,"AAAAAHf//a0=",0)</f>
        <v>#REF!</v>
      </c>
      <c r="FS60" t="e">
        <f>AND(NhatkyNhap!#REF!,"AAAAAHf//a4=")</f>
        <v>#REF!</v>
      </c>
      <c r="FT60" t="e">
        <f>AND(NhatkyNhap!#REF!,"AAAAAHf//a8=")</f>
        <v>#REF!</v>
      </c>
      <c r="FU60" t="e">
        <f>AND(NhatkyNhap!#REF!,"AAAAAHf//bA=")</f>
        <v>#REF!</v>
      </c>
      <c r="FV60" t="e">
        <f>AND(NhatkyNhap!#REF!,"AAAAAHf//bE=")</f>
        <v>#REF!</v>
      </c>
      <c r="FW60" t="e">
        <f>AND(NhatkyNhap!#REF!,"AAAAAHf//bI=")</f>
        <v>#REF!</v>
      </c>
      <c r="FX60" t="e">
        <f>AND(NhatkyNhap!#REF!,"AAAAAHf//bM=")</f>
        <v>#REF!</v>
      </c>
      <c r="FY60" t="e">
        <f>AND(NhatkyNhap!#REF!,"AAAAAHf//bQ=")</f>
        <v>#REF!</v>
      </c>
      <c r="FZ60" t="e">
        <f>AND(NhatkyNhap!#REF!,"AAAAAHf//bU=")</f>
        <v>#REF!</v>
      </c>
      <c r="GA60" t="e">
        <f>AND(NhatkyNhap!#REF!,"AAAAAHf//bY=")</f>
        <v>#REF!</v>
      </c>
      <c r="GB60" t="e">
        <f>AND(NhatkyNhap!#REF!,"AAAAAHf//bc=")</f>
        <v>#REF!</v>
      </c>
      <c r="GC60" t="e">
        <f>AND(NhatkyNhap!#REF!,"AAAAAHf//bg=")</f>
        <v>#REF!</v>
      </c>
      <c r="GD60" t="e">
        <f>AND(NhatkyNhap!#REF!,"AAAAAHf//bk=")</f>
        <v>#REF!</v>
      </c>
      <c r="GE60" t="e">
        <f>AND(NhatkyNhap!#REF!,"AAAAAHf//bo=")</f>
        <v>#REF!</v>
      </c>
      <c r="GF60" t="e">
        <f>AND(NhatkyNhap!#REF!,"AAAAAHf//bs=")</f>
        <v>#REF!</v>
      </c>
      <c r="GG60" t="e">
        <f>AND(NhatkyNhap!#REF!,"AAAAAHf//bw=")</f>
        <v>#REF!</v>
      </c>
      <c r="GH60" t="e">
        <f>AND(NhatkyNhap!#REF!,"AAAAAHf//b0=")</f>
        <v>#REF!</v>
      </c>
      <c r="GI60" t="e">
        <f>AND(NhatkyNhap!#REF!,"AAAAAHf//b4=")</f>
        <v>#REF!</v>
      </c>
      <c r="GJ60" t="e">
        <f>AND(NhatkyNhap!#REF!,"AAAAAHf//b8=")</f>
        <v>#REF!</v>
      </c>
      <c r="GK60" t="e">
        <f>AND(NhatkyNhap!#REF!,"AAAAAHf//cA=")</f>
        <v>#REF!</v>
      </c>
      <c r="GL60" t="e">
        <f>AND(NhatkyNhap!#REF!,"AAAAAHf//cE=")</f>
        <v>#REF!</v>
      </c>
      <c r="GM60" t="e">
        <f>AND(NhatkyNhap!#REF!,"AAAAAHf//cI=")</f>
        <v>#REF!</v>
      </c>
      <c r="GN60" t="e">
        <f>AND(NhatkyNhap!#REF!,"AAAAAHf//cM=")</f>
        <v>#REF!</v>
      </c>
      <c r="GO60" t="e">
        <f>AND(NhatkyNhap!#REF!,"AAAAAHf//cQ=")</f>
        <v>#REF!</v>
      </c>
      <c r="GP60" t="e">
        <f>AND(NhatkyNhap!#REF!,"AAAAAHf//cU=")</f>
        <v>#REF!</v>
      </c>
      <c r="GQ60" t="e">
        <f>AND(NhatkyNhap!#REF!,"AAAAAHf//cY=")</f>
        <v>#REF!</v>
      </c>
      <c r="GR60" t="e">
        <f>AND(NhatkyNhap!#REF!,"AAAAAHf//cc=")</f>
        <v>#REF!</v>
      </c>
      <c r="GS60" t="e">
        <f>AND(NhatkyNhap!#REF!,"AAAAAHf//cg=")</f>
        <v>#REF!</v>
      </c>
      <c r="GT60" t="e">
        <f>AND(NhatkyNhap!#REF!,"AAAAAHf//ck=")</f>
        <v>#REF!</v>
      </c>
      <c r="GU60" t="e">
        <f>AND(NhatkyNhap!#REF!,"AAAAAHf//co=")</f>
        <v>#REF!</v>
      </c>
      <c r="GV60" t="e">
        <f>AND(NhatkyNhap!#REF!,"AAAAAHf//cs=")</f>
        <v>#REF!</v>
      </c>
      <c r="GW60" t="e">
        <f>AND(NhatkyNhap!#REF!,"AAAAAHf//cw=")</f>
        <v>#REF!</v>
      </c>
      <c r="GX60" t="e">
        <f>AND(NhatkyNhap!#REF!,"AAAAAHf//c0=")</f>
        <v>#REF!</v>
      </c>
      <c r="GY60" t="e">
        <f>AND(NhatkyNhap!#REF!,"AAAAAHf//c4=")</f>
        <v>#REF!</v>
      </c>
      <c r="GZ60" t="e">
        <f>AND(NhatkyNhap!#REF!,"AAAAAHf//c8=")</f>
        <v>#REF!</v>
      </c>
      <c r="HA60" t="e">
        <f>IF(NhatkyNhap!#REF!,"AAAAAHf//dA=",0)</f>
        <v>#REF!</v>
      </c>
      <c r="HB60" t="e">
        <f>AND(NhatkyNhap!#REF!,"AAAAAHf//dE=")</f>
        <v>#REF!</v>
      </c>
      <c r="HC60" t="e">
        <f>AND(NhatkyNhap!#REF!,"AAAAAHf//dI=")</f>
        <v>#REF!</v>
      </c>
      <c r="HD60" t="e">
        <f>AND(NhatkyNhap!#REF!,"AAAAAHf//dM=")</f>
        <v>#REF!</v>
      </c>
      <c r="HE60" t="e">
        <f>AND(NhatkyNhap!#REF!,"AAAAAHf//dQ=")</f>
        <v>#REF!</v>
      </c>
      <c r="HF60" t="e">
        <f>AND(NhatkyNhap!#REF!,"AAAAAHf//dU=")</f>
        <v>#REF!</v>
      </c>
      <c r="HG60" t="e">
        <f>AND(NhatkyNhap!#REF!,"AAAAAHf//dY=")</f>
        <v>#REF!</v>
      </c>
      <c r="HH60" t="e">
        <f>AND(NhatkyNhap!#REF!,"AAAAAHf//dc=")</f>
        <v>#REF!</v>
      </c>
      <c r="HI60" t="e">
        <f>AND(NhatkyNhap!#REF!,"AAAAAHf//dg=")</f>
        <v>#REF!</v>
      </c>
      <c r="HJ60" t="e">
        <f>AND(NhatkyNhap!#REF!,"AAAAAHf//dk=")</f>
        <v>#REF!</v>
      </c>
      <c r="HK60" t="e">
        <f>AND(NhatkyNhap!#REF!,"AAAAAHf//do=")</f>
        <v>#REF!</v>
      </c>
      <c r="HL60" t="e">
        <f>AND(NhatkyNhap!#REF!,"AAAAAHf//ds=")</f>
        <v>#REF!</v>
      </c>
      <c r="HM60" t="e">
        <f>AND(NhatkyNhap!#REF!,"AAAAAHf//dw=")</f>
        <v>#REF!</v>
      </c>
      <c r="HN60" t="e">
        <f>AND(NhatkyNhap!#REF!,"AAAAAHf//d0=")</f>
        <v>#REF!</v>
      </c>
      <c r="HO60" t="e">
        <f>AND(NhatkyNhap!#REF!,"AAAAAHf//d4=")</f>
        <v>#REF!</v>
      </c>
      <c r="HP60" t="e">
        <f>AND(NhatkyNhap!#REF!,"AAAAAHf//d8=")</f>
        <v>#REF!</v>
      </c>
      <c r="HQ60" t="e">
        <f>AND(NhatkyNhap!#REF!,"AAAAAHf//eA=")</f>
        <v>#REF!</v>
      </c>
      <c r="HR60" t="e">
        <f>AND(NhatkyNhap!#REF!,"AAAAAHf//eE=")</f>
        <v>#REF!</v>
      </c>
      <c r="HS60" t="e">
        <f>AND(NhatkyNhap!#REF!,"AAAAAHf//eI=")</f>
        <v>#REF!</v>
      </c>
      <c r="HT60" t="e">
        <f>AND(NhatkyNhap!#REF!,"AAAAAHf//eM=")</f>
        <v>#REF!</v>
      </c>
      <c r="HU60" t="e">
        <f>AND(NhatkyNhap!#REF!,"AAAAAHf//eQ=")</f>
        <v>#REF!</v>
      </c>
      <c r="HV60" t="e">
        <f>AND(NhatkyNhap!#REF!,"AAAAAHf//eU=")</f>
        <v>#REF!</v>
      </c>
      <c r="HW60" t="e">
        <f>AND(NhatkyNhap!#REF!,"AAAAAHf//eY=")</f>
        <v>#REF!</v>
      </c>
      <c r="HX60" t="e">
        <f>AND(NhatkyNhap!#REF!,"AAAAAHf//ec=")</f>
        <v>#REF!</v>
      </c>
      <c r="HY60" t="e">
        <f>AND(NhatkyNhap!#REF!,"AAAAAHf//eg=")</f>
        <v>#REF!</v>
      </c>
      <c r="HZ60" t="e">
        <f>AND(NhatkyNhap!#REF!,"AAAAAHf//ek=")</f>
        <v>#REF!</v>
      </c>
      <c r="IA60" t="e">
        <f>AND(NhatkyNhap!#REF!,"AAAAAHf//eo=")</f>
        <v>#REF!</v>
      </c>
      <c r="IB60" t="e">
        <f>AND(NhatkyNhap!#REF!,"AAAAAHf//es=")</f>
        <v>#REF!</v>
      </c>
      <c r="IC60" t="e">
        <f>AND(NhatkyNhap!#REF!,"AAAAAHf//ew=")</f>
        <v>#REF!</v>
      </c>
      <c r="ID60" t="e">
        <f>AND(NhatkyNhap!#REF!,"AAAAAHf//e0=")</f>
        <v>#REF!</v>
      </c>
      <c r="IE60" t="e">
        <f>AND(NhatkyNhap!#REF!,"AAAAAHf//e4=")</f>
        <v>#REF!</v>
      </c>
      <c r="IF60" t="e">
        <f>AND(NhatkyNhap!#REF!,"AAAAAHf//e8=")</f>
        <v>#REF!</v>
      </c>
      <c r="IG60" t="e">
        <f>AND(NhatkyNhap!#REF!,"AAAAAHf//fA=")</f>
        <v>#REF!</v>
      </c>
      <c r="IH60" t="e">
        <f>AND(NhatkyNhap!#REF!,"AAAAAHf//fE=")</f>
        <v>#REF!</v>
      </c>
      <c r="II60" t="e">
        <f>AND(NhatkyNhap!#REF!,"AAAAAHf//fI=")</f>
        <v>#REF!</v>
      </c>
      <c r="IJ60" t="e">
        <f>IF(NhatkyNhap!#REF!,"AAAAAHf//fM=",0)</f>
        <v>#REF!</v>
      </c>
      <c r="IK60" t="e">
        <f>AND(NhatkyNhap!#REF!,"AAAAAHf//fQ=")</f>
        <v>#REF!</v>
      </c>
      <c r="IL60" t="e">
        <f>AND(NhatkyNhap!#REF!,"AAAAAHf//fU=")</f>
        <v>#REF!</v>
      </c>
      <c r="IM60" t="e">
        <f>AND(NhatkyNhap!#REF!,"AAAAAHf//fY=")</f>
        <v>#REF!</v>
      </c>
      <c r="IN60" t="e">
        <f>AND(NhatkyNhap!#REF!,"AAAAAHf//fc=")</f>
        <v>#REF!</v>
      </c>
      <c r="IO60" t="e">
        <f>AND(NhatkyNhap!#REF!,"AAAAAHf//fg=")</f>
        <v>#REF!</v>
      </c>
      <c r="IP60" t="e">
        <f>AND(NhatkyNhap!#REF!,"AAAAAHf//fk=")</f>
        <v>#REF!</v>
      </c>
      <c r="IQ60" t="e">
        <f>AND(NhatkyNhap!#REF!,"AAAAAHf//fo=")</f>
        <v>#REF!</v>
      </c>
      <c r="IR60" t="e">
        <f>AND(NhatkyNhap!#REF!,"AAAAAHf//fs=")</f>
        <v>#REF!</v>
      </c>
      <c r="IS60" t="e">
        <f>AND(NhatkyNhap!#REF!,"AAAAAHf//fw=")</f>
        <v>#REF!</v>
      </c>
      <c r="IT60" t="e">
        <f>AND(NhatkyNhap!#REF!,"AAAAAHf//f0=")</f>
        <v>#REF!</v>
      </c>
      <c r="IU60" t="e">
        <f>AND(NhatkyNhap!#REF!,"AAAAAHf//f4=")</f>
        <v>#REF!</v>
      </c>
      <c r="IV60" t="e">
        <f>AND(NhatkyNhap!#REF!,"AAAAAHf//f8=")</f>
        <v>#REF!</v>
      </c>
    </row>
    <row r="61" spans="1:256">
      <c r="A61" t="e">
        <f>AND(NhatkyNhap!#REF!,"AAAAAH8rxwA=")</f>
        <v>#REF!</v>
      </c>
      <c r="B61" t="e">
        <f>AND(NhatkyNhap!#REF!,"AAAAAH8rxwE=")</f>
        <v>#REF!</v>
      </c>
      <c r="C61" t="e">
        <f>AND(NhatkyNhap!#REF!,"AAAAAH8rxwI=")</f>
        <v>#REF!</v>
      </c>
      <c r="D61" t="e">
        <f>AND(NhatkyNhap!#REF!,"AAAAAH8rxwM=")</f>
        <v>#REF!</v>
      </c>
      <c r="E61" t="e">
        <f>AND(NhatkyNhap!#REF!,"AAAAAH8rxwQ=")</f>
        <v>#REF!</v>
      </c>
      <c r="F61" t="e">
        <f>AND(NhatkyNhap!#REF!,"AAAAAH8rxwU=")</f>
        <v>#REF!</v>
      </c>
      <c r="G61" t="e">
        <f>AND(NhatkyNhap!#REF!,"AAAAAH8rxwY=")</f>
        <v>#REF!</v>
      </c>
      <c r="H61" t="e">
        <f>AND(NhatkyNhap!#REF!,"AAAAAH8rxwc=")</f>
        <v>#REF!</v>
      </c>
      <c r="I61" t="e">
        <f>AND(NhatkyNhap!#REF!,"AAAAAH8rxwg=")</f>
        <v>#REF!</v>
      </c>
      <c r="J61" t="e">
        <f>AND(NhatkyNhap!#REF!,"AAAAAH8rxwk=")</f>
        <v>#REF!</v>
      </c>
      <c r="K61" t="e">
        <f>AND(NhatkyNhap!#REF!,"AAAAAH8rxwo=")</f>
        <v>#REF!</v>
      </c>
      <c r="L61" t="e">
        <f>AND(NhatkyNhap!#REF!,"AAAAAH8rxws=")</f>
        <v>#REF!</v>
      </c>
      <c r="M61" t="e">
        <f>AND(NhatkyNhap!#REF!,"AAAAAH8rxww=")</f>
        <v>#REF!</v>
      </c>
      <c r="N61" t="e">
        <f>AND(NhatkyNhap!#REF!,"AAAAAH8rxw0=")</f>
        <v>#REF!</v>
      </c>
      <c r="O61" t="e">
        <f>AND(NhatkyNhap!#REF!,"AAAAAH8rxw4=")</f>
        <v>#REF!</v>
      </c>
      <c r="P61" t="e">
        <f>AND(NhatkyNhap!#REF!,"AAAAAH8rxw8=")</f>
        <v>#REF!</v>
      </c>
      <c r="Q61" t="e">
        <f>AND(NhatkyNhap!#REF!,"AAAAAH8rxxA=")</f>
        <v>#REF!</v>
      </c>
      <c r="R61" t="e">
        <f>AND(NhatkyNhap!#REF!,"AAAAAH8rxxE=")</f>
        <v>#REF!</v>
      </c>
      <c r="S61" t="e">
        <f>AND(NhatkyNhap!#REF!,"AAAAAH8rxxI=")</f>
        <v>#REF!</v>
      </c>
      <c r="T61" t="e">
        <f>AND(NhatkyNhap!#REF!,"AAAAAH8rxxM=")</f>
        <v>#REF!</v>
      </c>
      <c r="U61" t="e">
        <f>AND(NhatkyNhap!#REF!,"AAAAAH8rxxQ=")</f>
        <v>#REF!</v>
      </c>
      <c r="V61" t="e">
        <f>AND(NhatkyNhap!#REF!,"AAAAAH8rxxU=")</f>
        <v>#REF!</v>
      </c>
      <c r="W61" t="e">
        <f>IF(NhatkyNhap!#REF!,"AAAAAH8rxxY=",0)</f>
        <v>#REF!</v>
      </c>
      <c r="X61" t="e">
        <f>AND(NhatkyNhap!#REF!,"AAAAAH8rxxc=")</f>
        <v>#REF!</v>
      </c>
      <c r="Y61" t="e">
        <f>AND(NhatkyNhap!#REF!,"AAAAAH8rxxg=")</f>
        <v>#REF!</v>
      </c>
      <c r="Z61" t="e">
        <f>AND(NhatkyNhap!#REF!,"AAAAAH8rxxk=")</f>
        <v>#REF!</v>
      </c>
      <c r="AA61" t="e">
        <f>AND(NhatkyNhap!#REF!,"AAAAAH8rxxo=")</f>
        <v>#REF!</v>
      </c>
      <c r="AB61" t="e">
        <f>AND(NhatkyNhap!#REF!,"AAAAAH8rxxs=")</f>
        <v>#REF!</v>
      </c>
      <c r="AC61" t="e">
        <f>AND(NhatkyNhap!#REF!,"AAAAAH8rxxw=")</f>
        <v>#REF!</v>
      </c>
      <c r="AD61" t="e">
        <f>AND(NhatkyNhap!#REF!,"AAAAAH8rxx0=")</f>
        <v>#REF!</v>
      </c>
      <c r="AE61" t="e">
        <f>AND(NhatkyNhap!#REF!,"AAAAAH8rxx4=")</f>
        <v>#REF!</v>
      </c>
      <c r="AF61" t="e">
        <f>AND(NhatkyNhap!#REF!,"AAAAAH8rxx8=")</f>
        <v>#REF!</v>
      </c>
      <c r="AG61" t="e">
        <f>AND(NhatkyNhap!#REF!,"AAAAAH8rxyA=")</f>
        <v>#REF!</v>
      </c>
      <c r="AH61" t="e">
        <f>AND(NhatkyNhap!#REF!,"AAAAAH8rxyE=")</f>
        <v>#REF!</v>
      </c>
      <c r="AI61" t="e">
        <f>AND(NhatkyNhap!#REF!,"AAAAAH8rxyI=")</f>
        <v>#REF!</v>
      </c>
      <c r="AJ61" t="e">
        <f>AND(NhatkyNhap!#REF!,"AAAAAH8rxyM=")</f>
        <v>#REF!</v>
      </c>
      <c r="AK61" t="e">
        <f>AND(NhatkyNhap!#REF!,"AAAAAH8rxyQ=")</f>
        <v>#REF!</v>
      </c>
      <c r="AL61" t="e">
        <f>AND(NhatkyNhap!#REF!,"AAAAAH8rxyU=")</f>
        <v>#REF!</v>
      </c>
      <c r="AM61" t="e">
        <f>AND(NhatkyNhap!#REF!,"AAAAAH8rxyY=")</f>
        <v>#REF!</v>
      </c>
      <c r="AN61" t="e">
        <f>AND(NhatkyNhap!#REF!,"AAAAAH8rxyc=")</f>
        <v>#REF!</v>
      </c>
      <c r="AO61" t="e">
        <f>AND(NhatkyNhap!#REF!,"AAAAAH8rxyg=")</f>
        <v>#REF!</v>
      </c>
      <c r="AP61" t="e">
        <f>AND(NhatkyNhap!#REF!,"AAAAAH8rxyk=")</f>
        <v>#REF!</v>
      </c>
      <c r="AQ61" t="e">
        <f>AND(NhatkyNhap!#REF!,"AAAAAH8rxyo=")</f>
        <v>#REF!</v>
      </c>
      <c r="AR61" t="e">
        <f>AND(NhatkyNhap!#REF!,"AAAAAH8rxys=")</f>
        <v>#REF!</v>
      </c>
      <c r="AS61" t="e">
        <f>AND(NhatkyNhap!#REF!,"AAAAAH8rxyw=")</f>
        <v>#REF!</v>
      </c>
      <c r="AT61" t="e">
        <f>AND(NhatkyNhap!#REF!,"AAAAAH8rxy0=")</f>
        <v>#REF!</v>
      </c>
      <c r="AU61" t="e">
        <f>AND(NhatkyNhap!#REF!,"AAAAAH8rxy4=")</f>
        <v>#REF!</v>
      </c>
      <c r="AV61" t="e">
        <f>AND(NhatkyNhap!#REF!,"AAAAAH8rxy8=")</f>
        <v>#REF!</v>
      </c>
      <c r="AW61" t="e">
        <f>AND(NhatkyNhap!#REF!,"AAAAAH8rxzA=")</f>
        <v>#REF!</v>
      </c>
      <c r="AX61" t="e">
        <f>AND(NhatkyNhap!#REF!,"AAAAAH8rxzE=")</f>
        <v>#REF!</v>
      </c>
      <c r="AY61" t="e">
        <f>AND(NhatkyNhap!#REF!,"AAAAAH8rxzI=")</f>
        <v>#REF!</v>
      </c>
      <c r="AZ61" t="e">
        <f>AND(NhatkyNhap!#REF!,"AAAAAH8rxzM=")</f>
        <v>#REF!</v>
      </c>
      <c r="BA61" t="e">
        <f>AND(NhatkyNhap!#REF!,"AAAAAH8rxzQ=")</f>
        <v>#REF!</v>
      </c>
      <c r="BB61" t="e">
        <f>AND(NhatkyNhap!#REF!,"AAAAAH8rxzU=")</f>
        <v>#REF!</v>
      </c>
      <c r="BC61" t="e">
        <f>AND(NhatkyNhap!#REF!,"AAAAAH8rxzY=")</f>
        <v>#REF!</v>
      </c>
      <c r="BD61" t="e">
        <f>AND(NhatkyNhap!#REF!,"AAAAAH8rxzc=")</f>
        <v>#REF!</v>
      </c>
      <c r="BE61" t="e">
        <f>AND(NhatkyNhap!#REF!,"AAAAAH8rxzg=")</f>
        <v>#REF!</v>
      </c>
      <c r="BF61" t="e">
        <f>IF(NhatkyNhap!#REF!,"AAAAAH8rxzk=",0)</f>
        <v>#REF!</v>
      </c>
      <c r="BG61" t="e">
        <f>AND(NhatkyNhap!#REF!,"AAAAAH8rxzo=")</f>
        <v>#REF!</v>
      </c>
      <c r="BH61" t="e">
        <f>AND(NhatkyNhap!#REF!,"AAAAAH8rxzs=")</f>
        <v>#REF!</v>
      </c>
      <c r="BI61" t="e">
        <f>AND(NhatkyNhap!#REF!,"AAAAAH8rxzw=")</f>
        <v>#REF!</v>
      </c>
      <c r="BJ61" t="e">
        <f>AND(NhatkyNhap!#REF!,"AAAAAH8rxz0=")</f>
        <v>#REF!</v>
      </c>
      <c r="BK61" t="e">
        <f>AND(NhatkyNhap!#REF!,"AAAAAH8rxz4=")</f>
        <v>#REF!</v>
      </c>
      <c r="BL61" t="e">
        <f>AND(NhatkyNhap!#REF!,"AAAAAH8rxz8=")</f>
        <v>#REF!</v>
      </c>
      <c r="BM61" t="e">
        <f>AND(NhatkyNhap!#REF!,"AAAAAH8rx0A=")</f>
        <v>#REF!</v>
      </c>
      <c r="BN61" t="e">
        <f>AND(NhatkyNhap!#REF!,"AAAAAH8rx0E=")</f>
        <v>#REF!</v>
      </c>
      <c r="BO61" t="e">
        <f>AND(NhatkyNhap!#REF!,"AAAAAH8rx0I=")</f>
        <v>#REF!</v>
      </c>
      <c r="BP61" t="e">
        <f>AND(NhatkyNhap!#REF!,"AAAAAH8rx0M=")</f>
        <v>#REF!</v>
      </c>
      <c r="BQ61" t="e">
        <f>AND(NhatkyNhap!#REF!,"AAAAAH8rx0Q=")</f>
        <v>#REF!</v>
      </c>
      <c r="BR61" t="e">
        <f>AND(NhatkyNhap!#REF!,"AAAAAH8rx0U=")</f>
        <v>#REF!</v>
      </c>
      <c r="BS61" t="e">
        <f>AND(NhatkyNhap!#REF!,"AAAAAH8rx0Y=")</f>
        <v>#REF!</v>
      </c>
      <c r="BT61" t="e">
        <f>AND(NhatkyNhap!#REF!,"AAAAAH8rx0c=")</f>
        <v>#REF!</v>
      </c>
      <c r="BU61" t="e">
        <f>AND(NhatkyNhap!#REF!,"AAAAAH8rx0g=")</f>
        <v>#REF!</v>
      </c>
      <c r="BV61" t="e">
        <f>AND(NhatkyNhap!#REF!,"AAAAAH8rx0k=")</f>
        <v>#REF!</v>
      </c>
      <c r="BW61" t="e">
        <f>AND(NhatkyNhap!#REF!,"AAAAAH8rx0o=")</f>
        <v>#REF!</v>
      </c>
      <c r="BX61" t="e">
        <f>AND(NhatkyNhap!#REF!,"AAAAAH8rx0s=")</f>
        <v>#REF!</v>
      </c>
      <c r="BY61" t="e">
        <f>AND(NhatkyNhap!#REF!,"AAAAAH8rx0w=")</f>
        <v>#REF!</v>
      </c>
      <c r="BZ61" t="e">
        <f>AND(NhatkyNhap!#REF!,"AAAAAH8rx00=")</f>
        <v>#REF!</v>
      </c>
      <c r="CA61" t="e">
        <f>AND(NhatkyNhap!#REF!,"AAAAAH8rx04=")</f>
        <v>#REF!</v>
      </c>
      <c r="CB61" t="e">
        <f>AND(NhatkyNhap!#REF!,"AAAAAH8rx08=")</f>
        <v>#REF!</v>
      </c>
      <c r="CC61" t="e">
        <f>AND(NhatkyNhap!#REF!,"AAAAAH8rx1A=")</f>
        <v>#REF!</v>
      </c>
      <c r="CD61" t="e">
        <f>AND(NhatkyNhap!#REF!,"AAAAAH8rx1E=")</f>
        <v>#REF!</v>
      </c>
      <c r="CE61" t="e">
        <f>AND(NhatkyNhap!#REF!,"AAAAAH8rx1I=")</f>
        <v>#REF!</v>
      </c>
      <c r="CF61" t="e">
        <f>AND(NhatkyNhap!#REF!,"AAAAAH8rx1M=")</f>
        <v>#REF!</v>
      </c>
      <c r="CG61" t="e">
        <f>AND(NhatkyNhap!#REF!,"AAAAAH8rx1Q=")</f>
        <v>#REF!</v>
      </c>
      <c r="CH61" t="e">
        <f>AND(NhatkyNhap!#REF!,"AAAAAH8rx1U=")</f>
        <v>#REF!</v>
      </c>
      <c r="CI61" t="e">
        <f>AND(NhatkyNhap!#REF!,"AAAAAH8rx1Y=")</f>
        <v>#REF!</v>
      </c>
      <c r="CJ61" t="e">
        <f>AND(NhatkyNhap!#REF!,"AAAAAH8rx1c=")</f>
        <v>#REF!</v>
      </c>
      <c r="CK61" t="e">
        <f>AND(NhatkyNhap!#REF!,"AAAAAH8rx1g=")</f>
        <v>#REF!</v>
      </c>
      <c r="CL61" t="e">
        <f>AND(NhatkyNhap!#REF!,"AAAAAH8rx1k=")</f>
        <v>#REF!</v>
      </c>
      <c r="CM61" t="e">
        <f>AND(NhatkyNhap!#REF!,"AAAAAH8rx1o=")</f>
        <v>#REF!</v>
      </c>
      <c r="CN61" t="e">
        <f>AND(NhatkyNhap!#REF!,"AAAAAH8rx1s=")</f>
        <v>#REF!</v>
      </c>
      <c r="CO61" t="e">
        <f>IF(NhatkyNhap!#REF!,"AAAAAH8rx1w=",0)</f>
        <v>#REF!</v>
      </c>
      <c r="CP61" t="e">
        <f>AND(NhatkyNhap!#REF!,"AAAAAH8rx10=")</f>
        <v>#REF!</v>
      </c>
      <c r="CQ61" t="e">
        <f>AND(NhatkyNhap!#REF!,"AAAAAH8rx14=")</f>
        <v>#REF!</v>
      </c>
      <c r="CR61" t="e">
        <f>AND(NhatkyNhap!#REF!,"AAAAAH8rx18=")</f>
        <v>#REF!</v>
      </c>
      <c r="CS61" t="e">
        <f>AND(NhatkyNhap!#REF!,"AAAAAH8rx2A=")</f>
        <v>#REF!</v>
      </c>
      <c r="CT61" t="e">
        <f>AND(NhatkyNhap!#REF!,"AAAAAH8rx2E=")</f>
        <v>#REF!</v>
      </c>
      <c r="CU61" t="e">
        <f>AND(NhatkyNhap!#REF!,"AAAAAH8rx2I=")</f>
        <v>#REF!</v>
      </c>
      <c r="CV61" t="e">
        <f>AND(NhatkyNhap!#REF!,"AAAAAH8rx2M=")</f>
        <v>#REF!</v>
      </c>
      <c r="CW61" t="e">
        <f>AND(NhatkyNhap!#REF!,"AAAAAH8rx2Q=")</f>
        <v>#REF!</v>
      </c>
      <c r="CX61" t="e">
        <f>AND(NhatkyNhap!#REF!,"AAAAAH8rx2U=")</f>
        <v>#REF!</v>
      </c>
      <c r="CY61" t="e">
        <f>AND(NhatkyNhap!#REF!,"AAAAAH8rx2Y=")</f>
        <v>#REF!</v>
      </c>
      <c r="CZ61" t="e">
        <f>AND(NhatkyNhap!#REF!,"AAAAAH8rx2c=")</f>
        <v>#REF!</v>
      </c>
      <c r="DA61" t="e">
        <f>AND(NhatkyNhap!#REF!,"AAAAAH8rx2g=")</f>
        <v>#REF!</v>
      </c>
      <c r="DB61" t="e">
        <f>AND(NhatkyNhap!#REF!,"AAAAAH8rx2k=")</f>
        <v>#REF!</v>
      </c>
      <c r="DC61" t="e">
        <f>AND(NhatkyNhap!#REF!,"AAAAAH8rx2o=")</f>
        <v>#REF!</v>
      </c>
      <c r="DD61" t="e">
        <f>AND(NhatkyNhap!#REF!,"AAAAAH8rx2s=")</f>
        <v>#REF!</v>
      </c>
      <c r="DE61" t="e">
        <f>AND(NhatkyNhap!#REF!,"AAAAAH8rx2w=")</f>
        <v>#REF!</v>
      </c>
      <c r="DF61" t="e">
        <f>AND(NhatkyNhap!#REF!,"AAAAAH8rx20=")</f>
        <v>#REF!</v>
      </c>
      <c r="DG61" t="e">
        <f>AND(NhatkyNhap!#REF!,"AAAAAH8rx24=")</f>
        <v>#REF!</v>
      </c>
      <c r="DH61" t="e">
        <f>AND(NhatkyNhap!#REF!,"AAAAAH8rx28=")</f>
        <v>#REF!</v>
      </c>
      <c r="DI61" t="e">
        <f>AND(NhatkyNhap!#REF!,"AAAAAH8rx3A=")</f>
        <v>#REF!</v>
      </c>
      <c r="DJ61" t="e">
        <f>AND(NhatkyNhap!#REF!,"AAAAAH8rx3E=")</f>
        <v>#REF!</v>
      </c>
      <c r="DK61" t="e">
        <f>AND(NhatkyNhap!#REF!,"AAAAAH8rx3I=")</f>
        <v>#REF!</v>
      </c>
      <c r="DL61" t="e">
        <f>AND(NhatkyNhap!#REF!,"AAAAAH8rx3M=")</f>
        <v>#REF!</v>
      </c>
      <c r="DM61" t="e">
        <f>AND(NhatkyNhap!#REF!,"AAAAAH8rx3Q=")</f>
        <v>#REF!</v>
      </c>
      <c r="DN61" t="e">
        <f>AND(NhatkyNhap!#REF!,"AAAAAH8rx3U=")</f>
        <v>#REF!</v>
      </c>
      <c r="DO61" t="e">
        <f>AND(NhatkyNhap!#REF!,"AAAAAH8rx3Y=")</f>
        <v>#REF!</v>
      </c>
      <c r="DP61" t="e">
        <f>AND(NhatkyNhap!#REF!,"AAAAAH8rx3c=")</f>
        <v>#REF!</v>
      </c>
      <c r="DQ61" t="e">
        <f>AND(NhatkyNhap!#REF!,"AAAAAH8rx3g=")</f>
        <v>#REF!</v>
      </c>
      <c r="DR61" t="e">
        <f>AND(NhatkyNhap!#REF!,"AAAAAH8rx3k=")</f>
        <v>#REF!</v>
      </c>
      <c r="DS61" t="e">
        <f>AND(NhatkyNhap!#REF!,"AAAAAH8rx3o=")</f>
        <v>#REF!</v>
      </c>
      <c r="DT61" t="e">
        <f>AND(NhatkyNhap!#REF!,"AAAAAH8rx3s=")</f>
        <v>#REF!</v>
      </c>
      <c r="DU61" t="e">
        <f>AND(NhatkyNhap!#REF!,"AAAAAH8rx3w=")</f>
        <v>#REF!</v>
      </c>
      <c r="DV61" t="e">
        <f>AND(NhatkyNhap!#REF!,"AAAAAH8rx30=")</f>
        <v>#REF!</v>
      </c>
      <c r="DW61" t="e">
        <f>AND(NhatkyNhap!#REF!,"AAAAAH8rx34=")</f>
        <v>#REF!</v>
      </c>
      <c r="DX61" t="e">
        <f>IF(NhatkyNhap!#REF!,"AAAAAH8rx38=",0)</f>
        <v>#REF!</v>
      </c>
      <c r="DY61" t="e">
        <f>AND(NhatkyNhap!#REF!,"AAAAAH8rx4A=")</f>
        <v>#REF!</v>
      </c>
      <c r="DZ61" t="e">
        <f>AND(NhatkyNhap!#REF!,"AAAAAH8rx4E=")</f>
        <v>#REF!</v>
      </c>
      <c r="EA61" t="e">
        <f>AND(NhatkyNhap!#REF!,"AAAAAH8rx4I=")</f>
        <v>#REF!</v>
      </c>
      <c r="EB61" t="e">
        <f>AND(NhatkyNhap!#REF!,"AAAAAH8rx4M=")</f>
        <v>#REF!</v>
      </c>
      <c r="EC61" t="e">
        <f>AND(NhatkyNhap!#REF!,"AAAAAH8rx4Q=")</f>
        <v>#REF!</v>
      </c>
      <c r="ED61" t="e">
        <f>AND(NhatkyNhap!#REF!,"AAAAAH8rx4U=")</f>
        <v>#REF!</v>
      </c>
      <c r="EE61" t="e">
        <f>AND(NhatkyNhap!#REF!,"AAAAAH8rx4Y=")</f>
        <v>#REF!</v>
      </c>
      <c r="EF61" t="e">
        <f>AND(NhatkyNhap!#REF!,"AAAAAH8rx4c=")</f>
        <v>#REF!</v>
      </c>
      <c r="EG61" t="e">
        <f>AND(NhatkyNhap!#REF!,"AAAAAH8rx4g=")</f>
        <v>#REF!</v>
      </c>
      <c r="EH61" t="e">
        <f>AND(NhatkyNhap!#REF!,"AAAAAH8rx4k=")</f>
        <v>#REF!</v>
      </c>
      <c r="EI61" t="e">
        <f>AND(NhatkyNhap!#REF!,"AAAAAH8rx4o=")</f>
        <v>#REF!</v>
      </c>
      <c r="EJ61" t="e">
        <f>AND(NhatkyNhap!#REF!,"AAAAAH8rx4s=")</f>
        <v>#REF!</v>
      </c>
      <c r="EK61" t="e">
        <f>AND(NhatkyNhap!#REF!,"AAAAAH8rx4w=")</f>
        <v>#REF!</v>
      </c>
      <c r="EL61" t="e">
        <f>AND(NhatkyNhap!#REF!,"AAAAAH8rx40=")</f>
        <v>#REF!</v>
      </c>
      <c r="EM61" t="e">
        <f>AND(NhatkyNhap!#REF!,"AAAAAH8rx44=")</f>
        <v>#REF!</v>
      </c>
      <c r="EN61" t="e">
        <f>AND(NhatkyNhap!#REF!,"AAAAAH8rx48=")</f>
        <v>#REF!</v>
      </c>
      <c r="EO61" t="e">
        <f>AND(NhatkyNhap!#REF!,"AAAAAH8rx5A=")</f>
        <v>#REF!</v>
      </c>
      <c r="EP61" t="e">
        <f>AND(NhatkyNhap!#REF!,"AAAAAH8rx5E=")</f>
        <v>#REF!</v>
      </c>
      <c r="EQ61" t="e">
        <f>AND(NhatkyNhap!#REF!,"AAAAAH8rx5I=")</f>
        <v>#REF!</v>
      </c>
      <c r="ER61" t="e">
        <f>AND(NhatkyNhap!#REF!,"AAAAAH8rx5M=")</f>
        <v>#REF!</v>
      </c>
      <c r="ES61" t="e">
        <f>AND(NhatkyNhap!#REF!,"AAAAAH8rx5Q=")</f>
        <v>#REF!</v>
      </c>
      <c r="ET61" t="e">
        <f>AND(NhatkyNhap!#REF!,"AAAAAH8rx5U=")</f>
        <v>#REF!</v>
      </c>
      <c r="EU61" t="e">
        <f>AND(NhatkyNhap!#REF!,"AAAAAH8rx5Y=")</f>
        <v>#REF!</v>
      </c>
      <c r="EV61" t="e">
        <f>AND(NhatkyNhap!#REF!,"AAAAAH8rx5c=")</f>
        <v>#REF!</v>
      </c>
      <c r="EW61" t="e">
        <f>AND(NhatkyNhap!#REF!,"AAAAAH8rx5g=")</f>
        <v>#REF!</v>
      </c>
      <c r="EX61" t="e">
        <f>AND(NhatkyNhap!#REF!,"AAAAAH8rx5k=")</f>
        <v>#REF!</v>
      </c>
      <c r="EY61" t="e">
        <f>AND(NhatkyNhap!#REF!,"AAAAAH8rx5o=")</f>
        <v>#REF!</v>
      </c>
      <c r="EZ61" t="e">
        <f>AND(NhatkyNhap!#REF!,"AAAAAH8rx5s=")</f>
        <v>#REF!</v>
      </c>
      <c r="FA61" t="e">
        <f>AND(NhatkyNhap!#REF!,"AAAAAH8rx5w=")</f>
        <v>#REF!</v>
      </c>
      <c r="FB61" t="e">
        <f>AND(NhatkyNhap!#REF!,"AAAAAH8rx50=")</f>
        <v>#REF!</v>
      </c>
      <c r="FC61" t="e">
        <f>AND(NhatkyNhap!#REF!,"AAAAAH8rx54=")</f>
        <v>#REF!</v>
      </c>
      <c r="FD61" t="e">
        <f>AND(NhatkyNhap!#REF!,"AAAAAH8rx58=")</f>
        <v>#REF!</v>
      </c>
      <c r="FE61" t="e">
        <f>AND(NhatkyNhap!#REF!,"AAAAAH8rx6A=")</f>
        <v>#REF!</v>
      </c>
      <c r="FF61" t="e">
        <f>AND(NhatkyNhap!#REF!,"AAAAAH8rx6E=")</f>
        <v>#REF!</v>
      </c>
      <c r="FG61" t="e">
        <f>IF(NhatkyNhap!#REF!,"AAAAAH8rx6I=",0)</f>
        <v>#REF!</v>
      </c>
      <c r="FH61" t="e">
        <f>AND(NhatkyNhap!#REF!,"AAAAAH8rx6M=")</f>
        <v>#REF!</v>
      </c>
      <c r="FI61" t="e">
        <f>AND(NhatkyNhap!#REF!,"AAAAAH8rx6Q=")</f>
        <v>#REF!</v>
      </c>
      <c r="FJ61" t="e">
        <f>AND(NhatkyNhap!#REF!,"AAAAAH8rx6U=")</f>
        <v>#REF!</v>
      </c>
      <c r="FK61" t="e">
        <f>AND(NhatkyNhap!#REF!,"AAAAAH8rx6Y=")</f>
        <v>#REF!</v>
      </c>
      <c r="FL61" t="e">
        <f>AND(NhatkyNhap!#REF!,"AAAAAH8rx6c=")</f>
        <v>#REF!</v>
      </c>
      <c r="FM61" t="e">
        <f>AND(NhatkyNhap!#REF!,"AAAAAH8rx6g=")</f>
        <v>#REF!</v>
      </c>
      <c r="FN61" t="e">
        <f>AND(NhatkyNhap!#REF!,"AAAAAH8rx6k=")</f>
        <v>#REF!</v>
      </c>
      <c r="FO61" t="e">
        <f>AND(NhatkyNhap!#REF!,"AAAAAH8rx6o=")</f>
        <v>#REF!</v>
      </c>
      <c r="FP61" t="e">
        <f>AND(NhatkyNhap!#REF!,"AAAAAH8rx6s=")</f>
        <v>#REF!</v>
      </c>
      <c r="FQ61" t="e">
        <f>AND(NhatkyNhap!#REF!,"AAAAAH8rx6w=")</f>
        <v>#REF!</v>
      </c>
      <c r="FR61" t="e">
        <f>AND(NhatkyNhap!#REF!,"AAAAAH8rx60=")</f>
        <v>#REF!</v>
      </c>
      <c r="FS61" t="e">
        <f>AND(NhatkyNhap!#REF!,"AAAAAH8rx64=")</f>
        <v>#REF!</v>
      </c>
      <c r="FT61" t="e">
        <f>AND(NhatkyNhap!#REF!,"AAAAAH8rx68=")</f>
        <v>#REF!</v>
      </c>
      <c r="FU61" t="e">
        <f>AND(NhatkyNhap!#REF!,"AAAAAH8rx7A=")</f>
        <v>#REF!</v>
      </c>
      <c r="FV61" t="e">
        <f>AND(NhatkyNhap!#REF!,"AAAAAH8rx7E=")</f>
        <v>#REF!</v>
      </c>
      <c r="FW61" t="e">
        <f>AND(NhatkyNhap!#REF!,"AAAAAH8rx7I=")</f>
        <v>#REF!</v>
      </c>
      <c r="FX61" t="e">
        <f>AND(NhatkyNhap!#REF!,"AAAAAH8rx7M=")</f>
        <v>#REF!</v>
      </c>
      <c r="FY61" t="e">
        <f>AND(NhatkyNhap!#REF!,"AAAAAH8rx7Q=")</f>
        <v>#REF!</v>
      </c>
      <c r="FZ61" t="e">
        <f>AND(NhatkyNhap!#REF!,"AAAAAH8rx7U=")</f>
        <v>#REF!</v>
      </c>
      <c r="GA61" t="e">
        <f>AND(NhatkyNhap!#REF!,"AAAAAH8rx7Y=")</f>
        <v>#REF!</v>
      </c>
      <c r="GB61" t="e">
        <f>AND(NhatkyNhap!#REF!,"AAAAAH8rx7c=")</f>
        <v>#REF!</v>
      </c>
      <c r="GC61" t="e">
        <f>AND(NhatkyNhap!#REF!,"AAAAAH8rx7g=")</f>
        <v>#REF!</v>
      </c>
      <c r="GD61" t="e">
        <f>AND(NhatkyNhap!#REF!,"AAAAAH8rx7k=")</f>
        <v>#REF!</v>
      </c>
      <c r="GE61" t="e">
        <f>AND(NhatkyNhap!#REF!,"AAAAAH8rx7o=")</f>
        <v>#REF!</v>
      </c>
      <c r="GF61" t="e">
        <f>AND(NhatkyNhap!#REF!,"AAAAAH8rx7s=")</f>
        <v>#REF!</v>
      </c>
      <c r="GG61" t="e">
        <f>AND(NhatkyNhap!#REF!,"AAAAAH8rx7w=")</f>
        <v>#REF!</v>
      </c>
      <c r="GH61" t="e">
        <f>AND(NhatkyNhap!#REF!,"AAAAAH8rx70=")</f>
        <v>#REF!</v>
      </c>
      <c r="GI61" t="e">
        <f>AND(NhatkyNhap!#REF!,"AAAAAH8rx74=")</f>
        <v>#REF!</v>
      </c>
      <c r="GJ61" t="e">
        <f>AND(NhatkyNhap!#REF!,"AAAAAH8rx78=")</f>
        <v>#REF!</v>
      </c>
      <c r="GK61" t="e">
        <f>AND(NhatkyNhap!#REF!,"AAAAAH8rx8A=")</f>
        <v>#REF!</v>
      </c>
      <c r="GL61" t="e">
        <f>AND(NhatkyNhap!#REF!,"AAAAAH8rx8E=")</f>
        <v>#REF!</v>
      </c>
      <c r="GM61" t="e">
        <f>AND(NhatkyNhap!#REF!,"AAAAAH8rx8I=")</f>
        <v>#REF!</v>
      </c>
      <c r="GN61" t="e">
        <f>AND(NhatkyNhap!#REF!,"AAAAAH8rx8M=")</f>
        <v>#REF!</v>
      </c>
      <c r="GO61" t="e">
        <f>AND(NhatkyNhap!#REF!,"AAAAAH8rx8Q=")</f>
        <v>#REF!</v>
      </c>
      <c r="GP61" t="e">
        <f>IF(NhatkyNhap!#REF!,"AAAAAH8rx8U=",0)</f>
        <v>#REF!</v>
      </c>
      <c r="GQ61" t="e">
        <f>AND(NhatkyNhap!#REF!,"AAAAAH8rx8Y=")</f>
        <v>#REF!</v>
      </c>
      <c r="GR61" t="e">
        <f>AND(NhatkyNhap!#REF!,"AAAAAH8rx8c=")</f>
        <v>#REF!</v>
      </c>
      <c r="GS61" t="e">
        <f>AND(NhatkyNhap!#REF!,"AAAAAH8rx8g=")</f>
        <v>#REF!</v>
      </c>
      <c r="GT61" t="e">
        <f>AND(NhatkyNhap!#REF!,"AAAAAH8rx8k=")</f>
        <v>#REF!</v>
      </c>
      <c r="GU61" t="e">
        <f>AND(NhatkyNhap!#REF!,"AAAAAH8rx8o=")</f>
        <v>#REF!</v>
      </c>
      <c r="GV61" t="e">
        <f>AND(NhatkyNhap!#REF!,"AAAAAH8rx8s=")</f>
        <v>#REF!</v>
      </c>
      <c r="GW61" t="e">
        <f>AND(NhatkyNhap!#REF!,"AAAAAH8rx8w=")</f>
        <v>#REF!</v>
      </c>
      <c r="GX61" t="e">
        <f>AND(NhatkyNhap!#REF!,"AAAAAH8rx80=")</f>
        <v>#REF!</v>
      </c>
      <c r="GY61" t="e">
        <f>AND(NhatkyNhap!#REF!,"AAAAAH8rx84=")</f>
        <v>#REF!</v>
      </c>
      <c r="GZ61" t="e">
        <f>AND(NhatkyNhap!#REF!,"AAAAAH8rx88=")</f>
        <v>#REF!</v>
      </c>
      <c r="HA61" t="e">
        <f>AND(NhatkyNhap!#REF!,"AAAAAH8rx9A=")</f>
        <v>#REF!</v>
      </c>
      <c r="HB61" t="e">
        <f>AND(NhatkyNhap!#REF!,"AAAAAH8rx9E=")</f>
        <v>#REF!</v>
      </c>
      <c r="HC61" t="e">
        <f>AND(NhatkyNhap!#REF!,"AAAAAH8rx9I=")</f>
        <v>#REF!</v>
      </c>
      <c r="HD61" t="e">
        <f>AND(NhatkyNhap!#REF!,"AAAAAH8rx9M=")</f>
        <v>#REF!</v>
      </c>
      <c r="HE61" t="e">
        <f>AND(NhatkyNhap!#REF!,"AAAAAH8rx9Q=")</f>
        <v>#REF!</v>
      </c>
      <c r="HF61" t="e">
        <f>AND(NhatkyNhap!#REF!,"AAAAAH8rx9U=")</f>
        <v>#REF!</v>
      </c>
      <c r="HG61" t="e">
        <f>AND(NhatkyNhap!#REF!,"AAAAAH8rx9Y=")</f>
        <v>#REF!</v>
      </c>
      <c r="HH61" t="e">
        <f>AND(NhatkyNhap!#REF!,"AAAAAH8rx9c=")</f>
        <v>#REF!</v>
      </c>
      <c r="HI61" t="e">
        <f>AND(NhatkyNhap!#REF!,"AAAAAH8rx9g=")</f>
        <v>#REF!</v>
      </c>
      <c r="HJ61" t="e">
        <f>AND(NhatkyNhap!#REF!,"AAAAAH8rx9k=")</f>
        <v>#REF!</v>
      </c>
      <c r="HK61" t="e">
        <f>AND(NhatkyNhap!#REF!,"AAAAAH8rx9o=")</f>
        <v>#REF!</v>
      </c>
      <c r="HL61" t="e">
        <f>AND(NhatkyNhap!#REF!,"AAAAAH8rx9s=")</f>
        <v>#REF!</v>
      </c>
      <c r="HM61" t="e">
        <f>AND(NhatkyNhap!#REF!,"AAAAAH8rx9w=")</f>
        <v>#REF!</v>
      </c>
      <c r="HN61" t="e">
        <f>AND(NhatkyNhap!#REF!,"AAAAAH8rx90=")</f>
        <v>#REF!</v>
      </c>
      <c r="HO61" t="e">
        <f>AND(NhatkyNhap!#REF!,"AAAAAH8rx94=")</f>
        <v>#REF!</v>
      </c>
      <c r="HP61" t="e">
        <f>AND(NhatkyNhap!#REF!,"AAAAAH8rx98=")</f>
        <v>#REF!</v>
      </c>
      <c r="HQ61" t="e">
        <f>AND(NhatkyNhap!#REF!,"AAAAAH8rx+A=")</f>
        <v>#REF!</v>
      </c>
      <c r="HR61" t="e">
        <f>AND(NhatkyNhap!#REF!,"AAAAAH8rx+E=")</f>
        <v>#REF!</v>
      </c>
      <c r="HS61" t="e">
        <f>AND(NhatkyNhap!#REF!,"AAAAAH8rx+I=")</f>
        <v>#REF!</v>
      </c>
      <c r="HT61" t="e">
        <f>AND(NhatkyNhap!#REF!,"AAAAAH8rx+M=")</f>
        <v>#REF!</v>
      </c>
      <c r="HU61" t="e">
        <f>AND(NhatkyNhap!#REF!,"AAAAAH8rx+Q=")</f>
        <v>#REF!</v>
      </c>
      <c r="HV61" t="e">
        <f>AND(NhatkyNhap!#REF!,"AAAAAH8rx+U=")</f>
        <v>#REF!</v>
      </c>
      <c r="HW61" t="e">
        <f>AND(NhatkyNhap!#REF!,"AAAAAH8rx+Y=")</f>
        <v>#REF!</v>
      </c>
      <c r="HX61" t="e">
        <f>AND(NhatkyNhap!#REF!,"AAAAAH8rx+c=")</f>
        <v>#REF!</v>
      </c>
      <c r="HY61" t="e">
        <f>IF(NhatkyNhap!#REF!,"AAAAAH8rx+g=",0)</f>
        <v>#REF!</v>
      </c>
      <c r="HZ61" t="e">
        <f>AND(NhatkyNhap!#REF!,"AAAAAH8rx+k=")</f>
        <v>#REF!</v>
      </c>
      <c r="IA61" t="e">
        <f>AND(NhatkyNhap!#REF!,"AAAAAH8rx+o=")</f>
        <v>#REF!</v>
      </c>
      <c r="IB61" t="e">
        <f>AND(NhatkyNhap!#REF!,"AAAAAH8rx+s=")</f>
        <v>#REF!</v>
      </c>
      <c r="IC61" t="e">
        <f>AND(NhatkyNhap!#REF!,"AAAAAH8rx+w=")</f>
        <v>#REF!</v>
      </c>
      <c r="ID61" t="e">
        <f>AND(NhatkyNhap!#REF!,"AAAAAH8rx+0=")</f>
        <v>#REF!</v>
      </c>
      <c r="IE61" t="e">
        <f>AND(NhatkyNhap!#REF!,"AAAAAH8rx+4=")</f>
        <v>#REF!</v>
      </c>
      <c r="IF61" t="e">
        <f>AND(NhatkyNhap!#REF!,"AAAAAH8rx+8=")</f>
        <v>#REF!</v>
      </c>
      <c r="IG61" t="e">
        <f>AND(NhatkyNhap!#REF!,"AAAAAH8rx/A=")</f>
        <v>#REF!</v>
      </c>
      <c r="IH61" t="e">
        <f>AND(NhatkyNhap!#REF!,"AAAAAH8rx/E=")</f>
        <v>#REF!</v>
      </c>
      <c r="II61" t="e">
        <f>AND(NhatkyNhap!#REF!,"AAAAAH8rx/I=")</f>
        <v>#REF!</v>
      </c>
      <c r="IJ61" t="e">
        <f>AND(NhatkyNhap!#REF!,"AAAAAH8rx/M=")</f>
        <v>#REF!</v>
      </c>
      <c r="IK61" t="e">
        <f>AND(NhatkyNhap!#REF!,"AAAAAH8rx/Q=")</f>
        <v>#REF!</v>
      </c>
      <c r="IL61" t="e">
        <f>AND(NhatkyNhap!#REF!,"AAAAAH8rx/U=")</f>
        <v>#REF!</v>
      </c>
      <c r="IM61" t="e">
        <f>AND(NhatkyNhap!#REF!,"AAAAAH8rx/Y=")</f>
        <v>#REF!</v>
      </c>
      <c r="IN61" t="e">
        <f>AND(NhatkyNhap!#REF!,"AAAAAH8rx/c=")</f>
        <v>#REF!</v>
      </c>
      <c r="IO61" t="e">
        <f>AND(NhatkyNhap!#REF!,"AAAAAH8rx/g=")</f>
        <v>#REF!</v>
      </c>
      <c r="IP61" t="e">
        <f>AND(NhatkyNhap!#REF!,"AAAAAH8rx/k=")</f>
        <v>#REF!</v>
      </c>
      <c r="IQ61" t="e">
        <f>AND(NhatkyNhap!#REF!,"AAAAAH8rx/o=")</f>
        <v>#REF!</v>
      </c>
      <c r="IR61" t="e">
        <f>AND(NhatkyNhap!#REF!,"AAAAAH8rx/s=")</f>
        <v>#REF!</v>
      </c>
      <c r="IS61" t="e">
        <f>AND(NhatkyNhap!#REF!,"AAAAAH8rx/w=")</f>
        <v>#REF!</v>
      </c>
      <c r="IT61" t="e">
        <f>AND(NhatkyNhap!#REF!,"AAAAAH8rx/0=")</f>
        <v>#REF!</v>
      </c>
      <c r="IU61" t="e">
        <f>AND(NhatkyNhap!#REF!,"AAAAAH8rx/4=")</f>
        <v>#REF!</v>
      </c>
      <c r="IV61" t="e">
        <f>AND(NhatkyNhap!#REF!,"AAAAAH8rx/8=")</f>
        <v>#REF!</v>
      </c>
    </row>
    <row r="62" spans="1:256">
      <c r="A62" t="e">
        <f>AND(NhatkyNhap!#REF!,"AAAAADT5vwA=")</f>
        <v>#REF!</v>
      </c>
      <c r="B62" t="e">
        <f>AND(NhatkyNhap!#REF!,"AAAAADT5vwE=")</f>
        <v>#REF!</v>
      </c>
      <c r="C62" t="e">
        <f>AND(NhatkyNhap!#REF!,"AAAAADT5vwI=")</f>
        <v>#REF!</v>
      </c>
      <c r="D62" t="e">
        <f>AND(NhatkyNhap!#REF!,"AAAAADT5vwM=")</f>
        <v>#REF!</v>
      </c>
      <c r="E62" t="e">
        <f>AND(NhatkyNhap!#REF!,"AAAAADT5vwQ=")</f>
        <v>#REF!</v>
      </c>
      <c r="F62" t="e">
        <f>AND(NhatkyNhap!#REF!,"AAAAADT5vwU=")</f>
        <v>#REF!</v>
      </c>
      <c r="G62" t="e">
        <f>AND(NhatkyNhap!#REF!,"AAAAADT5vwY=")</f>
        <v>#REF!</v>
      </c>
      <c r="H62" t="e">
        <f>AND(NhatkyNhap!#REF!,"AAAAADT5vwc=")</f>
        <v>#REF!</v>
      </c>
      <c r="I62" t="e">
        <f>AND(NhatkyNhap!#REF!,"AAAAADT5vwg=")</f>
        <v>#REF!</v>
      </c>
      <c r="J62" t="e">
        <f>AND(NhatkyNhap!#REF!,"AAAAADT5vwk=")</f>
        <v>#REF!</v>
      </c>
      <c r="K62" t="e">
        <f>AND(NhatkyNhap!#REF!,"AAAAADT5vwo=")</f>
        <v>#REF!</v>
      </c>
      <c r="L62" t="e">
        <f>IF(NhatkyNhap!#REF!,"AAAAADT5vws=",0)</f>
        <v>#REF!</v>
      </c>
      <c r="M62" t="e">
        <f>AND(NhatkyNhap!#REF!,"AAAAADT5vww=")</f>
        <v>#REF!</v>
      </c>
      <c r="N62" t="e">
        <f>AND(NhatkyNhap!#REF!,"AAAAADT5vw0=")</f>
        <v>#REF!</v>
      </c>
      <c r="O62" t="e">
        <f>AND(NhatkyNhap!#REF!,"AAAAADT5vw4=")</f>
        <v>#REF!</v>
      </c>
      <c r="P62" t="e">
        <f>AND(NhatkyNhap!#REF!,"AAAAADT5vw8=")</f>
        <v>#REF!</v>
      </c>
      <c r="Q62" t="e">
        <f>AND(NhatkyNhap!#REF!,"AAAAADT5vxA=")</f>
        <v>#REF!</v>
      </c>
      <c r="R62" t="e">
        <f>AND(NhatkyNhap!#REF!,"AAAAADT5vxE=")</f>
        <v>#REF!</v>
      </c>
      <c r="S62" t="e">
        <f>AND(NhatkyNhap!#REF!,"AAAAADT5vxI=")</f>
        <v>#REF!</v>
      </c>
      <c r="T62" t="e">
        <f>AND(NhatkyNhap!#REF!,"AAAAADT5vxM=")</f>
        <v>#REF!</v>
      </c>
      <c r="U62" t="e">
        <f>AND(NhatkyNhap!#REF!,"AAAAADT5vxQ=")</f>
        <v>#REF!</v>
      </c>
      <c r="V62" t="e">
        <f>AND(NhatkyNhap!#REF!,"AAAAADT5vxU=")</f>
        <v>#REF!</v>
      </c>
      <c r="W62" t="e">
        <f>AND(NhatkyNhap!#REF!,"AAAAADT5vxY=")</f>
        <v>#REF!</v>
      </c>
      <c r="X62" t="e">
        <f>AND(NhatkyNhap!#REF!,"AAAAADT5vxc=")</f>
        <v>#REF!</v>
      </c>
      <c r="Y62" t="e">
        <f>AND(NhatkyNhap!#REF!,"AAAAADT5vxg=")</f>
        <v>#REF!</v>
      </c>
      <c r="Z62" t="e">
        <f>AND(NhatkyNhap!#REF!,"AAAAADT5vxk=")</f>
        <v>#REF!</v>
      </c>
      <c r="AA62" t="e">
        <f>AND(NhatkyNhap!#REF!,"AAAAADT5vxo=")</f>
        <v>#REF!</v>
      </c>
      <c r="AB62" t="e">
        <f>AND(NhatkyNhap!#REF!,"AAAAADT5vxs=")</f>
        <v>#REF!</v>
      </c>
      <c r="AC62" t="e">
        <f>AND(NhatkyNhap!#REF!,"AAAAADT5vxw=")</f>
        <v>#REF!</v>
      </c>
      <c r="AD62" t="e">
        <f>AND(NhatkyNhap!#REF!,"AAAAADT5vx0=")</f>
        <v>#REF!</v>
      </c>
      <c r="AE62" t="e">
        <f>AND(NhatkyNhap!#REF!,"AAAAADT5vx4=")</f>
        <v>#REF!</v>
      </c>
      <c r="AF62" t="e">
        <f>AND(NhatkyNhap!#REF!,"AAAAADT5vx8=")</f>
        <v>#REF!</v>
      </c>
      <c r="AG62" t="e">
        <f>AND(NhatkyNhap!#REF!,"AAAAADT5vyA=")</f>
        <v>#REF!</v>
      </c>
      <c r="AH62" t="e">
        <f>AND(NhatkyNhap!#REF!,"AAAAADT5vyE=")</f>
        <v>#REF!</v>
      </c>
      <c r="AI62" t="e">
        <f>AND(NhatkyNhap!#REF!,"AAAAADT5vyI=")</f>
        <v>#REF!</v>
      </c>
      <c r="AJ62" t="e">
        <f>AND(NhatkyNhap!#REF!,"AAAAADT5vyM=")</f>
        <v>#REF!</v>
      </c>
      <c r="AK62" t="e">
        <f>AND(NhatkyNhap!#REF!,"AAAAADT5vyQ=")</f>
        <v>#REF!</v>
      </c>
      <c r="AL62" t="e">
        <f>AND(NhatkyNhap!#REF!,"AAAAADT5vyU=")</f>
        <v>#REF!</v>
      </c>
      <c r="AM62" t="e">
        <f>AND(NhatkyNhap!#REF!,"AAAAADT5vyY=")</f>
        <v>#REF!</v>
      </c>
      <c r="AN62" t="e">
        <f>AND(NhatkyNhap!#REF!,"AAAAADT5vyc=")</f>
        <v>#REF!</v>
      </c>
      <c r="AO62" t="e">
        <f>AND(NhatkyNhap!#REF!,"AAAAADT5vyg=")</f>
        <v>#REF!</v>
      </c>
      <c r="AP62" t="e">
        <f>AND(NhatkyNhap!#REF!,"AAAAADT5vyk=")</f>
        <v>#REF!</v>
      </c>
      <c r="AQ62" t="e">
        <f>AND(NhatkyNhap!#REF!,"AAAAADT5vyo=")</f>
        <v>#REF!</v>
      </c>
      <c r="AR62" t="e">
        <f>AND(NhatkyNhap!#REF!,"AAAAADT5vys=")</f>
        <v>#REF!</v>
      </c>
      <c r="AS62" t="e">
        <f>AND(NhatkyNhap!#REF!,"AAAAADT5vyw=")</f>
        <v>#REF!</v>
      </c>
      <c r="AT62" t="e">
        <f>AND(NhatkyNhap!#REF!,"AAAAADT5vy0=")</f>
        <v>#REF!</v>
      </c>
      <c r="AU62" t="e">
        <f>IF(NhatkyNhap!#REF!,"AAAAADT5vy4=",0)</f>
        <v>#REF!</v>
      </c>
      <c r="AV62" t="e">
        <f>AND(NhatkyNhap!#REF!,"AAAAADT5vy8=")</f>
        <v>#REF!</v>
      </c>
      <c r="AW62" t="e">
        <f>AND(NhatkyNhap!#REF!,"AAAAADT5vzA=")</f>
        <v>#REF!</v>
      </c>
      <c r="AX62" t="e">
        <f>AND(NhatkyNhap!#REF!,"AAAAADT5vzE=")</f>
        <v>#REF!</v>
      </c>
      <c r="AY62" t="e">
        <f>AND(NhatkyNhap!#REF!,"AAAAADT5vzI=")</f>
        <v>#REF!</v>
      </c>
      <c r="AZ62" t="e">
        <f>AND(NhatkyNhap!#REF!,"AAAAADT5vzM=")</f>
        <v>#REF!</v>
      </c>
      <c r="BA62" t="e">
        <f>AND(NhatkyNhap!#REF!,"AAAAADT5vzQ=")</f>
        <v>#REF!</v>
      </c>
      <c r="BB62" t="e">
        <f>AND(NhatkyNhap!#REF!,"AAAAADT5vzU=")</f>
        <v>#REF!</v>
      </c>
      <c r="BC62" t="e">
        <f>AND(NhatkyNhap!#REF!,"AAAAADT5vzY=")</f>
        <v>#REF!</v>
      </c>
      <c r="BD62" t="e">
        <f>AND(NhatkyNhap!#REF!,"AAAAADT5vzc=")</f>
        <v>#REF!</v>
      </c>
      <c r="BE62" t="e">
        <f>AND(NhatkyNhap!#REF!,"AAAAADT5vzg=")</f>
        <v>#REF!</v>
      </c>
      <c r="BF62" t="e">
        <f>AND(NhatkyNhap!#REF!,"AAAAADT5vzk=")</f>
        <v>#REF!</v>
      </c>
      <c r="BG62" t="e">
        <f>AND(NhatkyNhap!#REF!,"AAAAADT5vzo=")</f>
        <v>#REF!</v>
      </c>
      <c r="BH62" t="e">
        <f>AND(NhatkyNhap!#REF!,"AAAAADT5vzs=")</f>
        <v>#REF!</v>
      </c>
      <c r="BI62" t="e">
        <f>AND(NhatkyNhap!#REF!,"AAAAADT5vzw=")</f>
        <v>#REF!</v>
      </c>
      <c r="BJ62" t="e">
        <f>AND(NhatkyNhap!#REF!,"AAAAADT5vz0=")</f>
        <v>#REF!</v>
      </c>
      <c r="BK62" t="e">
        <f>AND(NhatkyNhap!#REF!,"AAAAADT5vz4=")</f>
        <v>#REF!</v>
      </c>
      <c r="BL62" t="e">
        <f>AND(NhatkyNhap!#REF!,"AAAAADT5vz8=")</f>
        <v>#REF!</v>
      </c>
      <c r="BM62" t="e">
        <f>AND(NhatkyNhap!#REF!,"AAAAADT5v0A=")</f>
        <v>#REF!</v>
      </c>
      <c r="BN62" t="e">
        <f>AND(NhatkyNhap!#REF!,"AAAAADT5v0E=")</f>
        <v>#REF!</v>
      </c>
      <c r="BO62" t="e">
        <f>AND(NhatkyNhap!#REF!,"AAAAADT5v0I=")</f>
        <v>#REF!</v>
      </c>
      <c r="BP62" t="e">
        <f>AND(NhatkyNhap!#REF!,"AAAAADT5v0M=")</f>
        <v>#REF!</v>
      </c>
      <c r="BQ62" t="e">
        <f>AND(NhatkyNhap!#REF!,"AAAAADT5v0Q=")</f>
        <v>#REF!</v>
      </c>
      <c r="BR62" t="e">
        <f>AND(NhatkyNhap!#REF!,"AAAAADT5v0U=")</f>
        <v>#REF!</v>
      </c>
      <c r="BS62" t="e">
        <f>AND(NhatkyNhap!#REF!,"AAAAADT5v0Y=")</f>
        <v>#REF!</v>
      </c>
      <c r="BT62" t="e">
        <f>AND(NhatkyNhap!#REF!,"AAAAADT5v0c=")</f>
        <v>#REF!</v>
      </c>
      <c r="BU62" t="e">
        <f>AND(NhatkyNhap!#REF!,"AAAAADT5v0g=")</f>
        <v>#REF!</v>
      </c>
      <c r="BV62" t="e">
        <f>AND(NhatkyNhap!#REF!,"AAAAADT5v0k=")</f>
        <v>#REF!</v>
      </c>
      <c r="BW62" t="e">
        <f>AND(NhatkyNhap!#REF!,"AAAAADT5v0o=")</f>
        <v>#REF!</v>
      </c>
      <c r="BX62" t="e">
        <f>AND(NhatkyNhap!#REF!,"AAAAADT5v0s=")</f>
        <v>#REF!</v>
      </c>
      <c r="BY62" t="e">
        <f>AND(NhatkyNhap!#REF!,"AAAAADT5v0w=")</f>
        <v>#REF!</v>
      </c>
      <c r="BZ62" t="e">
        <f>AND(NhatkyNhap!#REF!,"AAAAADT5v00=")</f>
        <v>#REF!</v>
      </c>
      <c r="CA62" t="e">
        <f>AND(NhatkyNhap!#REF!,"AAAAADT5v04=")</f>
        <v>#REF!</v>
      </c>
      <c r="CB62" t="e">
        <f>AND(NhatkyNhap!#REF!,"AAAAADT5v08=")</f>
        <v>#REF!</v>
      </c>
      <c r="CC62" t="e">
        <f>AND(NhatkyNhap!#REF!,"AAAAADT5v1A=")</f>
        <v>#REF!</v>
      </c>
      <c r="CD62" t="e">
        <f>IF(NhatkyNhap!#REF!,"AAAAADT5v1E=",0)</f>
        <v>#REF!</v>
      </c>
      <c r="CE62" t="e">
        <f>AND(NhatkyNhap!#REF!,"AAAAADT5v1I=")</f>
        <v>#REF!</v>
      </c>
      <c r="CF62" t="e">
        <f>AND(NhatkyNhap!#REF!,"AAAAADT5v1M=")</f>
        <v>#REF!</v>
      </c>
      <c r="CG62" t="e">
        <f>AND(NhatkyNhap!#REF!,"AAAAADT5v1Q=")</f>
        <v>#REF!</v>
      </c>
      <c r="CH62" t="e">
        <f>AND(NhatkyNhap!#REF!,"AAAAADT5v1U=")</f>
        <v>#REF!</v>
      </c>
      <c r="CI62" t="e">
        <f>AND(NhatkyNhap!#REF!,"AAAAADT5v1Y=")</f>
        <v>#REF!</v>
      </c>
      <c r="CJ62" t="e">
        <f>AND(NhatkyNhap!#REF!,"AAAAADT5v1c=")</f>
        <v>#REF!</v>
      </c>
      <c r="CK62" t="e">
        <f>AND(NhatkyNhap!#REF!,"AAAAADT5v1g=")</f>
        <v>#REF!</v>
      </c>
      <c r="CL62" t="e">
        <f>AND(NhatkyNhap!#REF!,"AAAAADT5v1k=")</f>
        <v>#REF!</v>
      </c>
      <c r="CM62" t="e">
        <f>AND(NhatkyNhap!#REF!,"AAAAADT5v1o=")</f>
        <v>#REF!</v>
      </c>
      <c r="CN62" t="e">
        <f>AND(NhatkyNhap!#REF!,"AAAAADT5v1s=")</f>
        <v>#REF!</v>
      </c>
      <c r="CO62" t="e">
        <f>AND(NhatkyNhap!#REF!,"AAAAADT5v1w=")</f>
        <v>#REF!</v>
      </c>
      <c r="CP62" t="e">
        <f>AND(NhatkyNhap!#REF!,"AAAAADT5v10=")</f>
        <v>#REF!</v>
      </c>
      <c r="CQ62" t="e">
        <f>AND(NhatkyNhap!#REF!,"AAAAADT5v14=")</f>
        <v>#REF!</v>
      </c>
      <c r="CR62" t="e">
        <f>AND(NhatkyNhap!#REF!,"AAAAADT5v18=")</f>
        <v>#REF!</v>
      </c>
      <c r="CS62" t="e">
        <f>AND(NhatkyNhap!#REF!,"AAAAADT5v2A=")</f>
        <v>#REF!</v>
      </c>
      <c r="CT62" t="e">
        <f>AND(NhatkyNhap!#REF!,"AAAAADT5v2E=")</f>
        <v>#REF!</v>
      </c>
      <c r="CU62" t="e">
        <f>AND(NhatkyNhap!#REF!,"AAAAADT5v2I=")</f>
        <v>#REF!</v>
      </c>
      <c r="CV62" t="e">
        <f>AND(NhatkyNhap!#REF!,"AAAAADT5v2M=")</f>
        <v>#REF!</v>
      </c>
      <c r="CW62" t="e">
        <f>AND(NhatkyNhap!#REF!,"AAAAADT5v2Q=")</f>
        <v>#REF!</v>
      </c>
      <c r="CX62" t="e">
        <f>AND(NhatkyNhap!#REF!,"AAAAADT5v2U=")</f>
        <v>#REF!</v>
      </c>
      <c r="CY62" t="e">
        <f>AND(NhatkyNhap!#REF!,"AAAAADT5v2Y=")</f>
        <v>#REF!</v>
      </c>
      <c r="CZ62" t="e">
        <f>AND(NhatkyNhap!#REF!,"AAAAADT5v2c=")</f>
        <v>#REF!</v>
      </c>
      <c r="DA62" t="e">
        <f>AND(NhatkyNhap!#REF!,"AAAAADT5v2g=")</f>
        <v>#REF!</v>
      </c>
      <c r="DB62" t="e">
        <f>AND(NhatkyNhap!#REF!,"AAAAADT5v2k=")</f>
        <v>#REF!</v>
      </c>
      <c r="DC62" t="e">
        <f>AND(NhatkyNhap!#REF!,"AAAAADT5v2o=")</f>
        <v>#REF!</v>
      </c>
      <c r="DD62" t="e">
        <f>AND(NhatkyNhap!#REF!,"AAAAADT5v2s=")</f>
        <v>#REF!</v>
      </c>
      <c r="DE62" t="e">
        <f>AND(NhatkyNhap!#REF!,"AAAAADT5v2w=")</f>
        <v>#REF!</v>
      </c>
      <c r="DF62" t="e">
        <f>AND(NhatkyNhap!#REF!,"AAAAADT5v20=")</f>
        <v>#REF!</v>
      </c>
      <c r="DG62" t="e">
        <f>AND(NhatkyNhap!#REF!,"AAAAADT5v24=")</f>
        <v>#REF!</v>
      </c>
      <c r="DH62" t="e">
        <f>AND(NhatkyNhap!#REF!,"AAAAADT5v28=")</f>
        <v>#REF!</v>
      </c>
      <c r="DI62" t="e">
        <f>AND(NhatkyNhap!#REF!,"AAAAADT5v3A=")</f>
        <v>#REF!</v>
      </c>
      <c r="DJ62" t="e">
        <f>AND(NhatkyNhap!#REF!,"AAAAADT5v3E=")</f>
        <v>#REF!</v>
      </c>
      <c r="DK62" t="e">
        <f>AND(NhatkyNhap!#REF!,"AAAAADT5v3I=")</f>
        <v>#REF!</v>
      </c>
      <c r="DL62" t="e">
        <f>AND(NhatkyNhap!#REF!,"AAAAADT5v3M=")</f>
        <v>#REF!</v>
      </c>
      <c r="DM62" t="e">
        <f>IF(NhatkyNhap!#REF!,"AAAAADT5v3Q=",0)</f>
        <v>#REF!</v>
      </c>
      <c r="DN62" t="e">
        <f>AND(NhatkyNhap!#REF!,"AAAAADT5v3U=")</f>
        <v>#REF!</v>
      </c>
      <c r="DO62" t="e">
        <f>AND(NhatkyNhap!#REF!,"AAAAADT5v3Y=")</f>
        <v>#REF!</v>
      </c>
      <c r="DP62" t="e">
        <f>AND(NhatkyNhap!#REF!,"AAAAADT5v3c=")</f>
        <v>#REF!</v>
      </c>
      <c r="DQ62" t="e">
        <f>AND(NhatkyNhap!#REF!,"AAAAADT5v3g=")</f>
        <v>#REF!</v>
      </c>
      <c r="DR62" t="e">
        <f>AND(NhatkyNhap!#REF!,"AAAAADT5v3k=")</f>
        <v>#REF!</v>
      </c>
      <c r="DS62" t="e">
        <f>AND(NhatkyNhap!#REF!,"AAAAADT5v3o=")</f>
        <v>#REF!</v>
      </c>
      <c r="DT62" t="e">
        <f>AND(NhatkyNhap!#REF!,"AAAAADT5v3s=")</f>
        <v>#REF!</v>
      </c>
      <c r="DU62" t="e">
        <f>AND(NhatkyNhap!#REF!,"AAAAADT5v3w=")</f>
        <v>#REF!</v>
      </c>
      <c r="DV62" t="e">
        <f>AND(NhatkyNhap!#REF!,"AAAAADT5v30=")</f>
        <v>#REF!</v>
      </c>
      <c r="DW62" t="e">
        <f>AND(NhatkyNhap!#REF!,"AAAAADT5v34=")</f>
        <v>#REF!</v>
      </c>
      <c r="DX62" t="e">
        <f>AND(NhatkyNhap!#REF!,"AAAAADT5v38=")</f>
        <v>#REF!</v>
      </c>
      <c r="DY62" t="e">
        <f>AND(NhatkyNhap!#REF!,"AAAAADT5v4A=")</f>
        <v>#REF!</v>
      </c>
      <c r="DZ62" t="e">
        <f>AND(NhatkyNhap!#REF!,"AAAAADT5v4E=")</f>
        <v>#REF!</v>
      </c>
      <c r="EA62" t="e">
        <f>AND(NhatkyNhap!#REF!,"AAAAADT5v4I=")</f>
        <v>#REF!</v>
      </c>
      <c r="EB62" t="e">
        <f>AND(NhatkyNhap!#REF!,"AAAAADT5v4M=")</f>
        <v>#REF!</v>
      </c>
      <c r="EC62" t="e">
        <f>AND(NhatkyNhap!#REF!,"AAAAADT5v4Q=")</f>
        <v>#REF!</v>
      </c>
      <c r="ED62" t="e">
        <f>AND(NhatkyNhap!#REF!,"AAAAADT5v4U=")</f>
        <v>#REF!</v>
      </c>
      <c r="EE62" t="e">
        <f>AND(NhatkyNhap!#REF!,"AAAAADT5v4Y=")</f>
        <v>#REF!</v>
      </c>
      <c r="EF62" t="e">
        <f>AND(NhatkyNhap!#REF!,"AAAAADT5v4c=")</f>
        <v>#REF!</v>
      </c>
      <c r="EG62" t="e">
        <f>AND(NhatkyNhap!#REF!,"AAAAADT5v4g=")</f>
        <v>#REF!</v>
      </c>
      <c r="EH62" t="e">
        <f>AND(NhatkyNhap!#REF!,"AAAAADT5v4k=")</f>
        <v>#REF!</v>
      </c>
      <c r="EI62" t="e">
        <f>AND(NhatkyNhap!#REF!,"AAAAADT5v4o=")</f>
        <v>#REF!</v>
      </c>
      <c r="EJ62" t="e">
        <f>AND(NhatkyNhap!#REF!,"AAAAADT5v4s=")</f>
        <v>#REF!</v>
      </c>
      <c r="EK62" t="e">
        <f>AND(NhatkyNhap!#REF!,"AAAAADT5v4w=")</f>
        <v>#REF!</v>
      </c>
      <c r="EL62" t="e">
        <f>AND(NhatkyNhap!#REF!,"AAAAADT5v40=")</f>
        <v>#REF!</v>
      </c>
      <c r="EM62" t="e">
        <f>AND(NhatkyNhap!#REF!,"AAAAADT5v44=")</f>
        <v>#REF!</v>
      </c>
      <c r="EN62" t="e">
        <f>AND(NhatkyNhap!#REF!,"AAAAADT5v48=")</f>
        <v>#REF!</v>
      </c>
      <c r="EO62" t="e">
        <f>AND(NhatkyNhap!#REF!,"AAAAADT5v5A=")</f>
        <v>#REF!</v>
      </c>
      <c r="EP62" t="e">
        <f>AND(NhatkyNhap!#REF!,"AAAAADT5v5E=")</f>
        <v>#REF!</v>
      </c>
      <c r="EQ62" t="e">
        <f>AND(NhatkyNhap!#REF!,"AAAAADT5v5I=")</f>
        <v>#REF!</v>
      </c>
      <c r="ER62" t="e">
        <f>AND(NhatkyNhap!#REF!,"AAAAADT5v5M=")</f>
        <v>#REF!</v>
      </c>
      <c r="ES62" t="e">
        <f>AND(NhatkyNhap!#REF!,"AAAAADT5v5Q=")</f>
        <v>#REF!</v>
      </c>
      <c r="ET62" t="e">
        <f>AND(NhatkyNhap!#REF!,"AAAAADT5v5U=")</f>
        <v>#REF!</v>
      </c>
      <c r="EU62" t="e">
        <f>AND(NhatkyNhap!#REF!,"AAAAADT5v5Y=")</f>
        <v>#REF!</v>
      </c>
      <c r="EV62" t="e">
        <f>IF(NhatkyNhap!#REF!,"AAAAADT5v5c=",0)</f>
        <v>#REF!</v>
      </c>
      <c r="EW62" t="e">
        <f>AND(NhatkyNhap!#REF!,"AAAAADT5v5g=")</f>
        <v>#REF!</v>
      </c>
      <c r="EX62" t="e">
        <f>AND(NhatkyNhap!#REF!,"AAAAADT5v5k=")</f>
        <v>#REF!</v>
      </c>
      <c r="EY62" t="e">
        <f>AND(NhatkyNhap!#REF!,"AAAAADT5v5o=")</f>
        <v>#REF!</v>
      </c>
      <c r="EZ62" t="e">
        <f>AND(NhatkyNhap!#REF!,"AAAAADT5v5s=")</f>
        <v>#REF!</v>
      </c>
      <c r="FA62" t="e">
        <f>AND(NhatkyNhap!#REF!,"AAAAADT5v5w=")</f>
        <v>#REF!</v>
      </c>
      <c r="FB62" t="e">
        <f>AND(NhatkyNhap!#REF!,"AAAAADT5v50=")</f>
        <v>#REF!</v>
      </c>
      <c r="FC62" t="e">
        <f>AND(NhatkyNhap!#REF!,"AAAAADT5v54=")</f>
        <v>#REF!</v>
      </c>
      <c r="FD62" t="e">
        <f>AND(NhatkyNhap!#REF!,"AAAAADT5v58=")</f>
        <v>#REF!</v>
      </c>
      <c r="FE62" t="e">
        <f>AND(NhatkyNhap!#REF!,"AAAAADT5v6A=")</f>
        <v>#REF!</v>
      </c>
      <c r="FF62" t="e">
        <f>AND(NhatkyNhap!#REF!,"AAAAADT5v6E=")</f>
        <v>#REF!</v>
      </c>
      <c r="FG62" t="e">
        <f>AND(NhatkyNhap!#REF!,"AAAAADT5v6I=")</f>
        <v>#REF!</v>
      </c>
      <c r="FH62" t="e">
        <f>AND(NhatkyNhap!#REF!,"AAAAADT5v6M=")</f>
        <v>#REF!</v>
      </c>
      <c r="FI62" t="e">
        <f>AND(NhatkyNhap!#REF!,"AAAAADT5v6Q=")</f>
        <v>#REF!</v>
      </c>
      <c r="FJ62" t="e">
        <f>AND(NhatkyNhap!#REF!,"AAAAADT5v6U=")</f>
        <v>#REF!</v>
      </c>
      <c r="FK62" t="e">
        <f>AND(NhatkyNhap!#REF!,"AAAAADT5v6Y=")</f>
        <v>#REF!</v>
      </c>
      <c r="FL62" t="e">
        <f>AND(NhatkyNhap!#REF!,"AAAAADT5v6c=")</f>
        <v>#REF!</v>
      </c>
      <c r="FM62" t="e">
        <f>AND(NhatkyNhap!#REF!,"AAAAADT5v6g=")</f>
        <v>#REF!</v>
      </c>
      <c r="FN62" t="e">
        <f>AND(NhatkyNhap!#REF!,"AAAAADT5v6k=")</f>
        <v>#REF!</v>
      </c>
      <c r="FO62" t="e">
        <f>AND(NhatkyNhap!#REF!,"AAAAADT5v6o=")</f>
        <v>#REF!</v>
      </c>
      <c r="FP62" t="e">
        <f>AND(NhatkyNhap!#REF!,"AAAAADT5v6s=")</f>
        <v>#REF!</v>
      </c>
      <c r="FQ62" t="e">
        <f>AND(NhatkyNhap!#REF!,"AAAAADT5v6w=")</f>
        <v>#REF!</v>
      </c>
      <c r="FR62" t="e">
        <f>AND(NhatkyNhap!#REF!,"AAAAADT5v60=")</f>
        <v>#REF!</v>
      </c>
      <c r="FS62" t="e">
        <f>AND(NhatkyNhap!#REF!,"AAAAADT5v64=")</f>
        <v>#REF!</v>
      </c>
      <c r="FT62" t="e">
        <f>AND(NhatkyNhap!#REF!,"AAAAADT5v68=")</f>
        <v>#REF!</v>
      </c>
      <c r="FU62" t="e">
        <f>AND(NhatkyNhap!#REF!,"AAAAADT5v7A=")</f>
        <v>#REF!</v>
      </c>
      <c r="FV62" t="e">
        <f>AND(NhatkyNhap!#REF!,"AAAAADT5v7E=")</f>
        <v>#REF!</v>
      </c>
      <c r="FW62" t="e">
        <f>AND(NhatkyNhap!#REF!,"AAAAADT5v7I=")</f>
        <v>#REF!</v>
      </c>
      <c r="FX62" t="e">
        <f>AND(NhatkyNhap!#REF!,"AAAAADT5v7M=")</f>
        <v>#REF!</v>
      </c>
      <c r="FY62" t="e">
        <f>AND(NhatkyNhap!#REF!,"AAAAADT5v7Q=")</f>
        <v>#REF!</v>
      </c>
      <c r="FZ62" t="e">
        <f>AND(NhatkyNhap!#REF!,"AAAAADT5v7U=")</f>
        <v>#REF!</v>
      </c>
      <c r="GA62" t="e">
        <f>AND(NhatkyNhap!#REF!,"AAAAADT5v7Y=")</f>
        <v>#REF!</v>
      </c>
      <c r="GB62" t="e">
        <f>AND(NhatkyNhap!#REF!,"AAAAADT5v7c=")</f>
        <v>#REF!</v>
      </c>
      <c r="GC62" t="e">
        <f>AND(NhatkyNhap!#REF!,"AAAAADT5v7g=")</f>
        <v>#REF!</v>
      </c>
      <c r="GD62" t="e">
        <f>AND(NhatkyNhap!#REF!,"AAAAADT5v7k=")</f>
        <v>#REF!</v>
      </c>
      <c r="GE62" t="e">
        <f>IF(NhatkyNhap!#REF!,"AAAAADT5v7o=",0)</f>
        <v>#REF!</v>
      </c>
      <c r="GF62" t="e">
        <f>AND(NhatkyNhap!#REF!,"AAAAADT5v7s=")</f>
        <v>#REF!</v>
      </c>
      <c r="GG62" t="e">
        <f>AND(NhatkyNhap!#REF!,"AAAAADT5v7w=")</f>
        <v>#REF!</v>
      </c>
      <c r="GH62" t="e">
        <f>AND(NhatkyNhap!#REF!,"AAAAADT5v70=")</f>
        <v>#REF!</v>
      </c>
      <c r="GI62" t="e">
        <f>AND(NhatkyNhap!#REF!,"AAAAADT5v74=")</f>
        <v>#REF!</v>
      </c>
      <c r="GJ62" t="e">
        <f>AND(NhatkyNhap!#REF!,"AAAAADT5v78=")</f>
        <v>#REF!</v>
      </c>
      <c r="GK62" t="e">
        <f>AND(NhatkyNhap!#REF!,"AAAAADT5v8A=")</f>
        <v>#REF!</v>
      </c>
      <c r="GL62" t="e">
        <f>AND(NhatkyNhap!#REF!,"AAAAADT5v8E=")</f>
        <v>#REF!</v>
      </c>
      <c r="GM62" t="e">
        <f>AND(NhatkyNhap!#REF!,"AAAAADT5v8I=")</f>
        <v>#REF!</v>
      </c>
      <c r="GN62" t="e">
        <f>AND(NhatkyNhap!#REF!,"AAAAADT5v8M=")</f>
        <v>#REF!</v>
      </c>
      <c r="GO62" t="e">
        <f>AND(NhatkyNhap!#REF!,"AAAAADT5v8Q=")</f>
        <v>#REF!</v>
      </c>
      <c r="GP62" t="e">
        <f>AND(NhatkyNhap!#REF!,"AAAAADT5v8U=")</f>
        <v>#REF!</v>
      </c>
      <c r="GQ62" t="e">
        <f>AND(NhatkyNhap!#REF!,"AAAAADT5v8Y=")</f>
        <v>#REF!</v>
      </c>
      <c r="GR62" t="e">
        <f>AND(NhatkyNhap!#REF!,"AAAAADT5v8c=")</f>
        <v>#REF!</v>
      </c>
      <c r="GS62" t="e">
        <f>AND(NhatkyNhap!#REF!,"AAAAADT5v8g=")</f>
        <v>#REF!</v>
      </c>
      <c r="GT62" t="e">
        <f>AND(NhatkyNhap!#REF!,"AAAAADT5v8k=")</f>
        <v>#REF!</v>
      </c>
      <c r="GU62" t="e">
        <f>AND(NhatkyNhap!#REF!,"AAAAADT5v8o=")</f>
        <v>#REF!</v>
      </c>
      <c r="GV62" t="e">
        <f>AND(NhatkyNhap!#REF!,"AAAAADT5v8s=")</f>
        <v>#REF!</v>
      </c>
      <c r="GW62" t="e">
        <f>AND(NhatkyNhap!#REF!,"AAAAADT5v8w=")</f>
        <v>#REF!</v>
      </c>
      <c r="GX62" t="e">
        <f>AND(NhatkyNhap!#REF!,"AAAAADT5v80=")</f>
        <v>#REF!</v>
      </c>
      <c r="GY62" t="e">
        <f>AND(NhatkyNhap!#REF!,"AAAAADT5v84=")</f>
        <v>#REF!</v>
      </c>
      <c r="GZ62" t="e">
        <f>AND(NhatkyNhap!#REF!,"AAAAADT5v88=")</f>
        <v>#REF!</v>
      </c>
      <c r="HA62" t="e">
        <f>AND(NhatkyNhap!#REF!,"AAAAADT5v9A=")</f>
        <v>#REF!</v>
      </c>
      <c r="HB62" t="e">
        <f>AND(NhatkyNhap!#REF!,"AAAAADT5v9E=")</f>
        <v>#REF!</v>
      </c>
      <c r="HC62" t="e">
        <f>AND(NhatkyNhap!#REF!,"AAAAADT5v9I=")</f>
        <v>#REF!</v>
      </c>
      <c r="HD62" t="e">
        <f>AND(NhatkyNhap!#REF!,"AAAAADT5v9M=")</f>
        <v>#REF!</v>
      </c>
      <c r="HE62" t="e">
        <f>AND(NhatkyNhap!#REF!,"AAAAADT5v9Q=")</f>
        <v>#REF!</v>
      </c>
      <c r="HF62" t="e">
        <f>AND(NhatkyNhap!#REF!,"AAAAADT5v9U=")</f>
        <v>#REF!</v>
      </c>
      <c r="HG62" t="e">
        <f>AND(NhatkyNhap!#REF!,"AAAAADT5v9Y=")</f>
        <v>#REF!</v>
      </c>
      <c r="HH62" t="e">
        <f>AND(NhatkyNhap!#REF!,"AAAAADT5v9c=")</f>
        <v>#REF!</v>
      </c>
      <c r="HI62" t="e">
        <f>AND(NhatkyNhap!#REF!,"AAAAADT5v9g=")</f>
        <v>#REF!</v>
      </c>
      <c r="HJ62" t="e">
        <f>AND(NhatkyNhap!#REF!,"AAAAADT5v9k=")</f>
        <v>#REF!</v>
      </c>
      <c r="HK62" t="e">
        <f>AND(NhatkyNhap!#REF!,"AAAAADT5v9o=")</f>
        <v>#REF!</v>
      </c>
      <c r="HL62" t="e">
        <f>AND(NhatkyNhap!#REF!,"AAAAADT5v9s=")</f>
        <v>#REF!</v>
      </c>
      <c r="HM62" t="e">
        <f>AND(NhatkyNhap!#REF!,"AAAAADT5v9w=")</f>
        <v>#REF!</v>
      </c>
      <c r="HN62" t="e">
        <f>IF(NhatkyNhap!#REF!,"AAAAADT5v90=",0)</f>
        <v>#REF!</v>
      </c>
      <c r="HO62" t="e">
        <f>AND(NhatkyNhap!#REF!,"AAAAADT5v94=")</f>
        <v>#REF!</v>
      </c>
      <c r="HP62" t="e">
        <f>AND(NhatkyNhap!#REF!,"AAAAADT5v98=")</f>
        <v>#REF!</v>
      </c>
      <c r="HQ62" t="e">
        <f>AND(NhatkyNhap!#REF!,"AAAAADT5v+A=")</f>
        <v>#REF!</v>
      </c>
      <c r="HR62" t="e">
        <f>AND(NhatkyNhap!#REF!,"AAAAADT5v+E=")</f>
        <v>#REF!</v>
      </c>
      <c r="HS62" t="e">
        <f>AND(NhatkyNhap!#REF!,"AAAAADT5v+I=")</f>
        <v>#REF!</v>
      </c>
      <c r="HT62" t="e">
        <f>AND(NhatkyNhap!#REF!,"AAAAADT5v+M=")</f>
        <v>#REF!</v>
      </c>
      <c r="HU62" t="e">
        <f>AND(NhatkyNhap!#REF!,"AAAAADT5v+Q=")</f>
        <v>#REF!</v>
      </c>
      <c r="HV62" t="e">
        <f>AND(NhatkyNhap!#REF!,"AAAAADT5v+U=")</f>
        <v>#REF!</v>
      </c>
      <c r="HW62" t="e">
        <f>AND(NhatkyNhap!#REF!,"AAAAADT5v+Y=")</f>
        <v>#REF!</v>
      </c>
      <c r="HX62" t="e">
        <f>AND(NhatkyNhap!#REF!,"AAAAADT5v+c=")</f>
        <v>#REF!</v>
      </c>
      <c r="HY62" t="e">
        <f>AND(NhatkyNhap!#REF!,"AAAAADT5v+g=")</f>
        <v>#REF!</v>
      </c>
      <c r="HZ62" t="e">
        <f>AND(NhatkyNhap!#REF!,"AAAAADT5v+k=")</f>
        <v>#REF!</v>
      </c>
      <c r="IA62" t="e">
        <f>AND(NhatkyNhap!#REF!,"AAAAADT5v+o=")</f>
        <v>#REF!</v>
      </c>
      <c r="IB62" t="e">
        <f>AND(NhatkyNhap!#REF!,"AAAAADT5v+s=")</f>
        <v>#REF!</v>
      </c>
      <c r="IC62" t="e">
        <f>AND(NhatkyNhap!#REF!,"AAAAADT5v+w=")</f>
        <v>#REF!</v>
      </c>
      <c r="ID62" t="e">
        <f>AND(NhatkyNhap!#REF!,"AAAAADT5v+0=")</f>
        <v>#REF!</v>
      </c>
      <c r="IE62" t="e">
        <f>AND(NhatkyNhap!#REF!,"AAAAADT5v+4=")</f>
        <v>#REF!</v>
      </c>
      <c r="IF62" t="e">
        <f>AND(NhatkyNhap!#REF!,"AAAAADT5v+8=")</f>
        <v>#REF!</v>
      </c>
      <c r="IG62" t="e">
        <f>AND(NhatkyNhap!#REF!,"AAAAADT5v/A=")</f>
        <v>#REF!</v>
      </c>
      <c r="IH62" t="e">
        <f>AND(NhatkyNhap!#REF!,"AAAAADT5v/E=")</f>
        <v>#REF!</v>
      </c>
      <c r="II62" t="e">
        <f>AND(NhatkyNhap!#REF!,"AAAAADT5v/I=")</f>
        <v>#REF!</v>
      </c>
      <c r="IJ62" t="e">
        <f>AND(NhatkyNhap!#REF!,"AAAAADT5v/M=")</f>
        <v>#REF!</v>
      </c>
      <c r="IK62" t="e">
        <f>AND(NhatkyNhap!#REF!,"AAAAADT5v/Q=")</f>
        <v>#REF!</v>
      </c>
      <c r="IL62" t="e">
        <f>AND(NhatkyNhap!#REF!,"AAAAADT5v/U=")</f>
        <v>#REF!</v>
      </c>
      <c r="IM62" t="e">
        <f>AND(NhatkyNhap!#REF!,"AAAAADT5v/Y=")</f>
        <v>#REF!</v>
      </c>
      <c r="IN62" t="e">
        <f>AND(NhatkyNhap!#REF!,"AAAAADT5v/c=")</f>
        <v>#REF!</v>
      </c>
      <c r="IO62" t="e">
        <f>AND(NhatkyNhap!#REF!,"AAAAADT5v/g=")</f>
        <v>#REF!</v>
      </c>
      <c r="IP62" t="e">
        <f>AND(NhatkyNhap!#REF!,"AAAAADT5v/k=")</f>
        <v>#REF!</v>
      </c>
      <c r="IQ62" t="e">
        <f>AND(NhatkyNhap!#REF!,"AAAAADT5v/o=")</f>
        <v>#REF!</v>
      </c>
      <c r="IR62" t="e">
        <f>AND(NhatkyNhap!#REF!,"AAAAADT5v/s=")</f>
        <v>#REF!</v>
      </c>
      <c r="IS62" t="e">
        <f>AND(NhatkyNhap!#REF!,"AAAAADT5v/w=")</f>
        <v>#REF!</v>
      </c>
      <c r="IT62" t="e">
        <f>AND(NhatkyNhap!#REF!,"AAAAADT5v/0=")</f>
        <v>#REF!</v>
      </c>
      <c r="IU62" t="e">
        <f>AND(NhatkyNhap!#REF!,"AAAAADT5v/4=")</f>
        <v>#REF!</v>
      </c>
      <c r="IV62" t="e">
        <f>AND(NhatkyNhap!#REF!,"AAAAADT5v/8=")</f>
        <v>#REF!</v>
      </c>
    </row>
    <row r="63" spans="1:256">
      <c r="A63" t="e">
        <f>IF(NhatkyNhap!#REF!,"AAAAAH/33wA=",0)</f>
        <v>#REF!</v>
      </c>
      <c r="B63" t="e">
        <f>AND(NhatkyNhap!#REF!,"AAAAAH/33wE=")</f>
        <v>#REF!</v>
      </c>
      <c r="C63" t="e">
        <f>AND(NhatkyNhap!#REF!,"AAAAAH/33wI=")</f>
        <v>#REF!</v>
      </c>
      <c r="D63" t="e">
        <f>AND(NhatkyNhap!#REF!,"AAAAAH/33wM=")</f>
        <v>#REF!</v>
      </c>
      <c r="E63" t="e">
        <f>AND(NhatkyNhap!#REF!,"AAAAAH/33wQ=")</f>
        <v>#REF!</v>
      </c>
      <c r="F63" t="e">
        <f>AND(NhatkyNhap!#REF!,"AAAAAH/33wU=")</f>
        <v>#REF!</v>
      </c>
      <c r="G63" t="e">
        <f>AND(NhatkyNhap!#REF!,"AAAAAH/33wY=")</f>
        <v>#REF!</v>
      </c>
      <c r="H63" t="e">
        <f>AND(NhatkyNhap!#REF!,"AAAAAH/33wc=")</f>
        <v>#REF!</v>
      </c>
      <c r="I63" t="e">
        <f>AND(NhatkyNhap!#REF!,"AAAAAH/33wg=")</f>
        <v>#REF!</v>
      </c>
      <c r="J63" t="e">
        <f>AND(NhatkyNhap!#REF!,"AAAAAH/33wk=")</f>
        <v>#REF!</v>
      </c>
      <c r="K63" t="e">
        <f>AND(NhatkyNhap!#REF!,"AAAAAH/33wo=")</f>
        <v>#REF!</v>
      </c>
      <c r="L63" t="e">
        <f>AND(NhatkyNhap!#REF!,"AAAAAH/33ws=")</f>
        <v>#REF!</v>
      </c>
      <c r="M63" t="e">
        <f>AND(NhatkyNhap!#REF!,"AAAAAH/33ww=")</f>
        <v>#REF!</v>
      </c>
      <c r="N63" t="e">
        <f>AND(NhatkyNhap!#REF!,"AAAAAH/33w0=")</f>
        <v>#REF!</v>
      </c>
      <c r="O63" t="e">
        <f>AND(NhatkyNhap!#REF!,"AAAAAH/33w4=")</f>
        <v>#REF!</v>
      </c>
      <c r="P63" t="e">
        <f>AND(NhatkyNhap!#REF!,"AAAAAH/33w8=")</f>
        <v>#REF!</v>
      </c>
      <c r="Q63" t="e">
        <f>AND(NhatkyNhap!#REF!,"AAAAAH/33xA=")</f>
        <v>#REF!</v>
      </c>
      <c r="R63" t="e">
        <f>AND(NhatkyNhap!#REF!,"AAAAAH/33xE=")</f>
        <v>#REF!</v>
      </c>
      <c r="S63" t="e">
        <f>AND(NhatkyNhap!#REF!,"AAAAAH/33xI=")</f>
        <v>#REF!</v>
      </c>
      <c r="T63" t="e">
        <f>AND(NhatkyNhap!#REF!,"AAAAAH/33xM=")</f>
        <v>#REF!</v>
      </c>
      <c r="U63" t="e">
        <f>AND(NhatkyNhap!#REF!,"AAAAAH/33xQ=")</f>
        <v>#REF!</v>
      </c>
      <c r="V63" t="e">
        <f>AND(NhatkyNhap!#REF!,"AAAAAH/33xU=")</f>
        <v>#REF!</v>
      </c>
      <c r="W63" t="e">
        <f>AND(NhatkyNhap!#REF!,"AAAAAH/33xY=")</f>
        <v>#REF!</v>
      </c>
      <c r="X63" t="e">
        <f>AND(NhatkyNhap!#REF!,"AAAAAH/33xc=")</f>
        <v>#REF!</v>
      </c>
      <c r="Y63" t="e">
        <f>AND(NhatkyNhap!#REF!,"AAAAAH/33xg=")</f>
        <v>#REF!</v>
      </c>
      <c r="Z63" t="e">
        <f>AND(NhatkyNhap!#REF!,"AAAAAH/33xk=")</f>
        <v>#REF!</v>
      </c>
      <c r="AA63" t="e">
        <f>AND(NhatkyNhap!#REF!,"AAAAAH/33xo=")</f>
        <v>#REF!</v>
      </c>
      <c r="AB63" t="e">
        <f>AND(NhatkyNhap!#REF!,"AAAAAH/33xs=")</f>
        <v>#REF!</v>
      </c>
      <c r="AC63" t="e">
        <f>AND(NhatkyNhap!#REF!,"AAAAAH/33xw=")</f>
        <v>#REF!</v>
      </c>
      <c r="AD63" t="e">
        <f>AND(NhatkyNhap!#REF!,"AAAAAH/33x0=")</f>
        <v>#REF!</v>
      </c>
      <c r="AE63" t="e">
        <f>AND(NhatkyNhap!#REF!,"AAAAAH/33x4=")</f>
        <v>#REF!</v>
      </c>
      <c r="AF63" t="e">
        <f>AND(NhatkyNhap!#REF!,"AAAAAH/33x8=")</f>
        <v>#REF!</v>
      </c>
      <c r="AG63" t="e">
        <f>AND(NhatkyNhap!#REF!,"AAAAAH/33yA=")</f>
        <v>#REF!</v>
      </c>
      <c r="AH63" t="e">
        <f>AND(NhatkyNhap!#REF!,"AAAAAH/33yE=")</f>
        <v>#REF!</v>
      </c>
      <c r="AI63" t="e">
        <f>AND(NhatkyNhap!#REF!,"AAAAAH/33yI=")</f>
        <v>#REF!</v>
      </c>
      <c r="AJ63" t="e">
        <f>IF(NhatkyNhap!#REF!,"AAAAAH/33yM=",0)</f>
        <v>#REF!</v>
      </c>
      <c r="AK63" t="e">
        <f>AND(NhatkyNhap!#REF!,"AAAAAH/33yQ=")</f>
        <v>#REF!</v>
      </c>
      <c r="AL63" t="e">
        <f>AND(NhatkyNhap!#REF!,"AAAAAH/33yU=")</f>
        <v>#REF!</v>
      </c>
      <c r="AM63" t="e">
        <f>AND(NhatkyNhap!#REF!,"AAAAAH/33yY=")</f>
        <v>#REF!</v>
      </c>
      <c r="AN63" t="e">
        <f>AND(NhatkyNhap!#REF!,"AAAAAH/33yc=")</f>
        <v>#REF!</v>
      </c>
      <c r="AO63" t="e">
        <f>AND(NhatkyNhap!#REF!,"AAAAAH/33yg=")</f>
        <v>#REF!</v>
      </c>
      <c r="AP63" t="e">
        <f>AND(NhatkyNhap!#REF!,"AAAAAH/33yk=")</f>
        <v>#REF!</v>
      </c>
      <c r="AQ63" t="e">
        <f>AND(NhatkyNhap!#REF!,"AAAAAH/33yo=")</f>
        <v>#REF!</v>
      </c>
      <c r="AR63" t="e">
        <f>AND(NhatkyNhap!#REF!,"AAAAAH/33ys=")</f>
        <v>#REF!</v>
      </c>
      <c r="AS63" t="e">
        <f>AND(NhatkyNhap!#REF!,"AAAAAH/33yw=")</f>
        <v>#REF!</v>
      </c>
      <c r="AT63" t="e">
        <f>AND(NhatkyNhap!#REF!,"AAAAAH/33y0=")</f>
        <v>#REF!</v>
      </c>
      <c r="AU63" t="e">
        <f>AND(NhatkyNhap!#REF!,"AAAAAH/33y4=")</f>
        <v>#REF!</v>
      </c>
      <c r="AV63" t="e">
        <f>AND(NhatkyNhap!#REF!,"AAAAAH/33y8=")</f>
        <v>#REF!</v>
      </c>
      <c r="AW63" t="e">
        <f>AND(NhatkyNhap!#REF!,"AAAAAH/33zA=")</f>
        <v>#REF!</v>
      </c>
      <c r="AX63" t="e">
        <f>AND(NhatkyNhap!#REF!,"AAAAAH/33zE=")</f>
        <v>#REF!</v>
      </c>
      <c r="AY63" t="e">
        <f>AND(NhatkyNhap!#REF!,"AAAAAH/33zI=")</f>
        <v>#REF!</v>
      </c>
      <c r="AZ63" t="e">
        <f>AND(NhatkyNhap!#REF!,"AAAAAH/33zM=")</f>
        <v>#REF!</v>
      </c>
      <c r="BA63" t="e">
        <f>AND(NhatkyNhap!#REF!,"AAAAAH/33zQ=")</f>
        <v>#REF!</v>
      </c>
      <c r="BB63" t="e">
        <f>AND(NhatkyNhap!#REF!,"AAAAAH/33zU=")</f>
        <v>#REF!</v>
      </c>
      <c r="BC63" t="e">
        <f>AND(NhatkyNhap!#REF!,"AAAAAH/33zY=")</f>
        <v>#REF!</v>
      </c>
      <c r="BD63" t="e">
        <f>AND(NhatkyNhap!#REF!,"AAAAAH/33zc=")</f>
        <v>#REF!</v>
      </c>
      <c r="BE63" t="e">
        <f>AND(NhatkyNhap!#REF!,"AAAAAH/33zg=")</f>
        <v>#REF!</v>
      </c>
      <c r="BF63" t="e">
        <f>AND(NhatkyNhap!#REF!,"AAAAAH/33zk=")</f>
        <v>#REF!</v>
      </c>
      <c r="BG63" t="e">
        <f>AND(NhatkyNhap!#REF!,"AAAAAH/33zo=")</f>
        <v>#REF!</v>
      </c>
      <c r="BH63" t="e">
        <f>AND(NhatkyNhap!#REF!,"AAAAAH/33zs=")</f>
        <v>#REF!</v>
      </c>
      <c r="BI63" t="e">
        <f>AND(NhatkyNhap!#REF!,"AAAAAH/33zw=")</f>
        <v>#REF!</v>
      </c>
      <c r="BJ63" t="e">
        <f>AND(NhatkyNhap!#REF!,"AAAAAH/33z0=")</f>
        <v>#REF!</v>
      </c>
      <c r="BK63" t="e">
        <f>AND(NhatkyNhap!#REF!,"AAAAAH/33z4=")</f>
        <v>#REF!</v>
      </c>
      <c r="BL63" t="e">
        <f>AND(NhatkyNhap!#REF!,"AAAAAH/33z8=")</f>
        <v>#REF!</v>
      </c>
      <c r="BM63" t="e">
        <f>AND(NhatkyNhap!#REF!,"AAAAAH/330A=")</f>
        <v>#REF!</v>
      </c>
      <c r="BN63" t="e">
        <f>AND(NhatkyNhap!#REF!,"AAAAAH/330E=")</f>
        <v>#REF!</v>
      </c>
      <c r="BO63" t="e">
        <f>AND(NhatkyNhap!#REF!,"AAAAAH/330I=")</f>
        <v>#REF!</v>
      </c>
      <c r="BP63" t="e">
        <f>AND(NhatkyNhap!#REF!,"AAAAAH/330M=")</f>
        <v>#REF!</v>
      </c>
      <c r="BQ63" t="e">
        <f>AND(NhatkyNhap!#REF!,"AAAAAH/330Q=")</f>
        <v>#REF!</v>
      </c>
      <c r="BR63" t="e">
        <f>AND(NhatkyNhap!#REF!,"AAAAAH/330U=")</f>
        <v>#REF!</v>
      </c>
      <c r="BS63" t="e">
        <f>IF(NhatkyNhap!#REF!,"AAAAAH/330Y=",0)</f>
        <v>#REF!</v>
      </c>
      <c r="BT63" t="e">
        <f>AND(NhatkyNhap!#REF!,"AAAAAH/330c=")</f>
        <v>#REF!</v>
      </c>
      <c r="BU63" t="e">
        <f>AND(NhatkyNhap!#REF!,"AAAAAH/330g=")</f>
        <v>#REF!</v>
      </c>
      <c r="BV63" t="e">
        <f>AND(NhatkyNhap!#REF!,"AAAAAH/330k=")</f>
        <v>#REF!</v>
      </c>
      <c r="BW63" t="e">
        <f>AND(NhatkyNhap!#REF!,"AAAAAH/330o=")</f>
        <v>#REF!</v>
      </c>
      <c r="BX63" t="e">
        <f>AND(NhatkyNhap!#REF!,"AAAAAH/330s=")</f>
        <v>#REF!</v>
      </c>
      <c r="BY63" t="e">
        <f>AND(NhatkyNhap!#REF!,"AAAAAH/330w=")</f>
        <v>#REF!</v>
      </c>
      <c r="BZ63" t="e">
        <f>AND(NhatkyNhap!#REF!,"AAAAAH/3300=")</f>
        <v>#REF!</v>
      </c>
      <c r="CA63" t="e">
        <f>AND(NhatkyNhap!#REF!,"AAAAAH/3304=")</f>
        <v>#REF!</v>
      </c>
      <c r="CB63" t="e">
        <f>AND(NhatkyNhap!#REF!,"AAAAAH/3308=")</f>
        <v>#REF!</v>
      </c>
      <c r="CC63" t="e">
        <f>AND(NhatkyNhap!#REF!,"AAAAAH/331A=")</f>
        <v>#REF!</v>
      </c>
      <c r="CD63" t="e">
        <f>AND(NhatkyNhap!#REF!,"AAAAAH/331E=")</f>
        <v>#REF!</v>
      </c>
      <c r="CE63" t="e">
        <f>AND(NhatkyNhap!#REF!,"AAAAAH/331I=")</f>
        <v>#REF!</v>
      </c>
      <c r="CF63" t="e">
        <f>AND(NhatkyNhap!#REF!,"AAAAAH/331M=")</f>
        <v>#REF!</v>
      </c>
      <c r="CG63" t="e">
        <f>AND(NhatkyNhap!#REF!,"AAAAAH/331Q=")</f>
        <v>#REF!</v>
      </c>
      <c r="CH63" t="e">
        <f>AND(NhatkyNhap!#REF!,"AAAAAH/331U=")</f>
        <v>#REF!</v>
      </c>
      <c r="CI63" t="e">
        <f>AND(NhatkyNhap!#REF!,"AAAAAH/331Y=")</f>
        <v>#REF!</v>
      </c>
      <c r="CJ63" t="e">
        <f>AND(NhatkyNhap!#REF!,"AAAAAH/331c=")</f>
        <v>#REF!</v>
      </c>
      <c r="CK63" t="e">
        <f>AND(NhatkyNhap!#REF!,"AAAAAH/331g=")</f>
        <v>#REF!</v>
      </c>
      <c r="CL63" t="e">
        <f>AND(NhatkyNhap!#REF!,"AAAAAH/331k=")</f>
        <v>#REF!</v>
      </c>
      <c r="CM63" t="e">
        <f>AND(NhatkyNhap!#REF!,"AAAAAH/331o=")</f>
        <v>#REF!</v>
      </c>
      <c r="CN63" t="e">
        <f>AND(NhatkyNhap!#REF!,"AAAAAH/331s=")</f>
        <v>#REF!</v>
      </c>
      <c r="CO63" t="e">
        <f>AND(NhatkyNhap!#REF!,"AAAAAH/331w=")</f>
        <v>#REF!</v>
      </c>
      <c r="CP63" t="e">
        <f>AND(NhatkyNhap!#REF!,"AAAAAH/3310=")</f>
        <v>#REF!</v>
      </c>
      <c r="CQ63" t="e">
        <f>AND(NhatkyNhap!#REF!,"AAAAAH/3314=")</f>
        <v>#REF!</v>
      </c>
      <c r="CR63" t="e">
        <f>AND(NhatkyNhap!#REF!,"AAAAAH/3318=")</f>
        <v>#REF!</v>
      </c>
      <c r="CS63" t="e">
        <f>AND(NhatkyNhap!#REF!,"AAAAAH/332A=")</f>
        <v>#REF!</v>
      </c>
      <c r="CT63" t="e">
        <f>AND(NhatkyNhap!#REF!,"AAAAAH/332E=")</f>
        <v>#REF!</v>
      </c>
      <c r="CU63" t="e">
        <f>AND(NhatkyNhap!#REF!,"AAAAAH/332I=")</f>
        <v>#REF!</v>
      </c>
      <c r="CV63" t="e">
        <f>AND(NhatkyNhap!#REF!,"AAAAAH/332M=")</f>
        <v>#REF!</v>
      </c>
      <c r="CW63" t="e">
        <f>AND(NhatkyNhap!#REF!,"AAAAAH/332Q=")</f>
        <v>#REF!</v>
      </c>
      <c r="CX63" t="e">
        <f>AND(NhatkyNhap!#REF!,"AAAAAH/332U=")</f>
        <v>#REF!</v>
      </c>
      <c r="CY63" t="e">
        <f>AND(NhatkyNhap!#REF!,"AAAAAH/332Y=")</f>
        <v>#REF!</v>
      </c>
      <c r="CZ63" t="e">
        <f>AND(NhatkyNhap!#REF!,"AAAAAH/332c=")</f>
        <v>#REF!</v>
      </c>
      <c r="DA63" t="e">
        <f>AND(NhatkyNhap!#REF!,"AAAAAH/332g=")</f>
        <v>#REF!</v>
      </c>
      <c r="DB63" t="e">
        <f>IF(NhatkyNhap!#REF!,"AAAAAH/332k=",0)</f>
        <v>#REF!</v>
      </c>
      <c r="DC63" t="e">
        <f>AND(NhatkyNhap!#REF!,"AAAAAH/332o=")</f>
        <v>#REF!</v>
      </c>
      <c r="DD63" t="e">
        <f>AND(NhatkyNhap!#REF!,"AAAAAH/332s=")</f>
        <v>#REF!</v>
      </c>
      <c r="DE63" t="e">
        <f>AND(NhatkyNhap!#REF!,"AAAAAH/332w=")</f>
        <v>#REF!</v>
      </c>
      <c r="DF63" t="e">
        <f>AND(NhatkyNhap!#REF!,"AAAAAH/3320=")</f>
        <v>#REF!</v>
      </c>
      <c r="DG63" t="e">
        <f>AND(NhatkyNhap!#REF!,"AAAAAH/3324=")</f>
        <v>#REF!</v>
      </c>
      <c r="DH63" t="e">
        <f>AND(NhatkyNhap!#REF!,"AAAAAH/3328=")</f>
        <v>#REF!</v>
      </c>
      <c r="DI63" t="e">
        <f>AND(NhatkyNhap!#REF!,"AAAAAH/333A=")</f>
        <v>#REF!</v>
      </c>
      <c r="DJ63" t="e">
        <f>AND(NhatkyNhap!#REF!,"AAAAAH/333E=")</f>
        <v>#REF!</v>
      </c>
      <c r="DK63" t="e">
        <f>AND(NhatkyNhap!#REF!,"AAAAAH/333I=")</f>
        <v>#REF!</v>
      </c>
      <c r="DL63" t="e">
        <f>AND(NhatkyNhap!#REF!,"AAAAAH/333M=")</f>
        <v>#REF!</v>
      </c>
      <c r="DM63" t="e">
        <f>AND(NhatkyNhap!#REF!,"AAAAAH/333Q=")</f>
        <v>#REF!</v>
      </c>
      <c r="DN63" t="e">
        <f>AND(NhatkyNhap!#REF!,"AAAAAH/333U=")</f>
        <v>#REF!</v>
      </c>
      <c r="DO63" t="e">
        <f>AND(NhatkyNhap!#REF!,"AAAAAH/333Y=")</f>
        <v>#REF!</v>
      </c>
      <c r="DP63" t="e">
        <f>AND(NhatkyNhap!#REF!,"AAAAAH/333c=")</f>
        <v>#REF!</v>
      </c>
      <c r="DQ63" t="e">
        <f>AND(NhatkyNhap!#REF!,"AAAAAH/333g=")</f>
        <v>#REF!</v>
      </c>
      <c r="DR63" t="e">
        <f>AND(NhatkyNhap!#REF!,"AAAAAH/333k=")</f>
        <v>#REF!</v>
      </c>
      <c r="DS63" t="e">
        <f>AND(NhatkyNhap!#REF!,"AAAAAH/333o=")</f>
        <v>#REF!</v>
      </c>
      <c r="DT63" t="e">
        <f>AND(NhatkyNhap!#REF!,"AAAAAH/333s=")</f>
        <v>#REF!</v>
      </c>
      <c r="DU63" t="e">
        <f>AND(NhatkyNhap!#REF!,"AAAAAH/333w=")</f>
        <v>#REF!</v>
      </c>
      <c r="DV63" t="e">
        <f>AND(NhatkyNhap!#REF!,"AAAAAH/3330=")</f>
        <v>#REF!</v>
      </c>
      <c r="DW63" t="e">
        <f>AND(NhatkyNhap!#REF!,"AAAAAH/3334=")</f>
        <v>#REF!</v>
      </c>
      <c r="DX63" t="e">
        <f>AND(NhatkyNhap!#REF!,"AAAAAH/3338=")</f>
        <v>#REF!</v>
      </c>
      <c r="DY63" t="e">
        <f>AND(NhatkyNhap!#REF!,"AAAAAH/334A=")</f>
        <v>#REF!</v>
      </c>
      <c r="DZ63" t="e">
        <f>AND(NhatkyNhap!#REF!,"AAAAAH/334E=")</f>
        <v>#REF!</v>
      </c>
      <c r="EA63" t="e">
        <f>AND(NhatkyNhap!#REF!,"AAAAAH/334I=")</f>
        <v>#REF!</v>
      </c>
      <c r="EB63" t="e">
        <f>AND(NhatkyNhap!#REF!,"AAAAAH/334M=")</f>
        <v>#REF!</v>
      </c>
      <c r="EC63" t="e">
        <f>AND(NhatkyNhap!#REF!,"AAAAAH/334Q=")</f>
        <v>#REF!</v>
      </c>
      <c r="ED63" t="e">
        <f>AND(NhatkyNhap!#REF!,"AAAAAH/334U=")</f>
        <v>#REF!</v>
      </c>
      <c r="EE63" t="e">
        <f>AND(NhatkyNhap!#REF!,"AAAAAH/334Y=")</f>
        <v>#REF!</v>
      </c>
      <c r="EF63" t="e">
        <f>AND(NhatkyNhap!#REF!,"AAAAAH/334c=")</f>
        <v>#REF!</v>
      </c>
      <c r="EG63" t="e">
        <f>AND(NhatkyNhap!#REF!,"AAAAAH/334g=")</f>
        <v>#REF!</v>
      </c>
      <c r="EH63" t="e">
        <f>AND(NhatkyNhap!#REF!,"AAAAAH/334k=")</f>
        <v>#REF!</v>
      </c>
      <c r="EI63" t="e">
        <f>AND(NhatkyNhap!#REF!,"AAAAAH/334o=")</f>
        <v>#REF!</v>
      </c>
      <c r="EJ63" t="e">
        <f>AND(NhatkyNhap!#REF!,"AAAAAH/334s=")</f>
        <v>#REF!</v>
      </c>
      <c r="EK63" t="e">
        <f>IF(NhatkyNhap!#REF!,"AAAAAH/334w=",0)</f>
        <v>#REF!</v>
      </c>
      <c r="EL63" t="e">
        <f>AND(NhatkyNhap!#REF!,"AAAAAH/3340=")</f>
        <v>#REF!</v>
      </c>
      <c r="EM63" t="e">
        <f>AND(NhatkyNhap!#REF!,"AAAAAH/3344=")</f>
        <v>#REF!</v>
      </c>
      <c r="EN63" t="e">
        <f>AND(NhatkyNhap!#REF!,"AAAAAH/3348=")</f>
        <v>#REF!</v>
      </c>
      <c r="EO63" t="e">
        <f>AND(NhatkyNhap!#REF!,"AAAAAH/335A=")</f>
        <v>#REF!</v>
      </c>
      <c r="EP63" t="e">
        <f>AND(NhatkyNhap!#REF!,"AAAAAH/335E=")</f>
        <v>#REF!</v>
      </c>
      <c r="EQ63" t="e">
        <f>AND(NhatkyNhap!#REF!,"AAAAAH/335I=")</f>
        <v>#REF!</v>
      </c>
      <c r="ER63" t="e">
        <f>AND(NhatkyNhap!#REF!,"AAAAAH/335M=")</f>
        <v>#REF!</v>
      </c>
      <c r="ES63" t="e">
        <f>AND(NhatkyNhap!#REF!,"AAAAAH/335Q=")</f>
        <v>#REF!</v>
      </c>
      <c r="ET63" t="e">
        <f>AND(NhatkyNhap!#REF!,"AAAAAH/335U=")</f>
        <v>#REF!</v>
      </c>
      <c r="EU63" t="e">
        <f>AND(NhatkyNhap!#REF!,"AAAAAH/335Y=")</f>
        <v>#REF!</v>
      </c>
      <c r="EV63" t="e">
        <f>AND(NhatkyNhap!#REF!,"AAAAAH/335c=")</f>
        <v>#REF!</v>
      </c>
      <c r="EW63" t="e">
        <f>AND(NhatkyNhap!#REF!,"AAAAAH/335g=")</f>
        <v>#REF!</v>
      </c>
      <c r="EX63" t="e">
        <f>AND(NhatkyNhap!#REF!,"AAAAAH/335k=")</f>
        <v>#REF!</v>
      </c>
      <c r="EY63" t="e">
        <f>AND(NhatkyNhap!#REF!,"AAAAAH/335o=")</f>
        <v>#REF!</v>
      </c>
      <c r="EZ63" t="e">
        <f>AND(NhatkyNhap!#REF!,"AAAAAH/335s=")</f>
        <v>#REF!</v>
      </c>
      <c r="FA63" t="e">
        <f>AND(NhatkyNhap!#REF!,"AAAAAH/335w=")</f>
        <v>#REF!</v>
      </c>
      <c r="FB63" t="e">
        <f>AND(NhatkyNhap!#REF!,"AAAAAH/3350=")</f>
        <v>#REF!</v>
      </c>
      <c r="FC63" t="e">
        <f>AND(NhatkyNhap!#REF!,"AAAAAH/3354=")</f>
        <v>#REF!</v>
      </c>
      <c r="FD63" t="e">
        <f>AND(NhatkyNhap!#REF!,"AAAAAH/3358=")</f>
        <v>#REF!</v>
      </c>
      <c r="FE63" t="e">
        <f>AND(NhatkyNhap!#REF!,"AAAAAH/336A=")</f>
        <v>#REF!</v>
      </c>
      <c r="FF63" t="e">
        <f>AND(NhatkyNhap!#REF!,"AAAAAH/336E=")</f>
        <v>#REF!</v>
      </c>
      <c r="FG63" t="e">
        <f>AND(NhatkyNhap!#REF!,"AAAAAH/336I=")</f>
        <v>#REF!</v>
      </c>
      <c r="FH63" t="e">
        <f>AND(NhatkyNhap!#REF!,"AAAAAH/336M=")</f>
        <v>#REF!</v>
      </c>
      <c r="FI63" t="e">
        <f>AND(NhatkyNhap!#REF!,"AAAAAH/336Q=")</f>
        <v>#REF!</v>
      </c>
      <c r="FJ63" t="e">
        <f>AND(NhatkyNhap!#REF!,"AAAAAH/336U=")</f>
        <v>#REF!</v>
      </c>
      <c r="FK63" t="e">
        <f>AND(NhatkyNhap!#REF!,"AAAAAH/336Y=")</f>
        <v>#REF!</v>
      </c>
      <c r="FL63" t="e">
        <f>AND(NhatkyNhap!#REF!,"AAAAAH/336c=")</f>
        <v>#REF!</v>
      </c>
      <c r="FM63" t="e">
        <f>AND(NhatkyNhap!#REF!,"AAAAAH/336g=")</f>
        <v>#REF!</v>
      </c>
      <c r="FN63" t="e">
        <f>AND(NhatkyNhap!#REF!,"AAAAAH/336k=")</f>
        <v>#REF!</v>
      </c>
      <c r="FO63" t="e">
        <f>AND(NhatkyNhap!#REF!,"AAAAAH/336o=")</f>
        <v>#REF!</v>
      </c>
      <c r="FP63" t="e">
        <f>AND(NhatkyNhap!#REF!,"AAAAAH/336s=")</f>
        <v>#REF!</v>
      </c>
      <c r="FQ63" t="e">
        <f>AND(NhatkyNhap!#REF!,"AAAAAH/336w=")</f>
        <v>#REF!</v>
      </c>
      <c r="FR63" t="e">
        <f>AND(NhatkyNhap!#REF!,"AAAAAH/3360=")</f>
        <v>#REF!</v>
      </c>
      <c r="FS63" t="e">
        <f>AND(NhatkyNhap!#REF!,"AAAAAH/3364=")</f>
        <v>#REF!</v>
      </c>
      <c r="FT63" t="e">
        <f>IF(NhatkyNhap!#REF!,"AAAAAH/3368=",0)</f>
        <v>#REF!</v>
      </c>
      <c r="FU63" t="e">
        <f>AND(NhatkyNhap!#REF!,"AAAAAH/337A=")</f>
        <v>#REF!</v>
      </c>
      <c r="FV63" t="e">
        <f>AND(NhatkyNhap!#REF!,"AAAAAH/337E=")</f>
        <v>#REF!</v>
      </c>
      <c r="FW63" t="e">
        <f>AND(NhatkyNhap!#REF!,"AAAAAH/337I=")</f>
        <v>#REF!</v>
      </c>
      <c r="FX63" t="e">
        <f>AND(NhatkyNhap!#REF!,"AAAAAH/337M=")</f>
        <v>#REF!</v>
      </c>
      <c r="FY63" t="e">
        <f>AND(NhatkyNhap!#REF!,"AAAAAH/337Q=")</f>
        <v>#REF!</v>
      </c>
      <c r="FZ63" t="e">
        <f>AND(NhatkyNhap!#REF!,"AAAAAH/337U=")</f>
        <v>#REF!</v>
      </c>
      <c r="GA63" t="e">
        <f>AND(NhatkyNhap!#REF!,"AAAAAH/337Y=")</f>
        <v>#REF!</v>
      </c>
      <c r="GB63" t="e">
        <f>AND(NhatkyNhap!#REF!,"AAAAAH/337c=")</f>
        <v>#REF!</v>
      </c>
      <c r="GC63" t="e">
        <f>AND(NhatkyNhap!#REF!,"AAAAAH/337g=")</f>
        <v>#REF!</v>
      </c>
      <c r="GD63" t="e">
        <f>AND(NhatkyNhap!#REF!,"AAAAAH/337k=")</f>
        <v>#REF!</v>
      </c>
      <c r="GE63" t="e">
        <f>AND(NhatkyNhap!#REF!,"AAAAAH/337o=")</f>
        <v>#REF!</v>
      </c>
      <c r="GF63" t="e">
        <f>AND(NhatkyNhap!#REF!,"AAAAAH/337s=")</f>
        <v>#REF!</v>
      </c>
      <c r="GG63" t="e">
        <f>AND(NhatkyNhap!#REF!,"AAAAAH/337w=")</f>
        <v>#REF!</v>
      </c>
      <c r="GH63" t="e">
        <f>AND(NhatkyNhap!#REF!,"AAAAAH/3370=")</f>
        <v>#REF!</v>
      </c>
      <c r="GI63" t="e">
        <f>AND(NhatkyNhap!#REF!,"AAAAAH/3374=")</f>
        <v>#REF!</v>
      </c>
      <c r="GJ63" t="e">
        <f>AND(NhatkyNhap!#REF!,"AAAAAH/3378=")</f>
        <v>#REF!</v>
      </c>
      <c r="GK63" t="e">
        <f>AND(NhatkyNhap!#REF!,"AAAAAH/338A=")</f>
        <v>#REF!</v>
      </c>
      <c r="GL63" t="e">
        <f>AND(NhatkyNhap!#REF!,"AAAAAH/338E=")</f>
        <v>#REF!</v>
      </c>
      <c r="GM63" t="e">
        <f>AND(NhatkyNhap!#REF!,"AAAAAH/338I=")</f>
        <v>#REF!</v>
      </c>
      <c r="GN63" t="e">
        <f>AND(NhatkyNhap!#REF!,"AAAAAH/338M=")</f>
        <v>#REF!</v>
      </c>
      <c r="GO63" t="e">
        <f>AND(NhatkyNhap!#REF!,"AAAAAH/338Q=")</f>
        <v>#REF!</v>
      </c>
      <c r="GP63" t="e">
        <f>AND(NhatkyNhap!#REF!,"AAAAAH/338U=")</f>
        <v>#REF!</v>
      </c>
      <c r="GQ63" t="e">
        <f>AND(NhatkyNhap!#REF!,"AAAAAH/338Y=")</f>
        <v>#REF!</v>
      </c>
      <c r="GR63" t="e">
        <f>AND(NhatkyNhap!#REF!,"AAAAAH/338c=")</f>
        <v>#REF!</v>
      </c>
      <c r="GS63" t="e">
        <f>AND(NhatkyNhap!#REF!,"AAAAAH/338g=")</f>
        <v>#REF!</v>
      </c>
      <c r="GT63" t="e">
        <f>AND(NhatkyNhap!#REF!,"AAAAAH/338k=")</f>
        <v>#REF!</v>
      </c>
      <c r="GU63" t="e">
        <f>AND(NhatkyNhap!#REF!,"AAAAAH/338o=")</f>
        <v>#REF!</v>
      </c>
      <c r="GV63" t="e">
        <f>AND(NhatkyNhap!#REF!,"AAAAAH/338s=")</f>
        <v>#REF!</v>
      </c>
      <c r="GW63" t="e">
        <f>AND(NhatkyNhap!#REF!,"AAAAAH/338w=")</f>
        <v>#REF!</v>
      </c>
      <c r="GX63" t="e">
        <f>AND(NhatkyNhap!#REF!,"AAAAAH/3380=")</f>
        <v>#REF!</v>
      </c>
      <c r="GY63" t="e">
        <f>AND(NhatkyNhap!#REF!,"AAAAAH/3384=")</f>
        <v>#REF!</v>
      </c>
      <c r="GZ63" t="e">
        <f>AND(NhatkyNhap!#REF!,"AAAAAH/3388=")</f>
        <v>#REF!</v>
      </c>
      <c r="HA63" t="e">
        <f>AND(NhatkyNhap!#REF!,"AAAAAH/339A=")</f>
        <v>#REF!</v>
      </c>
      <c r="HB63" t="e">
        <f>AND(NhatkyNhap!#REF!,"AAAAAH/339E=")</f>
        <v>#REF!</v>
      </c>
      <c r="HC63" t="e">
        <f>IF(NhatkyNhap!#REF!,"AAAAAH/339I=",0)</f>
        <v>#REF!</v>
      </c>
      <c r="HD63" t="e">
        <f>AND(NhatkyNhap!#REF!,"AAAAAH/339M=")</f>
        <v>#REF!</v>
      </c>
      <c r="HE63" t="e">
        <f>AND(NhatkyNhap!#REF!,"AAAAAH/339Q=")</f>
        <v>#REF!</v>
      </c>
      <c r="HF63" t="e">
        <f>AND(NhatkyNhap!#REF!,"AAAAAH/339U=")</f>
        <v>#REF!</v>
      </c>
      <c r="HG63" t="e">
        <f>AND(NhatkyNhap!#REF!,"AAAAAH/339Y=")</f>
        <v>#REF!</v>
      </c>
      <c r="HH63" t="e">
        <f>AND(NhatkyNhap!#REF!,"AAAAAH/339c=")</f>
        <v>#REF!</v>
      </c>
      <c r="HI63" t="e">
        <f>AND(NhatkyNhap!#REF!,"AAAAAH/339g=")</f>
        <v>#REF!</v>
      </c>
      <c r="HJ63" t="e">
        <f>AND(NhatkyNhap!#REF!,"AAAAAH/339k=")</f>
        <v>#REF!</v>
      </c>
      <c r="HK63" t="e">
        <f>AND(NhatkyNhap!#REF!,"AAAAAH/339o=")</f>
        <v>#REF!</v>
      </c>
      <c r="HL63" t="e">
        <f>AND(NhatkyNhap!#REF!,"AAAAAH/339s=")</f>
        <v>#REF!</v>
      </c>
      <c r="HM63" t="e">
        <f>AND(NhatkyNhap!#REF!,"AAAAAH/339w=")</f>
        <v>#REF!</v>
      </c>
      <c r="HN63" t="e">
        <f>AND(NhatkyNhap!#REF!,"AAAAAH/3390=")</f>
        <v>#REF!</v>
      </c>
      <c r="HO63" t="e">
        <f>AND(NhatkyNhap!#REF!,"AAAAAH/3394=")</f>
        <v>#REF!</v>
      </c>
      <c r="HP63" t="e">
        <f>AND(NhatkyNhap!#REF!,"AAAAAH/3398=")</f>
        <v>#REF!</v>
      </c>
      <c r="HQ63" t="e">
        <f>AND(NhatkyNhap!#REF!,"AAAAAH/33+A=")</f>
        <v>#REF!</v>
      </c>
      <c r="HR63" t="e">
        <f>AND(NhatkyNhap!#REF!,"AAAAAH/33+E=")</f>
        <v>#REF!</v>
      </c>
      <c r="HS63" t="e">
        <f>AND(NhatkyNhap!#REF!,"AAAAAH/33+I=")</f>
        <v>#REF!</v>
      </c>
      <c r="HT63" t="e">
        <f>AND(NhatkyNhap!#REF!,"AAAAAH/33+M=")</f>
        <v>#REF!</v>
      </c>
      <c r="HU63" t="e">
        <f>AND(NhatkyNhap!#REF!,"AAAAAH/33+Q=")</f>
        <v>#REF!</v>
      </c>
      <c r="HV63" t="e">
        <f>AND(NhatkyNhap!#REF!,"AAAAAH/33+U=")</f>
        <v>#REF!</v>
      </c>
      <c r="HW63" t="e">
        <f>AND(NhatkyNhap!#REF!,"AAAAAH/33+Y=")</f>
        <v>#REF!</v>
      </c>
      <c r="HX63" t="e">
        <f>AND(NhatkyNhap!#REF!,"AAAAAH/33+c=")</f>
        <v>#REF!</v>
      </c>
      <c r="HY63" t="e">
        <f>AND(NhatkyNhap!#REF!,"AAAAAH/33+g=")</f>
        <v>#REF!</v>
      </c>
      <c r="HZ63" t="e">
        <f>AND(NhatkyNhap!#REF!,"AAAAAH/33+k=")</f>
        <v>#REF!</v>
      </c>
      <c r="IA63" t="e">
        <f>AND(NhatkyNhap!#REF!,"AAAAAH/33+o=")</f>
        <v>#REF!</v>
      </c>
      <c r="IB63" t="e">
        <f>AND(NhatkyNhap!#REF!,"AAAAAH/33+s=")</f>
        <v>#REF!</v>
      </c>
      <c r="IC63" t="e">
        <f>AND(NhatkyNhap!#REF!,"AAAAAH/33+w=")</f>
        <v>#REF!</v>
      </c>
      <c r="ID63" t="e">
        <f>AND(NhatkyNhap!#REF!,"AAAAAH/33+0=")</f>
        <v>#REF!</v>
      </c>
      <c r="IE63" t="e">
        <f>AND(NhatkyNhap!#REF!,"AAAAAH/33+4=")</f>
        <v>#REF!</v>
      </c>
      <c r="IF63" t="e">
        <f>AND(NhatkyNhap!#REF!,"AAAAAH/33+8=")</f>
        <v>#REF!</v>
      </c>
      <c r="IG63" t="e">
        <f>AND(NhatkyNhap!#REF!,"AAAAAH/33/A=")</f>
        <v>#REF!</v>
      </c>
      <c r="IH63" t="e">
        <f>AND(NhatkyNhap!#REF!,"AAAAAH/33/E=")</f>
        <v>#REF!</v>
      </c>
      <c r="II63" t="e">
        <f>AND(NhatkyNhap!#REF!,"AAAAAH/33/I=")</f>
        <v>#REF!</v>
      </c>
      <c r="IJ63" t="e">
        <f>AND(NhatkyNhap!#REF!,"AAAAAH/33/M=")</f>
        <v>#REF!</v>
      </c>
      <c r="IK63" t="e">
        <f>AND(NhatkyNhap!#REF!,"AAAAAH/33/Q=")</f>
        <v>#REF!</v>
      </c>
      <c r="IL63" t="e">
        <f>IF(NhatkyNhap!#REF!,"AAAAAH/33/U=",0)</f>
        <v>#REF!</v>
      </c>
      <c r="IM63" t="e">
        <f>AND(NhatkyNhap!#REF!,"AAAAAH/33/Y=")</f>
        <v>#REF!</v>
      </c>
      <c r="IN63" t="e">
        <f>AND(NhatkyNhap!#REF!,"AAAAAH/33/c=")</f>
        <v>#REF!</v>
      </c>
      <c r="IO63" t="e">
        <f>AND(NhatkyNhap!#REF!,"AAAAAH/33/g=")</f>
        <v>#REF!</v>
      </c>
      <c r="IP63" t="e">
        <f>AND(NhatkyNhap!#REF!,"AAAAAH/33/k=")</f>
        <v>#REF!</v>
      </c>
      <c r="IQ63" t="e">
        <f>AND(NhatkyNhap!#REF!,"AAAAAH/33/o=")</f>
        <v>#REF!</v>
      </c>
      <c r="IR63" t="e">
        <f>AND(NhatkyNhap!#REF!,"AAAAAH/33/s=")</f>
        <v>#REF!</v>
      </c>
      <c r="IS63" t="e">
        <f>AND(NhatkyNhap!#REF!,"AAAAAH/33/w=")</f>
        <v>#REF!</v>
      </c>
      <c r="IT63" t="e">
        <f>AND(NhatkyNhap!#REF!,"AAAAAH/33/0=")</f>
        <v>#REF!</v>
      </c>
      <c r="IU63" t="e">
        <f>AND(NhatkyNhap!#REF!,"AAAAAH/33/4=")</f>
        <v>#REF!</v>
      </c>
      <c r="IV63" t="e">
        <f>AND(NhatkyNhap!#REF!,"AAAAAH/33/8=")</f>
        <v>#REF!</v>
      </c>
    </row>
    <row r="64" spans="1:256">
      <c r="A64" t="e">
        <f>AND(NhatkyNhap!#REF!,"AAAAAG7+zwA=")</f>
        <v>#REF!</v>
      </c>
      <c r="B64" t="e">
        <f>AND(NhatkyNhap!#REF!,"AAAAAG7+zwE=")</f>
        <v>#REF!</v>
      </c>
      <c r="C64" t="e">
        <f>AND(NhatkyNhap!#REF!,"AAAAAG7+zwI=")</f>
        <v>#REF!</v>
      </c>
      <c r="D64" t="e">
        <f>AND(NhatkyNhap!#REF!,"AAAAAG7+zwM=")</f>
        <v>#REF!</v>
      </c>
      <c r="E64" t="e">
        <f>AND(NhatkyNhap!#REF!,"AAAAAG7+zwQ=")</f>
        <v>#REF!</v>
      </c>
      <c r="F64" t="e">
        <f>AND(NhatkyNhap!#REF!,"AAAAAG7+zwU=")</f>
        <v>#REF!</v>
      </c>
      <c r="G64" t="e">
        <f>AND(NhatkyNhap!#REF!,"AAAAAG7+zwY=")</f>
        <v>#REF!</v>
      </c>
      <c r="H64" t="e">
        <f>AND(NhatkyNhap!#REF!,"AAAAAG7+zwc=")</f>
        <v>#REF!</v>
      </c>
      <c r="I64" t="e">
        <f>AND(NhatkyNhap!#REF!,"AAAAAG7+zwg=")</f>
        <v>#REF!</v>
      </c>
      <c r="J64" t="e">
        <f>AND(NhatkyNhap!#REF!,"AAAAAG7+zwk=")</f>
        <v>#REF!</v>
      </c>
      <c r="K64" t="e">
        <f>AND(NhatkyNhap!#REF!,"AAAAAG7+zwo=")</f>
        <v>#REF!</v>
      </c>
      <c r="L64" t="e">
        <f>AND(NhatkyNhap!#REF!,"AAAAAG7+zws=")</f>
        <v>#REF!</v>
      </c>
      <c r="M64" t="e">
        <f>AND(NhatkyNhap!#REF!,"AAAAAG7+zww=")</f>
        <v>#REF!</v>
      </c>
      <c r="N64" t="e">
        <f>AND(NhatkyNhap!#REF!,"AAAAAG7+zw0=")</f>
        <v>#REF!</v>
      </c>
      <c r="O64" t="e">
        <f>AND(NhatkyNhap!#REF!,"AAAAAG7+zw4=")</f>
        <v>#REF!</v>
      </c>
      <c r="P64" t="e">
        <f>AND(NhatkyNhap!#REF!,"AAAAAG7+zw8=")</f>
        <v>#REF!</v>
      </c>
      <c r="Q64" t="e">
        <f>AND(NhatkyNhap!#REF!,"AAAAAG7+zxA=")</f>
        <v>#REF!</v>
      </c>
      <c r="R64" t="e">
        <f>AND(NhatkyNhap!#REF!,"AAAAAG7+zxE=")</f>
        <v>#REF!</v>
      </c>
      <c r="S64" t="e">
        <f>AND(NhatkyNhap!#REF!,"AAAAAG7+zxI=")</f>
        <v>#REF!</v>
      </c>
      <c r="T64" t="e">
        <f>AND(NhatkyNhap!#REF!,"AAAAAG7+zxM=")</f>
        <v>#REF!</v>
      </c>
      <c r="U64" t="e">
        <f>AND(NhatkyNhap!#REF!,"AAAAAG7+zxQ=")</f>
        <v>#REF!</v>
      </c>
      <c r="V64" t="e">
        <f>AND(NhatkyNhap!#REF!,"AAAAAG7+zxU=")</f>
        <v>#REF!</v>
      </c>
      <c r="W64" t="e">
        <f>AND(NhatkyNhap!#REF!,"AAAAAG7+zxY=")</f>
        <v>#REF!</v>
      </c>
      <c r="X64" t="e">
        <f>AND(NhatkyNhap!#REF!,"AAAAAG7+zxc=")</f>
        <v>#REF!</v>
      </c>
      <c r="Y64" t="e">
        <f>IF(NhatkyNhap!#REF!,"AAAAAG7+zxg=",0)</f>
        <v>#REF!</v>
      </c>
      <c r="Z64" t="e">
        <f>AND(NhatkyNhap!#REF!,"AAAAAG7+zxk=")</f>
        <v>#REF!</v>
      </c>
      <c r="AA64" t="e">
        <f>AND(NhatkyNhap!#REF!,"AAAAAG7+zxo=")</f>
        <v>#REF!</v>
      </c>
      <c r="AB64" t="e">
        <f>AND(NhatkyNhap!#REF!,"AAAAAG7+zxs=")</f>
        <v>#REF!</v>
      </c>
      <c r="AC64" t="e">
        <f>AND(NhatkyNhap!#REF!,"AAAAAG7+zxw=")</f>
        <v>#REF!</v>
      </c>
      <c r="AD64" t="e">
        <f>AND(NhatkyNhap!#REF!,"AAAAAG7+zx0=")</f>
        <v>#REF!</v>
      </c>
      <c r="AE64" t="e">
        <f>AND(NhatkyNhap!#REF!,"AAAAAG7+zx4=")</f>
        <v>#REF!</v>
      </c>
      <c r="AF64" t="e">
        <f>AND(NhatkyNhap!#REF!,"AAAAAG7+zx8=")</f>
        <v>#REF!</v>
      </c>
      <c r="AG64" t="e">
        <f>AND(NhatkyNhap!#REF!,"AAAAAG7+zyA=")</f>
        <v>#REF!</v>
      </c>
      <c r="AH64" t="e">
        <f>AND(NhatkyNhap!#REF!,"AAAAAG7+zyE=")</f>
        <v>#REF!</v>
      </c>
      <c r="AI64" t="e">
        <f>AND(NhatkyNhap!#REF!,"AAAAAG7+zyI=")</f>
        <v>#REF!</v>
      </c>
      <c r="AJ64" t="e">
        <f>AND(NhatkyNhap!#REF!,"AAAAAG7+zyM=")</f>
        <v>#REF!</v>
      </c>
      <c r="AK64" t="e">
        <f>AND(NhatkyNhap!#REF!,"AAAAAG7+zyQ=")</f>
        <v>#REF!</v>
      </c>
      <c r="AL64" t="e">
        <f>AND(NhatkyNhap!#REF!,"AAAAAG7+zyU=")</f>
        <v>#REF!</v>
      </c>
      <c r="AM64" t="e">
        <f>AND(NhatkyNhap!#REF!,"AAAAAG7+zyY=")</f>
        <v>#REF!</v>
      </c>
      <c r="AN64" t="e">
        <f>AND(NhatkyNhap!#REF!,"AAAAAG7+zyc=")</f>
        <v>#REF!</v>
      </c>
      <c r="AO64" t="e">
        <f>AND(NhatkyNhap!#REF!,"AAAAAG7+zyg=")</f>
        <v>#REF!</v>
      </c>
      <c r="AP64" t="e">
        <f>AND(NhatkyNhap!#REF!,"AAAAAG7+zyk=")</f>
        <v>#REF!</v>
      </c>
      <c r="AQ64" t="e">
        <f>AND(NhatkyNhap!#REF!,"AAAAAG7+zyo=")</f>
        <v>#REF!</v>
      </c>
      <c r="AR64" t="e">
        <f>AND(NhatkyNhap!#REF!,"AAAAAG7+zys=")</f>
        <v>#REF!</v>
      </c>
      <c r="AS64" t="e">
        <f>AND(NhatkyNhap!#REF!,"AAAAAG7+zyw=")</f>
        <v>#REF!</v>
      </c>
      <c r="AT64" t="e">
        <f>AND(NhatkyNhap!#REF!,"AAAAAG7+zy0=")</f>
        <v>#REF!</v>
      </c>
      <c r="AU64" t="e">
        <f>AND(NhatkyNhap!#REF!,"AAAAAG7+zy4=")</f>
        <v>#REF!</v>
      </c>
      <c r="AV64" t="e">
        <f>AND(NhatkyNhap!#REF!,"AAAAAG7+zy8=")</f>
        <v>#REF!</v>
      </c>
      <c r="AW64" t="e">
        <f>AND(NhatkyNhap!#REF!,"AAAAAG7+zzA=")</f>
        <v>#REF!</v>
      </c>
      <c r="AX64" t="e">
        <f>AND(NhatkyNhap!#REF!,"AAAAAG7+zzE=")</f>
        <v>#REF!</v>
      </c>
      <c r="AY64" t="e">
        <f>AND(NhatkyNhap!#REF!,"AAAAAG7+zzI=")</f>
        <v>#REF!</v>
      </c>
      <c r="AZ64" t="e">
        <f>AND(NhatkyNhap!#REF!,"AAAAAG7+zzM=")</f>
        <v>#REF!</v>
      </c>
      <c r="BA64" t="e">
        <f>AND(NhatkyNhap!#REF!,"AAAAAG7+zzQ=")</f>
        <v>#REF!</v>
      </c>
      <c r="BB64" t="e">
        <f>AND(NhatkyNhap!#REF!,"AAAAAG7+zzU=")</f>
        <v>#REF!</v>
      </c>
      <c r="BC64" t="e">
        <f>AND(NhatkyNhap!#REF!,"AAAAAG7+zzY=")</f>
        <v>#REF!</v>
      </c>
      <c r="BD64" t="e">
        <f>AND(NhatkyNhap!#REF!,"AAAAAG7+zzc=")</f>
        <v>#REF!</v>
      </c>
      <c r="BE64" t="e">
        <f>AND(NhatkyNhap!#REF!,"AAAAAG7+zzg=")</f>
        <v>#REF!</v>
      </c>
      <c r="BF64" t="e">
        <f>AND(NhatkyNhap!#REF!,"AAAAAG7+zzk=")</f>
        <v>#REF!</v>
      </c>
      <c r="BG64" t="e">
        <f>AND(NhatkyNhap!#REF!,"AAAAAG7+zzo=")</f>
        <v>#REF!</v>
      </c>
      <c r="BH64" t="e">
        <f>IF(NhatkyNhap!#REF!,"AAAAAG7+zzs=",0)</f>
        <v>#REF!</v>
      </c>
      <c r="BI64" t="e">
        <f>AND(NhatkyNhap!#REF!,"AAAAAG7+zzw=")</f>
        <v>#REF!</v>
      </c>
      <c r="BJ64" t="e">
        <f>AND(NhatkyNhap!#REF!,"AAAAAG7+zz0=")</f>
        <v>#REF!</v>
      </c>
      <c r="BK64" t="e">
        <f>AND(NhatkyNhap!#REF!,"AAAAAG7+zz4=")</f>
        <v>#REF!</v>
      </c>
      <c r="BL64" t="e">
        <f>AND(NhatkyNhap!#REF!,"AAAAAG7+zz8=")</f>
        <v>#REF!</v>
      </c>
      <c r="BM64" t="e">
        <f>AND(NhatkyNhap!#REF!,"AAAAAG7+z0A=")</f>
        <v>#REF!</v>
      </c>
      <c r="BN64" t="e">
        <f>AND(NhatkyNhap!#REF!,"AAAAAG7+z0E=")</f>
        <v>#REF!</v>
      </c>
      <c r="BO64" t="e">
        <f>AND(NhatkyNhap!#REF!,"AAAAAG7+z0I=")</f>
        <v>#REF!</v>
      </c>
      <c r="BP64" t="e">
        <f>AND(NhatkyNhap!#REF!,"AAAAAG7+z0M=")</f>
        <v>#REF!</v>
      </c>
      <c r="BQ64" t="e">
        <f>AND(NhatkyNhap!#REF!,"AAAAAG7+z0Q=")</f>
        <v>#REF!</v>
      </c>
      <c r="BR64" t="e">
        <f>AND(NhatkyNhap!#REF!,"AAAAAG7+z0U=")</f>
        <v>#REF!</v>
      </c>
      <c r="BS64" t="e">
        <f>AND(NhatkyNhap!#REF!,"AAAAAG7+z0Y=")</f>
        <v>#REF!</v>
      </c>
      <c r="BT64" t="e">
        <f>AND(NhatkyNhap!#REF!,"AAAAAG7+z0c=")</f>
        <v>#REF!</v>
      </c>
      <c r="BU64" t="e">
        <f>AND(NhatkyNhap!#REF!,"AAAAAG7+z0g=")</f>
        <v>#REF!</v>
      </c>
      <c r="BV64" t="e">
        <f>AND(NhatkyNhap!#REF!,"AAAAAG7+z0k=")</f>
        <v>#REF!</v>
      </c>
      <c r="BW64" t="e">
        <f>AND(NhatkyNhap!#REF!,"AAAAAG7+z0o=")</f>
        <v>#REF!</v>
      </c>
      <c r="BX64" t="e">
        <f>AND(NhatkyNhap!#REF!,"AAAAAG7+z0s=")</f>
        <v>#REF!</v>
      </c>
      <c r="BY64" t="e">
        <f>AND(NhatkyNhap!#REF!,"AAAAAG7+z0w=")</f>
        <v>#REF!</v>
      </c>
      <c r="BZ64" t="e">
        <f>AND(NhatkyNhap!#REF!,"AAAAAG7+z00=")</f>
        <v>#REF!</v>
      </c>
      <c r="CA64" t="e">
        <f>AND(NhatkyNhap!#REF!,"AAAAAG7+z04=")</f>
        <v>#REF!</v>
      </c>
      <c r="CB64" t="e">
        <f>AND(NhatkyNhap!#REF!,"AAAAAG7+z08=")</f>
        <v>#REF!</v>
      </c>
      <c r="CC64" t="e">
        <f>AND(NhatkyNhap!#REF!,"AAAAAG7+z1A=")</f>
        <v>#REF!</v>
      </c>
      <c r="CD64" t="e">
        <f>AND(NhatkyNhap!#REF!,"AAAAAG7+z1E=")</f>
        <v>#REF!</v>
      </c>
      <c r="CE64" t="e">
        <f>AND(NhatkyNhap!#REF!,"AAAAAG7+z1I=")</f>
        <v>#REF!</v>
      </c>
      <c r="CF64" t="e">
        <f>AND(NhatkyNhap!#REF!,"AAAAAG7+z1M=")</f>
        <v>#REF!</v>
      </c>
      <c r="CG64" t="e">
        <f>AND(NhatkyNhap!#REF!,"AAAAAG7+z1Q=")</f>
        <v>#REF!</v>
      </c>
      <c r="CH64" t="e">
        <f>AND(NhatkyNhap!#REF!,"AAAAAG7+z1U=")</f>
        <v>#REF!</v>
      </c>
      <c r="CI64" t="e">
        <f>AND(NhatkyNhap!#REF!,"AAAAAG7+z1Y=")</f>
        <v>#REF!</v>
      </c>
      <c r="CJ64" t="e">
        <f>AND(NhatkyNhap!#REF!,"AAAAAG7+z1c=")</f>
        <v>#REF!</v>
      </c>
      <c r="CK64" t="e">
        <f>AND(NhatkyNhap!#REF!,"AAAAAG7+z1g=")</f>
        <v>#REF!</v>
      </c>
      <c r="CL64" t="e">
        <f>AND(NhatkyNhap!#REF!,"AAAAAG7+z1k=")</f>
        <v>#REF!</v>
      </c>
      <c r="CM64" t="e">
        <f>AND(NhatkyNhap!#REF!,"AAAAAG7+z1o=")</f>
        <v>#REF!</v>
      </c>
      <c r="CN64" t="e">
        <f>AND(NhatkyNhap!#REF!,"AAAAAG7+z1s=")</f>
        <v>#REF!</v>
      </c>
      <c r="CO64" t="e">
        <f>AND(NhatkyNhap!#REF!,"AAAAAG7+z1w=")</f>
        <v>#REF!</v>
      </c>
      <c r="CP64" t="e">
        <f>AND(NhatkyNhap!#REF!,"AAAAAG7+z10=")</f>
        <v>#REF!</v>
      </c>
      <c r="CQ64" t="e">
        <f>IF(NhatkyNhap!#REF!,"AAAAAG7+z14=",0)</f>
        <v>#REF!</v>
      </c>
      <c r="CR64" t="e">
        <f>AND(NhatkyNhap!#REF!,"AAAAAG7+z18=")</f>
        <v>#REF!</v>
      </c>
      <c r="CS64" t="e">
        <f>AND(NhatkyNhap!#REF!,"AAAAAG7+z2A=")</f>
        <v>#REF!</v>
      </c>
      <c r="CT64" t="e">
        <f>AND(NhatkyNhap!#REF!,"AAAAAG7+z2E=")</f>
        <v>#REF!</v>
      </c>
      <c r="CU64" t="e">
        <f>AND(NhatkyNhap!#REF!,"AAAAAG7+z2I=")</f>
        <v>#REF!</v>
      </c>
      <c r="CV64" t="e">
        <f>AND(NhatkyNhap!#REF!,"AAAAAG7+z2M=")</f>
        <v>#REF!</v>
      </c>
      <c r="CW64" t="e">
        <f>AND(NhatkyNhap!#REF!,"AAAAAG7+z2Q=")</f>
        <v>#REF!</v>
      </c>
      <c r="CX64" t="e">
        <f>AND(NhatkyNhap!#REF!,"AAAAAG7+z2U=")</f>
        <v>#REF!</v>
      </c>
      <c r="CY64" t="e">
        <f>AND(NhatkyNhap!#REF!,"AAAAAG7+z2Y=")</f>
        <v>#REF!</v>
      </c>
      <c r="CZ64" t="e">
        <f>AND(NhatkyNhap!#REF!,"AAAAAG7+z2c=")</f>
        <v>#REF!</v>
      </c>
      <c r="DA64" t="e">
        <f>AND(NhatkyNhap!#REF!,"AAAAAG7+z2g=")</f>
        <v>#REF!</v>
      </c>
      <c r="DB64" t="e">
        <f>AND(NhatkyNhap!#REF!,"AAAAAG7+z2k=")</f>
        <v>#REF!</v>
      </c>
      <c r="DC64" t="e">
        <f>AND(NhatkyNhap!#REF!,"AAAAAG7+z2o=")</f>
        <v>#REF!</v>
      </c>
      <c r="DD64" t="e">
        <f>AND(NhatkyNhap!#REF!,"AAAAAG7+z2s=")</f>
        <v>#REF!</v>
      </c>
      <c r="DE64" t="e">
        <f>AND(NhatkyNhap!#REF!,"AAAAAG7+z2w=")</f>
        <v>#REF!</v>
      </c>
      <c r="DF64" t="e">
        <f>AND(NhatkyNhap!#REF!,"AAAAAG7+z20=")</f>
        <v>#REF!</v>
      </c>
      <c r="DG64" t="e">
        <f>AND(NhatkyNhap!#REF!,"AAAAAG7+z24=")</f>
        <v>#REF!</v>
      </c>
      <c r="DH64" t="e">
        <f>AND(NhatkyNhap!#REF!,"AAAAAG7+z28=")</f>
        <v>#REF!</v>
      </c>
      <c r="DI64" t="e">
        <f>AND(NhatkyNhap!#REF!,"AAAAAG7+z3A=")</f>
        <v>#REF!</v>
      </c>
      <c r="DJ64" t="e">
        <f>AND(NhatkyNhap!#REF!,"AAAAAG7+z3E=")</f>
        <v>#REF!</v>
      </c>
      <c r="DK64" t="e">
        <f>AND(NhatkyNhap!#REF!,"AAAAAG7+z3I=")</f>
        <v>#REF!</v>
      </c>
      <c r="DL64" t="e">
        <f>AND(NhatkyNhap!#REF!,"AAAAAG7+z3M=")</f>
        <v>#REF!</v>
      </c>
      <c r="DM64" t="e">
        <f>AND(NhatkyNhap!#REF!,"AAAAAG7+z3Q=")</f>
        <v>#REF!</v>
      </c>
      <c r="DN64" t="e">
        <f>AND(NhatkyNhap!#REF!,"AAAAAG7+z3U=")</f>
        <v>#REF!</v>
      </c>
      <c r="DO64" t="e">
        <f>AND(NhatkyNhap!#REF!,"AAAAAG7+z3Y=")</f>
        <v>#REF!</v>
      </c>
      <c r="DP64" t="e">
        <f>AND(NhatkyNhap!#REF!,"AAAAAG7+z3c=")</f>
        <v>#REF!</v>
      </c>
      <c r="DQ64" t="e">
        <f>AND(NhatkyNhap!#REF!,"AAAAAG7+z3g=")</f>
        <v>#REF!</v>
      </c>
      <c r="DR64" t="e">
        <f>AND(NhatkyNhap!#REF!,"AAAAAG7+z3k=")</f>
        <v>#REF!</v>
      </c>
      <c r="DS64" t="e">
        <f>AND(NhatkyNhap!#REF!,"AAAAAG7+z3o=")</f>
        <v>#REF!</v>
      </c>
      <c r="DT64" t="e">
        <f>AND(NhatkyNhap!#REF!,"AAAAAG7+z3s=")</f>
        <v>#REF!</v>
      </c>
      <c r="DU64" t="e">
        <f>AND(NhatkyNhap!#REF!,"AAAAAG7+z3w=")</f>
        <v>#REF!</v>
      </c>
      <c r="DV64" t="e">
        <f>AND(NhatkyNhap!#REF!,"AAAAAG7+z30=")</f>
        <v>#REF!</v>
      </c>
      <c r="DW64" t="e">
        <f>AND(NhatkyNhap!#REF!,"AAAAAG7+z34=")</f>
        <v>#REF!</v>
      </c>
      <c r="DX64" t="e">
        <f>AND(NhatkyNhap!#REF!,"AAAAAG7+z38=")</f>
        <v>#REF!</v>
      </c>
      <c r="DY64" t="e">
        <f>AND(NhatkyNhap!#REF!,"AAAAAG7+z4A=")</f>
        <v>#REF!</v>
      </c>
      <c r="DZ64" t="e">
        <f>IF(NhatkyNhap!#REF!,"AAAAAG7+z4E=",0)</f>
        <v>#REF!</v>
      </c>
      <c r="EA64" t="e">
        <f>AND(NhatkyNhap!#REF!,"AAAAAG7+z4I=")</f>
        <v>#REF!</v>
      </c>
      <c r="EB64" t="e">
        <f>AND(NhatkyNhap!#REF!,"AAAAAG7+z4M=")</f>
        <v>#REF!</v>
      </c>
      <c r="EC64" t="e">
        <f>AND(NhatkyNhap!#REF!,"AAAAAG7+z4Q=")</f>
        <v>#REF!</v>
      </c>
      <c r="ED64" t="e">
        <f>AND(NhatkyNhap!#REF!,"AAAAAG7+z4U=")</f>
        <v>#REF!</v>
      </c>
      <c r="EE64" t="e">
        <f>AND(NhatkyNhap!#REF!,"AAAAAG7+z4Y=")</f>
        <v>#REF!</v>
      </c>
      <c r="EF64" t="e">
        <f>AND(NhatkyNhap!#REF!,"AAAAAG7+z4c=")</f>
        <v>#REF!</v>
      </c>
      <c r="EG64" t="e">
        <f>AND(NhatkyNhap!#REF!,"AAAAAG7+z4g=")</f>
        <v>#REF!</v>
      </c>
      <c r="EH64" t="e">
        <f>AND(NhatkyNhap!#REF!,"AAAAAG7+z4k=")</f>
        <v>#REF!</v>
      </c>
      <c r="EI64" t="e">
        <f>AND(NhatkyNhap!#REF!,"AAAAAG7+z4o=")</f>
        <v>#REF!</v>
      </c>
      <c r="EJ64" t="e">
        <f>AND(NhatkyNhap!#REF!,"AAAAAG7+z4s=")</f>
        <v>#REF!</v>
      </c>
      <c r="EK64" t="e">
        <f>AND(NhatkyNhap!#REF!,"AAAAAG7+z4w=")</f>
        <v>#REF!</v>
      </c>
      <c r="EL64" t="e">
        <f>AND(NhatkyNhap!#REF!,"AAAAAG7+z40=")</f>
        <v>#REF!</v>
      </c>
      <c r="EM64" t="e">
        <f>AND(NhatkyNhap!#REF!,"AAAAAG7+z44=")</f>
        <v>#REF!</v>
      </c>
      <c r="EN64" t="e">
        <f>AND(NhatkyNhap!#REF!,"AAAAAG7+z48=")</f>
        <v>#REF!</v>
      </c>
      <c r="EO64" t="e">
        <f>AND(NhatkyNhap!#REF!,"AAAAAG7+z5A=")</f>
        <v>#REF!</v>
      </c>
      <c r="EP64" t="e">
        <f>AND(NhatkyNhap!#REF!,"AAAAAG7+z5E=")</f>
        <v>#REF!</v>
      </c>
      <c r="EQ64" t="e">
        <f>AND(NhatkyNhap!#REF!,"AAAAAG7+z5I=")</f>
        <v>#REF!</v>
      </c>
      <c r="ER64" t="e">
        <f>AND(NhatkyNhap!#REF!,"AAAAAG7+z5M=")</f>
        <v>#REF!</v>
      </c>
      <c r="ES64" t="e">
        <f>AND(NhatkyNhap!#REF!,"AAAAAG7+z5Q=")</f>
        <v>#REF!</v>
      </c>
      <c r="ET64" t="e">
        <f>AND(NhatkyNhap!#REF!,"AAAAAG7+z5U=")</f>
        <v>#REF!</v>
      </c>
      <c r="EU64" t="e">
        <f>AND(NhatkyNhap!#REF!,"AAAAAG7+z5Y=")</f>
        <v>#REF!</v>
      </c>
      <c r="EV64" t="e">
        <f>AND(NhatkyNhap!#REF!,"AAAAAG7+z5c=")</f>
        <v>#REF!</v>
      </c>
      <c r="EW64" t="e">
        <f>AND(NhatkyNhap!#REF!,"AAAAAG7+z5g=")</f>
        <v>#REF!</v>
      </c>
      <c r="EX64" t="e">
        <f>AND(NhatkyNhap!#REF!,"AAAAAG7+z5k=")</f>
        <v>#REF!</v>
      </c>
      <c r="EY64" t="e">
        <f>AND(NhatkyNhap!#REF!,"AAAAAG7+z5o=")</f>
        <v>#REF!</v>
      </c>
      <c r="EZ64" t="e">
        <f>AND(NhatkyNhap!#REF!,"AAAAAG7+z5s=")</f>
        <v>#REF!</v>
      </c>
      <c r="FA64" t="e">
        <f>AND(NhatkyNhap!#REF!,"AAAAAG7+z5w=")</f>
        <v>#REF!</v>
      </c>
      <c r="FB64" t="e">
        <f>AND(NhatkyNhap!#REF!,"AAAAAG7+z50=")</f>
        <v>#REF!</v>
      </c>
      <c r="FC64" t="e">
        <f>AND(NhatkyNhap!#REF!,"AAAAAG7+z54=")</f>
        <v>#REF!</v>
      </c>
      <c r="FD64" t="e">
        <f>AND(NhatkyNhap!#REF!,"AAAAAG7+z58=")</f>
        <v>#REF!</v>
      </c>
      <c r="FE64" t="e">
        <f>AND(NhatkyNhap!#REF!,"AAAAAG7+z6A=")</f>
        <v>#REF!</v>
      </c>
      <c r="FF64" t="e">
        <f>AND(NhatkyNhap!#REF!,"AAAAAG7+z6E=")</f>
        <v>#REF!</v>
      </c>
      <c r="FG64" t="e">
        <f>AND(NhatkyNhap!#REF!,"AAAAAG7+z6I=")</f>
        <v>#REF!</v>
      </c>
      <c r="FH64" t="e">
        <f>AND(NhatkyNhap!#REF!,"AAAAAG7+z6M=")</f>
        <v>#REF!</v>
      </c>
      <c r="FI64" t="e">
        <f>IF(NhatkyNhap!#REF!,"AAAAAG7+z6Q=",0)</f>
        <v>#REF!</v>
      </c>
      <c r="FJ64" t="e">
        <f>AND(NhatkyNhap!#REF!,"AAAAAG7+z6U=")</f>
        <v>#REF!</v>
      </c>
      <c r="FK64" t="e">
        <f>AND(NhatkyNhap!#REF!,"AAAAAG7+z6Y=")</f>
        <v>#REF!</v>
      </c>
      <c r="FL64" t="e">
        <f>AND(NhatkyNhap!#REF!,"AAAAAG7+z6c=")</f>
        <v>#REF!</v>
      </c>
      <c r="FM64" t="e">
        <f>AND(NhatkyNhap!#REF!,"AAAAAG7+z6g=")</f>
        <v>#REF!</v>
      </c>
      <c r="FN64" t="e">
        <f>AND(NhatkyNhap!#REF!,"AAAAAG7+z6k=")</f>
        <v>#REF!</v>
      </c>
      <c r="FO64" t="e">
        <f>AND(NhatkyNhap!#REF!,"AAAAAG7+z6o=")</f>
        <v>#REF!</v>
      </c>
      <c r="FP64" t="e">
        <f>AND(NhatkyNhap!#REF!,"AAAAAG7+z6s=")</f>
        <v>#REF!</v>
      </c>
      <c r="FQ64" t="e">
        <f>AND(NhatkyNhap!#REF!,"AAAAAG7+z6w=")</f>
        <v>#REF!</v>
      </c>
      <c r="FR64" t="e">
        <f>AND(NhatkyNhap!#REF!,"AAAAAG7+z60=")</f>
        <v>#REF!</v>
      </c>
      <c r="FS64" t="e">
        <f>AND(NhatkyNhap!#REF!,"AAAAAG7+z64=")</f>
        <v>#REF!</v>
      </c>
      <c r="FT64" t="e">
        <f>AND(NhatkyNhap!#REF!,"AAAAAG7+z68=")</f>
        <v>#REF!</v>
      </c>
      <c r="FU64" t="e">
        <f>AND(NhatkyNhap!#REF!,"AAAAAG7+z7A=")</f>
        <v>#REF!</v>
      </c>
      <c r="FV64" t="e">
        <f>AND(NhatkyNhap!#REF!,"AAAAAG7+z7E=")</f>
        <v>#REF!</v>
      </c>
      <c r="FW64" t="e">
        <f>AND(NhatkyNhap!#REF!,"AAAAAG7+z7I=")</f>
        <v>#REF!</v>
      </c>
      <c r="FX64" t="e">
        <f>AND(NhatkyNhap!#REF!,"AAAAAG7+z7M=")</f>
        <v>#REF!</v>
      </c>
      <c r="FY64" t="e">
        <f>AND(NhatkyNhap!#REF!,"AAAAAG7+z7Q=")</f>
        <v>#REF!</v>
      </c>
      <c r="FZ64" t="e">
        <f>AND(NhatkyNhap!#REF!,"AAAAAG7+z7U=")</f>
        <v>#REF!</v>
      </c>
      <c r="GA64" t="e">
        <f>AND(NhatkyNhap!#REF!,"AAAAAG7+z7Y=")</f>
        <v>#REF!</v>
      </c>
      <c r="GB64" t="e">
        <f>AND(NhatkyNhap!#REF!,"AAAAAG7+z7c=")</f>
        <v>#REF!</v>
      </c>
      <c r="GC64" t="e">
        <f>AND(NhatkyNhap!#REF!,"AAAAAG7+z7g=")</f>
        <v>#REF!</v>
      </c>
      <c r="GD64" t="e">
        <f>AND(NhatkyNhap!#REF!,"AAAAAG7+z7k=")</f>
        <v>#REF!</v>
      </c>
      <c r="GE64" t="e">
        <f>AND(NhatkyNhap!#REF!,"AAAAAG7+z7o=")</f>
        <v>#REF!</v>
      </c>
      <c r="GF64" t="e">
        <f>AND(NhatkyNhap!#REF!,"AAAAAG7+z7s=")</f>
        <v>#REF!</v>
      </c>
      <c r="GG64" t="e">
        <f>AND(NhatkyNhap!#REF!,"AAAAAG7+z7w=")</f>
        <v>#REF!</v>
      </c>
      <c r="GH64" t="e">
        <f>AND(NhatkyNhap!#REF!,"AAAAAG7+z70=")</f>
        <v>#REF!</v>
      </c>
      <c r="GI64" t="e">
        <f>AND(NhatkyNhap!#REF!,"AAAAAG7+z74=")</f>
        <v>#REF!</v>
      </c>
      <c r="GJ64" t="e">
        <f>AND(NhatkyNhap!#REF!,"AAAAAG7+z78=")</f>
        <v>#REF!</v>
      </c>
      <c r="GK64" t="e">
        <f>AND(NhatkyNhap!#REF!,"AAAAAG7+z8A=")</f>
        <v>#REF!</v>
      </c>
      <c r="GL64" t="e">
        <f>AND(NhatkyNhap!#REF!,"AAAAAG7+z8E=")</f>
        <v>#REF!</v>
      </c>
      <c r="GM64" t="e">
        <f>AND(NhatkyNhap!#REF!,"AAAAAG7+z8I=")</f>
        <v>#REF!</v>
      </c>
      <c r="GN64" t="e">
        <f>AND(NhatkyNhap!#REF!,"AAAAAG7+z8M=")</f>
        <v>#REF!</v>
      </c>
      <c r="GO64" t="e">
        <f>AND(NhatkyNhap!#REF!,"AAAAAG7+z8Q=")</f>
        <v>#REF!</v>
      </c>
      <c r="GP64" t="e">
        <f>AND(NhatkyNhap!#REF!,"AAAAAG7+z8U=")</f>
        <v>#REF!</v>
      </c>
      <c r="GQ64" t="e">
        <f>AND(NhatkyNhap!#REF!,"AAAAAG7+z8Y=")</f>
        <v>#REF!</v>
      </c>
      <c r="GR64" t="e">
        <f>IF(NhatkyNhap!#REF!,"AAAAAG7+z8c=",0)</f>
        <v>#REF!</v>
      </c>
      <c r="GS64" t="e">
        <f>AND(NhatkyNhap!#REF!,"AAAAAG7+z8g=")</f>
        <v>#REF!</v>
      </c>
      <c r="GT64" t="e">
        <f>AND(NhatkyNhap!#REF!,"AAAAAG7+z8k=")</f>
        <v>#REF!</v>
      </c>
      <c r="GU64" t="e">
        <f>AND(NhatkyNhap!#REF!,"AAAAAG7+z8o=")</f>
        <v>#REF!</v>
      </c>
      <c r="GV64" t="e">
        <f>AND(NhatkyNhap!#REF!,"AAAAAG7+z8s=")</f>
        <v>#REF!</v>
      </c>
      <c r="GW64" t="e">
        <f>AND(NhatkyNhap!#REF!,"AAAAAG7+z8w=")</f>
        <v>#REF!</v>
      </c>
      <c r="GX64" t="e">
        <f>AND(NhatkyNhap!#REF!,"AAAAAG7+z80=")</f>
        <v>#REF!</v>
      </c>
      <c r="GY64" t="e">
        <f>AND(NhatkyNhap!#REF!,"AAAAAG7+z84=")</f>
        <v>#REF!</v>
      </c>
      <c r="GZ64" t="e">
        <f>AND(NhatkyNhap!#REF!,"AAAAAG7+z88=")</f>
        <v>#REF!</v>
      </c>
      <c r="HA64" t="e">
        <f>AND(NhatkyNhap!#REF!,"AAAAAG7+z9A=")</f>
        <v>#REF!</v>
      </c>
      <c r="HB64" t="e">
        <f>AND(NhatkyNhap!#REF!,"AAAAAG7+z9E=")</f>
        <v>#REF!</v>
      </c>
      <c r="HC64" t="e">
        <f>AND(NhatkyNhap!#REF!,"AAAAAG7+z9I=")</f>
        <v>#REF!</v>
      </c>
      <c r="HD64" t="e">
        <f>AND(NhatkyNhap!#REF!,"AAAAAG7+z9M=")</f>
        <v>#REF!</v>
      </c>
      <c r="HE64" t="e">
        <f>AND(NhatkyNhap!#REF!,"AAAAAG7+z9Q=")</f>
        <v>#REF!</v>
      </c>
      <c r="HF64" t="e">
        <f>AND(NhatkyNhap!#REF!,"AAAAAG7+z9U=")</f>
        <v>#REF!</v>
      </c>
      <c r="HG64" t="e">
        <f>AND(NhatkyNhap!#REF!,"AAAAAG7+z9Y=")</f>
        <v>#REF!</v>
      </c>
      <c r="HH64" t="e">
        <f>AND(NhatkyNhap!#REF!,"AAAAAG7+z9c=")</f>
        <v>#REF!</v>
      </c>
      <c r="HI64" t="e">
        <f>AND(NhatkyNhap!#REF!,"AAAAAG7+z9g=")</f>
        <v>#REF!</v>
      </c>
      <c r="HJ64" t="e">
        <f>AND(NhatkyNhap!#REF!,"AAAAAG7+z9k=")</f>
        <v>#REF!</v>
      </c>
      <c r="HK64" t="e">
        <f>AND(NhatkyNhap!#REF!,"AAAAAG7+z9o=")</f>
        <v>#REF!</v>
      </c>
      <c r="HL64" t="e">
        <f>AND(NhatkyNhap!#REF!,"AAAAAG7+z9s=")</f>
        <v>#REF!</v>
      </c>
      <c r="HM64" t="e">
        <f>AND(NhatkyNhap!#REF!,"AAAAAG7+z9w=")</f>
        <v>#REF!</v>
      </c>
      <c r="HN64" t="e">
        <f>AND(NhatkyNhap!#REF!,"AAAAAG7+z90=")</f>
        <v>#REF!</v>
      </c>
      <c r="HO64" t="e">
        <f>AND(NhatkyNhap!#REF!,"AAAAAG7+z94=")</f>
        <v>#REF!</v>
      </c>
      <c r="HP64" t="e">
        <f>AND(NhatkyNhap!#REF!,"AAAAAG7+z98=")</f>
        <v>#REF!</v>
      </c>
      <c r="HQ64" t="e">
        <f>AND(NhatkyNhap!#REF!,"AAAAAG7+z+A=")</f>
        <v>#REF!</v>
      </c>
      <c r="HR64" t="e">
        <f>AND(NhatkyNhap!#REF!,"AAAAAG7+z+E=")</f>
        <v>#REF!</v>
      </c>
      <c r="HS64" t="e">
        <f>AND(NhatkyNhap!#REF!,"AAAAAG7+z+I=")</f>
        <v>#REF!</v>
      </c>
      <c r="HT64" t="e">
        <f>AND(NhatkyNhap!#REF!,"AAAAAG7+z+M=")</f>
        <v>#REF!</v>
      </c>
      <c r="HU64" t="e">
        <f>AND(NhatkyNhap!#REF!,"AAAAAG7+z+Q=")</f>
        <v>#REF!</v>
      </c>
      <c r="HV64" t="e">
        <f>AND(NhatkyNhap!#REF!,"AAAAAG7+z+U=")</f>
        <v>#REF!</v>
      </c>
      <c r="HW64" t="e">
        <f>AND(NhatkyNhap!#REF!,"AAAAAG7+z+Y=")</f>
        <v>#REF!</v>
      </c>
      <c r="HX64" t="e">
        <f>AND(NhatkyNhap!#REF!,"AAAAAG7+z+c=")</f>
        <v>#REF!</v>
      </c>
      <c r="HY64" t="e">
        <f>AND(NhatkyNhap!#REF!,"AAAAAG7+z+g=")</f>
        <v>#REF!</v>
      </c>
      <c r="HZ64" t="e">
        <f>AND(NhatkyNhap!#REF!,"AAAAAG7+z+k=")</f>
        <v>#REF!</v>
      </c>
      <c r="IA64" t="e">
        <f>IF(NhatkyNhap!#REF!,"AAAAAG7+z+o=",0)</f>
        <v>#REF!</v>
      </c>
      <c r="IB64" t="e">
        <f>AND(NhatkyNhap!#REF!,"AAAAAG7+z+s=")</f>
        <v>#REF!</v>
      </c>
      <c r="IC64" t="e">
        <f>AND(NhatkyNhap!#REF!,"AAAAAG7+z+w=")</f>
        <v>#REF!</v>
      </c>
      <c r="ID64" t="e">
        <f>AND(NhatkyNhap!#REF!,"AAAAAG7+z+0=")</f>
        <v>#REF!</v>
      </c>
      <c r="IE64" t="e">
        <f>AND(NhatkyNhap!#REF!,"AAAAAG7+z+4=")</f>
        <v>#REF!</v>
      </c>
      <c r="IF64" t="e">
        <f>AND(NhatkyNhap!#REF!,"AAAAAG7+z+8=")</f>
        <v>#REF!</v>
      </c>
      <c r="IG64" t="e">
        <f>AND(NhatkyNhap!#REF!,"AAAAAG7+z/A=")</f>
        <v>#REF!</v>
      </c>
      <c r="IH64" t="e">
        <f>AND(NhatkyNhap!#REF!,"AAAAAG7+z/E=")</f>
        <v>#REF!</v>
      </c>
      <c r="II64" t="e">
        <f>AND(NhatkyNhap!#REF!,"AAAAAG7+z/I=")</f>
        <v>#REF!</v>
      </c>
      <c r="IJ64" t="e">
        <f>AND(NhatkyNhap!#REF!,"AAAAAG7+z/M=")</f>
        <v>#REF!</v>
      </c>
      <c r="IK64" t="e">
        <f>AND(NhatkyNhap!#REF!,"AAAAAG7+z/Q=")</f>
        <v>#REF!</v>
      </c>
      <c r="IL64" t="e">
        <f>AND(NhatkyNhap!#REF!,"AAAAAG7+z/U=")</f>
        <v>#REF!</v>
      </c>
      <c r="IM64" t="e">
        <f>AND(NhatkyNhap!#REF!,"AAAAAG7+z/Y=")</f>
        <v>#REF!</v>
      </c>
      <c r="IN64" t="e">
        <f>AND(NhatkyNhap!#REF!,"AAAAAG7+z/c=")</f>
        <v>#REF!</v>
      </c>
      <c r="IO64" t="e">
        <f>AND(NhatkyNhap!#REF!,"AAAAAG7+z/g=")</f>
        <v>#REF!</v>
      </c>
      <c r="IP64" t="e">
        <f>AND(NhatkyNhap!#REF!,"AAAAAG7+z/k=")</f>
        <v>#REF!</v>
      </c>
      <c r="IQ64" t="e">
        <f>AND(NhatkyNhap!#REF!,"AAAAAG7+z/o=")</f>
        <v>#REF!</v>
      </c>
      <c r="IR64" t="e">
        <f>AND(NhatkyNhap!#REF!,"AAAAAG7+z/s=")</f>
        <v>#REF!</v>
      </c>
      <c r="IS64" t="e">
        <f>AND(NhatkyNhap!#REF!,"AAAAAG7+z/w=")</f>
        <v>#REF!</v>
      </c>
      <c r="IT64" t="e">
        <f>AND(NhatkyNhap!#REF!,"AAAAAG7+z/0=")</f>
        <v>#REF!</v>
      </c>
      <c r="IU64" t="e">
        <f>AND(NhatkyNhap!#REF!,"AAAAAG7+z/4=")</f>
        <v>#REF!</v>
      </c>
      <c r="IV64" t="e">
        <f>AND(NhatkyNhap!#REF!,"AAAAAG7+z/8=")</f>
        <v>#REF!</v>
      </c>
    </row>
    <row r="65" spans="1:256">
      <c r="A65" t="e">
        <f>AND(NhatkyNhap!#REF!,"AAAAAH8/eAA=")</f>
        <v>#REF!</v>
      </c>
      <c r="B65" t="e">
        <f>AND(NhatkyNhap!#REF!,"AAAAAH8/eAE=")</f>
        <v>#REF!</v>
      </c>
      <c r="C65" t="e">
        <f>AND(NhatkyNhap!#REF!,"AAAAAH8/eAI=")</f>
        <v>#REF!</v>
      </c>
      <c r="D65" t="e">
        <f>AND(NhatkyNhap!#REF!,"AAAAAH8/eAM=")</f>
        <v>#REF!</v>
      </c>
      <c r="E65" t="e">
        <f>AND(NhatkyNhap!#REF!,"AAAAAH8/eAQ=")</f>
        <v>#REF!</v>
      </c>
      <c r="F65" t="e">
        <f>AND(NhatkyNhap!#REF!,"AAAAAH8/eAU=")</f>
        <v>#REF!</v>
      </c>
      <c r="G65" t="e">
        <f>AND(NhatkyNhap!#REF!,"AAAAAH8/eAY=")</f>
        <v>#REF!</v>
      </c>
      <c r="H65" t="e">
        <f>AND(NhatkyNhap!#REF!,"AAAAAH8/eAc=")</f>
        <v>#REF!</v>
      </c>
      <c r="I65" t="e">
        <f>AND(NhatkyNhap!#REF!,"AAAAAH8/eAg=")</f>
        <v>#REF!</v>
      </c>
      <c r="J65" t="e">
        <f>AND(NhatkyNhap!#REF!,"AAAAAH8/eAk=")</f>
        <v>#REF!</v>
      </c>
      <c r="K65" t="e">
        <f>AND(NhatkyNhap!#REF!,"AAAAAH8/eAo=")</f>
        <v>#REF!</v>
      </c>
      <c r="L65" t="e">
        <f>AND(NhatkyNhap!#REF!,"AAAAAH8/eAs=")</f>
        <v>#REF!</v>
      </c>
      <c r="M65" t="e">
        <f>AND(NhatkyNhap!#REF!,"AAAAAH8/eAw=")</f>
        <v>#REF!</v>
      </c>
      <c r="N65" t="e">
        <f>IF(NhatkyNhap!#REF!,"AAAAAH8/eA0=",0)</f>
        <v>#REF!</v>
      </c>
      <c r="O65" t="e">
        <f>AND(NhatkyNhap!#REF!,"AAAAAH8/eA4=")</f>
        <v>#REF!</v>
      </c>
      <c r="P65" t="e">
        <f>AND(NhatkyNhap!#REF!,"AAAAAH8/eA8=")</f>
        <v>#REF!</v>
      </c>
      <c r="Q65" t="e">
        <f>AND(NhatkyNhap!#REF!,"AAAAAH8/eBA=")</f>
        <v>#REF!</v>
      </c>
      <c r="R65" t="e">
        <f>AND(NhatkyNhap!#REF!,"AAAAAH8/eBE=")</f>
        <v>#REF!</v>
      </c>
      <c r="S65" t="e">
        <f>AND(NhatkyNhap!#REF!,"AAAAAH8/eBI=")</f>
        <v>#REF!</v>
      </c>
      <c r="T65" t="e">
        <f>AND(NhatkyNhap!#REF!,"AAAAAH8/eBM=")</f>
        <v>#REF!</v>
      </c>
      <c r="U65" t="e">
        <f>AND(NhatkyNhap!#REF!,"AAAAAH8/eBQ=")</f>
        <v>#REF!</v>
      </c>
      <c r="V65" t="e">
        <f>AND(NhatkyNhap!#REF!,"AAAAAH8/eBU=")</f>
        <v>#REF!</v>
      </c>
      <c r="W65" t="e">
        <f>AND(NhatkyNhap!#REF!,"AAAAAH8/eBY=")</f>
        <v>#REF!</v>
      </c>
      <c r="X65" t="e">
        <f>AND(NhatkyNhap!#REF!,"AAAAAH8/eBc=")</f>
        <v>#REF!</v>
      </c>
      <c r="Y65" t="e">
        <f>AND(NhatkyNhap!#REF!,"AAAAAH8/eBg=")</f>
        <v>#REF!</v>
      </c>
      <c r="Z65" t="e">
        <f>AND(NhatkyNhap!#REF!,"AAAAAH8/eBk=")</f>
        <v>#REF!</v>
      </c>
      <c r="AA65" t="e">
        <f>AND(NhatkyNhap!#REF!,"AAAAAH8/eBo=")</f>
        <v>#REF!</v>
      </c>
      <c r="AB65" t="e">
        <f>AND(NhatkyNhap!#REF!,"AAAAAH8/eBs=")</f>
        <v>#REF!</v>
      </c>
      <c r="AC65" t="e">
        <f>AND(NhatkyNhap!#REF!,"AAAAAH8/eBw=")</f>
        <v>#REF!</v>
      </c>
      <c r="AD65" t="e">
        <f>AND(NhatkyNhap!#REF!,"AAAAAH8/eB0=")</f>
        <v>#REF!</v>
      </c>
      <c r="AE65" t="e">
        <f>AND(NhatkyNhap!#REF!,"AAAAAH8/eB4=")</f>
        <v>#REF!</v>
      </c>
      <c r="AF65" t="e">
        <f>AND(NhatkyNhap!#REF!,"AAAAAH8/eB8=")</f>
        <v>#REF!</v>
      </c>
      <c r="AG65" t="e">
        <f>AND(NhatkyNhap!#REF!,"AAAAAH8/eCA=")</f>
        <v>#REF!</v>
      </c>
      <c r="AH65" t="e">
        <f>AND(NhatkyNhap!#REF!,"AAAAAH8/eCE=")</f>
        <v>#REF!</v>
      </c>
      <c r="AI65" t="e">
        <f>AND(NhatkyNhap!#REF!,"AAAAAH8/eCI=")</f>
        <v>#REF!</v>
      </c>
      <c r="AJ65" t="e">
        <f>AND(NhatkyNhap!#REF!,"AAAAAH8/eCM=")</f>
        <v>#REF!</v>
      </c>
      <c r="AK65" t="e">
        <f>AND(NhatkyNhap!#REF!,"AAAAAH8/eCQ=")</f>
        <v>#REF!</v>
      </c>
      <c r="AL65" t="e">
        <f>AND(NhatkyNhap!#REF!,"AAAAAH8/eCU=")</f>
        <v>#REF!</v>
      </c>
      <c r="AM65" t="e">
        <f>AND(NhatkyNhap!#REF!,"AAAAAH8/eCY=")</f>
        <v>#REF!</v>
      </c>
      <c r="AN65" t="e">
        <f>AND(NhatkyNhap!#REF!,"AAAAAH8/eCc=")</f>
        <v>#REF!</v>
      </c>
      <c r="AO65" t="e">
        <f>AND(NhatkyNhap!#REF!,"AAAAAH8/eCg=")</f>
        <v>#REF!</v>
      </c>
      <c r="AP65" t="e">
        <f>AND(NhatkyNhap!#REF!,"AAAAAH8/eCk=")</f>
        <v>#REF!</v>
      </c>
      <c r="AQ65" t="e">
        <f>AND(NhatkyNhap!#REF!,"AAAAAH8/eCo=")</f>
        <v>#REF!</v>
      </c>
      <c r="AR65" t="e">
        <f>AND(NhatkyNhap!#REF!,"AAAAAH8/eCs=")</f>
        <v>#REF!</v>
      </c>
      <c r="AS65" t="e">
        <f>AND(NhatkyNhap!#REF!,"AAAAAH8/eCw=")</f>
        <v>#REF!</v>
      </c>
      <c r="AT65" t="e">
        <f>AND(NhatkyNhap!#REF!,"AAAAAH8/eC0=")</f>
        <v>#REF!</v>
      </c>
      <c r="AU65" t="e">
        <f>AND(NhatkyNhap!#REF!,"AAAAAH8/eC4=")</f>
        <v>#REF!</v>
      </c>
      <c r="AV65" t="e">
        <f>AND(NhatkyNhap!#REF!,"AAAAAH8/eC8=")</f>
        <v>#REF!</v>
      </c>
      <c r="AW65" t="e">
        <f>IF(NhatkyNhap!#REF!,"AAAAAH8/eDA=",0)</f>
        <v>#REF!</v>
      </c>
      <c r="AX65" t="e">
        <f>AND(NhatkyNhap!#REF!,"AAAAAH8/eDE=")</f>
        <v>#REF!</v>
      </c>
      <c r="AY65" t="e">
        <f>AND(NhatkyNhap!#REF!,"AAAAAH8/eDI=")</f>
        <v>#REF!</v>
      </c>
      <c r="AZ65" t="e">
        <f>AND(NhatkyNhap!#REF!,"AAAAAH8/eDM=")</f>
        <v>#REF!</v>
      </c>
      <c r="BA65" t="e">
        <f>AND(NhatkyNhap!#REF!,"AAAAAH8/eDQ=")</f>
        <v>#REF!</v>
      </c>
      <c r="BB65" t="e">
        <f>AND(NhatkyNhap!#REF!,"AAAAAH8/eDU=")</f>
        <v>#REF!</v>
      </c>
      <c r="BC65" t="e">
        <f>AND(NhatkyNhap!#REF!,"AAAAAH8/eDY=")</f>
        <v>#REF!</v>
      </c>
      <c r="BD65" t="e">
        <f>AND(NhatkyNhap!#REF!,"AAAAAH8/eDc=")</f>
        <v>#REF!</v>
      </c>
      <c r="BE65" t="e">
        <f>AND(NhatkyNhap!#REF!,"AAAAAH8/eDg=")</f>
        <v>#REF!</v>
      </c>
      <c r="BF65" t="e">
        <f>AND(NhatkyNhap!#REF!,"AAAAAH8/eDk=")</f>
        <v>#REF!</v>
      </c>
      <c r="BG65" t="e">
        <f>AND(NhatkyNhap!#REF!,"AAAAAH8/eDo=")</f>
        <v>#REF!</v>
      </c>
      <c r="BH65" t="e">
        <f>AND(NhatkyNhap!#REF!,"AAAAAH8/eDs=")</f>
        <v>#REF!</v>
      </c>
      <c r="BI65" t="e">
        <f>AND(NhatkyNhap!#REF!,"AAAAAH8/eDw=")</f>
        <v>#REF!</v>
      </c>
      <c r="BJ65" t="e">
        <f>AND(NhatkyNhap!#REF!,"AAAAAH8/eD0=")</f>
        <v>#REF!</v>
      </c>
      <c r="BK65" t="e">
        <f>AND(NhatkyNhap!#REF!,"AAAAAH8/eD4=")</f>
        <v>#REF!</v>
      </c>
      <c r="BL65" t="e">
        <f>AND(NhatkyNhap!#REF!,"AAAAAH8/eD8=")</f>
        <v>#REF!</v>
      </c>
      <c r="BM65" t="e">
        <f>AND(NhatkyNhap!#REF!,"AAAAAH8/eEA=")</f>
        <v>#REF!</v>
      </c>
      <c r="BN65" t="e">
        <f>AND(NhatkyNhap!#REF!,"AAAAAH8/eEE=")</f>
        <v>#REF!</v>
      </c>
      <c r="BO65" t="e">
        <f>AND(NhatkyNhap!#REF!,"AAAAAH8/eEI=")</f>
        <v>#REF!</v>
      </c>
      <c r="BP65" t="e">
        <f>AND(NhatkyNhap!#REF!,"AAAAAH8/eEM=")</f>
        <v>#REF!</v>
      </c>
      <c r="BQ65" t="e">
        <f>AND(NhatkyNhap!#REF!,"AAAAAH8/eEQ=")</f>
        <v>#REF!</v>
      </c>
      <c r="BR65" t="e">
        <f>AND(NhatkyNhap!#REF!,"AAAAAH8/eEU=")</f>
        <v>#REF!</v>
      </c>
      <c r="BS65" t="e">
        <f>AND(NhatkyNhap!#REF!,"AAAAAH8/eEY=")</f>
        <v>#REF!</v>
      </c>
      <c r="BT65" t="e">
        <f>AND(NhatkyNhap!#REF!,"AAAAAH8/eEc=")</f>
        <v>#REF!</v>
      </c>
      <c r="BU65" t="e">
        <f>AND(NhatkyNhap!#REF!,"AAAAAH8/eEg=")</f>
        <v>#REF!</v>
      </c>
      <c r="BV65" t="e">
        <f>AND(NhatkyNhap!#REF!,"AAAAAH8/eEk=")</f>
        <v>#REF!</v>
      </c>
      <c r="BW65" t="e">
        <f>AND(NhatkyNhap!#REF!,"AAAAAH8/eEo=")</f>
        <v>#REF!</v>
      </c>
      <c r="BX65" t="e">
        <f>AND(NhatkyNhap!#REF!,"AAAAAH8/eEs=")</f>
        <v>#REF!</v>
      </c>
      <c r="BY65" t="e">
        <f>AND(NhatkyNhap!#REF!,"AAAAAH8/eEw=")</f>
        <v>#REF!</v>
      </c>
      <c r="BZ65" t="e">
        <f>AND(NhatkyNhap!#REF!,"AAAAAH8/eE0=")</f>
        <v>#REF!</v>
      </c>
      <c r="CA65" t="e">
        <f>AND(NhatkyNhap!#REF!,"AAAAAH8/eE4=")</f>
        <v>#REF!</v>
      </c>
      <c r="CB65" t="e">
        <f>AND(NhatkyNhap!#REF!,"AAAAAH8/eE8=")</f>
        <v>#REF!</v>
      </c>
      <c r="CC65" t="e">
        <f>AND(NhatkyNhap!#REF!,"AAAAAH8/eFA=")</f>
        <v>#REF!</v>
      </c>
      <c r="CD65" t="e">
        <f>AND(NhatkyNhap!#REF!,"AAAAAH8/eFE=")</f>
        <v>#REF!</v>
      </c>
      <c r="CE65" t="e">
        <f>AND(NhatkyNhap!#REF!,"AAAAAH8/eFI=")</f>
        <v>#REF!</v>
      </c>
      <c r="CF65" t="e">
        <f>IF(NhatkyNhap!#REF!,"AAAAAH8/eFM=",0)</f>
        <v>#REF!</v>
      </c>
      <c r="CG65" t="e">
        <f>AND(NhatkyNhap!#REF!,"AAAAAH8/eFQ=")</f>
        <v>#REF!</v>
      </c>
      <c r="CH65" t="e">
        <f>AND(NhatkyNhap!#REF!,"AAAAAH8/eFU=")</f>
        <v>#REF!</v>
      </c>
      <c r="CI65" t="e">
        <f>AND(NhatkyNhap!#REF!,"AAAAAH8/eFY=")</f>
        <v>#REF!</v>
      </c>
      <c r="CJ65" t="e">
        <f>AND(NhatkyNhap!#REF!,"AAAAAH8/eFc=")</f>
        <v>#REF!</v>
      </c>
      <c r="CK65" t="e">
        <f>AND(NhatkyNhap!#REF!,"AAAAAH8/eFg=")</f>
        <v>#REF!</v>
      </c>
      <c r="CL65" t="e">
        <f>AND(NhatkyNhap!#REF!,"AAAAAH8/eFk=")</f>
        <v>#REF!</v>
      </c>
      <c r="CM65" t="e">
        <f>AND(NhatkyNhap!#REF!,"AAAAAH8/eFo=")</f>
        <v>#REF!</v>
      </c>
      <c r="CN65" t="e">
        <f>AND(NhatkyNhap!#REF!,"AAAAAH8/eFs=")</f>
        <v>#REF!</v>
      </c>
      <c r="CO65" t="e">
        <f>AND(NhatkyNhap!#REF!,"AAAAAH8/eFw=")</f>
        <v>#REF!</v>
      </c>
      <c r="CP65" t="e">
        <f>AND(NhatkyNhap!#REF!,"AAAAAH8/eF0=")</f>
        <v>#REF!</v>
      </c>
      <c r="CQ65" t="e">
        <f>AND(NhatkyNhap!#REF!,"AAAAAH8/eF4=")</f>
        <v>#REF!</v>
      </c>
      <c r="CR65" t="e">
        <f>AND(NhatkyNhap!#REF!,"AAAAAH8/eF8=")</f>
        <v>#REF!</v>
      </c>
      <c r="CS65" t="e">
        <f>AND(NhatkyNhap!#REF!,"AAAAAH8/eGA=")</f>
        <v>#REF!</v>
      </c>
      <c r="CT65" t="e">
        <f>AND(NhatkyNhap!#REF!,"AAAAAH8/eGE=")</f>
        <v>#REF!</v>
      </c>
      <c r="CU65" t="e">
        <f>AND(NhatkyNhap!#REF!,"AAAAAH8/eGI=")</f>
        <v>#REF!</v>
      </c>
      <c r="CV65" t="e">
        <f>AND(NhatkyNhap!#REF!,"AAAAAH8/eGM=")</f>
        <v>#REF!</v>
      </c>
      <c r="CW65" t="e">
        <f>AND(NhatkyNhap!#REF!,"AAAAAH8/eGQ=")</f>
        <v>#REF!</v>
      </c>
      <c r="CX65" t="e">
        <f>AND(NhatkyNhap!#REF!,"AAAAAH8/eGU=")</f>
        <v>#REF!</v>
      </c>
      <c r="CY65" t="e">
        <f>AND(NhatkyNhap!#REF!,"AAAAAH8/eGY=")</f>
        <v>#REF!</v>
      </c>
      <c r="CZ65" t="e">
        <f>AND(NhatkyNhap!#REF!,"AAAAAH8/eGc=")</f>
        <v>#REF!</v>
      </c>
      <c r="DA65" t="e">
        <f>AND(NhatkyNhap!#REF!,"AAAAAH8/eGg=")</f>
        <v>#REF!</v>
      </c>
      <c r="DB65" t="e">
        <f>AND(NhatkyNhap!#REF!,"AAAAAH8/eGk=")</f>
        <v>#REF!</v>
      </c>
      <c r="DC65" t="e">
        <f>AND(NhatkyNhap!#REF!,"AAAAAH8/eGo=")</f>
        <v>#REF!</v>
      </c>
      <c r="DD65" t="e">
        <f>AND(NhatkyNhap!#REF!,"AAAAAH8/eGs=")</f>
        <v>#REF!</v>
      </c>
      <c r="DE65" t="e">
        <f>AND(NhatkyNhap!#REF!,"AAAAAH8/eGw=")</f>
        <v>#REF!</v>
      </c>
      <c r="DF65" t="e">
        <f>AND(NhatkyNhap!#REF!,"AAAAAH8/eG0=")</f>
        <v>#REF!</v>
      </c>
      <c r="DG65" t="e">
        <f>AND(NhatkyNhap!#REF!,"AAAAAH8/eG4=")</f>
        <v>#REF!</v>
      </c>
      <c r="DH65" t="e">
        <f>AND(NhatkyNhap!#REF!,"AAAAAH8/eG8=")</f>
        <v>#REF!</v>
      </c>
      <c r="DI65" t="e">
        <f>AND(NhatkyNhap!#REF!,"AAAAAH8/eHA=")</f>
        <v>#REF!</v>
      </c>
      <c r="DJ65" t="e">
        <f>AND(NhatkyNhap!#REF!,"AAAAAH8/eHE=")</f>
        <v>#REF!</v>
      </c>
      <c r="DK65" t="e">
        <f>AND(NhatkyNhap!#REF!,"AAAAAH8/eHI=")</f>
        <v>#REF!</v>
      </c>
      <c r="DL65" t="e">
        <f>AND(NhatkyNhap!#REF!,"AAAAAH8/eHM=")</f>
        <v>#REF!</v>
      </c>
      <c r="DM65" t="e">
        <f>AND(NhatkyNhap!#REF!,"AAAAAH8/eHQ=")</f>
        <v>#REF!</v>
      </c>
      <c r="DN65" t="e">
        <f>AND(NhatkyNhap!#REF!,"AAAAAH8/eHU=")</f>
        <v>#REF!</v>
      </c>
      <c r="DO65" t="e">
        <f>IF(NhatkyNhap!#REF!,"AAAAAH8/eHY=",0)</f>
        <v>#REF!</v>
      </c>
      <c r="DP65" t="e">
        <f>AND(NhatkyNhap!#REF!,"AAAAAH8/eHc=")</f>
        <v>#REF!</v>
      </c>
      <c r="DQ65" t="e">
        <f>AND(NhatkyNhap!#REF!,"AAAAAH8/eHg=")</f>
        <v>#REF!</v>
      </c>
      <c r="DR65" t="e">
        <f>AND(NhatkyNhap!#REF!,"AAAAAH8/eHk=")</f>
        <v>#REF!</v>
      </c>
      <c r="DS65" t="e">
        <f>AND(NhatkyNhap!#REF!,"AAAAAH8/eHo=")</f>
        <v>#REF!</v>
      </c>
      <c r="DT65" t="e">
        <f>AND(NhatkyNhap!#REF!,"AAAAAH8/eHs=")</f>
        <v>#REF!</v>
      </c>
      <c r="DU65" t="e">
        <f>AND(NhatkyNhap!#REF!,"AAAAAH8/eHw=")</f>
        <v>#REF!</v>
      </c>
      <c r="DV65" t="e">
        <f>AND(NhatkyNhap!#REF!,"AAAAAH8/eH0=")</f>
        <v>#REF!</v>
      </c>
      <c r="DW65" t="e">
        <f>AND(NhatkyNhap!#REF!,"AAAAAH8/eH4=")</f>
        <v>#REF!</v>
      </c>
      <c r="DX65" t="e">
        <f>AND(NhatkyNhap!#REF!,"AAAAAH8/eH8=")</f>
        <v>#REF!</v>
      </c>
      <c r="DY65" t="e">
        <f>AND(NhatkyNhap!#REF!,"AAAAAH8/eIA=")</f>
        <v>#REF!</v>
      </c>
      <c r="DZ65" t="e">
        <f>AND(NhatkyNhap!#REF!,"AAAAAH8/eIE=")</f>
        <v>#REF!</v>
      </c>
      <c r="EA65" t="e">
        <f>AND(NhatkyNhap!#REF!,"AAAAAH8/eII=")</f>
        <v>#REF!</v>
      </c>
      <c r="EB65" t="e">
        <f>AND(NhatkyNhap!#REF!,"AAAAAH8/eIM=")</f>
        <v>#REF!</v>
      </c>
      <c r="EC65" t="e">
        <f>AND(NhatkyNhap!#REF!,"AAAAAH8/eIQ=")</f>
        <v>#REF!</v>
      </c>
      <c r="ED65" t="e">
        <f>AND(NhatkyNhap!#REF!,"AAAAAH8/eIU=")</f>
        <v>#REF!</v>
      </c>
      <c r="EE65" t="e">
        <f>AND(NhatkyNhap!#REF!,"AAAAAH8/eIY=")</f>
        <v>#REF!</v>
      </c>
      <c r="EF65" t="e">
        <f>AND(NhatkyNhap!#REF!,"AAAAAH8/eIc=")</f>
        <v>#REF!</v>
      </c>
      <c r="EG65" t="e">
        <f>AND(NhatkyNhap!#REF!,"AAAAAH8/eIg=")</f>
        <v>#REF!</v>
      </c>
      <c r="EH65" t="e">
        <f>AND(NhatkyNhap!#REF!,"AAAAAH8/eIk=")</f>
        <v>#REF!</v>
      </c>
      <c r="EI65" t="e">
        <f>AND(NhatkyNhap!#REF!,"AAAAAH8/eIo=")</f>
        <v>#REF!</v>
      </c>
      <c r="EJ65" t="e">
        <f>AND(NhatkyNhap!#REF!,"AAAAAH8/eIs=")</f>
        <v>#REF!</v>
      </c>
      <c r="EK65" t="e">
        <f>AND(NhatkyNhap!#REF!,"AAAAAH8/eIw=")</f>
        <v>#REF!</v>
      </c>
      <c r="EL65" t="e">
        <f>AND(NhatkyNhap!#REF!,"AAAAAH8/eI0=")</f>
        <v>#REF!</v>
      </c>
      <c r="EM65" t="e">
        <f>AND(NhatkyNhap!#REF!,"AAAAAH8/eI4=")</f>
        <v>#REF!</v>
      </c>
      <c r="EN65" t="e">
        <f>AND(NhatkyNhap!#REF!,"AAAAAH8/eI8=")</f>
        <v>#REF!</v>
      </c>
      <c r="EO65" t="e">
        <f>AND(NhatkyNhap!#REF!,"AAAAAH8/eJA=")</f>
        <v>#REF!</v>
      </c>
      <c r="EP65" t="e">
        <f>AND(NhatkyNhap!#REF!,"AAAAAH8/eJE=")</f>
        <v>#REF!</v>
      </c>
      <c r="EQ65" t="e">
        <f>AND(NhatkyNhap!#REF!,"AAAAAH8/eJI=")</f>
        <v>#REF!</v>
      </c>
      <c r="ER65" t="e">
        <f>AND(NhatkyNhap!#REF!,"AAAAAH8/eJM=")</f>
        <v>#REF!</v>
      </c>
      <c r="ES65" t="e">
        <f>AND(NhatkyNhap!#REF!,"AAAAAH8/eJQ=")</f>
        <v>#REF!</v>
      </c>
      <c r="ET65" t="e">
        <f>AND(NhatkyNhap!#REF!,"AAAAAH8/eJU=")</f>
        <v>#REF!</v>
      </c>
      <c r="EU65" t="e">
        <f>AND(NhatkyNhap!#REF!,"AAAAAH8/eJY=")</f>
        <v>#REF!</v>
      </c>
      <c r="EV65" t="e">
        <f>AND(NhatkyNhap!#REF!,"AAAAAH8/eJc=")</f>
        <v>#REF!</v>
      </c>
      <c r="EW65" t="e">
        <f>AND(NhatkyNhap!#REF!,"AAAAAH8/eJg=")</f>
        <v>#REF!</v>
      </c>
      <c r="EX65" t="e">
        <f>IF(NhatkyNhap!#REF!,"AAAAAH8/eJk=",0)</f>
        <v>#REF!</v>
      </c>
      <c r="EY65" t="e">
        <f>AND(NhatkyNhap!#REF!,"AAAAAH8/eJo=")</f>
        <v>#REF!</v>
      </c>
      <c r="EZ65" t="e">
        <f>AND(NhatkyNhap!#REF!,"AAAAAH8/eJs=")</f>
        <v>#REF!</v>
      </c>
      <c r="FA65" t="e">
        <f>AND(NhatkyNhap!#REF!,"AAAAAH8/eJw=")</f>
        <v>#REF!</v>
      </c>
      <c r="FB65" t="e">
        <f>AND(NhatkyNhap!#REF!,"AAAAAH8/eJ0=")</f>
        <v>#REF!</v>
      </c>
      <c r="FC65" t="e">
        <f>AND(NhatkyNhap!#REF!,"AAAAAH8/eJ4=")</f>
        <v>#REF!</v>
      </c>
      <c r="FD65" t="e">
        <f>AND(NhatkyNhap!#REF!,"AAAAAH8/eJ8=")</f>
        <v>#REF!</v>
      </c>
      <c r="FE65" t="e">
        <f>AND(NhatkyNhap!#REF!,"AAAAAH8/eKA=")</f>
        <v>#REF!</v>
      </c>
      <c r="FF65" t="e">
        <f>AND(NhatkyNhap!#REF!,"AAAAAH8/eKE=")</f>
        <v>#REF!</v>
      </c>
      <c r="FG65" t="e">
        <f>AND(NhatkyNhap!#REF!,"AAAAAH8/eKI=")</f>
        <v>#REF!</v>
      </c>
      <c r="FH65" t="e">
        <f>AND(NhatkyNhap!#REF!,"AAAAAH8/eKM=")</f>
        <v>#REF!</v>
      </c>
      <c r="FI65" t="e">
        <f>AND(NhatkyNhap!#REF!,"AAAAAH8/eKQ=")</f>
        <v>#REF!</v>
      </c>
      <c r="FJ65" t="e">
        <f>AND(NhatkyNhap!#REF!,"AAAAAH8/eKU=")</f>
        <v>#REF!</v>
      </c>
      <c r="FK65" t="e">
        <f>AND(NhatkyNhap!#REF!,"AAAAAH8/eKY=")</f>
        <v>#REF!</v>
      </c>
      <c r="FL65" t="e">
        <f>AND(NhatkyNhap!#REF!,"AAAAAH8/eKc=")</f>
        <v>#REF!</v>
      </c>
      <c r="FM65" t="e">
        <f>AND(NhatkyNhap!#REF!,"AAAAAH8/eKg=")</f>
        <v>#REF!</v>
      </c>
      <c r="FN65" t="e">
        <f>AND(NhatkyNhap!#REF!,"AAAAAH8/eKk=")</f>
        <v>#REF!</v>
      </c>
      <c r="FO65" t="e">
        <f>AND(NhatkyNhap!#REF!,"AAAAAH8/eKo=")</f>
        <v>#REF!</v>
      </c>
      <c r="FP65" t="e">
        <f>AND(NhatkyNhap!#REF!,"AAAAAH8/eKs=")</f>
        <v>#REF!</v>
      </c>
      <c r="FQ65" t="e">
        <f>AND(NhatkyNhap!#REF!,"AAAAAH8/eKw=")</f>
        <v>#REF!</v>
      </c>
      <c r="FR65" t="e">
        <f>AND(NhatkyNhap!#REF!,"AAAAAH8/eK0=")</f>
        <v>#REF!</v>
      </c>
      <c r="FS65" t="e">
        <f>AND(NhatkyNhap!#REF!,"AAAAAH8/eK4=")</f>
        <v>#REF!</v>
      </c>
      <c r="FT65" t="e">
        <f>AND(NhatkyNhap!#REF!,"AAAAAH8/eK8=")</f>
        <v>#REF!</v>
      </c>
      <c r="FU65" t="e">
        <f>AND(NhatkyNhap!#REF!,"AAAAAH8/eLA=")</f>
        <v>#REF!</v>
      </c>
      <c r="FV65" t="e">
        <f>AND(NhatkyNhap!#REF!,"AAAAAH8/eLE=")</f>
        <v>#REF!</v>
      </c>
      <c r="FW65" t="e">
        <f>AND(NhatkyNhap!#REF!,"AAAAAH8/eLI=")</f>
        <v>#REF!</v>
      </c>
      <c r="FX65" t="e">
        <f>AND(NhatkyNhap!#REF!,"AAAAAH8/eLM=")</f>
        <v>#REF!</v>
      </c>
      <c r="FY65" t="e">
        <f>AND(NhatkyNhap!#REF!,"AAAAAH8/eLQ=")</f>
        <v>#REF!</v>
      </c>
      <c r="FZ65" t="e">
        <f>AND(NhatkyNhap!#REF!,"AAAAAH8/eLU=")</f>
        <v>#REF!</v>
      </c>
      <c r="GA65" t="e">
        <f>AND(NhatkyNhap!#REF!,"AAAAAH8/eLY=")</f>
        <v>#REF!</v>
      </c>
      <c r="GB65" t="e">
        <f>AND(NhatkyNhap!#REF!,"AAAAAH8/eLc=")</f>
        <v>#REF!</v>
      </c>
      <c r="GC65" t="e">
        <f>AND(NhatkyNhap!#REF!,"AAAAAH8/eLg=")</f>
        <v>#REF!</v>
      </c>
      <c r="GD65" t="e">
        <f>AND(NhatkyNhap!#REF!,"AAAAAH8/eLk=")</f>
        <v>#REF!</v>
      </c>
      <c r="GE65" t="e">
        <f>AND(NhatkyNhap!#REF!,"AAAAAH8/eLo=")</f>
        <v>#REF!</v>
      </c>
      <c r="GF65" t="e">
        <f>AND(NhatkyNhap!#REF!,"AAAAAH8/eLs=")</f>
        <v>#REF!</v>
      </c>
      <c r="GG65" t="e">
        <f>IF(NhatkyNhap!#REF!,"AAAAAH8/eLw=",0)</f>
        <v>#REF!</v>
      </c>
      <c r="GH65" t="e">
        <f>AND(NhatkyNhap!#REF!,"AAAAAH8/eL0=")</f>
        <v>#REF!</v>
      </c>
      <c r="GI65" t="e">
        <f>AND(NhatkyNhap!#REF!,"AAAAAH8/eL4=")</f>
        <v>#REF!</v>
      </c>
      <c r="GJ65" t="e">
        <f>AND(NhatkyNhap!#REF!,"AAAAAH8/eL8=")</f>
        <v>#REF!</v>
      </c>
      <c r="GK65" t="e">
        <f>AND(NhatkyNhap!#REF!,"AAAAAH8/eMA=")</f>
        <v>#REF!</v>
      </c>
      <c r="GL65" t="e">
        <f>AND(NhatkyNhap!#REF!,"AAAAAH8/eME=")</f>
        <v>#REF!</v>
      </c>
      <c r="GM65" t="e">
        <f>AND(NhatkyNhap!#REF!,"AAAAAH8/eMI=")</f>
        <v>#REF!</v>
      </c>
      <c r="GN65" t="e">
        <f>AND(NhatkyNhap!#REF!,"AAAAAH8/eMM=")</f>
        <v>#REF!</v>
      </c>
      <c r="GO65" t="e">
        <f>AND(NhatkyNhap!#REF!,"AAAAAH8/eMQ=")</f>
        <v>#REF!</v>
      </c>
      <c r="GP65" t="e">
        <f>AND(NhatkyNhap!#REF!,"AAAAAH8/eMU=")</f>
        <v>#REF!</v>
      </c>
      <c r="GQ65" t="e">
        <f>AND(NhatkyNhap!#REF!,"AAAAAH8/eMY=")</f>
        <v>#REF!</v>
      </c>
      <c r="GR65" t="e">
        <f>AND(NhatkyNhap!#REF!,"AAAAAH8/eMc=")</f>
        <v>#REF!</v>
      </c>
      <c r="GS65" t="e">
        <f>AND(NhatkyNhap!#REF!,"AAAAAH8/eMg=")</f>
        <v>#REF!</v>
      </c>
      <c r="GT65" t="e">
        <f>AND(NhatkyNhap!#REF!,"AAAAAH8/eMk=")</f>
        <v>#REF!</v>
      </c>
      <c r="GU65" t="e">
        <f>AND(NhatkyNhap!#REF!,"AAAAAH8/eMo=")</f>
        <v>#REF!</v>
      </c>
      <c r="GV65" t="e">
        <f>AND(NhatkyNhap!#REF!,"AAAAAH8/eMs=")</f>
        <v>#REF!</v>
      </c>
      <c r="GW65" t="e">
        <f>AND(NhatkyNhap!#REF!,"AAAAAH8/eMw=")</f>
        <v>#REF!</v>
      </c>
      <c r="GX65" t="e">
        <f>AND(NhatkyNhap!#REF!,"AAAAAH8/eM0=")</f>
        <v>#REF!</v>
      </c>
      <c r="GY65" t="e">
        <f>AND(NhatkyNhap!#REF!,"AAAAAH8/eM4=")</f>
        <v>#REF!</v>
      </c>
      <c r="GZ65" t="e">
        <f>AND(NhatkyNhap!#REF!,"AAAAAH8/eM8=")</f>
        <v>#REF!</v>
      </c>
      <c r="HA65" t="e">
        <f>AND(NhatkyNhap!#REF!,"AAAAAH8/eNA=")</f>
        <v>#REF!</v>
      </c>
      <c r="HB65" t="e">
        <f>AND(NhatkyNhap!#REF!,"AAAAAH8/eNE=")</f>
        <v>#REF!</v>
      </c>
      <c r="HC65" t="e">
        <f>AND(NhatkyNhap!#REF!,"AAAAAH8/eNI=")</f>
        <v>#REF!</v>
      </c>
      <c r="HD65" t="e">
        <f>AND(NhatkyNhap!#REF!,"AAAAAH8/eNM=")</f>
        <v>#REF!</v>
      </c>
      <c r="HE65" t="e">
        <f>AND(NhatkyNhap!#REF!,"AAAAAH8/eNQ=")</f>
        <v>#REF!</v>
      </c>
      <c r="HF65" t="e">
        <f>AND(NhatkyNhap!#REF!,"AAAAAH8/eNU=")</f>
        <v>#REF!</v>
      </c>
      <c r="HG65" t="e">
        <f>AND(NhatkyNhap!#REF!,"AAAAAH8/eNY=")</f>
        <v>#REF!</v>
      </c>
      <c r="HH65" t="e">
        <f>AND(NhatkyNhap!#REF!,"AAAAAH8/eNc=")</f>
        <v>#REF!</v>
      </c>
      <c r="HI65" t="e">
        <f>AND(NhatkyNhap!#REF!,"AAAAAH8/eNg=")</f>
        <v>#REF!</v>
      </c>
      <c r="HJ65" t="e">
        <f>AND(NhatkyNhap!#REF!,"AAAAAH8/eNk=")</f>
        <v>#REF!</v>
      </c>
      <c r="HK65" t="e">
        <f>AND(NhatkyNhap!#REF!,"AAAAAH8/eNo=")</f>
        <v>#REF!</v>
      </c>
      <c r="HL65" t="e">
        <f>AND(NhatkyNhap!#REF!,"AAAAAH8/eNs=")</f>
        <v>#REF!</v>
      </c>
      <c r="HM65" t="e">
        <f>AND(NhatkyNhap!#REF!,"AAAAAH8/eNw=")</f>
        <v>#REF!</v>
      </c>
      <c r="HN65" t="e">
        <f>AND(NhatkyNhap!#REF!,"AAAAAH8/eN0=")</f>
        <v>#REF!</v>
      </c>
      <c r="HO65" t="e">
        <f>AND(NhatkyNhap!#REF!,"AAAAAH8/eN4=")</f>
        <v>#REF!</v>
      </c>
      <c r="HP65" t="e">
        <f>IF(NhatkyNhap!#REF!,"AAAAAH8/eN8=",0)</f>
        <v>#REF!</v>
      </c>
      <c r="HQ65" t="e">
        <f>AND(NhatkyNhap!#REF!,"AAAAAH8/eOA=")</f>
        <v>#REF!</v>
      </c>
      <c r="HR65" t="e">
        <f>AND(NhatkyNhap!#REF!,"AAAAAH8/eOE=")</f>
        <v>#REF!</v>
      </c>
      <c r="HS65" t="e">
        <f>AND(NhatkyNhap!#REF!,"AAAAAH8/eOI=")</f>
        <v>#REF!</v>
      </c>
      <c r="HT65" t="e">
        <f>AND(NhatkyNhap!#REF!,"AAAAAH8/eOM=")</f>
        <v>#REF!</v>
      </c>
      <c r="HU65" t="e">
        <f>AND(NhatkyNhap!#REF!,"AAAAAH8/eOQ=")</f>
        <v>#REF!</v>
      </c>
      <c r="HV65" t="e">
        <f>AND(NhatkyNhap!#REF!,"AAAAAH8/eOU=")</f>
        <v>#REF!</v>
      </c>
      <c r="HW65" t="e">
        <f>AND(NhatkyNhap!#REF!,"AAAAAH8/eOY=")</f>
        <v>#REF!</v>
      </c>
      <c r="HX65" t="e">
        <f>AND(NhatkyNhap!#REF!,"AAAAAH8/eOc=")</f>
        <v>#REF!</v>
      </c>
      <c r="HY65" t="e">
        <f>AND(NhatkyNhap!#REF!,"AAAAAH8/eOg=")</f>
        <v>#REF!</v>
      </c>
      <c r="HZ65" t="e">
        <f>AND(NhatkyNhap!#REF!,"AAAAAH8/eOk=")</f>
        <v>#REF!</v>
      </c>
      <c r="IA65" t="e">
        <f>AND(NhatkyNhap!#REF!,"AAAAAH8/eOo=")</f>
        <v>#REF!</v>
      </c>
      <c r="IB65" t="e">
        <f>AND(NhatkyNhap!#REF!,"AAAAAH8/eOs=")</f>
        <v>#REF!</v>
      </c>
      <c r="IC65" t="e">
        <f>AND(NhatkyNhap!#REF!,"AAAAAH8/eOw=")</f>
        <v>#REF!</v>
      </c>
      <c r="ID65" t="e">
        <f>AND(NhatkyNhap!#REF!,"AAAAAH8/eO0=")</f>
        <v>#REF!</v>
      </c>
      <c r="IE65" t="e">
        <f>AND(NhatkyNhap!#REF!,"AAAAAH8/eO4=")</f>
        <v>#REF!</v>
      </c>
      <c r="IF65" t="e">
        <f>AND(NhatkyNhap!#REF!,"AAAAAH8/eO8=")</f>
        <v>#REF!</v>
      </c>
      <c r="IG65" t="e">
        <f>AND(NhatkyNhap!#REF!,"AAAAAH8/ePA=")</f>
        <v>#REF!</v>
      </c>
      <c r="IH65" t="e">
        <f>AND(NhatkyNhap!#REF!,"AAAAAH8/ePE=")</f>
        <v>#REF!</v>
      </c>
      <c r="II65" t="e">
        <f>AND(NhatkyNhap!#REF!,"AAAAAH8/ePI=")</f>
        <v>#REF!</v>
      </c>
      <c r="IJ65" t="e">
        <f>AND(NhatkyNhap!#REF!,"AAAAAH8/ePM=")</f>
        <v>#REF!</v>
      </c>
      <c r="IK65" t="e">
        <f>AND(NhatkyNhap!#REF!,"AAAAAH8/ePQ=")</f>
        <v>#REF!</v>
      </c>
      <c r="IL65" t="e">
        <f>AND(NhatkyNhap!#REF!,"AAAAAH8/ePU=")</f>
        <v>#REF!</v>
      </c>
      <c r="IM65" t="e">
        <f>AND(NhatkyNhap!#REF!,"AAAAAH8/ePY=")</f>
        <v>#REF!</v>
      </c>
      <c r="IN65" t="e">
        <f>AND(NhatkyNhap!#REF!,"AAAAAH8/ePc=")</f>
        <v>#REF!</v>
      </c>
      <c r="IO65" t="e">
        <f>AND(NhatkyNhap!#REF!,"AAAAAH8/ePg=")</f>
        <v>#REF!</v>
      </c>
      <c r="IP65" t="e">
        <f>AND(NhatkyNhap!#REF!,"AAAAAH8/ePk=")</f>
        <v>#REF!</v>
      </c>
      <c r="IQ65" t="e">
        <f>AND(NhatkyNhap!#REF!,"AAAAAH8/ePo=")</f>
        <v>#REF!</v>
      </c>
      <c r="IR65" t="e">
        <f>AND(NhatkyNhap!#REF!,"AAAAAH8/ePs=")</f>
        <v>#REF!</v>
      </c>
      <c r="IS65" t="e">
        <f>AND(NhatkyNhap!#REF!,"AAAAAH8/ePw=")</f>
        <v>#REF!</v>
      </c>
      <c r="IT65" t="e">
        <f>AND(NhatkyNhap!#REF!,"AAAAAH8/eP0=")</f>
        <v>#REF!</v>
      </c>
      <c r="IU65" t="e">
        <f>AND(NhatkyNhap!#REF!,"AAAAAH8/eP4=")</f>
        <v>#REF!</v>
      </c>
      <c r="IV65" t="e">
        <f>AND(NhatkyNhap!#REF!,"AAAAAH8/eP8=")</f>
        <v>#REF!</v>
      </c>
    </row>
    <row r="66" spans="1:256">
      <c r="A66" t="e">
        <f>AND(NhatkyNhap!#REF!,"AAAAAFfreQA=")</f>
        <v>#REF!</v>
      </c>
      <c r="B66" t="e">
        <f>AND(NhatkyNhap!#REF!,"AAAAAFfreQE=")</f>
        <v>#REF!</v>
      </c>
      <c r="C66" t="e">
        <f>IF(NhatkyNhap!#REF!,"AAAAAFfreQI=",0)</f>
        <v>#REF!</v>
      </c>
      <c r="D66" t="e">
        <f>AND(NhatkyNhap!#REF!,"AAAAAFfreQM=")</f>
        <v>#REF!</v>
      </c>
      <c r="E66" t="e">
        <f>AND(NhatkyNhap!#REF!,"AAAAAFfreQQ=")</f>
        <v>#REF!</v>
      </c>
      <c r="F66" t="e">
        <f>AND(NhatkyNhap!#REF!,"AAAAAFfreQU=")</f>
        <v>#REF!</v>
      </c>
      <c r="G66" t="e">
        <f>AND(NhatkyNhap!#REF!,"AAAAAFfreQY=")</f>
        <v>#REF!</v>
      </c>
      <c r="H66" t="e">
        <f>AND(NhatkyNhap!#REF!,"AAAAAFfreQc=")</f>
        <v>#REF!</v>
      </c>
      <c r="I66" t="e">
        <f>AND(NhatkyNhap!#REF!,"AAAAAFfreQg=")</f>
        <v>#REF!</v>
      </c>
      <c r="J66" t="e">
        <f>AND(NhatkyNhap!#REF!,"AAAAAFfreQk=")</f>
        <v>#REF!</v>
      </c>
      <c r="K66" t="e">
        <f>AND(NhatkyNhap!#REF!,"AAAAAFfreQo=")</f>
        <v>#REF!</v>
      </c>
      <c r="L66" t="e">
        <f>AND(NhatkyNhap!#REF!,"AAAAAFfreQs=")</f>
        <v>#REF!</v>
      </c>
      <c r="M66" t="e">
        <f>AND(NhatkyNhap!#REF!,"AAAAAFfreQw=")</f>
        <v>#REF!</v>
      </c>
      <c r="N66" t="e">
        <f>AND(NhatkyNhap!#REF!,"AAAAAFfreQ0=")</f>
        <v>#REF!</v>
      </c>
      <c r="O66" t="e">
        <f>AND(NhatkyNhap!#REF!,"AAAAAFfreQ4=")</f>
        <v>#REF!</v>
      </c>
      <c r="P66" t="e">
        <f>AND(NhatkyNhap!#REF!,"AAAAAFfreQ8=")</f>
        <v>#REF!</v>
      </c>
      <c r="Q66" t="e">
        <f>AND(NhatkyNhap!#REF!,"AAAAAFfreRA=")</f>
        <v>#REF!</v>
      </c>
      <c r="R66" t="e">
        <f>AND(NhatkyNhap!#REF!,"AAAAAFfreRE=")</f>
        <v>#REF!</v>
      </c>
      <c r="S66" t="e">
        <f>AND(NhatkyNhap!#REF!,"AAAAAFfreRI=")</f>
        <v>#REF!</v>
      </c>
      <c r="T66" t="e">
        <f>AND(NhatkyNhap!#REF!,"AAAAAFfreRM=")</f>
        <v>#REF!</v>
      </c>
      <c r="U66" t="e">
        <f>AND(NhatkyNhap!#REF!,"AAAAAFfreRQ=")</f>
        <v>#REF!</v>
      </c>
      <c r="V66" t="e">
        <f>AND(NhatkyNhap!#REF!,"AAAAAFfreRU=")</f>
        <v>#REF!</v>
      </c>
      <c r="W66" t="e">
        <f>AND(NhatkyNhap!#REF!,"AAAAAFfreRY=")</f>
        <v>#REF!</v>
      </c>
      <c r="X66" t="e">
        <f>AND(NhatkyNhap!#REF!,"AAAAAFfreRc=")</f>
        <v>#REF!</v>
      </c>
      <c r="Y66" t="e">
        <f>AND(NhatkyNhap!#REF!,"AAAAAFfreRg=")</f>
        <v>#REF!</v>
      </c>
      <c r="Z66" t="e">
        <f>AND(NhatkyNhap!#REF!,"AAAAAFfreRk=")</f>
        <v>#REF!</v>
      </c>
      <c r="AA66" t="e">
        <f>AND(NhatkyNhap!#REF!,"AAAAAFfreRo=")</f>
        <v>#REF!</v>
      </c>
      <c r="AB66" t="e">
        <f>AND(NhatkyNhap!#REF!,"AAAAAFfreRs=")</f>
        <v>#REF!</v>
      </c>
      <c r="AC66" t="e">
        <f>AND(NhatkyNhap!#REF!,"AAAAAFfreRw=")</f>
        <v>#REF!</v>
      </c>
      <c r="AD66" t="e">
        <f>AND(NhatkyNhap!#REF!,"AAAAAFfreR0=")</f>
        <v>#REF!</v>
      </c>
      <c r="AE66" t="e">
        <f>AND(NhatkyNhap!#REF!,"AAAAAFfreR4=")</f>
        <v>#REF!</v>
      </c>
      <c r="AF66" t="e">
        <f>AND(NhatkyNhap!#REF!,"AAAAAFfreR8=")</f>
        <v>#REF!</v>
      </c>
      <c r="AG66" t="e">
        <f>AND(NhatkyNhap!#REF!,"AAAAAFfreSA=")</f>
        <v>#REF!</v>
      </c>
      <c r="AH66" t="e">
        <f>AND(NhatkyNhap!#REF!,"AAAAAFfreSE=")</f>
        <v>#REF!</v>
      </c>
      <c r="AI66" t="e">
        <f>AND(NhatkyNhap!#REF!,"AAAAAFfreSI=")</f>
        <v>#REF!</v>
      </c>
      <c r="AJ66" t="e">
        <f>AND(NhatkyNhap!#REF!,"AAAAAFfreSM=")</f>
        <v>#REF!</v>
      </c>
      <c r="AK66" t="e">
        <f>AND(NhatkyNhap!#REF!,"AAAAAFfreSQ=")</f>
        <v>#REF!</v>
      </c>
      <c r="AL66" t="e">
        <f>IF(NhatkyNhap!#REF!,"AAAAAFfreSU=",0)</f>
        <v>#REF!</v>
      </c>
      <c r="AM66" t="e">
        <f>AND(NhatkyNhap!#REF!,"AAAAAFfreSY=")</f>
        <v>#REF!</v>
      </c>
      <c r="AN66" t="e">
        <f>AND(NhatkyNhap!#REF!,"AAAAAFfreSc=")</f>
        <v>#REF!</v>
      </c>
      <c r="AO66" t="e">
        <f>AND(NhatkyNhap!#REF!,"AAAAAFfreSg=")</f>
        <v>#REF!</v>
      </c>
      <c r="AP66" t="e">
        <f>AND(NhatkyNhap!#REF!,"AAAAAFfreSk=")</f>
        <v>#REF!</v>
      </c>
      <c r="AQ66" t="e">
        <f>AND(NhatkyNhap!#REF!,"AAAAAFfreSo=")</f>
        <v>#REF!</v>
      </c>
      <c r="AR66" t="e">
        <f>AND(NhatkyNhap!#REF!,"AAAAAFfreSs=")</f>
        <v>#REF!</v>
      </c>
      <c r="AS66" t="e">
        <f>AND(NhatkyNhap!#REF!,"AAAAAFfreSw=")</f>
        <v>#REF!</v>
      </c>
      <c r="AT66" t="e">
        <f>AND(NhatkyNhap!#REF!,"AAAAAFfreS0=")</f>
        <v>#REF!</v>
      </c>
      <c r="AU66" t="e">
        <f>AND(NhatkyNhap!#REF!,"AAAAAFfreS4=")</f>
        <v>#REF!</v>
      </c>
      <c r="AV66" t="e">
        <f>AND(NhatkyNhap!#REF!,"AAAAAFfreS8=")</f>
        <v>#REF!</v>
      </c>
      <c r="AW66" t="e">
        <f>AND(NhatkyNhap!#REF!,"AAAAAFfreTA=")</f>
        <v>#REF!</v>
      </c>
      <c r="AX66" t="e">
        <f>AND(NhatkyNhap!#REF!,"AAAAAFfreTE=")</f>
        <v>#REF!</v>
      </c>
      <c r="AY66" t="e">
        <f>AND(NhatkyNhap!#REF!,"AAAAAFfreTI=")</f>
        <v>#REF!</v>
      </c>
      <c r="AZ66" t="e">
        <f>AND(NhatkyNhap!#REF!,"AAAAAFfreTM=")</f>
        <v>#REF!</v>
      </c>
      <c r="BA66" t="e">
        <f>AND(NhatkyNhap!#REF!,"AAAAAFfreTQ=")</f>
        <v>#REF!</v>
      </c>
      <c r="BB66" t="e">
        <f>AND(NhatkyNhap!#REF!,"AAAAAFfreTU=")</f>
        <v>#REF!</v>
      </c>
      <c r="BC66" t="e">
        <f>AND(NhatkyNhap!#REF!,"AAAAAFfreTY=")</f>
        <v>#REF!</v>
      </c>
      <c r="BD66" t="e">
        <f>AND(NhatkyNhap!#REF!,"AAAAAFfreTc=")</f>
        <v>#REF!</v>
      </c>
      <c r="BE66" t="e">
        <f>AND(NhatkyNhap!#REF!,"AAAAAFfreTg=")</f>
        <v>#REF!</v>
      </c>
      <c r="BF66" t="e">
        <f>AND(NhatkyNhap!#REF!,"AAAAAFfreTk=")</f>
        <v>#REF!</v>
      </c>
      <c r="BG66" t="e">
        <f>AND(NhatkyNhap!#REF!,"AAAAAFfreTo=")</f>
        <v>#REF!</v>
      </c>
      <c r="BH66" t="e">
        <f>AND(NhatkyNhap!#REF!,"AAAAAFfreTs=")</f>
        <v>#REF!</v>
      </c>
      <c r="BI66" t="e">
        <f>AND(NhatkyNhap!#REF!,"AAAAAFfreTw=")</f>
        <v>#REF!</v>
      </c>
      <c r="BJ66" t="e">
        <f>AND(NhatkyNhap!#REF!,"AAAAAFfreT0=")</f>
        <v>#REF!</v>
      </c>
      <c r="BK66" t="e">
        <f>AND(NhatkyNhap!#REF!,"AAAAAFfreT4=")</f>
        <v>#REF!</v>
      </c>
      <c r="BL66" t="e">
        <f>AND(NhatkyNhap!#REF!,"AAAAAFfreT8=")</f>
        <v>#REF!</v>
      </c>
      <c r="BM66" t="e">
        <f>AND(NhatkyNhap!#REF!,"AAAAAFfreUA=")</f>
        <v>#REF!</v>
      </c>
      <c r="BN66" t="e">
        <f>AND(NhatkyNhap!#REF!,"AAAAAFfreUE=")</f>
        <v>#REF!</v>
      </c>
      <c r="BO66" t="e">
        <f>AND(NhatkyNhap!#REF!,"AAAAAFfreUI=")</f>
        <v>#REF!</v>
      </c>
      <c r="BP66" t="e">
        <f>AND(NhatkyNhap!#REF!,"AAAAAFfreUM=")</f>
        <v>#REF!</v>
      </c>
      <c r="BQ66" t="e">
        <f>AND(NhatkyNhap!#REF!,"AAAAAFfreUQ=")</f>
        <v>#REF!</v>
      </c>
      <c r="BR66" t="e">
        <f>AND(NhatkyNhap!#REF!,"AAAAAFfreUU=")</f>
        <v>#REF!</v>
      </c>
      <c r="BS66" t="e">
        <f>AND(NhatkyNhap!#REF!,"AAAAAFfreUY=")</f>
        <v>#REF!</v>
      </c>
      <c r="BT66" t="e">
        <f>AND(NhatkyNhap!#REF!,"AAAAAFfreUc=")</f>
        <v>#REF!</v>
      </c>
      <c r="BU66" t="e">
        <f>IF(NhatkyNhap!#REF!,"AAAAAFfreUg=",0)</f>
        <v>#REF!</v>
      </c>
      <c r="BV66" t="e">
        <f>AND(NhatkyNhap!#REF!,"AAAAAFfreUk=")</f>
        <v>#REF!</v>
      </c>
      <c r="BW66" t="e">
        <f>AND(NhatkyNhap!#REF!,"AAAAAFfreUo=")</f>
        <v>#REF!</v>
      </c>
      <c r="BX66" t="e">
        <f>AND(NhatkyNhap!#REF!,"AAAAAFfreUs=")</f>
        <v>#REF!</v>
      </c>
      <c r="BY66" t="e">
        <f>AND(NhatkyNhap!#REF!,"AAAAAFfreUw=")</f>
        <v>#REF!</v>
      </c>
      <c r="BZ66" t="e">
        <f>AND(NhatkyNhap!#REF!,"AAAAAFfreU0=")</f>
        <v>#REF!</v>
      </c>
      <c r="CA66" t="e">
        <f>AND(NhatkyNhap!#REF!,"AAAAAFfreU4=")</f>
        <v>#REF!</v>
      </c>
      <c r="CB66" t="e">
        <f>AND(NhatkyNhap!#REF!,"AAAAAFfreU8=")</f>
        <v>#REF!</v>
      </c>
      <c r="CC66" t="e">
        <f>AND(NhatkyNhap!#REF!,"AAAAAFfreVA=")</f>
        <v>#REF!</v>
      </c>
      <c r="CD66" t="e">
        <f>AND(NhatkyNhap!#REF!,"AAAAAFfreVE=")</f>
        <v>#REF!</v>
      </c>
      <c r="CE66" t="e">
        <f>AND(NhatkyNhap!#REF!,"AAAAAFfreVI=")</f>
        <v>#REF!</v>
      </c>
      <c r="CF66" t="e">
        <f>AND(NhatkyNhap!#REF!,"AAAAAFfreVM=")</f>
        <v>#REF!</v>
      </c>
      <c r="CG66" t="e">
        <f>AND(NhatkyNhap!#REF!,"AAAAAFfreVQ=")</f>
        <v>#REF!</v>
      </c>
      <c r="CH66" t="e">
        <f>AND(NhatkyNhap!#REF!,"AAAAAFfreVU=")</f>
        <v>#REF!</v>
      </c>
      <c r="CI66" t="e">
        <f>AND(NhatkyNhap!#REF!,"AAAAAFfreVY=")</f>
        <v>#REF!</v>
      </c>
      <c r="CJ66" t="e">
        <f>AND(NhatkyNhap!#REF!,"AAAAAFfreVc=")</f>
        <v>#REF!</v>
      </c>
      <c r="CK66" t="e">
        <f>AND(NhatkyNhap!#REF!,"AAAAAFfreVg=")</f>
        <v>#REF!</v>
      </c>
      <c r="CL66" t="e">
        <f>AND(NhatkyNhap!#REF!,"AAAAAFfreVk=")</f>
        <v>#REF!</v>
      </c>
      <c r="CM66" t="e">
        <f>AND(NhatkyNhap!#REF!,"AAAAAFfreVo=")</f>
        <v>#REF!</v>
      </c>
      <c r="CN66" t="e">
        <f>AND(NhatkyNhap!#REF!,"AAAAAFfreVs=")</f>
        <v>#REF!</v>
      </c>
      <c r="CO66" t="e">
        <f>AND(NhatkyNhap!#REF!,"AAAAAFfreVw=")</f>
        <v>#REF!</v>
      </c>
      <c r="CP66" t="e">
        <f>AND(NhatkyNhap!#REF!,"AAAAAFfreV0=")</f>
        <v>#REF!</v>
      </c>
      <c r="CQ66" t="e">
        <f>AND(NhatkyNhap!#REF!,"AAAAAFfreV4=")</f>
        <v>#REF!</v>
      </c>
      <c r="CR66" t="e">
        <f>AND(NhatkyNhap!#REF!,"AAAAAFfreV8=")</f>
        <v>#REF!</v>
      </c>
      <c r="CS66" t="e">
        <f>AND(NhatkyNhap!#REF!,"AAAAAFfreWA=")</f>
        <v>#REF!</v>
      </c>
      <c r="CT66" t="e">
        <f>AND(NhatkyNhap!#REF!,"AAAAAFfreWE=")</f>
        <v>#REF!</v>
      </c>
      <c r="CU66" t="e">
        <f>AND(NhatkyNhap!#REF!,"AAAAAFfreWI=")</f>
        <v>#REF!</v>
      </c>
      <c r="CV66" t="e">
        <f>AND(NhatkyNhap!#REF!,"AAAAAFfreWM=")</f>
        <v>#REF!</v>
      </c>
      <c r="CW66" t="e">
        <f>AND(NhatkyNhap!#REF!,"AAAAAFfreWQ=")</f>
        <v>#REF!</v>
      </c>
      <c r="CX66" t="e">
        <f>AND(NhatkyNhap!#REF!,"AAAAAFfreWU=")</f>
        <v>#REF!</v>
      </c>
      <c r="CY66" t="e">
        <f>AND(NhatkyNhap!#REF!,"AAAAAFfreWY=")</f>
        <v>#REF!</v>
      </c>
      <c r="CZ66" t="e">
        <f>AND(NhatkyNhap!#REF!,"AAAAAFfreWc=")</f>
        <v>#REF!</v>
      </c>
      <c r="DA66" t="e">
        <f>AND(NhatkyNhap!#REF!,"AAAAAFfreWg=")</f>
        <v>#REF!</v>
      </c>
      <c r="DB66" t="e">
        <f>AND(NhatkyNhap!#REF!,"AAAAAFfreWk=")</f>
        <v>#REF!</v>
      </c>
      <c r="DC66" t="e">
        <f>AND(NhatkyNhap!#REF!,"AAAAAFfreWo=")</f>
        <v>#REF!</v>
      </c>
      <c r="DD66" t="e">
        <f>IF(NhatkyNhap!#REF!,"AAAAAFfreWs=",0)</f>
        <v>#REF!</v>
      </c>
      <c r="DE66" t="e">
        <f>AND(NhatkyNhap!#REF!,"AAAAAFfreWw=")</f>
        <v>#REF!</v>
      </c>
      <c r="DF66" t="e">
        <f>AND(NhatkyNhap!#REF!,"AAAAAFfreW0=")</f>
        <v>#REF!</v>
      </c>
      <c r="DG66" t="e">
        <f>AND(NhatkyNhap!#REF!,"AAAAAFfreW4=")</f>
        <v>#REF!</v>
      </c>
      <c r="DH66" t="e">
        <f>AND(NhatkyNhap!#REF!,"AAAAAFfreW8=")</f>
        <v>#REF!</v>
      </c>
      <c r="DI66" t="e">
        <f>AND(NhatkyNhap!#REF!,"AAAAAFfreXA=")</f>
        <v>#REF!</v>
      </c>
      <c r="DJ66" t="e">
        <f>AND(NhatkyNhap!#REF!,"AAAAAFfreXE=")</f>
        <v>#REF!</v>
      </c>
      <c r="DK66" t="e">
        <f>AND(NhatkyNhap!#REF!,"AAAAAFfreXI=")</f>
        <v>#REF!</v>
      </c>
      <c r="DL66" t="e">
        <f>AND(NhatkyNhap!#REF!,"AAAAAFfreXM=")</f>
        <v>#REF!</v>
      </c>
      <c r="DM66" t="e">
        <f>AND(NhatkyNhap!#REF!,"AAAAAFfreXQ=")</f>
        <v>#REF!</v>
      </c>
      <c r="DN66" t="e">
        <f>AND(NhatkyNhap!#REF!,"AAAAAFfreXU=")</f>
        <v>#REF!</v>
      </c>
      <c r="DO66" t="e">
        <f>AND(NhatkyNhap!#REF!,"AAAAAFfreXY=")</f>
        <v>#REF!</v>
      </c>
      <c r="DP66" t="e">
        <f>AND(NhatkyNhap!#REF!,"AAAAAFfreXc=")</f>
        <v>#REF!</v>
      </c>
      <c r="DQ66" t="e">
        <f>AND(NhatkyNhap!#REF!,"AAAAAFfreXg=")</f>
        <v>#REF!</v>
      </c>
      <c r="DR66" t="e">
        <f>AND(NhatkyNhap!#REF!,"AAAAAFfreXk=")</f>
        <v>#REF!</v>
      </c>
      <c r="DS66" t="e">
        <f>AND(NhatkyNhap!#REF!,"AAAAAFfreXo=")</f>
        <v>#REF!</v>
      </c>
      <c r="DT66" t="e">
        <f>AND(NhatkyNhap!#REF!,"AAAAAFfreXs=")</f>
        <v>#REF!</v>
      </c>
      <c r="DU66" t="e">
        <f>AND(NhatkyNhap!#REF!,"AAAAAFfreXw=")</f>
        <v>#REF!</v>
      </c>
      <c r="DV66" t="e">
        <f>AND(NhatkyNhap!#REF!,"AAAAAFfreX0=")</f>
        <v>#REF!</v>
      </c>
      <c r="DW66" t="e">
        <f>AND(NhatkyNhap!#REF!,"AAAAAFfreX4=")</f>
        <v>#REF!</v>
      </c>
      <c r="DX66" t="e">
        <f>AND(NhatkyNhap!#REF!,"AAAAAFfreX8=")</f>
        <v>#REF!</v>
      </c>
      <c r="DY66" t="e">
        <f>AND(NhatkyNhap!#REF!,"AAAAAFfreYA=")</f>
        <v>#REF!</v>
      </c>
      <c r="DZ66" t="e">
        <f>AND(NhatkyNhap!#REF!,"AAAAAFfreYE=")</f>
        <v>#REF!</v>
      </c>
      <c r="EA66" t="e">
        <f>AND(NhatkyNhap!#REF!,"AAAAAFfreYI=")</f>
        <v>#REF!</v>
      </c>
      <c r="EB66" t="e">
        <f>AND(NhatkyNhap!#REF!,"AAAAAFfreYM=")</f>
        <v>#REF!</v>
      </c>
      <c r="EC66" t="e">
        <f>AND(NhatkyNhap!#REF!,"AAAAAFfreYQ=")</f>
        <v>#REF!</v>
      </c>
      <c r="ED66" t="e">
        <f>AND(NhatkyNhap!#REF!,"AAAAAFfreYU=")</f>
        <v>#REF!</v>
      </c>
      <c r="EE66" t="e">
        <f>AND(NhatkyNhap!#REF!,"AAAAAFfreYY=")</f>
        <v>#REF!</v>
      </c>
      <c r="EF66" t="e">
        <f>AND(NhatkyNhap!#REF!,"AAAAAFfreYc=")</f>
        <v>#REF!</v>
      </c>
      <c r="EG66" t="e">
        <f>AND(NhatkyNhap!#REF!,"AAAAAFfreYg=")</f>
        <v>#REF!</v>
      </c>
      <c r="EH66" t="e">
        <f>AND(NhatkyNhap!#REF!,"AAAAAFfreYk=")</f>
        <v>#REF!</v>
      </c>
      <c r="EI66" t="e">
        <f>AND(NhatkyNhap!#REF!,"AAAAAFfreYo=")</f>
        <v>#REF!</v>
      </c>
      <c r="EJ66" t="e">
        <f>AND(NhatkyNhap!#REF!,"AAAAAFfreYs=")</f>
        <v>#REF!</v>
      </c>
      <c r="EK66" t="e">
        <f>AND(NhatkyNhap!#REF!,"AAAAAFfreYw=")</f>
        <v>#REF!</v>
      </c>
      <c r="EL66" t="e">
        <f>AND(NhatkyNhap!#REF!,"AAAAAFfreY0=")</f>
        <v>#REF!</v>
      </c>
      <c r="EM66" t="e">
        <f>IF(NhatkyNhap!#REF!,"AAAAAFfreY4=",0)</f>
        <v>#REF!</v>
      </c>
      <c r="EN66" t="e">
        <f>AND(NhatkyNhap!#REF!,"AAAAAFfreY8=")</f>
        <v>#REF!</v>
      </c>
      <c r="EO66" t="e">
        <f>AND(NhatkyNhap!#REF!,"AAAAAFfreZA=")</f>
        <v>#REF!</v>
      </c>
      <c r="EP66" t="e">
        <f>AND(NhatkyNhap!#REF!,"AAAAAFfreZE=")</f>
        <v>#REF!</v>
      </c>
      <c r="EQ66" t="e">
        <f>AND(NhatkyNhap!#REF!,"AAAAAFfreZI=")</f>
        <v>#REF!</v>
      </c>
      <c r="ER66" t="e">
        <f>AND(NhatkyNhap!#REF!,"AAAAAFfreZM=")</f>
        <v>#REF!</v>
      </c>
      <c r="ES66" t="e">
        <f>AND(NhatkyNhap!#REF!,"AAAAAFfreZQ=")</f>
        <v>#REF!</v>
      </c>
      <c r="ET66" t="e">
        <f>AND(NhatkyNhap!#REF!,"AAAAAFfreZU=")</f>
        <v>#REF!</v>
      </c>
      <c r="EU66" t="e">
        <f>AND(NhatkyNhap!#REF!,"AAAAAFfreZY=")</f>
        <v>#REF!</v>
      </c>
      <c r="EV66" t="e">
        <f>AND(NhatkyNhap!#REF!,"AAAAAFfreZc=")</f>
        <v>#REF!</v>
      </c>
      <c r="EW66" t="e">
        <f>AND(NhatkyNhap!#REF!,"AAAAAFfreZg=")</f>
        <v>#REF!</v>
      </c>
      <c r="EX66" t="e">
        <f>AND(NhatkyNhap!#REF!,"AAAAAFfreZk=")</f>
        <v>#REF!</v>
      </c>
      <c r="EY66" t="e">
        <f>AND(NhatkyNhap!#REF!,"AAAAAFfreZo=")</f>
        <v>#REF!</v>
      </c>
      <c r="EZ66" t="e">
        <f>AND(NhatkyNhap!#REF!,"AAAAAFfreZs=")</f>
        <v>#REF!</v>
      </c>
      <c r="FA66" t="e">
        <f>AND(NhatkyNhap!#REF!,"AAAAAFfreZw=")</f>
        <v>#REF!</v>
      </c>
      <c r="FB66" t="e">
        <f>AND(NhatkyNhap!#REF!,"AAAAAFfreZ0=")</f>
        <v>#REF!</v>
      </c>
      <c r="FC66" t="e">
        <f>AND(NhatkyNhap!#REF!,"AAAAAFfreZ4=")</f>
        <v>#REF!</v>
      </c>
      <c r="FD66" t="e">
        <f>AND(NhatkyNhap!#REF!,"AAAAAFfreZ8=")</f>
        <v>#REF!</v>
      </c>
      <c r="FE66" t="e">
        <f>AND(NhatkyNhap!#REF!,"AAAAAFfreaA=")</f>
        <v>#REF!</v>
      </c>
      <c r="FF66" t="e">
        <f>AND(NhatkyNhap!#REF!,"AAAAAFfreaE=")</f>
        <v>#REF!</v>
      </c>
      <c r="FG66" t="e">
        <f>AND(NhatkyNhap!#REF!,"AAAAAFfreaI=")</f>
        <v>#REF!</v>
      </c>
      <c r="FH66" t="e">
        <f>AND(NhatkyNhap!#REF!,"AAAAAFfreaM=")</f>
        <v>#REF!</v>
      </c>
      <c r="FI66" t="e">
        <f>AND(NhatkyNhap!#REF!,"AAAAAFfreaQ=")</f>
        <v>#REF!</v>
      </c>
      <c r="FJ66" t="e">
        <f>AND(NhatkyNhap!#REF!,"AAAAAFfreaU=")</f>
        <v>#REF!</v>
      </c>
      <c r="FK66" t="e">
        <f>AND(NhatkyNhap!#REF!,"AAAAAFfreaY=")</f>
        <v>#REF!</v>
      </c>
      <c r="FL66" t="e">
        <f>AND(NhatkyNhap!#REF!,"AAAAAFfreac=")</f>
        <v>#REF!</v>
      </c>
      <c r="FM66" t="e">
        <f>AND(NhatkyNhap!#REF!,"AAAAAFfreag=")</f>
        <v>#REF!</v>
      </c>
      <c r="FN66" t="e">
        <f>AND(NhatkyNhap!#REF!,"AAAAAFfreak=")</f>
        <v>#REF!</v>
      </c>
      <c r="FO66" t="e">
        <f>AND(NhatkyNhap!#REF!,"AAAAAFfreao=")</f>
        <v>#REF!</v>
      </c>
      <c r="FP66" t="e">
        <f>AND(NhatkyNhap!#REF!,"AAAAAFfreas=")</f>
        <v>#REF!</v>
      </c>
      <c r="FQ66" t="e">
        <f>AND(NhatkyNhap!#REF!,"AAAAAFfreaw=")</f>
        <v>#REF!</v>
      </c>
      <c r="FR66" t="e">
        <f>AND(NhatkyNhap!#REF!,"AAAAAFfrea0=")</f>
        <v>#REF!</v>
      </c>
      <c r="FS66" t="e">
        <f>AND(NhatkyNhap!#REF!,"AAAAAFfrea4=")</f>
        <v>#REF!</v>
      </c>
      <c r="FT66" t="e">
        <f>AND(NhatkyNhap!#REF!,"AAAAAFfrea8=")</f>
        <v>#REF!</v>
      </c>
      <c r="FU66" t="e">
        <f>AND(NhatkyNhap!#REF!,"AAAAAFfrebA=")</f>
        <v>#REF!</v>
      </c>
      <c r="FV66" t="e">
        <f>IF(NhatkyNhap!#REF!,"AAAAAFfrebE=",0)</f>
        <v>#REF!</v>
      </c>
      <c r="FW66" t="e">
        <f>AND(NhatkyNhap!#REF!,"AAAAAFfrebI=")</f>
        <v>#REF!</v>
      </c>
      <c r="FX66" t="e">
        <f>AND(NhatkyNhap!#REF!,"AAAAAFfrebM=")</f>
        <v>#REF!</v>
      </c>
      <c r="FY66" t="e">
        <f>AND(NhatkyNhap!#REF!,"AAAAAFfrebQ=")</f>
        <v>#REF!</v>
      </c>
      <c r="FZ66" t="e">
        <f>AND(NhatkyNhap!#REF!,"AAAAAFfrebU=")</f>
        <v>#REF!</v>
      </c>
      <c r="GA66" t="e">
        <f>AND(NhatkyNhap!#REF!,"AAAAAFfrebY=")</f>
        <v>#REF!</v>
      </c>
      <c r="GB66" t="e">
        <f>AND(NhatkyNhap!#REF!,"AAAAAFfrebc=")</f>
        <v>#REF!</v>
      </c>
      <c r="GC66" t="e">
        <f>AND(NhatkyNhap!#REF!,"AAAAAFfrebg=")</f>
        <v>#REF!</v>
      </c>
      <c r="GD66" t="e">
        <f>AND(NhatkyNhap!#REF!,"AAAAAFfrebk=")</f>
        <v>#REF!</v>
      </c>
      <c r="GE66" t="e">
        <f>AND(NhatkyNhap!#REF!,"AAAAAFfrebo=")</f>
        <v>#REF!</v>
      </c>
      <c r="GF66" t="e">
        <f>AND(NhatkyNhap!#REF!,"AAAAAFfrebs=")</f>
        <v>#REF!</v>
      </c>
      <c r="GG66" t="e">
        <f>AND(NhatkyNhap!#REF!,"AAAAAFfrebw=")</f>
        <v>#REF!</v>
      </c>
      <c r="GH66" t="e">
        <f>AND(NhatkyNhap!#REF!,"AAAAAFfreb0=")</f>
        <v>#REF!</v>
      </c>
      <c r="GI66" t="e">
        <f>AND(NhatkyNhap!#REF!,"AAAAAFfreb4=")</f>
        <v>#REF!</v>
      </c>
      <c r="GJ66" t="e">
        <f>AND(NhatkyNhap!#REF!,"AAAAAFfreb8=")</f>
        <v>#REF!</v>
      </c>
      <c r="GK66" t="e">
        <f>AND(NhatkyNhap!#REF!,"AAAAAFfrecA=")</f>
        <v>#REF!</v>
      </c>
      <c r="GL66" t="e">
        <f>AND(NhatkyNhap!#REF!,"AAAAAFfrecE=")</f>
        <v>#REF!</v>
      </c>
      <c r="GM66" t="e">
        <f>AND(NhatkyNhap!#REF!,"AAAAAFfrecI=")</f>
        <v>#REF!</v>
      </c>
      <c r="GN66" t="e">
        <f>AND(NhatkyNhap!#REF!,"AAAAAFfrecM=")</f>
        <v>#REF!</v>
      </c>
      <c r="GO66" t="e">
        <f>AND(NhatkyNhap!#REF!,"AAAAAFfrecQ=")</f>
        <v>#REF!</v>
      </c>
      <c r="GP66" t="e">
        <f>AND(NhatkyNhap!#REF!,"AAAAAFfrecU=")</f>
        <v>#REF!</v>
      </c>
      <c r="GQ66" t="e">
        <f>AND(NhatkyNhap!#REF!,"AAAAAFfrecY=")</f>
        <v>#REF!</v>
      </c>
      <c r="GR66" t="e">
        <f>AND(NhatkyNhap!#REF!,"AAAAAFfrecc=")</f>
        <v>#REF!</v>
      </c>
      <c r="GS66" t="e">
        <f>AND(NhatkyNhap!#REF!,"AAAAAFfrecg=")</f>
        <v>#REF!</v>
      </c>
      <c r="GT66" t="e">
        <f>AND(NhatkyNhap!#REF!,"AAAAAFfreck=")</f>
        <v>#REF!</v>
      </c>
      <c r="GU66" t="e">
        <f>AND(NhatkyNhap!#REF!,"AAAAAFfreco=")</f>
        <v>#REF!</v>
      </c>
      <c r="GV66" t="e">
        <f>AND(NhatkyNhap!#REF!,"AAAAAFfrecs=")</f>
        <v>#REF!</v>
      </c>
      <c r="GW66" t="e">
        <f>AND(NhatkyNhap!#REF!,"AAAAAFfrecw=")</f>
        <v>#REF!</v>
      </c>
      <c r="GX66" t="e">
        <f>AND(NhatkyNhap!#REF!,"AAAAAFfrec0=")</f>
        <v>#REF!</v>
      </c>
      <c r="GY66" t="e">
        <f>AND(NhatkyNhap!#REF!,"AAAAAFfrec4=")</f>
        <v>#REF!</v>
      </c>
      <c r="GZ66" t="e">
        <f>AND(NhatkyNhap!#REF!,"AAAAAFfrec8=")</f>
        <v>#REF!</v>
      </c>
      <c r="HA66" t="e">
        <f>AND(NhatkyNhap!#REF!,"AAAAAFfredA=")</f>
        <v>#REF!</v>
      </c>
      <c r="HB66" t="e">
        <f>AND(NhatkyNhap!#REF!,"AAAAAFfredE=")</f>
        <v>#REF!</v>
      </c>
      <c r="HC66" t="e">
        <f>AND(NhatkyNhap!#REF!,"AAAAAFfredI=")</f>
        <v>#REF!</v>
      </c>
      <c r="HD66" t="e">
        <f>AND(NhatkyNhap!#REF!,"AAAAAFfredM=")</f>
        <v>#REF!</v>
      </c>
      <c r="HE66" t="e">
        <f>IF(NhatkyNhap!#REF!,"AAAAAFfredQ=",0)</f>
        <v>#REF!</v>
      </c>
      <c r="HF66" t="e">
        <f>AND(NhatkyNhap!#REF!,"AAAAAFfredU=")</f>
        <v>#REF!</v>
      </c>
      <c r="HG66" t="e">
        <f>AND(NhatkyNhap!#REF!,"AAAAAFfredY=")</f>
        <v>#REF!</v>
      </c>
      <c r="HH66" t="e">
        <f>AND(NhatkyNhap!#REF!,"AAAAAFfredc=")</f>
        <v>#REF!</v>
      </c>
      <c r="HI66" t="e">
        <f>AND(NhatkyNhap!#REF!,"AAAAAFfredg=")</f>
        <v>#REF!</v>
      </c>
      <c r="HJ66" t="e">
        <f>AND(NhatkyNhap!#REF!,"AAAAAFfredk=")</f>
        <v>#REF!</v>
      </c>
      <c r="HK66" t="e">
        <f>AND(NhatkyNhap!#REF!,"AAAAAFfredo=")</f>
        <v>#REF!</v>
      </c>
      <c r="HL66" t="e">
        <f>AND(NhatkyNhap!#REF!,"AAAAAFfreds=")</f>
        <v>#REF!</v>
      </c>
      <c r="HM66" t="e">
        <f>AND(NhatkyNhap!#REF!,"AAAAAFfredw=")</f>
        <v>#REF!</v>
      </c>
      <c r="HN66" t="e">
        <f>AND(NhatkyNhap!#REF!,"AAAAAFfred0=")</f>
        <v>#REF!</v>
      </c>
      <c r="HO66" t="e">
        <f>AND(NhatkyNhap!#REF!,"AAAAAFfred4=")</f>
        <v>#REF!</v>
      </c>
      <c r="HP66" t="e">
        <f>AND(NhatkyNhap!#REF!,"AAAAAFfred8=")</f>
        <v>#REF!</v>
      </c>
      <c r="HQ66" t="e">
        <f>AND(NhatkyNhap!#REF!,"AAAAAFfreeA=")</f>
        <v>#REF!</v>
      </c>
      <c r="HR66" t="e">
        <f>AND(NhatkyNhap!#REF!,"AAAAAFfreeE=")</f>
        <v>#REF!</v>
      </c>
      <c r="HS66" t="e">
        <f>AND(NhatkyNhap!#REF!,"AAAAAFfreeI=")</f>
        <v>#REF!</v>
      </c>
      <c r="HT66" t="e">
        <f>AND(NhatkyNhap!#REF!,"AAAAAFfreeM=")</f>
        <v>#REF!</v>
      </c>
      <c r="HU66" t="e">
        <f>AND(NhatkyNhap!#REF!,"AAAAAFfreeQ=")</f>
        <v>#REF!</v>
      </c>
      <c r="HV66" t="e">
        <f>AND(NhatkyNhap!#REF!,"AAAAAFfreeU=")</f>
        <v>#REF!</v>
      </c>
      <c r="HW66" t="e">
        <f>AND(NhatkyNhap!#REF!,"AAAAAFfreeY=")</f>
        <v>#REF!</v>
      </c>
      <c r="HX66" t="e">
        <f>AND(NhatkyNhap!#REF!,"AAAAAFfreec=")</f>
        <v>#REF!</v>
      </c>
      <c r="HY66" t="e">
        <f>AND(NhatkyNhap!#REF!,"AAAAAFfreeg=")</f>
        <v>#REF!</v>
      </c>
      <c r="HZ66" t="e">
        <f>AND(NhatkyNhap!#REF!,"AAAAAFfreek=")</f>
        <v>#REF!</v>
      </c>
      <c r="IA66" t="e">
        <f>AND(NhatkyNhap!#REF!,"AAAAAFfreeo=")</f>
        <v>#REF!</v>
      </c>
      <c r="IB66" t="e">
        <f>AND(NhatkyNhap!#REF!,"AAAAAFfrees=")</f>
        <v>#REF!</v>
      </c>
      <c r="IC66" t="e">
        <f>AND(NhatkyNhap!#REF!,"AAAAAFfreew=")</f>
        <v>#REF!</v>
      </c>
      <c r="ID66" t="e">
        <f>AND(NhatkyNhap!#REF!,"AAAAAFfree0=")</f>
        <v>#REF!</v>
      </c>
      <c r="IE66" t="e">
        <f>AND(NhatkyNhap!#REF!,"AAAAAFfree4=")</f>
        <v>#REF!</v>
      </c>
      <c r="IF66" t="e">
        <f>AND(NhatkyNhap!#REF!,"AAAAAFfree8=")</f>
        <v>#REF!</v>
      </c>
      <c r="IG66" t="e">
        <f>AND(NhatkyNhap!#REF!,"AAAAAFfrefA=")</f>
        <v>#REF!</v>
      </c>
      <c r="IH66" t="e">
        <f>AND(NhatkyNhap!#REF!,"AAAAAFfrefE=")</f>
        <v>#REF!</v>
      </c>
      <c r="II66" t="e">
        <f>AND(NhatkyNhap!#REF!,"AAAAAFfrefI=")</f>
        <v>#REF!</v>
      </c>
      <c r="IJ66" t="e">
        <f>AND(NhatkyNhap!#REF!,"AAAAAFfrefM=")</f>
        <v>#REF!</v>
      </c>
      <c r="IK66" t="e">
        <f>AND(NhatkyNhap!#REF!,"AAAAAFfrefQ=")</f>
        <v>#REF!</v>
      </c>
      <c r="IL66" t="e">
        <f>AND(NhatkyNhap!#REF!,"AAAAAFfrefU=")</f>
        <v>#REF!</v>
      </c>
      <c r="IM66" t="e">
        <f>AND(NhatkyNhap!#REF!,"AAAAAFfrefY=")</f>
        <v>#REF!</v>
      </c>
      <c r="IN66" t="e">
        <f>IF(NhatkyNhap!#REF!,"AAAAAFfrefc=",0)</f>
        <v>#REF!</v>
      </c>
      <c r="IO66" t="e">
        <f>AND(NhatkyNhap!#REF!,"AAAAAFfrefg=")</f>
        <v>#REF!</v>
      </c>
      <c r="IP66" t="e">
        <f>AND(NhatkyNhap!#REF!,"AAAAAFfrefk=")</f>
        <v>#REF!</v>
      </c>
      <c r="IQ66" t="e">
        <f>AND(NhatkyNhap!#REF!,"AAAAAFfrefo=")</f>
        <v>#REF!</v>
      </c>
      <c r="IR66" t="e">
        <f>AND(NhatkyNhap!#REF!,"AAAAAFfrefs=")</f>
        <v>#REF!</v>
      </c>
      <c r="IS66" t="e">
        <f>AND(NhatkyNhap!#REF!,"AAAAAFfrefw=")</f>
        <v>#REF!</v>
      </c>
      <c r="IT66" t="e">
        <f>AND(NhatkyNhap!#REF!,"AAAAAFfref0=")</f>
        <v>#REF!</v>
      </c>
      <c r="IU66" t="e">
        <f>AND(NhatkyNhap!#REF!,"AAAAAFfref4=")</f>
        <v>#REF!</v>
      </c>
      <c r="IV66" t="e">
        <f>AND(NhatkyNhap!#REF!,"AAAAAFfref8=")</f>
        <v>#REF!</v>
      </c>
    </row>
    <row r="67" spans="1:256">
      <c r="A67" t="e">
        <f>AND(NhatkyNhap!#REF!,"AAAAAH7p/wA=")</f>
        <v>#REF!</v>
      </c>
      <c r="B67" t="e">
        <f>AND(NhatkyNhap!#REF!,"AAAAAH7p/wE=")</f>
        <v>#REF!</v>
      </c>
      <c r="C67" t="e">
        <f>AND(NhatkyNhap!#REF!,"AAAAAH7p/wI=")</f>
        <v>#REF!</v>
      </c>
      <c r="D67" t="e">
        <f>AND(NhatkyNhap!#REF!,"AAAAAH7p/wM=")</f>
        <v>#REF!</v>
      </c>
      <c r="E67" t="e">
        <f>AND(NhatkyNhap!#REF!,"AAAAAH7p/wQ=")</f>
        <v>#REF!</v>
      </c>
      <c r="F67" t="e">
        <f>AND(NhatkyNhap!#REF!,"AAAAAH7p/wU=")</f>
        <v>#REF!</v>
      </c>
      <c r="G67" t="e">
        <f>AND(NhatkyNhap!#REF!,"AAAAAH7p/wY=")</f>
        <v>#REF!</v>
      </c>
      <c r="H67" t="e">
        <f>AND(NhatkyNhap!#REF!,"AAAAAH7p/wc=")</f>
        <v>#REF!</v>
      </c>
      <c r="I67" t="e">
        <f>AND(NhatkyNhap!#REF!,"AAAAAH7p/wg=")</f>
        <v>#REF!</v>
      </c>
      <c r="J67" t="e">
        <f>AND(NhatkyNhap!#REF!,"AAAAAH7p/wk=")</f>
        <v>#REF!</v>
      </c>
      <c r="K67" t="e">
        <f>AND(NhatkyNhap!#REF!,"AAAAAH7p/wo=")</f>
        <v>#REF!</v>
      </c>
      <c r="L67" t="e">
        <f>AND(NhatkyNhap!#REF!,"AAAAAH7p/ws=")</f>
        <v>#REF!</v>
      </c>
      <c r="M67" t="e">
        <f>AND(NhatkyNhap!#REF!,"AAAAAH7p/ww=")</f>
        <v>#REF!</v>
      </c>
      <c r="N67" t="e">
        <f>AND(NhatkyNhap!#REF!,"AAAAAH7p/w0=")</f>
        <v>#REF!</v>
      </c>
      <c r="O67" t="e">
        <f>AND(NhatkyNhap!#REF!,"AAAAAH7p/w4=")</f>
        <v>#REF!</v>
      </c>
      <c r="P67" t="e">
        <f>AND(NhatkyNhap!#REF!,"AAAAAH7p/w8=")</f>
        <v>#REF!</v>
      </c>
      <c r="Q67" t="e">
        <f>AND(NhatkyNhap!#REF!,"AAAAAH7p/xA=")</f>
        <v>#REF!</v>
      </c>
      <c r="R67" t="e">
        <f>AND(NhatkyNhap!#REF!,"AAAAAH7p/xE=")</f>
        <v>#REF!</v>
      </c>
      <c r="S67" t="e">
        <f>AND(NhatkyNhap!#REF!,"AAAAAH7p/xI=")</f>
        <v>#REF!</v>
      </c>
      <c r="T67" t="e">
        <f>AND(NhatkyNhap!#REF!,"AAAAAH7p/xM=")</f>
        <v>#REF!</v>
      </c>
      <c r="U67" t="e">
        <f>AND(NhatkyNhap!#REF!,"AAAAAH7p/xQ=")</f>
        <v>#REF!</v>
      </c>
      <c r="V67" t="e">
        <f>AND(NhatkyNhap!#REF!,"AAAAAH7p/xU=")</f>
        <v>#REF!</v>
      </c>
      <c r="W67" t="e">
        <f>AND(NhatkyNhap!#REF!,"AAAAAH7p/xY=")</f>
        <v>#REF!</v>
      </c>
      <c r="X67" t="e">
        <f>AND(NhatkyNhap!#REF!,"AAAAAH7p/xc=")</f>
        <v>#REF!</v>
      </c>
      <c r="Y67" t="e">
        <f>AND(NhatkyNhap!#REF!,"AAAAAH7p/xg=")</f>
        <v>#REF!</v>
      </c>
      <c r="Z67" t="e">
        <f>AND(NhatkyNhap!#REF!,"AAAAAH7p/xk=")</f>
        <v>#REF!</v>
      </c>
      <c r="AA67" t="e">
        <f>IF(NhatkyNhap!#REF!,"AAAAAH7p/xo=",0)</f>
        <v>#REF!</v>
      </c>
      <c r="AB67" t="e">
        <f>AND(NhatkyNhap!#REF!,"AAAAAH7p/xs=")</f>
        <v>#REF!</v>
      </c>
      <c r="AC67" t="e">
        <f>AND(NhatkyNhap!#REF!,"AAAAAH7p/xw=")</f>
        <v>#REF!</v>
      </c>
      <c r="AD67" t="e">
        <f>AND(NhatkyNhap!#REF!,"AAAAAH7p/x0=")</f>
        <v>#REF!</v>
      </c>
      <c r="AE67" t="e">
        <f>AND(NhatkyNhap!#REF!,"AAAAAH7p/x4=")</f>
        <v>#REF!</v>
      </c>
      <c r="AF67" t="e">
        <f>AND(NhatkyNhap!#REF!,"AAAAAH7p/x8=")</f>
        <v>#REF!</v>
      </c>
      <c r="AG67" t="e">
        <f>AND(NhatkyNhap!#REF!,"AAAAAH7p/yA=")</f>
        <v>#REF!</v>
      </c>
      <c r="AH67" t="e">
        <f>AND(NhatkyNhap!#REF!,"AAAAAH7p/yE=")</f>
        <v>#REF!</v>
      </c>
      <c r="AI67" t="e">
        <f>AND(NhatkyNhap!#REF!,"AAAAAH7p/yI=")</f>
        <v>#REF!</v>
      </c>
      <c r="AJ67" t="e">
        <f>AND(NhatkyNhap!#REF!,"AAAAAH7p/yM=")</f>
        <v>#REF!</v>
      </c>
      <c r="AK67" t="e">
        <f>AND(NhatkyNhap!#REF!,"AAAAAH7p/yQ=")</f>
        <v>#REF!</v>
      </c>
      <c r="AL67" t="e">
        <f>AND(NhatkyNhap!#REF!,"AAAAAH7p/yU=")</f>
        <v>#REF!</v>
      </c>
      <c r="AM67" t="e">
        <f>AND(NhatkyNhap!#REF!,"AAAAAH7p/yY=")</f>
        <v>#REF!</v>
      </c>
      <c r="AN67" t="e">
        <f>AND(NhatkyNhap!#REF!,"AAAAAH7p/yc=")</f>
        <v>#REF!</v>
      </c>
      <c r="AO67" t="e">
        <f>AND(NhatkyNhap!#REF!,"AAAAAH7p/yg=")</f>
        <v>#REF!</v>
      </c>
      <c r="AP67" t="e">
        <f>AND(NhatkyNhap!#REF!,"AAAAAH7p/yk=")</f>
        <v>#REF!</v>
      </c>
      <c r="AQ67" t="e">
        <f>AND(NhatkyNhap!#REF!,"AAAAAH7p/yo=")</f>
        <v>#REF!</v>
      </c>
      <c r="AR67" t="e">
        <f>AND(NhatkyNhap!#REF!,"AAAAAH7p/ys=")</f>
        <v>#REF!</v>
      </c>
      <c r="AS67" t="e">
        <f>AND(NhatkyNhap!#REF!,"AAAAAH7p/yw=")</f>
        <v>#REF!</v>
      </c>
      <c r="AT67" t="e">
        <f>AND(NhatkyNhap!#REF!,"AAAAAH7p/y0=")</f>
        <v>#REF!</v>
      </c>
      <c r="AU67" t="e">
        <f>AND(NhatkyNhap!#REF!,"AAAAAH7p/y4=")</f>
        <v>#REF!</v>
      </c>
      <c r="AV67" t="e">
        <f>AND(NhatkyNhap!#REF!,"AAAAAH7p/y8=")</f>
        <v>#REF!</v>
      </c>
      <c r="AW67" t="e">
        <f>AND(NhatkyNhap!#REF!,"AAAAAH7p/zA=")</f>
        <v>#REF!</v>
      </c>
      <c r="AX67" t="e">
        <f>AND(NhatkyNhap!#REF!,"AAAAAH7p/zE=")</f>
        <v>#REF!</v>
      </c>
      <c r="AY67" t="e">
        <f>AND(NhatkyNhap!#REF!,"AAAAAH7p/zI=")</f>
        <v>#REF!</v>
      </c>
      <c r="AZ67" t="e">
        <f>AND(NhatkyNhap!#REF!,"AAAAAH7p/zM=")</f>
        <v>#REF!</v>
      </c>
      <c r="BA67" t="e">
        <f>AND(NhatkyNhap!#REF!,"AAAAAH7p/zQ=")</f>
        <v>#REF!</v>
      </c>
      <c r="BB67" t="e">
        <f>AND(NhatkyNhap!#REF!,"AAAAAH7p/zU=")</f>
        <v>#REF!</v>
      </c>
      <c r="BC67" t="e">
        <f>AND(NhatkyNhap!#REF!,"AAAAAH7p/zY=")</f>
        <v>#REF!</v>
      </c>
      <c r="BD67" t="e">
        <f>AND(NhatkyNhap!#REF!,"AAAAAH7p/zc=")</f>
        <v>#REF!</v>
      </c>
      <c r="BE67" t="e">
        <f>AND(NhatkyNhap!#REF!,"AAAAAH7p/zg=")</f>
        <v>#REF!</v>
      </c>
      <c r="BF67" t="e">
        <f>AND(NhatkyNhap!#REF!,"AAAAAH7p/zk=")</f>
        <v>#REF!</v>
      </c>
      <c r="BG67" t="e">
        <f>AND(NhatkyNhap!#REF!,"AAAAAH7p/zo=")</f>
        <v>#REF!</v>
      </c>
      <c r="BH67" t="e">
        <f>AND(NhatkyNhap!#REF!,"AAAAAH7p/zs=")</f>
        <v>#REF!</v>
      </c>
      <c r="BI67" t="e">
        <f>AND(NhatkyNhap!#REF!,"AAAAAH7p/zw=")</f>
        <v>#REF!</v>
      </c>
      <c r="BJ67" t="e">
        <f>IF(NhatkyNhap!#REF!,"AAAAAH7p/z0=",0)</f>
        <v>#REF!</v>
      </c>
      <c r="BK67" t="e">
        <f>AND(NhatkyNhap!#REF!,"AAAAAH7p/z4=")</f>
        <v>#REF!</v>
      </c>
      <c r="BL67" t="e">
        <f>AND(NhatkyNhap!#REF!,"AAAAAH7p/z8=")</f>
        <v>#REF!</v>
      </c>
      <c r="BM67" t="e">
        <f>AND(NhatkyNhap!#REF!,"AAAAAH7p/0A=")</f>
        <v>#REF!</v>
      </c>
      <c r="BN67" t="e">
        <f>AND(NhatkyNhap!#REF!,"AAAAAH7p/0E=")</f>
        <v>#REF!</v>
      </c>
      <c r="BO67" t="e">
        <f>AND(NhatkyNhap!#REF!,"AAAAAH7p/0I=")</f>
        <v>#REF!</v>
      </c>
      <c r="BP67" t="e">
        <f>AND(NhatkyNhap!#REF!,"AAAAAH7p/0M=")</f>
        <v>#REF!</v>
      </c>
      <c r="BQ67" t="e">
        <f>AND(NhatkyNhap!#REF!,"AAAAAH7p/0Q=")</f>
        <v>#REF!</v>
      </c>
      <c r="BR67" t="e">
        <f>AND(NhatkyNhap!#REF!,"AAAAAH7p/0U=")</f>
        <v>#REF!</v>
      </c>
      <c r="BS67" t="e">
        <f>AND(NhatkyNhap!#REF!,"AAAAAH7p/0Y=")</f>
        <v>#REF!</v>
      </c>
      <c r="BT67" t="e">
        <f>AND(NhatkyNhap!#REF!,"AAAAAH7p/0c=")</f>
        <v>#REF!</v>
      </c>
      <c r="BU67" t="e">
        <f>AND(NhatkyNhap!#REF!,"AAAAAH7p/0g=")</f>
        <v>#REF!</v>
      </c>
      <c r="BV67" t="e">
        <f>AND(NhatkyNhap!#REF!,"AAAAAH7p/0k=")</f>
        <v>#REF!</v>
      </c>
      <c r="BW67" t="e">
        <f>AND(NhatkyNhap!#REF!,"AAAAAH7p/0o=")</f>
        <v>#REF!</v>
      </c>
      <c r="BX67" t="e">
        <f>AND(NhatkyNhap!#REF!,"AAAAAH7p/0s=")</f>
        <v>#REF!</v>
      </c>
      <c r="BY67" t="e">
        <f>AND(NhatkyNhap!#REF!,"AAAAAH7p/0w=")</f>
        <v>#REF!</v>
      </c>
      <c r="BZ67" t="e">
        <f>AND(NhatkyNhap!#REF!,"AAAAAH7p/00=")</f>
        <v>#REF!</v>
      </c>
      <c r="CA67" t="e">
        <f>AND(NhatkyNhap!#REF!,"AAAAAH7p/04=")</f>
        <v>#REF!</v>
      </c>
      <c r="CB67" t="e">
        <f>AND(NhatkyNhap!#REF!,"AAAAAH7p/08=")</f>
        <v>#REF!</v>
      </c>
      <c r="CC67" t="e">
        <f>AND(NhatkyNhap!#REF!,"AAAAAH7p/1A=")</f>
        <v>#REF!</v>
      </c>
      <c r="CD67" t="e">
        <f>AND(NhatkyNhap!#REF!,"AAAAAH7p/1E=")</f>
        <v>#REF!</v>
      </c>
      <c r="CE67" t="e">
        <f>AND(NhatkyNhap!#REF!,"AAAAAH7p/1I=")</f>
        <v>#REF!</v>
      </c>
      <c r="CF67" t="e">
        <f>AND(NhatkyNhap!#REF!,"AAAAAH7p/1M=")</f>
        <v>#REF!</v>
      </c>
      <c r="CG67" t="e">
        <f>AND(NhatkyNhap!#REF!,"AAAAAH7p/1Q=")</f>
        <v>#REF!</v>
      </c>
      <c r="CH67" t="e">
        <f>AND(NhatkyNhap!#REF!,"AAAAAH7p/1U=")</f>
        <v>#REF!</v>
      </c>
      <c r="CI67" t="e">
        <f>AND(NhatkyNhap!#REF!,"AAAAAH7p/1Y=")</f>
        <v>#REF!</v>
      </c>
      <c r="CJ67" t="e">
        <f>AND(NhatkyNhap!#REF!,"AAAAAH7p/1c=")</f>
        <v>#REF!</v>
      </c>
      <c r="CK67" t="e">
        <f>AND(NhatkyNhap!#REF!,"AAAAAH7p/1g=")</f>
        <v>#REF!</v>
      </c>
      <c r="CL67" t="e">
        <f>AND(NhatkyNhap!#REF!,"AAAAAH7p/1k=")</f>
        <v>#REF!</v>
      </c>
      <c r="CM67" t="e">
        <f>AND(NhatkyNhap!#REF!,"AAAAAH7p/1o=")</f>
        <v>#REF!</v>
      </c>
      <c r="CN67" t="e">
        <f>AND(NhatkyNhap!#REF!,"AAAAAH7p/1s=")</f>
        <v>#REF!</v>
      </c>
      <c r="CO67" t="e">
        <f>AND(NhatkyNhap!#REF!,"AAAAAH7p/1w=")</f>
        <v>#REF!</v>
      </c>
      <c r="CP67" t="e">
        <f>AND(NhatkyNhap!#REF!,"AAAAAH7p/10=")</f>
        <v>#REF!</v>
      </c>
      <c r="CQ67" t="e">
        <f>AND(NhatkyNhap!#REF!,"AAAAAH7p/14=")</f>
        <v>#REF!</v>
      </c>
      <c r="CR67" t="e">
        <f>AND(NhatkyNhap!#REF!,"AAAAAH7p/18=")</f>
        <v>#REF!</v>
      </c>
      <c r="CS67" t="e">
        <f>IF(NhatkyNhap!#REF!,"AAAAAH7p/2A=",0)</f>
        <v>#REF!</v>
      </c>
      <c r="CT67" t="e">
        <f>AND(NhatkyNhap!#REF!,"AAAAAH7p/2E=")</f>
        <v>#REF!</v>
      </c>
      <c r="CU67" t="e">
        <f>AND(NhatkyNhap!#REF!,"AAAAAH7p/2I=")</f>
        <v>#REF!</v>
      </c>
      <c r="CV67" t="e">
        <f>AND(NhatkyNhap!#REF!,"AAAAAH7p/2M=")</f>
        <v>#REF!</v>
      </c>
      <c r="CW67" t="e">
        <f>AND(NhatkyNhap!#REF!,"AAAAAH7p/2Q=")</f>
        <v>#REF!</v>
      </c>
      <c r="CX67" t="e">
        <f>AND(NhatkyNhap!#REF!,"AAAAAH7p/2U=")</f>
        <v>#REF!</v>
      </c>
      <c r="CY67" t="e">
        <f>AND(NhatkyNhap!#REF!,"AAAAAH7p/2Y=")</f>
        <v>#REF!</v>
      </c>
      <c r="CZ67" t="e">
        <f>AND(NhatkyNhap!#REF!,"AAAAAH7p/2c=")</f>
        <v>#REF!</v>
      </c>
      <c r="DA67" t="e">
        <f>AND(NhatkyNhap!#REF!,"AAAAAH7p/2g=")</f>
        <v>#REF!</v>
      </c>
      <c r="DB67" t="e">
        <f>AND(NhatkyNhap!#REF!,"AAAAAH7p/2k=")</f>
        <v>#REF!</v>
      </c>
      <c r="DC67" t="e">
        <f>AND(NhatkyNhap!#REF!,"AAAAAH7p/2o=")</f>
        <v>#REF!</v>
      </c>
      <c r="DD67" t="e">
        <f>AND(NhatkyNhap!#REF!,"AAAAAH7p/2s=")</f>
        <v>#REF!</v>
      </c>
      <c r="DE67" t="e">
        <f>AND(NhatkyNhap!#REF!,"AAAAAH7p/2w=")</f>
        <v>#REF!</v>
      </c>
      <c r="DF67" t="e">
        <f>AND(NhatkyNhap!#REF!,"AAAAAH7p/20=")</f>
        <v>#REF!</v>
      </c>
      <c r="DG67" t="e">
        <f>AND(NhatkyNhap!#REF!,"AAAAAH7p/24=")</f>
        <v>#REF!</v>
      </c>
      <c r="DH67" t="e">
        <f>AND(NhatkyNhap!#REF!,"AAAAAH7p/28=")</f>
        <v>#REF!</v>
      </c>
      <c r="DI67" t="e">
        <f>AND(NhatkyNhap!#REF!,"AAAAAH7p/3A=")</f>
        <v>#REF!</v>
      </c>
      <c r="DJ67" t="e">
        <f>AND(NhatkyNhap!#REF!,"AAAAAH7p/3E=")</f>
        <v>#REF!</v>
      </c>
      <c r="DK67" t="e">
        <f>AND(NhatkyNhap!#REF!,"AAAAAH7p/3I=")</f>
        <v>#REF!</v>
      </c>
      <c r="DL67" t="e">
        <f>AND(NhatkyNhap!#REF!,"AAAAAH7p/3M=")</f>
        <v>#REF!</v>
      </c>
      <c r="DM67" t="e">
        <f>AND(NhatkyNhap!#REF!,"AAAAAH7p/3Q=")</f>
        <v>#REF!</v>
      </c>
      <c r="DN67" t="e">
        <f>AND(NhatkyNhap!#REF!,"AAAAAH7p/3U=")</f>
        <v>#REF!</v>
      </c>
      <c r="DO67" t="e">
        <f>AND(NhatkyNhap!#REF!,"AAAAAH7p/3Y=")</f>
        <v>#REF!</v>
      </c>
      <c r="DP67" t="e">
        <f>AND(NhatkyNhap!#REF!,"AAAAAH7p/3c=")</f>
        <v>#REF!</v>
      </c>
      <c r="DQ67" t="e">
        <f>AND(NhatkyNhap!#REF!,"AAAAAH7p/3g=")</f>
        <v>#REF!</v>
      </c>
      <c r="DR67" t="e">
        <f>AND(NhatkyNhap!#REF!,"AAAAAH7p/3k=")</f>
        <v>#REF!</v>
      </c>
      <c r="DS67" t="e">
        <f>AND(NhatkyNhap!#REF!,"AAAAAH7p/3o=")</f>
        <v>#REF!</v>
      </c>
      <c r="DT67" t="e">
        <f>AND(NhatkyNhap!#REF!,"AAAAAH7p/3s=")</f>
        <v>#REF!</v>
      </c>
      <c r="DU67" t="e">
        <f>AND(NhatkyNhap!#REF!,"AAAAAH7p/3w=")</f>
        <v>#REF!</v>
      </c>
      <c r="DV67" t="e">
        <f>AND(NhatkyNhap!#REF!,"AAAAAH7p/30=")</f>
        <v>#REF!</v>
      </c>
      <c r="DW67" t="e">
        <f>AND(NhatkyNhap!#REF!,"AAAAAH7p/34=")</f>
        <v>#REF!</v>
      </c>
      <c r="DX67" t="e">
        <f>AND(NhatkyNhap!#REF!,"AAAAAH7p/38=")</f>
        <v>#REF!</v>
      </c>
      <c r="DY67" t="e">
        <f>AND(NhatkyNhap!#REF!,"AAAAAH7p/4A=")</f>
        <v>#REF!</v>
      </c>
      <c r="DZ67" t="e">
        <f>AND(NhatkyNhap!#REF!,"AAAAAH7p/4E=")</f>
        <v>#REF!</v>
      </c>
      <c r="EA67" t="e">
        <f>AND(NhatkyNhap!#REF!,"AAAAAH7p/4I=")</f>
        <v>#REF!</v>
      </c>
      <c r="EB67" t="e">
        <f>IF(NhatkyNhap!#REF!,"AAAAAH7p/4M=",0)</f>
        <v>#REF!</v>
      </c>
      <c r="EC67" t="e">
        <f>AND(NhatkyNhap!#REF!,"AAAAAH7p/4Q=")</f>
        <v>#REF!</v>
      </c>
      <c r="ED67" t="e">
        <f>AND(NhatkyNhap!#REF!,"AAAAAH7p/4U=")</f>
        <v>#REF!</v>
      </c>
      <c r="EE67" t="e">
        <f>AND(NhatkyNhap!#REF!,"AAAAAH7p/4Y=")</f>
        <v>#REF!</v>
      </c>
      <c r="EF67" t="e">
        <f>AND(NhatkyNhap!#REF!,"AAAAAH7p/4c=")</f>
        <v>#REF!</v>
      </c>
      <c r="EG67" t="e">
        <f>AND(NhatkyNhap!#REF!,"AAAAAH7p/4g=")</f>
        <v>#REF!</v>
      </c>
      <c r="EH67" t="e">
        <f>AND(NhatkyNhap!#REF!,"AAAAAH7p/4k=")</f>
        <v>#REF!</v>
      </c>
      <c r="EI67" t="e">
        <f>AND(NhatkyNhap!#REF!,"AAAAAH7p/4o=")</f>
        <v>#REF!</v>
      </c>
      <c r="EJ67" t="e">
        <f>AND(NhatkyNhap!#REF!,"AAAAAH7p/4s=")</f>
        <v>#REF!</v>
      </c>
      <c r="EK67" t="e">
        <f>AND(NhatkyNhap!#REF!,"AAAAAH7p/4w=")</f>
        <v>#REF!</v>
      </c>
      <c r="EL67" t="e">
        <f>AND(NhatkyNhap!#REF!,"AAAAAH7p/40=")</f>
        <v>#REF!</v>
      </c>
      <c r="EM67" t="e">
        <f>AND(NhatkyNhap!#REF!,"AAAAAH7p/44=")</f>
        <v>#REF!</v>
      </c>
      <c r="EN67" t="e">
        <f>AND(NhatkyNhap!#REF!,"AAAAAH7p/48=")</f>
        <v>#REF!</v>
      </c>
      <c r="EO67" t="e">
        <f>AND(NhatkyNhap!#REF!,"AAAAAH7p/5A=")</f>
        <v>#REF!</v>
      </c>
      <c r="EP67" t="e">
        <f>AND(NhatkyNhap!#REF!,"AAAAAH7p/5E=")</f>
        <v>#REF!</v>
      </c>
      <c r="EQ67" t="e">
        <f>AND(NhatkyNhap!#REF!,"AAAAAH7p/5I=")</f>
        <v>#REF!</v>
      </c>
      <c r="ER67" t="e">
        <f>AND(NhatkyNhap!#REF!,"AAAAAH7p/5M=")</f>
        <v>#REF!</v>
      </c>
      <c r="ES67" t="e">
        <f>AND(NhatkyNhap!#REF!,"AAAAAH7p/5Q=")</f>
        <v>#REF!</v>
      </c>
      <c r="ET67" t="e">
        <f>AND(NhatkyNhap!#REF!,"AAAAAH7p/5U=")</f>
        <v>#REF!</v>
      </c>
      <c r="EU67" t="e">
        <f>AND(NhatkyNhap!#REF!,"AAAAAH7p/5Y=")</f>
        <v>#REF!</v>
      </c>
      <c r="EV67" t="e">
        <f>AND(NhatkyNhap!#REF!,"AAAAAH7p/5c=")</f>
        <v>#REF!</v>
      </c>
      <c r="EW67" t="e">
        <f>AND(NhatkyNhap!#REF!,"AAAAAH7p/5g=")</f>
        <v>#REF!</v>
      </c>
      <c r="EX67" t="e">
        <f>AND(NhatkyNhap!#REF!,"AAAAAH7p/5k=")</f>
        <v>#REF!</v>
      </c>
      <c r="EY67" t="e">
        <f>AND(NhatkyNhap!#REF!,"AAAAAH7p/5o=")</f>
        <v>#REF!</v>
      </c>
      <c r="EZ67" t="e">
        <f>AND(NhatkyNhap!#REF!,"AAAAAH7p/5s=")</f>
        <v>#REF!</v>
      </c>
      <c r="FA67" t="e">
        <f>AND(NhatkyNhap!#REF!,"AAAAAH7p/5w=")</f>
        <v>#REF!</v>
      </c>
      <c r="FB67" t="e">
        <f>AND(NhatkyNhap!#REF!,"AAAAAH7p/50=")</f>
        <v>#REF!</v>
      </c>
      <c r="FC67" t="e">
        <f>AND(NhatkyNhap!#REF!,"AAAAAH7p/54=")</f>
        <v>#REF!</v>
      </c>
      <c r="FD67" t="e">
        <f>AND(NhatkyNhap!#REF!,"AAAAAH7p/58=")</f>
        <v>#REF!</v>
      </c>
      <c r="FE67" t="e">
        <f>AND(NhatkyNhap!#REF!,"AAAAAH7p/6A=")</f>
        <v>#REF!</v>
      </c>
      <c r="FF67" t="e">
        <f>AND(NhatkyNhap!#REF!,"AAAAAH7p/6E=")</f>
        <v>#REF!</v>
      </c>
      <c r="FG67" t="e">
        <f>AND(NhatkyNhap!#REF!,"AAAAAH7p/6I=")</f>
        <v>#REF!</v>
      </c>
      <c r="FH67" t="e">
        <f>AND(NhatkyNhap!#REF!,"AAAAAH7p/6M=")</f>
        <v>#REF!</v>
      </c>
      <c r="FI67" t="e">
        <f>AND(NhatkyNhap!#REF!,"AAAAAH7p/6Q=")</f>
        <v>#REF!</v>
      </c>
      <c r="FJ67" t="e">
        <f>AND(NhatkyNhap!#REF!,"AAAAAH7p/6U=")</f>
        <v>#REF!</v>
      </c>
      <c r="FK67" t="e">
        <f>IF(NhatkyNhap!#REF!,"AAAAAH7p/6Y=",0)</f>
        <v>#REF!</v>
      </c>
      <c r="FL67" t="e">
        <f>AND(NhatkyNhap!#REF!,"AAAAAH7p/6c=")</f>
        <v>#REF!</v>
      </c>
      <c r="FM67" t="e">
        <f>AND(NhatkyNhap!#REF!,"AAAAAH7p/6g=")</f>
        <v>#REF!</v>
      </c>
      <c r="FN67" t="e">
        <f>AND(NhatkyNhap!#REF!,"AAAAAH7p/6k=")</f>
        <v>#REF!</v>
      </c>
      <c r="FO67" t="e">
        <f>AND(NhatkyNhap!#REF!,"AAAAAH7p/6o=")</f>
        <v>#REF!</v>
      </c>
      <c r="FP67" t="e">
        <f>AND(NhatkyNhap!#REF!,"AAAAAH7p/6s=")</f>
        <v>#REF!</v>
      </c>
      <c r="FQ67" t="e">
        <f>AND(NhatkyNhap!#REF!,"AAAAAH7p/6w=")</f>
        <v>#REF!</v>
      </c>
      <c r="FR67" t="e">
        <f>AND(NhatkyNhap!#REF!,"AAAAAH7p/60=")</f>
        <v>#REF!</v>
      </c>
      <c r="FS67" t="e">
        <f>AND(NhatkyNhap!#REF!,"AAAAAH7p/64=")</f>
        <v>#REF!</v>
      </c>
      <c r="FT67" t="e">
        <f>AND(NhatkyNhap!#REF!,"AAAAAH7p/68=")</f>
        <v>#REF!</v>
      </c>
      <c r="FU67" t="e">
        <f>AND(NhatkyNhap!#REF!,"AAAAAH7p/7A=")</f>
        <v>#REF!</v>
      </c>
      <c r="FV67" t="e">
        <f>AND(NhatkyNhap!#REF!,"AAAAAH7p/7E=")</f>
        <v>#REF!</v>
      </c>
      <c r="FW67" t="e">
        <f>AND(NhatkyNhap!#REF!,"AAAAAH7p/7I=")</f>
        <v>#REF!</v>
      </c>
      <c r="FX67" t="e">
        <f>AND(NhatkyNhap!#REF!,"AAAAAH7p/7M=")</f>
        <v>#REF!</v>
      </c>
      <c r="FY67" t="e">
        <f>AND(NhatkyNhap!#REF!,"AAAAAH7p/7Q=")</f>
        <v>#REF!</v>
      </c>
      <c r="FZ67" t="e">
        <f>AND(NhatkyNhap!#REF!,"AAAAAH7p/7U=")</f>
        <v>#REF!</v>
      </c>
      <c r="GA67" t="e">
        <f>AND(NhatkyNhap!#REF!,"AAAAAH7p/7Y=")</f>
        <v>#REF!</v>
      </c>
      <c r="GB67" t="e">
        <f>AND(NhatkyNhap!#REF!,"AAAAAH7p/7c=")</f>
        <v>#REF!</v>
      </c>
      <c r="GC67" t="e">
        <f>AND(NhatkyNhap!#REF!,"AAAAAH7p/7g=")</f>
        <v>#REF!</v>
      </c>
      <c r="GD67" t="e">
        <f>AND(NhatkyNhap!#REF!,"AAAAAH7p/7k=")</f>
        <v>#REF!</v>
      </c>
      <c r="GE67" t="e">
        <f>AND(NhatkyNhap!#REF!,"AAAAAH7p/7o=")</f>
        <v>#REF!</v>
      </c>
      <c r="GF67" t="e">
        <f>AND(NhatkyNhap!#REF!,"AAAAAH7p/7s=")</f>
        <v>#REF!</v>
      </c>
      <c r="GG67" t="e">
        <f>AND(NhatkyNhap!#REF!,"AAAAAH7p/7w=")</f>
        <v>#REF!</v>
      </c>
      <c r="GH67" t="e">
        <f>AND(NhatkyNhap!#REF!,"AAAAAH7p/70=")</f>
        <v>#REF!</v>
      </c>
      <c r="GI67" t="e">
        <f>AND(NhatkyNhap!#REF!,"AAAAAH7p/74=")</f>
        <v>#REF!</v>
      </c>
      <c r="GJ67" t="e">
        <f>AND(NhatkyNhap!#REF!,"AAAAAH7p/78=")</f>
        <v>#REF!</v>
      </c>
      <c r="GK67" t="e">
        <f>AND(NhatkyNhap!#REF!,"AAAAAH7p/8A=")</f>
        <v>#REF!</v>
      </c>
      <c r="GL67" t="e">
        <f>AND(NhatkyNhap!#REF!,"AAAAAH7p/8E=")</f>
        <v>#REF!</v>
      </c>
      <c r="GM67" t="e">
        <f>AND(NhatkyNhap!#REF!,"AAAAAH7p/8I=")</f>
        <v>#REF!</v>
      </c>
      <c r="GN67" t="e">
        <f>AND(NhatkyNhap!#REF!,"AAAAAH7p/8M=")</f>
        <v>#REF!</v>
      </c>
      <c r="GO67" t="e">
        <f>AND(NhatkyNhap!#REF!,"AAAAAH7p/8Q=")</f>
        <v>#REF!</v>
      </c>
      <c r="GP67" t="e">
        <f>AND(NhatkyNhap!#REF!,"AAAAAH7p/8U=")</f>
        <v>#REF!</v>
      </c>
      <c r="GQ67" t="e">
        <f>AND(NhatkyNhap!#REF!,"AAAAAH7p/8Y=")</f>
        <v>#REF!</v>
      </c>
      <c r="GR67" t="e">
        <f>AND(NhatkyNhap!#REF!,"AAAAAH7p/8c=")</f>
        <v>#REF!</v>
      </c>
      <c r="GS67" t="e">
        <f>AND(NhatkyNhap!#REF!,"AAAAAH7p/8g=")</f>
        <v>#REF!</v>
      </c>
      <c r="GT67" t="e">
        <f>IF(NhatkyNhap!#REF!,"AAAAAH7p/8k=",0)</f>
        <v>#REF!</v>
      </c>
      <c r="GU67" t="e">
        <f>AND(NhatkyNhap!#REF!,"AAAAAH7p/8o=")</f>
        <v>#REF!</v>
      </c>
      <c r="GV67" t="e">
        <f>AND(NhatkyNhap!#REF!,"AAAAAH7p/8s=")</f>
        <v>#REF!</v>
      </c>
      <c r="GW67" t="e">
        <f>AND(NhatkyNhap!#REF!,"AAAAAH7p/8w=")</f>
        <v>#REF!</v>
      </c>
      <c r="GX67" t="e">
        <f>AND(NhatkyNhap!#REF!,"AAAAAH7p/80=")</f>
        <v>#REF!</v>
      </c>
      <c r="GY67" t="e">
        <f>AND(NhatkyNhap!#REF!,"AAAAAH7p/84=")</f>
        <v>#REF!</v>
      </c>
      <c r="GZ67" t="e">
        <f>AND(NhatkyNhap!#REF!,"AAAAAH7p/88=")</f>
        <v>#REF!</v>
      </c>
      <c r="HA67" t="e">
        <f>AND(NhatkyNhap!#REF!,"AAAAAH7p/9A=")</f>
        <v>#REF!</v>
      </c>
      <c r="HB67" t="e">
        <f>AND(NhatkyNhap!#REF!,"AAAAAH7p/9E=")</f>
        <v>#REF!</v>
      </c>
      <c r="HC67" t="e">
        <f>AND(NhatkyNhap!#REF!,"AAAAAH7p/9I=")</f>
        <v>#REF!</v>
      </c>
      <c r="HD67" t="e">
        <f>AND(NhatkyNhap!#REF!,"AAAAAH7p/9M=")</f>
        <v>#REF!</v>
      </c>
      <c r="HE67" t="e">
        <f>AND(NhatkyNhap!#REF!,"AAAAAH7p/9Q=")</f>
        <v>#REF!</v>
      </c>
      <c r="HF67" t="e">
        <f>AND(NhatkyNhap!#REF!,"AAAAAH7p/9U=")</f>
        <v>#REF!</v>
      </c>
      <c r="HG67" t="e">
        <f>AND(NhatkyNhap!#REF!,"AAAAAH7p/9Y=")</f>
        <v>#REF!</v>
      </c>
      <c r="HH67" t="e">
        <f>AND(NhatkyNhap!#REF!,"AAAAAH7p/9c=")</f>
        <v>#REF!</v>
      </c>
      <c r="HI67" t="e">
        <f>AND(NhatkyNhap!#REF!,"AAAAAH7p/9g=")</f>
        <v>#REF!</v>
      </c>
      <c r="HJ67" t="e">
        <f>AND(NhatkyNhap!#REF!,"AAAAAH7p/9k=")</f>
        <v>#REF!</v>
      </c>
      <c r="HK67" t="e">
        <f>AND(NhatkyNhap!#REF!,"AAAAAH7p/9o=")</f>
        <v>#REF!</v>
      </c>
      <c r="HL67" t="e">
        <f>AND(NhatkyNhap!#REF!,"AAAAAH7p/9s=")</f>
        <v>#REF!</v>
      </c>
      <c r="HM67" t="e">
        <f>AND(NhatkyNhap!#REF!,"AAAAAH7p/9w=")</f>
        <v>#REF!</v>
      </c>
      <c r="HN67" t="e">
        <f>AND(NhatkyNhap!#REF!,"AAAAAH7p/90=")</f>
        <v>#REF!</v>
      </c>
      <c r="HO67" t="e">
        <f>AND(NhatkyNhap!#REF!,"AAAAAH7p/94=")</f>
        <v>#REF!</v>
      </c>
      <c r="HP67" t="e">
        <f>AND(NhatkyNhap!#REF!,"AAAAAH7p/98=")</f>
        <v>#REF!</v>
      </c>
      <c r="HQ67" t="e">
        <f>AND(NhatkyNhap!#REF!,"AAAAAH7p/+A=")</f>
        <v>#REF!</v>
      </c>
      <c r="HR67" t="e">
        <f>AND(NhatkyNhap!#REF!,"AAAAAH7p/+E=")</f>
        <v>#REF!</v>
      </c>
      <c r="HS67" t="e">
        <f>AND(NhatkyNhap!#REF!,"AAAAAH7p/+I=")</f>
        <v>#REF!</v>
      </c>
      <c r="HT67" t="e">
        <f>AND(NhatkyNhap!#REF!,"AAAAAH7p/+M=")</f>
        <v>#REF!</v>
      </c>
      <c r="HU67" t="e">
        <f>AND(NhatkyNhap!#REF!,"AAAAAH7p/+Q=")</f>
        <v>#REF!</v>
      </c>
      <c r="HV67" t="e">
        <f>AND(NhatkyNhap!#REF!,"AAAAAH7p/+U=")</f>
        <v>#REF!</v>
      </c>
      <c r="HW67" t="e">
        <f>AND(NhatkyNhap!#REF!,"AAAAAH7p/+Y=")</f>
        <v>#REF!</v>
      </c>
      <c r="HX67" t="e">
        <f>AND(NhatkyNhap!#REF!,"AAAAAH7p/+c=")</f>
        <v>#REF!</v>
      </c>
      <c r="HY67" t="e">
        <f>AND(NhatkyNhap!#REF!,"AAAAAH7p/+g=")</f>
        <v>#REF!</v>
      </c>
      <c r="HZ67" t="e">
        <f>AND(NhatkyNhap!#REF!,"AAAAAH7p/+k=")</f>
        <v>#REF!</v>
      </c>
      <c r="IA67" t="e">
        <f>AND(NhatkyNhap!#REF!,"AAAAAH7p/+o=")</f>
        <v>#REF!</v>
      </c>
      <c r="IB67" t="e">
        <f>AND(NhatkyNhap!#REF!,"AAAAAH7p/+s=")</f>
        <v>#REF!</v>
      </c>
      <c r="IC67" t="e">
        <f>IF(NhatkyNhap!#REF!,"AAAAAH7p/+w=",0)</f>
        <v>#REF!</v>
      </c>
      <c r="ID67" t="e">
        <f>AND(NhatkyNhap!#REF!,"AAAAAH7p/+0=")</f>
        <v>#REF!</v>
      </c>
      <c r="IE67" t="e">
        <f>AND(NhatkyNhap!#REF!,"AAAAAH7p/+4=")</f>
        <v>#REF!</v>
      </c>
      <c r="IF67" t="e">
        <f>AND(NhatkyNhap!#REF!,"AAAAAH7p/+8=")</f>
        <v>#REF!</v>
      </c>
      <c r="IG67" t="e">
        <f>AND(NhatkyNhap!#REF!,"AAAAAH7p//A=")</f>
        <v>#REF!</v>
      </c>
      <c r="IH67" t="e">
        <f>AND(NhatkyNhap!#REF!,"AAAAAH7p//E=")</f>
        <v>#REF!</v>
      </c>
      <c r="II67" t="e">
        <f>AND(NhatkyNhap!#REF!,"AAAAAH7p//I=")</f>
        <v>#REF!</v>
      </c>
      <c r="IJ67" t="e">
        <f>AND(NhatkyNhap!#REF!,"AAAAAH7p//M=")</f>
        <v>#REF!</v>
      </c>
      <c r="IK67" t="e">
        <f>AND(NhatkyNhap!#REF!,"AAAAAH7p//Q=")</f>
        <v>#REF!</v>
      </c>
      <c r="IL67" t="e">
        <f>AND(NhatkyNhap!#REF!,"AAAAAH7p//U=")</f>
        <v>#REF!</v>
      </c>
      <c r="IM67" t="e">
        <f>AND(NhatkyNhap!#REF!,"AAAAAH7p//Y=")</f>
        <v>#REF!</v>
      </c>
      <c r="IN67" t="e">
        <f>AND(NhatkyNhap!#REF!,"AAAAAH7p//c=")</f>
        <v>#REF!</v>
      </c>
      <c r="IO67" t="e">
        <f>AND(NhatkyNhap!#REF!,"AAAAAH7p//g=")</f>
        <v>#REF!</v>
      </c>
      <c r="IP67" t="e">
        <f>AND(NhatkyNhap!#REF!,"AAAAAH7p//k=")</f>
        <v>#REF!</v>
      </c>
      <c r="IQ67" t="e">
        <f>AND(NhatkyNhap!#REF!,"AAAAAH7p//o=")</f>
        <v>#REF!</v>
      </c>
      <c r="IR67" t="e">
        <f>AND(NhatkyNhap!#REF!,"AAAAAH7p//s=")</f>
        <v>#REF!</v>
      </c>
      <c r="IS67" t="e">
        <f>AND(NhatkyNhap!#REF!,"AAAAAH7p//w=")</f>
        <v>#REF!</v>
      </c>
      <c r="IT67" t="e">
        <f>AND(NhatkyNhap!#REF!,"AAAAAH7p//0=")</f>
        <v>#REF!</v>
      </c>
      <c r="IU67" t="e">
        <f>AND(NhatkyNhap!#REF!,"AAAAAH7p//4=")</f>
        <v>#REF!</v>
      </c>
      <c r="IV67" t="e">
        <f>AND(NhatkyNhap!#REF!,"AAAAAH7p//8=")</f>
        <v>#REF!</v>
      </c>
    </row>
    <row r="68" spans="1:256">
      <c r="A68" t="e">
        <f>AND(NhatkyNhap!#REF!,"AAAAADP+3wA=")</f>
        <v>#REF!</v>
      </c>
      <c r="B68" t="e">
        <f>AND(NhatkyNhap!#REF!,"AAAAADP+3wE=")</f>
        <v>#REF!</v>
      </c>
      <c r="C68" t="e">
        <f>AND(NhatkyNhap!#REF!,"AAAAADP+3wI=")</f>
        <v>#REF!</v>
      </c>
      <c r="D68" t="e">
        <f>AND(NhatkyNhap!#REF!,"AAAAADP+3wM=")</f>
        <v>#REF!</v>
      </c>
      <c r="E68" t="e">
        <f>AND(NhatkyNhap!#REF!,"AAAAADP+3wQ=")</f>
        <v>#REF!</v>
      </c>
      <c r="F68" t="e">
        <f>AND(NhatkyNhap!#REF!,"AAAAADP+3wU=")</f>
        <v>#REF!</v>
      </c>
      <c r="G68" t="e">
        <f>AND(NhatkyNhap!#REF!,"AAAAADP+3wY=")</f>
        <v>#REF!</v>
      </c>
      <c r="H68" t="e">
        <f>AND(NhatkyNhap!#REF!,"AAAAADP+3wc=")</f>
        <v>#REF!</v>
      </c>
      <c r="I68" t="e">
        <f>AND(NhatkyNhap!#REF!,"AAAAADP+3wg=")</f>
        <v>#REF!</v>
      </c>
      <c r="J68" t="e">
        <f>AND(NhatkyNhap!#REF!,"AAAAADP+3wk=")</f>
        <v>#REF!</v>
      </c>
      <c r="K68" t="e">
        <f>AND(NhatkyNhap!#REF!,"AAAAADP+3wo=")</f>
        <v>#REF!</v>
      </c>
      <c r="L68" t="e">
        <f>AND(NhatkyNhap!#REF!,"AAAAADP+3ws=")</f>
        <v>#REF!</v>
      </c>
      <c r="M68" t="e">
        <f>AND(NhatkyNhap!#REF!,"AAAAADP+3ww=")</f>
        <v>#REF!</v>
      </c>
      <c r="N68" t="e">
        <f>AND(NhatkyNhap!#REF!,"AAAAADP+3w0=")</f>
        <v>#REF!</v>
      </c>
      <c r="O68" t="e">
        <f>AND(NhatkyNhap!#REF!,"AAAAADP+3w4=")</f>
        <v>#REF!</v>
      </c>
      <c r="P68" t="e">
        <f>IF(NhatkyNhap!#REF!,"AAAAADP+3w8=",0)</f>
        <v>#REF!</v>
      </c>
      <c r="Q68" t="e">
        <f>AND(NhatkyNhap!#REF!,"AAAAADP+3xA=")</f>
        <v>#REF!</v>
      </c>
      <c r="R68" t="e">
        <f>AND(NhatkyNhap!#REF!,"AAAAADP+3xE=")</f>
        <v>#REF!</v>
      </c>
      <c r="S68" t="e">
        <f>AND(NhatkyNhap!#REF!,"AAAAADP+3xI=")</f>
        <v>#REF!</v>
      </c>
      <c r="T68" t="e">
        <f>AND(NhatkyNhap!#REF!,"AAAAADP+3xM=")</f>
        <v>#REF!</v>
      </c>
      <c r="U68" t="e">
        <f>AND(NhatkyNhap!#REF!,"AAAAADP+3xQ=")</f>
        <v>#REF!</v>
      </c>
      <c r="V68" t="e">
        <f>AND(NhatkyNhap!#REF!,"AAAAADP+3xU=")</f>
        <v>#REF!</v>
      </c>
      <c r="W68" t="e">
        <f>AND(NhatkyNhap!#REF!,"AAAAADP+3xY=")</f>
        <v>#REF!</v>
      </c>
      <c r="X68" t="e">
        <f>AND(NhatkyNhap!#REF!,"AAAAADP+3xc=")</f>
        <v>#REF!</v>
      </c>
      <c r="Y68" t="e">
        <f>AND(NhatkyNhap!#REF!,"AAAAADP+3xg=")</f>
        <v>#REF!</v>
      </c>
      <c r="Z68" t="e">
        <f>AND(NhatkyNhap!#REF!,"AAAAADP+3xk=")</f>
        <v>#REF!</v>
      </c>
      <c r="AA68" t="e">
        <f>AND(NhatkyNhap!#REF!,"AAAAADP+3xo=")</f>
        <v>#REF!</v>
      </c>
      <c r="AB68" t="e">
        <f>AND(NhatkyNhap!#REF!,"AAAAADP+3xs=")</f>
        <v>#REF!</v>
      </c>
      <c r="AC68" t="e">
        <f>AND(NhatkyNhap!#REF!,"AAAAADP+3xw=")</f>
        <v>#REF!</v>
      </c>
      <c r="AD68" t="e">
        <f>AND(NhatkyNhap!#REF!,"AAAAADP+3x0=")</f>
        <v>#REF!</v>
      </c>
      <c r="AE68" t="e">
        <f>AND(NhatkyNhap!#REF!,"AAAAADP+3x4=")</f>
        <v>#REF!</v>
      </c>
      <c r="AF68" t="e">
        <f>AND(NhatkyNhap!#REF!,"AAAAADP+3x8=")</f>
        <v>#REF!</v>
      </c>
      <c r="AG68" t="e">
        <f>AND(NhatkyNhap!#REF!,"AAAAADP+3yA=")</f>
        <v>#REF!</v>
      </c>
      <c r="AH68" t="e">
        <f>AND(NhatkyNhap!#REF!,"AAAAADP+3yE=")</f>
        <v>#REF!</v>
      </c>
      <c r="AI68" t="e">
        <f>AND(NhatkyNhap!#REF!,"AAAAADP+3yI=")</f>
        <v>#REF!</v>
      </c>
      <c r="AJ68" t="e">
        <f>AND(NhatkyNhap!#REF!,"AAAAADP+3yM=")</f>
        <v>#REF!</v>
      </c>
      <c r="AK68" t="e">
        <f>AND(NhatkyNhap!#REF!,"AAAAADP+3yQ=")</f>
        <v>#REF!</v>
      </c>
      <c r="AL68" t="e">
        <f>AND(NhatkyNhap!#REF!,"AAAAADP+3yU=")</f>
        <v>#REF!</v>
      </c>
      <c r="AM68" t="e">
        <f>AND(NhatkyNhap!#REF!,"AAAAADP+3yY=")</f>
        <v>#REF!</v>
      </c>
      <c r="AN68" t="e">
        <f>AND(NhatkyNhap!#REF!,"AAAAADP+3yc=")</f>
        <v>#REF!</v>
      </c>
      <c r="AO68" t="e">
        <f>AND(NhatkyNhap!#REF!,"AAAAADP+3yg=")</f>
        <v>#REF!</v>
      </c>
      <c r="AP68" t="e">
        <f>AND(NhatkyNhap!#REF!,"AAAAADP+3yk=")</f>
        <v>#REF!</v>
      </c>
      <c r="AQ68" t="e">
        <f>AND(NhatkyNhap!#REF!,"AAAAADP+3yo=")</f>
        <v>#REF!</v>
      </c>
      <c r="AR68" t="e">
        <f>AND(NhatkyNhap!#REF!,"AAAAADP+3ys=")</f>
        <v>#REF!</v>
      </c>
      <c r="AS68" t="e">
        <f>AND(NhatkyNhap!#REF!,"AAAAADP+3yw=")</f>
        <v>#REF!</v>
      </c>
      <c r="AT68" t="e">
        <f>AND(NhatkyNhap!#REF!,"AAAAADP+3y0=")</f>
        <v>#REF!</v>
      </c>
      <c r="AU68" t="e">
        <f>AND(NhatkyNhap!#REF!,"AAAAADP+3y4=")</f>
        <v>#REF!</v>
      </c>
      <c r="AV68" t="e">
        <f>AND(NhatkyNhap!#REF!,"AAAAADP+3y8=")</f>
        <v>#REF!</v>
      </c>
      <c r="AW68" t="e">
        <f>AND(NhatkyNhap!#REF!,"AAAAADP+3zA=")</f>
        <v>#REF!</v>
      </c>
      <c r="AX68" t="e">
        <f>AND(NhatkyNhap!#REF!,"AAAAADP+3zE=")</f>
        <v>#REF!</v>
      </c>
      <c r="AY68" t="e">
        <f>IF(NhatkyNhap!#REF!,"AAAAADP+3zI=",0)</f>
        <v>#REF!</v>
      </c>
      <c r="AZ68" t="e">
        <f>AND(NhatkyNhap!#REF!,"AAAAADP+3zM=")</f>
        <v>#REF!</v>
      </c>
      <c r="BA68" t="e">
        <f>AND(NhatkyNhap!#REF!,"AAAAADP+3zQ=")</f>
        <v>#REF!</v>
      </c>
      <c r="BB68" t="e">
        <f>AND(NhatkyNhap!#REF!,"AAAAADP+3zU=")</f>
        <v>#REF!</v>
      </c>
      <c r="BC68" t="e">
        <f>AND(NhatkyNhap!#REF!,"AAAAADP+3zY=")</f>
        <v>#REF!</v>
      </c>
      <c r="BD68" t="e">
        <f>AND(NhatkyNhap!#REF!,"AAAAADP+3zc=")</f>
        <v>#REF!</v>
      </c>
      <c r="BE68" t="e">
        <f>AND(NhatkyNhap!#REF!,"AAAAADP+3zg=")</f>
        <v>#REF!</v>
      </c>
      <c r="BF68" t="e">
        <f>AND(NhatkyNhap!#REF!,"AAAAADP+3zk=")</f>
        <v>#REF!</v>
      </c>
      <c r="BG68" t="e">
        <f>AND(NhatkyNhap!#REF!,"AAAAADP+3zo=")</f>
        <v>#REF!</v>
      </c>
      <c r="BH68" t="e">
        <f>AND(NhatkyNhap!#REF!,"AAAAADP+3zs=")</f>
        <v>#REF!</v>
      </c>
      <c r="BI68" t="e">
        <f>AND(NhatkyNhap!#REF!,"AAAAADP+3zw=")</f>
        <v>#REF!</v>
      </c>
      <c r="BJ68" t="e">
        <f>AND(NhatkyNhap!#REF!,"AAAAADP+3z0=")</f>
        <v>#REF!</v>
      </c>
      <c r="BK68" t="e">
        <f>AND(NhatkyNhap!#REF!,"AAAAADP+3z4=")</f>
        <v>#REF!</v>
      </c>
      <c r="BL68" t="e">
        <f>AND(NhatkyNhap!#REF!,"AAAAADP+3z8=")</f>
        <v>#REF!</v>
      </c>
      <c r="BM68" t="e">
        <f>AND(NhatkyNhap!#REF!,"AAAAADP+30A=")</f>
        <v>#REF!</v>
      </c>
      <c r="BN68" t="e">
        <f>AND(NhatkyNhap!#REF!,"AAAAADP+30E=")</f>
        <v>#REF!</v>
      </c>
      <c r="BO68" t="e">
        <f>AND(NhatkyNhap!#REF!,"AAAAADP+30I=")</f>
        <v>#REF!</v>
      </c>
      <c r="BP68" t="e">
        <f>AND(NhatkyNhap!#REF!,"AAAAADP+30M=")</f>
        <v>#REF!</v>
      </c>
      <c r="BQ68" t="e">
        <f>AND(NhatkyNhap!#REF!,"AAAAADP+30Q=")</f>
        <v>#REF!</v>
      </c>
      <c r="BR68" t="e">
        <f>AND(NhatkyNhap!#REF!,"AAAAADP+30U=")</f>
        <v>#REF!</v>
      </c>
      <c r="BS68" t="e">
        <f>AND(NhatkyNhap!#REF!,"AAAAADP+30Y=")</f>
        <v>#REF!</v>
      </c>
      <c r="BT68" t="e">
        <f>AND(NhatkyNhap!#REF!,"AAAAADP+30c=")</f>
        <v>#REF!</v>
      </c>
      <c r="BU68" t="e">
        <f>AND(NhatkyNhap!#REF!,"AAAAADP+30g=")</f>
        <v>#REF!</v>
      </c>
      <c r="BV68" t="e">
        <f>AND(NhatkyNhap!#REF!,"AAAAADP+30k=")</f>
        <v>#REF!</v>
      </c>
      <c r="BW68" t="e">
        <f>AND(NhatkyNhap!#REF!,"AAAAADP+30o=")</f>
        <v>#REF!</v>
      </c>
      <c r="BX68" t="e">
        <f>AND(NhatkyNhap!#REF!,"AAAAADP+30s=")</f>
        <v>#REF!</v>
      </c>
      <c r="BY68" t="e">
        <f>AND(NhatkyNhap!#REF!,"AAAAADP+30w=")</f>
        <v>#REF!</v>
      </c>
      <c r="BZ68" t="e">
        <f>AND(NhatkyNhap!#REF!,"AAAAADP+300=")</f>
        <v>#REF!</v>
      </c>
      <c r="CA68" t="e">
        <f>AND(NhatkyNhap!#REF!,"AAAAADP+304=")</f>
        <v>#REF!</v>
      </c>
      <c r="CB68" t="e">
        <f>AND(NhatkyNhap!#REF!,"AAAAADP+308=")</f>
        <v>#REF!</v>
      </c>
      <c r="CC68" t="e">
        <f>AND(NhatkyNhap!#REF!,"AAAAADP+31A=")</f>
        <v>#REF!</v>
      </c>
      <c r="CD68" t="e">
        <f>AND(NhatkyNhap!#REF!,"AAAAADP+31E=")</f>
        <v>#REF!</v>
      </c>
      <c r="CE68" t="e">
        <f>AND(NhatkyNhap!#REF!,"AAAAADP+31I=")</f>
        <v>#REF!</v>
      </c>
      <c r="CF68" t="e">
        <f>AND(NhatkyNhap!#REF!,"AAAAADP+31M=")</f>
        <v>#REF!</v>
      </c>
      <c r="CG68" t="e">
        <f>AND(NhatkyNhap!#REF!,"AAAAADP+31Q=")</f>
        <v>#REF!</v>
      </c>
      <c r="CH68" t="e">
        <f>IF(NhatkyNhap!#REF!,"AAAAADP+31U=",0)</f>
        <v>#REF!</v>
      </c>
      <c r="CI68" t="e">
        <f>AND(NhatkyNhap!#REF!,"AAAAADP+31Y=")</f>
        <v>#REF!</v>
      </c>
      <c r="CJ68" t="e">
        <f>AND(NhatkyNhap!#REF!,"AAAAADP+31c=")</f>
        <v>#REF!</v>
      </c>
      <c r="CK68" t="e">
        <f>AND(NhatkyNhap!#REF!,"AAAAADP+31g=")</f>
        <v>#REF!</v>
      </c>
      <c r="CL68" t="e">
        <f>AND(NhatkyNhap!#REF!,"AAAAADP+31k=")</f>
        <v>#REF!</v>
      </c>
      <c r="CM68" t="e">
        <f>AND(NhatkyNhap!#REF!,"AAAAADP+31o=")</f>
        <v>#REF!</v>
      </c>
      <c r="CN68" t="e">
        <f>AND(NhatkyNhap!#REF!,"AAAAADP+31s=")</f>
        <v>#REF!</v>
      </c>
      <c r="CO68" t="e">
        <f>AND(NhatkyNhap!#REF!,"AAAAADP+31w=")</f>
        <v>#REF!</v>
      </c>
      <c r="CP68" t="e">
        <f>AND(NhatkyNhap!#REF!,"AAAAADP+310=")</f>
        <v>#REF!</v>
      </c>
      <c r="CQ68" t="e">
        <f>AND(NhatkyNhap!#REF!,"AAAAADP+314=")</f>
        <v>#REF!</v>
      </c>
      <c r="CR68" t="e">
        <f>AND(NhatkyNhap!#REF!,"AAAAADP+318=")</f>
        <v>#REF!</v>
      </c>
      <c r="CS68" t="e">
        <f>AND(NhatkyNhap!#REF!,"AAAAADP+32A=")</f>
        <v>#REF!</v>
      </c>
      <c r="CT68" t="e">
        <f>AND(NhatkyNhap!#REF!,"AAAAADP+32E=")</f>
        <v>#REF!</v>
      </c>
      <c r="CU68" t="e">
        <f>AND(NhatkyNhap!#REF!,"AAAAADP+32I=")</f>
        <v>#REF!</v>
      </c>
      <c r="CV68" t="e">
        <f>AND(NhatkyNhap!#REF!,"AAAAADP+32M=")</f>
        <v>#REF!</v>
      </c>
      <c r="CW68" t="e">
        <f>AND(NhatkyNhap!#REF!,"AAAAADP+32Q=")</f>
        <v>#REF!</v>
      </c>
      <c r="CX68" t="e">
        <f>AND(NhatkyNhap!#REF!,"AAAAADP+32U=")</f>
        <v>#REF!</v>
      </c>
      <c r="CY68" t="e">
        <f>AND(NhatkyNhap!#REF!,"AAAAADP+32Y=")</f>
        <v>#REF!</v>
      </c>
      <c r="CZ68" t="e">
        <f>AND(NhatkyNhap!#REF!,"AAAAADP+32c=")</f>
        <v>#REF!</v>
      </c>
      <c r="DA68" t="e">
        <f>AND(NhatkyNhap!#REF!,"AAAAADP+32g=")</f>
        <v>#REF!</v>
      </c>
      <c r="DB68" t="e">
        <f>AND(NhatkyNhap!#REF!,"AAAAADP+32k=")</f>
        <v>#REF!</v>
      </c>
      <c r="DC68" t="e">
        <f>AND(NhatkyNhap!#REF!,"AAAAADP+32o=")</f>
        <v>#REF!</v>
      </c>
      <c r="DD68" t="e">
        <f>AND(NhatkyNhap!#REF!,"AAAAADP+32s=")</f>
        <v>#REF!</v>
      </c>
      <c r="DE68" t="e">
        <f>AND(NhatkyNhap!#REF!,"AAAAADP+32w=")</f>
        <v>#REF!</v>
      </c>
      <c r="DF68" t="e">
        <f>AND(NhatkyNhap!#REF!,"AAAAADP+320=")</f>
        <v>#REF!</v>
      </c>
      <c r="DG68" t="e">
        <f>AND(NhatkyNhap!#REF!,"AAAAADP+324=")</f>
        <v>#REF!</v>
      </c>
      <c r="DH68" t="e">
        <f>AND(NhatkyNhap!#REF!,"AAAAADP+328=")</f>
        <v>#REF!</v>
      </c>
      <c r="DI68" t="e">
        <f>AND(NhatkyNhap!#REF!,"AAAAADP+33A=")</f>
        <v>#REF!</v>
      </c>
      <c r="DJ68" t="e">
        <f>AND(NhatkyNhap!#REF!,"AAAAADP+33E=")</f>
        <v>#REF!</v>
      </c>
      <c r="DK68" t="e">
        <f>AND(NhatkyNhap!#REF!,"AAAAADP+33I=")</f>
        <v>#REF!</v>
      </c>
      <c r="DL68" t="e">
        <f>AND(NhatkyNhap!#REF!,"AAAAADP+33M=")</f>
        <v>#REF!</v>
      </c>
      <c r="DM68" t="e">
        <f>AND(NhatkyNhap!#REF!,"AAAAADP+33Q=")</f>
        <v>#REF!</v>
      </c>
      <c r="DN68" t="e">
        <f>AND(NhatkyNhap!#REF!,"AAAAADP+33U=")</f>
        <v>#REF!</v>
      </c>
      <c r="DO68" t="e">
        <f>AND(NhatkyNhap!#REF!,"AAAAADP+33Y=")</f>
        <v>#REF!</v>
      </c>
      <c r="DP68" t="e">
        <f>AND(NhatkyNhap!#REF!,"AAAAADP+33c=")</f>
        <v>#REF!</v>
      </c>
      <c r="DQ68" t="e">
        <f>IF(NhatkyNhap!#REF!,"AAAAADP+33g=",0)</f>
        <v>#REF!</v>
      </c>
      <c r="DR68" t="e">
        <f>AND(NhatkyNhap!#REF!,"AAAAADP+33k=")</f>
        <v>#REF!</v>
      </c>
      <c r="DS68" t="e">
        <f>AND(NhatkyNhap!#REF!,"AAAAADP+33o=")</f>
        <v>#REF!</v>
      </c>
      <c r="DT68" t="e">
        <f>AND(NhatkyNhap!#REF!,"AAAAADP+33s=")</f>
        <v>#REF!</v>
      </c>
      <c r="DU68" t="e">
        <f>AND(NhatkyNhap!#REF!,"AAAAADP+33w=")</f>
        <v>#REF!</v>
      </c>
      <c r="DV68" t="e">
        <f>AND(NhatkyNhap!#REF!,"AAAAADP+330=")</f>
        <v>#REF!</v>
      </c>
      <c r="DW68" t="e">
        <f>AND(NhatkyNhap!#REF!,"AAAAADP+334=")</f>
        <v>#REF!</v>
      </c>
      <c r="DX68" t="e">
        <f>AND(NhatkyNhap!#REF!,"AAAAADP+338=")</f>
        <v>#REF!</v>
      </c>
      <c r="DY68" t="e">
        <f>AND(NhatkyNhap!#REF!,"AAAAADP+34A=")</f>
        <v>#REF!</v>
      </c>
      <c r="DZ68" t="e">
        <f>AND(NhatkyNhap!#REF!,"AAAAADP+34E=")</f>
        <v>#REF!</v>
      </c>
      <c r="EA68" t="e">
        <f>AND(NhatkyNhap!#REF!,"AAAAADP+34I=")</f>
        <v>#REF!</v>
      </c>
      <c r="EB68" t="e">
        <f>AND(NhatkyNhap!#REF!,"AAAAADP+34M=")</f>
        <v>#REF!</v>
      </c>
      <c r="EC68" t="e">
        <f>AND(NhatkyNhap!#REF!,"AAAAADP+34Q=")</f>
        <v>#REF!</v>
      </c>
      <c r="ED68" t="e">
        <f>AND(NhatkyNhap!#REF!,"AAAAADP+34U=")</f>
        <v>#REF!</v>
      </c>
      <c r="EE68" t="e">
        <f>AND(NhatkyNhap!#REF!,"AAAAADP+34Y=")</f>
        <v>#REF!</v>
      </c>
      <c r="EF68" t="e">
        <f>AND(NhatkyNhap!#REF!,"AAAAADP+34c=")</f>
        <v>#REF!</v>
      </c>
      <c r="EG68" t="e">
        <f>AND(NhatkyNhap!#REF!,"AAAAADP+34g=")</f>
        <v>#REF!</v>
      </c>
      <c r="EH68" t="e">
        <f>AND(NhatkyNhap!#REF!,"AAAAADP+34k=")</f>
        <v>#REF!</v>
      </c>
      <c r="EI68" t="e">
        <f>AND(NhatkyNhap!#REF!,"AAAAADP+34o=")</f>
        <v>#REF!</v>
      </c>
      <c r="EJ68" t="e">
        <f>AND(NhatkyNhap!#REF!,"AAAAADP+34s=")</f>
        <v>#REF!</v>
      </c>
      <c r="EK68" t="e">
        <f>AND(NhatkyNhap!#REF!,"AAAAADP+34w=")</f>
        <v>#REF!</v>
      </c>
      <c r="EL68" t="e">
        <f>AND(NhatkyNhap!#REF!,"AAAAADP+340=")</f>
        <v>#REF!</v>
      </c>
      <c r="EM68" t="e">
        <f>AND(NhatkyNhap!#REF!,"AAAAADP+344=")</f>
        <v>#REF!</v>
      </c>
      <c r="EN68" t="e">
        <f>AND(NhatkyNhap!#REF!,"AAAAADP+348=")</f>
        <v>#REF!</v>
      </c>
      <c r="EO68" t="e">
        <f>AND(NhatkyNhap!#REF!,"AAAAADP+35A=")</f>
        <v>#REF!</v>
      </c>
      <c r="EP68" t="e">
        <f>AND(NhatkyNhap!#REF!,"AAAAADP+35E=")</f>
        <v>#REF!</v>
      </c>
      <c r="EQ68" t="e">
        <f>AND(NhatkyNhap!#REF!,"AAAAADP+35I=")</f>
        <v>#REF!</v>
      </c>
      <c r="ER68" t="e">
        <f>AND(NhatkyNhap!#REF!,"AAAAADP+35M=")</f>
        <v>#REF!</v>
      </c>
      <c r="ES68" t="e">
        <f>AND(NhatkyNhap!#REF!,"AAAAADP+35Q=")</f>
        <v>#REF!</v>
      </c>
      <c r="ET68" t="e">
        <f>AND(NhatkyNhap!#REF!,"AAAAADP+35U=")</f>
        <v>#REF!</v>
      </c>
      <c r="EU68" t="e">
        <f>AND(NhatkyNhap!#REF!,"AAAAADP+35Y=")</f>
        <v>#REF!</v>
      </c>
      <c r="EV68" t="e">
        <f>AND(NhatkyNhap!#REF!,"AAAAADP+35c=")</f>
        <v>#REF!</v>
      </c>
      <c r="EW68" t="e">
        <f>AND(NhatkyNhap!#REF!,"AAAAADP+35g=")</f>
        <v>#REF!</v>
      </c>
      <c r="EX68" t="e">
        <f>AND(NhatkyNhap!#REF!,"AAAAADP+35k=")</f>
        <v>#REF!</v>
      </c>
      <c r="EY68" t="e">
        <f>AND(NhatkyNhap!#REF!,"AAAAADP+35o=")</f>
        <v>#REF!</v>
      </c>
      <c r="EZ68" t="e">
        <f>IF(NhatkyNhap!#REF!,"AAAAADP+35s=",0)</f>
        <v>#REF!</v>
      </c>
      <c r="FA68" t="e">
        <f>AND(NhatkyNhap!#REF!,"AAAAADP+35w=")</f>
        <v>#REF!</v>
      </c>
      <c r="FB68" t="e">
        <f>AND(NhatkyNhap!#REF!,"AAAAADP+350=")</f>
        <v>#REF!</v>
      </c>
      <c r="FC68" t="e">
        <f>AND(NhatkyNhap!#REF!,"AAAAADP+354=")</f>
        <v>#REF!</v>
      </c>
      <c r="FD68" t="e">
        <f>AND(NhatkyNhap!#REF!,"AAAAADP+358=")</f>
        <v>#REF!</v>
      </c>
      <c r="FE68" t="e">
        <f>AND(NhatkyNhap!#REF!,"AAAAADP+36A=")</f>
        <v>#REF!</v>
      </c>
      <c r="FF68" t="e">
        <f>AND(NhatkyNhap!#REF!,"AAAAADP+36E=")</f>
        <v>#REF!</v>
      </c>
      <c r="FG68" t="e">
        <f>AND(NhatkyNhap!#REF!,"AAAAADP+36I=")</f>
        <v>#REF!</v>
      </c>
      <c r="FH68" t="e">
        <f>AND(NhatkyNhap!#REF!,"AAAAADP+36M=")</f>
        <v>#REF!</v>
      </c>
      <c r="FI68" t="e">
        <f>AND(NhatkyNhap!#REF!,"AAAAADP+36Q=")</f>
        <v>#REF!</v>
      </c>
      <c r="FJ68" t="e">
        <f>AND(NhatkyNhap!#REF!,"AAAAADP+36U=")</f>
        <v>#REF!</v>
      </c>
      <c r="FK68" t="e">
        <f>AND(NhatkyNhap!#REF!,"AAAAADP+36Y=")</f>
        <v>#REF!</v>
      </c>
      <c r="FL68" t="e">
        <f>AND(NhatkyNhap!#REF!,"AAAAADP+36c=")</f>
        <v>#REF!</v>
      </c>
      <c r="FM68" t="e">
        <f>AND(NhatkyNhap!#REF!,"AAAAADP+36g=")</f>
        <v>#REF!</v>
      </c>
      <c r="FN68" t="e">
        <f>AND(NhatkyNhap!#REF!,"AAAAADP+36k=")</f>
        <v>#REF!</v>
      </c>
      <c r="FO68" t="e">
        <f>AND(NhatkyNhap!#REF!,"AAAAADP+36o=")</f>
        <v>#REF!</v>
      </c>
      <c r="FP68" t="e">
        <f>AND(NhatkyNhap!#REF!,"AAAAADP+36s=")</f>
        <v>#REF!</v>
      </c>
      <c r="FQ68" t="e">
        <f>AND(NhatkyNhap!#REF!,"AAAAADP+36w=")</f>
        <v>#REF!</v>
      </c>
      <c r="FR68" t="e">
        <f>AND(NhatkyNhap!#REF!,"AAAAADP+360=")</f>
        <v>#REF!</v>
      </c>
      <c r="FS68" t="e">
        <f>AND(NhatkyNhap!#REF!,"AAAAADP+364=")</f>
        <v>#REF!</v>
      </c>
      <c r="FT68" t="e">
        <f>AND(NhatkyNhap!#REF!,"AAAAADP+368=")</f>
        <v>#REF!</v>
      </c>
      <c r="FU68" t="e">
        <f>AND(NhatkyNhap!#REF!,"AAAAADP+37A=")</f>
        <v>#REF!</v>
      </c>
      <c r="FV68" t="e">
        <f>AND(NhatkyNhap!#REF!,"AAAAADP+37E=")</f>
        <v>#REF!</v>
      </c>
      <c r="FW68" t="e">
        <f>AND(NhatkyNhap!#REF!,"AAAAADP+37I=")</f>
        <v>#REF!</v>
      </c>
      <c r="FX68" t="e">
        <f>AND(NhatkyNhap!#REF!,"AAAAADP+37M=")</f>
        <v>#REF!</v>
      </c>
      <c r="FY68" t="e">
        <f>AND(NhatkyNhap!#REF!,"AAAAADP+37Q=")</f>
        <v>#REF!</v>
      </c>
      <c r="FZ68" t="e">
        <f>AND(NhatkyNhap!#REF!,"AAAAADP+37U=")</f>
        <v>#REF!</v>
      </c>
      <c r="GA68" t="e">
        <f>AND(NhatkyNhap!#REF!,"AAAAADP+37Y=")</f>
        <v>#REF!</v>
      </c>
      <c r="GB68" t="e">
        <f>AND(NhatkyNhap!#REF!,"AAAAADP+37c=")</f>
        <v>#REF!</v>
      </c>
      <c r="GC68" t="e">
        <f>AND(NhatkyNhap!#REF!,"AAAAADP+37g=")</f>
        <v>#REF!</v>
      </c>
      <c r="GD68" t="e">
        <f>AND(NhatkyNhap!#REF!,"AAAAADP+37k=")</f>
        <v>#REF!</v>
      </c>
      <c r="GE68" t="e">
        <f>AND(NhatkyNhap!#REF!,"AAAAADP+37o=")</f>
        <v>#REF!</v>
      </c>
      <c r="GF68" t="e">
        <f>AND(NhatkyNhap!#REF!,"AAAAADP+37s=")</f>
        <v>#REF!</v>
      </c>
      <c r="GG68" t="e">
        <f>AND(NhatkyNhap!#REF!,"AAAAADP+37w=")</f>
        <v>#REF!</v>
      </c>
      <c r="GH68" t="e">
        <f>AND(NhatkyNhap!#REF!,"AAAAADP+370=")</f>
        <v>#REF!</v>
      </c>
      <c r="GI68" t="e">
        <f>IF(NhatkyNhap!#REF!,"AAAAADP+374=",0)</f>
        <v>#REF!</v>
      </c>
      <c r="GJ68" t="e">
        <f>AND(NhatkyNhap!#REF!,"AAAAADP+378=")</f>
        <v>#REF!</v>
      </c>
      <c r="GK68" t="e">
        <f>AND(NhatkyNhap!#REF!,"AAAAADP+38A=")</f>
        <v>#REF!</v>
      </c>
      <c r="GL68" t="e">
        <f>AND(NhatkyNhap!#REF!,"AAAAADP+38E=")</f>
        <v>#REF!</v>
      </c>
      <c r="GM68" t="e">
        <f>AND(NhatkyNhap!#REF!,"AAAAADP+38I=")</f>
        <v>#REF!</v>
      </c>
      <c r="GN68" t="e">
        <f>AND(NhatkyNhap!#REF!,"AAAAADP+38M=")</f>
        <v>#REF!</v>
      </c>
      <c r="GO68" t="e">
        <f>AND(NhatkyNhap!#REF!,"AAAAADP+38Q=")</f>
        <v>#REF!</v>
      </c>
      <c r="GP68" t="e">
        <f>AND(NhatkyNhap!#REF!,"AAAAADP+38U=")</f>
        <v>#REF!</v>
      </c>
      <c r="GQ68" t="e">
        <f>AND(NhatkyNhap!#REF!,"AAAAADP+38Y=")</f>
        <v>#REF!</v>
      </c>
      <c r="GR68" t="e">
        <f>AND(NhatkyNhap!#REF!,"AAAAADP+38c=")</f>
        <v>#REF!</v>
      </c>
      <c r="GS68" t="e">
        <f>AND(NhatkyNhap!#REF!,"AAAAADP+38g=")</f>
        <v>#REF!</v>
      </c>
      <c r="GT68" t="e">
        <f>AND(NhatkyNhap!#REF!,"AAAAADP+38k=")</f>
        <v>#REF!</v>
      </c>
      <c r="GU68" t="e">
        <f>AND(NhatkyNhap!#REF!,"AAAAADP+38o=")</f>
        <v>#REF!</v>
      </c>
      <c r="GV68" t="e">
        <f>AND(NhatkyNhap!#REF!,"AAAAADP+38s=")</f>
        <v>#REF!</v>
      </c>
      <c r="GW68" t="e">
        <f>AND(NhatkyNhap!#REF!,"AAAAADP+38w=")</f>
        <v>#REF!</v>
      </c>
      <c r="GX68" t="e">
        <f>AND(NhatkyNhap!#REF!,"AAAAADP+380=")</f>
        <v>#REF!</v>
      </c>
      <c r="GY68" t="e">
        <f>AND(NhatkyNhap!#REF!,"AAAAADP+384=")</f>
        <v>#REF!</v>
      </c>
      <c r="GZ68" t="e">
        <f>AND(NhatkyNhap!#REF!,"AAAAADP+388=")</f>
        <v>#REF!</v>
      </c>
      <c r="HA68" t="e">
        <f>AND(NhatkyNhap!#REF!,"AAAAADP+39A=")</f>
        <v>#REF!</v>
      </c>
      <c r="HB68" t="e">
        <f>AND(NhatkyNhap!#REF!,"AAAAADP+39E=")</f>
        <v>#REF!</v>
      </c>
      <c r="HC68" t="e">
        <f>AND(NhatkyNhap!#REF!,"AAAAADP+39I=")</f>
        <v>#REF!</v>
      </c>
      <c r="HD68" t="e">
        <f>AND(NhatkyNhap!#REF!,"AAAAADP+39M=")</f>
        <v>#REF!</v>
      </c>
      <c r="HE68" t="e">
        <f>AND(NhatkyNhap!#REF!,"AAAAADP+39Q=")</f>
        <v>#REF!</v>
      </c>
      <c r="HF68" t="e">
        <f>AND(NhatkyNhap!#REF!,"AAAAADP+39U=")</f>
        <v>#REF!</v>
      </c>
      <c r="HG68" t="e">
        <f>AND(NhatkyNhap!#REF!,"AAAAADP+39Y=")</f>
        <v>#REF!</v>
      </c>
      <c r="HH68" t="e">
        <f>AND(NhatkyNhap!#REF!,"AAAAADP+39c=")</f>
        <v>#REF!</v>
      </c>
      <c r="HI68" t="e">
        <f>AND(NhatkyNhap!#REF!,"AAAAADP+39g=")</f>
        <v>#REF!</v>
      </c>
      <c r="HJ68" t="e">
        <f>AND(NhatkyNhap!#REF!,"AAAAADP+39k=")</f>
        <v>#REF!</v>
      </c>
      <c r="HK68" t="e">
        <f>AND(NhatkyNhap!#REF!,"AAAAADP+39o=")</f>
        <v>#REF!</v>
      </c>
      <c r="HL68" t="e">
        <f>AND(NhatkyNhap!#REF!,"AAAAADP+39s=")</f>
        <v>#REF!</v>
      </c>
      <c r="HM68" t="e">
        <f>AND(NhatkyNhap!#REF!,"AAAAADP+39w=")</f>
        <v>#REF!</v>
      </c>
      <c r="HN68" t="e">
        <f>AND(NhatkyNhap!#REF!,"AAAAADP+390=")</f>
        <v>#REF!</v>
      </c>
      <c r="HO68" t="e">
        <f>AND(NhatkyNhap!#REF!,"AAAAADP+394=")</f>
        <v>#REF!</v>
      </c>
      <c r="HP68" t="e">
        <f>AND(NhatkyNhap!#REF!,"AAAAADP+398=")</f>
        <v>#REF!</v>
      </c>
      <c r="HQ68" t="e">
        <f>AND(NhatkyNhap!#REF!,"AAAAADP+3+A=")</f>
        <v>#REF!</v>
      </c>
      <c r="HR68" t="e">
        <f>IF(NhatkyNhap!#REF!,"AAAAADP+3+E=",0)</f>
        <v>#REF!</v>
      </c>
      <c r="HS68" t="e">
        <f>AND(NhatkyNhap!#REF!,"AAAAADP+3+I=")</f>
        <v>#REF!</v>
      </c>
      <c r="HT68" t="e">
        <f>AND(NhatkyNhap!#REF!,"AAAAADP+3+M=")</f>
        <v>#REF!</v>
      </c>
      <c r="HU68" t="e">
        <f>AND(NhatkyNhap!#REF!,"AAAAADP+3+Q=")</f>
        <v>#REF!</v>
      </c>
      <c r="HV68" t="e">
        <f>AND(NhatkyNhap!#REF!,"AAAAADP+3+U=")</f>
        <v>#REF!</v>
      </c>
      <c r="HW68" t="e">
        <f>AND(NhatkyNhap!#REF!,"AAAAADP+3+Y=")</f>
        <v>#REF!</v>
      </c>
      <c r="HX68" t="e">
        <f>AND(NhatkyNhap!#REF!,"AAAAADP+3+c=")</f>
        <v>#REF!</v>
      </c>
      <c r="HY68" t="e">
        <f>AND(NhatkyNhap!#REF!,"AAAAADP+3+g=")</f>
        <v>#REF!</v>
      </c>
      <c r="HZ68" t="e">
        <f>AND(NhatkyNhap!#REF!,"AAAAADP+3+k=")</f>
        <v>#REF!</v>
      </c>
      <c r="IA68" t="e">
        <f>AND(NhatkyNhap!#REF!,"AAAAADP+3+o=")</f>
        <v>#REF!</v>
      </c>
      <c r="IB68" t="e">
        <f>AND(NhatkyNhap!#REF!,"AAAAADP+3+s=")</f>
        <v>#REF!</v>
      </c>
      <c r="IC68" t="e">
        <f>AND(NhatkyNhap!#REF!,"AAAAADP+3+w=")</f>
        <v>#REF!</v>
      </c>
      <c r="ID68" t="e">
        <f>AND(NhatkyNhap!#REF!,"AAAAADP+3+0=")</f>
        <v>#REF!</v>
      </c>
      <c r="IE68" t="e">
        <f>AND(NhatkyNhap!#REF!,"AAAAADP+3+4=")</f>
        <v>#REF!</v>
      </c>
      <c r="IF68" t="e">
        <f>AND(NhatkyNhap!#REF!,"AAAAADP+3+8=")</f>
        <v>#REF!</v>
      </c>
      <c r="IG68" t="e">
        <f>AND(NhatkyNhap!#REF!,"AAAAADP+3/A=")</f>
        <v>#REF!</v>
      </c>
      <c r="IH68" t="e">
        <f>AND(NhatkyNhap!#REF!,"AAAAADP+3/E=")</f>
        <v>#REF!</v>
      </c>
      <c r="II68" t="e">
        <f>AND(NhatkyNhap!#REF!,"AAAAADP+3/I=")</f>
        <v>#REF!</v>
      </c>
      <c r="IJ68" t="e">
        <f>AND(NhatkyNhap!#REF!,"AAAAADP+3/M=")</f>
        <v>#REF!</v>
      </c>
      <c r="IK68" t="e">
        <f>AND(NhatkyNhap!#REF!,"AAAAADP+3/Q=")</f>
        <v>#REF!</v>
      </c>
      <c r="IL68" t="e">
        <f>AND(NhatkyNhap!#REF!,"AAAAADP+3/U=")</f>
        <v>#REF!</v>
      </c>
      <c r="IM68" t="e">
        <f>AND(NhatkyNhap!#REF!,"AAAAADP+3/Y=")</f>
        <v>#REF!</v>
      </c>
      <c r="IN68" t="e">
        <f>AND(NhatkyNhap!#REF!,"AAAAADP+3/c=")</f>
        <v>#REF!</v>
      </c>
      <c r="IO68" t="e">
        <f>AND(NhatkyNhap!#REF!,"AAAAADP+3/g=")</f>
        <v>#REF!</v>
      </c>
      <c r="IP68" t="e">
        <f>AND(NhatkyNhap!#REF!,"AAAAADP+3/k=")</f>
        <v>#REF!</v>
      </c>
      <c r="IQ68" t="e">
        <f>AND(NhatkyNhap!#REF!,"AAAAADP+3/o=")</f>
        <v>#REF!</v>
      </c>
      <c r="IR68" t="e">
        <f>AND(NhatkyNhap!#REF!,"AAAAADP+3/s=")</f>
        <v>#REF!</v>
      </c>
      <c r="IS68" t="e">
        <f>AND(NhatkyNhap!#REF!,"AAAAADP+3/w=")</f>
        <v>#REF!</v>
      </c>
      <c r="IT68" t="e">
        <f>AND(NhatkyNhap!#REF!,"AAAAADP+3/0=")</f>
        <v>#REF!</v>
      </c>
      <c r="IU68" t="e">
        <f>AND(NhatkyNhap!#REF!,"AAAAADP+3/4=")</f>
        <v>#REF!</v>
      </c>
      <c r="IV68" t="e">
        <f>AND(NhatkyNhap!#REF!,"AAAAADP+3/8=")</f>
        <v>#REF!</v>
      </c>
    </row>
    <row r="69" spans="1:256">
      <c r="A69" t="e">
        <f>AND(NhatkyNhap!#REF!,"AAAAAHdvtgA=")</f>
        <v>#REF!</v>
      </c>
      <c r="B69" t="e">
        <f>AND(NhatkyNhap!#REF!,"AAAAAHdvtgE=")</f>
        <v>#REF!</v>
      </c>
      <c r="C69" t="e">
        <f>AND(NhatkyNhap!#REF!,"AAAAAHdvtgI=")</f>
        <v>#REF!</v>
      </c>
      <c r="D69" t="e">
        <f>AND(NhatkyNhap!#REF!,"AAAAAHdvtgM=")</f>
        <v>#REF!</v>
      </c>
      <c r="E69" t="e">
        <f>IF(NhatkyNhap!#REF!,"AAAAAHdvtgQ=",0)</f>
        <v>#REF!</v>
      </c>
      <c r="F69" t="e">
        <f>AND(NhatkyNhap!#REF!,"AAAAAHdvtgU=")</f>
        <v>#REF!</v>
      </c>
      <c r="G69" t="e">
        <f>AND(NhatkyNhap!#REF!,"AAAAAHdvtgY=")</f>
        <v>#REF!</v>
      </c>
      <c r="H69" t="e">
        <f>AND(NhatkyNhap!#REF!,"AAAAAHdvtgc=")</f>
        <v>#REF!</v>
      </c>
      <c r="I69" t="e">
        <f>AND(NhatkyNhap!#REF!,"AAAAAHdvtgg=")</f>
        <v>#REF!</v>
      </c>
      <c r="J69" t="e">
        <f>AND(NhatkyNhap!#REF!,"AAAAAHdvtgk=")</f>
        <v>#REF!</v>
      </c>
      <c r="K69" t="e">
        <f>AND(NhatkyNhap!#REF!,"AAAAAHdvtgo=")</f>
        <v>#REF!</v>
      </c>
      <c r="L69" t="e">
        <f>AND(NhatkyNhap!#REF!,"AAAAAHdvtgs=")</f>
        <v>#REF!</v>
      </c>
      <c r="M69" t="e">
        <f>AND(NhatkyNhap!#REF!,"AAAAAHdvtgw=")</f>
        <v>#REF!</v>
      </c>
      <c r="N69" t="e">
        <f>AND(NhatkyNhap!#REF!,"AAAAAHdvtg0=")</f>
        <v>#REF!</v>
      </c>
      <c r="O69" t="e">
        <f>AND(NhatkyNhap!#REF!,"AAAAAHdvtg4=")</f>
        <v>#REF!</v>
      </c>
      <c r="P69" t="e">
        <f>AND(NhatkyNhap!#REF!,"AAAAAHdvtg8=")</f>
        <v>#REF!</v>
      </c>
      <c r="Q69" t="e">
        <f>AND(NhatkyNhap!#REF!,"AAAAAHdvthA=")</f>
        <v>#REF!</v>
      </c>
      <c r="R69" t="e">
        <f>AND(NhatkyNhap!#REF!,"AAAAAHdvthE=")</f>
        <v>#REF!</v>
      </c>
      <c r="S69" t="e">
        <f>AND(NhatkyNhap!#REF!,"AAAAAHdvthI=")</f>
        <v>#REF!</v>
      </c>
      <c r="T69" t="e">
        <f>AND(NhatkyNhap!#REF!,"AAAAAHdvthM=")</f>
        <v>#REF!</v>
      </c>
      <c r="U69" t="e">
        <f>AND(NhatkyNhap!#REF!,"AAAAAHdvthQ=")</f>
        <v>#REF!</v>
      </c>
      <c r="V69" t="e">
        <f>AND(NhatkyNhap!#REF!,"AAAAAHdvthU=")</f>
        <v>#REF!</v>
      </c>
      <c r="W69" t="e">
        <f>AND(NhatkyNhap!#REF!,"AAAAAHdvthY=")</f>
        <v>#REF!</v>
      </c>
      <c r="X69" t="e">
        <f>AND(NhatkyNhap!#REF!,"AAAAAHdvthc=")</f>
        <v>#REF!</v>
      </c>
      <c r="Y69" t="e">
        <f>AND(NhatkyNhap!#REF!,"AAAAAHdvthg=")</f>
        <v>#REF!</v>
      </c>
      <c r="Z69" t="e">
        <f>AND(NhatkyNhap!#REF!,"AAAAAHdvthk=")</f>
        <v>#REF!</v>
      </c>
      <c r="AA69" t="e">
        <f>AND(NhatkyNhap!#REF!,"AAAAAHdvtho=")</f>
        <v>#REF!</v>
      </c>
      <c r="AB69" t="e">
        <f>AND(NhatkyNhap!#REF!,"AAAAAHdvths=")</f>
        <v>#REF!</v>
      </c>
      <c r="AC69" t="e">
        <f>AND(NhatkyNhap!#REF!,"AAAAAHdvthw=")</f>
        <v>#REF!</v>
      </c>
      <c r="AD69" t="e">
        <f>AND(NhatkyNhap!#REF!,"AAAAAHdvth0=")</f>
        <v>#REF!</v>
      </c>
      <c r="AE69" t="e">
        <f>AND(NhatkyNhap!#REF!,"AAAAAHdvth4=")</f>
        <v>#REF!</v>
      </c>
      <c r="AF69" t="e">
        <f>AND(NhatkyNhap!#REF!,"AAAAAHdvth8=")</f>
        <v>#REF!</v>
      </c>
      <c r="AG69" t="e">
        <f>AND(NhatkyNhap!#REF!,"AAAAAHdvtiA=")</f>
        <v>#REF!</v>
      </c>
      <c r="AH69" t="e">
        <f>AND(NhatkyNhap!#REF!,"AAAAAHdvtiE=")</f>
        <v>#REF!</v>
      </c>
      <c r="AI69" t="e">
        <f>AND(NhatkyNhap!#REF!,"AAAAAHdvtiI=")</f>
        <v>#REF!</v>
      </c>
      <c r="AJ69" t="e">
        <f>AND(NhatkyNhap!#REF!,"AAAAAHdvtiM=")</f>
        <v>#REF!</v>
      </c>
      <c r="AK69" t="e">
        <f>AND(NhatkyNhap!#REF!,"AAAAAHdvtiQ=")</f>
        <v>#REF!</v>
      </c>
      <c r="AL69" t="e">
        <f>AND(NhatkyNhap!#REF!,"AAAAAHdvtiU=")</f>
        <v>#REF!</v>
      </c>
      <c r="AM69" t="e">
        <f>AND(NhatkyNhap!#REF!,"AAAAAHdvtiY=")</f>
        <v>#REF!</v>
      </c>
      <c r="AN69" t="e">
        <f>IF(NhatkyNhap!#REF!,"AAAAAHdvtic=",0)</f>
        <v>#REF!</v>
      </c>
      <c r="AO69" t="e">
        <f>AND(NhatkyNhap!#REF!,"AAAAAHdvtig=")</f>
        <v>#REF!</v>
      </c>
      <c r="AP69" t="e">
        <f>AND(NhatkyNhap!#REF!,"AAAAAHdvtik=")</f>
        <v>#REF!</v>
      </c>
      <c r="AQ69" t="e">
        <f>AND(NhatkyNhap!#REF!,"AAAAAHdvtio=")</f>
        <v>#REF!</v>
      </c>
      <c r="AR69" t="e">
        <f>AND(NhatkyNhap!#REF!,"AAAAAHdvtis=")</f>
        <v>#REF!</v>
      </c>
      <c r="AS69" t="e">
        <f>AND(NhatkyNhap!#REF!,"AAAAAHdvtiw=")</f>
        <v>#REF!</v>
      </c>
      <c r="AT69" t="e">
        <f>AND(NhatkyNhap!#REF!,"AAAAAHdvti0=")</f>
        <v>#REF!</v>
      </c>
      <c r="AU69" t="e">
        <f>AND(NhatkyNhap!#REF!,"AAAAAHdvti4=")</f>
        <v>#REF!</v>
      </c>
      <c r="AV69" t="e">
        <f>AND(NhatkyNhap!#REF!,"AAAAAHdvti8=")</f>
        <v>#REF!</v>
      </c>
      <c r="AW69" t="e">
        <f>AND(NhatkyNhap!#REF!,"AAAAAHdvtjA=")</f>
        <v>#REF!</v>
      </c>
      <c r="AX69" t="e">
        <f>AND(NhatkyNhap!#REF!,"AAAAAHdvtjE=")</f>
        <v>#REF!</v>
      </c>
      <c r="AY69" t="e">
        <f>AND(NhatkyNhap!#REF!,"AAAAAHdvtjI=")</f>
        <v>#REF!</v>
      </c>
      <c r="AZ69" t="e">
        <f>AND(NhatkyNhap!#REF!,"AAAAAHdvtjM=")</f>
        <v>#REF!</v>
      </c>
      <c r="BA69" t="e">
        <f>AND(NhatkyNhap!#REF!,"AAAAAHdvtjQ=")</f>
        <v>#REF!</v>
      </c>
      <c r="BB69" t="e">
        <f>AND(NhatkyNhap!#REF!,"AAAAAHdvtjU=")</f>
        <v>#REF!</v>
      </c>
      <c r="BC69" t="e">
        <f>AND(NhatkyNhap!#REF!,"AAAAAHdvtjY=")</f>
        <v>#REF!</v>
      </c>
      <c r="BD69" t="e">
        <f>AND(NhatkyNhap!#REF!,"AAAAAHdvtjc=")</f>
        <v>#REF!</v>
      </c>
      <c r="BE69" t="e">
        <f>AND(NhatkyNhap!#REF!,"AAAAAHdvtjg=")</f>
        <v>#REF!</v>
      </c>
      <c r="BF69" t="e">
        <f>AND(NhatkyNhap!#REF!,"AAAAAHdvtjk=")</f>
        <v>#REF!</v>
      </c>
      <c r="BG69" t="e">
        <f>AND(NhatkyNhap!#REF!,"AAAAAHdvtjo=")</f>
        <v>#REF!</v>
      </c>
      <c r="BH69" t="e">
        <f>AND(NhatkyNhap!#REF!,"AAAAAHdvtjs=")</f>
        <v>#REF!</v>
      </c>
      <c r="BI69" t="e">
        <f>AND(NhatkyNhap!#REF!,"AAAAAHdvtjw=")</f>
        <v>#REF!</v>
      </c>
      <c r="BJ69" t="e">
        <f>AND(NhatkyNhap!#REF!,"AAAAAHdvtj0=")</f>
        <v>#REF!</v>
      </c>
      <c r="BK69" t="e">
        <f>AND(NhatkyNhap!#REF!,"AAAAAHdvtj4=")</f>
        <v>#REF!</v>
      </c>
      <c r="BL69" t="e">
        <f>AND(NhatkyNhap!#REF!,"AAAAAHdvtj8=")</f>
        <v>#REF!</v>
      </c>
      <c r="BM69" t="e">
        <f>AND(NhatkyNhap!#REF!,"AAAAAHdvtkA=")</f>
        <v>#REF!</v>
      </c>
      <c r="BN69" t="e">
        <f>AND(NhatkyNhap!#REF!,"AAAAAHdvtkE=")</f>
        <v>#REF!</v>
      </c>
      <c r="BO69" t="e">
        <f>AND(NhatkyNhap!#REF!,"AAAAAHdvtkI=")</f>
        <v>#REF!</v>
      </c>
      <c r="BP69" t="e">
        <f>AND(NhatkyNhap!#REF!,"AAAAAHdvtkM=")</f>
        <v>#REF!</v>
      </c>
      <c r="BQ69" t="e">
        <f>AND(NhatkyNhap!#REF!,"AAAAAHdvtkQ=")</f>
        <v>#REF!</v>
      </c>
      <c r="BR69" t="e">
        <f>AND(NhatkyNhap!#REF!,"AAAAAHdvtkU=")</f>
        <v>#REF!</v>
      </c>
      <c r="BS69" t="e">
        <f>AND(NhatkyNhap!#REF!,"AAAAAHdvtkY=")</f>
        <v>#REF!</v>
      </c>
      <c r="BT69" t="e">
        <f>AND(NhatkyNhap!#REF!,"AAAAAHdvtkc=")</f>
        <v>#REF!</v>
      </c>
      <c r="BU69" t="e">
        <f>AND(NhatkyNhap!#REF!,"AAAAAHdvtkg=")</f>
        <v>#REF!</v>
      </c>
      <c r="BV69" t="e">
        <f>AND(NhatkyNhap!#REF!,"AAAAAHdvtkk=")</f>
        <v>#REF!</v>
      </c>
      <c r="BW69" t="e">
        <f>IF(NhatkyNhap!#REF!,"AAAAAHdvtko=",0)</f>
        <v>#REF!</v>
      </c>
      <c r="BX69" t="e">
        <f>AND(NhatkyNhap!#REF!,"AAAAAHdvtks=")</f>
        <v>#REF!</v>
      </c>
      <c r="BY69" t="e">
        <f>AND(NhatkyNhap!#REF!,"AAAAAHdvtkw=")</f>
        <v>#REF!</v>
      </c>
      <c r="BZ69" t="e">
        <f>AND(NhatkyNhap!#REF!,"AAAAAHdvtk0=")</f>
        <v>#REF!</v>
      </c>
      <c r="CA69" t="e">
        <f>AND(NhatkyNhap!#REF!,"AAAAAHdvtk4=")</f>
        <v>#REF!</v>
      </c>
      <c r="CB69" t="e">
        <f>AND(NhatkyNhap!#REF!,"AAAAAHdvtk8=")</f>
        <v>#REF!</v>
      </c>
      <c r="CC69" t="e">
        <f>AND(NhatkyNhap!#REF!,"AAAAAHdvtlA=")</f>
        <v>#REF!</v>
      </c>
      <c r="CD69" t="e">
        <f>AND(NhatkyNhap!#REF!,"AAAAAHdvtlE=")</f>
        <v>#REF!</v>
      </c>
      <c r="CE69" t="e">
        <f>AND(NhatkyNhap!#REF!,"AAAAAHdvtlI=")</f>
        <v>#REF!</v>
      </c>
      <c r="CF69" t="e">
        <f>AND(NhatkyNhap!#REF!,"AAAAAHdvtlM=")</f>
        <v>#REF!</v>
      </c>
      <c r="CG69" t="e">
        <f>AND(NhatkyNhap!#REF!,"AAAAAHdvtlQ=")</f>
        <v>#REF!</v>
      </c>
      <c r="CH69" t="e">
        <f>AND(NhatkyNhap!#REF!,"AAAAAHdvtlU=")</f>
        <v>#REF!</v>
      </c>
      <c r="CI69" t="e">
        <f>AND(NhatkyNhap!#REF!,"AAAAAHdvtlY=")</f>
        <v>#REF!</v>
      </c>
      <c r="CJ69" t="e">
        <f>AND(NhatkyNhap!#REF!,"AAAAAHdvtlc=")</f>
        <v>#REF!</v>
      </c>
      <c r="CK69" t="e">
        <f>AND(NhatkyNhap!#REF!,"AAAAAHdvtlg=")</f>
        <v>#REF!</v>
      </c>
      <c r="CL69" t="e">
        <f>AND(NhatkyNhap!#REF!,"AAAAAHdvtlk=")</f>
        <v>#REF!</v>
      </c>
      <c r="CM69" t="e">
        <f>AND(NhatkyNhap!#REF!,"AAAAAHdvtlo=")</f>
        <v>#REF!</v>
      </c>
      <c r="CN69" t="e">
        <f>AND(NhatkyNhap!#REF!,"AAAAAHdvtls=")</f>
        <v>#REF!</v>
      </c>
      <c r="CO69" t="e">
        <f>AND(NhatkyNhap!#REF!,"AAAAAHdvtlw=")</f>
        <v>#REF!</v>
      </c>
      <c r="CP69" t="e">
        <f>AND(NhatkyNhap!#REF!,"AAAAAHdvtl0=")</f>
        <v>#REF!</v>
      </c>
      <c r="CQ69" t="e">
        <f>AND(NhatkyNhap!#REF!,"AAAAAHdvtl4=")</f>
        <v>#REF!</v>
      </c>
      <c r="CR69" t="e">
        <f>AND(NhatkyNhap!#REF!,"AAAAAHdvtl8=")</f>
        <v>#REF!</v>
      </c>
      <c r="CS69" t="e">
        <f>AND(NhatkyNhap!#REF!,"AAAAAHdvtmA=")</f>
        <v>#REF!</v>
      </c>
      <c r="CT69" t="e">
        <f>AND(NhatkyNhap!#REF!,"AAAAAHdvtmE=")</f>
        <v>#REF!</v>
      </c>
      <c r="CU69" t="e">
        <f>AND(NhatkyNhap!#REF!,"AAAAAHdvtmI=")</f>
        <v>#REF!</v>
      </c>
      <c r="CV69" t="e">
        <f>AND(NhatkyNhap!#REF!,"AAAAAHdvtmM=")</f>
        <v>#REF!</v>
      </c>
      <c r="CW69" t="e">
        <f>AND(NhatkyNhap!#REF!,"AAAAAHdvtmQ=")</f>
        <v>#REF!</v>
      </c>
      <c r="CX69" t="e">
        <f>AND(NhatkyNhap!#REF!,"AAAAAHdvtmU=")</f>
        <v>#REF!</v>
      </c>
      <c r="CY69" t="e">
        <f>AND(NhatkyNhap!#REF!,"AAAAAHdvtmY=")</f>
        <v>#REF!</v>
      </c>
      <c r="CZ69" t="e">
        <f>AND(NhatkyNhap!#REF!,"AAAAAHdvtmc=")</f>
        <v>#REF!</v>
      </c>
      <c r="DA69" t="e">
        <f>AND(NhatkyNhap!#REF!,"AAAAAHdvtmg=")</f>
        <v>#REF!</v>
      </c>
      <c r="DB69" t="e">
        <f>AND(NhatkyNhap!#REF!,"AAAAAHdvtmk=")</f>
        <v>#REF!</v>
      </c>
      <c r="DC69" t="e">
        <f>AND(NhatkyNhap!#REF!,"AAAAAHdvtmo=")</f>
        <v>#REF!</v>
      </c>
      <c r="DD69" t="e">
        <f>AND(NhatkyNhap!#REF!,"AAAAAHdvtms=")</f>
        <v>#REF!</v>
      </c>
      <c r="DE69" t="e">
        <f>AND(NhatkyNhap!#REF!,"AAAAAHdvtmw=")</f>
        <v>#REF!</v>
      </c>
      <c r="DF69" t="e">
        <f>IF(NhatkyNhap!B:B,"AAAAAHdvtm0=",0)</f>
        <v>#VALUE!</v>
      </c>
      <c r="DG69" t="e">
        <f>IF(NhatkyNhap!C:C,"AAAAAHdvtm4=",0)</f>
        <v>#VALUE!</v>
      </c>
      <c r="DH69" t="e">
        <f>IF(NhatkyNhap!D:D,"AAAAAHdvtm8=",0)</f>
        <v>#VALUE!</v>
      </c>
      <c r="DI69" t="e">
        <f>IF(NhatkyNhap!E:E,"AAAAAHdvtnA=",0)</f>
        <v>#VALUE!</v>
      </c>
      <c r="DJ69" t="e">
        <f>IF(NhatkyNhap!F:F,"AAAAAHdvtnE=",0)</f>
        <v>#VALUE!</v>
      </c>
      <c r="DK69" t="e">
        <f>IF(NhatkyNhap!G:G,"AAAAAHdvtnI=",0)</f>
        <v>#VALUE!</v>
      </c>
      <c r="DL69" t="e">
        <f>IF(NhatkyNhap!H:H,"AAAAAHdvtnM=",0)</f>
        <v>#VALUE!</v>
      </c>
      <c r="DM69" t="e">
        <f>IF(NhatkyNhap!I:I,"AAAAAHdvtnQ=",0)</f>
        <v>#VALUE!</v>
      </c>
      <c r="DN69" t="e">
        <f>IF(NhatkyNhap!J:J,"AAAAAHdvtnU=",0)</f>
        <v>#VALUE!</v>
      </c>
      <c r="DO69" t="e">
        <f>IF(NhatkyNhap!K:K,"AAAAAHdvtnY=",0)</f>
        <v>#VALUE!</v>
      </c>
      <c r="DP69" t="e">
        <f>IF(NhatkyNhap!L:L,"AAAAAHdvtnc=",0)</f>
        <v>#VALUE!</v>
      </c>
      <c r="DQ69" t="e">
        <f>IF(NhatkyNhap!M:M,"AAAAAHdvtng=",0)</f>
        <v>#VALUE!</v>
      </c>
      <c r="DR69" t="e">
        <f>IF(NhatkyNhap!N:N,"AAAAAHdvtnk=",0)</f>
        <v>#VALUE!</v>
      </c>
      <c r="DS69" t="e">
        <f>IF(NhatkyNhap!O:O,"AAAAAHdvtno=",0)</f>
        <v>#VALUE!</v>
      </c>
      <c r="DT69" t="e">
        <f>IF(NhatkyNhap!P:P,"AAAAAHdvtns=",0)</f>
        <v>#VALUE!</v>
      </c>
      <c r="DU69" t="e">
        <f>IF(NhatkyNhap!Q:Q,"AAAAAHdvtnw=",0)</f>
        <v>#VALUE!</v>
      </c>
      <c r="DV69" t="e">
        <f>IF(NhatkyNhap!R:R,"AAAAAHdvtn0=",0)</f>
        <v>#VALUE!</v>
      </c>
      <c r="DW69" t="e">
        <f>IF(NhatkyNhap!S:S,"AAAAAHdvtn4=",0)</f>
        <v>#VALUE!</v>
      </c>
      <c r="DX69" t="e">
        <f>IF(NhatkyNhap!T:T,"AAAAAHdvtn8=",0)</f>
        <v>#VALUE!</v>
      </c>
      <c r="DY69" t="e">
        <f>IF(NhatkyNhap!U:U,"AAAAAHdvtoA=",0)</f>
        <v>#VALUE!</v>
      </c>
      <c r="DZ69" t="e">
        <f>IF(NhatkyNhap!V:V,"AAAAAHdvtoE=",0)</f>
        <v>#VALUE!</v>
      </c>
      <c r="EA69" t="e">
        <f>IF(NhatkyNhap!W:W,"AAAAAHdvtoI=",0)</f>
        <v>#VALUE!</v>
      </c>
      <c r="EB69" t="e">
        <f>IF(NhatkyNhap!X:X,"AAAAAHdvtoM=",0)</f>
        <v>#VALUE!</v>
      </c>
      <c r="EC69" t="e">
        <f>IF(NhatkyNhap!Y:Y,"AAAAAHdvtoQ=",0)</f>
        <v>#VALUE!</v>
      </c>
      <c r="ED69" t="e">
        <f>IF(NhatkyNhap!Z:Z,"AAAAAHdvtoU=",0)</f>
        <v>#VALUE!</v>
      </c>
      <c r="EE69" t="e">
        <f>IF(NhatkyNhap!AA:AA,"AAAAAHdvtoY=",0)</f>
        <v>#VALUE!</v>
      </c>
      <c r="EF69" t="e">
        <f>IF(NhatkyNhap!AB:AB,"AAAAAHdvtoc=",0)</f>
        <v>#VALUE!</v>
      </c>
      <c r="EG69" t="e">
        <f>IF(NhatkyNhap!AC:AC,"AAAAAHdvtog=",0)</f>
        <v>#VALUE!</v>
      </c>
      <c r="EH69" t="e">
        <f>IF(NhatkyNhap!AD:AD,"AAAAAHdvtok=",0)</f>
        <v>#VALUE!</v>
      </c>
      <c r="EI69" t="e">
        <f>IF(NhatkyNhap!AE:AE,"AAAAAHdvtoo=",0)</f>
        <v>#VALUE!</v>
      </c>
      <c r="EJ69" t="e">
        <f>IF(NhatkyNhap!AF:AF,"AAAAAHdvtos=",0)</f>
        <v>#VALUE!</v>
      </c>
      <c r="EK69" t="e">
        <f>IF(NhatkyNhap!AG:AG,"AAAAAHdvtow=",0)</f>
        <v>#VALUE!</v>
      </c>
      <c r="EL69">
        <f>IF(NhatkyNhap!AH:AH,"AAAAAHdvto0=",0)</f>
        <v>0</v>
      </c>
      <c r="EM69" t="e">
        <f>IF("N",_xludf._xlfn.SUMIFS,"AAAAAHdvto4=")</f>
        <v>#VALUE!</v>
      </c>
    </row>
    <row r="70" spans="1:256">
      <c r="A70" t="e">
        <f>AND(#REF!,"AAAAABeX3wA=")</f>
        <v>#REF!</v>
      </c>
      <c r="B70" t="e">
        <f>AND(#REF!,"AAAAABeX3wE=")</f>
        <v>#REF!</v>
      </c>
      <c r="C70" t="e">
        <f>AND(#REF!,"AAAAABeX3wI=")</f>
        <v>#REF!</v>
      </c>
      <c r="D70" t="e">
        <f>AND(#REF!,"AAAAABeX3wM=")</f>
        <v>#REF!</v>
      </c>
      <c r="E70" t="e">
        <f>AND(#REF!,"AAAAABeX3wQ=")</f>
        <v>#REF!</v>
      </c>
      <c r="F70" t="e">
        <f>AND(#REF!,"AAAAABeX3wU=")</f>
        <v>#REF!</v>
      </c>
      <c r="G70" t="e">
        <f>AND(#REF!,"AAAAABeX3wY=")</f>
        <v>#REF!</v>
      </c>
      <c r="H70" t="e">
        <f>AND(#REF!,"AAAAABeX3wc=")</f>
        <v>#REF!</v>
      </c>
      <c r="I70" t="e">
        <f>AND(#REF!,"AAAAABeX3wg=")</f>
        <v>#REF!</v>
      </c>
      <c r="J70" t="e">
        <f>AND(#REF!,"AAAAABeX3wk=")</f>
        <v>#REF!</v>
      </c>
      <c r="K70" t="e">
        <f>AND(#REF!,"AAAAABeX3wo=")</f>
        <v>#REF!</v>
      </c>
      <c r="L70" t="e">
        <f>AND(#REF!,"AAAAABeX3ws=")</f>
        <v>#REF!</v>
      </c>
      <c r="M70" t="e">
        <f>AND(#REF!,"AAAAABeX3ww=")</f>
        <v>#REF!</v>
      </c>
      <c r="N70" t="e">
        <f>AND(#REF!,"AAAAABeX3w0=")</f>
        <v>#REF!</v>
      </c>
      <c r="O70" t="e">
        <f>AND(#REF!,"AAAAABeX3w4=")</f>
        <v>#REF!</v>
      </c>
      <c r="P70" t="e">
        <f>AND(#REF!,"AAAAABeX3w8=")</f>
        <v>#REF!</v>
      </c>
      <c r="Q70" t="e">
        <f>AND(#REF!,"AAAAABeX3xA=")</f>
        <v>#REF!</v>
      </c>
      <c r="R70" t="e">
        <f>AND(#REF!,"AAAAABeX3xE=")</f>
        <v>#REF!</v>
      </c>
      <c r="S70" t="e">
        <f>IF(#REF!,"AAAAABeX3xI=",0)</f>
        <v>#REF!</v>
      </c>
      <c r="T70" t="e">
        <f>AND(#REF!,"AAAAABeX3xM=")</f>
        <v>#REF!</v>
      </c>
      <c r="U70" t="e">
        <f>AND(#REF!,"AAAAABeX3xQ=")</f>
        <v>#REF!</v>
      </c>
      <c r="V70" t="e">
        <f>IF(#REF!,"AAAAABeX3xU=",0)</f>
        <v>#REF!</v>
      </c>
      <c r="W70" t="e">
        <f>AND(#REF!,"AAAAABeX3xY=")</f>
        <v>#REF!</v>
      </c>
      <c r="X70" t="e">
        <f>AND(#REF!,"AAAAABeX3xc=")</f>
        <v>#REF!</v>
      </c>
      <c r="Y70" t="e">
        <f>IF(#REF!,"AAAAABeX3xg=",0)</f>
        <v>#REF!</v>
      </c>
      <c r="Z70" t="e">
        <f>AND(#REF!,"AAAAABeX3xk=")</f>
        <v>#REF!</v>
      </c>
      <c r="AA70" t="e">
        <f>AND(#REF!,"AAAAABeX3xo=")</f>
        <v>#REF!</v>
      </c>
      <c r="AB70" t="e">
        <f>IF(#REF!,"AAAAABeX3xs=",0)</f>
        <v>#REF!</v>
      </c>
      <c r="AC70" t="e">
        <f>AND(#REF!,"AAAAABeX3xw=")</f>
        <v>#REF!</v>
      </c>
      <c r="AD70" t="e">
        <f>AND(#REF!,"AAAAABeX3x0=")</f>
        <v>#REF!</v>
      </c>
      <c r="AE70" t="e">
        <f>IF(#REF!,"AAAAABeX3x4=",0)</f>
        <v>#REF!</v>
      </c>
      <c r="AF70" t="e">
        <f>AND(#REF!,"AAAAABeX3x8=")</f>
        <v>#REF!</v>
      </c>
      <c r="AG70" t="e">
        <f>AND(#REF!,"AAAAABeX3yA=")</f>
        <v>#REF!</v>
      </c>
      <c r="AH70" t="e">
        <f>IF(#REF!,"AAAAABeX3yE=",0)</f>
        <v>#REF!</v>
      </c>
      <c r="AI70" t="e">
        <f>AND(#REF!,"AAAAABeX3yI=")</f>
        <v>#REF!</v>
      </c>
      <c r="AJ70" t="e">
        <f>AND(#REF!,"AAAAABeX3yM=")</f>
        <v>#REF!</v>
      </c>
      <c r="AK70" t="e">
        <f>IF(#REF!,"AAAAABeX3yQ=",0)</f>
        <v>#REF!</v>
      </c>
      <c r="AL70" t="e">
        <f>AND(#REF!,"AAAAABeX3yU=")</f>
        <v>#REF!</v>
      </c>
      <c r="AM70" t="e">
        <f>AND(#REF!,"AAAAABeX3yY=")</f>
        <v>#REF!</v>
      </c>
      <c r="AN70" t="e">
        <f>IF(#REF!,"AAAAABeX3yc=",0)</f>
        <v>#REF!</v>
      </c>
      <c r="AO70" t="e">
        <f>AND(#REF!,"AAAAABeX3yg=")</f>
        <v>#REF!</v>
      </c>
      <c r="AP70" t="e">
        <f>AND(#REF!,"AAAAABeX3yk=")</f>
        <v>#REF!</v>
      </c>
      <c r="AQ70" t="e">
        <f>IF(#REF!,"AAAAABeX3yo=",0)</f>
        <v>#REF!</v>
      </c>
      <c r="AR70" t="e">
        <f>AND(#REF!,"AAAAABeX3ys=")</f>
        <v>#REF!</v>
      </c>
      <c r="AS70" t="e">
        <f>AND(#REF!,"AAAAABeX3yw=")</f>
        <v>#REF!</v>
      </c>
      <c r="AT70" t="e">
        <f>IF(#REF!,"AAAAABeX3y0=",0)</f>
        <v>#REF!</v>
      </c>
      <c r="AU70" t="e">
        <f>AND(#REF!,"AAAAABeX3y4=")</f>
        <v>#REF!</v>
      </c>
      <c r="AV70" t="e">
        <f>AND(#REF!,"AAAAABeX3y8=")</f>
        <v>#REF!</v>
      </c>
      <c r="AW70" t="e">
        <f>IF(#REF!,"AAAAABeX3zA=",0)</f>
        <v>#REF!</v>
      </c>
      <c r="AX70" t="e">
        <f>AND(#REF!,"AAAAABeX3zE=")</f>
        <v>#REF!</v>
      </c>
      <c r="AY70" t="e">
        <f>AND(#REF!,"AAAAABeX3zI=")</f>
        <v>#REF!</v>
      </c>
      <c r="AZ70" t="e">
        <f>IF(#REF!,"AAAAABeX3zM=",0)</f>
        <v>#REF!</v>
      </c>
      <c r="BA70" t="e">
        <f>AND(#REF!,"AAAAABeX3zQ=")</f>
        <v>#REF!</v>
      </c>
      <c r="BB70" t="e">
        <f>AND(#REF!,"AAAAABeX3zU=")</f>
        <v>#REF!</v>
      </c>
      <c r="BC70" t="e">
        <f>IF(#REF!,"AAAAABeX3zY=",0)</f>
        <v>#REF!</v>
      </c>
      <c r="BD70" t="e">
        <f>AND(#REF!,"AAAAABeX3zc=")</f>
        <v>#REF!</v>
      </c>
      <c r="BE70" t="e">
        <f>AND(#REF!,"AAAAABeX3zg=")</f>
        <v>#REF!</v>
      </c>
      <c r="BF70" t="e">
        <f>IF(#REF!,"AAAAABeX3zk=",0)</f>
        <v>#REF!</v>
      </c>
      <c r="BG70" t="e">
        <f>AND(#REF!,"AAAAABeX3zo=")</f>
        <v>#REF!</v>
      </c>
      <c r="BH70" t="e">
        <f>AND(#REF!,"AAAAABeX3zs=")</f>
        <v>#REF!</v>
      </c>
      <c r="BI70" t="e">
        <f>IF(#REF!,"AAAAABeX3zw=",0)</f>
        <v>#REF!</v>
      </c>
      <c r="BJ70" t="e">
        <f>AND(#REF!,"AAAAABeX3z0=")</f>
        <v>#REF!</v>
      </c>
      <c r="BK70" t="e">
        <f>AND(#REF!,"AAAAABeX3z4=")</f>
        <v>#REF!</v>
      </c>
      <c r="BL70" t="e">
        <f>IF(#REF!,"AAAAABeX3z8=",0)</f>
        <v>#REF!</v>
      </c>
      <c r="BM70" t="e">
        <f>AND(#REF!,"AAAAABeX30A=")</f>
        <v>#REF!</v>
      </c>
      <c r="BN70" t="e">
        <f>AND(#REF!,"AAAAABeX30E=")</f>
        <v>#REF!</v>
      </c>
      <c r="BO70" t="e">
        <f>IF(#REF!,"AAAAABeX30I=",0)</f>
        <v>#REF!</v>
      </c>
      <c r="BP70" t="e">
        <f>AND(#REF!,"AAAAABeX30M=")</f>
        <v>#REF!</v>
      </c>
      <c r="BQ70" t="e">
        <f>AND(#REF!,"AAAAABeX30Q=")</f>
        <v>#REF!</v>
      </c>
      <c r="BR70" t="e">
        <f>IF(#REF!,"AAAAABeX30U=",0)</f>
        <v>#REF!</v>
      </c>
      <c r="BS70" t="e">
        <f>AND(#REF!,"AAAAABeX30Y=")</f>
        <v>#REF!</v>
      </c>
      <c r="BT70" t="e">
        <f>AND(#REF!,"AAAAABeX30c=")</f>
        <v>#REF!</v>
      </c>
      <c r="BU70" t="e">
        <f>IF(#REF!,"AAAAABeX30g=",0)</f>
        <v>#REF!</v>
      </c>
      <c r="BV70" t="e">
        <f>AND(#REF!,"AAAAABeX30k=")</f>
        <v>#REF!</v>
      </c>
      <c r="BW70" t="e">
        <f>AND(#REF!,"AAAAABeX30o=")</f>
        <v>#REF!</v>
      </c>
      <c r="BX70" t="e">
        <f>IF(#REF!,"AAAAABeX30s=",0)</f>
        <v>#REF!</v>
      </c>
      <c r="BY70" t="e">
        <f>AND(#REF!,"AAAAABeX30w=")</f>
        <v>#REF!</v>
      </c>
      <c r="BZ70" t="e">
        <f>AND(#REF!,"AAAAABeX300=")</f>
        <v>#REF!</v>
      </c>
      <c r="CA70" t="e">
        <f>IF(#REF!,"AAAAABeX304=",0)</f>
        <v>#REF!</v>
      </c>
      <c r="CB70" t="e">
        <f>AND(#REF!,"AAAAABeX308=")</f>
        <v>#REF!</v>
      </c>
      <c r="CC70" t="e">
        <f>AND(#REF!,"AAAAABeX31A=")</f>
        <v>#REF!</v>
      </c>
      <c r="CD70" t="e">
        <f>IF(#REF!,"AAAAABeX31E=",0)</f>
        <v>#REF!</v>
      </c>
      <c r="CE70" t="e">
        <f>AND(#REF!,"AAAAABeX31I=")</f>
        <v>#REF!</v>
      </c>
      <c r="CF70" t="e">
        <f>AND(#REF!,"AAAAABeX31M=")</f>
        <v>#REF!</v>
      </c>
      <c r="CG70" t="e">
        <f>IF(#REF!,"AAAAABeX31Q=",0)</f>
        <v>#REF!</v>
      </c>
      <c r="CH70" t="e">
        <f>AND(#REF!,"AAAAABeX31U=")</f>
        <v>#REF!</v>
      </c>
      <c r="CI70" t="e">
        <f>AND(#REF!,"AAAAABeX31Y=")</f>
        <v>#REF!</v>
      </c>
      <c r="CJ70" t="e">
        <f>IF(#REF!,"AAAAABeX31c=",0)</f>
        <v>#REF!</v>
      </c>
      <c r="CK70" t="e">
        <f>AND(#REF!,"AAAAABeX31g=")</f>
        <v>#REF!</v>
      </c>
      <c r="CL70" t="e">
        <f>AND(#REF!,"AAAAABeX31k=")</f>
        <v>#REF!</v>
      </c>
      <c r="CM70" t="e">
        <f>IF(#REF!,"AAAAABeX31o=",0)</f>
        <v>#REF!</v>
      </c>
      <c r="CN70" t="e">
        <f>AND(#REF!,"AAAAABeX31s=")</f>
        <v>#REF!</v>
      </c>
      <c r="CO70" t="e">
        <f>AND(#REF!,"AAAAABeX31w=")</f>
        <v>#REF!</v>
      </c>
      <c r="CP70" t="e">
        <f>IF(#REF!,"AAAAABeX310=",0)</f>
        <v>#REF!</v>
      </c>
      <c r="CQ70" t="e">
        <f>AND(#REF!,"AAAAABeX314=")</f>
        <v>#REF!</v>
      </c>
      <c r="CR70" t="e">
        <f>AND(#REF!,"AAAAABeX318=")</f>
        <v>#REF!</v>
      </c>
      <c r="CS70" t="e">
        <f>IF(#REF!,"AAAAABeX32A=",0)</f>
        <v>#REF!</v>
      </c>
      <c r="CT70" t="e">
        <f>AND(#REF!,"AAAAABeX32E=")</f>
        <v>#REF!</v>
      </c>
      <c r="CU70" t="e">
        <f>AND(#REF!,"AAAAABeX32I=")</f>
        <v>#REF!</v>
      </c>
      <c r="CV70" t="e">
        <f>IF(#REF!,"AAAAABeX32M=",0)</f>
        <v>#REF!</v>
      </c>
      <c r="CW70" t="e">
        <f>AND(#REF!,"AAAAABeX32Q=")</f>
        <v>#REF!</v>
      </c>
      <c r="CX70" t="e">
        <f>AND(#REF!,"AAAAABeX32U=")</f>
        <v>#REF!</v>
      </c>
      <c r="CY70" t="e">
        <f>IF(#REF!,"AAAAABeX32Y=",0)</f>
        <v>#REF!</v>
      </c>
      <c r="CZ70" t="e">
        <f>AND(#REF!,"AAAAABeX32c=")</f>
        <v>#REF!</v>
      </c>
      <c r="DA70" t="e">
        <f>AND(#REF!,"AAAAABeX32g=")</f>
        <v>#REF!</v>
      </c>
      <c r="DB70" t="e">
        <f>IF(#REF!,"AAAAABeX32k=",0)</f>
        <v>#REF!</v>
      </c>
      <c r="DC70" t="e">
        <f>AND(#REF!,"AAAAABeX32o=")</f>
        <v>#REF!</v>
      </c>
      <c r="DD70" t="e">
        <f>AND(#REF!,"AAAAABeX32s=")</f>
        <v>#REF!</v>
      </c>
      <c r="DE70" t="e">
        <f>IF(#REF!,"AAAAABeX32w=",0)</f>
        <v>#REF!</v>
      </c>
      <c r="DF70" t="e">
        <f>AND(#REF!,"AAAAABeX320=")</f>
        <v>#REF!</v>
      </c>
      <c r="DG70" t="e">
        <f>AND(#REF!,"AAAAABeX324=")</f>
        <v>#REF!</v>
      </c>
      <c r="DH70" t="e">
        <f>IF(#REF!,"AAAAABeX328=",0)</f>
        <v>#REF!</v>
      </c>
      <c r="DI70" t="e">
        <f>AND(#REF!,"AAAAABeX33A=")</f>
        <v>#REF!</v>
      </c>
      <c r="DJ70" t="e">
        <f>AND(#REF!,"AAAAABeX33E=")</f>
        <v>#REF!</v>
      </c>
      <c r="DK70" t="e">
        <f>IF(#REF!,"AAAAABeX33I=",0)</f>
        <v>#REF!</v>
      </c>
      <c r="DL70" t="e">
        <f>AND(#REF!,"AAAAABeX33M=")</f>
        <v>#REF!</v>
      </c>
      <c r="DM70" t="e">
        <f>AND(#REF!,"AAAAABeX33Q=")</f>
        <v>#REF!</v>
      </c>
      <c r="DN70" t="e">
        <f>IF(#REF!,"AAAAABeX33U=",0)</f>
        <v>#REF!</v>
      </c>
      <c r="DO70" t="e">
        <f>AND(#REF!,"AAAAABeX33Y=")</f>
        <v>#REF!</v>
      </c>
      <c r="DP70" t="e">
        <f>AND(#REF!,"AAAAABeX33c=")</f>
        <v>#REF!</v>
      </c>
      <c r="DQ70" t="e">
        <f>IF(#REF!,"AAAAABeX33g=",0)</f>
        <v>#REF!</v>
      </c>
      <c r="DR70" t="e">
        <f>AND(#REF!,"AAAAABeX33k=")</f>
        <v>#REF!</v>
      </c>
      <c r="DS70" t="e">
        <f>AND(#REF!,"AAAAABeX33o=")</f>
        <v>#REF!</v>
      </c>
      <c r="DT70" t="e">
        <f>IF(#REF!,"AAAAABeX33s=",0)</f>
        <v>#REF!</v>
      </c>
      <c r="DU70" t="e">
        <f>AND(#REF!,"AAAAABeX33w=")</f>
        <v>#REF!</v>
      </c>
      <c r="DV70" t="e">
        <f>AND(#REF!,"AAAAABeX330=")</f>
        <v>#REF!</v>
      </c>
      <c r="DW70" t="e">
        <f>IF(#REF!,"AAAAABeX334=",0)</f>
        <v>#REF!</v>
      </c>
      <c r="DX70" t="e">
        <f>AND(#REF!,"AAAAABeX338=")</f>
        <v>#REF!</v>
      </c>
      <c r="DY70" t="e">
        <f>AND(#REF!,"AAAAABeX34A=")</f>
        <v>#REF!</v>
      </c>
      <c r="DZ70" t="e">
        <f>IF(#REF!,"AAAAABeX34E=",0)</f>
        <v>#REF!</v>
      </c>
      <c r="EA70" t="e">
        <f>AND(#REF!,"AAAAABeX34I=")</f>
        <v>#REF!</v>
      </c>
      <c r="EB70" t="e">
        <f>AND(#REF!,"AAAAABeX34M=")</f>
        <v>#REF!</v>
      </c>
      <c r="EC70" t="e">
        <f>IF(#REF!,"AAAAABeX34Q=",0)</f>
        <v>#REF!</v>
      </c>
      <c r="ED70" t="e">
        <f>AND(#REF!,"AAAAABeX34U=")</f>
        <v>#REF!</v>
      </c>
      <c r="EE70" t="e">
        <f>AND(#REF!,"AAAAABeX34Y=")</f>
        <v>#REF!</v>
      </c>
      <c r="EF70" t="e">
        <f>IF(#REF!,"AAAAABeX34c=",0)</f>
        <v>#REF!</v>
      </c>
      <c r="EG70" t="e">
        <f>AND(#REF!,"AAAAABeX34g=")</f>
        <v>#REF!</v>
      </c>
      <c r="EH70" t="e">
        <f>AND(#REF!,"AAAAABeX34k=")</f>
        <v>#REF!</v>
      </c>
      <c r="EI70" t="e">
        <f>IF(#REF!,"AAAAABeX34o=",0)</f>
        <v>#REF!</v>
      </c>
      <c r="EJ70" t="e">
        <f>AND(#REF!,"AAAAABeX34s=")</f>
        <v>#REF!</v>
      </c>
      <c r="EK70" t="e">
        <f>AND(#REF!,"AAAAABeX34w=")</f>
        <v>#REF!</v>
      </c>
      <c r="EL70" t="e">
        <f>IF(#REF!,"AAAAABeX340=",0)</f>
        <v>#REF!</v>
      </c>
      <c r="EM70" t="e">
        <f>AND(#REF!,"AAAAABeX344=")</f>
        <v>#REF!</v>
      </c>
      <c r="EN70" t="e">
        <f>AND(#REF!,"AAAAABeX348=")</f>
        <v>#REF!</v>
      </c>
      <c r="EO70" t="e">
        <f>IF(#REF!,"AAAAABeX35A=",0)</f>
        <v>#REF!</v>
      </c>
      <c r="EP70" t="e">
        <f>AND(#REF!,"AAAAABeX35E=")</f>
        <v>#REF!</v>
      </c>
      <c r="EQ70" t="e">
        <f>AND(#REF!,"AAAAABeX35I=")</f>
        <v>#REF!</v>
      </c>
      <c r="ER70" t="e">
        <f>IF(#REF!,"AAAAABeX35M=",0)</f>
        <v>#REF!</v>
      </c>
      <c r="ES70" t="e">
        <f>AND(#REF!,"AAAAABeX35Q=")</f>
        <v>#REF!</v>
      </c>
      <c r="ET70" t="e">
        <f>AND(#REF!,"AAAAABeX35U=")</f>
        <v>#REF!</v>
      </c>
      <c r="EU70" t="e">
        <f>IF(#REF!,"AAAAABeX35Y=",0)</f>
        <v>#REF!</v>
      </c>
      <c r="EV70" t="e">
        <f>AND(#REF!,"AAAAABeX35c=")</f>
        <v>#REF!</v>
      </c>
      <c r="EW70" t="e">
        <f>AND(#REF!,"AAAAABeX35g=")</f>
        <v>#REF!</v>
      </c>
      <c r="EX70" t="e">
        <f>IF(#REF!,"AAAAABeX35k=",0)</f>
        <v>#REF!</v>
      </c>
      <c r="EY70" t="e">
        <f>AND(#REF!,"AAAAABeX35o=")</f>
        <v>#REF!</v>
      </c>
      <c r="EZ70" t="e">
        <f>AND(#REF!,"AAAAABeX35s=")</f>
        <v>#REF!</v>
      </c>
      <c r="FA70" t="e">
        <f>IF(#REF!,"AAAAABeX35w=",0)</f>
        <v>#REF!</v>
      </c>
      <c r="FB70" t="e">
        <f>AND(#REF!,"AAAAABeX350=")</f>
        <v>#REF!</v>
      </c>
      <c r="FC70" t="e">
        <f>AND(#REF!,"AAAAABeX354=")</f>
        <v>#REF!</v>
      </c>
      <c r="FD70" t="e">
        <f>IF(#REF!,"AAAAABeX358=",0)</f>
        <v>#REF!</v>
      </c>
      <c r="FE70" t="e">
        <f>AND(#REF!,"AAAAABeX36A=")</f>
        <v>#REF!</v>
      </c>
      <c r="FF70" t="e">
        <f>AND(#REF!,"AAAAABeX36E=")</f>
        <v>#REF!</v>
      </c>
      <c r="FG70" t="e">
        <f>IF(#REF!,"AAAAABeX36I=",0)</f>
        <v>#REF!</v>
      </c>
      <c r="FH70" t="e">
        <f>AND(#REF!,"AAAAABeX36M=")</f>
        <v>#REF!</v>
      </c>
      <c r="FI70" t="e">
        <f>AND(#REF!,"AAAAABeX36Q=")</f>
        <v>#REF!</v>
      </c>
      <c r="FJ70" t="e">
        <f>IF(#REF!,"AAAAABeX36U=",0)</f>
        <v>#REF!</v>
      </c>
      <c r="FK70" t="e">
        <f>AND(#REF!,"AAAAABeX36Y=")</f>
        <v>#REF!</v>
      </c>
      <c r="FL70" t="e">
        <f>AND(#REF!,"AAAAABeX36c=")</f>
        <v>#REF!</v>
      </c>
      <c r="FM70" t="e">
        <f>IF(#REF!,"AAAAABeX36g=",0)</f>
        <v>#REF!</v>
      </c>
      <c r="FN70" t="e">
        <f>AND(#REF!,"AAAAABeX36k=")</f>
        <v>#REF!</v>
      </c>
      <c r="FO70" t="e">
        <f>AND(#REF!,"AAAAABeX36o=")</f>
        <v>#REF!</v>
      </c>
      <c r="FP70" t="e">
        <f>IF(#REF!,"AAAAABeX36s=",0)</f>
        <v>#REF!</v>
      </c>
      <c r="FQ70" t="e">
        <f>AND(#REF!,"AAAAABeX36w=")</f>
        <v>#REF!</v>
      </c>
      <c r="FR70" t="e">
        <f>AND(#REF!,"AAAAABeX360=")</f>
        <v>#REF!</v>
      </c>
      <c r="FS70" t="e">
        <f>IF(#REF!,"AAAAABeX364=",0)</f>
        <v>#REF!</v>
      </c>
      <c r="FT70" t="e">
        <f>AND(#REF!,"AAAAABeX368=")</f>
        <v>#REF!</v>
      </c>
      <c r="FU70" t="e">
        <f>AND(#REF!,"AAAAABeX37A=")</f>
        <v>#REF!</v>
      </c>
      <c r="FV70" t="e">
        <f>IF(#REF!,"AAAAABeX37E=",0)</f>
        <v>#REF!</v>
      </c>
      <c r="FW70" t="e">
        <f>AND(#REF!,"AAAAABeX37I=")</f>
        <v>#REF!</v>
      </c>
      <c r="FX70" t="e">
        <f>AND(#REF!,"AAAAABeX37M=")</f>
        <v>#REF!</v>
      </c>
      <c r="FY70" t="e">
        <f>IF(#REF!,"AAAAABeX37Q=",0)</f>
        <v>#REF!</v>
      </c>
      <c r="FZ70" t="e">
        <f>AND(#REF!,"AAAAABeX37U=")</f>
        <v>#REF!</v>
      </c>
      <c r="GA70" t="e">
        <f>AND(#REF!,"AAAAABeX37Y=")</f>
        <v>#REF!</v>
      </c>
      <c r="GB70" t="e">
        <f>IF(#REF!,"AAAAABeX37c=",0)</f>
        <v>#REF!</v>
      </c>
      <c r="GC70" t="e">
        <f>AND(#REF!,"AAAAABeX37g=")</f>
        <v>#REF!</v>
      </c>
      <c r="GD70" t="e">
        <f>AND(#REF!,"AAAAABeX37k=")</f>
        <v>#REF!</v>
      </c>
      <c r="GE70" t="e">
        <f>IF(#REF!,"AAAAABeX37o=",0)</f>
        <v>#REF!</v>
      </c>
      <c r="GF70" t="e">
        <f>AND(#REF!,"AAAAABeX37s=")</f>
        <v>#REF!</v>
      </c>
      <c r="GG70" t="e">
        <f>AND(#REF!,"AAAAABeX37w=")</f>
        <v>#REF!</v>
      </c>
      <c r="GH70" t="e">
        <f>IF(#REF!,"AAAAABeX370=",0)</f>
        <v>#REF!</v>
      </c>
      <c r="GI70" t="e">
        <f>AND(#REF!,"AAAAABeX374=")</f>
        <v>#REF!</v>
      </c>
      <c r="GJ70" t="e">
        <f>AND(#REF!,"AAAAABeX378=")</f>
        <v>#REF!</v>
      </c>
      <c r="GK70" t="e">
        <f>IF(#REF!,"AAAAABeX38A=",0)</f>
        <v>#REF!</v>
      </c>
      <c r="GL70" t="e">
        <f>AND(#REF!,"AAAAABeX38E=")</f>
        <v>#REF!</v>
      </c>
      <c r="GM70" t="e">
        <f>AND(#REF!,"AAAAABeX38I=")</f>
        <v>#REF!</v>
      </c>
      <c r="GN70" t="e">
        <f>IF(#REF!,"AAAAABeX38M=",0)</f>
        <v>#REF!</v>
      </c>
      <c r="GO70" t="e">
        <f>AND(#REF!,"AAAAABeX38Q=")</f>
        <v>#REF!</v>
      </c>
      <c r="GP70" t="e">
        <f>AND(#REF!,"AAAAABeX38U=")</f>
        <v>#REF!</v>
      </c>
      <c r="GQ70" t="e">
        <f>IF(#REF!,"AAAAABeX38Y=",0)</f>
        <v>#REF!</v>
      </c>
      <c r="GR70" t="e">
        <f>AND(#REF!,"AAAAABeX38c=")</f>
        <v>#REF!</v>
      </c>
      <c r="GS70" t="e">
        <f>AND(#REF!,"AAAAABeX38g=")</f>
        <v>#REF!</v>
      </c>
      <c r="GT70" t="e">
        <f>IF(#REF!,"AAAAABeX38k=",0)</f>
        <v>#REF!</v>
      </c>
      <c r="GU70" t="e">
        <f>AND(#REF!,"AAAAABeX38o=")</f>
        <v>#REF!</v>
      </c>
      <c r="GV70" t="e">
        <f>AND(#REF!,"AAAAABeX38s=")</f>
        <v>#REF!</v>
      </c>
      <c r="GW70" t="e">
        <f>IF(#REF!,"AAAAABeX38w=",0)</f>
        <v>#REF!</v>
      </c>
      <c r="GX70" t="e">
        <f>AND(#REF!,"AAAAABeX380=")</f>
        <v>#REF!</v>
      </c>
      <c r="GY70" t="e">
        <f>AND(#REF!,"AAAAABeX384=")</f>
        <v>#REF!</v>
      </c>
      <c r="GZ70" t="e">
        <f>IF(#REF!,"AAAAABeX388=",0)</f>
        <v>#REF!</v>
      </c>
      <c r="HA70" t="e">
        <f>AND(#REF!,"AAAAABeX39A=")</f>
        <v>#REF!</v>
      </c>
      <c r="HB70" t="e">
        <f>AND(#REF!,"AAAAABeX39E=")</f>
        <v>#REF!</v>
      </c>
      <c r="HC70" t="e">
        <f>IF(#REF!,"AAAAABeX39I=",0)</f>
        <v>#REF!</v>
      </c>
      <c r="HD70" t="e">
        <f>AND(#REF!,"AAAAABeX39M=")</f>
        <v>#REF!</v>
      </c>
      <c r="HE70" t="e">
        <f>AND(#REF!,"AAAAABeX39Q=")</f>
        <v>#REF!</v>
      </c>
      <c r="HF70" t="e">
        <f>IF(#REF!,"AAAAABeX39U=",0)</f>
        <v>#REF!</v>
      </c>
      <c r="HG70" t="e">
        <f>AND(#REF!,"AAAAABeX39Y=")</f>
        <v>#REF!</v>
      </c>
      <c r="HH70" t="e">
        <f>AND(#REF!,"AAAAABeX39c=")</f>
        <v>#REF!</v>
      </c>
      <c r="HI70" t="e">
        <f>IF(#REF!,"AAAAABeX39g=",0)</f>
        <v>#REF!</v>
      </c>
      <c r="HJ70" t="e">
        <f>AND(#REF!,"AAAAABeX39k=")</f>
        <v>#REF!</v>
      </c>
      <c r="HK70" t="e">
        <f>AND(#REF!,"AAAAABeX39o=")</f>
        <v>#REF!</v>
      </c>
      <c r="HL70" t="e">
        <f>IF(#REF!,"AAAAABeX39s=",0)</f>
        <v>#REF!</v>
      </c>
      <c r="HM70" t="e">
        <f>AND(#REF!,"AAAAABeX39w=")</f>
        <v>#REF!</v>
      </c>
      <c r="HN70" t="e">
        <f>AND(#REF!,"AAAAABeX390=")</f>
        <v>#REF!</v>
      </c>
      <c r="HO70" t="e">
        <f>IF(#REF!,"AAAAABeX394=",0)</f>
        <v>#REF!</v>
      </c>
      <c r="HP70" t="e">
        <f>AND(#REF!,"AAAAABeX398=")</f>
        <v>#REF!</v>
      </c>
      <c r="HQ70" t="e">
        <f>AND(#REF!,"AAAAABeX3+A=")</f>
        <v>#REF!</v>
      </c>
      <c r="HR70" t="e">
        <f>IF(#REF!,"AAAAABeX3+E=",0)</f>
        <v>#REF!</v>
      </c>
      <c r="HS70" t="e">
        <f>AND(#REF!,"AAAAABeX3+I=")</f>
        <v>#REF!</v>
      </c>
      <c r="HT70" t="e">
        <f>AND(#REF!,"AAAAABeX3+M=")</f>
        <v>#REF!</v>
      </c>
      <c r="HU70" t="e">
        <f>IF(#REF!,"AAAAABeX3+Q=",0)</f>
        <v>#REF!</v>
      </c>
      <c r="HV70" t="e">
        <f>AND(#REF!,"AAAAABeX3+U=")</f>
        <v>#REF!</v>
      </c>
      <c r="HW70" t="e">
        <f>AND(#REF!,"AAAAABeX3+Y=")</f>
        <v>#REF!</v>
      </c>
      <c r="HX70" t="e">
        <f>IF(#REF!,"AAAAABeX3+c=",0)</f>
        <v>#REF!</v>
      </c>
      <c r="HY70" t="e">
        <f>AND(#REF!,"AAAAABeX3+g=")</f>
        <v>#REF!</v>
      </c>
      <c r="HZ70" t="e">
        <f>AND(#REF!,"AAAAABeX3+k=")</f>
        <v>#REF!</v>
      </c>
      <c r="IA70" t="e">
        <f>IF(#REF!,"AAAAABeX3+o=",0)</f>
        <v>#REF!</v>
      </c>
      <c r="IB70" t="e">
        <f>AND(#REF!,"AAAAABeX3+s=")</f>
        <v>#REF!</v>
      </c>
      <c r="IC70" t="e">
        <f>AND(#REF!,"AAAAABeX3+w=")</f>
        <v>#REF!</v>
      </c>
      <c r="ID70" t="e">
        <f>IF(#REF!,"AAAAABeX3+0=",0)</f>
        <v>#REF!</v>
      </c>
      <c r="IE70" t="e">
        <f>AND(#REF!,"AAAAABeX3+4=")</f>
        <v>#REF!</v>
      </c>
      <c r="IF70" t="e">
        <f>AND(#REF!,"AAAAABeX3+8=")</f>
        <v>#REF!</v>
      </c>
      <c r="IG70" t="e">
        <f>IF(#REF!,"AAAAABeX3/A=",0)</f>
        <v>#REF!</v>
      </c>
      <c r="IH70" t="e">
        <f>AND(#REF!,"AAAAABeX3/E=")</f>
        <v>#REF!</v>
      </c>
      <c r="II70" t="e">
        <f>AND(#REF!,"AAAAABeX3/I=")</f>
        <v>#REF!</v>
      </c>
      <c r="IJ70" t="e">
        <f>IF(#REF!,"AAAAABeX3/M=",0)</f>
        <v>#REF!</v>
      </c>
      <c r="IK70" t="e">
        <f>AND(#REF!,"AAAAABeX3/Q=")</f>
        <v>#REF!</v>
      </c>
      <c r="IL70" t="e">
        <f>AND(#REF!,"AAAAABeX3/U=")</f>
        <v>#REF!</v>
      </c>
      <c r="IM70" t="e">
        <f>IF(#REF!,"AAAAABeX3/Y=",0)</f>
        <v>#REF!</v>
      </c>
      <c r="IN70" t="e">
        <f>AND(#REF!,"AAAAABeX3/c=")</f>
        <v>#REF!</v>
      </c>
      <c r="IO70" t="e">
        <f>AND(#REF!,"AAAAABeX3/g=")</f>
        <v>#REF!</v>
      </c>
      <c r="IP70" t="e">
        <f>IF(#REF!,"AAAAABeX3/k=",0)</f>
        <v>#REF!</v>
      </c>
      <c r="IQ70" t="e">
        <f>AND(#REF!,"AAAAABeX3/o=")</f>
        <v>#REF!</v>
      </c>
      <c r="IR70" t="e">
        <f>AND(#REF!,"AAAAABeX3/s=")</f>
        <v>#REF!</v>
      </c>
      <c r="IS70" t="e">
        <f>IF(#REF!,"AAAAABeX3/w=",0)</f>
        <v>#REF!</v>
      </c>
      <c r="IT70" t="e">
        <f>AND(#REF!,"AAAAABeX3/0=")</f>
        <v>#REF!</v>
      </c>
      <c r="IU70" t="e">
        <f>AND(#REF!,"AAAAABeX3/4=")</f>
        <v>#REF!</v>
      </c>
      <c r="IV70" t="e">
        <f>IF(#REF!,"AAAAABeX3/8=",0)</f>
        <v>#REF!</v>
      </c>
    </row>
    <row r="71" spans="1:256">
      <c r="A71" t="e">
        <f>AND(#REF!,"AAAAAH/64QA=")</f>
        <v>#REF!</v>
      </c>
      <c r="B71" t="e">
        <f>AND(#REF!,"AAAAAH/64QE=")</f>
        <v>#REF!</v>
      </c>
      <c r="C71" t="e">
        <f>IF(#REF!,"AAAAAH/64QI=",0)</f>
        <v>#REF!</v>
      </c>
      <c r="D71" t="e">
        <f>AND(#REF!,"AAAAAH/64QM=")</f>
        <v>#REF!</v>
      </c>
      <c r="E71" t="e">
        <f>AND(#REF!,"AAAAAH/64QQ=")</f>
        <v>#REF!</v>
      </c>
      <c r="F71" t="e">
        <f>IF(#REF!,"AAAAAH/64QU=",0)</f>
        <v>#REF!</v>
      </c>
      <c r="G71" t="e">
        <f>AND(#REF!,"AAAAAH/64QY=")</f>
        <v>#REF!</v>
      </c>
      <c r="H71" t="e">
        <f>AND(#REF!,"AAAAAH/64Qc=")</f>
        <v>#REF!</v>
      </c>
      <c r="I71" t="e">
        <f>IF(#REF!,"AAAAAH/64Qg=",0)</f>
        <v>#REF!</v>
      </c>
      <c r="J71" t="e">
        <f>AND(#REF!,"AAAAAH/64Qk=")</f>
        <v>#REF!</v>
      </c>
      <c r="K71" t="e">
        <f>AND(#REF!,"AAAAAH/64Qo=")</f>
        <v>#REF!</v>
      </c>
      <c r="L71" t="e">
        <f>IF(#REF!,"AAAAAH/64Qs=",0)</f>
        <v>#REF!</v>
      </c>
      <c r="M71" t="e">
        <f>AND(#REF!,"AAAAAH/64Qw=")</f>
        <v>#REF!</v>
      </c>
      <c r="N71" t="e">
        <f>AND(#REF!,"AAAAAH/64Q0=")</f>
        <v>#REF!</v>
      </c>
      <c r="O71" t="e">
        <f>IF(#REF!,"AAAAAH/64Q4=",0)</f>
        <v>#REF!</v>
      </c>
      <c r="P71" t="e">
        <f>AND(#REF!,"AAAAAH/64Q8=")</f>
        <v>#REF!</v>
      </c>
      <c r="Q71" t="e">
        <f>AND(#REF!,"AAAAAH/64RA=")</f>
        <v>#REF!</v>
      </c>
      <c r="R71" t="e">
        <f>IF(#REF!,"AAAAAH/64RE=",0)</f>
        <v>#REF!</v>
      </c>
      <c r="S71" t="e">
        <f>AND(#REF!,"AAAAAH/64RI=")</f>
        <v>#REF!</v>
      </c>
      <c r="T71" t="e">
        <f>AND(#REF!,"AAAAAH/64RM=")</f>
        <v>#REF!</v>
      </c>
      <c r="U71" t="e">
        <f>IF(#REF!,"AAAAAH/64RQ=",0)</f>
        <v>#REF!</v>
      </c>
      <c r="V71" t="e">
        <f>AND(#REF!,"AAAAAH/64RU=")</f>
        <v>#REF!</v>
      </c>
      <c r="W71" t="e">
        <f>AND(#REF!,"AAAAAH/64RY=")</f>
        <v>#REF!</v>
      </c>
      <c r="X71" t="e">
        <f>IF(#REF!,"AAAAAH/64Rc=",0)</f>
        <v>#REF!</v>
      </c>
      <c r="Y71" t="e">
        <f>AND(#REF!,"AAAAAH/64Rg=")</f>
        <v>#REF!</v>
      </c>
      <c r="Z71" t="e">
        <f>AND(#REF!,"AAAAAH/64Rk=")</f>
        <v>#REF!</v>
      </c>
      <c r="AA71" t="e">
        <f>IF(#REF!,"AAAAAH/64Ro=",0)</f>
        <v>#REF!</v>
      </c>
      <c r="AB71" t="e">
        <f>AND(#REF!,"AAAAAH/64Rs=")</f>
        <v>#REF!</v>
      </c>
      <c r="AC71" t="e">
        <f>AND(#REF!,"AAAAAH/64Rw=")</f>
        <v>#REF!</v>
      </c>
      <c r="AD71" t="e">
        <f>IF(#REF!,"AAAAAH/64R0=",0)</f>
        <v>#REF!</v>
      </c>
      <c r="AE71" t="e">
        <f>AND(#REF!,"AAAAAH/64R4=")</f>
        <v>#REF!</v>
      </c>
      <c r="AF71" t="e">
        <f>AND(#REF!,"AAAAAH/64R8=")</f>
        <v>#REF!</v>
      </c>
      <c r="AG71" t="e">
        <f>IF(#REF!,"AAAAAH/64SA=",0)</f>
        <v>#REF!</v>
      </c>
      <c r="AH71" t="e">
        <f>AND(#REF!,"AAAAAH/64SE=")</f>
        <v>#REF!</v>
      </c>
      <c r="AI71" t="e">
        <f>AND(#REF!,"AAAAAH/64SI=")</f>
        <v>#REF!</v>
      </c>
      <c r="AJ71" t="e">
        <f>IF(#REF!,"AAAAAH/64SM=",0)</f>
        <v>#REF!</v>
      </c>
      <c r="AK71" t="e">
        <f>AND(#REF!,"AAAAAH/64SQ=")</f>
        <v>#REF!</v>
      </c>
      <c r="AL71" t="e">
        <f>AND(#REF!,"AAAAAH/64SU=")</f>
        <v>#REF!</v>
      </c>
      <c r="AM71" t="e">
        <f>IF(#REF!,"AAAAAH/64SY=",0)</f>
        <v>#REF!</v>
      </c>
      <c r="AN71" t="e">
        <f>AND(#REF!,"AAAAAH/64Sc=")</f>
        <v>#REF!</v>
      </c>
      <c r="AO71" t="e">
        <f>AND(#REF!,"AAAAAH/64Sg=")</f>
        <v>#REF!</v>
      </c>
      <c r="AP71" t="e">
        <f>IF(#REF!,"AAAAAH/64Sk=",0)</f>
        <v>#REF!</v>
      </c>
      <c r="AQ71" t="e">
        <f>AND(#REF!,"AAAAAH/64So=")</f>
        <v>#REF!</v>
      </c>
      <c r="AR71" t="e">
        <f>AND(#REF!,"AAAAAH/64Ss=")</f>
        <v>#REF!</v>
      </c>
      <c r="AS71" t="e">
        <f>IF(#REF!,"AAAAAH/64Sw=",0)</f>
        <v>#REF!</v>
      </c>
      <c r="AT71" t="e">
        <f>AND(#REF!,"AAAAAH/64S0=")</f>
        <v>#REF!</v>
      </c>
      <c r="AU71" t="e">
        <f>AND(#REF!,"AAAAAH/64S4=")</f>
        <v>#REF!</v>
      </c>
      <c r="AV71" t="e">
        <f>IF(#REF!,"AAAAAH/64S8=",0)</f>
        <v>#REF!</v>
      </c>
      <c r="AW71" t="e">
        <f>AND(#REF!,"AAAAAH/64TA=")</f>
        <v>#REF!</v>
      </c>
      <c r="AX71" t="e">
        <f>AND(#REF!,"AAAAAH/64TE=")</f>
        <v>#REF!</v>
      </c>
      <c r="AY71" t="e">
        <f>IF(#REF!,"AAAAAH/64TI=",0)</f>
        <v>#REF!</v>
      </c>
      <c r="AZ71" t="e">
        <f>AND(#REF!,"AAAAAH/64TM=")</f>
        <v>#REF!</v>
      </c>
      <c r="BA71" t="e">
        <f>AND(#REF!,"AAAAAH/64TQ=")</f>
        <v>#REF!</v>
      </c>
      <c r="BB71" t="e">
        <f>IF(#REF!,"AAAAAH/64TU=",0)</f>
        <v>#REF!</v>
      </c>
      <c r="BC71" t="e">
        <f>AND(#REF!,"AAAAAH/64TY=")</f>
        <v>#REF!</v>
      </c>
      <c r="BD71" t="e">
        <f>AND(#REF!,"AAAAAH/64Tc=")</f>
        <v>#REF!</v>
      </c>
      <c r="BE71" t="e">
        <f>IF(#REF!,"AAAAAH/64Tg=",0)</f>
        <v>#REF!</v>
      </c>
      <c r="BF71" t="e">
        <f>AND(#REF!,"AAAAAH/64Tk=")</f>
        <v>#REF!</v>
      </c>
      <c r="BG71" t="e">
        <f>AND(#REF!,"AAAAAH/64To=")</f>
        <v>#REF!</v>
      </c>
      <c r="BH71" t="e">
        <f>IF(#REF!,"AAAAAH/64Ts=",0)</f>
        <v>#REF!</v>
      </c>
      <c r="BI71" t="e">
        <f>AND(#REF!,"AAAAAH/64Tw=")</f>
        <v>#REF!</v>
      </c>
      <c r="BJ71" t="e">
        <f>AND(#REF!,"AAAAAH/64T0=")</f>
        <v>#REF!</v>
      </c>
      <c r="BK71" t="e">
        <f>IF(#REF!,"AAAAAH/64T4=",0)</f>
        <v>#REF!</v>
      </c>
      <c r="BL71" t="e">
        <f>AND(#REF!,"AAAAAH/64T8=")</f>
        <v>#REF!</v>
      </c>
      <c r="BM71" t="e">
        <f>AND(#REF!,"AAAAAH/64UA=")</f>
        <v>#REF!</v>
      </c>
      <c r="BN71" t="e">
        <f>IF(#REF!,"AAAAAH/64UE=",0)</f>
        <v>#REF!</v>
      </c>
      <c r="BO71" t="e">
        <f>AND(#REF!,"AAAAAH/64UI=")</f>
        <v>#REF!</v>
      </c>
      <c r="BP71" t="e">
        <f>AND(#REF!,"AAAAAH/64UM=")</f>
        <v>#REF!</v>
      </c>
      <c r="BQ71" t="e">
        <f>IF(#REF!,"AAAAAH/64UQ=",0)</f>
        <v>#REF!</v>
      </c>
      <c r="BR71" t="e">
        <f>AND(#REF!,"AAAAAH/64UU=")</f>
        <v>#REF!</v>
      </c>
      <c r="BS71" t="e">
        <f>AND(#REF!,"AAAAAH/64UY=")</f>
        <v>#REF!</v>
      </c>
      <c r="BT71" t="e">
        <f>IF(#REF!,"AAAAAH/64Uc=",0)</f>
        <v>#REF!</v>
      </c>
      <c r="BU71" t="e">
        <f>AND(#REF!,"AAAAAH/64Ug=")</f>
        <v>#REF!</v>
      </c>
      <c r="BV71" t="e">
        <f>AND(#REF!,"AAAAAH/64Uk=")</f>
        <v>#REF!</v>
      </c>
      <c r="BW71" t="e">
        <f>IF(#REF!,"AAAAAH/64Uo=",0)</f>
        <v>#REF!</v>
      </c>
      <c r="BX71" t="e">
        <f>AND(#REF!,"AAAAAH/64Us=")</f>
        <v>#REF!</v>
      </c>
      <c r="BY71" t="e">
        <f>AND(#REF!,"AAAAAH/64Uw=")</f>
        <v>#REF!</v>
      </c>
      <c r="BZ71" t="e">
        <f>IF(#REF!,"AAAAAH/64U0=",0)</f>
        <v>#REF!</v>
      </c>
      <c r="CA71" t="e">
        <f>AND(#REF!,"AAAAAH/64U4=")</f>
        <v>#REF!</v>
      </c>
      <c r="CB71" t="e">
        <f>AND(#REF!,"AAAAAH/64U8=")</f>
        <v>#REF!</v>
      </c>
      <c r="CC71" t="e">
        <f>IF(#REF!,"AAAAAH/64VA=",0)</f>
        <v>#REF!</v>
      </c>
      <c r="CD71" t="e">
        <f>AND(#REF!,"AAAAAH/64VE=")</f>
        <v>#REF!</v>
      </c>
      <c r="CE71" t="e">
        <f>AND(#REF!,"AAAAAH/64VI=")</f>
        <v>#REF!</v>
      </c>
      <c r="CF71" t="e">
        <f>IF(#REF!,"AAAAAH/64VM=",0)</f>
        <v>#REF!</v>
      </c>
      <c r="CG71" t="e">
        <f>AND(#REF!,"AAAAAH/64VQ=")</f>
        <v>#REF!</v>
      </c>
      <c r="CH71" t="e">
        <f>AND(#REF!,"AAAAAH/64VU=")</f>
        <v>#REF!</v>
      </c>
      <c r="CI71" t="e">
        <f>IF(#REF!,"AAAAAH/64VY=",0)</f>
        <v>#REF!</v>
      </c>
      <c r="CJ71" t="e">
        <f>AND(#REF!,"AAAAAH/64Vc=")</f>
        <v>#REF!</v>
      </c>
      <c r="CK71" t="e">
        <f>AND(#REF!,"AAAAAH/64Vg=")</f>
        <v>#REF!</v>
      </c>
      <c r="CL71" t="e">
        <f>IF(#REF!,"AAAAAH/64Vk=",0)</f>
        <v>#REF!</v>
      </c>
      <c r="CM71" t="e">
        <f>AND(#REF!,"AAAAAH/64Vo=")</f>
        <v>#REF!</v>
      </c>
      <c r="CN71" t="e">
        <f>AND(#REF!,"AAAAAH/64Vs=")</f>
        <v>#REF!</v>
      </c>
      <c r="CO71" t="e">
        <f>IF(#REF!,"AAAAAH/64Vw=",0)</f>
        <v>#REF!</v>
      </c>
      <c r="CP71" t="e">
        <f>AND(#REF!,"AAAAAH/64V0=")</f>
        <v>#REF!</v>
      </c>
      <c r="CQ71" t="e">
        <f>AND(#REF!,"AAAAAH/64V4=")</f>
        <v>#REF!</v>
      </c>
      <c r="CR71" t="e">
        <f>IF(#REF!,"AAAAAH/64V8=",0)</f>
        <v>#REF!</v>
      </c>
      <c r="CS71" t="e">
        <f>AND(#REF!,"AAAAAH/64WA=")</f>
        <v>#REF!</v>
      </c>
      <c r="CT71" t="e">
        <f>AND(#REF!,"AAAAAH/64WE=")</f>
        <v>#REF!</v>
      </c>
      <c r="CU71" t="e">
        <f>IF(#REF!,"AAAAAH/64WI=",0)</f>
        <v>#REF!</v>
      </c>
      <c r="CV71" t="e">
        <f>AND(#REF!,"AAAAAH/64WM=")</f>
        <v>#REF!</v>
      </c>
      <c r="CW71" t="e">
        <f>AND(#REF!,"AAAAAH/64WQ=")</f>
        <v>#REF!</v>
      </c>
      <c r="CX71" t="e">
        <f>IF(#REF!,"AAAAAH/64WU=",0)</f>
        <v>#REF!</v>
      </c>
      <c r="CY71" t="e">
        <f>AND(#REF!,"AAAAAH/64WY=")</f>
        <v>#REF!</v>
      </c>
      <c r="CZ71" t="e">
        <f>AND(#REF!,"AAAAAH/64Wc=")</f>
        <v>#REF!</v>
      </c>
      <c r="DA71" t="e">
        <f>IF(#REF!,"AAAAAH/64Wg=",0)</f>
        <v>#REF!</v>
      </c>
      <c r="DB71" t="e">
        <f>AND(#REF!,"AAAAAH/64Wk=")</f>
        <v>#REF!</v>
      </c>
      <c r="DC71" t="e">
        <f>AND(#REF!,"AAAAAH/64Wo=")</f>
        <v>#REF!</v>
      </c>
      <c r="DD71" t="e">
        <f>IF(#REF!,"AAAAAH/64Ws=",0)</f>
        <v>#REF!</v>
      </c>
      <c r="DE71" t="e">
        <f>AND(#REF!,"AAAAAH/64Ww=")</f>
        <v>#REF!</v>
      </c>
      <c r="DF71" t="e">
        <f>AND(#REF!,"AAAAAH/64W0=")</f>
        <v>#REF!</v>
      </c>
      <c r="DG71" t="e">
        <f>IF(#REF!,"AAAAAH/64W4=",0)</f>
        <v>#REF!</v>
      </c>
      <c r="DH71" t="e">
        <f>AND(#REF!,"AAAAAH/64W8=")</f>
        <v>#REF!</v>
      </c>
      <c r="DI71" t="e">
        <f>AND(#REF!,"AAAAAH/64XA=")</f>
        <v>#REF!</v>
      </c>
      <c r="DJ71" t="e">
        <f>IF(#REF!,"AAAAAH/64XE=",0)</f>
        <v>#REF!</v>
      </c>
      <c r="DK71" t="e">
        <f>AND(#REF!,"AAAAAH/64XI=")</f>
        <v>#REF!</v>
      </c>
      <c r="DL71" t="e">
        <f>AND(#REF!,"AAAAAH/64XM=")</f>
        <v>#REF!</v>
      </c>
      <c r="DM71" t="e">
        <f>IF(#REF!,"AAAAAH/64XQ=",0)</f>
        <v>#REF!</v>
      </c>
      <c r="DN71" t="e">
        <f>AND(#REF!,"AAAAAH/64XU=")</f>
        <v>#REF!</v>
      </c>
      <c r="DO71" t="e">
        <f>AND(#REF!,"AAAAAH/64XY=")</f>
        <v>#REF!</v>
      </c>
      <c r="DP71" t="e">
        <f>IF(#REF!,"AAAAAH/64Xc=",0)</f>
        <v>#REF!</v>
      </c>
      <c r="DQ71" t="e">
        <f>AND(#REF!,"AAAAAH/64Xg=")</f>
        <v>#REF!</v>
      </c>
      <c r="DR71" t="e">
        <f>AND(#REF!,"AAAAAH/64Xk=")</f>
        <v>#REF!</v>
      </c>
      <c r="DS71" t="e">
        <f>IF(#REF!,"AAAAAH/64Xo=",0)</f>
        <v>#REF!</v>
      </c>
      <c r="DT71" t="e">
        <f>AND(#REF!,"AAAAAH/64Xs=")</f>
        <v>#REF!</v>
      </c>
      <c r="DU71" t="e">
        <f>AND(#REF!,"AAAAAH/64Xw=")</f>
        <v>#REF!</v>
      </c>
      <c r="DV71" t="e">
        <f>IF(#REF!,"AAAAAH/64X0=",0)</f>
        <v>#REF!</v>
      </c>
      <c r="DW71" t="e">
        <f>AND(#REF!,"AAAAAH/64X4=")</f>
        <v>#REF!</v>
      </c>
      <c r="DX71" t="e">
        <f>AND(#REF!,"AAAAAH/64X8=")</f>
        <v>#REF!</v>
      </c>
      <c r="DY71" t="e">
        <f>IF(#REF!,"AAAAAH/64YA=",0)</f>
        <v>#REF!</v>
      </c>
      <c r="DZ71" t="e">
        <f>AND(#REF!,"AAAAAH/64YE=")</f>
        <v>#REF!</v>
      </c>
      <c r="EA71" t="e">
        <f>AND(#REF!,"AAAAAH/64YI=")</f>
        <v>#REF!</v>
      </c>
      <c r="EB71" t="e">
        <f>IF(#REF!,"AAAAAH/64YM=",0)</f>
        <v>#REF!</v>
      </c>
      <c r="EC71" t="e">
        <f>AND(#REF!,"AAAAAH/64YQ=")</f>
        <v>#REF!</v>
      </c>
      <c r="ED71" t="e">
        <f>AND(#REF!,"AAAAAH/64YU=")</f>
        <v>#REF!</v>
      </c>
      <c r="EE71" t="e">
        <f>IF(#REF!,"AAAAAH/64YY=",0)</f>
        <v>#REF!</v>
      </c>
      <c r="EF71" t="e">
        <f>AND(#REF!,"AAAAAH/64Yc=")</f>
        <v>#REF!</v>
      </c>
      <c r="EG71" t="e">
        <f>AND(#REF!,"AAAAAH/64Yg=")</f>
        <v>#REF!</v>
      </c>
      <c r="EH71" t="e">
        <f>IF(#REF!,"AAAAAH/64Yk=",0)</f>
        <v>#REF!</v>
      </c>
      <c r="EI71" t="e">
        <f>AND(#REF!,"AAAAAH/64Yo=")</f>
        <v>#REF!</v>
      </c>
      <c r="EJ71" t="e">
        <f>AND(#REF!,"AAAAAH/64Ys=")</f>
        <v>#REF!</v>
      </c>
      <c r="EK71" t="e">
        <f>IF(#REF!,"AAAAAH/64Yw=",0)</f>
        <v>#REF!</v>
      </c>
      <c r="EL71" t="e">
        <f>AND(#REF!,"AAAAAH/64Y0=")</f>
        <v>#REF!</v>
      </c>
      <c r="EM71" t="e">
        <f>AND(#REF!,"AAAAAH/64Y4=")</f>
        <v>#REF!</v>
      </c>
      <c r="EN71" t="e">
        <f>IF(#REF!,"AAAAAH/64Y8=",0)</f>
        <v>#REF!</v>
      </c>
      <c r="EO71" t="e">
        <f>AND(#REF!,"AAAAAH/64ZA=")</f>
        <v>#REF!</v>
      </c>
      <c r="EP71" t="e">
        <f>AND(#REF!,"AAAAAH/64ZE=")</f>
        <v>#REF!</v>
      </c>
      <c r="EQ71" t="e">
        <f>IF(#REF!,"AAAAAH/64ZI=",0)</f>
        <v>#REF!</v>
      </c>
      <c r="ER71" t="e">
        <f>AND(#REF!,"AAAAAH/64ZM=")</f>
        <v>#REF!</v>
      </c>
      <c r="ES71" t="e">
        <f>AND(#REF!,"AAAAAH/64ZQ=")</f>
        <v>#REF!</v>
      </c>
      <c r="ET71" t="e">
        <f>IF(#REF!,"AAAAAH/64ZU=",0)</f>
        <v>#REF!</v>
      </c>
      <c r="EU71" t="e">
        <f>AND(#REF!,"AAAAAH/64ZY=")</f>
        <v>#REF!</v>
      </c>
      <c r="EV71" t="e">
        <f>AND(#REF!,"AAAAAH/64Zc=")</f>
        <v>#REF!</v>
      </c>
      <c r="EW71" t="e">
        <f>IF(#REF!,"AAAAAH/64Zg=",0)</f>
        <v>#REF!</v>
      </c>
      <c r="EX71" t="e">
        <f>AND(#REF!,"AAAAAH/64Zk=")</f>
        <v>#REF!</v>
      </c>
      <c r="EY71" t="e">
        <f>AND(#REF!,"AAAAAH/64Zo=")</f>
        <v>#REF!</v>
      </c>
      <c r="EZ71" t="e">
        <f>IF(#REF!,"AAAAAH/64Zs=",0)</f>
        <v>#REF!</v>
      </c>
      <c r="FA71" t="e">
        <f>AND(#REF!,"AAAAAH/64Zw=")</f>
        <v>#REF!</v>
      </c>
      <c r="FB71" t="e">
        <f>AND(#REF!,"AAAAAH/64Z0=")</f>
        <v>#REF!</v>
      </c>
      <c r="FC71" t="e">
        <f>IF(#REF!,"AAAAAH/64Z4=",0)</f>
        <v>#REF!</v>
      </c>
      <c r="FD71" t="e">
        <f>AND(#REF!,"AAAAAH/64Z8=")</f>
        <v>#REF!</v>
      </c>
      <c r="FE71" t="e">
        <f>AND(#REF!,"AAAAAH/64aA=")</f>
        <v>#REF!</v>
      </c>
      <c r="FF71" t="e">
        <f>IF(#REF!,"AAAAAH/64aE=",0)</f>
        <v>#REF!</v>
      </c>
      <c r="FG71" t="e">
        <f>AND(#REF!,"AAAAAH/64aI=")</f>
        <v>#REF!</v>
      </c>
      <c r="FH71" t="e">
        <f>AND(#REF!,"AAAAAH/64aM=")</f>
        <v>#REF!</v>
      </c>
      <c r="FI71" t="e">
        <f>IF(#REF!,"AAAAAH/64aQ=",0)</f>
        <v>#REF!</v>
      </c>
      <c r="FJ71" t="e">
        <f>AND(#REF!,"AAAAAH/64aU=")</f>
        <v>#REF!</v>
      </c>
      <c r="FK71" t="e">
        <f>AND(#REF!,"AAAAAH/64aY=")</f>
        <v>#REF!</v>
      </c>
      <c r="FL71" t="e">
        <f>IF(#REF!,"AAAAAH/64ac=",0)</f>
        <v>#REF!</v>
      </c>
      <c r="FM71" t="e">
        <f>AND(#REF!,"AAAAAH/64ag=")</f>
        <v>#REF!</v>
      </c>
      <c r="FN71" t="e">
        <f>AND(#REF!,"AAAAAH/64ak=")</f>
        <v>#REF!</v>
      </c>
      <c r="FO71" t="e">
        <f>IF(#REF!,"AAAAAH/64ao=",0)</f>
        <v>#REF!</v>
      </c>
      <c r="FP71" t="e">
        <f>AND(#REF!,"AAAAAH/64as=")</f>
        <v>#REF!</v>
      </c>
      <c r="FQ71" t="e">
        <f>AND(#REF!,"AAAAAH/64aw=")</f>
        <v>#REF!</v>
      </c>
      <c r="FR71" t="e">
        <f>IF(#REF!,"AAAAAH/64a0=",0)</f>
        <v>#REF!</v>
      </c>
      <c r="FS71" t="e">
        <f>AND(#REF!,"AAAAAH/64a4=")</f>
        <v>#REF!</v>
      </c>
      <c r="FT71" t="e">
        <f>AND(#REF!,"AAAAAH/64a8=")</f>
        <v>#REF!</v>
      </c>
      <c r="FU71" t="e">
        <f>IF(#REF!,"AAAAAH/64bA=",0)</f>
        <v>#REF!</v>
      </c>
      <c r="FV71" t="e">
        <f>AND(#REF!,"AAAAAH/64bE=")</f>
        <v>#REF!</v>
      </c>
      <c r="FW71" t="e">
        <f>AND(#REF!,"AAAAAH/64bI=")</f>
        <v>#REF!</v>
      </c>
      <c r="FX71" t="e">
        <f>IF(#REF!,"AAAAAH/64bM=",0)</f>
        <v>#REF!</v>
      </c>
      <c r="FY71" t="e">
        <f>AND(#REF!,"AAAAAH/64bQ=")</f>
        <v>#REF!</v>
      </c>
      <c r="FZ71" t="e">
        <f>AND(#REF!,"AAAAAH/64bU=")</f>
        <v>#REF!</v>
      </c>
      <c r="GA71" t="e">
        <f>IF(#REF!,"AAAAAH/64bY=",0)</f>
        <v>#REF!</v>
      </c>
      <c r="GB71" t="e">
        <f>AND(#REF!,"AAAAAH/64bc=")</f>
        <v>#REF!</v>
      </c>
      <c r="GC71" t="e">
        <f>AND(#REF!,"AAAAAH/64bg=")</f>
        <v>#REF!</v>
      </c>
      <c r="GD71" t="e">
        <f>IF(#REF!,"AAAAAH/64bk=",0)</f>
        <v>#REF!</v>
      </c>
      <c r="GE71" t="e">
        <f>AND(#REF!,"AAAAAH/64bo=")</f>
        <v>#REF!</v>
      </c>
      <c r="GF71" t="e">
        <f>AND(#REF!,"AAAAAH/64bs=")</f>
        <v>#REF!</v>
      </c>
      <c r="GG71" t="e">
        <f>IF(#REF!,"AAAAAH/64bw=",0)</f>
        <v>#REF!</v>
      </c>
      <c r="GH71" t="e">
        <f>AND(#REF!,"AAAAAH/64b0=")</f>
        <v>#REF!</v>
      </c>
      <c r="GI71" t="e">
        <f>AND(#REF!,"AAAAAH/64b4=")</f>
        <v>#REF!</v>
      </c>
      <c r="GJ71" t="e">
        <f>IF(#REF!,"AAAAAH/64b8=",0)</f>
        <v>#REF!</v>
      </c>
      <c r="GK71" t="e">
        <f>AND(#REF!,"AAAAAH/64cA=")</f>
        <v>#REF!</v>
      </c>
      <c r="GL71" t="e">
        <f>AND(#REF!,"AAAAAH/64cE=")</f>
        <v>#REF!</v>
      </c>
      <c r="GM71" t="e">
        <f>IF(#REF!,"AAAAAH/64cI=",0)</f>
        <v>#REF!</v>
      </c>
      <c r="GN71" t="e">
        <f>AND(#REF!,"AAAAAH/64cM=")</f>
        <v>#REF!</v>
      </c>
      <c r="GO71" t="e">
        <f>AND(#REF!,"AAAAAH/64cQ=")</f>
        <v>#REF!</v>
      </c>
      <c r="GP71" t="e">
        <f>IF(#REF!,"AAAAAH/64cU=",0)</f>
        <v>#REF!</v>
      </c>
      <c r="GQ71" t="e">
        <f>AND(#REF!,"AAAAAH/64cY=")</f>
        <v>#REF!</v>
      </c>
      <c r="GR71" t="e">
        <f>AND(#REF!,"AAAAAH/64cc=")</f>
        <v>#REF!</v>
      </c>
      <c r="GS71" t="e">
        <f>IF(#REF!,"AAAAAH/64cg=",0)</f>
        <v>#REF!</v>
      </c>
      <c r="GT71" t="e">
        <f>AND(#REF!,"AAAAAH/64ck=")</f>
        <v>#REF!</v>
      </c>
      <c r="GU71" t="e">
        <f>AND(#REF!,"AAAAAH/64co=")</f>
        <v>#REF!</v>
      </c>
      <c r="GV71" t="e">
        <f>IF(#REF!,"AAAAAH/64cs=",0)</f>
        <v>#REF!</v>
      </c>
      <c r="GW71" t="e">
        <f>AND(#REF!,"AAAAAH/64cw=")</f>
        <v>#REF!</v>
      </c>
      <c r="GX71" t="e">
        <f>AND(#REF!,"AAAAAH/64c0=")</f>
        <v>#REF!</v>
      </c>
      <c r="GY71" t="e">
        <f>IF(#REF!,"AAAAAH/64c4=",0)</f>
        <v>#REF!</v>
      </c>
      <c r="GZ71" t="e">
        <f>AND(#REF!,"AAAAAH/64c8=")</f>
        <v>#REF!</v>
      </c>
      <c r="HA71" t="e">
        <f>AND(#REF!,"AAAAAH/64dA=")</f>
        <v>#REF!</v>
      </c>
      <c r="HB71" t="e">
        <f>IF(#REF!,"AAAAAH/64dE=",0)</f>
        <v>#REF!</v>
      </c>
      <c r="HC71" t="e">
        <f>AND(#REF!,"AAAAAH/64dI=")</f>
        <v>#REF!</v>
      </c>
      <c r="HD71" t="e">
        <f>AND(#REF!,"AAAAAH/64dM=")</f>
        <v>#REF!</v>
      </c>
      <c r="HE71" t="e">
        <f>IF(#REF!,"AAAAAH/64dQ=",0)</f>
        <v>#REF!</v>
      </c>
      <c r="HF71" t="e">
        <f>AND(#REF!,"AAAAAH/64dU=")</f>
        <v>#REF!</v>
      </c>
      <c r="HG71" t="e">
        <f>AND(#REF!,"AAAAAH/64dY=")</f>
        <v>#REF!</v>
      </c>
      <c r="HH71" t="e">
        <f>IF(#REF!,"AAAAAH/64dc=",0)</f>
        <v>#REF!</v>
      </c>
      <c r="HI71" t="e">
        <f>AND(#REF!,"AAAAAH/64dg=")</f>
        <v>#REF!</v>
      </c>
      <c r="HJ71" t="e">
        <f>AND(#REF!,"AAAAAH/64dk=")</f>
        <v>#REF!</v>
      </c>
      <c r="HK71" t="e">
        <f>IF(#REF!,"AAAAAH/64do=",0)</f>
        <v>#REF!</v>
      </c>
      <c r="HL71" t="e">
        <f>AND(#REF!,"AAAAAH/64ds=")</f>
        <v>#REF!</v>
      </c>
      <c r="HM71" t="e">
        <f>AND(#REF!,"AAAAAH/64dw=")</f>
        <v>#REF!</v>
      </c>
      <c r="HN71" t="e">
        <f>IF(#REF!,"AAAAAH/64d0=",0)</f>
        <v>#REF!</v>
      </c>
      <c r="HO71" t="e">
        <f>AND(#REF!,"AAAAAH/64d4=")</f>
        <v>#REF!</v>
      </c>
      <c r="HP71" t="e">
        <f>AND(#REF!,"AAAAAH/64d8=")</f>
        <v>#REF!</v>
      </c>
      <c r="HQ71" t="e">
        <f>IF(#REF!,"AAAAAH/64eA=",0)</f>
        <v>#REF!</v>
      </c>
      <c r="HR71" t="e">
        <f>AND(#REF!,"AAAAAH/64eE=")</f>
        <v>#REF!</v>
      </c>
      <c r="HS71" t="e">
        <f>AND(#REF!,"AAAAAH/64eI=")</f>
        <v>#REF!</v>
      </c>
      <c r="HT71" t="e">
        <f>IF(#REF!,"AAAAAH/64eM=",0)</f>
        <v>#REF!</v>
      </c>
      <c r="HU71" t="e">
        <f>AND(#REF!,"AAAAAH/64eQ=")</f>
        <v>#REF!</v>
      </c>
      <c r="HV71" t="e">
        <f>AND(#REF!,"AAAAAH/64eU=")</f>
        <v>#REF!</v>
      </c>
      <c r="HW71" t="e">
        <f>IF(#REF!,"AAAAAH/64eY=",0)</f>
        <v>#REF!</v>
      </c>
      <c r="HX71" t="e">
        <f>AND(#REF!,"AAAAAH/64ec=")</f>
        <v>#REF!</v>
      </c>
      <c r="HY71" t="e">
        <f>AND(#REF!,"AAAAAH/64eg=")</f>
        <v>#REF!</v>
      </c>
      <c r="HZ71" t="e">
        <f>IF(#REF!,"AAAAAH/64ek=",0)</f>
        <v>#REF!</v>
      </c>
      <c r="IA71" t="e">
        <f>AND(#REF!,"AAAAAH/64eo=")</f>
        <v>#REF!</v>
      </c>
      <c r="IB71" t="e">
        <f>AND(#REF!,"AAAAAH/64es=")</f>
        <v>#REF!</v>
      </c>
      <c r="IC71" t="e">
        <f>IF(#REF!,"AAAAAH/64ew=",0)</f>
        <v>#REF!</v>
      </c>
      <c r="ID71" t="e">
        <f>AND(#REF!,"AAAAAH/64e0=")</f>
        <v>#REF!</v>
      </c>
      <c r="IE71" t="e">
        <f>AND(#REF!,"AAAAAH/64e4=")</f>
        <v>#REF!</v>
      </c>
      <c r="IF71" t="e">
        <f>IF(#REF!,"AAAAAH/64e8=",0)</f>
        <v>#REF!</v>
      </c>
      <c r="IG71" t="e">
        <f>AND(#REF!,"AAAAAH/64fA=")</f>
        <v>#REF!</v>
      </c>
      <c r="IH71" t="e">
        <f>AND(#REF!,"AAAAAH/64fE=")</f>
        <v>#REF!</v>
      </c>
      <c r="II71" t="e">
        <f>IF(#REF!,"AAAAAH/64fI=",0)</f>
        <v>#REF!</v>
      </c>
      <c r="IJ71" t="e">
        <f>AND(#REF!,"AAAAAH/64fM=")</f>
        <v>#REF!</v>
      </c>
      <c r="IK71" t="e">
        <f>AND(#REF!,"AAAAAH/64fQ=")</f>
        <v>#REF!</v>
      </c>
      <c r="IL71" t="e">
        <f>IF(#REF!,"AAAAAH/64fU=",0)</f>
        <v>#REF!</v>
      </c>
      <c r="IM71" t="e">
        <f>AND(#REF!,"AAAAAH/64fY=")</f>
        <v>#REF!</v>
      </c>
      <c r="IN71" t="e">
        <f>AND(#REF!,"AAAAAH/64fc=")</f>
        <v>#REF!</v>
      </c>
      <c r="IO71" t="e">
        <f>IF(#REF!,"AAAAAH/64fg=",0)</f>
        <v>#REF!</v>
      </c>
      <c r="IP71" t="e">
        <f>AND(#REF!,"AAAAAH/64fk=")</f>
        <v>#REF!</v>
      </c>
      <c r="IQ71" t="e">
        <f>AND(#REF!,"AAAAAH/64fo=")</f>
        <v>#REF!</v>
      </c>
      <c r="IR71" t="e">
        <f>IF(#REF!,"AAAAAH/64fs=",0)</f>
        <v>#REF!</v>
      </c>
      <c r="IS71" t="e">
        <f>AND(#REF!,"AAAAAH/64fw=")</f>
        <v>#REF!</v>
      </c>
      <c r="IT71" t="e">
        <f>AND(#REF!,"AAAAAH/64f0=")</f>
        <v>#REF!</v>
      </c>
      <c r="IU71" t="e">
        <f>IF(#REF!,"AAAAAH/64f4=",0)</f>
        <v>#REF!</v>
      </c>
      <c r="IV71" t="e">
        <f>AND(#REF!,"AAAAAH/64f8=")</f>
        <v>#REF!</v>
      </c>
    </row>
    <row r="72" spans="1:256">
      <c r="A72" t="e">
        <f>AND(#REF!,"AAAAADuuVwA=")</f>
        <v>#REF!</v>
      </c>
      <c r="B72" t="e">
        <f>IF(#REF!,"AAAAADuuVwE=",0)</f>
        <v>#REF!</v>
      </c>
      <c r="C72" t="e">
        <f>AND(#REF!,"AAAAADuuVwI=")</f>
        <v>#REF!</v>
      </c>
      <c r="D72" t="e">
        <f>AND(#REF!,"AAAAADuuVwM=")</f>
        <v>#REF!</v>
      </c>
      <c r="E72" t="e">
        <f>IF(#REF!,"AAAAADuuVwQ=",0)</f>
        <v>#REF!</v>
      </c>
      <c r="F72" t="e">
        <f>AND(#REF!,"AAAAADuuVwU=")</f>
        <v>#REF!</v>
      </c>
      <c r="G72" t="e">
        <f>AND(#REF!,"AAAAADuuVwY=")</f>
        <v>#REF!</v>
      </c>
      <c r="H72" t="e">
        <f>IF(#REF!,"AAAAADuuVwc=",0)</f>
        <v>#REF!</v>
      </c>
      <c r="I72" t="e">
        <f>AND(#REF!,"AAAAADuuVwg=")</f>
        <v>#REF!</v>
      </c>
      <c r="J72" t="e">
        <f>AND(#REF!,"AAAAADuuVwk=")</f>
        <v>#REF!</v>
      </c>
      <c r="K72" t="e">
        <f>IF(#REF!,"AAAAADuuVwo=",0)</f>
        <v>#REF!</v>
      </c>
      <c r="L72" t="e">
        <f>AND(#REF!,"AAAAADuuVws=")</f>
        <v>#REF!</v>
      </c>
      <c r="M72" t="e">
        <f>AND(#REF!,"AAAAADuuVww=")</f>
        <v>#REF!</v>
      </c>
      <c r="N72" t="e">
        <f>IF(#REF!,"AAAAADuuVw0=",0)</f>
        <v>#REF!</v>
      </c>
      <c r="O72" t="e">
        <f>AND(#REF!,"AAAAADuuVw4=")</f>
        <v>#REF!</v>
      </c>
      <c r="P72" t="e">
        <f>AND(#REF!,"AAAAADuuVw8=")</f>
        <v>#REF!</v>
      </c>
      <c r="Q72" t="e">
        <f>IF(#REF!,"AAAAADuuVxA=",0)</f>
        <v>#REF!</v>
      </c>
      <c r="R72" t="e">
        <f>AND(#REF!,"AAAAADuuVxE=")</f>
        <v>#REF!</v>
      </c>
      <c r="S72" t="e">
        <f>AND(#REF!,"AAAAADuuVxI=")</f>
        <v>#REF!</v>
      </c>
      <c r="T72" t="e">
        <f>IF(#REF!,"AAAAADuuVxM=",0)</f>
        <v>#REF!</v>
      </c>
      <c r="U72" t="e">
        <f>AND(#REF!,"AAAAADuuVxQ=")</f>
        <v>#REF!</v>
      </c>
      <c r="V72" t="e">
        <f>AND(#REF!,"AAAAADuuVxU=")</f>
        <v>#REF!</v>
      </c>
      <c r="W72" t="e">
        <f>IF(#REF!,"AAAAADuuVxY=",0)</f>
        <v>#REF!</v>
      </c>
      <c r="X72" t="e">
        <f>AND(#REF!,"AAAAADuuVxc=")</f>
        <v>#REF!</v>
      </c>
      <c r="Y72" t="e">
        <f>AND(#REF!,"AAAAADuuVxg=")</f>
        <v>#REF!</v>
      </c>
      <c r="Z72" t="e">
        <f>IF(#REF!,"AAAAADuuVxk=",0)</f>
        <v>#REF!</v>
      </c>
      <c r="AA72" t="e">
        <f>AND(#REF!,"AAAAADuuVxo=")</f>
        <v>#REF!</v>
      </c>
      <c r="AB72" t="e">
        <f>AND(#REF!,"AAAAADuuVxs=")</f>
        <v>#REF!</v>
      </c>
      <c r="AC72" t="e">
        <f>IF(#REF!,"AAAAADuuVxw=",0)</f>
        <v>#REF!</v>
      </c>
      <c r="AD72" t="e">
        <f>AND(#REF!,"AAAAADuuVx0=")</f>
        <v>#REF!</v>
      </c>
      <c r="AE72" t="e">
        <f>AND(#REF!,"AAAAADuuVx4=")</f>
        <v>#REF!</v>
      </c>
      <c r="AF72" t="e">
        <f>IF(#REF!,"AAAAADuuVx8=",0)</f>
        <v>#REF!</v>
      </c>
      <c r="AG72" t="e">
        <f>AND(#REF!,"AAAAADuuVyA=")</f>
        <v>#REF!</v>
      </c>
      <c r="AH72" t="e">
        <f>AND(#REF!,"AAAAADuuVyE=")</f>
        <v>#REF!</v>
      </c>
      <c r="AI72" t="e">
        <f>IF(#REF!,"AAAAADuuVyI=",0)</f>
        <v>#REF!</v>
      </c>
      <c r="AJ72" t="e">
        <f>AND(#REF!,"AAAAADuuVyM=")</f>
        <v>#REF!</v>
      </c>
      <c r="AK72" t="e">
        <f>AND(#REF!,"AAAAADuuVyQ=")</f>
        <v>#REF!</v>
      </c>
      <c r="AL72" t="e">
        <f>IF(#REF!,"AAAAADuuVyU=",0)</f>
        <v>#REF!</v>
      </c>
      <c r="AM72" t="e">
        <f>AND(#REF!,"AAAAADuuVyY=")</f>
        <v>#REF!</v>
      </c>
      <c r="AN72" t="e">
        <f>AND(#REF!,"AAAAADuuVyc=")</f>
        <v>#REF!</v>
      </c>
      <c r="AO72" t="e">
        <f>IF(#REF!,"AAAAADuuVyg=",0)</f>
        <v>#REF!</v>
      </c>
      <c r="AP72" t="e">
        <f>AND(#REF!,"AAAAADuuVyk=")</f>
        <v>#REF!</v>
      </c>
      <c r="AQ72" t="e">
        <f>AND(#REF!,"AAAAADuuVyo=")</f>
        <v>#REF!</v>
      </c>
      <c r="AR72" t="e">
        <f>IF(#REF!,"AAAAADuuVys=",0)</f>
        <v>#REF!</v>
      </c>
      <c r="AS72" t="e">
        <f>AND(#REF!,"AAAAADuuVyw=")</f>
        <v>#REF!</v>
      </c>
      <c r="AT72" t="e">
        <f>AND(#REF!,"AAAAADuuVy0=")</f>
        <v>#REF!</v>
      </c>
      <c r="AU72" t="e">
        <f>IF(#REF!,"AAAAADuuVy4=",0)</f>
        <v>#REF!</v>
      </c>
      <c r="AV72" t="e">
        <f>AND(#REF!,"AAAAADuuVy8=")</f>
        <v>#REF!</v>
      </c>
      <c r="AW72" t="e">
        <f>AND(#REF!,"AAAAADuuVzA=")</f>
        <v>#REF!</v>
      </c>
      <c r="AX72" t="e">
        <f>IF(#REF!,"AAAAADuuVzE=",0)</f>
        <v>#REF!</v>
      </c>
      <c r="AY72" t="e">
        <f>AND(#REF!,"AAAAADuuVzI=")</f>
        <v>#REF!</v>
      </c>
      <c r="AZ72" t="e">
        <f>AND(#REF!,"AAAAADuuVzM=")</f>
        <v>#REF!</v>
      </c>
      <c r="BA72" t="e">
        <f>IF(#REF!,"AAAAADuuVzQ=",0)</f>
        <v>#REF!</v>
      </c>
      <c r="BB72" t="e">
        <f>AND(#REF!,"AAAAADuuVzU=")</f>
        <v>#REF!</v>
      </c>
      <c r="BC72" t="e">
        <f>AND(#REF!,"AAAAADuuVzY=")</f>
        <v>#REF!</v>
      </c>
      <c r="BD72" t="e">
        <f>IF(#REF!,"AAAAADuuVzc=",0)</f>
        <v>#REF!</v>
      </c>
      <c r="BE72" t="e">
        <f>AND(#REF!,"AAAAADuuVzg=")</f>
        <v>#REF!</v>
      </c>
      <c r="BF72" t="e">
        <f>AND(#REF!,"AAAAADuuVzk=")</f>
        <v>#REF!</v>
      </c>
      <c r="BG72" t="e">
        <f>IF(#REF!,"AAAAADuuVzo=",0)</f>
        <v>#REF!</v>
      </c>
      <c r="BH72" t="e">
        <f>AND(#REF!,"AAAAADuuVzs=")</f>
        <v>#REF!</v>
      </c>
      <c r="BI72" t="e">
        <f>AND(#REF!,"AAAAADuuVzw=")</f>
        <v>#REF!</v>
      </c>
      <c r="BJ72" t="e">
        <f>IF(#REF!,"AAAAADuuVz0=",0)</f>
        <v>#REF!</v>
      </c>
      <c r="BK72" t="e">
        <f>AND(#REF!,"AAAAADuuVz4=")</f>
        <v>#REF!</v>
      </c>
      <c r="BL72" t="e">
        <f>AND(#REF!,"AAAAADuuVz8=")</f>
        <v>#REF!</v>
      </c>
      <c r="BM72" t="e">
        <f>IF(#REF!,"AAAAADuuV0A=",0)</f>
        <v>#REF!</v>
      </c>
      <c r="BN72" t="e">
        <f>AND(#REF!,"AAAAADuuV0E=")</f>
        <v>#REF!</v>
      </c>
      <c r="BO72" t="e">
        <f>AND(#REF!,"AAAAADuuV0I=")</f>
        <v>#REF!</v>
      </c>
      <c r="BP72" t="e">
        <f>IF(#REF!,"AAAAADuuV0M=",0)</f>
        <v>#REF!</v>
      </c>
      <c r="BQ72" t="e">
        <f>AND(#REF!,"AAAAADuuV0Q=")</f>
        <v>#REF!</v>
      </c>
      <c r="BR72" t="e">
        <f>AND(#REF!,"AAAAADuuV0U=")</f>
        <v>#REF!</v>
      </c>
      <c r="BS72" t="e">
        <f>IF(#REF!,"AAAAADuuV0Y=",0)</f>
        <v>#REF!</v>
      </c>
      <c r="BT72" t="e">
        <f>IF(#REF!,"AAAAADuuV0c=",0)</f>
        <v>#REF!</v>
      </c>
      <c r="BU72" t="e">
        <f>AND(DSSP!D2,"AAAAADuuV0g=")</f>
        <v>#VALUE!</v>
      </c>
      <c r="BV72" t="e">
        <f>AND(DSSP!D3,"AAAAADuuV0k=")</f>
        <v>#VALUE!</v>
      </c>
      <c r="BW72" t="e">
        <f>AND(DSSP!D4,"AAAAADuuV0o=")</f>
        <v>#VALUE!</v>
      </c>
      <c r="BX72" t="e">
        <f>AND(DSSP!D6,"AAAAADuuV0s=")</f>
        <v>#VALUE!</v>
      </c>
      <c r="BY72" t="e">
        <f>AND(DSSP!D7,"AAAAADuuV0w=")</f>
        <v>#VALUE!</v>
      </c>
      <c r="BZ72" t="e">
        <f>AND(DSSP!D8,"AAAAADuuV00=")</f>
        <v>#VALUE!</v>
      </c>
      <c r="CA72" t="e">
        <f>AND(DSSP!D9,"AAAAADuuV04=")</f>
        <v>#VALUE!</v>
      </c>
      <c r="CB72" t="e">
        <f>AND(DSSP!D10,"AAAAADuuV08=")</f>
        <v>#VALUE!</v>
      </c>
      <c r="CC72" t="e">
        <f>AND(DSSP!D11,"AAAAADuuV1A=")</f>
        <v>#VALUE!</v>
      </c>
      <c r="CD72" t="e">
        <f>AND(DSSP!D12,"AAAAADuuV1E=")</f>
        <v>#VALUE!</v>
      </c>
      <c r="CE72" t="e">
        <f>AND(DSSP!D13,"AAAAADuuV1I=")</f>
        <v>#VALUE!</v>
      </c>
      <c r="CF72" t="e">
        <f>AND(DSSP!D14,"AAAAADuuV1M=")</f>
        <v>#VALUE!</v>
      </c>
      <c r="CG72" t="e">
        <f>AND(DSSP!D15,"AAAAADuuV1Q=")</f>
        <v>#VALUE!</v>
      </c>
      <c r="CH72" t="e">
        <f>AND(DSSP!D16,"AAAAADuuV1U=")</f>
        <v>#VALUE!</v>
      </c>
      <c r="CI72" t="e">
        <f>AND(DSSP!D17,"AAAAADuuV1Y=")</f>
        <v>#VALUE!</v>
      </c>
      <c r="CJ72" t="e">
        <f>AND(DSSP!D18,"AAAAADuuV1c=")</f>
        <v>#VALUE!</v>
      </c>
      <c r="CK72" t="e">
        <f>AND(DSSP!D19,"AAAAADuuV1g=")</f>
        <v>#VALUE!</v>
      </c>
      <c r="CL72" t="e">
        <f>AND(DSSP!D20,"AAAAADuuV1k=")</f>
        <v>#VALUE!</v>
      </c>
      <c r="CM72" t="e">
        <f>AND(DSSP!D21,"AAAAADuuV1o=")</f>
        <v>#VALUE!</v>
      </c>
      <c r="CN72" t="e">
        <f>AND(DSSP!D22,"AAAAADuuV1s=")</f>
        <v>#VALUE!</v>
      </c>
      <c r="CO72" t="e">
        <f>AND(DSSP!D23,"AAAAADuuV1w=")</f>
        <v>#VALUE!</v>
      </c>
      <c r="CP72" t="e">
        <f>AND(DSSP!D24,"AAAAADuuV10=")</f>
        <v>#VALUE!</v>
      </c>
      <c r="CQ72" t="e">
        <f>AND(DSSP!D25,"AAAAADuuV14=")</f>
        <v>#VALUE!</v>
      </c>
      <c r="CR72" t="e">
        <f>AND(DSSP!D26,"AAAAADuuV18=")</f>
        <v>#VALUE!</v>
      </c>
      <c r="CS72" t="e">
        <f>AND(DSSP!D27,"AAAAADuuV2A=")</f>
        <v>#VALUE!</v>
      </c>
      <c r="CT72" t="e">
        <f>AND(DSSP!D28,"AAAAADuuV2E=")</f>
        <v>#VALUE!</v>
      </c>
      <c r="CU72" t="e">
        <f>AND(DSSP!D30,"AAAAADuuV2I=")</f>
        <v>#VALUE!</v>
      </c>
      <c r="CV72" t="e">
        <f>AND(DSSP!D31,"AAAAADuuV2M=")</f>
        <v>#VALUE!</v>
      </c>
      <c r="CW72" t="e">
        <f>AND(DSSP!D32,"AAAAADuuV2Q=")</f>
        <v>#VALUE!</v>
      </c>
      <c r="CX72" t="e">
        <f>AND(DSSP!D33,"AAAAADuuV2U=")</f>
        <v>#VALUE!</v>
      </c>
      <c r="CY72" t="e">
        <f>AND(DSSP!D34,"AAAAADuuV2Y=")</f>
        <v>#VALUE!</v>
      </c>
      <c r="CZ72" t="e">
        <f>AND(DSSP!D35,"AAAAADuuV2c=")</f>
        <v>#VALUE!</v>
      </c>
      <c r="DA72" t="e">
        <f>AND(DSSP!D36,"AAAAADuuV2g=")</f>
        <v>#VALUE!</v>
      </c>
      <c r="DB72" t="e">
        <f>AND(DSSP!D37,"AAAAADuuV2k=")</f>
        <v>#VALUE!</v>
      </c>
      <c r="DC72" t="e">
        <f>AND(DSSP!D38,"AAAAADuuV2o=")</f>
        <v>#VALUE!</v>
      </c>
      <c r="DD72" t="e">
        <f>AND(DSSP!D39,"AAAAADuuV2s=")</f>
        <v>#VALUE!</v>
      </c>
      <c r="DE72" t="e">
        <f>AND(DSSP!D40,"AAAAADuuV2w=")</f>
        <v>#VALUE!</v>
      </c>
      <c r="DF72" t="e">
        <f>AND(DSSP!D41,"AAAAADuuV20=")</f>
        <v>#VALUE!</v>
      </c>
      <c r="DG72" t="e">
        <f>AND(DSSP!D42,"AAAAADuuV24=")</f>
        <v>#VALUE!</v>
      </c>
      <c r="DH72" t="e">
        <f>AND(DSSP!D43,"AAAAADuuV28=")</f>
        <v>#VALUE!</v>
      </c>
      <c r="DI72" t="e">
        <f>AND(DSSP!D44,"AAAAADuuV3A=")</f>
        <v>#VALUE!</v>
      </c>
      <c r="DJ72" t="e">
        <f>AND(DSSP!D45,"AAAAADuuV3E=")</f>
        <v>#VALUE!</v>
      </c>
      <c r="DK72" t="e">
        <f>AND(DSSP!D46,"AAAAADuuV3I=")</f>
        <v>#VALUE!</v>
      </c>
      <c r="DL72" t="e">
        <f>AND(DSSP!D47,"AAAAADuuV3M=")</f>
        <v>#VALUE!</v>
      </c>
      <c r="DM72" t="e">
        <f>AND(DSSP!D48,"AAAAADuuV3Q=")</f>
        <v>#VALUE!</v>
      </c>
      <c r="DN72" t="e">
        <f>AND(DSSP!D49,"AAAAADuuV3U=")</f>
        <v>#VALUE!</v>
      </c>
      <c r="DO72" t="e">
        <f>AND(DSSP!D50,"AAAAADuuV3Y=")</f>
        <v>#VALUE!</v>
      </c>
      <c r="DP72" t="e">
        <f>AND(DSSP!D51,"AAAAADuuV3c=")</f>
        <v>#VALUE!</v>
      </c>
      <c r="DQ72" t="e">
        <f>AND(DSSP!D52,"AAAAADuuV3g=")</f>
        <v>#VALUE!</v>
      </c>
      <c r="DR72" t="e">
        <f>AND(DSSP!D53,"AAAAADuuV3k=")</f>
        <v>#VALUE!</v>
      </c>
      <c r="DS72" t="e">
        <f>AND(DSSP!D54,"AAAAADuuV3o=")</f>
        <v>#VALUE!</v>
      </c>
      <c r="DT72" t="e">
        <f>AND(DSSP!D55,"AAAAADuuV3s=")</f>
        <v>#VALUE!</v>
      </c>
      <c r="DU72" t="e">
        <f>AND(DSSP!D56,"AAAAADuuV3w=")</f>
        <v>#VALUE!</v>
      </c>
      <c r="DV72" t="e">
        <f>AND(DSSP!D57,"AAAAADuuV30=")</f>
        <v>#VALUE!</v>
      </c>
      <c r="DW72" t="e">
        <f>AND(DSSP!D58,"AAAAADuuV34=")</f>
        <v>#VALUE!</v>
      </c>
      <c r="DX72" t="e">
        <f>AND(DSSP!D59,"AAAAADuuV38=")</f>
        <v>#VALUE!</v>
      </c>
      <c r="DY72" t="e">
        <f>AND(DSSP!D60,"AAAAADuuV4A=")</f>
        <v>#VALUE!</v>
      </c>
      <c r="DZ72" t="e">
        <f>AND(DSSP!D61,"AAAAADuuV4E=")</f>
        <v>#VALUE!</v>
      </c>
      <c r="EA72" t="e">
        <f>AND(DSSP!D62,"AAAAADuuV4I=")</f>
        <v>#VALUE!</v>
      </c>
      <c r="EB72" t="e">
        <f>AND(DSSP!D63,"AAAAADuuV4M=")</f>
        <v>#VALUE!</v>
      </c>
      <c r="EC72" t="e">
        <f>AND(DSSP!D64,"AAAAADuuV4Q=")</f>
        <v>#VALUE!</v>
      </c>
      <c r="ED72" t="e">
        <f>AND(DSSP!D65,"AAAAADuuV4U=")</f>
        <v>#VALUE!</v>
      </c>
      <c r="EE72" t="e">
        <f>AND(DSSP!D66,"AAAAADuuV4Y=")</f>
        <v>#VALUE!</v>
      </c>
      <c r="EF72" t="e">
        <f>AND(DSSP!D67,"AAAAADuuV4c=")</f>
        <v>#VALUE!</v>
      </c>
      <c r="EG72" t="e">
        <f>AND(DSSP!D68,"AAAAADuuV4g=")</f>
        <v>#VALUE!</v>
      </c>
      <c r="EH72" t="e">
        <f>AND(DSSP!D69,"AAAAADuuV4k=")</f>
        <v>#VALUE!</v>
      </c>
      <c r="EI72" t="e">
        <f>AND(DSSP!D70,"AAAAADuuV4o=")</f>
        <v>#VALUE!</v>
      </c>
      <c r="EJ72" t="e">
        <f>AND(DSSP!D71,"AAAAADuuV4s=")</f>
        <v>#VALUE!</v>
      </c>
      <c r="EK72" t="e">
        <f>AND(DSSP!D72,"AAAAADuuV4w=")</f>
        <v>#VALUE!</v>
      </c>
      <c r="EL72" t="e">
        <f>AND(DSSP!D73,"AAAAADuuV40=")</f>
        <v>#VALUE!</v>
      </c>
      <c r="EM72" t="e">
        <f>AND(DSSP!D74,"AAAAADuuV44=")</f>
        <v>#VALUE!</v>
      </c>
      <c r="EN72" t="e">
        <f>AND(DSSP!D75,"AAAAADuuV48=")</f>
        <v>#VALUE!</v>
      </c>
      <c r="EO72" t="e">
        <f>AND(DSSP!D76,"AAAAADuuV5A=")</f>
        <v>#VALUE!</v>
      </c>
      <c r="EP72" t="e">
        <f>AND(DSSP!D77,"AAAAADuuV5E=")</f>
        <v>#VALUE!</v>
      </c>
      <c r="EQ72" t="e">
        <f>AND(DSSP!D78,"AAAAADuuV5I=")</f>
        <v>#VALUE!</v>
      </c>
      <c r="ER72" t="e">
        <f>AND(DSSP!D79,"AAAAADuuV5M=")</f>
        <v>#VALUE!</v>
      </c>
      <c r="ES72" t="e">
        <f>AND(DSSP!D80,"AAAAADuuV5Q=")</f>
        <v>#VALUE!</v>
      </c>
      <c r="ET72" t="e">
        <f>AND(DSSP!D81,"AAAAADuuV5U=")</f>
        <v>#VALUE!</v>
      </c>
      <c r="EU72" t="e">
        <f>AND(DSSP!D82,"AAAAADuuV5Y=")</f>
        <v>#VALUE!</v>
      </c>
      <c r="EV72" t="e">
        <f>AND(DSSP!D83,"AAAAADuuV5c=")</f>
        <v>#VALUE!</v>
      </c>
      <c r="EW72" t="e">
        <f>AND(DSSP!D84,"AAAAADuuV5g=")</f>
        <v>#VALUE!</v>
      </c>
      <c r="EX72" t="e">
        <f>AND(DSSP!D85,"AAAAADuuV5k=")</f>
        <v>#VALUE!</v>
      </c>
      <c r="EY72" t="e">
        <f>AND(DSSP!D86,"AAAAADuuV5o=")</f>
        <v>#VALUE!</v>
      </c>
      <c r="EZ72" t="e">
        <f>AND(DSSP!D87,"AAAAADuuV5s=")</f>
        <v>#VALUE!</v>
      </c>
      <c r="FA72" t="e">
        <f>AND(DSSP!D88,"AAAAADuuV5w=")</f>
        <v>#VALUE!</v>
      </c>
      <c r="FB72" t="e">
        <f>AND(DSSP!D89,"AAAAADuuV50=")</f>
        <v>#VALUE!</v>
      </c>
      <c r="FC72" t="e">
        <f>AND(DSSP!D91,"AAAAADuuV54=")</f>
        <v>#VALUE!</v>
      </c>
      <c r="FD72" t="e">
        <f>AND(DSSP!D92,"AAAAADuuV58=")</f>
        <v>#VALUE!</v>
      </c>
      <c r="FE72" t="e">
        <f>AND(DSSP!D93,"AAAAADuuV6A=")</f>
        <v>#VALUE!</v>
      </c>
      <c r="FF72" t="e">
        <f>AND(DSSP!D94,"AAAAADuuV6E=")</f>
        <v>#VALUE!</v>
      </c>
      <c r="FG72" t="e">
        <f>AND(DSSP!D95,"AAAAADuuV6I=")</f>
        <v>#VALUE!</v>
      </c>
      <c r="FH72" t="e">
        <f>AND(DSSP!D96,"AAAAADuuV6M=")</f>
        <v>#VALUE!</v>
      </c>
      <c r="FI72" t="e">
        <f>AND(DSSP!D97,"AAAAADuuV6Q=")</f>
        <v>#VALUE!</v>
      </c>
      <c r="FJ72" t="e">
        <f>AND(DSSP!D98,"AAAAADuuV6U=")</f>
        <v>#VALUE!</v>
      </c>
      <c r="FK72" t="e">
        <f>AND(DSSP!D99,"AAAAADuuV6Y=")</f>
        <v>#VALUE!</v>
      </c>
      <c r="FL72" t="e">
        <f>AND(DSSP!D100,"AAAAADuuV6c=")</f>
        <v>#VALUE!</v>
      </c>
      <c r="FM72" t="e">
        <f>AND(DSSP!D107,"AAAAADuuV6g=")</f>
        <v>#VALUE!</v>
      </c>
      <c r="FN72" t="e">
        <f>AND(DSSP!D108,"AAAAADuuV6k=")</f>
        <v>#VALUE!</v>
      </c>
      <c r="FO72" t="e">
        <f>AND(DSSP!D109,"AAAAADuuV6o=")</f>
        <v>#VALUE!</v>
      </c>
      <c r="FP72" t="e">
        <f>AND(DSSP!D110,"AAAAADuuV6s=")</f>
        <v>#VALUE!</v>
      </c>
      <c r="FQ72" t="e">
        <f>AND(DSSP!D111,"AAAAADuuV6w=")</f>
        <v>#VALUE!</v>
      </c>
      <c r="FR72" t="e">
        <f>AND(DSSP!D112,"AAAAADuuV60=")</f>
        <v>#VALUE!</v>
      </c>
      <c r="FS72" t="e">
        <f>AND(DSSP!D113,"AAAAADuuV64=")</f>
        <v>#VALUE!</v>
      </c>
      <c r="FT72" t="e">
        <f>AND(DSSP!D114,"AAAAADuuV68=")</f>
        <v>#VALUE!</v>
      </c>
      <c r="FU72" t="e">
        <f>AND(DSSP!D115,"AAAAADuuV7A=")</f>
        <v>#VALUE!</v>
      </c>
      <c r="FV72" t="e">
        <f>AND(DSSP!D116,"AAAAADuuV7E=")</f>
        <v>#VALUE!</v>
      </c>
      <c r="FW72" t="e">
        <f>AND(DSSP!D117,"AAAAADuuV7I=")</f>
        <v>#VALUE!</v>
      </c>
      <c r="FX72" t="e">
        <f>AND(DSSP!D118,"AAAAADuuV7M=")</f>
        <v>#VALUE!</v>
      </c>
      <c r="FY72" t="e">
        <f>AND(DSSP!D119,"AAAAADuuV7Q=")</f>
        <v>#VALUE!</v>
      </c>
      <c r="FZ72" t="e">
        <f>AND(DSSP!D120,"AAAAADuuV7U=")</f>
        <v>#VALUE!</v>
      </c>
      <c r="GA72" t="e">
        <f>AND(DSSP!D121,"AAAAADuuV7Y=")</f>
        <v>#VALUE!</v>
      </c>
      <c r="GB72" t="e">
        <f>AND(DSSP!D122,"AAAAADuuV7c=")</f>
        <v>#VALUE!</v>
      </c>
      <c r="GC72" t="e">
        <f>AND(DSSP!D123,"AAAAADuuV7g=")</f>
        <v>#VALUE!</v>
      </c>
      <c r="GD72" t="e">
        <f>AND(DSSP!D124,"AAAAADuuV7k=")</f>
        <v>#VALUE!</v>
      </c>
      <c r="GE72" t="e">
        <f>AND(DSSP!D125,"AAAAADuuV7o=")</f>
        <v>#VALUE!</v>
      </c>
      <c r="GF72" t="e">
        <f>AND(DSSP!D126,"AAAAADuuV7s=")</f>
        <v>#VALUE!</v>
      </c>
      <c r="GG72" t="e">
        <f>AND(DSSP!D127,"AAAAADuuV7w=")</f>
        <v>#VALUE!</v>
      </c>
      <c r="GH72" t="e">
        <f>AND(DSSP!D128,"AAAAADuuV70=")</f>
        <v>#VALUE!</v>
      </c>
      <c r="GI72" t="e">
        <f>AND(DSSP!D129,"AAAAADuuV74=")</f>
        <v>#VALUE!</v>
      </c>
      <c r="GJ72" t="e">
        <f>AND(DSSP!D130,"AAAAADuuV78=")</f>
        <v>#VALUE!</v>
      </c>
      <c r="GK72" t="e">
        <f>AND(DSSP!D131,"AAAAADuuV8A=")</f>
        <v>#VALUE!</v>
      </c>
      <c r="GL72" t="e">
        <f>AND(DSSP!D132,"AAAAADuuV8E=")</f>
        <v>#VALUE!</v>
      </c>
      <c r="GM72" t="e">
        <f>AND(DSSP!D133,"AAAAADuuV8I=")</f>
        <v>#VALUE!</v>
      </c>
      <c r="GN72" t="e">
        <f>AND(DSSP!D134,"AAAAADuuV8M=")</f>
        <v>#VALUE!</v>
      </c>
      <c r="GO72" t="e">
        <f>AND(DSSP!D135,"AAAAADuuV8Q=")</f>
        <v>#VALUE!</v>
      </c>
      <c r="GP72" t="e">
        <f>AND(DSSP!D136,"AAAAADuuV8U=")</f>
        <v>#VALUE!</v>
      </c>
      <c r="GQ72" t="e">
        <f>AND(DSSP!D137,"AAAAADuuV8Y=")</f>
        <v>#VALUE!</v>
      </c>
      <c r="GR72" t="e">
        <f>AND(DSSP!D138,"AAAAADuuV8c=")</f>
        <v>#VALUE!</v>
      </c>
      <c r="GS72" t="e">
        <f>AND(DSSP!D139,"AAAAADuuV8g=")</f>
        <v>#VALUE!</v>
      </c>
      <c r="GT72" t="e">
        <f>AND(DSSP!D140,"AAAAADuuV8k=")</f>
        <v>#VALUE!</v>
      </c>
      <c r="GU72" t="e">
        <f>AND(DSSP!D141,"AAAAADuuV8o=")</f>
        <v>#VALUE!</v>
      </c>
      <c r="GV72" t="e">
        <f>AND(DSSP!D142,"AAAAADuuV8s=")</f>
        <v>#VALUE!</v>
      </c>
      <c r="GW72" t="e">
        <f>AND(DSSP!D143,"AAAAADuuV8w=")</f>
        <v>#VALUE!</v>
      </c>
      <c r="GX72" t="e">
        <f>AND(DSSP!D144,"AAAAADuuV80=")</f>
        <v>#VALUE!</v>
      </c>
      <c r="GY72" t="e">
        <f>AND(DSSP!D145,"AAAAADuuV84=")</f>
        <v>#VALUE!</v>
      </c>
      <c r="GZ72" t="e">
        <f>AND(DSSP!D146,"AAAAADuuV88=")</f>
        <v>#VALUE!</v>
      </c>
      <c r="HA72" t="e">
        <f>AND(DSSP!D147,"AAAAADuuV9A=")</f>
        <v>#VALUE!</v>
      </c>
      <c r="HB72" t="e">
        <f>AND(DSSP!D148,"AAAAADuuV9E=")</f>
        <v>#VALUE!</v>
      </c>
      <c r="HC72" t="e">
        <f>AND(DSSP!D149,"AAAAADuuV9I=")</f>
        <v>#VALUE!</v>
      </c>
      <c r="HD72" t="e">
        <f>AND(DSSP!D150,"AAAAADuuV9M=")</f>
        <v>#VALUE!</v>
      </c>
      <c r="HE72" t="e">
        <f>AND(DSSP!D151,"AAAAADuuV9Q=")</f>
        <v>#VALUE!</v>
      </c>
      <c r="HF72" t="e">
        <f>AND(DSSP!D152,"AAAAADuuV9U=")</f>
        <v>#VALUE!</v>
      </c>
      <c r="HG72" t="e">
        <f>AND(DSSP!D153,"AAAAADuuV9Y=")</f>
        <v>#VALUE!</v>
      </c>
      <c r="HH72" t="e">
        <f>AND(DSSP!D154,"AAAAADuuV9c=")</f>
        <v>#VALUE!</v>
      </c>
      <c r="HI72" t="e">
        <f>AND(DSSP!D155,"AAAAADuuV9g=")</f>
        <v>#VALUE!</v>
      </c>
      <c r="HJ72" t="e">
        <f>AND(DSSP!D156,"AAAAADuuV9k=")</f>
        <v>#VALUE!</v>
      </c>
      <c r="HK72" t="e">
        <f>AND(DSSP!D157,"AAAAADuuV9o=")</f>
        <v>#VALUE!</v>
      </c>
      <c r="HL72" t="e">
        <f>AND(DSSP!D158,"AAAAADuuV9s=")</f>
        <v>#VALUE!</v>
      </c>
      <c r="HM72" t="e">
        <f>AND(DSSP!D159,"AAAAADuuV9w=")</f>
        <v>#VALUE!</v>
      </c>
      <c r="HN72" t="e">
        <f>AND(DSSP!D160,"AAAAADuuV90=")</f>
        <v>#VALUE!</v>
      </c>
      <c r="HO72" t="e">
        <f>AND(DSSP!D161,"AAAAADuuV94=")</f>
        <v>#VALUE!</v>
      </c>
      <c r="HP72" t="e">
        <f>AND(DSSP!D162,"AAAAADuuV98=")</f>
        <v>#VALUE!</v>
      </c>
      <c r="HQ72" t="e">
        <f>AND(DSSP!D164,"AAAAADuuV+A=")</f>
        <v>#VALUE!</v>
      </c>
      <c r="HR72" t="e">
        <f>AND(DSSP!D166,"AAAAADuuV+E=")</f>
        <v>#VALUE!</v>
      </c>
      <c r="HS72" t="e">
        <f>AND(DSSP!D167,"AAAAADuuV+I=")</f>
        <v>#VALUE!</v>
      </c>
      <c r="HT72" t="e">
        <f>AND(DSSP!D168,"AAAAADuuV+M=")</f>
        <v>#VALUE!</v>
      </c>
      <c r="HU72" t="e">
        <f>AND(DSSP!D169,"AAAAADuuV+Q=")</f>
        <v>#VALUE!</v>
      </c>
      <c r="HV72" t="e">
        <f>AND(DSSP!D170,"AAAAADuuV+U=")</f>
        <v>#VALUE!</v>
      </c>
      <c r="HW72" t="e">
        <f>AND(DSSP!D171,"AAAAADuuV+Y=")</f>
        <v>#VALUE!</v>
      </c>
      <c r="HX72" t="e">
        <f>AND(DSSP!D172,"AAAAADuuV+c=")</f>
        <v>#VALUE!</v>
      </c>
      <c r="HY72" t="e">
        <f>AND(DSSP!D176,"AAAAADuuV+g=")</f>
        <v>#VALUE!</v>
      </c>
      <c r="HZ72" t="e">
        <f>AND(DSSP!D177,"AAAAADuuV+k=")</f>
        <v>#VALUE!</v>
      </c>
      <c r="IA72" t="e">
        <f>AND(DSSP!D178,"AAAAADuuV+o=")</f>
        <v>#VALUE!</v>
      </c>
      <c r="IB72" t="e">
        <f>AND(DSSP!D179,"AAAAADuuV+s=")</f>
        <v>#VALUE!</v>
      </c>
      <c r="IC72" t="e">
        <f>AND(DSSP!D180,"AAAAADuuV+w=")</f>
        <v>#VALUE!</v>
      </c>
    </row>
    <row r="73" spans="1:256">
      <c r="A73" t="e">
        <f>AND(#REF!,"AAAAAF2+2gA=")</f>
        <v>#REF!</v>
      </c>
      <c r="B73" t="e">
        <f>AND(#REF!,"AAAAAF2+2gE=")</f>
        <v>#REF!</v>
      </c>
      <c r="C73" t="e">
        <f>AND(#REF!,"AAAAAF2+2gI=")</f>
        <v>#REF!</v>
      </c>
      <c r="D73" t="e">
        <f>AND(#REF!,"AAAAAF2+2gM=")</f>
        <v>#REF!</v>
      </c>
      <c r="E73" t="e">
        <f>AND(#REF!,"AAAAAF2+2gQ=")</f>
        <v>#REF!</v>
      </c>
      <c r="F73" t="e">
        <f>AND(#REF!,"AAAAAF2+2gU=")</f>
        <v>#REF!</v>
      </c>
      <c r="G73" t="e">
        <f>AND(#REF!,"AAAAAF2+2gY=")</f>
        <v>#REF!</v>
      </c>
      <c r="H73" t="e">
        <f>AND(#REF!,"AAAAAF2+2gc=")</f>
        <v>#REF!</v>
      </c>
      <c r="I73" t="e">
        <f>AND(#REF!,"AAAAAF2+2gg=")</f>
        <v>#REF!</v>
      </c>
      <c r="J73" t="e">
        <f>AND(#REF!,"AAAAAF2+2gk=")</f>
        <v>#REF!</v>
      </c>
      <c r="K73" t="e">
        <f>AND(#REF!,"AAAAAF2+2go=")</f>
        <v>#REF!</v>
      </c>
      <c r="L73" t="e">
        <f>AND(#REF!,"AAAAAF2+2gs=")</f>
        <v>#REF!</v>
      </c>
      <c r="M73" t="e">
        <f>AND(#REF!,"AAAAAF2+2gw=")</f>
        <v>#REF!</v>
      </c>
      <c r="N73" t="e">
        <f>AND(#REF!,"AAAAAF2+2g0=")</f>
        <v>#REF!</v>
      </c>
      <c r="O73" t="e">
        <f>AND(#REF!,"AAAAAF2+2g4=")</f>
        <v>#REF!</v>
      </c>
      <c r="P73" t="e">
        <f>AND(#REF!,"AAAAAF2+2g8=")</f>
        <v>#REF!</v>
      </c>
      <c r="Q73" t="e">
        <f>AND(#REF!,"AAAAAF2+2hA=")</f>
        <v>#REF!</v>
      </c>
      <c r="R73" t="e">
        <f>AND(#REF!,"AAAAAF2+2hE=")</f>
        <v>#REF!</v>
      </c>
      <c r="S73" t="e">
        <f>AND(#REF!,"AAAAAF2+2hI=")</f>
        <v>#REF!</v>
      </c>
      <c r="T73" t="e">
        <f>AND(#REF!,"AAAAAF2+2hM=")</f>
        <v>#REF!</v>
      </c>
      <c r="U73" t="e">
        <f>AND(#REF!,"AAAAAF2+2hQ=")</f>
        <v>#REF!</v>
      </c>
      <c r="V73" t="e">
        <f>AND(#REF!,"AAAAAF2+2hU=")</f>
        <v>#REF!</v>
      </c>
      <c r="W73" t="e">
        <f>AND(#REF!,"AAAAAF2+2hY=")</f>
        <v>#REF!</v>
      </c>
      <c r="X73" t="e">
        <f>AND(#REF!,"AAAAAF2+2hc=")</f>
        <v>#REF!</v>
      </c>
      <c r="Y73" t="e">
        <f>AND(#REF!,"AAAAAF2+2hg=")</f>
        <v>#REF!</v>
      </c>
      <c r="Z73" t="e">
        <f>AND(#REF!,"AAAAAF2+2hk=")</f>
        <v>#REF!</v>
      </c>
      <c r="AA73" t="e">
        <f>AND(#REF!,"AAAAAF2+2ho=")</f>
        <v>#REF!</v>
      </c>
      <c r="AB73" t="e">
        <f>AND(#REF!,"AAAAAF2+2hs=")</f>
        <v>#REF!</v>
      </c>
      <c r="AC73" t="e">
        <f>AND(#REF!,"AAAAAF2+2hw=")</f>
        <v>#REF!</v>
      </c>
      <c r="AD73" t="e">
        <f>AND(#REF!,"AAAAAF2+2h0=")</f>
        <v>#REF!</v>
      </c>
      <c r="AE73" t="e">
        <f>AND(#REF!,"AAAAAF2+2h4=")</f>
        <v>#REF!</v>
      </c>
      <c r="AF73" t="e">
        <f>AND(#REF!,"AAAAAF2+2h8=")</f>
        <v>#REF!</v>
      </c>
      <c r="AG73" t="e">
        <f>AND(#REF!,"AAAAAF2+2iA=")</f>
        <v>#REF!</v>
      </c>
      <c r="AH73" t="e">
        <f>AND(#REF!,"AAAAAF2+2iE=")</f>
        <v>#REF!</v>
      </c>
      <c r="AI73" t="e">
        <f>AND(#REF!,"AAAAAF2+2iI=")</f>
        <v>#REF!</v>
      </c>
      <c r="AJ73" t="e">
        <f>AND(#REF!,"AAAAAF2+2iM=")</f>
        <v>#REF!</v>
      </c>
      <c r="AK73" t="e">
        <f>AND(#REF!,"AAAAAF2+2iQ=")</f>
        <v>#REF!</v>
      </c>
      <c r="AL73" t="e">
        <f>AND(#REF!,"AAAAAF2+2iU=")</f>
        <v>#REF!</v>
      </c>
      <c r="AM73" t="e">
        <f>AND(#REF!,"AAAAAF2+2iY=")</f>
        <v>#REF!</v>
      </c>
      <c r="AN73" t="e">
        <f>AND(#REF!,"AAAAAF2+2ic=")</f>
        <v>#REF!</v>
      </c>
      <c r="AO73" t="e">
        <f>AND(#REF!,"AAAAAF2+2ig=")</f>
        <v>#REF!</v>
      </c>
      <c r="AP73" t="e">
        <f>AND(#REF!,"AAAAAF2+2ik=")</f>
        <v>#REF!</v>
      </c>
      <c r="AQ73" t="e">
        <f>AND(#REF!,"AAAAAF2+2io=")</f>
        <v>#REF!</v>
      </c>
      <c r="AR73" t="e">
        <f>AND(#REF!,"AAAAAF2+2is=")</f>
        <v>#REF!</v>
      </c>
      <c r="AS73" t="e">
        <f>AND(#REF!,"AAAAAF2+2iw=")</f>
        <v>#REF!</v>
      </c>
      <c r="AT73" t="e">
        <f>AND(#REF!,"AAAAAF2+2i0=")</f>
        <v>#REF!</v>
      </c>
      <c r="AU73" t="e">
        <f>AND(#REF!,"AAAAAF2+2i4=")</f>
        <v>#REF!</v>
      </c>
      <c r="AV73" t="e">
        <f>AND(#REF!,"AAAAAF2+2i8=")</f>
        <v>#REF!</v>
      </c>
      <c r="AW73" t="e">
        <f>AND(#REF!,"AAAAAF2+2jA=")</f>
        <v>#REF!</v>
      </c>
      <c r="AX73" t="e">
        <f>AND(#REF!,"AAAAAF2+2jE=")</f>
        <v>#REF!</v>
      </c>
      <c r="AY73" t="e">
        <f>AND(#REF!,"AAAAAF2+2jI=")</f>
        <v>#REF!</v>
      </c>
      <c r="AZ73" t="e">
        <f>AND(#REF!,"AAAAAF2+2jM=")</f>
        <v>#REF!</v>
      </c>
      <c r="BA73" t="e">
        <f>AND(#REF!,"AAAAAF2+2jQ=")</f>
        <v>#REF!</v>
      </c>
      <c r="BB73" t="e">
        <f>AND(#REF!,"AAAAAF2+2jU=")</f>
        <v>#REF!</v>
      </c>
      <c r="BC73" t="e">
        <f>AND(#REF!,"AAAAAF2+2jY=")</f>
        <v>#REF!</v>
      </c>
      <c r="BD73" t="e">
        <f>AND(#REF!,"AAAAAF2+2jc=")</f>
        <v>#REF!</v>
      </c>
      <c r="BE73" t="e">
        <f>AND(#REF!,"AAAAAF2+2jg=")</f>
        <v>#REF!</v>
      </c>
      <c r="BF73" t="e">
        <f>AND(#REF!,"AAAAAF2+2jk=")</f>
        <v>#REF!</v>
      </c>
      <c r="BG73" t="e">
        <f>AND(#REF!,"AAAAAF2+2jo=")</f>
        <v>#REF!</v>
      </c>
      <c r="BH73" t="e">
        <f>AND(#REF!,"AAAAAF2+2js=")</f>
        <v>#REF!</v>
      </c>
      <c r="BI73" t="e">
        <f>AND(#REF!,"AAAAAF2+2jw=")</f>
        <v>#REF!</v>
      </c>
      <c r="BJ73" t="e">
        <f>AND(#REF!,"AAAAAF2+2j0=")</f>
        <v>#REF!</v>
      </c>
      <c r="BK73" t="e">
        <f>AND(#REF!,"AAAAAF2+2j4=")</f>
        <v>#REF!</v>
      </c>
      <c r="BL73" t="e">
        <f>AND(#REF!,"AAAAAF2+2j8=")</f>
        <v>#REF!</v>
      </c>
      <c r="BM73" t="e">
        <f>AND(#REF!,"AAAAAF2+2kA=")</f>
        <v>#REF!</v>
      </c>
      <c r="BN73" t="e">
        <f>AND(#REF!,"AAAAAF2+2kE=")</f>
        <v>#REF!</v>
      </c>
      <c r="BO73" t="e">
        <f>AND(#REF!,"AAAAAF2+2kI=")</f>
        <v>#REF!</v>
      </c>
      <c r="BP73" t="e">
        <f>AND(#REF!,"AAAAAF2+2kM=")</f>
        <v>#REF!</v>
      </c>
      <c r="BQ73" t="e">
        <f>AND(#REF!,"AAAAAF2+2kQ=")</f>
        <v>#REF!</v>
      </c>
      <c r="BR73" t="e">
        <f>AND(#REF!,"AAAAAF2+2kU=")</f>
        <v>#REF!</v>
      </c>
      <c r="BS73" t="e">
        <f>AND(#REF!,"AAAAAF2+2kY=")</f>
        <v>#REF!</v>
      </c>
      <c r="BT73" t="e">
        <f>AND(#REF!,"AAAAAF2+2kc=")</f>
        <v>#REF!</v>
      </c>
      <c r="BU73" t="e">
        <f>AND(#REF!,"AAAAAF2+2kg=")</f>
        <v>#REF!</v>
      </c>
      <c r="BV73" t="e">
        <f>AND(#REF!,"AAAAAF2+2kk=")</f>
        <v>#REF!</v>
      </c>
      <c r="BW73" t="e">
        <f>AND(#REF!,"AAAAAF2+2ko=")</f>
        <v>#REF!</v>
      </c>
      <c r="BX73" t="e">
        <f>AND(#REF!,"AAAAAF2+2ks=")</f>
        <v>#REF!</v>
      </c>
      <c r="BY73" t="e">
        <f>AND(#REF!,"AAAAAF2+2kw=")</f>
        <v>#REF!</v>
      </c>
      <c r="BZ73" t="e">
        <f>AND(#REF!,"AAAAAF2+2k0=")</f>
        <v>#REF!</v>
      </c>
      <c r="CA73" t="e">
        <f>AND(#REF!,"AAAAAF2+2k4=")</f>
        <v>#REF!</v>
      </c>
      <c r="CB73" t="e">
        <f>AND(#REF!,"AAAAAF2+2k8=")</f>
        <v>#REF!</v>
      </c>
      <c r="CC73" t="e">
        <f>AND(#REF!,"AAAAAF2+2lA=")</f>
        <v>#REF!</v>
      </c>
      <c r="CD73" t="e">
        <f>AND(#REF!,"AAAAAF2+2lE=")</f>
        <v>#REF!</v>
      </c>
      <c r="CE73" t="e">
        <f>AND(#REF!,"AAAAAF2+2lI=")</f>
        <v>#REF!</v>
      </c>
      <c r="CF73" t="e">
        <f>AND(#REF!,"AAAAAF2+2lM=")</f>
        <v>#REF!</v>
      </c>
      <c r="CG73" t="e">
        <f>AND(#REF!,"AAAAAF2+2lQ=")</f>
        <v>#REF!</v>
      </c>
      <c r="CH73" t="e">
        <f>AND(#REF!,"AAAAAF2+2lU=")</f>
        <v>#REF!</v>
      </c>
      <c r="CI73" t="e">
        <f>AND(#REF!,"AAAAAF2+2lY=")</f>
        <v>#REF!</v>
      </c>
      <c r="CJ73" t="e">
        <f>AND(#REF!,"AAAAAF2+2lc=")</f>
        <v>#REF!</v>
      </c>
      <c r="CK73" t="e">
        <f>AND(#REF!,"AAAAAF2+2lg=")</f>
        <v>#REF!</v>
      </c>
      <c r="CL73" t="e">
        <f>AND(#REF!,"AAAAAF2+2lk=")</f>
        <v>#REF!</v>
      </c>
      <c r="CM73" t="e">
        <f>AND(#REF!,"AAAAAF2+2lo=")</f>
        <v>#REF!</v>
      </c>
      <c r="CN73" t="e">
        <f>AND(#REF!,"AAAAAF2+2ls=")</f>
        <v>#REF!</v>
      </c>
      <c r="CO73" t="e">
        <f>AND(#REF!,"AAAAAF2+2lw=")</f>
        <v>#REF!</v>
      </c>
      <c r="CP73" t="e">
        <f>AND(#REF!,"AAAAAF2+2l0=")</f>
        <v>#REF!</v>
      </c>
      <c r="CQ73" t="e">
        <f>AND(#REF!,"AAAAAF2+2l4=")</f>
        <v>#REF!</v>
      </c>
      <c r="CR73" t="e">
        <f>AND(#REF!,"AAAAAF2+2l8=")</f>
        <v>#REF!</v>
      </c>
      <c r="CS73" t="e">
        <f>AND(#REF!,"AAAAAF2+2mA=")</f>
        <v>#REF!</v>
      </c>
      <c r="CT73" t="e">
        <f>AND(#REF!,"AAAAAF2+2mE=")</f>
        <v>#REF!</v>
      </c>
      <c r="CU73" t="e">
        <f>AND(#REF!,"AAAAAF2+2mI=")</f>
        <v>#REF!</v>
      </c>
      <c r="CV73" t="e">
        <f>AND(#REF!,"AAAAAF2+2mM=")</f>
        <v>#REF!</v>
      </c>
      <c r="CW73" t="e">
        <f>AND(#REF!,"AAAAAF2+2mQ=")</f>
        <v>#REF!</v>
      </c>
      <c r="CX73" t="e">
        <f>AND(#REF!,"AAAAAF2+2mU=")</f>
        <v>#REF!</v>
      </c>
      <c r="CY73" t="e">
        <f>AND(#REF!,"AAAAAF2+2mY=")</f>
        <v>#REF!</v>
      </c>
      <c r="CZ73" t="e">
        <f>AND(#REF!,"AAAAAF2+2mc=")</f>
        <v>#REF!</v>
      </c>
      <c r="DA73" t="e">
        <f>AND(#REF!,"AAAAAF2+2mg=")</f>
        <v>#REF!</v>
      </c>
      <c r="DB73" t="e">
        <f>AND(#REF!,"AAAAAF2+2mk=")</f>
        <v>#REF!</v>
      </c>
      <c r="DC73" t="e">
        <f>AND(#REF!,"AAAAAF2+2mo=")</f>
        <v>#REF!</v>
      </c>
      <c r="DD73" t="e">
        <f>AND(#REF!,"AAAAAF2+2ms=")</f>
        <v>#REF!</v>
      </c>
      <c r="DE73" t="e">
        <f>AND(#REF!,"AAAAAF2+2mw=")</f>
        <v>#REF!</v>
      </c>
      <c r="DF73" t="e">
        <f>AND(#REF!,"AAAAAF2+2m0=")</f>
        <v>#REF!</v>
      </c>
      <c r="DG73" t="e">
        <f>AND(#REF!,"AAAAAF2+2m4=")</f>
        <v>#REF!</v>
      </c>
      <c r="DH73" t="e">
        <f>AND(#REF!,"AAAAAF2+2m8=")</f>
        <v>#REF!</v>
      </c>
      <c r="DI73" t="e">
        <f>AND(#REF!,"AAAAAF2+2nA=")</f>
        <v>#REF!</v>
      </c>
      <c r="DJ73" t="e">
        <f>AND(#REF!,"AAAAAF2+2nE=")</f>
        <v>#REF!</v>
      </c>
      <c r="DK73" t="e">
        <f>AND(#REF!,"AAAAAF2+2nI=")</f>
        <v>#REF!</v>
      </c>
      <c r="DL73" t="e">
        <f>AND(#REF!,"AAAAAF2+2nM=")</f>
        <v>#REF!</v>
      </c>
      <c r="DM73" t="e">
        <f>AND(#REF!,"AAAAAF2+2nQ=")</f>
        <v>#REF!</v>
      </c>
      <c r="DN73" t="e">
        <f>AND(#REF!,"AAAAAF2+2nU=")</f>
        <v>#REF!</v>
      </c>
      <c r="DO73" t="e">
        <f>AND(#REF!,"AAAAAF2+2nY=")</f>
        <v>#REF!</v>
      </c>
      <c r="DP73" t="e">
        <f>AND(#REF!,"AAAAAF2+2nc=")</f>
        <v>#REF!</v>
      </c>
      <c r="DQ73" t="e">
        <f>AND(#REF!,"AAAAAF2+2ng=")</f>
        <v>#REF!</v>
      </c>
      <c r="DR73" t="e">
        <f>AND(#REF!,"AAAAAF2+2nk=")</f>
        <v>#REF!</v>
      </c>
      <c r="DS73" t="e">
        <f>AND(#REF!,"AAAAAF2+2no=")</f>
        <v>#REF!</v>
      </c>
      <c r="DT73" t="e">
        <f>AND(#REF!,"AAAAAF2+2ns=")</f>
        <v>#REF!</v>
      </c>
      <c r="DU73" t="e">
        <f>AND(#REF!,"AAAAAF2+2nw=")</f>
        <v>#REF!</v>
      </c>
      <c r="DV73" t="e">
        <f>AND(#REF!,"AAAAAF2+2n0=")</f>
        <v>#REF!</v>
      </c>
      <c r="DW73" t="e">
        <f>AND(#REF!,"AAAAAF2+2n4=")</f>
        <v>#REF!</v>
      </c>
      <c r="DX73" t="e">
        <f>AND(#REF!,"AAAAAF2+2n8=")</f>
        <v>#REF!</v>
      </c>
      <c r="DY73" t="e">
        <f>AND(#REF!,"AAAAAF2+2oA=")</f>
        <v>#REF!</v>
      </c>
      <c r="DZ73" t="e">
        <f>AND(#REF!,"AAAAAF2+2oE=")</f>
        <v>#REF!</v>
      </c>
      <c r="EA73" t="e">
        <f>AND(#REF!,"AAAAAF2+2oI=")</f>
        <v>#REF!</v>
      </c>
      <c r="EB73" t="e">
        <f>AND(#REF!,"AAAAAF2+2oM=")</f>
        <v>#REF!</v>
      </c>
      <c r="EC73" t="e">
        <f>AND(#REF!,"AAAAAF2+2oQ=")</f>
        <v>#REF!</v>
      </c>
      <c r="ED73" t="e">
        <f>AND(#REF!,"AAAAAF2+2oU=")</f>
        <v>#REF!</v>
      </c>
      <c r="EE73" t="e">
        <f>AND(#REF!,"AAAAAF2+2oY=")</f>
        <v>#REF!</v>
      </c>
      <c r="EF73" t="e">
        <f>AND(#REF!,"AAAAAF2+2oc=")</f>
        <v>#REF!</v>
      </c>
      <c r="EG73" t="e">
        <f>AND(#REF!,"AAAAAF2+2og=")</f>
        <v>#REF!</v>
      </c>
      <c r="EH73" t="e">
        <f>AND(#REF!,"AAAAAF2+2ok=")</f>
        <v>#REF!</v>
      </c>
      <c r="EI73" t="e">
        <f>AND(#REF!,"AAAAAF2+2oo=")</f>
        <v>#REF!</v>
      </c>
      <c r="EJ73" t="e">
        <f>AND(#REF!,"AAAAAF2+2os=")</f>
        <v>#REF!</v>
      </c>
      <c r="EK73" t="e">
        <f>AND(#REF!,"AAAAAF2+2ow=")</f>
        <v>#REF!</v>
      </c>
      <c r="EL73" t="e">
        <f>AND(#REF!,"AAAAAF2+2o0=")</f>
        <v>#REF!</v>
      </c>
      <c r="EM73" t="e">
        <f>AND(#REF!,"AAAAAF2+2o4=")</f>
        <v>#REF!</v>
      </c>
      <c r="EN73" t="e">
        <f>AND(#REF!,"AAAAAF2+2o8=")</f>
        <v>#REF!</v>
      </c>
      <c r="EO73" t="e">
        <f>AND(#REF!,"AAAAAF2+2pA=")</f>
        <v>#REF!</v>
      </c>
      <c r="EP73" t="e">
        <f>AND(#REF!,"AAAAAF2+2pE=")</f>
        <v>#REF!</v>
      </c>
      <c r="EQ73" t="e">
        <f>AND(#REF!,"AAAAAF2+2pI=")</f>
        <v>#REF!</v>
      </c>
      <c r="ER73" t="e">
        <f>AND(#REF!,"AAAAAF2+2pM=")</f>
        <v>#REF!</v>
      </c>
      <c r="ES73" t="e">
        <f>AND(#REF!,"AAAAAF2+2pQ=")</f>
        <v>#REF!</v>
      </c>
      <c r="ET73" t="e">
        <f>AND(#REF!,"AAAAAF2+2pU=")</f>
        <v>#REF!</v>
      </c>
      <c r="EU73" t="e">
        <f>AND(#REF!,"AAAAAF2+2pY=")</f>
        <v>#REF!</v>
      </c>
      <c r="EV73" t="e">
        <f>AND(#REF!,"AAAAAF2+2pc=")</f>
        <v>#REF!</v>
      </c>
      <c r="EW73" t="e">
        <f>AND(#REF!,"AAAAAF2+2pg=")</f>
        <v>#REF!</v>
      </c>
      <c r="EX73" t="e">
        <f>AND(#REF!,"AAAAAF2+2pk=")</f>
        <v>#REF!</v>
      </c>
      <c r="EY73" t="e">
        <f>AND(#REF!,"AAAAAF2+2po=")</f>
        <v>#REF!</v>
      </c>
      <c r="EZ73" t="e">
        <f>AND(#REF!,"AAAAAF2+2ps=")</f>
        <v>#REF!</v>
      </c>
      <c r="FA73" t="e">
        <f>AND(#REF!,"AAAAAF2+2pw=")</f>
        <v>#REF!</v>
      </c>
      <c r="FB73" t="e">
        <f>AND(#REF!,"AAAAAF2+2p0=")</f>
        <v>#REF!</v>
      </c>
      <c r="FC73" t="e">
        <f>AND(#REF!,"AAAAAF2+2p4=")</f>
        <v>#REF!</v>
      </c>
      <c r="FD73" t="e">
        <f>AND(#REF!,"AAAAAF2+2p8=")</f>
        <v>#REF!</v>
      </c>
      <c r="FE73" t="e">
        <f>AND(#REF!,"AAAAAF2+2qA=")</f>
        <v>#REF!</v>
      </c>
      <c r="FF73" t="e">
        <f>AND(#REF!,"AAAAAF2+2qE=")</f>
        <v>#REF!</v>
      </c>
      <c r="FG73" t="e">
        <f>AND(#REF!,"AAAAAF2+2qI=")</f>
        <v>#REF!</v>
      </c>
      <c r="FH73" t="e">
        <f>AND(#REF!,"AAAAAF2+2qM=")</f>
        <v>#REF!</v>
      </c>
      <c r="FI73" t="e">
        <f>AND(#REF!,"AAAAAF2+2qQ=")</f>
        <v>#REF!</v>
      </c>
      <c r="FJ73" t="e">
        <f>AND(#REF!,"AAAAAF2+2qU=")</f>
        <v>#REF!</v>
      </c>
      <c r="FK73" t="e">
        <f>AND(#REF!,"AAAAAF2+2qY=")</f>
        <v>#REF!</v>
      </c>
      <c r="FL73" t="e">
        <f>AND(#REF!,"AAAAAF2+2qc=")</f>
        <v>#REF!</v>
      </c>
      <c r="FM73" t="e">
        <f>AND(#REF!,"AAAAAF2+2qg=")</f>
        <v>#REF!</v>
      </c>
      <c r="FN73" t="e">
        <f>AND(#REF!,"AAAAAF2+2qk=")</f>
        <v>#REF!</v>
      </c>
      <c r="FO73" t="e">
        <f>AND(#REF!,"AAAAAF2+2qo=")</f>
        <v>#REF!</v>
      </c>
      <c r="FP73" t="e">
        <f>AND(#REF!,"AAAAAF2+2qs=")</f>
        <v>#REF!</v>
      </c>
      <c r="FQ73" t="e">
        <f>AND(#REF!,"AAAAAF2+2qw=")</f>
        <v>#REF!</v>
      </c>
      <c r="FR73" t="e">
        <f>AND(#REF!,"AAAAAF2+2q0=")</f>
        <v>#REF!</v>
      </c>
      <c r="FS73" t="e">
        <f>AND(#REF!,"AAAAAF2+2q4=")</f>
        <v>#REF!</v>
      </c>
      <c r="FT73" t="e">
        <f>AND(#REF!,"AAAAAF2+2q8=")</f>
        <v>#REF!</v>
      </c>
      <c r="FU73" t="e">
        <f>AND(#REF!,"AAAAAF2+2rA=")</f>
        <v>#REF!</v>
      </c>
      <c r="FV73" t="e">
        <f>AND(#REF!,"AAAAAF2+2rE=")</f>
        <v>#REF!</v>
      </c>
      <c r="FW73" t="e">
        <f>AND(#REF!,"AAAAAF2+2rI=")</f>
        <v>#REF!</v>
      </c>
      <c r="FX73" t="e">
        <f>AND(#REF!,"AAAAAF2+2rM=")</f>
        <v>#REF!</v>
      </c>
      <c r="FY73" t="e">
        <f>AND(#REF!,"AAAAAF2+2rQ=")</f>
        <v>#REF!</v>
      </c>
      <c r="FZ73" t="e">
        <f>AND(#REF!,"AAAAAF2+2rU=")</f>
        <v>#REF!</v>
      </c>
      <c r="GA73" t="e">
        <f>AND(#REF!,"AAAAAF2+2rY=")</f>
        <v>#REF!</v>
      </c>
      <c r="GB73" t="e">
        <f>AND(#REF!,"AAAAAF2+2rc=")</f>
        <v>#REF!</v>
      </c>
      <c r="GC73" t="e">
        <f>AND(#REF!,"AAAAAF2+2rg=")</f>
        <v>#REF!</v>
      </c>
      <c r="GD73" t="e">
        <f>AND(#REF!,"AAAAAF2+2rk=")</f>
        <v>#REF!</v>
      </c>
      <c r="GE73" t="e">
        <f>AND(#REF!,"AAAAAF2+2ro=")</f>
        <v>#REF!</v>
      </c>
      <c r="GF73" t="e">
        <f>AND(#REF!,"AAAAAF2+2rs=")</f>
        <v>#REF!</v>
      </c>
      <c r="GG73" t="e">
        <f>AND(#REF!,"AAAAAF2+2rw=")</f>
        <v>#REF!</v>
      </c>
      <c r="GH73" t="e">
        <f>AND(#REF!,"AAAAAF2+2r0=")</f>
        <v>#REF!</v>
      </c>
      <c r="GI73" t="e">
        <f>AND(#REF!,"AAAAAF2+2r4=")</f>
        <v>#REF!</v>
      </c>
      <c r="GJ73" t="e">
        <f>AND(#REF!,"AAAAAF2+2r8=")</f>
        <v>#REF!</v>
      </c>
      <c r="GK73" t="e">
        <f>AND(#REF!,"AAAAAF2+2sA=")</f>
        <v>#REF!</v>
      </c>
      <c r="GL73" t="e">
        <f>AND(#REF!,"AAAAAF2+2sE=")</f>
        <v>#REF!</v>
      </c>
      <c r="GM73" t="e">
        <f>AND(#REF!,"AAAAAF2+2sI=")</f>
        <v>#REF!</v>
      </c>
      <c r="GN73" t="e">
        <f>AND(#REF!,"AAAAAF2+2sM=")</f>
        <v>#REF!</v>
      </c>
      <c r="GO73" t="e">
        <f>AND(#REF!,"AAAAAF2+2sQ=")</f>
        <v>#REF!</v>
      </c>
      <c r="GP73" t="e">
        <f>AND(#REF!,"AAAAAF2+2sU=")</f>
        <v>#REF!</v>
      </c>
      <c r="GQ73" t="e">
        <f>AND(#REF!,"AAAAAF2+2sY=")</f>
        <v>#REF!</v>
      </c>
      <c r="GR73" t="e">
        <f>AND(#REF!,"AAAAAF2+2sc=")</f>
        <v>#REF!</v>
      </c>
      <c r="GS73" t="e">
        <f>AND(#REF!,"AAAAAF2+2sg=")</f>
        <v>#REF!</v>
      </c>
      <c r="GT73" t="e">
        <f>AND(#REF!,"AAAAAF2+2sk=")</f>
        <v>#REF!</v>
      </c>
      <c r="GU73" t="e">
        <f>AND(#REF!,"AAAAAF2+2so=")</f>
        <v>#REF!</v>
      </c>
      <c r="GV73" t="e">
        <f>AND(#REF!,"AAAAAF2+2ss=")</f>
        <v>#REF!</v>
      </c>
      <c r="GW73" t="e">
        <f>AND(#REF!,"AAAAAF2+2sw=")</f>
        <v>#REF!</v>
      </c>
      <c r="GX73" t="e">
        <f>AND(#REF!,"AAAAAF2+2s0=")</f>
        <v>#REF!</v>
      </c>
      <c r="GY73" t="e">
        <f>AND(#REF!,"AAAAAF2+2s4=")</f>
        <v>#REF!</v>
      </c>
      <c r="GZ73" t="e">
        <f>AND(#REF!,"AAAAAF2+2s8=")</f>
        <v>#REF!</v>
      </c>
      <c r="HA73" t="e">
        <f>AND(#REF!,"AAAAAF2+2tA=")</f>
        <v>#REF!</v>
      </c>
      <c r="HB73" t="e">
        <f>AND(#REF!,"AAAAAF2+2tE=")</f>
        <v>#REF!</v>
      </c>
      <c r="HC73" t="e">
        <f>AND(#REF!,"AAAAAF2+2tI=")</f>
        <v>#REF!</v>
      </c>
      <c r="HD73" t="e">
        <f>AND(#REF!,"AAAAAF2+2tM=")</f>
        <v>#REF!</v>
      </c>
      <c r="HE73" t="e">
        <f>AND(#REF!,"AAAAAF2+2tQ=")</f>
        <v>#REF!</v>
      </c>
      <c r="HF73" t="e">
        <f>AND(#REF!,"AAAAAF2+2tU=")</f>
        <v>#REF!</v>
      </c>
      <c r="HG73" t="e">
        <f>AND(#REF!,"AAAAAF2+2tY=")</f>
        <v>#REF!</v>
      </c>
      <c r="HH73" t="e">
        <f>AND(#REF!,"AAAAAF2+2tc=")</f>
        <v>#REF!</v>
      </c>
      <c r="HI73" t="e">
        <f>AND(#REF!,"AAAAAF2+2tg=")</f>
        <v>#REF!</v>
      </c>
      <c r="HJ73" t="e">
        <f>AND(#REF!,"AAAAAF2+2tk=")</f>
        <v>#REF!</v>
      </c>
      <c r="HK73" t="e">
        <f>AND(#REF!,"AAAAAF2+2to=")</f>
        <v>#REF!</v>
      </c>
      <c r="HL73" t="e">
        <f>AND(#REF!,"AAAAAF2+2ts=")</f>
        <v>#REF!</v>
      </c>
      <c r="HM73" t="e">
        <f>AND(#REF!,"AAAAAF2+2tw=")</f>
        <v>#REF!</v>
      </c>
      <c r="HN73" t="e">
        <f>AND(#REF!,"AAAAAF2+2t0=")</f>
        <v>#REF!</v>
      </c>
      <c r="HO73" t="e">
        <f>AND(#REF!,"AAAAAF2+2t4=")</f>
        <v>#REF!</v>
      </c>
      <c r="HP73" t="e">
        <f>AND(#REF!,"AAAAAF2+2t8=")</f>
        <v>#REF!</v>
      </c>
      <c r="HQ73" t="e">
        <f>AND(#REF!,"AAAAAF2+2uA=")</f>
        <v>#REF!</v>
      </c>
      <c r="HR73" t="e">
        <f>AND(#REF!,"AAAAAF2+2uE=")</f>
        <v>#REF!</v>
      </c>
      <c r="HS73" t="e">
        <f>AND(#REF!,"AAAAAF2+2uI=")</f>
        <v>#REF!</v>
      </c>
      <c r="HT73" t="e">
        <f>AND(#REF!,"AAAAAF2+2uM=")</f>
        <v>#REF!</v>
      </c>
      <c r="HU73" t="e">
        <f>AND(#REF!,"AAAAAF2+2uQ=")</f>
        <v>#REF!</v>
      </c>
      <c r="HV73" t="e">
        <f>AND(#REF!,"AAAAAF2+2uU=")</f>
        <v>#REF!</v>
      </c>
      <c r="HW73" t="e">
        <f>AND(#REF!,"AAAAAF2+2uY=")</f>
        <v>#REF!</v>
      </c>
      <c r="HX73" t="e">
        <f>AND(#REF!,"AAAAAF2+2uc=")</f>
        <v>#REF!</v>
      </c>
      <c r="HY73" t="e">
        <f>AND(#REF!,"AAAAAF2+2ug=")</f>
        <v>#REF!</v>
      </c>
      <c r="HZ73" t="e">
        <f>AND(#REF!,"AAAAAF2+2uk=")</f>
        <v>#REF!</v>
      </c>
      <c r="IA73" t="e">
        <f>AND(#REF!,"AAAAAF2+2uo=")</f>
        <v>#REF!</v>
      </c>
      <c r="IB73" t="e">
        <f>AND(#REF!,"AAAAAF2+2us=")</f>
        <v>#REF!</v>
      </c>
      <c r="IC73" t="e">
        <f>AND(#REF!,"AAAAAF2+2uw=")</f>
        <v>#REF!</v>
      </c>
      <c r="ID73" t="e">
        <f>AND(#REF!,"AAAAAF2+2u0=")</f>
        <v>#REF!</v>
      </c>
      <c r="IE73" t="e">
        <f>AND(#REF!,"AAAAAF2+2u4=")</f>
        <v>#REF!</v>
      </c>
      <c r="IF73" t="e">
        <f>AND(#REF!,"AAAAAF2+2u8=")</f>
        <v>#REF!</v>
      </c>
      <c r="IG73" t="e">
        <f>AND(#REF!,"AAAAAF2+2vA=")</f>
        <v>#REF!</v>
      </c>
      <c r="IH73" t="e">
        <f>AND(#REF!,"AAAAAF2+2vE=")</f>
        <v>#REF!</v>
      </c>
      <c r="II73" t="e">
        <f>AND(#REF!,"AAAAAF2+2vI=")</f>
        <v>#REF!</v>
      </c>
      <c r="IJ73" t="e">
        <f>AND(#REF!,"AAAAAF2+2vM=")</f>
        <v>#REF!</v>
      </c>
      <c r="IK73" t="e">
        <f>AND(#REF!,"AAAAAF2+2vQ=")</f>
        <v>#REF!</v>
      </c>
      <c r="IL73" t="e">
        <f>AND(#REF!,"AAAAAF2+2vU=")</f>
        <v>#REF!</v>
      </c>
      <c r="IM73" t="e">
        <f>AND(#REF!,"AAAAAF2+2vY=")</f>
        <v>#REF!</v>
      </c>
      <c r="IN73" t="e">
        <f>AND(NhatkyTon!B1,"AAAAAF2+2vc=")</f>
        <v>#VALUE!</v>
      </c>
      <c r="IO73" t="e">
        <f>AND(NhatkyTon!C1,"AAAAAF2+2vg=")</f>
        <v>#VALUE!</v>
      </c>
      <c r="IP73" t="e">
        <f>AND(NhatkyTon!D1,"AAAAAF2+2vk=")</f>
        <v>#VALUE!</v>
      </c>
      <c r="IQ73" t="e">
        <f>AND(NhatkyTon!E1,"AAAAAF2+2vo=")</f>
        <v>#VALUE!</v>
      </c>
      <c r="IR73" t="e">
        <f>AND(NhatkyTon!F1,"AAAAAF2+2vs=")</f>
        <v>#VALUE!</v>
      </c>
      <c r="IS73" t="e">
        <f>AND(NhatkyTon!G1,"AAAAAF2+2vw=")</f>
        <v>#VALUE!</v>
      </c>
      <c r="IT73" t="e">
        <f>AND(NhatkyTon!H1,"AAAAAF2+2v0=")</f>
        <v>#VALUE!</v>
      </c>
      <c r="IU73" t="e">
        <f>AND(NhatkyTon!I1,"AAAAAF2+2v4=")</f>
        <v>#VALUE!</v>
      </c>
      <c r="IV73" t="e">
        <f>AND(NhatkyTon!J1,"AAAAAF2+2v8=")</f>
        <v>#VALUE!</v>
      </c>
    </row>
    <row r="74" spans="1:256">
      <c r="A74" t="e">
        <f>AND(NhatkyTon!K1,"AAAAADc92wA=")</f>
        <v>#VALUE!</v>
      </c>
      <c r="B74" t="e">
        <f>AND(NhatkyTon!L1,"AAAAADc92wE=")</f>
        <v>#VALUE!</v>
      </c>
      <c r="C74" t="e">
        <f>AND(NhatkyTon!M1,"AAAAADc92wI=")</f>
        <v>#VALUE!</v>
      </c>
      <c r="D74" t="e">
        <f>AND(NhatkyTon!N1,"AAAAADc92wM=")</f>
        <v>#VALUE!</v>
      </c>
      <c r="E74" t="e">
        <f>AND(NhatkyTon!O1,"AAAAADc92wQ=")</f>
        <v>#VALUE!</v>
      </c>
      <c r="F74" t="e">
        <f>AND(NhatkyTon!P1,"AAAAADc92wU=")</f>
        <v>#VALUE!</v>
      </c>
      <c r="G74" t="e">
        <f>AND(NhatkyTon!Q1,"AAAAADc92wY=")</f>
        <v>#VALUE!</v>
      </c>
      <c r="H74" t="e">
        <f>AND(NhatkyTon!R1,"AAAAADc92wc=")</f>
        <v>#VALUE!</v>
      </c>
      <c r="I74" t="e">
        <f>AND(NhatkyTon!S1,"AAAAADc92wg=")</f>
        <v>#VALUE!</v>
      </c>
      <c r="J74" t="e">
        <f>AND(NhatkyTon!T1,"AAAAADc92wk=")</f>
        <v>#VALUE!</v>
      </c>
      <c r="K74" t="e">
        <f>AND(NhatkyTon!U1,"AAAAADc92wo=")</f>
        <v>#VALUE!</v>
      </c>
      <c r="L74" t="e">
        <f>AND(NhatkyTon!V1,"AAAAADc92ws=")</f>
        <v>#VALUE!</v>
      </c>
      <c r="M74" t="e">
        <f>AND(NhatkyTon!W1,"AAAAADc92ww=")</f>
        <v>#VALUE!</v>
      </c>
      <c r="N74" t="e">
        <f>AND(NhatkyTon!X1,"AAAAADc92w0=")</f>
        <v>#VALUE!</v>
      </c>
      <c r="O74" t="e">
        <f>AND(NhatkyTon!Y1,"AAAAADc92w4=")</f>
        <v>#VALUE!</v>
      </c>
      <c r="P74" t="e">
        <f>AND(NhatkyTon!Z1,"AAAAADc92w8=")</f>
        <v>#VALUE!</v>
      </c>
      <c r="Q74" t="e">
        <f>AND(NhatkyTon!AA1,"AAAAADc92xA=")</f>
        <v>#VALUE!</v>
      </c>
      <c r="R74" t="e">
        <f>AND(NhatkyTon!AB1,"AAAAADc92xE=")</f>
        <v>#VALUE!</v>
      </c>
      <c r="S74" t="e">
        <f>AND(NhatkyTon!AC1,"AAAAADc92xI=")</f>
        <v>#VALUE!</v>
      </c>
      <c r="T74" t="e">
        <f>AND(NhatkyTon!AD1,"AAAAADc92xM=")</f>
        <v>#VALUE!</v>
      </c>
      <c r="U74" t="e">
        <f>AND(NhatkyTon!AE1,"AAAAADc92xQ=")</f>
        <v>#VALUE!</v>
      </c>
      <c r="V74" t="e">
        <f>AND(NhatkyTon!AF1,"AAAAADc92xU=")</f>
        <v>#VALUE!</v>
      </c>
      <c r="W74" t="e">
        <f>AND(NhatkyTon!AG1,"AAAAADc92xY=")</f>
        <v>#VALUE!</v>
      </c>
      <c r="X74" t="e">
        <f>AND(NhatkyTon!#REF!,"AAAAADc92xc=")</f>
        <v>#REF!</v>
      </c>
      <c r="Y74" t="e">
        <f>IF(NhatkyTon!2:2,"AAAAADc92xg=",0)</f>
        <v>#VALUE!</v>
      </c>
      <c r="Z74" t="e">
        <f>AND(NhatkyTon!A2,"AAAAADc92xk=")</f>
        <v>#VALUE!</v>
      </c>
      <c r="AA74" t="e">
        <f>AND(NhatkyTon!B2,"AAAAADc92xo=")</f>
        <v>#VALUE!</v>
      </c>
      <c r="AB74" t="e">
        <f>AND(NhatkyTon!C2,"AAAAADc92xs=")</f>
        <v>#VALUE!</v>
      </c>
      <c r="AC74" t="e">
        <f>AND(NhatkyTon!D2,"AAAAADc92xw=")</f>
        <v>#VALUE!</v>
      </c>
      <c r="AD74" t="e">
        <f>AND(NhatkyTon!E2,"AAAAADc92x0=")</f>
        <v>#VALUE!</v>
      </c>
      <c r="AE74" t="e">
        <f>AND(NhatkyTon!F2,"AAAAADc92x4=")</f>
        <v>#VALUE!</v>
      </c>
      <c r="AF74" t="e">
        <f>AND(NhatkyTon!G2,"AAAAADc92x8=")</f>
        <v>#VALUE!</v>
      </c>
      <c r="AG74" t="e">
        <f>AND(NhatkyTon!H2,"AAAAADc92yA=")</f>
        <v>#VALUE!</v>
      </c>
      <c r="AH74" t="e">
        <f>AND(NhatkyTon!I2,"AAAAADc92yE=")</f>
        <v>#VALUE!</v>
      </c>
      <c r="AI74" t="e">
        <f>AND(NhatkyTon!J2,"AAAAADc92yI=")</f>
        <v>#VALUE!</v>
      </c>
      <c r="AJ74" t="e">
        <f>AND(NhatkyTon!K2,"AAAAADc92yM=")</f>
        <v>#VALUE!</v>
      </c>
      <c r="AK74" t="e">
        <f>AND(NhatkyTon!L2,"AAAAADc92yQ=")</f>
        <v>#VALUE!</v>
      </c>
      <c r="AL74" t="e">
        <f>AND(NhatkyTon!M2,"AAAAADc92yU=")</f>
        <v>#VALUE!</v>
      </c>
      <c r="AM74" t="e">
        <f>AND(NhatkyTon!N2,"AAAAADc92yY=")</f>
        <v>#VALUE!</v>
      </c>
      <c r="AN74" t="e">
        <f>AND(NhatkyTon!O2,"AAAAADc92yc=")</f>
        <v>#VALUE!</v>
      </c>
      <c r="AO74" t="e">
        <f>AND(NhatkyTon!P2,"AAAAADc92yg=")</f>
        <v>#VALUE!</v>
      </c>
      <c r="AP74" t="e">
        <f>AND(NhatkyTon!Q2,"AAAAADc92yk=")</f>
        <v>#VALUE!</v>
      </c>
      <c r="AQ74" t="e">
        <f>AND(NhatkyTon!R2,"AAAAADc92yo=")</f>
        <v>#VALUE!</v>
      </c>
      <c r="AR74" t="e">
        <f>AND(NhatkyTon!S2,"AAAAADc92ys=")</f>
        <v>#VALUE!</v>
      </c>
      <c r="AS74" t="e">
        <f>AND(NhatkyTon!T2,"AAAAADc92yw=")</f>
        <v>#VALUE!</v>
      </c>
      <c r="AT74" t="e">
        <f>AND(NhatkyTon!U2,"AAAAADc92y0=")</f>
        <v>#VALUE!</v>
      </c>
      <c r="AU74" t="e">
        <f>AND(NhatkyTon!V2,"AAAAADc92y4=")</f>
        <v>#VALUE!</v>
      </c>
      <c r="AV74" t="e">
        <f>AND(NhatkyTon!W2,"AAAAADc92y8=")</f>
        <v>#VALUE!</v>
      </c>
      <c r="AW74" t="e">
        <f>AND(NhatkyTon!X2,"AAAAADc92zA=")</f>
        <v>#VALUE!</v>
      </c>
      <c r="AX74" t="e">
        <f>AND(NhatkyTon!Y2,"AAAAADc92zE=")</f>
        <v>#VALUE!</v>
      </c>
      <c r="AY74" t="e">
        <f>AND(NhatkyTon!Z2,"AAAAADc92zI=")</f>
        <v>#VALUE!</v>
      </c>
      <c r="AZ74" t="e">
        <f>AND(NhatkyTon!AA2,"AAAAADc92zM=")</f>
        <v>#VALUE!</v>
      </c>
      <c r="BA74" t="e">
        <f>AND(NhatkyTon!AB2,"AAAAADc92zQ=")</f>
        <v>#VALUE!</v>
      </c>
      <c r="BB74" t="e">
        <f>AND(NhatkyTon!AC2,"AAAAADc92zU=")</f>
        <v>#VALUE!</v>
      </c>
      <c r="BC74" t="e">
        <f>AND(NhatkyTon!AD2,"AAAAADc92zY=")</f>
        <v>#VALUE!</v>
      </c>
      <c r="BD74" t="e">
        <f>AND(NhatkyTon!AE2,"AAAAADc92zc=")</f>
        <v>#VALUE!</v>
      </c>
      <c r="BE74" t="e">
        <f>AND(NhatkyTon!AF2,"AAAAADc92zg=")</f>
        <v>#VALUE!</v>
      </c>
      <c r="BF74" t="e">
        <f>AND(NhatkyTon!AG2,"AAAAADc92zk=")</f>
        <v>#VALUE!</v>
      </c>
      <c r="BG74" t="e">
        <f>AND(NhatkyTon!#REF!,"AAAAADc92zo=")</f>
        <v>#REF!</v>
      </c>
      <c r="BH74">
        <f>IF(NhatkyTon!3:3,"AAAAADc92zs=",0)</f>
        <v>0</v>
      </c>
      <c r="BI74" t="e">
        <f>AND(NhatkyTon!A3,"AAAAADc92zw=")</f>
        <v>#VALUE!</v>
      </c>
      <c r="BJ74" t="e">
        <f>AND(NhatkyTon!B3,"AAAAADc92z0=")</f>
        <v>#VALUE!</v>
      </c>
      <c r="BK74" t="e">
        <f>AND(NhatkyTon!C3,"AAAAADc92z4=")</f>
        <v>#VALUE!</v>
      </c>
      <c r="BL74" t="e">
        <f>AND(NhatkyTon!D3,"AAAAADc92z8=")</f>
        <v>#VALUE!</v>
      </c>
      <c r="BM74" t="e">
        <f>AND(NhatkyTon!E3,"AAAAADc920A=")</f>
        <v>#VALUE!</v>
      </c>
      <c r="BN74" t="e">
        <f>AND(NhatkyTon!F3,"AAAAADc920E=")</f>
        <v>#VALUE!</v>
      </c>
      <c r="BO74" t="e">
        <f>AND(NhatkyTon!G3,"AAAAADc920I=")</f>
        <v>#VALUE!</v>
      </c>
      <c r="BP74" t="e">
        <f>AND(NhatkyTon!H3,"AAAAADc920M=")</f>
        <v>#VALUE!</v>
      </c>
      <c r="BQ74" t="e">
        <f>AND(NhatkyTon!I3,"AAAAADc920Q=")</f>
        <v>#VALUE!</v>
      </c>
      <c r="BR74" t="e">
        <f>AND(NhatkyTon!J3,"AAAAADc920U=")</f>
        <v>#VALUE!</v>
      </c>
      <c r="BS74" t="e">
        <f>AND(NhatkyTon!K3,"AAAAADc920Y=")</f>
        <v>#VALUE!</v>
      </c>
      <c r="BT74" t="e">
        <f>AND(NhatkyTon!L3,"AAAAADc920c=")</f>
        <v>#VALUE!</v>
      </c>
      <c r="BU74" t="e">
        <f>AND(NhatkyTon!M3,"AAAAADc920g=")</f>
        <v>#VALUE!</v>
      </c>
      <c r="BV74" t="e">
        <f>AND(NhatkyTon!N3,"AAAAADc920k=")</f>
        <v>#VALUE!</v>
      </c>
      <c r="BW74" t="e">
        <f>AND(NhatkyTon!O3,"AAAAADc920o=")</f>
        <v>#VALUE!</v>
      </c>
      <c r="BX74" t="e">
        <f>AND(NhatkyTon!P3,"AAAAADc920s=")</f>
        <v>#VALUE!</v>
      </c>
      <c r="BY74" t="e">
        <f>AND(NhatkyTon!Q3,"AAAAADc920w=")</f>
        <v>#VALUE!</v>
      </c>
      <c r="BZ74" t="e">
        <f>AND(NhatkyTon!R3,"AAAAADc9200=")</f>
        <v>#VALUE!</v>
      </c>
      <c r="CA74" t="e">
        <f>AND(NhatkyTon!S3,"AAAAADc9204=")</f>
        <v>#VALUE!</v>
      </c>
      <c r="CB74" t="e">
        <f>AND(NhatkyTon!T3,"AAAAADc9208=")</f>
        <v>#VALUE!</v>
      </c>
      <c r="CC74" t="e">
        <f>AND(NhatkyTon!U3,"AAAAADc921A=")</f>
        <v>#VALUE!</v>
      </c>
      <c r="CD74" t="e">
        <f>AND(NhatkyTon!V3,"AAAAADc921E=")</f>
        <v>#VALUE!</v>
      </c>
      <c r="CE74" t="e">
        <f>AND(NhatkyTon!W3,"AAAAADc921I=")</f>
        <v>#VALUE!</v>
      </c>
      <c r="CF74" t="e">
        <f>AND(NhatkyTon!X3,"AAAAADc921M=")</f>
        <v>#VALUE!</v>
      </c>
      <c r="CG74" t="e">
        <f>AND(NhatkyTon!Y3,"AAAAADc921Q=")</f>
        <v>#VALUE!</v>
      </c>
      <c r="CH74" t="e">
        <f>AND(NhatkyTon!Z3,"AAAAADc921U=")</f>
        <v>#VALUE!</v>
      </c>
      <c r="CI74" t="e">
        <f>AND(NhatkyTon!AA3,"AAAAADc921Y=")</f>
        <v>#VALUE!</v>
      </c>
      <c r="CJ74" t="e">
        <f>AND(NhatkyTon!AB3,"AAAAADc921c=")</f>
        <v>#VALUE!</v>
      </c>
      <c r="CK74" t="e">
        <f>AND(NhatkyTon!AC3,"AAAAADc921g=")</f>
        <v>#VALUE!</v>
      </c>
      <c r="CL74" t="e">
        <f>AND(NhatkyTon!AD3,"AAAAADc921k=")</f>
        <v>#VALUE!</v>
      </c>
      <c r="CM74" t="e">
        <f>AND(NhatkyTon!AE3,"AAAAADc921o=")</f>
        <v>#VALUE!</v>
      </c>
      <c r="CN74" t="e">
        <f>AND(NhatkyTon!AF3,"AAAAADc921s=")</f>
        <v>#VALUE!</v>
      </c>
      <c r="CO74" t="e">
        <f>AND(NhatkyTon!AG3,"AAAAADc921w=")</f>
        <v>#VALUE!</v>
      </c>
      <c r="CP74" t="e">
        <f>AND(NhatkyTon!#REF!,"AAAAADc9210=")</f>
        <v>#REF!</v>
      </c>
      <c r="CQ74" t="e">
        <f>IF(NhatkyTon!#REF!,"AAAAADc9214=",0)</f>
        <v>#REF!</v>
      </c>
      <c r="CR74" t="e">
        <f>AND(NhatkyTon!#REF!,"AAAAADc9218=")</f>
        <v>#REF!</v>
      </c>
      <c r="CS74" t="e">
        <f>AND(NhatkyTon!#REF!,"AAAAADc922A=")</f>
        <v>#REF!</v>
      </c>
      <c r="CT74" t="e">
        <f>AND(NhatkyTon!#REF!,"AAAAADc922E=")</f>
        <v>#REF!</v>
      </c>
      <c r="CU74" t="e">
        <f>AND(NhatkyTon!#REF!,"AAAAADc922I=")</f>
        <v>#REF!</v>
      </c>
      <c r="CV74" t="e">
        <f>AND(NhatkyTon!#REF!,"AAAAADc922M=")</f>
        <v>#REF!</v>
      </c>
      <c r="CW74" t="e">
        <f>AND(NhatkyTon!#REF!,"AAAAADc922Q=")</f>
        <v>#REF!</v>
      </c>
      <c r="CX74" t="e">
        <f>AND(NhatkyTon!#REF!,"AAAAADc922U=")</f>
        <v>#REF!</v>
      </c>
      <c r="CY74" t="e">
        <f>AND(NhatkyTon!#REF!,"AAAAADc922Y=")</f>
        <v>#REF!</v>
      </c>
      <c r="CZ74" t="e">
        <f>AND(NhatkyTon!#REF!,"AAAAADc922c=")</f>
        <v>#REF!</v>
      </c>
      <c r="DA74" t="e">
        <f>AND(NhatkyTon!#REF!,"AAAAADc922g=")</f>
        <v>#REF!</v>
      </c>
      <c r="DB74" t="e">
        <f>AND(NhatkyTon!#REF!,"AAAAADc922k=")</f>
        <v>#REF!</v>
      </c>
      <c r="DC74" t="e">
        <f>AND(NhatkyTon!#REF!,"AAAAADc922o=")</f>
        <v>#REF!</v>
      </c>
      <c r="DD74" t="e">
        <f>AND(NhatkyTon!#REF!,"AAAAADc922s=")</f>
        <v>#REF!</v>
      </c>
      <c r="DE74" t="e">
        <f>AND(NhatkyTon!#REF!,"AAAAADc922w=")</f>
        <v>#REF!</v>
      </c>
      <c r="DF74" t="e">
        <f>AND(NhatkyTon!#REF!,"AAAAADc9220=")</f>
        <v>#REF!</v>
      </c>
      <c r="DG74" t="e">
        <f>AND(NhatkyTon!#REF!,"AAAAADc9224=")</f>
        <v>#REF!</v>
      </c>
      <c r="DH74" t="e">
        <f>AND(NhatkyTon!#REF!,"AAAAADc9228=")</f>
        <v>#REF!</v>
      </c>
      <c r="DI74" t="e">
        <f>AND(NhatkyTon!#REF!,"AAAAADc923A=")</f>
        <v>#REF!</v>
      </c>
      <c r="DJ74" t="e">
        <f>AND(NhatkyTon!#REF!,"AAAAADc923E=")</f>
        <v>#REF!</v>
      </c>
      <c r="DK74" t="e">
        <f>AND(NhatkyTon!#REF!,"AAAAADc923I=")</f>
        <v>#REF!</v>
      </c>
      <c r="DL74" t="e">
        <f>AND(NhatkyTon!#REF!,"AAAAADc923M=")</f>
        <v>#REF!</v>
      </c>
      <c r="DM74" t="e">
        <f>AND(NhatkyTon!#REF!,"AAAAADc923Q=")</f>
        <v>#REF!</v>
      </c>
      <c r="DN74" t="e">
        <f>AND(NhatkyTon!#REF!,"AAAAADc923U=")</f>
        <v>#REF!</v>
      </c>
      <c r="DO74" t="e">
        <f>AND(NhatkyTon!#REF!,"AAAAADc923Y=")</f>
        <v>#REF!</v>
      </c>
      <c r="DP74" t="e">
        <f>AND(NhatkyTon!#REF!,"AAAAADc923c=")</f>
        <v>#REF!</v>
      </c>
      <c r="DQ74" t="e">
        <f>AND(NhatkyTon!#REF!,"AAAAADc923g=")</f>
        <v>#REF!</v>
      </c>
      <c r="DR74" t="e">
        <f>AND(NhatkyTon!#REF!,"AAAAADc923k=")</f>
        <v>#REF!</v>
      </c>
      <c r="DS74" t="e">
        <f>AND(NhatkyTon!#REF!,"AAAAADc923o=")</f>
        <v>#REF!</v>
      </c>
      <c r="DT74" t="e">
        <f>AND(NhatkyTon!#REF!,"AAAAADc923s=")</f>
        <v>#REF!</v>
      </c>
      <c r="DU74" t="e">
        <f>AND(NhatkyTon!#REF!,"AAAAADc923w=")</f>
        <v>#REF!</v>
      </c>
      <c r="DV74" t="e">
        <f>AND(NhatkyTon!#REF!,"AAAAADc9230=")</f>
        <v>#REF!</v>
      </c>
      <c r="DW74" t="e">
        <f>AND(NhatkyTon!#REF!,"AAAAADc9234=")</f>
        <v>#REF!</v>
      </c>
      <c r="DX74" t="e">
        <f>AND(NhatkyTon!#REF!,"AAAAADc9238=")</f>
        <v>#REF!</v>
      </c>
      <c r="DY74" t="e">
        <f>AND(NhatkyTon!#REF!,"AAAAADc924A=")</f>
        <v>#REF!</v>
      </c>
      <c r="DZ74" t="e">
        <f>IF(NhatkyTon!#REF!,"AAAAADc924E=",0)</f>
        <v>#REF!</v>
      </c>
      <c r="EA74" t="e">
        <f>AND(NhatkyTon!#REF!,"AAAAADc924I=")</f>
        <v>#REF!</v>
      </c>
      <c r="EB74" t="e">
        <f>AND(NhatkyTon!#REF!,"AAAAADc924M=")</f>
        <v>#REF!</v>
      </c>
      <c r="EC74" t="e">
        <f>AND(NhatkyTon!#REF!,"AAAAADc924Q=")</f>
        <v>#REF!</v>
      </c>
      <c r="ED74" t="e">
        <f>AND(NhatkyTon!#REF!,"AAAAADc924U=")</f>
        <v>#REF!</v>
      </c>
      <c r="EE74" t="e">
        <f>AND(NhatkyTon!#REF!,"AAAAADc924Y=")</f>
        <v>#REF!</v>
      </c>
      <c r="EF74" t="e">
        <f>AND(NhatkyTon!#REF!,"AAAAADc924c=")</f>
        <v>#REF!</v>
      </c>
      <c r="EG74" t="e">
        <f>AND(NhatkyTon!#REF!,"AAAAADc924g=")</f>
        <v>#REF!</v>
      </c>
      <c r="EH74" t="e">
        <f>AND(NhatkyTon!#REF!,"AAAAADc924k=")</f>
        <v>#REF!</v>
      </c>
      <c r="EI74" t="e">
        <f>AND(NhatkyTon!#REF!,"AAAAADc924o=")</f>
        <v>#REF!</v>
      </c>
      <c r="EJ74" t="e">
        <f>AND(NhatkyTon!#REF!,"AAAAADc924s=")</f>
        <v>#REF!</v>
      </c>
      <c r="EK74" t="e">
        <f>AND(NhatkyTon!#REF!,"AAAAADc924w=")</f>
        <v>#REF!</v>
      </c>
      <c r="EL74" t="e">
        <f>AND(NhatkyTon!#REF!,"AAAAADc9240=")</f>
        <v>#REF!</v>
      </c>
      <c r="EM74" t="e">
        <f>AND(NhatkyTon!#REF!,"AAAAADc9244=")</f>
        <v>#REF!</v>
      </c>
      <c r="EN74" t="e">
        <f>AND(NhatkyTon!#REF!,"AAAAADc9248=")</f>
        <v>#REF!</v>
      </c>
      <c r="EO74" t="e">
        <f>AND(NhatkyTon!#REF!,"AAAAADc925A=")</f>
        <v>#REF!</v>
      </c>
      <c r="EP74" t="e">
        <f>AND(NhatkyTon!#REF!,"AAAAADc925E=")</f>
        <v>#REF!</v>
      </c>
      <c r="EQ74" t="e">
        <f>AND(NhatkyTon!#REF!,"AAAAADc925I=")</f>
        <v>#REF!</v>
      </c>
      <c r="ER74" t="e">
        <f>AND(NhatkyTon!#REF!,"AAAAADc925M=")</f>
        <v>#REF!</v>
      </c>
      <c r="ES74" t="e">
        <f>AND(NhatkyTon!#REF!,"AAAAADc925Q=")</f>
        <v>#REF!</v>
      </c>
      <c r="ET74" t="e">
        <f>AND(NhatkyTon!#REF!,"AAAAADc925U=")</f>
        <v>#REF!</v>
      </c>
      <c r="EU74" t="e">
        <f>AND(NhatkyTon!#REF!,"AAAAADc925Y=")</f>
        <v>#REF!</v>
      </c>
      <c r="EV74" t="e">
        <f>AND(NhatkyTon!#REF!,"AAAAADc925c=")</f>
        <v>#REF!</v>
      </c>
      <c r="EW74" t="e">
        <f>AND(NhatkyTon!#REF!,"AAAAADc925g=")</f>
        <v>#REF!</v>
      </c>
      <c r="EX74" t="e">
        <f>AND(NhatkyTon!#REF!,"AAAAADc925k=")</f>
        <v>#REF!</v>
      </c>
      <c r="EY74" t="e">
        <f>AND(NhatkyTon!#REF!,"AAAAADc925o=")</f>
        <v>#REF!</v>
      </c>
      <c r="EZ74" t="e">
        <f>AND(NhatkyTon!#REF!,"AAAAADc925s=")</f>
        <v>#REF!</v>
      </c>
      <c r="FA74" t="e">
        <f>AND(NhatkyTon!#REF!,"AAAAADc925w=")</f>
        <v>#REF!</v>
      </c>
      <c r="FB74" t="e">
        <f>AND(NhatkyTon!#REF!,"AAAAADc9250=")</f>
        <v>#REF!</v>
      </c>
      <c r="FC74" t="e">
        <f>AND(NhatkyTon!#REF!,"AAAAADc9254=")</f>
        <v>#REF!</v>
      </c>
      <c r="FD74" t="e">
        <f>AND(NhatkyTon!#REF!,"AAAAADc9258=")</f>
        <v>#REF!</v>
      </c>
      <c r="FE74" t="e">
        <f>AND(NhatkyTon!#REF!,"AAAAADc926A=")</f>
        <v>#REF!</v>
      </c>
      <c r="FF74" t="e">
        <f>AND(NhatkyTon!#REF!,"AAAAADc926E=")</f>
        <v>#REF!</v>
      </c>
      <c r="FG74" t="e">
        <f>AND(NhatkyTon!#REF!,"AAAAADc926I=")</f>
        <v>#REF!</v>
      </c>
      <c r="FH74" t="e">
        <f>AND(NhatkyTon!#REF!,"AAAAADc926M=")</f>
        <v>#REF!</v>
      </c>
      <c r="FI74" t="e">
        <f>IF(NhatkyTon!#REF!,"AAAAADc926Q=",0)</f>
        <v>#REF!</v>
      </c>
      <c r="FJ74" t="e">
        <f>AND(NhatkyTon!#REF!,"AAAAADc926U=")</f>
        <v>#REF!</v>
      </c>
      <c r="FK74" t="e">
        <f>AND(NhatkyTon!#REF!,"AAAAADc926Y=")</f>
        <v>#REF!</v>
      </c>
      <c r="FL74" t="e">
        <f>AND(NhatkyTon!#REF!,"AAAAADc926c=")</f>
        <v>#REF!</v>
      </c>
      <c r="FM74" t="e">
        <f>AND(NhatkyTon!#REF!,"AAAAADc926g=")</f>
        <v>#REF!</v>
      </c>
      <c r="FN74" t="e">
        <f>AND(NhatkyTon!#REF!,"AAAAADc926k=")</f>
        <v>#REF!</v>
      </c>
      <c r="FO74" t="e">
        <f>AND(NhatkyTon!#REF!,"AAAAADc926o=")</f>
        <v>#REF!</v>
      </c>
      <c r="FP74" t="e">
        <f>AND(NhatkyTon!#REF!,"AAAAADc926s=")</f>
        <v>#REF!</v>
      </c>
      <c r="FQ74" t="e">
        <f>AND(NhatkyTon!#REF!,"AAAAADc926w=")</f>
        <v>#REF!</v>
      </c>
      <c r="FR74" t="e">
        <f>AND(NhatkyTon!#REF!,"AAAAADc9260=")</f>
        <v>#REF!</v>
      </c>
      <c r="FS74" t="e">
        <f>AND(NhatkyTon!#REF!,"AAAAADc9264=")</f>
        <v>#REF!</v>
      </c>
      <c r="FT74" t="e">
        <f>AND(NhatkyTon!#REF!,"AAAAADc9268=")</f>
        <v>#REF!</v>
      </c>
      <c r="FU74" t="e">
        <f>AND(NhatkyTon!#REF!,"AAAAADc927A=")</f>
        <v>#REF!</v>
      </c>
      <c r="FV74" t="e">
        <f>AND(NhatkyTon!#REF!,"AAAAADc927E=")</f>
        <v>#REF!</v>
      </c>
      <c r="FW74" t="e">
        <f>AND(NhatkyTon!#REF!,"AAAAADc927I=")</f>
        <v>#REF!</v>
      </c>
      <c r="FX74" t="e">
        <f>AND(NhatkyTon!#REF!,"AAAAADc927M=")</f>
        <v>#REF!</v>
      </c>
      <c r="FY74" t="e">
        <f>AND(NhatkyTon!#REF!,"AAAAADc927Q=")</f>
        <v>#REF!</v>
      </c>
      <c r="FZ74" t="e">
        <f>AND(NhatkyTon!#REF!,"AAAAADc927U=")</f>
        <v>#REF!</v>
      </c>
      <c r="GA74" t="e">
        <f>AND(NhatkyTon!#REF!,"AAAAADc927Y=")</f>
        <v>#REF!</v>
      </c>
      <c r="GB74" t="e">
        <f>AND(NhatkyTon!#REF!,"AAAAADc927c=")</f>
        <v>#REF!</v>
      </c>
      <c r="GC74" t="e">
        <f>AND(NhatkyTon!#REF!,"AAAAADc927g=")</f>
        <v>#REF!</v>
      </c>
      <c r="GD74" t="e">
        <f>AND(NhatkyTon!#REF!,"AAAAADc927k=")</f>
        <v>#REF!</v>
      </c>
      <c r="GE74" t="e">
        <f>AND(NhatkyTon!#REF!,"AAAAADc927o=")</f>
        <v>#REF!</v>
      </c>
      <c r="GF74" t="e">
        <f>AND(NhatkyTon!#REF!,"AAAAADc927s=")</f>
        <v>#REF!</v>
      </c>
      <c r="GG74" t="e">
        <f>AND(NhatkyTon!#REF!,"AAAAADc927w=")</f>
        <v>#REF!</v>
      </c>
      <c r="GH74" t="e">
        <f>AND(NhatkyTon!#REF!,"AAAAADc9270=")</f>
        <v>#REF!</v>
      </c>
      <c r="GI74" t="e">
        <f>AND(NhatkyTon!#REF!,"AAAAADc9274=")</f>
        <v>#REF!</v>
      </c>
      <c r="GJ74" t="e">
        <f>AND(NhatkyTon!#REF!,"AAAAADc9278=")</f>
        <v>#REF!</v>
      </c>
      <c r="GK74" t="e">
        <f>AND(NhatkyTon!#REF!,"AAAAADc928A=")</f>
        <v>#REF!</v>
      </c>
      <c r="GL74" t="e">
        <f>AND(NhatkyTon!#REF!,"AAAAADc928E=")</f>
        <v>#REF!</v>
      </c>
      <c r="GM74" t="e">
        <f>AND(NhatkyTon!#REF!,"AAAAADc928I=")</f>
        <v>#REF!</v>
      </c>
      <c r="GN74" t="e">
        <f>AND(NhatkyTon!#REF!,"AAAAADc928M=")</f>
        <v>#REF!</v>
      </c>
      <c r="GO74" t="e">
        <f>AND(NhatkyTon!#REF!,"AAAAADc928Q=")</f>
        <v>#REF!</v>
      </c>
      <c r="GP74" t="e">
        <f>AND(NhatkyTon!#REF!,"AAAAADc928U=")</f>
        <v>#REF!</v>
      </c>
      <c r="GQ74" t="e">
        <f>AND(NhatkyTon!#REF!,"AAAAADc928Y=")</f>
        <v>#REF!</v>
      </c>
      <c r="GR74" t="e">
        <f>IF(NhatkyTon!#REF!,"AAAAADc928c=",0)</f>
        <v>#REF!</v>
      </c>
      <c r="GS74" t="e">
        <f>AND(NhatkyTon!#REF!,"AAAAADc928g=")</f>
        <v>#REF!</v>
      </c>
      <c r="GT74" t="e">
        <f>AND(NhatkyTon!#REF!,"AAAAADc928k=")</f>
        <v>#REF!</v>
      </c>
      <c r="GU74" t="e">
        <f>AND(NhatkyTon!#REF!,"AAAAADc928o=")</f>
        <v>#REF!</v>
      </c>
      <c r="GV74" t="e">
        <f>AND(NhatkyTon!#REF!,"AAAAADc928s=")</f>
        <v>#REF!</v>
      </c>
      <c r="GW74" t="e">
        <f>AND(NhatkyTon!#REF!,"AAAAADc928w=")</f>
        <v>#REF!</v>
      </c>
      <c r="GX74" t="e">
        <f>AND(NhatkyTon!#REF!,"AAAAADc9280=")</f>
        <v>#REF!</v>
      </c>
      <c r="GY74" t="e">
        <f>AND(NhatkyTon!#REF!,"AAAAADc9284=")</f>
        <v>#REF!</v>
      </c>
      <c r="GZ74" t="e">
        <f>AND(NhatkyTon!#REF!,"AAAAADc9288=")</f>
        <v>#REF!</v>
      </c>
      <c r="HA74" t="e">
        <f>AND(NhatkyTon!#REF!,"AAAAADc929A=")</f>
        <v>#REF!</v>
      </c>
      <c r="HB74" t="e">
        <f>AND(NhatkyTon!#REF!,"AAAAADc929E=")</f>
        <v>#REF!</v>
      </c>
      <c r="HC74" t="e">
        <f>AND(NhatkyTon!#REF!,"AAAAADc929I=")</f>
        <v>#REF!</v>
      </c>
      <c r="HD74" t="e">
        <f>AND(NhatkyTon!#REF!,"AAAAADc929M=")</f>
        <v>#REF!</v>
      </c>
      <c r="HE74" t="e">
        <f>AND(NhatkyTon!#REF!,"AAAAADc929Q=")</f>
        <v>#REF!</v>
      </c>
      <c r="HF74" t="e">
        <f>AND(NhatkyTon!#REF!,"AAAAADc929U=")</f>
        <v>#REF!</v>
      </c>
      <c r="HG74" t="e">
        <f>AND(NhatkyTon!#REF!,"AAAAADc929Y=")</f>
        <v>#REF!</v>
      </c>
      <c r="HH74" t="e">
        <f>AND(NhatkyTon!#REF!,"AAAAADc929c=")</f>
        <v>#REF!</v>
      </c>
      <c r="HI74" t="e">
        <f>AND(NhatkyTon!#REF!,"AAAAADc929g=")</f>
        <v>#REF!</v>
      </c>
      <c r="HJ74" t="e">
        <f>AND(NhatkyTon!#REF!,"AAAAADc929k=")</f>
        <v>#REF!</v>
      </c>
      <c r="HK74" t="e">
        <f>AND(NhatkyTon!#REF!,"AAAAADc929o=")</f>
        <v>#REF!</v>
      </c>
      <c r="HL74" t="e">
        <f>AND(NhatkyTon!#REF!,"AAAAADc929s=")</f>
        <v>#REF!</v>
      </c>
      <c r="HM74" t="e">
        <f>AND(NhatkyTon!#REF!,"AAAAADc929w=")</f>
        <v>#REF!</v>
      </c>
      <c r="HN74" t="e">
        <f>AND(NhatkyTon!#REF!,"AAAAADc9290=")</f>
        <v>#REF!</v>
      </c>
      <c r="HO74" t="e">
        <f>AND(NhatkyTon!#REF!,"AAAAADc9294=")</f>
        <v>#REF!</v>
      </c>
      <c r="HP74" t="e">
        <f>AND(NhatkyTon!#REF!,"AAAAADc9298=")</f>
        <v>#REF!</v>
      </c>
      <c r="HQ74" t="e">
        <f>AND(NhatkyTon!#REF!,"AAAAADc92+A=")</f>
        <v>#REF!</v>
      </c>
      <c r="HR74" t="e">
        <f>AND(NhatkyTon!#REF!,"AAAAADc92+E=")</f>
        <v>#REF!</v>
      </c>
      <c r="HS74" t="e">
        <f>AND(NhatkyTon!#REF!,"AAAAADc92+I=")</f>
        <v>#REF!</v>
      </c>
      <c r="HT74" t="e">
        <f>AND(NhatkyTon!#REF!,"AAAAADc92+M=")</f>
        <v>#REF!</v>
      </c>
      <c r="HU74" t="e">
        <f>AND(NhatkyTon!#REF!,"AAAAADc92+Q=")</f>
        <v>#REF!</v>
      </c>
      <c r="HV74" t="e">
        <f>AND(NhatkyTon!#REF!,"AAAAADc92+U=")</f>
        <v>#REF!</v>
      </c>
      <c r="HW74" t="e">
        <f>AND(NhatkyTon!#REF!,"AAAAADc92+Y=")</f>
        <v>#REF!</v>
      </c>
      <c r="HX74" t="e">
        <f>AND(NhatkyTon!#REF!,"AAAAADc92+c=")</f>
        <v>#REF!</v>
      </c>
      <c r="HY74" t="e">
        <f>AND(NhatkyTon!#REF!,"AAAAADc92+g=")</f>
        <v>#REF!</v>
      </c>
      <c r="HZ74" t="e">
        <f>AND(NhatkyTon!#REF!,"AAAAADc92+k=")</f>
        <v>#REF!</v>
      </c>
      <c r="IA74" t="e">
        <f>IF(NhatkyTon!#REF!,"AAAAADc92+o=",0)</f>
        <v>#REF!</v>
      </c>
      <c r="IB74" t="e">
        <f>AND(NhatkyTon!#REF!,"AAAAADc92+s=")</f>
        <v>#REF!</v>
      </c>
      <c r="IC74" t="e">
        <f>AND(NhatkyTon!#REF!,"AAAAADc92+w=")</f>
        <v>#REF!</v>
      </c>
      <c r="ID74" t="e">
        <f>AND(NhatkyTon!#REF!,"AAAAADc92+0=")</f>
        <v>#REF!</v>
      </c>
      <c r="IE74" t="e">
        <f>AND(NhatkyTon!#REF!,"AAAAADc92+4=")</f>
        <v>#REF!</v>
      </c>
      <c r="IF74" t="e">
        <f>AND(NhatkyTon!#REF!,"AAAAADc92+8=")</f>
        <v>#REF!</v>
      </c>
      <c r="IG74" t="e">
        <f>AND(NhatkyTon!#REF!,"AAAAADc92/A=")</f>
        <v>#REF!</v>
      </c>
      <c r="IH74" t="e">
        <f>AND(NhatkyTon!#REF!,"AAAAADc92/E=")</f>
        <v>#REF!</v>
      </c>
      <c r="II74" t="e">
        <f>AND(NhatkyTon!#REF!,"AAAAADc92/I=")</f>
        <v>#REF!</v>
      </c>
      <c r="IJ74" t="e">
        <f>AND(NhatkyTon!#REF!,"AAAAADc92/M=")</f>
        <v>#REF!</v>
      </c>
      <c r="IK74" t="e">
        <f>AND(NhatkyTon!#REF!,"AAAAADc92/Q=")</f>
        <v>#REF!</v>
      </c>
      <c r="IL74" t="e">
        <f>AND(NhatkyTon!#REF!,"AAAAADc92/U=")</f>
        <v>#REF!</v>
      </c>
      <c r="IM74" t="e">
        <f>AND(NhatkyTon!#REF!,"AAAAADc92/Y=")</f>
        <v>#REF!</v>
      </c>
      <c r="IN74" t="e">
        <f>AND(NhatkyTon!#REF!,"AAAAADc92/c=")</f>
        <v>#REF!</v>
      </c>
      <c r="IO74" t="e">
        <f>AND(NhatkyTon!#REF!,"AAAAADc92/g=")</f>
        <v>#REF!</v>
      </c>
      <c r="IP74" t="e">
        <f>AND(NhatkyTon!#REF!,"AAAAADc92/k=")</f>
        <v>#REF!</v>
      </c>
      <c r="IQ74" t="e">
        <f>AND(NhatkyTon!#REF!,"AAAAADc92/o=")</f>
        <v>#REF!</v>
      </c>
      <c r="IR74" t="e">
        <f>AND(NhatkyTon!#REF!,"AAAAADc92/s=")</f>
        <v>#REF!</v>
      </c>
      <c r="IS74" t="e">
        <f>AND(NhatkyTon!#REF!,"AAAAADc92/w=")</f>
        <v>#REF!</v>
      </c>
      <c r="IT74" t="e">
        <f>AND(NhatkyTon!#REF!,"AAAAADc92/0=")</f>
        <v>#REF!</v>
      </c>
      <c r="IU74" t="e">
        <f>AND(NhatkyTon!#REF!,"AAAAADc92/4=")</f>
        <v>#REF!</v>
      </c>
      <c r="IV74" t="e">
        <f>AND(NhatkyTon!#REF!,"AAAAADc92/8=")</f>
        <v>#REF!</v>
      </c>
    </row>
    <row r="75" spans="1:256">
      <c r="A75" t="e">
        <f>AND(NhatkyTon!#REF!,"AAAAAGu/vgA=")</f>
        <v>#REF!</v>
      </c>
      <c r="B75" t="e">
        <f>AND(NhatkyTon!#REF!,"AAAAAGu/vgE=")</f>
        <v>#REF!</v>
      </c>
      <c r="C75" t="e">
        <f>AND(NhatkyTon!#REF!,"AAAAAGu/vgI=")</f>
        <v>#REF!</v>
      </c>
      <c r="D75" t="e">
        <f>AND(NhatkyTon!#REF!,"AAAAAGu/vgM=")</f>
        <v>#REF!</v>
      </c>
      <c r="E75" t="e">
        <f>AND(NhatkyTon!#REF!,"AAAAAGu/vgQ=")</f>
        <v>#REF!</v>
      </c>
      <c r="F75" t="e">
        <f>AND(NhatkyTon!#REF!,"AAAAAGu/vgU=")</f>
        <v>#REF!</v>
      </c>
      <c r="G75" t="e">
        <f>AND(NhatkyTon!#REF!,"AAAAAGu/vgY=")</f>
        <v>#REF!</v>
      </c>
      <c r="H75" t="e">
        <f>AND(NhatkyTon!#REF!,"AAAAAGu/vgc=")</f>
        <v>#REF!</v>
      </c>
      <c r="I75" t="e">
        <f>AND(NhatkyTon!#REF!,"AAAAAGu/vgg=")</f>
        <v>#REF!</v>
      </c>
      <c r="J75" t="e">
        <f>AND(NhatkyTon!#REF!,"AAAAAGu/vgk=")</f>
        <v>#REF!</v>
      </c>
      <c r="K75" t="e">
        <f>AND(NhatkyTon!#REF!,"AAAAAGu/vgo=")</f>
        <v>#REF!</v>
      </c>
      <c r="L75" t="e">
        <f>AND(NhatkyTon!#REF!,"AAAAAGu/vgs=")</f>
        <v>#REF!</v>
      </c>
      <c r="M75" t="e">
        <f>AND(NhatkyTon!#REF!,"AAAAAGu/vgw=")</f>
        <v>#REF!</v>
      </c>
      <c r="N75" t="e">
        <f>IF(NhatkyTon!#REF!,"AAAAAGu/vg0=",0)</f>
        <v>#REF!</v>
      </c>
      <c r="O75" t="e">
        <f>AND(NhatkyTon!#REF!,"AAAAAGu/vg4=")</f>
        <v>#REF!</v>
      </c>
      <c r="P75" t="e">
        <f>AND(NhatkyTon!#REF!,"AAAAAGu/vg8=")</f>
        <v>#REF!</v>
      </c>
      <c r="Q75" t="e">
        <f>AND(NhatkyTon!#REF!,"AAAAAGu/vhA=")</f>
        <v>#REF!</v>
      </c>
      <c r="R75" t="e">
        <f>AND(NhatkyTon!#REF!,"AAAAAGu/vhE=")</f>
        <v>#REF!</v>
      </c>
      <c r="S75" t="e">
        <f>AND(NhatkyTon!#REF!,"AAAAAGu/vhI=")</f>
        <v>#REF!</v>
      </c>
      <c r="T75" t="e">
        <f>AND(NhatkyTon!#REF!,"AAAAAGu/vhM=")</f>
        <v>#REF!</v>
      </c>
      <c r="U75" t="e">
        <f>AND(NhatkyTon!#REF!,"AAAAAGu/vhQ=")</f>
        <v>#REF!</v>
      </c>
      <c r="V75" t="e">
        <f>AND(NhatkyTon!#REF!,"AAAAAGu/vhU=")</f>
        <v>#REF!</v>
      </c>
      <c r="W75" t="e">
        <f>AND(NhatkyTon!#REF!,"AAAAAGu/vhY=")</f>
        <v>#REF!</v>
      </c>
      <c r="X75" t="e">
        <f>AND(NhatkyTon!#REF!,"AAAAAGu/vhc=")</f>
        <v>#REF!</v>
      </c>
      <c r="Y75" t="e">
        <f>AND(NhatkyTon!#REF!,"AAAAAGu/vhg=")</f>
        <v>#REF!</v>
      </c>
      <c r="Z75" t="e">
        <f>AND(NhatkyTon!#REF!,"AAAAAGu/vhk=")</f>
        <v>#REF!</v>
      </c>
      <c r="AA75" t="e">
        <f>AND(NhatkyTon!#REF!,"AAAAAGu/vho=")</f>
        <v>#REF!</v>
      </c>
      <c r="AB75" t="e">
        <f>AND(NhatkyTon!#REF!,"AAAAAGu/vhs=")</f>
        <v>#REF!</v>
      </c>
      <c r="AC75" t="e">
        <f>AND(NhatkyTon!#REF!,"AAAAAGu/vhw=")</f>
        <v>#REF!</v>
      </c>
      <c r="AD75" t="e">
        <f>AND(NhatkyTon!#REF!,"AAAAAGu/vh0=")</f>
        <v>#REF!</v>
      </c>
      <c r="AE75" t="e">
        <f>AND(NhatkyTon!#REF!,"AAAAAGu/vh4=")</f>
        <v>#REF!</v>
      </c>
      <c r="AF75" t="e">
        <f>AND(NhatkyTon!#REF!,"AAAAAGu/vh8=")</f>
        <v>#REF!</v>
      </c>
      <c r="AG75" t="e">
        <f>AND(NhatkyTon!#REF!,"AAAAAGu/viA=")</f>
        <v>#REF!</v>
      </c>
      <c r="AH75" t="e">
        <f>AND(NhatkyTon!#REF!,"AAAAAGu/viE=")</f>
        <v>#REF!</v>
      </c>
      <c r="AI75" t="e">
        <f>AND(NhatkyTon!#REF!,"AAAAAGu/viI=")</f>
        <v>#REF!</v>
      </c>
      <c r="AJ75" t="e">
        <f>AND(NhatkyTon!#REF!,"AAAAAGu/viM=")</f>
        <v>#REF!</v>
      </c>
      <c r="AK75" t="e">
        <f>AND(NhatkyTon!#REF!,"AAAAAGu/viQ=")</f>
        <v>#REF!</v>
      </c>
      <c r="AL75" t="e">
        <f>AND(NhatkyTon!#REF!,"AAAAAGu/viU=")</f>
        <v>#REF!</v>
      </c>
      <c r="AM75" t="e">
        <f>AND(NhatkyTon!#REF!,"AAAAAGu/viY=")</f>
        <v>#REF!</v>
      </c>
      <c r="AN75" t="e">
        <f>AND(NhatkyTon!#REF!,"AAAAAGu/vic=")</f>
        <v>#REF!</v>
      </c>
      <c r="AO75" t="e">
        <f>AND(NhatkyTon!#REF!,"AAAAAGu/vig=")</f>
        <v>#REF!</v>
      </c>
      <c r="AP75" t="e">
        <f>AND(NhatkyTon!#REF!,"AAAAAGu/vik=")</f>
        <v>#REF!</v>
      </c>
      <c r="AQ75" t="e">
        <f>AND(NhatkyTon!#REF!,"AAAAAGu/vio=")</f>
        <v>#REF!</v>
      </c>
      <c r="AR75" t="e">
        <f>AND(NhatkyTon!#REF!,"AAAAAGu/vis=")</f>
        <v>#REF!</v>
      </c>
      <c r="AS75" t="e">
        <f>AND(NhatkyTon!#REF!,"AAAAAGu/viw=")</f>
        <v>#REF!</v>
      </c>
      <c r="AT75" t="e">
        <f>AND(NhatkyTon!#REF!,"AAAAAGu/vi0=")</f>
        <v>#REF!</v>
      </c>
      <c r="AU75" t="e">
        <f>AND(NhatkyTon!#REF!,"AAAAAGu/vi4=")</f>
        <v>#REF!</v>
      </c>
      <c r="AV75" t="e">
        <f>AND(NhatkyTon!#REF!,"AAAAAGu/vi8=")</f>
        <v>#REF!</v>
      </c>
      <c r="AW75" t="e">
        <f>IF(NhatkyTon!#REF!,"AAAAAGu/vjA=",0)</f>
        <v>#REF!</v>
      </c>
      <c r="AX75" t="e">
        <f>AND(NhatkyTon!#REF!,"AAAAAGu/vjE=")</f>
        <v>#REF!</v>
      </c>
      <c r="AY75" t="e">
        <f>AND(NhatkyTon!#REF!,"AAAAAGu/vjI=")</f>
        <v>#REF!</v>
      </c>
      <c r="AZ75" t="e">
        <f>AND(NhatkyTon!#REF!,"AAAAAGu/vjM=")</f>
        <v>#REF!</v>
      </c>
      <c r="BA75" t="e">
        <f>AND(NhatkyTon!#REF!,"AAAAAGu/vjQ=")</f>
        <v>#REF!</v>
      </c>
      <c r="BB75" t="e">
        <f>AND(NhatkyTon!#REF!,"AAAAAGu/vjU=")</f>
        <v>#REF!</v>
      </c>
      <c r="BC75" t="e">
        <f>AND(NhatkyTon!#REF!,"AAAAAGu/vjY=")</f>
        <v>#REF!</v>
      </c>
      <c r="BD75" t="e">
        <f>AND(NhatkyTon!#REF!,"AAAAAGu/vjc=")</f>
        <v>#REF!</v>
      </c>
      <c r="BE75" t="e">
        <f>AND(NhatkyTon!#REF!,"AAAAAGu/vjg=")</f>
        <v>#REF!</v>
      </c>
      <c r="BF75" t="e">
        <f>AND(NhatkyTon!#REF!,"AAAAAGu/vjk=")</f>
        <v>#REF!</v>
      </c>
      <c r="BG75" t="e">
        <f>AND(NhatkyTon!#REF!,"AAAAAGu/vjo=")</f>
        <v>#REF!</v>
      </c>
      <c r="BH75" t="e">
        <f>AND(NhatkyTon!#REF!,"AAAAAGu/vjs=")</f>
        <v>#REF!</v>
      </c>
      <c r="BI75" t="e">
        <f>AND(NhatkyTon!#REF!,"AAAAAGu/vjw=")</f>
        <v>#REF!</v>
      </c>
      <c r="BJ75" t="e">
        <f>AND(NhatkyTon!#REF!,"AAAAAGu/vj0=")</f>
        <v>#REF!</v>
      </c>
      <c r="BK75" t="e">
        <f>AND(NhatkyTon!#REF!,"AAAAAGu/vj4=")</f>
        <v>#REF!</v>
      </c>
      <c r="BL75" t="e">
        <f>AND(NhatkyTon!#REF!,"AAAAAGu/vj8=")</f>
        <v>#REF!</v>
      </c>
      <c r="BM75" t="e">
        <f>AND(NhatkyTon!#REF!,"AAAAAGu/vkA=")</f>
        <v>#REF!</v>
      </c>
      <c r="BN75" t="e">
        <f>AND(NhatkyTon!#REF!,"AAAAAGu/vkE=")</f>
        <v>#REF!</v>
      </c>
      <c r="BO75" t="e">
        <f>AND(NhatkyTon!#REF!,"AAAAAGu/vkI=")</f>
        <v>#REF!</v>
      </c>
      <c r="BP75" t="e">
        <f>AND(NhatkyTon!#REF!,"AAAAAGu/vkM=")</f>
        <v>#REF!</v>
      </c>
      <c r="BQ75" t="e">
        <f>AND(NhatkyTon!#REF!,"AAAAAGu/vkQ=")</f>
        <v>#REF!</v>
      </c>
      <c r="BR75" t="e">
        <f>AND(NhatkyTon!#REF!,"AAAAAGu/vkU=")</f>
        <v>#REF!</v>
      </c>
      <c r="BS75" t="e">
        <f>AND(NhatkyTon!#REF!,"AAAAAGu/vkY=")</f>
        <v>#REF!</v>
      </c>
      <c r="BT75" t="e">
        <f>AND(NhatkyTon!#REF!,"AAAAAGu/vkc=")</f>
        <v>#REF!</v>
      </c>
      <c r="BU75" t="e">
        <f>AND(NhatkyTon!#REF!,"AAAAAGu/vkg=")</f>
        <v>#REF!</v>
      </c>
      <c r="BV75" t="e">
        <f>AND(NhatkyTon!#REF!,"AAAAAGu/vkk=")</f>
        <v>#REF!</v>
      </c>
      <c r="BW75" t="e">
        <f>AND(NhatkyTon!#REF!,"AAAAAGu/vko=")</f>
        <v>#REF!</v>
      </c>
      <c r="BX75" t="e">
        <f>AND(NhatkyTon!#REF!,"AAAAAGu/vks=")</f>
        <v>#REF!</v>
      </c>
      <c r="BY75" t="e">
        <f>AND(NhatkyTon!#REF!,"AAAAAGu/vkw=")</f>
        <v>#REF!</v>
      </c>
      <c r="BZ75" t="e">
        <f>AND(NhatkyTon!#REF!,"AAAAAGu/vk0=")</f>
        <v>#REF!</v>
      </c>
      <c r="CA75" t="e">
        <f>AND(NhatkyTon!#REF!,"AAAAAGu/vk4=")</f>
        <v>#REF!</v>
      </c>
      <c r="CB75" t="e">
        <f>AND(NhatkyTon!#REF!,"AAAAAGu/vk8=")</f>
        <v>#REF!</v>
      </c>
      <c r="CC75" t="e">
        <f>AND(NhatkyTon!#REF!,"AAAAAGu/vlA=")</f>
        <v>#REF!</v>
      </c>
      <c r="CD75" t="e">
        <f>AND(NhatkyTon!#REF!,"AAAAAGu/vlE=")</f>
        <v>#REF!</v>
      </c>
      <c r="CE75" t="e">
        <f>AND(NhatkyTon!#REF!,"AAAAAGu/vlI=")</f>
        <v>#REF!</v>
      </c>
      <c r="CF75" t="e">
        <f>IF(NhatkyTon!#REF!,"AAAAAGu/vlM=",0)</f>
        <v>#REF!</v>
      </c>
      <c r="CG75" t="e">
        <f>AND(NhatkyTon!#REF!,"AAAAAGu/vlQ=")</f>
        <v>#REF!</v>
      </c>
      <c r="CH75" t="e">
        <f>AND(NhatkyTon!#REF!,"AAAAAGu/vlU=")</f>
        <v>#REF!</v>
      </c>
      <c r="CI75" t="e">
        <f>AND(NhatkyTon!#REF!,"AAAAAGu/vlY=")</f>
        <v>#REF!</v>
      </c>
      <c r="CJ75" t="e">
        <f>AND(NhatkyTon!#REF!,"AAAAAGu/vlc=")</f>
        <v>#REF!</v>
      </c>
      <c r="CK75" t="e">
        <f>AND(NhatkyTon!#REF!,"AAAAAGu/vlg=")</f>
        <v>#REF!</v>
      </c>
      <c r="CL75" t="e">
        <f>AND(NhatkyTon!#REF!,"AAAAAGu/vlk=")</f>
        <v>#REF!</v>
      </c>
      <c r="CM75" t="e">
        <f>AND(NhatkyTon!#REF!,"AAAAAGu/vlo=")</f>
        <v>#REF!</v>
      </c>
      <c r="CN75" t="e">
        <f>AND(NhatkyTon!#REF!,"AAAAAGu/vls=")</f>
        <v>#REF!</v>
      </c>
      <c r="CO75" t="e">
        <f>AND(NhatkyTon!#REF!,"AAAAAGu/vlw=")</f>
        <v>#REF!</v>
      </c>
      <c r="CP75" t="e">
        <f>AND(NhatkyTon!#REF!,"AAAAAGu/vl0=")</f>
        <v>#REF!</v>
      </c>
      <c r="CQ75" t="e">
        <f>AND(NhatkyTon!#REF!,"AAAAAGu/vl4=")</f>
        <v>#REF!</v>
      </c>
      <c r="CR75" t="e">
        <f>AND(NhatkyTon!#REF!,"AAAAAGu/vl8=")</f>
        <v>#REF!</v>
      </c>
      <c r="CS75" t="e">
        <f>AND(NhatkyTon!#REF!,"AAAAAGu/vmA=")</f>
        <v>#REF!</v>
      </c>
      <c r="CT75" t="e">
        <f>AND(NhatkyTon!#REF!,"AAAAAGu/vmE=")</f>
        <v>#REF!</v>
      </c>
      <c r="CU75" t="e">
        <f>AND(NhatkyTon!#REF!,"AAAAAGu/vmI=")</f>
        <v>#REF!</v>
      </c>
      <c r="CV75" t="e">
        <f>AND(NhatkyTon!#REF!,"AAAAAGu/vmM=")</f>
        <v>#REF!</v>
      </c>
      <c r="CW75" t="e">
        <f>AND(NhatkyTon!#REF!,"AAAAAGu/vmQ=")</f>
        <v>#REF!</v>
      </c>
      <c r="CX75" t="e">
        <f>AND(NhatkyTon!#REF!,"AAAAAGu/vmU=")</f>
        <v>#REF!</v>
      </c>
      <c r="CY75" t="e">
        <f>AND(NhatkyTon!#REF!,"AAAAAGu/vmY=")</f>
        <v>#REF!</v>
      </c>
      <c r="CZ75" t="e">
        <f>AND(NhatkyTon!#REF!,"AAAAAGu/vmc=")</f>
        <v>#REF!</v>
      </c>
      <c r="DA75" t="e">
        <f>AND(NhatkyTon!#REF!,"AAAAAGu/vmg=")</f>
        <v>#REF!</v>
      </c>
      <c r="DB75" t="e">
        <f>AND(NhatkyTon!#REF!,"AAAAAGu/vmk=")</f>
        <v>#REF!</v>
      </c>
      <c r="DC75" t="e">
        <f>AND(NhatkyTon!#REF!,"AAAAAGu/vmo=")</f>
        <v>#REF!</v>
      </c>
      <c r="DD75" t="e">
        <f>AND(NhatkyTon!#REF!,"AAAAAGu/vms=")</f>
        <v>#REF!</v>
      </c>
      <c r="DE75" t="e">
        <f>AND(NhatkyTon!#REF!,"AAAAAGu/vmw=")</f>
        <v>#REF!</v>
      </c>
      <c r="DF75" t="e">
        <f>AND(NhatkyTon!#REF!,"AAAAAGu/vm0=")</f>
        <v>#REF!</v>
      </c>
      <c r="DG75" t="e">
        <f>AND(NhatkyTon!#REF!,"AAAAAGu/vm4=")</f>
        <v>#REF!</v>
      </c>
      <c r="DH75" t="e">
        <f>AND(NhatkyTon!#REF!,"AAAAAGu/vm8=")</f>
        <v>#REF!</v>
      </c>
      <c r="DI75" t="e">
        <f>AND(NhatkyTon!#REF!,"AAAAAGu/vnA=")</f>
        <v>#REF!</v>
      </c>
      <c r="DJ75" t="e">
        <f>AND(NhatkyTon!#REF!,"AAAAAGu/vnE=")</f>
        <v>#REF!</v>
      </c>
      <c r="DK75" t="e">
        <f>AND(NhatkyTon!#REF!,"AAAAAGu/vnI=")</f>
        <v>#REF!</v>
      </c>
      <c r="DL75" t="e">
        <f>AND(NhatkyTon!#REF!,"AAAAAGu/vnM=")</f>
        <v>#REF!</v>
      </c>
      <c r="DM75" t="e">
        <f>AND(NhatkyTon!#REF!,"AAAAAGu/vnQ=")</f>
        <v>#REF!</v>
      </c>
      <c r="DN75" t="e">
        <f>AND(NhatkyTon!#REF!,"AAAAAGu/vnU=")</f>
        <v>#REF!</v>
      </c>
      <c r="DO75" t="e">
        <f>IF(NhatkyTon!#REF!,"AAAAAGu/vnY=",0)</f>
        <v>#REF!</v>
      </c>
      <c r="DP75" t="e">
        <f>AND(NhatkyTon!#REF!,"AAAAAGu/vnc=")</f>
        <v>#REF!</v>
      </c>
      <c r="DQ75" t="e">
        <f>AND(NhatkyTon!#REF!,"AAAAAGu/vng=")</f>
        <v>#REF!</v>
      </c>
      <c r="DR75" t="e">
        <f>AND(NhatkyTon!#REF!,"AAAAAGu/vnk=")</f>
        <v>#REF!</v>
      </c>
      <c r="DS75" t="e">
        <f>AND(NhatkyTon!#REF!,"AAAAAGu/vno=")</f>
        <v>#REF!</v>
      </c>
      <c r="DT75" t="e">
        <f>AND(NhatkyTon!#REF!,"AAAAAGu/vns=")</f>
        <v>#REF!</v>
      </c>
      <c r="DU75" t="e">
        <f>AND(NhatkyTon!#REF!,"AAAAAGu/vnw=")</f>
        <v>#REF!</v>
      </c>
      <c r="DV75" t="e">
        <f>AND(NhatkyTon!#REF!,"AAAAAGu/vn0=")</f>
        <v>#REF!</v>
      </c>
      <c r="DW75" t="e">
        <f>AND(NhatkyTon!#REF!,"AAAAAGu/vn4=")</f>
        <v>#REF!</v>
      </c>
      <c r="DX75" t="e">
        <f>AND(NhatkyTon!#REF!,"AAAAAGu/vn8=")</f>
        <v>#REF!</v>
      </c>
      <c r="DY75" t="e">
        <f>AND(NhatkyTon!#REF!,"AAAAAGu/voA=")</f>
        <v>#REF!</v>
      </c>
      <c r="DZ75" t="e">
        <f>AND(NhatkyTon!#REF!,"AAAAAGu/voE=")</f>
        <v>#REF!</v>
      </c>
      <c r="EA75" t="e">
        <f>AND(NhatkyTon!#REF!,"AAAAAGu/voI=")</f>
        <v>#REF!</v>
      </c>
      <c r="EB75" t="e">
        <f>AND(NhatkyTon!#REF!,"AAAAAGu/voM=")</f>
        <v>#REF!</v>
      </c>
      <c r="EC75" t="e">
        <f>AND(NhatkyTon!#REF!,"AAAAAGu/voQ=")</f>
        <v>#REF!</v>
      </c>
      <c r="ED75" t="e">
        <f>AND(NhatkyTon!#REF!,"AAAAAGu/voU=")</f>
        <v>#REF!</v>
      </c>
      <c r="EE75" t="e">
        <f>AND(NhatkyTon!#REF!,"AAAAAGu/voY=")</f>
        <v>#REF!</v>
      </c>
      <c r="EF75" t="e">
        <f>AND(NhatkyTon!#REF!,"AAAAAGu/voc=")</f>
        <v>#REF!</v>
      </c>
      <c r="EG75" t="e">
        <f>AND(NhatkyTon!#REF!,"AAAAAGu/vog=")</f>
        <v>#REF!</v>
      </c>
      <c r="EH75" t="e">
        <f>AND(NhatkyTon!#REF!,"AAAAAGu/vok=")</f>
        <v>#REF!</v>
      </c>
      <c r="EI75" t="e">
        <f>AND(NhatkyTon!#REF!,"AAAAAGu/voo=")</f>
        <v>#REF!</v>
      </c>
      <c r="EJ75" t="e">
        <f>AND(NhatkyTon!#REF!,"AAAAAGu/vos=")</f>
        <v>#REF!</v>
      </c>
      <c r="EK75" t="e">
        <f>AND(NhatkyTon!#REF!,"AAAAAGu/vow=")</f>
        <v>#REF!</v>
      </c>
      <c r="EL75" t="e">
        <f>AND(NhatkyTon!#REF!,"AAAAAGu/vo0=")</f>
        <v>#REF!</v>
      </c>
      <c r="EM75" t="e">
        <f>AND(NhatkyTon!#REF!,"AAAAAGu/vo4=")</f>
        <v>#REF!</v>
      </c>
      <c r="EN75" t="e">
        <f>AND(NhatkyTon!#REF!,"AAAAAGu/vo8=")</f>
        <v>#REF!</v>
      </c>
      <c r="EO75" t="e">
        <f>AND(NhatkyTon!#REF!,"AAAAAGu/vpA=")</f>
        <v>#REF!</v>
      </c>
      <c r="EP75" t="e">
        <f>AND(NhatkyTon!#REF!,"AAAAAGu/vpE=")</f>
        <v>#REF!</v>
      </c>
      <c r="EQ75" t="e">
        <f>AND(NhatkyTon!#REF!,"AAAAAGu/vpI=")</f>
        <v>#REF!</v>
      </c>
      <c r="ER75" t="e">
        <f>AND(NhatkyTon!#REF!,"AAAAAGu/vpM=")</f>
        <v>#REF!</v>
      </c>
      <c r="ES75" t="e">
        <f>AND(NhatkyTon!#REF!,"AAAAAGu/vpQ=")</f>
        <v>#REF!</v>
      </c>
      <c r="ET75" t="e">
        <f>AND(NhatkyTon!#REF!,"AAAAAGu/vpU=")</f>
        <v>#REF!</v>
      </c>
      <c r="EU75" t="e">
        <f>AND(NhatkyTon!#REF!,"AAAAAGu/vpY=")</f>
        <v>#REF!</v>
      </c>
      <c r="EV75" t="e">
        <f>AND(NhatkyTon!#REF!,"AAAAAGu/vpc=")</f>
        <v>#REF!</v>
      </c>
      <c r="EW75" t="e">
        <f>AND(NhatkyTon!#REF!,"AAAAAGu/vpg=")</f>
        <v>#REF!</v>
      </c>
      <c r="EX75" t="e">
        <f>IF(NhatkyTon!#REF!,"AAAAAGu/vpk=",0)</f>
        <v>#REF!</v>
      </c>
      <c r="EY75" t="e">
        <f>AND(NhatkyTon!#REF!,"AAAAAGu/vpo=")</f>
        <v>#REF!</v>
      </c>
      <c r="EZ75" t="e">
        <f>AND(NhatkyTon!#REF!,"AAAAAGu/vps=")</f>
        <v>#REF!</v>
      </c>
      <c r="FA75" t="e">
        <f>AND(NhatkyTon!#REF!,"AAAAAGu/vpw=")</f>
        <v>#REF!</v>
      </c>
      <c r="FB75" t="e">
        <f>AND(NhatkyTon!#REF!,"AAAAAGu/vp0=")</f>
        <v>#REF!</v>
      </c>
      <c r="FC75" t="e">
        <f>AND(NhatkyTon!#REF!,"AAAAAGu/vp4=")</f>
        <v>#REF!</v>
      </c>
      <c r="FD75" t="e">
        <f>AND(NhatkyTon!#REF!,"AAAAAGu/vp8=")</f>
        <v>#REF!</v>
      </c>
      <c r="FE75" t="e">
        <f>AND(NhatkyTon!#REF!,"AAAAAGu/vqA=")</f>
        <v>#REF!</v>
      </c>
      <c r="FF75" t="e">
        <f>AND(NhatkyTon!#REF!,"AAAAAGu/vqE=")</f>
        <v>#REF!</v>
      </c>
      <c r="FG75" t="e">
        <f>AND(NhatkyTon!#REF!,"AAAAAGu/vqI=")</f>
        <v>#REF!</v>
      </c>
      <c r="FH75" t="e">
        <f>AND(NhatkyTon!#REF!,"AAAAAGu/vqM=")</f>
        <v>#REF!</v>
      </c>
      <c r="FI75" t="e">
        <f>AND(NhatkyTon!#REF!,"AAAAAGu/vqQ=")</f>
        <v>#REF!</v>
      </c>
      <c r="FJ75" t="e">
        <f>AND(NhatkyTon!#REF!,"AAAAAGu/vqU=")</f>
        <v>#REF!</v>
      </c>
      <c r="FK75" t="e">
        <f>AND(NhatkyTon!#REF!,"AAAAAGu/vqY=")</f>
        <v>#REF!</v>
      </c>
      <c r="FL75" t="e">
        <f>AND(NhatkyTon!#REF!,"AAAAAGu/vqc=")</f>
        <v>#REF!</v>
      </c>
      <c r="FM75" t="e">
        <f>AND(NhatkyTon!#REF!,"AAAAAGu/vqg=")</f>
        <v>#REF!</v>
      </c>
      <c r="FN75" t="e">
        <f>AND(NhatkyTon!#REF!,"AAAAAGu/vqk=")</f>
        <v>#REF!</v>
      </c>
      <c r="FO75" t="e">
        <f>AND(NhatkyTon!#REF!,"AAAAAGu/vqo=")</f>
        <v>#REF!</v>
      </c>
      <c r="FP75" t="e">
        <f>AND(NhatkyTon!#REF!,"AAAAAGu/vqs=")</f>
        <v>#REF!</v>
      </c>
      <c r="FQ75" t="e">
        <f>AND(NhatkyTon!#REF!,"AAAAAGu/vqw=")</f>
        <v>#REF!</v>
      </c>
      <c r="FR75" t="e">
        <f>AND(NhatkyTon!#REF!,"AAAAAGu/vq0=")</f>
        <v>#REF!</v>
      </c>
      <c r="FS75" t="e">
        <f>AND(NhatkyTon!#REF!,"AAAAAGu/vq4=")</f>
        <v>#REF!</v>
      </c>
      <c r="FT75" t="e">
        <f>AND(NhatkyTon!#REF!,"AAAAAGu/vq8=")</f>
        <v>#REF!</v>
      </c>
      <c r="FU75" t="e">
        <f>AND(NhatkyTon!#REF!,"AAAAAGu/vrA=")</f>
        <v>#REF!</v>
      </c>
      <c r="FV75" t="e">
        <f>AND(NhatkyTon!#REF!,"AAAAAGu/vrE=")</f>
        <v>#REF!</v>
      </c>
      <c r="FW75" t="e">
        <f>AND(NhatkyTon!#REF!,"AAAAAGu/vrI=")</f>
        <v>#REF!</v>
      </c>
      <c r="FX75" t="e">
        <f>AND(NhatkyTon!#REF!,"AAAAAGu/vrM=")</f>
        <v>#REF!</v>
      </c>
      <c r="FY75" t="e">
        <f>AND(NhatkyTon!#REF!,"AAAAAGu/vrQ=")</f>
        <v>#REF!</v>
      </c>
      <c r="FZ75" t="e">
        <f>AND(NhatkyTon!#REF!,"AAAAAGu/vrU=")</f>
        <v>#REF!</v>
      </c>
      <c r="GA75" t="e">
        <f>AND(NhatkyTon!#REF!,"AAAAAGu/vrY=")</f>
        <v>#REF!</v>
      </c>
      <c r="GB75" t="e">
        <f>AND(NhatkyTon!#REF!,"AAAAAGu/vrc=")</f>
        <v>#REF!</v>
      </c>
      <c r="GC75" t="e">
        <f>AND(NhatkyTon!#REF!,"AAAAAGu/vrg=")</f>
        <v>#REF!</v>
      </c>
      <c r="GD75" t="e">
        <f>AND(NhatkyTon!#REF!,"AAAAAGu/vrk=")</f>
        <v>#REF!</v>
      </c>
      <c r="GE75" t="e">
        <f>AND(NhatkyTon!#REF!,"AAAAAGu/vro=")</f>
        <v>#REF!</v>
      </c>
      <c r="GF75" t="e">
        <f>AND(NhatkyTon!#REF!,"AAAAAGu/vrs=")</f>
        <v>#REF!</v>
      </c>
      <c r="GG75" t="e">
        <f>IF(NhatkyTon!#REF!,"AAAAAGu/vrw=",0)</f>
        <v>#REF!</v>
      </c>
      <c r="GH75" t="e">
        <f>AND(NhatkyTon!#REF!,"AAAAAGu/vr0=")</f>
        <v>#REF!</v>
      </c>
      <c r="GI75" t="e">
        <f>AND(NhatkyTon!#REF!,"AAAAAGu/vr4=")</f>
        <v>#REF!</v>
      </c>
      <c r="GJ75" t="e">
        <f>AND(NhatkyTon!#REF!,"AAAAAGu/vr8=")</f>
        <v>#REF!</v>
      </c>
      <c r="GK75" t="e">
        <f>AND(NhatkyTon!#REF!,"AAAAAGu/vsA=")</f>
        <v>#REF!</v>
      </c>
      <c r="GL75" t="e">
        <f>AND(NhatkyTon!#REF!,"AAAAAGu/vsE=")</f>
        <v>#REF!</v>
      </c>
      <c r="GM75" t="e">
        <f>AND(NhatkyTon!#REF!,"AAAAAGu/vsI=")</f>
        <v>#REF!</v>
      </c>
      <c r="GN75" t="e">
        <f>AND(NhatkyTon!#REF!,"AAAAAGu/vsM=")</f>
        <v>#REF!</v>
      </c>
      <c r="GO75" t="e">
        <f>AND(NhatkyTon!#REF!,"AAAAAGu/vsQ=")</f>
        <v>#REF!</v>
      </c>
      <c r="GP75" t="e">
        <f>AND(NhatkyTon!#REF!,"AAAAAGu/vsU=")</f>
        <v>#REF!</v>
      </c>
      <c r="GQ75" t="e">
        <f>AND(NhatkyTon!#REF!,"AAAAAGu/vsY=")</f>
        <v>#REF!</v>
      </c>
      <c r="GR75" t="e">
        <f>AND(NhatkyTon!#REF!,"AAAAAGu/vsc=")</f>
        <v>#REF!</v>
      </c>
      <c r="GS75" t="e">
        <f>AND(NhatkyTon!#REF!,"AAAAAGu/vsg=")</f>
        <v>#REF!</v>
      </c>
      <c r="GT75" t="e">
        <f>AND(NhatkyTon!#REF!,"AAAAAGu/vsk=")</f>
        <v>#REF!</v>
      </c>
      <c r="GU75" t="e">
        <f>AND(NhatkyTon!#REF!,"AAAAAGu/vso=")</f>
        <v>#REF!</v>
      </c>
      <c r="GV75" t="e">
        <f>AND(NhatkyTon!#REF!,"AAAAAGu/vss=")</f>
        <v>#REF!</v>
      </c>
      <c r="GW75" t="e">
        <f>AND(NhatkyTon!#REF!,"AAAAAGu/vsw=")</f>
        <v>#REF!</v>
      </c>
      <c r="GX75" t="e">
        <f>AND(NhatkyTon!#REF!,"AAAAAGu/vs0=")</f>
        <v>#REF!</v>
      </c>
      <c r="GY75" t="e">
        <f>AND(NhatkyTon!#REF!,"AAAAAGu/vs4=")</f>
        <v>#REF!</v>
      </c>
      <c r="GZ75" t="e">
        <f>AND(NhatkyTon!#REF!,"AAAAAGu/vs8=")</f>
        <v>#REF!</v>
      </c>
      <c r="HA75" t="e">
        <f>AND(NhatkyTon!#REF!,"AAAAAGu/vtA=")</f>
        <v>#REF!</v>
      </c>
      <c r="HB75" t="e">
        <f>AND(NhatkyTon!#REF!,"AAAAAGu/vtE=")</f>
        <v>#REF!</v>
      </c>
      <c r="HC75" t="e">
        <f>AND(NhatkyTon!#REF!,"AAAAAGu/vtI=")</f>
        <v>#REF!</v>
      </c>
      <c r="HD75" t="e">
        <f>AND(NhatkyTon!#REF!,"AAAAAGu/vtM=")</f>
        <v>#REF!</v>
      </c>
      <c r="HE75" t="e">
        <f>AND(NhatkyTon!#REF!,"AAAAAGu/vtQ=")</f>
        <v>#REF!</v>
      </c>
      <c r="HF75" t="e">
        <f>AND(NhatkyTon!#REF!,"AAAAAGu/vtU=")</f>
        <v>#REF!</v>
      </c>
      <c r="HG75" t="e">
        <f>AND(NhatkyTon!#REF!,"AAAAAGu/vtY=")</f>
        <v>#REF!</v>
      </c>
      <c r="HH75" t="e">
        <f>AND(NhatkyTon!#REF!,"AAAAAGu/vtc=")</f>
        <v>#REF!</v>
      </c>
      <c r="HI75" t="e">
        <f>AND(NhatkyTon!#REF!,"AAAAAGu/vtg=")</f>
        <v>#REF!</v>
      </c>
      <c r="HJ75" t="e">
        <f>AND(NhatkyTon!#REF!,"AAAAAGu/vtk=")</f>
        <v>#REF!</v>
      </c>
      <c r="HK75" t="e">
        <f>AND(NhatkyTon!#REF!,"AAAAAGu/vto=")</f>
        <v>#REF!</v>
      </c>
      <c r="HL75" t="e">
        <f>AND(NhatkyTon!#REF!,"AAAAAGu/vts=")</f>
        <v>#REF!</v>
      </c>
      <c r="HM75" t="e">
        <f>AND(NhatkyTon!#REF!,"AAAAAGu/vtw=")</f>
        <v>#REF!</v>
      </c>
      <c r="HN75" t="e">
        <f>AND(NhatkyTon!#REF!,"AAAAAGu/vt0=")</f>
        <v>#REF!</v>
      </c>
      <c r="HO75" t="e">
        <f>AND(NhatkyTon!#REF!,"AAAAAGu/vt4=")</f>
        <v>#REF!</v>
      </c>
      <c r="HP75" t="e">
        <f>IF(NhatkyTon!#REF!,"AAAAAGu/vt8=",0)</f>
        <v>#REF!</v>
      </c>
      <c r="HQ75" t="e">
        <f>AND(NhatkyTon!#REF!,"AAAAAGu/vuA=")</f>
        <v>#REF!</v>
      </c>
      <c r="HR75" t="e">
        <f>AND(NhatkyTon!#REF!,"AAAAAGu/vuE=")</f>
        <v>#REF!</v>
      </c>
      <c r="HS75" t="e">
        <f>AND(NhatkyTon!#REF!,"AAAAAGu/vuI=")</f>
        <v>#REF!</v>
      </c>
      <c r="HT75" t="e">
        <f>AND(NhatkyTon!#REF!,"AAAAAGu/vuM=")</f>
        <v>#REF!</v>
      </c>
      <c r="HU75" t="e">
        <f>AND(NhatkyTon!#REF!,"AAAAAGu/vuQ=")</f>
        <v>#REF!</v>
      </c>
      <c r="HV75" t="e">
        <f>AND(NhatkyTon!#REF!,"AAAAAGu/vuU=")</f>
        <v>#REF!</v>
      </c>
      <c r="HW75" t="e">
        <f>AND(NhatkyTon!#REF!,"AAAAAGu/vuY=")</f>
        <v>#REF!</v>
      </c>
      <c r="HX75" t="e">
        <f>AND(NhatkyTon!#REF!,"AAAAAGu/vuc=")</f>
        <v>#REF!</v>
      </c>
      <c r="HY75" t="e">
        <f>AND(NhatkyTon!#REF!,"AAAAAGu/vug=")</f>
        <v>#REF!</v>
      </c>
      <c r="HZ75" t="e">
        <f>AND(NhatkyTon!#REF!,"AAAAAGu/vuk=")</f>
        <v>#REF!</v>
      </c>
      <c r="IA75" t="e">
        <f>AND(NhatkyTon!#REF!,"AAAAAGu/vuo=")</f>
        <v>#REF!</v>
      </c>
      <c r="IB75" t="e">
        <f>AND(NhatkyTon!#REF!,"AAAAAGu/vus=")</f>
        <v>#REF!</v>
      </c>
      <c r="IC75" t="e">
        <f>AND(NhatkyTon!#REF!,"AAAAAGu/vuw=")</f>
        <v>#REF!</v>
      </c>
      <c r="ID75" t="e">
        <f>AND(NhatkyTon!#REF!,"AAAAAGu/vu0=")</f>
        <v>#REF!</v>
      </c>
      <c r="IE75" t="e">
        <f>AND(NhatkyTon!#REF!,"AAAAAGu/vu4=")</f>
        <v>#REF!</v>
      </c>
      <c r="IF75" t="e">
        <f>AND(NhatkyTon!#REF!,"AAAAAGu/vu8=")</f>
        <v>#REF!</v>
      </c>
      <c r="IG75" t="e">
        <f>AND(NhatkyTon!#REF!,"AAAAAGu/vvA=")</f>
        <v>#REF!</v>
      </c>
      <c r="IH75" t="e">
        <f>AND(NhatkyTon!#REF!,"AAAAAGu/vvE=")</f>
        <v>#REF!</v>
      </c>
      <c r="II75" t="e">
        <f>AND(NhatkyTon!#REF!,"AAAAAGu/vvI=")</f>
        <v>#REF!</v>
      </c>
      <c r="IJ75" t="e">
        <f>AND(NhatkyTon!#REF!,"AAAAAGu/vvM=")</f>
        <v>#REF!</v>
      </c>
      <c r="IK75" t="e">
        <f>AND(NhatkyTon!#REF!,"AAAAAGu/vvQ=")</f>
        <v>#REF!</v>
      </c>
      <c r="IL75" t="e">
        <f>AND(NhatkyTon!#REF!,"AAAAAGu/vvU=")</f>
        <v>#REF!</v>
      </c>
      <c r="IM75" t="e">
        <f>AND(NhatkyTon!#REF!,"AAAAAGu/vvY=")</f>
        <v>#REF!</v>
      </c>
      <c r="IN75" t="e">
        <f>AND(NhatkyTon!#REF!,"AAAAAGu/vvc=")</f>
        <v>#REF!</v>
      </c>
      <c r="IO75" t="e">
        <f>AND(NhatkyTon!#REF!,"AAAAAGu/vvg=")</f>
        <v>#REF!</v>
      </c>
      <c r="IP75" t="e">
        <f>AND(NhatkyTon!#REF!,"AAAAAGu/vvk=")</f>
        <v>#REF!</v>
      </c>
      <c r="IQ75" t="e">
        <f>AND(NhatkyTon!#REF!,"AAAAAGu/vvo=")</f>
        <v>#REF!</v>
      </c>
      <c r="IR75" t="e">
        <f>AND(NhatkyTon!#REF!,"AAAAAGu/vvs=")</f>
        <v>#REF!</v>
      </c>
      <c r="IS75" t="e">
        <f>AND(NhatkyTon!#REF!,"AAAAAGu/vvw=")</f>
        <v>#REF!</v>
      </c>
      <c r="IT75" t="e">
        <f>AND(NhatkyTon!#REF!,"AAAAAGu/vv0=")</f>
        <v>#REF!</v>
      </c>
      <c r="IU75" t="e">
        <f>AND(NhatkyTon!#REF!,"AAAAAGu/vv4=")</f>
        <v>#REF!</v>
      </c>
      <c r="IV75" t="e">
        <f>AND(NhatkyTon!#REF!,"AAAAAGu/vv8=")</f>
        <v>#REF!</v>
      </c>
    </row>
    <row r="76" spans="1:256">
      <c r="A76" t="e">
        <f>AND(NhatkyTon!#REF!,"AAAAAAeHvwA=")</f>
        <v>#REF!</v>
      </c>
      <c r="B76" t="e">
        <f>AND(NhatkyTon!#REF!,"AAAAAAeHvwE=")</f>
        <v>#REF!</v>
      </c>
      <c r="C76" t="e">
        <f>IF(NhatkyTon!#REF!,"AAAAAAeHvwI=",0)</f>
        <v>#REF!</v>
      </c>
      <c r="D76" t="e">
        <f>AND(NhatkyTon!#REF!,"AAAAAAeHvwM=")</f>
        <v>#REF!</v>
      </c>
      <c r="E76" t="e">
        <f>AND(NhatkyTon!#REF!,"AAAAAAeHvwQ=")</f>
        <v>#REF!</v>
      </c>
      <c r="F76" t="e">
        <f>AND(NhatkyTon!#REF!,"AAAAAAeHvwU=")</f>
        <v>#REF!</v>
      </c>
      <c r="G76" t="e">
        <f>AND(NhatkyTon!#REF!,"AAAAAAeHvwY=")</f>
        <v>#REF!</v>
      </c>
      <c r="H76" t="e">
        <f>AND(NhatkyTon!#REF!,"AAAAAAeHvwc=")</f>
        <v>#REF!</v>
      </c>
      <c r="I76" t="e">
        <f>AND(NhatkyTon!#REF!,"AAAAAAeHvwg=")</f>
        <v>#REF!</v>
      </c>
      <c r="J76" t="e">
        <f>AND(NhatkyTon!#REF!,"AAAAAAeHvwk=")</f>
        <v>#REF!</v>
      </c>
      <c r="K76" t="e">
        <f>AND(NhatkyTon!#REF!,"AAAAAAeHvwo=")</f>
        <v>#REF!</v>
      </c>
      <c r="L76" t="e">
        <f>AND(NhatkyTon!#REF!,"AAAAAAeHvws=")</f>
        <v>#REF!</v>
      </c>
      <c r="M76" t="e">
        <f>AND(NhatkyTon!#REF!,"AAAAAAeHvww=")</f>
        <v>#REF!</v>
      </c>
      <c r="N76" t="e">
        <f>AND(NhatkyTon!#REF!,"AAAAAAeHvw0=")</f>
        <v>#REF!</v>
      </c>
      <c r="O76" t="e">
        <f>AND(NhatkyTon!#REF!,"AAAAAAeHvw4=")</f>
        <v>#REF!</v>
      </c>
      <c r="P76" t="e">
        <f>AND(NhatkyTon!#REF!,"AAAAAAeHvw8=")</f>
        <v>#REF!</v>
      </c>
      <c r="Q76" t="e">
        <f>AND(NhatkyTon!#REF!,"AAAAAAeHvxA=")</f>
        <v>#REF!</v>
      </c>
      <c r="R76" t="e">
        <f>AND(NhatkyTon!#REF!,"AAAAAAeHvxE=")</f>
        <v>#REF!</v>
      </c>
      <c r="S76" t="e">
        <f>AND(NhatkyTon!#REF!,"AAAAAAeHvxI=")</f>
        <v>#REF!</v>
      </c>
      <c r="T76" t="e">
        <f>AND(NhatkyTon!#REF!,"AAAAAAeHvxM=")</f>
        <v>#REF!</v>
      </c>
      <c r="U76" t="e">
        <f>AND(NhatkyTon!#REF!,"AAAAAAeHvxQ=")</f>
        <v>#REF!</v>
      </c>
      <c r="V76" t="e">
        <f>AND(NhatkyTon!#REF!,"AAAAAAeHvxU=")</f>
        <v>#REF!</v>
      </c>
      <c r="W76" t="e">
        <f>AND(NhatkyTon!#REF!,"AAAAAAeHvxY=")</f>
        <v>#REF!</v>
      </c>
      <c r="X76" t="e">
        <f>AND(NhatkyTon!#REF!,"AAAAAAeHvxc=")</f>
        <v>#REF!</v>
      </c>
      <c r="Y76" t="e">
        <f>AND(NhatkyTon!#REF!,"AAAAAAeHvxg=")</f>
        <v>#REF!</v>
      </c>
      <c r="Z76" t="e">
        <f>AND(NhatkyTon!#REF!,"AAAAAAeHvxk=")</f>
        <v>#REF!</v>
      </c>
      <c r="AA76" t="e">
        <f>AND(NhatkyTon!#REF!,"AAAAAAeHvxo=")</f>
        <v>#REF!</v>
      </c>
      <c r="AB76" t="e">
        <f>AND(NhatkyTon!#REF!,"AAAAAAeHvxs=")</f>
        <v>#REF!</v>
      </c>
      <c r="AC76" t="e">
        <f>AND(NhatkyTon!#REF!,"AAAAAAeHvxw=")</f>
        <v>#REF!</v>
      </c>
      <c r="AD76" t="e">
        <f>AND(NhatkyTon!#REF!,"AAAAAAeHvx0=")</f>
        <v>#REF!</v>
      </c>
      <c r="AE76" t="e">
        <f>AND(NhatkyTon!#REF!,"AAAAAAeHvx4=")</f>
        <v>#REF!</v>
      </c>
      <c r="AF76" t="e">
        <f>AND(NhatkyTon!#REF!,"AAAAAAeHvx8=")</f>
        <v>#REF!</v>
      </c>
      <c r="AG76" t="e">
        <f>AND(NhatkyTon!#REF!,"AAAAAAeHvyA=")</f>
        <v>#REF!</v>
      </c>
      <c r="AH76" t="e">
        <f>AND(NhatkyTon!#REF!,"AAAAAAeHvyE=")</f>
        <v>#REF!</v>
      </c>
      <c r="AI76" t="e">
        <f>AND(NhatkyTon!#REF!,"AAAAAAeHvyI=")</f>
        <v>#REF!</v>
      </c>
      <c r="AJ76" t="e">
        <f>AND(NhatkyTon!#REF!,"AAAAAAeHvyM=")</f>
        <v>#REF!</v>
      </c>
      <c r="AK76" t="e">
        <f>AND(NhatkyTon!#REF!,"AAAAAAeHvyQ=")</f>
        <v>#REF!</v>
      </c>
      <c r="AL76" t="e">
        <f>IF(NhatkyTon!#REF!,"AAAAAAeHvyU=",0)</f>
        <v>#REF!</v>
      </c>
      <c r="AM76" t="e">
        <f>AND(NhatkyTon!#REF!,"AAAAAAeHvyY=")</f>
        <v>#REF!</v>
      </c>
      <c r="AN76" t="e">
        <f>AND(NhatkyTon!#REF!,"AAAAAAeHvyc=")</f>
        <v>#REF!</v>
      </c>
      <c r="AO76" t="e">
        <f>AND(NhatkyTon!#REF!,"AAAAAAeHvyg=")</f>
        <v>#REF!</v>
      </c>
      <c r="AP76" t="e">
        <f>AND(NhatkyTon!#REF!,"AAAAAAeHvyk=")</f>
        <v>#REF!</v>
      </c>
      <c r="AQ76" t="e">
        <f>AND(NhatkyTon!#REF!,"AAAAAAeHvyo=")</f>
        <v>#REF!</v>
      </c>
      <c r="AR76" t="e">
        <f>AND(NhatkyTon!#REF!,"AAAAAAeHvys=")</f>
        <v>#REF!</v>
      </c>
      <c r="AS76" t="e">
        <f>AND(NhatkyTon!#REF!,"AAAAAAeHvyw=")</f>
        <v>#REF!</v>
      </c>
      <c r="AT76" t="e">
        <f>AND(NhatkyTon!#REF!,"AAAAAAeHvy0=")</f>
        <v>#REF!</v>
      </c>
      <c r="AU76" t="e">
        <f>AND(NhatkyTon!#REF!,"AAAAAAeHvy4=")</f>
        <v>#REF!</v>
      </c>
      <c r="AV76" t="e">
        <f>AND(NhatkyTon!#REF!,"AAAAAAeHvy8=")</f>
        <v>#REF!</v>
      </c>
      <c r="AW76" t="e">
        <f>AND(NhatkyTon!#REF!,"AAAAAAeHvzA=")</f>
        <v>#REF!</v>
      </c>
      <c r="AX76" t="e">
        <f>AND(NhatkyTon!#REF!,"AAAAAAeHvzE=")</f>
        <v>#REF!</v>
      </c>
      <c r="AY76" t="e">
        <f>AND(NhatkyTon!#REF!,"AAAAAAeHvzI=")</f>
        <v>#REF!</v>
      </c>
      <c r="AZ76" t="e">
        <f>AND(NhatkyTon!#REF!,"AAAAAAeHvzM=")</f>
        <v>#REF!</v>
      </c>
      <c r="BA76" t="e">
        <f>AND(NhatkyTon!#REF!,"AAAAAAeHvzQ=")</f>
        <v>#REF!</v>
      </c>
      <c r="BB76" t="e">
        <f>AND(NhatkyTon!#REF!,"AAAAAAeHvzU=")</f>
        <v>#REF!</v>
      </c>
      <c r="BC76" t="e">
        <f>AND(NhatkyTon!#REF!,"AAAAAAeHvzY=")</f>
        <v>#REF!</v>
      </c>
      <c r="BD76" t="e">
        <f>AND(NhatkyTon!#REF!,"AAAAAAeHvzc=")</f>
        <v>#REF!</v>
      </c>
      <c r="BE76" t="e">
        <f>AND(NhatkyTon!#REF!,"AAAAAAeHvzg=")</f>
        <v>#REF!</v>
      </c>
      <c r="BF76" t="e">
        <f>AND(NhatkyTon!#REF!,"AAAAAAeHvzk=")</f>
        <v>#REF!</v>
      </c>
      <c r="BG76" t="e">
        <f>AND(NhatkyTon!#REF!,"AAAAAAeHvzo=")</f>
        <v>#REF!</v>
      </c>
      <c r="BH76" t="e">
        <f>AND(NhatkyTon!#REF!,"AAAAAAeHvzs=")</f>
        <v>#REF!</v>
      </c>
      <c r="BI76" t="e">
        <f>AND(NhatkyTon!#REF!,"AAAAAAeHvzw=")</f>
        <v>#REF!</v>
      </c>
      <c r="BJ76" t="e">
        <f>AND(NhatkyTon!#REF!,"AAAAAAeHvz0=")</f>
        <v>#REF!</v>
      </c>
      <c r="BK76" t="e">
        <f>AND(NhatkyTon!#REF!,"AAAAAAeHvz4=")</f>
        <v>#REF!</v>
      </c>
      <c r="BL76" t="e">
        <f>AND(NhatkyTon!#REF!,"AAAAAAeHvz8=")</f>
        <v>#REF!</v>
      </c>
      <c r="BM76" t="e">
        <f>AND(NhatkyTon!#REF!,"AAAAAAeHv0A=")</f>
        <v>#REF!</v>
      </c>
      <c r="BN76" t="e">
        <f>AND(NhatkyTon!#REF!,"AAAAAAeHv0E=")</f>
        <v>#REF!</v>
      </c>
      <c r="BO76" t="e">
        <f>AND(NhatkyTon!#REF!,"AAAAAAeHv0I=")</f>
        <v>#REF!</v>
      </c>
      <c r="BP76" t="e">
        <f>AND(NhatkyTon!#REF!,"AAAAAAeHv0M=")</f>
        <v>#REF!</v>
      </c>
      <c r="BQ76" t="e">
        <f>AND(NhatkyTon!#REF!,"AAAAAAeHv0Q=")</f>
        <v>#REF!</v>
      </c>
      <c r="BR76" t="e">
        <f>AND(NhatkyTon!#REF!,"AAAAAAeHv0U=")</f>
        <v>#REF!</v>
      </c>
      <c r="BS76" t="e">
        <f>AND(NhatkyTon!#REF!,"AAAAAAeHv0Y=")</f>
        <v>#REF!</v>
      </c>
      <c r="BT76" t="e">
        <f>AND(NhatkyTon!#REF!,"AAAAAAeHv0c=")</f>
        <v>#REF!</v>
      </c>
      <c r="BU76" t="e">
        <f>IF(NhatkyTon!#REF!,"AAAAAAeHv0g=",0)</f>
        <v>#REF!</v>
      </c>
      <c r="BV76" t="e">
        <f>AND(NhatkyTon!#REF!,"AAAAAAeHv0k=")</f>
        <v>#REF!</v>
      </c>
      <c r="BW76" t="e">
        <f>AND(NhatkyTon!#REF!,"AAAAAAeHv0o=")</f>
        <v>#REF!</v>
      </c>
      <c r="BX76" t="e">
        <f>AND(NhatkyTon!#REF!,"AAAAAAeHv0s=")</f>
        <v>#REF!</v>
      </c>
      <c r="BY76" t="e">
        <f>AND(NhatkyTon!#REF!,"AAAAAAeHv0w=")</f>
        <v>#REF!</v>
      </c>
      <c r="BZ76" t="e">
        <f>AND(NhatkyTon!#REF!,"AAAAAAeHv00=")</f>
        <v>#REF!</v>
      </c>
      <c r="CA76" t="e">
        <f>AND(NhatkyTon!#REF!,"AAAAAAeHv04=")</f>
        <v>#REF!</v>
      </c>
      <c r="CB76" t="e">
        <f>AND(NhatkyTon!#REF!,"AAAAAAeHv08=")</f>
        <v>#REF!</v>
      </c>
      <c r="CC76" t="e">
        <f>AND(NhatkyTon!#REF!,"AAAAAAeHv1A=")</f>
        <v>#REF!</v>
      </c>
      <c r="CD76" t="e">
        <f>AND(NhatkyTon!#REF!,"AAAAAAeHv1E=")</f>
        <v>#REF!</v>
      </c>
      <c r="CE76" t="e">
        <f>AND(NhatkyTon!#REF!,"AAAAAAeHv1I=")</f>
        <v>#REF!</v>
      </c>
      <c r="CF76" t="e">
        <f>AND(NhatkyTon!#REF!,"AAAAAAeHv1M=")</f>
        <v>#REF!</v>
      </c>
      <c r="CG76" t="e">
        <f>AND(NhatkyTon!#REF!,"AAAAAAeHv1Q=")</f>
        <v>#REF!</v>
      </c>
      <c r="CH76" t="e">
        <f>AND(NhatkyTon!#REF!,"AAAAAAeHv1U=")</f>
        <v>#REF!</v>
      </c>
      <c r="CI76" t="e">
        <f>AND(NhatkyTon!#REF!,"AAAAAAeHv1Y=")</f>
        <v>#REF!</v>
      </c>
      <c r="CJ76" t="e">
        <f>AND(NhatkyTon!#REF!,"AAAAAAeHv1c=")</f>
        <v>#REF!</v>
      </c>
      <c r="CK76" t="e">
        <f>AND(NhatkyTon!#REF!,"AAAAAAeHv1g=")</f>
        <v>#REF!</v>
      </c>
      <c r="CL76" t="e">
        <f>AND(NhatkyTon!#REF!,"AAAAAAeHv1k=")</f>
        <v>#REF!</v>
      </c>
      <c r="CM76" t="e">
        <f>AND(NhatkyTon!#REF!,"AAAAAAeHv1o=")</f>
        <v>#REF!</v>
      </c>
      <c r="CN76" t="e">
        <f>AND(NhatkyTon!#REF!,"AAAAAAeHv1s=")</f>
        <v>#REF!</v>
      </c>
      <c r="CO76" t="e">
        <f>AND(NhatkyTon!#REF!,"AAAAAAeHv1w=")</f>
        <v>#REF!</v>
      </c>
      <c r="CP76" t="e">
        <f>AND(NhatkyTon!#REF!,"AAAAAAeHv10=")</f>
        <v>#REF!</v>
      </c>
      <c r="CQ76" t="e">
        <f>AND(NhatkyTon!#REF!,"AAAAAAeHv14=")</f>
        <v>#REF!</v>
      </c>
      <c r="CR76" t="e">
        <f>AND(NhatkyTon!#REF!,"AAAAAAeHv18=")</f>
        <v>#REF!</v>
      </c>
      <c r="CS76" t="e">
        <f>AND(NhatkyTon!#REF!,"AAAAAAeHv2A=")</f>
        <v>#REF!</v>
      </c>
      <c r="CT76" t="e">
        <f>AND(NhatkyTon!#REF!,"AAAAAAeHv2E=")</f>
        <v>#REF!</v>
      </c>
      <c r="CU76" t="e">
        <f>AND(NhatkyTon!#REF!,"AAAAAAeHv2I=")</f>
        <v>#REF!</v>
      </c>
      <c r="CV76" t="e">
        <f>AND(NhatkyTon!#REF!,"AAAAAAeHv2M=")</f>
        <v>#REF!</v>
      </c>
      <c r="CW76" t="e">
        <f>AND(NhatkyTon!#REF!,"AAAAAAeHv2Q=")</f>
        <v>#REF!</v>
      </c>
      <c r="CX76" t="e">
        <f>AND(NhatkyTon!#REF!,"AAAAAAeHv2U=")</f>
        <v>#REF!</v>
      </c>
      <c r="CY76" t="e">
        <f>AND(NhatkyTon!#REF!,"AAAAAAeHv2Y=")</f>
        <v>#REF!</v>
      </c>
      <c r="CZ76" t="e">
        <f>AND(NhatkyTon!#REF!,"AAAAAAeHv2c=")</f>
        <v>#REF!</v>
      </c>
      <c r="DA76" t="e">
        <f>AND(NhatkyTon!#REF!,"AAAAAAeHv2g=")</f>
        <v>#REF!</v>
      </c>
      <c r="DB76" t="e">
        <f>AND(NhatkyTon!#REF!,"AAAAAAeHv2k=")</f>
        <v>#REF!</v>
      </c>
      <c r="DC76" t="e">
        <f>AND(NhatkyTon!#REF!,"AAAAAAeHv2o=")</f>
        <v>#REF!</v>
      </c>
      <c r="DD76" t="e">
        <f>IF(NhatkyTon!#REF!,"AAAAAAeHv2s=",0)</f>
        <v>#REF!</v>
      </c>
      <c r="DE76" t="e">
        <f>AND(NhatkyTon!#REF!,"AAAAAAeHv2w=")</f>
        <v>#REF!</v>
      </c>
      <c r="DF76" t="e">
        <f>AND(NhatkyTon!#REF!,"AAAAAAeHv20=")</f>
        <v>#REF!</v>
      </c>
      <c r="DG76" t="e">
        <f>AND(NhatkyTon!#REF!,"AAAAAAeHv24=")</f>
        <v>#REF!</v>
      </c>
      <c r="DH76" t="e">
        <f>AND(NhatkyTon!#REF!,"AAAAAAeHv28=")</f>
        <v>#REF!</v>
      </c>
      <c r="DI76" t="e">
        <f>AND(NhatkyTon!#REF!,"AAAAAAeHv3A=")</f>
        <v>#REF!</v>
      </c>
      <c r="DJ76" t="e">
        <f>AND(NhatkyTon!#REF!,"AAAAAAeHv3E=")</f>
        <v>#REF!</v>
      </c>
      <c r="DK76" t="e">
        <f>AND(NhatkyTon!#REF!,"AAAAAAeHv3I=")</f>
        <v>#REF!</v>
      </c>
      <c r="DL76" t="e">
        <f>AND(NhatkyTon!#REF!,"AAAAAAeHv3M=")</f>
        <v>#REF!</v>
      </c>
      <c r="DM76" t="e">
        <f>AND(NhatkyTon!#REF!,"AAAAAAeHv3Q=")</f>
        <v>#REF!</v>
      </c>
      <c r="DN76" t="e">
        <f>AND(NhatkyTon!#REF!,"AAAAAAeHv3U=")</f>
        <v>#REF!</v>
      </c>
      <c r="DO76" t="e">
        <f>AND(NhatkyTon!#REF!,"AAAAAAeHv3Y=")</f>
        <v>#REF!</v>
      </c>
      <c r="DP76" t="e">
        <f>AND(NhatkyTon!#REF!,"AAAAAAeHv3c=")</f>
        <v>#REF!</v>
      </c>
      <c r="DQ76" t="e">
        <f>AND(NhatkyTon!#REF!,"AAAAAAeHv3g=")</f>
        <v>#REF!</v>
      </c>
      <c r="DR76" t="e">
        <f>AND(NhatkyTon!#REF!,"AAAAAAeHv3k=")</f>
        <v>#REF!</v>
      </c>
      <c r="DS76" t="e">
        <f>AND(NhatkyTon!#REF!,"AAAAAAeHv3o=")</f>
        <v>#REF!</v>
      </c>
      <c r="DT76" t="e">
        <f>AND(NhatkyTon!#REF!,"AAAAAAeHv3s=")</f>
        <v>#REF!</v>
      </c>
      <c r="DU76" t="e">
        <f>AND(NhatkyTon!#REF!,"AAAAAAeHv3w=")</f>
        <v>#REF!</v>
      </c>
      <c r="DV76" t="e">
        <f>AND(NhatkyTon!#REF!,"AAAAAAeHv30=")</f>
        <v>#REF!</v>
      </c>
      <c r="DW76" t="e">
        <f>AND(NhatkyTon!#REF!,"AAAAAAeHv34=")</f>
        <v>#REF!</v>
      </c>
      <c r="DX76" t="e">
        <f>AND(NhatkyTon!#REF!,"AAAAAAeHv38=")</f>
        <v>#REF!</v>
      </c>
      <c r="DY76" t="e">
        <f>AND(NhatkyTon!#REF!,"AAAAAAeHv4A=")</f>
        <v>#REF!</v>
      </c>
      <c r="DZ76" t="e">
        <f>AND(NhatkyTon!#REF!,"AAAAAAeHv4E=")</f>
        <v>#REF!</v>
      </c>
      <c r="EA76" t="e">
        <f>AND(NhatkyTon!#REF!,"AAAAAAeHv4I=")</f>
        <v>#REF!</v>
      </c>
      <c r="EB76" t="e">
        <f>AND(NhatkyTon!#REF!,"AAAAAAeHv4M=")</f>
        <v>#REF!</v>
      </c>
      <c r="EC76" t="e">
        <f>AND(NhatkyTon!#REF!,"AAAAAAeHv4Q=")</f>
        <v>#REF!</v>
      </c>
      <c r="ED76" t="e">
        <f>AND(NhatkyTon!#REF!,"AAAAAAeHv4U=")</f>
        <v>#REF!</v>
      </c>
      <c r="EE76" t="e">
        <f>AND(NhatkyTon!#REF!,"AAAAAAeHv4Y=")</f>
        <v>#REF!</v>
      </c>
      <c r="EF76" t="e">
        <f>AND(NhatkyTon!#REF!,"AAAAAAeHv4c=")</f>
        <v>#REF!</v>
      </c>
      <c r="EG76" t="e">
        <f>AND(NhatkyTon!#REF!,"AAAAAAeHv4g=")</f>
        <v>#REF!</v>
      </c>
      <c r="EH76" t="e">
        <f>AND(NhatkyTon!#REF!,"AAAAAAeHv4k=")</f>
        <v>#REF!</v>
      </c>
      <c r="EI76" t="e">
        <f>AND(NhatkyTon!#REF!,"AAAAAAeHv4o=")</f>
        <v>#REF!</v>
      </c>
      <c r="EJ76" t="e">
        <f>AND(NhatkyTon!#REF!,"AAAAAAeHv4s=")</f>
        <v>#REF!</v>
      </c>
      <c r="EK76" t="e">
        <f>AND(NhatkyTon!#REF!,"AAAAAAeHv4w=")</f>
        <v>#REF!</v>
      </c>
      <c r="EL76" t="e">
        <f>AND(NhatkyTon!#REF!,"AAAAAAeHv40=")</f>
        <v>#REF!</v>
      </c>
      <c r="EM76" t="e">
        <f>IF(NhatkyTon!#REF!,"AAAAAAeHv44=",0)</f>
        <v>#REF!</v>
      </c>
      <c r="EN76" t="e">
        <f>AND(NhatkyTon!#REF!,"AAAAAAeHv48=")</f>
        <v>#REF!</v>
      </c>
      <c r="EO76" t="e">
        <f>AND(NhatkyTon!#REF!,"AAAAAAeHv5A=")</f>
        <v>#REF!</v>
      </c>
      <c r="EP76" t="e">
        <f>AND(NhatkyTon!#REF!,"AAAAAAeHv5E=")</f>
        <v>#REF!</v>
      </c>
      <c r="EQ76" t="e">
        <f>AND(NhatkyTon!#REF!,"AAAAAAeHv5I=")</f>
        <v>#REF!</v>
      </c>
      <c r="ER76" t="e">
        <f>AND(NhatkyTon!#REF!,"AAAAAAeHv5M=")</f>
        <v>#REF!</v>
      </c>
      <c r="ES76" t="e">
        <f>AND(NhatkyTon!#REF!,"AAAAAAeHv5Q=")</f>
        <v>#REF!</v>
      </c>
      <c r="ET76" t="e">
        <f>AND(NhatkyTon!#REF!,"AAAAAAeHv5U=")</f>
        <v>#REF!</v>
      </c>
      <c r="EU76" t="e">
        <f>AND(NhatkyTon!#REF!,"AAAAAAeHv5Y=")</f>
        <v>#REF!</v>
      </c>
      <c r="EV76" t="e">
        <f>AND(NhatkyTon!#REF!,"AAAAAAeHv5c=")</f>
        <v>#REF!</v>
      </c>
      <c r="EW76" t="e">
        <f>AND(NhatkyTon!#REF!,"AAAAAAeHv5g=")</f>
        <v>#REF!</v>
      </c>
      <c r="EX76" t="e">
        <f>AND(NhatkyTon!#REF!,"AAAAAAeHv5k=")</f>
        <v>#REF!</v>
      </c>
      <c r="EY76" t="e">
        <f>AND(NhatkyTon!#REF!,"AAAAAAeHv5o=")</f>
        <v>#REF!</v>
      </c>
      <c r="EZ76" t="e">
        <f>AND(NhatkyTon!#REF!,"AAAAAAeHv5s=")</f>
        <v>#REF!</v>
      </c>
      <c r="FA76" t="e">
        <f>AND(NhatkyTon!#REF!,"AAAAAAeHv5w=")</f>
        <v>#REF!</v>
      </c>
      <c r="FB76" t="e">
        <f>AND(NhatkyTon!#REF!,"AAAAAAeHv50=")</f>
        <v>#REF!</v>
      </c>
      <c r="FC76" t="e">
        <f>AND(NhatkyTon!#REF!,"AAAAAAeHv54=")</f>
        <v>#REF!</v>
      </c>
      <c r="FD76" t="e">
        <f>AND(NhatkyTon!#REF!,"AAAAAAeHv58=")</f>
        <v>#REF!</v>
      </c>
      <c r="FE76" t="e">
        <f>AND(NhatkyTon!#REF!,"AAAAAAeHv6A=")</f>
        <v>#REF!</v>
      </c>
      <c r="FF76" t="e">
        <f>AND(NhatkyTon!#REF!,"AAAAAAeHv6E=")</f>
        <v>#REF!</v>
      </c>
      <c r="FG76" t="e">
        <f>AND(NhatkyTon!#REF!,"AAAAAAeHv6I=")</f>
        <v>#REF!</v>
      </c>
      <c r="FH76" t="e">
        <f>AND(NhatkyTon!#REF!,"AAAAAAeHv6M=")</f>
        <v>#REF!</v>
      </c>
      <c r="FI76" t="e">
        <f>AND(NhatkyTon!#REF!,"AAAAAAeHv6Q=")</f>
        <v>#REF!</v>
      </c>
      <c r="FJ76" t="e">
        <f>AND(NhatkyTon!#REF!,"AAAAAAeHv6U=")</f>
        <v>#REF!</v>
      </c>
      <c r="FK76" t="e">
        <f>AND(NhatkyTon!#REF!,"AAAAAAeHv6Y=")</f>
        <v>#REF!</v>
      </c>
      <c r="FL76" t="e">
        <f>AND(NhatkyTon!#REF!,"AAAAAAeHv6c=")</f>
        <v>#REF!</v>
      </c>
      <c r="FM76" t="e">
        <f>AND(NhatkyTon!#REF!,"AAAAAAeHv6g=")</f>
        <v>#REF!</v>
      </c>
      <c r="FN76" t="e">
        <f>AND(NhatkyTon!#REF!,"AAAAAAeHv6k=")</f>
        <v>#REF!</v>
      </c>
      <c r="FO76" t="e">
        <f>AND(NhatkyTon!#REF!,"AAAAAAeHv6o=")</f>
        <v>#REF!</v>
      </c>
      <c r="FP76" t="e">
        <f>AND(NhatkyTon!#REF!,"AAAAAAeHv6s=")</f>
        <v>#REF!</v>
      </c>
      <c r="FQ76" t="e">
        <f>AND(NhatkyTon!#REF!,"AAAAAAeHv6w=")</f>
        <v>#REF!</v>
      </c>
      <c r="FR76" t="e">
        <f>AND(NhatkyTon!#REF!,"AAAAAAeHv60=")</f>
        <v>#REF!</v>
      </c>
      <c r="FS76" t="e">
        <f>AND(NhatkyTon!#REF!,"AAAAAAeHv64=")</f>
        <v>#REF!</v>
      </c>
      <c r="FT76" t="e">
        <f>AND(NhatkyTon!#REF!,"AAAAAAeHv68=")</f>
        <v>#REF!</v>
      </c>
      <c r="FU76" t="e">
        <f>AND(NhatkyTon!#REF!,"AAAAAAeHv7A=")</f>
        <v>#REF!</v>
      </c>
      <c r="FV76" t="e">
        <f>IF(NhatkyTon!#REF!,"AAAAAAeHv7E=",0)</f>
        <v>#REF!</v>
      </c>
      <c r="FW76" t="e">
        <f>AND(NhatkyTon!#REF!,"AAAAAAeHv7I=")</f>
        <v>#REF!</v>
      </c>
      <c r="FX76" t="e">
        <f>AND(NhatkyTon!#REF!,"AAAAAAeHv7M=")</f>
        <v>#REF!</v>
      </c>
      <c r="FY76" t="e">
        <f>AND(NhatkyTon!#REF!,"AAAAAAeHv7Q=")</f>
        <v>#REF!</v>
      </c>
      <c r="FZ76" t="e">
        <f>AND(NhatkyTon!#REF!,"AAAAAAeHv7U=")</f>
        <v>#REF!</v>
      </c>
      <c r="GA76" t="e">
        <f>AND(NhatkyTon!#REF!,"AAAAAAeHv7Y=")</f>
        <v>#REF!</v>
      </c>
      <c r="GB76" t="e">
        <f>AND(NhatkyTon!#REF!,"AAAAAAeHv7c=")</f>
        <v>#REF!</v>
      </c>
      <c r="GC76" t="e">
        <f>AND(NhatkyTon!#REF!,"AAAAAAeHv7g=")</f>
        <v>#REF!</v>
      </c>
      <c r="GD76" t="e">
        <f>AND(NhatkyTon!#REF!,"AAAAAAeHv7k=")</f>
        <v>#REF!</v>
      </c>
      <c r="GE76" t="e">
        <f>AND(NhatkyTon!#REF!,"AAAAAAeHv7o=")</f>
        <v>#REF!</v>
      </c>
      <c r="GF76" t="e">
        <f>AND(NhatkyTon!#REF!,"AAAAAAeHv7s=")</f>
        <v>#REF!</v>
      </c>
      <c r="GG76" t="e">
        <f>AND(NhatkyTon!#REF!,"AAAAAAeHv7w=")</f>
        <v>#REF!</v>
      </c>
      <c r="GH76" t="e">
        <f>AND(NhatkyTon!#REF!,"AAAAAAeHv70=")</f>
        <v>#REF!</v>
      </c>
      <c r="GI76" t="e">
        <f>AND(NhatkyTon!#REF!,"AAAAAAeHv74=")</f>
        <v>#REF!</v>
      </c>
      <c r="GJ76" t="e">
        <f>AND(NhatkyTon!#REF!,"AAAAAAeHv78=")</f>
        <v>#REF!</v>
      </c>
      <c r="GK76" t="e">
        <f>AND(NhatkyTon!#REF!,"AAAAAAeHv8A=")</f>
        <v>#REF!</v>
      </c>
      <c r="GL76" t="e">
        <f>AND(NhatkyTon!#REF!,"AAAAAAeHv8E=")</f>
        <v>#REF!</v>
      </c>
      <c r="GM76" t="e">
        <f>AND(NhatkyTon!#REF!,"AAAAAAeHv8I=")</f>
        <v>#REF!</v>
      </c>
      <c r="GN76" t="e">
        <f>AND(NhatkyTon!#REF!,"AAAAAAeHv8M=")</f>
        <v>#REF!</v>
      </c>
      <c r="GO76" t="e">
        <f>AND(NhatkyTon!#REF!,"AAAAAAeHv8Q=")</f>
        <v>#REF!</v>
      </c>
      <c r="GP76" t="e">
        <f>AND(NhatkyTon!#REF!,"AAAAAAeHv8U=")</f>
        <v>#REF!</v>
      </c>
      <c r="GQ76" t="e">
        <f>AND(NhatkyTon!#REF!,"AAAAAAeHv8Y=")</f>
        <v>#REF!</v>
      </c>
      <c r="GR76" t="e">
        <f>AND(NhatkyTon!#REF!,"AAAAAAeHv8c=")</f>
        <v>#REF!</v>
      </c>
      <c r="GS76" t="e">
        <f>AND(NhatkyTon!#REF!,"AAAAAAeHv8g=")</f>
        <v>#REF!</v>
      </c>
      <c r="GT76" t="e">
        <f>AND(NhatkyTon!#REF!,"AAAAAAeHv8k=")</f>
        <v>#REF!</v>
      </c>
      <c r="GU76" t="e">
        <f>AND(NhatkyTon!#REF!,"AAAAAAeHv8o=")</f>
        <v>#REF!</v>
      </c>
      <c r="GV76" t="e">
        <f>AND(NhatkyTon!#REF!,"AAAAAAeHv8s=")</f>
        <v>#REF!</v>
      </c>
      <c r="GW76" t="e">
        <f>AND(NhatkyTon!#REF!,"AAAAAAeHv8w=")</f>
        <v>#REF!</v>
      </c>
      <c r="GX76" t="e">
        <f>AND(NhatkyTon!#REF!,"AAAAAAeHv80=")</f>
        <v>#REF!</v>
      </c>
      <c r="GY76" t="e">
        <f>AND(NhatkyTon!#REF!,"AAAAAAeHv84=")</f>
        <v>#REF!</v>
      </c>
      <c r="GZ76" t="e">
        <f>AND(NhatkyTon!#REF!,"AAAAAAeHv88=")</f>
        <v>#REF!</v>
      </c>
      <c r="HA76" t="e">
        <f>AND(NhatkyTon!#REF!,"AAAAAAeHv9A=")</f>
        <v>#REF!</v>
      </c>
      <c r="HB76" t="e">
        <f>AND(NhatkyTon!#REF!,"AAAAAAeHv9E=")</f>
        <v>#REF!</v>
      </c>
      <c r="HC76" t="e">
        <f>AND(NhatkyTon!#REF!,"AAAAAAeHv9I=")</f>
        <v>#REF!</v>
      </c>
      <c r="HD76" t="e">
        <f>AND(NhatkyTon!#REF!,"AAAAAAeHv9M=")</f>
        <v>#REF!</v>
      </c>
      <c r="HE76" t="e">
        <f>IF(NhatkyTon!#REF!,"AAAAAAeHv9Q=",0)</f>
        <v>#REF!</v>
      </c>
      <c r="HF76" t="e">
        <f>AND(NhatkyTon!#REF!,"AAAAAAeHv9U=")</f>
        <v>#REF!</v>
      </c>
      <c r="HG76" t="e">
        <f>AND(NhatkyTon!#REF!,"AAAAAAeHv9Y=")</f>
        <v>#REF!</v>
      </c>
      <c r="HH76" t="e">
        <f>AND(NhatkyTon!#REF!,"AAAAAAeHv9c=")</f>
        <v>#REF!</v>
      </c>
      <c r="HI76" t="e">
        <f>AND(NhatkyTon!#REF!,"AAAAAAeHv9g=")</f>
        <v>#REF!</v>
      </c>
      <c r="HJ76" t="e">
        <f>AND(NhatkyTon!#REF!,"AAAAAAeHv9k=")</f>
        <v>#REF!</v>
      </c>
      <c r="HK76" t="e">
        <f>AND(NhatkyTon!#REF!,"AAAAAAeHv9o=")</f>
        <v>#REF!</v>
      </c>
      <c r="HL76" t="e">
        <f>AND(NhatkyTon!#REF!,"AAAAAAeHv9s=")</f>
        <v>#REF!</v>
      </c>
      <c r="HM76" t="e">
        <f>AND(NhatkyTon!#REF!,"AAAAAAeHv9w=")</f>
        <v>#REF!</v>
      </c>
      <c r="HN76" t="e">
        <f>AND(NhatkyTon!#REF!,"AAAAAAeHv90=")</f>
        <v>#REF!</v>
      </c>
      <c r="HO76" t="e">
        <f>AND(NhatkyTon!#REF!,"AAAAAAeHv94=")</f>
        <v>#REF!</v>
      </c>
      <c r="HP76" t="e">
        <f>AND(NhatkyTon!#REF!,"AAAAAAeHv98=")</f>
        <v>#REF!</v>
      </c>
      <c r="HQ76" t="e">
        <f>AND(NhatkyTon!#REF!,"AAAAAAeHv+A=")</f>
        <v>#REF!</v>
      </c>
      <c r="HR76" t="e">
        <f>AND(NhatkyTon!#REF!,"AAAAAAeHv+E=")</f>
        <v>#REF!</v>
      </c>
      <c r="HS76" t="e">
        <f>AND(NhatkyTon!#REF!,"AAAAAAeHv+I=")</f>
        <v>#REF!</v>
      </c>
      <c r="HT76" t="e">
        <f>AND(NhatkyTon!#REF!,"AAAAAAeHv+M=")</f>
        <v>#REF!</v>
      </c>
      <c r="HU76" t="e">
        <f>AND(NhatkyTon!#REF!,"AAAAAAeHv+Q=")</f>
        <v>#REF!</v>
      </c>
      <c r="HV76" t="e">
        <f>AND(NhatkyTon!#REF!,"AAAAAAeHv+U=")</f>
        <v>#REF!</v>
      </c>
      <c r="HW76" t="e">
        <f>AND(NhatkyTon!#REF!,"AAAAAAeHv+Y=")</f>
        <v>#REF!</v>
      </c>
      <c r="HX76" t="e">
        <f>AND(NhatkyTon!#REF!,"AAAAAAeHv+c=")</f>
        <v>#REF!</v>
      </c>
      <c r="HY76" t="e">
        <f>AND(NhatkyTon!#REF!,"AAAAAAeHv+g=")</f>
        <v>#REF!</v>
      </c>
      <c r="HZ76" t="e">
        <f>AND(NhatkyTon!#REF!,"AAAAAAeHv+k=")</f>
        <v>#REF!</v>
      </c>
      <c r="IA76" t="e">
        <f>AND(NhatkyTon!#REF!,"AAAAAAeHv+o=")</f>
        <v>#REF!</v>
      </c>
      <c r="IB76" t="e">
        <f>AND(NhatkyTon!#REF!,"AAAAAAeHv+s=")</f>
        <v>#REF!</v>
      </c>
      <c r="IC76" t="e">
        <f>AND(NhatkyTon!#REF!,"AAAAAAeHv+w=")</f>
        <v>#REF!</v>
      </c>
      <c r="ID76" t="e">
        <f>AND(NhatkyTon!#REF!,"AAAAAAeHv+0=")</f>
        <v>#REF!</v>
      </c>
      <c r="IE76" t="e">
        <f>AND(NhatkyTon!#REF!,"AAAAAAeHv+4=")</f>
        <v>#REF!</v>
      </c>
      <c r="IF76" t="e">
        <f>AND(NhatkyTon!#REF!,"AAAAAAeHv+8=")</f>
        <v>#REF!</v>
      </c>
      <c r="IG76" t="e">
        <f>AND(NhatkyTon!#REF!,"AAAAAAeHv/A=")</f>
        <v>#REF!</v>
      </c>
      <c r="IH76" t="e">
        <f>AND(NhatkyTon!#REF!,"AAAAAAeHv/E=")</f>
        <v>#REF!</v>
      </c>
      <c r="II76" t="e">
        <f>AND(NhatkyTon!#REF!,"AAAAAAeHv/I=")</f>
        <v>#REF!</v>
      </c>
      <c r="IJ76" t="e">
        <f>AND(NhatkyTon!#REF!,"AAAAAAeHv/M=")</f>
        <v>#REF!</v>
      </c>
      <c r="IK76" t="e">
        <f>AND(NhatkyTon!#REF!,"AAAAAAeHv/Q=")</f>
        <v>#REF!</v>
      </c>
      <c r="IL76" t="e">
        <f>AND(NhatkyTon!#REF!,"AAAAAAeHv/U=")</f>
        <v>#REF!</v>
      </c>
      <c r="IM76" t="e">
        <f>AND(NhatkyTon!#REF!,"AAAAAAeHv/Y=")</f>
        <v>#REF!</v>
      </c>
      <c r="IN76" t="e">
        <f>IF(NhatkyTon!#REF!,"AAAAAAeHv/c=",0)</f>
        <v>#REF!</v>
      </c>
      <c r="IO76" t="e">
        <f>AND(NhatkyTon!#REF!,"AAAAAAeHv/g=")</f>
        <v>#REF!</v>
      </c>
      <c r="IP76" t="e">
        <f>AND(NhatkyTon!#REF!,"AAAAAAeHv/k=")</f>
        <v>#REF!</v>
      </c>
      <c r="IQ76" t="e">
        <f>AND(NhatkyTon!#REF!,"AAAAAAeHv/o=")</f>
        <v>#REF!</v>
      </c>
      <c r="IR76" t="e">
        <f>AND(NhatkyTon!#REF!,"AAAAAAeHv/s=")</f>
        <v>#REF!</v>
      </c>
      <c r="IS76" t="e">
        <f>AND(NhatkyTon!#REF!,"AAAAAAeHv/w=")</f>
        <v>#REF!</v>
      </c>
      <c r="IT76" t="e">
        <f>AND(NhatkyTon!#REF!,"AAAAAAeHv/0=")</f>
        <v>#REF!</v>
      </c>
      <c r="IU76" t="e">
        <f>AND(NhatkyTon!#REF!,"AAAAAAeHv/4=")</f>
        <v>#REF!</v>
      </c>
      <c r="IV76" t="e">
        <f>AND(NhatkyTon!#REF!,"AAAAAAeHv/8=")</f>
        <v>#REF!</v>
      </c>
    </row>
    <row r="77" spans="1:256">
      <c r="A77" t="e">
        <f>AND(NhatkyTon!#REF!,"AAAAAFv/+wA=")</f>
        <v>#REF!</v>
      </c>
      <c r="B77" t="e">
        <f>AND(NhatkyTon!#REF!,"AAAAAFv/+wE=")</f>
        <v>#REF!</v>
      </c>
      <c r="C77" t="e">
        <f>AND(NhatkyTon!#REF!,"AAAAAFv/+wI=")</f>
        <v>#REF!</v>
      </c>
      <c r="D77" t="e">
        <f>AND(NhatkyTon!#REF!,"AAAAAFv/+wM=")</f>
        <v>#REF!</v>
      </c>
      <c r="E77" t="e">
        <f>AND(NhatkyTon!#REF!,"AAAAAFv/+wQ=")</f>
        <v>#REF!</v>
      </c>
      <c r="F77" t="e">
        <f>AND(NhatkyTon!#REF!,"AAAAAFv/+wU=")</f>
        <v>#REF!</v>
      </c>
      <c r="G77" t="e">
        <f>AND(NhatkyTon!#REF!,"AAAAAFv/+wY=")</f>
        <v>#REF!</v>
      </c>
      <c r="H77" t="e">
        <f>AND(NhatkyTon!#REF!,"AAAAAFv/+wc=")</f>
        <v>#REF!</v>
      </c>
      <c r="I77" t="e">
        <f>AND(NhatkyTon!#REF!,"AAAAAFv/+wg=")</f>
        <v>#REF!</v>
      </c>
      <c r="J77" t="e">
        <f>AND(NhatkyTon!#REF!,"AAAAAFv/+wk=")</f>
        <v>#REF!</v>
      </c>
      <c r="K77" t="e">
        <f>AND(NhatkyTon!#REF!,"AAAAAFv/+wo=")</f>
        <v>#REF!</v>
      </c>
      <c r="L77" t="e">
        <f>AND(NhatkyTon!#REF!,"AAAAAFv/+ws=")</f>
        <v>#REF!</v>
      </c>
      <c r="M77" t="e">
        <f>AND(NhatkyTon!#REF!,"AAAAAFv/+ww=")</f>
        <v>#REF!</v>
      </c>
      <c r="N77" t="e">
        <f>AND(NhatkyTon!#REF!,"AAAAAFv/+w0=")</f>
        <v>#REF!</v>
      </c>
      <c r="O77" t="e">
        <f>AND(NhatkyTon!#REF!,"AAAAAFv/+w4=")</f>
        <v>#REF!</v>
      </c>
      <c r="P77" t="e">
        <f>AND(NhatkyTon!#REF!,"AAAAAFv/+w8=")</f>
        <v>#REF!</v>
      </c>
      <c r="Q77" t="e">
        <f>AND(NhatkyTon!#REF!,"AAAAAFv/+xA=")</f>
        <v>#REF!</v>
      </c>
      <c r="R77" t="e">
        <f>AND(NhatkyTon!#REF!,"AAAAAFv/+xE=")</f>
        <v>#REF!</v>
      </c>
      <c r="S77" t="e">
        <f>AND(NhatkyTon!#REF!,"AAAAAFv/+xI=")</f>
        <v>#REF!</v>
      </c>
      <c r="T77" t="e">
        <f>AND(NhatkyTon!#REF!,"AAAAAFv/+xM=")</f>
        <v>#REF!</v>
      </c>
      <c r="U77" t="e">
        <f>AND(NhatkyTon!#REF!,"AAAAAFv/+xQ=")</f>
        <v>#REF!</v>
      </c>
      <c r="V77" t="e">
        <f>AND(NhatkyTon!#REF!,"AAAAAFv/+xU=")</f>
        <v>#REF!</v>
      </c>
      <c r="W77" t="e">
        <f>AND(NhatkyTon!#REF!,"AAAAAFv/+xY=")</f>
        <v>#REF!</v>
      </c>
      <c r="X77" t="e">
        <f>AND(NhatkyTon!#REF!,"AAAAAFv/+xc=")</f>
        <v>#REF!</v>
      </c>
      <c r="Y77" t="e">
        <f>AND(NhatkyTon!#REF!,"AAAAAFv/+xg=")</f>
        <v>#REF!</v>
      </c>
      <c r="Z77" t="e">
        <f>AND(NhatkyTon!#REF!,"AAAAAFv/+xk=")</f>
        <v>#REF!</v>
      </c>
      <c r="AA77" t="e">
        <f>IF(NhatkyTon!#REF!,"AAAAAFv/+xo=",0)</f>
        <v>#REF!</v>
      </c>
      <c r="AB77" t="e">
        <f>AND(NhatkyTon!#REF!,"AAAAAFv/+xs=")</f>
        <v>#REF!</v>
      </c>
      <c r="AC77" t="e">
        <f>AND(NhatkyTon!#REF!,"AAAAAFv/+xw=")</f>
        <v>#REF!</v>
      </c>
      <c r="AD77" t="e">
        <f>AND(NhatkyTon!#REF!,"AAAAAFv/+x0=")</f>
        <v>#REF!</v>
      </c>
      <c r="AE77" t="e">
        <f>AND(NhatkyTon!#REF!,"AAAAAFv/+x4=")</f>
        <v>#REF!</v>
      </c>
      <c r="AF77" t="e">
        <f>AND(NhatkyTon!#REF!,"AAAAAFv/+x8=")</f>
        <v>#REF!</v>
      </c>
      <c r="AG77" t="e">
        <f>AND(NhatkyTon!#REF!,"AAAAAFv/+yA=")</f>
        <v>#REF!</v>
      </c>
      <c r="AH77" t="e">
        <f>AND(NhatkyTon!#REF!,"AAAAAFv/+yE=")</f>
        <v>#REF!</v>
      </c>
      <c r="AI77" t="e">
        <f>AND(NhatkyTon!#REF!,"AAAAAFv/+yI=")</f>
        <v>#REF!</v>
      </c>
      <c r="AJ77" t="e">
        <f>AND(NhatkyTon!#REF!,"AAAAAFv/+yM=")</f>
        <v>#REF!</v>
      </c>
      <c r="AK77" t="e">
        <f>AND(NhatkyTon!#REF!,"AAAAAFv/+yQ=")</f>
        <v>#REF!</v>
      </c>
      <c r="AL77" t="e">
        <f>AND(NhatkyTon!#REF!,"AAAAAFv/+yU=")</f>
        <v>#REF!</v>
      </c>
      <c r="AM77" t="e">
        <f>AND(NhatkyTon!#REF!,"AAAAAFv/+yY=")</f>
        <v>#REF!</v>
      </c>
      <c r="AN77" t="e">
        <f>AND(NhatkyTon!#REF!,"AAAAAFv/+yc=")</f>
        <v>#REF!</v>
      </c>
      <c r="AO77" t="e">
        <f>AND(NhatkyTon!#REF!,"AAAAAFv/+yg=")</f>
        <v>#REF!</v>
      </c>
      <c r="AP77" t="e">
        <f>AND(NhatkyTon!#REF!,"AAAAAFv/+yk=")</f>
        <v>#REF!</v>
      </c>
      <c r="AQ77" t="e">
        <f>AND(NhatkyTon!#REF!,"AAAAAFv/+yo=")</f>
        <v>#REF!</v>
      </c>
      <c r="AR77" t="e">
        <f>AND(NhatkyTon!#REF!,"AAAAAFv/+ys=")</f>
        <v>#REF!</v>
      </c>
      <c r="AS77" t="e">
        <f>AND(NhatkyTon!#REF!,"AAAAAFv/+yw=")</f>
        <v>#REF!</v>
      </c>
      <c r="AT77" t="e">
        <f>AND(NhatkyTon!#REF!,"AAAAAFv/+y0=")</f>
        <v>#REF!</v>
      </c>
      <c r="AU77" t="e">
        <f>AND(NhatkyTon!#REF!,"AAAAAFv/+y4=")</f>
        <v>#REF!</v>
      </c>
      <c r="AV77" t="e">
        <f>AND(NhatkyTon!#REF!,"AAAAAFv/+y8=")</f>
        <v>#REF!</v>
      </c>
      <c r="AW77" t="e">
        <f>AND(NhatkyTon!#REF!,"AAAAAFv/+zA=")</f>
        <v>#REF!</v>
      </c>
      <c r="AX77" t="e">
        <f>AND(NhatkyTon!#REF!,"AAAAAFv/+zE=")</f>
        <v>#REF!</v>
      </c>
      <c r="AY77" t="e">
        <f>AND(NhatkyTon!#REF!,"AAAAAFv/+zI=")</f>
        <v>#REF!</v>
      </c>
      <c r="AZ77" t="e">
        <f>AND(NhatkyTon!#REF!,"AAAAAFv/+zM=")</f>
        <v>#REF!</v>
      </c>
      <c r="BA77" t="e">
        <f>AND(NhatkyTon!#REF!,"AAAAAFv/+zQ=")</f>
        <v>#REF!</v>
      </c>
      <c r="BB77" t="e">
        <f>AND(NhatkyTon!#REF!,"AAAAAFv/+zU=")</f>
        <v>#REF!</v>
      </c>
      <c r="BC77" t="e">
        <f>AND(NhatkyTon!#REF!,"AAAAAFv/+zY=")</f>
        <v>#REF!</v>
      </c>
      <c r="BD77" t="e">
        <f>AND(NhatkyTon!#REF!,"AAAAAFv/+zc=")</f>
        <v>#REF!</v>
      </c>
      <c r="BE77" t="e">
        <f>AND(NhatkyTon!#REF!,"AAAAAFv/+zg=")</f>
        <v>#REF!</v>
      </c>
      <c r="BF77" t="e">
        <f>AND(NhatkyTon!#REF!,"AAAAAFv/+zk=")</f>
        <v>#REF!</v>
      </c>
      <c r="BG77" t="e">
        <f>AND(NhatkyTon!#REF!,"AAAAAFv/+zo=")</f>
        <v>#REF!</v>
      </c>
      <c r="BH77" t="e">
        <f>AND(NhatkyTon!#REF!,"AAAAAFv/+zs=")</f>
        <v>#REF!</v>
      </c>
      <c r="BI77" t="e">
        <f>AND(NhatkyTon!#REF!,"AAAAAFv/+zw=")</f>
        <v>#REF!</v>
      </c>
      <c r="BJ77" t="e">
        <f>IF(NhatkyTon!#REF!,"AAAAAFv/+z0=",0)</f>
        <v>#REF!</v>
      </c>
      <c r="BK77" t="e">
        <f>AND(NhatkyTon!#REF!,"AAAAAFv/+z4=")</f>
        <v>#REF!</v>
      </c>
      <c r="BL77" t="e">
        <f>AND(NhatkyTon!#REF!,"AAAAAFv/+z8=")</f>
        <v>#REF!</v>
      </c>
      <c r="BM77" t="e">
        <f>AND(NhatkyTon!#REF!,"AAAAAFv/+0A=")</f>
        <v>#REF!</v>
      </c>
      <c r="BN77" t="e">
        <f>AND(NhatkyTon!#REF!,"AAAAAFv/+0E=")</f>
        <v>#REF!</v>
      </c>
      <c r="BO77" t="e">
        <f>AND(NhatkyTon!#REF!,"AAAAAFv/+0I=")</f>
        <v>#REF!</v>
      </c>
      <c r="BP77" t="e">
        <f>AND(NhatkyTon!#REF!,"AAAAAFv/+0M=")</f>
        <v>#REF!</v>
      </c>
      <c r="BQ77" t="e">
        <f>AND(NhatkyTon!#REF!,"AAAAAFv/+0Q=")</f>
        <v>#REF!</v>
      </c>
      <c r="BR77" t="e">
        <f>AND(NhatkyTon!#REF!,"AAAAAFv/+0U=")</f>
        <v>#REF!</v>
      </c>
      <c r="BS77" t="e">
        <f>AND(NhatkyTon!#REF!,"AAAAAFv/+0Y=")</f>
        <v>#REF!</v>
      </c>
      <c r="BT77" t="e">
        <f>AND(NhatkyTon!#REF!,"AAAAAFv/+0c=")</f>
        <v>#REF!</v>
      </c>
      <c r="BU77" t="e">
        <f>AND(NhatkyTon!#REF!,"AAAAAFv/+0g=")</f>
        <v>#REF!</v>
      </c>
      <c r="BV77" t="e">
        <f>AND(NhatkyTon!#REF!,"AAAAAFv/+0k=")</f>
        <v>#REF!</v>
      </c>
      <c r="BW77" t="e">
        <f>AND(NhatkyTon!#REF!,"AAAAAFv/+0o=")</f>
        <v>#REF!</v>
      </c>
      <c r="BX77" t="e">
        <f>AND(NhatkyTon!#REF!,"AAAAAFv/+0s=")</f>
        <v>#REF!</v>
      </c>
      <c r="BY77" t="e">
        <f>AND(NhatkyTon!#REF!,"AAAAAFv/+0w=")</f>
        <v>#REF!</v>
      </c>
      <c r="BZ77" t="e">
        <f>AND(NhatkyTon!#REF!,"AAAAAFv/+00=")</f>
        <v>#REF!</v>
      </c>
      <c r="CA77" t="e">
        <f>AND(NhatkyTon!#REF!,"AAAAAFv/+04=")</f>
        <v>#REF!</v>
      </c>
      <c r="CB77" t="e">
        <f>AND(NhatkyTon!#REF!,"AAAAAFv/+08=")</f>
        <v>#REF!</v>
      </c>
      <c r="CC77" t="e">
        <f>AND(NhatkyTon!#REF!,"AAAAAFv/+1A=")</f>
        <v>#REF!</v>
      </c>
      <c r="CD77" t="e">
        <f>AND(NhatkyTon!#REF!,"AAAAAFv/+1E=")</f>
        <v>#REF!</v>
      </c>
      <c r="CE77" t="e">
        <f>AND(NhatkyTon!#REF!,"AAAAAFv/+1I=")</f>
        <v>#REF!</v>
      </c>
      <c r="CF77" t="e">
        <f>AND(NhatkyTon!#REF!,"AAAAAFv/+1M=")</f>
        <v>#REF!</v>
      </c>
      <c r="CG77" t="e">
        <f>AND(NhatkyTon!#REF!,"AAAAAFv/+1Q=")</f>
        <v>#REF!</v>
      </c>
      <c r="CH77" t="e">
        <f>AND(NhatkyTon!#REF!,"AAAAAFv/+1U=")</f>
        <v>#REF!</v>
      </c>
      <c r="CI77" t="e">
        <f>AND(NhatkyTon!#REF!,"AAAAAFv/+1Y=")</f>
        <v>#REF!</v>
      </c>
      <c r="CJ77" t="e">
        <f>AND(NhatkyTon!#REF!,"AAAAAFv/+1c=")</f>
        <v>#REF!</v>
      </c>
      <c r="CK77" t="e">
        <f>AND(NhatkyTon!#REF!,"AAAAAFv/+1g=")</f>
        <v>#REF!</v>
      </c>
      <c r="CL77" t="e">
        <f>AND(NhatkyTon!#REF!,"AAAAAFv/+1k=")</f>
        <v>#REF!</v>
      </c>
      <c r="CM77" t="e">
        <f>AND(NhatkyTon!#REF!,"AAAAAFv/+1o=")</f>
        <v>#REF!</v>
      </c>
      <c r="CN77" t="e">
        <f>AND(NhatkyTon!#REF!,"AAAAAFv/+1s=")</f>
        <v>#REF!</v>
      </c>
      <c r="CO77" t="e">
        <f>AND(NhatkyTon!#REF!,"AAAAAFv/+1w=")</f>
        <v>#REF!</v>
      </c>
      <c r="CP77" t="e">
        <f>AND(NhatkyTon!#REF!,"AAAAAFv/+10=")</f>
        <v>#REF!</v>
      </c>
      <c r="CQ77" t="e">
        <f>AND(NhatkyTon!#REF!,"AAAAAFv/+14=")</f>
        <v>#REF!</v>
      </c>
      <c r="CR77" t="e">
        <f>AND(NhatkyTon!#REF!,"AAAAAFv/+18=")</f>
        <v>#REF!</v>
      </c>
      <c r="CS77" t="e">
        <f>IF(NhatkyTon!#REF!,"AAAAAFv/+2A=",0)</f>
        <v>#REF!</v>
      </c>
      <c r="CT77" t="e">
        <f>AND(NhatkyTon!#REF!,"AAAAAFv/+2E=")</f>
        <v>#REF!</v>
      </c>
      <c r="CU77" t="e">
        <f>AND(NhatkyTon!#REF!,"AAAAAFv/+2I=")</f>
        <v>#REF!</v>
      </c>
      <c r="CV77" t="e">
        <f>AND(NhatkyTon!#REF!,"AAAAAFv/+2M=")</f>
        <v>#REF!</v>
      </c>
      <c r="CW77" t="e">
        <f>AND(NhatkyTon!#REF!,"AAAAAFv/+2Q=")</f>
        <v>#REF!</v>
      </c>
      <c r="CX77" t="e">
        <f>AND(NhatkyTon!#REF!,"AAAAAFv/+2U=")</f>
        <v>#REF!</v>
      </c>
      <c r="CY77" t="e">
        <f>AND(NhatkyTon!#REF!,"AAAAAFv/+2Y=")</f>
        <v>#REF!</v>
      </c>
      <c r="CZ77" t="e">
        <f>AND(NhatkyTon!#REF!,"AAAAAFv/+2c=")</f>
        <v>#REF!</v>
      </c>
      <c r="DA77" t="e">
        <f>AND(NhatkyTon!#REF!,"AAAAAFv/+2g=")</f>
        <v>#REF!</v>
      </c>
      <c r="DB77" t="e">
        <f>AND(NhatkyTon!#REF!,"AAAAAFv/+2k=")</f>
        <v>#REF!</v>
      </c>
      <c r="DC77" t="e">
        <f>AND(NhatkyTon!#REF!,"AAAAAFv/+2o=")</f>
        <v>#REF!</v>
      </c>
      <c r="DD77" t="e">
        <f>AND(NhatkyTon!#REF!,"AAAAAFv/+2s=")</f>
        <v>#REF!</v>
      </c>
      <c r="DE77" t="e">
        <f>AND(NhatkyTon!#REF!,"AAAAAFv/+2w=")</f>
        <v>#REF!</v>
      </c>
      <c r="DF77" t="e">
        <f>AND(NhatkyTon!#REF!,"AAAAAFv/+20=")</f>
        <v>#REF!</v>
      </c>
      <c r="DG77" t="e">
        <f>AND(NhatkyTon!#REF!,"AAAAAFv/+24=")</f>
        <v>#REF!</v>
      </c>
      <c r="DH77" t="e">
        <f>AND(NhatkyTon!#REF!,"AAAAAFv/+28=")</f>
        <v>#REF!</v>
      </c>
      <c r="DI77" t="e">
        <f>AND(NhatkyTon!#REF!,"AAAAAFv/+3A=")</f>
        <v>#REF!</v>
      </c>
      <c r="DJ77" t="e">
        <f>AND(NhatkyTon!#REF!,"AAAAAFv/+3E=")</f>
        <v>#REF!</v>
      </c>
      <c r="DK77" t="e">
        <f>AND(NhatkyTon!#REF!,"AAAAAFv/+3I=")</f>
        <v>#REF!</v>
      </c>
      <c r="DL77" t="e">
        <f>AND(NhatkyTon!#REF!,"AAAAAFv/+3M=")</f>
        <v>#REF!</v>
      </c>
      <c r="DM77" t="e">
        <f>AND(NhatkyTon!#REF!,"AAAAAFv/+3Q=")</f>
        <v>#REF!</v>
      </c>
      <c r="DN77" t="e">
        <f>AND(NhatkyTon!#REF!,"AAAAAFv/+3U=")</f>
        <v>#REF!</v>
      </c>
      <c r="DO77" t="e">
        <f>AND(NhatkyTon!#REF!,"AAAAAFv/+3Y=")</f>
        <v>#REF!</v>
      </c>
      <c r="DP77" t="e">
        <f>AND(NhatkyTon!#REF!,"AAAAAFv/+3c=")</f>
        <v>#REF!</v>
      </c>
      <c r="DQ77" t="e">
        <f>AND(NhatkyTon!#REF!,"AAAAAFv/+3g=")</f>
        <v>#REF!</v>
      </c>
      <c r="DR77" t="e">
        <f>AND(NhatkyTon!#REF!,"AAAAAFv/+3k=")</f>
        <v>#REF!</v>
      </c>
      <c r="DS77" t="e">
        <f>AND(NhatkyTon!#REF!,"AAAAAFv/+3o=")</f>
        <v>#REF!</v>
      </c>
      <c r="DT77" t="e">
        <f>AND(NhatkyTon!#REF!,"AAAAAFv/+3s=")</f>
        <v>#REF!</v>
      </c>
      <c r="DU77" t="e">
        <f>AND(NhatkyTon!#REF!,"AAAAAFv/+3w=")</f>
        <v>#REF!</v>
      </c>
      <c r="DV77" t="e">
        <f>AND(NhatkyTon!#REF!,"AAAAAFv/+30=")</f>
        <v>#REF!</v>
      </c>
      <c r="DW77" t="e">
        <f>AND(NhatkyTon!#REF!,"AAAAAFv/+34=")</f>
        <v>#REF!</v>
      </c>
      <c r="DX77" t="e">
        <f>AND(NhatkyTon!#REF!,"AAAAAFv/+38=")</f>
        <v>#REF!</v>
      </c>
      <c r="DY77" t="e">
        <f>AND(NhatkyTon!#REF!,"AAAAAFv/+4A=")</f>
        <v>#REF!</v>
      </c>
      <c r="DZ77" t="e">
        <f>AND(NhatkyTon!#REF!,"AAAAAFv/+4E=")</f>
        <v>#REF!</v>
      </c>
      <c r="EA77" t="e">
        <f>AND(NhatkyTon!#REF!,"AAAAAFv/+4I=")</f>
        <v>#REF!</v>
      </c>
      <c r="EB77" t="e">
        <f>IF(NhatkyTon!#REF!,"AAAAAFv/+4M=",0)</f>
        <v>#REF!</v>
      </c>
      <c r="EC77" t="e">
        <f>AND(NhatkyTon!#REF!,"AAAAAFv/+4Q=")</f>
        <v>#REF!</v>
      </c>
      <c r="ED77" t="e">
        <f>AND(NhatkyTon!#REF!,"AAAAAFv/+4U=")</f>
        <v>#REF!</v>
      </c>
      <c r="EE77" t="e">
        <f>AND(NhatkyTon!#REF!,"AAAAAFv/+4Y=")</f>
        <v>#REF!</v>
      </c>
      <c r="EF77" t="e">
        <f>AND(NhatkyTon!#REF!,"AAAAAFv/+4c=")</f>
        <v>#REF!</v>
      </c>
      <c r="EG77" t="e">
        <f>AND(NhatkyTon!#REF!,"AAAAAFv/+4g=")</f>
        <v>#REF!</v>
      </c>
      <c r="EH77" t="e">
        <f>AND(NhatkyTon!#REF!,"AAAAAFv/+4k=")</f>
        <v>#REF!</v>
      </c>
      <c r="EI77" t="e">
        <f>AND(NhatkyTon!#REF!,"AAAAAFv/+4o=")</f>
        <v>#REF!</v>
      </c>
      <c r="EJ77" t="e">
        <f>AND(NhatkyTon!#REF!,"AAAAAFv/+4s=")</f>
        <v>#REF!</v>
      </c>
      <c r="EK77" t="e">
        <f>AND(NhatkyTon!#REF!,"AAAAAFv/+4w=")</f>
        <v>#REF!</v>
      </c>
      <c r="EL77" t="e">
        <f>AND(NhatkyTon!#REF!,"AAAAAFv/+40=")</f>
        <v>#REF!</v>
      </c>
      <c r="EM77" t="e">
        <f>AND(NhatkyTon!#REF!,"AAAAAFv/+44=")</f>
        <v>#REF!</v>
      </c>
      <c r="EN77" t="e">
        <f>AND(NhatkyTon!#REF!,"AAAAAFv/+48=")</f>
        <v>#REF!</v>
      </c>
      <c r="EO77" t="e">
        <f>AND(NhatkyTon!#REF!,"AAAAAFv/+5A=")</f>
        <v>#REF!</v>
      </c>
      <c r="EP77" t="e">
        <f>AND(NhatkyTon!#REF!,"AAAAAFv/+5E=")</f>
        <v>#REF!</v>
      </c>
      <c r="EQ77" t="e">
        <f>AND(NhatkyTon!#REF!,"AAAAAFv/+5I=")</f>
        <v>#REF!</v>
      </c>
      <c r="ER77" t="e">
        <f>AND(NhatkyTon!#REF!,"AAAAAFv/+5M=")</f>
        <v>#REF!</v>
      </c>
      <c r="ES77" t="e">
        <f>AND(NhatkyTon!#REF!,"AAAAAFv/+5Q=")</f>
        <v>#REF!</v>
      </c>
      <c r="ET77" t="e">
        <f>AND(NhatkyTon!#REF!,"AAAAAFv/+5U=")</f>
        <v>#REF!</v>
      </c>
      <c r="EU77" t="e">
        <f>AND(NhatkyTon!#REF!,"AAAAAFv/+5Y=")</f>
        <v>#REF!</v>
      </c>
      <c r="EV77" t="e">
        <f>AND(NhatkyTon!#REF!,"AAAAAFv/+5c=")</f>
        <v>#REF!</v>
      </c>
      <c r="EW77" t="e">
        <f>AND(NhatkyTon!#REF!,"AAAAAFv/+5g=")</f>
        <v>#REF!</v>
      </c>
      <c r="EX77" t="e">
        <f>AND(NhatkyTon!#REF!,"AAAAAFv/+5k=")</f>
        <v>#REF!</v>
      </c>
      <c r="EY77" t="e">
        <f>AND(NhatkyTon!#REF!,"AAAAAFv/+5o=")</f>
        <v>#REF!</v>
      </c>
      <c r="EZ77" t="e">
        <f>AND(NhatkyTon!#REF!,"AAAAAFv/+5s=")</f>
        <v>#REF!</v>
      </c>
      <c r="FA77" t="e">
        <f>AND(NhatkyTon!#REF!,"AAAAAFv/+5w=")</f>
        <v>#REF!</v>
      </c>
      <c r="FB77" t="e">
        <f>AND(NhatkyTon!#REF!,"AAAAAFv/+50=")</f>
        <v>#REF!</v>
      </c>
      <c r="FC77" t="e">
        <f>AND(NhatkyTon!#REF!,"AAAAAFv/+54=")</f>
        <v>#REF!</v>
      </c>
      <c r="FD77" t="e">
        <f>AND(NhatkyTon!#REF!,"AAAAAFv/+58=")</f>
        <v>#REF!</v>
      </c>
      <c r="FE77" t="e">
        <f>AND(NhatkyTon!#REF!,"AAAAAFv/+6A=")</f>
        <v>#REF!</v>
      </c>
      <c r="FF77" t="e">
        <f>AND(NhatkyTon!#REF!,"AAAAAFv/+6E=")</f>
        <v>#REF!</v>
      </c>
      <c r="FG77" t="e">
        <f>AND(NhatkyTon!#REF!,"AAAAAFv/+6I=")</f>
        <v>#REF!</v>
      </c>
      <c r="FH77" t="e">
        <f>AND(NhatkyTon!#REF!,"AAAAAFv/+6M=")</f>
        <v>#REF!</v>
      </c>
      <c r="FI77" t="e">
        <f>AND(NhatkyTon!#REF!,"AAAAAFv/+6Q=")</f>
        <v>#REF!</v>
      </c>
      <c r="FJ77" t="e">
        <f>AND(NhatkyTon!#REF!,"AAAAAFv/+6U=")</f>
        <v>#REF!</v>
      </c>
      <c r="FK77" t="e">
        <f>IF(NhatkyTon!#REF!,"AAAAAFv/+6Y=",0)</f>
        <v>#REF!</v>
      </c>
      <c r="FL77" t="e">
        <f>AND(NhatkyTon!#REF!,"AAAAAFv/+6c=")</f>
        <v>#REF!</v>
      </c>
      <c r="FM77" t="e">
        <f>AND(NhatkyTon!#REF!,"AAAAAFv/+6g=")</f>
        <v>#REF!</v>
      </c>
      <c r="FN77" t="e">
        <f>AND(NhatkyTon!#REF!,"AAAAAFv/+6k=")</f>
        <v>#REF!</v>
      </c>
      <c r="FO77" t="e">
        <f>AND(NhatkyTon!#REF!,"AAAAAFv/+6o=")</f>
        <v>#REF!</v>
      </c>
      <c r="FP77" t="e">
        <f>AND(NhatkyTon!#REF!,"AAAAAFv/+6s=")</f>
        <v>#REF!</v>
      </c>
      <c r="FQ77" t="e">
        <f>AND(NhatkyTon!#REF!,"AAAAAFv/+6w=")</f>
        <v>#REF!</v>
      </c>
      <c r="FR77" t="e">
        <f>AND(NhatkyTon!#REF!,"AAAAAFv/+60=")</f>
        <v>#REF!</v>
      </c>
      <c r="FS77" t="e">
        <f>AND(NhatkyTon!#REF!,"AAAAAFv/+64=")</f>
        <v>#REF!</v>
      </c>
      <c r="FT77" t="e">
        <f>AND(NhatkyTon!#REF!,"AAAAAFv/+68=")</f>
        <v>#REF!</v>
      </c>
      <c r="FU77" t="e">
        <f>AND(NhatkyTon!#REF!,"AAAAAFv/+7A=")</f>
        <v>#REF!</v>
      </c>
      <c r="FV77" t="e">
        <f>AND(NhatkyTon!#REF!,"AAAAAFv/+7E=")</f>
        <v>#REF!</v>
      </c>
      <c r="FW77" t="e">
        <f>AND(NhatkyTon!#REF!,"AAAAAFv/+7I=")</f>
        <v>#REF!</v>
      </c>
      <c r="FX77" t="e">
        <f>AND(NhatkyTon!#REF!,"AAAAAFv/+7M=")</f>
        <v>#REF!</v>
      </c>
      <c r="FY77" t="e">
        <f>AND(NhatkyTon!#REF!,"AAAAAFv/+7Q=")</f>
        <v>#REF!</v>
      </c>
      <c r="FZ77" t="e">
        <f>AND(NhatkyTon!#REF!,"AAAAAFv/+7U=")</f>
        <v>#REF!</v>
      </c>
      <c r="GA77" t="e">
        <f>AND(NhatkyTon!#REF!,"AAAAAFv/+7Y=")</f>
        <v>#REF!</v>
      </c>
      <c r="GB77" t="e">
        <f>AND(NhatkyTon!#REF!,"AAAAAFv/+7c=")</f>
        <v>#REF!</v>
      </c>
      <c r="GC77" t="e">
        <f>AND(NhatkyTon!#REF!,"AAAAAFv/+7g=")</f>
        <v>#REF!</v>
      </c>
      <c r="GD77" t="e">
        <f>AND(NhatkyTon!#REF!,"AAAAAFv/+7k=")</f>
        <v>#REF!</v>
      </c>
      <c r="GE77" t="e">
        <f>AND(NhatkyTon!#REF!,"AAAAAFv/+7o=")</f>
        <v>#REF!</v>
      </c>
      <c r="GF77" t="e">
        <f>AND(NhatkyTon!#REF!,"AAAAAFv/+7s=")</f>
        <v>#REF!</v>
      </c>
      <c r="GG77" t="e">
        <f>AND(NhatkyTon!#REF!,"AAAAAFv/+7w=")</f>
        <v>#REF!</v>
      </c>
      <c r="GH77" t="e">
        <f>AND(NhatkyTon!#REF!,"AAAAAFv/+70=")</f>
        <v>#REF!</v>
      </c>
      <c r="GI77" t="e">
        <f>AND(NhatkyTon!#REF!,"AAAAAFv/+74=")</f>
        <v>#REF!</v>
      </c>
      <c r="GJ77" t="e">
        <f>AND(NhatkyTon!#REF!,"AAAAAFv/+78=")</f>
        <v>#REF!</v>
      </c>
      <c r="GK77" t="e">
        <f>AND(NhatkyTon!#REF!,"AAAAAFv/+8A=")</f>
        <v>#REF!</v>
      </c>
      <c r="GL77" t="e">
        <f>AND(NhatkyTon!#REF!,"AAAAAFv/+8E=")</f>
        <v>#REF!</v>
      </c>
      <c r="GM77" t="e">
        <f>AND(NhatkyTon!#REF!,"AAAAAFv/+8I=")</f>
        <v>#REF!</v>
      </c>
      <c r="GN77" t="e">
        <f>AND(NhatkyTon!#REF!,"AAAAAFv/+8M=")</f>
        <v>#REF!</v>
      </c>
      <c r="GO77" t="e">
        <f>AND(NhatkyTon!#REF!,"AAAAAFv/+8Q=")</f>
        <v>#REF!</v>
      </c>
      <c r="GP77" t="e">
        <f>AND(NhatkyTon!#REF!,"AAAAAFv/+8U=")</f>
        <v>#REF!</v>
      </c>
      <c r="GQ77" t="e">
        <f>AND(NhatkyTon!#REF!,"AAAAAFv/+8Y=")</f>
        <v>#REF!</v>
      </c>
      <c r="GR77" t="e">
        <f>AND(NhatkyTon!#REF!,"AAAAAFv/+8c=")</f>
        <v>#REF!</v>
      </c>
      <c r="GS77" t="e">
        <f>AND(NhatkyTon!#REF!,"AAAAAFv/+8g=")</f>
        <v>#REF!</v>
      </c>
      <c r="GT77" t="e">
        <f>IF(NhatkyTon!#REF!,"AAAAAFv/+8k=",0)</f>
        <v>#REF!</v>
      </c>
      <c r="GU77" t="e">
        <f>AND(NhatkyTon!#REF!,"AAAAAFv/+8o=")</f>
        <v>#REF!</v>
      </c>
      <c r="GV77" t="e">
        <f>AND(NhatkyTon!#REF!,"AAAAAFv/+8s=")</f>
        <v>#REF!</v>
      </c>
      <c r="GW77" t="e">
        <f>AND(NhatkyTon!#REF!,"AAAAAFv/+8w=")</f>
        <v>#REF!</v>
      </c>
      <c r="GX77" t="e">
        <f>AND(NhatkyTon!#REF!,"AAAAAFv/+80=")</f>
        <v>#REF!</v>
      </c>
      <c r="GY77" t="e">
        <f>AND(NhatkyTon!#REF!,"AAAAAFv/+84=")</f>
        <v>#REF!</v>
      </c>
      <c r="GZ77" t="e">
        <f>AND(NhatkyTon!#REF!,"AAAAAFv/+88=")</f>
        <v>#REF!</v>
      </c>
      <c r="HA77" t="e">
        <f>AND(NhatkyTon!#REF!,"AAAAAFv/+9A=")</f>
        <v>#REF!</v>
      </c>
      <c r="HB77" t="e">
        <f>AND(NhatkyTon!#REF!,"AAAAAFv/+9E=")</f>
        <v>#REF!</v>
      </c>
      <c r="HC77" t="e">
        <f>AND(NhatkyTon!#REF!,"AAAAAFv/+9I=")</f>
        <v>#REF!</v>
      </c>
      <c r="HD77" t="e">
        <f>AND(NhatkyTon!#REF!,"AAAAAFv/+9M=")</f>
        <v>#REF!</v>
      </c>
      <c r="HE77" t="e">
        <f>AND(NhatkyTon!#REF!,"AAAAAFv/+9Q=")</f>
        <v>#REF!</v>
      </c>
      <c r="HF77" t="e">
        <f>AND(NhatkyTon!#REF!,"AAAAAFv/+9U=")</f>
        <v>#REF!</v>
      </c>
      <c r="HG77" t="e">
        <f>AND(NhatkyTon!#REF!,"AAAAAFv/+9Y=")</f>
        <v>#REF!</v>
      </c>
      <c r="HH77" t="e">
        <f>AND(NhatkyTon!#REF!,"AAAAAFv/+9c=")</f>
        <v>#REF!</v>
      </c>
      <c r="HI77" t="e">
        <f>AND(NhatkyTon!#REF!,"AAAAAFv/+9g=")</f>
        <v>#REF!</v>
      </c>
      <c r="HJ77" t="e">
        <f>AND(NhatkyTon!#REF!,"AAAAAFv/+9k=")</f>
        <v>#REF!</v>
      </c>
      <c r="HK77" t="e">
        <f>AND(NhatkyTon!#REF!,"AAAAAFv/+9o=")</f>
        <v>#REF!</v>
      </c>
      <c r="HL77" t="e">
        <f>AND(NhatkyTon!#REF!,"AAAAAFv/+9s=")</f>
        <v>#REF!</v>
      </c>
      <c r="HM77" t="e">
        <f>AND(NhatkyTon!#REF!,"AAAAAFv/+9w=")</f>
        <v>#REF!</v>
      </c>
      <c r="HN77" t="e">
        <f>AND(NhatkyTon!#REF!,"AAAAAFv/+90=")</f>
        <v>#REF!</v>
      </c>
      <c r="HO77" t="e">
        <f>AND(NhatkyTon!#REF!,"AAAAAFv/+94=")</f>
        <v>#REF!</v>
      </c>
      <c r="HP77" t="e">
        <f>AND(NhatkyTon!#REF!,"AAAAAFv/+98=")</f>
        <v>#REF!</v>
      </c>
      <c r="HQ77" t="e">
        <f>AND(NhatkyTon!#REF!,"AAAAAFv/++A=")</f>
        <v>#REF!</v>
      </c>
      <c r="HR77" t="e">
        <f>AND(NhatkyTon!#REF!,"AAAAAFv/++E=")</f>
        <v>#REF!</v>
      </c>
      <c r="HS77" t="e">
        <f>AND(NhatkyTon!#REF!,"AAAAAFv/++I=")</f>
        <v>#REF!</v>
      </c>
      <c r="HT77" t="e">
        <f>AND(NhatkyTon!#REF!,"AAAAAFv/++M=")</f>
        <v>#REF!</v>
      </c>
      <c r="HU77" t="e">
        <f>AND(NhatkyTon!#REF!,"AAAAAFv/++Q=")</f>
        <v>#REF!</v>
      </c>
      <c r="HV77" t="e">
        <f>AND(NhatkyTon!#REF!,"AAAAAFv/++U=")</f>
        <v>#REF!</v>
      </c>
      <c r="HW77" t="e">
        <f>AND(NhatkyTon!#REF!,"AAAAAFv/++Y=")</f>
        <v>#REF!</v>
      </c>
      <c r="HX77" t="e">
        <f>AND(NhatkyTon!#REF!,"AAAAAFv/++c=")</f>
        <v>#REF!</v>
      </c>
      <c r="HY77" t="e">
        <f>AND(NhatkyTon!#REF!,"AAAAAFv/++g=")</f>
        <v>#REF!</v>
      </c>
      <c r="HZ77" t="e">
        <f>AND(NhatkyTon!#REF!,"AAAAAFv/++k=")</f>
        <v>#REF!</v>
      </c>
      <c r="IA77" t="e">
        <f>AND(NhatkyTon!#REF!,"AAAAAFv/++o=")</f>
        <v>#REF!</v>
      </c>
      <c r="IB77" t="e">
        <f>AND(NhatkyTon!#REF!,"AAAAAFv/++s=")</f>
        <v>#REF!</v>
      </c>
      <c r="IC77" t="e">
        <f>IF(NhatkyTon!#REF!,"AAAAAFv/++w=",0)</f>
        <v>#REF!</v>
      </c>
      <c r="ID77" t="e">
        <f>AND(NhatkyTon!#REF!,"AAAAAFv/++0=")</f>
        <v>#REF!</v>
      </c>
      <c r="IE77" t="e">
        <f>AND(NhatkyTon!#REF!,"AAAAAFv/++4=")</f>
        <v>#REF!</v>
      </c>
      <c r="IF77" t="e">
        <f>AND(NhatkyTon!#REF!,"AAAAAFv/++8=")</f>
        <v>#REF!</v>
      </c>
      <c r="IG77" t="e">
        <f>AND(NhatkyTon!#REF!,"AAAAAFv/+/A=")</f>
        <v>#REF!</v>
      </c>
      <c r="IH77" t="e">
        <f>AND(NhatkyTon!#REF!,"AAAAAFv/+/E=")</f>
        <v>#REF!</v>
      </c>
      <c r="II77" t="e">
        <f>AND(NhatkyTon!#REF!,"AAAAAFv/+/I=")</f>
        <v>#REF!</v>
      </c>
      <c r="IJ77" t="e">
        <f>AND(NhatkyTon!#REF!,"AAAAAFv/+/M=")</f>
        <v>#REF!</v>
      </c>
      <c r="IK77" t="e">
        <f>AND(NhatkyTon!#REF!,"AAAAAFv/+/Q=")</f>
        <v>#REF!</v>
      </c>
      <c r="IL77" t="e">
        <f>AND(NhatkyTon!#REF!,"AAAAAFv/+/U=")</f>
        <v>#REF!</v>
      </c>
      <c r="IM77" t="e">
        <f>AND(NhatkyTon!#REF!,"AAAAAFv/+/Y=")</f>
        <v>#REF!</v>
      </c>
      <c r="IN77" t="e">
        <f>AND(NhatkyTon!#REF!,"AAAAAFv/+/c=")</f>
        <v>#REF!</v>
      </c>
      <c r="IO77" t="e">
        <f>AND(NhatkyTon!#REF!,"AAAAAFv/+/g=")</f>
        <v>#REF!</v>
      </c>
      <c r="IP77" t="e">
        <f>AND(NhatkyTon!#REF!,"AAAAAFv/+/k=")</f>
        <v>#REF!</v>
      </c>
      <c r="IQ77" t="e">
        <f>AND(NhatkyTon!#REF!,"AAAAAFv/+/o=")</f>
        <v>#REF!</v>
      </c>
      <c r="IR77" t="e">
        <f>AND(NhatkyTon!#REF!,"AAAAAFv/+/s=")</f>
        <v>#REF!</v>
      </c>
      <c r="IS77" t="e">
        <f>AND(NhatkyTon!#REF!,"AAAAAFv/+/w=")</f>
        <v>#REF!</v>
      </c>
      <c r="IT77" t="e">
        <f>AND(NhatkyTon!#REF!,"AAAAAFv/+/0=")</f>
        <v>#REF!</v>
      </c>
      <c r="IU77" t="e">
        <f>AND(NhatkyTon!#REF!,"AAAAAFv/+/4=")</f>
        <v>#REF!</v>
      </c>
      <c r="IV77" t="e">
        <f>AND(NhatkyTon!#REF!,"AAAAAFv/+/8=")</f>
        <v>#REF!</v>
      </c>
    </row>
    <row r="78" spans="1:256">
      <c r="A78" t="e">
        <f>AND(NhatkyTon!#REF!,"AAAAAH13bwA=")</f>
        <v>#REF!</v>
      </c>
      <c r="B78" t="e">
        <f>AND(NhatkyTon!#REF!,"AAAAAH13bwE=")</f>
        <v>#REF!</v>
      </c>
      <c r="C78" t="e">
        <f>AND(NhatkyTon!#REF!,"AAAAAH13bwI=")</f>
        <v>#REF!</v>
      </c>
      <c r="D78" t="e">
        <f>AND(NhatkyTon!#REF!,"AAAAAH13bwM=")</f>
        <v>#REF!</v>
      </c>
      <c r="E78" t="e">
        <f>AND(NhatkyTon!#REF!,"AAAAAH13bwQ=")</f>
        <v>#REF!</v>
      </c>
      <c r="F78" t="e">
        <f>AND(NhatkyTon!#REF!,"AAAAAH13bwU=")</f>
        <v>#REF!</v>
      </c>
      <c r="G78" t="e">
        <f>AND(NhatkyTon!#REF!,"AAAAAH13bwY=")</f>
        <v>#REF!</v>
      </c>
      <c r="H78" t="e">
        <f>AND(NhatkyTon!#REF!,"AAAAAH13bwc=")</f>
        <v>#REF!</v>
      </c>
      <c r="I78" t="e">
        <f>AND(NhatkyTon!#REF!,"AAAAAH13bwg=")</f>
        <v>#REF!</v>
      </c>
      <c r="J78" t="e">
        <f>AND(NhatkyTon!#REF!,"AAAAAH13bwk=")</f>
        <v>#REF!</v>
      </c>
      <c r="K78" t="e">
        <f>AND(NhatkyTon!#REF!,"AAAAAH13bwo=")</f>
        <v>#REF!</v>
      </c>
      <c r="L78" t="e">
        <f>AND(NhatkyTon!#REF!,"AAAAAH13bws=")</f>
        <v>#REF!</v>
      </c>
      <c r="M78" t="e">
        <f>AND(NhatkyTon!#REF!,"AAAAAH13bww=")</f>
        <v>#REF!</v>
      </c>
      <c r="N78" t="e">
        <f>AND(NhatkyTon!#REF!,"AAAAAH13bw0=")</f>
        <v>#REF!</v>
      </c>
      <c r="O78" t="e">
        <f>AND(NhatkyTon!#REF!,"AAAAAH13bw4=")</f>
        <v>#REF!</v>
      </c>
      <c r="P78" t="e">
        <f>IF(NhatkyTon!#REF!,"AAAAAH13bw8=",0)</f>
        <v>#REF!</v>
      </c>
      <c r="Q78" t="e">
        <f>AND(NhatkyTon!#REF!,"AAAAAH13bxA=")</f>
        <v>#REF!</v>
      </c>
      <c r="R78" t="e">
        <f>AND(NhatkyTon!#REF!,"AAAAAH13bxE=")</f>
        <v>#REF!</v>
      </c>
      <c r="S78" t="e">
        <f>AND(NhatkyTon!#REF!,"AAAAAH13bxI=")</f>
        <v>#REF!</v>
      </c>
      <c r="T78" t="e">
        <f>AND(NhatkyTon!#REF!,"AAAAAH13bxM=")</f>
        <v>#REF!</v>
      </c>
      <c r="U78" t="e">
        <f>AND(NhatkyTon!#REF!,"AAAAAH13bxQ=")</f>
        <v>#REF!</v>
      </c>
      <c r="V78" t="e">
        <f>AND(NhatkyTon!#REF!,"AAAAAH13bxU=")</f>
        <v>#REF!</v>
      </c>
      <c r="W78" t="e">
        <f>AND(NhatkyTon!#REF!,"AAAAAH13bxY=")</f>
        <v>#REF!</v>
      </c>
      <c r="X78" t="e">
        <f>AND(NhatkyTon!#REF!,"AAAAAH13bxc=")</f>
        <v>#REF!</v>
      </c>
      <c r="Y78" t="e">
        <f>AND(NhatkyTon!#REF!,"AAAAAH13bxg=")</f>
        <v>#REF!</v>
      </c>
      <c r="Z78" t="e">
        <f>AND(NhatkyTon!#REF!,"AAAAAH13bxk=")</f>
        <v>#REF!</v>
      </c>
      <c r="AA78" t="e">
        <f>AND(NhatkyTon!#REF!,"AAAAAH13bxo=")</f>
        <v>#REF!</v>
      </c>
      <c r="AB78" t="e">
        <f>AND(NhatkyTon!#REF!,"AAAAAH13bxs=")</f>
        <v>#REF!</v>
      </c>
      <c r="AC78" t="e">
        <f>AND(NhatkyTon!#REF!,"AAAAAH13bxw=")</f>
        <v>#REF!</v>
      </c>
      <c r="AD78" t="e">
        <f>AND(NhatkyTon!#REF!,"AAAAAH13bx0=")</f>
        <v>#REF!</v>
      </c>
      <c r="AE78" t="e">
        <f>AND(NhatkyTon!#REF!,"AAAAAH13bx4=")</f>
        <v>#REF!</v>
      </c>
      <c r="AF78" t="e">
        <f>AND(NhatkyTon!#REF!,"AAAAAH13bx8=")</f>
        <v>#REF!</v>
      </c>
      <c r="AG78" t="e">
        <f>AND(NhatkyTon!#REF!,"AAAAAH13byA=")</f>
        <v>#REF!</v>
      </c>
      <c r="AH78" t="e">
        <f>AND(NhatkyTon!#REF!,"AAAAAH13byE=")</f>
        <v>#REF!</v>
      </c>
      <c r="AI78" t="e">
        <f>AND(NhatkyTon!#REF!,"AAAAAH13byI=")</f>
        <v>#REF!</v>
      </c>
      <c r="AJ78" t="e">
        <f>AND(NhatkyTon!#REF!,"AAAAAH13byM=")</f>
        <v>#REF!</v>
      </c>
      <c r="AK78" t="e">
        <f>AND(NhatkyTon!#REF!,"AAAAAH13byQ=")</f>
        <v>#REF!</v>
      </c>
      <c r="AL78" t="e">
        <f>AND(NhatkyTon!#REF!,"AAAAAH13byU=")</f>
        <v>#REF!</v>
      </c>
      <c r="AM78" t="e">
        <f>AND(NhatkyTon!#REF!,"AAAAAH13byY=")</f>
        <v>#REF!</v>
      </c>
      <c r="AN78" t="e">
        <f>AND(NhatkyTon!#REF!,"AAAAAH13byc=")</f>
        <v>#REF!</v>
      </c>
      <c r="AO78" t="e">
        <f>AND(NhatkyTon!#REF!,"AAAAAH13byg=")</f>
        <v>#REF!</v>
      </c>
      <c r="AP78" t="e">
        <f>AND(NhatkyTon!#REF!,"AAAAAH13byk=")</f>
        <v>#REF!</v>
      </c>
      <c r="AQ78" t="e">
        <f>AND(NhatkyTon!#REF!,"AAAAAH13byo=")</f>
        <v>#REF!</v>
      </c>
      <c r="AR78" t="e">
        <f>AND(NhatkyTon!#REF!,"AAAAAH13bys=")</f>
        <v>#REF!</v>
      </c>
      <c r="AS78" t="e">
        <f>AND(NhatkyTon!#REF!,"AAAAAH13byw=")</f>
        <v>#REF!</v>
      </c>
      <c r="AT78" t="e">
        <f>AND(NhatkyTon!#REF!,"AAAAAH13by0=")</f>
        <v>#REF!</v>
      </c>
      <c r="AU78" t="e">
        <f>AND(NhatkyTon!#REF!,"AAAAAH13by4=")</f>
        <v>#REF!</v>
      </c>
      <c r="AV78" t="e">
        <f>AND(NhatkyTon!#REF!,"AAAAAH13by8=")</f>
        <v>#REF!</v>
      </c>
      <c r="AW78" t="e">
        <f>AND(NhatkyTon!#REF!,"AAAAAH13bzA=")</f>
        <v>#REF!</v>
      </c>
      <c r="AX78" t="e">
        <f>AND(NhatkyTon!#REF!,"AAAAAH13bzE=")</f>
        <v>#REF!</v>
      </c>
      <c r="AY78" t="e">
        <f>IF(NhatkyTon!#REF!,"AAAAAH13bzI=",0)</f>
        <v>#REF!</v>
      </c>
      <c r="AZ78" t="e">
        <f>AND(NhatkyTon!#REF!,"AAAAAH13bzM=")</f>
        <v>#REF!</v>
      </c>
      <c r="BA78" t="e">
        <f>AND(NhatkyTon!#REF!,"AAAAAH13bzQ=")</f>
        <v>#REF!</v>
      </c>
      <c r="BB78" t="e">
        <f>AND(NhatkyTon!#REF!,"AAAAAH13bzU=")</f>
        <v>#REF!</v>
      </c>
      <c r="BC78" t="e">
        <f>AND(NhatkyTon!#REF!,"AAAAAH13bzY=")</f>
        <v>#REF!</v>
      </c>
      <c r="BD78" t="e">
        <f>AND(NhatkyTon!#REF!,"AAAAAH13bzc=")</f>
        <v>#REF!</v>
      </c>
      <c r="BE78" t="e">
        <f>AND(NhatkyTon!#REF!,"AAAAAH13bzg=")</f>
        <v>#REF!</v>
      </c>
      <c r="BF78" t="e">
        <f>AND(NhatkyTon!#REF!,"AAAAAH13bzk=")</f>
        <v>#REF!</v>
      </c>
      <c r="BG78" t="e">
        <f>AND(NhatkyTon!#REF!,"AAAAAH13bzo=")</f>
        <v>#REF!</v>
      </c>
      <c r="BH78" t="e">
        <f>AND(NhatkyTon!#REF!,"AAAAAH13bzs=")</f>
        <v>#REF!</v>
      </c>
      <c r="BI78" t="e">
        <f>AND(NhatkyTon!#REF!,"AAAAAH13bzw=")</f>
        <v>#REF!</v>
      </c>
      <c r="BJ78" t="e">
        <f>AND(NhatkyTon!#REF!,"AAAAAH13bz0=")</f>
        <v>#REF!</v>
      </c>
      <c r="BK78" t="e">
        <f>AND(NhatkyTon!#REF!,"AAAAAH13bz4=")</f>
        <v>#REF!</v>
      </c>
      <c r="BL78" t="e">
        <f>AND(NhatkyTon!#REF!,"AAAAAH13bz8=")</f>
        <v>#REF!</v>
      </c>
      <c r="BM78" t="e">
        <f>AND(NhatkyTon!#REF!,"AAAAAH13b0A=")</f>
        <v>#REF!</v>
      </c>
      <c r="BN78" t="e">
        <f>AND(NhatkyTon!#REF!,"AAAAAH13b0E=")</f>
        <v>#REF!</v>
      </c>
      <c r="BO78" t="e">
        <f>AND(NhatkyTon!#REF!,"AAAAAH13b0I=")</f>
        <v>#REF!</v>
      </c>
      <c r="BP78" t="e">
        <f>AND(NhatkyTon!#REF!,"AAAAAH13b0M=")</f>
        <v>#REF!</v>
      </c>
      <c r="BQ78" t="e">
        <f>AND(NhatkyTon!#REF!,"AAAAAH13b0Q=")</f>
        <v>#REF!</v>
      </c>
      <c r="BR78" t="e">
        <f>AND(NhatkyTon!#REF!,"AAAAAH13b0U=")</f>
        <v>#REF!</v>
      </c>
      <c r="BS78" t="e">
        <f>AND(NhatkyTon!#REF!,"AAAAAH13b0Y=")</f>
        <v>#REF!</v>
      </c>
      <c r="BT78" t="e">
        <f>AND(NhatkyTon!#REF!,"AAAAAH13b0c=")</f>
        <v>#REF!</v>
      </c>
      <c r="BU78" t="e">
        <f>AND(NhatkyTon!#REF!,"AAAAAH13b0g=")</f>
        <v>#REF!</v>
      </c>
      <c r="BV78" t="e">
        <f>AND(NhatkyTon!#REF!,"AAAAAH13b0k=")</f>
        <v>#REF!</v>
      </c>
      <c r="BW78" t="e">
        <f>AND(NhatkyTon!#REF!,"AAAAAH13b0o=")</f>
        <v>#REF!</v>
      </c>
      <c r="BX78" t="e">
        <f>AND(NhatkyTon!#REF!,"AAAAAH13b0s=")</f>
        <v>#REF!</v>
      </c>
      <c r="BY78" t="e">
        <f>AND(NhatkyTon!#REF!,"AAAAAH13b0w=")</f>
        <v>#REF!</v>
      </c>
      <c r="BZ78" t="e">
        <f>AND(NhatkyTon!#REF!,"AAAAAH13b00=")</f>
        <v>#REF!</v>
      </c>
      <c r="CA78" t="e">
        <f>AND(NhatkyTon!#REF!,"AAAAAH13b04=")</f>
        <v>#REF!</v>
      </c>
      <c r="CB78" t="e">
        <f>AND(NhatkyTon!#REF!,"AAAAAH13b08=")</f>
        <v>#REF!</v>
      </c>
      <c r="CC78" t="e">
        <f>AND(NhatkyTon!#REF!,"AAAAAH13b1A=")</f>
        <v>#REF!</v>
      </c>
      <c r="CD78" t="e">
        <f>AND(NhatkyTon!#REF!,"AAAAAH13b1E=")</f>
        <v>#REF!</v>
      </c>
      <c r="CE78" t="e">
        <f>AND(NhatkyTon!#REF!,"AAAAAH13b1I=")</f>
        <v>#REF!</v>
      </c>
      <c r="CF78" t="e">
        <f>AND(NhatkyTon!#REF!,"AAAAAH13b1M=")</f>
        <v>#REF!</v>
      </c>
      <c r="CG78" t="e">
        <f>AND(NhatkyTon!#REF!,"AAAAAH13b1Q=")</f>
        <v>#REF!</v>
      </c>
      <c r="CH78" t="e">
        <f>IF(NhatkyTon!#REF!,"AAAAAH13b1U=",0)</f>
        <v>#REF!</v>
      </c>
      <c r="CI78" t="e">
        <f>AND(NhatkyTon!#REF!,"AAAAAH13b1Y=")</f>
        <v>#REF!</v>
      </c>
      <c r="CJ78" t="e">
        <f>AND(NhatkyTon!#REF!,"AAAAAH13b1c=")</f>
        <v>#REF!</v>
      </c>
      <c r="CK78" t="e">
        <f>AND(NhatkyTon!#REF!,"AAAAAH13b1g=")</f>
        <v>#REF!</v>
      </c>
      <c r="CL78" t="e">
        <f>AND(NhatkyTon!#REF!,"AAAAAH13b1k=")</f>
        <v>#REF!</v>
      </c>
      <c r="CM78" t="e">
        <f>AND(NhatkyTon!#REF!,"AAAAAH13b1o=")</f>
        <v>#REF!</v>
      </c>
      <c r="CN78" t="e">
        <f>AND(NhatkyTon!#REF!,"AAAAAH13b1s=")</f>
        <v>#REF!</v>
      </c>
      <c r="CO78" t="e">
        <f>AND(NhatkyTon!#REF!,"AAAAAH13b1w=")</f>
        <v>#REF!</v>
      </c>
      <c r="CP78" t="e">
        <f>AND(NhatkyTon!#REF!,"AAAAAH13b10=")</f>
        <v>#REF!</v>
      </c>
      <c r="CQ78" t="e">
        <f>AND(NhatkyTon!#REF!,"AAAAAH13b14=")</f>
        <v>#REF!</v>
      </c>
      <c r="CR78" t="e">
        <f>AND(NhatkyTon!#REF!,"AAAAAH13b18=")</f>
        <v>#REF!</v>
      </c>
      <c r="CS78" t="e">
        <f>AND(NhatkyTon!#REF!,"AAAAAH13b2A=")</f>
        <v>#REF!</v>
      </c>
      <c r="CT78" t="e">
        <f>AND(NhatkyTon!#REF!,"AAAAAH13b2E=")</f>
        <v>#REF!</v>
      </c>
      <c r="CU78" t="e">
        <f>AND(NhatkyTon!#REF!,"AAAAAH13b2I=")</f>
        <v>#REF!</v>
      </c>
      <c r="CV78" t="e">
        <f>AND(NhatkyTon!#REF!,"AAAAAH13b2M=")</f>
        <v>#REF!</v>
      </c>
      <c r="CW78" t="e">
        <f>AND(NhatkyTon!#REF!,"AAAAAH13b2Q=")</f>
        <v>#REF!</v>
      </c>
      <c r="CX78" t="e">
        <f>AND(NhatkyTon!#REF!,"AAAAAH13b2U=")</f>
        <v>#REF!</v>
      </c>
      <c r="CY78" t="e">
        <f>AND(NhatkyTon!#REF!,"AAAAAH13b2Y=")</f>
        <v>#REF!</v>
      </c>
      <c r="CZ78" t="e">
        <f>AND(NhatkyTon!#REF!,"AAAAAH13b2c=")</f>
        <v>#REF!</v>
      </c>
      <c r="DA78" t="e">
        <f>AND(NhatkyTon!#REF!,"AAAAAH13b2g=")</f>
        <v>#REF!</v>
      </c>
      <c r="DB78" t="e">
        <f>AND(NhatkyTon!#REF!,"AAAAAH13b2k=")</f>
        <v>#REF!</v>
      </c>
      <c r="DC78" t="e">
        <f>AND(NhatkyTon!#REF!,"AAAAAH13b2o=")</f>
        <v>#REF!</v>
      </c>
      <c r="DD78" t="e">
        <f>AND(NhatkyTon!#REF!,"AAAAAH13b2s=")</f>
        <v>#REF!</v>
      </c>
      <c r="DE78" t="e">
        <f>AND(NhatkyTon!#REF!,"AAAAAH13b2w=")</f>
        <v>#REF!</v>
      </c>
      <c r="DF78" t="e">
        <f>AND(NhatkyTon!#REF!,"AAAAAH13b20=")</f>
        <v>#REF!</v>
      </c>
      <c r="DG78" t="e">
        <f>AND(NhatkyTon!#REF!,"AAAAAH13b24=")</f>
        <v>#REF!</v>
      </c>
      <c r="DH78" t="e">
        <f>AND(NhatkyTon!#REF!,"AAAAAH13b28=")</f>
        <v>#REF!</v>
      </c>
      <c r="DI78" t="e">
        <f>AND(NhatkyTon!#REF!,"AAAAAH13b3A=")</f>
        <v>#REF!</v>
      </c>
      <c r="DJ78" t="e">
        <f>AND(NhatkyTon!#REF!,"AAAAAH13b3E=")</f>
        <v>#REF!</v>
      </c>
      <c r="DK78" t="e">
        <f>AND(NhatkyTon!#REF!,"AAAAAH13b3I=")</f>
        <v>#REF!</v>
      </c>
      <c r="DL78" t="e">
        <f>AND(NhatkyTon!#REF!,"AAAAAH13b3M=")</f>
        <v>#REF!</v>
      </c>
      <c r="DM78" t="e">
        <f>AND(NhatkyTon!#REF!,"AAAAAH13b3Q=")</f>
        <v>#REF!</v>
      </c>
      <c r="DN78" t="e">
        <f>AND(NhatkyTon!#REF!,"AAAAAH13b3U=")</f>
        <v>#REF!</v>
      </c>
      <c r="DO78" t="e">
        <f>AND(NhatkyTon!#REF!,"AAAAAH13b3Y=")</f>
        <v>#REF!</v>
      </c>
      <c r="DP78" t="e">
        <f>AND(NhatkyTon!#REF!,"AAAAAH13b3c=")</f>
        <v>#REF!</v>
      </c>
      <c r="DQ78" t="e">
        <f>IF(NhatkyTon!#REF!,"AAAAAH13b3g=",0)</f>
        <v>#REF!</v>
      </c>
      <c r="DR78" t="e">
        <f>AND(NhatkyTon!#REF!,"AAAAAH13b3k=")</f>
        <v>#REF!</v>
      </c>
      <c r="DS78" t="e">
        <f>AND(NhatkyTon!#REF!,"AAAAAH13b3o=")</f>
        <v>#REF!</v>
      </c>
      <c r="DT78" t="e">
        <f>AND(NhatkyTon!#REF!,"AAAAAH13b3s=")</f>
        <v>#REF!</v>
      </c>
      <c r="DU78" t="e">
        <f>AND(NhatkyTon!#REF!,"AAAAAH13b3w=")</f>
        <v>#REF!</v>
      </c>
      <c r="DV78" t="e">
        <f>AND(NhatkyTon!#REF!,"AAAAAH13b30=")</f>
        <v>#REF!</v>
      </c>
      <c r="DW78" t="e">
        <f>AND(NhatkyTon!#REF!,"AAAAAH13b34=")</f>
        <v>#REF!</v>
      </c>
      <c r="DX78" t="e">
        <f>AND(NhatkyTon!#REF!,"AAAAAH13b38=")</f>
        <v>#REF!</v>
      </c>
      <c r="DY78" t="e">
        <f>AND(NhatkyTon!#REF!,"AAAAAH13b4A=")</f>
        <v>#REF!</v>
      </c>
      <c r="DZ78" t="e">
        <f>AND(NhatkyTon!#REF!,"AAAAAH13b4E=")</f>
        <v>#REF!</v>
      </c>
      <c r="EA78" t="e">
        <f>AND(NhatkyTon!#REF!,"AAAAAH13b4I=")</f>
        <v>#REF!</v>
      </c>
      <c r="EB78" t="e">
        <f>AND(NhatkyTon!#REF!,"AAAAAH13b4M=")</f>
        <v>#REF!</v>
      </c>
      <c r="EC78" t="e">
        <f>AND(NhatkyTon!#REF!,"AAAAAH13b4Q=")</f>
        <v>#REF!</v>
      </c>
      <c r="ED78" t="e">
        <f>AND(NhatkyTon!#REF!,"AAAAAH13b4U=")</f>
        <v>#REF!</v>
      </c>
      <c r="EE78" t="e">
        <f>AND(NhatkyTon!#REF!,"AAAAAH13b4Y=")</f>
        <v>#REF!</v>
      </c>
      <c r="EF78" t="e">
        <f>AND(NhatkyTon!#REF!,"AAAAAH13b4c=")</f>
        <v>#REF!</v>
      </c>
      <c r="EG78" t="e">
        <f>AND(NhatkyTon!#REF!,"AAAAAH13b4g=")</f>
        <v>#REF!</v>
      </c>
      <c r="EH78" t="e">
        <f>AND(NhatkyTon!#REF!,"AAAAAH13b4k=")</f>
        <v>#REF!</v>
      </c>
      <c r="EI78" t="e">
        <f>AND(NhatkyTon!#REF!,"AAAAAH13b4o=")</f>
        <v>#REF!</v>
      </c>
      <c r="EJ78" t="e">
        <f>AND(NhatkyTon!#REF!,"AAAAAH13b4s=")</f>
        <v>#REF!</v>
      </c>
      <c r="EK78" t="e">
        <f>AND(NhatkyTon!#REF!,"AAAAAH13b4w=")</f>
        <v>#REF!</v>
      </c>
      <c r="EL78" t="e">
        <f>AND(NhatkyTon!#REF!,"AAAAAH13b40=")</f>
        <v>#REF!</v>
      </c>
      <c r="EM78" t="e">
        <f>AND(NhatkyTon!#REF!,"AAAAAH13b44=")</f>
        <v>#REF!</v>
      </c>
      <c r="EN78" t="e">
        <f>AND(NhatkyTon!#REF!,"AAAAAH13b48=")</f>
        <v>#REF!</v>
      </c>
      <c r="EO78" t="e">
        <f>AND(NhatkyTon!#REF!,"AAAAAH13b5A=")</f>
        <v>#REF!</v>
      </c>
      <c r="EP78" t="e">
        <f>AND(NhatkyTon!#REF!,"AAAAAH13b5E=")</f>
        <v>#REF!</v>
      </c>
      <c r="EQ78" t="e">
        <f>AND(NhatkyTon!#REF!,"AAAAAH13b5I=")</f>
        <v>#REF!</v>
      </c>
      <c r="ER78" t="e">
        <f>AND(NhatkyTon!#REF!,"AAAAAH13b5M=")</f>
        <v>#REF!</v>
      </c>
      <c r="ES78" t="e">
        <f>AND(NhatkyTon!#REF!,"AAAAAH13b5Q=")</f>
        <v>#REF!</v>
      </c>
      <c r="ET78" t="e">
        <f>AND(NhatkyTon!#REF!,"AAAAAH13b5U=")</f>
        <v>#REF!</v>
      </c>
      <c r="EU78" t="e">
        <f>AND(NhatkyTon!#REF!,"AAAAAH13b5Y=")</f>
        <v>#REF!</v>
      </c>
      <c r="EV78" t="e">
        <f>AND(NhatkyTon!#REF!,"AAAAAH13b5c=")</f>
        <v>#REF!</v>
      </c>
      <c r="EW78" t="e">
        <f>AND(NhatkyTon!#REF!,"AAAAAH13b5g=")</f>
        <v>#REF!</v>
      </c>
      <c r="EX78" t="e">
        <f>AND(NhatkyTon!#REF!,"AAAAAH13b5k=")</f>
        <v>#REF!</v>
      </c>
      <c r="EY78" t="e">
        <f>AND(NhatkyTon!#REF!,"AAAAAH13b5o=")</f>
        <v>#REF!</v>
      </c>
      <c r="EZ78" t="e">
        <f>IF(NhatkyTon!#REF!,"AAAAAH13b5s=",0)</f>
        <v>#REF!</v>
      </c>
      <c r="FA78" t="e">
        <f>AND(NhatkyTon!#REF!,"AAAAAH13b5w=")</f>
        <v>#REF!</v>
      </c>
      <c r="FB78" t="e">
        <f>AND(NhatkyTon!#REF!,"AAAAAH13b50=")</f>
        <v>#REF!</v>
      </c>
      <c r="FC78" t="e">
        <f>AND(NhatkyTon!#REF!,"AAAAAH13b54=")</f>
        <v>#REF!</v>
      </c>
      <c r="FD78" t="e">
        <f>AND(NhatkyTon!#REF!,"AAAAAH13b58=")</f>
        <v>#REF!</v>
      </c>
      <c r="FE78" t="e">
        <f>AND(NhatkyTon!#REF!,"AAAAAH13b6A=")</f>
        <v>#REF!</v>
      </c>
      <c r="FF78" t="e">
        <f>AND(NhatkyTon!#REF!,"AAAAAH13b6E=")</f>
        <v>#REF!</v>
      </c>
      <c r="FG78" t="e">
        <f>AND(NhatkyTon!#REF!,"AAAAAH13b6I=")</f>
        <v>#REF!</v>
      </c>
      <c r="FH78" t="e">
        <f>AND(NhatkyTon!#REF!,"AAAAAH13b6M=")</f>
        <v>#REF!</v>
      </c>
      <c r="FI78" t="e">
        <f>AND(NhatkyTon!#REF!,"AAAAAH13b6Q=")</f>
        <v>#REF!</v>
      </c>
      <c r="FJ78" t="e">
        <f>AND(NhatkyTon!#REF!,"AAAAAH13b6U=")</f>
        <v>#REF!</v>
      </c>
      <c r="FK78" t="e">
        <f>AND(NhatkyTon!#REF!,"AAAAAH13b6Y=")</f>
        <v>#REF!</v>
      </c>
      <c r="FL78" t="e">
        <f>AND(NhatkyTon!#REF!,"AAAAAH13b6c=")</f>
        <v>#REF!</v>
      </c>
      <c r="FM78" t="e">
        <f>AND(NhatkyTon!#REF!,"AAAAAH13b6g=")</f>
        <v>#REF!</v>
      </c>
      <c r="FN78" t="e">
        <f>AND(NhatkyTon!#REF!,"AAAAAH13b6k=")</f>
        <v>#REF!</v>
      </c>
      <c r="FO78" t="e">
        <f>AND(NhatkyTon!#REF!,"AAAAAH13b6o=")</f>
        <v>#REF!</v>
      </c>
      <c r="FP78" t="e">
        <f>AND(NhatkyTon!#REF!,"AAAAAH13b6s=")</f>
        <v>#REF!</v>
      </c>
      <c r="FQ78" t="e">
        <f>AND(NhatkyTon!#REF!,"AAAAAH13b6w=")</f>
        <v>#REF!</v>
      </c>
      <c r="FR78" t="e">
        <f>AND(NhatkyTon!#REF!,"AAAAAH13b60=")</f>
        <v>#REF!</v>
      </c>
      <c r="FS78" t="e">
        <f>AND(NhatkyTon!#REF!,"AAAAAH13b64=")</f>
        <v>#REF!</v>
      </c>
      <c r="FT78" t="e">
        <f>AND(NhatkyTon!#REF!,"AAAAAH13b68=")</f>
        <v>#REF!</v>
      </c>
      <c r="FU78" t="e">
        <f>AND(NhatkyTon!#REF!,"AAAAAH13b7A=")</f>
        <v>#REF!</v>
      </c>
      <c r="FV78" t="e">
        <f>AND(NhatkyTon!#REF!,"AAAAAH13b7E=")</f>
        <v>#REF!</v>
      </c>
      <c r="FW78" t="e">
        <f>AND(NhatkyTon!#REF!,"AAAAAH13b7I=")</f>
        <v>#REF!</v>
      </c>
      <c r="FX78" t="e">
        <f>AND(NhatkyTon!#REF!,"AAAAAH13b7M=")</f>
        <v>#REF!</v>
      </c>
      <c r="FY78" t="e">
        <f>AND(NhatkyTon!#REF!,"AAAAAH13b7Q=")</f>
        <v>#REF!</v>
      </c>
      <c r="FZ78" t="e">
        <f>AND(NhatkyTon!#REF!,"AAAAAH13b7U=")</f>
        <v>#REF!</v>
      </c>
      <c r="GA78" t="e">
        <f>AND(NhatkyTon!#REF!,"AAAAAH13b7Y=")</f>
        <v>#REF!</v>
      </c>
      <c r="GB78" t="e">
        <f>AND(NhatkyTon!#REF!,"AAAAAH13b7c=")</f>
        <v>#REF!</v>
      </c>
      <c r="GC78" t="e">
        <f>AND(NhatkyTon!#REF!,"AAAAAH13b7g=")</f>
        <v>#REF!</v>
      </c>
      <c r="GD78" t="e">
        <f>AND(NhatkyTon!#REF!,"AAAAAH13b7k=")</f>
        <v>#REF!</v>
      </c>
      <c r="GE78" t="e">
        <f>AND(NhatkyTon!#REF!,"AAAAAH13b7o=")</f>
        <v>#REF!</v>
      </c>
      <c r="GF78" t="e">
        <f>AND(NhatkyTon!#REF!,"AAAAAH13b7s=")</f>
        <v>#REF!</v>
      </c>
      <c r="GG78" t="e">
        <f>AND(NhatkyTon!#REF!,"AAAAAH13b7w=")</f>
        <v>#REF!</v>
      </c>
      <c r="GH78" t="e">
        <f>AND(NhatkyTon!#REF!,"AAAAAH13b70=")</f>
        <v>#REF!</v>
      </c>
      <c r="GI78" t="e">
        <f>IF(NhatkyTon!#REF!,"AAAAAH13b74=",0)</f>
        <v>#REF!</v>
      </c>
      <c r="GJ78" t="e">
        <f>AND(NhatkyTon!#REF!,"AAAAAH13b78=")</f>
        <v>#REF!</v>
      </c>
      <c r="GK78" t="e">
        <f>AND(NhatkyTon!#REF!,"AAAAAH13b8A=")</f>
        <v>#REF!</v>
      </c>
      <c r="GL78" t="e">
        <f>AND(NhatkyTon!#REF!,"AAAAAH13b8E=")</f>
        <v>#REF!</v>
      </c>
      <c r="GM78" t="e">
        <f>AND(NhatkyTon!#REF!,"AAAAAH13b8I=")</f>
        <v>#REF!</v>
      </c>
      <c r="GN78" t="e">
        <f>AND(NhatkyTon!#REF!,"AAAAAH13b8M=")</f>
        <v>#REF!</v>
      </c>
      <c r="GO78" t="e">
        <f>AND(NhatkyTon!#REF!,"AAAAAH13b8Q=")</f>
        <v>#REF!</v>
      </c>
      <c r="GP78" t="e">
        <f>AND(NhatkyTon!#REF!,"AAAAAH13b8U=")</f>
        <v>#REF!</v>
      </c>
      <c r="GQ78" t="e">
        <f>AND(NhatkyTon!#REF!,"AAAAAH13b8Y=")</f>
        <v>#REF!</v>
      </c>
      <c r="GR78" t="e">
        <f>AND(NhatkyTon!#REF!,"AAAAAH13b8c=")</f>
        <v>#REF!</v>
      </c>
      <c r="GS78" t="e">
        <f>AND(NhatkyTon!#REF!,"AAAAAH13b8g=")</f>
        <v>#REF!</v>
      </c>
      <c r="GT78" t="e">
        <f>AND(NhatkyTon!#REF!,"AAAAAH13b8k=")</f>
        <v>#REF!</v>
      </c>
      <c r="GU78" t="e">
        <f>AND(NhatkyTon!#REF!,"AAAAAH13b8o=")</f>
        <v>#REF!</v>
      </c>
      <c r="GV78" t="e">
        <f>AND(NhatkyTon!#REF!,"AAAAAH13b8s=")</f>
        <v>#REF!</v>
      </c>
      <c r="GW78" t="e">
        <f>AND(NhatkyTon!#REF!,"AAAAAH13b8w=")</f>
        <v>#REF!</v>
      </c>
      <c r="GX78" t="e">
        <f>AND(NhatkyTon!#REF!,"AAAAAH13b80=")</f>
        <v>#REF!</v>
      </c>
      <c r="GY78" t="e">
        <f>AND(NhatkyTon!#REF!,"AAAAAH13b84=")</f>
        <v>#REF!</v>
      </c>
      <c r="GZ78" t="e">
        <f>AND(NhatkyTon!#REF!,"AAAAAH13b88=")</f>
        <v>#REF!</v>
      </c>
      <c r="HA78" t="e">
        <f>AND(NhatkyTon!#REF!,"AAAAAH13b9A=")</f>
        <v>#REF!</v>
      </c>
      <c r="HB78" t="e">
        <f>AND(NhatkyTon!#REF!,"AAAAAH13b9E=")</f>
        <v>#REF!</v>
      </c>
      <c r="HC78" t="e">
        <f>AND(NhatkyTon!#REF!,"AAAAAH13b9I=")</f>
        <v>#REF!</v>
      </c>
      <c r="HD78" t="e">
        <f>AND(NhatkyTon!#REF!,"AAAAAH13b9M=")</f>
        <v>#REF!</v>
      </c>
      <c r="HE78" t="e">
        <f>AND(NhatkyTon!#REF!,"AAAAAH13b9Q=")</f>
        <v>#REF!</v>
      </c>
      <c r="HF78" t="e">
        <f>AND(NhatkyTon!#REF!,"AAAAAH13b9U=")</f>
        <v>#REF!</v>
      </c>
      <c r="HG78" t="e">
        <f>AND(NhatkyTon!#REF!,"AAAAAH13b9Y=")</f>
        <v>#REF!</v>
      </c>
      <c r="HH78" t="e">
        <f>AND(NhatkyTon!#REF!,"AAAAAH13b9c=")</f>
        <v>#REF!</v>
      </c>
      <c r="HI78" t="e">
        <f>AND(NhatkyTon!#REF!,"AAAAAH13b9g=")</f>
        <v>#REF!</v>
      </c>
      <c r="HJ78" t="e">
        <f>AND(NhatkyTon!#REF!,"AAAAAH13b9k=")</f>
        <v>#REF!</v>
      </c>
      <c r="HK78" t="e">
        <f>AND(NhatkyTon!#REF!,"AAAAAH13b9o=")</f>
        <v>#REF!</v>
      </c>
      <c r="HL78" t="e">
        <f>AND(NhatkyTon!#REF!,"AAAAAH13b9s=")</f>
        <v>#REF!</v>
      </c>
      <c r="HM78" t="e">
        <f>AND(NhatkyTon!#REF!,"AAAAAH13b9w=")</f>
        <v>#REF!</v>
      </c>
      <c r="HN78" t="e">
        <f>AND(NhatkyTon!#REF!,"AAAAAH13b90=")</f>
        <v>#REF!</v>
      </c>
      <c r="HO78" t="e">
        <f>AND(NhatkyTon!#REF!,"AAAAAH13b94=")</f>
        <v>#REF!</v>
      </c>
      <c r="HP78" t="e">
        <f>AND(NhatkyTon!#REF!,"AAAAAH13b98=")</f>
        <v>#REF!</v>
      </c>
      <c r="HQ78" t="e">
        <f>AND(NhatkyTon!#REF!,"AAAAAH13b+A=")</f>
        <v>#REF!</v>
      </c>
      <c r="HR78" t="e">
        <f>IF(NhatkyTon!#REF!,"AAAAAH13b+E=",0)</f>
        <v>#REF!</v>
      </c>
      <c r="HS78" t="e">
        <f>AND(NhatkyTon!#REF!,"AAAAAH13b+I=")</f>
        <v>#REF!</v>
      </c>
      <c r="HT78" t="e">
        <f>AND(NhatkyTon!#REF!,"AAAAAH13b+M=")</f>
        <v>#REF!</v>
      </c>
      <c r="HU78" t="e">
        <f>AND(NhatkyTon!#REF!,"AAAAAH13b+Q=")</f>
        <v>#REF!</v>
      </c>
      <c r="HV78" t="e">
        <f>AND(NhatkyTon!#REF!,"AAAAAH13b+U=")</f>
        <v>#REF!</v>
      </c>
      <c r="HW78" t="e">
        <f>AND(NhatkyTon!#REF!,"AAAAAH13b+Y=")</f>
        <v>#REF!</v>
      </c>
      <c r="HX78" t="e">
        <f>AND(NhatkyTon!#REF!,"AAAAAH13b+c=")</f>
        <v>#REF!</v>
      </c>
      <c r="HY78" t="e">
        <f>AND(NhatkyTon!#REF!,"AAAAAH13b+g=")</f>
        <v>#REF!</v>
      </c>
      <c r="HZ78" t="e">
        <f>AND(NhatkyTon!#REF!,"AAAAAH13b+k=")</f>
        <v>#REF!</v>
      </c>
      <c r="IA78" t="e">
        <f>AND(NhatkyTon!#REF!,"AAAAAH13b+o=")</f>
        <v>#REF!</v>
      </c>
      <c r="IB78" t="e">
        <f>AND(NhatkyTon!#REF!,"AAAAAH13b+s=")</f>
        <v>#REF!</v>
      </c>
      <c r="IC78" t="e">
        <f>AND(NhatkyTon!#REF!,"AAAAAH13b+w=")</f>
        <v>#REF!</v>
      </c>
      <c r="ID78" t="e">
        <f>AND(NhatkyTon!#REF!,"AAAAAH13b+0=")</f>
        <v>#REF!</v>
      </c>
      <c r="IE78" t="e">
        <f>AND(NhatkyTon!#REF!,"AAAAAH13b+4=")</f>
        <v>#REF!</v>
      </c>
      <c r="IF78" t="e">
        <f>AND(NhatkyTon!#REF!,"AAAAAH13b+8=")</f>
        <v>#REF!</v>
      </c>
      <c r="IG78" t="e">
        <f>AND(NhatkyTon!#REF!,"AAAAAH13b/A=")</f>
        <v>#REF!</v>
      </c>
      <c r="IH78" t="e">
        <f>AND(NhatkyTon!#REF!,"AAAAAH13b/E=")</f>
        <v>#REF!</v>
      </c>
      <c r="II78" t="e">
        <f>AND(NhatkyTon!#REF!,"AAAAAH13b/I=")</f>
        <v>#REF!</v>
      </c>
      <c r="IJ78" t="e">
        <f>AND(NhatkyTon!#REF!,"AAAAAH13b/M=")</f>
        <v>#REF!</v>
      </c>
      <c r="IK78" t="e">
        <f>AND(NhatkyTon!#REF!,"AAAAAH13b/Q=")</f>
        <v>#REF!</v>
      </c>
      <c r="IL78" t="e">
        <f>AND(NhatkyTon!#REF!,"AAAAAH13b/U=")</f>
        <v>#REF!</v>
      </c>
      <c r="IM78" t="e">
        <f>AND(NhatkyTon!#REF!,"AAAAAH13b/Y=")</f>
        <v>#REF!</v>
      </c>
      <c r="IN78" t="e">
        <f>AND(NhatkyTon!#REF!,"AAAAAH13b/c=")</f>
        <v>#REF!</v>
      </c>
      <c r="IO78" t="e">
        <f>AND(NhatkyTon!#REF!,"AAAAAH13b/g=")</f>
        <v>#REF!</v>
      </c>
      <c r="IP78" t="e">
        <f>AND(NhatkyTon!#REF!,"AAAAAH13b/k=")</f>
        <v>#REF!</v>
      </c>
      <c r="IQ78" t="e">
        <f>AND(NhatkyTon!#REF!,"AAAAAH13b/o=")</f>
        <v>#REF!</v>
      </c>
      <c r="IR78" t="e">
        <f>AND(NhatkyTon!#REF!,"AAAAAH13b/s=")</f>
        <v>#REF!</v>
      </c>
      <c r="IS78" t="e">
        <f>AND(NhatkyTon!#REF!,"AAAAAH13b/w=")</f>
        <v>#REF!</v>
      </c>
      <c r="IT78" t="e">
        <f>AND(NhatkyTon!#REF!,"AAAAAH13b/0=")</f>
        <v>#REF!</v>
      </c>
      <c r="IU78" t="e">
        <f>AND(NhatkyTon!#REF!,"AAAAAH13b/4=")</f>
        <v>#REF!</v>
      </c>
      <c r="IV78" t="e">
        <f>AND(NhatkyTon!#REF!,"AAAAAH13b/8=")</f>
        <v>#REF!</v>
      </c>
    </row>
    <row r="79" spans="1:256">
      <c r="A79" t="e">
        <f>AND(NhatkyTon!#REF!,"AAAAAH//TwA=")</f>
        <v>#REF!</v>
      </c>
      <c r="B79" t="e">
        <f>AND(NhatkyTon!#REF!,"AAAAAH//TwE=")</f>
        <v>#REF!</v>
      </c>
      <c r="C79" t="e">
        <f>AND(NhatkyTon!#REF!,"AAAAAH//TwI=")</f>
        <v>#REF!</v>
      </c>
      <c r="D79" t="e">
        <f>AND(NhatkyTon!#REF!,"AAAAAH//TwM=")</f>
        <v>#REF!</v>
      </c>
      <c r="E79" t="e">
        <f>IF(NhatkyTon!#REF!,"AAAAAH//TwQ=",0)</f>
        <v>#REF!</v>
      </c>
      <c r="F79" t="e">
        <f>AND(NhatkyTon!#REF!,"AAAAAH//TwU=")</f>
        <v>#REF!</v>
      </c>
      <c r="G79" t="e">
        <f>AND(NhatkyTon!#REF!,"AAAAAH//TwY=")</f>
        <v>#REF!</v>
      </c>
      <c r="H79" t="e">
        <f>AND(NhatkyTon!#REF!,"AAAAAH//Twc=")</f>
        <v>#REF!</v>
      </c>
      <c r="I79" t="e">
        <f>AND(NhatkyTon!#REF!,"AAAAAH//Twg=")</f>
        <v>#REF!</v>
      </c>
      <c r="J79" t="e">
        <f>AND(NhatkyTon!#REF!,"AAAAAH//Twk=")</f>
        <v>#REF!</v>
      </c>
      <c r="K79" t="e">
        <f>AND(NhatkyTon!#REF!,"AAAAAH//Two=")</f>
        <v>#REF!</v>
      </c>
      <c r="L79" t="e">
        <f>AND(NhatkyTon!#REF!,"AAAAAH//Tws=")</f>
        <v>#REF!</v>
      </c>
      <c r="M79" t="e">
        <f>AND(NhatkyTon!#REF!,"AAAAAH//Tww=")</f>
        <v>#REF!</v>
      </c>
      <c r="N79" t="e">
        <f>AND(NhatkyTon!#REF!,"AAAAAH//Tw0=")</f>
        <v>#REF!</v>
      </c>
      <c r="O79" t="e">
        <f>AND(NhatkyTon!#REF!,"AAAAAH//Tw4=")</f>
        <v>#REF!</v>
      </c>
      <c r="P79" t="e">
        <f>AND(NhatkyTon!#REF!,"AAAAAH//Tw8=")</f>
        <v>#REF!</v>
      </c>
      <c r="Q79" t="e">
        <f>AND(NhatkyTon!#REF!,"AAAAAH//TxA=")</f>
        <v>#REF!</v>
      </c>
      <c r="R79" t="e">
        <f>AND(NhatkyTon!#REF!,"AAAAAH//TxE=")</f>
        <v>#REF!</v>
      </c>
      <c r="S79" t="e">
        <f>AND(NhatkyTon!#REF!,"AAAAAH//TxI=")</f>
        <v>#REF!</v>
      </c>
      <c r="T79" t="e">
        <f>AND(NhatkyTon!#REF!,"AAAAAH//TxM=")</f>
        <v>#REF!</v>
      </c>
      <c r="U79" t="e">
        <f>AND(NhatkyTon!#REF!,"AAAAAH//TxQ=")</f>
        <v>#REF!</v>
      </c>
      <c r="V79" t="e">
        <f>AND(NhatkyTon!#REF!,"AAAAAH//TxU=")</f>
        <v>#REF!</v>
      </c>
      <c r="W79" t="e">
        <f>AND(NhatkyTon!#REF!,"AAAAAH//TxY=")</f>
        <v>#REF!</v>
      </c>
      <c r="X79" t="e">
        <f>AND(NhatkyTon!#REF!,"AAAAAH//Txc=")</f>
        <v>#REF!</v>
      </c>
      <c r="Y79" t="e">
        <f>AND(NhatkyTon!#REF!,"AAAAAH//Txg=")</f>
        <v>#REF!</v>
      </c>
      <c r="Z79" t="e">
        <f>AND(NhatkyTon!#REF!,"AAAAAH//Txk=")</f>
        <v>#REF!</v>
      </c>
      <c r="AA79" t="e">
        <f>AND(NhatkyTon!#REF!,"AAAAAH//Txo=")</f>
        <v>#REF!</v>
      </c>
      <c r="AB79" t="e">
        <f>AND(NhatkyTon!#REF!,"AAAAAH//Txs=")</f>
        <v>#REF!</v>
      </c>
      <c r="AC79" t="e">
        <f>AND(NhatkyTon!#REF!,"AAAAAH//Txw=")</f>
        <v>#REF!</v>
      </c>
      <c r="AD79" t="e">
        <f>AND(NhatkyTon!#REF!,"AAAAAH//Tx0=")</f>
        <v>#REF!</v>
      </c>
      <c r="AE79" t="e">
        <f>AND(NhatkyTon!#REF!,"AAAAAH//Tx4=")</f>
        <v>#REF!</v>
      </c>
      <c r="AF79" t="e">
        <f>AND(NhatkyTon!#REF!,"AAAAAH//Tx8=")</f>
        <v>#REF!</v>
      </c>
      <c r="AG79" t="e">
        <f>AND(NhatkyTon!#REF!,"AAAAAH//TyA=")</f>
        <v>#REF!</v>
      </c>
      <c r="AH79" t="e">
        <f>AND(NhatkyTon!#REF!,"AAAAAH//TyE=")</f>
        <v>#REF!</v>
      </c>
      <c r="AI79" t="e">
        <f>AND(NhatkyTon!#REF!,"AAAAAH//TyI=")</f>
        <v>#REF!</v>
      </c>
      <c r="AJ79" t="e">
        <f>AND(NhatkyTon!#REF!,"AAAAAH//TyM=")</f>
        <v>#REF!</v>
      </c>
      <c r="AK79" t="e">
        <f>AND(NhatkyTon!#REF!,"AAAAAH//TyQ=")</f>
        <v>#REF!</v>
      </c>
      <c r="AL79" t="e">
        <f>AND(NhatkyTon!#REF!,"AAAAAH//TyU=")</f>
        <v>#REF!</v>
      </c>
      <c r="AM79" t="e">
        <f>AND(NhatkyTon!#REF!,"AAAAAH//TyY=")</f>
        <v>#REF!</v>
      </c>
      <c r="AN79" t="e">
        <f>IF(NhatkyTon!#REF!,"AAAAAH//Tyc=",0)</f>
        <v>#REF!</v>
      </c>
      <c r="AO79" t="e">
        <f>AND(NhatkyTon!#REF!,"AAAAAH//Tyg=")</f>
        <v>#REF!</v>
      </c>
      <c r="AP79" t="e">
        <f>AND(NhatkyTon!#REF!,"AAAAAH//Tyk=")</f>
        <v>#REF!</v>
      </c>
      <c r="AQ79" t="e">
        <f>AND(NhatkyTon!#REF!,"AAAAAH//Tyo=")</f>
        <v>#REF!</v>
      </c>
      <c r="AR79" t="e">
        <f>AND(NhatkyTon!#REF!,"AAAAAH//Tys=")</f>
        <v>#REF!</v>
      </c>
      <c r="AS79" t="e">
        <f>AND(NhatkyTon!#REF!,"AAAAAH//Tyw=")</f>
        <v>#REF!</v>
      </c>
      <c r="AT79" t="e">
        <f>AND(NhatkyTon!#REF!,"AAAAAH//Ty0=")</f>
        <v>#REF!</v>
      </c>
      <c r="AU79" t="e">
        <f>AND(NhatkyTon!#REF!,"AAAAAH//Ty4=")</f>
        <v>#REF!</v>
      </c>
      <c r="AV79" t="e">
        <f>AND(NhatkyTon!#REF!,"AAAAAH//Ty8=")</f>
        <v>#REF!</v>
      </c>
      <c r="AW79" t="e">
        <f>AND(NhatkyTon!#REF!,"AAAAAH//TzA=")</f>
        <v>#REF!</v>
      </c>
      <c r="AX79" t="e">
        <f>AND(NhatkyTon!#REF!,"AAAAAH//TzE=")</f>
        <v>#REF!</v>
      </c>
      <c r="AY79" t="e">
        <f>AND(NhatkyTon!#REF!,"AAAAAH//TzI=")</f>
        <v>#REF!</v>
      </c>
      <c r="AZ79" t="e">
        <f>AND(NhatkyTon!#REF!,"AAAAAH//TzM=")</f>
        <v>#REF!</v>
      </c>
      <c r="BA79" t="e">
        <f>AND(NhatkyTon!#REF!,"AAAAAH//TzQ=")</f>
        <v>#REF!</v>
      </c>
      <c r="BB79" t="e">
        <f>AND(NhatkyTon!#REF!,"AAAAAH//TzU=")</f>
        <v>#REF!</v>
      </c>
      <c r="BC79" t="e">
        <f>AND(NhatkyTon!#REF!,"AAAAAH//TzY=")</f>
        <v>#REF!</v>
      </c>
      <c r="BD79" t="e">
        <f>AND(NhatkyTon!#REF!,"AAAAAH//Tzc=")</f>
        <v>#REF!</v>
      </c>
      <c r="BE79" t="e">
        <f>AND(NhatkyTon!#REF!,"AAAAAH//Tzg=")</f>
        <v>#REF!</v>
      </c>
      <c r="BF79" t="e">
        <f>AND(NhatkyTon!#REF!,"AAAAAH//Tzk=")</f>
        <v>#REF!</v>
      </c>
      <c r="BG79" t="e">
        <f>AND(NhatkyTon!#REF!,"AAAAAH//Tzo=")</f>
        <v>#REF!</v>
      </c>
      <c r="BH79" t="e">
        <f>AND(NhatkyTon!#REF!,"AAAAAH//Tzs=")</f>
        <v>#REF!</v>
      </c>
      <c r="BI79" t="e">
        <f>AND(NhatkyTon!#REF!,"AAAAAH//Tzw=")</f>
        <v>#REF!</v>
      </c>
      <c r="BJ79" t="e">
        <f>AND(NhatkyTon!#REF!,"AAAAAH//Tz0=")</f>
        <v>#REF!</v>
      </c>
      <c r="BK79" t="e">
        <f>AND(NhatkyTon!#REF!,"AAAAAH//Tz4=")</f>
        <v>#REF!</v>
      </c>
      <c r="BL79" t="e">
        <f>AND(NhatkyTon!#REF!,"AAAAAH//Tz8=")</f>
        <v>#REF!</v>
      </c>
      <c r="BM79" t="e">
        <f>AND(NhatkyTon!#REF!,"AAAAAH//T0A=")</f>
        <v>#REF!</v>
      </c>
      <c r="BN79" t="e">
        <f>AND(NhatkyTon!#REF!,"AAAAAH//T0E=")</f>
        <v>#REF!</v>
      </c>
      <c r="BO79" t="e">
        <f>AND(NhatkyTon!#REF!,"AAAAAH//T0I=")</f>
        <v>#REF!</v>
      </c>
      <c r="BP79" t="e">
        <f>AND(NhatkyTon!#REF!,"AAAAAH//T0M=")</f>
        <v>#REF!</v>
      </c>
      <c r="BQ79" t="e">
        <f>AND(NhatkyTon!#REF!,"AAAAAH//T0Q=")</f>
        <v>#REF!</v>
      </c>
      <c r="BR79" t="e">
        <f>AND(NhatkyTon!#REF!,"AAAAAH//T0U=")</f>
        <v>#REF!</v>
      </c>
      <c r="BS79" t="e">
        <f>AND(NhatkyTon!#REF!,"AAAAAH//T0Y=")</f>
        <v>#REF!</v>
      </c>
      <c r="BT79" t="e">
        <f>AND(NhatkyTon!#REF!,"AAAAAH//T0c=")</f>
        <v>#REF!</v>
      </c>
      <c r="BU79" t="e">
        <f>AND(NhatkyTon!#REF!,"AAAAAH//T0g=")</f>
        <v>#REF!</v>
      </c>
      <c r="BV79" t="e">
        <f>AND(NhatkyTon!#REF!,"AAAAAH//T0k=")</f>
        <v>#REF!</v>
      </c>
      <c r="BW79" t="e">
        <f>IF(NhatkyTon!#REF!,"AAAAAH//T0o=",0)</f>
        <v>#REF!</v>
      </c>
      <c r="BX79" t="e">
        <f>AND(NhatkyTon!#REF!,"AAAAAH//T0s=")</f>
        <v>#REF!</v>
      </c>
      <c r="BY79" t="e">
        <f>AND(NhatkyTon!#REF!,"AAAAAH//T0w=")</f>
        <v>#REF!</v>
      </c>
      <c r="BZ79" t="e">
        <f>AND(NhatkyTon!#REF!,"AAAAAH//T00=")</f>
        <v>#REF!</v>
      </c>
      <c r="CA79" t="e">
        <f>AND(NhatkyTon!#REF!,"AAAAAH//T04=")</f>
        <v>#REF!</v>
      </c>
      <c r="CB79" t="e">
        <f>AND(NhatkyTon!#REF!,"AAAAAH//T08=")</f>
        <v>#REF!</v>
      </c>
      <c r="CC79" t="e">
        <f>AND(NhatkyTon!#REF!,"AAAAAH//T1A=")</f>
        <v>#REF!</v>
      </c>
      <c r="CD79" t="e">
        <f>AND(NhatkyTon!#REF!,"AAAAAH//T1E=")</f>
        <v>#REF!</v>
      </c>
      <c r="CE79" t="e">
        <f>AND(NhatkyTon!#REF!,"AAAAAH//T1I=")</f>
        <v>#REF!</v>
      </c>
      <c r="CF79" t="e">
        <f>AND(NhatkyTon!#REF!,"AAAAAH//T1M=")</f>
        <v>#REF!</v>
      </c>
      <c r="CG79" t="e">
        <f>AND(NhatkyTon!#REF!,"AAAAAH//T1Q=")</f>
        <v>#REF!</v>
      </c>
      <c r="CH79" t="e">
        <f>AND(NhatkyTon!#REF!,"AAAAAH//T1U=")</f>
        <v>#REF!</v>
      </c>
      <c r="CI79" t="e">
        <f>AND(NhatkyTon!#REF!,"AAAAAH//T1Y=")</f>
        <v>#REF!</v>
      </c>
      <c r="CJ79" t="e">
        <f>AND(NhatkyTon!#REF!,"AAAAAH//T1c=")</f>
        <v>#REF!</v>
      </c>
      <c r="CK79" t="e">
        <f>AND(NhatkyTon!#REF!,"AAAAAH//T1g=")</f>
        <v>#REF!</v>
      </c>
      <c r="CL79" t="e">
        <f>AND(NhatkyTon!#REF!,"AAAAAH//T1k=")</f>
        <v>#REF!</v>
      </c>
      <c r="CM79" t="e">
        <f>AND(NhatkyTon!#REF!,"AAAAAH//T1o=")</f>
        <v>#REF!</v>
      </c>
      <c r="CN79" t="e">
        <f>AND(NhatkyTon!#REF!,"AAAAAH//T1s=")</f>
        <v>#REF!</v>
      </c>
      <c r="CO79" t="e">
        <f>AND(NhatkyTon!#REF!,"AAAAAH//T1w=")</f>
        <v>#REF!</v>
      </c>
      <c r="CP79" t="e">
        <f>AND(NhatkyTon!#REF!,"AAAAAH//T10=")</f>
        <v>#REF!</v>
      </c>
      <c r="CQ79" t="e">
        <f>AND(NhatkyTon!#REF!,"AAAAAH//T14=")</f>
        <v>#REF!</v>
      </c>
      <c r="CR79" t="e">
        <f>AND(NhatkyTon!#REF!,"AAAAAH//T18=")</f>
        <v>#REF!</v>
      </c>
      <c r="CS79" t="e">
        <f>AND(NhatkyTon!#REF!,"AAAAAH//T2A=")</f>
        <v>#REF!</v>
      </c>
      <c r="CT79" t="e">
        <f>AND(NhatkyTon!#REF!,"AAAAAH//T2E=")</f>
        <v>#REF!</v>
      </c>
      <c r="CU79" t="e">
        <f>AND(NhatkyTon!#REF!,"AAAAAH//T2I=")</f>
        <v>#REF!</v>
      </c>
      <c r="CV79" t="e">
        <f>AND(NhatkyTon!#REF!,"AAAAAH//T2M=")</f>
        <v>#REF!</v>
      </c>
      <c r="CW79" t="e">
        <f>AND(NhatkyTon!#REF!,"AAAAAH//T2Q=")</f>
        <v>#REF!</v>
      </c>
      <c r="CX79" t="e">
        <f>AND(NhatkyTon!#REF!,"AAAAAH//T2U=")</f>
        <v>#REF!</v>
      </c>
      <c r="CY79" t="e">
        <f>AND(NhatkyTon!#REF!,"AAAAAH//T2Y=")</f>
        <v>#REF!</v>
      </c>
      <c r="CZ79" t="e">
        <f>AND(NhatkyTon!#REF!,"AAAAAH//T2c=")</f>
        <v>#REF!</v>
      </c>
      <c r="DA79" t="e">
        <f>AND(NhatkyTon!#REF!,"AAAAAH//T2g=")</f>
        <v>#REF!</v>
      </c>
      <c r="DB79" t="e">
        <f>AND(NhatkyTon!#REF!,"AAAAAH//T2k=")</f>
        <v>#REF!</v>
      </c>
      <c r="DC79" t="e">
        <f>AND(NhatkyTon!#REF!,"AAAAAH//T2o=")</f>
        <v>#REF!</v>
      </c>
      <c r="DD79" t="e">
        <f>AND(NhatkyTon!#REF!,"AAAAAH//T2s=")</f>
        <v>#REF!</v>
      </c>
      <c r="DE79" t="e">
        <f>AND(NhatkyTon!#REF!,"AAAAAH//T2w=")</f>
        <v>#REF!</v>
      </c>
      <c r="DF79" t="e">
        <f>IF(NhatkyTon!#REF!,"AAAAAH//T20=",0)</f>
        <v>#REF!</v>
      </c>
      <c r="DG79" t="e">
        <f>AND(NhatkyTon!#REF!,"AAAAAH//T24=")</f>
        <v>#REF!</v>
      </c>
      <c r="DH79" t="e">
        <f>AND(NhatkyTon!#REF!,"AAAAAH//T28=")</f>
        <v>#REF!</v>
      </c>
      <c r="DI79" t="e">
        <f>AND(NhatkyTon!#REF!,"AAAAAH//T3A=")</f>
        <v>#REF!</v>
      </c>
      <c r="DJ79" t="e">
        <f>AND(NhatkyTon!#REF!,"AAAAAH//T3E=")</f>
        <v>#REF!</v>
      </c>
      <c r="DK79" t="e">
        <f>AND(NhatkyTon!#REF!,"AAAAAH//T3I=")</f>
        <v>#REF!</v>
      </c>
      <c r="DL79" t="e">
        <f>AND(NhatkyTon!#REF!,"AAAAAH//T3M=")</f>
        <v>#REF!</v>
      </c>
      <c r="DM79" t="e">
        <f>AND(NhatkyTon!#REF!,"AAAAAH//T3Q=")</f>
        <v>#REF!</v>
      </c>
      <c r="DN79" t="e">
        <f>AND(NhatkyTon!#REF!,"AAAAAH//T3U=")</f>
        <v>#REF!</v>
      </c>
      <c r="DO79" t="e">
        <f>AND(NhatkyTon!#REF!,"AAAAAH//T3Y=")</f>
        <v>#REF!</v>
      </c>
      <c r="DP79" t="e">
        <f>AND(NhatkyTon!#REF!,"AAAAAH//T3c=")</f>
        <v>#REF!</v>
      </c>
      <c r="DQ79" t="e">
        <f>AND(NhatkyTon!#REF!,"AAAAAH//T3g=")</f>
        <v>#REF!</v>
      </c>
      <c r="DR79" t="e">
        <f>AND(NhatkyTon!#REF!,"AAAAAH//T3k=")</f>
        <v>#REF!</v>
      </c>
      <c r="DS79" t="e">
        <f>AND(NhatkyTon!#REF!,"AAAAAH//T3o=")</f>
        <v>#REF!</v>
      </c>
      <c r="DT79" t="e">
        <f>AND(NhatkyTon!#REF!,"AAAAAH//T3s=")</f>
        <v>#REF!</v>
      </c>
      <c r="DU79" t="e">
        <f>AND(NhatkyTon!#REF!,"AAAAAH//T3w=")</f>
        <v>#REF!</v>
      </c>
      <c r="DV79" t="e">
        <f>AND(NhatkyTon!#REF!,"AAAAAH//T30=")</f>
        <v>#REF!</v>
      </c>
      <c r="DW79" t="e">
        <f>AND(NhatkyTon!#REF!,"AAAAAH//T34=")</f>
        <v>#REF!</v>
      </c>
      <c r="DX79" t="e">
        <f>AND(NhatkyTon!#REF!,"AAAAAH//T38=")</f>
        <v>#REF!</v>
      </c>
      <c r="DY79" t="e">
        <f>AND(NhatkyTon!#REF!,"AAAAAH//T4A=")</f>
        <v>#REF!</v>
      </c>
      <c r="DZ79" t="e">
        <f>AND(NhatkyTon!#REF!,"AAAAAH//T4E=")</f>
        <v>#REF!</v>
      </c>
      <c r="EA79" t="e">
        <f>AND(NhatkyTon!#REF!,"AAAAAH//T4I=")</f>
        <v>#REF!</v>
      </c>
      <c r="EB79" t="e">
        <f>AND(NhatkyTon!#REF!,"AAAAAH//T4M=")</f>
        <v>#REF!</v>
      </c>
      <c r="EC79" t="e">
        <f>AND(NhatkyTon!#REF!,"AAAAAH//T4Q=")</f>
        <v>#REF!</v>
      </c>
      <c r="ED79" t="e">
        <f>AND(NhatkyTon!#REF!,"AAAAAH//T4U=")</f>
        <v>#REF!</v>
      </c>
      <c r="EE79" t="e">
        <f>AND(NhatkyTon!#REF!,"AAAAAH//T4Y=")</f>
        <v>#REF!</v>
      </c>
      <c r="EF79" t="e">
        <f>AND(NhatkyTon!#REF!,"AAAAAH//T4c=")</f>
        <v>#REF!</v>
      </c>
      <c r="EG79" t="e">
        <f>AND(NhatkyTon!#REF!,"AAAAAH//T4g=")</f>
        <v>#REF!</v>
      </c>
      <c r="EH79" t="e">
        <f>AND(NhatkyTon!#REF!,"AAAAAH//T4k=")</f>
        <v>#REF!</v>
      </c>
      <c r="EI79" t="e">
        <f>AND(NhatkyTon!#REF!,"AAAAAH//T4o=")</f>
        <v>#REF!</v>
      </c>
      <c r="EJ79" t="e">
        <f>AND(NhatkyTon!#REF!,"AAAAAH//T4s=")</f>
        <v>#REF!</v>
      </c>
      <c r="EK79" t="e">
        <f>AND(NhatkyTon!#REF!,"AAAAAH//T4w=")</f>
        <v>#REF!</v>
      </c>
      <c r="EL79" t="e">
        <f>AND(NhatkyTon!#REF!,"AAAAAH//T40=")</f>
        <v>#REF!</v>
      </c>
      <c r="EM79" t="e">
        <f>AND(NhatkyTon!#REF!,"AAAAAH//T44=")</f>
        <v>#REF!</v>
      </c>
      <c r="EN79" t="e">
        <f>AND(NhatkyTon!#REF!,"AAAAAH//T48=")</f>
        <v>#REF!</v>
      </c>
      <c r="EO79" t="e">
        <f>IF(NhatkyTon!#REF!,"AAAAAH//T5A=",0)</f>
        <v>#REF!</v>
      </c>
      <c r="EP79" t="e">
        <f>AND(NhatkyTon!#REF!,"AAAAAH//T5E=")</f>
        <v>#REF!</v>
      </c>
      <c r="EQ79" t="e">
        <f>AND(NhatkyTon!#REF!,"AAAAAH//T5I=")</f>
        <v>#REF!</v>
      </c>
      <c r="ER79" t="e">
        <f>AND(NhatkyTon!#REF!,"AAAAAH//T5M=")</f>
        <v>#REF!</v>
      </c>
      <c r="ES79" t="e">
        <f>AND(NhatkyTon!#REF!,"AAAAAH//T5Q=")</f>
        <v>#REF!</v>
      </c>
      <c r="ET79" t="e">
        <f>AND(NhatkyTon!#REF!,"AAAAAH//T5U=")</f>
        <v>#REF!</v>
      </c>
      <c r="EU79" t="e">
        <f>AND(NhatkyTon!#REF!,"AAAAAH//T5Y=")</f>
        <v>#REF!</v>
      </c>
      <c r="EV79" t="e">
        <f>AND(NhatkyTon!#REF!,"AAAAAH//T5c=")</f>
        <v>#REF!</v>
      </c>
      <c r="EW79" t="e">
        <f>AND(NhatkyTon!#REF!,"AAAAAH//T5g=")</f>
        <v>#REF!</v>
      </c>
      <c r="EX79" t="e">
        <f>AND(NhatkyTon!#REF!,"AAAAAH//T5k=")</f>
        <v>#REF!</v>
      </c>
      <c r="EY79" t="e">
        <f>AND(NhatkyTon!#REF!,"AAAAAH//T5o=")</f>
        <v>#REF!</v>
      </c>
      <c r="EZ79" t="e">
        <f>AND(NhatkyTon!#REF!,"AAAAAH//T5s=")</f>
        <v>#REF!</v>
      </c>
      <c r="FA79" t="e">
        <f>AND(NhatkyTon!#REF!,"AAAAAH//T5w=")</f>
        <v>#REF!</v>
      </c>
      <c r="FB79" t="e">
        <f>AND(NhatkyTon!#REF!,"AAAAAH//T50=")</f>
        <v>#REF!</v>
      </c>
      <c r="FC79" t="e">
        <f>AND(NhatkyTon!#REF!,"AAAAAH//T54=")</f>
        <v>#REF!</v>
      </c>
      <c r="FD79" t="e">
        <f>AND(NhatkyTon!#REF!,"AAAAAH//T58=")</f>
        <v>#REF!</v>
      </c>
      <c r="FE79" t="e">
        <f>AND(NhatkyTon!#REF!,"AAAAAH//T6A=")</f>
        <v>#REF!</v>
      </c>
      <c r="FF79" t="e">
        <f>AND(NhatkyTon!#REF!,"AAAAAH//T6E=")</f>
        <v>#REF!</v>
      </c>
      <c r="FG79" t="e">
        <f>AND(NhatkyTon!#REF!,"AAAAAH//T6I=")</f>
        <v>#REF!</v>
      </c>
      <c r="FH79" t="e">
        <f>AND(NhatkyTon!#REF!,"AAAAAH//T6M=")</f>
        <v>#REF!</v>
      </c>
      <c r="FI79" t="e">
        <f>AND(NhatkyTon!#REF!,"AAAAAH//T6Q=")</f>
        <v>#REF!</v>
      </c>
      <c r="FJ79" t="e">
        <f>AND(NhatkyTon!#REF!,"AAAAAH//T6U=")</f>
        <v>#REF!</v>
      </c>
      <c r="FK79" t="e">
        <f>AND(NhatkyTon!#REF!,"AAAAAH//T6Y=")</f>
        <v>#REF!</v>
      </c>
      <c r="FL79" t="e">
        <f>AND(NhatkyTon!#REF!,"AAAAAH//T6c=")</f>
        <v>#REF!</v>
      </c>
      <c r="FM79" t="e">
        <f>AND(NhatkyTon!#REF!,"AAAAAH//T6g=")</f>
        <v>#REF!</v>
      </c>
      <c r="FN79" t="e">
        <f>AND(NhatkyTon!#REF!,"AAAAAH//T6k=")</f>
        <v>#REF!</v>
      </c>
      <c r="FO79" t="e">
        <f>AND(NhatkyTon!#REF!,"AAAAAH//T6o=")</f>
        <v>#REF!</v>
      </c>
      <c r="FP79" t="e">
        <f>AND(NhatkyTon!#REF!,"AAAAAH//T6s=")</f>
        <v>#REF!</v>
      </c>
      <c r="FQ79" t="e">
        <f>AND(NhatkyTon!#REF!,"AAAAAH//T6w=")</f>
        <v>#REF!</v>
      </c>
      <c r="FR79" t="e">
        <f>AND(NhatkyTon!#REF!,"AAAAAH//T60=")</f>
        <v>#REF!</v>
      </c>
      <c r="FS79" t="e">
        <f>AND(NhatkyTon!#REF!,"AAAAAH//T64=")</f>
        <v>#REF!</v>
      </c>
      <c r="FT79" t="e">
        <f>AND(NhatkyTon!#REF!,"AAAAAH//T68=")</f>
        <v>#REF!</v>
      </c>
      <c r="FU79" t="e">
        <f>AND(NhatkyTon!#REF!,"AAAAAH//T7A=")</f>
        <v>#REF!</v>
      </c>
      <c r="FV79" t="e">
        <f>AND(NhatkyTon!#REF!,"AAAAAH//T7E=")</f>
        <v>#REF!</v>
      </c>
      <c r="FW79" t="e">
        <f>AND(NhatkyTon!#REF!,"AAAAAH//T7I=")</f>
        <v>#REF!</v>
      </c>
      <c r="FX79" t="e">
        <f>IF(NhatkyTon!#REF!,"AAAAAH//T7M=",0)</f>
        <v>#REF!</v>
      </c>
      <c r="FY79" t="e">
        <f>AND(NhatkyTon!#REF!,"AAAAAH//T7Q=")</f>
        <v>#REF!</v>
      </c>
      <c r="FZ79" t="e">
        <f>AND(NhatkyTon!#REF!,"AAAAAH//T7U=")</f>
        <v>#REF!</v>
      </c>
      <c r="GA79" t="e">
        <f>AND(NhatkyTon!#REF!,"AAAAAH//T7Y=")</f>
        <v>#REF!</v>
      </c>
      <c r="GB79" t="e">
        <f>AND(NhatkyTon!#REF!,"AAAAAH//T7c=")</f>
        <v>#REF!</v>
      </c>
      <c r="GC79" t="e">
        <f>AND(NhatkyTon!#REF!,"AAAAAH//T7g=")</f>
        <v>#REF!</v>
      </c>
      <c r="GD79" t="e">
        <f>AND(NhatkyTon!#REF!,"AAAAAH//T7k=")</f>
        <v>#REF!</v>
      </c>
      <c r="GE79" t="e">
        <f>AND(NhatkyTon!#REF!,"AAAAAH//T7o=")</f>
        <v>#REF!</v>
      </c>
      <c r="GF79" t="e">
        <f>AND(NhatkyTon!#REF!,"AAAAAH//T7s=")</f>
        <v>#REF!</v>
      </c>
      <c r="GG79" t="e">
        <f>AND(NhatkyTon!#REF!,"AAAAAH//T7w=")</f>
        <v>#REF!</v>
      </c>
      <c r="GH79" t="e">
        <f>AND(NhatkyTon!#REF!,"AAAAAH//T70=")</f>
        <v>#REF!</v>
      </c>
      <c r="GI79" t="e">
        <f>AND(NhatkyTon!#REF!,"AAAAAH//T74=")</f>
        <v>#REF!</v>
      </c>
      <c r="GJ79" t="e">
        <f>AND(NhatkyTon!#REF!,"AAAAAH//T78=")</f>
        <v>#REF!</v>
      </c>
      <c r="GK79" t="e">
        <f>AND(NhatkyTon!#REF!,"AAAAAH//T8A=")</f>
        <v>#REF!</v>
      </c>
      <c r="GL79" t="e">
        <f>AND(NhatkyTon!#REF!,"AAAAAH//T8E=")</f>
        <v>#REF!</v>
      </c>
      <c r="GM79" t="e">
        <f>AND(NhatkyTon!#REF!,"AAAAAH//T8I=")</f>
        <v>#REF!</v>
      </c>
      <c r="GN79" t="e">
        <f>AND(NhatkyTon!#REF!,"AAAAAH//T8M=")</f>
        <v>#REF!</v>
      </c>
      <c r="GO79" t="e">
        <f>AND(NhatkyTon!#REF!,"AAAAAH//T8Q=")</f>
        <v>#REF!</v>
      </c>
      <c r="GP79" t="e">
        <f>AND(NhatkyTon!#REF!,"AAAAAH//T8U=")</f>
        <v>#REF!</v>
      </c>
      <c r="GQ79" t="e">
        <f>AND(NhatkyTon!#REF!,"AAAAAH//T8Y=")</f>
        <v>#REF!</v>
      </c>
      <c r="GR79" t="e">
        <f>AND(NhatkyTon!#REF!,"AAAAAH//T8c=")</f>
        <v>#REF!</v>
      </c>
      <c r="GS79" t="e">
        <f>AND(NhatkyTon!#REF!,"AAAAAH//T8g=")</f>
        <v>#REF!</v>
      </c>
      <c r="GT79" t="e">
        <f>AND(NhatkyTon!#REF!,"AAAAAH//T8k=")</f>
        <v>#REF!</v>
      </c>
      <c r="GU79" t="e">
        <f>AND(NhatkyTon!#REF!,"AAAAAH//T8o=")</f>
        <v>#REF!</v>
      </c>
      <c r="GV79" t="e">
        <f>AND(NhatkyTon!#REF!,"AAAAAH//T8s=")</f>
        <v>#REF!</v>
      </c>
      <c r="GW79" t="e">
        <f>AND(NhatkyTon!#REF!,"AAAAAH//T8w=")</f>
        <v>#REF!</v>
      </c>
      <c r="GX79" t="e">
        <f>AND(NhatkyTon!#REF!,"AAAAAH//T80=")</f>
        <v>#REF!</v>
      </c>
      <c r="GY79" t="e">
        <f>AND(NhatkyTon!#REF!,"AAAAAH//T84=")</f>
        <v>#REF!</v>
      </c>
      <c r="GZ79" t="e">
        <f>AND(NhatkyTon!#REF!,"AAAAAH//T88=")</f>
        <v>#REF!</v>
      </c>
      <c r="HA79" t="e">
        <f>AND(NhatkyTon!#REF!,"AAAAAH//T9A=")</f>
        <v>#REF!</v>
      </c>
      <c r="HB79" t="e">
        <f>AND(NhatkyTon!#REF!,"AAAAAH//T9E=")</f>
        <v>#REF!</v>
      </c>
      <c r="HC79" t="e">
        <f>AND(NhatkyTon!#REF!,"AAAAAH//T9I=")</f>
        <v>#REF!</v>
      </c>
      <c r="HD79" t="e">
        <f>AND(NhatkyTon!#REF!,"AAAAAH//T9M=")</f>
        <v>#REF!</v>
      </c>
      <c r="HE79" t="e">
        <f>AND(NhatkyTon!#REF!,"AAAAAH//T9Q=")</f>
        <v>#REF!</v>
      </c>
      <c r="HF79" t="e">
        <f>AND(NhatkyTon!#REF!,"AAAAAH//T9U=")</f>
        <v>#REF!</v>
      </c>
      <c r="HG79" t="e">
        <f>IF(NhatkyTon!#REF!,"AAAAAH//T9Y=",0)</f>
        <v>#REF!</v>
      </c>
      <c r="HH79" t="e">
        <f>AND(NhatkyTon!#REF!,"AAAAAH//T9c=")</f>
        <v>#REF!</v>
      </c>
      <c r="HI79" t="e">
        <f>AND(NhatkyTon!#REF!,"AAAAAH//T9g=")</f>
        <v>#REF!</v>
      </c>
      <c r="HJ79" t="e">
        <f>AND(NhatkyTon!#REF!,"AAAAAH//T9k=")</f>
        <v>#REF!</v>
      </c>
      <c r="HK79" t="e">
        <f>AND(NhatkyTon!#REF!,"AAAAAH//T9o=")</f>
        <v>#REF!</v>
      </c>
      <c r="HL79" t="e">
        <f>AND(NhatkyTon!#REF!,"AAAAAH//T9s=")</f>
        <v>#REF!</v>
      </c>
      <c r="HM79" t="e">
        <f>AND(NhatkyTon!#REF!,"AAAAAH//T9w=")</f>
        <v>#REF!</v>
      </c>
      <c r="HN79" t="e">
        <f>AND(NhatkyTon!#REF!,"AAAAAH//T90=")</f>
        <v>#REF!</v>
      </c>
      <c r="HO79" t="e">
        <f>AND(NhatkyTon!#REF!,"AAAAAH//T94=")</f>
        <v>#REF!</v>
      </c>
      <c r="HP79" t="e">
        <f>AND(NhatkyTon!#REF!,"AAAAAH//T98=")</f>
        <v>#REF!</v>
      </c>
      <c r="HQ79" t="e">
        <f>AND(NhatkyTon!#REF!,"AAAAAH//T+A=")</f>
        <v>#REF!</v>
      </c>
      <c r="HR79" t="e">
        <f>AND(NhatkyTon!#REF!,"AAAAAH//T+E=")</f>
        <v>#REF!</v>
      </c>
      <c r="HS79" t="e">
        <f>AND(NhatkyTon!#REF!,"AAAAAH//T+I=")</f>
        <v>#REF!</v>
      </c>
      <c r="HT79" t="e">
        <f>AND(NhatkyTon!#REF!,"AAAAAH//T+M=")</f>
        <v>#REF!</v>
      </c>
      <c r="HU79" t="e">
        <f>AND(NhatkyTon!#REF!,"AAAAAH//T+Q=")</f>
        <v>#REF!</v>
      </c>
      <c r="HV79" t="e">
        <f>AND(NhatkyTon!#REF!,"AAAAAH//T+U=")</f>
        <v>#REF!</v>
      </c>
      <c r="HW79" t="e">
        <f>AND(NhatkyTon!#REF!,"AAAAAH//T+Y=")</f>
        <v>#REF!</v>
      </c>
      <c r="HX79" t="e">
        <f>AND(NhatkyTon!#REF!,"AAAAAH//T+c=")</f>
        <v>#REF!</v>
      </c>
      <c r="HY79" t="e">
        <f>AND(NhatkyTon!#REF!,"AAAAAH//T+g=")</f>
        <v>#REF!</v>
      </c>
      <c r="HZ79" t="e">
        <f>AND(NhatkyTon!#REF!,"AAAAAH//T+k=")</f>
        <v>#REF!</v>
      </c>
      <c r="IA79" t="e">
        <f>AND(NhatkyTon!#REF!,"AAAAAH//T+o=")</f>
        <v>#REF!</v>
      </c>
      <c r="IB79" t="e">
        <f>AND(NhatkyTon!#REF!,"AAAAAH//T+s=")</f>
        <v>#REF!</v>
      </c>
      <c r="IC79" t="e">
        <f>AND(NhatkyTon!#REF!,"AAAAAH//T+w=")</f>
        <v>#REF!</v>
      </c>
      <c r="ID79" t="e">
        <f>AND(NhatkyTon!#REF!,"AAAAAH//T+0=")</f>
        <v>#REF!</v>
      </c>
      <c r="IE79" t="e">
        <f>AND(NhatkyTon!#REF!,"AAAAAH//T+4=")</f>
        <v>#REF!</v>
      </c>
      <c r="IF79" t="e">
        <f>AND(NhatkyTon!#REF!,"AAAAAH//T+8=")</f>
        <v>#REF!</v>
      </c>
      <c r="IG79" t="e">
        <f>AND(NhatkyTon!#REF!,"AAAAAH//T/A=")</f>
        <v>#REF!</v>
      </c>
      <c r="IH79" t="e">
        <f>AND(NhatkyTon!#REF!,"AAAAAH//T/E=")</f>
        <v>#REF!</v>
      </c>
      <c r="II79" t="e">
        <f>AND(NhatkyTon!#REF!,"AAAAAH//T/I=")</f>
        <v>#REF!</v>
      </c>
      <c r="IJ79" t="e">
        <f>AND(NhatkyTon!#REF!,"AAAAAH//T/M=")</f>
        <v>#REF!</v>
      </c>
      <c r="IK79" t="e">
        <f>AND(NhatkyTon!#REF!,"AAAAAH//T/Q=")</f>
        <v>#REF!</v>
      </c>
      <c r="IL79" t="e">
        <f>AND(NhatkyTon!#REF!,"AAAAAH//T/U=")</f>
        <v>#REF!</v>
      </c>
      <c r="IM79" t="e">
        <f>AND(NhatkyTon!#REF!,"AAAAAH//T/Y=")</f>
        <v>#REF!</v>
      </c>
      <c r="IN79" t="e">
        <f>AND(NhatkyTon!#REF!,"AAAAAH//T/c=")</f>
        <v>#REF!</v>
      </c>
      <c r="IO79" t="e">
        <f>AND(NhatkyTon!#REF!,"AAAAAH//T/g=")</f>
        <v>#REF!</v>
      </c>
      <c r="IP79" t="e">
        <f>IF(NhatkyTon!#REF!,"AAAAAH//T/k=",0)</f>
        <v>#REF!</v>
      </c>
      <c r="IQ79" t="e">
        <f>AND(NhatkyTon!#REF!,"AAAAAH//T/o=")</f>
        <v>#REF!</v>
      </c>
      <c r="IR79" t="e">
        <f>AND(NhatkyTon!#REF!,"AAAAAH//T/s=")</f>
        <v>#REF!</v>
      </c>
      <c r="IS79" t="e">
        <f>AND(NhatkyTon!#REF!,"AAAAAH//T/w=")</f>
        <v>#REF!</v>
      </c>
      <c r="IT79" t="e">
        <f>AND(NhatkyTon!#REF!,"AAAAAH//T/0=")</f>
        <v>#REF!</v>
      </c>
      <c r="IU79" t="e">
        <f>AND(NhatkyTon!#REF!,"AAAAAH//T/4=")</f>
        <v>#REF!</v>
      </c>
      <c r="IV79" t="e">
        <f>AND(NhatkyTon!#REF!,"AAAAAH//T/8=")</f>
        <v>#REF!</v>
      </c>
    </row>
    <row r="80" spans="1:256">
      <c r="A80" t="e">
        <f>AND(NhatkyTon!#REF!,"AAAAAF9+9wA=")</f>
        <v>#REF!</v>
      </c>
      <c r="B80" t="e">
        <f>AND(NhatkyTon!#REF!,"AAAAAF9+9wE=")</f>
        <v>#REF!</v>
      </c>
      <c r="C80" t="e">
        <f>AND(NhatkyTon!#REF!,"AAAAAF9+9wI=")</f>
        <v>#REF!</v>
      </c>
      <c r="D80" t="e">
        <f>AND(NhatkyTon!#REF!,"AAAAAF9+9wM=")</f>
        <v>#REF!</v>
      </c>
      <c r="E80" t="e">
        <f>AND(NhatkyTon!#REF!,"AAAAAF9+9wQ=")</f>
        <v>#REF!</v>
      </c>
      <c r="F80" t="e">
        <f>AND(NhatkyTon!#REF!,"AAAAAF9+9wU=")</f>
        <v>#REF!</v>
      </c>
      <c r="G80" t="e">
        <f>AND(NhatkyTon!#REF!,"AAAAAF9+9wY=")</f>
        <v>#REF!</v>
      </c>
      <c r="H80" t="e">
        <f>AND(NhatkyTon!#REF!,"AAAAAF9+9wc=")</f>
        <v>#REF!</v>
      </c>
      <c r="I80" t="e">
        <f>AND(NhatkyTon!#REF!,"AAAAAF9+9wg=")</f>
        <v>#REF!</v>
      </c>
      <c r="J80" t="e">
        <f>AND(NhatkyTon!#REF!,"AAAAAF9+9wk=")</f>
        <v>#REF!</v>
      </c>
      <c r="K80" t="e">
        <f>AND(NhatkyTon!#REF!,"AAAAAF9+9wo=")</f>
        <v>#REF!</v>
      </c>
      <c r="L80" t="e">
        <f>AND(NhatkyTon!#REF!,"AAAAAF9+9ws=")</f>
        <v>#REF!</v>
      </c>
      <c r="M80" t="e">
        <f>AND(NhatkyTon!#REF!,"AAAAAF9+9ww=")</f>
        <v>#REF!</v>
      </c>
      <c r="N80" t="e">
        <f>AND(NhatkyTon!#REF!,"AAAAAF9+9w0=")</f>
        <v>#REF!</v>
      </c>
      <c r="O80" t="e">
        <f>AND(NhatkyTon!#REF!,"AAAAAF9+9w4=")</f>
        <v>#REF!</v>
      </c>
      <c r="P80" t="e">
        <f>AND(NhatkyTon!#REF!,"AAAAAF9+9w8=")</f>
        <v>#REF!</v>
      </c>
      <c r="Q80" t="e">
        <f>AND(NhatkyTon!#REF!,"AAAAAF9+9xA=")</f>
        <v>#REF!</v>
      </c>
      <c r="R80" t="e">
        <f>AND(NhatkyTon!#REF!,"AAAAAF9+9xE=")</f>
        <v>#REF!</v>
      </c>
      <c r="S80" t="e">
        <f>AND(NhatkyTon!#REF!,"AAAAAF9+9xI=")</f>
        <v>#REF!</v>
      </c>
      <c r="T80" t="e">
        <f>AND(NhatkyTon!#REF!,"AAAAAF9+9xM=")</f>
        <v>#REF!</v>
      </c>
      <c r="U80" t="e">
        <f>AND(NhatkyTon!#REF!,"AAAAAF9+9xQ=")</f>
        <v>#REF!</v>
      </c>
      <c r="V80" t="e">
        <f>AND(NhatkyTon!#REF!,"AAAAAF9+9xU=")</f>
        <v>#REF!</v>
      </c>
      <c r="W80" t="e">
        <f>AND(NhatkyTon!#REF!,"AAAAAF9+9xY=")</f>
        <v>#REF!</v>
      </c>
      <c r="X80" t="e">
        <f>AND(NhatkyTon!#REF!,"AAAAAF9+9xc=")</f>
        <v>#REF!</v>
      </c>
      <c r="Y80" t="e">
        <f>AND(NhatkyTon!#REF!,"AAAAAF9+9xg=")</f>
        <v>#REF!</v>
      </c>
      <c r="Z80" t="e">
        <f>AND(NhatkyTon!#REF!,"AAAAAF9+9xk=")</f>
        <v>#REF!</v>
      </c>
      <c r="AA80" t="e">
        <f>AND(NhatkyTon!#REF!,"AAAAAF9+9xo=")</f>
        <v>#REF!</v>
      </c>
      <c r="AB80" t="e">
        <f>AND(NhatkyTon!#REF!,"AAAAAF9+9xs=")</f>
        <v>#REF!</v>
      </c>
      <c r="AC80" t="e">
        <f>IF(NhatkyTon!#REF!,"AAAAAF9+9xw=",0)</f>
        <v>#REF!</v>
      </c>
      <c r="AD80" t="e">
        <f>AND(NhatkyTon!#REF!,"AAAAAF9+9x0=")</f>
        <v>#REF!</v>
      </c>
      <c r="AE80" t="e">
        <f>AND(NhatkyTon!#REF!,"AAAAAF9+9x4=")</f>
        <v>#REF!</v>
      </c>
      <c r="AF80" t="e">
        <f>AND(NhatkyTon!#REF!,"AAAAAF9+9x8=")</f>
        <v>#REF!</v>
      </c>
      <c r="AG80" t="e">
        <f>AND(NhatkyTon!#REF!,"AAAAAF9+9yA=")</f>
        <v>#REF!</v>
      </c>
      <c r="AH80" t="e">
        <f>AND(NhatkyTon!#REF!,"AAAAAF9+9yE=")</f>
        <v>#REF!</v>
      </c>
      <c r="AI80" t="e">
        <f>AND(NhatkyTon!#REF!,"AAAAAF9+9yI=")</f>
        <v>#REF!</v>
      </c>
      <c r="AJ80" t="e">
        <f>AND(NhatkyTon!#REF!,"AAAAAF9+9yM=")</f>
        <v>#REF!</v>
      </c>
      <c r="AK80" t="e">
        <f>AND(NhatkyTon!#REF!,"AAAAAF9+9yQ=")</f>
        <v>#REF!</v>
      </c>
      <c r="AL80" t="e">
        <f>AND(NhatkyTon!#REF!,"AAAAAF9+9yU=")</f>
        <v>#REF!</v>
      </c>
      <c r="AM80" t="e">
        <f>AND(NhatkyTon!#REF!,"AAAAAF9+9yY=")</f>
        <v>#REF!</v>
      </c>
      <c r="AN80" t="e">
        <f>AND(NhatkyTon!#REF!,"AAAAAF9+9yc=")</f>
        <v>#REF!</v>
      </c>
      <c r="AO80" t="e">
        <f>AND(NhatkyTon!#REF!,"AAAAAF9+9yg=")</f>
        <v>#REF!</v>
      </c>
      <c r="AP80" t="e">
        <f>AND(NhatkyTon!#REF!,"AAAAAF9+9yk=")</f>
        <v>#REF!</v>
      </c>
      <c r="AQ80" t="e">
        <f>AND(NhatkyTon!#REF!,"AAAAAF9+9yo=")</f>
        <v>#REF!</v>
      </c>
      <c r="AR80" t="e">
        <f>AND(NhatkyTon!#REF!,"AAAAAF9+9ys=")</f>
        <v>#REF!</v>
      </c>
      <c r="AS80" t="e">
        <f>AND(NhatkyTon!#REF!,"AAAAAF9+9yw=")</f>
        <v>#REF!</v>
      </c>
      <c r="AT80" t="e">
        <f>AND(NhatkyTon!#REF!,"AAAAAF9+9y0=")</f>
        <v>#REF!</v>
      </c>
      <c r="AU80" t="e">
        <f>AND(NhatkyTon!#REF!,"AAAAAF9+9y4=")</f>
        <v>#REF!</v>
      </c>
      <c r="AV80" t="e">
        <f>AND(NhatkyTon!#REF!,"AAAAAF9+9y8=")</f>
        <v>#REF!</v>
      </c>
      <c r="AW80" t="e">
        <f>AND(NhatkyTon!#REF!,"AAAAAF9+9zA=")</f>
        <v>#REF!</v>
      </c>
      <c r="AX80" t="e">
        <f>AND(NhatkyTon!#REF!,"AAAAAF9+9zE=")</f>
        <v>#REF!</v>
      </c>
      <c r="AY80" t="e">
        <f>AND(NhatkyTon!#REF!,"AAAAAF9+9zI=")</f>
        <v>#REF!</v>
      </c>
      <c r="AZ80" t="e">
        <f>AND(NhatkyTon!#REF!,"AAAAAF9+9zM=")</f>
        <v>#REF!</v>
      </c>
      <c r="BA80" t="e">
        <f>AND(NhatkyTon!#REF!,"AAAAAF9+9zQ=")</f>
        <v>#REF!</v>
      </c>
      <c r="BB80" t="e">
        <f>AND(NhatkyTon!#REF!,"AAAAAF9+9zU=")</f>
        <v>#REF!</v>
      </c>
      <c r="BC80" t="e">
        <f>AND(NhatkyTon!#REF!,"AAAAAF9+9zY=")</f>
        <v>#REF!</v>
      </c>
      <c r="BD80" t="e">
        <f>AND(NhatkyTon!#REF!,"AAAAAF9+9zc=")</f>
        <v>#REF!</v>
      </c>
      <c r="BE80" t="e">
        <f>AND(NhatkyTon!#REF!,"AAAAAF9+9zg=")</f>
        <v>#REF!</v>
      </c>
      <c r="BF80" t="e">
        <f>AND(NhatkyTon!#REF!,"AAAAAF9+9zk=")</f>
        <v>#REF!</v>
      </c>
      <c r="BG80" t="e">
        <f>AND(NhatkyTon!#REF!,"AAAAAF9+9zo=")</f>
        <v>#REF!</v>
      </c>
      <c r="BH80" t="e">
        <f>AND(NhatkyTon!#REF!,"AAAAAF9+9zs=")</f>
        <v>#REF!</v>
      </c>
      <c r="BI80" t="e">
        <f>AND(NhatkyTon!#REF!,"AAAAAF9+9zw=")</f>
        <v>#REF!</v>
      </c>
      <c r="BJ80" t="e">
        <f>AND(NhatkyTon!#REF!,"AAAAAF9+9z0=")</f>
        <v>#REF!</v>
      </c>
      <c r="BK80" t="e">
        <f>AND(NhatkyTon!#REF!,"AAAAAF9+9z4=")</f>
        <v>#REF!</v>
      </c>
      <c r="BL80" t="e">
        <f>IF(NhatkyTon!#REF!,"AAAAAF9+9z8=",0)</f>
        <v>#REF!</v>
      </c>
      <c r="BM80" t="e">
        <f>AND(NhatkyTon!#REF!,"AAAAAF9+90A=")</f>
        <v>#REF!</v>
      </c>
      <c r="BN80" t="e">
        <f>AND(NhatkyTon!#REF!,"AAAAAF9+90E=")</f>
        <v>#REF!</v>
      </c>
      <c r="BO80" t="e">
        <f>AND(NhatkyTon!#REF!,"AAAAAF9+90I=")</f>
        <v>#REF!</v>
      </c>
      <c r="BP80" t="e">
        <f>AND(NhatkyTon!#REF!,"AAAAAF9+90M=")</f>
        <v>#REF!</v>
      </c>
      <c r="BQ80" t="e">
        <f>AND(NhatkyTon!#REF!,"AAAAAF9+90Q=")</f>
        <v>#REF!</v>
      </c>
      <c r="BR80" t="e">
        <f>AND(NhatkyTon!#REF!,"AAAAAF9+90U=")</f>
        <v>#REF!</v>
      </c>
      <c r="BS80" t="e">
        <f>AND(NhatkyTon!#REF!,"AAAAAF9+90Y=")</f>
        <v>#REF!</v>
      </c>
      <c r="BT80" t="e">
        <f>AND(NhatkyTon!#REF!,"AAAAAF9+90c=")</f>
        <v>#REF!</v>
      </c>
      <c r="BU80" t="e">
        <f>AND(NhatkyTon!#REF!,"AAAAAF9+90g=")</f>
        <v>#REF!</v>
      </c>
      <c r="BV80" t="e">
        <f>AND(NhatkyTon!#REF!,"AAAAAF9+90k=")</f>
        <v>#REF!</v>
      </c>
      <c r="BW80" t="e">
        <f>AND(NhatkyTon!#REF!,"AAAAAF9+90o=")</f>
        <v>#REF!</v>
      </c>
      <c r="BX80" t="e">
        <f>AND(NhatkyTon!#REF!,"AAAAAF9+90s=")</f>
        <v>#REF!</v>
      </c>
      <c r="BY80" t="e">
        <f>AND(NhatkyTon!#REF!,"AAAAAF9+90w=")</f>
        <v>#REF!</v>
      </c>
      <c r="BZ80" t="e">
        <f>AND(NhatkyTon!#REF!,"AAAAAF9+900=")</f>
        <v>#REF!</v>
      </c>
      <c r="CA80" t="e">
        <f>AND(NhatkyTon!#REF!,"AAAAAF9+904=")</f>
        <v>#REF!</v>
      </c>
      <c r="CB80" t="e">
        <f>AND(NhatkyTon!#REF!,"AAAAAF9+908=")</f>
        <v>#REF!</v>
      </c>
      <c r="CC80" t="e">
        <f>AND(NhatkyTon!#REF!,"AAAAAF9+91A=")</f>
        <v>#REF!</v>
      </c>
      <c r="CD80" t="e">
        <f>AND(NhatkyTon!#REF!,"AAAAAF9+91E=")</f>
        <v>#REF!</v>
      </c>
      <c r="CE80" t="e">
        <f>AND(NhatkyTon!#REF!,"AAAAAF9+91I=")</f>
        <v>#REF!</v>
      </c>
      <c r="CF80" t="e">
        <f>AND(NhatkyTon!#REF!,"AAAAAF9+91M=")</f>
        <v>#REF!</v>
      </c>
      <c r="CG80" t="e">
        <f>AND(NhatkyTon!#REF!,"AAAAAF9+91Q=")</f>
        <v>#REF!</v>
      </c>
      <c r="CH80" t="e">
        <f>AND(NhatkyTon!#REF!,"AAAAAF9+91U=")</f>
        <v>#REF!</v>
      </c>
      <c r="CI80" t="e">
        <f>AND(NhatkyTon!#REF!,"AAAAAF9+91Y=")</f>
        <v>#REF!</v>
      </c>
      <c r="CJ80" t="e">
        <f>AND(NhatkyTon!#REF!,"AAAAAF9+91c=")</f>
        <v>#REF!</v>
      </c>
      <c r="CK80" t="e">
        <f>AND(NhatkyTon!#REF!,"AAAAAF9+91g=")</f>
        <v>#REF!</v>
      </c>
      <c r="CL80" t="e">
        <f>AND(NhatkyTon!#REF!,"AAAAAF9+91k=")</f>
        <v>#REF!</v>
      </c>
      <c r="CM80" t="e">
        <f>AND(NhatkyTon!#REF!,"AAAAAF9+91o=")</f>
        <v>#REF!</v>
      </c>
      <c r="CN80" t="e">
        <f>AND(NhatkyTon!#REF!,"AAAAAF9+91s=")</f>
        <v>#REF!</v>
      </c>
      <c r="CO80" t="e">
        <f>AND(NhatkyTon!#REF!,"AAAAAF9+91w=")</f>
        <v>#REF!</v>
      </c>
      <c r="CP80" t="e">
        <f>AND(NhatkyTon!#REF!,"AAAAAF9+910=")</f>
        <v>#REF!</v>
      </c>
      <c r="CQ80" t="e">
        <f>AND(NhatkyTon!#REF!,"AAAAAF9+914=")</f>
        <v>#REF!</v>
      </c>
      <c r="CR80" t="e">
        <f>AND(NhatkyTon!#REF!,"AAAAAF9+918=")</f>
        <v>#REF!</v>
      </c>
      <c r="CS80" t="e">
        <f>AND(NhatkyTon!#REF!,"AAAAAF9+92A=")</f>
        <v>#REF!</v>
      </c>
      <c r="CT80" t="e">
        <f>AND(NhatkyTon!#REF!,"AAAAAF9+92E=")</f>
        <v>#REF!</v>
      </c>
      <c r="CU80" t="e">
        <f>IF(NhatkyTon!#REF!,"AAAAAF9+92I=",0)</f>
        <v>#REF!</v>
      </c>
      <c r="CV80" t="e">
        <f>AND(NhatkyTon!#REF!,"AAAAAF9+92M=")</f>
        <v>#REF!</v>
      </c>
      <c r="CW80" t="e">
        <f>AND(NhatkyTon!#REF!,"AAAAAF9+92Q=")</f>
        <v>#REF!</v>
      </c>
      <c r="CX80" t="e">
        <f>AND(NhatkyTon!#REF!,"AAAAAF9+92U=")</f>
        <v>#REF!</v>
      </c>
      <c r="CY80" t="e">
        <f>AND(NhatkyTon!#REF!,"AAAAAF9+92Y=")</f>
        <v>#REF!</v>
      </c>
      <c r="CZ80" t="e">
        <f>AND(NhatkyTon!#REF!,"AAAAAF9+92c=")</f>
        <v>#REF!</v>
      </c>
      <c r="DA80" t="e">
        <f>AND(NhatkyTon!#REF!,"AAAAAF9+92g=")</f>
        <v>#REF!</v>
      </c>
      <c r="DB80" t="e">
        <f>AND(NhatkyTon!#REF!,"AAAAAF9+92k=")</f>
        <v>#REF!</v>
      </c>
      <c r="DC80" t="e">
        <f>AND(NhatkyTon!#REF!,"AAAAAF9+92o=")</f>
        <v>#REF!</v>
      </c>
      <c r="DD80" t="e">
        <f>AND(NhatkyTon!#REF!,"AAAAAF9+92s=")</f>
        <v>#REF!</v>
      </c>
      <c r="DE80" t="e">
        <f>AND(NhatkyTon!#REF!,"AAAAAF9+92w=")</f>
        <v>#REF!</v>
      </c>
      <c r="DF80" t="e">
        <f>AND(NhatkyTon!#REF!,"AAAAAF9+920=")</f>
        <v>#REF!</v>
      </c>
      <c r="DG80" t="e">
        <f>AND(NhatkyTon!#REF!,"AAAAAF9+924=")</f>
        <v>#REF!</v>
      </c>
      <c r="DH80" t="e">
        <f>AND(NhatkyTon!#REF!,"AAAAAF9+928=")</f>
        <v>#REF!</v>
      </c>
      <c r="DI80" t="e">
        <f>AND(NhatkyTon!#REF!,"AAAAAF9+93A=")</f>
        <v>#REF!</v>
      </c>
      <c r="DJ80" t="e">
        <f>AND(NhatkyTon!#REF!,"AAAAAF9+93E=")</f>
        <v>#REF!</v>
      </c>
      <c r="DK80" t="e">
        <f>AND(NhatkyTon!#REF!,"AAAAAF9+93I=")</f>
        <v>#REF!</v>
      </c>
      <c r="DL80" t="e">
        <f>AND(NhatkyTon!#REF!,"AAAAAF9+93M=")</f>
        <v>#REF!</v>
      </c>
      <c r="DM80" t="e">
        <f>AND(NhatkyTon!#REF!,"AAAAAF9+93Q=")</f>
        <v>#REF!</v>
      </c>
      <c r="DN80" t="e">
        <f>AND(NhatkyTon!#REF!,"AAAAAF9+93U=")</f>
        <v>#REF!</v>
      </c>
      <c r="DO80" t="e">
        <f>AND(NhatkyTon!#REF!,"AAAAAF9+93Y=")</f>
        <v>#REF!</v>
      </c>
      <c r="DP80" t="e">
        <f>AND(NhatkyTon!#REF!,"AAAAAF9+93c=")</f>
        <v>#REF!</v>
      </c>
      <c r="DQ80" t="e">
        <f>AND(NhatkyTon!#REF!,"AAAAAF9+93g=")</f>
        <v>#REF!</v>
      </c>
      <c r="DR80" t="e">
        <f>AND(NhatkyTon!#REF!,"AAAAAF9+93k=")</f>
        <v>#REF!</v>
      </c>
      <c r="DS80" t="e">
        <f>AND(NhatkyTon!#REF!,"AAAAAF9+93o=")</f>
        <v>#REF!</v>
      </c>
      <c r="DT80" t="e">
        <f>AND(NhatkyTon!#REF!,"AAAAAF9+93s=")</f>
        <v>#REF!</v>
      </c>
      <c r="DU80" t="e">
        <f>AND(NhatkyTon!#REF!,"AAAAAF9+93w=")</f>
        <v>#REF!</v>
      </c>
      <c r="DV80" t="e">
        <f>AND(NhatkyTon!#REF!,"AAAAAF9+930=")</f>
        <v>#REF!</v>
      </c>
      <c r="DW80" t="e">
        <f>AND(NhatkyTon!#REF!,"AAAAAF9+934=")</f>
        <v>#REF!</v>
      </c>
      <c r="DX80" t="e">
        <f>AND(NhatkyTon!#REF!,"AAAAAF9+938=")</f>
        <v>#REF!</v>
      </c>
      <c r="DY80" t="e">
        <f>AND(NhatkyTon!#REF!,"AAAAAF9+94A=")</f>
        <v>#REF!</v>
      </c>
      <c r="DZ80" t="e">
        <f>AND(NhatkyTon!#REF!,"AAAAAF9+94E=")</f>
        <v>#REF!</v>
      </c>
      <c r="EA80" t="e">
        <f>AND(NhatkyTon!#REF!,"AAAAAF9+94I=")</f>
        <v>#REF!</v>
      </c>
      <c r="EB80" t="e">
        <f>AND(NhatkyTon!#REF!,"AAAAAF9+94M=")</f>
        <v>#REF!</v>
      </c>
      <c r="EC80" t="e">
        <f>AND(NhatkyTon!#REF!,"AAAAAF9+94Q=")</f>
        <v>#REF!</v>
      </c>
      <c r="ED80" t="e">
        <f>IF(NhatkyTon!#REF!,"AAAAAF9+94U=",0)</f>
        <v>#REF!</v>
      </c>
      <c r="EE80" t="e">
        <f>AND(NhatkyTon!#REF!,"AAAAAF9+94Y=")</f>
        <v>#REF!</v>
      </c>
      <c r="EF80" t="e">
        <f>AND(NhatkyTon!#REF!,"AAAAAF9+94c=")</f>
        <v>#REF!</v>
      </c>
      <c r="EG80" t="e">
        <f>AND(NhatkyTon!#REF!,"AAAAAF9+94g=")</f>
        <v>#REF!</v>
      </c>
      <c r="EH80" t="e">
        <f>AND(NhatkyTon!#REF!,"AAAAAF9+94k=")</f>
        <v>#REF!</v>
      </c>
      <c r="EI80" t="e">
        <f>AND(NhatkyTon!#REF!,"AAAAAF9+94o=")</f>
        <v>#REF!</v>
      </c>
      <c r="EJ80" t="e">
        <f>AND(NhatkyTon!#REF!,"AAAAAF9+94s=")</f>
        <v>#REF!</v>
      </c>
      <c r="EK80" t="e">
        <f>AND(NhatkyTon!#REF!,"AAAAAF9+94w=")</f>
        <v>#REF!</v>
      </c>
      <c r="EL80" t="e">
        <f>AND(NhatkyTon!#REF!,"AAAAAF9+940=")</f>
        <v>#REF!</v>
      </c>
      <c r="EM80" t="e">
        <f>AND(NhatkyTon!#REF!,"AAAAAF9+944=")</f>
        <v>#REF!</v>
      </c>
      <c r="EN80" t="e">
        <f>AND(NhatkyTon!#REF!,"AAAAAF9+948=")</f>
        <v>#REF!</v>
      </c>
      <c r="EO80" t="e">
        <f>AND(NhatkyTon!#REF!,"AAAAAF9+95A=")</f>
        <v>#REF!</v>
      </c>
      <c r="EP80" t="e">
        <f>AND(NhatkyTon!#REF!,"AAAAAF9+95E=")</f>
        <v>#REF!</v>
      </c>
      <c r="EQ80" t="e">
        <f>AND(NhatkyTon!#REF!,"AAAAAF9+95I=")</f>
        <v>#REF!</v>
      </c>
      <c r="ER80" t="e">
        <f>AND(NhatkyTon!#REF!,"AAAAAF9+95M=")</f>
        <v>#REF!</v>
      </c>
      <c r="ES80" t="e">
        <f>AND(NhatkyTon!#REF!,"AAAAAF9+95Q=")</f>
        <v>#REF!</v>
      </c>
      <c r="ET80" t="e">
        <f>AND(NhatkyTon!#REF!,"AAAAAF9+95U=")</f>
        <v>#REF!</v>
      </c>
      <c r="EU80" t="e">
        <f>AND(NhatkyTon!#REF!,"AAAAAF9+95Y=")</f>
        <v>#REF!</v>
      </c>
      <c r="EV80" t="e">
        <f>AND(NhatkyTon!#REF!,"AAAAAF9+95c=")</f>
        <v>#REF!</v>
      </c>
      <c r="EW80" t="e">
        <f>AND(NhatkyTon!#REF!,"AAAAAF9+95g=")</f>
        <v>#REF!</v>
      </c>
      <c r="EX80" t="e">
        <f>AND(NhatkyTon!#REF!,"AAAAAF9+95k=")</f>
        <v>#REF!</v>
      </c>
      <c r="EY80" t="e">
        <f>AND(NhatkyTon!#REF!,"AAAAAF9+95o=")</f>
        <v>#REF!</v>
      </c>
      <c r="EZ80" t="e">
        <f>AND(NhatkyTon!#REF!,"AAAAAF9+95s=")</f>
        <v>#REF!</v>
      </c>
      <c r="FA80" t="e">
        <f>AND(NhatkyTon!#REF!,"AAAAAF9+95w=")</f>
        <v>#REF!</v>
      </c>
      <c r="FB80" t="e">
        <f>AND(NhatkyTon!#REF!,"AAAAAF9+950=")</f>
        <v>#REF!</v>
      </c>
      <c r="FC80" t="e">
        <f>AND(NhatkyTon!#REF!,"AAAAAF9+954=")</f>
        <v>#REF!</v>
      </c>
      <c r="FD80" t="e">
        <f>AND(NhatkyTon!#REF!,"AAAAAF9+958=")</f>
        <v>#REF!</v>
      </c>
      <c r="FE80" t="e">
        <f>AND(NhatkyTon!#REF!,"AAAAAF9+96A=")</f>
        <v>#REF!</v>
      </c>
      <c r="FF80" t="e">
        <f>AND(NhatkyTon!#REF!,"AAAAAF9+96E=")</f>
        <v>#REF!</v>
      </c>
      <c r="FG80" t="e">
        <f>AND(NhatkyTon!#REF!,"AAAAAF9+96I=")</f>
        <v>#REF!</v>
      </c>
      <c r="FH80" t="e">
        <f>AND(NhatkyTon!#REF!,"AAAAAF9+96M=")</f>
        <v>#REF!</v>
      </c>
      <c r="FI80" t="e">
        <f>AND(NhatkyTon!#REF!,"AAAAAF9+96Q=")</f>
        <v>#REF!</v>
      </c>
      <c r="FJ80" t="e">
        <f>AND(NhatkyTon!#REF!,"AAAAAF9+96U=")</f>
        <v>#REF!</v>
      </c>
      <c r="FK80" t="e">
        <f>AND(NhatkyTon!#REF!,"AAAAAF9+96Y=")</f>
        <v>#REF!</v>
      </c>
      <c r="FL80" t="e">
        <f>AND(NhatkyTon!#REF!,"AAAAAF9+96c=")</f>
        <v>#REF!</v>
      </c>
      <c r="FM80" t="e">
        <f>IF(NhatkyTon!#REF!,"AAAAAF9+96g=",0)</f>
        <v>#REF!</v>
      </c>
      <c r="FN80" t="e">
        <f>AND(NhatkyTon!#REF!,"AAAAAF9+96k=")</f>
        <v>#REF!</v>
      </c>
      <c r="FO80" t="e">
        <f>AND(NhatkyTon!#REF!,"AAAAAF9+96o=")</f>
        <v>#REF!</v>
      </c>
      <c r="FP80" t="e">
        <f>AND(NhatkyTon!#REF!,"AAAAAF9+96s=")</f>
        <v>#REF!</v>
      </c>
      <c r="FQ80" t="e">
        <f>AND(NhatkyTon!#REF!,"AAAAAF9+96w=")</f>
        <v>#REF!</v>
      </c>
      <c r="FR80" t="e">
        <f>AND(NhatkyTon!#REF!,"AAAAAF9+960=")</f>
        <v>#REF!</v>
      </c>
      <c r="FS80" t="e">
        <f>AND(NhatkyTon!#REF!,"AAAAAF9+964=")</f>
        <v>#REF!</v>
      </c>
      <c r="FT80" t="e">
        <f>AND(NhatkyTon!#REF!,"AAAAAF9+968=")</f>
        <v>#REF!</v>
      </c>
      <c r="FU80" t="e">
        <f>AND(NhatkyTon!#REF!,"AAAAAF9+97A=")</f>
        <v>#REF!</v>
      </c>
      <c r="FV80" t="e">
        <f>AND(NhatkyTon!#REF!,"AAAAAF9+97E=")</f>
        <v>#REF!</v>
      </c>
      <c r="FW80" t="e">
        <f>AND(NhatkyTon!#REF!,"AAAAAF9+97I=")</f>
        <v>#REF!</v>
      </c>
      <c r="FX80" t="e">
        <f>AND(NhatkyTon!#REF!,"AAAAAF9+97M=")</f>
        <v>#REF!</v>
      </c>
      <c r="FY80" t="e">
        <f>AND(NhatkyTon!#REF!,"AAAAAF9+97Q=")</f>
        <v>#REF!</v>
      </c>
      <c r="FZ80" t="e">
        <f>AND(NhatkyTon!#REF!,"AAAAAF9+97U=")</f>
        <v>#REF!</v>
      </c>
      <c r="GA80" t="e">
        <f>AND(NhatkyTon!#REF!,"AAAAAF9+97Y=")</f>
        <v>#REF!</v>
      </c>
      <c r="GB80" t="e">
        <f>AND(NhatkyTon!#REF!,"AAAAAF9+97c=")</f>
        <v>#REF!</v>
      </c>
      <c r="GC80" t="e">
        <f>AND(NhatkyTon!#REF!,"AAAAAF9+97g=")</f>
        <v>#REF!</v>
      </c>
      <c r="GD80" t="e">
        <f>AND(NhatkyTon!#REF!,"AAAAAF9+97k=")</f>
        <v>#REF!</v>
      </c>
      <c r="GE80" t="e">
        <f>AND(NhatkyTon!#REF!,"AAAAAF9+97o=")</f>
        <v>#REF!</v>
      </c>
      <c r="GF80" t="e">
        <f>AND(NhatkyTon!#REF!,"AAAAAF9+97s=")</f>
        <v>#REF!</v>
      </c>
      <c r="GG80" t="e">
        <f>AND(NhatkyTon!#REF!,"AAAAAF9+97w=")</f>
        <v>#REF!</v>
      </c>
      <c r="GH80" t="e">
        <f>AND(NhatkyTon!#REF!,"AAAAAF9+970=")</f>
        <v>#REF!</v>
      </c>
      <c r="GI80" t="e">
        <f>AND(NhatkyTon!#REF!,"AAAAAF9+974=")</f>
        <v>#REF!</v>
      </c>
      <c r="GJ80" t="e">
        <f>AND(NhatkyTon!#REF!,"AAAAAF9+978=")</f>
        <v>#REF!</v>
      </c>
      <c r="GK80" t="e">
        <f>AND(NhatkyTon!#REF!,"AAAAAF9+98A=")</f>
        <v>#REF!</v>
      </c>
      <c r="GL80" t="e">
        <f>AND(NhatkyTon!#REF!,"AAAAAF9+98E=")</f>
        <v>#REF!</v>
      </c>
      <c r="GM80" t="e">
        <f>AND(NhatkyTon!#REF!,"AAAAAF9+98I=")</f>
        <v>#REF!</v>
      </c>
      <c r="GN80" t="e">
        <f>AND(NhatkyTon!#REF!,"AAAAAF9+98M=")</f>
        <v>#REF!</v>
      </c>
      <c r="GO80" t="e">
        <f>AND(NhatkyTon!#REF!,"AAAAAF9+98Q=")</f>
        <v>#REF!</v>
      </c>
      <c r="GP80" t="e">
        <f>AND(NhatkyTon!#REF!,"AAAAAF9+98U=")</f>
        <v>#REF!</v>
      </c>
      <c r="GQ80" t="e">
        <f>AND(NhatkyTon!#REF!,"AAAAAF9+98Y=")</f>
        <v>#REF!</v>
      </c>
      <c r="GR80" t="e">
        <f>AND(NhatkyTon!#REF!,"AAAAAF9+98c=")</f>
        <v>#REF!</v>
      </c>
      <c r="GS80" t="e">
        <f>AND(NhatkyTon!#REF!,"AAAAAF9+98g=")</f>
        <v>#REF!</v>
      </c>
      <c r="GT80" t="e">
        <f>AND(NhatkyTon!#REF!,"AAAAAF9+98k=")</f>
        <v>#REF!</v>
      </c>
      <c r="GU80" t="e">
        <f>AND(NhatkyTon!#REF!,"AAAAAF9+98o=")</f>
        <v>#REF!</v>
      </c>
      <c r="GV80" t="e">
        <f>IF(NhatkyTon!#REF!,"AAAAAF9+98s=",0)</f>
        <v>#REF!</v>
      </c>
      <c r="GW80" t="e">
        <f>AND(NhatkyTon!#REF!,"AAAAAF9+98w=")</f>
        <v>#REF!</v>
      </c>
      <c r="GX80" t="e">
        <f>AND(NhatkyTon!#REF!,"AAAAAF9+980=")</f>
        <v>#REF!</v>
      </c>
      <c r="GY80" t="e">
        <f>AND(NhatkyTon!#REF!,"AAAAAF9+984=")</f>
        <v>#REF!</v>
      </c>
      <c r="GZ80" t="e">
        <f>AND(NhatkyTon!#REF!,"AAAAAF9+988=")</f>
        <v>#REF!</v>
      </c>
      <c r="HA80" t="e">
        <f>AND(NhatkyTon!#REF!,"AAAAAF9+99A=")</f>
        <v>#REF!</v>
      </c>
      <c r="HB80" t="e">
        <f>AND(NhatkyTon!#REF!,"AAAAAF9+99E=")</f>
        <v>#REF!</v>
      </c>
      <c r="HC80" t="e">
        <f>AND(NhatkyTon!#REF!,"AAAAAF9+99I=")</f>
        <v>#REF!</v>
      </c>
      <c r="HD80" t="e">
        <f>AND(NhatkyTon!#REF!,"AAAAAF9+99M=")</f>
        <v>#REF!</v>
      </c>
      <c r="HE80" t="e">
        <f>AND(NhatkyTon!#REF!,"AAAAAF9+99Q=")</f>
        <v>#REF!</v>
      </c>
      <c r="HF80" t="e">
        <f>AND(NhatkyTon!#REF!,"AAAAAF9+99U=")</f>
        <v>#REF!</v>
      </c>
      <c r="HG80" t="e">
        <f>AND(NhatkyTon!#REF!,"AAAAAF9+99Y=")</f>
        <v>#REF!</v>
      </c>
      <c r="HH80" t="e">
        <f>AND(NhatkyTon!#REF!,"AAAAAF9+99c=")</f>
        <v>#REF!</v>
      </c>
      <c r="HI80" t="e">
        <f>AND(NhatkyTon!#REF!,"AAAAAF9+99g=")</f>
        <v>#REF!</v>
      </c>
      <c r="HJ80" t="e">
        <f>AND(NhatkyTon!#REF!,"AAAAAF9+99k=")</f>
        <v>#REF!</v>
      </c>
      <c r="HK80" t="e">
        <f>AND(NhatkyTon!#REF!,"AAAAAF9+99o=")</f>
        <v>#REF!</v>
      </c>
      <c r="HL80" t="e">
        <f>AND(NhatkyTon!#REF!,"AAAAAF9+99s=")</f>
        <v>#REF!</v>
      </c>
      <c r="HM80" t="e">
        <f>AND(NhatkyTon!#REF!,"AAAAAF9+99w=")</f>
        <v>#REF!</v>
      </c>
      <c r="HN80" t="e">
        <f>AND(NhatkyTon!#REF!,"AAAAAF9+990=")</f>
        <v>#REF!</v>
      </c>
      <c r="HO80" t="e">
        <f>AND(NhatkyTon!#REF!,"AAAAAF9+994=")</f>
        <v>#REF!</v>
      </c>
      <c r="HP80" t="e">
        <f>AND(NhatkyTon!#REF!,"AAAAAF9+998=")</f>
        <v>#REF!</v>
      </c>
      <c r="HQ80" t="e">
        <f>AND(NhatkyTon!#REF!,"AAAAAF9+9+A=")</f>
        <v>#REF!</v>
      </c>
      <c r="HR80" t="e">
        <f>AND(NhatkyTon!#REF!,"AAAAAF9+9+E=")</f>
        <v>#REF!</v>
      </c>
      <c r="HS80" t="e">
        <f>AND(NhatkyTon!#REF!,"AAAAAF9+9+I=")</f>
        <v>#REF!</v>
      </c>
      <c r="HT80" t="e">
        <f>AND(NhatkyTon!#REF!,"AAAAAF9+9+M=")</f>
        <v>#REF!</v>
      </c>
      <c r="HU80" t="e">
        <f>AND(NhatkyTon!#REF!,"AAAAAF9+9+Q=")</f>
        <v>#REF!</v>
      </c>
      <c r="HV80" t="e">
        <f>AND(NhatkyTon!#REF!,"AAAAAF9+9+U=")</f>
        <v>#REF!</v>
      </c>
      <c r="HW80" t="e">
        <f>AND(NhatkyTon!#REF!,"AAAAAF9+9+Y=")</f>
        <v>#REF!</v>
      </c>
      <c r="HX80" t="e">
        <f>AND(NhatkyTon!#REF!,"AAAAAF9+9+c=")</f>
        <v>#REF!</v>
      </c>
      <c r="HY80" t="e">
        <f>AND(NhatkyTon!#REF!,"AAAAAF9+9+g=")</f>
        <v>#REF!</v>
      </c>
      <c r="HZ80" t="e">
        <f>AND(NhatkyTon!#REF!,"AAAAAF9+9+k=")</f>
        <v>#REF!</v>
      </c>
      <c r="IA80" t="e">
        <f>AND(NhatkyTon!#REF!,"AAAAAF9+9+o=")</f>
        <v>#REF!</v>
      </c>
      <c r="IB80" t="e">
        <f>AND(NhatkyTon!#REF!,"AAAAAF9+9+s=")</f>
        <v>#REF!</v>
      </c>
      <c r="IC80" t="e">
        <f>AND(NhatkyTon!#REF!,"AAAAAF9+9+w=")</f>
        <v>#REF!</v>
      </c>
      <c r="ID80" t="e">
        <f>AND(NhatkyTon!#REF!,"AAAAAF9+9+0=")</f>
        <v>#REF!</v>
      </c>
      <c r="IE80" t="e">
        <f>IF(NhatkyTon!#REF!,"AAAAAF9+9+4=",0)</f>
        <v>#REF!</v>
      </c>
      <c r="IF80" t="e">
        <f>AND(NhatkyTon!#REF!,"AAAAAF9+9+8=")</f>
        <v>#REF!</v>
      </c>
      <c r="IG80" t="e">
        <f>AND(NhatkyTon!#REF!,"AAAAAF9+9/A=")</f>
        <v>#REF!</v>
      </c>
      <c r="IH80" t="e">
        <f>AND(NhatkyTon!#REF!,"AAAAAF9+9/E=")</f>
        <v>#REF!</v>
      </c>
      <c r="II80" t="e">
        <f>AND(NhatkyTon!#REF!,"AAAAAF9+9/I=")</f>
        <v>#REF!</v>
      </c>
      <c r="IJ80" t="e">
        <f>AND(NhatkyTon!#REF!,"AAAAAF9+9/M=")</f>
        <v>#REF!</v>
      </c>
      <c r="IK80" t="e">
        <f>AND(NhatkyTon!#REF!,"AAAAAF9+9/Q=")</f>
        <v>#REF!</v>
      </c>
      <c r="IL80" t="e">
        <f>AND(NhatkyTon!#REF!,"AAAAAF9+9/U=")</f>
        <v>#REF!</v>
      </c>
      <c r="IM80" t="e">
        <f>AND(NhatkyTon!#REF!,"AAAAAF9+9/Y=")</f>
        <v>#REF!</v>
      </c>
      <c r="IN80" t="e">
        <f>AND(NhatkyTon!#REF!,"AAAAAF9+9/c=")</f>
        <v>#REF!</v>
      </c>
      <c r="IO80" t="e">
        <f>AND(NhatkyTon!#REF!,"AAAAAF9+9/g=")</f>
        <v>#REF!</v>
      </c>
      <c r="IP80" t="e">
        <f>AND(NhatkyTon!#REF!,"AAAAAF9+9/k=")</f>
        <v>#REF!</v>
      </c>
      <c r="IQ80" t="e">
        <f>AND(NhatkyTon!#REF!,"AAAAAF9+9/o=")</f>
        <v>#REF!</v>
      </c>
      <c r="IR80" t="e">
        <f>AND(NhatkyTon!#REF!,"AAAAAF9+9/s=")</f>
        <v>#REF!</v>
      </c>
      <c r="IS80" t="e">
        <f>AND(NhatkyTon!#REF!,"AAAAAF9+9/w=")</f>
        <v>#REF!</v>
      </c>
      <c r="IT80" t="e">
        <f>AND(NhatkyTon!#REF!,"AAAAAF9+9/0=")</f>
        <v>#REF!</v>
      </c>
      <c r="IU80" t="e">
        <f>AND(NhatkyTon!#REF!,"AAAAAF9+9/4=")</f>
        <v>#REF!</v>
      </c>
      <c r="IV80" t="e">
        <f>AND(NhatkyTon!#REF!,"AAAAAF9+9/8=")</f>
        <v>#REF!</v>
      </c>
    </row>
    <row r="81" spans="1:256">
      <c r="A81" t="e">
        <f>AND(NhatkyTon!#REF!,"AAAAAD9/5QA=")</f>
        <v>#REF!</v>
      </c>
      <c r="B81" t="e">
        <f>AND(NhatkyTon!#REF!,"AAAAAD9/5QE=")</f>
        <v>#REF!</v>
      </c>
      <c r="C81" t="e">
        <f>AND(NhatkyTon!#REF!,"AAAAAD9/5QI=")</f>
        <v>#REF!</v>
      </c>
      <c r="D81" t="e">
        <f>AND(NhatkyTon!#REF!,"AAAAAD9/5QM=")</f>
        <v>#REF!</v>
      </c>
      <c r="E81" t="e">
        <f>AND(NhatkyTon!#REF!,"AAAAAD9/5QQ=")</f>
        <v>#REF!</v>
      </c>
      <c r="F81" t="e">
        <f>AND(NhatkyTon!#REF!,"AAAAAD9/5QU=")</f>
        <v>#REF!</v>
      </c>
      <c r="G81" t="e">
        <f>AND(NhatkyTon!#REF!,"AAAAAD9/5QY=")</f>
        <v>#REF!</v>
      </c>
      <c r="H81" t="e">
        <f>AND(NhatkyTon!#REF!,"AAAAAD9/5Qc=")</f>
        <v>#REF!</v>
      </c>
      <c r="I81" t="e">
        <f>AND(NhatkyTon!#REF!,"AAAAAD9/5Qg=")</f>
        <v>#REF!</v>
      </c>
      <c r="J81" t="e">
        <f>AND(NhatkyTon!#REF!,"AAAAAD9/5Qk=")</f>
        <v>#REF!</v>
      </c>
      <c r="K81" t="e">
        <f>AND(NhatkyTon!#REF!,"AAAAAD9/5Qo=")</f>
        <v>#REF!</v>
      </c>
      <c r="L81" t="e">
        <f>AND(NhatkyTon!#REF!,"AAAAAD9/5Qs=")</f>
        <v>#REF!</v>
      </c>
      <c r="M81" t="e">
        <f>AND(NhatkyTon!#REF!,"AAAAAD9/5Qw=")</f>
        <v>#REF!</v>
      </c>
      <c r="N81" t="e">
        <f>AND(NhatkyTon!#REF!,"AAAAAD9/5Q0=")</f>
        <v>#REF!</v>
      </c>
      <c r="O81" t="e">
        <f>AND(NhatkyTon!#REF!,"AAAAAD9/5Q4=")</f>
        <v>#REF!</v>
      </c>
      <c r="P81" t="e">
        <f>AND(NhatkyTon!#REF!,"AAAAAD9/5Q8=")</f>
        <v>#REF!</v>
      </c>
      <c r="Q81" t="e">
        <f>AND(NhatkyTon!#REF!,"AAAAAD9/5RA=")</f>
        <v>#REF!</v>
      </c>
      <c r="R81" t="e">
        <f>IF(NhatkyTon!#REF!,"AAAAAD9/5RE=",0)</f>
        <v>#REF!</v>
      </c>
      <c r="S81" t="e">
        <f>AND(NhatkyTon!#REF!,"AAAAAD9/5RI=")</f>
        <v>#REF!</v>
      </c>
      <c r="T81" t="e">
        <f>AND(NhatkyTon!#REF!,"AAAAAD9/5RM=")</f>
        <v>#REF!</v>
      </c>
      <c r="U81" t="e">
        <f>AND(NhatkyTon!#REF!,"AAAAAD9/5RQ=")</f>
        <v>#REF!</v>
      </c>
      <c r="V81" t="e">
        <f>AND(NhatkyTon!#REF!,"AAAAAD9/5RU=")</f>
        <v>#REF!</v>
      </c>
      <c r="W81" t="e">
        <f>AND(NhatkyTon!#REF!,"AAAAAD9/5RY=")</f>
        <v>#REF!</v>
      </c>
      <c r="X81" t="e">
        <f>AND(NhatkyTon!#REF!,"AAAAAD9/5Rc=")</f>
        <v>#REF!</v>
      </c>
      <c r="Y81" t="e">
        <f>AND(NhatkyTon!#REF!,"AAAAAD9/5Rg=")</f>
        <v>#REF!</v>
      </c>
      <c r="Z81" t="e">
        <f>AND(NhatkyTon!#REF!,"AAAAAD9/5Rk=")</f>
        <v>#REF!</v>
      </c>
      <c r="AA81" t="e">
        <f>AND(NhatkyTon!#REF!,"AAAAAD9/5Ro=")</f>
        <v>#REF!</v>
      </c>
      <c r="AB81" t="e">
        <f>AND(NhatkyTon!#REF!,"AAAAAD9/5Rs=")</f>
        <v>#REF!</v>
      </c>
      <c r="AC81" t="e">
        <f>AND(NhatkyTon!#REF!,"AAAAAD9/5Rw=")</f>
        <v>#REF!</v>
      </c>
      <c r="AD81" t="e">
        <f>AND(NhatkyTon!#REF!,"AAAAAD9/5R0=")</f>
        <v>#REF!</v>
      </c>
      <c r="AE81" t="e">
        <f>AND(NhatkyTon!#REF!,"AAAAAD9/5R4=")</f>
        <v>#REF!</v>
      </c>
      <c r="AF81" t="e">
        <f>AND(NhatkyTon!#REF!,"AAAAAD9/5R8=")</f>
        <v>#REF!</v>
      </c>
      <c r="AG81" t="e">
        <f>AND(NhatkyTon!#REF!,"AAAAAD9/5SA=")</f>
        <v>#REF!</v>
      </c>
      <c r="AH81" t="e">
        <f>AND(NhatkyTon!#REF!,"AAAAAD9/5SE=")</f>
        <v>#REF!</v>
      </c>
      <c r="AI81" t="e">
        <f>AND(NhatkyTon!#REF!,"AAAAAD9/5SI=")</f>
        <v>#REF!</v>
      </c>
      <c r="AJ81" t="e">
        <f>AND(NhatkyTon!#REF!,"AAAAAD9/5SM=")</f>
        <v>#REF!</v>
      </c>
      <c r="AK81" t="e">
        <f>AND(NhatkyTon!#REF!,"AAAAAD9/5SQ=")</f>
        <v>#REF!</v>
      </c>
      <c r="AL81" t="e">
        <f>AND(NhatkyTon!#REF!,"AAAAAD9/5SU=")</f>
        <v>#REF!</v>
      </c>
      <c r="AM81" t="e">
        <f>AND(NhatkyTon!#REF!,"AAAAAD9/5SY=")</f>
        <v>#REF!</v>
      </c>
      <c r="AN81" t="e">
        <f>AND(NhatkyTon!#REF!,"AAAAAD9/5Sc=")</f>
        <v>#REF!</v>
      </c>
      <c r="AO81" t="e">
        <f>AND(NhatkyTon!#REF!,"AAAAAD9/5Sg=")</f>
        <v>#REF!</v>
      </c>
      <c r="AP81" t="e">
        <f>AND(NhatkyTon!#REF!,"AAAAAD9/5Sk=")</f>
        <v>#REF!</v>
      </c>
      <c r="AQ81" t="e">
        <f>AND(NhatkyTon!#REF!,"AAAAAD9/5So=")</f>
        <v>#REF!</v>
      </c>
      <c r="AR81" t="e">
        <f>AND(NhatkyTon!#REF!,"AAAAAD9/5Ss=")</f>
        <v>#REF!</v>
      </c>
      <c r="AS81" t="e">
        <f>AND(NhatkyTon!#REF!,"AAAAAD9/5Sw=")</f>
        <v>#REF!</v>
      </c>
      <c r="AT81" t="e">
        <f>AND(NhatkyTon!#REF!,"AAAAAD9/5S0=")</f>
        <v>#REF!</v>
      </c>
      <c r="AU81" t="e">
        <f>AND(NhatkyTon!#REF!,"AAAAAD9/5S4=")</f>
        <v>#REF!</v>
      </c>
      <c r="AV81" t="e">
        <f>AND(NhatkyTon!#REF!,"AAAAAD9/5S8=")</f>
        <v>#REF!</v>
      </c>
      <c r="AW81" t="e">
        <f>AND(NhatkyTon!#REF!,"AAAAAD9/5TA=")</f>
        <v>#REF!</v>
      </c>
      <c r="AX81" t="e">
        <f>AND(NhatkyTon!#REF!,"AAAAAD9/5TE=")</f>
        <v>#REF!</v>
      </c>
      <c r="AY81" t="e">
        <f>AND(NhatkyTon!#REF!,"AAAAAD9/5TI=")</f>
        <v>#REF!</v>
      </c>
      <c r="AZ81" t="e">
        <f>AND(NhatkyTon!#REF!,"AAAAAD9/5TM=")</f>
        <v>#REF!</v>
      </c>
      <c r="BA81" t="e">
        <f>IF(NhatkyTon!#REF!,"AAAAAD9/5TQ=",0)</f>
        <v>#REF!</v>
      </c>
      <c r="BB81" t="e">
        <f>AND(NhatkyTon!#REF!,"AAAAAD9/5TU=")</f>
        <v>#REF!</v>
      </c>
      <c r="BC81" t="e">
        <f>AND(NhatkyTon!#REF!,"AAAAAD9/5TY=")</f>
        <v>#REF!</v>
      </c>
      <c r="BD81" t="e">
        <f>AND(NhatkyTon!#REF!,"AAAAAD9/5Tc=")</f>
        <v>#REF!</v>
      </c>
      <c r="BE81" t="e">
        <f>AND(NhatkyTon!#REF!,"AAAAAD9/5Tg=")</f>
        <v>#REF!</v>
      </c>
      <c r="BF81" t="e">
        <f>AND(NhatkyTon!#REF!,"AAAAAD9/5Tk=")</f>
        <v>#REF!</v>
      </c>
      <c r="BG81" t="e">
        <f>AND(NhatkyTon!#REF!,"AAAAAD9/5To=")</f>
        <v>#REF!</v>
      </c>
      <c r="BH81" t="e">
        <f>AND(NhatkyTon!#REF!,"AAAAAD9/5Ts=")</f>
        <v>#REF!</v>
      </c>
      <c r="BI81" t="e">
        <f>AND(NhatkyTon!#REF!,"AAAAAD9/5Tw=")</f>
        <v>#REF!</v>
      </c>
      <c r="BJ81" t="e">
        <f>AND(NhatkyTon!#REF!,"AAAAAD9/5T0=")</f>
        <v>#REF!</v>
      </c>
      <c r="BK81" t="e">
        <f>AND(NhatkyTon!#REF!,"AAAAAD9/5T4=")</f>
        <v>#REF!</v>
      </c>
      <c r="BL81" t="e">
        <f>AND(NhatkyTon!#REF!,"AAAAAD9/5T8=")</f>
        <v>#REF!</v>
      </c>
      <c r="BM81" t="e">
        <f>AND(NhatkyTon!#REF!,"AAAAAD9/5UA=")</f>
        <v>#REF!</v>
      </c>
      <c r="BN81" t="e">
        <f>AND(NhatkyTon!#REF!,"AAAAAD9/5UE=")</f>
        <v>#REF!</v>
      </c>
      <c r="BO81" t="e">
        <f>AND(NhatkyTon!#REF!,"AAAAAD9/5UI=")</f>
        <v>#REF!</v>
      </c>
      <c r="BP81" t="e">
        <f>AND(NhatkyTon!#REF!,"AAAAAD9/5UM=")</f>
        <v>#REF!</v>
      </c>
      <c r="BQ81" t="e">
        <f>AND(NhatkyTon!#REF!,"AAAAAD9/5UQ=")</f>
        <v>#REF!</v>
      </c>
      <c r="BR81" t="e">
        <f>AND(NhatkyTon!#REF!,"AAAAAD9/5UU=")</f>
        <v>#REF!</v>
      </c>
      <c r="BS81" t="e">
        <f>AND(NhatkyTon!#REF!,"AAAAAD9/5UY=")</f>
        <v>#REF!</v>
      </c>
      <c r="BT81" t="e">
        <f>AND(NhatkyTon!#REF!,"AAAAAD9/5Uc=")</f>
        <v>#REF!</v>
      </c>
      <c r="BU81" t="e">
        <f>AND(NhatkyTon!#REF!,"AAAAAD9/5Ug=")</f>
        <v>#REF!</v>
      </c>
      <c r="BV81" t="e">
        <f>AND(NhatkyTon!#REF!,"AAAAAD9/5Uk=")</f>
        <v>#REF!</v>
      </c>
      <c r="BW81" t="e">
        <f>AND(NhatkyTon!#REF!,"AAAAAD9/5Uo=")</f>
        <v>#REF!</v>
      </c>
      <c r="BX81" t="e">
        <f>AND(NhatkyTon!#REF!,"AAAAAD9/5Us=")</f>
        <v>#REF!</v>
      </c>
      <c r="BY81" t="e">
        <f>AND(NhatkyTon!#REF!,"AAAAAD9/5Uw=")</f>
        <v>#REF!</v>
      </c>
      <c r="BZ81" t="e">
        <f>AND(NhatkyTon!#REF!,"AAAAAD9/5U0=")</f>
        <v>#REF!</v>
      </c>
      <c r="CA81" t="e">
        <f>AND(NhatkyTon!#REF!,"AAAAAD9/5U4=")</f>
        <v>#REF!</v>
      </c>
      <c r="CB81" t="e">
        <f>AND(NhatkyTon!#REF!,"AAAAAD9/5U8=")</f>
        <v>#REF!</v>
      </c>
      <c r="CC81" t="e">
        <f>AND(NhatkyTon!#REF!,"AAAAAD9/5VA=")</f>
        <v>#REF!</v>
      </c>
      <c r="CD81" t="e">
        <f>AND(NhatkyTon!#REF!,"AAAAAD9/5VE=")</f>
        <v>#REF!</v>
      </c>
      <c r="CE81" t="e">
        <f>AND(NhatkyTon!#REF!,"AAAAAD9/5VI=")</f>
        <v>#REF!</v>
      </c>
      <c r="CF81" t="e">
        <f>AND(NhatkyTon!#REF!,"AAAAAD9/5VM=")</f>
        <v>#REF!</v>
      </c>
      <c r="CG81" t="e">
        <f>AND(NhatkyTon!#REF!,"AAAAAD9/5VQ=")</f>
        <v>#REF!</v>
      </c>
      <c r="CH81" t="e">
        <f>AND(NhatkyTon!#REF!,"AAAAAD9/5VU=")</f>
        <v>#REF!</v>
      </c>
      <c r="CI81" t="e">
        <f>AND(NhatkyTon!#REF!,"AAAAAD9/5VY=")</f>
        <v>#REF!</v>
      </c>
      <c r="CJ81" t="e">
        <f>IF(NhatkyTon!#REF!,"AAAAAD9/5Vc=",0)</f>
        <v>#REF!</v>
      </c>
      <c r="CK81" t="e">
        <f>AND(NhatkyTon!#REF!,"AAAAAD9/5Vg=")</f>
        <v>#REF!</v>
      </c>
      <c r="CL81" t="e">
        <f>AND(NhatkyTon!#REF!,"AAAAAD9/5Vk=")</f>
        <v>#REF!</v>
      </c>
      <c r="CM81" t="e">
        <f>AND(NhatkyTon!#REF!,"AAAAAD9/5Vo=")</f>
        <v>#REF!</v>
      </c>
      <c r="CN81" t="e">
        <f>AND(NhatkyTon!#REF!,"AAAAAD9/5Vs=")</f>
        <v>#REF!</v>
      </c>
      <c r="CO81" t="e">
        <f>AND(NhatkyTon!#REF!,"AAAAAD9/5Vw=")</f>
        <v>#REF!</v>
      </c>
      <c r="CP81" t="e">
        <f>AND(NhatkyTon!#REF!,"AAAAAD9/5V0=")</f>
        <v>#REF!</v>
      </c>
      <c r="CQ81" t="e">
        <f>AND(NhatkyTon!#REF!,"AAAAAD9/5V4=")</f>
        <v>#REF!</v>
      </c>
      <c r="CR81" t="e">
        <f>AND(NhatkyTon!#REF!,"AAAAAD9/5V8=")</f>
        <v>#REF!</v>
      </c>
      <c r="CS81" t="e">
        <f>AND(NhatkyTon!#REF!,"AAAAAD9/5WA=")</f>
        <v>#REF!</v>
      </c>
      <c r="CT81" t="e">
        <f>AND(NhatkyTon!#REF!,"AAAAAD9/5WE=")</f>
        <v>#REF!</v>
      </c>
      <c r="CU81" t="e">
        <f>AND(NhatkyTon!#REF!,"AAAAAD9/5WI=")</f>
        <v>#REF!</v>
      </c>
      <c r="CV81" t="e">
        <f>AND(NhatkyTon!#REF!,"AAAAAD9/5WM=")</f>
        <v>#REF!</v>
      </c>
      <c r="CW81" t="e">
        <f>AND(NhatkyTon!#REF!,"AAAAAD9/5WQ=")</f>
        <v>#REF!</v>
      </c>
      <c r="CX81" t="e">
        <f>AND(NhatkyTon!#REF!,"AAAAAD9/5WU=")</f>
        <v>#REF!</v>
      </c>
      <c r="CY81" t="e">
        <f>AND(NhatkyTon!#REF!,"AAAAAD9/5WY=")</f>
        <v>#REF!</v>
      </c>
      <c r="CZ81" t="e">
        <f>AND(NhatkyTon!#REF!,"AAAAAD9/5Wc=")</f>
        <v>#REF!</v>
      </c>
      <c r="DA81" t="e">
        <f>AND(NhatkyTon!#REF!,"AAAAAD9/5Wg=")</f>
        <v>#REF!</v>
      </c>
      <c r="DB81" t="e">
        <f>AND(NhatkyTon!#REF!,"AAAAAD9/5Wk=")</f>
        <v>#REF!</v>
      </c>
      <c r="DC81" t="e">
        <f>AND(NhatkyTon!#REF!,"AAAAAD9/5Wo=")</f>
        <v>#REF!</v>
      </c>
      <c r="DD81" t="e">
        <f>AND(NhatkyTon!#REF!,"AAAAAD9/5Ws=")</f>
        <v>#REF!</v>
      </c>
      <c r="DE81" t="e">
        <f>AND(NhatkyTon!#REF!,"AAAAAD9/5Ww=")</f>
        <v>#REF!</v>
      </c>
      <c r="DF81" t="e">
        <f>AND(NhatkyTon!#REF!,"AAAAAD9/5W0=")</f>
        <v>#REF!</v>
      </c>
      <c r="DG81" t="e">
        <f>AND(NhatkyTon!#REF!,"AAAAAD9/5W4=")</f>
        <v>#REF!</v>
      </c>
      <c r="DH81" t="e">
        <f>AND(NhatkyTon!#REF!,"AAAAAD9/5W8=")</f>
        <v>#REF!</v>
      </c>
      <c r="DI81" t="e">
        <f>AND(NhatkyTon!#REF!,"AAAAAD9/5XA=")</f>
        <v>#REF!</v>
      </c>
      <c r="DJ81" t="e">
        <f>AND(NhatkyTon!#REF!,"AAAAAD9/5XE=")</f>
        <v>#REF!</v>
      </c>
      <c r="DK81" t="e">
        <f>AND(NhatkyTon!#REF!,"AAAAAD9/5XI=")</f>
        <v>#REF!</v>
      </c>
      <c r="DL81" t="e">
        <f>AND(NhatkyTon!#REF!,"AAAAAD9/5XM=")</f>
        <v>#REF!</v>
      </c>
      <c r="DM81" t="e">
        <f>AND(NhatkyTon!#REF!,"AAAAAD9/5XQ=")</f>
        <v>#REF!</v>
      </c>
      <c r="DN81" t="e">
        <f>AND(NhatkyTon!#REF!,"AAAAAD9/5XU=")</f>
        <v>#REF!</v>
      </c>
      <c r="DO81" t="e">
        <f>AND(NhatkyTon!#REF!,"AAAAAD9/5XY=")</f>
        <v>#REF!</v>
      </c>
      <c r="DP81" t="e">
        <f>AND(NhatkyTon!#REF!,"AAAAAD9/5Xc=")</f>
        <v>#REF!</v>
      </c>
      <c r="DQ81" t="e">
        <f>AND(NhatkyTon!#REF!,"AAAAAD9/5Xg=")</f>
        <v>#REF!</v>
      </c>
      <c r="DR81" t="e">
        <f>AND(NhatkyTon!#REF!,"AAAAAD9/5Xk=")</f>
        <v>#REF!</v>
      </c>
      <c r="DS81" t="e">
        <f>IF(NhatkyTon!#REF!,"AAAAAD9/5Xo=",0)</f>
        <v>#REF!</v>
      </c>
      <c r="DT81" t="e">
        <f>AND(NhatkyTon!#REF!,"AAAAAD9/5Xs=")</f>
        <v>#REF!</v>
      </c>
      <c r="DU81" t="e">
        <f>AND(NhatkyTon!#REF!,"AAAAAD9/5Xw=")</f>
        <v>#REF!</v>
      </c>
      <c r="DV81" t="e">
        <f>AND(NhatkyTon!#REF!,"AAAAAD9/5X0=")</f>
        <v>#REF!</v>
      </c>
      <c r="DW81" t="e">
        <f>AND(NhatkyTon!#REF!,"AAAAAD9/5X4=")</f>
        <v>#REF!</v>
      </c>
      <c r="DX81" t="e">
        <f>AND(NhatkyTon!#REF!,"AAAAAD9/5X8=")</f>
        <v>#REF!</v>
      </c>
      <c r="DY81" t="e">
        <f>AND(NhatkyTon!#REF!,"AAAAAD9/5YA=")</f>
        <v>#REF!</v>
      </c>
      <c r="DZ81" t="e">
        <f>AND(NhatkyTon!#REF!,"AAAAAD9/5YE=")</f>
        <v>#REF!</v>
      </c>
      <c r="EA81" t="e">
        <f>AND(NhatkyTon!#REF!,"AAAAAD9/5YI=")</f>
        <v>#REF!</v>
      </c>
      <c r="EB81" t="e">
        <f>AND(NhatkyTon!#REF!,"AAAAAD9/5YM=")</f>
        <v>#REF!</v>
      </c>
      <c r="EC81" t="e">
        <f>AND(NhatkyTon!#REF!,"AAAAAD9/5YQ=")</f>
        <v>#REF!</v>
      </c>
      <c r="ED81" t="e">
        <f>AND(NhatkyTon!#REF!,"AAAAAD9/5YU=")</f>
        <v>#REF!</v>
      </c>
      <c r="EE81" t="e">
        <f>AND(NhatkyTon!#REF!,"AAAAAD9/5YY=")</f>
        <v>#REF!</v>
      </c>
      <c r="EF81" t="e">
        <f>AND(NhatkyTon!#REF!,"AAAAAD9/5Yc=")</f>
        <v>#REF!</v>
      </c>
      <c r="EG81" t="e">
        <f>AND(NhatkyTon!#REF!,"AAAAAD9/5Yg=")</f>
        <v>#REF!</v>
      </c>
      <c r="EH81" t="e">
        <f>AND(NhatkyTon!#REF!,"AAAAAD9/5Yk=")</f>
        <v>#REF!</v>
      </c>
      <c r="EI81" t="e">
        <f>AND(NhatkyTon!#REF!,"AAAAAD9/5Yo=")</f>
        <v>#REF!</v>
      </c>
      <c r="EJ81" t="e">
        <f>AND(NhatkyTon!#REF!,"AAAAAD9/5Ys=")</f>
        <v>#REF!</v>
      </c>
      <c r="EK81" t="e">
        <f>AND(NhatkyTon!#REF!,"AAAAAD9/5Yw=")</f>
        <v>#REF!</v>
      </c>
      <c r="EL81" t="e">
        <f>AND(NhatkyTon!#REF!,"AAAAAD9/5Y0=")</f>
        <v>#REF!</v>
      </c>
      <c r="EM81" t="e">
        <f>AND(NhatkyTon!#REF!,"AAAAAD9/5Y4=")</f>
        <v>#REF!</v>
      </c>
      <c r="EN81" t="e">
        <f>AND(NhatkyTon!#REF!,"AAAAAD9/5Y8=")</f>
        <v>#REF!</v>
      </c>
      <c r="EO81" t="e">
        <f>AND(NhatkyTon!#REF!,"AAAAAD9/5ZA=")</f>
        <v>#REF!</v>
      </c>
      <c r="EP81" t="e">
        <f>AND(NhatkyTon!#REF!,"AAAAAD9/5ZE=")</f>
        <v>#REF!</v>
      </c>
      <c r="EQ81" t="e">
        <f>AND(NhatkyTon!#REF!,"AAAAAD9/5ZI=")</f>
        <v>#REF!</v>
      </c>
      <c r="ER81" t="e">
        <f>AND(NhatkyTon!#REF!,"AAAAAD9/5ZM=")</f>
        <v>#REF!</v>
      </c>
      <c r="ES81" t="e">
        <f>AND(NhatkyTon!#REF!,"AAAAAD9/5ZQ=")</f>
        <v>#REF!</v>
      </c>
      <c r="ET81" t="e">
        <f>AND(NhatkyTon!#REF!,"AAAAAD9/5ZU=")</f>
        <v>#REF!</v>
      </c>
      <c r="EU81" t="e">
        <f>AND(NhatkyTon!#REF!,"AAAAAD9/5ZY=")</f>
        <v>#REF!</v>
      </c>
      <c r="EV81" t="e">
        <f>AND(NhatkyTon!#REF!,"AAAAAD9/5Zc=")</f>
        <v>#REF!</v>
      </c>
      <c r="EW81" t="e">
        <f>AND(NhatkyTon!#REF!,"AAAAAD9/5Zg=")</f>
        <v>#REF!</v>
      </c>
      <c r="EX81" t="e">
        <f>AND(NhatkyTon!#REF!,"AAAAAD9/5Zk=")</f>
        <v>#REF!</v>
      </c>
      <c r="EY81" t="e">
        <f>AND(NhatkyTon!#REF!,"AAAAAD9/5Zo=")</f>
        <v>#REF!</v>
      </c>
      <c r="EZ81" t="e">
        <f>AND(NhatkyTon!#REF!,"AAAAAD9/5Zs=")</f>
        <v>#REF!</v>
      </c>
      <c r="FA81" t="e">
        <f>AND(NhatkyTon!#REF!,"AAAAAD9/5Zw=")</f>
        <v>#REF!</v>
      </c>
      <c r="FB81" t="e">
        <f>IF(NhatkyTon!#REF!,"AAAAAD9/5Z0=",0)</f>
        <v>#REF!</v>
      </c>
      <c r="FC81" t="e">
        <f>AND(NhatkyTon!#REF!,"AAAAAD9/5Z4=")</f>
        <v>#REF!</v>
      </c>
      <c r="FD81" t="e">
        <f>AND(NhatkyTon!#REF!,"AAAAAD9/5Z8=")</f>
        <v>#REF!</v>
      </c>
      <c r="FE81" t="e">
        <f>AND(NhatkyTon!#REF!,"AAAAAD9/5aA=")</f>
        <v>#REF!</v>
      </c>
      <c r="FF81" t="e">
        <f>AND(NhatkyTon!#REF!,"AAAAAD9/5aE=")</f>
        <v>#REF!</v>
      </c>
      <c r="FG81" t="e">
        <f>AND(NhatkyTon!#REF!,"AAAAAD9/5aI=")</f>
        <v>#REF!</v>
      </c>
      <c r="FH81" t="e">
        <f>AND(NhatkyTon!#REF!,"AAAAAD9/5aM=")</f>
        <v>#REF!</v>
      </c>
      <c r="FI81" t="e">
        <f>AND(NhatkyTon!#REF!,"AAAAAD9/5aQ=")</f>
        <v>#REF!</v>
      </c>
      <c r="FJ81" t="e">
        <f>AND(NhatkyTon!#REF!,"AAAAAD9/5aU=")</f>
        <v>#REF!</v>
      </c>
      <c r="FK81" t="e">
        <f>AND(NhatkyTon!#REF!,"AAAAAD9/5aY=")</f>
        <v>#REF!</v>
      </c>
      <c r="FL81" t="e">
        <f>AND(NhatkyTon!#REF!,"AAAAAD9/5ac=")</f>
        <v>#REF!</v>
      </c>
      <c r="FM81" t="e">
        <f>AND(NhatkyTon!#REF!,"AAAAAD9/5ag=")</f>
        <v>#REF!</v>
      </c>
      <c r="FN81" t="e">
        <f>AND(NhatkyTon!#REF!,"AAAAAD9/5ak=")</f>
        <v>#REF!</v>
      </c>
      <c r="FO81" t="e">
        <f>AND(NhatkyTon!#REF!,"AAAAAD9/5ao=")</f>
        <v>#REF!</v>
      </c>
      <c r="FP81" t="e">
        <f>AND(NhatkyTon!#REF!,"AAAAAD9/5as=")</f>
        <v>#REF!</v>
      </c>
      <c r="FQ81" t="e">
        <f>AND(NhatkyTon!#REF!,"AAAAAD9/5aw=")</f>
        <v>#REF!</v>
      </c>
      <c r="FR81" t="e">
        <f>AND(NhatkyTon!#REF!,"AAAAAD9/5a0=")</f>
        <v>#REF!</v>
      </c>
      <c r="FS81" t="e">
        <f>AND(NhatkyTon!#REF!,"AAAAAD9/5a4=")</f>
        <v>#REF!</v>
      </c>
      <c r="FT81" t="e">
        <f>AND(NhatkyTon!#REF!,"AAAAAD9/5a8=")</f>
        <v>#REF!</v>
      </c>
      <c r="FU81" t="e">
        <f>AND(NhatkyTon!#REF!,"AAAAAD9/5bA=")</f>
        <v>#REF!</v>
      </c>
      <c r="FV81" t="e">
        <f>AND(NhatkyTon!#REF!,"AAAAAD9/5bE=")</f>
        <v>#REF!</v>
      </c>
      <c r="FW81" t="e">
        <f>AND(NhatkyTon!#REF!,"AAAAAD9/5bI=")</f>
        <v>#REF!</v>
      </c>
      <c r="FX81" t="e">
        <f>AND(NhatkyTon!#REF!,"AAAAAD9/5bM=")</f>
        <v>#REF!</v>
      </c>
      <c r="FY81" t="e">
        <f>AND(NhatkyTon!#REF!,"AAAAAD9/5bQ=")</f>
        <v>#REF!</v>
      </c>
      <c r="FZ81" t="e">
        <f>AND(NhatkyTon!#REF!,"AAAAAD9/5bU=")</f>
        <v>#REF!</v>
      </c>
      <c r="GA81" t="e">
        <f>AND(NhatkyTon!#REF!,"AAAAAD9/5bY=")</f>
        <v>#REF!</v>
      </c>
      <c r="GB81" t="e">
        <f>AND(NhatkyTon!#REF!,"AAAAAD9/5bc=")</f>
        <v>#REF!</v>
      </c>
      <c r="GC81" t="e">
        <f>AND(NhatkyTon!#REF!,"AAAAAD9/5bg=")</f>
        <v>#REF!</v>
      </c>
      <c r="GD81" t="e">
        <f>AND(NhatkyTon!#REF!,"AAAAAD9/5bk=")</f>
        <v>#REF!</v>
      </c>
      <c r="GE81" t="e">
        <f>AND(NhatkyTon!#REF!,"AAAAAD9/5bo=")</f>
        <v>#REF!</v>
      </c>
      <c r="GF81" t="e">
        <f>AND(NhatkyTon!#REF!,"AAAAAD9/5bs=")</f>
        <v>#REF!</v>
      </c>
      <c r="GG81" t="e">
        <f>AND(NhatkyTon!#REF!,"AAAAAD9/5bw=")</f>
        <v>#REF!</v>
      </c>
      <c r="GH81" t="e">
        <f>AND(NhatkyTon!#REF!,"AAAAAD9/5b0=")</f>
        <v>#REF!</v>
      </c>
      <c r="GI81" t="e">
        <f>AND(NhatkyTon!#REF!,"AAAAAD9/5b4=")</f>
        <v>#REF!</v>
      </c>
      <c r="GJ81" t="e">
        <f>AND(NhatkyTon!#REF!,"AAAAAD9/5b8=")</f>
        <v>#REF!</v>
      </c>
      <c r="GK81" t="e">
        <f>IF(NhatkyTon!#REF!,"AAAAAD9/5cA=",0)</f>
        <v>#REF!</v>
      </c>
      <c r="GL81" t="e">
        <f>AND(NhatkyTon!#REF!,"AAAAAD9/5cE=")</f>
        <v>#REF!</v>
      </c>
      <c r="GM81" t="e">
        <f>AND(NhatkyTon!#REF!,"AAAAAD9/5cI=")</f>
        <v>#REF!</v>
      </c>
      <c r="GN81" t="e">
        <f>AND(NhatkyTon!#REF!,"AAAAAD9/5cM=")</f>
        <v>#REF!</v>
      </c>
      <c r="GO81" t="e">
        <f>AND(NhatkyTon!#REF!,"AAAAAD9/5cQ=")</f>
        <v>#REF!</v>
      </c>
      <c r="GP81" t="e">
        <f>AND(NhatkyTon!#REF!,"AAAAAD9/5cU=")</f>
        <v>#REF!</v>
      </c>
      <c r="GQ81" t="e">
        <f>AND(NhatkyTon!#REF!,"AAAAAD9/5cY=")</f>
        <v>#REF!</v>
      </c>
      <c r="GR81" t="e">
        <f>AND(NhatkyTon!#REF!,"AAAAAD9/5cc=")</f>
        <v>#REF!</v>
      </c>
      <c r="GS81" t="e">
        <f>AND(NhatkyTon!#REF!,"AAAAAD9/5cg=")</f>
        <v>#REF!</v>
      </c>
      <c r="GT81" t="e">
        <f>AND(NhatkyTon!#REF!,"AAAAAD9/5ck=")</f>
        <v>#REF!</v>
      </c>
      <c r="GU81" t="e">
        <f>AND(NhatkyTon!#REF!,"AAAAAD9/5co=")</f>
        <v>#REF!</v>
      </c>
      <c r="GV81" t="e">
        <f>AND(NhatkyTon!#REF!,"AAAAAD9/5cs=")</f>
        <v>#REF!</v>
      </c>
      <c r="GW81" t="e">
        <f>AND(NhatkyTon!#REF!,"AAAAAD9/5cw=")</f>
        <v>#REF!</v>
      </c>
      <c r="GX81" t="e">
        <f>AND(NhatkyTon!#REF!,"AAAAAD9/5c0=")</f>
        <v>#REF!</v>
      </c>
      <c r="GY81" t="e">
        <f>AND(NhatkyTon!#REF!,"AAAAAD9/5c4=")</f>
        <v>#REF!</v>
      </c>
      <c r="GZ81" t="e">
        <f>AND(NhatkyTon!#REF!,"AAAAAD9/5c8=")</f>
        <v>#REF!</v>
      </c>
      <c r="HA81" t="e">
        <f>AND(NhatkyTon!#REF!,"AAAAAD9/5dA=")</f>
        <v>#REF!</v>
      </c>
      <c r="HB81" t="e">
        <f>AND(NhatkyTon!#REF!,"AAAAAD9/5dE=")</f>
        <v>#REF!</v>
      </c>
      <c r="HC81" t="e">
        <f>AND(NhatkyTon!#REF!,"AAAAAD9/5dI=")</f>
        <v>#REF!</v>
      </c>
      <c r="HD81" t="e">
        <f>AND(NhatkyTon!#REF!,"AAAAAD9/5dM=")</f>
        <v>#REF!</v>
      </c>
      <c r="HE81" t="e">
        <f>AND(NhatkyTon!#REF!,"AAAAAD9/5dQ=")</f>
        <v>#REF!</v>
      </c>
      <c r="HF81" t="e">
        <f>AND(NhatkyTon!#REF!,"AAAAAD9/5dU=")</f>
        <v>#REF!</v>
      </c>
      <c r="HG81" t="e">
        <f>AND(NhatkyTon!#REF!,"AAAAAD9/5dY=")</f>
        <v>#REF!</v>
      </c>
      <c r="HH81" t="e">
        <f>AND(NhatkyTon!#REF!,"AAAAAD9/5dc=")</f>
        <v>#REF!</v>
      </c>
      <c r="HI81" t="e">
        <f>AND(NhatkyTon!#REF!,"AAAAAD9/5dg=")</f>
        <v>#REF!</v>
      </c>
      <c r="HJ81" t="e">
        <f>AND(NhatkyTon!#REF!,"AAAAAD9/5dk=")</f>
        <v>#REF!</v>
      </c>
      <c r="HK81" t="e">
        <f>AND(NhatkyTon!#REF!,"AAAAAD9/5do=")</f>
        <v>#REF!</v>
      </c>
      <c r="HL81" t="e">
        <f>AND(NhatkyTon!#REF!,"AAAAAD9/5ds=")</f>
        <v>#REF!</v>
      </c>
      <c r="HM81" t="e">
        <f>AND(NhatkyTon!#REF!,"AAAAAD9/5dw=")</f>
        <v>#REF!</v>
      </c>
      <c r="HN81" t="e">
        <f>AND(NhatkyTon!#REF!,"AAAAAD9/5d0=")</f>
        <v>#REF!</v>
      </c>
      <c r="HO81" t="e">
        <f>AND(NhatkyTon!#REF!,"AAAAAD9/5d4=")</f>
        <v>#REF!</v>
      </c>
      <c r="HP81" t="e">
        <f>AND(NhatkyTon!#REF!,"AAAAAD9/5d8=")</f>
        <v>#REF!</v>
      </c>
      <c r="HQ81" t="e">
        <f>AND(NhatkyTon!#REF!,"AAAAAD9/5eA=")</f>
        <v>#REF!</v>
      </c>
      <c r="HR81" t="e">
        <f>AND(NhatkyTon!#REF!,"AAAAAD9/5eE=")</f>
        <v>#REF!</v>
      </c>
      <c r="HS81" t="e">
        <f>AND(NhatkyTon!#REF!,"AAAAAD9/5eI=")</f>
        <v>#REF!</v>
      </c>
      <c r="HT81" t="e">
        <f>IF(NhatkyTon!#REF!,"AAAAAD9/5eM=",0)</f>
        <v>#REF!</v>
      </c>
      <c r="HU81" t="e">
        <f>AND(NhatkyTon!#REF!,"AAAAAD9/5eQ=")</f>
        <v>#REF!</v>
      </c>
      <c r="HV81" t="e">
        <f>AND(NhatkyTon!#REF!,"AAAAAD9/5eU=")</f>
        <v>#REF!</v>
      </c>
      <c r="HW81" t="e">
        <f>AND(NhatkyTon!#REF!,"AAAAAD9/5eY=")</f>
        <v>#REF!</v>
      </c>
      <c r="HX81" t="e">
        <f>AND(NhatkyTon!#REF!,"AAAAAD9/5ec=")</f>
        <v>#REF!</v>
      </c>
      <c r="HY81" t="e">
        <f>AND(NhatkyTon!#REF!,"AAAAAD9/5eg=")</f>
        <v>#REF!</v>
      </c>
      <c r="HZ81" t="e">
        <f>AND(NhatkyTon!#REF!,"AAAAAD9/5ek=")</f>
        <v>#REF!</v>
      </c>
      <c r="IA81" t="e">
        <f>AND(NhatkyTon!#REF!,"AAAAAD9/5eo=")</f>
        <v>#REF!</v>
      </c>
      <c r="IB81" t="e">
        <f>AND(NhatkyTon!#REF!,"AAAAAD9/5es=")</f>
        <v>#REF!</v>
      </c>
      <c r="IC81" t="e">
        <f>AND(NhatkyTon!#REF!,"AAAAAD9/5ew=")</f>
        <v>#REF!</v>
      </c>
      <c r="ID81" t="e">
        <f>AND(NhatkyTon!#REF!,"AAAAAD9/5e0=")</f>
        <v>#REF!</v>
      </c>
      <c r="IE81" t="e">
        <f>AND(NhatkyTon!#REF!,"AAAAAD9/5e4=")</f>
        <v>#REF!</v>
      </c>
      <c r="IF81" t="e">
        <f>AND(NhatkyTon!#REF!,"AAAAAD9/5e8=")</f>
        <v>#REF!</v>
      </c>
      <c r="IG81" t="e">
        <f>AND(NhatkyTon!#REF!,"AAAAAD9/5fA=")</f>
        <v>#REF!</v>
      </c>
      <c r="IH81" t="e">
        <f>AND(NhatkyTon!#REF!,"AAAAAD9/5fE=")</f>
        <v>#REF!</v>
      </c>
      <c r="II81" t="e">
        <f>AND(NhatkyTon!#REF!,"AAAAAD9/5fI=")</f>
        <v>#REF!</v>
      </c>
      <c r="IJ81" t="e">
        <f>AND(NhatkyTon!#REF!,"AAAAAD9/5fM=")</f>
        <v>#REF!</v>
      </c>
      <c r="IK81" t="e">
        <f>AND(NhatkyTon!#REF!,"AAAAAD9/5fQ=")</f>
        <v>#REF!</v>
      </c>
      <c r="IL81" t="e">
        <f>AND(NhatkyTon!#REF!,"AAAAAD9/5fU=")</f>
        <v>#REF!</v>
      </c>
      <c r="IM81" t="e">
        <f>AND(NhatkyTon!#REF!,"AAAAAD9/5fY=")</f>
        <v>#REF!</v>
      </c>
      <c r="IN81" t="e">
        <f>AND(NhatkyTon!#REF!,"AAAAAD9/5fc=")</f>
        <v>#REF!</v>
      </c>
      <c r="IO81" t="e">
        <f>AND(NhatkyTon!#REF!,"AAAAAD9/5fg=")</f>
        <v>#REF!</v>
      </c>
      <c r="IP81" t="e">
        <f>AND(NhatkyTon!#REF!,"AAAAAD9/5fk=")</f>
        <v>#REF!</v>
      </c>
      <c r="IQ81" t="e">
        <f>AND(NhatkyTon!#REF!,"AAAAAD9/5fo=")</f>
        <v>#REF!</v>
      </c>
      <c r="IR81" t="e">
        <f>AND(NhatkyTon!#REF!,"AAAAAD9/5fs=")</f>
        <v>#REF!</v>
      </c>
      <c r="IS81" t="e">
        <f>AND(NhatkyTon!#REF!,"AAAAAD9/5fw=")</f>
        <v>#REF!</v>
      </c>
      <c r="IT81" t="e">
        <f>AND(NhatkyTon!#REF!,"AAAAAD9/5f0=")</f>
        <v>#REF!</v>
      </c>
      <c r="IU81" t="e">
        <f>AND(NhatkyTon!#REF!,"AAAAAD9/5f4=")</f>
        <v>#REF!</v>
      </c>
      <c r="IV81" t="e">
        <f>AND(NhatkyTon!#REF!,"AAAAAD9/5f8=")</f>
        <v>#REF!</v>
      </c>
    </row>
    <row r="82" spans="1:256">
      <c r="A82" t="e">
        <f>AND(NhatkyTon!#REF!,"AAAAAD///gA=")</f>
        <v>#REF!</v>
      </c>
      <c r="B82" t="e">
        <f>AND(NhatkyTon!#REF!,"AAAAAD///gE=")</f>
        <v>#REF!</v>
      </c>
      <c r="C82" t="e">
        <f>AND(NhatkyTon!#REF!,"AAAAAD///gI=")</f>
        <v>#REF!</v>
      </c>
      <c r="D82" t="e">
        <f>AND(NhatkyTon!#REF!,"AAAAAD///gM=")</f>
        <v>#REF!</v>
      </c>
      <c r="E82" t="e">
        <f>AND(NhatkyTon!#REF!,"AAAAAD///gQ=")</f>
        <v>#REF!</v>
      </c>
      <c r="F82" t="e">
        <f>AND(NhatkyTon!#REF!,"AAAAAD///gU=")</f>
        <v>#REF!</v>
      </c>
      <c r="G82" t="e">
        <f>IF(NhatkyTon!#REF!,"AAAAAD///gY=",0)</f>
        <v>#REF!</v>
      </c>
      <c r="H82" t="e">
        <f>AND(NhatkyTon!#REF!,"AAAAAD///gc=")</f>
        <v>#REF!</v>
      </c>
      <c r="I82" t="e">
        <f>AND(NhatkyTon!#REF!,"AAAAAD///gg=")</f>
        <v>#REF!</v>
      </c>
      <c r="J82" t="e">
        <f>AND(NhatkyTon!#REF!,"AAAAAD///gk=")</f>
        <v>#REF!</v>
      </c>
      <c r="K82" t="e">
        <f>AND(NhatkyTon!#REF!,"AAAAAD///go=")</f>
        <v>#REF!</v>
      </c>
      <c r="L82" t="e">
        <f>AND(NhatkyTon!#REF!,"AAAAAD///gs=")</f>
        <v>#REF!</v>
      </c>
      <c r="M82" t="e">
        <f>AND(NhatkyTon!#REF!,"AAAAAD///gw=")</f>
        <v>#REF!</v>
      </c>
      <c r="N82" t="e">
        <f>AND(NhatkyTon!#REF!,"AAAAAD///g0=")</f>
        <v>#REF!</v>
      </c>
      <c r="O82" t="e">
        <f>AND(NhatkyTon!#REF!,"AAAAAD///g4=")</f>
        <v>#REF!</v>
      </c>
      <c r="P82" t="e">
        <f>AND(NhatkyTon!#REF!,"AAAAAD///g8=")</f>
        <v>#REF!</v>
      </c>
      <c r="Q82" t="e">
        <f>AND(NhatkyTon!#REF!,"AAAAAD///hA=")</f>
        <v>#REF!</v>
      </c>
      <c r="R82" t="e">
        <f>AND(NhatkyTon!#REF!,"AAAAAD///hE=")</f>
        <v>#REF!</v>
      </c>
      <c r="S82" t="e">
        <f>AND(NhatkyTon!#REF!,"AAAAAD///hI=")</f>
        <v>#REF!</v>
      </c>
      <c r="T82" t="e">
        <f>AND(NhatkyTon!#REF!,"AAAAAD///hM=")</f>
        <v>#REF!</v>
      </c>
      <c r="U82" t="e">
        <f>AND(NhatkyTon!#REF!,"AAAAAD///hQ=")</f>
        <v>#REF!</v>
      </c>
      <c r="V82" t="e">
        <f>AND(NhatkyTon!#REF!,"AAAAAD///hU=")</f>
        <v>#REF!</v>
      </c>
      <c r="W82" t="e">
        <f>AND(NhatkyTon!#REF!,"AAAAAD///hY=")</f>
        <v>#REF!</v>
      </c>
      <c r="X82" t="e">
        <f>AND(NhatkyTon!#REF!,"AAAAAD///hc=")</f>
        <v>#REF!</v>
      </c>
      <c r="Y82" t="e">
        <f>AND(NhatkyTon!#REF!,"AAAAAD///hg=")</f>
        <v>#REF!</v>
      </c>
      <c r="Z82" t="e">
        <f>AND(NhatkyTon!#REF!,"AAAAAD///hk=")</f>
        <v>#REF!</v>
      </c>
      <c r="AA82" t="e">
        <f>AND(NhatkyTon!#REF!,"AAAAAD///ho=")</f>
        <v>#REF!</v>
      </c>
      <c r="AB82" t="e">
        <f>AND(NhatkyTon!#REF!,"AAAAAD///hs=")</f>
        <v>#REF!</v>
      </c>
      <c r="AC82" t="e">
        <f>AND(NhatkyTon!#REF!,"AAAAAD///hw=")</f>
        <v>#REF!</v>
      </c>
      <c r="AD82" t="e">
        <f>AND(NhatkyTon!#REF!,"AAAAAD///h0=")</f>
        <v>#REF!</v>
      </c>
      <c r="AE82" t="e">
        <f>AND(NhatkyTon!#REF!,"AAAAAD///h4=")</f>
        <v>#REF!</v>
      </c>
      <c r="AF82" t="e">
        <f>AND(NhatkyTon!#REF!,"AAAAAD///h8=")</f>
        <v>#REF!</v>
      </c>
      <c r="AG82" t="e">
        <f>AND(NhatkyTon!#REF!,"AAAAAD///iA=")</f>
        <v>#REF!</v>
      </c>
      <c r="AH82" t="e">
        <f>AND(NhatkyTon!#REF!,"AAAAAD///iE=")</f>
        <v>#REF!</v>
      </c>
      <c r="AI82" t="e">
        <f>AND(NhatkyTon!#REF!,"AAAAAD///iI=")</f>
        <v>#REF!</v>
      </c>
      <c r="AJ82" t="e">
        <f>AND(NhatkyTon!#REF!,"AAAAAD///iM=")</f>
        <v>#REF!</v>
      </c>
      <c r="AK82" t="e">
        <f>AND(NhatkyTon!#REF!,"AAAAAD///iQ=")</f>
        <v>#REF!</v>
      </c>
      <c r="AL82" t="e">
        <f>AND(NhatkyTon!#REF!,"AAAAAD///iU=")</f>
        <v>#REF!</v>
      </c>
      <c r="AM82" t="e">
        <f>AND(NhatkyTon!#REF!,"AAAAAD///iY=")</f>
        <v>#REF!</v>
      </c>
      <c r="AN82" t="e">
        <f>AND(NhatkyTon!#REF!,"AAAAAD///ic=")</f>
        <v>#REF!</v>
      </c>
      <c r="AO82" t="e">
        <f>AND(NhatkyTon!#REF!,"AAAAAD///ig=")</f>
        <v>#REF!</v>
      </c>
      <c r="AP82" t="e">
        <f>IF(NhatkyTon!#REF!,"AAAAAD///ik=",0)</f>
        <v>#REF!</v>
      </c>
      <c r="AQ82" t="e">
        <f>AND(NhatkyTon!#REF!,"AAAAAD///io=")</f>
        <v>#REF!</v>
      </c>
      <c r="AR82" t="e">
        <f>AND(NhatkyTon!#REF!,"AAAAAD///is=")</f>
        <v>#REF!</v>
      </c>
      <c r="AS82" t="e">
        <f>AND(NhatkyTon!#REF!,"AAAAAD///iw=")</f>
        <v>#REF!</v>
      </c>
      <c r="AT82" t="e">
        <f>AND(NhatkyTon!#REF!,"AAAAAD///i0=")</f>
        <v>#REF!</v>
      </c>
      <c r="AU82" t="e">
        <f>AND(NhatkyTon!#REF!,"AAAAAD///i4=")</f>
        <v>#REF!</v>
      </c>
      <c r="AV82" t="e">
        <f>AND(NhatkyTon!#REF!,"AAAAAD///i8=")</f>
        <v>#REF!</v>
      </c>
      <c r="AW82" t="e">
        <f>AND(NhatkyTon!#REF!,"AAAAAD///jA=")</f>
        <v>#REF!</v>
      </c>
      <c r="AX82" t="e">
        <f>AND(NhatkyTon!#REF!,"AAAAAD///jE=")</f>
        <v>#REF!</v>
      </c>
      <c r="AY82" t="e">
        <f>AND(NhatkyTon!#REF!,"AAAAAD///jI=")</f>
        <v>#REF!</v>
      </c>
      <c r="AZ82" t="e">
        <f>AND(NhatkyTon!#REF!,"AAAAAD///jM=")</f>
        <v>#REF!</v>
      </c>
      <c r="BA82" t="e">
        <f>AND(NhatkyTon!#REF!,"AAAAAD///jQ=")</f>
        <v>#REF!</v>
      </c>
      <c r="BB82" t="e">
        <f>AND(NhatkyTon!#REF!,"AAAAAD///jU=")</f>
        <v>#REF!</v>
      </c>
      <c r="BC82" t="e">
        <f>AND(NhatkyTon!#REF!,"AAAAAD///jY=")</f>
        <v>#REF!</v>
      </c>
      <c r="BD82" t="e">
        <f>AND(NhatkyTon!#REF!,"AAAAAD///jc=")</f>
        <v>#REF!</v>
      </c>
      <c r="BE82" t="e">
        <f>AND(NhatkyTon!#REF!,"AAAAAD///jg=")</f>
        <v>#REF!</v>
      </c>
      <c r="BF82" t="e">
        <f>AND(NhatkyTon!#REF!,"AAAAAD///jk=")</f>
        <v>#REF!</v>
      </c>
      <c r="BG82" t="e">
        <f>AND(NhatkyTon!#REF!,"AAAAAD///jo=")</f>
        <v>#REF!</v>
      </c>
      <c r="BH82" t="e">
        <f>AND(NhatkyTon!#REF!,"AAAAAD///js=")</f>
        <v>#REF!</v>
      </c>
      <c r="BI82" t="e">
        <f>AND(NhatkyTon!#REF!,"AAAAAD///jw=")</f>
        <v>#REF!</v>
      </c>
      <c r="BJ82" t="e">
        <f>AND(NhatkyTon!#REF!,"AAAAAD///j0=")</f>
        <v>#REF!</v>
      </c>
      <c r="BK82" t="e">
        <f>AND(NhatkyTon!#REF!,"AAAAAD///j4=")</f>
        <v>#REF!</v>
      </c>
      <c r="BL82" t="e">
        <f>AND(NhatkyTon!#REF!,"AAAAAD///j8=")</f>
        <v>#REF!</v>
      </c>
      <c r="BM82" t="e">
        <f>AND(NhatkyTon!#REF!,"AAAAAD///kA=")</f>
        <v>#REF!</v>
      </c>
      <c r="BN82" t="e">
        <f>AND(NhatkyTon!#REF!,"AAAAAD///kE=")</f>
        <v>#REF!</v>
      </c>
      <c r="BO82" t="e">
        <f>AND(NhatkyTon!#REF!,"AAAAAD///kI=")</f>
        <v>#REF!</v>
      </c>
      <c r="BP82" t="e">
        <f>AND(NhatkyTon!#REF!,"AAAAAD///kM=")</f>
        <v>#REF!</v>
      </c>
      <c r="BQ82" t="e">
        <f>AND(NhatkyTon!#REF!,"AAAAAD///kQ=")</f>
        <v>#REF!</v>
      </c>
      <c r="BR82" t="e">
        <f>AND(NhatkyTon!#REF!,"AAAAAD///kU=")</f>
        <v>#REF!</v>
      </c>
      <c r="BS82" t="e">
        <f>AND(NhatkyTon!#REF!,"AAAAAD///kY=")</f>
        <v>#REF!</v>
      </c>
      <c r="BT82" t="e">
        <f>AND(NhatkyTon!#REF!,"AAAAAD///kc=")</f>
        <v>#REF!</v>
      </c>
      <c r="BU82" t="e">
        <f>AND(NhatkyTon!#REF!,"AAAAAD///kg=")</f>
        <v>#REF!</v>
      </c>
      <c r="BV82" t="e">
        <f>AND(NhatkyTon!#REF!,"AAAAAD///kk=")</f>
        <v>#REF!</v>
      </c>
      <c r="BW82" t="e">
        <f>AND(NhatkyTon!#REF!,"AAAAAD///ko=")</f>
        <v>#REF!</v>
      </c>
      <c r="BX82" t="e">
        <f>AND(NhatkyTon!#REF!,"AAAAAD///ks=")</f>
        <v>#REF!</v>
      </c>
      <c r="BY82" t="e">
        <f>IF(NhatkyTon!#REF!,"AAAAAD///kw=",0)</f>
        <v>#REF!</v>
      </c>
      <c r="BZ82" t="e">
        <f>AND(NhatkyTon!#REF!,"AAAAAD///k0=")</f>
        <v>#REF!</v>
      </c>
      <c r="CA82" t="e">
        <f>AND(NhatkyTon!#REF!,"AAAAAD///k4=")</f>
        <v>#REF!</v>
      </c>
      <c r="CB82" t="e">
        <f>AND(NhatkyTon!#REF!,"AAAAAD///k8=")</f>
        <v>#REF!</v>
      </c>
      <c r="CC82" t="e">
        <f>AND(NhatkyTon!#REF!,"AAAAAD///lA=")</f>
        <v>#REF!</v>
      </c>
      <c r="CD82" t="e">
        <f>AND(NhatkyTon!#REF!,"AAAAAD///lE=")</f>
        <v>#REF!</v>
      </c>
      <c r="CE82" t="e">
        <f>AND(NhatkyTon!#REF!,"AAAAAD///lI=")</f>
        <v>#REF!</v>
      </c>
      <c r="CF82" t="e">
        <f>AND(NhatkyTon!#REF!,"AAAAAD///lM=")</f>
        <v>#REF!</v>
      </c>
      <c r="CG82" t="e">
        <f>AND(NhatkyTon!#REF!,"AAAAAD///lQ=")</f>
        <v>#REF!</v>
      </c>
      <c r="CH82" t="e">
        <f>AND(NhatkyTon!#REF!,"AAAAAD///lU=")</f>
        <v>#REF!</v>
      </c>
      <c r="CI82" t="e">
        <f>AND(NhatkyTon!#REF!,"AAAAAD///lY=")</f>
        <v>#REF!</v>
      </c>
      <c r="CJ82" t="e">
        <f>AND(NhatkyTon!#REF!,"AAAAAD///lc=")</f>
        <v>#REF!</v>
      </c>
      <c r="CK82" t="e">
        <f>AND(NhatkyTon!#REF!,"AAAAAD///lg=")</f>
        <v>#REF!</v>
      </c>
      <c r="CL82" t="e">
        <f>AND(NhatkyTon!#REF!,"AAAAAD///lk=")</f>
        <v>#REF!</v>
      </c>
      <c r="CM82" t="e">
        <f>AND(NhatkyTon!#REF!,"AAAAAD///lo=")</f>
        <v>#REF!</v>
      </c>
      <c r="CN82" t="e">
        <f>AND(NhatkyTon!#REF!,"AAAAAD///ls=")</f>
        <v>#REF!</v>
      </c>
      <c r="CO82" t="e">
        <f>AND(NhatkyTon!#REF!,"AAAAAD///lw=")</f>
        <v>#REF!</v>
      </c>
      <c r="CP82" t="e">
        <f>AND(NhatkyTon!#REF!,"AAAAAD///l0=")</f>
        <v>#REF!</v>
      </c>
      <c r="CQ82" t="e">
        <f>AND(NhatkyTon!#REF!,"AAAAAD///l4=")</f>
        <v>#REF!</v>
      </c>
      <c r="CR82" t="e">
        <f>AND(NhatkyTon!#REF!,"AAAAAD///l8=")</f>
        <v>#REF!</v>
      </c>
      <c r="CS82" t="e">
        <f>AND(NhatkyTon!#REF!,"AAAAAD///mA=")</f>
        <v>#REF!</v>
      </c>
      <c r="CT82" t="e">
        <f>AND(NhatkyTon!#REF!,"AAAAAD///mE=")</f>
        <v>#REF!</v>
      </c>
      <c r="CU82" t="e">
        <f>AND(NhatkyTon!#REF!,"AAAAAD///mI=")</f>
        <v>#REF!</v>
      </c>
      <c r="CV82" t="e">
        <f>AND(NhatkyTon!#REF!,"AAAAAD///mM=")</f>
        <v>#REF!</v>
      </c>
      <c r="CW82" t="e">
        <f>AND(NhatkyTon!#REF!,"AAAAAD///mQ=")</f>
        <v>#REF!</v>
      </c>
      <c r="CX82" t="e">
        <f>AND(NhatkyTon!#REF!,"AAAAAD///mU=")</f>
        <v>#REF!</v>
      </c>
      <c r="CY82" t="e">
        <f>AND(NhatkyTon!#REF!,"AAAAAD///mY=")</f>
        <v>#REF!</v>
      </c>
      <c r="CZ82" t="e">
        <f>AND(NhatkyTon!#REF!,"AAAAAD///mc=")</f>
        <v>#REF!</v>
      </c>
      <c r="DA82" t="e">
        <f>AND(NhatkyTon!#REF!,"AAAAAD///mg=")</f>
        <v>#REF!</v>
      </c>
      <c r="DB82" t="e">
        <f>AND(NhatkyTon!#REF!,"AAAAAD///mk=")</f>
        <v>#REF!</v>
      </c>
      <c r="DC82" t="e">
        <f>AND(NhatkyTon!#REF!,"AAAAAD///mo=")</f>
        <v>#REF!</v>
      </c>
      <c r="DD82" t="e">
        <f>AND(NhatkyTon!#REF!,"AAAAAD///ms=")</f>
        <v>#REF!</v>
      </c>
      <c r="DE82" t="e">
        <f>AND(NhatkyTon!#REF!,"AAAAAD///mw=")</f>
        <v>#REF!</v>
      </c>
      <c r="DF82" t="e">
        <f>AND(NhatkyTon!#REF!,"AAAAAD///m0=")</f>
        <v>#REF!</v>
      </c>
      <c r="DG82" t="e">
        <f>AND(NhatkyTon!#REF!,"AAAAAD///m4=")</f>
        <v>#REF!</v>
      </c>
      <c r="DH82" t="e">
        <f>IF(NhatkyTon!#REF!,"AAAAAD///m8=",0)</f>
        <v>#REF!</v>
      </c>
      <c r="DI82" t="e">
        <f>AND(NhatkyTon!#REF!,"AAAAAD///nA=")</f>
        <v>#REF!</v>
      </c>
      <c r="DJ82" t="e">
        <f>AND(NhatkyTon!#REF!,"AAAAAD///nE=")</f>
        <v>#REF!</v>
      </c>
      <c r="DK82" t="e">
        <f>AND(NhatkyTon!#REF!,"AAAAAD///nI=")</f>
        <v>#REF!</v>
      </c>
      <c r="DL82" t="e">
        <f>AND(NhatkyTon!#REF!,"AAAAAD///nM=")</f>
        <v>#REF!</v>
      </c>
      <c r="DM82" t="e">
        <f>AND(NhatkyTon!#REF!,"AAAAAD///nQ=")</f>
        <v>#REF!</v>
      </c>
      <c r="DN82" t="e">
        <f>AND(NhatkyTon!#REF!,"AAAAAD///nU=")</f>
        <v>#REF!</v>
      </c>
      <c r="DO82" t="e">
        <f>AND(NhatkyTon!#REF!,"AAAAAD///nY=")</f>
        <v>#REF!</v>
      </c>
      <c r="DP82" t="e">
        <f>AND(NhatkyTon!#REF!,"AAAAAD///nc=")</f>
        <v>#REF!</v>
      </c>
      <c r="DQ82" t="e">
        <f>AND(NhatkyTon!#REF!,"AAAAAD///ng=")</f>
        <v>#REF!</v>
      </c>
      <c r="DR82" t="e">
        <f>AND(NhatkyTon!#REF!,"AAAAAD///nk=")</f>
        <v>#REF!</v>
      </c>
      <c r="DS82" t="e">
        <f>AND(NhatkyTon!#REF!,"AAAAAD///no=")</f>
        <v>#REF!</v>
      </c>
      <c r="DT82" t="e">
        <f>AND(NhatkyTon!#REF!,"AAAAAD///ns=")</f>
        <v>#REF!</v>
      </c>
      <c r="DU82" t="e">
        <f>AND(NhatkyTon!#REF!,"AAAAAD///nw=")</f>
        <v>#REF!</v>
      </c>
      <c r="DV82" t="e">
        <f>AND(NhatkyTon!#REF!,"AAAAAD///n0=")</f>
        <v>#REF!</v>
      </c>
      <c r="DW82" t="e">
        <f>AND(NhatkyTon!#REF!,"AAAAAD///n4=")</f>
        <v>#REF!</v>
      </c>
      <c r="DX82" t="e">
        <f>AND(NhatkyTon!#REF!,"AAAAAD///n8=")</f>
        <v>#REF!</v>
      </c>
      <c r="DY82" t="e">
        <f>AND(NhatkyTon!#REF!,"AAAAAD///oA=")</f>
        <v>#REF!</v>
      </c>
      <c r="DZ82" t="e">
        <f>AND(NhatkyTon!#REF!,"AAAAAD///oE=")</f>
        <v>#REF!</v>
      </c>
      <c r="EA82" t="e">
        <f>AND(NhatkyTon!#REF!,"AAAAAD///oI=")</f>
        <v>#REF!</v>
      </c>
      <c r="EB82" t="e">
        <f>AND(NhatkyTon!#REF!,"AAAAAD///oM=")</f>
        <v>#REF!</v>
      </c>
      <c r="EC82" t="e">
        <f>AND(NhatkyTon!#REF!,"AAAAAD///oQ=")</f>
        <v>#REF!</v>
      </c>
      <c r="ED82" t="e">
        <f>AND(NhatkyTon!#REF!,"AAAAAD///oU=")</f>
        <v>#REF!</v>
      </c>
      <c r="EE82" t="e">
        <f>AND(NhatkyTon!#REF!,"AAAAAD///oY=")</f>
        <v>#REF!</v>
      </c>
      <c r="EF82" t="e">
        <f>AND(NhatkyTon!#REF!,"AAAAAD///oc=")</f>
        <v>#REF!</v>
      </c>
      <c r="EG82" t="e">
        <f>AND(NhatkyTon!#REF!,"AAAAAD///og=")</f>
        <v>#REF!</v>
      </c>
      <c r="EH82" t="e">
        <f>AND(NhatkyTon!#REF!,"AAAAAD///ok=")</f>
        <v>#REF!</v>
      </c>
      <c r="EI82" t="e">
        <f>AND(NhatkyTon!#REF!,"AAAAAD///oo=")</f>
        <v>#REF!</v>
      </c>
      <c r="EJ82" t="e">
        <f>AND(NhatkyTon!#REF!,"AAAAAD///os=")</f>
        <v>#REF!</v>
      </c>
      <c r="EK82" t="e">
        <f>AND(NhatkyTon!#REF!,"AAAAAD///ow=")</f>
        <v>#REF!</v>
      </c>
      <c r="EL82" t="e">
        <f>AND(NhatkyTon!#REF!,"AAAAAD///o0=")</f>
        <v>#REF!</v>
      </c>
      <c r="EM82" t="e">
        <f>AND(NhatkyTon!#REF!,"AAAAAD///o4=")</f>
        <v>#REF!</v>
      </c>
      <c r="EN82" t="e">
        <f>AND(NhatkyTon!#REF!,"AAAAAD///o8=")</f>
        <v>#REF!</v>
      </c>
      <c r="EO82" t="e">
        <f>AND(NhatkyTon!#REF!,"AAAAAD///pA=")</f>
        <v>#REF!</v>
      </c>
      <c r="EP82" t="e">
        <f>AND(NhatkyTon!#REF!,"AAAAAD///pE=")</f>
        <v>#REF!</v>
      </c>
      <c r="EQ82" t="e">
        <f>IF(NhatkyTon!#REF!,"AAAAAD///pI=",0)</f>
        <v>#REF!</v>
      </c>
      <c r="ER82" t="e">
        <f>AND(NhatkyTon!#REF!,"AAAAAD///pM=")</f>
        <v>#REF!</v>
      </c>
      <c r="ES82" t="e">
        <f>AND(NhatkyTon!#REF!,"AAAAAD///pQ=")</f>
        <v>#REF!</v>
      </c>
      <c r="ET82" t="e">
        <f>AND(NhatkyTon!#REF!,"AAAAAD///pU=")</f>
        <v>#REF!</v>
      </c>
      <c r="EU82" t="e">
        <f>AND(NhatkyTon!#REF!,"AAAAAD///pY=")</f>
        <v>#REF!</v>
      </c>
      <c r="EV82" t="e">
        <f>AND(NhatkyTon!#REF!,"AAAAAD///pc=")</f>
        <v>#REF!</v>
      </c>
      <c r="EW82" t="e">
        <f>AND(NhatkyTon!#REF!,"AAAAAD///pg=")</f>
        <v>#REF!</v>
      </c>
      <c r="EX82" t="e">
        <f>AND(NhatkyTon!#REF!,"AAAAAD///pk=")</f>
        <v>#REF!</v>
      </c>
      <c r="EY82" t="e">
        <f>AND(NhatkyTon!#REF!,"AAAAAD///po=")</f>
        <v>#REF!</v>
      </c>
      <c r="EZ82" t="e">
        <f>AND(NhatkyTon!#REF!,"AAAAAD///ps=")</f>
        <v>#REF!</v>
      </c>
      <c r="FA82" t="e">
        <f>AND(NhatkyTon!#REF!,"AAAAAD///pw=")</f>
        <v>#REF!</v>
      </c>
      <c r="FB82" t="e">
        <f>AND(NhatkyTon!#REF!,"AAAAAD///p0=")</f>
        <v>#REF!</v>
      </c>
      <c r="FC82" t="e">
        <f>AND(NhatkyTon!#REF!,"AAAAAD///p4=")</f>
        <v>#REF!</v>
      </c>
      <c r="FD82" t="e">
        <f>AND(NhatkyTon!#REF!,"AAAAAD///p8=")</f>
        <v>#REF!</v>
      </c>
      <c r="FE82" t="e">
        <f>AND(NhatkyTon!#REF!,"AAAAAD///qA=")</f>
        <v>#REF!</v>
      </c>
      <c r="FF82" t="e">
        <f>AND(NhatkyTon!#REF!,"AAAAAD///qE=")</f>
        <v>#REF!</v>
      </c>
      <c r="FG82" t="e">
        <f>AND(NhatkyTon!#REF!,"AAAAAD///qI=")</f>
        <v>#REF!</v>
      </c>
      <c r="FH82" t="e">
        <f>AND(NhatkyTon!#REF!,"AAAAAD///qM=")</f>
        <v>#REF!</v>
      </c>
      <c r="FI82" t="e">
        <f>AND(NhatkyTon!#REF!,"AAAAAD///qQ=")</f>
        <v>#REF!</v>
      </c>
      <c r="FJ82" t="e">
        <f>AND(NhatkyTon!#REF!,"AAAAAD///qU=")</f>
        <v>#REF!</v>
      </c>
      <c r="FK82" t="e">
        <f>AND(NhatkyTon!#REF!,"AAAAAD///qY=")</f>
        <v>#REF!</v>
      </c>
      <c r="FL82" t="e">
        <f>AND(NhatkyTon!#REF!,"AAAAAD///qc=")</f>
        <v>#REF!</v>
      </c>
      <c r="FM82" t="e">
        <f>AND(NhatkyTon!#REF!,"AAAAAD///qg=")</f>
        <v>#REF!</v>
      </c>
      <c r="FN82" t="e">
        <f>AND(NhatkyTon!#REF!,"AAAAAD///qk=")</f>
        <v>#REF!</v>
      </c>
      <c r="FO82" t="e">
        <f>AND(NhatkyTon!#REF!,"AAAAAD///qo=")</f>
        <v>#REF!</v>
      </c>
      <c r="FP82" t="e">
        <f>AND(NhatkyTon!#REF!,"AAAAAD///qs=")</f>
        <v>#REF!</v>
      </c>
      <c r="FQ82" t="e">
        <f>AND(NhatkyTon!#REF!,"AAAAAD///qw=")</f>
        <v>#REF!</v>
      </c>
      <c r="FR82" t="e">
        <f>AND(NhatkyTon!#REF!,"AAAAAD///q0=")</f>
        <v>#REF!</v>
      </c>
      <c r="FS82" t="e">
        <f>AND(NhatkyTon!#REF!,"AAAAAD///q4=")</f>
        <v>#REF!</v>
      </c>
      <c r="FT82" t="e">
        <f>AND(NhatkyTon!#REF!,"AAAAAD///q8=")</f>
        <v>#REF!</v>
      </c>
      <c r="FU82" t="e">
        <f>AND(NhatkyTon!#REF!,"AAAAAD///rA=")</f>
        <v>#REF!</v>
      </c>
      <c r="FV82" t="e">
        <f>AND(NhatkyTon!#REF!,"AAAAAD///rE=")</f>
        <v>#REF!</v>
      </c>
      <c r="FW82" t="e">
        <f>AND(NhatkyTon!#REF!,"AAAAAD///rI=")</f>
        <v>#REF!</v>
      </c>
      <c r="FX82" t="e">
        <f>AND(NhatkyTon!#REF!,"AAAAAD///rM=")</f>
        <v>#REF!</v>
      </c>
      <c r="FY82" t="e">
        <f>AND(NhatkyTon!#REF!,"AAAAAD///rQ=")</f>
        <v>#REF!</v>
      </c>
      <c r="FZ82" t="e">
        <f>IF(NhatkyTon!#REF!,"AAAAAD///rU=",0)</f>
        <v>#REF!</v>
      </c>
      <c r="GA82" t="e">
        <f>AND(NhatkyTon!#REF!,"AAAAAD///rY=")</f>
        <v>#REF!</v>
      </c>
      <c r="GB82" t="e">
        <f>AND(NhatkyTon!#REF!,"AAAAAD///rc=")</f>
        <v>#REF!</v>
      </c>
      <c r="GC82" t="e">
        <f>AND(NhatkyTon!#REF!,"AAAAAD///rg=")</f>
        <v>#REF!</v>
      </c>
      <c r="GD82" t="e">
        <f>AND(NhatkyTon!#REF!,"AAAAAD///rk=")</f>
        <v>#REF!</v>
      </c>
      <c r="GE82" t="e">
        <f>AND(NhatkyTon!#REF!,"AAAAAD///ro=")</f>
        <v>#REF!</v>
      </c>
      <c r="GF82" t="e">
        <f>AND(NhatkyTon!#REF!,"AAAAAD///rs=")</f>
        <v>#REF!</v>
      </c>
      <c r="GG82" t="e">
        <f>AND(NhatkyTon!#REF!,"AAAAAD///rw=")</f>
        <v>#REF!</v>
      </c>
      <c r="GH82" t="e">
        <f>AND(NhatkyTon!#REF!,"AAAAAD///r0=")</f>
        <v>#REF!</v>
      </c>
      <c r="GI82" t="e">
        <f>AND(NhatkyTon!#REF!,"AAAAAD///r4=")</f>
        <v>#REF!</v>
      </c>
      <c r="GJ82" t="e">
        <f>AND(NhatkyTon!#REF!,"AAAAAD///r8=")</f>
        <v>#REF!</v>
      </c>
      <c r="GK82" t="e">
        <f>AND(NhatkyTon!#REF!,"AAAAAD///sA=")</f>
        <v>#REF!</v>
      </c>
      <c r="GL82" t="e">
        <f>AND(NhatkyTon!#REF!,"AAAAAD///sE=")</f>
        <v>#REF!</v>
      </c>
      <c r="GM82" t="e">
        <f>AND(NhatkyTon!#REF!,"AAAAAD///sI=")</f>
        <v>#REF!</v>
      </c>
      <c r="GN82" t="e">
        <f>AND(NhatkyTon!#REF!,"AAAAAD///sM=")</f>
        <v>#REF!</v>
      </c>
      <c r="GO82" t="e">
        <f>AND(NhatkyTon!#REF!,"AAAAAD///sQ=")</f>
        <v>#REF!</v>
      </c>
      <c r="GP82" t="e">
        <f>AND(NhatkyTon!#REF!,"AAAAAD///sU=")</f>
        <v>#REF!</v>
      </c>
      <c r="GQ82" t="e">
        <f>AND(NhatkyTon!#REF!,"AAAAAD///sY=")</f>
        <v>#REF!</v>
      </c>
      <c r="GR82" t="e">
        <f>AND(NhatkyTon!#REF!,"AAAAAD///sc=")</f>
        <v>#REF!</v>
      </c>
      <c r="GS82" t="e">
        <f>AND(NhatkyTon!#REF!,"AAAAAD///sg=")</f>
        <v>#REF!</v>
      </c>
      <c r="GT82" t="e">
        <f>AND(NhatkyTon!#REF!,"AAAAAD///sk=")</f>
        <v>#REF!</v>
      </c>
      <c r="GU82" t="e">
        <f>AND(NhatkyTon!#REF!,"AAAAAD///so=")</f>
        <v>#REF!</v>
      </c>
      <c r="GV82" t="e">
        <f>AND(NhatkyTon!#REF!,"AAAAAD///ss=")</f>
        <v>#REF!</v>
      </c>
      <c r="GW82" t="e">
        <f>AND(NhatkyTon!#REF!,"AAAAAD///sw=")</f>
        <v>#REF!</v>
      </c>
      <c r="GX82" t="e">
        <f>AND(NhatkyTon!#REF!,"AAAAAD///s0=")</f>
        <v>#REF!</v>
      </c>
      <c r="GY82" t="e">
        <f>AND(NhatkyTon!#REF!,"AAAAAD///s4=")</f>
        <v>#REF!</v>
      </c>
      <c r="GZ82" t="e">
        <f>AND(NhatkyTon!#REF!,"AAAAAD///s8=")</f>
        <v>#REF!</v>
      </c>
      <c r="HA82" t="e">
        <f>AND(NhatkyTon!#REF!,"AAAAAD///tA=")</f>
        <v>#REF!</v>
      </c>
      <c r="HB82" t="e">
        <f>AND(NhatkyTon!#REF!,"AAAAAD///tE=")</f>
        <v>#REF!</v>
      </c>
      <c r="HC82" t="e">
        <f>AND(NhatkyTon!#REF!,"AAAAAD///tI=")</f>
        <v>#REF!</v>
      </c>
      <c r="HD82" t="e">
        <f>AND(NhatkyTon!#REF!,"AAAAAD///tM=")</f>
        <v>#REF!</v>
      </c>
      <c r="HE82" t="e">
        <f>AND(NhatkyTon!#REF!,"AAAAAD///tQ=")</f>
        <v>#REF!</v>
      </c>
      <c r="HF82" t="e">
        <f>AND(NhatkyTon!#REF!,"AAAAAD///tU=")</f>
        <v>#REF!</v>
      </c>
      <c r="HG82" t="e">
        <f>AND(NhatkyTon!#REF!,"AAAAAD///tY=")</f>
        <v>#REF!</v>
      </c>
      <c r="HH82" t="e">
        <f>AND(NhatkyTon!#REF!,"AAAAAD///tc=")</f>
        <v>#REF!</v>
      </c>
      <c r="HI82" t="e">
        <f>IF(NhatkyTon!#REF!,"AAAAAD///tg=",0)</f>
        <v>#REF!</v>
      </c>
      <c r="HJ82" t="e">
        <f>AND(NhatkyTon!#REF!,"AAAAAD///tk=")</f>
        <v>#REF!</v>
      </c>
      <c r="HK82" t="e">
        <f>AND(NhatkyTon!#REF!,"AAAAAD///to=")</f>
        <v>#REF!</v>
      </c>
      <c r="HL82" t="e">
        <f>AND(NhatkyTon!#REF!,"AAAAAD///ts=")</f>
        <v>#REF!</v>
      </c>
      <c r="HM82" t="e">
        <f>AND(NhatkyTon!#REF!,"AAAAAD///tw=")</f>
        <v>#REF!</v>
      </c>
      <c r="HN82" t="e">
        <f>AND(NhatkyTon!#REF!,"AAAAAD///t0=")</f>
        <v>#REF!</v>
      </c>
      <c r="HO82" t="e">
        <f>AND(NhatkyTon!#REF!,"AAAAAD///t4=")</f>
        <v>#REF!</v>
      </c>
      <c r="HP82" t="e">
        <f>AND(NhatkyTon!#REF!,"AAAAAD///t8=")</f>
        <v>#REF!</v>
      </c>
      <c r="HQ82" t="e">
        <f>AND(NhatkyTon!#REF!,"AAAAAD///uA=")</f>
        <v>#REF!</v>
      </c>
      <c r="HR82" t="e">
        <f>AND(NhatkyTon!#REF!,"AAAAAD///uE=")</f>
        <v>#REF!</v>
      </c>
      <c r="HS82" t="e">
        <f>AND(NhatkyTon!#REF!,"AAAAAD///uI=")</f>
        <v>#REF!</v>
      </c>
      <c r="HT82" t="e">
        <f>AND(NhatkyTon!#REF!,"AAAAAD///uM=")</f>
        <v>#REF!</v>
      </c>
      <c r="HU82" t="e">
        <f>AND(NhatkyTon!#REF!,"AAAAAD///uQ=")</f>
        <v>#REF!</v>
      </c>
      <c r="HV82" t="e">
        <f>AND(NhatkyTon!#REF!,"AAAAAD///uU=")</f>
        <v>#REF!</v>
      </c>
      <c r="HW82" t="e">
        <f>AND(NhatkyTon!#REF!,"AAAAAD///uY=")</f>
        <v>#REF!</v>
      </c>
      <c r="HX82" t="e">
        <f>AND(NhatkyTon!#REF!,"AAAAAD///uc=")</f>
        <v>#REF!</v>
      </c>
      <c r="HY82" t="e">
        <f>AND(NhatkyTon!#REF!,"AAAAAD///ug=")</f>
        <v>#REF!</v>
      </c>
      <c r="HZ82" t="e">
        <f>AND(NhatkyTon!#REF!,"AAAAAD///uk=")</f>
        <v>#REF!</v>
      </c>
      <c r="IA82" t="e">
        <f>AND(NhatkyTon!#REF!,"AAAAAD///uo=")</f>
        <v>#REF!</v>
      </c>
      <c r="IB82" t="e">
        <f>AND(NhatkyTon!#REF!,"AAAAAD///us=")</f>
        <v>#REF!</v>
      </c>
      <c r="IC82" t="e">
        <f>AND(NhatkyTon!#REF!,"AAAAAD///uw=")</f>
        <v>#REF!</v>
      </c>
      <c r="ID82" t="e">
        <f>AND(NhatkyTon!#REF!,"AAAAAD///u0=")</f>
        <v>#REF!</v>
      </c>
      <c r="IE82" t="e">
        <f>AND(NhatkyTon!#REF!,"AAAAAD///u4=")</f>
        <v>#REF!</v>
      </c>
      <c r="IF82" t="e">
        <f>AND(NhatkyTon!#REF!,"AAAAAD///u8=")</f>
        <v>#REF!</v>
      </c>
      <c r="IG82" t="e">
        <f>AND(NhatkyTon!#REF!,"AAAAAD///vA=")</f>
        <v>#REF!</v>
      </c>
      <c r="IH82" t="e">
        <f>AND(NhatkyTon!#REF!,"AAAAAD///vE=")</f>
        <v>#REF!</v>
      </c>
      <c r="II82" t="e">
        <f>AND(NhatkyTon!#REF!,"AAAAAD///vI=")</f>
        <v>#REF!</v>
      </c>
      <c r="IJ82" t="e">
        <f>AND(NhatkyTon!#REF!,"AAAAAD///vM=")</f>
        <v>#REF!</v>
      </c>
      <c r="IK82" t="e">
        <f>AND(NhatkyTon!#REF!,"AAAAAD///vQ=")</f>
        <v>#REF!</v>
      </c>
      <c r="IL82" t="e">
        <f>AND(NhatkyTon!#REF!,"AAAAAD///vU=")</f>
        <v>#REF!</v>
      </c>
      <c r="IM82" t="e">
        <f>AND(NhatkyTon!#REF!,"AAAAAD///vY=")</f>
        <v>#REF!</v>
      </c>
      <c r="IN82" t="e">
        <f>AND(NhatkyTon!#REF!,"AAAAAD///vc=")</f>
        <v>#REF!</v>
      </c>
      <c r="IO82" t="e">
        <f>AND(NhatkyTon!#REF!,"AAAAAD///vg=")</f>
        <v>#REF!</v>
      </c>
      <c r="IP82" t="e">
        <f>AND(NhatkyTon!#REF!,"AAAAAD///vk=")</f>
        <v>#REF!</v>
      </c>
      <c r="IQ82" t="e">
        <f>AND(NhatkyTon!#REF!,"AAAAAD///vo=")</f>
        <v>#REF!</v>
      </c>
      <c r="IR82" t="e">
        <f>IF(NhatkyTon!#REF!,"AAAAAD///vs=",0)</f>
        <v>#REF!</v>
      </c>
      <c r="IS82" t="e">
        <f>AND(NhatkyTon!#REF!,"AAAAAD///vw=")</f>
        <v>#REF!</v>
      </c>
      <c r="IT82" t="e">
        <f>AND(NhatkyTon!#REF!,"AAAAAD///v0=")</f>
        <v>#REF!</v>
      </c>
      <c r="IU82" t="e">
        <f>AND(NhatkyTon!#REF!,"AAAAAD///v4=")</f>
        <v>#REF!</v>
      </c>
      <c r="IV82" t="e">
        <f>AND(NhatkyTon!#REF!,"AAAAAD///v8=")</f>
        <v>#REF!</v>
      </c>
    </row>
    <row r="83" spans="1:256">
      <c r="A83" t="e">
        <f>AND(NhatkyTon!#REF!,"AAAAACSb/wA=")</f>
        <v>#REF!</v>
      </c>
      <c r="B83" t="e">
        <f>AND(NhatkyTon!#REF!,"AAAAACSb/wE=")</f>
        <v>#REF!</v>
      </c>
      <c r="C83" t="e">
        <f>AND(NhatkyTon!#REF!,"AAAAACSb/wI=")</f>
        <v>#REF!</v>
      </c>
      <c r="D83" t="e">
        <f>AND(NhatkyTon!#REF!,"AAAAACSb/wM=")</f>
        <v>#REF!</v>
      </c>
      <c r="E83" t="e">
        <f>AND(NhatkyTon!#REF!,"AAAAACSb/wQ=")</f>
        <v>#REF!</v>
      </c>
      <c r="F83" t="e">
        <f>AND(NhatkyTon!#REF!,"AAAAACSb/wU=")</f>
        <v>#REF!</v>
      </c>
      <c r="G83" t="e">
        <f>AND(NhatkyTon!#REF!,"AAAAACSb/wY=")</f>
        <v>#REF!</v>
      </c>
      <c r="H83" t="e">
        <f>AND(NhatkyTon!#REF!,"AAAAACSb/wc=")</f>
        <v>#REF!</v>
      </c>
      <c r="I83" t="e">
        <f>AND(NhatkyTon!#REF!,"AAAAACSb/wg=")</f>
        <v>#REF!</v>
      </c>
      <c r="J83" t="e">
        <f>AND(NhatkyTon!#REF!,"AAAAACSb/wk=")</f>
        <v>#REF!</v>
      </c>
      <c r="K83" t="e">
        <f>AND(NhatkyTon!#REF!,"AAAAACSb/wo=")</f>
        <v>#REF!</v>
      </c>
      <c r="L83" t="e">
        <f>AND(NhatkyTon!#REF!,"AAAAACSb/ws=")</f>
        <v>#REF!</v>
      </c>
      <c r="M83" t="e">
        <f>AND(NhatkyTon!#REF!,"AAAAACSb/ww=")</f>
        <v>#REF!</v>
      </c>
      <c r="N83" t="e">
        <f>AND(NhatkyTon!#REF!,"AAAAACSb/w0=")</f>
        <v>#REF!</v>
      </c>
      <c r="O83" t="e">
        <f>AND(NhatkyTon!#REF!,"AAAAACSb/w4=")</f>
        <v>#REF!</v>
      </c>
      <c r="P83" t="e">
        <f>AND(NhatkyTon!#REF!,"AAAAACSb/w8=")</f>
        <v>#REF!</v>
      </c>
      <c r="Q83" t="e">
        <f>AND(NhatkyTon!#REF!,"AAAAACSb/xA=")</f>
        <v>#REF!</v>
      </c>
      <c r="R83" t="e">
        <f>AND(NhatkyTon!#REF!,"AAAAACSb/xE=")</f>
        <v>#REF!</v>
      </c>
      <c r="S83" t="e">
        <f>AND(NhatkyTon!#REF!,"AAAAACSb/xI=")</f>
        <v>#REF!</v>
      </c>
      <c r="T83" t="e">
        <f>AND(NhatkyTon!#REF!,"AAAAACSb/xM=")</f>
        <v>#REF!</v>
      </c>
      <c r="U83" t="e">
        <f>AND(NhatkyTon!#REF!,"AAAAACSb/xQ=")</f>
        <v>#REF!</v>
      </c>
      <c r="V83" t="e">
        <f>AND(NhatkyTon!#REF!,"AAAAACSb/xU=")</f>
        <v>#REF!</v>
      </c>
      <c r="W83" t="e">
        <f>AND(NhatkyTon!#REF!,"AAAAACSb/xY=")</f>
        <v>#REF!</v>
      </c>
      <c r="X83" t="e">
        <f>AND(NhatkyTon!#REF!,"AAAAACSb/xc=")</f>
        <v>#REF!</v>
      </c>
      <c r="Y83" t="e">
        <f>AND(NhatkyTon!#REF!,"AAAAACSb/xg=")</f>
        <v>#REF!</v>
      </c>
      <c r="Z83" t="e">
        <f>AND(NhatkyTon!#REF!,"AAAAACSb/xk=")</f>
        <v>#REF!</v>
      </c>
      <c r="AA83" t="e">
        <f>AND(NhatkyTon!#REF!,"AAAAACSb/xo=")</f>
        <v>#REF!</v>
      </c>
      <c r="AB83" t="e">
        <f>AND(NhatkyTon!#REF!,"AAAAACSb/xs=")</f>
        <v>#REF!</v>
      </c>
      <c r="AC83" t="e">
        <f>AND(NhatkyTon!#REF!,"AAAAACSb/xw=")</f>
        <v>#REF!</v>
      </c>
      <c r="AD83" t="e">
        <f>AND(NhatkyTon!#REF!,"AAAAACSb/x0=")</f>
        <v>#REF!</v>
      </c>
      <c r="AE83" t="e">
        <f>IF(NhatkyTon!#REF!,"AAAAACSb/x4=",0)</f>
        <v>#REF!</v>
      </c>
      <c r="AF83" t="e">
        <f>AND(NhatkyTon!#REF!,"AAAAACSb/x8=")</f>
        <v>#REF!</v>
      </c>
      <c r="AG83" t="e">
        <f>AND(NhatkyTon!#REF!,"AAAAACSb/yA=")</f>
        <v>#REF!</v>
      </c>
      <c r="AH83" t="e">
        <f>AND(NhatkyTon!#REF!,"AAAAACSb/yE=")</f>
        <v>#REF!</v>
      </c>
      <c r="AI83" t="e">
        <f>AND(NhatkyTon!#REF!,"AAAAACSb/yI=")</f>
        <v>#REF!</v>
      </c>
      <c r="AJ83" t="e">
        <f>AND(NhatkyTon!#REF!,"AAAAACSb/yM=")</f>
        <v>#REF!</v>
      </c>
      <c r="AK83" t="e">
        <f>AND(NhatkyTon!#REF!,"AAAAACSb/yQ=")</f>
        <v>#REF!</v>
      </c>
      <c r="AL83" t="e">
        <f>AND(NhatkyTon!#REF!,"AAAAACSb/yU=")</f>
        <v>#REF!</v>
      </c>
      <c r="AM83" t="e">
        <f>AND(NhatkyTon!#REF!,"AAAAACSb/yY=")</f>
        <v>#REF!</v>
      </c>
      <c r="AN83" t="e">
        <f>AND(NhatkyTon!#REF!,"AAAAACSb/yc=")</f>
        <v>#REF!</v>
      </c>
      <c r="AO83" t="e">
        <f>AND(NhatkyTon!#REF!,"AAAAACSb/yg=")</f>
        <v>#REF!</v>
      </c>
      <c r="AP83" t="e">
        <f>AND(NhatkyTon!#REF!,"AAAAACSb/yk=")</f>
        <v>#REF!</v>
      </c>
      <c r="AQ83" t="e">
        <f>AND(NhatkyTon!#REF!,"AAAAACSb/yo=")</f>
        <v>#REF!</v>
      </c>
      <c r="AR83" t="e">
        <f>AND(NhatkyTon!#REF!,"AAAAACSb/ys=")</f>
        <v>#REF!</v>
      </c>
      <c r="AS83" t="e">
        <f>AND(NhatkyTon!#REF!,"AAAAACSb/yw=")</f>
        <v>#REF!</v>
      </c>
      <c r="AT83" t="e">
        <f>AND(NhatkyTon!#REF!,"AAAAACSb/y0=")</f>
        <v>#REF!</v>
      </c>
      <c r="AU83" t="e">
        <f>AND(NhatkyTon!#REF!,"AAAAACSb/y4=")</f>
        <v>#REF!</v>
      </c>
      <c r="AV83" t="e">
        <f>AND(NhatkyTon!#REF!,"AAAAACSb/y8=")</f>
        <v>#REF!</v>
      </c>
      <c r="AW83" t="e">
        <f>AND(NhatkyTon!#REF!,"AAAAACSb/zA=")</f>
        <v>#REF!</v>
      </c>
      <c r="AX83" t="e">
        <f>AND(NhatkyTon!#REF!,"AAAAACSb/zE=")</f>
        <v>#REF!</v>
      </c>
      <c r="AY83" t="e">
        <f>AND(NhatkyTon!#REF!,"AAAAACSb/zI=")</f>
        <v>#REF!</v>
      </c>
      <c r="AZ83" t="e">
        <f>AND(NhatkyTon!#REF!,"AAAAACSb/zM=")</f>
        <v>#REF!</v>
      </c>
      <c r="BA83" t="e">
        <f>AND(NhatkyTon!#REF!,"AAAAACSb/zQ=")</f>
        <v>#REF!</v>
      </c>
      <c r="BB83" t="e">
        <f>AND(NhatkyTon!#REF!,"AAAAACSb/zU=")</f>
        <v>#REF!</v>
      </c>
      <c r="BC83" t="e">
        <f>AND(NhatkyTon!#REF!,"AAAAACSb/zY=")</f>
        <v>#REF!</v>
      </c>
      <c r="BD83" t="e">
        <f>AND(NhatkyTon!#REF!,"AAAAACSb/zc=")</f>
        <v>#REF!</v>
      </c>
      <c r="BE83" t="e">
        <f>AND(NhatkyTon!#REF!,"AAAAACSb/zg=")</f>
        <v>#REF!</v>
      </c>
      <c r="BF83" t="e">
        <f>AND(NhatkyTon!#REF!,"AAAAACSb/zk=")</f>
        <v>#REF!</v>
      </c>
      <c r="BG83" t="e">
        <f>AND(NhatkyTon!#REF!,"AAAAACSb/zo=")</f>
        <v>#REF!</v>
      </c>
      <c r="BH83" t="e">
        <f>AND(NhatkyTon!#REF!,"AAAAACSb/zs=")</f>
        <v>#REF!</v>
      </c>
      <c r="BI83" t="e">
        <f>AND(NhatkyTon!#REF!,"AAAAACSb/zw=")</f>
        <v>#REF!</v>
      </c>
      <c r="BJ83" t="e">
        <f>AND(NhatkyTon!#REF!,"AAAAACSb/z0=")</f>
        <v>#REF!</v>
      </c>
      <c r="BK83" t="e">
        <f>AND(NhatkyTon!#REF!,"AAAAACSb/z4=")</f>
        <v>#REF!</v>
      </c>
      <c r="BL83" t="e">
        <f>AND(NhatkyTon!#REF!,"AAAAACSb/z8=")</f>
        <v>#REF!</v>
      </c>
      <c r="BM83" t="e">
        <f>AND(NhatkyTon!#REF!,"AAAAACSb/0A=")</f>
        <v>#REF!</v>
      </c>
      <c r="BN83" t="e">
        <f>IF(NhatkyTon!#REF!,"AAAAACSb/0E=",0)</f>
        <v>#REF!</v>
      </c>
      <c r="BO83" t="e">
        <f>AND(NhatkyTon!#REF!,"AAAAACSb/0I=")</f>
        <v>#REF!</v>
      </c>
      <c r="BP83" t="e">
        <f>AND(NhatkyTon!#REF!,"AAAAACSb/0M=")</f>
        <v>#REF!</v>
      </c>
      <c r="BQ83" t="e">
        <f>AND(NhatkyTon!#REF!,"AAAAACSb/0Q=")</f>
        <v>#REF!</v>
      </c>
      <c r="BR83" t="e">
        <f>AND(NhatkyTon!#REF!,"AAAAACSb/0U=")</f>
        <v>#REF!</v>
      </c>
      <c r="BS83" t="e">
        <f>AND(NhatkyTon!#REF!,"AAAAACSb/0Y=")</f>
        <v>#REF!</v>
      </c>
      <c r="BT83" t="e">
        <f>AND(NhatkyTon!#REF!,"AAAAACSb/0c=")</f>
        <v>#REF!</v>
      </c>
      <c r="BU83" t="e">
        <f>AND(NhatkyTon!#REF!,"AAAAACSb/0g=")</f>
        <v>#REF!</v>
      </c>
      <c r="BV83" t="e">
        <f>AND(NhatkyTon!#REF!,"AAAAACSb/0k=")</f>
        <v>#REF!</v>
      </c>
      <c r="BW83" t="e">
        <f>AND(NhatkyTon!#REF!,"AAAAACSb/0o=")</f>
        <v>#REF!</v>
      </c>
      <c r="BX83" t="e">
        <f>AND(NhatkyTon!#REF!,"AAAAACSb/0s=")</f>
        <v>#REF!</v>
      </c>
      <c r="BY83" t="e">
        <f>AND(NhatkyTon!#REF!,"AAAAACSb/0w=")</f>
        <v>#REF!</v>
      </c>
      <c r="BZ83" t="e">
        <f>AND(NhatkyTon!#REF!,"AAAAACSb/00=")</f>
        <v>#REF!</v>
      </c>
      <c r="CA83" t="e">
        <f>AND(NhatkyTon!#REF!,"AAAAACSb/04=")</f>
        <v>#REF!</v>
      </c>
      <c r="CB83" t="e">
        <f>AND(NhatkyTon!#REF!,"AAAAACSb/08=")</f>
        <v>#REF!</v>
      </c>
      <c r="CC83" t="e">
        <f>AND(NhatkyTon!#REF!,"AAAAACSb/1A=")</f>
        <v>#REF!</v>
      </c>
      <c r="CD83" t="e">
        <f>AND(NhatkyTon!#REF!,"AAAAACSb/1E=")</f>
        <v>#REF!</v>
      </c>
      <c r="CE83" t="e">
        <f>AND(NhatkyTon!#REF!,"AAAAACSb/1I=")</f>
        <v>#REF!</v>
      </c>
      <c r="CF83" t="e">
        <f>AND(NhatkyTon!#REF!,"AAAAACSb/1M=")</f>
        <v>#REF!</v>
      </c>
      <c r="CG83" t="e">
        <f>AND(NhatkyTon!#REF!,"AAAAACSb/1Q=")</f>
        <v>#REF!</v>
      </c>
      <c r="CH83" t="e">
        <f>AND(NhatkyTon!#REF!,"AAAAACSb/1U=")</f>
        <v>#REF!</v>
      </c>
      <c r="CI83" t="e">
        <f>AND(NhatkyTon!#REF!,"AAAAACSb/1Y=")</f>
        <v>#REF!</v>
      </c>
      <c r="CJ83" t="e">
        <f>AND(NhatkyTon!#REF!,"AAAAACSb/1c=")</f>
        <v>#REF!</v>
      </c>
      <c r="CK83" t="e">
        <f>AND(NhatkyTon!#REF!,"AAAAACSb/1g=")</f>
        <v>#REF!</v>
      </c>
      <c r="CL83" t="e">
        <f>AND(NhatkyTon!#REF!,"AAAAACSb/1k=")</f>
        <v>#REF!</v>
      </c>
      <c r="CM83" t="e">
        <f>AND(NhatkyTon!#REF!,"AAAAACSb/1o=")</f>
        <v>#REF!</v>
      </c>
      <c r="CN83" t="e">
        <f>AND(NhatkyTon!#REF!,"AAAAACSb/1s=")</f>
        <v>#REF!</v>
      </c>
      <c r="CO83" t="e">
        <f>AND(NhatkyTon!#REF!,"AAAAACSb/1w=")</f>
        <v>#REF!</v>
      </c>
      <c r="CP83" t="e">
        <f>AND(NhatkyTon!#REF!,"AAAAACSb/10=")</f>
        <v>#REF!</v>
      </c>
      <c r="CQ83" t="e">
        <f>AND(NhatkyTon!#REF!,"AAAAACSb/14=")</f>
        <v>#REF!</v>
      </c>
      <c r="CR83" t="e">
        <f>AND(NhatkyTon!#REF!,"AAAAACSb/18=")</f>
        <v>#REF!</v>
      </c>
      <c r="CS83" t="e">
        <f>AND(NhatkyTon!#REF!,"AAAAACSb/2A=")</f>
        <v>#REF!</v>
      </c>
      <c r="CT83" t="e">
        <f>AND(NhatkyTon!#REF!,"AAAAACSb/2E=")</f>
        <v>#REF!</v>
      </c>
      <c r="CU83" t="e">
        <f>AND(NhatkyTon!#REF!,"AAAAACSb/2I=")</f>
        <v>#REF!</v>
      </c>
      <c r="CV83" t="e">
        <f>AND(NhatkyTon!#REF!,"AAAAACSb/2M=")</f>
        <v>#REF!</v>
      </c>
      <c r="CW83" t="e">
        <f>IF(NhatkyTon!#REF!,"AAAAACSb/2Q=",0)</f>
        <v>#REF!</v>
      </c>
      <c r="CX83" t="e">
        <f>AND(NhatkyTon!#REF!,"AAAAACSb/2U=")</f>
        <v>#REF!</v>
      </c>
      <c r="CY83" t="e">
        <f>AND(NhatkyTon!#REF!,"AAAAACSb/2Y=")</f>
        <v>#REF!</v>
      </c>
      <c r="CZ83" t="e">
        <f>AND(NhatkyTon!#REF!,"AAAAACSb/2c=")</f>
        <v>#REF!</v>
      </c>
      <c r="DA83" t="e">
        <f>AND(NhatkyTon!#REF!,"AAAAACSb/2g=")</f>
        <v>#REF!</v>
      </c>
      <c r="DB83" t="e">
        <f>AND(NhatkyTon!#REF!,"AAAAACSb/2k=")</f>
        <v>#REF!</v>
      </c>
      <c r="DC83" t="e">
        <f>AND(NhatkyTon!#REF!,"AAAAACSb/2o=")</f>
        <v>#REF!</v>
      </c>
      <c r="DD83" t="e">
        <f>AND(NhatkyTon!#REF!,"AAAAACSb/2s=")</f>
        <v>#REF!</v>
      </c>
      <c r="DE83" t="e">
        <f>AND(NhatkyTon!#REF!,"AAAAACSb/2w=")</f>
        <v>#REF!</v>
      </c>
      <c r="DF83" t="e">
        <f>AND(NhatkyTon!#REF!,"AAAAACSb/20=")</f>
        <v>#REF!</v>
      </c>
      <c r="DG83" t="e">
        <f>AND(NhatkyTon!#REF!,"AAAAACSb/24=")</f>
        <v>#REF!</v>
      </c>
      <c r="DH83" t="e">
        <f>AND(NhatkyTon!#REF!,"AAAAACSb/28=")</f>
        <v>#REF!</v>
      </c>
      <c r="DI83" t="e">
        <f>AND(NhatkyTon!#REF!,"AAAAACSb/3A=")</f>
        <v>#REF!</v>
      </c>
      <c r="DJ83" t="e">
        <f>AND(NhatkyTon!#REF!,"AAAAACSb/3E=")</f>
        <v>#REF!</v>
      </c>
      <c r="DK83" t="e">
        <f>AND(NhatkyTon!#REF!,"AAAAACSb/3I=")</f>
        <v>#REF!</v>
      </c>
      <c r="DL83" t="e">
        <f>AND(NhatkyTon!#REF!,"AAAAACSb/3M=")</f>
        <v>#REF!</v>
      </c>
      <c r="DM83" t="e">
        <f>AND(NhatkyTon!#REF!,"AAAAACSb/3Q=")</f>
        <v>#REF!</v>
      </c>
      <c r="DN83" t="e">
        <f>AND(NhatkyTon!#REF!,"AAAAACSb/3U=")</f>
        <v>#REF!</v>
      </c>
      <c r="DO83" t="e">
        <f>AND(NhatkyTon!#REF!,"AAAAACSb/3Y=")</f>
        <v>#REF!</v>
      </c>
      <c r="DP83" t="e">
        <f>AND(NhatkyTon!#REF!,"AAAAACSb/3c=")</f>
        <v>#REF!</v>
      </c>
      <c r="DQ83" t="e">
        <f>AND(NhatkyTon!#REF!,"AAAAACSb/3g=")</f>
        <v>#REF!</v>
      </c>
      <c r="DR83" t="e">
        <f>AND(NhatkyTon!#REF!,"AAAAACSb/3k=")</f>
        <v>#REF!</v>
      </c>
      <c r="DS83" t="e">
        <f>AND(NhatkyTon!#REF!,"AAAAACSb/3o=")</f>
        <v>#REF!</v>
      </c>
      <c r="DT83" t="e">
        <f>AND(NhatkyTon!#REF!,"AAAAACSb/3s=")</f>
        <v>#REF!</v>
      </c>
      <c r="DU83" t="e">
        <f>AND(NhatkyTon!#REF!,"AAAAACSb/3w=")</f>
        <v>#REF!</v>
      </c>
      <c r="DV83" t="e">
        <f>AND(NhatkyTon!#REF!,"AAAAACSb/30=")</f>
        <v>#REF!</v>
      </c>
      <c r="DW83" t="e">
        <f>AND(NhatkyTon!#REF!,"AAAAACSb/34=")</f>
        <v>#REF!</v>
      </c>
      <c r="DX83" t="e">
        <f>AND(NhatkyTon!#REF!,"AAAAACSb/38=")</f>
        <v>#REF!</v>
      </c>
      <c r="DY83" t="e">
        <f>AND(NhatkyTon!#REF!,"AAAAACSb/4A=")</f>
        <v>#REF!</v>
      </c>
      <c r="DZ83" t="e">
        <f>AND(NhatkyTon!#REF!,"AAAAACSb/4E=")</f>
        <v>#REF!</v>
      </c>
      <c r="EA83" t="e">
        <f>AND(NhatkyTon!#REF!,"AAAAACSb/4I=")</f>
        <v>#REF!</v>
      </c>
      <c r="EB83" t="e">
        <f>AND(NhatkyTon!#REF!,"AAAAACSb/4M=")</f>
        <v>#REF!</v>
      </c>
      <c r="EC83" t="e">
        <f>AND(NhatkyTon!#REF!,"AAAAACSb/4Q=")</f>
        <v>#REF!</v>
      </c>
      <c r="ED83" t="e">
        <f>AND(NhatkyTon!#REF!,"AAAAACSb/4U=")</f>
        <v>#REF!</v>
      </c>
      <c r="EE83" t="e">
        <f>AND(NhatkyTon!#REF!,"AAAAACSb/4Y=")</f>
        <v>#REF!</v>
      </c>
      <c r="EF83" t="e">
        <f>IF(NhatkyTon!#REF!,"AAAAACSb/4c=",0)</f>
        <v>#REF!</v>
      </c>
      <c r="EG83" t="e">
        <f>AND(NhatkyTon!#REF!,"AAAAACSb/4g=")</f>
        <v>#REF!</v>
      </c>
      <c r="EH83" t="e">
        <f>AND(NhatkyTon!#REF!,"AAAAACSb/4k=")</f>
        <v>#REF!</v>
      </c>
      <c r="EI83" t="e">
        <f>AND(NhatkyTon!#REF!,"AAAAACSb/4o=")</f>
        <v>#REF!</v>
      </c>
      <c r="EJ83" t="e">
        <f>AND(NhatkyTon!#REF!,"AAAAACSb/4s=")</f>
        <v>#REF!</v>
      </c>
      <c r="EK83" t="e">
        <f>AND(NhatkyTon!#REF!,"AAAAACSb/4w=")</f>
        <v>#REF!</v>
      </c>
      <c r="EL83" t="e">
        <f>AND(NhatkyTon!#REF!,"AAAAACSb/40=")</f>
        <v>#REF!</v>
      </c>
      <c r="EM83" t="e">
        <f>AND(NhatkyTon!#REF!,"AAAAACSb/44=")</f>
        <v>#REF!</v>
      </c>
      <c r="EN83" t="e">
        <f>AND(NhatkyTon!#REF!,"AAAAACSb/48=")</f>
        <v>#REF!</v>
      </c>
      <c r="EO83" t="e">
        <f>AND(NhatkyTon!#REF!,"AAAAACSb/5A=")</f>
        <v>#REF!</v>
      </c>
      <c r="EP83" t="e">
        <f>AND(NhatkyTon!#REF!,"AAAAACSb/5E=")</f>
        <v>#REF!</v>
      </c>
      <c r="EQ83" t="e">
        <f>AND(NhatkyTon!#REF!,"AAAAACSb/5I=")</f>
        <v>#REF!</v>
      </c>
      <c r="ER83" t="e">
        <f>AND(NhatkyTon!#REF!,"AAAAACSb/5M=")</f>
        <v>#REF!</v>
      </c>
      <c r="ES83" t="e">
        <f>AND(NhatkyTon!#REF!,"AAAAACSb/5Q=")</f>
        <v>#REF!</v>
      </c>
      <c r="ET83" t="e">
        <f>AND(NhatkyTon!#REF!,"AAAAACSb/5U=")</f>
        <v>#REF!</v>
      </c>
      <c r="EU83" t="e">
        <f>AND(NhatkyTon!#REF!,"AAAAACSb/5Y=")</f>
        <v>#REF!</v>
      </c>
      <c r="EV83" t="e">
        <f>AND(NhatkyTon!#REF!,"AAAAACSb/5c=")</f>
        <v>#REF!</v>
      </c>
      <c r="EW83" t="e">
        <f>AND(NhatkyTon!#REF!,"AAAAACSb/5g=")</f>
        <v>#REF!</v>
      </c>
      <c r="EX83" t="e">
        <f>AND(NhatkyTon!#REF!,"AAAAACSb/5k=")</f>
        <v>#REF!</v>
      </c>
      <c r="EY83" t="e">
        <f>AND(NhatkyTon!#REF!,"AAAAACSb/5o=")</f>
        <v>#REF!</v>
      </c>
      <c r="EZ83" t="e">
        <f>AND(NhatkyTon!#REF!,"AAAAACSb/5s=")</f>
        <v>#REF!</v>
      </c>
      <c r="FA83" t="e">
        <f>AND(NhatkyTon!#REF!,"AAAAACSb/5w=")</f>
        <v>#REF!</v>
      </c>
      <c r="FB83" t="e">
        <f>AND(NhatkyTon!#REF!,"AAAAACSb/50=")</f>
        <v>#REF!</v>
      </c>
      <c r="FC83" t="e">
        <f>AND(NhatkyTon!#REF!,"AAAAACSb/54=")</f>
        <v>#REF!</v>
      </c>
      <c r="FD83" t="e">
        <f>AND(NhatkyTon!#REF!,"AAAAACSb/58=")</f>
        <v>#REF!</v>
      </c>
      <c r="FE83" t="e">
        <f>AND(NhatkyTon!#REF!,"AAAAACSb/6A=")</f>
        <v>#REF!</v>
      </c>
      <c r="FF83" t="e">
        <f>AND(NhatkyTon!#REF!,"AAAAACSb/6E=")</f>
        <v>#REF!</v>
      </c>
      <c r="FG83" t="e">
        <f>AND(NhatkyTon!#REF!,"AAAAACSb/6I=")</f>
        <v>#REF!</v>
      </c>
      <c r="FH83" t="e">
        <f>AND(NhatkyTon!#REF!,"AAAAACSb/6M=")</f>
        <v>#REF!</v>
      </c>
      <c r="FI83" t="e">
        <f>AND(NhatkyTon!#REF!,"AAAAACSb/6Q=")</f>
        <v>#REF!</v>
      </c>
      <c r="FJ83" t="e">
        <f>AND(NhatkyTon!#REF!,"AAAAACSb/6U=")</f>
        <v>#REF!</v>
      </c>
      <c r="FK83" t="e">
        <f>AND(NhatkyTon!#REF!,"AAAAACSb/6Y=")</f>
        <v>#REF!</v>
      </c>
      <c r="FL83" t="e">
        <f>AND(NhatkyTon!#REF!,"AAAAACSb/6c=")</f>
        <v>#REF!</v>
      </c>
      <c r="FM83" t="e">
        <f>AND(NhatkyTon!#REF!,"AAAAACSb/6g=")</f>
        <v>#REF!</v>
      </c>
      <c r="FN83" t="e">
        <f>AND(NhatkyTon!#REF!,"AAAAACSb/6k=")</f>
        <v>#REF!</v>
      </c>
      <c r="FO83" t="e">
        <f>IF(NhatkyTon!#REF!,"AAAAACSb/6o=",0)</f>
        <v>#REF!</v>
      </c>
      <c r="FP83" t="e">
        <f>AND(NhatkyTon!#REF!,"AAAAACSb/6s=")</f>
        <v>#REF!</v>
      </c>
      <c r="FQ83" t="e">
        <f>AND(NhatkyTon!#REF!,"AAAAACSb/6w=")</f>
        <v>#REF!</v>
      </c>
      <c r="FR83" t="e">
        <f>AND(NhatkyTon!#REF!,"AAAAACSb/60=")</f>
        <v>#REF!</v>
      </c>
      <c r="FS83" t="e">
        <f>AND(NhatkyTon!#REF!,"AAAAACSb/64=")</f>
        <v>#REF!</v>
      </c>
      <c r="FT83" t="e">
        <f>AND(NhatkyTon!#REF!,"AAAAACSb/68=")</f>
        <v>#REF!</v>
      </c>
      <c r="FU83" t="e">
        <f>AND(NhatkyTon!#REF!,"AAAAACSb/7A=")</f>
        <v>#REF!</v>
      </c>
      <c r="FV83" t="e">
        <f>AND(NhatkyTon!#REF!,"AAAAACSb/7E=")</f>
        <v>#REF!</v>
      </c>
      <c r="FW83" t="e">
        <f>AND(NhatkyTon!#REF!,"AAAAACSb/7I=")</f>
        <v>#REF!</v>
      </c>
      <c r="FX83" t="e">
        <f>AND(NhatkyTon!#REF!,"AAAAACSb/7M=")</f>
        <v>#REF!</v>
      </c>
      <c r="FY83" t="e">
        <f>AND(NhatkyTon!#REF!,"AAAAACSb/7Q=")</f>
        <v>#REF!</v>
      </c>
      <c r="FZ83" t="e">
        <f>AND(NhatkyTon!#REF!,"AAAAACSb/7U=")</f>
        <v>#REF!</v>
      </c>
      <c r="GA83" t="e">
        <f>AND(NhatkyTon!#REF!,"AAAAACSb/7Y=")</f>
        <v>#REF!</v>
      </c>
      <c r="GB83" t="e">
        <f>AND(NhatkyTon!#REF!,"AAAAACSb/7c=")</f>
        <v>#REF!</v>
      </c>
      <c r="GC83" t="e">
        <f>AND(NhatkyTon!#REF!,"AAAAACSb/7g=")</f>
        <v>#REF!</v>
      </c>
      <c r="GD83" t="e">
        <f>AND(NhatkyTon!#REF!,"AAAAACSb/7k=")</f>
        <v>#REF!</v>
      </c>
      <c r="GE83" t="e">
        <f>AND(NhatkyTon!#REF!,"AAAAACSb/7o=")</f>
        <v>#REF!</v>
      </c>
      <c r="GF83" t="e">
        <f>AND(NhatkyTon!#REF!,"AAAAACSb/7s=")</f>
        <v>#REF!</v>
      </c>
      <c r="GG83" t="e">
        <f>AND(NhatkyTon!#REF!,"AAAAACSb/7w=")</f>
        <v>#REF!</v>
      </c>
      <c r="GH83" t="e">
        <f>AND(NhatkyTon!#REF!,"AAAAACSb/70=")</f>
        <v>#REF!</v>
      </c>
      <c r="GI83" t="e">
        <f>AND(NhatkyTon!#REF!,"AAAAACSb/74=")</f>
        <v>#REF!</v>
      </c>
      <c r="GJ83" t="e">
        <f>AND(NhatkyTon!#REF!,"AAAAACSb/78=")</f>
        <v>#REF!</v>
      </c>
      <c r="GK83" t="e">
        <f>AND(NhatkyTon!#REF!,"AAAAACSb/8A=")</f>
        <v>#REF!</v>
      </c>
      <c r="GL83" t="e">
        <f>AND(NhatkyTon!#REF!,"AAAAACSb/8E=")</f>
        <v>#REF!</v>
      </c>
      <c r="GM83" t="e">
        <f>AND(NhatkyTon!#REF!,"AAAAACSb/8I=")</f>
        <v>#REF!</v>
      </c>
      <c r="GN83" t="e">
        <f>AND(NhatkyTon!#REF!,"AAAAACSb/8M=")</f>
        <v>#REF!</v>
      </c>
      <c r="GO83" t="e">
        <f>AND(NhatkyTon!#REF!,"AAAAACSb/8Q=")</f>
        <v>#REF!</v>
      </c>
      <c r="GP83" t="e">
        <f>AND(NhatkyTon!#REF!,"AAAAACSb/8U=")</f>
        <v>#REF!</v>
      </c>
      <c r="GQ83" t="e">
        <f>AND(NhatkyTon!#REF!,"AAAAACSb/8Y=")</f>
        <v>#REF!</v>
      </c>
      <c r="GR83" t="e">
        <f>AND(NhatkyTon!#REF!,"AAAAACSb/8c=")</f>
        <v>#REF!</v>
      </c>
      <c r="GS83" t="e">
        <f>AND(NhatkyTon!#REF!,"AAAAACSb/8g=")</f>
        <v>#REF!</v>
      </c>
      <c r="GT83" t="e">
        <f>AND(NhatkyTon!#REF!,"AAAAACSb/8k=")</f>
        <v>#REF!</v>
      </c>
      <c r="GU83" t="e">
        <f>AND(NhatkyTon!#REF!,"AAAAACSb/8o=")</f>
        <v>#REF!</v>
      </c>
      <c r="GV83" t="e">
        <f>AND(NhatkyTon!#REF!,"AAAAACSb/8s=")</f>
        <v>#REF!</v>
      </c>
      <c r="GW83" t="e">
        <f>AND(NhatkyTon!#REF!,"AAAAACSb/8w=")</f>
        <v>#REF!</v>
      </c>
      <c r="GX83" t="e">
        <f>IF(NhatkyTon!#REF!,"AAAAACSb/80=",0)</f>
        <v>#REF!</v>
      </c>
      <c r="GY83" t="e">
        <f>AND(NhatkyTon!#REF!,"AAAAACSb/84=")</f>
        <v>#REF!</v>
      </c>
      <c r="GZ83" t="e">
        <f>AND(NhatkyTon!#REF!,"AAAAACSb/88=")</f>
        <v>#REF!</v>
      </c>
      <c r="HA83" t="e">
        <f>AND(NhatkyTon!#REF!,"AAAAACSb/9A=")</f>
        <v>#REF!</v>
      </c>
      <c r="HB83" t="e">
        <f>AND(NhatkyTon!#REF!,"AAAAACSb/9E=")</f>
        <v>#REF!</v>
      </c>
      <c r="HC83" t="e">
        <f>AND(NhatkyTon!#REF!,"AAAAACSb/9I=")</f>
        <v>#REF!</v>
      </c>
      <c r="HD83" t="e">
        <f>AND(NhatkyTon!#REF!,"AAAAACSb/9M=")</f>
        <v>#REF!</v>
      </c>
      <c r="HE83" t="e">
        <f>AND(NhatkyTon!#REF!,"AAAAACSb/9Q=")</f>
        <v>#REF!</v>
      </c>
      <c r="HF83" t="e">
        <f>AND(NhatkyTon!#REF!,"AAAAACSb/9U=")</f>
        <v>#REF!</v>
      </c>
      <c r="HG83" t="e">
        <f>AND(NhatkyTon!#REF!,"AAAAACSb/9Y=")</f>
        <v>#REF!</v>
      </c>
      <c r="HH83" t="e">
        <f>AND(NhatkyTon!#REF!,"AAAAACSb/9c=")</f>
        <v>#REF!</v>
      </c>
      <c r="HI83" t="e">
        <f>AND(NhatkyTon!#REF!,"AAAAACSb/9g=")</f>
        <v>#REF!</v>
      </c>
      <c r="HJ83" t="e">
        <f>AND(NhatkyTon!#REF!,"AAAAACSb/9k=")</f>
        <v>#REF!</v>
      </c>
      <c r="HK83" t="e">
        <f>AND(NhatkyTon!#REF!,"AAAAACSb/9o=")</f>
        <v>#REF!</v>
      </c>
      <c r="HL83" t="e">
        <f>AND(NhatkyTon!#REF!,"AAAAACSb/9s=")</f>
        <v>#REF!</v>
      </c>
      <c r="HM83" t="e">
        <f>AND(NhatkyTon!#REF!,"AAAAACSb/9w=")</f>
        <v>#REF!</v>
      </c>
      <c r="HN83" t="e">
        <f>AND(NhatkyTon!#REF!,"AAAAACSb/90=")</f>
        <v>#REF!</v>
      </c>
      <c r="HO83" t="e">
        <f>AND(NhatkyTon!#REF!,"AAAAACSb/94=")</f>
        <v>#REF!</v>
      </c>
      <c r="HP83" t="e">
        <f>AND(NhatkyTon!#REF!,"AAAAACSb/98=")</f>
        <v>#REF!</v>
      </c>
      <c r="HQ83" t="e">
        <f>AND(NhatkyTon!#REF!,"AAAAACSb/+A=")</f>
        <v>#REF!</v>
      </c>
      <c r="HR83" t="e">
        <f>AND(NhatkyTon!#REF!,"AAAAACSb/+E=")</f>
        <v>#REF!</v>
      </c>
      <c r="HS83" t="e">
        <f>AND(NhatkyTon!#REF!,"AAAAACSb/+I=")</f>
        <v>#REF!</v>
      </c>
      <c r="HT83" t="e">
        <f>AND(NhatkyTon!#REF!,"AAAAACSb/+M=")</f>
        <v>#REF!</v>
      </c>
      <c r="HU83" t="e">
        <f>AND(NhatkyTon!#REF!,"AAAAACSb/+Q=")</f>
        <v>#REF!</v>
      </c>
      <c r="HV83" t="e">
        <f>AND(NhatkyTon!#REF!,"AAAAACSb/+U=")</f>
        <v>#REF!</v>
      </c>
      <c r="HW83" t="e">
        <f>AND(NhatkyTon!#REF!,"AAAAACSb/+Y=")</f>
        <v>#REF!</v>
      </c>
      <c r="HX83" t="e">
        <f>AND(NhatkyTon!#REF!,"AAAAACSb/+c=")</f>
        <v>#REF!</v>
      </c>
      <c r="HY83" t="e">
        <f>AND(NhatkyTon!#REF!,"AAAAACSb/+g=")</f>
        <v>#REF!</v>
      </c>
      <c r="HZ83" t="e">
        <f>AND(NhatkyTon!#REF!,"AAAAACSb/+k=")</f>
        <v>#REF!</v>
      </c>
      <c r="IA83" t="e">
        <f>AND(NhatkyTon!#REF!,"AAAAACSb/+o=")</f>
        <v>#REF!</v>
      </c>
      <c r="IB83" t="e">
        <f>AND(NhatkyTon!#REF!,"AAAAACSb/+s=")</f>
        <v>#REF!</v>
      </c>
      <c r="IC83" t="e">
        <f>AND(NhatkyTon!#REF!,"AAAAACSb/+w=")</f>
        <v>#REF!</v>
      </c>
      <c r="ID83" t="e">
        <f>AND(NhatkyTon!#REF!,"AAAAACSb/+0=")</f>
        <v>#REF!</v>
      </c>
      <c r="IE83" t="e">
        <f>AND(NhatkyTon!#REF!,"AAAAACSb/+4=")</f>
        <v>#REF!</v>
      </c>
      <c r="IF83" t="e">
        <f>AND(NhatkyTon!#REF!,"AAAAACSb/+8=")</f>
        <v>#REF!</v>
      </c>
      <c r="IG83" t="e">
        <f>IF(NhatkyTon!#REF!,"AAAAACSb//A=",0)</f>
        <v>#REF!</v>
      </c>
      <c r="IH83" t="e">
        <f>AND(NhatkyTon!#REF!,"AAAAACSb//E=")</f>
        <v>#REF!</v>
      </c>
      <c r="II83" t="e">
        <f>AND(NhatkyTon!#REF!,"AAAAACSb//I=")</f>
        <v>#REF!</v>
      </c>
      <c r="IJ83" t="e">
        <f>AND(NhatkyTon!#REF!,"AAAAACSb//M=")</f>
        <v>#REF!</v>
      </c>
      <c r="IK83" t="e">
        <f>AND(NhatkyTon!#REF!,"AAAAACSb//Q=")</f>
        <v>#REF!</v>
      </c>
      <c r="IL83" t="e">
        <f>AND(NhatkyTon!#REF!,"AAAAACSb//U=")</f>
        <v>#REF!</v>
      </c>
      <c r="IM83" t="e">
        <f>AND(NhatkyTon!#REF!,"AAAAACSb//Y=")</f>
        <v>#REF!</v>
      </c>
      <c r="IN83" t="e">
        <f>AND(NhatkyTon!#REF!,"AAAAACSb//c=")</f>
        <v>#REF!</v>
      </c>
      <c r="IO83" t="e">
        <f>AND(NhatkyTon!#REF!,"AAAAACSb//g=")</f>
        <v>#REF!</v>
      </c>
      <c r="IP83" t="e">
        <f>AND(NhatkyTon!#REF!,"AAAAACSb//k=")</f>
        <v>#REF!</v>
      </c>
      <c r="IQ83" t="e">
        <f>AND(NhatkyTon!#REF!,"AAAAACSb//o=")</f>
        <v>#REF!</v>
      </c>
      <c r="IR83" t="e">
        <f>AND(NhatkyTon!#REF!,"AAAAACSb//s=")</f>
        <v>#REF!</v>
      </c>
      <c r="IS83" t="e">
        <f>AND(NhatkyTon!#REF!,"AAAAACSb//w=")</f>
        <v>#REF!</v>
      </c>
      <c r="IT83" t="e">
        <f>AND(NhatkyTon!#REF!,"AAAAACSb//0=")</f>
        <v>#REF!</v>
      </c>
      <c r="IU83" t="e">
        <f>AND(NhatkyTon!#REF!,"AAAAACSb//4=")</f>
        <v>#REF!</v>
      </c>
      <c r="IV83" t="e">
        <f>AND(NhatkyTon!#REF!,"AAAAACSb//8=")</f>
        <v>#REF!</v>
      </c>
    </row>
    <row r="84" spans="1:256">
      <c r="A84" t="e">
        <f>AND(NhatkyTon!#REF!,"AAAAAD+v/wA=")</f>
        <v>#REF!</v>
      </c>
      <c r="B84" t="e">
        <f>AND(NhatkyTon!#REF!,"AAAAAD+v/wE=")</f>
        <v>#REF!</v>
      </c>
      <c r="C84" t="e">
        <f>AND(NhatkyTon!#REF!,"AAAAAD+v/wI=")</f>
        <v>#REF!</v>
      </c>
      <c r="D84" t="e">
        <f>AND(NhatkyTon!#REF!,"AAAAAD+v/wM=")</f>
        <v>#REF!</v>
      </c>
      <c r="E84" t="e">
        <f>AND(NhatkyTon!#REF!,"AAAAAD+v/wQ=")</f>
        <v>#REF!</v>
      </c>
      <c r="F84" t="e">
        <f>AND(NhatkyTon!#REF!,"AAAAAD+v/wU=")</f>
        <v>#REF!</v>
      </c>
      <c r="G84" t="e">
        <f>AND(NhatkyTon!#REF!,"AAAAAD+v/wY=")</f>
        <v>#REF!</v>
      </c>
      <c r="H84" t="e">
        <f>AND(NhatkyTon!#REF!,"AAAAAD+v/wc=")</f>
        <v>#REF!</v>
      </c>
      <c r="I84" t="e">
        <f>AND(NhatkyTon!#REF!,"AAAAAD+v/wg=")</f>
        <v>#REF!</v>
      </c>
      <c r="J84" t="e">
        <f>AND(NhatkyTon!#REF!,"AAAAAD+v/wk=")</f>
        <v>#REF!</v>
      </c>
      <c r="K84" t="e">
        <f>AND(NhatkyTon!#REF!,"AAAAAD+v/wo=")</f>
        <v>#REF!</v>
      </c>
      <c r="L84" t="e">
        <f>AND(NhatkyTon!#REF!,"AAAAAD+v/ws=")</f>
        <v>#REF!</v>
      </c>
      <c r="M84" t="e">
        <f>AND(NhatkyTon!#REF!,"AAAAAD+v/ww=")</f>
        <v>#REF!</v>
      </c>
      <c r="N84" t="e">
        <f>AND(NhatkyTon!#REF!,"AAAAAD+v/w0=")</f>
        <v>#REF!</v>
      </c>
      <c r="O84" t="e">
        <f>AND(NhatkyTon!#REF!,"AAAAAD+v/w4=")</f>
        <v>#REF!</v>
      </c>
      <c r="P84" t="e">
        <f>AND(NhatkyTon!#REF!,"AAAAAD+v/w8=")</f>
        <v>#REF!</v>
      </c>
      <c r="Q84" t="e">
        <f>AND(NhatkyTon!#REF!,"AAAAAD+v/xA=")</f>
        <v>#REF!</v>
      </c>
      <c r="R84" t="e">
        <f>AND(NhatkyTon!#REF!,"AAAAAD+v/xE=")</f>
        <v>#REF!</v>
      </c>
      <c r="S84" t="e">
        <f>AND(NhatkyTon!#REF!,"AAAAAD+v/xI=")</f>
        <v>#REF!</v>
      </c>
      <c r="T84" t="e">
        <f>IF(NhatkyTon!#REF!,"AAAAAD+v/xM=",0)</f>
        <v>#REF!</v>
      </c>
      <c r="U84" t="e">
        <f>AND(NhatkyTon!#REF!,"AAAAAD+v/xQ=")</f>
        <v>#REF!</v>
      </c>
      <c r="V84" t="e">
        <f>AND(NhatkyTon!#REF!,"AAAAAD+v/xU=")</f>
        <v>#REF!</v>
      </c>
      <c r="W84" t="e">
        <f>AND(NhatkyTon!#REF!,"AAAAAD+v/xY=")</f>
        <v>#REF!</v>
      </c>
      <c r="X84" t="e">
        <f>AND(NhatkyTon!#REF!,"AAAAAD+v/xc=")</f>
        <v>#REF!</v>
      </c>
      <c r="Y84" t="e">
        <f>AND(NhatkyTon!#REF!,"AAAAAD+v/xg=")</f>
        <v>#REF!</v>
      </c>
      <c r="Z84" t="e">
        <f>AND(NhatkyTon!#REF!,"AAAAAD+v/xk=")</f>
        <v>#REF!</v>
      </c>
      <c r="AA84" t="e">
        <f>AND(NhatkyTon!#REF!,"AAAAAD+v/xo=")</f>
        <v>#REF!</v>
      </c>
      <c r="AB84" t="e">
        <f>AND(NhatkyTon!#REF!,"AAAAAD+v/xs=")</f>
        <v>#REF!</v>
      </c>
      <c r="AC84" t="e">
        <f>AND(NhatkyTon!#REF!,"AAAAAD+v/xw=")</f>
        <v>#REF!</v>
      </c>
      <c r="AD84" t="e">
        <f>AND(NhatkyTon!#REF!,"AAAAAD+v/x0=")</f>
        <v>#REF!</v>
      </c>
      <c r="AE84" t="e">
        <f>AND(NhatkyTon!#REF!,"AAAAAD+v/x4=")</f>
        <v>#REF!</v>
      </c>
      <c r="AF84" t="e">
        <f>AND(NhatkyTon!#REF!,"AAAAAD+v/x8=")</f>
        <v>#REF!</v>
      </c>
      <c r="AG84" t="e">
        <f>AND(NhatkyTon!#REF!,"AAAAAD+v/yA=")</f>
        <v>#REF!</v>
      </c>
      <c r="AH84" t="e">
        <f>AND(NhatkyTon!#REF!,"AAAAAD+v/yE=")</f>
        <v>#REF!</v>
      </c>
      <c r="AI84" t="e">
        <f>AND(NhatkyTon!#REF!,"AAAAAD+v/yI=")</f>
        <v>#REF!</v>
      </c>
      <c r="AJ84" t="e">
        <f>AND(NhatkyTon!#REF!,"AAAAAD+v/yM=")</f>
        <v>#REF!</v>
      </c>
      <c r="AK84" t="e">
        <f>AND(NhatkyTon!#REF!,"AAAAAD+v/yQ=")</f>
        <v>#REF!</v>
      </c>
      <c r="AL84" t="e">
        <f>AND(NhatkyTon!#REF!,"AAAAAD+v/yU=")</f>
        <v>#REF!</v>
      </c>
      <c r="AM84" t="e">
        <f>AND(NhatkyTon!#REF!,"AAAAAD+v/yY=")</f>
        <v>#REF!</v>
      </c>
      <c r="AN84" t="e">
        <f>AND(NhatkyTon!#REF!,"AAAAAD+v/yc=")</f>
        <v>#REF!</v>
      </c>
      <c r="AO84" t="e">
        <f>AND(NhatkyTon!#REF!,"AAAAAD+v/yg=")</f>
        <v>#REF!</v>
      </c>
      <c r="AP84" t="e">
        <f>AND(NhatkyTon!#REF!,"AAAAAD+v/yk=")</f>
        <v>#REF!</v>
      </c>
      <c r="AQ84" t="e">
        <f>AND(NhatkyTon!#REF!,"AAAAAD+v/yo=")</f>
        <v>#REF!</v>
      </c>
      <c r="AR84" t="e">
        <f>AND(NhatkyTon!#REF!,"AAAAAD+v/ys=")</f>
        <v>#REF!</v>
      </c>
      <c r="AS84" t="e">
        <f>AND(NhatkyTon!#REF!,"AAAAAD+v/yw=")</f>
        <v>#REF!</v>
      </c>
      <c r="AT84" t="e">
        <f>AND(NhatkyTon!#REF!,"AAAAAD+v/y0=")</f>
        <v>#REF!</v>
      </c>
      <c r="AU84" t="e">
        <f>AND(NhatkyTon!#REF!,"AAAAAD+v/y4=")</f>
        <v>#REF!</v>
      </c>
      <c r="AV84" t="e">
        <f>AND(NhatkyTon!#REF!,"AAAAAD+v/y8=")</f>
        <v>#REF!</v>
      </c>
      <c r="AW84" t="e">
        <f>AND(NhatkyTon!#REF!,"AAAAAD+v/zA=")</f>
        <v>#REF!</v>
      </c>
      <c r="AX84" t="e">
        <f>AND(NhatkyTon!#REF!,"AAAAAD+v/zE=")</f>
        <v>#REF!</v>
      </c>
      <c r="AY84" t="e">
        <f>AND(NhatkyTon!#REF!,"AAAAAD+v/zI=")</f>
        <v>#REF!</v>
      </c>
      <c r="AZ84" t="e">
        <f>AND(NhatkyTon!#REF!,"AAAAAD+v/zM=")</f>
        <v>#REF!</v>
      </c>
      <c r="BA84" t="e">
        <f>AND(NhatkyTon!#REF!,"AAAAAD+v/zQ=")</f>
        <v>#REF!</v>
      </c>
      <c r="BB84" t="e">
        <f>AND(NhatkyTon!#REF!,"AAAAAD+v/zU=")</f>
        <v>#REF!</v>
      </c>
      <c r="BC84" t="e">
        <f>IF(NhatkyTon!#REF!,"AAAAAD+v/zY=",0)</f>
        <v>#REF!</v>
      </c>
      <c r="BD84" t="e">
        <f>AND(NhatkyTon!#REF!,"AAAAAD+v/zc=")</f>
        <v>#REF!</v>
      </c>
      <c r="BE84" t="e">
        <f>AND(NhatkyTon!#REF!,"AAAAAD+v/zg=")</f>
        <v>#REF!</v>
      </c>
      <c r="BF84" t="e">
        <f>AND(NhatkyTon!#REF!,"AAAAAD+v/zk=")</f>
        <v>#REF!</v>
      </c>
      <c r="BG84" t="e">
        <f>AND(NhatkyTon!#REF!,"AAAAAD+v/zo=")</f>
        <v>#REF!</v>
      </c>
      <c r="BH84" t="e">
        <f>AND(NhatkyTon!#REF!,"AAAAAD+v/zs=")</f>
        <v>#REF!</v>
      </c>
      <c r="BI84" t="e">
        <f>AND(NhatkyTon!#REF!,"AAAAAD+v/zw=")</f>
        <v>#REF!</v>
      </c>
      <c r="BJ84" t="e">
        <f>AND(NhatkyTon!#REF!,"AAAAAD+v/z0=")</f>
        <v>#REF!</v>
      </c>
      <c r="BK84" t="e">
        <f>AND(NhatkyTon!#REF!,"AAAAAD+v/z4=")</f>
        <v>#REF!</v>
      </c>
      <c r="BL84" t="e">
        <f>AND(NhatkyTon!#REF!,"AAAAAD+v/z8=")</f>
        <v>#REF!</v>
      </c>
      <c r="BM84" t="e">
        <f>AND(NhatkyTon!#REF!,"AAAAAD+v/0A=")</f>
        <v>#REF!</v>
      </c>
      <c r="BN84" t="e">
        <f>AND(NhatkyTon!#REF!,"AAAAAD+v/0E=")</f>
        <v>#REF!</v>
      </c>
      <c r="BO84" t="e">
        <f>AND(NhatkyTon!#REF!,"AAAAAD+v/0I=")</f>
        <v>#REF!</v>
      </c>
      <c r="BP84" t="e">
        <f>AND(NhatkyTon!#REF!,"AAAAAD+v/0M=")</f>
        <v>#REF!</v>
      </c>
      <c r="BQ84" t="e">
        <f>AND(NhatkyTon!#REF!,"AAAAAD+v/0Q=")</f>
        <v>#REF!</v>
      </c>
      <c r="BR84" t="e">
        <f>AND(NhatkyTon!#REF!,"AAAAAD+v/0U=")</f>
        <v>#REF!</v>
      </c>
      <c r="BS84" t="e">
        <f>AND(NhatkyTon!#REF!,"AAAAAD+v/0Y=")</f>
        <v>#REF!</v>
      </c>
      <c r="BT84" t="e">
        <f>AND(NhatkyTon!#REF!,"AAAAAD+v/0c=")</f>
        <v>#REF!</v>
      </c>
      <c r="BU84" t="e">
        <f>AND(NhatkyTon!#REF!,"AAAAAD+v/0g=")</f>
        <v>#REF!</v>
      </c>
      <c r="BV84" t="e">
        <f>AND(NhatkyTon!#REF!,"AAAAAD+v/0k=")</f>
        <v>#REF!</v>
      </c>
      <c r="BW84" t="e">
        <f>AND(NhatkyTon!#REF!,"AAAAAD+v/0o=")</f>
        <v>#REF!</v>
      </c>
      <c r="BX84" t="e">
        <f>AND(NhatkyTon!#REF!,"AAAAAD+v/0s=")</f>
        <v>#REF!</v>
      </c>
      <c r="BY84" t="e">
        <f>AND(NhatkyTon!#REF!,"AAAAAD+v/0w=")</f>
        <v>#REF!</v>
      </c>
      <c r="BZ84" t="e">
        <f>AND(NhatkyTon!#REF!,"AAAAAD+v/00=")</f>
        <v>#REF!</v>
      </c>
      <c r="CA84" t="e">
        <f>AND(NhatkyTon!#REF!,"AAAAAD+v/04=")</f>
        <v>#REF!</v>
      </c>
      <c r="CB84" t="e">
        <f>AND(NhatkyTon!#REF!,"AAAAAD+v/08=")</f>
        <v>#REF!</v>
      </c>
      <c r="CC84" t="e">
        <f>AND(NhatkyTon!#REF!,"AAAAAD+v/1A=")</f>
        <v>#REF!</v>
      </c>
      <c r="CD84" t="e">
        <f>AND(NhatkyTon!#REF!,"AAAAAD+v/1E=")</f>
        <v>#REF!</v>
      </c>
      <c r="CE84" t="e">
        <f>AND(NhatkyTon!#REF!,"AAAAAD+v/1I=")</f>
        <v>#REF!</v>
      </c>
      <c r="CF84" t="e">
        <f>AND(NhatkyTon!#REF!,"AAAAAD+v/1M=")</f>
        <v>#REF!</v>
      </c>
      <c r="CG84" t="e">
        <f>AND(NhatkyTon!#REF!,"AAAAAD+v/1Q=")</f>
        <v>#REF!</v>
      </c>
      <c r="CH84" t="e">
        <f>AND(NhatkyTon!#REF!,"AAAAAD+v/1U=")</f>
        <v>#REF!</v>
      </c>
      <c r="CI84" t="e">
        <f>AND(NhatkyTon!#REF!,"AAAAAD+v/1Y=")</f>
        <v>#REF!</v>
      </c>
      <c r="CJ84" t="e">
        <f>AND(NhatkyTon!#REF!,"AAAAAD+v/1c=")</f>
        <v>#REF!</v>
      </c>
      <c r="CK84" t="e">
        <f>AND(NhatkyTon!#REF!,"AAAAAD+v/1g=")</f>
        <v>#REF!</v>
      </c>
      <c r="CL84" t="e">
        <f>IF(NhatkyTon!#REF!,"AAAAAD+v/1k=",0)</f>
        <v>#REF!</v>
      </c>
      <c r="CM84" t="e">
        <f>AND(NhatkyTon!#REF!,"AAAAAD+v/1o=")</f>
        <v>#REF!</v>
      </c>
      <c r="CN84" t="e">
        <f>AND(NhatkyTon!#REF!,"AAAAAD+v/1s=")</f>
        <v>#REF!</v>
      </c>
      <c r="CO84" t="e">
        <f>AND(NhatkyTon!#REF!,"AAAAAD+v/1w=")</f>
        <v>#REF!</v>
      </c>
      <c r="CP84" t="e">
        <f>AND(NhatkyTon!#REF!,"AAAAAD+v/10=")</f>
        <v>#REF!</v>
      </c>
      <c r="CQ84" t="e">
        <f>AND(NhatkyTon!#REF!,"AAAAAD+v/14=")</f>
        <v>#REF!</v>
      </c>
      <c r="CR84" t="e">
        <f>AND(NhatkyTon!#REF!,"AAAAAD+v/18=")</f>
        <v>#REF!</v>
      </c>
      <c r="CS84" t="e">
        <f>AND(NhatkyTon!#REF!,"AAAAAD+v/2A=")</f>
        <v>#REF!</v>
      </c>
      <c r="CT84" t="e">
        <f>AND(NhatkyTon!#REF!,"AAAAAD+v/2E=")</f>
        <v>#REF!</v>
      </c>
      <c r="CU84" t="e">
        <f>AND(NhatkyTon!#REF!,"AAAAAD+v/2I=")</f>
        <v>#REF!</v>
      </c>
      <c r="CV84" t="e">
        <f>AND(NhatkyTon!#REF!,"AAAAAD+v/2M=")</f>
        <v>#REF!</v>
      </c>
      <c r="CW84" t="e">
        <f>AND(NhatkyTon!#REF!,"AAAAAD+v/2Q=")</f>
        <v>#REF!</v>
      </c>
      <c r="CX84" t="e">
        <f>AND(NhatkyTon!#REF!,"AAAAAD+v/2U=")</f>
        <v>#REF!</v>
      </c>
      <c r="CY84" t="e">
        <f>AND(NhatkyTon!#REF!,"AAAAAD+v/2Y=")</f>
        <v>#REF!</v>
      </c>
      <c r="CZ84" t="e">
        <f>AND(NhatkyTon!#REF!,"AAAAAD+v/2c=")</f>
        <v>#REF!</v>
      </c>
      <c r="DA84" t="e">
        <f>AND(NhatkyTon!#REF!,"AAAAAD+v/2g=")</f>
        <v>#REF!</v>
      </c>
      <c r="DB84" t="e">
        <f>AND(NhatkyTon!#REF!,"AAAAAD+v/2k=")</f>
        <v>#REF!</v>
      </c>
      <c r="DC84" t="e">
        <f>AND(NhatkyTon!#REF!,"AAAAAD+v/2o=")</f>
        <v>#REF!</v>
      </c>
      <c r="DD84" t="e">
        <f>AND(NhatkyTon!#REF!,"AAAAAD+v/2s=")</f>
        <v>#REF!</v>
      </c>
      <c r="DE84" t="e">
        <f>AND(NhatkyTon!#REF!,"AAAAAD+v/2w=")</f>
        <v>#REF!</v>
      </c>
      <c r="DF84" t="e">
        <f>AND(NhatkyTon!#REF!,"AAAAAD+v/20=")</f>
        <v>#REF!</v>
      </c>
      <c r="DG84" t="e">
        <f>AND(NhatkyTon!#REF!,"AAAAAD+v/24=")</f>
        <v>#REF!</v>
      </c>
      <c r="DH84" t="e">
        <f>AND(NhatkyTon!#REF!,"AAAAAD+v/28=")</f>
        <v>#REF!</v>
      </c>
      <c r="DI84" t="e">
        <f>AND(NhatkyTon!#REF!,"AAAAAD+v/3A=")</f>
        <v>#REF!</v>
      </c>
      <c r="DJ84" t="e">
        <f>AND(NhatkyTon!#REF!,"AAAAAD+v/3E=")</f>
        <v>#REF!</v>
      </c>
      <c r="DK84" t="e">
        <f>AND(NhatkyTon!#REF!,"AAAAAD+v/3I=")</f>
        <v>#REF!</v>
      </c>
      <c r="DL84" t="e">
        <f>AND(NhatkyTon!#REF!,"AAAAAD+v/3M=")</f>
        <v>#REF!</v>
      </c>
      <c r="DM84" t="e">
        <f>AND(NhatkyTon!#REF!,"AAAAAD+v/3Q=")</f>
        <v>#REF!</v>
      </c>
      <c r="DN84" t="e">
        <f>AND(NhatkyTon!#REF!,"AAAAAD+v/3U=")</f>
        <v>#REF!</v>
      </c>
      <c r="DO84" t="e">
        <f>AND(NhatkyTon!#REF!,"AAAAAD+v/3Y=")</f>
        <v>#REF!</v>
      </c>
      <c r="DP84" t="e">
        <f>AND(NhatkyTon!#REF!,"AAAAAD+v/3c=")</f>
        <v>#REF!</v>
      </c>
      <c r="DQ84" t="e">
        <f>AND(NhatkyTon!#REF!,"AAAAAD+v/3g=")</f>
        <v>#REF!</v>
      </c>
      <c r="DR84" t="e">
        <f>AND(NhatkyTon!#REF!,"AAAAAD+v/3k=")</f>
        <v>#REF!</v>
      </c>
      <c r="DS84" t="e">
        <f>AND(NhatkyTon!#REF!,"AAAAAD+v/3o=")</f>
        <v>#REF!</v>
      </c>
      <c r="DT84" t="e">
        <f>AND(NhatkyTon!#REF!,"AAAAAD+v/3s=")</f>
        <v>#REF!</v>
      </c>
      <c r="DU84" t="e">
        <f>IF(NhatkyTon!#REF!,"AAAAAD+v/3w=",0)</f>
        <v>#REF!</v>
      </c>
      <c r="DV84" t="e">
        <f>AND(NhatkyTon!#REF!,"AAAAAD+v/30=")</f>
        <v>#REF!</v>
      </c>
      <c r="DW84" t="e">
        <f>AND(NhatkyTon!#REF!,"AAAAAD+v/34=")</f>
        <v>#REF!</v>
      </c>
      <c r="DX84" t="e">
        <f>AND(NhatkyTon!#REF!,"AAAAAD+v/38=")</f>
        <v>#REF!</v>
      </c>
      <c r="DY84" t="e">
        <f>AND(NhatkyTon!#REF!,"AAAAAD+v/4A=")</f>
        <v>#REF!</v>
      </c>
      <c r="DZ84" t="e">
        <f>AND(NhatkyTon!#REF!,"AAAAAD+v/4E=")</f>
        <v>#REF!</v>
      </c>
      <c r="EA84" t="e">
        <f>AND(NhatkyTon!#REF!,"AAAAAD+v/4I=")</f>
        <v>#REF!</v>
      </c>
      <c r="EB84" t="e">
        <f>AND(NhatkyTon!#REF!,"AAAAAD+v/4M=")</f>
        <v>#REF!</v>
      </c>
      <c r="EC84" t="e">
        <f>AND(NhatkyTon!#REF!,"AAAAAD+v/4Q=")</f>
        <v>#REF!</v>
      </c>
      <c r="ED84" t="e">
        <f>AND(NhatkyTon!#REF!,"AAAAAD+v/4U=")</f>
        <v>#REF!</v>
      </c>
      <c r="EE84" t="e">
        <f>AND(NhatkyTon!#REF!,"AAAAAD+v/4Y=")</f>
        <v>#REF!</v>
      </c>
      <c r="EF84" t="e">
        <f>AND(NhatkyTon!#REF!,"AAAAAD+v/4c=")</f>
        <v>#REF!</v>
      </c>
      <c r="EG84" t="e">
        <f>AND(NhatkyTon!#REF!,"AAAAAD+v/4g=")</f>
        <v>#REF!</v>
      </c>
      <c r="EH84" t="e">
        <f>AND(NhatkyTon!#REF!,"AAAAAD+v/4k=")</f>
        <v>#REF!</v>
      </c>
      <c r="EI84" t="e">
        <f>AND(NhatkyTon!#REF!,"AAAAAD+v/4o=")</f>
        <v>#REF!</v>
      </c>
      <c r="EJ84" t="e">
        <f>AND(NhatkyTon!#REF!,"AAAAAD+v/4s=")</f>
        <v>#REF!</v>
      </c>
      <c r="EK84" t="e">
        <f>AND(NhatkyTon!#REF!,"AAAAAD+v/4w=")</f>
        <v>#REF!</v>
      </c>
      <c r="EL84" t="e">
        <f>AND(NhatkyTon!#REF!,"AAAAAD+v/40=")</f>
        <v>#REF!</v>
      </c>
      <c r="EM84" t="e">
        <f>AND(NhatkyTon!#REF!,"AAAAAD+v/44=")</f>
        <v>#REF!</v>
      </c>
      <c r="EN84" t="e">
        <f>AND(NhatkyTon!#REF!,"AAAAAD+v/48=")</f>
        <v>#REF!</v>
      </c>
      <c r="EO84" t="e">
        <f>AND(NhatkyTon!#REF!,"AAAAAD+v/5A=")</f>
        <v>#REF!</v>
      </c>
      <c r="EP84" t="e">
        <f>AND(NhatkyTon!#REF!,"AAAAAD+v/5E=")</f>
        <v>#REF!</v>
      </c>
      <c r="EQ84" t="e">
        <f>AND(NhatkyTon!#REF!,"AAAAAD+v/5I=")</f>
        <v>#REF!</v>
      </c>
      <c r="ER84" t="e">
        <f>AND(NhatkyTon!#REF!,"AAAAAD+v/5M=")</f>
        <v>#REF!</v>
      </c>
      <c r="ES84" t="e">
        <f>AND(NhatkyTon!#REF!,"AAAAAD+v/5Q=")</f>
        <v>#REF!</v>
      </c>
      <c r="ET84" t="e">
        <f>AND(NhatkyTon!#REF!,"AAAAAD+v/5U=")</f>
        <v>#REF!</v>
      </c>
      <c r="EU84" t="e">
        <f>AND(NhatkyTon!#REF!,"AAAAAD+v/5Y=")</f>
        <v>#REF!</v>
      </c>
      <c r="EV84" t="e">
        <f>AND(NhatkyTon!#REF!,"AAAAAD+v/5c=")</f>
        <v>#REF!</v>
      </c>
      <c r="EW84" t="e">
        <f>AND(NhatkyTon!#REF!,"AAAAAD+v/5g=")</f>
        <v>#REF!</v>
      </c>
      <c r="EX84" t="e">
        <f>AND(NhatkyTon!#REF!,"AAAAAD+v/5k=")</f>
        <v>#REF!</v>
      </c>
      <c r="EY84" t="e">
        <f>AND(NhatkyTon!#REF!,"AAAAAD+v/5o=")</f>
        <v>#REF!</v>
      </c>
      <c r="EZ84" t="e">
        <f>AND(NhatkyTon!#REF!,"AAAAAD+v/5s=")</f>
        <v>#REF!</v>
      </c>
      <c r="FA84" t="e">
        <f>AND(NhatkyTon!#REF!,"AAAAAD+v/5w=")</f>
        <v>#REF!</v>
      </c>
      <c r="FB84" t="e">
        <f>AND(NhatkyTon!#REF!,"AAAAAD+v/50=")</f>
        <v>#REF!</v>
      </c>
      <c r="FC84" t="e">
        <f>AND(NhatkyTon!#REF!,"AAAAAD+v/54=")</f>
        <v>#REF!</v>
      </c>
      <c r="FD84" t="e">
        <f>IF(NhatkyTon!#REF!,"AAAAAD+v/58=",0)</f>
        <v>#REF!</v>
      </c>
      <c r="FE84" t="e">
        <f>AND(NhatkyTon!#REF!,"AAAAAD+v/6A=")</f>
        <v>#REF!</v>
      </c>
      <c r="FF84" t="e">
        <f>AND(NhatkyTon!#REF!,"AAAAAD+v/6E=")</f>
        <v>#REF!</v>
      </c>
      <c r="FG84" t="e">
        <f>AND(NhatkyTon!#REF!,"AAAAAD+v/6I=")</f>
        <v>#REF!</v>
      </c>
      <c r="FH84" t="e">
        <f>AND(NhatkyTon!#REF!,"AAAAAD+v/6M=")</f>
        <v>#REF!</v>
      </c>
      <c r="FI84" t="e">
        <f>AND(NhatkyTon!#REF!,"AAAAAD+v/6Q=")</f>
        <v>#REF!</v>
      </c>
      <c r="FJ84" t="e">
        <f>AND(NhatkyTon!#REF!,"AAAAAD+v/6U=")</f>
        <v>#REF!</v>
      </c>
      <c r="FK84" t="e">
        <f>AND(NhatkyTon!#REF!,"AAAAAD+v/6Y=")</f>
        <v>#REF!</v>
      </c>
      <c r="FL84" t="e">
        <f>AND(NhatkyTon!#REF!,"AAAAAD+v/6c=")</f>
        <v>#REF!</v>
      </c>
      <c r="FM84" t="e">
        <f>AND(NhatkyTon!#REF!,"AAAAAD+v/6g=")</f>
        <v>#REF!</v>
      </c>
      <c r="FN84" t="e">
        <f>AND(NhatkyTon!#REF!,"AAAAAD+v/6k=")</f>
        <v>#REF!</v>
      </c>
      <c r="FO84" t="e">
        <f>AND(NhatkyTon!#REF!,"AAAAAD+v/6o=")</f>
        <v>#REF!</v>
      </c>
      <c r="FP84" t="e">
        <f>AND(NhatkyTon!#REF!,"AAAAAD+v/6s=")</f>
        <v>#REF!</v>
      </c>
      <c r="FQ84" t="e">
        <f>AND(NhatkyTon!#REF!,"AAAAAD+v/6w=")</f>
        <v>#REF!</v>
      </c>
      <c r="FR84" t="e">
        <f>AND(NhatkyTon!#REF!,"AAAAAD+v/60=")</f>
        <v>#REF!</v>
      </c>
      <c r="FS84" t="e">
        <f>AND(NhatkyTon!#REF!,"AAAAAD+v/64=")</f>
        <v>#REF!</v>
      </c>
      <c r="FT84" t="e">
        <f>AND(NhatkyTon!#REF!,"AAAAAD+v/68=")</f>
        <v>#REF!</v>
      </c>
      <c r="FU84" t="e">
        <f>AND(NhatkyTon!#REF!,"AAAAAD+v/7A=")</f>
        <v>#REF!</v>
      </c>
      <c r="FV84" t="e">
        <f>AND(NhatkyTon!#REF!,"AAAAAD+v/7E=")</f>
        <v>#REF!</v>
      </c>
      <c r="FW84" t="e">
        <f>AND(NhatkyTon!#REF!,"AAAAAD+v/7I=")</f>
        <v>#REF!</v>
      </c>
      <c r="FX84" t="e">
        <f>AND(NhatkyTon!#REF!,"AAAAAD+v/7M=")</f>
        <v>#REF!</v>
      </c>
      <c r="FY84" t="e">
        <f>AND(NhatkyTon!#REF!,"AAAAAD+v/7Q=")</f>
        <v>#REF!</v>
      </c>
      <c r="FZ84" t="e">
        <f>AND(NhatkyTon!#REF!,"AAAAAD+v/7U=")</f>
        <v>#REF!</v>
      </c>
      <c r="GA84" t="e">
        <f>AND(NhatkyTon!#REF!,"AAAAAD+v/7Y=")</f>
        <v>#REF!</v>
      </c>
      <c r="GB84" t="e">
        <f>AND(NhatkyTon!#REF!,"AAAAAD+v/7c=")</f>
        <v>#REF!</v>
      </c>
      <c r="GC84" t="e">
        <f>AND(NhatkyTon!#REF!,"AAAAAD+v/7g=")</f>
        <v>#REF!</v>
      </c>
      <c r="GD84" t="e">
        <f>AND(NhatkyTon!#REF!,"AAAAAD+v/7k=")</f>
        <v>#REF!</v>
      </c>
      <c r="GE84" t="e">
        <f>AND(NhatkyTon!#REF!,"AAAAAD+v/7o=")</f>
        <v>#REF!</v>
      </c>
      <c r="GF84" t="e">
        <f>AND(NhatkyTon!#REF!,"AAAAAD+v/7s=")</f>
        <v>#REF!</v>
      </c>
      <c r="GG84" t="e">
        <f>AND(NhatkyTon!#REF!,"AAAAAD+v/7w=")</f>
        <v>#REF!</v>
      </c>
      <c r="GH84" t="e">
        <f>AND(NhatkyTon!#REF!,"AAAAAD+v/70=")</f>
        <v>#REF!</v>
      </c>
      <c r="GI84" t="e">
        <f>AND(NhatkyTon!#REF!,"AAAAAD+v/74=")</f>
        <v>#REF!</v>
      </c>
      <c r="GJ84" t="e">
        <f>AND(NhatkyTon!#REF!,"AAAAAD+v/78=")</f>
        <v>#REF!</v>
      </c>
      <c r="GK84" t="e">
        <f>AND(NhatkyTon!#REF!,"AAAAAD+v/8A=")</f>
        <v>#REF!</v>
      </c>
      <c r="GL84" t="e">
        <f>AND(NhatkyTon!#REF!,"AAAAAD+v/8E=")</f>
        <v>#REF!</v>
      </c>
      <c r="GM84" t="e">
        <f>IF(NhatkyTon!#REF!,"AAAAAD+v/8I=",0)</f>
        <v>#REF!</v>
      </c>
      <c r="GN84" t="e">
        <f>AND(NhatkyTon!#REF!,"AAAAAD+v/8M=")</f>
        <v>#REF!</v>
      </c>
      <c r="GO84" t="e">
        <f>AND(NhatkyTon!#REF!,"AAAAAD+v/8Q=")</f>
        <v>#REF!</v>
      </c>
      <c r="GP84" t="e">
        <f>AND(NhatkyTon!#REF!,"AAAAAD+v/8U=")</f>
        <v>#REF!</v>
      </c>
      <c r="GQ84" t="e">
        <f>AND(NhatkyTon!#REF!,"AAAAAD+v/8Y=")</f>
        <v>#REF!</v>
      </c>
      <c r="GR84" t="e">
        <f>AND(NhatkyTon!#REF!,"AAAAAD+v/8c=")</f>
        <v>#REF!</v>
      </c>
      <c r="GS84" t="e">
        <f>AND(NhatkyTon!#REF!,"AAAAAD+v/8g=")</f>
        <v>#REF!</v>
      </c>
      <c r="GT84" t="e">
        <f>AND(NhatkyTon!#REF!,"AAAAAD+v/8k=")</f>
        <v>#REF!</v>
      </c>
      <c r="GU84" t="e">
        <f>AND(NhatkyTon!#REF!,"AAAAAD+v/8o=")</f>
        <v>#REF!</v>
      </c>
      <c r="GV84" t="e">
        <f>AND(NhatkyTon!#REF!,"AAAAAD+v/8s=")</f>
        <v>#REF!</v>
      </c>
      <c r="GW84" t="e">
        <f>AND(NhatkyTon!#REF!,"AAAAAD+v/8w=")</f>
        <v>#REF!</v>
      </c>
      <c r="GX84" t="e">
        <f>AND(NhatkyTon!#REF!,"AAAAAD+v/80=")</f>
        <v>#REF!</v>
      </c>
      <c r="GY84" t="e">
        <f>AND(NhatkyTon!#REF!,"AAAAAD+v/84=")</f>
        <v>#REF!</v>
      </c>
      <c r="GZ84" t="e">
        <f>AND(NhatkyTon!#REF!,"AAAAAD+v/88=")</f>
        <v>#REF!</v>
      </c>
      <c r="HA84" t="e">
        <f>AND(NhatkyTon!#REF!,"AAAAAD+v/9A=")</f>
        <v>#REF!</v>
      </c>
      <c r="HB84" t="e">
        <f>AND(NhatkyTon!#REF!,"AAAAAD+v/9E=")</f>
        <v>#REF!</v>
      </c>
      <c r="HC84" t="e">
        <f>AND(NhatkyTon!#REF!,"AAAAAD+v/9I=")</f>
        <v>#REF!</v>
      </c>
      <c r="HD84" t="e">
        <f>AND(NhatkyTon!#REF!,"AAAAAD+v/9M=")</f>
        <v>#REF!</v>
      </c>
      <c r="HE84" t="e">
        <f>AND(NhatkyTon!#REF!,"AAAAAD+v/9Q=")</f>
        <v>#REF!</v>
      </c>
      <c r="HF84" t="e">
        <f>AND(NhatkyTon!#REF!,"AAAAAD+v/9U=")</f>
        <v>#REF!</v>
      </c>
      <c r="HG84" t="e">
        <f>AND(NhatkyTon!#REF!,"AAAAAD+v/9Y=")</f>
        <v>#REF!</v>
      </c>
      <c r="HH84" t="e">
        <f>AND(NhatkyTon!#REF!,"AAAAAD+v/9c=")</f>
        <v>#REF!</v>
      </c>
      <c r="HI84" t="e">
        <f>AND(NhatkyTon!#REF!,"AAAAAD+v/9g=")</f>
        <v>#REF!</v>
      </c>
      <c r="HJ84" t="e">
        <f>AND(NhatkyTon!#REF!,"AAAAAD+v/9k=")</f>
        <v>#REF!</v>
      </c>
      <c r="HK84" t="e">
        <f>AND(NhatkyTon!#REF!,"AAAAAD+v/9o=")</f>
        <v>#REF!</v>
      </c>
      <c r="HL84" t="e">
        <f>AND(NhatkyTon!#REF!,"AAAAAD+v/9s=")</f>
        <v>#REF!</v>
      </c>
      <c r="HM84" t="e">
        <f>AND(NhatkyTon!#REF!,"AAAAAD+v/9w=")</f>
        <v>#REF!</v>
      </c>
      <c r="HN84" t="e">
        <f>AND(NhatkyTon!#REF!,"AAAAAD+v/90=")</f>
        <v>#REF!</v>
      </c>
      <c r="HO84" t="e">
        <f>AND(NhatkyTon!#REF!,"AAAAAD+v/94=")</f>
        <v>#REF!</v>
      </c>
      <c r="HP84" t="e">
        <f>AND(NhatkyTon!#REF!,"AAAAAD+v/98=")</f>
        <v>#REF!</v>
      </c>
      <c r="HQ84" t="e">
        <f>AND(NhatkyTon!#REF!,"AAAAAD+v/+A=")</f>
        <v>#REF!</v>
      </c>
      <c r="HR84" t="e">
        <f>AND(NhatkyTon!#REF!,"AAAAAD+v/+E=")</f>
        <v>#REF!</v>
      </c>
      <c r="HS84" t="e">
        <f>AND(NhatkyTon!#REF!,"AAAAAD+v/+I=")</f>
        <v>#REF!</v>
      </c>
      <c r="HT84" t="e">
        <f>AND(NhatkyTon!#REF!,"AAAAAD+v/+M=")</f>
        <v>#REF!</v>
      </c>
      <c r="HU84" t="e">
        <f>AND(NhatkyTon!#REF!,"AAAAAD+v/+Q=")</f>
        <v>#REF!</v>
      </c>
      <c r="HV84" t="e">
        <f>IF(NhatkyTon!#REF!,"AAAAAD+v/+U=",0)</f>
        <v>#REF!</v>
      </c>
      <c r="HW84" t="e">
        <f>AND(NhatkyTon!#REF!,"AAAAAD+v/+Y=")</f>
        <v>#REF!</v>
      </c>
      <c r="HX84" t="e">
        <f>AND(NhatkyTon!#REF!,"AAAAAD+v/+c=")</f>
        <v>#REF!</v>
      </c>
      <c r="HY84" t="e">
        <f>AND(NhatkyTon!#REF!,"AAAAAD+v/+g=")</f>
        <v>#REF!</v>
      </c>
      <c r="HZ84" t="e">
        <f>AND(NhatkyTon!#REF!,"AAAAAD+v/+k=")</f>
        <v>#REF!</v>
      </c>
      <c r="IA84" t="e">
        <f>AND(NhatkyTon!#REF!,"AAAAAD+v/+o=")</f>
        <v>#REF!</v>
      </c>
      <c r="IB84" t="e">
        <f>AND(NhatkyTon!#REF!,"AAAAAD+v/+s=")</f>
        <v>#REF!</v>
      </c>
      <c r="IC84" t="e">
        <f>AND(NhatkyTon!#REF!,"AAAAAD+v/+w=")</f>
        <v>#REF!</v>
      </c>
      <c r="ID84" t="e">
        <f>AND(NhatkyTon!#REF!,"AAAAAD+v/+0=")</f>
        <v>#REF!</v>
      </c>
      <c r="IE84" t="e">
        <f>AND(NhatkyTon!#REF!,"AAAAAD+v/+4=")</f>
        <v>#REF!</v>
      </c>
      <c r="IF84" t="e">
        <f>AND(NhatkyTon!#REF!,"AAAAAD+v/+8=")</f>
        <v>#REF!</v>
      </c>
      <c r="IG84" t="e">
        <f>AND(NhatkyTon!#REF!,"AAAAAD+v//A=")</f>
        <v>#REF!</v>
      </c>
      <c r="IH84" t="e">
        <f>AND(NhatkyTon!#REF!,"AAAAAD+v//E=")</f>
        <v>#REF!</v>
      </c>
      <c r="II84" t="e">
        <f>AND(NhatkyTon!#REF!,"AAAAAD+v//I=")</f>
        <v>#REF!</v>
      </c>
      <c r="IJ84" t="e">
        <f>AND(NhatkyTon!#REF!,"AAAAAD+v//M=")</f>
        <v>#REF!</v>
      </c>
      <c r="IK84" t="e">
        <f>AND(NhatkyTon!#REF!,"AAAAAD+v//Q=")</f>
        <v>#REF!</v>
      </c>
      <c r="IL84" t="e">
        <f>AND(NhatkyTon!#REF!,"AAAAAD+v//U=")</f>
        <v>#REF!</v>
      </c>
      <c r="IM84" t="e">
        <f>AND(NhatkyTon!#REF!,"AAAAAD+v//Y=")</f>
        <v>#REF!</v>
      </c>
      <c r="IN84" t="e">
        <f>AND(NhatkyTon!#REF!,"AAAAAD+v//c=")</f>
        <v>#REF!</v>
      </c>
      <c r="IO84" t="e">
        <f>AND(NhatkyTon!#REF!,"AAAAAD+v//g=")</f>
        <v>#REF!</v>
      </c>
      <c r="IP84" t="e">
        <f>AND(NhatkyTon!#REF!,"AAAAAD+v//k=")</f>
        <v>#REF!</v>
      </c>
      <c r="IQ84" t="e">
        <f>AND(NhatkyTon!#REF!,"AAAAAD+v//o=")</f>
        <v>#REF!</v>
      </c>
      <c r="IR84" t="e">
        <f>AND(NhatkyTon!#REF!,"AAAAAD+v//s=")</f>
        <v>#REF!</v>
      </c>
      <c r="IS84" t="e">
        <f>AND(NhatkyTon!#REF!,"AAAAAD+v//w=")</f>
        <v>#REF!</v>
      </c>
      <c r="IT84" t="e">
        <f>AND(NhatkyTon!#REF!,"AAAAAD+v//0=")</f>
        <v>#REF!</v>
      </c>
      <c r="IU84" t="e">
        <f>AND(NhatkyTon!#REF!,"AAAAAD+v//4=")</f>
        <v>#REF!</v>
      </c>
      <c r="IV84" t="e">
        <f>AND(NhatkyTon!#REF!,"AAAAAD+v//8=")</f>
        <v>#REF!</v>
      </c>
    </row>
    <row r="85" spans="1:256">
      <c r="A85" t="e">
        <f>AND(NhatkyTon!#REF!,"AAAAAGt/swA=")</f>
        <v>#REF!</v>
      </c>
      <c r="B85" t="e">
        <f>AND(NhatkyTon!#REF!,"AAAAAGt/swE=")</f>
        <v>#REF!</v>
      </c>
      <c r="C85" t="e">
        <f>AND(NhatkyTon!#REF!,"AAAAAGt/swI=")</f>
        <v>#REF!</v>
      </c>
      <c r="D85" t="e">
        <f>AND(NhatkyTon!#REF!,"AAAAAGt/swM=")</f>
        <v>#REF!</v>
      </c>
      <c r="E85" t="e">
        <f>AND(NhatkyTon!#REF!,"AAAAAGt/swQ=")</f>
        <v>#REF!</v>
      </c>
      <c r="F85" t="e">
        <f>AND(NhatkyTon!#REF!,"AAAAAGt/swU=")</f>
        <v>#REF!</v>
      </c>
      <c r="G85" t="e">
        <f>AND(NhatkyTon!#REF!,"AAAAAGt/swY=")</f>
        <v>#REF!</v>
      </c>
      <c r="H85" t="e">
        <f>AND(NhatkyTon!#REF!,"AAAAAGt/swc=")</f>
        <v>#REF!</v>
      </c>
      <c r="I85" t="e">
        <f>IF(NhatkyTon!#REF!,"AAAAAGt/swg=",0)</f>
        <v>#REF!</v>
      </c>
      <c r="J85" t="e">
        <f>AND(NhatkyTon!#REF!,"AAAAAGt/swk=")</f>
        <v>#REF!</v>
      </c>
      <c r="K85" t="e">
        <f>AND(NhatkyTon!#REF!,"AAAAAGt/swo=")</f>
        <v>#REF!</v>
      </c>
      <c r="L85" t="e">
        <f>AND(NhatkyTon!#REF!,"AAAAAGt/sws=")</f>
        <v>#REF!</v>
      </c>
      <c r="M85" t="e">
        <f>AND(NhatkyTon!#REF!,"AAAAAGt/sww=")</f>
        <v>#REF!</v>
      </c>
      <c r="N85" t="e">
        <f>AND(NhatkyTon!#REF!,"AAAAAGt/sw0=")</f>
        <v>#REF!</v>
      </c>
      <c r="O85" t="e">
        <f>AND(NhatkyTon!#REF!,"AAAAAGt/sw4=")</f>
        <v>#REF!</v>
      </c>
      <c r="P85" t="e">
        <f>AND(NhatkyTon!#REF!,"AAAAAGt/sw8=")</f>
        <v>#REF!</v>
      </c>
      <c r="Q85" t="e">
        <f>AND(NhatkyTon!#REF!,"AAAAAGt/sxA=")</f>
        <v>#REF!</v>
      </c>
      <c r="R85" t="e">
        <f>AND(NhatkyTon!#REF!,"AAAAAGt/sxE=")</f>
        <v>#REF!</v>
      </c>
      <c r="S85" t="e">
        <f>AND(NhatkyTon!#REF!,"AAAAAGt/sxI=")</f>
        <v>#REF!</v>
      </c>
      <c r="T85" t="e">
        <f>AND(NhatkyTon!#REF!,"AAAAAGt/sxM=")</f>
        <v>#REF!</v>
      </c>
      <c r="U85" t="e">
        <f>AND(NhatkyTon!#REF!,"AAAAAGt/sxQ=")</f>
        <v>#REF!</v>
      </c>
      <c r="V85" t="e">
        <f>AND(NhatkyTon!#REF!,"AAAAAGt/sxU=")</f>
        <v>#REF!</v>
      </c>
      <c r="W85" t="e">
        <f>AND(NhatkyTon!#REF!,"AAAAAGt/sxY=")</f>
        <v>#REF!</v>
      </c>
      <c r="X85" t="e">
        <f>AND(NhatkyTon!#REF!,"AAAAAGt/sxc=")</f>
        <v>#REF!</v>
      </c>
      <c r="Y85" t="e">
        <f>AND(NhatkyTon!#REF!,"AAAAAGt/sxg=")</f>
        <v>#REF!</v>
      </c>
      <c r="Z85" t="e">
        <f>AND(NhatkyTon!#REF!,"AAAAAGt/sxk=")</f>
        <v>#REF!</v>
      </c>
      <c r="AA85" t="e">
        <f>AND(NhatkyTon!#REF!,"AAAAAGt/sxo=")</f>
        <v>#REF!</v>
      </c>
      <c r="AB85" t="e">
        <f>AND(NhatkyTon!#REF!,"AAAAAGt/sxs=")</f>
        <v>#REF!</v>
      </c>
      <c r="AC85" t="e">
        <f>AND(NhatkyTon!#REF!,"AAAAAGt/sxw=")</f>
        <v>#REF!</v>
      </c>
      <c r="AD85" t="e">
        <f>AND(NhatkyTon!#REF!,"AAAAAGt/sx0=")</f>
        <v>#REF!</v>
      </c>
      <c r="AE85" t="e">
        <f>AND(NhatkyTon!#REF!,"AAAAAGt/sx4=")</f>
        <v>#REF!</v>
      </c>
      <c r="AF85" t="e">
        <f>AND(NhatkyTon!#REF!,"AAAAAGt/sx8=")</f>
        <v>#REF!</v>
      </c>
      <c r="AG85" t="e">
        <f>AND(NhatkyTon!#REF!,"AAAAAGt/syA=")</f>
        <v>#REF!</v>
      </c>
      <c r="AH85" t="e">
        <f>AND(NhatkyTon!#REF!,"AAAAAGt/syE=")</f>
        <v>#REF!</v>
      </c>
      <c r="AI85" t="e">
        <f>AND(NhatkyTon!#REF!,"AAAAAGt/syI=")</f>
        <v>#REF!</v>
      </c>
      <c r="AJ85" t="e">
        <f>AND(NhatkyTon!#REF!,"AAAAAGt/syM=")</f>
        <v>#REF!</v>
      </c>
      <c r="AK85" t="e">
        <f>AND(NhatkyTon!#REF!,"AAAAAGt/syQ=")</f>
        <v>#REF!</v>
      </c>
      <c r="AL85" t="e">
        <f>AND(NhatkyTon!#REF!,"AAAAAGt/syU=")</f>
        <v>#REF!</v>
      </c>
      <c r="AM85" t="e">
        <f>AND(NhatkyTon!#REF!,"AAAAAGt/syY=")</f>
        <v>#REF!</v>
      </c>
      <c r="AN85" t="e">
        <f>AND(NhatkyTon!#REF!,"AAAAAGt/syc=")</f>
        <v>#REF!</v>
      </c>
      <c r="AO85" t="e">
        <f>AND(NhatkyTon!#REF!,"AAAAAGt/syg=")</f>
        <v>#REF!</v>
      </c>
      <c r="AP85" t="e">
        <f>AND(NhatkyTon!#REF!,"AAAAAGt/syk=")</f>
        <v>#REF!</v>
      </c>
      <c r="AQ85" t="e">
        <f>AND(NhatkyTon!#REF!,"AAAAAGt/syo=")</f>
        <v>#REF!</v>
      </c>
      <c r="AR85" t="e">
        <f>IF(NhatkyTon!#REF!,"AAAAAGt/sys=",0)</f>
        <v>#REF!</v>
      </c>
      <c r="AS85" t="e">
        <f>AND(NhatkyTon!#REF!,"AAAAAGt/syw=")</f>
        <v>#REF!</v>
      </c>
      <c r="AT85" t="e">
        <f>AND(NhatkyTon!#REF!,"AAAAAGt/sy0=")</f>
        <v>#REF!</v>
      </c>
      <c r="AU85" t="e">
        <f>AND(NhatkyTon!#REF!,"AAAAAGt/sy4=")</f>
        <v>#REF!</v>
      </c>
      <c r="AV85" t="e">
        <f>AND(NhatkyTon!#REF!,"AAAAAGt/sy8=")</f>
        <v>#REF!</v>
      </c>
      <c r="AW85" t="e">
        <f>AND(NhatkyTon!#REF!,"AAAAAGt/szA=")</f>
        <v>#REF!</v>
      </c>
      <c r="AX85" t="e">
        <f>AND(NhatkyTon!#REF!,"AAAAAGt/szE=")</f>
        <v>#REF!</v>
      </c>
      <c r="AY85" t="e">
        <f>AND(NhatkyTon!#REF!,"AAAAAGt/szI=")</f>
        <v>#REF!</v>
      </c>
      <c r="AZ85" t="e">
        <f>AND(NhatkyTon!#REF!,"AAAAAGt/szM=")</f>
        <v>#REF!</v>
      </c>
      <c r="BA85" t="e">
        <f>AND(NhatkyTon!#REF!,"AAAAAGt/szQ=")</f>
        <v>#REF!</v>
      </c>
      <c r="BB85" t="e">
        <f>AND(NhatkyTon!#REF!,"AAAAAGt/szU=")</f>
        <v>#REF!</v>
      </c>
      <c r="BC85" t="e">
        <f>AND(NhatkyTon!#REF!,"AAAAAGt/szY=")</f>
        <v>#REF!</v>
      </c>
      <c r="BD85" t="e">
        <f>AND(NhatkyTon!#REF!,"AAAAAGt/szc=")</f>
        <v>#REF!</v>
      </c>
      <c r="BE85" t="e">
        <f>AND(NhatkyTon!#REF!,"AAAAAGt/szg=")</f>
        <v>#REF!</v>
      </c>
      <c r="BF85" t="e">
        <f>AND(NhatkyTon!#REF!,"AAAAAGt/szk=")</f>
        <v>#REF!</v>
      </c>
      <c r="BG85" t="e">
        <f>AND(NhatkyTon!#REF!,"AAAAAGt/szo=")</f>
        <v>#REF!</v>
      </c>
      <c r="BH85" t="e">
        <f>AND(NhatkyTon!#REF!,"AAAAAGt/szs=")</f>
        <v>#REF!</v>
      </c>
      <c r="BI85" t="e">
        <f>AND(NhatkyTon!#REF!,"AAAAAGt/szw=")</f>
        <v>#REF!</v>
      </c>
      <c r="BJ85" t="e">
        <f>AND(NhatkyTon!#REF!,"AAAAAGt/sz0=")</f>
        <v>#REF!</v>
      </c>
      <c r="BK85" t="e">
        <f>AND(NhatkyTon!#REF!,"AAAAAGt/sz4=")</f>
        <v>#REF!</v>
      </c>
      <c r="BL85" t="e">
        <f>AND(NhatkyTon!#REF!,"AAAAAGt/sz8=")</f>
        <v>#REF!</v>
      </c>
      <c r="BM85" t="e">
        <f>AND(NhatkyTon!#REF!,"AAAAAGt/s0A=")</f>
        <v>#REF!</v>
      </c>
      <c r="BN85" t="e">
        <f>AND(NhatkyTon!#REF!,"AAAAAGt/s0E=")</f>
        <v>#REF!</v>
      </c>
      <c r="BO85" t="e">
        <f>AND(NhatkyTon!#REF!,"AAAAAGt/s0I=")</f>
        <v>#REF!</v>
      </c>
      <c r="BP85" t="e">
        <f>AND(NhatkyTon!#REF!,"AAAAAGt/s0M=")</f>
        <v>#REF!</v>
      </c>
      <c r="BQ85" t="e">
        <f>AND(NhatkyTon!#REF!,"AAAAAGt/s0Q=")</f>
        <v>#REF!</v>
      </c>
      <c r="BR85" t="e">
        <f>AND(NhatkyTon!#REF!,"AAAAAGt/s0U=")</f>
        <v>#REF!</v>
      </c>
      <c r="BS85" t="e">
        <f>AND(NhatkyTon!#REF!,"AAAAAGt/s0Y=")</f>
        <v>#REF!</v>
      </c>
      <c r="BT85" t="e">
        <f>AND(NhatkyTon!#REF!,"AAAAAGt/s0c=")</f>
        <v>#REF!</v>
      </c>
      <c r="BU85" t="e">
        <f>AND(NhatkyTon!#REF!,"AAAAAGt/s0g=")</f>
        <v>#REF!</v>
      </c>
      <c r="BV85" t="e">
        <f>AND(NhatkyTon!#REF!,"AAAAAGt/s0k=")</f>
        <v>#REF!</v>
      </c>
      <c r="BW85" t="e">
        <f>AND(NhatkyTon!#REF!,"AAAAAGt/s0o=")</f>
        <v>#REF!</v>
      </c>
      <c r="BX85" t="e">
        <f>AND(NhatkyTon!#REF!,"AAAAAGt/s0s=")</f>
        <v>#REF!</v>
      </c>
      <c r="BY85" t="e">
        <f>AND(NhatkyTon!#REF!,"AAAAAGt/s0w=")</f>
        <v>#REF!</v>
      </c>
      <c r="BZ85" t="e">
        <f>AND(NhatkyTon!#REF!,"AAAAAGt/s00=")</f>
        <v>#REF!</v>
      </c>
      <c r="CA85" t="e">
        <f>IF(NhatkyTon!#REF!,"AAAAAGt/s04=",0)</f>
        <v>#REF!</v>
      </c>
      <c r="CB85" t="e">
        <f>AND(NhatkyTon!#REF!,"AAAAAGt/s08=")</f>
        <v>#REF!</v>
      </c>
      <c r="CC85" t="e">
        <f>AND(NhatkyTon!#REF!,"AAAAAGt/s1A=")</f>
        <v>#REF!</v>
      </c>
      <c r="CD85" t="e">
        <f>AND(NhatkyTon!#REF!,"AAAAAGt/s1E=")</f>
        <v>#REF!</v>
      </c>
      <c r="CE85" t="e">
        <f>AND(NhatkyTon!#REF!,"AAAAAGt/s1I=")</f>
        <v>#REF!</v>
      </c>
      <c r="CF85" t="e">
        <f>AND(NhatkyTon!#REF!,"AAAAAGt/s1M=")</f>
        <v>#REF!</v>
      </c>
      <c r="CG85" t="e">
        <f>AND(NhatkyTon!#REF!,"AAAAAGt/s1Q=")</f>
        <v>#REF!</v>
      </c>
      <c r="CH85" t="e">
        <f>AND(NhatkyTon!#REF!,"AAAAAGt/s1U=")</f>
        <v>#REF!</v>
      </c>
      <c r="CI85" t="e">
        <f>AND(NhatkyTon!#REF!,"AAAAAGt/s1Y=")</f>
        <v>#REF!</v>
      </c>
      <c r="CJ85" t="e">
        <f>AND(NhatkyTon!#REF!,"AAAAAGt/s1c=")</f>
        <v>#REF!</v>
      </c>
      <c r="CK85" t="e">
        <f>AND(NhatkyTon!#REF!,"AAAAAGt/s1g=")</f>
        <v>#REF!</v>
      </c>
      <c r="CL85" t="e">
        <f>AND(NhatkyTon!#REF!,"AAAAAGt/s1k=")</f>
        <v>#REF!</v>
      </c>
      <c r="CM85" t="e">
        <f>AND(NhatkyTon!#REF!,"AAAAAGt/s1o=")</f>
        <v>#REF!</v>
      </c>
      <c r="CN85" t="e">
        <f>AND(NhatkyTon!#REF!,"AAAAAGt/s1s=")</f>
        <v>#REF!</v>
      </c>
      <c r="CO85" t="e">
        <f>AND(NhatkyTon!#REF!,"AAAAAGt/s1w=")</f>
        <v>#REF!</v>
      </c>
      <c r="CP85" t="e">
        <f>AND(NhatkyTon!#REF!,"AAAAAGt/s10=")</f>
        <v>#REF!</v>
      </c>
      <c r="CQ85" t="e">
        <f>AND(NhatkyTon!#REF!,"AAAAAGt/s14=")</f>
        <v>#REF!</v>
      </c>
      <c r="CR85" t="e">
        <f>AND(NhatkyTon!#REF!,"AAAAAGt/s18=")</f>
        <v>#REF!</v>
      </c>
      <c r="CS85" t="e">
        <f>AND(NhatkyTon!#REF!,"AAAAAGt/s2A=")</f>
        <v>#REF!</v>
      </c>
      <c r="CT85" t="e">
        <f>AND(NhatkyTon!#REF!,"AAAAAGt/s2E=")</f>
        <v>#REF!</v>
      </c>
      <c r="CU85" t="e">
        <f>AND(NhatkyTon!#REF!,"AAAAAGt/s2I=")</f>
        <v>#REF!</v>
      </c>
      <c r="CV85" t="e">
        <f>AND(NhatkyTon!#REF!,"AAAAAGt/s2M=")</f>
        <v>#REF!</v>
      </c>
      <c r="CW85" t="e">
        <f>AND(NhatkyTon!#REF!,"AAAAAGt/s2Q=")</f>
        <v>#REF!</v>
      </c>
      <c r="CX85" t="e">
        <f>AND(NhatkyTon!#REF!,"AAAAAGt/s2U=")</f>
        <v>#REF!</v>
      </c>
      <c r="CY85" t="e">
        <f>AND(NhatkyTon!#REF!,"AAAAAGt/s2Y=")</f>
        <v>#REF!</v>
      </c>
      <c r="CZ85" t="e">
        <f>AND(NhatkyTon!#REF!,"AAAAAGt/s2c=")</f>
        <v>#REF!</v>
      </c>
      <c r="DA85" t="e">
        <f>AND(NhatkyTon!#REF!,"AAAAAGt/s2g=")</f>
        <v>#REF!</v>
      </c>
      <c r="DB85" t="e">
        <f>AND(NhatkyTon!#REF!,"AAAAAGt/s2k=")</f>
        <v>#REF!</v>
      </c>
      <c r="DC85" t="e">
        <f>AND(NhatkyTon!#REF!,"AAAAAGt/s2o=")</f>
        <v>#REF!</v>
      </c>
      <c r="DD85" t="e">
        <f>AND(NhatkyTon!#REF!,"AAAAAGt/s2s=")</f>
        <v>#REF!</v>
      </c>
      <c r="DE85" t="e">
        <f>AND(NhatkyTon!#REF!,"AAAAAGt/s2w=")</f>
        <v>#REF!</v>
      </c>
      <c r="DF85" t="e">
        <f>AND(NhatkyTon!#REF!,"AAAAAGt/s20=")</f>
        <v>#REF!</v>
      </c>
      <c r="DG85" t="e">
        <f>AND(NhatkyTon!#REF!,"AAAAAGt/s24=")</f>
        <v>#REF!</v>
      </c>
      <c r="DH85" t="e">
        <f>AND(NhatkyTon!#REF!,"AAAAAGt/s28=")</f>
        <v>#REF!</v>
      </c>
      <c r="DI85" t="e">
        <f>AND(NhatkyTon!#REF!,"AAAAAGt/s3A=")</f>
        <v>#REF!</v>
      </c>
      <c r="DJ85" t="e">
        <f>IF(NhatkyTon!#REF!,"AAAAAGt/s3E=",0)</f>
        <v>#REF!</v>
      </c>
      <c r="DK85" t="e">
        <f>AND(NhatkyTon!#REF!,"AAAAAGt/s3I=")</f>
        <v>#REF!</v>
      </c>
      <c r="DL85" t="e">
        <f>AND(NhatkyTon!#REF!,"AAAAAGt/s3M=")</f>
        <v>#REF!</v>
      </c>
      <c r="DM85" t="e">
        <f>AND(NhatkyTon!#REF!,"AAAAAGt/s3Q=")</f>
        <v>#REF!</v>
      </c>
      <c r="DN85" t="e">
        <f>AND(NhatkyTon!#REF!,"AAAAAGt/s3U=")</f>
        <v>#REF!</v>
      </c>
      <c r="DO85" t="e">
        <f>AND(NhatkyTon!#REF!,"AAAAAGt/s3Y=")</f>
        <v>#REF!</v>
      </c>
      <c r="DP85" t="e">
        <f>AND(NhatkyTon!#REF!,"AAAAAGt/s3c=")</f>
        <v>#REF!</v>
      </c>
      <c r="DQ85" t="e">
        <f>AND(NhatkyTon!#REF!,"AAAAAGt/s3g=")</f>
        <v>#REF!</v>
      </c>
      <c r="DR85" t="e">
        <f>AND(NhatkyTon!#REF!,"AAAAAGt/s3k=")</f>
        <v>#REF!</v>
      </c>
      <c r="DS85" t="e">
        <f>AND(NhatkyTon!#REF!,"AAAAAGt/s3o=")</f>
        <v>#REF!</v>
      </c>
      <c r="DT85" t="e">
        <f>AND(NhatkyTon!#REF!,"AAAAAGt/s3s=")</f>
        <v>#REF!</v>
      </c>
      <c r="DU85" t="e">
        <f>AND(NhatkyTon!#REF!,"AAAAAGt/s3w=")</f>
        <v>#REF!</v>
      </c>
      <c r="DV85" t="e">
        <f>AND(NhatkyTon!#REF!,"AAAAAGt/s30=")</f>
        <v>#REF!</v>
      </c>
      <c r="DW85" t="e">
        <f>AND(NhatkyTon!#REF!,"AAAAAGt/s34=")</f>
        <v>#REF!</v>
      </c>
      <c r="DX85" t="e">
        <f>AND(NhatkyTon!#REF!,"AAAAAGt/s38=")</f>
        <v>#REF!</v>
      </c>
      <c r="DY85" t="e">
        <f>AND(NhatkyTon!#REF!,"AAAAAGt/s4A=")</f>
        <v>#REF!</v>
      </c>
      <c r="DZ85" t="e">
        <f>AND(NhatkyTon!#REF!,"AAAAAGt/s4E=")</f>
        <v>#REF!</v>
      </c>
      <c r="EA85" t="e">
        <f>AND(NhatkyTon!#REF!,"AAAAAGt/s4I=")</f>
        <v>#REF!</v>
      </c>
      <c r="EB85" t="e">
        <f>AND(NhatkyTon!#REF!,"AAAAAGt/s4M=")</f>
        <v>#REF!</v>
      </c>
      <c r="EC85" t="e">
        <f>AND(NhatkyTon!#REF!,"AAAAAGt/s4Q=")</f>
        <v>#REF!</v>
      </c>
      <c r="ED85" t="e">
        <f>AND(NhatkyTon!#REF!,"AAAAAGt/s4U=")</f>
        <v>#REF!</v>
      </c>
      <c r="EE85" t="e">
        <f>AND(NhatkyTon!#REF!,"AAAAAGt/s4Y=")</f>
        <v>#REF!</v>
      </c>
      <c r="EF85" t="e">
        <f>AND(NhatkyTon!#REF!,"AAAAAGt/s4c=")</f>
        <v>#REF!</v>
      </c>
      <c r="EG85" t="e">
        <f>AND(NhatkyTon!#REF!,"AAAAAGt/s4g=")</f>
        <v>#REF!</v>
      </c>
      <c r="EH85" t="e">
        <f>AND(NhatkyTon!#REF!,"AAAAAGt/s4k=")</f>
        <v>#REF!</v>
      </c>
      <c r="EI85" t="e">
        <f>AND(NhatkyTon!#REF!,"AAAAAGt/s4o=")</f>
        <v>#REF!</v>
      </c>
      <c r="EJ85" t="e">
        <f>AND(NhatkyTon!#REF!,"AAAAAGt/s4s=")</f>
        <v>#REF!</v>
      </c>
      <c r="EK85" t="e">
        <f>AND(NhatkyTon!#REF!,"AAAAAGt/s4w=")</f>
        <v>#REF!</v>
      </c>
      <c r="EL85" t="e">
        <f>AND(NhatkyTon!#REF!,"AAAAAGt/s40=")</f>
        <v>#REF!</v>
      </c>
      <c r="EM85" t="e">
        <f>AND(NhatkyTon!#REF!,"AAAAAGt/s44=")</f>
        <v>#REF!</v>
      </c>
      <c r="EN85" t="e">
        <f>AND(NhatkyTon!#REF!,"AAAAAGt/s48=")</f>
        <v>#REF!</v>
      </c>
      <c r="EO85" t="e">
        <f>AND(NhatkyTon!#REF!,"AAAAAGt/s5A=")</f>
        <v>#REF!</v>
      </c>
      <c r="EP85" t="e">
        <f>AND(NhatkyTon!#REF!,"AAAAAGt/s5E=")</f>
        <v>#REF!</v>
      </c>
      <c r="EQ85" t="e">
        <f>AND(NhatkyTon!#REF!,"AAAAAGt/s5I=")</f>
        <v>#REF!</v>
      </c>
      <c r="ER85" t="e">
        <f>AND(NhatkyTon!#REF!,"AAAAAGt/s5M=")</f>
        <v>#REF!</v>
      </c>
      <c r="ES85" t="e">
        <f>IF(NhatkyTon!#REF!,"AAAAAGt/s5Q=",0)</f>
        <v>#REF!</v>
      </c>
      <c r="ET85" t="e">
        <f>AND(NhatkyTon!#REF!,"AAAAAGt/s5U=")</f>
        <v>#REF!</v>
      </c>
      <c r="EU85" t="e">
        <f>AND(NhatkyTon!#REF!,"AAAAAGt/s5Y=")</f>
        <v>#REF!</v>
      </c>
      <c r="EV85" t="e">
        <f>AND(NhatkyTon!#REF!,"AAAAAGt/s5c=")</f>
        <v>#REF!</v>
      </c>
      <c r="EW85" t="e">
        <f>AND(NhatkyTon!#REF!,"AAAAAGt/s5g=")</f>
        <v>#REF!</v>
      </c>
      <c r="EX85" t="e">
        <f>AND(NhatkyTon!#REF!,"AAAAAGt/s5k=")</f>
        <v>#REF!</v>
      </c>
      <c r="EY85" t="e">
        <f>AND(NhatkyTon!#REF!,"AAAAAGt/s5o=")</f>
        <v>#REF!</v>
      </c>
      <c r="EZ85" t="e">
        <f>AND(NhatkyTon!#REF!,"AAAAAGt/s5s=")</f>
        <v>#REF!</v>
      </c>
      <c r="FA85" t="e">
        <f>AND(NhatkyTon!#REF!,"AAAAAGt/s5w=")</f>
        <v>#REF!</v>
      </c>
      <c r="FB85" t="e">
        <f>AND(NhatkyTon!#REF!,"AAAAAGt/s50=")</f>
        <v>#REF!</v>
      </c>
      <c r="FC85" t="e">
        <f>AND(NhatkyTon!#REF!,"AAAAAGt/s54=")</f>
        <v>#REF!</v>
      </c>
      <c r="FD85" t="e">
        <f>AND(NhatkyTon!#REF!,"AAAAAGt/s58=")</f>
        <v>#REF!</v>
      </c>
      <c r="FE85" t="e">
        <f>AND(NhatkyTon!#REF!,"AAAAAGt/s6A=")</f>
        <v>#REF!</v>
      </c>
      <c r="FF85" t="e">
        <f>AND(NhatkyTon!#REF!,"AAAAAGt/s6E=")</f>
        <v>#REF!</v>
      </c>
      <c r="FG85" t="e">
        <f>AND(NhatkyTon!#REF!,"AAAAAGt/s6I=")</f>
        <v>#REF!</v>
      </c>
      <c r="FH85" t="e">
        <f>AND(NhatkyTon!#REF!,"AAAAAGt/s6M=")</f>
        <v>#REF!</v>
      </c>
      <c r="FI85" t="e">
        <f>AND(NhatkyTon!#REF!,"AAAAAGt/s6Q=")</f>
        <v>#REF!</v>
      </c>
      <c r="FJ85" t="e">
        <f>AND(NhatkyTon!#REF!,"AAAAAGt/s6U=")</f>
        <v>#REF!</v>
      </c>
      <c r="FK85" t="e">
        <f>AND(NhatkyTon!#REF!,"AAAAAGt/s6Y=")</f>
        <v>#REF!</v>
      </c>
      <c r="FL85" t="e">
        <f>AND(NhatkyTon!#REF!,"AAAAAGt/s6c=")</f>
        <v>#REF!</v>
      </c>
      <c r="FM85" t="e">
        <f>AND(NhatkyTon!#REF!,"AAAAAGt/s6g=")</f>
        <v>#REF!</v>
      </c>
      <c r="FN85" t="e">
        <f>AND(NhatkyTon!#REF!,"AAAAAGt/s6k=")</f>
        <v>#REF!</v>
      </c>
      <c r="FO85" t="e">
        <f>AND(NhatkyTon!#REF!,"AAAAAGt/s6o=")</f>
        <v>#REF!</v>
      </c>
      <c r="FP85" t="e">
        <f>AND(NhatkyTon!#REF!,"AAAAAGt/s6s=")</f>
        <v>#REF!</v>
      </c>
      <c r="FQ85" t="e">
        <f>AND(NhatkyTon!#REF!,"AAAAAGt/s6w=")</f>
        <v>#REF!</v>
      </c>
      <c r="FR85" t="e">
        <f>AND(NhatkyTon!#REF!,"AAAAAGt/s60=")</f>
        <v>#REF!</v>
      </c>
      <c r="FS85" t="e">
        <f>AND(NhatkyTon!#REF!,"AAAAAGt/s64=")</f>
        <v>#REF!</v>
      </c>
      <c r="FT85" t="e">
        <f>AND(NhatkyTon!#REF!,"AAAAAGt/s68=")</f>
        <v>#REF!</v>
      </c>
      <c r="FU85" t="e">
        <f>AND(NhatkyTon!#REF!,"AAAAAGt/s7A=")</f>
        <v>#REF!</v>
      </c>
      <c r="FV85" t="e">
        <f>AND(NhatkyTon!#REF!,"AAAAAGt/s7E=")</f>
        <v>#REF!</v>
      </c>
      <c r="FW85" t="e">
        <f>AND(NhatkyTon!#REF!,"AAAAAGt/s7I=")</f>
        <v>#REF!</v>
      </c>
      <c r="FX85" t="e">
        <f>AND(NhatkyTon!#REF!,"AAAAAGt/s7M=")</f>
        <v>#REF!</v>
      </c>
      <c r="FY85" t="e">
        <f>AND(NhatkyTon!#REF!,"AAAAAGt/s7Q=")</f>
        <v>#REF!</v>
      </c>
      <c r="FZ85" t="e">
        <f>AND(NhatkyTon!#REF!,"AAAAAGt/s7U=")</f>
        <v>#REF!</v>
      </c>
      <c r="GA85" t="e">
        <f>AND(NhatkyTon!#REF!,"AAAAAGt/s7Y=")</f>
        <v>#REF!</v>
      </c>
      <c r="GB85" t="e">
        <f>IF(NhatkyTon!#REF!,"AAAAAGt/s7c=",0)</f>
        <v>#REF!</v>
      </c>
      <c r="GC85" t="e">
        <f>AND(NhatkyTon!#REF!,"AAAAAGt/s7g=")</f>
        <v>#REF!</v>
      </c>
      <c r="GD85" t="e">
        <f>AND(NhatkyTon!#REF!,"AAAAAGt/s7k=")</f>
        <v>#REF!</v>
      </c>
      <c r="GE85" t="e">
        <f>AND(NhatkyTon!#REF!,"AAAAAGt/s7o=")</f>
        <v>#REF!</v>
      </c>
      <c r="GF85" t="e">
        <f>AND(NhatkyTon!#REF!,"AAAAAGt/s7s=")</f>
        <v>#REF!</v>
      </c>
      <c r="GG85" t="e">
        <f>AND(NhatkyTon!#REF!,"AAAAAGt/s7w=")</f>
        <v>#REF!</v>
      </c>
      <c r="GH85" t="e">
        <f>AND(NhatkyTon!#REF!,"AAAAAGt/s70=")</f>
        <v>#REF!</v>
      </c>
      <c r="GI85" t="e">
        <f>AND(NhatkyTon!#REF!,"AAAAAGt/s74=")</f>
        <v>#REF!</v>
      </c>
      <c r="GJ85" t="e">
        <f>AND(NhatkyTon!#REF!,"AAAAAGt/s78=")</f>
        <v>#REF!</v>
      </c>
      <c r="GK85" t="e">
        <f>AND(NhatkyTon!#REF!,"AAAAAGt/s8A=")</f>
        <v>#REF!</v>
      </c>
      <c r="GL85" t="e">
        <f>AND(NhatkyTon!#REF!,"AAAAAGt/s8E=")</f>
        <v>#REF!</v>
      </c>
      <c r="GM85" t="e">
        <f>AND(NhatkyTon!#REF!,"AAAAAGt/s8I=")</f>
        <v>#REF!</v>
      </c>
      <c r="GN85" t="e">
        <f>AND(NhatkyTon!#REF!,"AAAAAGt/s8M=")</f>
        <v>#REF!</v>
      </c>
      <c r="GO85" t="e">
        <f>AND(NhatkyTon!#REF!,"AAAAAGt/s8Q=")</f>
        <v>#REF!</v>
      </c>
      <c r="GP85" t="e">
        <f>AND(NhatkyTon!#REF!,"AAAAAGt/s8U=")</f>
        <v>#REF!</v>
      </c>
      <c r="GQ85" t="e">
        <f>AND(NhatkyTon!#REF!,"AAAAAGt/s8Y=")</f>
        <v>#REF!</v>
      </c>
      <c r="GR85" t="e">
        <f>AND(NhatkyTon!#REF!,"AAAAAGt/s8c=")</f>
        <v>#REF!</v>
      </c>
      <c r="GS85" t="e">
        <f>AND(NhatkyTon!#REF!,"AAAAAGt/s8g=")</f>
        <v>#REF!</v>
      </c>
      <c r="GT85" t="e">
        <f>AND(NhatkyTon!#REF!,"AAAAAGt/s8k=")</f>
        <v>#REF!</v>
      </c>
      <c r="GU85" t="e">
        <f>AND(NhatkyTon!#REF!,"AAAAAGt/s8o=")</f>
        <v>#REF!</v>
      </c>
      <c r="GV85" t="e">
        <f>AND(NhatkyTon!#REF!,"AAAAAGt/s8s=")</f>
        <v>#REF!</v>
      </c>
      <c r="GW85" t="e">
        <f>AND(NhatkyTon!#REF!,"AAAAAGt/s8w=")</f>
        <v>#REF!</v>
      </c>
      <c r="GX85" t="e">
        <f>AND(NhatkyTon!#REF!,"AAAAAGt/s80=")</f>
        <v>#REF!</v>
      </c>
      <c r="GY85" t="e">
        <f>AND(NhatkyTon!#REF!,"AAAAAGt/s84=")</f>
        <v>#REF!</v>
      </c>
      <c r="GZ85" t="e">
        <f>AND(NhatkyTon!#REF!,"AAAAAGt/s88=")</f>
        <v>#REF!</v>
      </c>
      <c r="HA85" t="e">
        <f>AND(NhatkyTon!#REF!,"AAAAAGt/s9A=")</f>
        <v>#REF!</v>
      </c>
      <c r="HB85" t="e">
        <f>AND(NhatkyTon!#REF!,"AAAAAGt/s9E=")</f>
        <v>#REF!</v>
      </c>
      <c r="HC85" t="e">
        <f>AND(NhatkyTon!#REF!,"AAAAAGt/s9I=")</f>
        <v>#REF!</v>
      </c>
      <c r="HD85" t="e">
        <f>AND(NhatkyTon!#REF!,"AAAAAGt/s9M=")</f>
        <v>#REF!</v>
      </c>
      <c r="HE85" t="e">
        <f>AND(NhatkyTon!#REF!,"AAAAAGt/s9Q=")</f>
        <v>#REF!</v>
      </c>
      <c r="HF85" t="e">
        <f>AND(NhatkyTon!#REF!,"AAAAAGt/s9U=")</f>
        <v>#REF!</v>
      </c>
      <c r="HG85" t="e">
        <f>AND(NhatkyTon!#REF!,"AAAAAGt/s9Y=")</f>
        <v>#REF!</v>
      </c>
      <c r="HH85" t="e">
        <f>AND(NhatkyTon!#REF!,"AAAAAGt/s9c=")</f>
        <v>#REF!</v>
      </c>
      <c r="HI85" t="e">
        <f>AND(NhatkyTon!#REF!,"AAAAAGt/s9g=")</f>
        <v>#REF!</v>
      </c>
      <c r="HJ85" t="e">
        <f>AND(NhatkyTon!#REF!,"AAAAAGt/s9k=")</f>
        <v>#REF!</v>
      </c>
      <c r="HK85" t="e">
        <f>IF(NhatkyTon!#REF!,"AAAAAGt/s9o=",0)</f>
        <v>#REF!</v>
      </c>
      <c r="HL85" t="e">
        <f>AND(NhatkyTon!#REF!,"AAAAAGt/s9s=")</f>
        <v>#REF!</v>
      </c>
      <c r="HM85" t="e">
        <f>AND(NhatkyTon!#REF!,"AAAAAGt/s9w=")</f>
        <v>#REF!</v>
      </c>
      <c r="HN85" t="e">
        <f>AND(NhatkyTon!#REF!,"AAAAAGt/s90=")</f>
        <v>#REF!</v>
      </c>
      <c r="HO85" t="e">
        <f>AND(NhatkyTon!#REF!,"AAAAAGt/s94=")</f>
        <v>#REF!</v>
      </c>
      <c r="HP85" t="e">
        <f>AND(NhatkyTon!#REF!,"AAAAAGt/s98=")</f>
        <v>#REF!</v>
      </c>
      <c r="HQ85" t="e">
        <f>AND(NhatkyTon!#REF!,"AAAAAGt/s+A=")</f>
        <v>#REF!</v>
      </c>
      <c r="HR85" t="e">
        <f>AND(NhatkyTon!#REF!,"AAAAAGt/s+E=")</f>
        <v>#REF!</v>
      </c>
      <c r="HS85" t="e">
        <f>AND(NhatkyTon!#REF!,"AAAAAGt/s+I=")</f>
        <v>#REF!</v>
      </c>
      <c r="HT85" t="e">
        <f>AND(NhatkyTon!#REF!,"AAAAAGt/s+M=")</f>
        <v>#REF!</v>
      </c>
      <c r="HU85" t="e">
        <f>AND(NhatkyTon!#REF!,"AAAAAGt/s+Q=")</f>
        <v>#REF!</v>
      </c>
      <c r="HV85" t="e">
        <f>AND(NhatkyTon!#REF!,"AAAAAGt/s+U=")</f>
        <v>#REF!</v>
      </c>
      <c r="HW85" t="e">
        <f>AND(NhatkyTon!#REF!,"AAAAAGt/s+Y=")</f>
        <v>#REF!</v>
      </c>
      <c r="HX85" t="e">
        <f>AND(NhatkyTon!#REF!,"AAAAAGt/s+c=")</f>
        <v>#REF!</v>
      </c>
      <c r="HY85" t="e">
        <f>AND(NhatkyTon!#REF!,"AAAAAGt/s+g=")</f>
        <v>#REF!</v>
      </c>
      <c r="HZ85" t="e">
        <f>AND(NhatkyTon!#REF!,"AAAAAGt/s+k=")</f>
        <v>#REF!</v>
      </c>
      <c r="IA85" t="e">
        <f>AND(NhatkyTon!#REF!,"AAAAAGt/s+o=")</f>
        <v>#REF!</v>
      </c>
      <c r="IB85" t="e">
        <f>AND(NhatkyTon!#REF!,"AAAAAGt/s+s=")</f>
        <v>#REF!</v>
      </c>
      <c r="IC85" t="e">
        <f>AND(NhatkyTon!#REF!,"AAAAAGt/s+w=")</f>
        <v>#REF!</v>
      </c>
      <c r="ID85" t="e">
        <f>AND(NhatkyTon!#REF!,"AAAAAGt/s+0=")</f>
        <v>#REF!</v>
      </c>
      <c r="IE85" t="e">
        <f>AND(NhatkyTon!#REF!,"AAAAAGt/s+4=")</f>
        <v>#REF!</v>
      </c>
      <c r="IF85" t="e">
        <f>AND(NhatkyTon!#REF!,"AAAAAGt/s+8=")</f>
        <v>#REF!</v>
      </c>
      <c r="IG85" t="e">
        <f>AND(NhatkyTon!#REF!,"AAAAAGt/s/A=")</f>
        <v>#REF!</v>
      </c>
      <c r="IH85" t="e">
        <f>AND(NhatkyTon!#REF!,"AAAAAGt/s/E=")</f>
        <v>#REF!</v>
      </c>
      <c r="II85" t="e">
        <f>AND(NhatkyTon!#REF!,"AAAAAGt/s/I=")</f>
        <v>#REF!</v>
      </c>
      <c r="IJ85" t="e">
        <f>AND(NhatkyTon!#REF!,"AAAAAGt/s/M=")</f>
        <v>#REF!</v>
      </c>
      <c r="IK85" t="e">
        <f>AND(NhatkyTon!#REF!,"AAAAAGt/s/Q=")</f>
        <v>#REF!</v>
      </c>
      <c r="IL85" t="e">
        <f>AND(NhatkyTon!#REF!,"AAAAAGt/s/U=")</f>
        <v>#REF!</v>
      </c>
      <c r="IM85" t="e">
        <f>AND(NhatkyTon!#REF!,"AAAAAGt/s/Y=")</f>
        <v>#REF!</v>
      </c>
      <c r="IN85" t="e">
        <f>AND(NhatkyTon!#REF!,"AAAAAGt/s/c=")</f>
        <v>#REF!</v>
      </c>
      <c r="IO85" t="e">
        <f>AND(NhatkyTon!#REF!,"AAAAAGt/s/g=")</f>
        <v>#REF!</v>
      </c>
      <c r="IP85" t="e">
        <f>AND(NhatkyTon!#REF!,"AAAAAGt/s/k=")</f>
        <v>#REF!</v>
      </c>
      <c r="IQ85" t="e">
        <f>AND(NhatkyTon!#REF!,"AAAAAGt/s/o=")</f>
        <v>#REF!</v>
      </c>
      <c r="IR85" t="e">
        <f>AND(NhatkyTon!#REF!,"AAAAAGt/s/s=")</f>
        <v>#REF!</v>
      </c>
      <c r="IS85" t="e">
        <f>AND(NhatkyTon!#REF!,"AAAAAGt/s/w=")</f>
        <v>#REF!</v>
      </c>
      <c r="IT85" t="e">
        <f>IF(NhatkyTon!#REF!,"AAAAAGt/s/0=",0)</f>
        <v>#REF!</v>
      </c>
      <c r="IU85" t="e">
        <f>AND(NhatkyTon!#REF!,"AAAAAGt/s/4=")</f>
        <v>#REF!</v>
      </c>
      <c r="IV85" t="e">
        <f>AND(NhatkyTon!#REF!,"AAAAAGt/s/8=")</f>
        <v>#REF!</v>
      </c>
    </row>
    <row r="86" spans="1:256">
      <c r="A86" t="e">
        <f>AND(NhatkyTon!#REF!,"AAAAAGrH7wA=")</f>
        <v>#REF!</v>
      </c>
      <c r="B86" t="e">
        <f>AND(NhatkyTon!#REF!,"AAAAAGrH7wE=")</f>
        <v>#REF!</v>
      </c>
      <c r="C86" t="e">
        <f>AND(NhatkyTon!#REF!,"AAAAAGrH7wI=")</f>
        <v>#REF!</v>
      </c>
      <c r="D86" t="e">
        <f>AND(NhatkyTon!#REF!,"AAAAAGrH7wM=")</f>
        <v>#REF!</v>
      </c>
      <c r="E86" t="e">
        <f>AND(NhatkyTon!#REF!,"AAAAAGrH7wQ=")</f>
        <v>#REF!</v>
      </c>
      <c r="F86" t="e">
        <f>AND(NhatkyTon!#REF!,"AAAAAGrH7wU=")</f>
        <v>#REF!</v>
      </c>
      <c r="G86" t="e">
        <f>AND(NhatkyTon!#REF!,"AAAAAGrH7wY=")</f>
        <v>#REF!</v>
      </c>
      <c r="H86" t="e">
        <f>AND(NhatkyTon!#REF!,"AAAAAGrH7wc=")</f>
        <v>#REF!</v>
      </c>
      <c r="I86" t="e">
        <f>AND(NhatkyTon!#REF!,"AAAAAGrH7wg=")</f>
        <v>#REF!</v>
      </c>
      <c r="J86" t="e">
        <f>AND(NhatkyTon!#REF!,"AAAAAGrH7wk=")</f>
        <v>#REF!</v>
      </c>
      <c r="K86" t="e">
        <f>AND(NhatkyTon!#REF!,"AAAAAGrH7wo=")</f>
        <v>#REF!</v>
      </c>
      <c r="L86" t="e">
        <f>AND(NhatkyTon!#REF!,"AAAAAGrH7ws=")</f>
        <v>#REF!</v>
      </c>
      <c r="M86" t="e">
        <f>AND(NhatkyTon!#REF!,"AAAAAGrH7ww=")</f>
        <v>#REF!</v>
      </c>
      <c r="N86" t="e">
        <f>AND(NhatkyTon!#REF!,"AAAAAGrH7w0=")</f>
        <v>#REF!</v>
      </c>
      <c r="O86" t="e">
        <f>AND(NhatkyTon!#REF!,"AAAAAGrH7w4=")</f>
        <v>#REF!</v>
      </c>
      <c r="P86" t="e">
        <f>AND(NhatkyTon!#REF!,"AAAAAGrH7w8=")</f>
        <v>#REF!</v>
      </c>
      <c r="Q86" t="e">
        <f>AND(NhatkyTon!#REF!,"AAAAAGrH7xA=")</f>
        <v>#REF!</v>
      </c>
      <c r="R86" t="e">
        <f>AND(NhatkyTon!#REF!,"AAAAAGrH7xE=")</f>
        <v>#REF!</v>
      </c>
      <c r="S86" t="e">
        <f>AND(NhatkyTon!#REF!,"AAAAAGrH7xI=")</f>
        <v>#REF!</v>
      </c>
      <c r="T86" t="e">
        <f>AND(NhatkyTon!#REF!,"AAAAAGrH7xM=")</f>
        <v>#REF!</v>
      </c>
      <c r="U86" t="e">
        <f>AND(NhatkyTon!#REF!,"AAAAAGrH7xQ=")</f>
        <v>#REF!</v>
      </c>
      <c r="V86" t="e">
        <f>AND(NhatkyTon!#REF!,"AAAAAGrH7xU=")</f>
        <v>#REF!</v>
      </c>
      <c r="W86" t="e">
        <f>AND(NhatkyTon!#REF!,"AAAAAGrH7xY=")</f>
        <v>#REF!</v>
      </c>
      <c r="X86" t="e">
        <f>AND(NhatkyTon!#REF!,"AAAAAGrH7xc=")</f>
        <v>#REF!</v>
      </c>
      <c r="Y86" t="e">
        <f>AND(NhatkyTon!#REF!,"AAAAAGrH7xg=")</f>
        <v>#REF!</v>
      </c>
      <c r="Z86" t="e">
        <f>AND(NhatkyTon!#REF!,"AAAAAGrH7xk=")</f>
        <v>#REF!</v>
      </c>
      <c r="AA86" t="e">
        <f>AND(NhatkyTon!#REF!,"AAAAAGrH7xo=")</f>
        <v>#REF!</v>
      </c>
      <c r="AB86" t="e">
        <f>AND(NhatkyTon!#REF!,"AAAAAGrH7xs=")</f>
        <v>#REF!</v>
      </c>
      <c r="AC86" t="e">
        <f>AND(NhatkyTon!#REF!,"AAAAAGrH7xw=")</f>
        <v>#REF!</v>
      </c>
      <c r="AD86" t="e">
        <f>AND(NhatkyTon!#REF!,"AAAAAGrH7x0=")</f>
        <v>#REF!</v>
      </c>
      <c r="AE86" t="e">
        <f>AND(NhatkyTon!#REF!,"AAAAAGrH7x4=")</f>
        <v>#REF!</v>
      </c>
      <c r="AF86" t="e">
        <f>AND(NhatkyTon!#REF!,"AAAAAGrH7x8=")</f>
        <v>#REF!</v>
      </c>
      <c r="AG86" t="e">
        <f>IF(NhatkyTon!#REF!,"AAAAAGrH7yA=",0)</f>
        <v>#REF!</v>
      </c>
      <c r="AH86" t="e">
        <f>AND(NhatkyTon!#REF!,"AAAAAGrH7yE=")</f>
        <v>#REF!</v>
      </c>
      <c r="AI86" t="e">
        <f>AND(NhatkyTon!#REF!,"AAAAAGrH7yI=")</f>
        <v>#REF!</v>
      </c>
      <c r="AJ86" t="e">
        <f>AND(NhatkyTon!#REF!,"AAAAAGrH7yM=")</f>
        <v>#REF!</v>
      </c>
      <c r="AK86" t="e">
        <f>AND(NhatkyTon!#REF!,"AAAAAGrH7yQ=")</f>
        <v>#REF!</v>
      </c>
      <c r="AL86" t="e">
        <f>AND(NhatkyTon!#REF!,"AAAAAGrH7yU=")</f>
        <v>#REF!</v>
      </c>
      <c r="AM86" t="e">
        <f>AND(NhatkyTon!#REF!,"AAAAAGrH7yY=")</f>
        <v>#REF!</v>
      </c>
      <c r="AN86" t="e">
        <f>AND(NhatkyTon!#REF!,"AAAAAGrH7yc=")</f>
        <v>#REF!</v>
      </c>
      <c r="AO86" t="e">
        <f>AND(NhatkyTon!#REF!,"AAAAAGrH7yg=")</f>
        <v>#REF!</v>
      </c>
      <c r="AP86" t="e">
        <f>AND(NhatkyTon!#REF!,"AAAAAGrH7yk=")</f>
        <v>#REF!</v>
      </c>
      <c r="AQ86" t="e">
        <f>AND(NhatkyTon!#REF!,"AAAAAGrH7yo=")</f>
        <v>#REF!</v>
      </c>
      <c r="AR86" t="e">
        <f>AND(NhatkyTon!#REF!,"AAAAAGrH7ys=")</f>
        <v>#REF!</v>
      </c>
      <c r="AS86" t="e">
        <f>AND(NhatkyTon!#REF!,"AAAAAGrH7yw=")</f>
        <v>#REF!</v>
      </c>
      <c r="AT86" t="e">
        <f>AND(NhatkyTon!#REF!,"AAAAAGrH7y0=")</f>
        <v>#REF!</v>
      </c>
      <c r="AU86" t="e">
        <f>AND(NhatkyTon!#REF!,"AAAAAGrH7y4=")</f>
        <v>#REF!</v>
      </c>
      <c r="AV86" t="e">
        <f>AND(NhatkyTon!#REF!,"AAAAAGrH7y8=")</f>
        <v>#REF!</v>
      </c>
      <c r="AW86" t="e">
        <f>AND(NhatkyTon!#REF!,"AAAAAGrH7zA=")</f>
        <v>#REF!</v>
      </c>
      <c r="AX86" t="e">
        <f>AND(NhatkyTon!#REF!,"AAAAAGrH7zE=")</f>
        <v>#REF!</v>
      </c>
      <c r="AY86" t="e">
        <f>AND(NhatkyTon!#REF!,"AAAAAGrH7zI=")</f>
        <v>#REF!</v>
      </c>
      <c r="AZ86" t="e">
        <f>AND(NhatkyTon!#REF!,"AAAAAGrH7zM=")</f>
        <v>#REF!</v>
      </c>
      <c r="BA86" t="e">
        <f>AND(NhatkyTon!#REF!,"AAAAAGrH7zQ=")</f>
        <v>#REF!</v>
      </c>
      <c r="BB86" t="e">
        <f>AND(NhatkyTon!#REF!,"AAAAAGrH7zU=")</f>
        <v>#REF!</v>
      </c>
      <c r="BC86" t="e">
        <f>AND(NhatkyTon!#REF!,"AAAAAGrH7zY=")</f>
        <v>#REF!</v>
      </c>
      <c r="BD86" t="e">
        <f>AND(NhatkyTon!#REF!,"AAAAAGrH7zc=")</f>
        <v>#REF!</v>
      </c>
      <c r="BE86" t="e">
        <f>AND(NhatkyTon!#REF!,"AAAAAGrH7zg=")</f>
        <v>#REF!</v>
      </c>
      <c r="BF86" t="e">
        <f>AND(NhatkyTon!#REF!,"AAAAAGrH7zk=")</f>
        <v>#REF!</v>
      </c>
      <c r="BG86" t="e">
        <f>AND(NhatkyTon!#REF!,"AAAAAGrH7zo=")</f>
        <v>#REF!</v>
      </c>
      <c r="BH86" t="e">
        <f>AND(NhatkyTon!#REF!,"AAAAAGrH7zs=")</f>
        <v>#REF!</v>
      </c>
      <c r="BI86" t="e">
        <f>AND(NhatkyTon!#REF!,"AAAAAGrH7zw=")</f>
        <v>#REF!</v>
      </c>
      <c r="BJ86" t="e">
        <f>AND(NhatkyTon!#REF!,"AAAAAGrH7z0=")</f>
        <v>#REF!</v>
      </c>
      <c r="BK86" t="e">
        <f>AND(NhatkyTon!#REF!,"AAAAAGrH7z4=")</f>
        <v>#REF!</v>
      </c>
      <c r="BL86" t="e">
        <f>AND(NhatkyTon!#REF!,"AAAAAGrH7z8=")</f>
        <v>#REF!</v>
      </c>
      <c r="BM86" t="e">
        <f>AND(NhatkyTon!#REF!,"AAAAAGrH70A=")</f>
        <v>#REF!</v>
      </c>
      <c r="BN86" t="e">
        <f>AND(NhatkyTon!#REF!,"AAAAAGrH70E=")</f>
        <v>#REF!</v>
      </c>
      <c r="BO86" t="e">
        <f>AND(NhatkyTon!#REF!,"AAAAAGrH70I=")</f>
        <v>#REF!</v>
      </c>
      <c r="BP86" t="e">
        <f>IF(NhatkyTon!#REF!,"AAAAAGrH70M=",0)</f>
        <v>#REF!</v>
      </c>
      <c r="BQ86" t="e">
        <f>AND(NhatkyTon!#REF!,"AAAAAGrH70Q=")</f>
        <v>#REF!</v>
      </c>
      <c r="BR86" t="e">
        <f>AND(NhatkyTon!#REF!,"AAAAAGrH70U=")</f>
        <v>#REF!</v>
      </c>
      <c r="BS86" t="e">
        <f>AND(NhatkyTon!#REF!,"AAAAAGrH70Y=")</f>
        <v>#REF!</v>
      </c>
      <c r="BT86" t="e">
        <f>AND(NhatkyTon!#REF!,"AAAAAGrH70c=")</f>
        <v>#REF!</v>
      </c>
      <c r="BU86" t="e">
        <f>AND(NhatkyTon!#REF!,"AAAAAGrH70g=")</f>
        <v>#REF!</v>
      </c>
      <c r="BV86" t="e">
        <f>AND(NhatkyTon!#REF!,"AAAAAGrH70k=")</f>
        <v>#REF!</v>
      </c>
      <c r="BW86" t="e">
        <f>AND(NhatkyTon!#REF!,"AAAAAGrH70o=")</f>
        <v>#REF!</v>
      </c>
      <c r="BX86" t="e">
        <f>AND(NhatkyTon!#REF!,"AAAAAGrH70s=")</f>
        <v>#REF!</v>
      </c>
      <c r="BY86" t="e">
        <f>AND(NhatkyTon!#REF!,"AAAAAGrH70w=")</f>
        <v>#REF!</v>
      </c>
      <c r="BZ86" t="e">
        <f>AND(NhatkyTon!#REF!,"AAAAAGrH700=")</f>
        <v>#REF!</v>
      </c>
      <c r="CA86" t="e">
        <f>AND(NhatkyTon!#REF!,"AAAAAGrH704=")</f>
        <v>#REF!</v>
      </c>
      <c r="CB86" t="e">
        <f>AND(NhatkyTon!#REF!,"AAAAAGrH708=")</f>
        <v>#REF!</v>
      </c>
      <c r="CC86" t="e">
        <f>AND(NhatkyTon!#REF!,"AAAAAGrH71A=")</f>
        <v>#REF!</v>
      </c>
      <c r="CD86" t="e">
        <f>AND(NhatkyTon!#REF!,"AAAAAGrH71E=")</f>
        <v>#REF!</v>
      </c>
      <c r="CE86" t="e">
        <f>AND(NhatkyTon!#REF!,"AAAAAGrH71I=")</f>
        <v>#REF!</v>
      </c>
      <c r="CF86" t="e">
        <f>AND(NhatkyTon!#REF!,"AAAAAGrH71M=")</f>
        <v>#REF!</v>
      </c>
      <c r="CG86" t="e">
        <f>AND(NhatkyTon!#REF!,"AAAAAGrH71Q=")</f>
        <v>#REF!</v>
      </c>
      <c r="CH86" t="e">
        <f>AND(NhatkyTon!#REF!,"AAAAAGrH71U=")</f>
        <v>#REF!</v>
      </c>
      <c r="CI86" t="e">
        <f>AND(NhatkyTon!#REF!,"AAAAAGrH71Y=")</f>
        <v>#REF!</v>
      </c>
      <c r="CJ86" t="e">
        <f>AND(NhatkyTon!#REF!,"AAAAAGrH71c=")</f>
        <v>#REF!</v>
      </c>
      <c r="CK86" t="e">
        <f>AND(NhatkyTon!#REF!,"AAAAAGrH71g=")</f>
        <v>#REF!</v>
      </c>
      <c r="CL86" t="e">
        <f>AND(NhatkyTon!#REF!,"AAAAAGrH71k=")</f>
        <v>#REF!</v>
      </c>
      <c r="CM86" t="e">
        <f>AND(NhatkyTon!#REF!,"AAAAAGrH71o=")</f>
        <v>#REF!</v>
      </c>
      <c r="CN86" t="e">
        <f>AND(NhatkyTon!#REF!,"AAAAAGrH71s=")</f>
        <v>#REF!</v>
      </c>
      <c r="CO86" t="e">
        <f>AND(NhatkyTon!#REF!,"AAAAAGrH71w=")</f>
        <v>#REF!</v>
      </c>
      <c r="CP86" t="e">
        <f>AND(NhatkyTon!#REF!,"AAAAAGrH710=")</f>
        <v>#REF!</v>
      </c>
      <c r="CQ86" t="e">
        <f>AND(NhatkyTon!#REF!,"AAAAAGrH714=")</f>
        <v>#REF!</v>
      </c>
      <c r="CR86" t="e">
        <f>AND(NhatkyTon!#REF!,"AAAAAGrH718=")</f>
        <v>#REF!</v>
      </c>
      <c r="CS86" t="e">
        <f>AND(NhatkyTon!#REF!,"AAAAAGrH72A=")</f>
        <v>#REF!</v>
      </c>
      <c r="CT86" t="e">
        <f>AND(NhatkyTon!#REF!,"AAAAAGrH72E=")</f>
        <v>#REF!</v>
      </c>
      <c r="CU86" t="e">
        <f>AND(NhatkyTon!#REF!,"AAAAAGrH72I=")</f>
        <v>#REF!</v>
      </c>
      <c r="CV86" t="e">
        <f>AND(NhatkyTon!#REF!,"AAAAAGrH72M=")</f>
        <v>#REF!</v>
      </c>
      <c r="CW86" t="e">
        <f>AND(NhatkyTon!#REF!,"AAAAAGrH72Q=")</f>
        <v>#REF!</v>
      </c>
      <c r="CX86" t="e">
        <f>AND(NhatkyTon!#REF!,"AAAAAGrH72U=")</f>
        <v>#REF!</v>
      </c>
      <c r="CY86" t="e">
        <f>IF(NhatkyTon!#REF!,"AAAAAGrH72Y=",0)</f>
        <v>#REF!</v>
      </c>
      <c r="CZ86" t="e">
        <f>AND(NhatkyTon!#REF!,"AAAAAGrH72c=")</f>
        <v>#REF!</v>
      </c>
      <c r="DA86" t="e">
        <f>AND(NhatkyTon!#REF!,"AAAAAGrH72g=")</f>
        <v>#REF!</v>
      </c>
      <c r="DB86" t="e">
        <f>AND(NhatkyTon!#REF!,"AAAAAGrH72k=")</f>
        <v>#REF!</v>
      </c>
      <c r="DC86" t="e">
        <f>AND(NhatkyTon!#REF!,"AAAAAGrH72o=")</f>
        <v>#REF!</v>
      </c>
      <c r="DD86" t="e">
        <f>AND(NhatkyTon!#REF!,"AAAAAGrH72s=")</f>
        <v>#REF!</v>
      </c>
      <c r="DE86" t="e">
        <f>AND(NhatkyTon!#REF!,"AAAAAGrH72w=")</f>
        <v>#REF!</v>
      </c>
      <c r="DF86" t="e">
        <f>AND(NhatkyTon!#REF!,"AAAAAGrH720=")</f>
        <v>#REF!</v>
      </c>
      <c r="DG86" t="e">
        <f>AND(NhatkyTon!#REF!,"AAAAAGrH724=")</f>
        <v>#REF!</v>
      </c>
      <c r="DH86" t="e">
        <f>AND(NhatkyTon!#REF!,"AAAAAGrH728=")</f>
        <v>#REF!</v>
      </c>
      <c r="DI86" t="e">
        <f>AND(NhatkyTon!#REF!,"AAAAAGrH73A=")</f>
        <v>#REF!</v>
      </c>
      <c r="DJ86" t="e">
        <f>AND(NhatkyTon!#REF!,"AAAAAGrH73E=")</f>
        <v>#REF!</v>
      </c>
      <c r="DK86" t="e">
        <f>AND(NhatkyTon!#REF!,"AAAAAGrH73I=")</f>
        <v>#REF!</v>
      </c>
      <c r="DL86" t="e">
        <f>AND(NhatkyTon!#REF!,"AAAAAGrH73M=")</f>
        <v>#REF!</v>
      </c>
      <c r="DM86" t="e">
        <f>AND(NhatkyTon!#REF!,"AAAAAGrH73Q=")</f>
        <v>#REF!</v>
      </c>
      <c r="DN86" t="e">
        <f>AND(NhatkyTon!#REF!,"AAAAAGrH73U=")</f>
        <v>#REF!</v>
      </c>
      <c r="DO86" t="e">
        <f>AND(NhatkyTon!#REF!,"AAAAAGrH73Y=")</f>
        <v>#REF!</v>
      </c>
      <c r="DP86" t="e">
        <f>AND(NhatkyTon!#REF!,"AAAAAGrH73c=")</f>
        <v>#REF!</v>
      </c>
      <c r="DQ86" t="e">
        <f>AND(NhatkyTon!#REF!,"AAAAAGrH73g=")</f>
        <v>#REF!</v>
      </c>
      <c r="DR86" t="e">
        <f>AND(NhatkyTon!#REF!,"AAAAAGrH73k=")</f>
        <v>#REF!</v>
      </c>
      <c r="DS86" t="e">
        <f>AND(NhatkyTon!#REF!,"AAAAAGrH73o=")</f>
        <v>#REF!</v>
      </c>
      <c r="DT86" t="e">
        <f>AND(NhatkyTon!#REF!,"AAAAAGrH73s=")</f>
        <v>#REF!</v>
      </c>
      <c r="DU86" t="e">
        <f>AND(NhatkyTon!#REF!,"AAAAAGrH73w=")</f>
        <v>#REF!</v>
      </c>
      <c r="DV86" t="e">
        <f>AND(NhatkyTon!#REF!,"AAAAAGrH730=")</f>
        <v>#REF!</v>
      </c>
      <c r="DW86" t="e">
        <f>AND(NhatkyTon!#REF!,"AAAAAGrH734=")</f>
        <v>#REF!</v>
      </c>
      <c r="DX86" t="e">
        <f>AND(NhatkyTon!#REF!,"AAAAAGrH738=")</f>
        <v>#REF!</v>
      </c>
      <c r="DY86" t="e">
        <f>AND(NhatkyTon!#REF!,"AAAAAGrH74A=")</f>
        <v>#REF!</v>
      </c>
      <c r="DZ86" t="e">
        <f>AND(NhatkyTon!#REF!,"AAAAAGrH74E=")</f>
        <v>#REF!</v>
      </c>
      <c r="EA86" t="e">
        <f>AND(NhatkyTon!#REF!,"AAAAAGrH74I=")</f>
        <v>#REF!</v>
      </c>
      <c r="EB86" t="e">
        <f>AND(NhatkyTon!#REF!,"AAAAAGrH74M=")</f>
        <v>#REF!</v>
      </c>
      <c r="EC86" t="e">
        <f>AND(NhatkyTon!#REF!,"AAAAAGrH74Q=")</f>
        <v>#REF!</v>
      </c>
      <c r="ED86" t="e">
        <f>AND(NhatkyTon!#REF!,"AAAAAGrH74U=")</f>
        <v>#REF!</v>
      </c>
      <c r="EE86" t="e">
        <f>AND(NhatkyTon!#REF!,"AAAAAGrH74Y=")</f>
        <v>#REF!</v>
      </c>
      <c r="EF86" t="e">
        <f>AND(NhatkyTon!#REF!,"AAAAAGrH74c=")</f>
        <v>#REF!</v>
      </c>
      <c r="EG86" t="e">
        <f>AND(NhatkyTon!#REF!,"AAAAAGrH74g=")</f>
        <v>#REF!</v>
      </c>
      <c r="EH86" t="e">
        <f>IF(NhatkyTon!#REF!,"AAAAAGrH74k=",0)</f>
        <v>#REF!</v>
      </c>
      <c r="EI86" t="e">
        <f>AND(NhatkyTon!#REF!,"AAAAAGrH74o=")</f>
        <v>#REF!</v>
      </c>
      <c r="EJ86" t="e">
        <f>AND(NhatkyTon!#REF!,"AAAAAGrH74s=")</f>
        <v>#REF!</v>
      </c>
      <c r="EK86" t="e">
        <f>AND(NhatkyTon!#REF!,"AAAAAGrH74w=")</f>
        <v>#REF!</v>
      </c>
      <c r="EL86" t="e">
        <f>AND(NhatkyTon!#REF!,"AAAAAGrH740=")</f>
        <v>#REF!</v>
      </c>
      <c r="EM86" t="e">
        <f>AND(NhatkyTon!#REF!,"AAAAAGrH744=")</f>
        <v>#REF!</v>
      </c>
      <c r="EN86" t="e">
        <f>AND(NhatkyTon!#REF!,"AAAAAGrH748=")</f>
        <v>#REF!</v>
      </c>
      <c r="EO86" t="e">
        <f>AND(NhatkyTon!#REF!,"AAAAAGrH75A=")</f>
        <v>#REF!</v>
      </c>
      <c r="EP86" t="e">
        <f>AND(NhatkyTon!#REF!,"AAAAAGrH75E=")</f>
        <v>#REF!</v>
      </c>
      <c r="EQ86" t="e">
        <f>AND(NhatkyTon!#REF!,"AAAAAGrH75I=")</f>
        <v>#REF!</v>
      </c>
      <c r="ER86" t="e">
        <f>AND(NhatkyTon!#REF!,"AAAAAGrH75M=")</f>
        <v>#REF!</v>
      </c>
      <c r="ES86" t="e">
        <f>AND(NhatkyTon!#REF!,"AAAAAGrH75Q=")</f>
        <v>#REF!</v>
      </c>
      <c r="ET86" t="e">
        <f>AND(NhatkyTon!#REF!,"AAAAAGrH75U=")</f>
        <v>#REF!</v>
      </c>
      <c r="EU86" t="e">
        <f>AND(NhatkyTon!#REF!,"AAAAAGrH75Y=")</f>
        <v>#REF!</v>
      </c>
      <c r="EV86" t="e">
        <f>AND(NhatkyTon!#REF!,"AAAAAGrH75c=")</f>
        <v>#REF!</v>
      </c>
      <c r="EW86" t="e">
        <f>AND(NhatkyTon!#REF!,"AAAAAGrH75g=")</f>
        <v>#REF!</v>
      </c>
      <c r="EX86" t="e">
        <f>AND(NhatkyTon!#REF!,"AAAAAGrH75k=")</f>
        <v>#REF!</v>
      </c>
      <c r="EY86" t="e">
        <f>AND(NhatkyTon!#REF!,"AAAAAGrH75o=")</f>
        <v>#REF!</v>
      </c>
      <c r="EZ86" t="e">
        <f>AND(NhatkyTon!#REF!,"AAAAAGrH75s=")</f>
        <v>#REF!</v>
      </c>
      <c r="FA86" t="e">
        <f>AND(NhatkyTon!#REF!,"AAAAAGrH75w=")</f>
        <v>#REF!</v>
      </c>
      <c r="FB86" t="e">
        <f>AND(NhatkyTon!#REF!,"AAAAAGrH750=")</f>
        <v>#REF!</v>
      </c>
      <c r="FC86" t="e">
        <f>AND(NhatkyTon!#REF!,"AAAAAGrH754=")</f>
        <v>#REF!</v>
      </c>
      <c r="FD86" t="e">
        <f>AND(NhatkyTon!#REF!,"AAAAAGrH758=")</f>
        <v>#REF!</v>
      </c>
      <c r="FE86" t="e">
        <f>AND(NhatkyTon!#REF!,"AAAAAGrH76A=")</f>
        <v>#REF!</v>
      </c>
      <c r="FF86" t="e">
        <f>AND(NhatkyTon!#REF!,"AAAAAGrH76E=")</f>
        <v>#REF!</v>
      </c>
      <c r="FG86" t="e">
        <f>AND(NhatkyTon!#REF!,"AAAAAGrH76I=")</f>
        <v>#REF!</v>
      </c>
      <c r="FH86" t="e">
        <f>AND(NhatkyTon!#REF!,"AAAAAGrH76M=")</f>
        <v>#REF!</v>
      </c>
      <c r="FI86" t="e">
        <f>AND(NhatkyTon!#REF!,"AAAAAGrH76Q=")</f>
        <v>#REF!</v>
      </c>
      <c r="FJ86" t="e">
        <f>AND(NhatkyTon!#REF!,"AAAAAGrH76U=")</f>
        <v>#REF!</v>
      </c>
      <c r="FK86" t="e">
        <f>AND(NhatkyTon!#REF!,"AAAAAGrH76Y=")</f>
        <v>#REF!</v>
      </c>
      <c r="FL86" t="e">
        <f>AND(NhatkyTon!#REF!,"AAAAAGrH76c=")</f>
        <v>#REF!</v>
      </c>
      <c r="FM86" t="e">
        <f>AND(NhatkyTon!#REF!,"AAAAAGrH76g=")</f>
        <v>#REF!</v>
      </c>
      <c r="FN86" t="e">
        <f>AND(NhatkyTon!#REF!,"AAAAAGrH76k=")</f>
        <v>#REF!</v>
      </c>
      <c r="FO86" t="e">
        <f>AND(NhatkyTon!#REF!,"AAAAAGrH76o=")</f>
        <v>#REF!</v>
      </c>
      <c r="FP86" t="e">
        <f>AND(NhatkyTon!#REF!,"AAAAAGrH76s=")</f>
        <v>#REF!</v>
      </c>
      <c r="FQ86" t="e">
        <f>IF(NhatkyTon!#REF!,"AAAAAGrH76w=",0)</f>
        <v>#REF!</v>
      </c>
      <c r="FR86" t="e">
        <f>AND(NhatkyTon!#REF!,"AAAAAGrH760=")</f>
        <v>#REF!</v>
      </c>
      <c r="FS86" t="e">
        <f>AND(NhatkyTon!#REF!,"AAAAAGrH764=")</f>
        <v>#REF!</v>
      </c>
      <c r="FT86" t="e">
        <f>AND(NhatkyTon!#REF!,"AAAAAGrH768=")</f>
        <v>#REF!</v>
      </c>
      <c r="FU86" t="e">
        <f>AND(NhatkyTon!#REF!,"AAAAAGrH77A=")</f>
        <v>#REF!</v>
      </c>
      <c r="FV86" t="e">
        <f>AND(NhatkyTon!#REF!,"AAAAAGrH77E=")</f>
        <v>#REF!</v>
      </c>
      <c r="FW86" t="e">
        <f>AND(NhatkyTon!#REF!,"AAAAAGrH77I=")</f>
        <v>#REF!</v>
      </c>
      <c r="FX86" t="e">
        <f>AND(NhatkyTon!#REF!,"AAAAAGrH77M=")</f>
        <v>#REF!</v>
      </c>
      <c r="FY86" t="e">
        <f>AND(NhatkyTon!#REF!,"AAAAAGrH77Q=")</f>
        <v>#REF!</v>
      </c>
      <c r="FZ86" t="e">
        <f>AND(NhatkyTon!#REF!,"AAAAAGrH77U=")</f>
        <v>#REF!</v>
      </c>
      <c r="GA86" t="e">
        <f>AND(NhatkyTon!#REF!,"AAAAAGrH77Y=")</f>
        <v>#REF!</v>
      </c>
      <c r="GB86" t="e">
        <f>AND(NhatkyTon!#REF!,"AAAAAGrH77c=")</f>
        <v>#REF!</v>
      </c>
      <c r="GC86" t="e">
        <f>AND(NhatkyTon!#REF!,"AAAAAGrH77g=")</f>
        <v>#REF!</v>
      </c>
      <c r="GD86" t="e">
        <f>AND(NhatkyTon!#REF!,"AAAAAGrH77k=")</f>
        <v>#REF!</v>
      </c>
      <c r="GE86" t="e">
        <f>AND(NhatkyTon!#REF!,"AAAAAGrH77o=")</f>
        <v>#REF!</v>
      </c>
      <c r="GF86" t="e">
        <f>AND(NhatkyTon!#REF!,"AAAAAGrH77s=")</f>
        <v>#REF!</v>
      </c>
      <c r="GG86" t="e">
        <f>AND(NhatkyTon!#REF!,"AAAAAGrH77w=")</f>
        <v>#REF!</v>
      </c>
      <c r="GH86" t="e">
        <f>AND(NhatkyTon!#REF!,"AAAAAGrH770=")</f>
        <v>#REF!</v>
      </c>
      <c r="GI86" t="e">
        <f>AND(NhatkyTon!#REF!,"AAAAAGrH774=")</f>
        <v>#REF!</v>
      </c>
      <c r="GJ86" t="e">
        <f>AND(NhatkyTon!#REF!,"AAAAAGrH778=")</f>
        <v>#REF!</v>
      </c>
      <c r="GK86" t="e">
        <f>AND(NhatkyTon!#REF!,"AAAAAGrH78A=")</f>
        <v>#REF!</v>
      </c>
      <c r="GL86" t="e">
        <f>AND(NhatkyTon!#REF!,"AAAAAGrH78E=")</f>
        <v>#REF!</v>
      </c>
      <c r="GM86" t="e">
        <f>AND(NhatkyTon!#REF!,"AAAAAGrH78I=")</f>
        <v>#REF!</v>
      </c>
      <c r="GN86" t="e">
        <f>AND(NhatkyTon!#REF!,"AAAAAGrH78M=")</f>
        <v>#REF!</v>
      </c>
      <c r="GO86" t="e">
        <f>AND(NhatkyTon!#REF!,"AAAAAGrH78Q=")</f>
        <v>#REF!</v>
      </c>
      <c r="GP86" t="e">
        <f>AND(NhatkyTon!#REF!,"AAAAAGrH78U=")</f>
        <v>#REF!</v>
      </c>
      <c r="GQ86" t="e">
        <f>AND(NhatkyTon!#REF!,"AAAAAGrH78Y=")</f>
        <v>#REF!</v>
      </c>
      <c r="GR86" t="e">
        <f>AND(NhatkyTon!#REF!,"AAAAAGrH78c=")</f>
        <v>#REF!</v>
      </c>
      <c r="GS86" t="e">
        <f>AND(NhatkyTon!#REF!,"AAAAAGrH78g=")</f>
        <v>#REF!</v>
      </c>
      <c r="GT86" t="e">
        <f>AND(NhatkyTon!#REF!,"AAAAAGrH78k=")</f>
        <v>#REF!</v>
      </c>
      <c r="GU86" t="e">
        <f>AND(NhatkyTon!#REF!,"AAAAAGrH78o=")</f>
        <v>#REF!</v>
      </c>
      <c r="GV86" t="e">
        <f>AND(NhatkyTon!#REF!,"AAAAAGrH78s=")</f>
        <v>#REF!</v>
      </c>
      <c r="GW86" t="e">
        <f>AND(NhatkyTon!#REF!,"AAAAAGrH78w=")</f>
        <v>#REF!</v>
      </c>
      <c r="GX86" t="e">
        <f>AND(NhatkyTon!#REF!,"AAAAAGrH780=")</f>
        <v>#REF!</v>
      </c>
      <c r="GY86" t="e">
        <f>AND(NhatkyTon!#REF!,"AAAAAGrH784=")</f>
        <v>#REF!</v>
      </c>
      <c r="GZ86" t="e">
        <f>IF(NhatkyTon!#REF!,"AAAAAGrH788=",0)</f>
        <v>#REF!</v>
      </c>
      <c r="HA86" t="e">
        <f>AND(NhatkyTon!#REF!,"AAAAAGrH79A=")</f>
        <v>#REF!</v>
      </c>
      <c r="HB86" t="e">
        <f>AND(NhatkyTon!#REF!,"AAAAAGrH79E=")</f>
        <v>#REF!</v>
      </c>
      <c r="HC86" t="e">
        <f>AND(NhatkyTon!#REF!,"AAAAAGrH79I=")</f>
        <v>#REF!</v>
      </c>
      <c r="HD86" t="e">
        <f>AND(NhatkyTon!#REF!,"AAAAAGrH79M=")</f>
        <v>#REF!</v>
      </c>
      <c r="HE86" t="e">
        <f>AND(NhatkyTon!#REF!,"AAAAAGrH79Q=")</f>
        <v>#REF!</v>
      </c>
      <c r="HF86" t="e">
        <f>AND(NhatkyTon!#REF!,"AAAAAGrH79U=")</f>
        <v>#REF!</v>
      </c>
      <c r="HG86" t="e">
        <f>AND(NhatkyTon!#REF!,"AAAAAGrH79Y=")</f>
        <v>#REF!</v>
      </c>
      <c r="HH86" t="e">
        <f>AND(NhatkyTon!#REF!,"AAAAAGrH79c=")</f>
        <v>#REF!</v>
      </c>
      <c r="HI86" t="e">
        <f>AND(NhatkyTon!#REF!,"AAAAAGrH79g=")</f>
        <v>#REF!</v>
      </c>
      <c r="HJ86" t="e">
        <f>AND(NhatkyTon!#REF!,"AAAAAGrH79k=")</f>
        <v>#REF!</v>
      </c>
      <c r="HK86" t="e">
        <f>AND(NhatkyTon!#REF!,"AAAAAGrH79o=")</f>
        <v>#REF!</v>
      </c>
      <c r="HL86" t="e">
        <f>AND(NhatkyTon!#REF!,"AAAAAGrH79s=")</f>
        <v>#REF!</v>
      </c>
      <c r="HM86" t="e">
        <f>AND(NhatkyTon!#REF!,"AAAAAGrH79w=")</f>
        <v>#REF!</v>
      </c>
      <c r="HN86" t="e">
        <f>AND(NhatkyTon!#REF!,"AAAAAGrH790=")</f>
        <v>#REF!</v>
      </c>
      <c r="HO86" t="e">
        <f>AND(NhatkyTon!#REF!,"AAAAAGrH794=")</f>
        <v>#REF!</v>
      </c>
      <c r="HP86" t="e">
        <f>AND(NhatkyTon!#REF!,"AAAAAGrH798=")</f>
        <v>#REF!</v>
      </c>
      <c r="HQ86" t="e">
        <f>AND(NhatkyTon!#REF!,"AAAAAGrH7+A=")</f>
        <v>#REF!</v>
      </c>
      <c r="HR86" t="e">
        <f>AND(NhatkyTon!#REF!,"AAAAAGrH7+E=")</f>
        <v>#REF!</v>
      </c>
      <c r="HS86" t="e">
        <f>AND(NhatkyTon!#REF!,"AAAAAGrH7+I=")</f>
        <v>#REF!</v>
      </c>
      <c r="HT86" t="e">
        <f>AND(NhatkyTon!#REF!,"AAAAAGrH7+M=")</f>
        <v>#REF!</v>
      </c>
      <c r="HU86" t="e">
        <f>AND(NhatkyTon!#REF!,"AAAAAGrH7+Q=")</f>
        <v>#REF!</v>
      </c>
      <c r="HV86" t="e">
        <f>AND(NhatkyTon!#REF!,"AAAAAGrH7+U=")</f>
        <v>#REF!</v>
      </c>
      <c r="HW86" t="e">
        <f>AND(NhatkyTon!#REF!,"AAAAAGrH7+Y=")</f>
        <v>#REF!</v>
      </c>
      <c r="HX86" t="e">
        <f>AND(NhatkyTon!#REF!,"AAAAAGrH7+c=")</f>
        <v>#REF!</v>
      </c>
      <c r="HY86" t="e">
        <f>AND(NhatkyTon!#REF!,"AAAAAGrH7+g=")</f>
        <v>#REF!</v>
      </c>
      <c r="HZ86" t="e">
        <f>AND(NhatkyTon!#REF!,"AAAAAGrH7+k=")</f>
        <v>#REF!</v>
      </c>
      <c r="IA86" t="e">
        <f>AND(NhatkyTon!#REF!,"AAAAAGrH7+o=")</f>
        <v>#REF!</v>
      </c>
      <c r="IB86" t="e">
        <f>AND(NhatkyTon!#REF!,"AAAAAGrH7+s=")</f>
        <v>#REF!</v>
      </c>
      <c r="IC86" t="e">
        <f>AND(NhatkyTon!#REF!,"AAAAAGrH7+w=")</f>
        <v>#REF!</v>
      </c>
      <c r="ID86" t="e">
        <f>AND(NhatkyTon!#REF!,"AAAAAGrH7+0=")</f>
        <v>#REF!</v>
      </c>
      <c r="IE86" t="e">
        <f>AND(NhatkyTon!#REF!,"AAAAAGrH7+4=")</f>
        <v>#REF!</v>
      </c>
      <c r="IF86" t="e">
        <f>AND(NhatkyTon!#REF!,"AAAAAGrH7+8=")</f>
        <v>#REF!</v>
      </c>
      <c r="IG86" t="e">
        <f>AND(NhatkyTon!#REF!,"AAAAAGrH7/A=")</f>
        <v>#REF!</v>
      </c>
      <c r="IH86" t="e">
        <f>AND(NhatkyTon!#REF!,"AAAAAGrH7/E=")</f>
        <v>#REF!</v>
      </c>
      <c r="II86" t="e">
        <f>IF(NhatkyTon!#REF!,"AAAAAGrH7/I=",0)</f>
        <v>#REF!</v>
      </c>
      <c r="IJ86" t="e">
        <f>AND(NhatkyTon!#REF!,"AAAAAGrH7/M=")</f>
        <v>#REF!</v>
      </c>
      <c r="IK86" t="e">
        <f>AND(NhatkyTon!#REF!,"AAAAAGrH7/Q=")</f>
        <v>#REF!</v>
      </c>
      <c r="IL86" t="e">
        <f>AND(NhatkyTon!#REF!,"AAAAAGrH7/U=")</f>
        <v>#REF!</v>
      </c>
      <c r="IM86" t="e">
        <f>AND(NhatkyTon!#REF!,"AAAAAGrH7/Y=")</f>
        <v>#REF!</v>
      </c>
      <c r="IN86" t="e">
        <f>AND(NhatkyTon!#REF!,"AAAAAGrH7/c=")</f>
        <v>#REF!</v>
      </c>
      <c r="IO86" t="e">
        <f>AND(NhatkyTon!#REF!,"AAAAAGrH7/g=")</f>
        <v>#REF!</v>
      </c>
      <c r="IP86" t="e">
        <f>AND(NhatkyTon!#REF!,"AAAAAGrH7/k=")</f>
        <v>#REF!</v>
      </c>
      <c r="IQ86" t="e">
        <f>AND(NhatkyTon!#REF!,"AAAAAGrH7/o=")</f>
        <v>#REF!</v>
      </c>
      <c r="IR86" t="e">
        <f>AND(NhatkyTon!#REF!,"AAAAAGrH7/s=")</f>
        <v>#REF!</v>
      </c>
      <c r="IS86" t="e">
        <f>AND(NhatkyTon!#REF!,"AAAAAGrH7/w=")</f>
        <v>#REF!</v>
      </c>
      <c r="IT86" t="e">
        <f>AND(NhatkyTon!#REF!,"AAAAAGrH7/0=")</f>
        <v>#REF!</v>
      </c>
      <c r="IU86" t="e">
        <f>AND(NhatkyTon!#REF!,"AAAAAGrH7/4=")</f>
        <v>#REF!</v>
      </c>
      <c r="IV86" t="e">
        <f>AND(NhatkyTon!#REF!,"AAAAAGrH7/8=")</f>
        <v>#REF!</v>
      </c>
    </row>
    <row r="87" spans="1:256">
      <c r="A87" t="e">
        <f>AND(NhatkyTon!#REF!,"AAAAAF+1+wA=")</f>
        <v>#REF!</v>
      </c>
      <c r="B87" t="e">
        <f>AND(NhatkyTon!#REF!,"AAAAAF+1+wE=")</f>
        <v>#REF!</v>
      </c>
      <c r="C87" t="e">
        <f>AND(NhatkyTon!#REF!,"AAAAAF+1+wI=")</f>
        <v>#REF!</v>
      </c>
      <c r="D87" t="e">
        <f>AND(NhatkyTon!#REF!,"AAAAAF+1+wM=")</f>
        <v>#REF!</v>
      </c>
      <c r="E87" t="e">
        <f>AND(NhatkyTon!#REF!,"AAAAAF+1+wQ=")</f>
        <v>#REF!</v>
      </c>
      <c r="F87" t="e">
        <f>AND(NhatkyTon!#REF!,"AAAAAF+1+wU=")</f>
        <v>#REF!</v>
      </c>
      <c r="G87" t="e">
        <f>AND(NhatkyTon!#REF!,"AAAAAF+1+wY=")</f>
        <v>#REF!</v>
      </c>
      <c r="H87" t="e">
        <f>AND(NhatkyTon!#REF!,"AAAAAF+1+wc=")</f>
        <v>#REF!</v>
      </c>
      <c r="I87" t="e">
        <f>AND(NhatkyTon!#REF!,"AAAAAF+1+wg=")</f>
        <v>#REF!</v>
      </c>
      <c r="J87" t="e">
        <f>AND(NhatkyTon!#REF!,"AAAAAF+1+wk=")</f>
        <v>#REF!</v>
      </c>
      <c r="K87" t="e">
        <f>AND(NhatkyTon!#REF!,"AAAAAF+1+wo=")</f>
        <v>#REF!</v>
      </c>
      <c r="L87" t="e">
        <f>AND(NhatkyTon!#REF!,"AAAAAF+1+ws=")</f>
        <v>#REF!</v>
      </c>
      <c r="M87" t="e">
        <f>AND(NhatkyTon!#REF!,"AAAAAF+1+ww=")</f>
        <v>#REF!</v>
      </c>
      <c r="N87" t="e">
        <f>AND(NhatkyTon!#REF!,"AAAAAF+1+w0=")</f>
        <v>#REF!</v>
      </c>
      <c r="O87" t="e">
        <f>AND(NhatkyTon!#REF!,"AAAAAF+1+w4=")</f>
        <v>#REF!</v>
      </c>
      <c r="P87" t="e">
        <f>AND(NhatkyTon!#REF!,"AAAAAF+1+w8=")</f>
        <v>#REF!</v>
      </c>
      <c r="Q87" t="e">
        <f>AND(NhatkyTon!#REF!,"AAAAAF+1+xA=")</f>
        <v>#REF!</v>
      </c>
      <c r="R87" t="e">
        <f>AND(NhatkyTon!#REF!,"AAAAAF+1+xE=")</f>
        <v>#REF!</v>
      </c>
      <c r="S87" t="e">
        <f>AND(NhatkyTon!#REF!,"AAAAAF+1+xI=")</f>
        <v>#REF!</v>
      </c>
      <c r="T87" t="e">
        <f>AND(NhatkyTon!#REF!,"AAAAAF+1+xM=")</f>
        <v>#REF!</v>
      </c>
      <c r="U87" t="e">
        <f>AND(NhatkyTon!#REF!,"AAAAAF+1+xQ=")</f>
        <v>#REF!</v>
      </c>
      <c r="V87" t="e">
        <f>IF(NhatkyTon!#REF!,"AAAAAF+1+xU=",0)</f>
        <v>#REF!</v>
      </c>
      <c r="W87" t="e">
        <f>AND(NhatkyTon!#REF!,"AAAAAF+1+xY=")</f>
        <v>#REF!</v>
      </c>
      <c r="X87" t="e">
        <f>AND(NhatkyTon!#REF!,"AAAAAF+1+xc=")</f>
        <v>#REF!</v>
      </c>
      <c r="Y87" t="e">
        <f>AND(NhatkyTon!#REF!,"AAAAAF+1+xg=")</f>
        <v>#REF!</v>
      </c>
      <c r="Z87" t="e">
        <f>AND(NhatkyTon!#REF!,"AAAAAF+1+xk=")</f>
        <v>#REF!</v>
      </c>
      <c r="AA87" t="e">
        <f>AND(NhatkyTon!#REF!,"AAAAAF+1+xo=")</f>
        <v>#REF!</v>
      </c>
      <c r="AB87" t="e">
        <f>AND(NhatkyTon!#REF!,"AAAAAF+1+xs=")</f>
        <v>#REF!</v>
      </c>
      <c r="AC87" t="e">
        <f>AND(NhatkyTon!#REF!,"AAAAAF+1+xw=")</f>
        <v>#REF!</v>
      </c>
      <c r="AD87" t="e">
        <f>AND(NhatkyTon!#REF!,"AAAAAF+1+x0=")</f>
        <v>#REF!</v>
      </c>
      <c r="AE87" t="e">
        <f>AND(NhatkyTon!#REF!,"AAAAAF+1+x4=")</f>
        <v>#REF!</v>
      </c>
      <c r="AF87" t="e">
        <f>AND(NhatkyTon!#REF!,"AAAAAF+1+x8=")</f>
        <v>#REF!</v>
      </c>
      <c r="AG87" t="e">
        <f>AND(NhatkyTon!#REF!,"AAAAAF+1+yA=")</f>
        <v>#REF!</v>
      </c>
      <c r="AH87" t="e">
        <f>AND(NhatkyTon!#REF!,"AAAAAF+1+yE=")</f>
        <v>#REF!</v>
      </c>
      <c r="AI87" t="e">
        <f>AND(NhatkyTon!#REF!,"AAAAAF+1+yI=")</f>
        <v>#REF!</v>
      </c>
      <c r="AJ87" t="e">
        <f>AND(NhatkyTon!#REF!,"AAAAAF+1+yM=")</f>
        <v>#REF!</v>
      </c>
      <c r="AK87" t="e">
        <f>AND(NhatkyTon!#REF!,"AAAAAF+1+yQ=")</f>
        <v>#REF!</v>
      </c>
      <c r="AL87" t="e">
        <f>AND(NhatkyTon!#REF!,"AAAAAF+1+yU=")</f>
        <v>#REF!</v>
      </c>
      <c r="AM87" t="e">
        <f>AND(NhatkyTon!#REF!,"AAAAAF+1+yY=")</f>
        <v>#REF!</v>
      </c>
      <c r="AN87" t="e">
        <f>AND(NhatkyTon!#REF!,"AAAAAF+1+yc=")</f>
        <v>#REF!</v>
      </c>
      <c r="AO87" t="e">
        <f>AND(NhatkyTon!#REF!,"AAAAAF+1+yg=")</f>
        <v>#REF!</v>
      </c>
      <c r="AP87" t="e">
        <f>AND(NhatkyTon!#REF!,"AAAAAF+1+yk=")</f>
        <v>#REF!</v>
      </c>
      <c r="AQ87" t="e">
        <f>AND(NhatkyTon!#REF!,"AAAAAF+1+yo=")</f>
        <v>#REF!</v>
      </c>
      <c r="AR87" t="e">
        <f>AND(NhatkyTon!#REF!,"AAAAAF+1+ys=")</f>
        <v>#REF!</v>
      </c>
      <c r="AS87" t="e">
        <f>AND(NhatkyTon!#REF!,"AAAAAF+1+yw=")</f>
        <v>#REF!</v>
      </c>
      <c r="AT87" t="e">
        <f>AND(NhatkyTon!#REF!,"AAAAAF+1+y0=")</f>
        <v>#REF!</v>
      </c>
      <c r="AU87" t="e">
        <f>AND(NhatkyTon!#REF!,"AAAAAF+1+y4=")</f>
        <v>#REF!</v>
      </c>
      <c r="AV87" t="e">
        <f>AND(NhatkyTon!#REF!,"AAAAAF+1+y8=")</f>
        <v>#REF!</v>
      </c>
      <c r="AW87" t="e">
        <f>AND(NhatkyTon!#REF!,"AAAAAF+1+zA=")</f>
        <v>#REF!</v>
      </c>
      <c r="AX87" t="e">
        <f>AND(NhatkyTon!#REF!,"AAAAAF+1+zE=")</f>
        <v>#REF!</v>
      </c>
      <c r="AY87" t="e">
        <f>AND(NhatkyTon!#REF!,"AAAAAF+1+zI=")</f>
        <v>#REF!</v>
      </c>
      <c r="AZ87" t="e">
        <f>AND(NhatkyTon!#REF!,"AAAAAF+1+zM=")</f>
        <v>#REF!</v>
      </c>
      <c r="BA87" t="e">
        <f>AND(NhatkyTon!#REF!,"AAAAAF+1+zQ=")</f>
        <v>#REF!</v>
      </c>
      <c r="BB87" t="e">
        <f>AND(NhatkyTon!#REF!,"AAAAAF+1+zU=")</f>
        <v>#REF!</v>
      </c>
      <c r="BC87" t="e">
        <f>AND(NhatkyTon!#REF!,"AAAAAF+1+zY=")</f>
        <v>#REF!</v>
      </c>
      <c r="BD87" t="e">
        <f>AND(NhatkyTon!#REF!,"AAAAAF+1+zc=")</f>
        <v>#REF!</v>
      </c>
      <c r="BE87" t="e">
        <f>IF(NhatkyTon!#REF!,"AAAAAF+1+zg=",0)</f>
        <v>#REF!</v>
      </c>
      <c r="BF87" t="e">
        <f>AND(NhatkyTon!#REF!,"AAAAAF+1+zk=")</f>
        <v>#REF!</v>
      </c>
      <c r="BG87" t="e">
        <f>AND(NhatkyTon!#REF!,"AAAAAF+1+zo=")</f>
        <v>#REF!</v>
      </c>
      <c r="BH87" t="e">
        <f>AND(NhatkyTon!#REF!,"AAAAAF+1+zs=")</f>
        <v>#REF!</v>
      </c>
      <c r="BI87" t="e">
        <f>AND(NhatkyTon!#REF!,"AAAAAF+1+zw=")</f>
        <v>#REF!</v>
      </c>
      <c r="BJ87" t="e">
        <f>AND(NhatkyTon!#REF!,"AAAAAF+1+z0=")</f>
        <v>#REF!</v>
      </c>
      <c r="BK87" t="e">
        <f>AND(NhatkyTon!#REF!,"AAAAAF+1+z4=")</f>
        <v>#REF!</v>
      </c>
      <c r="BL87" t="e">
        <f>AND(NhatkyTon!#REF!,"AAAAAF+1+z8=")</f>
        <v>#REF!</v>
      </c>
      <c r="BM87" t="e">
        <f>AND(NhatkyTon!#REF!,"AAAAAF+1+0A=")</f>
        <v>#REF!</v>
      </c>
      <c r="BN87" t="e">
        <f>AND(NhatkyTon!#REF!,"AAAAAF+1+0E=")</f>
        <v>#REF!</v>
      </c>
      <c r="BO87" t="e">
        <f>AND(NhatkyTon!#REF!,"AAAAAF+1+0I=")</f>
        <v>#REF!</v>
      </c>
      <c r="BP87" t="e">
        <f>AND(NhatkyTon!#REF!,"AAAAAF+1+0M=")</f>
        <v>#REF!</v>
      </c>
      <c r="BQ87" t="e">
        <f>AND(NhatkyTon!#REF!,"AAAAAF+1+0Q=")</f>
        <v>#REF!</v>
      </c>
      <c r="BR87" t="e">
        <f>AND(NhatkyTon!#REF!,"AAAAAF+1+0U=")</f>
        <v>#REF!</v>
      </c>
      <c r="BS87" t="e">
        <f>AND(NhatkyTon!#REF!,"AAAAAF+1+0Y=")</f>
        <v>#REF!</v>
      </c>
      <c r="BT87" t="e">
        <f>AND(NhatkyTon!#REF!,"AAAAAF+1+0c=")</f>
        <v>#REF!</v>
      </c>
      <c r="BU87" t="e">
        <f>AND(NhatkyTon!#REF!,"AAAAAF+1+0g=")</f>
        <v>#REF!</v>
      </c>
      <c r="BV87" t="e">
        <f>AND(NhatkyTon!#REF!,"AAAAAF+1+0k=")</f>
        <v>#REF!</v>
      </c>
      <c r="BW87" t="e">
        <f>AND(NhatkyTon!#REF!,"AAAAAF+1+0o=")</f>
        <v>#REF!</v>
      </c>
      <c r="BX87" t="e">
        <f>AND(NhatkyTon!#REF!,"AAAAAF+1+0s=")</f>
        <v>#REF!</v>
      </c>
      <c r="BY87" t="e">
        <f>AND(NhatkyTon!#REF!,"AAAAAF+1+0w=")</f>
        <v>#REF!</v>
      </c>
      <c r="BZ87" t="e">
        <f>AND(NhatkyTon!#REF!,"AAAAAF+1+00=")</f>
        <v>#REF!</v>
      </c>
      <c r="CA87" t="e">
        <f>AND(NhatkyTon!#REF!,"AAAAAF+1+04=")</f>
        <v>#REF!</v>
      </c>
      <c r="CB87" t="e">
        <f>AND(NhatkyTon!#REF!,"AAAAAF+1+08=")</f>
        <v>#REF!</v>
      </c>
      <c r="CC87" t="e">
        <f>AND(NhatkyTon!#REF!,"AAAAAF+1+1A=")</f>
        <v>#REF!</v>
      </c>
      <c r="CD87" t="e">
        <f>AND(NhatkyTon!#REF!,"AAAAAF+1+1E=")</f>
        <v>#REF!</v>
      </c>
      <c r="CE87" t="e">
        <f>AND(NhatkyTon!#REF!,"AAAAAF+1+1I=")</f>
        <v>#REF!</v>
      </c>
      <c r="CF87" t="e">
        <f>AND(NhatkyTon!#REF!,"AAAAAF+1+1M=")</f>
        <v>#REF!</v>
      </c>
      <c r="CG87" t="e">
        <f>AND(NhatkyTon!#REF!,"AAAAAF+1+1Q=")</f>
        <v>#REF!</v>
      </c>
      <c r="CH87" t="e">
        <f>AND(NhatkyTon!#REF!,"AAAAAF+1+1U=")</f>
        <v>#REF!</v>
      </c>
      <c r="CI87" t="e">
        <f>AND(NhatkyTon!#REF!,"AAAAAF+1+1Y=")</f>
        <v>#REF!</v>
      </c>
      <c r="CJ87" t="e">
        <f>AND(NhatkyTon!#REF!,"AAAAAF+1+1c=")</f>
        <v>#REF!</v>
      </c>
      <c r="CK87" t="e">
        <f>AND(NhatkyTon!#REF!,"AAAAAF+1+1g=")</f>
        <v>#REF!</v>
      </c>
      <c r="CL87" t="e">
        <f>AND(NhatkyTon!#REF!,"AAAAAF+1+1k=")</f>
        <v>#REF!</v>
      </c>
      <c r="CM87" t="e">
        <f>AND(NhatkyTon!#REF!,"AAAAAF+1+1o=")</f>
        <v>#REF!</v>
      </c>
      <c r="CN87" t="e">
        <f>IF(NhatkyTon!#REF!,"AAAAAF+1+1s=",0)</f>
        <v>#REF!</v>
      </c>
      <c r="CO87" t="e">
        <f>AND(NhatkyTon!#REF!,"AAAAAF+1+1w=")</f>
        <v>#REF!</v>
      </c>
      <c r="CP87" t="e">
        <f>AND(NhatkyTon!#REF!,"AAAAAF+1+10=")</f>
        <v>#REF!</v>
      </c>
      <c r="CQ87" t="e">
        <f>AND(NhatkyTon!#REF!,"AAAAAF+1+14=")</f>
        <v>#REF!</v>
      </c>
      <c r="CR87" t="e">
        <f>AND(NhatkyTon!#REF!,"AAAAAF+1+18=")</f>
        <v>#REF!</v>
      </c>
      <c r="CS87" t="e">
        <f>AND(NhatkyTon!#REF!,"AAAAAF+1+2A=")</f>
        <v>#REF!</v>
      </c>
      <c r="CT87" t="e">
        <f>AND(NhatkyTon!#REF!,"AAAAAF+1+2E=")</f>
        <v>#REF!</v>
      </c>
      <c r="CU87" t="e">
        <f>AND(NhatkyTon!#REF!,"AAAAAF+1+2I=")</f>
        <v>#REF!</v>
      </c>
      <c r="CV87" t="e">
        <f>AND(NhatkyTon!#REF!,"AAAAAF+1+2M=")</f>
        <v>#REF!</v>
      </c>
      <c r="CW87" t="e">
        <f>AND(NhatkyTon!#REF!,"AAAAAF+1+2Q=")</f>
        <v>#REF!</v>
      </c>
      <c r="CX87" t="e">
        <f>AND(NhatkyTon!#REF!,"AAAAAF+1+2U=")</f>
        <v>#REF!</v>
      </c>
      <c r="CY87" t="e">
        <f>AND(NhatkyTon!#REF!,"AAAAAF+1+2Y=")</f>
        <v>#REF!</v>
      </c>
      <c r="CZ87" t="e">
        <f>AND(NhatkyTon!#REF!,"AAAAAF+1+2c=")</f>
        <v>#REF!</v>
      </c>
      <c r="DA87" t="e">
        <f>AND(NhatkyTon!#REF!,"AAAAAF+1+2g=")</f>
        <v>#REF!</v>
      </c>
      <c r="DB87" t="e">
        <f>AND(NhatkyTon!#REF!,"AAAAAF+1+2k=")</f>
        <v>#REF!</v>
      </c>
      <c r="DC87" t="e">
        <f>AND(NhatkyTon!#REF!,"AAAAAF+1+2o=")</f>
        <v>#REF!</v>
      </c>
      <c r="DD87" t="e">
        <f>AND(NhatkyTon!#REF!,"AAAAAF+1+2s=")</f>
        <v>#REF!</v>
      </c>
      <c r="DE87" t="e">
        <f>AND(NhatkyTon!#REF!,"AAAAAF+1+2w=")</f>
        <v>#REF!</v>
      </c>
      <c r="DF87" t="e">
        <f>AND(NhatkyTon!#REF!,"AAAAAF+1+20=")</f>
        <v>#REF!</v>
      </c>
      <c r="DG87" t="e">
        <f>AND(NhatkyTon!#REF!,"AAAAAF+1+24=")</f>
        <v>#REF!</v>
      </c>
      <c r="DH87" t="e">
        <f>AND(NhatkyTon!#REF!,"AAAAAF+1+28=")</f>
        <v>#REF!</v>
      </c>
      <c r="DI87" t="e">
        <f>AND(NhatkyTon!#REF!,"AAAAAF+1+3A=")</f>
        <v>#REF!</v>
      </c>
      <c r="DJ87" t="e">
        <f>AND(NhatkyTon!#REF!,"AAAAAF+1+3E=")</f>
        <v>#REF!</v>
      </c>
      <c r="DK87" t="e">
        <f>AND(NhatkyTon!#REF!,"AAAAAF+1+3I=")</f>
        <v>#REF!</v>
      </c>
      <c r="DL87" t="e">
        <f>AND(NhatkyTon!#REF!,"AAAAAF+1+3M=")</f>
        <v>#REF!</v>
      </c>
      <c r="DM87" t="e">
        <f>AND(NhatkyTon!#REF!,"AAAAAF+1+3Q=")</f>
        <v>#REF!</v>
      </c>
      <c r="DN87" t="e">
        <f>AND(NhatkyTon!#REF!,"AAAAAF+1+3U=")</f>
        <v>#REF!</v>
      </c>
      <c r="DO87" t="e">
        <f>AND(NhatkyTon!#REF!,"AAAAAF+1+3Y=")</f>
        <v>#REF!</v>
      </c>
      <c r="DP87" t="e">
        <f>AND(NhatkyTon!#REF!,"AAAAAF+1+3c=")</f>
        <v>#REF!</v>
      </c>
      <c r="DQ87" t="e">
        <f>AND(NhatkyTon!#REF!,"AAAAAF+1+3g=")</f>
        <v>#REF!</v>
      </c>
      <c r="DR87" t="e">
        <f>AND(NhatkyTon!#REF!,"AAAAAF+1+3k=")</f>
        <v>#REF!</v>
      </c>
      <c r="DS87" t="e">
        <f>AND(NhatkyTon!#REF!,"AAAAAF+1+3o=")</f>
        <v>#REF!</v>
      </c>
      <c r="DT87" t="e">
        <f>AND(NhatkyTon!#REF!,"AAAAAF+1+3s=")</f>
        <v>#REF!</v>
      </c>
      <c r="DU87" t="e">
        <f>AND(NhatkyTon!#REF!,"AAAAAF+1+3w=")</f>
        <v>#REF!</v>
      </c>
      <c r="DV87" t="e">
        <f>AND(NhatkyTon!#REF!,"AAAAAF+1+30=")</f>
        <v>#REF!</v>
      </c>
      <c r="DW87" t="e">
        <f>IF(NhatkyTon!#REF!,"AAAAAF+1+34=",0)</f>
        <v>#REF!</v>
      </c>
      <c r="DX87" t="e">
        <f>AND(NhatkyTon!#REF!,"AAAAAF+1+38=")</f>
        <v>#REF!</v>
      </c>
      <c r="DY87" t="e">
        <f>AND(NhatkyTon!#REF!,"AAAAAF+1+4A=")</f>
        <v>#REF!</v>
      </c>
      <c r="DZ87" t="e">
        <f>AND(NhatkyTon!#REF!,"AAAAAF+1+4E=")</f>
        <v>#REF!</v>
      </c>
      <c r="EA87" t="e">
        <f>AND(NhatkyTon!#REF!,"AAAAAF+1+4I=")</f>
        <v>#REF!</v>
      </c>
      <c r="EB87" t="e">
        <f>AND(NhatkyTon!#REF!,"AAAAAF+1+4M=")</f>
        <v>#REF!</v>
      </c>
      <c r="EC87" t="e">
        <f>AND(NhatkyTon!#REF!,"AAAAAF+1+4Q=")</f>
        <v>#REF!</v>
      </c>
      <c r="ED87" t="e">
        <f>AND(NhatkyTon!#REF!,"AAAAAF+1+4U=")</f>
        <v>#REF!</v>
      </c>
      <c r="EE87" t="e">
        <f>AND(NhatkyTon!#REF!,"AAAAAF+1+4Y=")</f>
        <v>#REF!</v>
      </c>
      <c r="EF87" t="e">
        <f>AND(NhatkyTon!#REF!,"AAAAAF+1+4c=")</f>
        <v>#REF!</v>
      </c>
      <c r="EG87" t="e">
        <f>AND(NhatkyTon!#REF!,"AAAAAF+1+4g=")</f>
        <v>#REF!</v>
      </c>
      <c r="EH87" t="e">
        <f>AND(NhatkyTon!#REF!,"AAAAAF+1+4k=")</f>
        <v>#REF!</v>
      </c>
      <c r="EI87" t="e">
        <f>AND(NhatkyTon!#REF!,"AAAAAF+1+4o=")</f>
        <v>#REF!</v>
      </c>
      <c r="EJ87" t="e">
        <f>AND(NhatkyTon!#REF!,"AAAAAF+1+4s=")</f>
        <v>#REF!</v>
      </c>
      <c r="EK87" t="e">
        <f>AND(NhatkyTon!#REF!,"AAAAAF+1+4w=")</f>
        <v>#REF!</v>
      </c>
      <c r="EL87" t="e">
        <f>AND(NhatkyTon!#REF!,"AAAAAF+1+40=")</f>
        <v>#REF!</v>
      </c>
      <c r="EM87" t="e">
        <f>AND(NhatkyTon!#REF!,"AAAAAF+1+44=")</f>
        <v>#REF!</v>
      </c>
      <c r="EN87" t="e">
        <f>AND(NhatkyTon!#REF!,"AAAAAF+1+48=")</f>
        <v>#REF!</v>
      </c>
      <c r="EO87" t="e">
        <f>AND(NhatkyTon!#REF!,"AAAAAF+1+5A=")</f>
        <v>#REF!</v>
      </c>
      <c r="EP87" t="e">
        <f>AND(NhatkyTon!#REF!,"AAAAAF+1+5E=")</f>
        <v>#REF!</v>
      </c>
      <c r="EQ87" t="e">
        <f>AND(NhatkyTon!#REF!,"AAAAAF+1+5I=")</f>
        <v>#REF!</v>
      </c>
      <c r="ER87" t="e">
        <f>AND(NhatkyTon!#REF!,"AAAAAF+1+5M=")</f>
        <v>#REF!</v>
      </c>
      <c r="ES87" t="e">
        <f>AND(NhatkyTon!#REF!,"AAAAAF+1+5Q=")</f>
        <v>#REF!</v>
      </c>
      <c r="ET87" t="e">
        <f>AND(NhatkyTon!#REF!,"AAAAAF+1+5U=")</f>
        <v>#REF!</v>
      </c>
      <c r="EU87" t="e">
        <f>AND(NhatkyTon!#REF!,"AAAAAF+1+5Y=")</f>
        <v>#REF!</v>
      </c>
      <c r="EV87" t="e">
        <f>AND(NhatkyTon!#REF!,"AAAAAF+1+5c=")</f>
        <v>#REF!</v>
      </c>
      <c r="EW87" t="e">
        <f>AND(NhatkyTon!#REF!,"AAAAAF+1+5g=")</f>
        <v>#REF!</v>
      </c>
      <c r="EX87" t="e">
        <f>AND(NhatkyTon!#REF!,"AAAAAF+1+5k=")</f>
        <v>#REF!</v>
      </c>
      <c r="EY87" t="e">
        <f>AND(NhatkyTon!#REF!,"AAAAAF+1+5o=")</f>
        <v>#REF!</v>
      </c>
      <c r="EZ87" t="e">
        <f>AND(NhatkyTon!#REF!,"AAAAAF+1+5s=")</f>
        <v>#REF!</v>
      </c>
      <c r="FA87" t="e">
        <f>AND(NhatkyTon!#REF!,"AAAAAF+1+5w=")</f>
        <v>#REF!</v>
      </c>
      <c r="FB87" t="e">
        <f>AND(NhatkyTon!#REF!,"AAAAAF+1+50=")</f>
        <v>#REF!</v>
      </c>
      <c r="FC87" t="e">
        <f>AND(NhatkyTon!#REF!,"AAAAAF+1+54=")</f>
        <v>#REF!</v>
      </c>
      <c r="FD87" t="e">
        <f>AND(NhatkyTon!#REF!,"AAAAAF+1+58=")</f>
        <v>#REF!</v>
      </c>
      <c r="FE87" t="e">
        <f>AND(NhatkyTon!#REF!,"AAAAAF+1+6A=")</f>
        <v>#REF!</v>
      </c>
      <c r="FF87" t="e">
        <f>IF(NhatkyTon!#REF!,"AAAAAF+1+6E=",0)</f>
        <v>#REF!</v>
      </c>
      <c r="FG87" t="e">
        <f>AND(NhatkyTon!#REF!,"AAAAAF+1+6I=")</f>
        <v>#REF!</v>
      </c>
      <c r="FH87" t="e">
        <f>AND(NhatkyTon!#REF!,"AAAAAF+1+6M=")</f>
        <v>#REF!</v>
      </c>
      <c r="FI87" t="e">
        <f>AND(NhatkyTon!#REF!,"AAAAAF+1+6Q=")</f>
        <v>#REF!</v>
      </c>
      <c r="FJ87" t="e">
        <f>AND(NhatkyTon!#REF!,"AAAAAF+1+6U=")</f>
        <v>#REF!</v>
      </c>
      <c r="FK87" t="e">
        <f>AND(NhatkyTon!#REF!,"AAAAAF+1+6Y=")</f>
        <v>#REF!</v>
      </c>
      <c r="FL87" t="e">
        <f>AND(NhatkyTon!#REF!,"AAAAAF+1+6c=")</f>
        <v>#REF!</v>
      </c>
      <c r="FM87" t="e">
        <f>AND(NhatkyTon!#REF!,"AAAAAF+1+6g=")</f>
        <v>#REF!</v>
      </c>
      <c r="FN87" t="e">
        <f>AND(NhatkyTon!#REF!,"AAAAAF+1+6k=")</f>
        <v>#REF!</v>
      </c>
      <c r="FO87" t="e">
        <f>AND(NhatkyTon!#REF!,"AAAAAF+1+6o=")</f>
        <v>#REF!</v>
      </c>
      <c r="FP87" t="e">
        <f>AND(NhatkyTon!#REF!,"AAAAAF+1+6s=")</f>
        <v>#REF!</v>
      </c>
      <c r="FQ87" t="e">
        <f>AND(NhatkyTon!#REF!,"AAAAAF+1+6w=")</f>
        <v>#REF!</v>
      </c>
      <c r="FR87" t="e">
        <f>AND(NhatkyTon!#REF!,"AAAAAF+1+60=")</f>
        <v>#REF!</v>
      </c>
      <c r="FS87" t="e">
        <f>AND(NhatkyTon!#REF!,"AAAAAF+1+64=")</f>
        <v>#REF!</v>
      </c>
      <c r="FT87" t="e">
        <f>AND(NhatkyTon!#REF!,"AAAAAF+1+68=")</f>
        <v>#REF!</v>
      </c>
      <c r="FU87" t="e">
        <f>AND(NhatkyTon!#REF!,"AAAAAF+1+7A=")</f>
        <v>#REF!</v>
      </c>
      <c r="FV87" t="e">
        <f>AND(NhatkyTon!#REF!,"AAAAAF+1+7E=")</f>
        <v>#REF!</v>
      </c>
      <c r="FW87" t="e">
        <f>AND(NhatkyTon!#REF!,"AAAAAF+1+7I=")</f>
        <v>#REF!</v>
      </c>
      <c r="FX87" t="e">
        <f>AND(NhatkyTon!#REF!,"AAAAAF+1+7M=")</f>
        <v>#REF!</v>
      </c>
      <c r="FY87" t="e">
        <f>AND(NhatkyTon!#REF!,"AAAAAF+1+7Q=")</f>
        <v>#REF!</v>
      </c>
      <c r="FZ87" t="e">
        <f>AND(NhatkyTon!#REF!,"AAAAAF+1+7U=")</f>
        <v>#REF!</v>
      </c>
      <c r="GA87" t="e">
        <f>AND(NhatkyTon!#REF!,"AAAAAF+1+7Y=")</f>
        <v>#REF!</v>
      </c>
      <c r="GB87" t="e">
        <f>AND(NhatkyTon!#REF!,"AAAAAF+1+7c=")</f>
        <v>#REF!</v>
      </c>
      <c r="GC87" t="e">
        <f>AND(NhatkyTon!#REF!,"AAAAAF+1+7g=")</f>
        <v>#REF!</v>
      </c>
      <c r="GD87" t="e">
        <f>AND(NhatkyTon!#REF!,"AAAAAF+1+7k=")</f>
        <v>#REF!</v>
      </c>
      <c r="GE87" t="e">
        <f>AND(NhatkyTon!#REF!,"AAAAAF+1+7o=")</f>
        <v>#REF!</v>
      </c>
      <c r="GF87" t="e">
        <f>AND(NhatkyTon!#REF!,"AAAAAF+1+7s=")</f>
        <v>#REF!</v>
      </c>
      <c r="GG87" t="e">
        <f>AND(NhatkyTon!#REF!,"AAAAAF+1+7w=")</f>
        <v>#REF!</v>
      </c>
      <c r="GH87" t="e">
        <f>AND(NhatkyTon!#REF!,"AAAAAF+1+70=")</f>
        <v>#REF!</v>
      </c>
      <c r="GI87" t="e">
        <f>AND(NhatkyTon!#REF!,"AAAAAF+1+74=")</f>
        <v>#REF!</v>
      </c>
      <c r="GJ87" t="e">
        <f>AND(NhatkyTon!#REF!,"AAAAAF+1+78=")</f>
        <v>#REF!</v>
      </c>
      <c r="GK87" t="e">
        <f>AND(NhatkyTon!#REF!,"AAAAAF+1+8A=")</f>
        <v>#REF!</v>
      </c>
      <c r="GL87" t="e">
        <f>AND(NhatkyTon!#REF!,"AAAAAF+1+8E=")</f>
        <v>#REF!</v>
      </c>
      <c r="GM87" t="e">
        <f>AND(NhatkyTon!#REF!,"AAAAAF+1+8I=")</f>
        <v>#REF!</v>
      </c>
      <c r="GN87" t="e">
        <f>AND(NhatkyTon!#REF!,"AAAAAF+1+8M=")</f>
        <v>#REF!</v>
      </c>
      <c r="GO87" t="e">
        <f>IF(NhatkyTon!#REF!,"AAAAAF+1+8Q=",0)</f>
        <v>#REF!</v>
      </c>
      <c r="GP87" t="e">
        <f>AND(NhatkyTon!#REF!,"AAAAAF+1+8U=")</f>
        <v>#REF!</v>
      </c>
      <c r="GQ87" t="e">
        <f>AND(NhatkyTon!#REF!,"AAAAAF+1+8Y=")</f>
        <v>#REF!</v>
      </c>
      <c r="GR87" t="e">
        <f>AND(NhatkyTon!#REF!,"AAAAAF+1+8c=")</f>
        <v>#REF!</v>
      </c>
      <c r="GS87" t="e">
        <f>AND(NhatkyTon!#REF!,"AAAAAF+1+8g=")</f>
        <v>#REF!</v>
      </c>
      <c r="GT87" t="e">
        <f>AND(NhatkyTon!#REF!,"AAAAAF+1+8k=")</f>
        <v>#REF!</v>
      </c>
      <c r="GU87" t="e">
        <f>AND(NhatkyTon!#REF!,"AAAAAF+1+8o=")</f>
        <v>#REF!</v>
      </c>
      <c r="GV87" t="e">
        <f>AND(NhatkyTon!#REF!,"AAAAAF+1+8s=")</f>
        <v>#REF!</v>
      </c>
      <c r="GW87" t="e">
        <f>AND(NhatkyTon!#REF!,"AAAAAF+1+8w=")</f>
        <v>#REF!</v>
      </c>
      <c r="GX87" t="e">
        <f>AND(NhatkyTon!#REF!,"AAAAAF+1+80=")</f>
        <v>#REF!</v>
      </c>
      <c r="GY87" t="e">
        <f>AND(NhatkyTon!#REF!,"AAAAAF+1+84=")</f>
        <v>#REF!</v>
      </c>
      <c r="GZ87" t="e">
        <f>AND(NhatkyTon!#REF!,"AAAAAF+1+88=")</f>
        <v>#REF!</v>
      </c>
      <c r="HA87" t="e">
        <f>AND(NhatkyTon!#REF!,"AAAAAF+1+9A=")</f>
        <v>#REF!</v>
      </c>
      <c r="HB87" t="e">
        <f>AND(NhatkyTon!#REF!,"AAAAAF+1+9E=")</f>
        <v>#REF!</v>
      </c>
      <c r="HC87" t="e">
        <f>AND(NhatkyTon!#REF!,"AAAAAF+1+9I=")</f>
        <v>#REF!</v>
      </c>
      <c r="HD87" t="e">
        <f>AND(NhatkyTon!#REF!,"AAAAAF+1+9M=")</f>
        <v>#REF!</v>
      </c>
      <c r="HE87" t="e">
        <f>AND(NhatkyTon!#REF!,"AAAAAF+1+9Q=")</f>
        <v>#REF!</v>
      </c>
      <c r="HF87" t="e">
        <f>AND(NhatkyTon!#REF!,"AAAAAF+1+9U=")</f>
        <v>#REF!</v>
      </c>
      <c r="HG87" t="e">
        <f>AND(NhatkyTon!#REF!,"AAAAAF+1+9Y=")</f>
        <v>#REF!</v>
      </c>
      <c r="HH87" t="e">
        <f>AND(NhatkyTon!#REF!,"AAAAAF+1+9c=")</f>
        <v>#REF!</v>
      </c>
      <c r="HI87" t="e">
        <f>AND(NhatkyTon!#REF!,"AAAAAF+1+9g=")</f>
        <v>#REF!</v>
      </c>
      <c r="HJ87" t="e">
        <f>AND(NhatkyTon!#REF!,"AAAAAF+1+9k=")</f>
        <v>#REF!</v>
      </c>
      <c r="HK87" t="e">
        <f>AND(NhatkyTon!#REF!,"AAAAAF+1+9o=")</f>
        <v>#REF!</v>
      </c>
      <c r="HL87" t="e">
        <f>AND(NhatkyTon!#REF!,"AAAAAF+1+9s=")</f>
        <v>#REF!</v>
      </c>
      <c r="HM87" t="e">
        <f>AND(NhatkyTon!#REF!,"AAAAAF+1+9w=")</f>
        <v>#REF!</v>
      </c>
      <c r="HN87" t="e">
        <f>AND(NhatkyTon!#REF!,"AAAAAF+1+90=")</f>
        <v>#REF!</v>
      </c>
      <c r="HO87" t="e">
        <f>AND(NhatkyTon!#REF!,"AAAAAF+1+94=")</f>
        <v>#REF!</v>
      </c>
      <c r="HP87" t="e">
        <f>AND(NhatkyTon!#REF!,"AAAAAF+1+98=")</f>
        <v>#REF!</v>
      </c>
      <c r="HQ87" t="e">
        <f>AND(NhatkyTon!#REF!,"AAAAAF+1++A=")</f>
        <v>#REF!</v>
      </c>
      <c r="HR87" t="e">
        <f>AND(NhatkyTon!#REF!,"AAAAAF+1++E=")</f>
        <v>#REF!</v>
      </c>
      <c r="HS87" t="e">
        <f>AND(NhatkyTon!#REF!,"AAAAAF+1++I=")</f>
        <v>#REF!</v>
      </c>
      <c r="HT87" t="e">
        <f>AND(NhatkyTon!#REF!,"AAAAAF+1++M=")</f>
        <v>#REF!</v>
      </c>
      <c r="HU87" t="e">
        <f>AND(NhatkyTon!#REF!,"AAAAAF+1++Q=")</f>
        <v>#REF!</v>
      </c>
      <c r="HV87" t="e">
        <f>AND(NhatkyTon!#REF!,"AAAAAF+1++U=")</f>
        <v>#REF!</v>
      </c>
      <c r="HW87" t="e">
        <f>AND(NhatkyTon!#REF!,"AAAAAF+1++Y=")</f>
        <v>#REF!</v>
      </c>
      <c r="HX87" t="e">
        <f>IF(NhatkyTon!#REF!,"AAAAAF+1++c=",0)</f>
        <v>#REF!</v>
      </c>
      <c r="HY87" t="e">
        <f>AND(NhatkyTon!#REF!,"AAAAAF+1++g=")</f>
        <v>#REF!</v>
      </c>
      <c r="HZ87" t="e">
        <f>AND(NhatkyTon!#REF!,"AAAAAF+1++k=")</f>
        <v>#REF!</v>
      </c>
      <c r="IA87" t="e">
        <f>AND(NhatkyTon!#REF!,"AAAAAF+1++o=")</f>
        <v>#REF!</v>
      </c>
      <c r="IB87" t="e">
        <f>AND(NhatkyTon!#REF!,"AAAAAF+1++s=")</f>
        <v>#REF!</v>
      </c>
      <c r="IC87" t="e">
        <f>AND(NhatkyTon!#REF!,"AAAAAF+1++w=")</f>
        <v>#REF!</v>
      </c>
      <c r="ID87" t="e">
        <f>AND(NhatkyTon!#REF!,"AAAAAF+1++0=")</f>
        <v>#REF!</v>
      </c>
      <c r="IE87" t="e">
        <f>AND(NhatkyTon!#REF!,"AAAAAF+1++4=")</f>
        <v>#REF!</v>
      </c>
      <c r="IF87" t="e">
        <f>AND(NhatkyTon!#REF!,"AAAAAF+1++8=")</f>
        <v>#REF!</v>
      </c>
      <c r="IG87" t="e">
        <f>AND(NhatkyTon!#REF!,"AAAAAF+1+/A=")</f>
        <v>#REF!</v>
      </c>
      <c r="IH87" t="e">
        <f>AND(NhatkyTon!#REF!,"AAAAAF+1+/E=")</f>
        <v>#REF!</v>
      </c>
      <c r="II87" t="e">
        <f>AND(NhatkyTon!#REF!,"AAAAAF+1+/I=")</f>
        <v>#REF!</v>
      </c>
      <c r="IJ87" t="e">
        <f>AND(NhatkyTon!#REF!,"AAAAAF+1+/M=")</f>
        <v>#REF!</v>
      </c>
      <c r="IK87" t="e">
        <f>AND(NhatkyTon!#REF!,"AAAAAF+1+/Q=")</f>
        <v>#REF!</v>
      </c>
      <c r="IL87" t="e">
        <f>AND(NhatkyTon!#REF!,"AAAAAF+1+/U=")</f>
        <v>#REF!</v>
      </c>
      <c r="IM87" t="e">
        <f>AND(NhatkyTon!#REF!,"AAAAAF+1+/Y=")</f>
        <v>#REF!</v>
      </c>
      <c r="IN87" t="e">
        <f>AND(NhatkyTon!#REF!,"AAAAAF+1+/c=")</f>
        <v>#REF!</v>
      </c>
      <c r="IO87" t="e">
        <f>AND(NhatkyTon!#REF!,"AAAAAF+1+/g=")</f>
        <v>#REF!</v>
      </c>
      <c r="IP87" t="e">
        <f>AND(NhatkyTon!#REF!,"AAAAAF+1+/k=")</f>
        <v>#REF!</v>
      </c>
      <c r="IQ87" t="e">
        <f>AND(NhatkyTon!#REF!,"AAAAAF+1+/o=")</f>
        <v>#REF!</v>
      </c>
      <c r="IR87" t="e">
        <f>AND(NhatkyTon!#REF!,"AAAAAF+1+/s=")</f>
        <v>#REF!</v>
      </c>
      <c r="IS87" t="e">
        <f>AND(NhatkyTon!#REF!,"AAAAAF+1+/w=")</f>
        <v>#REF!</v>
      </c>
      <c r="IT87" t="e">
        <f>AND(NhatkyTon!#REF!,"AAAAAF+1+/0=")</f>
        <v>#REF!</v>
      </c>
      <c r="IU87" t="e">
        <f>AND(NhatkyTon!#REF!,"AAAAAF+1+/4=")</f>
        <v>#REF!</v>
      </c>
      <c r="IV87" t="e">
        <f>AND(NhatkyTon!#REF!,"AAAAAF+1+/8=")</f>
        <v>#REF!</v>
      </c>
    </row>
    <row r="88" spans="1:256">
      <c r="A88" t="e">
        <f>AND(NhatkyTon!#REF!,"AAAAAFfPSwA=")</f>
        <v>#REF!</v>
      </c>
      <c r="B88" t="e">
        <f>AND(NhatkyTon!#REF!,"AAAAAFfPSwE=")</f>
        <v>#REF!</v>
      </c>
      <c r="C88" t="e">
        <f>AND(NhatkyTon!#REF!,"AAAAAFfPSwI=")</f>
        <v>#REF!</v>
      </c>
      <c r="D88" t="e">
        <f>AND(NhatkyTon!#REF!,"AAAAAFfPSwM=")</f>
        <v>#REF!</v>
      </c>
      <c r="E88" t="e">
        <f>AND(NhatkyTon!#REF!,"AAAAAFfPSwQ=")</f>
        <v>#REF!</v>
      </c>
      <c r="F88" t="e">
        <f>AND(NhatkyTon!#REF!,"AAAAAFfPSwU=")</f>
        <v>#REF!</v>
      </c>
      <c r="G88" t="e">
        <f>AND(NhatkyTon!#REF!,"AAAAAFfPSwY=")</f>
        <v>#REF!</v>
      </c>
      <c r="H88" t="e">
        <f>AND(NhatkyTon!#REF!,"AAAAAFfPSwc=")</f>
        <v>#REF!</v>
      </c>
      <c r="I88" t="e">
        <f>AND(NhatkyTon!#REF!,"AAAAAFfPSwg=")</f>
        <v>#REF!</v>
      </c>
      <c r="J88" t="e">
        <f>AND(NhatkyTon!#REF!,"AAAAAFfPSwk=")</f>
        <v>#REF!</v>
      </c>
      <c r="K88" t="e">
        <f>IF(NhatkyTon!#REF!,"AAAAAFfPSwo=",0)</f>
        <v>#REF!</v>
      </c>
      <c r="L88" t="e">
        <f>AND(NhatkyTon!#REF!,"AAAAAFfPSws=")</f>
        <v>#REF!</v>
      </c>
      <c r="M88" t="e">
        <f>AND(NhatkyTon!#REF!,"AAAAAFfPSww=")</f>
        <v>#REF!</v>
      </c>
      <c r="N88" t="e">
        <f>AND(NhatkyTon!#REF!,"AAAAAFfPSw0=")</f>
        <v>#REF!</v>
      </c>
      <c r="O88" t="e">
        <f>AND(NhatkyTon!#REF!,"AAAAAFfPSw4=")</f>
        <v>#REF!</v>
      </c>
      <c r="P88" t="e">
        <f>AND(NhatkyTon!#REF!,"AAAAAFfPSw8=")</f>
        <v>#REF!</v>
      </c>
      <c r="Q88" t="e">
        <f>AND(NhatkyTon!#REF!,"AAAAAFfPSxA=")</f>
        <v>#REF!</v>
      </c>
      <c r="R88" t="e">
        <f>AND(NhatkyTon!#REF!,"AAAAAFfPSxE=")</f>
        <v>#REF!</v>
      </c>
      <c r="S88" t="e">
        <f>AND(NhatkyTon!#REF!,"AAAAAFfPSxI=")</f>
        <v>#REF!</v>
      </c>
      <c r="T88" t="e">
        <f>AND(NhatkyTon!#REF!,"AAAAAFfPSxM=")</f>
        <v>#REF!</v>
      </c>
      <c r="U88" t="e">
        <f>AND(NhatkyTon!#REF!,"AAAAAFfPSxQ=")</f>
        <v>#REF!</v>
      </c>
      <c r="V88" t="e">
        <f>AND(NhatkyTon!#REF!,"AAAAAFfPSxU=")</f>
        <v>#REF!</v>
      </c>
      <c r="W88" t="e">
        <f>AND(NhatkyTon!#REF!,"AAAAAFfPSxY=")</f>
        <v>#REF!</v>
      </c>
      <c r="X88" t="e">
        <f>AND(NhatkyTon!#REF!,"AAAAAFfPSxc=")</f>
        <v>#REF!</v>
      </c>
      <c r="Y88" t="e">
        <f>AND(NhatkyTon!#REF!,"AAAAAFfPSxg=")</f>
        <v>#REF!</v>
      </c>
      <c r="Z88" t="e">
        <f>AND(NhatkyTon!#REF!,"AAAAAFfPSxk=")</f>
        <v>#REF!</v>
      </c>
      <c r="AA88" t="e">
        <f>AND(NhatkyTon!#REF!,"AAAAAFfPSxo=")</f>
        <v>#REF!</v>
      </c>
      <c r="AB88" t="e">
        <f>AND(NhatkyTon!#REF!,"AAAAAFfPSxs=")</f>
        <v>#REF!</v>
      </c>
      <c r="AC88" t="e">
        <f>AND(NhatkyTon!#REF!,"AAAAAFfPSxw=")</f>
        <v>#REF!</v>
      </c>
      <c r="AD88" t="e">
        <f>AND(NhatkyTon!#REF!,"AAAAAFfPSx0=")</f>
        <v>#REF!</v>
      </c>
      <c r="AE88" t="e">
        <f>AND(NhatkyTon!#REF!,"AAAAAFfPSx4=")</f>
        <v>#REF!</v>
      </c>
      <c r="AF88" t="e">
        <f>AND(NhatkyTon!#REF!,"AAAAAFfPSx8=")</f>
        <v>#REF!</v>
      </c>
      <c r="AG88" t="e">
        <f>AND(NhatkyTon!#REF!,"AAAAAFfPSyA=")</f>
        <v>#REF!</v>
      </c>
      <c r="AH88" t="e">
        <f>AND(NhatkyTon!#REF!,"AAAAAFfPSyE=")</f>
        <v>#REF!</v>
      </c>
      <c r="AI88" t="e">
        <f>AND(NhatkyTon!#REF!,"AAAAAFfPSyI=")</f>
        <v>#REF!</v>
      </c>
      <c r="AJ88" t="e">
        <f>AND(NhatkyTon!#REF!,"AAAAAFfPSyM=")</f>
        <v>#REF!</v>
      </c>
      <c r="AK88" t="e">
        <f>AND(NhatkyTon!#REF!,"AAAAAFfPSyQ=")</f>
        <v>#REF!</v>
      </c>
      <c r="AL88" t="e">
        <f>AND(NhatkyTon!#REF!,"AAAAAFfPSyU=")</f>
        <v>#REF!</v>
      </c>
      <c r="AM88" t="e">
        <f>AND(NhatkyTon!#REF!,"AAAAAFfPSyY=")</f>
        <v>#REF!</v>
      </c>
      <c r="AN88" t="e">
        <f>AND(NhatkyTon!#REF!,"AAAAAFfPSyc=")</f>
        <v>#REF!</v>
      </c>
      <c r="AO88" t="e">
        <f>AND(NhatkyTon!#REF!,"AAAAAFfPSyg=")</f>
        <v>#REF!</v>
      </c>
      <c r="AP88" t="e">
        <f>AND(NhatkyTon!#REF!,"AAAAAFfPSyk=")</f>
        <v>#REF!</v>
      </c>
      <c r="AQ88" t="e">
        <f>AND(NhatkyTon!#REF!,"AAAAAFfPSyo=")</f>
        <v>#REF!</v>
      </c>
      <c r="AR88" t="e">
        <f>AND(NhatkyTon!#REF!,"AAAAAFfPSys=")</f>
        <v>#REF!</v>
      </c>
      <c r="AS88" t="e">
        <f>AND(NhatkyTon!#REF!,"AAAAAFfPSyw=")</f>
        <v>#REF!</v>
      </c>
      <c r="AT88" t="e">
        <f>IF(NhatkyTon!#REF!,"AAAAAFfPSy0=",0)</f>
        <v>#REF!</v>
      </c>
      <c r="AU88" t="e">
        <f>AND(NhatkyTon!#REF!,"AAAAAFfPSy4=")</f>
        <v>#REF!</v>
      </c>
      <c r="AV88" t="e">
        <f>AND(NhatkyTon!#REF!,"AAAAAFfPSy8=")</f>
        <v>#REF!</v>
      </c>
      <c r="AW88" t="e">
        <f>AND(NhatkyTon!#REF!,"AAAAAFfPSzA=")</f>
        <v>#REF!</v>
      </c>
      <c r="AX88" t="e">
        <f>AND(NhatkyTon!#REF!,"AAAAAFfPSzE=")</f>
        <v>#REF!</v>
      </c>
      <c r="AY88" t="e">
        <f>AND(NhatkyTon!#REF!,"AAAAAFfPSzI=")</f>
        <v>#REF!</v>
      </c>
      <c r="AZ88" t="e">
        <f>AND(NhatkyTon!#REF!,"AAAAAFfPSzM=")</f>
        <v>#REF!</v>
      </c>
      <c r="BA88" t="e">
        <f>AND(NhatkyTon!#REF!,"AAAAAFfPSzQ=")</f>
        <v>#REF!</v>
      </c>
      <c r="BB88" t="e">
        <f>AND(NhatkyTon!#REF!,"AAAAAFfPSzU=")</f>
        <v>#REF!</v>
      </c>
      <c r="BC88" t="e">
        <f>AND(NhatkyTon!#REF!,"AAAAAFfPSzY=")</f>
        <v>#REF!</v>
      </c>
      <c r="BD88" t="e">
        <f>AND(NhatkyTon!#REF!,"AAAAAFfPSzc=")</f>
        <v>#REF!</v>
      </c>
      <c r="BE88" t="e">
        <f>AND(NhatkyTon!#REF!,"AAAAAFfPSzg=")</f>
        <v>#REF!</v>
      </c>
      <c r="BF88" t="e">
        <f>AND(NhatkyTon!#REF!,"AAAAAFfPSzk=")</f>
        <v>#REF!</v>
      </c>
      <c r="BG88" t="e">
        <f>AND(NhatkyTon!#REF!,"AAAAAFfPSzo=")</f>
        <v>#REF!</v>
      </c>
      <c r="BH88" t="e">
        <f>AND(NhatkyTon!#REF!,"AAAAAFfPSzs=")</f>
        <v>#REF!</v>
      </c>
      <c r="BI88" t="e">
        <f>AND(NhatkyTon!#REF!,"AAAAAFfPSzw=")</f>
        <v>#REF!</v>
      </c>
      <c r="BJ88" t="e">
        <f>AND(NhatkyTon!#REF!,"AAAAAFfPSz0=")</f>
        <v>#REF!</v>
      </c>
      <c r="BK88" t="e">
        <f>AND(NhatkyTon!#REF!,"AAAAAFfPSz4=")</f>
        <v>#REF!</v>
      </c>
      <c r="BL88" t="e">
        <f>AND(NhatkyTon!#REF!,"AAAAAFfPSz8=")</f>
        <v>#REF!</v>
      </c>
      <c r="BM88" t="e">
        <f>AND(NhatkyTon!#REF!,"AAAAAFfPS0A=")</f>
        <v>#REF!</v>
      </c>
      <c r="BN88" t="e">
        <f>AND(NhatkyTon!#REF!,"AAAAAFfPS0E=")</f>
        <v>#REF!</v>
      </c>
      <c r="BO88" t="e">
        <f>AND(NhatkyTon!#REF!,"AAAAAFfPS0I=")</f>
        <v>#REF!</v>
      </c>
      <c r="BP88" t="e">
        <f>AND(NhatkyTon!#REF!,"AAAAAFfPS0M=")</f>
        <v>#REF!</v>
      </c>
      <c r="BQ88" t="e">
        <f>AND(NhatkyTon!#REF!,"AAAAAFfPS0Q=")</f>
        <v>#REF!</v>
      </c>
      <c r="BR88" t="e">
        <f>AND(NhatkyTon!#REF!,"AAAAAFfPS0U=")</f>
        <v>#REF!</v>
      </c>
      <c r="BS88" t="e">
        <f>AND(NhatkyTon!#REF!,"AAAAAFfPS0Y=")</f>
        <v>#REF!</v>
      </c>
      <c r="BT88" t="e">
        <f>AND(NhatkyTon!#REF!,"AAAAAFfPS0c=")</f>
        <v>#REF!</v>
      </c>
      <c r="BU88" t="e">
        <f>AND(NhatkyTon!#REF!,"AAAAAFfPS0g=")</f>
        <v>#REF!</v>
      </c>
      <c r="BV88" t="e">
        <f>AND(NhatkyTon!#REF!,"AAAAAFfPS0k=")</f>
        <v>#REF!</v>
      </c>
      <c r="BW88" t="e">
        <f>AND(NhatkyTon!#REF!,"AAAAAFfPS0o=")</f>
        <v>#REF!</v>
      </c>
      <c r="BX88" t="e">
        <f>AND(NhatkyTon!#REF!,"AAAAAFfPS0s=")</f>
        <v>#REF!</v>
      </c>
      <c r="BY88" t="e">
        <f>AND(NhatkyTon!#REF!,"AAAAAFfPS0w=")</f>
        <v>#REF!</v>
      </c>
      <c r="BZ88" t="e">
        <f>AND(NhatkyTon!#REF!,"AAAAAFfPS00=")</f>
        <v>#REF!</v>
      </c>
      <c r="CA88" t="e">
        <f>AND(NhatkyTon!#REF!,"AAAAAFfPS04=")</f>
        <v>#REF!</v>
      </c>
      <c r="CB88" t="e">
        <f>AND(NhatkyTon!#REF!,"AAAAAFfPS08=")</f>
        <v>#REF!</v>
      </c>
      <c r="CC88" t="e">
        <f>IF(NhatkyTon!#REF!,"AAAAAFfPS1A=",0)</f>
        <v>#REF!</v>
      </c>
      <c r="CD88" t="e">
        <f>AND(NhatkyTon!#REF!,"AAAAAFfPS1E=")</f>
        <v>#REF!</v>
      </c>
      <c r="CE88" t="e">
        <f>AND(NhatkyTon!#REF!,"AAAAAFfPS1I=")</f>
        <v>#REF!</v>
      </c>
      <c r="CF88" t="e">
        <f>AND(NhatkyTon!#REF!,"AAAAAFfPS1M=")</f>
        <v>#REF!</v>
      </c>
      <c r="CG88" t="e">
        <f>AND(NhatkyTon!#REF!,"AAAAAFfPS1Q=")</f>
        <v>#REF!</v>
      </c>
      <c r="CH88" t="e">
        <f>AND(NhatkyTon!#REF!,"AAAAAFfPS1U=")</f>
        <v>#REF!</v>
      </c>
      <c r="CI88" t="e">
        <f>AND(NhatkyTon!#REF!,"AAAAAFfPS1Y=")</f>
        <v>#REF!</v>
      </c>
      <c r="CJ88" t="e">
        <f>AND(NhatkyTon!#REF!,"AAAAAFfPS1c=")</f>
        <v>#REF!</v>
      </c>
      <c r="CK88" t="e">
        <f>AND(NhatkyTon!#REF!,"AAAAAFfPS1g=")</f>
        <v>#REF!</v>
      </c>
      <c r="CL88" t="e">
        <f>AND(NhatkyTon!#REF!,"AAAAAFfPS1k=")</f>
        <v>#REF!</v>
      </c>
      <c r="CM88" t="e">
        <f>AND(NhatkyTon!#REF!,"AAAAAFfPS1o=")</f>
        <v>#REF!</v>
      </c>
      <c r="CN88" t="e">
        <f>AND(NhatkyTon!#REF!,"AAAAAFfPS1s=")</f>
        <v>#REF!</v>
      </c>
      <c r="CO88" t="e">
        <f>AND(NhatkyTon!#REF!,"AAAAAFfPS1w=")</f>
        <v>#REF!</v>
      </c>
      <c r="CP88" t="e">
        <f>AND(NhatkyTon!#REF!,"AAAAAFfPS10=")</f>
        <v>#REF!</v>
      </c>
      <c r="CQ88" t="e">
        <f>AND(NhatkyTon!#REF!,"AAAAAFfPS14=")</f>
        <v>#REF!</v>
      </c>
      <c r="CR88" t="e">
        <f>AND(NhatkyTon!#REF!,"AAAAAFfPS18=")</f>
        <v>#REF!</v>
      </c>
      <c r="CS88" t="e">
        <f>AND(NhatkyTon!#REF!,"AAAAAFfPS2A=")</f>
        <v>#REF!</v>
      </c>
      <c r="CT88" t="e">
        <f>AND(NhatkyTon!#REF!,"AAAAAFfPS2E=")</f>
        <v>#REF!</v>
      </c>
      <c r="CU88" t="e">
        <f>AND(NhatkyTon!#REF!,"AAAAAFfPS2I=")</f>
        <v>#REF!</v>
      </c>
      <c r="CV88" t="e">
        <f>AND(NhatkyTon!#REF!,"AAAAAFfPS2M=")</f>
        <v>#REF!</v>
      </c>
      <c r="CW88" t="e">
        <f>AND(NhatkyTon!#REF!,"AAAAAFfPS2Q=")</f>
        <v>#REF!</v>
      </c>
      <c r="CX88" t="e">
        <f>AND(NhatkyTon!#REF!,"AAAAAFfPS2U=")</f>
        <v>#REF!</v>
      </c>
      <c r="CY88" t="e">
        <f>AND(NhatkyTon!#REF!,"AAAAAFfPS2Y=")</f>
        <v>#REF!</v>
      </c>
      <c r="CZ88" t="e">
        <f>AND(NhatkyTon!#REF!,"AAAAAFfPS2c=")</f>
        <v>#REF!</v>
      </c>
      <c r="DA88" t="e">
        <f>AND(NhatkyTon!#REF!,"AAAAAFfPS2g=")</f>
        <v>#REF!</v>
      </c>
      <c r="DB88" t="e">
        <f>AND(NhatkyTon!#REF!,"AAAAAFfPS2k=")</f>
        <v>#REF!</v>
      </c>
      <c r="DC88" t="e">
        <f>AND(NhatkyTon!#REF!,"AAAAAFfPS2o=")</f>
        <v>#REF!</v>
      </c>
      <c r="DD88" t="e">
        <f>AND(NhatkyTon!#REF!,"AAAAAFfPS2s=")</f>
        <v>#REF!</v>
      </c>
      <c r="DE88" t="e">
        <f>AND(NhatkyTon!#REF!,"AAAAAFfPS2w=")</f>
        <v>#REF!</v>
      </c>
      <c r="DF88" t="e">
        <f>AND(NhatkyTon!#REF!,"AAAAAFfPS20=")</f>
        <v>#REF!</v>
      </c>
      <c r="DG88" t="e">
        <f>AND(NhatkyTon!#REF!,"AAAAAFfPS24=")</f>
        <v>#REF!</v>
      </c>
      <c r="DH88" t="e">
        <f>AND(NhatkyTon!#REF!,"AAAAAFfPS28=")</f>
        <v>#REF!</v>
      </c>
      <c r="DI88" t="e">
        <f>AND(NhatkyTon!#REF!,"AAAAAFfPS3A=")</f>
        <v>#REF!</v>
      </c>
      <c r="DJ88" t="e">
        <f>AND(NhatkyTon!#REF!,"AAAAAFfPS3E=")</f>
        <v>#REF!</v>
      </c>
      <c r="DK88" t="e">
        <f>AND(NhatkyTon!#REF!,"AAAAAFfPS3I=")</f>
        <v>#REF!</v>
      </c>
      <c r="DL88" t="e">
        <f>IF(NhatkyTon!#REF!,"AAAAAFfPS3M=",0)</f>
        <v>#REF!</v>
      </c>
      <c r="DM88" t="e">
        <f>AND(NhatkyTon!#REF!,"AAAAAFfPS3Q=")</f>
        <v>#REF!</v>
      </c>
      <c r="DN88" t="e">
        <f>AND(NhatkyTon!#REF!,"AAAAAFfPS3U=")</f>
        <v>#REF!</v>
      </c>
      <c r="DO88" t="e">
        <f>AND(NhatkyTon!#REF!,"AAAAAFfPS3Y=")</f>
        <v>#REF!</v>
      </c>
      <c r="DP88" t="e">
        <f>AND(NhatkyTon!#REF!,"AAAAAFfPS3c=")</f>
        <v>#REF!</v>
      </c>
      <c r="DQ88" t="e">
        <f>AND(NhatkyTon!#REF!,"AAAAAFfPS3g=")</f>
        <v>#REF!</v>
      </c>
      <c r="DR88" t="e">
        <f>AND(NhatkyTon!#REF!,"AAAAAFfPS3k=")</f>
        <v>#REF!</v>
      </c>
      <c r="DS88" t="e">
        <f>AND(NhatkyTon!#REF!,"AAAAAFfPS3o=")</f>
        <v>#REF!</v>
      </c>
      <c r="DT88" t="e">
        <f>AND(NhatkyTon!#REF!,"AAAAAFfPS3s=")</f>
        <v>#REF!</v>
      </c>
      <c r="DU88" t="e">
        <f>AND(NhatkyTon!#REF!,"AAAAAFfPS3w=")</f>
        <v>#REF!</v>
      </c>
      <c r="DV88" t="e">
        <f>AND(NhatkyTon!#REF!,"AAAAAFfPS30=")</f>
        <v>#REF!</v>
      </c>
      <c r="DW88" t="e">
        <f>AND(NhatkyTon!#REF!,"AAAAAFfPS34=")</f>
        <v>#REF!</v>
      </c>
      <c r="DX88" t="e">
        <f>AND(NhatkyTon!#REF!,"AAAAAFfPS38=")</f>
        <v>#REF!</v>
      </c>
      <c r="DY88" t="e">
        <f>AND(NhatkyTon!#REF!,"AAAAAFfPS4A=")</f>
        <v>#REF!</v>
      </c>
      <c r="DZ88" t="e">
        <f>AND(NhatkyTon!#REF!,"AAAAAFfPS4E=")</f>
        <v>#REF!</v>
      </c>
      <c r="EA88" t="e">
        <f>AND(NhatkyTon!#REF!,"AAAAAFfPS4I=")</f>
        <v>#REF!</v>
      </c>
      <c r="EB88" t="e">
        <f>AND(NhatkyTon!#REF!,"AAAAAFfPS4M=")</f>
        <v>#REF!</v>
      </c>
      <c r="EC88" t="e">
        <f>AND(NhatkyTon!#REF!,"AAAAAFfPS4Q=")</f>
        <v>#REF!</v>
      </c>
      <c r="ED88" t="e">
        <f>AND(NhatkyTon!#REF!,"AAAAAFfPS4U=")</f>
        <v>#REF!</v>
      </c>
      <c r="EE88" t="e">
        <f>AND(NhatkyTon!#REF!,"AAAAAFfPS4Y=")</f>
        <v>#REF!</v>
      </c>
      <c r="EF88" t="e">
        <f>AND(NhatkyTon!#REF!,"AAAAAFfPS4c=")</f>
        <v>#REF!</v>
      </c>
      <c r="EG88" t="e">
        <f>AND(NhatkyTon!#REF!,"AAAAAFfPS4g=")</f>
        <v>#REF!</v>
      </c>
      <c r="EH88" t="e">
        <f>AND(NhatkyTon!#REF!,"AAAAAFfPS4k=")</f>
        <v>#REF!</v>
      </c>
      <c r="EI88" t="e">
        <f>AND(NhatkyTon!#REF!,"AAAAAFfPS4o=")</f>
        <v>#REF!</v>
      </c>
      <c r="EJ88" t="e">
        <f>AND(NhatkyTon!#REF!,"AAAAAFfPS4s=")</f>
        <v>#REF!</v>
      </c>
      <c r="EK88" t="e">
        <f>AND(NhatkyTon!#REF!,"AAAAAFfPS4w=")</f>
        <v>#REF!</v>
      </c>
      <c r="EL88" t="e">
        <f>AND(NhatkyTon!#REF!,"AAAAAFfPS40=")</f>
        <v>#REF!</v>
      </c>
      <c r="EM88" t="e">
        <f>AND(NhatkyTon!#REF!,"AAAAAFfPS44=")</f>
        <v>#REF!</v>
      </c>
      <c r="EN88" t="e">
        <f>AND(NhatkyTon!#REF!,"AAAAAFfPS48=")</f>
        <v>#REF!</v>
      </c>
      <c r="EO88" t="e">
        <f>AND(NhatkyTon!#REF!,"AAAAAFfPS5A=")</f>
        <v>#REF!</v>
      </c>
      <c r="EP88" t="e">
        <f>AND(NhatkyTon!#REF!,"AAAAAFfPS5E=")</f>
        <v>#REF!</v>
      </c>
      <c r="EQ88" t="e">
        <f>AND(NhatkyTon!#REF!,"AAAAAFfPS5I=")</f>
        <v>#REF!</v>
      </c>
      <c r="ER88" t="e">
        <f>AND(NhatkyTon!#REF!,"AAAAAFfPS5M=")</f>
        <v>#REF!</v>
      </c>
      <c r="ES88" t="e">
        <f>AND(NhatkyTon!#REF!,"AAAAAFfPS5Q=")</f>
        <v>#REF!</v>
      </c>
      <c r="ET88" t="e">
        <f>AND(NhatkyTon!#REF!,"AAAAAFfPS5U=")</f>
        <v>#REF!</v>
      </c>
      <c r="EU88" t="e">
        <f>IF(NhatkyTon!#REF!,"AAAAAFfPS5Y=",0)</f>
        <v>#REF!</v>
      </c>
      <c r="EV88" t="e">
        <f>AND(NhatkyTon!#REF!,"AAAAAFfPS5c=")</f>
        <v>#REF!</v>
      </c>
      <c r="EW88" t="e">
        <f>AND(NhatkyTon!#REF!,"AAAAAFfPS5g=")</f>
        <v>#REF!</v>
      </c>
      <c r="EX88" t="e">
        <f>AND(NhatkyTon!#REF!,"AAAAAFfPS5k=")</f>
        <v>#REF!</v>
      </c>
      <c r="EY88" t="e">
        <f>AND(NhatkyTon!#REF!,"AAAAAFfPS5o=")</f>
        <v>#REF!</v>
      </c>
      <c r="EZ88" t="e">
        <f>AND(NhatkyTon!#REF!,"AAAAAFfPS5s=")</f>
        <v>#REF!</v>
      </c>
      <c r="FA88" t="e">
        <f>AND(NhatkyTon!#REF!,"AAAAAFfPS5w=")</f>
        <v>#REF!</v>
      </c>
      <c r="FB88" t="e">
        <f>AND(NhatkyTon!#REF!,"AAAAAFfPS50=")</f>
        <v>#REF!</v>
      </c>
      <c r="FC88" t="e">
        <f>AND(NhatkyTon!#REF!,"AAAAAFfPS54=")</f>
        <v>#REF!</v>
      </c>
      <c r="FD88" t="e">
        <f>AND(NhatkyTon!#REF!,"AAAAAFfPS58=")</f>
        <v>#REF!</v>
      </c>
      <c r="FE88" t="e">
        <f>AND(NhatkyTon!#REF!,"AAAAAFfPS6A=")</f>
        <v>#REF!</v>
      </c>
      <c r="FF88" t="e">
        <f>AND(NhatkyTon!#REF!,"AAAAAFfPS6E=")</f>
        <v>#REF!</v>
      </c>
      <c r="FG88" t="e">
        <f>AND(NhatkyTon!#REF!,"AAAAAFfPS6I=")</f>
        <v>#REF!</v>
      </c>
      <c r="FH88" t="e">
        <f>AND(NhatkyTon!#REF!,"AAAAAFfPS6M=")</f>
        <v>#REF!</v>
      </c>
      <c r="FI88" t="e">
        <f>AND(NhatkyTon!#REF!,"AAAAAFfPS6Q=")</f>
        <v>#REF!</v>
      </c>
      <c r="FJ88" t="e">
        <f>AND(NhatkyTon!#REF!,"AAAAAFfPS6U=")</f>
        <v>#REF!</v>
      </c>
      <c r="FK88" t="e">
        <f>AND(NhatkyTon!#REF!,"AAAAAFfPS6Y=")</f>
        <v>#REF!</v>
      </c>
      <c r="FL88" t="e">
        <f>AND(NhatkyTon!#REF!,"AAAAAFfPS6c=")</f>
        <v>#REF!</v>
      </c>
      <c r="FM88" t="e">
        <f>AND(NhatkyTon!#REF!,"AAAAAFfPS6g=")</f>
        <v>#REF!</v>
      </c>
      <c r="FN88" t="e">
        <f>AND(NhatkyTon!#REF!,"AAAAAFfPS6k=")</f>
        <v>#REF!</v>
      </c>
      <c r="FO88" t="e">
        <f>AND(NhatkyTon!#REF!,"AAAAAFfPS6o=")</f>
        <v>#REF!</v>
      </c>
      <c r="FP88" t="e">
        <f>AND(NhatkyTon!#REF!,"AAAAAFfPS6s=")</f>
        <v>#REF!</v>
      </c>
      <c r="FQ88" t="e">
        <f>AND(NhatkyTon!#REF!,"AAAAAFfPS6w=")</f>
        <v>#REF!</v>
      </c>
      <c r="FR88" t="e">
        <f>AND(NhatkyTon!#REF!,"AAAAAFfPS60=")</f>
        <v>#REF!</v>
      </c>
      <c r="FS88" t="e">
        <f>AND(NhatkyTon!#REF!,"AAAAAFfPS64=")</f>
        <v>#REF!</v>
      </c>
      <c r="FT88" t="e">
        <f>AND(NhatkyTon!#REF!,"AAAAAFfPS68=")</f>
        <v>#REF!</v>
      </c>
      <c r="FU88" t="e">
        <f>AND(NhatkyTon!#REF!,"AAAAAFfPS7A=")</f>
        <v>#REF!</v>
      </c>
      <c r="FV88" t="e">
        <f>AND(NhatkyTon!#REF!,"AAAAAFfPS7E=")</f>
        <v>#REF!</v>
      </c>
      <c r="FW88" t="e">
        <f>AND(NhatkyTon!#REF!,"AAAAAFfPS7I=")</f>
        <v>#REF!</v>
      </c>
      <c r="FX88" t="e">
        <f>AND(NhatkyTon!#REF!,"AAAAAFfPS7M=")</f>
        <v>#REF!</v>
      </c>
      <c r="FY88" t="e">
        <f>AND(NhatkyTon!#REF!,"AAAAAFfPS7Q=")</f>
        <v>#REF!</v>
      </c>
      <c r="FZ88" t="e">
        <f>AND(NhatkyTon!#REF!,"AAAAAFfPS7U=")</f>
        <v>#REF!</v>
      </c>
      <c r="GA88" t="e">
        <f>AND(NhatkyTon!#REF!,"AAAAAFfPS7Y=")</f>
        <v>#REF!</v>
      </c>
      <c r="GB88" t="e">
        <f>AND(NhatkyTon!#REF!,"AAAAAFfPS7c=")</f>
        <v>#REF!</v>
      </c>
      <c r="GC88" t="e">
        <f>AND(NhatkyTon!#REF!,"AAAAAFfPS7g=")</f>
        <v>#REF!</v>
      </c>
      <c r="GD88" t="e">
        <f>IF(NhatkyTon!#REF!,"AAAAAFfPS7k=",0)</f>
        <v>#REF!</v>
      </c>
      <c r="GE88" t="e">
        <f>AND(NhatkyTon!#REF!,"AAAAAFfPS7o=")</f>
        <v>#REF!</v>
      </c>
      <c r="GF88" t="e">
        <f>AND(NhatkyTon!#REF!,"AAAAAFfPS7s=")</f>
        <v>#REF!</v>
      </c>
      <c r="GG88" t="e">
        <f>AND(NhatkyTon!#REF!,"AAAAAFfPS7w=")</f>
        <v>#REF!</v>
      </c>
      <c r="GH88" t="e">
        <f>AND(NhatkyTon!#REF!,"AAAAAFfPS70=")</f>
        <v>#REF!</v>
      </c>
      <c r="GI88" t="e">
        <f>AND(NhatkyTon!#REF!,"AAAAAFfPS74=")</f>
        <v>#REF!</v>
      </c>
      <c r="GJ88" t="e">
        <f>AND(NhatkyTon!#REF!,"AAAAAFfPS78=")</f>
        <v>#REF!</v>
      </c>
      <c r="GK88" t="e">
        <f>AND(NhatkyTon!#REF!,"AAAAAFfPS8A=")</f>
        <v>#REF!</v>
      </c>
      <c r="GL88" t="e">
        <f>AND(NhatkyTon!#REF!,"AAAAAFfPS8E=")</f>
        <v>#REF!</v>
      </c>
      <c r="GM88" t="e">
        <f>AND(NhatkyTon!#REF!,"AAAAAFfPS8I=")</f>
        <v>#REF!</v>
      </c>
      <c r="GN88" t="e">
        <f>AND(NhatkyTon!#REF!,"AAAAAFfPS8M=")</f>
        <v>#REF!</v>
      </c>
      <c r="GO88" t="e">
        <f>AND(NhatkyTon!#REF!,"AAAAAFfPS8Q=")</f>
        <v>#REF!</v>
      </c>
      <c r="GP88" t="e">
        <f>AND(NhatkyTon!#REF!,"AAAAAFfPS8U=")</f>
        <v>#REF!</v>
      </c>
      <c r="GQ88" t="e">
        <f>AND(NhatkyTon!#REF!,"AAAAAFfPS8Y=")</f>
        <v>#REF!</v>
      </c>
      <c r="GR88" t="e">
        <f>AND(NhatkyTon!#REF!,"AAAAAFfPS8c=")</f>
        <v>#REF!</v>
      </c>
      <c r="GS88" t="e">
        <f>AND(NhatkyTon!#REF!,"AAAAAFfPS8g=")</f>
        <v>#REF!</v>
      </c>
      <c r="GT88" t="e">
        <f>AND(NhatkyTon!#REF!,"AAAAAFfPS8k=")</f>
        <v>#REF!</v>
      </c>
      <c r="GU88" t="e">
        <f>AND(NhatkyTon!#REF!,"AAAAAFfPS8o=")</f>
        <v>#REF!</v>
      </c>
      <c r="GV88" t="e">
        <f>AND(NhatkyTon!#REF!,"AAAAAFfPS8s=")</f>
        <v>#REF!</v>
      </c>
      <c r="GW88" t="e">
        <f>AND(NhatkyTon!#REF!,"AAAAAFfPS8w=")</f>
        <v>#REF!</v>
      </c>
      <c r="GX88" t="e">
        <f>AND(NhatkyTon!#REF!,"AAAAAFfPS80=")</f>
        <v>#REF!</v>
      </c>
      <c r="GY88" t="e">
        <f>AND(NhatkyTon!#REF!,"AAAAAFfPS84=")</f>
        <v>#REF!</v>
      </c>
      <c r="GZ88" t="e">
        <f>AND(NhatkyTon!#REF!,"AAAAAFfPS88=")</f>
        <v>#REF!</v>
      </c>
      <c r="HA88" t="e">
        <f>AND(NhatkyTon!#REF!,"AAAAAFfPS9A=")</f>
        <v>#REF!</v>
      </c>
      <c r="HB88" t="e">
        <f>AND(NhatkyTon!#REF!,"AAAAAFfPS9E=")</f>
        <v>#REF!</v>
      </c>
      <c r="HC88" t="e">
        <f>AND(NhatkyTon!#REF!,"AAAAAFfPS9I=")</f>
        <v>#REF!</v>
      </c>
      <c r="HD88" t="e">
        <f>AND(NhatkyTon!#REF!,"AAAAAFfPS9M=")</f>
        <v>#REF!</v>
      </c>
      <c r="HE88" t="e">
        <f>AND(NhatkyTon!#REF!,"AAAAAFfPS9Q=")</f>
        <v>#REF!</v>
      </c>
      <c r="HF88" t="e">
        <f>AND(NhatkyTon!#REF!,"AAAAAFfPS9U=")</f>
        <v>#REF!</v>
      </c>
      <c r="HG88" t="e">
        <f>AND(NhatkyTon!#REF!,"AAAAAFfPS9Y=")</f>
        <v>#REF!</v>
      </c>
      <c r="HH88" t="e">
        <f>AND(NhatkyTon!#REF!,"AAAAAFfPS9c=")</f>
        <v>#REF!</v>
      </c>
      <c r="HI88" t="e">
        <f>AND(NhatkyTon!#REF!,"AAAAAFfPS9g=")</f>
        <v>#REF!</v>
      </c>
      <c r="HJ88" t="e">
        <f>AND(NhatkyTon!#REF!,"AAAAAFfPS9k=")</f>
        <v>#REF!</v>
      </c>
      <c r="HK88" t="e">
        <f>AND(NhatkyTon!#REF!,"AAAAAFfPS9o=")</f>
        <v>#REF!</v>
      </c>
      <c r="HL88" t="e">
        <f>AND(NhatkyTon!#REF!,"AAAAAFfPS9s=")</f>
        <v>#REF!</v>
      </c>
      <c r="HM88" t="e">
        <f>IF(NhatkyTon!#REF!,"AAAAAFfPS9w=",0)</f>
        <v>#REF!</v>
      </c>
      <c r="HN88" t="e">
        <f>AND(NhatkyTon!#REF!,"AAAAAFfPS90=")</f>
        <v>#REF!</v>
      </c>
      <c r="HO88" t="e">
        <f>AND(NhatkyTon!#REF!,"AAAAAFfPS94=")</f>
        <v>#REF!</v>
      </c>
      <c r="HP88" t="e">
        <f>AND(NhatkyTon!#REF!,"AAAAAFfPS98=")</f>
        <v>#REF!</v>
      </c>
      <c r="HQ88" t="e">
        <f>AND(NhatkyTon!#REF!,"AAAAAFfPS+A=")</f>
        <v>#REF!</v>
      </c>
      <c r="HR88" t="e">
        <f>AND(NhatkyTon!#REF!,"AAAAAFfPS+E=")</f>
        <v>#REF!</v>
      </c>
      <c r="HS88" t="e">
        <f>AND(NhatkyTon!#REF!,"AAAAAFfPS+I=")</f>
        <v>#REF!</v>
      </c>
      <c r="HT88" t="e">
        <f>AND(NhatkyTon!#REF!,"AAAAAFfPS+M=")</f>
        <v>#REF!</v>
      </c>
      <c r="HU88" t="e">
        <f>AND(NhatkyTon!#REF!,"AAAAAFfPS+Q=")</f>
        <v>#REF!</v>
      </c>
      <c r="HV88" t="e">
        <f>AND(NhatkyTon!#REF!,"AAAAAFfPS+U=")</f>
        <v>#REF!</v>
      </c>
      <c r="HW88" t="e">
        <f>AND(NhatkyTon!#REF!,"AAAAAFfPS+Y=")</f>
        <v>#REF!</v>
      </c>
      <c r="HX88" t="e">
        <f>AND(NhatkyTon!#REF!,"AAAAAFfPS+c=")</f>
        <v>#REF!</v>
      </c>
      <c r="HY88" t="e">
        <f>AND(NhatkyTon!#REF!,"AAAAAFfPS+g=")</f>
        <v>#REF!</v>
      </c>
      <c r="HZ88" t="e">
        <f>AND(NhatkyTon!#REF!,"AAAAAFfPS+k=")</f>
        <v>#REF!</v>
      </c>
      <c r="IA88" t="e">
        <f>AND(NhatkyTon!#REF!,"AAAAAFfPS+o=")</f>
        <v>#REF!</v>
      </c>
      <c r="IB88" t="e">
        <f>AND(NhatkyTon!#REF!,"AAAAAFfPS+s=")</f>
        <v>#REF!</v>
      </c>
      <c r="IC88" t="e">
        <f>AND(NhatkyTon!#REF!,"AAAAAFfPS+w=")</f>
        <v>#REF!</v>
      </c>
      <c r="ID88" t="e">
        <f>AND(NhatkyTon!#REF!,"AAAAAFfPS+0=")</f>
        <v>#REF!</v>
      </c>
      <c r="IE88" t="e">
        <f>AND(NhatkyTon!#REF!,"AAAAAFfPS+4=")</f>
        <v>#REF!</v>
      </c>
      <c r="IF88" t="e">
        <f>AND(NhatkyTon!#REF!,"AAAAAFfPS+8=")</f>
        <v>#REF!</v>
      </c>
      <c r="IG88" t="e">
        <f>AND(NhatkyTon!#REF!,"AAAAAFfPS/A=")</f>
        <v>#REF!</v>
      </c>
      <c r="IH88" t="e">
        <f>AND(NhatkyTon!#REF!,"AAAAAFfPS/E=")</f>
        <v>#REF!</v>
      </c>
      <c r="II88" t="e">
        <f>AND(NhatkyTon!#REF!,"AAAAAFfPS/I=")</f>
        <v>#REF!</v>
      </c>
      <c r="IJ88" t="e">
        <f>AND(NhatkyTon!#REF!,"AAAAAFfPS/M=")</f>
        <v>#REF!</v>
      </c>
      <c r="IK88" t="e">
        <f>AND(NhatkyTon!#REF!,"AAAAAFfPS/Q=")</f>
        <v>#REF!</v>
      </c>
      <c r="IL88" t="e">
        <f>AND(NhatkyTon!#REF!,"AAAAAFfPS/U=")</f>
        <v>#REF!</v>
      </c>
      <c r="IM88" t="e">
        <f>AND(NhatkyTon!#REF!,"AAAAAFfPS/Y=")</f>
        <v>#REF!</v>
      </c>
      <c r="IN88" t="e">
        <f>AND(NhatkyTon!#REF!,"AAAAAFfPS/c=")</f>
        <v>#REF!</v>
      </c>
      <c r="IO88" t="e">
        <f>AND(NhatkyTon!#REF!,"AAAAAFfPS/g=")</f>
        <v>#REF!</v>
      </c>
      <c r="IP88" t="e">
        <f>AND(NhatkyTon!#REF!,"AAAAAFfPS/k=")</f>
        <v>#REF!</v>
      </c>
      <c r="IQ88" t="e">
        <f>AND(NhatkyTon!#REF!,"AAAAAFfPS/o=")</f>
        <v>#REF!</v>
      </c>
      <c r="IR88" t="e">
        <f>AND(NhatkyTon!#REF!,"AAAAAFfPS/s=")</f>
        <v>#REF!</v>
      </c>
      <c r="IS88" t="e">
        <f>AND(NhatkyTon!#REF!,"AAAAAFfPS/w=")</f>
        <v>#REF!</v>
      </c>
      <c r="IT88" t="e">
        <f>AND(NhatkyTon!#REF!,"AAAAAFfPS/0=")</f>
        <v>#REF!</v>
      </c>
      <c r="IU88" t="e">
        <f>AND(NhatkyTon!#REF!,"AAAAAFfPS/4=")</f>
        <v>#REF!</v>
      </c>
      <c r="IV88" t="e">
        <f>IF(NhatkyTon!#REF!,"AAAAAFfPS/8=",0)</f>
        <v>#REF!</v>
      </c>
    </row>
    <row r="89" spans="1:256">
      <c r="A89" t="e">
        <f>AND(NhatkyTon!#REF!,"AAAAAF/NbwA=")</f>
        <v>#REF!</v>
      </c>
      <c r="B89" t="e">
        <f>AND(NhatkyTon!#REF!,"AAAAAF/NbwE=")</f>
        <v>#REF!</v>
      </c>
      <c r="C89" t="e">
        <f>AND(NhatkyTon!#REF!,"AAAAAF/NbwI=")</f>
        <v>#REF!</v>
      </c>
      <c r="D89" t="e">
        <f>AND(NhatkyTon!#REF!,"AAAAAF/NbwM=")</f>
        <v>#REF!</v>
      </c>
      <c r="E89" t="e">
        <f>AND(NhatkyTon!#REF!,"AAAAAF/NbwQ=")</f>
        <v>#REF!</v>
      </c>
      <c r="F89" t="e">
        <f>AND(NhatkyTon!#REF!,"AAAAAF/NbwU=")</f>
        <v>#REF!</v>
      </c>
      <c r="G89" t="e">
        <f>AND(NhatkyTon!#REF!,"AAAAAF/NbwY=")</f>
        <v>#REF!</v>
      </c>
      <c r="H89" t="e">
        <f>AND(NhatkyTon!#REF!,"AAAAAF/Nbwc=")</f>
        <v>#REF!</v>
      </c>
      <c r="I89" t="e">
        <f>AND(NhatkyTon!#REF!,"AAAAAF/Nbwg=")</f>
        <v>#REF!</v>
      </c>
      <c r="J89" t="e">
        <f>AND(NhatkyTon!#REF!,"AAAAAF/Nbwk=")</f>
        <v>#REF!</v>
      </c>
      <c r="K89" t="e">
        <f>AND(NhatkyTon!#REF!,"AAAAAF/Nbwo=")</f>
        <v>#REF!</v>
      </c>
      <c r="L89" t="e">
        <f>AND(NhatkyTon!#REF!,"AAAAAF/Nbws=")</f>
        <v>#REF!</v>
      </c>
      <c r="M89" t="e">
        <f>AND(NhatkyTon!#REF!,"AAAAAF/Nbww=")</f>
        <v>#REF!</v>
      </c>
      <c r="N89" t="e">
        <f>AND(NhatkyTon!#REF!,"AAAAAF/Nbw0=")</f>
        <v>#REF!</v>
      </c>
      <c r="O89" t="e">
        <f>AND(NhatkyTon!#REF!,"AAAAAF/Nbw4=")</f>
        <v>#REF!</v>
      </c>
      <c r="P89" t="e">
        <f>AND(NhatkyTon!#REF!,"AAAAAF/Nbw8=")</f>
        <v>#REF!</v>
      </c>
      <c r="Q89" t="e">
        <f>AND(NhatkyTon!#REF!,"AAAAAF/NbxA=")</f>
        <v>#REF!</v>
      </c>
      <c r="R89" t="e">
        <f>AND(NhatkyTon!#REF!,"AAAAAF/NbxE=")</f>
        <v>#REF!</v>
      </c>
      <c r="S89" t="e">
        <f>AND(NhatkyTon!#REF!,"AAAAAF/NbxI=")</f>
        <v>#REF!</v>
      </c>
      <c r="T89" t="e">
        <f>AND(NhatkyTon!#REF!,"AAAAAF/NbxM=")</f>
        <v>#REF!</v>
      </c>
      <c r="U89" t="e">
        <f>AND(NhatkyTon!#REF!,"AAAAAF/NbxQ=")</f>
        <v>#REF!</v>
      </c>
      <c r="V89" t="e">
        <f>AND(NhatkyTon!#REF!,"AAAAAF/NbxU=")</f>
        <v>#REF!</v>
      </c>
      <c r="W89" t="e">
        <f>AND(NhatkyTon!#REF!,"AAAAAF/NbxY=")</f>
        <v>#REF!</v>
      </c>
      <c r="X89" t="e">
        <f>AND(NhatkyTon!#REF!,"AAAAAF/Nbxc=")</f>
        <v>#REF!</v>
      </c>
      <c r="Y89" t="e">
        <f>AND(NhatkyTon!#REF!,"AAAAAF/Nbxg=")</f>
        <v>#REF!</v>
      </c>
      <c r="Z89" t="e">
        <f>AND(NhatkyTon!#REF!,"AAAAAF/Nbxk=")</f>
        <v>#REF!</v>
      </c>
      <c r="AA89" t="e">
        <f>AND(NhatkyTon!#REF!,"AAAAAF/Nbxo=")</f>
        <v>#REF!</v>
      </c>
      <c r="AB89" t="e">
        <f>AND(NhatkyTon!#REF!,"AAAAAF/Nbxs=")</f>
        <v>#REF!</v>
      </c>
      <c r="AC89" t="e">
        <f>AND(NhatkyTon!#REF!,"AAAAAF/Nbxw=")</f>
        <v>#REF!</v>
      </c>
      <c r="AD89" t="e">
        <f>AND(NhatkyTon!#REF!,"AAAAAF/Nbx0=")</f>
        <v>#REF!</v>
      </c>
      <c r="AE89" t="e">
        <f>AND(NhatkyTon!#REF!,"AAAAAF/Nbx4=")</f>
        <v>#REF!</v>
      </c>
      <c r="AF89" t="e">
        <f>AND(NhatkyTon!#REF!,"AAAAAF/Nbx8=")</f>
        <v>#REF!</v>
      </c>
      <c r="AG89" t="e">
        <f>AND(NhatkyTon!#REF!,"AAAAAF/NbyA=")</f>
        <v>#REF!</v>
      </c>
      <c r="AH89" t="e">
        <f>AND(NhatkyTon!#REF!,"AAAAAF/NbyE=")</f>
        <v>#REF!</v>
      </c>
      <c r="AI89" t="e">
        <f>IF(NhatkyTon!#REF!,"AAAAAF/NbyI=",0)</f>
        <v>#REF!</v>
      </c>
      <c r="AJ89" t="e">
        <f>AND(NhatkyTon!#REF!,"AAAAAF/NbyM=")</f>
        <v>#REF!</v>
      </c>
      <c r="AK89" t="e">
        <f>AND(NhatkyTon!#REF!,"AAAAAF/NbyQ=")</f>
        <v>#REF!</v>
      </c>
      <c r="AL89" t="e">
        <f>AND(NhatkyTon!#REF!,"AAAAAF/NbyU=")</f>
        <v>#REF!</v>
      </c>
      <c r="AM89" t="e">
        <f>AND(NhatkyTon!#REF!,"AAAAAF/NbyY=")</f>
        <v>#REF!</v>
      </c>
      <c r="AN89" t="e">
        <f>AND(NhatkyTon!#REF!,"AAAAAF/Nbyc=")</f>
        <v>#REF!</v>
      </c>
      <c r="AO89" t="e">
        <f>AND(NhatkyTon!#REF!,"AAAAAF/Nbyg=")</f>
        <v>#REF!</v>
      </c>
      <c r="AP89" t="e">
        <f>AND(NhatkyTon!#REF!,"AAAAAF/Nbyk=")</f>
        <v>#REF!</v>
      </c>
      <c r="AQ89" t="e">
        <f>AND(NhatkyTon!#REF!,"AAAAAF/Nbyo=")</f>
        <v>#REF!</v>
      </c>
      <c r="AR89" t="e">
        <f>AND(NhatkyTon!#REF!,"AAAAAF/Nbys=")</f>
        <v>#REF!</v>
      </c>
      <c r="AS89" t="e">
        <f>AND(NhatkyTon!#REF!,"AAAAAF/Nbyw=")</f>
        <v>#REF!</v>
      </c>
      <c r="AT89" t="e">
        <f>AND(NhatkyTon!#REF!,"AAAAAF/Nby0=")</f>
        <v>#REF!</v>
      </c>
      <c r="AU89" t="e">
        <f>AND(NhatkyTon!#REF!,"AAAAAF/Nby4=")</f>
        <v>#REF!</v>
      </c>
      <c r="AV89" t="e">
        <f>AND(NhatkyTon!#REF!,"AAAAAF/Nby8=")</f>
        <v>#REF!</v>
      </c>
      <c r="AW89" t="e">
        <f>AND(NhatkyTon!#REF!,"AAAAAF/NbzA=")</f>
        <v>#REF!</v>
      </c>
      <c r="AX89" t="e">
        <f>AND(NhatkyTon!#REF!,"AAAAAF/NbzE=")</f>
        <v>#REF!</v>
      </c>
      <c r="AY89" t="e">
        <f>AND(NhatkyTon!#REF!,"AAAAAF/NbzI=")</f>
        <v>#REF!</v>
      </c>
      <c r="AZ89" t="e">
        <f>AND(NhatkyTon!#REF!,"AAAAAF/NbzM=")</f>
        <v>#REF!</v>
      </c>
      <c r="BA89" t="e">
        <f>AND(NhatkyTon!#REF!,"AAAAAF/NbzQ=")</f>
        <v>#REF!</v>
      </c>
      <c r="BB89" t="e">
        <f>AND(NhatkyTon!#REF!,"AAAAAF/NbzU=")</f>
        <v>#REF!</v>
      </c>
      <c r="BC89" t="e">
        <f>AND(NhatkyTon!#REF!,"AAAAAF/NbzY=")</f>
        <v>#REF!</v>
      </c>
      <c r="BD89" t="e">
        <f>AND(NhatkyTon!#REF!,"AAAAAF/Nbzc=")</f>
        <v>#REF!</v>
      </c>
      <c r="BE89" t="e">
        <f>AND(NhatkyTon!#REF!,"AAAAAF/Nbzg=")</f>
        <v>#REF!</v>
      </c>
      <c r="BF89" t="e">
        <f>AND(NhatkyTon!#REF!,"AAAAAF/Nbzk=")</f>
        <v>#REF!</v>
      </c>
      <c r="BG89" t="e">
        <f>AND(NhatkyTon!#REF!,"AAAAAF/Nbzo=")</f>
        <v>#REF!</v>
      </c>
      <c r="BH89" t="e">
        <f>AND(NhatkyTon!#REF!,"AAAAAF/Nbzs=")</f>
        <v>#REF!</v>
      </c>
      <c r="BI89" t="e">
        <f>AND(NhatkyTon!#REF!,"AAAAAF/Nbzw=")</f>
        <v>#REF!</v>
      </c>
      <c r="BJ89" t="e">
        <f>AND(NhatkyTon!#REF!,"AAAAAF/Nbz0=")</f>
        <v>#REF!</v>
      </c>
      <c r="BK89" t="e">
        <f>AND(NhatkyTon!#REF!,"AAAAAF/Nbz4=")</f>
        <v>#REF!</v>
      </c>
      <c r="BL89" t="e">
        <f>AND(NhatkyTon!#REF!,"AAAAAF/Nbz8=")</f>
        <v>#REF!</v>
      </c>
      <c r="BM89" t="e">
        <f>AND(NhatkyTon!#REF!,"AAAAAF/Nb0A=")</f>
        <v>#REF!</v>
      </c>
      <c r="BN89" t="e">
        <f>AND(NhatkyTon!#REF!,"AAAAAF/Nb0E=")</f>
        <v>#REF!</v>
      </c>
      <c r="BO89" t="e">
        <f>AND(NhatkyTon!#REF!,"AAAAAF/Nb0I=")</f>
        <v>#REF!</v>
      </c>
      <c r="BP89" t="e">
        <f>AND(NhatkyTon!#REF!,"AAAAAF/Nb0M=")</f>
        <v>#REF!</v>
      </c>
      <c r="BQ89" t="e">
        <f>AND(NhatkyTon!#REF!,"AAAAAF/Nb0Q=")</f>
        <v>#REF!</v>
      </c>
      <c r="BR89" t="e">
        <f>IF(NhatkyTon!#REF!,"AAAAAF/Nb0U=",0)</f>
        <v>#REF!</v>
      </c>
      <c r="BS89" t="e">
        <f>AND(NhatkyTon!#REF!,"AAAAAF/Nb0Y=")</f>
        <v>#REF!</v>
      </c>
      <c r="BT89" t="e">
        <f>AND(NhatkyTon!#REF!,"AAAAAF/Nb0c=")</f>
        <v>#REF!</v>
      </c>
      <c r="BU89" t="e">
        <f>AND(NhatkyTon!#REF!,"AAAAAF/Nb0g=")</f>
        <v>#REF!</v>
      </c>
      <c r="BV89" t="e">
        <f>AND(NhatkyTon!#REF!,"AAAAAF/Nb0k=")</f>
        <v>#REF!</v>
      </c>
      <c r="BW89" t="e">
        <f>AND(NhatkyTon!#REF!,"AAAAAF/Nb0o=")</f>
        <v>#REF!</v>
      </c>
      <c r="BX89" t="e">
        <f>AND(NhatkyTon!#REF!,"AAAAAF/Nb0s=")</f>
        <v>#REF!</v>
      </c>
      <c r="BY89" t="e">
        <f>AND(NhatkyTon!#REF!,"AAAAAF/Nb0w=")</f>
        <v>#REF!</v>
      </c>
      <c r="BZ89" t="e">
        <f>AND(NhatkyTon!#REF!,"AAAAAF/Nb00=")</f>
        <v>#REF!</v>
      </c>
      <c r="CA89" t="e">
        <f>AND(NhatkyTon!#REF!,"AAAAAF/Nb04=")</f>
        <v>#REF!</v>
      </c>
      <c r="CB89" t="e">
        <f>AND(NhatkyTon!#REF!,"AAAAAF/Nb08=")</f>
        <v>#REF!</v>
      </c>
      <c r="CC89" t="e">
        <f>AND(NhatkyTon!#REF!,"AAAAAF/Nb1A=")</f>
        <v>#REF!</v>
      </c>
      <c r="CD89" t="e">
        <f>AND(NhatkyTon!#REF!,"AAAAAF/Nb1E=")</f>
        <v>#REF!</v>
      </c>
      <c r="CE89" t="e">
        <f>AND(NhatkyTon!#REF!,"AAAAAF/Nb1I=")</f>
        <v>#REF!</v>
      </c>
      <c r="CF89" t="e">
        <f>AND(NhatkyTon!#REF!,"AAAAAF/Nb1M=")</f>
        <v>#REF!</v>
      </c>
      <c r="CG89" t="e">
        <f>AND(NhatkyTon!#REF!,"AAAAAF/Nb1Q=")</f>
        <v>#REF!</v>
      </c>
      <c r="CH89" t="e">
        <f>AND(NhatkyTon!#REF!,"AAAAAF/Nb1U=")</f>
        <v>#REF!</v>
      </c>
      <c r="CI89" t="e">
        <f>AND(NhatkyTon!#REF!,"AAAAAF/Nb1Y=")</f>
        <v>#REF!</v>
      </c>
      <c r="CJ89" t="e">
        <f>AND(NhatkyTon!#REF!,"AAAAAF/Nb1c=")</f>
        <v>#REF!</v>
      </c>
      <c r="CK89" t="e">
        <f>AND(NhatkyTon!#REF!,"AAAAAF/Nb1g=")</f>
        <v>#REF!</v>
      </c>
      <c r="CL89" t="e">
        <f>AND(NhatkyTon!#REF!,"AAAAAF/Nb1k=")</f>
        <v>#REF!</v>
      </c>
      <c r="CM89" t="e">
        <f>AND(NhatkyTon!#REF!,"AAAAAF/Nb1o=")</f>
        <v>#REF!</v>
      </c>
      <c r="CN89" t="e">
        <f>AND(NhatkyTon!#REF!,"AAAAAF/Nb1s=")</f>
        <v>#REF!</v>
      </c>
      <c r="CO89" t="e">
        <f>AND(NhatkyTon!#REF!,"AAAAAF/Nb1w=")</f>
        <v>#REF!</v>
      </c>
      <c r="CP89" t="e">
        <f>AND(NhatkyTon!#REF!,"AAAAAF/Nb10=")</f>
        <v>#REF!</v>
      </c>
      <c r="CQ89" t="e">
        <f>AND(NhatkyTon!#REF!,"AAAAAF/Nb14=")</f>
        <v>#REF!</v>
      </c>
      <c r="CR89" t="e">
        <f>AND(NhatkyTon!#REF!,"AAAAAF/Nb18=")</f>
        <v>#REF!</v>
      </c>
      <c r="CS89" t="e">
        <f>AND(NhatkyTon!#REF!,"AAAAAF/Nb2A=")</f>
        <v>#REF!</v>
      </c>
      <c r="CT89" t="e">
        <f>AND(NhatkyTon!#REF!,"AAAAAF/Nb2E=")</f>
        <v>#REF!</v>
      </c>
      <c r="CU89" t="e">
        <f>AND(NhatkyTon!#REF!,"AAAAAF/Nb2I=")</f>
        <v>#REF!</v>
      </c>
      <c r="CV89" t="e">
        <f>AND(NhatkyTon!#REF!,"AAAAAF/Nb2M=")</f>
        <v>#REF!</v>
      </c>
      <c r="CW89" t="e">
        <f>AND(NhatkyTon!#REF!,"AAAAAF/Nb2Q=")</f>
        <v>#REF!</v>
      </c>
      <c r="CX89" t="e">
        <f>AND(NhatkyTon!#REF!,"AAAAAF/Nb2U=")</f>
        <v>#REF!</v>
      </c>
      <c r="CY89" t="e">
        <f>AND(NhatkyTon!#REF!,"AAAAAF/Nb2Y=")</f>
        <v>#REF!</v>
      </c>
      <c r="CZ89" t="e">
        <f>AND(NhatkyTon!#REF!,"AAAAAF/Nb2c=")</f>
        <v>#REF!</v>
      </c>
      <c r="DA89" t="e">
        <f>IF(NhatkyTon!#REF!,"AAAAAF/Nb2g=",0)</f>
        <v>#REF!</v>
      </c>
      <c r="DB89" t="e">
        <f>AND(NhatkyTon!#REF!,"AAAAAF/Nb2k=")</f>
        <v>#REF!</v>
      </c>
      <c r="DC89" t="e">
        <f>AND(NhatkyTon!#REF!,"AAAAAF/Nb2o=")</f>
        <v>#REF!</v>
      </c>
      <c r="DD89" t="e">
        <f>AND(NhatkyTon!#REF!,"AAAAAF/Nb2s=")</f>
        <v>#REF!</v>
      </c>
      <c r="DE89" t="e">
        <f>AND(NhatkyTon!#REF!,"AAAAAF/Nb2w=")</f>
        <v>#REF!</v>
      </c>
      <c r="DF89" t="e">
        <f>AND(NhatkyTon!#REF!,"AAAAAF/Nb20=")</f>
        <v>#REF!</v>
      </c>
      <c r="DG89" t="e">
        <f>AND(NhatkyTon!#REF!,"AAAAAF/Nb24=")</f>
        <v>#REF!</v>
      </c>
      <c r="DH89" t="e">
        <f>AND(NhatkyTon!#REF!,"AAAAAF/Nb28=")</f>
        <v>#REF!</v>
      </c>
      <c r="DI89" t="e">
        <f>AND(NhatkyTon!#REF!,"AAAAAF/Nb3A=")</f>
        <v>#REF!</v>
      </c>
      <c r="DJ89" t="e">
        <f>AND(NhatkyTon!#REF!,"AAAAAF/Nb3E=")</f>
        <v>#REF!</v>
      </c>
      <c r="DK89" t="e">
        <f>AND(NhatkyTon!#REF!,"AAAAAF/Nb3I=")</f>
        <v>#REF!</v>
      </c>
      <c r="DL89" t="e">
        <f>AND(NhatkyTon!#REF!,"AAAAAF/Nb3M=")</f>
        <v>#REF!</v>
      </c>
      <c r="DM89" t="e">
        <f>AND(NhatkyTon!#REF!,"AAAAAF/Nb3Q=")</f>
        <v>#REF!</v>
      </c>
      <c r="DN89" t="e">
        <f>AND(NhatkyTon!#REF!,"AAAAAF/Nb3U=")</f>
        <v>#REF!</v>
      </c>
      <c r="DO89" t="e">
        <f>AND(NhatkyTon!#REF!,"AAAAAF/Nb3Y=")</f>
        <v>#REF!</v>
      </c>
      <c r="DP89" t="e">
        <f>AND(NhatkyTon!#REF!,"AAAAAF/Nb3c=")</f>
        <v>#REF!</v>
      </c>
      <c r="DQ89" t="e">
        <f>AND(NhatkyTon!#REF!,"AAAAAF/Nb3g=")</f>
        <v>#REF!</v>
      </c>
      <c r="DR89" t="e">
        <f>AND(NhatkyTon!#REF!,"AAAAAF/Nb3k=")</f>
        <v>#REF!</v>
      </c>
      <c r="DS89" t="e">
        <f>AND(NhatkyTon!#REF!,"AAAAAF/Nb3o=")</f>
        <v>#REF!</v>
      </c>
      <c r="DT89" t="e">
        <f>AND(NhatkyTon!#REF!,"AAAAAF/Nb3s=")</f>
        <v>#REF!</v>
      </c>
      <c r="DU89" t="e">
        <f>AND(NhatkyTon!#REF!,"AAAAAF/Nb3w=")</f>
        <v>#REF!</v>
      </c>
      <c r="DV89" t="e">
        <f>AND(NhatkyTon!#REF!,"AAAAAF/Nb30=")</f>
        <v>#REF!</v>
      </c>
      <c r="DW89" t="e">
        <f>AND(NhatkyTon!#REF!,"AAAAAF/Nb34=")</f>
        <v>#REF!</v>
      </c>
      <c r="DX89" t="e">
        <f>AND(NhatkyTon!#REF!,"AAAAAF/Nb38=")</f>
        <v>#REF!</v>
      </c>
      <c r="DY89" t="e">
        <f>AND(NhatkyTon!#REF!,"AAAAAF/Nb4A=")</f>
        <v>#REF!</v>
      </c>
      <c r="DZ89" t="e">
        <f>AND(NhatkyTon!#REF!,"AAAAAF/Nb4E=")</f>
        <v>#REF!</v>
      </c>
      <c r="EA89" t="e">
        <f>AND(NhatkyTon!#REF!,"AAAAAF/Nb4I=")</f>
        <v>#REF!</v>
      </c>
      <c r="EB89" t="e">
        <f>AND(NhatkyTon!#REF!,"AAAAAF/Nb4M=")</f>
        <v>#REF!</v>
      </c>
      <c r="EC89" t="e">
        <f>AND(NhatkyTon!#REF!,"AAAAAF/Nb4Q=")</f>
        <v>#REF!</v>
      </c>
      <c r="ED89" t="e">
        <f>AND(NhatkyTon!#REF!,"AAAAAF/Nb4U=")</f>
        <v>#REF!</v>
      </c>
      <c r="EE89" t="e">
        <f>AND(NhatkyTon!#REF!,"AAAAAF/Nb4Y=")</f>
        <v>#REF!</v>
      </c>
      <c r="EF89" t="e">
        <f>AND(NhatkyTon!#REF!,"AAAAAF/Nb4c=")</f>
        <v>#REF!</v>
      </c>
      <c r="EG89" t="e">
        <f>AND(NhatkyTon!#REF!,"AAAAAF/Nb4g=")</f>
        <v>#REF!</v>
      </c>
      <c r="EH89" t="e">
        <f>AND(NhatkyTon!#REF!,"AAAAAF/Nb4k=")</f>
        <v>#REF!</v>
      </c>
      <c r="EI89" t="e">
        <f>AND(NhatkyTon!#REF!,"AAAAAF/Nb4o=")</f>
        <v>#REF!</v>
      </c>
      <c r="EJ89" t="e">
        <f>IF(NhatkyTon!#REF!,"AAAAAF/Nb4s=",0)</f>
        <v>#REF!</v>
      </c>
      <c r="EK89" t="e">
        <f>AND(NhatkyTon!#REF!,"AAAAAF/Nb4w=")</f>
        <v>#REF!</v>
      </c>
      <c r="EL89" t="e">
        <f>AND(NhatkyTon!#REF!,"AAAAAF/Nb40=")</f>
        <v>#REF!</v>
      </c>
      <c r="EM89" t="e">
        <f>AND(NhatkyTon!#REF!,"AAAAAF/Nb44=")</f>
        <v>#REF!</v>
      </c>
      <c r="EN89" t="e">
        <f>AND(NhatkyTon!#REF!,"AAAAAF/Nb48=")</f>
        <v>#REF!</v>
      </c>
      <c r="EO89" t="e">
        <f>AND(NhatkyTon!#REF!,"AAAAAF/Nb5A=")</f>
        <v>#REF!</v>
      </c>
      <c r="EP89" t="e">
        <f>AND(NhatkyTon!#REF!,"AAAAAF/Nb5E=")</f>
        <v>#REF!</v>
      </c>
      <c r="EQ89" t="e">
        <f>AND(NhatkyTon!#REF!,"AAAAAF/Nb5I=")</f>
        <v>#REF!</v>
      </c>
      <c r="ER89" t="e">
        <f>AND(NhatkyTon!#REF!,"AAAAAF/Nb5M=")</f>
        <v>#REF!</v>
      </c>
      <c r="ES89" t="e">
        <f>AND(NhatkyTon!#REF!,"AAAAAF/Nb5Q=")</f>
        <v>#REF!</v>
      </c>
      <c r="ET89" t="e">
        <f>AND(NhatkyTon!#REF!,"AAAAAF/Nb5U=")</f>
        <v>#REF!</v>
      </c>
      <c r="EU89" t="e">
        <f>AND(NhatkyTon!#REF!,"AAAAAF/Nb5Y=")</f>
        <v>#REF!</v>
      </c>
      <c r="EV89" t="e">
        <f>AND(NhatkyTon!#REF!,"AAAAAF/Nb5c=")</f>
        <v>#REF!</v>
      </c>
      <c r="EW89" t="e">
        <f>AND(NhatkyTon!#REF!,"AAAAAF/Nb5g=")</f>
        <v>#REF!</v>
      </c>
      <c r="EX89" t="e">
        <f>AND(NhatkyTon!#REF!,"AAAAAF/Nb5k=")</f>
        <v>#REF!</v>
      </c>
      <c r="EY89" t="e">
        <f>AND(NhatkyTon!#REF!,"AAAAAF/Nb5o=")</f>
        <v>#REF!</v>
      </c>
      <c r="EZ89" t="e">
        <f>AND(NhatkyTon!#REF!,"AAAAAF/Nb5s=")</f>
        <v>#REF!</v>
      </c>
      <c r="FA89" t="e">
        <f>AND(NhatkyTon!#REF!,"AAAAAF/Nb5w=")</f>
        <v>#REF!</v>
      </c>
      <c r="FB89" t="e">
        <f>AND(NhatkyTon!#REF!,"AAAAAF/Nb50=")</f>
        <v>#REF!</v>
      </c>
      <c r="FC89" t="e">
        <f>AND(NhatkyTon!#REF!,"AAAAAF/Nb54=")</f>
        <v>#REF!</v>
      </c>
      <c r="FD89" t="e">
        <f>AND(NhatkyTon!#REF!,"AAAAAF/Nb58=")</f>
        <v>#REF!</v>
      </c>
      <c r="FE89" t="e">
        <f>AND(NhatkyTon!#REF!,"AAAAAF/Nb6A=")</f>
        <v>#REF!</v>
      </c>
      <c r="FF89" t="e">
        <f>AND(NhatkyTon!#REF!,"AAAAAF/Nb6E=")</f>
        <v>#REF!</v>
      </c>
      <c r="FG89" t="e">
        <f>AND(NhatkyTon!#REF!,"AAAAAF/Nb6I=")</f>
        <v>#REF!</v>
      </c>
      <c r="FH89" t="e">
        <f>AND(NhatkyTon!#REF!,"AAAAAF/Nb6M=")</f>
        <v>#REF!</v>
      </c>
      <c r="FI89" t="e">
        <f>AND(NhatkyTon!#REF!,"AAAAAF/Nb6Q=")</f>
        <v>#REF!</v>
      </c>
      <c r="FJ89" t="e">
        <f>AND(NhatkyTon!#REF!,"AAAAAF/Nb6U=")</f>
        <v>#REF!</v>
      </c>
      <c r="FK89" t="e">
        <f>AND(NhatkyTon!#REF!,"AAAAAF/Nb6Y=")</f>
        <v>#REF!</v>
      </c>
      <c r="FL89" t="e">
        <f>AND(NhatkyTon!#REF!,"AAAAAF/Nb6c=")</f>
        <v>#REF!</v>
      </c>
      <c r="FM89" t="e">
        <f>AND(NhatkyTon!#REF!,"AAAAAF/Nb6g=")</f>
        <v>#REF!</v>
      </c>
      <c r="FN89" t="e">
        <f>AND(NhatkyTon!#REF!,"AAAAAF/Nb6k=")</f>
        <v>#REF!</v>
      </c>
      <c r="FO89" t="e">
        <f>AND(NhatkyTon!#REF!,"AAAAAF/Nb6o=")</f>
        <v>#REF!</v>
      </c>
      <c r="FP89" t="e">
        <f>AND(NhatkyTon!#REF!,"AAAAAF/Nb6s=")</f>
        <v>#REF!</v>
      </c>
      <c r="FQ89" t="e">
        <f>AND(NhatkyTon!#REF!,"AAAAAF/Nb6w=")</f>
        <v>#REF!</v>
      </c>
      <c r="FR89" t="e">
        <f>AND(NhatkyTon!#REF!,"AAAAAF/Nb60=")</f>
        <v>#REF!</v>
      </c>
      <c r="FS89" t="e">
        <f>IF(NhatkyTon!#REF!,"AAAAAF/Nb64=",0)</f>
        <v>#REF!</v>
      </c>
      <c r="FT89" t="e">
        <f>AND(NhatkyTon!#REF!,"AAAAAF/Nb68=")</f>
        <v>#REF!</v>
      </c>
      <c r="FU89" t="e">
        <f>AND(NhatkyTon!#REF!,"AAAAAF/Nb7A=")</f>
        <v>#REF!</v>
      </c>
      <c r="FV89" t="e">
        <f>AND(NhatkyTon!#REF!,"AAAAAF/Nb7E=")</f>
        <v>#REF!</v>
      </c>
      <c r="FW89" t="e">
        <f>AND(NhatkyTon!#REF!,"AAAAAF/Nb7I=")</f>
        <v>#REF!</v>
      </c>
      <c r="FX89" t="e">
        <f>AND(NhatkyTon!#REF!,"AAAAAF/Nb7M=")</f>
        <v>#REF!</v>
      </c>
      <c r="FY89" t="e">
        <f>AND(NhatkyTon!#REF!,"AAAAAF/Nb7Q=")</f>
        <v>#REF!</v>
      </c>
      <c r="FZ89" t="e">
        <f>AND(NhatkyTon!#REF!,"AAAAAF/Nb7U=")</f>
        <v>#REF!</v>
      </c>
      <c r="GA89" t="e">
        <f>AND(NhatkyTon!#REF!,"AAAAAF/Nb7Y=")</f>
        <v>#REF!</v>
      </c>
      <c r="GB89" t="e">
        <f>AND(NhatkyTon!#REF!,"AAAAAF/Nb7c=")</f>
        <v>#REF!</v>
      </c>
      <c r="GC89" t="e">
        <f>AND(NhatkyTon!#REF!,"AAAAAF/Nb7g=")</f>
        <v>#REF!</v>
      </c>
      <c r="GD89" t="e">
        <f>AND(NhatkyTon!#REF!,"AAAAAF/Nb7k=")</f>
        <v>#REF!</v>
      </c>
      <c r="GE89" t="e">
        <f>AND(NhatkyTon!#REF!,"AAAAAF/Nb7o=")</f>
        <v>#REF!</v>
      </c>
      <c r="GF89" t="e">
        <f>AND(NhatkyTon!#REF!,"AAAAAF/Nb7s=")</f>
        <v>#REF!</v>
      </c>
      <c r="GG89" t="e">
        <f>AND(NhatkyTon!#REF!,"AAAAAF/Nb7w=")</f>
        <v>#REF!</v>
      </c>
      <c r="GH89" t="e">
        <f>AND(NhatkyTon!#REF!,"AAAAAF/Nb70=")</f>
        <v>#REF!</v>
      </c>
      <c r="GI89" t="e">
        <f>AND(NhatkyTon!#REF!,"AAAAAF/Nb74=")</f>
        <v>#REF!</v>
      </c>
      <c r="GJ89" t="e">
        <f>AND(NhatkyTon!#REF!,"AAAAAF/Nb78=")</f>
        <v>#REF!</v>
      </c>
      <c r="GK89" t="e">
        <f>AND(NhatkyTon!#REF!,"AAAAAF/Nb8A=")</f>
        <v>#REF!</v>
      </c>
      <c r="GL89" t="e">
        <f>AND(NhatkyTon!#REF!,"AAAAAF/Nb8E=")</f>
        <v>#REF!</v>
      </c>
      <c r="GM89" t="e">
        <f>AND(NhatkyTon!#REF!,"AAAAAF/Nb8I=")</f>
        <v>#REF!</v>
      </c>
      <c r="GN89" t="e">
        <f>AND(NhatkyTon!#REF!,"AAAAAF/Nb8M=")</f>
        <v>#REF!</v>
      </c>
      <c r="GO89" t="e">
        <f>AND(NhatkyTon!#REF!,"AAAAAF/Nb8Q=")</f>
        <v>#REF!</v>
      </c>
      <c r="GP89" t="e">
        <f>AND(NhatkyTon!#REF!,"AAAAAF/Nb8U=")</f>
        <v>#REF!</v>
      </c>
      <c r="GQ89" t="e">
        <f>AND(NhatkyTon!#REF!,"AAAAAF/Nb8Y=")</f>
        <v>#REF!</v>
      </c>
      <c r="GR89" t="e">
        <f>AND(NhatkyTon!#REF!,"AAAAAF/Nb8c=")</f>
        <v>#REF!</v>
      </c>
      <c r="GS89" t="e">
        <f>AND(NhatkyTon!#REF!,"AAAAAF/Nb8g=")</f>
        <v>#REF!</v>
      </c>
      <c r="GT89" t="e">
        <f>AND(NhatkyTon!#REF!,"AAAAAF/Nb8k=")</f>
        <v>#REF!</v>
      </c>
      <c r="GU89" t="e">
        <f>AND(NhatkyTon!#REF!,"AAAAAF/Nb8o=")</f>
        <v>#REF!</v>
      </c>
      <c r="GV89" t="e">
        <f>AND(NhatkyTon!#REF!,"AAAAAF/Nb8s=")</f>
        <v>#REF!</v>
      </c>
      <c r="GW89" t="e">
        <f>AND(NhatkyTon!#REF!,"AAAAAF/Nb8w=")</f>
        <v>#REF!</v>
      </c>
      <c r="GX89" t="e">
        <f>AND(NhatkyTon!#REF!,"AAAAAF/Nb80=")</f>
        <v>#REF!</v>
      </c>
      <c r="GY89" t="e">
        <f>AND(NhatkyTon!#REF!,"AAAAAF/Nb84=")</f>
        <v>#REF!</v>
      </c>
      <c r="GZ89" t="e">
        <f>AND(NhatkyTon!#REF!,"AAAAAF/Nb88=")</f>
        <v>#REF!</v>
      </c>
      <c r="HA89" t="e">
        <f>AND(NhatkyTon!#REF!,"AAAAAF/Nb9A=")</f>
        <v>#REF!</v>
      </c>
      <c r="HB89" t="e">
        <f>IF(NhatkyTon!#REF!,"AAAAAF/Nb9E=",0)</f>
        <v>#REF!</v>
      </c>
      <c r="HC89" t="e">
        <f>AND(NhatkyTon!#REF!,"AAAAAF/Nb9I=")</f>
        <v>#REF!</v>
      </c>
      <c r="HD89" t="e">
        <f>AND(NhatkyTon!#REF!,"AAAAAF/Nb9M=")</f>
        <v>#REF!</v>
      </c>
      <c r="HE89" t="e">
        <f>AND(NhatkyTon!#REF!,"AAAAAF/Nb9Q=")</f>
        <v>#REF!</v>
      </c>
      <c r="HF89" t="e">
        <f>AND(NhatkyTon!#REF!,"AAAAAF/Nb9U=")</f>
        <v>#REF!</v>
      </c>
      <c r="HG89" t="e">
        <f>AND(NhatkyTon!#REF!,"AAAAAF/Nb9Y=")</f>
        <v>#REF!</v>
      </c>
      <c r="HH89" t="e">
        <f>AND(NhatkyTon!#REF!,"AAAAAF/Nb9c=")</f>
        <v>#REF!</v>
      </c>
      <c r="HI89" t="e">
        <f>AND(NhatkyTon!#REF!,"AAAAAF/Nb9g=")</f>
        <v>#REF!</v>
      </c>
      <c r="HJ89" t="e">
        <f>AND(NhatkyTon!#REF!,"AAAAAF/Nb9k=")</f>
        <v>#REF!</v>
      </c>
      <c r="HK89" t="e">
        <f>AND(NhatkyTon!#REF!,"AAAAAF/Nb9o=")</f>
        <v>#REF!</v>
      </c>
      <c r="HL89" t="e">
        <f>AND(NhatkyTon!#REF!,"AAAAAF/Nb9s=")</f>
        <v>#REF!</v>
      </c>
      <c r="HM89" t="e">
        <f>AND(NhatkyTon!#REF!,"AAAAAF/Nb9w=")</f>
        <v>#REF!</v>
      </c>
      <c r="HN89" t="e">
        <f>AND(NhatkyTon!#REF!,"AAAAAF/Nb90=")</f>
        <v>#REF!</v>
      </c>
      <c r="HO89" t="e">
        <f>AND(NhatkyTon!#REF!,"AAAAAF/Nb94=")</f>
        <v>#REF!</v>
      </c>
      <c r="HP89" t="e">
        <f>AND(NhatkyTon!#REF!,"AAAAAF/Nb98=")</f>
        <v>#REF!</v>
      </c>
      <c r="HQ89" t="e">
        <f>AND(NhatkyTon!#REF!,"AAAAAF/Nb+A=")</f>
        <v>#REF!</v>
      </c>
      <c r="HR89" t="e">
        <f>AND(NhatkyTon!#REF!,"AAAAAF/Nb+E=")</f>
        <v>#REF!</v>
      </c>
      <c r="HS89" t="e">
        <f>AND(NhatkyTon!#REF!,"AAAAAF/Nb+I=")</f>
        <v>#REF!</v>
      </c>
      <c r="HT89" t="e">
        <f>AND(NhatkyTon!#REF!,"AAAAAF/Nb+M=")</f>
        <v>#REF!</v>
      </c>
      <c r="HU89" t="e">
        <f>AND(NhatkyTon!#REF!,"AAAAAF/Nb+Q=")</f>
        <v>#REF!</v>
      </c>
      <c r="HV89" t="e">
        <f>AND(NhatkyTon!#REF!,"AAAAAF/Nb+U=")</f>
        <v>#REF!</v>
      </c>
      <c r="HW89" t="e">
        <f>AND(NhatkyTon!#REF!,"AAAAAF/Nb+Y=")</f>
        <v>#REF!</v>
      </c>
      <c r="HX89" t="e">
        <f>AND(NhatkyTon!#REF!,"AAAAAF/Nb+c=")</f>
        <v>#REF!</v>
      </c>
      <c r="HY89" t="e">
        <f>AND(NhatkyTon!#REF!,"AAAAAF/Nb+g=")</f>
        <v>#REF!</v>
      </c>
      <c r="HZ89" t="e">
        <f>AND(NhatkyTon!#REF!,"AAAAAF/Nb+k=")</f>
        <v>#REF!</v>
      </c>
      <c r="IA89" t="e">
        <f>AND(NhatkyTon!#REF!,"AAAAAF/Nb+o=")</f>
        <v>#REF!</v>
      </c>
      <c r="IB89" t="e">
        <f>AND(NhatkyTon!#REF!,"AAAAAF/Nb+s=")</f>
        <v>#REF!</v>
      </c>
      <c r="IC89" t="e">
        <f>AND(NhatkyTon!#REF!,"AAAAAF/Nb+w=")</f>
        <v>#REF!</v>
      </c>
      <c r="ID89" t="e">
        <f>AND(NhatkyTon!#REF!,"AAAAAF/Nb+0=")</f>
        <v>#REF!</v>
      </c>
      <c r="IE89" t="e">
        <f>AND(NhatkyTon!#REF!,"AAAAAF/Nb+4=")</f>
        <v>#REF!</v>
      </c>
      <c r="IF89" t="e">
        <f>AND(NhatkyTon!#REF!,"AAAAAF/Nb+8=")</f>
        <v>#REF!</v>
      </c>
      <c r="IG89" t="e">
        <f>AND(NhatkyTon!#REF!,"AAAAAF/Nb/A=")</f>
        <v>#REF!</v>
      </c>
      <c r="IH89" t="e">
        <f>AND(NhatkyTon!#REF!,"AAAAAF/Nb/E=")</f>
        <v>#REF!</v>
      </c>
      <c r="II89" t="e">
        <f>AND(NhatkyTon!#REF!,"AAAAAF/Nb/I=")</f>
        <v>#REF!</v>
      </c>
      <c r="IJ89" t="e">
        <f>AND(NhatkyTon!#REF!,"AAAAAF/Nb/M=")</f>
        <v>#REF!</v>
      </c>
      <c r="IK89" t="e">
        <f>IF(NhatkyTon!#REF!,"AAAAAF/Nb/Q=",0)</f>
        <v>#REF!</v>
      </c>
      <c r="IL89" t="e">
        <f>AND(NhatkyTon!#REF!,"AAAAAF/Nb/U=")</f>
        <v>#REF!</v>
      </c>
      <c r="IM89" t="e">
        <f>AND(NhatkyTon!#REF!,"AAAAAF/Nb/Y=")</f>
        <v>#REF!</v>
      </c>
      <c r="IN89" t="e">
        <f>AND(NhatkyTon!#REF!,"AAAAAF/Nb/c=")</f>
        <v>#REF!</v>
      </c>
      <c r="IO89" t="e">
        <f>AND(NhatkyTon!#REF!,"AAAAAF/Nb/g=")</f>
        <v>#REF!</v>
      </c>
      <c r="IP89" t="e">
        <f>AND(NhatkyTon!#REF!,"AAAAAF/Nb/k=")</f>
        <v>#REF!</v>
      </c>
      <c r="IQ89" t="e">
        <f>AND(NhatkyTon!#REF!,"AAAAAF/Nb/o=")</f>
        <v>#REF!</v>
      </c>
      <c r="IR89" t="e">
        <f>AND(NhatkyTon!#REF!,"AAAAAF/Nb/s=")</f>
        <v>#REF!</v>
      </c>
      <c r="IS89" t="e">
        <f>AND(NhatkyTon!#REF!,"AAAAAF/Nb/w=")</f>
        <v>#REF!</v>
      </c>
      <c r="IT89" t="e">
        <f>AND(NhatkyTon!#REF!,"AAAAAF/Nb/0=")</f>
        <v>#REF!</v>
      </c>
      <c r="IU89" t="e">
        <f>AND(NhatkyTon!#REF!,"AAAAAF/Nb/4=")</f>
        <v>#REF!</v>
      </c>
      <c r="IV89" t="e">
        <f>AND(NhatkyTon!#REF!,"AAAAAF/Nb/8=")</f>
        <v>#REF!</v>
      </c>
    </row>
    <row r="90" spans="1:256">
      <c r="A90" t="e">
        <f>AND(NhatkyTon!#REF!,"AAAAAC+1/wA=")</f>
        <v>#REF!</v>
      </c>
      <c r="B90" t="e">
        <f>AND(NhatkyTon!#REF!,"AAAAAC+1/wE=")</f>
        <v>#REF!</v>
      </c>
      <c r="C90" t="e">
        <f>AND(NhatkyTon!#REF!,"AAAAAC+1/wI=")</f>
        <v>#REF!</v>
      </c>
      <c r="D90" t="e">
        <f>AND(NhatkyTon!#REF!,"AAAAAC+1/wM=")</f>
        <v>#REF!</v>
      </c>
      <c r="E90" t="e">
        <f>AND(NhatkyTon!#REF!,"AAAAAC+1/wQ=")</f>
        <v>#REF!</v>
      </c>
      <c r="F90" t="e">
        <f>AND(NhatkyTon!#REF!,"AAAAAC+1/wU=")</f>
        <v>#REF!</v>
      </c>
      <c r="G90" t="e">
        <f>AND(NhatkyTon!#REF!,"AAAAAC+1/wY=")</f>
        <v>#REF!</v>
      </c>
      <c r="H90" t="e">
        <f>AND(NhatkyTon!#REF!,"AAAAAC+1/wc=")</f>
        <v>#REF!</v>
      </c>
      <c r="I90" t="e">
        <f>AND(NhatkyTon!#REF!,"AAAAAC+1/wg=")</f>
        <v>#REF!</v>
      </c>
      <c r="J90" t="e">
        <f>AND(NhatkyTon!#REF!,"AAAAAC+1/wk=")</f>
        <v>#REF!</v>
      </c>
      <c r="K90" t="e">
        <f>AND(NhatkyTon!#REF!,"AAAAAC+1/wo=")</f>
        <v>#REF!</v>
      </c>
      <c r="L90" t="e">
        <f>AND(NhatkyTon!#REF!,"AAAAAC+1/ws=")</f>
        <v>#REF!</v>
      </c>
      <c r="M90" t="e">
        <f>AND(NhatkyTon!#REF!,"AAAAAC+1/ww=")</f>
        <v>#REF!</v>
      </c>
      <c r="N90" t="e">
        <f>AND(NhatkyTon!#REF!,"AAAAAC+1/w0=")</f>
        <v>#REF!</v>
      </c>
      <c r="O90" t="e">
        <f>AND(NhatkyTon!#REF!,"AAAAAC+1/w4=")</f>
        <v>#REF!</v>
      </c>
      <c r="P90" t="e">
        <f>AND(NhatkyTon!#REF!,"AAAAAC+1/w8=")</f>
        <v>#REF!</v>
      </c>
      <c r="Q90" t="e">
        <f>AND(NhatkyTon!#REF!,"AAAAAC+1/xA=")</f>
        <v>#REF!</v>
      </c>
      <c r="R90" t="e">
        <f>AND(NhatkyTon!#REF!,"AAAAAC+1/xE=")</f>
        <v>#REF!</v>
      </c>
      <c r="S90" t="e">
        <f>AND(NhatkyTon!#REF!,"AAAAAC+1/xI=")</f>
        <v>#REF!</v>
      </c>
      <c r="T90" t="e">
        <f>AND(NhatkyTon!#REF!,"AAAAAC+1/xM=")</f>
        <v>#REF!</v>
      </c>
      <c r="U90" t="e">
        <f>AND(NhatkyTon!#REF!,"AAAAAC+1/xQ=")</f>
        <v>#REF!</v>
      </c>
      <c r="V90" t="e">
        <f>AND(NhatkyTon!#REF!,"AAAAAC+1/xU=")</f>
        <v>#REF!</v>
      </c>
      <c r="W90" t="e">
        <f>AND(NhatkyTon!#REF!,"AAAAAC+1/xY=")</f>
        <v>#REF!</v>
      </c>
      <c r="X90" t="e">
        <f>IF(NhatkyTon!#REF!,"AAAAAC+1/xc=",0)</f>
        <v>#REF!</v>
      </c>
      <c r="Y90" t="e">
        <f>AND(NhatkyTon!#REF!,"AAAAAC+1/xg=")</f>
        <v>#REF!</v>
      </c>
      <c r="Z90" t="e">
        <f>AND(NhatkyTon!#REF!,"AAAAAC+1/xk=")</f>
        <v>#REF!</v>
      </c>
      <c r="AA90" t="e">
        <f>AND(NhatkyTon!#REF!,"AAAAAC+1/xo=")</f>
        <v>#REF!</v>
      </c>
      <c r="AB90" t="e">
        <f>AND(NhatkyTon!#REF!,"AAAAAC+1/xs=")</f>
        <v>#REF!</v>
      </c>
      <c r="AC90" t="e">
        <f>AND(NhatkyTon!#REF!,"AAAAAC+1/xw=")</f>
        <v>#REF!</v>
      </c>
      <c r="AD90" t="e">
        <f>AND(NhatkyTon!#REF!,"AAAAAC+1/x0=")</f>
        <v>#REF!</v>
      </c>
      <c r="AE90" t="e">
        <f>AND(NhatkyTon!#REF!,"AAAAAC+1/x4=")</f>
        <v>#REF!</v>
      </c>
      <c r="AF90" t="e">
        <f>AND(NhatkyTon!#REF!,"AAAAAC+1/x8=")</f>
        <v>#REF!</v>
      </c>
      <c r="AG90" t="e">
        <f>AND(NhatkyTon!#REF!,"AAAAAC+1/yA=")</f>
        <v>#REF!</v>
      </c>
      <c r="AH90" t="e">
        <f>AND(NhatkyTon!#REF!,"AAAAAC+1/yE=")</f>
        <v>#REF!</v>
      </c>
      <c r="AI90" t="e">
        <f>AND(NhatkyTon!#REF!,"AAAAAC+1/yI=")</f>
        <v>#REF!</v>
      </c>
      <c r="AJ90" t="e">
        <f>AND(NhatkyTon!#REF!,"AAAAAC+1/yM=")</f>
        <v>#REF!</v>
      </c>
      <c r="AK90" t="e">
        <f>AND(NhatkyTon!#REF!,"AAAAAC+1/yQ=")</f>
        <v>#REF!</v>
      </c>
      <c r="AL90" t="e">
        <f>AND(NhatkyTon!#REF!,"AAAAAC+1/yU=")</f>
        <v>#REF!</v>
      </c>
      <c r="AM90" t="e">
        <f>AND(NhatkyTon!#REF!,"AAAAAC+1/yY=")</f>
        <v>#REF!</v>
      </c>
      <c r="AN90" t="e">
        <f>AND(NhatkyTon!#REF!,"AAAAAC+1/yc=")</f>
        <v>#REF!</v>
      </c>
      <c r="AO90" t="e">
        <f>AND(NhatkyTon!#REF!,"AAAAAC+1/yg=")</f>
        <v>#REF!</v>
      </c>
      <c r="AP90" t="e">
        <f>AND(NhatkyTon!#REF!,"AAAAAC+1/yk=")</f>
        <v>#REF!</v>
      </c>
      <c r="AQ90" t="e">
        <f>AND(NhatkyTon!#REF!,"AAAAAC+1/yo=")</f>
        <v>#REF!</v>
      </c>
      <c r="AR90" t="e">
        <f>AND(NhatkyTon!#REF!,"AAAAAC+1/ys=")</f>
        <v>#REF!</v>
      </c>
      <c r="AS90" t="e">
        <f>AND(NhatkyTon!#REF!,"AAAAAC+1/yw=")</f>
        <v>#REF!</v>
      </c>
      <c r="AT90" t="e">
        <f>AND(NhatkyTon!#REF!,"AAAAAC+1/y0=")</f>
        <v>#REF!</v>
      </c>
      <c r="AU90" t="e">
        <f>AND(NhatkyTon!#REF!,"AAAAAC+1/y4=")</f>
        <v>#REF!</v>
      </c>
      <c r="AV90" t="e">
        <f>AND(NhatkyTon!#REF!,"AAAAAC+1/y8=")</f>
        <v>#REF!</v>
      </c>
      <c r="AW90" t="e">
        <f>AND(NhatkyTon!#REF!,"AAAAAC+1/zA=")</f>
        <v>#REF!</v>
      </c>
      <c r="AX90" t="e">
        <f>AND(NhatkyTon!#REF!,"AAAAAC+1/zE=")</f>
        <v>#REF!</v>
      </c>
      <c r="AY90" t="e">
        <f>AND(NhatkyTon!#REF!,"AAAAAC+1/zI=")</f>
        <v>#REF!</v>
      </c>
      <c r="AZ90" t="e">
        <f>AND(NhatkyTon!#REF!,"AAAAAC+1/zM=")</f>
        <v>#REF!</v>
      </c>
      <c r="BA90" t="e">
        <f>AND(NhatkyTon!#REF!,"AAAAAC+1/zQ=")</f>
        <v>#REF!</v>
      </c>
      <c r="BB90" t="e">
        <f>AND(NhatkyTon!#REF!,"AAAAAC+1/zU=")</f>
        <v>#REF!</v>
      </c>
      <c r="BC90" t="e">
        <f>AND(NhatkyTon!#REF!,"AAAAAC+1/zY=")</f>
        <v>#REF!</v>
      </c>
      <c r="BD90" t="e">
        <f>AND(NhatkyTon!#REF!,"AAAAAC+1/zc=")</f>
        <v>#REF!</v>
      </c>
      <c r="BE90" t="e">
        <f>AND(NhatkyTon!#REF!,"AAAAAC+1/zg=")</f>
        <v>#REF!</v>
      </c>
      <c r="BF90" t="e">
        <f>AND(NhatkyTon!#REF!,"AAAAAC+1/zk=")</f>
        <v>#REF!</v>
      </c>
      <c r="BG90" t="e">
        <f>IF(NhatkyTon!#REF!,"AAAAAC+1/zo=",0)</f>
        <v>#REF!</v>
      </c>
      <c r="BH90" t="e">
        <f>AND(NhatkyTon!#REF!,"AAAAAC+1/zs=")</f>
        <v>#REF!</v>
      </c>
      <c r="BI90" t="e">
        <f>AND(NhatkyTon!#REF!,"AAAAAC+1/zw=")</f>
        <v>#REF!</v>
      </c>
      <c r="BJ90" t="e">
        <f>AND(NhatkyTon!#REF!,"AAAAAC+1/z0=")</f>
        <v>#REF!</v>
      </c>
      <c r="BK90" t="e">
        <f>AND(NhatkyTon!#REF!,"AAAAAC+1/z4=")</f>
        <v>#REF!</v>
      </c>
      <c r="BL90" t="e">
        <f>AND(NhatkyTon!#REF!,"AAAAAC+1/z8=")</f>
        <v>#REF!</v>
      </c>
      <c r="BM90" t="e">
        <f>AND(NhatkyTon!#REF!,"AAAAAC+1/0A=")</f>
        <v>#REF!</v>
      </c>
      <c r="BN90" t="e">
        <f>AND(NhatkyTon!#REF!,"AAAAAC+1/0E=")</f>
        <v>#REF!</v>
      </c>
      <c r="BO90" t="e">
        <f>AND(NhatkyTon!#REF!,"AAAAAC+1/0I=")</f>
        <v>#REF!</v>
      </c>
      <c r="BP90" t="e">
        <f>AND(NhatkyTon!#REF!,"AAAAAC+1/0M=")</f>
        <v>#REF!</v>
      </c>
      <c r="BQ90" t="e">
        <f>AND(NhatkyTon!#REF!,"AAAAAC+1/0Q=")</f>
        <v>#REF!</v>
      </c>
      <c r="BR90" t="e">
        <f>AND(NhatkyTon!#REF!,"AAAAAC+1/0U=")</f>
        <v>#REF!</v>
      </c>
      <c r="BS90" t="e">
        <f>AND(NhatkyTon!#REF!,"AAAAAC+1/0Y=")</f>
        <v>#REF!</v>
      </c>
      <c r="BT90" t="e">
        <f>AND(NhatkyTon!#REF!,"AAAAAC+1/0c=")</f>
        <v>#REF!</v>
      </c>
      <c r="BU90" t="e">
        <f>AND(NhatkyTon!#REF!,"AAAAAC+1/0g=")</f>
        <v>#REF!</v>
      </c>
      <c r="BV90" t="e">
        <f>AND(NhatkyTon!#REF!,"AAAAAC+1/0k=")</f>
        <v>#REF!</v>
      </c>
      <c r="BW90" t="e">
        <f>AND(NhatkyTon!#REF!,"AAAAAC+1/0o=")</f>
        <v>#REF!</v>
      </c>
      <c r="BX90" t="e">
        <f>AND(NhatkyTon!#REF!,"AAAAAC+1/0s=")</f>
        <v>#REF!</v>
      </c>
      <c r="BY90" t="e">
        <f>AND(NhatkyTon!#REF!,"AAAAAC+1/0w=")</f>
        <v>#REF!</v>
      </c>
      <c r="BZ90" t="e">
        <f>AND(NhatkyTon!#REF!,"AAAAAC+1/00=")</f>
        <v>#REF!</v>
      </c>
      <c r="CA90" t="e">
        <f>AND(NhatkyTon!#REF!,"AAAAAC+1/04=")</f>
        <v>#REF!</v>
      </c>
      <c r="CB90" t="e">
        <f>AND(NhatkyTon!#REF!,"AAAAAC+1/08=")</f>
        <v>#REF!</v>
      </c>
      <c r="CC90" t="e">
        <f>AND(NhatkyTon!#REF!,"AAAAAC+1/1A=")</f>
        <v>#REF!</v>
      </c>
      <c r="CD90" t="e">
        <f>AND(NhatkyTon!#REF!,"AAAAAC+1/1E=")</f>
        <v>#REF!</v>
      </c>
      <c r="CE90" t="e">
        <f>AND(NhatkyTon!#REF!,"AAAAAC+1/1I=")</f>
        <v>#REF!</v>
      </c>
      <c r="CF90" t="e">
        <f>AND(NhatkyTon!#REF!,"AAAAAC+1/1M=")</f>
        <v>#REF!</v>
      </c>
      <c r="CG90" t="e">
        <f>AND(NhatkyTon!#REF!,"AAAAAC+1/1Q=")</f>
        <v>#REF!</v>
      </c>
      <c r="CH90" t="e">
        <f>AND(NhatkyTon!#REF!,"AAAAAC+1/1U=")</f>
        <v>#REF!</v>
      </c>
      <c r="CI90" t="e">
        <f>AND(NhatkyTon!#REF!,"AAAAAC+1/1Y=")</f>
        <v>#REF!</v>
      </c>
      <c r="CJ90" t="e">
        <f>AND(NhatkyTon!#REF!,"AAAAAC+1/1c=")</f>
        <v>#REF!</v>
      </c>
      <c r="CK90" t="e">
        <f>AND(NhatkyTon!#REF!,"AAAAAC+1/1g=")</f>
        <v>#REF!</v>
      </c>
      <c r="CL90" t="e">
        <f>AND(NhatkyTon!#REF!,"AAAAAC+1/1k=")</f>
        <v>#REF!</v>
      </c>
      <c r="CM90" t="e">
        <f>AND(NhatkyTon!#REF!,"AAAAAC+1/1o=")</f>
        <v>#REF!</v>
      </c>
      <c r="CN90" t="e">
        <f>AND(NhatkyTon!#REF!,"AAAAAC+1/1s=")</f>
        <v>#REF!</v>
      </c>
      <c r="CO90" t="e">
        <f>AND(NhatkyTon!#REF!,"AAAAAC+1/1w=")</f>
        <v>#REF!</v>
      </c>
      <c r="CP90" t="e">
        <f>IF(NhatkyTon!#REF!,"AAAAAC+1/10=",0)</f>
        <v>#REF!</v>
      </c>
      <c r="CQ90" t="e">
        <f>AND(NhatkyTon!#REF!,"AAAAAC+1/14=")</f>
        <v>#REF!</v>
      </c>
      <c r="CR90" t="e">
        <f>AND(NhatkyTon!#REF!,"AAAAAC+1/18=")</f>
        <v>#REF!</v>
      </c>
      <c r="CS90" t="e">
        <f>AND(NhatkyTon!#REF!,"AAAAAC+1/2A=")</f>
        <v>#REF!</v>
      </c>
      <c r="CT90" t="e">
        <f>AND(NhatkyTon!#REF!,"AAAAAC+1/2E=")</f>
        <v>#REF!</v>
      </c>
      <c r="CU90" t="e">
        <f>AND(NhatkyTon!#REF!,"AAAAAC+1/2I=")</f>
        <v>#REF!</v>
      </c>
      <c r="CV90" t="e">
        <f>AND(NhatkyTon!#REF!,"AAAAAC+1/2M=")</f>
        <v>#REF!</v>
      </c>
      <c r="CW90" t="e">
        <f>AND(NhatkyTon!#REF!,"AAAAAC+1/2Q=")</f>
        <v>#REF!</v>
      </c>
      <c r="CX90" t="e">
        <f>AND(NhatkyTon!#REF!,"AAAAAC+1/2U=")</f>
        <v>#REF!</v>
      </c>
      <c r="CY90" t="e">
        <f>AND(NhatkyTon!#REF!,"AAAAAC+1/2Y=")</f>
        <v>#REF!</v>
      </c>
      <c r="CZ90" t="e">
        <f>AND(NhatkyTon!#REF!,"AAAAAC+1/2c=")</f>
        <v>#REF!</v>
      </c>
      <c r="DA90" t="e">
        <f>AND(NhatkyTon!#REF!,"AAAAAC+1/2g=")</f>
        <v>#REF!</v>
      </c>
      <c r="DB90" t="e">
        <f>AND(NhatkyTon!#REF!,"AAAAAC+1/2k=")</f>
        <v>#REF!</v>
      </c>
      <c r="DC90" t="e">
        <f>AND(NhatkyTon!#REF!,"AAAAAC+1/2o=")</f>
        <v>#REF!</v>
      </c>
      <c r="DD90" t="e">
        <f>AND(NhatkyTon!#REF!,"AAAAAC+1/2s=")</f>
        <v>#REF!</v>
      </c>
      <c r="DE90" t="e">
        <f>AND(NhatkyTon!#REF!,"AAAAAC+1/2w=")</f>
        <v>#REF!</v>
      </c>
      <c r="DF90" t="e">
        <f>AND(NhatkyTon!#REF!,"AAAAAC+1/20=")</f>
        <v>#REF!</v>
      </c>
      <c r="DG90" t="e">
        <f>AND(NhatkyTon!#REF!,"AAAAAC+1/24=")</f>
        <v>#REF!</v>
      </c>
      <c r="DH90" t="e">
        <f>AND(NhatkyTon!#REF!,"AAAAAC+1/28=")</f>
        <v>#REF!</v>
      </c>
      <c r="DI90" t="e">
        <f>AND(NhatkyTon!#REF!,"AAAAAC+1/3A=")</f>
        <v>#REF!</v>
      </c>
      <c r="DJ90" t="e">
        <f>AND(NhatkyTon!#REF!,"AAAAAC+1/3E=")</f>
        <v>#REF!</v>
      </c>
      <c r="DK90" t="e">
        <f>AND(NhatkyTon!#REF!,"AAAAAC+1/3I=")</f>
        <v>#REF!</v>
      </c>
      <c r="DL90" t="e">
        <f>AND(NhatkyTon!#REF!,"AAAAAC+1/3M=")</f>
        <v>#REF!</v>
      </c>
      <c r="DM90" t="e">
        <f>AND(NhatkyTon!#REF!,"AAAAAC+1/3Q=")</f>
        <v>#REF!</v>
      </c>
      <c r="DN90" t="e">
        <f>AND(NhatkyTon!#REF!,"AAAAAC+1/3U=")</f>
        <v>#REF!</v>
      </c>
      <c r="DO90" t="e">
        <f>AND(NhatkyTon!#REF!,"AAAAAC+1/3Y=")</f>
        <v>#REF!</v>
      </c>
      <c r="DP90" t="e">
        <f>AND(NhatkyTon!#REF!,"AAAAAC+1/3c=")</f>
        <v>#REF!</v>
      </c>
      <c r="DQ90" t="e">
        <f>AND(NhatkyTon!#REF!,"AAAAAC+1/3g=")</f>
        <v>#REF!</v>
      </c>
      <c r="DR90" t="e">
        <f>AND(NhatkyTon!#REF!,"AAAAAC+1/3k=")</f>
        <v>#REF!</v>
      </c>
      <c r="DS90" t="e">
        <f>AND(NhatkyTon!#REF!,"AAAAAC+1/3o=")</f>
        <v>#REF!</v>
      </c>
      <c r="DT90" t="e">
        <f>AND(NhatkyTon!#REF!,"AAAAAC+1/3s=")</f>
        <v>#REF!</v>
      </c>
      <c r="DU90" t="e">
        <f>AND(NhatkyTon!#REF!,"AAAAAC+1/3w=")</f>
        <v>#REF!</v>
      </c>
      <c r="DV90" t="e">
        <f>AND(NhatkyTon!#REF!,"AAAAAC+1/30=")</f>
        <v>#REF!</v>
      </c>
      <c r="DW90" t="e">
        <f>AND(NhatkyTon!#REF!,"AAAAAC+1/34=")</f>
        <v>#REF!</v>
      </c>
      <c r="DX90" t="e">
        <f>AND(NhatkyTon!#REF!,"AAAAAC+1/38=")</f>
        <v>#REF!</v>
      </c>
      <c r="DY90" t="e">
        <f>IF(NhatkyTon!#REF!,"AAAAAC+1/4A=",0)</f>
        <v>#REF!</v>
      </c>
      <c r="DZ90" t="e">
        <f>AND(NhatkyTon!#REF!,"AAAAAC+1/4E=")</f>
        <v>#REF!</v>
      </c>
      <c r="EA90" t="e">
        <f>AND(NhatkyTon!#REF!,"AAAAAC+1/4I=")</f>
        <v>#REF!</v>
      </c>
      <c r="EB90" t="e">
        <f>AND(NhatkyTon!#REF!,"AAAAAC+1/4M=")</f>
        <v>#REF!</v>
      </c>
      <c r="EC90" t="e">
        <f>AND(NhatkyTon!#REF!,"AAAAAC+1/4Q=")</f>
        <v>#REF!</v>
      </c>
      <c r="ED90" t="e">
        <f>AND(NhatkyTon!#REF!,"AAAAAC+1/4U=")</f>
        <v>#REF!</v>
      </c>
      <c r="EE90" t="e">
        <f>AND(NhatkyTon!#REF!,"AAAAAC+1/4Y=")</f>
        <v>#REF!</v>
      </c>
      <c r="EF90" t="e">
        <f>AND(NhatkyTon!#REF!,"AAAAAC+1/4c=")</f>
        <v>#REF!</v>
      </c>
      <c r="EG90" t="e">
        <f>AND(NhatkyTon!#REF!,"AAAAAC+1/4g=")</f>
        <v>#REF!</v>
      </c>
      <c r="EH90" t="e">
        <f>AND(NhatkyTon!#REF!,"AAAAAC+1/4k=")</f>
        <v>#REF!</v>
      </c>
      <c r="EI90" t="e">
        <f>AND(NhatkyTon!#REF!,"AAAAAC+1/4o=")</f>
        <v>#REF!</v>
      </c>
      <c r="EJ90" t="e">
        <f>AND(NhatkyTon!#REF!,"AAAAAC+1/4s=")</f>
        <v>#REF!</v>
      </c>
      <c r="EK90" t="e">
        <f>AND(NhatkyTon!#REF!,"AAAAAC+1/4w=")</f>
        <v>#REF!</v>
      </c>
      <c r="EL90" t="e">
        <f>AND(NhatkyTon!#REF!,"AAAAAC+1/40=")</f>
        <v>#REF!</v>
      </c>
      <c r="EM90" t="e">
        <f>AND(NhatkyTon!#REF!,"AAAAAC+1/44=")</f>
        <v>#REF!</v>
      </c>
      <c r="EN90" t="e">
        <f>AND(NhatkyTon!#REF!,"AAAAAC+1/48=")</f>
        <v>#REF!</v>
      </c>
      <c r="EO90" t="e">
        <f>AND(NhatkyTon!#REF!,"AAAAAC+1/5A=")</f>
        <v>#REF!</v>
      </c>
      <c r="EP90" t="e">
        <f>AND(NhatkyTon!#REF!,"AAAAAC+1/5E=")</f>
        <v>#REF!</v>
      </c>
      <c r="EQ90" t="e">
        <f>AND(NhatkyTon!#REF!,"AAAAAC+1/5I=")</f>
        <v>#REF!</v>
      </c>
      <c r="ER90" t="e">
        <f>AND(NhatkyTon!#REF!,"AAAAAC+1/5M=")</f>
        <v>#REF!</v>
      </c>
      <c r="ES90" t="e">
        <f>AND(NhatkyTon!#REF!,"AAAAAC+1/5Q=")</f>
        <v>#REF!</v>
      </c>
      <c r="ET90" t="e">
        <f>AND(NhatkyTon!#REF!,"AAAAAC+1/5U=")</f>
        <v>#REF!</v>
      </c>
      <c r="EU90" t="e">
        <f>AND(NhatkyTon!#REF!,"AAAAAC+1/5Y=")</f>
        <v>#REF!</v>
      </c>
      <c r="EV90" t="e">
        <f>AND(NhatkyTon!#REF!,"AAAAAC+1/5c=")</f>
        <v>#REF!</v>
      </c>
      <c r="EW90" t="e">
        <f>AND(NhatkyTon!#REF!,"AAAAAC+1/5g=")</f>
        <v>#REF!</v>
      </c>
      <c r="EX90" t="e">
        <f>AND(NhatkyTon!#REF!,"AAAAAC+1/5k=")</f>
        <v>#REF!</v>
      </c>
      <c r="EY90" t="e">
        <f>AND(NhatkyTon!#REF!,"AAAAAC+1/5o=")</f>
        <v>#REF!</v>
      </c>
      <c r="EZ90" t="e">
        <f>AND(NhatkyTon!#REF!,"AAAAAC+1/5s=")</f>
        <v>#REF!</v>
      </c>
      <c r="FA90" t="e">
        <f>AND(NhatkyTon!#REF!,"AAAAAC+1/5w=")</f>
        <v>#REF!</v>
      </c>
      <c r="FB90" t="e">
        <f>AND(NhatkyTon!#REF!,"AAAAAC+1/50=")</f>
        <v>#REF!</v>
      </c>
      <c r="FC90" t="e">
        <f>AND(NhatkyTon!#REF!,"AAAAAC+1/54=")</f>
        <v>#REF!</v>
      </c>
      <c r="FD90" t="e">
        <f>AND(NhatkyTon!#REF!,"AAAAAC+1/58=")</f>
        <v>#REF!</v>
      </c>
      <c r="FE90" t="e">
        <f>AND(NhatkyTon!#REF!,"AAAAAC+1/6A=")</f>
        <v>#REF!</v>
      </c>
      <c r="FF90" t="e">
        <f>AND(NhatkyTon!#REF!,"AAAAAC+1/6E=")</f>
        <v>#REF!</v>
      </c>
      <c r="FG90" t="e">
        <f>AND(NhatkyTon!#REF!,"AAAAAC+1/6I=")</f>
        <v>#REF!</v>
      </c>
      <c r="FH90" t="e">
        <f>IF(NhatkyTon!#REF!,"AAAAAC+1/6M=",0)</f>
        <v>#REF!</v>
      </c>
      <c r="FI90" t="e">
        <f>AND(NhatkyTon!#REF!,"AAAAAC+1/6Q=")</f>
        <v>#REF!</v>
      </c>
      <c r="FJ90" t="e">
        <f>AND(NhatkyTon!#REF!,"AAAAAC+1/6U=")</f>
        <v>#REF!</v>
      </c>
      <c r="FK90" t="e">
        <f>AND(NhatkyTon!#REF!,"AAAAAC+1/6Y=")</f>
        <v>#REF!</v>
      </c>
      <c r="FL90" t="e">
        <f>AND(NhatkyTon!#REF!,"AAAAAC+1/6c=")</f>
        <v>#REF!</v>
      </c>
      <c r="FM90" t="e">
        <f>AND(NhatkyTon!#REF!,"AAAAAC+1/6g=")</f>
        <v>#REF!</v>
      </c>
      <c r="FN90" t="e">
        <f>AND(NhatkyTon!#REF!,"AAAAAC+1/6k=")</f>
        <v>#REF!</v>
      </c>
      <c r="FO90" t="e">
        <f>AND(NhatkyTon!#REF!,"AAAAAC+1/6o=")</f>
        <v>#REF!</v>
      </c>
      <c r="FP90" t="e">
        <f>AND(NhatkyTon!#REF!,"AAAAAC+1/6s=")</f>
        <v>#REF!</v>
      </c>
      <c r="FQ90" t="e">
        <f>AND(NhatkyTon!#REF!,"AAAAAC+1/6w=")</f>
        <v>#REF!</v>
      </c>
      <c r="FR90" t="e">
        <f>AND(NhatkyTon!#REF!,"AAAAAC+1/60=")</f>
        <v>#REF!</v>
      </c>
      <c r="FS90" t="e">
        <f>AND(NhatkyTon!#REF!,"AAAAAC+1/64=")</f>
        <v>#REF!</v>
      </c>
      <c r="FT90" t="e">
        <f>AND(NhatkyTon!#REF!,"AAAAAC+1/68=")</f>
        <v>#REF!</v>
      </c>
      <c r="FU90" t="e">
        <f>AND(NhatkyTon!#REF!,"AAAAAC+1/7A=")</f>
        <v>#REF!</v>
      </c>
      <c r="FV90" t="e">
        <f>AND(NhatkyTon!#REF!,"AAAAAC+1/7E=")</f>
        <v>#REF!</v>
      </c>
      <c r="FW90" t="e">
        <f>AND(NhatkyTon!#REF!,"AAAAAC+1/7I=")</f>
        <v>#REF!</v>
      </c>
      <c r="FX90" t="e">
        <f>AND(NhatkyTon!#REF!,"AAAAAC+1/7M=")</f>
        <v>#REF!</v>
      </c>
      <c r="FY90" t="e">
        <f>AND(NhatkyTon!#REF!,"AAAAAC+1/7Q=")</f>
        <v>#REF!</v>
      </c>
      <c r="FZ90" t="e">
        <f>AND(NhatkyTon!#REF!,"AAAAAC+1/7U=")</f>
        <v>#REF!</v>
      </c>
      <c r="GA90" t="e">
        <f>AND(NhatkyTon!#REF!,"AAAAAC+1/7Y=")</f>
        <v>#REF!</v>
      </c>
      <c r="GB90" t="e">
        <f>AND(NhatkyTon!#REF!,"AAAAAC+1/7c=")</f>
        <v>#REF!</v>
      </c>
      <c r="GC90" t="e">
        <f>AND(NhatkyTon!#REF!,"AAAAAC+1/7g=")</f>
        <v>#REF!</v>
      </c>
      <c r="GD90" t="e">
        <f>AND(NhatkyTon!#REF!,"AAAAAC+1/7k=")</f>
        <v>#REF!</v>
      </c>
      <c r="GE90" t="e">
        <f>AND(NhatkyTon!#REF!,"AAAAAC+1/7o=")</f>
        <v>#REF!</v>
      </c>
      <c r="GF90" t="e">
        <f>AND(NhatkyTon!#REF!,"AAAAAC+1/7s=")</f>
        <v>#REF!</v>
      </c>
      <c r="GG90" t="e">
        <f>AND(NhatkyTon!#REF!,"AAAAAC+1/7w=")</f>
        <v>#REF!</v>
      </c>
      <c r="GH90" t="e">
        <f>AND(NhatkyTon!#REF!,"AAAAAC+1/70=")</f>
        <v>#REF!</v>
      </c>
      <c r="GI90" t="e">
        <f>AND(NhatkyTon!#REF!,"AAAAAC+1/74=")</f>
        <v>#REF!</v>
      </c>
      <c r="GJ90" t="e">
        <f>AND(NhatkyTon!#REF!,"AAAAAC+1/78=")</f>
        <v>#REF!</v>
      </c>
      <c r="GK90" t="e">
        <f>AND(NhatkyTon!#REF!,"AAAAAC+1/8A=")</f>
        <v>#REF!</v>
      </c>
      <c r="GL90" t="e">
        <f>AND(NhatkyTon!#REF!,"AAAAAC+1/8E=")</f>
        <v>#REF!</v>
      </c>
      <c r="GM90" t="e">
        <f>AND(NhatkyTon!#REF!,"AAAAAC+1/8I=")</f>
        <v>#REF!</v>
      </c>
      <c r="GN90" t="e">
        <f>AND(NhatkyTon!#REF!,"AAAAAC+1/8M=")</f>
        <v>#REF!</v>
      </c>
      <c r="GO90" t="e">
        <f>AND(NhatkyTon!#REF!,"AAAAAC+1/8Q=")</f>
        <v>#REF!</v>
      </c>
      <c r="GP90" t="e">
        <f>AND(NhatkyTon!#REF!,"AAAAAC+1/8U=")</f>
        <v>#REF!</v>
      </c>
      <c r="GQ90" t="e">
        <f>IF(NhatkyTon!#REF!,"AAAAAC+1/8Y=",0)</f>
        <v>#REF!</v>
      </c>
      <c r="GR90" t="e">
        <f>AND(NhatkyTon!#REF!,"AAAAAC+1/8c=")</f>
        <v>#REF!</v>
      </c>
      <c r="GS90" t="e">
        <f>AND(NhatkyTon!#REF!,"AAAAAC+1/8g=")</f>
        <v>#REF!</v>
      </c>
      <c r="GT90" t="e">
        <f>AND(NhatkyTon!#REF!,"AAAAAC+1/8k=")</f>
        <v>#REF!</v>
      </c>
      <c r="GU90" t="e">
        <f>AND(NhatkyTon!#REF!,"AAAAAC+1/8o=")</f>
        <v>#REF!</v>
      </c>
      <c r="GV90" t="e">
        <f>AND(NhatkyTon!#REF!,"AAAAAC+1/8s=")</f>
        <v>#REF!</v>
      </c>
      <c r="GW90" t="e">
        <f>AND(NhatkyTon!#REF!,"AAAAAC+1/8w=")</f>
        <v>#REF!</v>
      </c>
      <c r="GX90" t="e">
        <f>AND(NhatkyTon!#REF!,"AAAAAC+1/80=")</f>
        <v>#REF!</v>
      </c>
      <c r="GY90" t="e">
        <f>AND(NhatkyTon!#REF!,"AAAAAC+1/84=")</f>
        <v>#REF!</v>
      </c>
      <c r="GZ90" t="e">
        <f>AND(NhatkyTon!#REF!,"AAAAAC+1/88=")</f>
        <v>#REF!</v>
      </c>
      <c r="HA90" t="e">
        <f>AND(NhatkyTon!#REF!,"AAAAAC+1/9A=")</f>
        <v>#REF!</v>
      </c>
      <c r="HB90" t="e">
        <f>AND(NhatkyTon!#REF!,"AAAAAC+1/9E=")</f>
        <v>#REF!</v>
      </c>
      <c r="HC90" t="e">
        <f>AND(NhatkyTon!#REF!,"AAAAAC+1/9I=")</f>
        <v>#REF!</v>
      </c>
      <c r="HD90" t="e">
        <f>AND(NhatkyTon!#REF!,"AAAAAC+1/9M=")</f>
        <v>#REF!</v>
      </c>
      <c r="HE90" t="e">
        <f>AND(NhatkyTon!#REF!,"AAAAAC+1/9Q=")</f>
        <v>#REF!</v>
      </c>
      <c r="HF90" t="e">
        <f>AND(NhatkyTon!#REF!,"AAAAAC+1/9U=")</f>
        <v>#REF!</v>
      </c>
      <c r="HG90" t="e">
        <f>AND(NhatkyTon!#REF!,"AAAAAC+1/9Y=")</f>
        <v>#REF!</v>
      </c>
      <c r="HH90" t="e">
        <f>AND(NhatkyTon!#REF!,"AAAAAC+1/9c=")</f>
        <v>#REF!</v>
      </c>
      <c r="HI90" t="e">
        <f>AND(NhatkyTon!#REF!,"AAAAAC+1/9g=")</f>
        <v>#REF!</v>
      </c>
      <c r="HJ90" t="e">
        <f>AND(NhatkyTon!#REF!,"AAAAAC+1/9k=")</f>
        <v>#REF!</v>
      </c>
      <c r="HK90" t="e">
        <f>AND(NhatkyTon!#REF!,"AAAAAC+1/9o=")</f>
        <v>#REF!</v>
      </c>
      <c r="HL90" t="e">
        <f>AND(NhatkyTon!#REF!,"AAAAAC+1/9s=")</f>
        <v>#REF!</v>
      </c>
      <c r="HM90" t="e">
        <f>AND(NhatkyTon!#REF!,"AAAAAC+1/9w=")</f>
        <v>#REF!</v>
      </c>
      <c r="HN90" t="e">
        <f>AND(NhatkyTon!#REF!,"AAAAAC+1/90=")</f>
        <v>#REF!</v>
      </c>
      <c r="HO90" t="e">
        <f>AND(NhatkyTon!#REF!,"AAAAAC+1/94=")</f>
        <v>#REF!</v>
      </c>
      <c r="HP90" t="e">
        <f>AND(NhatkyTon!#REF!,"AAAAAC+1/98=")</f>
        <v>#REF!</v>
      </c>
      <c r="HQ90" t="e">
        <f>AND(NhatkyTon!#REF!,"AAAAAC+1/+A=")</f>
        <v>#REF!</v>
      </c>
      <c r="HR90" t="e">
        <f>AND(NhatkyTon!#REF!,"AAAAAC+1/+E=")</f>
        <v>#REF!</v>
      </c>
      <c r="HS90" t="e">
        <f>AND(NhatkyTon!#REF!,"AAAAAC+1/+I=")</f>
        <v>#REF!</v>
      </c>
      <c r="HT90" t="e">
        <f>AND(NhatkyTon!#REF!,"AAAAAC+1/+M=")</f>
        <v>#REF!</v>
      </c>
      <c r="HU90" t="e">
        <f>AND(NhatkyTon!#REF!,"AAAAAC+1/+Q=")</f>
        <v>#REF!</v>
      </c>
      <c r="HV90" t="e">
        <f>AND(NhatkyTon!#REF!,"AAAAAC+1/+U=")</f>
        <v>#REF!</v>
      </c>
      <c r="HW90" t="e">
        <f>AND(NhatkyTon!#REF!,"AAAAAC+1/+Y=")</f>
        <v>#REF!</v>
      </c>
      <c r="HX90" t="e">
        <f>AND(NhatkyTon!#REF!,"AAAAAC+1/+c=")</f>
        <v>#REF!</v>
      </c>
      <c r="HY90" t="e">
        <f>AND(NhatkyTon!#REF!,"AAAAAC+1/+g=")</f>
        <v>#REF!</v>
      </c>
      <c r="HZ90" t="e">
        <f>IF(NhatkyTon!#REF!,"AAAAAC+1/+k=",0)</f>
        <v>#REF!</v>
      </c>
      <c r="IA90" t="e">
        <f>AND(NhatkyTon!#REF!,"AAAAAC+1/+o=")</f>
        <v>#REF!</v>
      </c>
      <c r="IB90" t="e">
        <f>AND(NhatkyTon!#REF!,"AAAAAC+1/+s=")</f>
        <v>#REF!</v>
      </c>
      <c r="IC90" t="e">
        <f>AND(NhatkyTon!#REF!,"AAAAAC+1/+w=")</f>
        <v>#REF!</v>
      </c>
      <c r="ID90" t="e">
        <f>AND(NhatkyTon!#REF!,"AAAAAC+1/+0=")</f>
        <v>#REF!</v>
      </c>
      <c r="IE90" t="e">
        <f>AND(NhatkyTon!#REF!,"AAAAAC+1/+4=")</f>
        <v>#REF!</v>
      </c>
      <c r="IF90" t="e">
        <f>AND(NhatkyTon!#REF!,"AAAAAC+1/+8=")</f>
        <v>#REF!</v>
      </c>
      <c r="IG90" t="e">
        <f>AND(NhatkyTon!#REF!,"AAAAAC+1//A=")</f>
        <v>#REF!</v>
      </c>
      <c r="IH90" t="e">
        <f>AND(NhatkyTon!#REF!,"AAAAAC+1//E=")</f>
        <v>#REF!</v>
      </c>
      <c r="II90" t="e">
        <f>AND(NhatkyTon!#REF!,"AAAAAC+1//I=")</f>
        <v>#REF!</v>
      </c>
      <c r="IJ90" t="e">
        <f>AND(NhatkyTon!#REF!,"AAAAAC+1//M=")</f>
        <v>#REF!</v>
      </c>
      <c r="IK90" t="e">
        <f>AND(NhatkyTon!#REF!,"AAAAAC+1//Q=")</f>
        <v>#REF!</v>
      </c>
      <c r="IL90" t="e">
        <f>AND(NhatkyTon!#REF!,"AAAAAC+1//U=")</f>
        <v>#REF!</v>
      </c>
      <c r="IM90" t="e">
        <f>AND(NhatkyTon!#REF!,"AAAAAC+1//Y=")</f>
        <v>#REF!</v>
      </c>
      <c r="IN90" t="e">
        <f>AND(NhatkyTon!#REF!,"AAAAAC+1//c=")</f>
        <v>#REF!</v>
      </c>
      <c r="IO90" t="e">
        <f>AND(NhatkyTon!#REF!,"AAAAAC+1//g=")</f>
        <v>#REF!</v>
      </c>
      <c r="IP90" t="e">
        <f>AND(NhatkyTon!#REF!,"AAAAAC+1//k=")</f>
        <v>#REF!</v>
      </c>
      <c r="IQ90" t="e">
        <f>AND(NhatkyTon!#REF!,"AAAAAC+1//o=")</f>
        <v>#REF!</v>
      </c>
      <c r="IR90" t="e">
        <f>AND(NhatkyTon!#REF!,"AAAAAC+1//s=")</f>
        <v>#REF!</v>
      </c>
      <c r="IS90" t="e">
        <f>AND(NhatkyTon!#REF!,"AAAAAC+1//w=")</f>
        <v>#REF!</v>
      </c>
      <c r="IT90" t="e">
        <f>AND(NhatkyTon!#REF!,"AAAAAC+1//0=")</f>
        <v>#REF!</v>
      </c>
      <c r="IU90" t="e">
        <f>AND(NhatkyTon!#REF!,"AAAAAC+1//4=")</f>
        <v>#REF!</v>
      </c>
      <c r="IV90" t="e">
        <f>AND(NhatkyTon!#REF!,"AAAAAC+1//8=")</f>
        <v>#REF!</v>
      </c>
    </row>
    <row r="91" spans="1:256">
      <c r="A91" t="e">
        <f>AND(NhatkyTon!#REF!,"AAAAAHvX/gA=")</f>
        <v>#REF!</v>
      </c>
      <c r="B91" t="e">
        <f>AND(NhatkyTon!#REF!,"AAAAAHvX/gE=")</f>
        <v>#REF!</v>
      </c>
      <c r="C91" t="e">
        <f>AND(NhatkyTon!#REF!,"AAAAAHvX/gI=")</f>
        <v>#REF!</v>
      </c>
      <c r="D91" t="e">
        <f>AND(NhatkyTon!#REF!,"AAAAAHvX/gM=")</f>
        <v>#REF!</v>
      </c>
      <c r="E91" t="e">
        <f>AND(NhatkyTon!#REF!,"AAAAAHvX/gQ=")</f>
        <v>#REF!</v>
      </c>
      <c r="F91" t="e">
        <f>AND(NhatkyTon!#REF!,"AAAAAHvX/gU=")</f>
        <v>#REF!</v>
      </c>
      <c r="G91" t="e">
        <f>AND(NhatkyTon!#REF!,"AAAAAHvX/gY=")</f>
        <v>#REF!</v>
      </c>
      <c r="H91" t="e">
        <f>AND(NhatkyTon!#REF!,"AAAAAHvX/gc=")</f>
        <v>#REF!</v>
      </c>
      <c r="I91" t="e">
        <f>AND(NhatkyTon!#REF!,"AAAAAHvX/gg=")</f>
        <v>#REF!</v>
      </c>
      <c r="J91" t="e">
        <f>AND(NhatkyTon!#REF!,"AAAAAHvX/gk=")</f>
        <v>#REF!</v>
      </c>
      <c r="K91" t="e">
        <f>AND(NhatkyTon!#REF!,"AAAAAHvX/go=")</f>
        <v>#REF!</v>
      </c>
      <c r="L91" t="e">
        <f>AND(NhatkyTon!#REF!,"AAAAAHvX/gs=")</f>
        <v>#REF!</v>
      </c>
      <c r="M91" t="e">
        <f>IF(NhatkyTon!#REF!,"AAAAAHvX/gw=",0)</f>
        <v>#REF!</v>
      </c>
      <c r="N91" t="e">
        <f>AND(NhatkyTon!#REF!,"AAAAAHvX/g0=")</f>
        <v>#REF!</v>
      </c>
      <c r="O91" t="e">
        <f>AND(NhatkyTon!#REF!,"AAAAAHvX/g4=")</f>
        <v>#REF!</v>
      </c>
      <c r="P91" t="e">
        <f>AND(NhatkyTon!#REF!,"AAAAAHvX/g8=")</f>
        <v>#REF!</v>
      </c>
      <c r="Q91" t="e">
        <f>AND(NhatkyTon!#REF!,"AAAAAHvX/hA=")</f>
        <v>#REF!</v>
      </c>
      <c r="R91" t="e">
        <f>AND(NhatkyTon!#REF!,"AAAAAHvX/hE=")</f>
        <v>#REF!</v>
      </c>
      <c r="S91" t="e">
        <f>AND(NhatkyTon!#REF!,"AAAAAHvX/hI=")</f>
        <v>#REF!</v>
      </c>
      <c r="T91" t="e">
        <f>AND(NhatkyTon!#REF!,"AAAAAHvX/hM=")</f>
        <v>#REF!</v>
      </c>
      <c r="U91" t="e">
        <f>AND(NhatkyTon!#REF!,"AAAAAHvX/hQ=")</f>
        <v>#REF!</v>
      </c>
      <c r="V91" t="e">
        <f>AND(NhatkyTon!#REF!,"AAAAAHvX/hU=")</f>
        <v>#REF!</v>
      </c>
      <c r="W91" t="e">
        <f>AND(NhatkyTon!#REF!,"AAAAAHvX/hY=")</f>
        <v>#REF!</v>
      </c>
      <c r="X91" t="e">
        <f>AND(NhatkyTon!#REF!,"AAAAAHvX/hc=")</f>
        <v>#REF!</v>
      </c>
      <c r="Y91" t="e">
        <f>AND(NhatkyTon!#REF!,"AAAAAHvX/hg=")</f>
        <v>#REF!</v>
      </c>
      <c r="Z91" t="e">
        <f>AND(NhatkyTon!#REF!,"AAAAAHvX/hk=")</f>
        <v>#REF!</v>
      </c>
      <c r="AA91" t="e">
        <f>AND(NhatkyTon!#REF!,"AAAAAHvX/ho=")</f>
        <v>#REF!</v>
      </c>
      <c r="AB91" t="e">
        <f>AND(NhatkyTon!#REF!,"AAAAAHvX/hs=")</f>
        <v>#REF!</v>
      </c>
      <c r="AC91" t="e">
        <f>AND(NhatkyTon!#REF!,"AAAAAHvX/hw=")</f>
        <v>#REF!</v>
      </c>
      <c r="AD91" t="e">
        <f>AND(NhatkyTon!#REF!,"AAAAAHvX/h0=")</f>
        <v>#REF!</v>
      </c>
      <c r="AE91" t="e">
        <f>AND(NhatkyTon!#REF!,"AAAAAHvX/h4=")</f>
        <v>#REF!</v>
      </c>
      <c r="AF91" t="e">
        <f>AND(NhatkyTon!#REF!,"AAAAAHvX/h8=")</f>
        <v>#REF!</v>
      </c>
      <c r="AG91" t="e">
        <f>AND(NhatkyTon!#REF!,"AAAAAHvX/iA=")</f>
        <v>#REF!</v>
      </c>
      <c r="AH91" t="e">
        <f>AND(NhatkyTon!#REF!,"AAAAAHvX/iE=")</f>
        <v>#REF!</v>
      </c>
      <c r="AI91" t="e">
        <f>AND(NhatkyTon!#REF!,"AAAAAHvX/iI=")</f>
        <v>#REF!</v>
      </c>
      <c r="AJ91" t="e">
        <f>AND(NhatkyTon!#REF!,"AAAAAHvX/iM=")</f>
        <v>#REF!</v>
      </c>
      <c r="AK91" t="e">
        <f>AND(NhatkyTon!#REF!,"AAAAAHvX/iQ=")</f>
        <v>#REF!</v>
      </c>
      <c r="AL91" t="e">
        <f>AND(NhatkyTon!#REF!,"AAAAAHvX/iU=")</f>
        <v>#REF!</v>
      </c>
      <c r="AM91" t="e">
        <f>AND(NhatkyTon!#REF!,"AAAAAHvX/iY=")</f>
        <v>#REF!</v>
      </c>
      <c r="AN91" t="e">
        <f>AND(NhatkyTon!#REF!,"AAAAAHvX/ic=")</f>
        <v>#REF!</v>
      </c>
      <c r="AO91" t="e">
        <f>AND(NhatkyTon!#REF!,"AAAAAHvX/ig=")</f>
        <v>#REF!</v>
      </c>
      <c r="AP91" t="e">
        <f>AND(NhatkyTon!#REF!,"AAAAAHvX/ik=")</f>
        <v>#REF!</v>
      </c>
      <c r="AQ91" t="e">
        <f>AND(NhatkyTon!#REF!,"AAAAAHvX/io=")</f>
        <v>#REF!</v>
      </c>
      <c r="AR91" t="e">
        <f>AND(NhatkyTon!#REF!,"AAAAAHvX/is=")</f>
        <v>#REF!</v>
      </c>
      <c r="AS91" t="e">
        <f>AND(NhatkyTon!#REF!,"AAAAAHvX/iw=")</f>
        <v>#REF!</v>
      </c>
      <c r="AT91" t="e">
        <f>AND(NhatkyTon!#REF!,"AAAAAHvX/i0=")</f>
        <v>#REF!</v>
      </c>
      <c r="AU91" t="e">
        <f>AND(NhatkyTon!#REF!,"AAAAAHvX/i4=")</f>
        <v>#REF!</v>
      </c>
      <c r="AV91" t="e">
        <f>IF(NhatkyTon!#REF!,"AAAAAHvX/i8=",0)</f>
        <v>#REF!</v>
      </c>
      <c r="AW91" t="e">
        <f>AND(NhatkyTon!#REF!,"AAAAAHvX/jA=")</f>
        <v>#REF!</v>
      </c>
      <c r="AX91" t="e">
        <f>AND(NhatkyTon!#REF!,"AAAAAHvX/jE=")</f>
        <v>#REF!</v>
      </c>
      <c r="AY91" t="e">
        <f>AND(NhatkyTon!#REF!,"AAAAAHvX/jI=")</f>
        <v>#REF!</v>
      </c>
      <c r="AZ91" t="e">
        <f>AND(NhatkyTon!#REF!,"AAAAAHvX/jM=")</f>
        <v>#REF!</v>
      </c>
      <c r="BA91" t="e">
        <f>AND(NhatkyTon!#REF!,"AAAAAHvX/jQ=")</f>
        <v>#REF!</v>
      </c>
      <c r="BB91" t="e">
        <f>AND(NhatkyTon!#REF!,"AAAAAHvX/jU=")</f>
        <v>#REF!</v>
      </c>
      <c r="BC91" t="e">
        <f>AND(NhatkyTon!#REF!,"AAAAAHvX/jY=")</f>
        <v>#REF!</v>
      </c>
      <c r="BD91" t="e">
        <f>AND(NhatkyTon!#REF!,"AAAAAHvX/jc=")</f>
        <v>#REF!</v>
      </c>
      <c r="BE91" t="e">
        <f>AND(NhatkyTon!#REF!,"AAAAAHvX/jg=")</f>
        <v>#REF!</v>
      </c>
      <c r="BF91" t="e">
        <f>AND(NhatkyTon!#REF!,"AAAAAHvX/jk=")</f>
        <v>#REF!</v>
      </c>
      <c r="BG91" t="e">
        <f>AND(NhatkyTon!#REF!,"AAAAAHvX/jo=")</f>
        <v>#REF!</v>
      </c>
      <c r="BH91" t="e">
        <f>AND(NhatkyTon!#REF!,"AAAAAHvX/js=")</f>
        <v>#REF!</v>
      </c>
      <c r="BI91" t="e">
        <f>AND(NhatkyTon!#REF!,"AAAAAHvX/jw=")</f>
        <v>#REF!</v>
      </c>
      <c r="BJ91" t="e">
        <f>AND(NhatkyTon!#REF!,"AAAAAHvX/j0=")</f>
        <v>#REF!</v>
      </c>
      <c r="BK91" t="e">
        <f>AND(NhatkyTon!#REF!,"AAAAAHvX/j4=")</f>
        <v>#REF!</v>
      </c>
      <c r="BL91" t="e">
        <f>AND(NhatkyTon!#REF!,"AAAAAHvX/j8=")</f>
        <v>#REF!</v>
      </c>
      <c r="BM91" t="e">
        <f>AND(NhatkyTon!#REF!,"AAAAAHvX/kA=")</f>
        <v>#REF!</v>
      </c>
      <c r="BN91" t="e">
        <f>AND(NhatkyTon!#REF!,"AAAAAHvX/kE=")</f>
        <v>#REF!</v>
      </c>
      <c r="BO91" t="e">
        <f>AND(NhatkyTon!#REF!,"AAAAAHvX/kI=")</f>
        <v>#REF!</v>
      </c>
      <c r="BP91" t="e">
        <f>AND(NhatkyTon!#REF!,"AAAAAHvX/kM=")</f>
        <v>#REF!</v>
      </c>
      <c r="BQ91" t="e">
        <f>AND(NhatkyTon!#REF!,"AAAAAHvX/kQ=")</f>
        <v>#REF!</v>
      </c>
      <c r="BR91" t="e">
        <f>AND(NhatkyTon!#REF!,"AAAAAHvX/kU=")</f>
        <v>#REF!</v>
      </c>
      <c r="BS91" t="e">
        <f>AND(NhatkyTon!#REF!,"AAAAAHvX/kY=")</f>
        <v>#REF!</v>
      </c>
      <c r="BT91" t="e">
        <f>AND(NhatkyTon!#REF!,"AAAAAHvX/kc=")</f>
        <v>#REF!</v>
      </c>
      <c r="BU91" t="e">
        <f>AND(NhatkyTon!#REF!,"AAAAAHvX/kg=")</f>
        <v>#REF!</v>
      </c>
      <c r="BV91" t="e">
        <f>AND(NhatkyTon!#REF!,"AAAAAHvX/kk=")</f>
        <v>#REF!</v>
      </c>
      <c r="BW91" t="e">
        <f>AND(NhatkyTon!#REF!,"AAAAAHvX/ko=")</f>
        <v>#REF!</v>
      </c>
      <c r="BX91" t="e">
        <f>AND(NhatkyTon!#REF!,"AAAAAHvX/ks=")</f>
        <v>#REF!</v>
      </c>
      <c r="BY91" t="e">
        <f>AND(NhatkyTon!#REF!,"AAAAAHvX/kw=")</f>
        <v>#REF!</v>
      </c>
      <c r="BZ91" t="e">
        <f>AND(NhatkyTon!#REF!,"AAAAAHvX/k0=")</f>
        <v>#REF!</v>
      </c>
      <c r="CA91" t="e">
        <f>AND(NhatkyTon!#REF!,"AAAAAHvX/k4=")</f>
        <v>#REF!</v>
      </c>
      <c r="CB91" t="e">
        <f>AND(NhatkyTon!#REF!,"AAAAAHvX/k8=")</f>
        <v>#REF!</v>
      </c>
      <c r="CC91" t="e">
        <f>AND(NhatkyTon!#REF!,"AAAAAHvX/lA=")</f>
        <v>#REF!</v>
      </c>
      <c r="CD91" t="e">
        <f>AND(NhatkyTon!#REF!,"AAAAAHvX/lE=")</f>
        <v>#REF!</v>
      </c>
      <c r="CE91" t="e">
        <f>IF(NhatkyTon!#REF!,"AAAAAHvX/lI=",0)</f>
        <v>#REF!</v>
      </c>
      <c r="CF91" t="e">
        <f>AND(NhatkyTon!#REF!,"AAAAAHvX/lM=")</f>
        <v>#REF!</v>
      </c>
      <c r="CG91" t="e">
        <f>AND(NhatkyTon!#REF!,"AAAAAHvX/lQ=")</f>
        <v>#REF!</v>
      </c>
      <c r="CH91" t="e">
        <f>AND(NhatkyTon!#REF!,"AAAAAHvX/lU=")</f>
        <v>#REF!</v>
      </c>
      <c r="CI91" t="e">
        <f>AND(NhatkyTon!#REF!,"AAAAAHvX/lY=")</f>
        <v>#REF!</v>
      </c>
      <c r="CJ91" t="e">
        <f>AND(NhatkyTon!#REF!,"AAAAAHvX/lc=")</f>
        <v>#REF!</v>
      </c>
      <c r="CK91" t="e">
        <f>AND(NhatkyTon!#REF!,"AAAAAHvX/lg=")</f>
        <v>#REF!</v>
      </c>
      <c r="CL91" t="e">
        <f>AND(NhatkyTon!#REF!,"AAAAAHvX/lk=")</f>
        <v>#REF!</v>
      </c>
      <c r="CM91" t="e">
        <f>AND(NhatkyTon!#REF!,"AAAAAHvX/lo=")</f>
        <v>#REF!</v>
      </c>
      <c r="CN91" t="e">
        <f>AND(NhatkyTon!#REF!,"AAAAAHvX/ls=")</f>
        <v>#REF!</v>
      </c>
      <c r="CO91" t="e">
        <f>AND(NhatkyTon!#REF!,"AAAAAHvX/lw=")</f>
        <v>#REF!</v>
      </c>
      <c r="CP91" t="e">
        <f>AND(NhatkyTon!#REF!,"AAAAAHvX/l0=")</f>
        <v>#REF!</v>
      </c>
      <c r="CQ91" t="e">
        <f>AND(NhatkyTon!#REF!,"AAAAAHvX/l4=")</f>
        <v>#REF!</v>
      </c>
      <c r="CR91" t="e">
        <f>AND(NhatkyTon!#REF!,"AAAAAHvX/l8=")</f>
        <v>#REF!</v>
      </c>
      <c r="CS91" t="e">
        <f>AND(NhatkyTon!#REF!,"AAAAAHvX/mA=")</f>
        <v>#REF!</v>
      </c>
      <c r="CT91" t="e">
        <f>AND(NhatkyTon!#REF!,"AAAAAHvX/mE=")</f>
        <v>#REF!</v>
      </c>
      <c r="CU91" t="e">
        <f>AND(NhatkyTon!#REF!,"AAAAAHvX/mI=")</f>
        <v>#REF!</v>
      </c>
      <c r="CV91" t="e">
        <f>AND(NhatkyTon!#REF!,"AAAAAHvX/mM=")</f>
        <v>#REF!</v>
      </c>
      <c r="CW91" t="e">
        <f>AND(NhatkyTon!#REF!,"AAAAAHvX/mQ=")</f>
        <v>#REF!</v>
      </c>
      <c r="CX91" t="e">
        <f>AND(NhatkyTon!#REF!,"AAAAAHvX/mU=")</f>
        <v>#REF!</v>
      </c>
      <c r="CY91" t="e">
        <f>AND(NhatkyTon!#REF!,"AAAAAHvX/mY=")</f>
        <v>#REF!</v>
      </c>
      <c r="CZ91" t="e">
        <f>AND(NhatkyTon!#REF!,"AAAAAHvX/mc=")</f>
        <v>#REF!</v>
      </c>
      <c r="DA91" t="e">
        <f>AND(NhatkyTon!#REF!,"AAAAAHvX/mg=")</f>
        <v>#REF!</v>
      </c>
      <c r="DB91" t="e">
        <f>AND(NhatkyTon!#REF!,"AAAAAHvX/mk=")</f>
        <v>#REF!</v>
      </c>
      <c r="DC91" t="e">
        <f>AND(NhatkyTon!#REF!,"AAAAAHvX/mo=")</f>
        <v>#REF!</v>
      </c>
      <c r="DD91" t="e">
        <f>AND(NhatkyTon!#REF!,"AAAAAHvX/ms=")</f>
        <v>#REF!</v>
      </c>
      <c r="DE91" t="e">
        <f>AND(NhatkyTon!#REF!,"AAAAAHvX/mw=")</f>
        <v>#REF!</v>
      </c>
      <c r="DF91" t="e">
        <f>AND(NhatkyTon!#REF!,"AAAAAHvX/m0=")</f>
        <v>#REF!</v>
      </c>
      <c r="DG91" t="e">
        <f>AND(NhatkyTon!#REF!,"AAAAAHvX/m4=")</f>
        <v>#REF!</v>
      </c>
      <c r="DH91" t="e">
        <f>AND(NhatkyTon!#REF!,"AAAAAHvX/m8=")</f>
        <v>#REF!</v>
      </c>
      <c r="DI91" t="e">
        <f>AND(NhatkyTon!#REF!,"AAAAAHvX/nA=")</f>
        <v>#REF!</v>
      </c>
      <c r="DJ91" t="e">
        <f>AND(NhatkyTon!#REF!,"AAAAAHvX/nE=")</f>
        <v>#REF!</v>
      </c>
      <c r="DK91" t="e">
        <f>AND(NhatkyTon!#REF!,"AAAAAHvX/nI=")</f>
        <v>#REF!</v>
      </c>
      <c r="DL91" t="e">
        <f>AND(NhatkyTon!#REF!,"AAAAAHvX/nM=")</f>
        <v>#REF!</v>
      </c>
      <c r="DM91" t="e">
        <f>AND(NhatkyTon!#REF!,"AAAAAHvX/nQ=")</f>
        <v>#REF!</v>
      </c>
      <c r="DN91" t="e">
        <f>IF(NhatkyTon!#REF!,"AAAAAHvX/nU=",0)</f>
        <v>#REF!</v>
      </c>
      <c r="DO91" t="e">
        <f>AND(NhatkyTon!#REF!,"AAAAAHvX/nY=")</f>
        <v>#REF!</v>
      </c>
      <c r="DP91" t="e">
        <f>AND(NhatkyTon!#REF!,"AAAAAHvX/nc=")</f>
        <v>#REF!</v>
      </c>
      <c r="DQ91" t="e">
        <f>AND(NhatkyTon!#REF!,"AAAAAHvX/ng=")</f>
        <v>#REF!</v>
      </c>
      <c r="DR91" t="e">
        <f>AND(NhatkyTon!#REF!,"AAAAAHvX/nk=")</f>
        <v>#REF!</v>
      </c>
      <c r="DS91" t="e">
        <f>AND(NhatkyTon!#REF!,"AAAAAHvX/no=")</f>
        <v>#REF!</v>
      </c>
      <c r="DT91" t="e">
        <f>AND(NhatkyTon!#REF!,"AAAAAHvX/ns=")</f>
        <v>#REF!</v>
      </c>
      <c r="DU91" t="e">
        <f>AND(NhatkyTon!#REF!,"AAAAAHvX/nw=")</f>
        <v>#REF!</v>
      </c>
      <c r="DV91" t="e">
        <f>AND(NhatkyTon!#REF!,"AAAAAHvX/n0=")</f>
        <v>#REF!</v>
      </c>
      <c r="DW91" t="e">
        <f>AND(NhatkyTon!#REF!,"AAAAAHvX/n4=")</f>
        <v>#REF!</v>
      </c>
      <c r="DX91" t="e">
        <f>AND(NhatkyTon!#REF!,"AAAAAHvX/n8=")</f>
        <v>#REF!</v>
      </c>
      <c r="DY91" t="e">
        <f>AND(NhatkyTon!#REF!,"AAAAAHvX/oA=")</f>
        <v>#REF!</v>
      </c>
      <c r="DZ91" t="e">
        <f>AND(NhatkyTon!#REF!,"AAAAAHvX/oE=")</f>
        <v>#REF!</v>
      </c>
      <c r="EA91" t="e">
        <f>AND(NhatkyTon!#REF!,"AAAAAHvX/oI=")</f>
        <v>#REF!</v>
      </c>
      <c r="EB91" t="e">
        <f>AND(NhatkyTon!#REF!,"AAAAAHvX/oM=")</f>
        <v>#REF!</v>
      </c>
      <c r="EC91" t="e">
        <f>AND(NhatkyTon!#REF!,"AAAAAHvX/oQ=")</f>
        <v>#REF!</v>
      </c>
      <c r="ED91" t="e">
        <f>AND(NhatkyTon!#REF!,"AAAAAHvX/oU=")</f>
        <v>#REF!</v>
      </c>
      <c r="EE91" t="e">
        <f>AND(NhatkyTon!#REF!,"AAAAAHvX/oY=")</f>
        <v>#REF!</v>
      </c>
      <c r="EF91" t="e">
        <f>AND(NhatkyTon!#REF!,"AAAAAHvX/oc=")</f>
        <v>#REF!</v>
      </c>
      <c r="EG91" t="e">
        <f>AND(NhatkyTon!#REF!,"AAAAAHvX/og=")</f>
        <v>#REF!</v>
      </c>
      <c r="EH91" t="e">
        <f>AND(NhatkyTon!#REF!,"AAAAAHvX/ok=")</f>
        <v>#REF!</v>
      </c>
      <c r="EI91" t="e">
        <f>AND(NhatkyTon!#REF!,"AAAAAHvX/oo=")</f>
        <v>#REF!</v>
      </c>
      <c r="EJ91" t="e">
        <f>AND(NhatkyTon!#REF!,"AAAAAHvX/os=")</f>
        <v>#REF!</v>
      </c>
      <c r="EK91" t="e">
        <f>AND(NhatkyTon!#REF!,"AAAAAHvX/ow=")</f>
        <v>#REF!</v>
      </c>
      <c r="EL91" t="e">
        <f>AND(NhatkyTon!#REF!,"AAAAAHvX/o0=")</f>
        <v>#REF!</v>
      </c>
      <c r="EM91" t="e">
        <f>AND(NhatkyTon!#REF!,"AAAAAHvX/o4=")</f>
        <v>#REF!</v>
      </c>
      <c r="EN91" t="e">
        <f>AND(NhatkyTon!#REF!,"AAAAAHvX/o8=")</f>
        <v>#REF!</v>
      </c>
      <c r="EO91" t="e">
        <f>AND(NhatkyTon!#REF!,"AAAAAHvX/pA=")</f>
        <v>#REF!</v>
      </c>
      <c r="EP91" t="e">
        <f>AND(NhatkyTon!#REF!,"AAAAAHvX/pE=")</f>
        <v>#REF!</v>
      </c>
      <c r="EQ91" t="e">
        <f>AND(NhatkyTon!#REF!,"AAAAAHvX/pI=")</f>
        <v>#REF!</v>
      </c>
      <c r="ER91" t="e">
        <f>AND(NhatkyTon!#REF!,"AAAAAHvX/pM=")</f>
        <v>#REF!</v>
      </c>
      <c r="ES91" t="e">
        <f>AND(NhatkyTon!#REF!,"AAAAAHvX/pQ=")</f>
        <v>#REF!</v>
      </c>
      <c r="ET91" t="e">
        <f>AND(NhatkyTon!#REF!,"AAAAAHvX/pU=")</f>
        <v>#REF!</v>
      </c>
      <c r="EU91" t="e">
        <f>AND(NhatkyTon!#REF!,"AAAAAHvX/pY=")</f>
        <v>#REF!</v>
      </c>
      <c r="EV91" t="e">
        <f>AND(NhatkyTon!#REF!,"AAAAAHvX/pc=")</f>
        <v>#REF!</v>
      </c>
      <c r="EW91" t="e">
        <f>IF(NhatkyTon!#REF!,"AAAAAHvX/pg=",0)</f>
        <v>#REF!</v>
      </c>
      <c r="EX91" t="e">
        <f>AND(NhatkyTon!#REF!,"AAAAAHvX/pk=")</f>
        <v>#REF!</v>
      </c>
      <c r="EY91" t="e">
        <f>AND(NhatkyTon!#REF!,"AAAAAHvX/po=")</f>
        <v>#REF!</v>
      </c>
      <c r="EZ91" t="e">
        <f>AND(NhatkyTon!#REF!,"AAAAAHvX/ps=")</f>
        <v>#REF!</v>
      </c>
      <c r="FA91" t="e">
        <f>AND(NhatkyTon!#REF!,"AAAAAHvX/pw=")</f>
        <v>#REF!</v>
      </c>
      <c r="FB91" t="e">
        <f>AND(NhatkyTon!#REF!,"AAAAAHvX/p0=")</f>
        <v>#REF!</v>
      </c>
      <c r="FC91" t="e">
        <f>AND(NhatkyTon!#REF!,"AAAAAHvX/p4=")</f>
        <v>#REF!</v>
      </c>
      <c r="FD91" t="e">
        <f>AND(NhatkyTon!#REF!,"AAAAAHvX/p8=")</f>
        <v>#REF!</v>
      </c>
      <c r="FE91" t="e">
        <f>AND(NhatkyTon!#REF!,"AAAAAHvX/qA=")</f>
        <v>#REF!</v>
      </c>
      <c r="FF91" t="e">
        <f>AND(NhatkyTon!#REF!,"AAAAAHvX/qE=")</f>
        <v>#REF!</v>
      </c>
      <c r="FG91" t="e">
        <f>AND(NhatkyTon!#REF!,"AAAAAHvX/qI=")</f>
        <v>#REF!</v>
      </c>
      <c r="FH91" t="e">
        <f>AND(NhatkyTon!#REF!,"AAAAAHvX/qM=")</f>
        <v>#REF!</v>
      </c>
      <c r="FI91" t="e">
        <f>AND(NhatkyTon!#REF!,"AAAAAHvX/qQ=")</f>
        <v>#REF!</v>
      </c>
      <c r="FJ91" t="e">
        <f>AND(NhatkyTon!#REF!,"AAAAAHvX/qU=")</f>
        <v>#REF!</v>
      </c>
      <c r="FK91" t="e">
        <f>AND(NhatkyTon!#REF!,"AAAAAHvX/qY=")</f>
        <v>#REF!</v>
      </c>
      <c r="FL91" t="e">
        <f>AND(NhatkyTon!#REF!,"AAAAAHvX/qc=")</f>
        <v>#REF!</v>
      </c>
      <c r="FM91" t="e">
        <f>AND(NhatkyTon!#REF!,"AAAAAHvX/qg=")</f>
        <v>#REF!</v>
      </c>
      <c r="FN91" t="e">
        <f>AND(NhatkyTon!#REF!,"AAAAAHvX/qk=")</f>
        <v>#REF!</v>
      </c>
      <c r="FO91" t="e">
        <f>AND(NhatkyTon!#REF!,"AAAAAHvX/qo=")</f>
        <v>#REF!</v>
      </c>
      <c r="FP91" t="e">
        <f>AND(NhatkyTon!#REF!,"AAAAAHvX/qs=")</f>
        <v>#REF!</v>
      </c>
      <c r="FQ91" t="e">
        <f>AND(NhatkyTon!#REF!,"AAAAAHvX/qw=")</f>
        <v>#REF!</v>
      </c>
      <c r="FR91" t="e">
        <f>AND(NhatkyTon!#REF!,"AAAAAHvX/q0=")</f>
        <v>#REF!</v>
      </c>
      <c r="FS91" t="e">
        <f>AND(NhatkyTon!#REF!,"AAAAAHvX/q4=")</f>
        <v>#REF!</v>
      </c>
      <c r="FT91" t="e">
        <f>AND(NhatkyTon!#REF!,"AAAAAHvX/q8=")</f>
        <v>#REF!</v>
      </c>
      <c r="FU91" t="e">
        <f>AND(NhatkyTon!#REF!,"AAAAAHvX/rA=")</f>
        <v>#REF!</v>
      </c>
      <c r="FV91" t="e">
        <f>AND(NhatkyTon!#REF!,"AAAAAHvX/rE=")</f>
        <v>#REF!</v>
      </c>
      <c r="FW91" t="e">
        <f>AND(NhatkyTon!#REF!,"AAAAAHvX/rI=")</f>
        <v>#REF!</v>
      </c>
      <c r="FX91" t="e">
        <f>AND(NhatkyTon!#REF!,"AAAAAHvX/rM=")</f>
        <v>#REF!</v>
      </c>
      <c r="FY91" t="e">
        <f>AND(NhatkyTon!#REF!,"AAAAAHvX/rQ=")</f>
        <v>#REF!</v>
      </c>
      <c r="FZ91" t="e">
        <f>AND(NhatkyTon!#REF!,"AAAAAHvX/rU=")</f>
        <v>#REF!</v>
      </c>
      <c r="GA91" t="e">
        <f>AND(NhatkyTon!#REF!,"AAAAAHvX/rY=")</f>
        <v>#REF!</v>
      </c>
      <c r="GB91" t="e">
        <f>AND(NhatkyTon!#REF!,"AAAAAHvX/rc=")</f>
        <v>#REF!</v>
      </c>
      <c r="GC91" t="e">
        <f>AND(NhatkyTon!#REF!,"AAAAAHvX/rg=")</f>
        <v>#REF!</v>
      </c>
      <c r="GD91" t="e">
        <f>AND(NhatkyTon!#REF!,"AAAAAHvX/rk=")</f>
        <v>#REF!</v>
      </c>
      <c r="GE91" t="e">
        <f>AND(NhatkyTon!#REF!,"AAAAAHvX/ro=")</f>
        <v>#REF!</v>
      </c>
      <c r="GF91" t="e">
        <f>IF(NhatkyTon!#REF!,"AAAAAHvX/rs=",0)</f>
        <v>#REF!</v>
      </c>
      <c r="GG91" t="e">
        <f>AND(NhatkyTon!#REF!,"AAAAAHvX/rw=")</f>
        <v>#REF!</v>
      </c>
      <c r="GH91" t="e">
        <f>AND(NhatkyTon!#REF!,"AAAAAHvX/r0=")</f>
        <v>#REF!</v>
      </c>
      <c r="GI91" t="e">
        <f>AND(NhatkyTon!#REF!,"AAAAAHvX/r4=")</f>
        <v>#REF!</v>
      </c>
      <c r="GJ91" t="e">
        <f>AND(NhatkyTon!#REF!,"AAAAAHvX/r8=")</f>
        <v>#REF!</v>
      </c>
      <c r="GK91" t="e">
        <f>AND(NhatkyTon!#REF!,"AAAAAHvX/sA=")</f>
        <v>#REF!</v>
      </c>
      <c r="GL91" t="e">
        <f>AND(NhatkyTon!#REF!,"AAAAAHvX/sE=")</f>
        <v>#REF!</v>
      </c>
      <c r="GM91" t="e">
        <f>AND(NhatkyTon!#REF!,"AAAAAHvX/sI=")</f>
        <v>#REF!</v>
      </c>
      <c r="GN91" t="e">
        <f>AND(NhatkyTon!#REF!,"AAAAAHvX/sM=")</f>
        <v>#REF!</v>
      </c>
      <c r="GO91" t="e">
        <f>AND(NhatkyTon!#REF!,"AAAAAHvX/sQ=")</f>
        <v>#REF!</v>
      </c>
      <c r="GP91" t="e">
        <f>AND(NhatkyTon!#REF!,"AAAAAHvX/sU=")</f>
        <v>#REF!</v>
      </c>
      <c r="GQ91" t="e">
        <f>AND(NhatkyTon!#REF!,"AAAAAHvX/sY=")</f>
        <v>#REF!</v>
      </c>
      <c r="GR91" t="e">
        <f>AND(NhatkyTon!#REF!,"AAAAAHvX/sc=")</f>
        <v>#REF!</v>
      </c>
      <c r="GS91" t="e">
        <f>AND(NhatkyTon!#REF!,"AAAAAHvX/sg=")</f>
        <v>#REF!</v>
      </c>
      <c r="GT91" t="e">
        <f>AND(NhatkyTon!#REF!,"AAAAAHvX/sk=")</f>
        <v>#REF!</v>
      </c>
      <c r="GU91" t="e">
        <f>AND(NhatkyTon!#REF!,"AAAAAHvX/so=")</f>
        <v>#REF!</v>
      </c>
      <c r="GV91" t="e">
        <f>AND(NhatkyTon!#REF!,"AAAAAHvX/ss=")</f>
        <v>#REF!</v>
      </c>
      <c r="GW91" t="e">
        <f>AND(NhatkyTon!#REF!,"AAAAAHvX/sw=")</f>
        <v>#REF!</v>
      </c>
      <c r="GX91" t="e">
        <f>AND(NhatkyTon!#REF!,"AAAAAHvX/s0=")</f>
        <v>#REF!</v>
      </c>
      <c r="GY91" t="e">
        <f>AND(NhatkyTon!#REF!,"AAAAAHvX/s4=")</f>
        <v>#REF!</v>
      </c>
      <c r="GZ91" t="e">
        <f>AND(NhatkyTon!#REF!,"AAAAAHvX/s8=")</f>
        <v>#REF!</v>
      </c>
      <c r="HA91" t="e">
        <f>AND(NhatkyTon!#REF!,"AAAAAHvX/tA=")</f>
        <v>#REF!</v>
      </c>
      <c r="HB91" t="e">
        <f>AND(NhatkyTon!#REF!,"AAAAAHvX/tE=")</f>
        <v>#REF!</v>
      </c>
      <c r="HC91" t="e">
        <f>AND(NhatkyTon!#REF!,"AAAAAHvX/tI=")</f>
        <v>#REF!</v>
      </c>
      <c r="HD91" t="e">
        <f>AND(NhatkyTon!#REF!,"AAAAAHvX/tM=")</f>
        <v>#REF!</v>
      </c>
      <c r="HE91" t="e">
        <f>AND(NhatkyTon!#REF!,"AAAAAHvX/tQ=")</f>
        <v>#REF!</v>
      </c>
      <c r="HF91" t="e">
        <f>AND(NhatkyTon!#REF!,"AAAAAHvX/tU=")</f>
        <v>#REF!</v>
      </c>
      <c r="HG91" t="e">
        <f>AND(NhatkyTon!#REF!,"AAAAAHvX/tY=")</f>
        <v>#REF!</v>
      </c>
      <c r="HH91" t="e">
        <f>AND(NhatkyTon!#REF!,"AAAAAHvX/tc=")</f>
        <v>#REF!</v>
      </c>
      <c r="HI91" t="e">
        <f>AND(NhatkyTon!#REF!,"AAAAAHvX/tg=")</f>
        <v>#REF!</v>
      </c>
      <c r="HJ91" t="e">
        <f>AND(NhatkyTon!#REF!,"AAAAAHvX/tk=")</f>
        <v>#REF!</v>
      </c>
      <c r="HK91" t="e">
        <f>AND(NhatkyTon!#REF!,"AAAAAHvX/to=")</f>
        <v>#REF!</v>
      </c>
      <c r="HL91" t="e">
        <f>AND(NhatkyTon!#REF!,"AAAAAHvX/ts=")</f>
        <v>#REF!</v>
      </c>
      <c r="HM91" t="e">
        <f>AND(NhatkyTon!#REF!,"AAAAAHvX/tw=")</f>
        <v>#REF!</v>
      </c>
      <c r="HN91" t="e">
        <f>AND(NhatkyTon!#REF!,"AAAAAHvX/t0=")</f>
        <v>#REF!</v>
      </c>
      <c r="HO91" t="e">
        <f>IF(NhatkyTon!#REF!,"AAAAAHvX/t4=",0)</f>
        <v>#REF!</v>
      </c>
      <c r="HP91" t="e">
        <f>AND(NhatkyTon!#REF!,"AAAAAHvX/t8=")</f>
        <v>#REF!</v>
      </c>
      <c r="HQ91" t="e">
        <f>AND(NhatkyTon!#REF!,"AAAAAHvX/uA=")</f>
        <v>#REF!</v>
      </c>
      <c r="HR91" t="e">
        <f>AND(NhatkyTon!#REF!,"AAAAAHvX/uE=")</f>
        <v>#REF!</v>
      </c>
      <c r="HS91" t="e">
        <f>AND(NhatkyTon!#REF!,"AAAAAHvX/uI=")</f>
        <v>#REF!</v>
      </c>
      <c r="HT91" t="e">
        <f>AND(NhatkyTon!#REF!,"AAAAAHvX/uM=")</f>
        <v>#REF!</v>
      </c>
      <c r="HU91" t="e">
        <f>AND(NhatkyTon!#REF!,"AAAAAHvX/uQ=")</f>
        <v>#REF!</v>
      </c>
      <c r="HV91" t="e">
        <f>AND(NhatkyTon!#REF!,"AAAAAHvX/uU=")</f>
        <v>#REF!</v>
      </c>
      <c r="HW91" t="e">
        <f>AND(NhatkyTon!#REF!,"AAAAAHvX/uY=")</f>
        <v>#REF!</v>
      </c>
      <c r="HX91" t="e">
        <f>AND(NhatkyTon!#REF!,"AAAAAHvX/uc=")</f>
        <v>#REF!</v>
      </c>
      <c r="HY91" t="e">
        <f>AND(NhatkyTon!#REF!,"AAAAAHvX/ug=")</f>
        <v>#REF!</v>
      </c>
      <c r="HZ91" t="e">
        <f>AND(NhatkyTon!#REF!,"AAAAAHvX/uk=")</f>
        <v>#REF!</v>
      </c>
      <c r="IA91" t="e">
        <f>AND(NhatkyTon!#REF!,"AAAAAHvX/uo=")</f>
        <v>#REF!</v>
      </c>
      <c r="IB91" t="e">
        <f>AND(NhatkyTon!#REF!,"AAAAAHvX/us=")</f>
        <v>#REF!</v>
      </c>
      <c r="IC91" t="e">
        <f>AND(NhatkyTon!#REF!,"AAAAAHvX/uw=")</f>
        <v>#REF!</v>
      </c>
      <c r="ID91" t="e">
        <f>AND(NhatkyTon!#REF!,"AAAAAHvX/u0=")</f>
        <v>#REF!</v>
      </c>
      <c r="IE91" t="e">
        <f>AND(NhatkyTon!#REF!,"AAAAAHvX/u4=")</f>
        <v>#REF!</v>
      </c>
      <c r="IF91" t="e">
        <f>AND(NhatkyTon!#REF!,"AAAAAHvX/u8=")</f>
        <v>#REF!</v>
      </c>
      <c r="IG91" t="e">
        <f>AND(NhatkyTon!#REF!,"AAAAAHvX/vA=")</f>
        <v>#REF!</v>
      </c>
      <c r="IH91" t="e">
        <f>AND(NhatkyTon!#REF!,"AAAAAHvX/vE=")</f>
        <v>#REF!</v>
      </c>
      <c r="II91" t="e">
        <f>AND(NhatkyTon!#REF!,"AAAAAHvX/vI=")</f>
        <v>#REF!</v>
      </c>
      <c r="IJ91" t="e">
        <f>AND(NhatkyTon!#REF!,"AAAAAHvX/vM=")</f>
        <v>#REF!</v>
      </c>
      <c r="IK91" t="e">
        <f>AND(NhatkyTon!#REF!,"AAAAAHvX/vQ=")</f>
        <v>#REF!</v>
      </c>
      <c r="IL91" t="e">
        <f>AND(NhatkyTon!#REF!,"AAAAAHvX/vU=")</f>
        <v>#REF!</v>
      </c>
      <c r="IM91" t="e">
        <f>AND(NhatkyTon!#REF!,"AAAAAHvX/vY=")</f>
        <v>#REF!</v>
      </c>
      <c r="IN91" t="e">
        <f>AND(NhatkyTon!#REF!,"AAAAAHvX/vc=")</f>
        <v>#REF!</v>
      </c>
      <c r="IO91" t="e">
        <f>AND(NhatkyTon!#REF!,"AAAAAHvX/vg=")</f>
        <v>#REF!</v>
      </c>
      <c r="IP91" t="e">
        <f>AND(NhatkyTon!#REF!,"AAAAAHvX/vk=")</f>
        <v>#REF!</v>
      </c>
      <c r="IQ91" t="e">
        <f>AND(NhatkyTon!#REF!,"AAAAAHvX/vo=")</f>
        <v>#REF!</v>
      </c>
      <c r="IR91" t="e">
        <f>AND(NhatkyTon!#REF!,"AAAAAHvX/vs=")</f>
        <v>#REF!</v>
      </c>
      <c r="IS91" t="e">
        <f>AND(NhatkyTon!#REF!,"AAAAAHvX/vw=")</f>
        <v>#REF!</v>
      </c>
      <c r="IT91" t="e">
        <f>AND(NhatkyTon!#REF!,"AAAAAHvX/v0=")</f>
        <v>#REF!</v>
      </c>
      <c r="IU91" t="e">
        <f>AND(NhatkyTon!#REF!,"AAAAAHvX/v4=")</f>
        <v>#REF!</v>
      </c>
      <c r="IV91" t="e">
        <f>AND(NhatkyTon!#REF!,"AAAAAHvX/v8=")</f>
        <v>#REF!</v>
      </c>
    </row>
    <row r="92" spans="1:256">
      <c r="A92" t="e">
        <f>AND(NhatkyTon!#REF!,"AAAAAH/yXgA=")</f>
        <v>#REF!</v>
      </c>
      <c r="B92" t="e">
        <f>IF(NhatkyTon!#REF!,"AAAAAH/yXgE=",0)</f>
        <v>#REF!</v>
      </c>
      <c r="C92" t="e">
        <f>AND(NhatkyTon!#REF!,"AAAAAH/yXgI=")</f>
        <v>#REF!</v>
      </c>
      <c r="D92" t="e">
        <f>AND(NhatkyTon!#REF!,"AAAAAH/yXgM=")</f>
        <v>#REF!</v>
      </c>
      <c r="E92" t="e">
        <f>AND(NhatkyTon!#REF!,"AAAAAH/yXgQ=")</f>
        <v>#REF!</v>
      </c>
      <c r="F92" t="e">
        <f>AND(NhatkyTon!#REF!,"AAAAAH/yXgU=")</f>
        <v>#REF!</v>
      </c>
      <c r="G92" t="e">
        <f>AND(NhatkyTon!#REF!,"AAAAAH/yXgY=")</f>
        <v>#REF!</v>
      </c>
      <c r="H92" t="e">
        <f>AND(NhatkyTon!#REF!,"AAAAAH/yXgc=")</f>
        <v>#REF!</v>
      </c>
      <c r="I92" t="e">
        <f>AND(NhatkyTon!#REF!,"AAAAAH/yXgg=")</f>
        <v>#REF!</v>
      </c>
      <c r="J92" t="e">
        <f>AND(NhatkyTon!#REF!,"AAAAAH/yXgk=")</f>
        <v>#REF!</v>
      </c>
      <c r="K92" t="e">
        <f>AND(NhatkyTon!#REF!,"AAAAAH/yXgo=")</f>
        <v>#REF!</v>
      </c>
      <c r="L92" t="e">
        <f>AND(NhatkyTon!#REF!,"AAAAAH/yXgs=")</f>
        <v>#REF!</v>
      </c>
      <c r="M92" t="e">
        <f>AND(NhatkyTon!#REF!,"AAAAAH/yXgw=")</f>
        <v>#REF!</v>
      </c>
      <c r="N92" t="e">
        <f>AND(NhatkyTon!#REF!,"AAAAAH/yXg0=")</f>
        <v>#REF!</v>
      </c>
      <c r="O92" t="e">
        <f>AND(NhatkyTon!#REF!,"AAAAAH/yXg4=")</f>
        <v>#REF!</v>
      </c>
      <c r="P92" t="e">
        <f>AND(NhatkyTon!#REF!,"AAAAAH/yXg8=")</f>
        <v>#REF!</v>
      </c>
      <c r="Q92" t="e">
        <f>AND(NhatkyTon!#REF!,"AAAAAH/yXhA=")</f>
        <v>#REF!</v>
      </c>
      <c r="R92" t="e">
        <f>AND(NhatkyTon!#REF!,"AAAAAH/yXhE=")</f>
        <v>#REF!</v>
      </c>
      <c r="S92" t="e">
        <f>AND(NhatkyTon!#REF!,"AAAAAH/yXhI=")</f>
        <v>#REF!</v>
      </c>
      <c r="T92" t="e">
        <f>AND(NhatkyTon!#REF!,"AAAAAH/yXhM=")</f>
        <v>#REF!</v>
      </c>
      <c r="U92" t="e">
        <f>AND(NhatkyTon!#REF!,"AAAAAH/yXhQ=")</f>
        <v>#REF!</v>
      </c>
      <c r="V92" t="e">
        <f>AND(NhatkyTon!#REF!,"AAAAAH/yXhU=")</f>
        <v>#REF!</v>
      </c>
      <c r="W92" t="e">
        <f>AND(NhatkyTon!#REF!,"AAAAAH/yXhY=")</f>
        <v>#REF!</v>
      </c>
      <c r="X92" t="e">
        <f>AND(NhatkyTon!#REF!,"AAAAAH/yXhc=")</f>
        <v>#REF!</v>
      </c>
      <c r="Y92" t="e">
        <f>AND(NhatkyTon!#REF!,"AAAAAH/yXhg=")</f>
        <v>#REF!</v>
      </c>
      <c r="Z92" t="e">
        <f>AND(NhatkyTon!#REF!,"AAAAAH/yXhk=")</f>
        <v>#REF!</v>
      </c>
      <c r="AA92" t="e">
        <f>AND(NhatkyTon!#REF!,"AAAAAH/yXho=")</f>
        <v>#REF!</v>
      </c>
      <c r="AB92" t="e">
        <f>AND(NhatkyTon!#REF!,"AAAAAH/yXhs=")</f>
        <v>#REF!</v>
      </c>
      <c r="AC92" t="e">
        <f>AND(NhatkyTon!#REF!,"AAAAAH/yXhw=")</f>
        <v>#REF!</v>
      </c>
      <c r="AD92" t="e">
        <f>AND(NhatkyTon!#REF!,"AAAAAH/yXh0=")</f>
        <v>#REF!</v>
      </c>
      <c r="AE92" t="e">
        <f>AND(NhatkyTon!#REF!,"AAAAAH/yXh4=")</f>
        <v>#REF!</v>
      </c>
      <c r="AF92" t="e">
        <f>AND(NhatkyTon!#REF!,"AAAAAH/yXh8=")</f>
        <v>#REF!</v>
      </c>
      <c r="AG92" t="e">
        <f>AND(NhatkyTon!#REF!,"AAAAAH/yXiA=")</f>
        <v>#REF!</v>
      </c>
      <c r="AH92" t="e">
        <f>AND(NhatkyTon!#REF!,"AAAAAH/yXiE=")</f>
        <v>#REF!</v>
      </c>
      <c r="AI92" t="e">
        <f>AND(NhatkyTon!#REF!,"AAAAAH/yXiI=")</f>
        <v>#REF!</v>
      </c>
      <c r="AJ92" t="e">
        <f>AND(NhatkyTon!#REF!,"AAAAAH/yXiM=")</f>
        <v>#REF!</v>
      </c>
      <c r="AK92" t="e">
        <f>IF(NhatkyTon!#REF!,"AAAAAH/yXiQ=",0)</f>
        <v>#REF!</v>
      </c>
      <c r="AL92" t="e">
        <f>AND(NhatkyTon!#REF!,"AAAAAH/yXiU=")</f>
        <v>#REF!</v>
      </c>
      <c r="AM92" t="e">
        <f>AND(NhatkyTon!#REF!,"AAAAAH/yXiY=")</f>
        <v>#REF!</v>
      </c>
      <c r="AN92" t="e">
        <f>AND(NhatkyTon!#REF!,"AAAAAH/yXic=")</f>
        <v>#REF!</v>
      </c>
      <c r="AO92" t="e">
        <f>AND(NhatkyTon!#REF!,"AAAAAH/yXig=")</f>
        <v>#REF!</v>
      </c>
      <c r="AP92" t="e">
        <f>AND(NhatkyTon!#REF!,"AAAAAH/yXik=")</f>
        <v>#REF!</v>
      </c>
      <c r="AQ92" t="e">
        <f>AND(NhatkyTon!#REF!,"AAAAAH/yXio=")</f>
        <v>#REF!</v>
      </c>
      <c r="AR92" t="e">
        <f>AND(NhatkyTon!#REF!,"AAAAAH/yXis=")</f>
        <v>#REF!</v>
      </c>
      <c r="AS92" t="e">
        <f>AND(NhatkyTon!#REF!,"AAAAAH/yXiw=")</f>
        <v>#REF!</v>
      </c>
      <c r="AT92" t="e">
        <f>AND(NhatkyTon!#REF!,"AAAAAH/yXi0=")</f>
        <v>#REF!</v>
      </c>
      <c r="AU92" t="e">
        <f>AND(NhatkyTon!#REF!,"AAAAAH/yXi4=")</f>
        <v>#REF!</v>
      </c>
      <c r="AV92" t="e">
        <f>AND(NhatkyTon!#REF!,"AAAAAH/yXi8=")</f>
        <v>#REF!</v>
      </c>
      <c r="AW92" t="e">
        <f>AND(NhatkyTon!#REF!,"AAAAAH/yXjA=")</f>
        <v>#REF!</v>
      </c>
      <c r="AX92" t="e">
        <f>AND(NhatkyTon!#REF!,"AAAAAH/yXjE=")</f>
        <v>#REF!</v>
      </c>
      <c r="AY92" t="e">
        <f>AND(NhatkyTon!#REF!,"AAAAAH/yXjI=")</f>
        <v>#REF!</v>
      </c>
      <c r="AZ92" t="e">
        <f>AND(NhatkyTon!#REF!,"AAAAAH/yXjM=")</f>
        <v>#REF!</v>
      </c>
      <c r="BA92" t="e">
        <f>AND(NhatkyTon!#REF!,"AAAAAH/yXjQ=")</f>
        <v>#REF!</v>
      </c>
      <c r="BB92" t="e">
        <f>AND(NhatkyTon!#REF!,"AAAAAH/yXjU=")</f>
        <v>#REF!</v>
      </c>
      <c r="BC92" t="e">
        <f>AND(NhatkyTon!#REF!,"AAAAAH/yXjY=")</f>
        <v>#REF!</v>
      </c>
      <c r="BD92" t="e">
        <f>AND(NhatkyTon!#REF!,"AAAAAH/yXjc=")</f>
        <v>#REF!</v>
      </c>
      <c r="BE92" t="e">
        <f>AND(NhatkyTon!#REF!,"AAAAAH/yXjg=")</f>
        <v>#REF!</v>
      </c>
      <c r="BF92" t="e">
        <f>AND(NhatkyTon!#REF!,"AAAAAH/yXjk=")</f>
        <v>#REF!</v>
      </c>
      <c r="BG92" t="e">
        <f>AND(NhatkyTon!#REF!,"AAAAAH/yXjo=")</f>
        <v>#REF!</v>
      </c>
      <c r="BH92" t="e">
        <f>AND(NhatkyTon!#REF!,"AAAAAH/yXjs=")</f>
        <v>#REF!</v>
      </c>
      <c r="BI92" t="e">
        <f>AND(NhatkyTon!#REF!,"AAAAAH/yXjw=")</f>
        <v>#REF!</v>
      </c>
      <c r="BJ92" t="e">
        <f>AND(NhatkyTon!#REF!,"AAAAAH/yXj0=")</f>
        <v>#REF!</v>
      </c>
      <c r="BK92" t="e">
        <f>AND(NhatkyTon!#REF!,"AAAAAH/yXj4=")</f>
        <v>#REF!</v>
      </c>
      <c r="BL92" t="e">
        <f>AND(NhatkyTon!#REF!,"AAAAAH/yXj8=")</f>
        <v>#REF!</v>
      </c>
      <c r="BM92" t="e">
        <f>AND(NhatkyTon!#REF!,"AAAAAH/yXkA=")</f>
        <v>#REF!</v>
      </c>
      <c r="BN92" t="e">
        <f>AND(NhatkyTon!#REF!,"AAAAAH/yXkE=")</f>
        <v>#REF!</v>
      </c>
      <c r="BO92" t="e">
        <f>AND(NhatkyTon!#REF!,"AAAAAH/yXkI=")</f>
        <v>#REF!</v>
      </c>
      <c r="BP92" t="e">
        <f>AND(NhatkyTon!#REF!,"AAAAAH/yXkM=")</f>
        <v>#REF!</v>
      </c>
      <c r="BQ92" t="e">
        <f>AND(NhatkyTon!#REF!,"AAAAAH/yXkQ=")</f>
        <v>#REF!</v>
      </c>
      <c r="BR92" t="e">
        <f>AND(NhatkyTon!#REF!,"AAAAAH/yXkU=")</f>
        <v>#REF!</v>
      </c>
      <c r="BS92" t="e">
        <f>AND(NhatkyTon!#REF!,"AAAAAH/yXkY=")</f>
        <v>#REF!</v>
      </c>
      <c r="BT92" t="e">
        <f>IF(NhatkyTon!#REF!,"AAAAAH/yXkc=",0)</f>
        <v>#REF!</v>
      </c>
      <c r="BU92" t="e">
        <f>AND(NhatkyTon!#REF!,"AAAAAH/yXkg=")</f>
        <v>#REF!</v>
      </c>
      <c r="BV92" t="e">
        <f>AND(NhatkyTon!#REF!,"AAAAAH/yXkk=")</f>
        <v>#REF!</v>
      </c>
      <c r="BW92" t="e">
        <f>AND(NhatkyTon!#REF!,"AAAAAH/yXko=")</f>
        <v>#REF!</v>
      </c>
      <c r="BX92" t="e">
        <f>AND(NhatkyTon!#REF!,"AAAAAH/yXks=")</f>
        <v>#REF!</v>
      </c>
      <c r="BY92" t="e">
        <f>AND(NhatkyTon!#REF!,"AAAAAH/yXkw=")</f>
        <v>#REF!</v>
      </c>
      <c r="BZ92" t="e">
        <f>AND(NhatkyTon!#REF!,"AAAAAH/yXk0=")</f>
        <v>#REF!</v>
      </c>
      <c r="CA92" t="e">
        <f>AND(NhatkyTon!#REF!,"AAAAAH/yXk4=")</f>
        <v>#REF!</v>
      </c>
      <c r="CB92" t="e">
        <f>AND(NhatkyTon!#REF!,"AAAAAH/yXk8=")</f>
        <v>#REF!</v>
      </c>
      <c r="CC92" t="e">
        <f>AND(NhatkyTon!#REF!,"AAAAAH/yXlA=")</f>
        <v>#REF!</v>
      </c>
      <c r="CD92" t="e">
        <f>AND(NhatkyTon!#REF!,"AAAAAH/yXlE=")</f>
        <v>#REF!</v>
      </c>
      <c r="CE92" t="e">
        <f>AND(NhatkyTon!#REF!,"AAAAAH/yXlI=")</f>
        <v>#REF!</v>
      </c>
      <c r="CF92" t="e">
        <f>AND(NhatkyTon!#REF!,"AAAAAH/yXlM=")</f>
        <v>#REF!</v>
      </c>
      <c r="CG92" t="e">
        <f>AND(NhatkyTon!#REF!,"AAAAAH/yXlQ=")</f>
        <v>#REF!</v>
      </c>
      <c r="CH92" t="e">
        <f>AND(NhatkyTon!#REF!,"AAAAAH/yXlU=")</f>
        <v>#REF!</v>
      </c>
      <c r="CI92" t="e">
        <f>AND(NhatkyTon!#REF!,"AAAAAH/yXlY=")</f>
        <v>#REF!</v>
      </c>
      <c r="CJ92" t="e">
        <f>AND(NhatkyTon!#REF!,"AAAAAH/yXlc=")</f>
        <v>#REF!</v>
      </c>
      <c r="CK92" t="e">
        <f>AND(NhatkyTon!#REF!,"AAAAAH/yXlg=")</f>
        <v>#REF!</v>
      </c>
      <c r="CL92" t="e">
        <f>AND(NhatkyTon!#REF!,"AAAAAH/yXlk=")</f>
        <v>#REF!</v>
      </c>
      <c r="CM92" t="e">
        <f>AND(NhatkyTon!#REF!,"AAAAAH/yXlo=")</f>
        <v>#REF!</v>
      </c>
      <c r="CN92" t="e">
        <f>AND(NhatkyTon!#REF!,"AAAAAH/yXls=")</f>
        <v>#REF!</v>
      </c>
      <c r="CO92" t="e">
        <f>AND(NhatkyTon!#REF!,"AAAAAH/yXlw=")</f>
        <v>#REF!</v>
      </c>
      <c r="CP92" t="e">
        <f>AND(NhatkyTon!#REF!,"AAAAAH/yXl0=")</f>
        <v>#REF!</v>
      </c>
      <c r="CQ92" t="e">
        <f>AND(NhatkyTon!#REF!,"AAAAAH/yXl4=")</f>
        <v>#REF!</v>
      </c>
      <c r="CR92" t="e">
        <f>AND(NhatkyTon!#REF!,"AAAAAH/yXl8=")</f>
        <v>#REF!</v>
      </c>
      <c r="CS92" t="e">
        <f>AND(NhatkyTon!#REF!,"AAAAAH/yXmA=")</f>
        <v>#REF!</v>
      </c>
      <c r="CT92" t="e">
        <f>AND(NhatkyTon!#REF!,"AAAAAH/yXmE=")</f>
        <v>#REF!</v>
      </c>
      <c r="CU92" t="e">
        <f>AND(NhatkyTon!#REF!,"AAAAAH/yXmI=")</f>
        <v>#REF!</v>
      </c>
      <c r="CV92" t="e">
        <f>AND(NhatkyTon!#REF!,"AAAAAH/yXmM=")</f>
        <v>#REF!</v>
      </c>
      <c r="CW92" t="e">
        <f>AND(NhatkyTon!#REF!,"AAAAAH/yXmQ=")</f>
        <v>#REF!</v>
      </c>
      <c r="CX92" t="e">
        <f>AND(NhatkyTon!#REF!,"AAAAAH/yXmU=")</f>
        <v>#REF!</v>
      </c>
      <c r="CY92" t="e">
        <f>AND(NhatkyTon!#REF!,"AAAAAH/yXmY=")</f>
        <v>#REF!</v>
      </c>
      <c r="CZ92" t="e">
        <f>AND(NhatkyTon!#REF!,"AAAAAH/yXmc=")</f>
        <v>#REF!</v>
      </c>
      <c r="DA92" t="e">
        <f>AND(NhatkyTon!#REF!,"AAAAAH/yXmg=")</f>
        <v>#REF!</v>
      </c>
      <c r="DB92" t="e">
        <f>AND(NhatkyTon!#REF!,"AAAAAH/yXmk=")</f>
        <v>#REF!</v>
      </c>
      <c r="DC92" t="e">
        <f>IF(NhatkyTon!#REF!,"AAAAAH/yXmo=",0)</f>
        <v>#REF!</v>
      </c>
      <c r="DD92" t="e">
        <f>AND(NhatkyTon!#REF!,"AAAAAH/yXms=")</f>
        <v>#REF!</v>
      </c>
      <c r="DE92" t="e">
        <f>AND(NhatkyTon!#REF!,"AAAAAH/yXmw=")</f>
        <v>#REF!</v>
      </c>
      <c r="DF92" t="e">
        <f>AND(NhatkyTon!#REF!,"AAAAAH/yXm0=")</f>
        <v>#REF!</v>
      </c>
      <c r="DG92" t="e">
        <f>AND(NhatkyTon!#REF!,"AAAAAH/yXm4=")</f>
        <v>#REF!</v>
      </c>
      <c r="DH92" t="e">
        <f>AND(NhatkyTon!#REF!,"AAAAAH/yXm8=")</f>
        <v>#REF!</v>
      </c>
      <c r="DI92" t="e">
        <f>AND(NhatkyTon!#REF!,"AAAAAH/yXnA=")</f>
        <v>#REF!</v>
      </c>
      <c r="DJ92" t="e">
        <f>AND(NhatkyTon!#REF!,"AAAAAH/yXnE=")</f>
        <v>#REF!</v>
      </c>
      <c r="DK92" t="e">
        <f>AND(NhatkyTon!#REF!,"AAAAAH/yXnI=")</f>
        <v>#REF!</v>
      </c>
      <c r="DL92" t="e">
        <f>AND(NhatkyTon!#REF!,"AAAAAH/yXnM=")</f>
        <v>#REF!</v>
      </c>
      <c r="DM92" t="e">
        <f>AND(NhatkyTon!#REF!,"AAAAAH/yXnQ=")</f>
        <v>#REF!</v>
      </c>
      <c r="DN92" t="e">
        <f>AND(NhatkyTon!#REF!,"AAAAAH/yXnU=")</f>
        <v>#REF!</v>
      </c>
      <c r="DO92" t="e">
        <f>AND(NhatkyTon!#REF!,"AAAAAH/yXnY=")</f>
        <v>#REF!</v>
      </c>
      <c r="DP92" t="e">
        <f>AND(NhatkyTon!#REF!,"AAAAAH/yXnc=")</f>
        <v>#REF!</v>
      </c>
      <c r="DQ92" t="e">
        <f>AND(NhatkyTon!#REF!,"AAAAAH/yXng=")</f>
        <v>#REF!</v>
      </c>
      <c r="DR92" t="e">
        <f>AND(NhatkyTon!#REF!,"AAAAAH/yXnk=")</f>
        <v>#REF!</v>
      </c>
      <c r="DS92" t="e">
        <f>AND(NhatkyTon!#REF!,"AAAAAH/yXno=")</f>
        <v>#REF!</v>
      </c>
      <c r="DT92" t="e">
        <f>AND(NhatkyTon!#REF!,"AAAAAH/yXns=")</f>
        <v>#REF!</v>
      </c>
      <c r="DU92" t="e">
        <f>AND(NhatkyTon!#REF!,"AAAAAH/yXnw=")</f>
        <v>#REF!</v>
      </c>
      <c r="DV92" t="e">
        <f>AND(NhatkyTon!#REF!,"AAAAAH/yXn0=")</f>
        <v>#REF!</v>
      </c>
      <c r="DW92" t="e">
        <f>AND(NhatkyTon!#REF!,"AAAAAH/yXn4=")</f>
        <v>#REF!</v>
      </c>
      <c r="DX92" t="e">
        <f>AND(NhatkyTon!#REF!,"AAAAAH/yXn8=")</f>
        <v>#REF!</v>
      </c>
      <c r="DY92" t="e">
        <f>AND(NhatkyTon!#REF!,"AAAAAH/yXoA=")</f>
        <v>#REF!</v>
      </c>
      <c r="DZ92" t="e">
        <f>AND(NhatkyTon!#REF!,"AAAAAH/yXoE=")</f>
        <v>#REF!</v>
      </c>
      <c r="EA92" t="e">
        <f>AND(NhatkyTon!#REF!,"AAAAAH/yXoI=")</f>
        <v>#REF!</v>
      </c>
      <c r="EB92" t="e">
        <f>AND(NhatkyTon!#REF!,"AAAAAH/yXoM=")</f>
        <v>#REF!</v>
      </c>
      <c r="EC92" t="e">
        <f>AND(NhatkyTon!#REF!,"AAAAAH/yXoQ=")</f>
        <v>#REF!</v>
      </c>
      <c r="ED92" t="e">
        <f>AND(NhatkyTon!#REF!,"AAAAAH/yXoU=")</f>
        <v>#REF!</v>
      </c>
      <c r="EE92" t="e">
        <f>AND(NhatkyTon!#REF!,"AAAAAH/yXoY=")</f>
        <v>#REF!</v>
      </c>
      <c r="EF92" t="e">
        <f>AND(NhatkyTon!#REF!,"AAAAAH/yXoc=")</f>
        <v>#REF!</v>
      </c>
      <c r="EG92" t="e">
        <f>AND(NhatkyTon!#REF!,"AAAAAH/yXog=")</f>
        <v>#REF!</v>
      </c>
      <c r="EH92" t="e">
        <f>AND(NhatkyTon!#REF!,"AAAAAH/yXok=")</f>
        <v>#REF!</v>
      </c>
      <c r="EI92" t="e">
        <f>AND(NhatkyTon!#REF!,"AAAAAH/yXoo=")</f>
        <v>#REF!</v>
      </c>
      <c r="EJ92" t="e">
        <f>AND(NhatkyTon!#REF!,"AAAAAH/yXos=")</f>
        <v>#REF!</v>
      </c>
      <c r="EK92" t="e">
        <f>AND(NhatkyTon!#REF!,"AAAAAH/yXow=")</f>
        <v>#REF!</v>
      </c>
      <c r="EL92" t="e">
        <f>IF(NhatkyTon!#REF!,"AAAAAH/yXo0=",0)</f>
        <v>#REF!</v>
      </c>
      <c r="EM92" t="e">
        <f>AND(NhatkyTon!#REF!,"AAAAAH/yXo4=")</f>
        <v>#REF!</v>
      </c>
      <c r="EN92" t="e">
        <f>AND(NhatkyTon!#REF!,"AAAAAH/yXo8=")</f>
        <v>#REF!</v>
      </c>
      <c r="EO92" t="e">
        <f>AND(NhatkyTon!#REF!,"AAAAAH/yXpA=")</f>
        <v>#REF!</v>
      </c>
      <c r="EP92" t="e">
        <f>AND(NhatkyTon!#REF!,"AAAAAH/yXpE=")</f>
        <v>#REF!</v>
      </c>
      <c r="EQ92" t="e">
        <f>AND(NhatkyTon!#REF!,"AAAAAH/yXpI=")</f>
        <v>#REF!</v>
      </c>
      <c r="ER92" t="e">
        <f>AND(NhatkyTon!#REF!,"AAAAAH/yXpM=")</f>
        <v>#REF!</v>
      </c>
      <c r="ES92" t="e">
        <f>AND(NhatkyTon!#REF!,"AAAAAH/yXpQ=")</f>
        <v>#REF!</v>
      </c>
      <c r="ET92" t="e">
        <f>AND(NhatkyTon!#REF!,"AAAAAH/yXpU=")</f>
        <v>#REF!</v>
      </c>
      <c r="EU92" t="e">
        <f>AND(NhatkyTon!#REF!,"AAAAAH/yXpY=")</f>
        <v>#REF!</v>
      </c>
      <c r="EV92" t="e">
        <f>AND(NhatkyTon!#REF!,"AAAAAH/yXpc=")</f>
        <v>#REF!</v>
      </c>
      <c r="EW92" t="e">
        <f>AND(NhatkyTon!#REF!,"AAAAAH/yXpg=")</f>
        <v>#REF!</v>
      </c>
      <c r="EX92" t="e">
        <f>AND(NhatkyTon!#REF!,"AAAAAH/yXpk=")</f>
        <v>#REF!</v>
      </c>
      <c r="EY92" t="e">
        <f>AND(NhatkyTon!#REF!,"AAAAAH/yXpo=")</f>
        <v>#REF!</v>
      </c>
      <c r="EZ92" t="e">
        <f>AND(NhatkyTon!#REF!,"AAAAAH/yXps=")</f>
        <v>#REF!</v>
      </c>
      <c r="FA92" t="e">
        <f>AND(NhatkyTon!#REF!,"AAAAAH/yXpw=")</f>
        <v>#REF!</v>
      </c>
      <c r="FB92" t="e">
        <f>AND(NhatkyTon!#REF!,"AAAAAH/yXp0=")</f>
        <v>#REF!</v>
      </c>
      <c r="FC92" t="e">
        <f>AND(NhatkyTon!#REF!,"AAAAAH/yXp4=")</f>
        <v>#REF!</v>
      </c>
      <c r="FD92" t="e">
        <f>AND(NhatkyTon!#REF!,"AAAAAH/yXp8=")</f>
        <v>#REF!</v>
      </c>
      <c r="FE92" t="e">
        <f>AND(NhatkyTon!#REF!,"AAAAAH/yXqA=")</f>
        <v>#REF!</v>
      </c>
      <c r="FF92" t="e">
        <f>AND(NhatkyTon!#REF!,"AAAAAH/yXqE=")</f>
        <v>#REF!</v>
      </c>
      <c r="FG92" t="e">
        <f>AND(NhatkyTon!#REF!,"AAAAAH/yXqI=")</f>
        <v>#REF!</v>
      </c>
      <c r="FH92" t="e">
        <f>AND(NhatkyTon!#REF!,"AAAAAH/yXqM=")</f>
        <v>#REF!</v>
      </c>
      <c r="FI92" t="e">
        <f>AND(NhatkyTon!#REF!,"AAAAAH/yXqQ=")</f>
        <v>#REF!</v>
      </c>
      <c r="FJ92" t="e">
        <f>AND(NhatkyTon!#REF!,"AAAAAH/yXqU=")</f>
        <v>#REF!</v>
      </c>
      <c r="FK92" t="e">
        <f>AND(NhatkyTon!#REF!,"AAAAAH/yXqY=")</f>
        <v>#REF!</v>
      </c>
      <c r="FL92" t="e">
        <f>AND(NhatkyTon!#REF!,"AAAAAH/yXqc=")</f>
        <v>#REF!</v>
      </c>
      <c r="FM92" t="e">
        <f>AND(NhatkyTon!#REF!,"AAAAAH/yXqg=")</f>
        <v>#REF!</v>
      </c>
      <c r="FN92" t="e">
        <f>AND(NhatkyTon!#REF!,"AAAAAH/yXqk=")</f>
        <v>#REF!</v>
      </c>
      <c r="FO92" t="e">
        <f>AND(NhatkyTon!#REF!,"AAAAAH/yXqo=")</f>
        <v>#REF!</v>
      </c>
      <c r="FP92" t="e">
        <f>AND(NhatkyTon!#REF!,"AAAAAH/yXqs=")</f>
        <v>#REF!</v>
      </c>
      <c r="FQ92" t="e">
        <f>AND(NhatkyTon!#REF!,"AAAAAH/yXqw=")</f>
        <v>#REF!</v>
      </c>
      <c r="FR92" t="e">
        <f>AND(NhatkyTon!#REF!,"AAAAAH/yXq0=")</f>
        <v>#REF!</v>
      </c>
      <c r="FS92" t="e">
        <f>AND(NhatkyTon!#REF!,"AAAAAH/yXq4=")</f>
        <v>#REF!</v>
      </c>
      <c r="FT92" t="e">
        <f>AND(NhatkyTon!#REF!,"AAAAAH/yXq8=")</f>
        <v>#REF!</v>
      </c>
      <c r="FU92" t="e">
        <f>IF(NhatkyTon!#REF!,"AAAAAH/yXrA=",0)</f>
        <v>#REF!</v>
      </c>
      <c r="FV92" t="e">
        <f>AND(NhatkyTon!#REF!,"AAAAAH/yXrE=")</f>
        <v>#REF!</v>
      </c>
      <c r="FW92" t="e">
        <f>AND(NhatkyTon!#REF!,"AAAAAH/yXrI=")</f>
        <v>#REF!</v>
      </c>
      <c r="FX92" t="e">
        <f>AND(NhatkyTon!#REF!,"AAAAAH/yXrM=")</f>
        <v>#REF!</v>
      </c>
      <c r="FY92" t="e">
        <f>AND(NhatkyTon!#REF!,"AAAAAH/yXrQ=")</f>
        <v>#REF!</v>
      </c>
      <c r="FZ92" t="e">
        <f>AND(NhatkyTon!#REF!,"AAAAAH/yXrU=")</f>
        <v>#REF!</v>
      </c>
      <c r="GA92" t="e">
        <f>AND(NhatkyTon!#REF!,"AAAAAH/yXrY=")</f>
        <v>#REF!</v>
      </c>
      <c r="GB92" t="e">
        <f>AND(NhatkyTon!#REF!,"AAAAAH/yXrc=")</f>
        <v>#REF!</v>
      </c>
      <c r="GC92" t="e">
        <f>AND(NhatkyTon!#REF!,"AAAAAH/yXrg=")</f>
        <v>#REF!</v>
      </c>
      <c r="GD92" t="e">
        <f>AND(NhatkyTon!#REF!,"AAAAAH/yXrk=")</f>
        <v>#REF!</v>
      </c>
      <c r="GE92" t="e">
        <f>AND(NhatkyTon!#REF!,"AAAAAH/yXro=")</f>
        <v>#REF!</v>
      </c>
      <c r="GF92" t="e">
        <f>AND(NhatkyTon!#REF!,"AAAAAH/yXrs=")</f>
        <v>#REF!</v>
      </c>
      <c r="GG92" t="e">
        <f>AND(NhatkyTon!#REF!,"AAAAAH/yXrw=")</f>
        <v>#REF!</v>
      </c>
      <c r="GH92" t="e">
        <f>AND(NhatkyTon!#REF!,"AAAAAH/yXr0=")</f>
        <v>#REF!</v>
      </c>
      <c r="GI92" t="e">
        <f>AND(NhatkyTon!#REF!,"AAAAAH/yXr4=")</f>
        <v>#REF!</v>
      </c>
      <c r="GJ92" t="e">
        <f>AND(NhatkyTon!#REF!,"AAAAAH/yXr8=")</f>
        <v>#REF!</v>
      </c>
      <c r="GK92" t="e">
        <f>AND(NhatkyTon!#REF!,"AAAAAH/yXsA=")</f>
        <v>#REF!</v>
      </c>
      <c r="GL92" t="e">
        <f>AND(NhatkyTon!#REF!,"AAAAAH/yXsE=")</f>
        <v>#REF!</v>
      </c>
      <c r="GM92" t="e">
        <f>AND(NhatkyTon!#REF!,"AAAAAH/yXsI=")</f>
        <v>#REF!</v>
      </c>
      <c r="GN92" t="e">
        <f>AND(NhatkyTon!#REF!,"AAAAAH/yXsM=")</f>
        <v>#REF!</v>
      </c>
      <c r="GO92" t="e">
        <f>AND(NhatkyTon!#REF!,"AAAAAH/yXsQ=")</f>
        <v>#REF!</v>
      </c>
      <c r="GP92" t="e">
        <f>AND(NhatkyTon!#REF!,"AAAAAH/yXsU=")</f>
        <v>#REF!</v>
      </c>
      <c r="GQ92" t="e">
        <f>AND(NhatkyTon!#REF!,"AAAAAH/yXsY=")</f>
        <v>#REF!</v>
      </c>
      <c r="GR92" t="e">
        <f>AND(NhatkyTon!#REF!,"AAAAAH/yXsc=")</f>
        <v>#REF!</v>
      </c>
      <c r="GS92" t="e">
        <f>AND(NhatkyTon!#REF!,"AAAAAH/yXsg=")</f>
        <v>#REF!</v>
      </c>
      <c r="GT92" t="e">
        <f>AND(NhatkyTon!#REF!,"AAAAAH/yXsk=")</f>
        <v>#REF!</v>
      </c>
      <c r="GU92" t="e">
        <f>AND(NhatkyTon!#REF!,"AAAAAH/yXso=")</f>
        <v>#REF!</v>
      </c>
      <c r="GV92" t="e">
        <f>AND(NhatkyTon!#REF!,"AAAAAH/yXss=")</f>
        <v>#REF!</v>
      </c>
      <c r="GW92" t="e">
        <f>AND(NhatkyTon!#REF!,"AAAAAH/yXsw=")</f>
        <v>#REF!</v>
      </c>
      <c r="GX92" t="e">
        <f>AND(NhatkyTon!#REF!,"AAAAAH/yXs0=")</f>
        <v>#REF!</v>
      </c>
      <c r="GY92" t="e">
        <f>AND(NhatkyTon!#REF!,"AAAAAH/yXs4=")</f>
        <v>#REF!</v>
      </c>
      <c r="GZ92" t="e">
        <f>AND(NhatkyTon!#REF!,"AAAAAH/yXs8=")</f>
        <v>#REF!</v>
      </c>
      <c r="HA92" t="e">
        <f>AND(NhatkyTon!#REF!,"AAAAAH/yXtA=")</f>
        <v>#REF!</v>
      </c>
      <c r="HB92" t="e">
        <f>AND(NhatkyTon!#REF!,"AAAAAH/yXtE=")</f>
        <v>#REF!</v>
      </c>
      <c r="HC92" t="e">
        <f>AND(NhatkyTon!#REF!,"AAAAAH/yXtI=")</f>
        <v>#REF!</v>
      </c>
      <c r="HD92" t="e">
        <f>IF(NhatkyTon!#REF!,"AAAAAH/yXtM=",0)</f>
        <v>#REF!</v>
      </c>
      <c r="HE92" t="e">
        <f>AND(NhatkyTon!#REF!,"AAAAAH/yXtQ=")</f>
        <v>#REF!</v>
      </c>
      <c r="HF92" t="e">
        <f>AND(NhatkyTon!#REF!,"AAAAAH/yXtU=")</f>
        <v>#REF!</v>
      </c>
      <c r="HG92" t="e">
        <f>AND(NhatkyTon!#REF!,"AAAAAH/yXtY=")</f>
        <v>#REF!</v>
      </c>
      <c r="HH92" t="e">
        <f>AND(NhatkyTon!#REF!,"AAAAAH/yXtc=")</f>
        <v>#REF!</v>
      </c>
      <c r="HI92" t="e">
        <f>AND(NhatkyTon!#REF!,"AAAAAH/yXtg=")</f>
        <v>#REF!</v>
      </c>
      <c r="HJ92" t="e">
        <f>AND(NhatkyTon!#REF!,"AAAAAH/yXtk=")</f>
        <v>#REF!</v>
      </c>
      <c r="HK92" t="e">
        <f>AND(NhatkyTon!#REF!,"AAAAAH/yXto=")</f>
        <v>#REF!</v>
      </c>
      <c r="HL92" t="e">
        <f>AND(NhatkyTon!#REF!,"AAAAAH/yXts=")</f>
        <v>#REF!</v>
      </c>
      <c r="HM92" t="e">
        <f>AND(NhatkyTon!#REF!,"AAAAAH/yXtw=")</f>
        <v>#REF!</v>
      </c>
      <c r="HN92" t="e">
        <f>AND(NhatkyTon!#REF!,"AAAAAH/yXt0=")</f>
        <v>#REF!</v>
      </c>
      <c r="HO92" t="e">
        <f>AND(NhatkyTon!#REF!,"AAAAAH/yXt4=")</f>
        <v>#REF!</v>
      </c>
      <c r="HP92" t="e">
        <f>AND(NhatkyTon!#REF!,"AAAAAH/yXt8=")</f>
        <v>#REF!</v>
      </c>
      <c r="HQ92" t="e">
        <f>AND(NhatkyTon!#REF!,"AAAAAH/yXuA=")</f>
        <v>#REF!</v>
      </c>
      <c r="HR92" t="e">
        <f>AND(NhatkyTon!#REF!,"AAAAAH/yXuE=")</f>
        <v>#REF!</v>
      </c>
      <c r="HS92" t="e">
        <f>AND(NhatkyTon!#REF!,"AAAAAH/yXuI=")</f>
        <v>#REF!</v>
      </c>
      <c r="HT92" t="e">
        <f>AND(NhatkyTon!#REF!,"AAAAAH/yXuM=")</f>
        <v>#REF!</v>
      </c>
      <c r="HU92" t="e">
        <f>AND(NhatkyTon!#REF!,"AAAAAH/yXuQ=")</f>
        <v>#REF!</v>
      </c>
      <c r="HV92" t="e">
        <f>AND(NhatkyTon!#REF!,"AAAAAH/yXuU=")</f>
        <v>#REF!</v>
      </c>
      <c r="HW92" t="e">
        <f>AND(NhatkyTon!#REF!,"AAAAAH/yXuY=")</f>
        <v>#REF!</v>
      </c>
      <c r="HX92" t="e">
        <f>AND(NhatkyTon!#REF!,"AAAAAH/yXuc=")</f>
        <v>#REF!</v>
      </c>
      <c r="HY92" t="e">
        <f>AND(NhatkyTon!#REF!,"AAAAAH/yXug=")</f>
        <v>#REF!</v>
      </c>
      <c r="HZ92" t="e">
        <f>AND(NhatkyTon!#REF!,"AAAAAH/yXuk=")</f>
        <v>#REF!</v>
      </c>
      <c r="IA92" t="e">
        <f>AND(NhatkyTon!#REF!,"AAAAAH/yXuo=")</f>
        <v>#REF!</v>
      </c>
      <c r="IB92" t="e">
        <f>AND(NhatkyTon!#REF!,"AAAAAH/yXus=")</f>
        <v>#REF!</v>
      </c>
      <c r="IC92" t="e">
        <f>AND(NhatkyTon!#REF!,"AAAAAH/yXuw=")</f>
        <v>#REF!</v>
      </c>
      <c r="ID92" t="e">
        <f>AND(NhatkyTon!#REF!,"AAAAAH/yXu0=")</f>
        <v>#REF!</v>
      </c>
      <c r="IE92" t="e">
        <f>AND(NhatkyTon!#REF!,"AAAAAH/yXu4=")</f>
        <v>#REF!</v>
      </c>
      <c r="IF92" t="e">
        <f>AND(NhatkyTon!#REF!,"AAAAAH/yXu8=")</f>
        <v>#REF!</v>
      </c>
      <c r="IG92" t="e">
        <f>AND(NhatkyTon!#REF!,"AAAAAH/yXvA=")</f>
        <v>#REF!</v>
      </c>
      <c r="IH92" t="e">
        <f>AND(NhatkyTon!#REF!,"AAAAAH/yXvE=")</f>
        <v>#REF!</v>
      </c>
      <c r="II92" t="e">
        <f>AND(NhatkyTon!#REF!,"AAAAAH/yXvI=")</f>
        <v>#REF!</v>
      </c>
      <c r="IJ92" t="e">
        <f>AND(NhatkyTon!#REF!,"AAAAAH/yXvM=")</f>
        <v>#REF!</v>
      </c>
      <c r="IK92" t="e">
        <f>AND(NhatkyTon!#REF!,"AAAAAH/yXvQ=")</f>
        <v>#REF!</v>
      </c>
      <c r="IL92" t="e">
        <f>AND(NhatkyTon!#REF!,"AAAAAH/yXvU=")</f>
        <v>#REF!</v>
      </c>
      <c r="IM92" t="e">
        <f>IF(NhatkyTon!#REF!,"AAAAAH/yXvY=",0)</f>
        <v>#REF!</v>
      </c>
      <c r="IN92" t="e">
        <f>AND(NhatkyTon!#REF!,"AAAAAH/yXvc=")</f>
        <v>#REF!</v>
      </c>
      <c r="IO92" t="e">
        <f>AND(NhatkyTon!#REF!,"AAAAAH/yXvg=")</f>
        <v>#REF!</v>
      </c>
      <c r="IP92" t="e">
        <f>AND(NhatkyTon!#REF!,"AAAAAH/yXvk=")</f>
        <v>#REF!</v>
      </c>
      <c r="IQ92" t="e">
        <f>AND(NhatkyTon!#REF!,"AAAAAH/yXvo=")</f>
        <v>#REF!</v>
      </c>
      <c r="IR92" t="e">
        <f>AND(NhatkyTon!#REF!,"AAAAAH/yXvs=")</f>
        <v>#REF!</v>
      </c>
      <c r="IS92" t="e">
        <f>AND(NhatkyTon!#REF!,"AAAAAH/yXvw=")</f>
        <v>#REF!</v>
      </c>
      <c r="IT92" t="e">
        <f>AND(NhatkyTon!#REF!,"AAAAAH/yXv0=")</f>
        <v>#REF!</v>
      </c>
      <c r="IU92" t="e">
        <f>AND(NhatkyTon!#REF!,"AAAAAH/yXv4=")</f>
        <v>#REF!</v>
      </c>
      <c r="IV92" t="e">
        <f>AND(NhatkyTon!#REF!,"AAAAAH/yXv8=")</f>
        <v>#REF!</v>
      </c>
    </row>
    <row r="93" spans="1:256">
      <c r="A93" t="e">
        <f>AND(NhatkyTon!#REF!,"AAAAAH/uqQA=")</f>
        <v>#REF!</v>
      </c>
      <c r="B93" t="e">
        <f>AND(NhatkyTon!#REF!,"AAAAAH/uqQE=")</f>
        <v>#REF!</v>
      </c>
      <c r="C93" t="e">
        <f>AND(NhatkyTon!#REF!,"AAAAAH/uqQI=")</f>
        <v>#REF!</v>
      </c>
      <c r="D93" t="e">
        <f>AND(NhatkyTon!#REF!,"AAAAAH/uqQM=")</f>
        <v>#REF!</v>
      </c>
      <c r="E93" t="e">
        <f>AND(NhatkyTon!#REF!,"AAAAAH/uqQQ=")</f>
        <v>#REF!</v>
      </c>
      <c r="F93" t="e">
        <f>AND(NhatkyTon!#REF!,"AAAAAH/uqQU=")</f>
        <v>#REF!</v>
      </c>
      <c r="G93" t="e">
        <f>AND(NhatkyTon!#REF!,"AAAAAH/uqQY=")</f>
        <v>#REF!</v>
      </c>
      <c r="H93" t="e">
        <f>AND(NhatkyTon!#REF!,"AAAAAH/uqQc=")</f>
        <v>#REF!</v>
      </c>
      <c r="I93" t="e">
        <f>AND(NhatkyTon!#REF!,"AAAAAH/uqQg=")</f>
        <v>#REF!</v>
      </c>
      <c r="J93" t="e">
        <f>AND(NhatkyTon!#REF!,"AAAAAH/uqQk=")</f>
        <v>#REF!</v>
      </c>
      <c r="K93" t="e">
        <f>AND(NhatkyTon!#REF!,"AAAAAH/uqQo=")</f>
        <v>#REF!</v>
      </c>
      <c r="L93" t="e">
        <f>AND(NhatkyTon!#REF!,"AAAAAH/uqQs=")</f>
        <v>#REF!</v>
      </c>
      <c r="M93" t="e">
        <f>AND(NhatkyTon!#REF!,"AAAAAH/uqQw=")</f>
        <v>#REF!</v>
      </c>
      <c r="N93" t="e">
        <f>AND(NhatkyTon!#REF!,"AAAAAH/uqQ0=")</f>
        <v>#REF!</v>
      </c>
      <c r="O93" t="e">
        <f>AND(NhatkyTon!#REF!,"AAAAAH/uqQ4=")</f>
        <v>#REF!</v>
      </c>
      <c r="P93" t="e">
        <f>AND(NhatkyTon!#REF!,"AAAAAH/uqQ8=")</f>
        <v>#REF!</v>
      </c>
      <c r="Q93" t="e">
        <f>AND(NhatkyTon!#REF!,"AAAAAH/uqRA=")</f>
        <v>#REF!</v>
      </c>
      <c r="R93" t="e">
        <f>AND(NhatkyTon!#REF!,"AAAAAH/uqRE=")</f>
        <v>#REF!</v>
      </c>
      <c r="S93" t="e">
        <f>AND(NhatkyTon!#REF!,"AAAAAH/uqRI=")</f>
        <v>#REF!</v>
      </c>
      <c r="T93" t="e">
        <f>AND(NhatkyTon!#REF!,"AAAAAH/uqRM=")</f>
        <v>#REF!</v>
      </c>
      <c r="U93" t="e">
        <f>AND(NhatkyTon!#REF!,"AAAAAH/uqRQ=")</f>
        <v>#REF!</v>
      </c>
      <c r="V93" t="e">
        <f>AND(NhatkyTon!#REF!,"AAAAAH/uqRU=")</f>
        <v>#REF!</v>
      </c>
      <c r="W93" t="e">
        <f>AND(NhatkyTon!#REF!,"AAAAAH/uqRY=")</f>
        <v>#REF!</v>
      </c>
      <c r="X93" t="e">
        <f>AND(NhatkyTon!#REF!,"AAAAAH/uqRc=")</f>
        <v>#REF!</v>
      </c>
      <c r="Y93" t="e">
        <f>AND(NhatkyTon!#REF!,"AAAAAH/uqRg=")</f>
        <v>#REF!</v>
      </c>
      <c r="Z93" t="e">
        <f>IF(NhatkyTon!#REF!,"AAAAAH/uqRk=",0)</f>
        <v>#REF!</v>
      </c>
      <c r="AA93" t="e">
        <f>AND(NhatkyTon!#REF!,"AAAAAH/uqRo=")</f>
        <v>#REF!</v>
      </c>
      <c r="AB93" t="e">
        <f>AND(NhatkyTon!#REF!,"AAAAAH/uqRs=")</f>
        <v>#REF!</v>
      </c>
      <c r="AC93" t="e">
        <f>AND(NhatkyTon!#REF!,"AAAAAH/uqRw=")</f>
        <v>#REF!</v>
      </c>
      <c r="AD93" t="e">
        <f>AND(NhatkyTon!#REF!,"AAAAAH/uqR0=")</f>
        <v>#REF!</v>
      </c>
      <c r="AE93" t="e">
        <f>AND(NhatkyTon!#REF!,"AAAAAH/uqR4=")</f>
        <v>#REF!</v>
      </c>
      <c r="AF93" t="e">
        <f>AND(NhatkyTon!#REF!,"AAAAAH/uqR8=")</f>
        <v>#REF!</v>
      </c>
      <c r="AG93" t="e">
        <f>AND(NhatkyTon!#REF!,"AAAAAH/uqSA=")</f>
        <v>#REF!</v>
      </c>
      <c r="AH93" t="e">
        <f>AND(NhatkyTon!#REF!,"AAAAAH/uqSE=")</f>
        <v>#REF!</v>
      </c>
      <c r="AI93" t="e">
        <f>AND(NhatkyTon!#REF!,"AAAAAH/uqSI=")</f>
        <v>#REF!</v>
      </c>
      <c r="AJ93" t="e">
        <f>AND(NhatkyTon!#REF!,"AAAAAH/uqSM=")</f>
        <v>#REF!</v>
      </c>
      <c r="AK93" t="e">
        <f>AND(NhatkyTon!#REF!,"AAAAAH/uqSQ=")</f>
        <v>#REF!</v>
      </c>
      <c r="AL93" t="e">
        <f>AND(NhatkyTon!#REF!,"AAAAAH/uqSU=")</f>
        <v>#REF!</v>
      </c>
      <c r="AM93" t="e">
        <f>AND(NhatkyTon!#REF!,"AAAAAH/uqSY=")</f>
        <v>#REF!</v>
      </c>
      <c r="AN93" t="e">
        <f>AND(NhatkyTon!#REF!,"AAAAAH/uqSc=")</f>
        <v>#REF!</v>
      </c>
      <c r="AO93" t="e">
        <f>AND(NhatkyTon!#REF!,"AAAAAH/uqSg=")</f>
        <v>#REF!</v>
      </c>
      <c r="AP93" t="e">
        <f>AND(NhatkyTon!#REF!,"AAAAAH/uqSk=")</f>
        <v>#REF!</v>
      </c>
      <c r="AQ93" t="e">
        <f>AND(NhatkyTon!#REF!,"AAAAAH/uqSo=")</f>
        <v>#REF!</v>
      </c>
      <c r="AR93" t="e">
        <f>AND(NhatkyTon!#REF!,"AAAAAH/uqSs=")</f>
        <v>#REF!</v>
      </c>
      <c r="AS93" t="e">
        <f>AND(NhatkyTon!#REF!,"AAAAAH/uqSw=")</f>
        <v>#REF!</v>
      </c>
      <c r="AT93" t="e">
        <f>AND(NhatkyTon!#REF!,"AAAAAH/uqS0=")</f>
        <v>#REF!</v>
      </c>
      <c r="AU93" t="e">
        <f>AND(NhatkyTon!#REF!,"AAAAAH/uqS4=")</f>
        <v>#REF!</v>
      </c>
      <c r="AV93" t="e">
        <f>AND(NhatkyTon!#REF!,"AAAAAH/uqS8=")</f>
        <v>#REF!</v>
      </c>
      <c r="AW93" t="e">
        <f>AND(NhatkyTon!#REF!,"AAAAAH/uqTA=")</f>
        <v>#REF!</v>
      </c>
      <c r="AX93" t="e">
        <f>AND(NhatkyTon!#REF!,"AAAAAH/uqTE=")</f>
        <v>#REF!</v>
      </c>
      <c r="AY93" t="e">
        <f>AND(NhatkyTon!#REF!,"AAAAAH/uqTI=")</f>
        <v>#REF!</v>
      </c>
      <c r="AZ93" t="e">
        <f>AND(NhatkyTon!#REF!,"AAAAAH/uqTM=")</f>
        <v>#REF!</v>
      </c>
      <c r="BA93" t="e">
        <f>AND(NhatkyTon!#REF!,"AAAAAH/uqTQ=")</f>
        <v>#REF!</v>
      </c>
      <c r="BB93" t="e">
        <f>AND(NhatkyTon!#REF!,"AAAAAH/uqTU=")</f>
        <v>#REF!</v>
      </c>
      <c r="BC93" t="e">
        <f>AND(NhatkyTon!#REF!,"AAAAAH/uqTY=")</f>
        <v>#REF!</v>
      </c>
      <c r="BD93" t="e">
        <f>AND(NhatkyTon!#REF!,"AAAAAH/uqTc=")</f>
        <v>#REF!</v>
      </c>
      <c r="BE93" t="e">
        <f>AND(NhatkyTon!#REF!,"AAAAAH/uqTg=")</f>
        <v>#REF!</v>
      </c>
      <c r="BF93" t="e">
        <f>AND(NhatkyTon!#REF!,"AAAAAH/uqTk=")</f>
        <v>#REF!</v>
      </c>
      <c r="BG93" t="e">
        <f>AND(NhatkyTon!#REF!,"AAAAAH/uqTo=")</f>
        <v>#REF!</v>
      </c>
      <c r="BH93" t="e">
        <f>AND(NhatkyTon!#REF!,"AAAAAH/uqTs=")</f>
        <v>#REF!</v>
      </c>
      <c r="BI93" t="e">
        <f>IF(NhatkyTon!#REF!,"AAAAAH/uqTw=",0)</f>
        <v>#REF!</v>
      </c>
      <c r="BJ93" t="e">
        <f>AND(NhatkyTon!#REF!,"AAAAAH/uqT0=")</f>
        <v>#REF!</v>
      </c>
      <c r="BK93" t="e">
        <f>AND(NhatkyTon!#REF!,"AAAAAH/uqT4=")</f>
        <v>#REF!</v>
      </c>
      <c r="BL93" t="e">
        <f>AND(NhatkyTon!#REF!,"AAAAAH/uqT8=")</f>
        <v>#REF!</v>
      </c>
      <c r="BM93" t="e">
        <f>AND(NhatkyTon!#REF!,"AAAAAH/uqUA=")</f>
        <v>#REF!</v>
      </c>
      <c r="BN93" t="e">
        <f>AND(NhatkyTon!#REF!,"AAAAAH/uqUE=")</f>
        <v>#REF!</v>
      </c>
      <c r="BO93" t="e">
        <f>AND(NhatkyTon!#REF!,"AAAAAH/uqUI=")</f>
        <v>#REF!</v>
      </c>
      <c r="BP93" t="e">
        <f>AND(NhatkyTon!#REF!,"AAAAAH/uqUM=")</f>
        <v>#REF!</v>
      </c>
      <c r="BQ93" t="e">
        <f>AND(NhatkyTon!#REF!,"AAAAAH/uqUQ=")</f>
        <v>#REF!</v>
      </c>
      <c r="BR93" t="e">
        <f>AND(NhatkyTon!#REF!,"AAAAAH/uqUU=")</f>
        <v>#REF!</v>
      </c>
      <c r="BS93" t="e">
        <f>AND(NhatkyTon!#REF!,"AAAAAH/uqUY=")</f>
        <v>#REF!</v>
      </c>
      <c r="BT93" t="e">
        <f>AND(NhatkyTon!#REF!,"AAAAAH/uqUc=")</f>
        <v>#REF!</v>
      </c>
      <c r="BU93" t="e">
        <f>AND(NhatkyTon!#REF!,"AAAAAH/uqUg=")</f>
        <v>#REF!</v>
      </c>
      <c r="BV93" t="e">
        <f>AND(NhatkyTon!#REF!,"AAAAAH/uqUk=")</f>
        <v>#REF!</v>
      </c>
      <c r="BW93" t="e">
        <f>AND(NhatkyTon!#REF!,"AAAAAH/uqUo=")</f>
        <v>#REF!</v>
      </c>
      <c r="BX93" t="e">
        <f>AND(NhatkyTon!#REF!,"AAAAAH/uqUs=")</f>
        <v>#REF!</v>
      </c>
      <c r="BY93" t="e">
        <f>AND(NhatkyTon!#REF!,"AAAAAH/uqUw=")</f>
        <v>#REF!</v>
      </c>
      <c r="BZ93" t="e">
        <f>AND(NhatkyTon!#REF!,"AAAAAH/uqU0=")</f>
        <v>#REF!</v>
      </c>
      <c r="CA93" t="e">
        <f>AND(NhatkyTon!#REF!,"AAAAAH/uqU4=")</f>
        <v>#REF!</v>
      </c>
      <c r="CB93" t="e">
        <f>AND(NhatkyTon!#REF!,"AAAAAH/uqU8=")</f>
        <v>#REF!</v>
      </c>
      <c r="CC93" t="e">
        <f>AND(NhatkyTon!#REF!,"AAAAAH/uqVA=")</f>
        <v>#REF!</v>
      </c>
      <c r="CD93" t="e">
        <f>AND(NhatkyTon!#REF!,"AAAAAH/uqVE=")</f>
        <v>#REF!</v>
      </c>
      <c r="CE93" t="e">
        <f>AND(NhatkyTon!#REF!,"AAAAAH/uqVI=")</f>
        <v>#REF!</v>
      </c>
      <c r="CF93" t="e">
        <f>AND(NhatkyTon!#REF!,"AAAAAH/uqVM=")</f>
        <v>#REF!</v>
      </c>
      <c r="CG93" t="e">
        <f>AND(NhatkyTon!#REF!,"AAAAAH/uqVQ=")</f>
        <v>#REF!</v>
      </c>
      <c r="CH93" t="e">
        <f>AND(NhatkyTon!#REF!,"AAAAAH/uqVU=")</f>
        <v>#REF!</v>
      </c>
      <c r="CI93" t="e">
        <f>AND(NhatkyTon!#REF!,"AAAAAH/uqVY=")</f>
        <v>#REF!</v>
      </c>
      <c r="CJ93" t="e">
        <f>AND(NhatkyTon!#REF!,"AAAAAH/uqVc=")</f>
        <v>#REF!</v>
      </c>
      <c r="CK93" t="e">
        <f>AND(NhatkyTon!#REF!,"AAAAAH/uqVg=")</f>
        <v>#REF!</v>
      </c>
      <c r="CL93" t="e">
        <f>AND(NhatkyTon!#REF!,"AAAAAH/uqVk=")</f>
        <v>#REF!</v>
      </c>
      <c r="CM93" t="e">
        <f>AND(NhatkyTon!#REF!,"AAAAAH/uqVo=")</f>
        <v>#REF!</v>
      </c>
      <c r="CN93" t="e">
        <f>AND(NhatkyTon!#REF!,"AAAAAH/uqVs=")</f>
        <v>#REF!</v>
      </c>
      <c r="CO93" t="e">
        <f>AND(NhatkyTon!#REF!,"AAAAAH/uqVw=")</f>
        <v>#REF!</v>
      </c>
      <c r="CP93" t="e">
        <f>AND(NhatkyTon!#REF!,"AAAAAH/uqV0=")</f>
        <v>#REF!</v>
      </c>
      <c r="CQ93" t="e">
        <f>AND(NhatkyTon!#REF!,"AAAAAH/uqV4=")</f>
        <v>#REF!</v>
      </c>
      <c r="CR93" t="e">
        <f>IF(NhatkyTon!#REF!,"AAAAAH/uqV8=",0)</f>
        <v>#REF!</v>
      </c>
      <c r="CS93" t="e">
        <f>AND(NhatkyTon!#REF!,"AAAAAH/uqWA=")</f>
        <v>#REF!</v>
      </c>
      <c r="CT93" t="e">
        <f>AND(NhatkyTon!#REF!,"AAAAAH/uqWE=")</f>
        <v>#REF!</v>
      </c>
      <c r="CU93" t="e">
        <f>AND(NhatkyTon!#REF!,"AAAAAH/uqWI=")</f>
        <v>#REF!</v>
      </c>
      <c r="CV93" t="e">
        <f>AND(NhatkyTon!#REF!,"AAAAAH/uqWM=")</f>
        <v>#REF!</v>
      </c>
      <c r="CW93" t="e">
        <f>AND(NhatkyTon!#REF!,"AAAAAH/uqWQ=")</f>
        <v>#REF!</v>
      </c>
      <c r="CX93" t="e">
        <f>AND(NhatkyTon!#REF!,"AAAAAH/uqWU=")</f>
        <v>#REF!</v>
      </c>
      <c r="CY93" t="e">
        <f>AND(NhatkyTon!#REF!,"AAAAAH/uqWY=")</f>
        <v>#REF!</v>
      </c>
      <c r="CZ93" t="e">
        <f>AND(NhatkyTon!#REF!,"AAAAAH/uqWc=")</f>
        <v>#REF!</v>
      </c>
      <c r="DA93" t="e">
        <f>AND(NhatkyTon!#REF!,"AAAAAH/uqWg=")</f>
        <v>#REF!</v>
      </c>
      <c r="DB93" t="e">
        <f>AND(NhatkyTon!#REF!,"AAAAAH/uqWk=")</f>
        <v>#REF!</v>
      </c>
      <c r="DC93" t="e">
        <f>AND(NhatkyTon!#REF!,"AAAAAH/uqWo=")</f>
        <v>#REF!</v>
      </c>
      <c r="DD93" t="e">
        <f>AND(NhatkyTon!#REF!,"AAAAAH/uqWs=")</f>
        <v>#REF!</v>
      </c>
      <c r="DE93" t="e">
        <f>AND(NhatkyTon!#REF!,"AAAAAH/uqWw=")</f>
        <v>#REF!</v>
      </c>
      <c r="DF93" t="e">
        <f>AND(NhatkyTon!#REF!,"AAAAAH/uqW0=")</f>
        <v>#REF!</v>
      </c>
      <c r="DG93" t="e">
        <f>AND(NhatkyTon!#REF!,"AAAAAH/uqW4=")</f>
        <v>#REF!</v>
      </c>
      <c r="DH93" t="e">
        <f>AND(NhatkyTon!#REF!,"AAAAAH/uqW8=")</f>
        <v>#REF!</v>
      </c>
      <c r="DI93" t="e">
        <f>AND(NhatkyTon!#REF!,"AAAAAH/uqXA=")</f>
        <v>#REF!</v>
      </c>
      <c r="DJ93" t="e">
        <f>AND(NhatkyTon!#REF!,"AAAAAH/uqXE=")</f>
        <v>#REF!</v>
      </c>
      <c r="DK93" t="e">
        <f>AND(NhatkyTon!#REF!,"AAAAAH/uqXI=")</f>
        <v>#REF!</v>
      </c>
      <c r="DL93" t="e">
        <f>AND(NhatkyTon!#REF!,"AAAAAH/uqXM=")</f>
        <v>#REF!</v>
      </c>
      <c r="DM93" t="e">
        <f>AND(NhatkyTon!#REF!,"AAAAAH/uqXQ=")</f>
        <v>#REF!</v>
      </c>
      <c r="DN93" t="e">
        <f>AND(NhatkyTon!#REF!,"AAAAAH/uqXU=")</f>
        <v>#REF!</v>
      </c>
      <c r="DO93" t="e">
        <f>AND(NhatkyTon!#REF!,"AAAAAH/uqXY=")</f>
        <v>#REF!</v>
      </c>
      <c r="DP93" t="e">
        <f>AND(NhatkyTon!#REF!,"AAAAAH/uqXc=")</f>
        <v>#REF!</v>
      </c>
      <c r="DQ93" t="e">
        <f>AND(NhatkyTon!#REF!,"AAAAAH/uqXg=")</f>
        <v>#REF!</v>
      </c>
      <c r="DR93" t="e">
        <f>AND(NhatkyTon!#REF!,"AAAAAH/uqXk=")</f>
        <v>#REF!</v>
      </c>
      <c r="DS93" t="e">
        <f>AND(NhatkyTon!#REF!,"AAAAAH/uqXo=")</f>
        <v>#REF!</v>
      </c>
      <c r="DT93" t="e">
        <f>AND(NhatkyTon!#REF!,"AAAAAH/uqXs=")</f>
        <v>#REF!</v>
      </c>
      <c r="DU93" t="e">
        <f>AND(NhatkyTon!#REF!,"AAAAAH/uqXw=")</f>
        <v>#REF!</v>
      </c>
      <c r="DV93" t="e">
        <f>AND(NhatkyTon!#REF!,"AAAAAH/uqX0=")</f>
        <v>#REF!</v>
      </c>
      <c r="DW93" t="e">
        <f>AND(NhatkyTon!#REF!,"AAAAAH/uqX4=")</f>
        <v>#REF!</v>
      </c>
      <c r="DX93" t="e">
        <f>AND(NhatkyTon!#REF!,"AAAAAH/uqX8=")</f>
        <v>#REF!</v>
      </c>
      <c r="DY93" t="e">
        <f>AND(NhatkyTon!#REF!,"AAAAAH/uqYA=")</f>
        <v>#REF!</v>
      </c>
      <c r="DZ93" t="e">
        <f>AND(NhatkyTon!#REF!,"AAAAAH/uqYE=")</f>
        <v>#REF!</v>
      </c>
      <c r="EA93" t="e">
        <f>IF(NhatkyTon!#REF!,"AAAAAH/uqYI=",0)</f>
        <v>#REF!</v>
      </c>
      <c r="EB93" t="e">
        <f>AND(NhatkyTon!#REF!,"AAAAAH/uqYM=")</f>
        <v>#REF!</v>
      </c>
      <c r="EC93" t="e">
        <f>AND(NhatkyTon!#REF!,"AAAAAH/uqYQ=")</f>
        <v>#REF!</v>
      </c>
      <c r="ED93" t="e">
        <f>AND(NhatkyTon!#REF!,"AAAAAH/uqYU=")</f>
        <v>#REF!</v>
      </c>
      <c r="EE93" t="e">
        <f>AND(NhatkyTon!#REF!,"AAAAAH/uqYY=")</f>
        <v>#REF!</v>
      </c>
      <c r="EF93" t="e">
        <f>AND(NhatkyTon!#REF!,"AAAAAH/uqYc=")</f>
        <v>#REF!</v>
      </c>
      <c r="EG93" t="e">
        <f>AND(NhatkyTon!#REF!,"AAAAAH/uqYg=")</f>
        <v>#REF!</v>
      </c>
      <c r="EH93" t="e">
        <f>AND(NhatkyTon!#REF!,"AAAAAH/uqYk=")</f>
        <v>#REF!</v>
      </c>
      <c r="EI93" t="e">
        <f>AND(NhatkyTon!#REF!,"AAAAAH/uqYo=")</f>
        <v>#REF!</v>
      </c>
      <c r="EJ93" t="e">
        <f>AND(NhatkyTon!#REF!,"AAAAAH/uqYs=")</f>
        <v>#REF!</v>
      </c>
      <c r="EK93" t="e">
        <f>AND(NhatkyTon!#REF!,"AAAAAH/uqYw=")</f>
        <v>#REF!</v>
      </c>
      <c r="EL93" t="e">
        <f>AND(NhatkyTon!#REF!,"AAAAAH/uqY0=")</f>
        <v>#REF!</v>
      </c>
      <c r="EM93" t="e">
        <f>AND(NhatkyTon!#REF!,"AAAAAH/uqY4=")</f>
        <v>#REF!</v>
      </c>
      <c r="EN93" t="e">
        <f>AND(NhatkyTon!#REF!,"AAAAAH/uqY8=")</f>
        <v>#REF!</v>
      </c>
      <c r="EO93" t="e">
        <f>AND(NhatkyTon!#REF!,"AAAAAH/uqZA=")</f>
        <v>#REF!</v>
      </c>
      <c r="EP93" t="e">
        <f>AND(NhatkyTon!#REF!,"AAAAAH/uqZE=")</f>
        <v>#REF!</v>
      </c>
      <c r="EQ93" t="e">
        <f>AND(NhatkyTon!#REF!,"AAAAAH/uqZI=")</f>
        <v>#REF!</v>
      </c>
      <c r="ER93" t="e">
        <f>AND(NhatkyTon!#REF!,"AAAAAH/uqZM=")</f>
        <v>#REF!</v>
      </c>
      <c r="ES93" t="e">
        <f>AND(NhatkyTon!#REF!,"AAAAAH/uqZQ=")</f>
        <v>#REF!</v>
      </c>
      <c r="ET93" t="e">
        <f>AND(NhatkyTon!#REF!,"AAAAAH/uqZU=")</f>
        <v>#REF!</v>
      </c>
      <c r="EU93" t="e">
        <f>AND(NhatkyTon!#REF!,"AAAAAH/uqZY=")</f>
        <v>#REF!</v>
      </c>
      <c r="EV93" t="e">
        <f>AND(NhatkyTon!#REF!,"AAAAAH/uqZc=")</f>
        <v>#REF!</v>
      </c>
      <c r="EW93" t="e">
        <f>AND(NhatkyTon!#REF!,"AAAAAH/uqZg=")</f>
        <v>#REF!</v>
      </c>
      <c r="EX93" t="e">
        <f>AND(NhatkyTon!#REF!,"AAAAAH/uqZk=")</f>
        <v>#REF!</v>
      </c>
      <c r="EY93" t="e">
        <f>AND(NhatkyTon!#REF!,"AAAAAH/uqZo=")</f>
        <v>#REF!</v>
      </c>
      <c r="EZ93" t="e">
        <f>AND(NhatkyTon!#REF!,"AAAAAH/uqZs=")</f>
        <v>#REF!</v>
      </c>
      <c r="FA93" t="e">
        <f>AND(NhatkyTon!#REF!,"AAAAAH/uqZw=")</f>
        <v>#REF!</v>
      </c>
      <c r="FB93" t="e">
        <f>AND(NhatkyTon!#REF!,"AAAAAH/uqZ0=")</f>
        <v>#REF!</v>
      </c>
      <c r="FC93" t="e">
        <f>AND(NhatkyTon!#REF!,"AAAAAH/uqZ4=")</f>
        <v>#REF!</v>
      </c>
      <c r="FD93" t="e">
        <f>AND(NhatkyTon!#REF!,"AAAAAH/uqZ8=")</f>
        <v>#REF!</v>
      </c>
      <c r="FE93" t="e">
        <f>AND(NhatkyTon!#REF!,"AAAAAH/uqaA=")</f>
        <v>#REF!</v>
      </c>
      <c r="FF93" t="e">
        <f>AND(NhatkyTon!#REF!,"AAAAAH/uqaE=")</f>
        <v>#REF!</v>
      </c>
      <c r="FG93" t="e">
        <f>AND(NhatkyTon!#REF!,"AAAAAH/uqaI=")</f>
        <v>#REF!</v>
      </c>
      <c r="FH93" t="e">
        <f>AND(NhatkyTon!#REF!,"AAAAAH/uqaM=")</f>
        <v>#REF!</v>
      </c>
      <c r="FI93" t="e">
        <f>AND(NhatkyTon!#REF!,"AAAAAH/uqaQ=")</f>
        <v>#REF!</v>
      </c>
      <c r="FJ93" t="e">
        <f>IF(NhatkyTon!#REF!,"AAAAAH/uqaU=",0)</f>
        <v>#REF!</v>
      </c>
      <c r="FK93" t="e">
        <f>AND(NhatkyTon!#REF!,"AAAAAH/uqaY=")</f>
        <v>#REF!</v>
      </c>
      <c r="FL93" t="e">
        <f>AND(NhatkyTon!#REF!,"AAAAAH/uqac=")</f>
        <v>#REF!</v>
      </c>
      <c r="FM93" t="e">
        <f>AND(NhatkyTon!#REF!,"AAAAAH/uqag=")</f>
        <v>#REF!</v>
      </c>
      <c r="FN93" t="e">
        <f>AND(NhatkyTon!#REF!,"AAAAAH/uqak=")</f>
        <v>#REF!</v>
      </c>
      <c r="FO93" t="e">
        <f>AND(NhatkyTon!#REF!,"AAAAAH/uqao=")</f>
        <v>#REF!</v>
      </c>
      <c r="FP93" t="e">
        <f>AND(NhatkyTon!#REF!,"AAAAAH/uqas=")</f>
        <v>#REF!</v>
      </c>
      <c r="FQ93" t="e">
        <f>AND(NhatkyTon!#REF!,"AAAAAH/uqaw=")</f>
        <v>#REF!</v>
      </c>
      <c r="FR93" t="e">
        <f>AND(NhatkyTon!#REF!,"AAAAAH/uqa0=")</f>
        <v>#REF!</v>
      </c>
      <c r="FS93" t="e">
        <f>AND(NhatkyTon!#REF!,"AAAAAH/uqa4=")</f>
        <v>#REF!</v>
      </c>
      <c r="FT93" t="e">
        <f>AND(NhatkyTon!#REF!,"AAAAAH/uqa8=")</f>
        <v>#REF!</v>
      </c>
      <c r="FU93" t="e">
        <f>AND(NhatkyTon!#REF!,"AAAAAH/uqbA=")</f>
        <v>#REF!</v>
      </c>
      <c r="FV93" t="e">
        <f>AND(NhatkyTon!#REF!,"AAAAAH/uqbE=")</f>
        <v>#REF!</v>
      </c>
      <c r="FW93" t="e">
        <f>AND(NhatkyTon!#REF!,"AAAAAH/uqbI=")</f>
        <v>#REF!</v>
      </c>
      <c r="FX93" t="e">
        <f>AND(NhatkyTon!#REF!,"AAAAAH/uqbM=")</f>
        <v>#REF!</v>
      </c>
      <c r="FY93" t="e">
        <f>AND(NhatkyTon!#REF!,"AAAAAH/uqbQ=")</f>
        <v>#REF!</v>
      </c>
      <c r="FZ93" t="e">
        <f>AND(NhatkyTon!#REF!,"AAAAAH/uqbU=")</f>
        <v>#REF!</v>
      </c>
      <c r="GA93" t="e">
        <f>AND(NhatkyTon!#REF!,"AAAAAH/uqbY=")</f>
        <v>#REF!</v>
      </c>
      <c r="GB93" t="e">
        <f>AND(NhatkyTon!#REF!,"AAAAAH/uqbc=")</f>
        <v>#REF!</v>
      </c>
      <c r="GC93" t="e">
        <f>AND(NhatkyTon!#REF!,"AAAAAH/uqbg=")</f>
        <v>#REF!</v>
      </c>
      <c r="GD93" t="e">
        <f>AND(NhatkyTon!#REF!,"AAAAAH/uqbk=")</f>
        <v>#REF!</v>
      </c>
      <c r="GE93" t="e">
        <f>AND(NhatkyTon!#REF!,"AAAAAH/uqbo=")</f>
        <v>#REF!</v>
      </c>
      <c r="GF93" t="e">
        <f>AND(NhatkyTon!#REF!,"AAAAAH/uqbs=")</f>
        <v>#REF!</v>
      </c>
      <c r="GG93" t="e">
        <f>AND(NhatkyTon!#REF!,"AAAAAH/uqbw=")</f>
        <v>#REF!</v>
      </c>
      <c r="GH93" t="e">
        <f>AND(NhatkyTon!#REF!,"AAAAAH/uqb0=")</f>
        <v>#REF!</v>
      </c>
      <c r="GI93" t="e">
        <f>AND(NhatkyTon!#REF!,"AAAAAH/uqb4=")</f>
        <v>#REF!</v>
      </c>
      <c r="GJ93" t="e">
        <f>AND(NhatkyTon!#REF!,"AAAAAH/uqb8=")</f>
        <v>#REF!</v>
      </c>
      <c r="GK93" t="e">
        <f>AND(NhatkyTon!#REF!,"AAAAAH/uqcA=")</f>
        <v>#REF!</v>
      </c>
      <c r="GL93" t="e">
        <f>AND(NhatkyTon!#REF!,"AAAAAH/uqcE=")</f>
        <v>#REF!</v>
      </c>
      <c r="GM93" t="e">
        <f>AND(NhatkyTon!#REF!,"AAAAAH/uqcI=")</f>
        <v>#REF!</v>
      </c>
      <c r="GN93" t="e">
        <f>AND(NhatkyTon!#REF!,"AAAAAH/uqcM=")</f>
        <v>#REF!</v>
      </c>
      <c r="GO93" t="e">
        <f>AND(NhatkyTon!#REF!,"AAAAAH/uqcQ=")</f>
        <v>#REF!</v>
      </c>
      <c r="GP93" t="e">
        <f>AND(NhatkyTon!#REF!,"AAAAAH/uqcU=")</f>
        <v>#REF!</v>
      </c>
      <c r="GQ93" t="e">
        <f>AND(NhatkyTon!#REF!,"AAAAAH/uqcY=")</f>
        <v>#REF!</v>
      </c>
      <c r="GR93" t="e">
        <f>AND(NhatkyTon!#REF!,"AAAAAH/uqcc=")</f>
        <v>#REF!</v>
      </c>
      <c r="GS93" t="e">
        <f>IF(NhatkyTon!#REF!,"AAAAAH/uqcg=",0)</f>
        <v>#REF!</v>
      </c>
      <c r="GT93" t="e">
        <f>AND(NhatkyTon!#REF!,"AAAAAH/uqck=")</f>
        <v>#REF!</v>
      </c>
      <c r="GU93" t="e">
        <f>AND(NhatkyTon!#REF!,"AAAAAH/uqco=")</f>
        <v>#REF!</v>
      </c>
      <c r="GV93" t="e">
        <f>AND(NhatkyTon!#REF!,"AAAAAH/uqcs=")</f>
        <v>#REF!</v>
      </c>
      <c r="GW93" t="e">
        <f>AND(NhatkyTon!#REF!,"AAAAAH/uqcw=")</f>
        <v>#REF!</v>
      </c>
      <c r="GX93" t="e">
        <f>AND(NhatkyTon!#REF!,"AAAAAH/uqc0=")</f>
        <v>#REF!</v>
      </c>
      <c r="GY93" t="e">
        <f>AND(NhatkyTon!#REF!,"AAAAAH/uqc4=")</f>
        <v>#REF!</v>
      </c>
      <c r="GZ93" t="e">
        <f>AND(NhatkyTon!#REF!,"AAAAAH/uqc8=")</f>
        <v>#REF!</v>
      </c>
      <c r="HA93" t="e">
        <f>AND(NhatkyTon!#REF!,"AAAAAH/uqdA=")</f>
        <v>#REF!</v>
      </c>
      <c r="HB93" t="e">
        <f>AND(NhatkyTon!#REF!,"AAAAAH/uqdE=")</f>
        <v>#REF!</v>
      </c>
      <c r="HC93" t="e">
        <f>AND(NhatkyTon!#REF!,"AAAAAH/uqdI=")</f>
        <v>#REF!</v>
      </c>
      <c r="HD93" t="e">
        <f>AND(NhatkyTon!#REF!,"AAAAAH/uqdM=")</f>
        <v>#REF!</v>
      </c>
      <c r="HE93" t="e">
        <f>AND(NhatkyTon!#REF!,"AAAAAH/uqdQ=")</f>
        <v>#REF!</v>
      </c>
      <c r="HF93" t="e">
        <f>AND(NhatkyTon!#REF!,"AAAAAH/uqdU=")</f>
        <v>#REF!</v>
      </c>
      <c r="HG93" t="e">
        <f>AND(NhatkyTon!#REF!,"AAAAAH/uqdY=")</f>
        <v>#REF!</v>
      </c>
      <c r="HH93" t="e">
        <f>AND(NhatkyTon!#REF!,"AAAAAH/uqdc=")</f>
        <v>#REF!</v>
      </c>
      <c r="HI93" t="e">
        <f>AND(NhatkyTon!#REF!,"AAAAAH/uqdg=")</f>
        <v>#REF!</v>
      </c>
      <c r="HJ93" t="e">
        <f>AND(NhatkyTon!#REF!,"AAAAAH/uqdk=")</f>
        <v>#REF!</v>
      </c>
      <c r="HK93" t="e">
        <f>AND(NhatkyTon!#REF!,"AAAAAH/uqdo=")</f>
        <v>#REF!</v>
      </c>
      <c r="HL93" t="e">
        <f>AND(NhatkyTon!#REF!,"AAAAAH/uqds=")</f>
        <v>#REF!</v>
      </c>
      <c r="HM93" t="e">
        <f>AND(NhatkyTon!#REF!,"AAAAAH/uqdw=")</f>
        <v>#REF!</v>
      </c>
      <c r="HN93" t="e">
        <f>AND(NhatkyTon!#REF!,"AAAAAH/uqd0=")</f>
        <v>#REF!</v>
      </c>
      <c r="HO93" t="e">
        <f>AND(NhatkyTon!#REF!,"AAAAAH/uqd4=")</f>
        <v>#REF!</v>
      </c>
      <c r="HP93" t="e">
        <f>AND(NhatkyTon!#REF!,"AAAAAH/uqd8=")</f>
        <v>#REF!</v>
      </c>
      <c r="HQ93" t="e">
        <f>AND(NhatkyTon!#REF!,"AAAAAH/uqeA=")</f>
        <v>#REF!</v>
      </c>
      <c r="HR93" t="e">
        <f>AND(NhatkyTon!#REF!,"AAAAAH/uqeE=")</f>
        <v>#REF!</v>
      </c>
      <c r="HS93" t="e">
        <f>AND(NhatkyTon!#REF!,"AAAAAH/uqeI=")</f>
        <v>#REF!</v>
      </c>
      <c r="HT93" t="e">
        <f>AND(NhatkyTon!#REF!,"AAAAAH/uqeM=")</f>
        <v>#REF!</v>
      </c>
      <c r="HU93" t="e">
        <f>AND(NhatkyTon!#REF!,"AAAAAH/uqeQ=")</f>
        <v>#REF!</v>
      </c>
      <c r="HV93" t="e">
        <f>AND(NhatkyTon!#REF!,"AAAAAH/uqeU=")</f>
        <v>#REF!</v>
      </c>
      <c r="HW93" t="e">
        <f>AND(NhatkyTon!#REF!,"AAAAAH/uqeY=")</f>
        <v>#REF!</v>
      </c>
      <c r="HX93" t="e">
        <f>AND(NhatkyTon!#REF!,"AAAAAH/uqec=")</f>
        <v>#REF!</v>
      </c>
      <c r="HY93" t="e">
        <f>AND(NhatkyTon!#REF!,"AAAAAH/uqeg=")</f>
        <v>#REF!</v>
      </c>
      <c r="HZ93" t="e">
        <f>AND(NhatkyTon!#REF!,"AAAAAH/uqek=")</f>
        <v>#REF!</v>
      </c>
      <c r="IA93" t="e">
        <f>AND(NhatkyTon!#REF!,"AAAAAH/uqeo=")</f>
        <v>#REF!</v>
      </c>
      <c r="IB93" t="e">
        <f>IF(NhatkyTon!#REF!,"AAAAAH/uqes=",0)</f>
        <v>#REF!</v>
      </c>
      <c r="IC93" t="e">
        <f>AND(NhatkyTon!#REF!,"AAAAAH/uqew=")</f>
        <v>#REF!</v>
      </c>
      <c r="ID93" t="e">
        <f>AND(NhatkyTon!#REF!,"AAAAAH/uqe0=")</f>
        <v>#REF!</v>
      </c>
      <c r="IE93" t="e">
        <f>AND(NhatkyTon!#REF!,"AAAAAH/uqe4=")</f>
        <v>#REF!</v>
      </c>
      <c r="IF93" t="e">
        <f>AND(NhatkyTon!#REF!,"AAAAAH/uqe8=")</f>
        <v>#REF!</v>
      </c>
      <c r="IG93" t="e">
        <f>AND(NhatkyTon!#REF!,"AAAAAH/uqfA=")</f>
        <v>#REF!</v>
      </c>
      <c r="IH93" t="e">
        <f>AND(NhatkyTon!#REF!,"AAAAAH/uqfE=")</f>
        <v>#REF!</v>
      </c>
      <c r="II93" t="e">
        <f>AND(NhatkyTon!#REF!,"AAAAAH/uqfI=")</f>
        <v>#REF!</v>
      </c>
      <c r="IJ93" t="e">
        <f>AND(NhatkyTon!#REF!,"AAAAAH/uqfM=")</f>
        <v>#REF!</v>
      </c>
      <c r="IK93" t="e">
        <f>AND(NhatkyTon!#REF!,"AAAAAH/uqfQ=")</f>
        <v>#REF!</v>
      </c>
      <c r="IL93" t="e">
        <f>AND(NhatkyTon!#REF!,"AAAAAH/uqfU=")</f>
        <v>#REF!</v>
      </c>
      <c r="IM93" t="e">
        <f>AND(NhatkyTon!#REF!,"AAAAAH/uqfY=")</f>
        <v>#REF!</v>
      </c>
      <c r="IN93" t="e">
        <f>AND(NhatkyTon!#REF!,"AAAAAH/uqfc=")</f>
        <v>#REF!</v>
      </c>
      <c r="IO93" t="e">
        <f>AND(NhatkyTon!#REF!,"AAAAAH/uqfg=")</f>
        <v>#REF!</v>
      </c>
      <c r="IP93" t="e">
        <f>AND(NhatkyTon!#REF!,"AAAAAH/uqfk=")</f>
        <v>#REF!</v>
      </c>
      <c r="IQ93" t="e">
        <f>AND(NhatkyTon!#REF!,"AAAAAH/uqfo=")</f>
        <v>#REF!</v>
      </c>
      <c r="IR93" t="e">
        <f>AND(NhatkyTon!#REF!,"AAAAAH/uqfs=")</f>
        <v>#REF!</v>
      </c>
      <c r="IS93" t="e">
        <f>AND(NhatkyTon!#REF!,"AAAAAH/uqfw=")</f>
        <v>#REF!</v>
      </c>
      <c r="IT93" t="e">
        <f>AND(NhatkyTon!#REF!,"AAAAAH/uqf0=")</f>
        <v>#REF!</v>
      </c>
      <c r="IU93" t="e">
        <f>AND(NhatkyTon!#REF!,"AAAAAH/uqf4=")</f>
        <v>#REF!</v>
      </c>
      <c r="IV93" t="e">
        <f>AND(NhatkyTon!#REF!,"AAAAAH/uqf8=")</f>
        <v>#REF!</v>
      </c>
    </row>
    <row r="94" spans="1:256">
      <c r="A94" t="e">
        <f>AND(NhatkyTon!#REF!,"AAAAAFdw/wA=")</f>
        <v>#REF!</v>
      </c>
      <c r="B94" t="e">
        <f>AND(NhatkyTon!#REF!,"AAAAAFdw/wE=")</f>
        <v>#REF!</v>
      </c>
      <c r="C94" t="e">
        <f>AND(NhatkyTon!#REF!,"AAAAAFdw/wI=")</f>
        <v>#REF!</v>
      </c>
      <c r="D94" t="e">
        <f>AND(NhatkyTon!#REF!,"AAAAAFdw/wM=")</f>
        <v>#REF!</v>
      </c>
      <c r="E94" t="e">
        <f>AND(NhatkyTon!#REF!,"AAAAAFdw/wQ=")</f>
        <v>#REF!</v>
      </c>
      <c r="F94" t="e">
        <f>AND(NhatkyTon!#REF!,"AAAAAFdw/wU=")</f>
        <v>#REF!</v>
      </c>
      <c r="G94" t="e">
        <f>AND(NhatkyTon!#REF!,"AAAAAFdw/wY=")</f>
        <v>#REF!</v>
      </c>
      <c r="H94" t="e">
        <f>AND(NhatkyTon!#REF!,"AAAAAFdw/wc=")</f>
        <v>#REF!</v>
      </c>
      <c r="I94" t="e">
        <f>AND(NhatkyTon!#REF!,"AAAAAFdw/wg=")</f>
        <v>#REF!</v>
      </c>
      <c r="J94" t="e">
        <f>AND(NhatkyTon!#REF!,"AAAAAFdw/wk=")</f>
        <v>#REF!</v>
      </c>
      <c r="K94" t="e">
        <f>AND(NhatkyTon!#REF!,"AAAAAFdw/wo=")</f>
        <v>#REF!</v>
      </c>
      <c r="L94" t="e">
        <f>AND(NhatkyTon!#REF!,"AAAAAFdw/ws=")</f>
        <v>#REF!</v>
      </c>
      <c r="M94" t="e">
        <f>AND(NhatkyTon!#REF!,"AAAAAFdw/ww=")</f>
        <v>#REF!</v>
      </c>
      <c r="N94" t="e">
        <f>AND(NhatkyTon!#REF!,"AAAAAFdw/w0=")</f>
        <v>#REF!</v>
      </c>
      <c r="O94" t="e">
        <f>IF(NhatkyTon!#REF!,"AAAAAFdw/w4=",0)</f>
        <v>#REF!</v>
      </c>
      <c r="P94" t="e">
        <f>AND(NhatkyTon!#REF!,"AAAAAFdw/w8=")</f>
        <v>#REF!</v>
      </c>
      <c r="Q94" t="e">
        <f>AND(NhatkyTon!#REF!,"AAAAAFdw/xA=")</f>
        <v>#REF!</v>
      </c>
      <c r="R94" t="e">
        <f>AND(NhatkyTon!#REF!,"AAAAAFdw/xE=")</f>
        <v>#REF!</v>
      </c>
      <c r="S94" t="e">
        <f>AND(NhatkyTon!#REF!,"AAAAAFdw/xI=")</f>
        <v>#REF!</v>
      </c>
      <c r="T94" t="e">
        <f>AND(NhatkyTon!#REF!,"AAAAAFdw/xM=")</f>
        <v>#REF!</v>
      </c>
      <c r="U94" t="e">
        <f>AND(NhatkyTon!#REF!,"AAAAAFdw/xQ=")</f>
        <v>#REF!</v>
      </c>
      <c r="V94" t="e">
        <f>AND(NhatkyTon!#REF!,"AAAAAFdw/xU=")</f>
        <v>#REF!</v>
      </c>
      <c r="W94" t="e">
        <f>AND(NhatkyTon!#REF!,"AAAAAFdw/xY=")</f>
        <v>#REF!</v>
      </c>
      <c r="X94" t="e">
        <f>AND(NhatkyTon!#REF!,"AAAAAFdw/xc=")</f>
        <v>#REF!</v>
      </c>
      <c r="Y94" t="e">
        <f>AND(NhatkyTon!#REF!,"AAAAAFdw/xg=")</f>
        <v>#REF!</v>
      </c>
      <c r="Z94" t="e">
        <f>AND(NhatkyTon!#REF!,"AAAAAFdw/xk=")</f>
        <v>#REF!</v>
      </c>
      <c r="AA94" t="e">
        <f>AND(NhatkyTon!#REF!,"AAAAAFdw/xo=")</f>
        <v>#REF!</v>
      </c>
      <c r="AB94" t="e">
        <f>AND(NhatkyTon!#REF!,"AAAAAFdw/xs=")</f>
        <v>#REF!</v>
      </c>
      <c r="AC94" t="e">
        <f>AND(NhatkyTon!#REF!,"AAAAAFdw/xw=")</f>
        <v>#REF!</v>
      </c>
      <c r="AD94" t="e">
        <f>AND(NhatkyTon!#REF!,"AAAAAFdw/x0=")</f>
        <v>#REF!</v>
      </c>
      <c r="AE94" t="e">
        <f>AND(NhatkyTon!#REF!,"AAAAAFdw/x4=")</f>
        <v>#REF!</v>
      </c>
      <c r="AF94" t="e">
        <f>AND(NhatkyTon!#REF!,"AAAAAFdw/x8=")</f>
        <v>#REF!</v>
      </c>
      <c r="AG94" t="e">
        <f>AND(NhatkyTon!#REF!,"AAAAAFdw/yA=")</f>
        <v>#REF!</v>
      </c>
      <c r="AH94" t="e">
        <f>AND(NhatkyTon!#REF!,"AAAAAFdw/yE=")</f>
        <v>#REF!</v>
      </c>
      <c r="AI94" t="e">
        <f>AND(NhatkyTon!#REF!,"AAAAAFdw/yI=")</f>
        <v>#REF!</v>
      </c>
      <c r="AJ94" t="e">
        <f>AND(NhatkyTon!#REF!,"AAAAAFdw/yM=")</f>
        <v>#REF!</v>
      </c>
      <c r="AK94" t="e">
        <f>AND(NhatkyTon!#REF!,"AAAAAFdw/yQ=")</f>
        <v>#REF!</v>
      </c>
      <c r="AL94" t="e">
        <f>AND(NhatkyTon!#REF!,"AAAAAFdw/yU=")</f>
        <v>#REF!</v>
      </c>
      <c r="AM94" t="e">
        <f>AND(NhatkyTon!#REF!,"AAAAAFdw/yY=")</f>
        <v>#REF!</v>
      </c>
      <c r="AN94" t="e">
        <f>AND(NhatkyTon!#REF!,"AAAAAFdw/yc=")</f>
        <v>#REF!</v>
      </c>
      <c r="AO94" t="e">
        <f>AND(NhatkyTon!#REF!,"AAAAAFdw/yg=")</f>
        <v>#REF!</v>
      </c>
      <c r="AP94" t="e">
        <f>AND(NhatkyTon!#REF!,"AAAAAFdw/yk=")</f>
        <v>#REF!</v>
      </c>
      <c r="AQ94" t="e">
        <f>AND(NhatkyTon!#REF!,"AAAAAFdw/yo=")</f>
        <v>#REF!</v>
      </c>
      <c r="AR94" t="e">
        <f>AND(NhatkyTon!#REF!,"AAAAAFdw/ys=")</f>
        <v>#REF!</v>
      </c>
      <c r="AS94" t="e">
        <f>AND(NhatkyTon!#REF!,"AAAAAFdw/yw=")</f>
        <v>#REF!</v>
      </c>
      <c r="AT94" t="e">
        <f>AND(NhatkyTon!#REF!,"AAAAAFdw/y0=")</f>
        <v>#REF!</v>
      </c>
      <c r="AU94" t="e">
        <f>AND(NhatkyTon!#REF!,"AAAAAFdw/y4=")</f>
        <v>#REF!</v>
      </c>
      <c r="AV94" t="e">
        <f>AND(NhatkyTon!#REF!,"AAAAAFdw/y8=")</f>
        <v>#REF!</v>
      </c>
      <c r="AW94" t="e">
        <f>AND(NhatkyTon!#REF!,"AAAAAFdw/zA=")</f>
        <v>#REF!</v>
      </c>
      <c r="AX94" t="e">
        <f>IF(NhatkyTon!#REF!,"AAAAAFdw/zE=",0)</f>
        <v>#REF!</v>
      </c>
      <c r="AY94" t="e">
        <f>AND(NhatkyTon!#REF!,"AAAAAFdw/zI=")</f>
        <v>#REF!</v>
      </c>
      <c r="AZ94" t="e">
        <f>AND(NhatkyTon!#REF!,"AAAAAFdw/zM=")</f>
        <v>#REF!</v>
      </c>
      <c r="BA94" t="e">
        <f>AND(NhatkyTon!#REF!,"AAAAAFdw/zQ=")</f>
        <v>#REF!</v>
      </c>
      <c r="BB94" t="e">
        <f>AND(NhatkyTon!#REF!,"AAAAAFdw/zU=")</f>
        <v>#REF!</v>
      </c>
      <c r="BC94" t="e">
        <f>AND(NhatkyTon!#REF!,"AAAAAFdw/zY=")</f>
        <v>#REF!</v>
      </c>
      <c r="BD94" t="e">
        <f>AND(NhatkyTon!#REF!,"AAAAAFdw/zc=")</f>
        <v>#REF!</v>
      </c>
      <c r="BE94" t="e">
        <f>AND(NhatkyTon!#REF!,"AAAAAFdw/zg=")</f>
        <v>#REF!</v>
      </c>
      <c r="BF94" t="e">
        <f>AND(NhatkyTon!#REF!,"AAAAAFdw/zk=")</f>
        <v>#REF!</v>
      </c>
      <c r="BG94" t="e">
        <f>AND(NhatkyTon!#REF!,"AAAAAFdw/zo=")</f>
        <v>#REF!</v>
      </c>
      <c r="BH94" t="e">
        <f>AND(NhatkyTon!#REF!,"AAAAAFdw/zs=")</f>
        <v>#REF!</v>
      </c>
      <c r="BI94" t="e">
        <f>AND(NhatkyTon!#REF!,"AAAAAFdw/zw=")</f>
        <v>#REF!</v>
      </c>
      <c r="BJ94" t="e">
        <f>AND(NhatkyTon!#REF!,"AAAAAFdw/z0=")</f>
        <v>#REF!</v>
      </c>
      <c r="BK94" t="e">
        <f>AND(NhatkyTon!#REF!,"AAAAAFdw/z4=")</f>
        <v>#REF!</v>
      </c>
      <c r="BL94" t="e">
        <f>AND(NhatkyTon!#REF!,"AAAAAFdw/z8=")</f>
        <v>#REF!</v>
      </c>
      <c r="BM94" t="e">
        <f>AND(NhatkyTon!#REF!,"AAAAAFdw/0A=")</f>
        <v>#REF!</v>
      </c>
      <c r="BN94" t="e">
        <f>AND(NhatkyTon!#REF!,"AAAAAFdw/0E=")</f>
        <v>#REF!</v>
      </c>
      <c r="BO94" t="e">
        <f>AND(NhatkyTon!#REF!,"AAAAAFdw/0I=")</f>
        <v>#REF!</v>
      </c>
      <c r="BP94" t="e">
        <f>AND(NhatkyTon!#REF!,"AAAAAFdw/0M=")</f>
        <v>#REF!</v>
      </c>
      <c r="BQ94" t="e">
        <f>AND(NhatkyTon!#REF!,"AAAAAFdw/0Q=")</f>
        <v>#REF!</v>
      </c>
      <c r="BR94" t="e">
        <f>AND(NhatkyTon!#REF!,"AAAAAFdw/0U=")</f>
        <v>#REF!</v>
      </c>
      <c r="BS94" t="e">
        <f>AND(NhatkyTon!#REF!,"AAAAAFdw/0Y=")</f>
        <v>#REF!</v>
      </c>
      <c r="BT94" t="e">
        <f>AND(NhatkyTon!#REF!,"AAAAAFdw/0c=")</f>
        <v>#REF!</v>
      </c>
      <c r="BU94" t="e">
        <f>AND(NhatkyTon!#REF!,"AAAAAFdw/0g=")</f>
        <v>#REF!</v>
      </c>
      <c r="BV94" t="e">
        <f>AND(NhatkyTon!#REF!,"AAAAAFdw/0k=")</f>
        <v>#REF!</v>
      </c>
      <c r="BW94" t="e">
        <f>AND(NhatkyTon!#REF!,"AAAAAFdw/0o=")</f>
        <v>#REF!</v>
      </c>
      <c r="BX94" t="e">
        <f>AND(NhatkyTon!#REF!,"AAAAAFdw/0s=")</f>
        <v>#REF!</v>
      </c>
      <c r="BY94" t="e">
        <f>AND(NhatkyTon!#REF!,"AAAAAFdw/0w=")</f>
        <v>#REF!</v>
      </c>
      <c r="BZ94" t="e">
        <f>AND(NhatkyTon!#REF!,"AAAAAFdw/00=")</f>
        <v>#REF!</v>
      </c>
      <c r="CA94" t="e">
        <f>AND(NhatkyTon!#REF!,"AAAAAFdw/04=")</f>
        <v>#REF!</v>
      </c>
      <c r="CB94" t="e">
        <f>AND(NhatkyTon!#REF!,"AAAAAFdw/08=")</f>
        <v>#REF!</v>
      </c>
      <c r="CC94" t="e">
        <f>AND(NhatkyTon!#REF!,"AAAAAFdw/1A=")</f>
        <v>#REF!</v>
      </c>
      <c r="CD94" t="e">
        <f>AND(NhatkyTon!#REF!,"AAAAAFdw/1E=")</f>
        <v>#REF!</v>
      </c>
      <c r="CE94" t="e">
        <f>AND(NhatkyTon!#REF!,"AAAAAFdw/1I=")</f>
        <v>#REF!</v>
      </c>
      <c r="CF94" t="e">
        <f>AND(NhatkyTon!#REF!,"AAAAAFdw/1M=")</f>
        <v>#REF!</v>
      </c>
      <c r="CG94" t="e">
        <f>IF(NhatkyTon!#REF!,"AAAAAFdw/1Q=",0)</f>
        <v>#REF!</v>
      </c>
      <c r="CH94" t="e">
        <f>AND(NhatkyTon!#REF!,"AAAAAFdw/1U=")</f>
        <v>#REF!</v>
      </c>
      <c r="CI94" t="e">
        <f>AND(NhatkyTon!#REF!,"AAAAAFdw/1Y=")</f>
        <v>#REF!</v>
      </c>
      <c r="CJ94" t="e">
        <f>AND(NhatkyTon!#REF!,"AAAAAFdw/1c=")</f>
        <v>#REF!</v>
      </c>
      <c r="CK94" t="e">
        <f>AND(NhatkyTon!#REF!,"AAAAAFdw/1g=")</f>
        <v>#REF!</v>
      </c>
      <c r="CL94" t="e">
        <f>AND(NhatkyTon!#REF!,"AAAAAFdw/1k=")</f>
        <v>#REF!</v>
      </c>
      <c r="CM94" t="e">
        <f>AND(NhatkyTon!#REF!,"AAAAAFdw/1o=")</f>
        <v>#REF!</v>
      </c>
      <c r="CN94" t="e">
        <f>AND(NhatkyTon!#REF!,"AAAAAFdw/1s=")</f>
        <v>#REF!</v>
      </c>
      <c r="CO94" t="e">
        <f>AND(NhatkyTon!#REF!,"AAAAAFdw/1w=")</f>
        <v>#REF!</v>
      </c>
      <c r="CP94" t="e">
        <f>AND(NhatkyTon!#REF!,"AAAAAFdw/10=")</f>
        <v>#REF!</v>
      </c>
      <c r="CQ94" t="e">
        <f>AND(NhatkyTon!#REF!,"AAAAAFdw/14=")</f>
        <v>#REF!</v>
      </c>
      <c r="CR94" t="e">
        <f>AND(NhatkyTon!#REF!,"AAAAAFdw/18=")</f>
        <v>#REF!</v>
      </c>
      <c r="CS94" t="e">
        <f>AND(NhatkyTon!#REF!,"AAAAAFdw/2A=")</f>
        <v>#REF!</v>
      </c>
      <c r="CT94" t="e">
        <f>AND(NhatkyTon!#REF!,"AAAAAFdw/2E=")</f>
        <v>#REF!</v>
      </c>
      <c r="CU94" t="e">
        <f>AND(NhatkyTon!#REF!,"AAAAAFdw/2I=")</f>
        <v>#REF!</v>
      </c>
      <c r="CV94" t="e">
        <f>AND(NhatkyTon!#REF!,"AAAAAFdw/2M=")</f>
        <v>#REF!</v>
      </c>
      <c r="CW94" t="e">
        <f>AND(NhatkyTon!#REF!,"AAAAAFdw/2Q=")</f>
        <v>#REF!</v>
      </c>
      <c r="CX94" t="e">
        <f>AND(NhatkyTon!#REF!,"AAAAAFdw/2U=")</f>
        <v>#REF!</v>
      </c>
      <c r="CY94" t="e">
        <f>AND(NhatkyTon!#REF!,"AAAAAFdw/2Y=")</f>
        <v>#REF!</v>
      </c>
      <c r="CZ94" t="e">
        <f>AND(NhatkyTon!#REF!,"AAAAAFdw/2c=")</f>
        <v>#REF!</v>
      </c>
      <c r="DA94" t="e">
        <f>AND(NhatkyTon!#REF!,"AAAAAFdw/2g=")</f>
        <v>#REF!</v>
      </c>
      <c r="DB94" t="e">
        <f>AND(NhatkyTon!#REF!,"AAAAAFdw/2k=")</f>
        <v>#REF!</v>
      </c>
      <c r="DC94" t="e">
        <f>AND(NhatkyTon!#REF!,"AAAAAFdw/2o=")</f>
        <v>#REF!</v>
      </c>
      <c r="DD94" t="e">
        <f>AND(NhatkyTon!#REF!,"AAAAAFdw/2s=")</f>
        <v>#REF!</v>
      </c>
      <c r="DE94" t="e">
        <f>AND(NhatkyTon!#REF!,"AAAAAFdw/2w=")</f>
        <v>#REF!</v>
      </c>
      <c r="DF94" t="e">
        <f>AND(NhatkyTon!#REF!,"AAAAAFdw/20=")</f>
        <v>#REF!</v>
      </c>
      <c r="DG94" t="e">
        <f>AND(NhatkyTon!#REF!,"AAAAAFdw/24=")</f>
        <v>#REF!</v>
      </c>
      <c r="DH94" t="e">
        <f>AND(NhatkyTon!#REF!,"AAAAAFdw/28=")</f>
        <v>#REF!</v>
      </c>
      <c r="DI94" t="e">
        <f>AND(NhatkyTon!#REF!,"AAAAAFdw/3A=")</f>
        <v>#REF!</v>
      </c>
      <c r="DJ94" t="e">
        <f>AND(NhatkyTon!#REF!,"AAAAAFdw/3E=")</f>
        <v>#REF!</v>
      </c>
      <c r="DK94" t="e">
        <f>AND(NhatkyTon!#REF!,"AAAAAFdw/3I=")</f>
        <v>#REF!</v>
      </c>
      <c r="DL94" t="e">
        <f>AND(NhatkyTon!#REF!,"AAAAAFdw/3M=")</f>
        <v>#REF!</v>
      </c>
      <c r="DM94" t="e">
        <f>AND(NhatkyTon!#REF!,"AAAAAFdw/3Q=")</f>
        <v>#REF!</v>
      </c>
      <c r="DN94" t="e">
        <f>AND(NhatkyTon!#REF!,"AAAAAFdw/3U=")</f>
        <v>#REF!</v>
      </c>
      <c r="DO94" t="e">
        <f>AND(NhatkyTon!#REF!,"AAAAAFdw/3Y=")</f>
        <v>#REF!</v>
      </c>
      <c r="DP94" t="e">
        <f>IF(NhatkyTon!#REF!,"AAAAAFdw/3c=",0)</f>
        <v>#REF!</v>
      </c>
      <c r="DQ94" t="e">
        <f>AND(NhatkyTon!#REF!,"AAAAAFdw/3g=")</f>
        <v>#REF!</v>
      </c>
      <c r="DR94" t="e">
        <f>AND(NhatkyTon!#REF!,"AAAAAFdw/3k=")</f>
        <v>#REF!</v>
      </c>
      <c r="DS94" t="e">
        <f>AND(NhatkyTon!#REF!,"AAAAAFdw/3o=")</f>
        <v>#REF!</v>
      </c>
      <c r="DT94" t="e">
        <f>AND(NhatkyTon!#REF!,"AAAAAFdw/3s=")</f>
        <v>#REF!</v>
      </c>
      <c r="DU94" t="e">
        <f>AND(NhatkyTon!#REF!,"AAAAAFdw/3w=")</f>
        <v>#REF!</v>
      </c>
      <c r="DV94" t="e">
        <f>AND(NhatkyTon!#REF!,"AAAAAFdw/30=")</f>
        <v>#REF!</v>
      </c>
      <c r="DW94" t="e">
        <f>AND(NhatkyTon!#REF!,"AAAAAFdw/34=")</f>
        <v>#REF!</v>
      </c>
      <c r="DX94" t="e">
        <f>AND(NhatkyTon!#REF!,"AAAAAFdw/38=")</f>
        <v>#REF!</v>
      </c>
      <c r="DY94" t="e">
        <f>AND(NhatkyTon!#REF!,"AAAAAFdw/4A=")</f>
        <v>#REF!</v>
      </c>
      <c r="DZ94" t="e">
        <f>AND(NhatkyTon!#REF!,"AAAAAFdw/4E=")</f>
        <v>#REF!</v>
      </c>
      <c r="EA94" t="e">
        <f>AND(NhatkyTon!#REF!,"AAAAAFdw/4I=")</f>
        <v>#REF!</v>
      </c>
      <c r="EB94" t="e">
        <f>AND(NhatkyTon!#REF!,"AAAAAFdw/4M=")</f>
        <v>#REF!</v>
      </c>
      <c r="EC94" t="e">
        <f>AND(NhatkyTon!#REF!,"AAAAAFdw/4Q=")</f>
        <v>#REF!</v>
      </c>
      <c r="ED94" t="e">
        <f>AND(NhatkyTon!#REF!,"AAAAAFdw/4U=")</f>
        <v>#REF!</v>
      </c>
      <c r="EE94" t="e">
        <f>AND(NhatkyTon!#REF!,"AAAAAFdw/4Y=")</f>
        <v>#REF!</v>
      </c>
      <c r="EF94" t="e">
        <f>AND(NhatkyTon!#REF!,"AAAAAFdw/4c=")</f>
        <v>#REF!</v>
      </c>
      <c r="EG94" t="e">
        <f>AND(NhatkyTon!#REF!,"AAAAAFdw/4g=")</f>
        <v>#REF!</v>
      </c>
      <c r="EH94" t="e">
        <f>AND(NhatkyTon!#REF!,"AAAAAFdw/4k=")</f>
        <v>#REF!</v>
      </c>
      <c r="EI94" t="e">
        <f>AND(NhatkyTon!#REF!,"AAAAAFdw/4o=")</f>
        <v>#REF!</v>
      </c>
      <c r="EJ94" t="e">
        <f>AND(NhatkyTon!#REF!,"AAAAAFdw/4s=")</f>
        <v>#REF!</v>
      </c>
      <c r="EK94" t="e">
        <f>AND(NhatkyTon!#REF!,"AAAAAFdw/4w=")</f>
        <v>#REF!</v>
      </c>
      <c r="EL94" t="e">
        <f>AND(NhatkyTon!#REF!,"AAAAAFdw/40=")</f>
        <v>#REF!</v>
      </c>
      <c r="EM94" t="e">
        <f>AND(NhatkyTon!#REF!,"AAAAAFdw/44=")</f>
        <v>#REF!</v>
      </c>
      <c r="EN94" t="e">
        <f>AND(NhatkyTon!#REF!,"AAAAAFdw/48=")</f>
        <v>#REF!</v>
      </c>
      <c r="EO94" t="e">
        <f>AND(NhatkyTon!#REF!,"AAAAAFdw/5A=")</f>
        <v>#REF!</v>
      </c>
      <c r="EP94" t="e">
        <f>AND(NhatkyTon!#REF!,"AAAAAFdw/5E=")</f>
        <v>#REF!</v>
      </c>
      <c r="EQ94" t="e">
        <f>AND(NhatkyTon!#REF!,"AAAAAFdw/5I=")</f>
        <v>#REF!</v>
      </c>
      <c r="ER94" t="e">
        <f>AND(NhatkyTon!#REF!,"AAAAAFdw/5M=")</f>
        <v>#REF!</v>
      </c>
      <c r="ES94" t="e">
        <f>AND(NhatkyTon!#REF!,"AAAAAFdw/5Q=")</f>
        <v>#REF!</v>
      </c>
      <c r="ET94" t="e">
        <f>AND(NhatkyTon!#REF!,"AAAAAFdw/5U=")</f>
        <v>#REF!</v>
      </c>
      <c r="EU94" t="e">
        <f>AND(NhatkyTon!#REF!,"AAAAAFdw/5Y=")</f>
        <v>#REF!</v>
      </c>
      <c r="EV94" t="e">
        <f>AND(NhatkyTon!#REF!,"AAAAAFdw/5c=")</f>
        <v>#REF!</v>
      </c>
      <c r="EW94" t="e">
        <f>AND(NhatkyTon!#REF!,"AAAAAFdw/5g=")</f>
        <v>#REF!</v>
      </c>
      <c r="EX94" t="e">
        <f>AND(NhatkyTon!#REF!,"AAAAAFdw/5k=")</f>
        <v>#REF!</v>
      </c>
      <c r="EY94" t="e">
        <f>IF(NhatkyTon!#REF!,"AAAAAFdw/5o=",0)</f>
        <v>#REF!</v>
      </c>
      <c r="EZ94" t="e">
        <f>AND(NhatkyTon!#REF!,"AAAAAFdw/5s=")</f>
        <v>#REF!</v>
      </c>
      <c r="FA94" t="e">
        <f>AND(NhatkyTon!#REF!,"AAAAAFdw/5w=")</f>
        <v>#REF!</v>
      </c>
      <c r="FB94" t="e">
        <f>AND(NhatkyTon!#REF!,"AAAAAFdw/50=")</f>
        <v>#REF!</v>
      </c>
      <c r="FC94" t="e">
        <f>AND(NhatkyTon!#REF!,"AAAAAFdw/54=")</f>
        <v>#REF!</v>
      </c>
      <c r="FD94" t="e">
        <f>AND(NhatkyTon!#REF!,"AAAAAFdw/58=")</f>
        <v>#REF!</v>
      </c>
      <c r="FE94" t="e">
        <f>AND(NhatkyTon!#REF!,"AAAAAFdw/6A=")</f>
        <v>#REF!</v>
      </c>
      <c r="FF94" t="e">
        <f>AND(NhatkyTon!#REF!,"AAAAAFdw/6E=")</f>
        <v>#REF!</v>
      </c>
      <c r="FG94" t="e">
        <f>AND(NhatkyTon!#REF!,"AAAAAFdw/6I=")</f>
        <v>#REF!</v>
      </c>
      <c r="FH94" t="e">
        <f>AND(NhatkyTon!#REF!,"AAAAAFdw/6M=")</f>
        <v>#REF!</v>
      </c>
      <c r="FI94" t="e">
        <f>AND(NhatkyTon!#REF!,"AAAAAFdw/6Q=")</f>
        <v>#REF!</v>
      </c>
      <c r="FJ94" t="e">
        <f>AND(NhatkyTon!#REF!,"AAAAAFdw/6U=")</f>
        <v>#REF!</v>
      </c>
      <c r="FK94" t="e">
        <f>AND(NhatkyTon!#REF!,"AAAAAFdw/6Y=")</f>
        <v>#REF!</v>
      </c>
      <c r="FL94" t="e">
        <f>AND(NhatkyTon!#REF!,"AAAAAFdw/6c=")</f>
        <v>#REF!</v>
      </c>
      <c r="FM94" t="e">
        <f>AND(NhatkyTon!#REF!,"AAAAAFdw/6g=")</f>
        <v>#REF!</v>
      </c>
      <c r="FN94" t="e">
        <f>AND(NhatkyTon!#REF!,"AAAAAFdw/6k=")</f>
        <v>#REF!</v>
      </c>
      <c r="FO94" t="e">
        <f>AND(NhatkyTon!#REF!,"AAAAAFdw/6o=")</f>
        <v>#REF!</v>
      </c>
      <c r="FP94" t="e">
        <f>AND(NhatkyTon!#REF!,"AAAAAFdw/6s=")</f>
        <v>#REF!</v>
      </c>
      <c r="FQ94" t="e">
        <f>AND(NhatkyTon!#REF!,"AAAAAFdw/6w=")</f>
        <v>#REF!</v>
      </c>
      <c r="FR94" t="e">
        <f>AND(NhatkyTon!#REF!,"AAAAAFdw/60=")</f>
        <v>#REF!</v>
      </c>
      <c r="FS94" t="e">
        <f>AND(NhatkyTon!#REF!,"AAAAAFdw/64=")</f>
        <v>#REF!</v>
      </c>
      <c r="FT94" t="e">
        <f>AND(NhatkyTon!#REF!,"AAAAAFdw/68=")</f>
        <v>#REF!</v>
      </c>
      <c r="FU94" t="e">
        <f>AND(NhatkyTon!#REF!,"AAAAAFdw/7A=")</f>
        <v>#REF!</v>
      </c>
      <c r="FV94" t="e">
        <f>AND(NhatkyTon!#REF!,"AAAAAFdw/7E=")</f>
        <v>#REF!</v>
      </c>
      <c r="FW94" t="e">
        <f>AND(NhatkyTon!#REF!,"AAAAAFdw/7I=")</f>
        <v>#REF!</v>
      </c>
      <c r="FX94" t="e">
        <f>AND(NhatkyTon!#REF!,"AAAAAFdw/7M=")</f>
        <v>#REF!</v>
      </c>
      <c r="FY94" t="e">
        <f>AND(NhatkyTon!#REF!,"AAAAAFdw/7Q=")</f>
        <v>#REF!</v>
      </c>
      <c r="FZ94" t="e">
        <f>AND(NhatkyTon!#REF!,"AAAAAFdw/7U=")</f>
        <v>#REF!</v>
      </c>
      <c r="GA94" t="e">
        <f>AND(NhatkyTon!#REF!,"AAAAAFdw/7Y=")</f>
        <v>#REF!</v>
      </c>
      <c r="GB94" t="e">
        <f>AND(NhatkyTon!#REF!,"AAAAAFdw/7c=")</f>
        <v>#REF!</v>
      </c>
      <c r="GC94" t="e">
        <f>AND(NhatkyTon!#REF!,"AAAAAFdw/7g=")</f>
        <v>#REF!</v>
      </c>
      <c r="GD94" t="e">
        <f>AND(NhatkyTon!#REF!,"AAAAAFdw/7k=")</f>
        <v>#REF!</v>
      </c>
      <c r="GE94" t="e">
        <f>AND(NhatkyTon!#REF!,"AAAAAFdw/7o=")</f>
        <v>#REF!</v>
      </c>
      <c r="GF94" t="e">
        <f>AND(NhatkyTon!#REF!,"AAAAAFdw/7s=")</f>
        <v>#REF!</v>
      </c>
      <c r="GG94" t="e">
        <f>AND(NhatkyTon!#REF!,"AAAAAFdw/7w=")</f>
        <v>#REF!</v>
      </c>
      <c r="GH94" t="e">
        <f>IF(NhatkyTon!#REF!,"AAAAAFdw/70=",0)</f>
        <v>#REF!</v>
      </c>
      <c r="GI94" t="e">
        <f>AND(NhatkyTon!#REF!,"AAAAAFdw/74=")</f>
        <v>#REF!</v>
      </c>
      <c r="GJ94" t="e">
        <f>AND(NhatkyTon!#REF!,"AAAAAFdw/78=")</f>
        <v>#REF!</v>
      </c>
      <c r="GK94" t="e">
        <f>AND(NhatkyTon!#REF!,"AAAAAFdw/8A=")</f>
        <v>#REF!</v>
      </c>
      <c r="GL94" t="e">
        <f>AND(NhatkyTon!#REF!,"AAAAAFdw/8E=")</f>
        <v>#REF!</v>
      </c>
      <c r="GM94" t="e">
        <f>AND(NhatkyTon!#REF!,"AAAAAFdw/8I=")</f>
        <v>#REF!</v>
      </c>
      <c r="GN94" t="e">
        <f>AND(NhatkyTon!#REF!,"AAAAAFdw/8M=")</f>
        <v>#REF!</v>
      </c>
      <c r="GO94" t="e">
        <f>AND(NhatkyTon!#REF!,"AAAAAFdw/8Q=")</f>
        <v>#REF!</v>
      </c>
      <c r="GP94" t="e">
        <f>AND(NhatkyTon!#REF!,"AAAAAFdw/8U=")</f>
        <v>#REF!</v>
      </c>
      <c r="GQ94" t="e">
        <f>AND(NhatkyTon!#REF!,"AAAAAFdw/8Y=")</f>
        <v>#REF!</v>
      </c>
      <c r="GR94" t="e">
        <f>AND(NhatkyTon!#REF!,"AAAAAFdw/8c=")</f>
        <v>#REF!</v>
      </c>
      <c r="GS94" t="e">
        <f>AND(NhatkyTon!#REF!,"AAAAAFdw/8g=")</f>
        <v>#REF!</v>
      </c>
      <c r="GT94" t="e">
        <f>AND(NhatkyTon!#REF!,"AAAAAFdw/8k=")</f>
        <v>#REF!</v>
      </c>
      <c r="GU94" t="e">
        <f>AND(NhatkyTon!#REF!,"AAAAAFdw/8o=")</f>
        <v>#REF!</v>
      </c>
      <c r="GV94" t="e">
        <f>AND(NhatkyTon!#REF!,"AAAAAFdw/8s=")</f>
        <v>#REF!</v>
      </c>
      <c r="GW94" t="e">
        <f>AND(NhatkyTon!#REF!,"AAAAAFdw/8w=")</f>
        <v>#REF!</v>
      </c>
      <c r="GX94" t="e">
        <f>AND(NhatkyTon!#REF!,"AAAAAFdw/80=")</f>
        <v>#REF!</v>
      </c>
      <c r="GY94" t="e">
        <f>AND(NhatkyTon!#REF!,"AAAAAFdw/84=")</f>
        <v>#REF!</v>
      </c>
      <c r="GZ94" t="e">
        <f>AND(NhatkyTon!#REF!,"AAAAAFdw/88=")</f>
        <v>#REF!</v>
      </c>
      <c r="HA94" t="e">
        <f>AND(NhatkyTon!#REF!,"AAAAAFdw/9A=")</f>
        <v>#REF!</v>
      </c>
      <c r="HB94" t="e">
        <f>AND(NhatkyTon!#REF!,"AAAAAFdw/9E=")</f>
        <v>#REF!</v>
      </c>
      <c r="HC94" t="e">
        <f>AND(NhatkyTon!#REF!,"AAAAAFdw/9I=")</f>
        <v>#REF!</v>
      </c>
      <c r="HD94" t="e">
        <f>AND(NhatkyTon!#REF!,"AAAAAFdw/9M=")</f>
        <v>#REF!</v>
      </c>
      <c r="HE94" t="e">
        <f>AND(NhatkyTon!#REF!,"AAAAAFdw/9Q=")</f>
        <v>#REF!</v>
      </c>
      <c r="HF94" t="e">
        <f>AND(NhatkyTon!#REF!,"AAAAAFdw/9U=")</f>
        <v>#REF!</v>
      </c>
      <c r="HG94" t="e">
        <f>AND(NhatkyTon!#REF!,"AAAAAFdw/9Y=")</f>
        <v>#REF!</v>
      </c>
      <c r="HH94" t="e">
        <f>AND(NhatkyTon!#REF!,"AAAAAFdw/9c=")</f>
        <v>#REF!</v>
      </c>
      <c r="HI94" t="e">
        <f>AND(NhatkyTon!#REF!,"AAAAAFdw/9g=")</f>
        <v>#REF!</v>
      </c>
      <c r="HJ94" t="e">
        <f>AND(NhatkyTon!#REF!,"AAAAAFdw/9k=")</f>
        <v>#REF!</v>
      </c>
      <c r="HK94" t="e">
        <f>AND(NhatkyTon!#REF!,"AAAAAFdw/9o=")</f>
        <v>#REF!</v>
      </c>
      <c r="HL94" t="e">
        <f>AND(NhatkyTon!#REF!,"AAAAAFdw/9s=")</f>
        <v>#REF!</v>
      </c>
      <c r="HM94" t="e">
        <f>AND(NhatkyTon!#REF!,"AAAAAFdw/9w=")</f>
        <v>#REF!</v>
      </c>
      <c r="HN94" t="e">
        <f>AND(NhatkyTon!#REF!,"AAAAAFdw/90=")</f>
        <v>#REF!</v>
      </c>
      <c r="HO94" t="e">
        <f>AND(NhatkyTon!#REF!,"AAAAAFdw/94=")</f>
        <v>#REF!</v>
      </c>
      <c r="HP94" t="e">
        <f>AND(NhatkyTon!#REF!,"AAAAAFdw/98=")</f>
        <v>#REF!</v>
      </c>
      <c r="HQ94" t="e">
        <f>IF(NhatkyTon!#REF!,"AAAAAFdw/+A=",0)</f>
        <v>#REF!</v>
      </c>
      <c r="HR94" t="e">
        <f>AND(NhatkyTon!#REF!,"AAAAAFdw/+E=")</f>
        <v>#REF!</v>
      </c>
      <c r="HS94" t="e">
        <f>AND(NhatkyTon!#REF!,"AAAAAFdw/+I=")</f>
        <v>#REF!</v>
      </c>
      <c r="HT94" t="e">
        <f>AND(NhatkyTon!#REF!,"AAAAAFdw/+M=")</f>
        <v>#REF!</v>
      </c>
      <c r="HU94" t="e">
        <f>AND(NhatkyTon!#REF!,"AAAAAFdw/+Q=")</f>
        <v>#REF!</v>
      </c>
      <c r="HV94" t="e">
        <f>AND(NhatkyTon!#REF!,"AAAAAFdw/+U=")</f>
        <v>#REF!</v>
      </c>
      <c r="HW94" t="e">
        <f>AND(NhatkyTon!#REF!,"AAAAAFdw/+Y=")</f>
        <v>#REF!</v>
      </c>
      <c r="HX94" t="e">
        <f>AND(NhatkyTon!#REF!,"AAAAAFdw/+c=")</f>
        <v>#REF!</v>
      </c>
      <c r="HY94" t="e">
        <f>AND(NhatkyTon!#REF!,"AAAAAFdw/+g=")</f>
        <v>#REF!</v>
      </c>
      <c r="HZ94" t="e">
        <f>AND(NhatkyTon!#REF!,"AAAAAFdw/+k=")</f>
        <v>#REF!</v>
      </c>
      <c r="IA94" t="e">
        <f>AND(NhatkyTon!#REF!,"AAAAAFdw/+o=")</f>
        <v>#REF!</v>
      </c>
      <c r="IB94" t="e">
        <f>AND(NhatkyTon!#REF!,"AAAAAFdw/+s=")</f>
        <v>#REF!</v>
      </c>
      <c r="IC94" t="e">
        <f>AND(NhatkyTon!#REF!,"AAAAAFdw/+w=")</f>
        <v>#REF!</v>
      </c>
      <c r="ID94" t="e">
        <f>AND(NhatkyTon!#REF!,"AAAAAFdw/+0=")</f>
        <v>#REF!</v>
      </c>
      <c r="IE94" t="e">
        <f>AND(NhatkyTon!#REF!,"AAAAAFdw/+4=")</f>
        <v>#REF!</v>
      </c>
      <c r="IF94" t="e">
        <f>AND(NhatkyTon!#REF!,"AAAAAFdw/+8=")</f>
        <v>#REF!</v>
      </c>
      <c r="IG94" t="e">
        <f>AND(NhatkyTon!#REF!,"AAAAAFdw//A=")</f>
        <v>#REF!</v>
      </c>
      <c r="IH94" t="e">
        <f>AND(NhatkyTon!#REF!,"AAAAAFdw//E=")</f>
        <v>#REF!</v>
      </c>
      <c r="II94" t="e">
        <f>AND(NhatkyTon!#REF!,"AAAAAFdw//I=")</f>
        <v>#REF!</v>
      </c>
      <c r="IJ94" t="e">
        <f>AND(NhatkyTon!#REF!,"AAAAAFdw//M=")</f>
        <v>#REF!</v>
      </c>
      <c r="IK94" t="e">
        <f>AND(NhatkyTon!#REF!,"AAAAAFdw//Q=")</f>
        <v>#REF!</v>
      </c>
      <c r="IL94" t="e">
        <f>AND(NhatkyTon!#REF!,"AAAAAFdw//U=")</f>
        <v>#REF!</v>
      </c>
      <c r="IM94" t="e">
        <f>AND(NhatkyTon!#REF!,"AAAAAFdw//Y=")</f>
        <v>#REF!</v>
      </c>
      <c r="IN94" t="e">
        <f>AND(NhatkyTon!#REF!,"AAAAAFdw//c=")</f>
        <v>#REF!</v>
      </c>
      <c r="IO94" t="e">
        <f>AND(NhatkyTon!#REF!,"AAAAAFdw//g=")</f>
        <v>#REF!</v>
      </c>
      <c r="IP94" t="e">
        <f>AND(NhatkyTon!#REF!,"AAAAAFdw//k=")</f>
        <v>#REF!</v>
      </c>
      <c r="IQ94" t="e">
        <f>AND(NhatkyTon!#REF!,"AAAAAFdw//o=")</f>
        <v>#REF!</v>
      </c>
      <c r="IR94" t="e">
        <f>AND(NhatkyTon!#REF!,"AAAAAFdw//s=")</f>
        <v>#REF!</v>
      </c>
      <c r="IS94" t="e">
        <f>AND(NhatkyTon!#REF!,"AAAAAFdw//w=")</f>
        <v>#REF!</v>
      </c>
      <c r="IT94" t="e">
        <f>AND(NhatkyTon!#REF!,"AAAAAFdw//0=")</f>
        <v>#REF!</v>
      </c>
      <c r="IU94" t="e">
        <f>AND(NhatkyTon!#REF!,"AAAAAFdw//4=")</f>
        <v>#REF!</v>
      </c>
      <c r="IV94" t="e">
        <f>AND(NhatkyTon!#REF!,"AAAAAFdw//8=")</f>
        <v>#REF!</v>
      </c>
    </row>
    <row r="95" spans="1:256">
      <c r="A95" t="e">
        <f>AND(NhatkyTon!#REF!,"AAAAAEv3fAA=")</f>
        <v>#REF!</v>
      </c>
      <c r="B95" t="e">
        <f>AND(NhatkyTon!#REF!,"AAAAAEv3fAE=")</f>
        <v>#REF!</v>
      </c>
      <c r="C95" t="e">
        <f>AND(NhatkyTon!#REF!,"AAAAAEv3fAI=")</f>
        <v>#REF!</v>
      </c>
      <c r="D95" t="e">
        <f>IF(NhatkyTon!#REF!,"AAAAAEv3fAM=",0)</f>
        <v>#REF!</v>
      </c>
      <c r="E95" t="e">
        <f>AND(NhatkyTon!#REF!,"AAAAAEv3fAQ=")</f>
        <v>#REF!</v>
      </c>
      <c r="F95" t="e">
        <f>AND(NhatkyTon!#REF!,"AAAAAEv3fAU=")</f>
        <v>#REF!</v>
      </c>
      <c r="G95" t="e">
        <f>AND(NhatkyTon!#REF!,"AAAAAEv3fAY=")</f>
        <v>#REF!</v>
      </c>
      <c r="H95" t="e">
        <f>AND(NhatkyTon!#REF!,"AAAAAEv3fAc=")</f>
        <v>#REF!</v>
      </c>
      <c r="I95" t="e">
        <f>AND(NhatkyTon!#REF!,"AAAAAEv3fAg=")</f>
        <v>#REF!</v>
      </c>
      <c r="J95" t="e">
        <f>AND(NhatkyTon!#REF!,"AAAAAEv3fAk=")</f>
        <v>#REF!</v>
      </c>
      <c r="K95" t="e">
        <f>AND(NhatkyTon!#REF!,"AAAAAEv3fAo=")</f>
        <v>#REF!</v>
      </c>
      <c r="L95" t="e">
        <f>AND(NhatkyTon!#REF!,"AAAAAEv3fAs=")</f>
        <v>#REF!</v>
      </c>
      <c r="M95" t="e">
        <f>AND(NhatkyTon!#REF!,"AAAAAEv3fAw=")</f>
        <v>#REF!</v>
      </c>
      <c r="N95" t="e">
        <f>AND(NhatkyTon!#REF!,"AAAAAEv3fA0=")</f>
        <v>#REF!</v>
      </c>
      <c r="O95" t="e">
        <f>AND(NhatkyTon!#REF!,"AAAAAEv3fA4=")</f>
        <v>#REF!</v>
      </c>
      <c r="P95" t="e">
        <f>AND(NhatkyTon!#REF!,"AAAAAEv3fA8=")</f>
        <v>#REF!</v>
      </c>
      <c r="Q95" t="e">
        <f>AND(NhatkyTon!#REF!,"AAAAAEv3fBA=")</f>
        <v>#REF!</v>
      </c>
      <c r="R95" t="e">
        <f>AND(NhatkyTon!#REF!,"AAAAAEv3fBE=")</f>
        <v>#REF!</v>
      </c>
      <c r="S95" t="e">
        <f>AND(NhatkyTon!#REF!,"AAAAAEv3fBI=")</f>
        <v>#REF!</v>
      </c>
      <c r="T95" t="e">
        <f>AND(NhatkyTon!#REF!,"AAAAAEv3fBM=")</f>
        <v>#REF!</v>
      </c>
      <c r="U95" t="e">
        <f>AND(NhatkyTon!#REF!,"AAAAAEv3fBQ=")</f>
        <v>#REF!</v>
      </c>
      <c r="V95" t="e">
        <f>AND(NhatkyTon!#REF!,"AAAAAEv3fBU=")</f>
        <v>#REF!</v>
      </c>
      <c r="W95" t="e">
        <f>AND(NhatkyTon!#REF!,"AAAAAEv3fBY=")</f>
        <v>#REF!</v>
      </c>
      <c r="X95" t="e">
        <f>AND(NhatkyTon!#REF!,"AAAAAEv3fBc=")</f>
        <v>#REF!</v>
      </c>
      <c r="Y95" t="e">
        <f>AND(NhatkyTon!#REF!,"AAAAAEv3fBg=")</f>
        <v>#REF!</v>
      </c>
      <c r="Z95" t="e">
        <f>AND(NhatkyTon!#REF!,"AAAAAEv3fBk=")</f>
        <v>#REF!</v>
      </c>
      <c r="AA95" t="e">
        <f>AND(NhatkyTon!#REF!,"AAAAAEv3fBo=")</f>
        <v>#REF!</v>
      </c>
      <c r="AB95" t="e">
        <f>AND(NhatkyTon!#REF!,"AAAAAEv3fBs=")</f>
        <v>#REF!</v>
      </c>
      <c r="AC95" t="e">
        <f>AND(NhatkyTon!#REF!,"AAAAAEv3fBw=")</f>
        <v>#REF!</v>
      </c>
      <c r="AD95" t="e">
        <f>AND(NhatkyTon!#REF!,"AAAAAEv3fB0=")</f>
        <v>#REF!</v>
      </c>
      <c r="AE95" t="e">
        <f>AND(NhatkyTon!#REF!,"AAAAAEv3fB4=")</f>
        <v>#REF!</v>
      </c>
      <c r="AF95" t="e">
        <f>AND(NhatkyTon!#REF!,"AAAAAEv3fB8=")</f>
        <v>#REF!</v>
      </c>
      <c r="AG95" t="e">
        <f>AND(NhatkyTon!#REF!,"AAAAAEv3fCA=")</f>
        <v>#REF!</v>
      </c>
      <c r="AH95" t="e">
        <f>AND(NhatkyTon!#REF!,"AAAAAEv3fCE=")</f>
        <v>#REF!</v>
      </c>
      <c r="AI95" t="e">
        <f>AND(NhatkyTon!#REF!,"AAAAAEv3fCI=")</f>
        <v>#REF!</v>
      </c>
      <c r="AJ95" t="e">
        <f>AND(NhatkyTon!#REF!,"AAAAAEv3fCM=")</f>
        <v>#REF!</v>
      </c>
      <c r="AK95" t="e">
        <f>AND(NhatkyTon!#REF!,"AAAAAEv3fCQ=")</f>
        <v>#REF!</v>
      </c>
      <c r="AL95" t="e">
        <f>AND(NhatkyTon!#REF!,"AAAAAEv3fCU=")</f>
        <v>#REF!</v>
      </c>
      <c r="AM95" t="e">
        <f>IF(NhatkyTon!#REF!,"AAAAAEv3fCY=",0)</f>
        <v>#REF!</v>
      </c>
      <c r="AN95" t="e">
        <f>AND(NhatkyTon!#REF!,"AAAAAEv3fCc=")</f>
        <v>#REF!</v>
      </c>
      <c r="AO95" t="e">
        <f>AND(NhatkyTon!#REF!,"AAAAAEv3fCg=")</f>
        <v>#REF!</v>
      </c>
      <c r="AP95" t="e">
        <f>AND(NhatkyTon!#REF!,"AAAAAEv3fCk=")</f>
        <v>#REF!</v>
      </c>
      <c r="AQ95" t="e">
        <f>AND(NhatkyTon!#REF!,"AAAAAEv3fCo=")</f>
        <v>#REF!</v>
      </c>
      <c r="AR95" t="e">
        <f>AND(NhatkyTon!#REF!,"AAAAAEv3fCs=")</f>
        <v>#REF!</v>
      </c>
      <c r="AS95" t="e">
        <f>AND(NhatkyTon!#REF!,"AAAAAEv3fCw=")</f>
        <v>#REF!</v>
      </c>
      <c r="AT95" t="e">
        <f>AND(NhatkyTon!#REF!,"AAAAAEv3fC0=")</f>
        <v>#REF!</v>
      </c>
      <c r="AU95" t="e">
        <f>AND(NhatkyTon!#REF!,"AAAAAEv3fC4=")</f>
        <v>#REF!</v>
      </c>
      <c r="AV95" t="e">
        <f>AND(NhatkyTon!#REF!,"AAAAAEv3fC8=")</f>
        <v>#REF!</v>
      </c>
      <c r="AW95" t="e">
        <f>AND(NhatkyTon!#REF!,"AAAAAEv3fDA=")</f>
        <v>#REF!</v>
      </c>
      <c r="AX95" t="e">
        <f>AND(NhatkyTon!#REF!,"AAAAAEv3fDE=")</f>
        <v>#REF!</v>
      </c>
      <c r="AY95" t="e">
        <f>AND(NhatkyTon!#REF!,"AAAAAEv3fDI=")</f>
        <v>#REF!</v>
      </c>
      <c r="AZ95" t="e">
        <f>AND(NhatkyTon!#REF!,"AAAAAEv3fDM=")</f>
        <v>#REF!</v>
      </c>
      <c r="BA95" t="e">
        <f>AND(NhatkyTon!#REF!,"AAAAAEv3fDQ=")</f>
        <v>#REF!</v>
      </c>
      <c r="BB95" t="e">
        <f>AND(NhatkyTon!#REF!,"AAAAAEv3fDU=")</f>
        <v>#REF!</v>
      </c>
      <c r="BC95" t="e">
        <f>AND(NhatkyTon!#REF!,"AAAAAEv3fDY=")</f>
        <v>#REF!</v>
      </c>
      <c r="BD95" t="e">
        <f>AND(NhatkyTon!#REF!,"AAAAAEv3fDc=")</f>
        <v>#REF!</v>
      </c>
      <c r="BE95" t="e">
        <f>AND(NhatkyTon!#REF!,"AAAAAEv3fDg=")</f>
        <v>#REF!</v>
      </c>
      <c r="BF95" t="e">
        <f>AND(NhatkyTon!#REF!,"AAAAAEv3fDk=")</f>
        <v>#REF!</v>
      </c>
      <c r="BG95" t="e">
        <f>AND(NhatkyTon!#REF!,"AAAAAEv3fDo=")</f>
        <v>#REF!</v>
      </c>
      <c r="BH95" t="e">
        <f>AND(NhatkyTon!#REF!,"AAAAAEv3fDs=")</f>
        <v>#REF!</v>
      </c>
      <c r="BI95" t="e">
        <f>AND(NhatkyTon!#REF!,"AAAAAEv3fDw=")</f>
        <v>#REF!</v>
      </c>
      <c r="BJ95" t="e">
        <f>AND(NhatkyTon!#REF!,"AAAAAEv3fD0=")</f>
        <v>#REF!</v>
      </c>
      <c r="BK95" t="e">
        <f>AND(NhatkyTon!#REF!,"AAAAAEv3fD4=")</f>
        <v>#REF!</v>
      </c>
      <c r="BL95" t="e">
        <f>AND(NhatkyTon!#REF!,"AAAAAEv3fD8=")</f>
        <v>#REF!</v>
      </c>
      <c r="BM95" t="e">
        <f>AND(NhatkyTon!#REF!,"AAAAAEv3fEA=")</f>
        <v>#REF!</v>
      </c>
      <c r="BN95" t="e">
        <f>AND(NhatkyTon!#REF!,"AAAAAEv3fEE=")</f>
        <v>#REF!</v>
      </c>
      <c r="BO95" t="e">
        <f>AND(NhatkyTon!#REF!,"AAAAAEv3fEI=")</f>
        <v>#REF!</v>
      </c>
      <c r="BP95" t="e">
        <f>AND(NhatkyTon!#REF!,"AAAAAEv3fEM=")</f>
        <v>#REF!</v>
      </c>
      <c r="BQ95" t="e">
        <f>AND(NhatkyTon!#REF!,"AAAAAEv3fEQ=")</f>
        <v>#REF!</v>
      </c>
      <c r="BR95" t="e">
        <f>AND(NhatkyTon!#REF!,"AAAAAEv3fEU=")</f>
        <v>#REF!</v>
      </c>
      <c r="BS95" t="e">
        <f>AND(NhatkyTon!#REF!,"AAAAAEv3fEY=")</f>
        <v>#REF!</v>
      </c>
      <c r="BT95" t="e">
        <f>AND(NhatkyTon!#REF!,"AAAAAEv3fEc=")</f>
        <v>#REF!</v>
      </c>
      <c r="BU95" t="e">
        <f>AND(NhatkyTon!#REF!,"AAAAAEv3fEg=")</f>
        <v>#REF!</v>
      </c>
      <c r="BV95" t="e">
        <f>IF(NhatkyTon!#REF!,"AAAAAEv3fEk=",0)</f>
        <v>#REF!</v>
      </c>
      <c r="BW95" t="e">
        <f>AND(NhatkyTon!#REF!,"AAAAAEv3fEo=")</f>
        <v>#REF!</v>
      </c>
      <c r="BX95" t="e">
        <f>AND(NhatkyTon!#REF!,"AAAAAEv3fEs=")</f>
        <v>#REF!</v>
      </c>
      <c r="BY95" t="e">
        <f>AND(NhatkyTon!#REF!,"AAAAAEv3fEw=")</f>
        <v>#REF!</v>
      </c>
      <c r="BZ95" t="e">
        <f>AND(NhatkyTon!#REF!,"AAAAAEv3fE0=")</f>
        <v>#REF!</v>
      </c>
      <c r="CA95" t="e">
        <f>AND(NhatkyTon!#REF!,"AAAAAEv3fE4=")</f>
        <v>#REF!</v>
      </c>
      <c r="CB95" t="e">
        <f>AND(NhatkyTon!#REF!,"AAAAAEv3fE8=")</f>
        <v>#REF!</v>
      </c>
      <c r="CC95" t="e">
        <f>AND(NhatkyTon!#REF!,"AAAAAEv3fFA=")</f>
        <v>#REF!</v>
      </c>
      <c r="CD95" t="e">
        <f>AND(NhatkyTon!#REF!,"AAAAAEv3fFE=")</f>
        <v>#REF!</v>
      </c>
      <c r="CE95" t="e">
        <f>AND(NhatkyTon!#REF!,"AAAAAEv3fFI=")</f>
        <v>#REF!</v>
      </c>
      <c r="CF95" t="e">
        <f>AND(NhatkyTon!#REF!,"AAAAAEv3fFM=")</f>
        <v>#REF!</v>
      </c>
      <c r="CG95" t="e">
        <f>AND(NhatkyTon!#REF!,"AAAAAEv3fFQ=")</f>
        <v>#REF!</v>
      </c>
      <c r="CH95" t="e">
        <f>AND(NhatkyTon!#REF!,"AAAAAEv3fFU=")</f>
        <v>#REF!</v>
      </c>
      <c r="CI95" t="e">
        <f>AND(NhatkyTon!#REF!,"AAAAAEv3fFY=")</f>
        <v>#REF!</v>
      </c>
      <c r="CJ95" t="e">
        <f>AND(NhatkyTon!#REF!,"AAAAAEv3fFc=")</f>
        <v>#REF!</v>
      </c>
      <c r="CK95" t="e">
        <f>AND(NhatkyTon!#REF!,"AAAAAEv3fFg=")</f>
        <v>#REF!</v>
      </c>
      <c r="CL95" t="e">
        <f>AND(NhatkyTon!#REF!,"AAAAAEv3fFk=")</f>
        <v>#REF!</v>
      </c>
      <c r="CM95" t="e">
        <f>AND(NhatkyTon!#REF!,"AAAAAEv3fFo=")</f>
        <v>#REF!</v>
      </c>
      <c r="CN95" t="e">
        <f>AND(NhatkyTon!#REF!,"AAAAAEv3fFs=")</f>
        <v>#REF!</v>
      </c>
      <c r="CO95" t="e">
        <f>AND(NhatkyTon!#REF!,"AAAAAEv3fFw=")</f>
        <v>#REF!</v>
      </c>
      <c r="CP95" t="e">
        <f>AND(NhatkyTon!#REF!,"AAAAAEv3fF0=")</f>
        <v>#REF!</v>
      </c>
      <c r="CQ95" t="e">
        <f>AND(NhatkyTon!#REF!,"AAAAAEv3fF4=")</f>
        <v>#REF!</v>
      </c>
      <c r="CR95" t="e">
        <f>AND(NhatkyTon!#REF!,"AAAAAEv3fF8=")</f>
        <v>#REF!</v>
      </c>
      <c r="CS95" t="e">
        <f>AND(NhatkyTon!#REF!,"AAAAAEv3fGA=")</f>
        <v>#REF!</v>
      </c>
      <c r="CT95" t="e">
        <f>AND(NhatkyTon!#REF!,"AAAAAEv3fGE=")</f>
        <v>#REF!</v>
      </c>
      <c r="CU95" t="e">
        <f>AND(NhatkyTon!#REF!,"AAAAAEv3fGI=")</f>
        <v>#REF!</v>
      </c>
      <c r="CV95" t="e">
        <f>AND(NhatkyTon!#REF!,"AAAAAEv3fGM=")</f>
        <v>#REF!</v>
      </c>
      <c r="CW95" t="e">
        <f>AND(NhatkyTon!#REF!,"AAAAAEv3fGQ=")</f>
        <v>#REF!</v>
      </c>
      <c r="CX95" t="e">
        <f>AND(NhatkyTon!#REF!,"AAAAAEv3fGU=")</f>
        <v>#REF!</v>
      </c>
      <c r="CY95" t="e">
        <f>AND(NhatkyTon!#REF!,"AAAAAEv3fGY=")</f>
        <v>#REF!</v>
      </c>
      <c r="CZ95" t="e">
        <f>AND(NhatkyTon!#REF!,"AAAAAEv3fGc=")</f>
        <v>#REF!</v>
      </c>
      <c r="DA95" t="e">
        <f>AND(NhatkyTon!#REF!,"AAAAAEv3fGg=")</f>
        <v>#REF!</v>
      </c>
      <c r="DB95" t="e">
        <f>AND(NhatkyTon!#REF!,"AAAAAEv3fGk=")</f>
        <v>#REF!</v>
      </c>
      <c r="DC95" t="e">
        <f>AND(NhatkyTon!#REF!,"AAAAAEv3fGo=")</f>
        <v>#REF!</v>
      </c>
      <c r="DD95" t="e">
        <f>AND(NhatkyTon!#REF!,"AAAAAEv3fGs=")</f>
        <v>#REF!</v>
      </c>
      <c r="DE95" t="e">
        <f>IF(NhatkyTon!#REF!,"AAAAAEv3fGw=",0)</f>
        <v>#REF!</v>
      </c>
      <c r="DF95" t="e">
        <f>AND(NhatkyTon!#REF!,"AAAAAEv3fG0=")</f>
        <v>#REF!</v>
      </c>
      <c r="DG95" t="e">
        <f>AND(NhatkyTon!#REF!,"AAAAAEv3fG4=")</f>
        <v>#REF!</v>
      </c>
      <c r="DH95" t="e">
        <f>AND(NhatkyTon!#REF!,"AAAAAEv3fG8=")</f>
        <v>#REF!</v>
      </c>
      <c r="DI95" t="e">
        <f>AND(NhatkyTon!#REF!,"AAAAAEv3fHA=")</f>
        <v>#REF!</v>
      </c>
      <c r="DJ95" t="e">
        <f>AND(NhatkyTon!#REF!,"AAAAAEv3fHE=")</f>
        <v>#REF!</v>
      </c>
      <c r="DK95" t="e">
        <f>AND(NhatkyTon!#REF!,"AAAAAEv3fHI=")</f>
        <v>#REF!</v>
      </c>
      <c r="DL95" t="e">
        <f>AND(NhatkyTon!#REF!,"AAAAAEv3fHM=")</f>
        <v>#REF!</v>
      </c>
      <c r="DM95" t="e">
        <f>AND(NhatkyTon!#REF!,"AAAAAEv3fHQ=")</f>
        <v>#REF!</v>
      </c>
      <c r="DN95" t="e">
        <f>AND(NhatkyTon!#REF!,"AAAAAEv3fHU=")</f>
        <v>#REF!</v>
      </c>
      <c r="DO95" t="e">
        <f>AND(NhatkyTon!#REF!,"AAAAAEv3fHY=")</f>
        <v>#REF!</v>
      </c>
      <c r="DP95" t="e">
        <f>AND(NhatkyTon!#REF!,"AAAAAEv3fHc=")</f>
        <v>#REF!</v>
      </c>
      <c r="DQ95" t="e">
        <f>AND(NhatkyTon!#REF!,"AAAAAEv3fHg=")</f>
        <v>#REF!</v>
      </c>
      <c r="DR95" t="e">
        <f>AND(NhatkyTon!#REF!,"AAAAAEv3fHk=")</f>
        <v>#REF!</v>
      </c>
      <c r="DS95" t="e">
        <f>AND(NhatkyTon!#REF!,"AAAAAEv3fHo=")</f>
        <v>#REF!</v>
      </c>
      <c r="DT95" t="e">
        <f>AND(NhatkyTon!#REF!,"AAAAAEv3fHs=")</f>
        <v>#REF!</v>
      </c>
      <c r="DU95" t="e">
        <f>AND(NhatkyTon!#REF!,"AAAAAEv3fHw=")</f>
        <v>#REF!</v>
      </c>
      <c r="DV95" t="e">
        <f>AND(NhatkyTon!#REF!,"AAAAAEv3fH0=")</f>
        <v>#REF!</v>
      </c>
      <c r="DW95" t="e">
        <f>AND(NhatkyTon!#REF!,"AAAAAEv3fH4=")</f>
        <v>#REF!</v>
      </c>
      <c r="DX95" t="e">
        <f>AND(NhatkyTon!#REF!,"AAAAAEv3fH8=")</f>
        <v>#REF!</v>
      </c>
      <c r="DY95" t="e">
        <f>AND(NhatkyTon!#REF!,"AAAAAEv3fIA=")</f>
        <v>#REF!</v>
      </c>
      <c r="DZ95" t="e">
        <f>AND(NhatkyTon!#REF!,"AAAAAEv3fIE=")</f>
        <v>#REF!</v>
      </c>
      <c r="EA95" t="e">
        <f>AND(NhatkyTon!#REF!,"AAAAAEv3fII=")</f>
        <v>#REF!</v>
      </c>
      <c r="EB95" t="e">
        <f>AND(NhatkyTon!#REF!,"AAAAAEv3fIM=")</f>
        <v>#REF!</v>
      </c>
      <c r="EC95" t="e">
        <f>AND(NhatkyTon!#REF!,"AAAAAEv3fIQ=")</f>
        <v>#REF!</v>
      </c>
      <c r="ED95" t="e">
        <f>AND(NhatkyTon!#REF!,"AAAAAEv3fIU=")</f>
        <v>#REF!</v>
      </c>
      <c r="EE95" t="e">
        <f>AND(NhatkyTon!#REF!,"AAAAAEv3fIY=")</f>
        <v>#REF!</v>
      </c>
      <c r="EF95" t="e">
        <f>AND(NhatkyTon!#REF!,"AAAAAEv3fIc=")</f>
        <v>#REF!</v>
      </c>
      <c r="EG95" t="e">
        <f>AND(NhatkyTon!#REF!,"AAAAAEv3fIg=")</f>
        <v>#REF!</v>
      </c>
      <c r="EH95" t="e">
        <f>AND(NhatkyTon!#REF!,"AAAAAEv3fIk=")</f>
        <v>#REF!</v>
      </c>
      <c r="EI95" t="e">
        <f>AND(NhatkyTon!#REF!,"AAAAAEv3fIo=")</f>
        <v>#REF!</v>
      </c>
      <c r="EJ95" t="e">
        <f>AND(NhatkyTon!#REF!,"AAAAAEv3fIs=")</f>
        <v>#REF!</v>
      </c>
      <c r="EK95" t="e">
        <f>AND(NhatkyTon!#REF!,"AAAAAEv3fIw=")</f>
        <v>#REF!</v>
      </c>
      <c r="EL95" t="e">
        <f>AND(NhatkyTon!#REF!,"AAAAAEv3fI0=")</f>
        <v>#REF!</v>
      </c>
      <c r="EM95" t="e">
        <f>AND(NhatkyTon!#REF!,"AAAAAEv3fI4=")</f>
        <v>#REF!</v>
      </c>
      <c r="EN95" t="e">
        <f>IF(NhatkyTon!#REF!,"AAAAAEv3fI8=",0)</f>
        <v>#REF!</v>
      </c>
      <c r="EO95" t="e">
        <f>AND(NhatkyTon!#REF!,"AAAAAEv3fJA=")</f>
        <v>#REF!</v>
      </c>
      <c r="EP95" t="e">
        <f>AND(NhatkyTon!#REF!,"AAAAAEv3fJE=")</f>
        <v>#REF!</v>
      </c>
      <c r="EQ95" t="e">
        <f>AND(NhatkyTon!#REF!,"AAAAAEv3fJI=")</f>
        <v>#REF!</v>
      </c>
      <c r="ER95" t="e">
        <f>AND(NhatkyTon!#REF!,"AAAAAEv3fJM=")</f>
        <v>#REF!</v>
      </c>
      <c r="ES95" t="e">
        <f>AND(NhatkyTon!#REF!,"AAAAAEv3fJQ=")</f>
        <v>#REF!</v>
      </c>
      <c r="ET95" t="e">
        <f>AND(NhatkyTon!#REF!,"AAAAAEv3fJU=")</f>
        <v>#REF!</v>
      </c>
      <c r="EU95" t="e">
        <f>AND(NhatkyTon!#REF!,"AAAAAEv3fJY=")</f>
        <v>#REF!</v>
      </c>
      <c r="EV95" t="e">
        <f>AND(NhatkyTon!#REF!,"AAAAAEv3fJc=")</f>
        <v>#REF!</v>
      </c>
      <c r="EW95" t="e">
        <f>AND(NhatkyTon!#REF!,"AAAAAEv3fJg=")</f>
        <v>#REF!</v>
      </c>
      <c r="EX95" t="e">
        <f>AND(NhatkyTon!#REF!,"AAAAAEv3fJk=")</f>
        <v>#REF!</v>
      </c>
      <c r="EY95" t="e">
        <f>AND(NhatkyTon!#REF!,"AAAAAEv3fJo=")</f>
        <v>#REF!</v>
      </c>
      <c r="EZ95" t="e">
        <f>AND(NhatkyTon!#REF!,"AAAAAEv3fJs=")</f>
        <v>#REF!</v>
      </c>
      <c r="FA95" t="e">
        <f>AND(NhatkyTon!#REF!,"AAAAAEv3fJw=")</f>
        <v>#REF!</v>
      </c>
      <c r="FB95" t="e">
        <f>AND(NhatkyTon!#REF!,"AAAAAEv3fJ0=")</f>
        <v>#REF!</v>
      </c>
      <c r="FC95" t="e">
        <f>AND(NhatkyTon!#REF!,"AAAAAEv3fJ4=")</f>
        <v>#REF!</v>
      </c>
      <c r="FD95" t="e">
        <f>AND(NhatkyTon!#REF!,"AAAAAEv3fJ8=")</f>
        <v>#REF!</v>
      </c>
      <c r="FE95" t="e">
        <f>AND(NhatkyTon!#REF!,"AAAAAEv3fKA=")</f>
        <v>#REF!</v>
      </c>
      <c r="FF95" t="e">
        <f>AND(NhatkyTon!#REF!,"AAAAAEv3fKE=")</f>
        <v>#REF!</v>
      </c>
      <c r="FG95" t="e">
        <f>AND(NhatkyTon!#REF!,"AAAAAEv3fKI=")</f>
        <v>#REF!</v>
      </c>
      <c r="FH95" t="e">
        <f>AND(NhatkyTon!#REF!,"AAAAAEv3fKM=")</f>
        <v>#REF!</v>
      </c>
      <c r="FI95" t="e">
        <f>AND(NhatkyTon!#REF!,"AAAAAEv3fKQ=")</f>
        <v>#REF!</v>
      </c>
      <c r="FJ95" t="e">
        <f>AND(NhatkyTon!#REF!,"AAAAAEv3fKU=")</f>
        <v>#REF!</v>
      </c>
      <c r="FK95" t="e">
        <f>AND(NhatkyTon!#REF!,"AAAAAEv3fKY=")</f>
        <v>#REF!</v>
      </c>
      <c r="FL95" t="e">
        <f>AND(NhatkyTon!#REF!,"AAAAAEv3fKc=")</f>
        <v>#REF!</v>
      </c>
      <c r="FM95" t="e">
        <f>AND(NhatkyTon!#REF!,"AAAAAEv3fKg=")</f>
        <v>#REF!</v>
      </c>
      <c r="FN95" t="e">
        <f>AND(NhatkyTon!#REF!,"AAAAAEv3fKk=")</f>
        <v>#REF!</v>
      </c>
      <c r="FO95" t="e">
        <f>AND(NhatkyTon!#REF!,"AAAAAEv3fKo=")</f>
        <v>#REF!</v>
      </c>
      <c r="FP95" t="e">
        <f>AND(NhatkyTon!#REF!,"AAAAAEv3fKs=")</f>
        <v>#REF!</v>
      </c>
      <c r="FQ95" t="e">
        <f>AND(NhatkyTon!#REF!,"AAAAAEv3fKw=")</f>
        <v>#REF!</v>
      </c>
      <c r="FR95" t="e">
        <f>AND(NhatkyTon!#REF!,"AAAAAEv3fK0=")</f>
        <v>#REF!</v>
      </c>
      <c r="FS95" t="e">
        <f>AND(NhatkyTon!#REF!,"AAAAAEv3fK4=")</f>
        <v>#REF!</v>
      </c>
      <c r="FT95" t="e">
        <f>AND(NhatkyTon!#REF!,"AAAAAEv3fK8=")</f>
        <v>#REF!</v>
      </c>
      <c r="FU95" t="e">
        <f>AND(NhatkyTon!#REF!,"AAAAAEv3fLA=")</f>
        <v>#REF!</v>
      </c>
      <c r="FV95" t="e">
        <f>AND(NhatkyTon!#REF!,"AAAAAEv3fLE=")</f>
        <v>#REF!</v>
      </c>
      <c r="FW95" t="e">
        <f>IF(NhatkyTon!#REF!,"AAAAAEv3fLI=",0)</f>
        <v>#REF!</v>
      </c>
      <c r="FX95" t="e">
        <f>AND(NhatkyTon!#REF!,"AAAAAEv3fLM=")</f>
        <v>#REF!</v>
      </c>
      <c r="FY95" t="e">
        <f>AND(NhatkyTon!#REF!,"AAAAAEv3fLQ=")</f>
        <v>#REF!</v>
      </c>
      <c r="FZ95" t="e">
        <f>AND(NhatkyTon!#REF!,"AAAAAEv3fLU=")</f>
        <v>#REF!</v>
      </c>
      <c r="GA95" t="e">
        <f>AND(NhatkyTon!#REF!,"AAAAAEv3fLY=")</f>
        <v>#REF!</v>
      </c>
      <c r="GB95" t="e">
        <f>AND(NhatkyTon!#REF!,"AAAAAEv3fLc=")</f>
        <v>#REF!</v>
      </c>
      <c r="GC95" t="e">
        <f>AND(NhatkyTon!#REF!,"AAAAAEv3fLg=")</f>
        <v>#REF!</v>
      </c>
      <c r="GD95" t="e">
        <f>AND(NhatkyTon!#REF!,"AAAAAEv3fLk=")</f>
        <v>#REF!</v>
      </c>
      <c r="GE95" t="e">
        <f>AND(NhatkyTon!#REF!,"AAAAAEv3fLo=")</f>
        <v>#REF!</v>
      </c>
      <c r="GF95" t="e">
        <f>AND(NhatkyTon!#REF!,"AAAAAEv3fLs=")</f>
        <v>#REF!</v>
      </c>
      <c r="GG95" t="e">
        <f>AND(NhatkyTon!#REF!,"AAAAAEv3fLw=")</f>
        <v>#REF!</v>
      </c>
      <c r="GH95" t="e">
        <f>AND(NhatkyTon!#REF!,"AAAAAEv3fL0=")</f>
        <v>#REF!</v>
      </c>
      <c r="GI95" t="e">
        <f>AND(NhatkyTon!#REF!,"AAAAAEv3fL4=")</f>
        <v>#REF!</v>
      </c>
      <c r="GJ95" t="e">
        <f>AND(NhatkyTon!#REF!,"AAAAAEv3fL8=")</f>
        <v>#REF!</v>
      </c>
      <c r="GK95" t="e">
        <f>AND(NhatkyTon!#REF!,"AAAAAEv3fMA=")</f>
        <v>#REF!</v>
      </c>
      <c r="GL95" t="e">
        <f>AND(NhatkyTon!#REF!,"AAAAAEv3fME=")</f>
        <v>#REF!</v>
      </c>
      <c r="GM95" t="e">
        <f>AND(NhatkyTon!#REF!,"AAAAAEv3fMI=")</f>
        <v>#REF!</v>
      </c>
      <c r="GN95" t="e">
        <f>AND(NhatkyTon!#REF!,"AAAAAEv3fMM=")</f>
        <v>#REF!</v>
      </c>
      <c r="GO95" t="e">
        <f>AND(NhatkyTon!#REF!,"AAAAAEv3fMQ=")</f>
        <v>#REF!</v>
      </c>
      <c r="GP95" t="e">
        <f>AND(NhatkyTon!#REF!,"AAAAAEv3fMU=")</f>
        <v>#REF!</v>
      </c>
      <c r="GQ95" t="e">
        <f>AND(NhatkyTon!#REF!,"AAAAAEv3fMY=")</f>
        <v>#REF!</v>
      </c>
      <c r="GR95" t="e">
        <f>AND(NhatkyTon!#REF!,"AAAAAEv3fMc=")</f>
        <v>#REF!</v>
      </c>
      <c r="GS95" t="e">
        <f>AND(NhatkyTon!#REF!,"AAAAAEv3fMg=")</f>
        <v>#REF!</v>
      </c>
      <c r="GT95" t="e">
        <f>AND(NhatkyTon!#REF!,"AAAAAEv3fMk=")</f>
        <v>#REF!</v>
      </c>
      <c r="GU95" t="e">
        <f>AND(NhatkyTon!#REF!,"AAAAAEv3fMo=")</f>
        <v>#REF!</v>
      </c>
      <c r="GV95" t="e">
        <f>AND(NhatkyTon!#REF!,"AAAAAEv3fMs=")</f>
        <v>#REF!</v>
      </c>
      <c r="GW95" t="e">
        <f>AND(NhatkyTon!#REF!,"AAAAAEv3fMw=")</f>
        <v>#REF!</v>
      </c>
      <c r="GX95" t="e">
        <f>AND(NhatkyTon!#REF!,"AAAAAEv3fM0=")</f>
        <v>#REF!</v>
      </c>
      <c r="GY95" t="e">
        <f>AND(NhatkyTon!#REF!,"AAAAAEv3fM4=")</f>
        <v>#REF!</v>
      </c>
      <c r="GZ95" t="e">
        <f>AND(NhatkyTon!#REF!,"AAAAAEv3fM8=")</f>
        <v>#REF!</v>
      </c>
      <c r="HA95" t="e">
        <f>AND(NhatkyTon!#REF!,"AAAAAEv3fNA=")</f>
        <v>#REF!</v>
      </c>
      <c r="HB95" t="e">
        <f>AND(NhatkyTon!#REF!,"AAAAAEv3fNE=")</f>
        <v>#REF!</v>
      </c>
      <c r="HC95" t="e">
        <f>AND(NhatkyTon!#REF!,"AAAAAEv3fNI=")</f>
        <v>#REF!</v>
      </c>
      <c r="HD95" t="e">
        <f>AND(NhatkyTon!#REF!,"AAAAAEv3fNM=")</f>
        <v>#REF!</v>
      </c>
      <c r="HE95" t="e">
        <f>AND(NhatkyTon!#REF!,"AAAAAEv3fNQ=")</f>
        <v>#REF!</v>
      </c>
      <c r="HF95" t="e">
        <f>IF(NhatkyTon!#REF!,"AAAAAEv3fNU=",0)</f>
        <v>#REF!</v>
      </c>
      <c r="HG95" t="e">
        <f>AND(NhatkyTon!#REF!,"AAAAAEv3fNY=")</f>
        <v>#REF!</v>
      </c>
      <c r="HH95" t="e">
        <f>AND(NhatkyTon!#REF!,"AAAAAEv3fNc=")</f>
        <v>#REF!</v>
      </c>
      <c r="HI95" t="e">
        <f>AND(NhatkyTon!#REF!,"AAAAAEv3fNg=")</f>
        <v>#REF!</v>
      </c>
      <c r="HJ95" t="e">
        <f>AND(NhatkyTon!#REF!,"AAAAAEv3fNk=")</f>
        <v>#REF!</v>
      </c>
      <c r="HK95" t="e">
        <f>AND(NhatkyTon!#REF!,"AAAAAEv3fNo=")</f>
        <v>#REF!</v>
      </c>
      <c r="HL95" t="e">
        <f>AND(NhatkyTon!#REF!,"AAAAAEv3fNs=")</f>
        <v>#REF!</v>
      </c>
      <c r="HM95" t="e">
        <f>AND(NhatkyTon!#REF!,"AAAAAEv3fNw=")</f>
        <v>#REF!</v>
      </c>
      <c r="HN95" t="e">
        <f>AND(NhatkyTon!#REF!,"AAAAAEv3fN0=")</f>
        <v>#REF!</v>
      </c>
      <c r="HO95" t="e">
        <f>AND(NhatkyTon!#REF!,"AAAAAEv3fN4=")</f>
        <v>#REF!</v>
      </c>
      <c r="HP95" t="e">
        <f>AND(NhatkyTon!#REF!,"AAAAAEv3fN8=")</f>
        <v>#REF!</v>
      </c>
      <c r="HQ95" t="e">
        <f>AND(NhatkyTon!#REF!,"AAAAAEv3fOA=")</f>
        <v>#REF!</v>
      </c>
      <c r="HR95" t="e">
        <f>AND(NhatkyTon!#REF!,"AAAAAEv3fOE=")</f>
        <v>#REF!</v>
      </c>
      <c r="HS95" t="e">
        <f>AND(NhatkyTon!#REF!,"AAAAAEv3fOI=")</f>
        <v>#REF!</v>
      </c>
      <c r="HT95" t="e">
        <f>AND(NhatkyTon!#REF!,"AAAAAEv3fOM=")</f>
        <v>#REF!</v>
      </c>
      <c r="HU95" t="e">
        <f>AND(NhatkyTon!#REF!,"AAAAAEv3fOQ=")</f>
        <v>#REF!</v>
      </c>
      <c r="HV95" t="e">
        <f>AND(NhatkyTon!#REF!,"AAAAAEv3fOU=")</f>
        <v>#REF!</v>
      </c>
      <c r="HW95" t="e">
        <f>AND(NhatkyTon!#REF!,"AAAAAEv3fOY=")</f>
        <v>#REF!</v>
      </c>
      <c r="HX95" t="e">
        <f>AND(NhatkyTon!#REF!,"AAAAAEv3fOc=")</f>
        <v>#REF!</v>
      </c>
      <c r="HY95" t="e">
        <f>AND(NhatkyTon!#REF!,"AAAAAEv3fOg=")</f>
        <v>#REF!</v>
      </c>
      <c r="HZ95" t="e">
        <f>AND(NhatkyTon!#REF!,"AAAAAEv3fOk=")</f>
        <v>#REF!</v>
      </c>
      <c r="IA95" t="e">
        <f>AND(NhatkyTon!#REF!,"AAAAAEv3fOo=")</f>
        <v>#REF!</v>
      </c>
      <c r="IB95" t="e">
        <f>AND(NhatkyTon!#REF!,"AAAAAEv3fOs=")</f>
        <v>#REF!</v>
      </c>
      <c r="IC95" t="e">
        <f>AND(NhatkyTon!#REF!,"AAAAAEv3fOw=")</f>
        <v>#REF!</v>
      </c>
      <c r="ID95" t="e">
        <f>AND(NhatkyTon!#REF!,"AAAAAEv3fO0=")</f>
        <v>#REF!</v>
      </c>
      <c r="IE95" t="e">
        <f>AND(NhatkyTon!#REF!,"AAAAAEv3fO4=")</f>
        <v>#REF!</v>
      </c>
      <c r="IF95" t="e">
        <f>AND(NhatkyTon!#REF!,"AAAAAEv3fO8=")</f>
        <v>#REF!</v>
      </c>
      <c r="IG95" t="e">
        <f>AND(NhatkyTon!#REF!,"AAAAAEv3fPA=")</f>
        <v>#REF!</v>
      </c>
      <c r="IH95" t="e">
        <f>AND(NhatkyTon!#REF!,"AAAAAEv3fPE=")</f>
        <v>#REF!</v>
      </c>
      <c r="II95" t="e">
        <f>AND(NhatkyTon!#REF!,"AAAAAEv3fPI=")</f>
        <v>#REF!</v>
      </c>
      <c r="IJ95" t="e">
        <f>AND(NhatkyTon!#REF!,"AAAAAEv3fPM=")</f>
        <v>#REF!</v>
      </c>
      <c r="IK95" t="e">
        <f>AND(NhatkyTon!#REF!,"AAAAAEv3fPQ=")</f>
        <v>#REF!</v>
      </c>
      <c r="IL95" t="e">
        <f>AND(NhatkyTon!#REF!,"AAAAAEv3fPU=")</f>
        <v>#REF!</v>
      </c>
      <c r="IM95" t="e">
        <f>AND(NhatkyTon!#REF!,"AAAAAEv3fPY=")</f>
        <v>#REF!</v>
      </c>
      <c r="IN95" t="e">
        <f>AND(NhatkyTon!#REF!,"AAAAAEv3fPc=")</f>
        <v>#REF!</v>
      </c>
      <c r="IO95" t="e">
        <f>IF(NhatkyTon!#REF!,"AAAAAEv3fPg=",0)</f>
        <v>#REF!</v>
      </c>
      <c r="IP95" t="e">
        <f>AND(NhatkyTon!#REF!,"AAAAAEv3fPk=")</f>
        <v>#REF!</v>
      </c>
      <c r="IQ95" t="e">
        <f>AND(NhatkyTon!#REF!,"AAAAAEv3fPo=")</f>
        <v>#REF!</v>
      </c>
      <c r="IR95" t="e">
        <f>AND(NhatkyTon!#REF!,"AAAAAEv3fPs=")</f>
        <v>#REF!</v>
      </c>
      <c r="IS95" t="e">
        <f>AND(NhatkyTon!#REF!,"AAAAAEv3fPw=")</f>
        <v>#REF!</v>
      </c>
      <c r="IT95" t="e">
        <f>AND(NhatkyTon!#REF!,"AAAAAEv3fP0=")</f>
        <v>#REF!</v>
      </c>
      <c r="IU95" t="e">
        <f>AND(NhatkyTon!#REF!,"AAAAAEv3fP4=")</f>
        <v>#REF!</v>
      </c>
      <c r="IV95" t="e">
        <f>AND(NhatkyTon!#REF!,"AAAAAEv3fP8=")</f>
        <v>#REF!</v>
      </c>
    </row>
    <row r="96" spans="1:256">
      <c r="A96" t="e">
        <f>AND(NhatkyTon!#REF!,"AAAAAH13ZwA=")</f>
        <v>#REF!</v>
      </c>
      <c r="B96" t="e">
        <f>AND(NhatkyTon!#REF!,"AAAAAH13ZwE=")</f>
        <v>#REF!</v>
      </c>
      <c r="C96" t="e">
        <f>AND(NhatkyTon!#REF!,"AAAAAH13ZwI=")</f>
        <v>#REF!</v>
      </c>
      <c r="D96" t="e">
        <f>AND(NhatkyTon!#REF!,"AAAAAH13ZwM=")</f>
        <v>#REF!</v>
      </c>
      <c r="E96" t="e">
        <f>AND(NhatkyTon!#REF!,"AAAAAH13ZwQ=")</f>
        <v>#REF!</v>
      </c>
      <c r="F96" t="e">
        <f>AND(NhatkyTon!#REF!,"AAAAAH13ZwU=")</f>
        <v>#REF!</v>
      </c>
      <c r="G96" t="e">
        <f>AND(NhatkyTon!#REF!,"AAAAAH13ZwY=")</f>
        <v>#REF!</v>
      </c>
      <c r="H96" t="e">
        <f>AND(NhatkyTon!#REF!,"AAAAAH13Zwc=")</f>
        <v>#REF!</v>
      </c>
      <c r="I96" t="e">
        <f>AND(NhatkyTon!#REF!,"AAAAAH13Zwg=")</f>
        <v>#REF!</v>
      </c>
      <c r="J96" t="e">
        <f>AND(NhatkyTon!#REF!,"AAAAAH13Zwk=")</f>
        <v>#REF!</v>
      </c>
      <c r="K96" t="e">
        <f>AND(NhatkyTon!#REF!,"AAAAAH13Zwo=")</f>
        <v>#REF!</v>
      </c>
      <c r="L96" t="e">
        <f>AND(NhatkyTon!#REF!,"AAAAAH13Zws=")</f>
        <v>#REF!</v>
      </c>
      <c r="M96" t="e">
        <f>AND(NhatkyTon!#REF!,"AAAAAH13Zww=")</f>
        <v>#REF!</v>
      </c>
      <c r="N96" t="e">
        <f>AND(NhatkyTon!#REF!,"AAAAAH13Zw0=")</f>
        <v>#REF!</v>
      </c>
      <c r="O96" t="e">
        <f>AND(NhatkyTon!#REF!,"AAAAAH13Zw4=")</f>
        <v>#REF!</v>
      </c>
      <c r="P96" t="e">
        <f>AND(NhatkyTon!#REF!,"AAAAAH13Zw8=")</f>
        <v>#REF!</v>
      </c>
      <c r="Q96" t="e">
        <f>AND(NhatkyTon!#REF!,"AAAAAH13ZxA=")</f>
        <v>#REF!</v>
      </c>
      <c r="R96" t="e">
        <f>AND(NhatkyTon!#REF!,"AAAAAH13ZxE=")</f>
        <v>#REF!</v>
      </c>
      <c r="S96" t="e">
        <f>AND(NhatkyTon!#REF!,"AAAAAH13ZxI=")</f>
        <v>#REF!</v>
      </c>
      <c r="T96" t="e">
        <f>AND(NhatkyTon!#REF!,"AAAAAH13ZxM=")</f>
        <v>#REF!</v>
      </c>
      <c r="U96" t="e">
        <f>AND(NhatkyTon!#REF!,"AAAAAH13ZxQ=")</f>
        <v>#REF!</v>
      </c>
      <c r="V96" t="e">
        <f>AND(NhatkyTon!#REF!,"AAAAAH13ZxU=")</f>
        <v>#REF!</v>
      </c>
      <c r="W96" t="e">
        <f>AND(NhatkyTon!#REF!,"AAAAAH13ZxY=")</f>
        <v>#REF!</v>
      </c>
      <c r="X96" t="e">
        <f>AND(NhatkyTon!#REF!,"AAAAAH13Zxc=")</f>
        <v>#REF!</v>
      </c>
      <c r="Y96" t="e">
        <f>AND(NhatkyTon!#REF!,"AAAAAH13Zxg=")</f>
        <v>#REF!</v>
      </c>
      <c r="Z96" t="e">
        <f>AND(NhatkyTon!#REF!,"AAAAAH13Zxk=")</f>
        <v>#REF!</v>
      </c>
      <c r="AA96" t="e">
        <f>AND(NhatkyTon!#REF!,"AAAAAH13Zxo=")</f>
        <v>#REF!</v>
      </c>
      <c r="AB96" t="e">
        <f>IF(NhatkyTon!#REF!,"AAAAAH13Zxs=",0)</f>
        <v>#REF!</v>
      </c>
      <c r="AC96" t="e">
        <f>AND(NhatkyTon!#REF!,"AAAAAH13Zxw=")</f>
        <v>#REF!</v>
      </c>
      <c r="AD96" t="e">
        <f>AND(NhatkyTon!#REF!,"AAAAAH13Zx0=")</f>
        <v>#REF!</v>
      </c>
      <c r="AE96" t="e">
        <f>AND(NhatkyTon!#REF!,"AAAAAH13Zx4=")</f>
        <v>#REF!</v>
      </c>
      <c r="AF96" t="e">
        <f>AND(NhatkyTon!#REF!,"AAAAAH13Zx8=")</f>
        <v>#REF!</v>
      </c>
      <c r="AG96" t="e">
        <f>AND(NhatkyTon!#REF!,"AAAAAH13ZyA=")</f>
        <v>#REF!</v>
      </c>
      <c r="AH96" t="e">
        <f>AND(NhatkyTon!#REF!,"AAAAAH13ZyE=")</f>
        <v>#REF!</v>
      </c>
      <c r="AI96" t="e">
        <f>AND(NhatkyTon!#REF!,"AAAAAH13ZyI=")</f>
        <v>#REF!</v>
      </c>
      <c r="AJ96" t="e">
        <f>AND(NhatkyTon!#REF!,"AAAAAH13ZyM=")</f>
        <v>#REF!</v>
      </c>
      <c r="AK96" t="e">
        <f>AND(NhatkyTon!#REF!,"AAAAAH13ZyQ=")</f>
        <v>#REF!</v>
      </c>
      <c r="AL96" t="e">
        <f>AND(NhatkyTon!#REF!,"AAAAAH13ZyU=")</f>
        <v>#REF!</v>
      </c>
      <c r="AM96" t="e">
        <f>AND(NhatkyTon!#REF!,"AAAAAH13ZyY=")</f>
        <v>#REF!</v>
      </c>
      <c r="AN96" t="e">
        <f>AND(NhatkyTon!#REF!,"AAAAAH13Zyc=")</f>
        <v>#REF!</v>
      </c>
      <c r="AO96" t="e">
        <f>AND(NhatkyTon!#REF!,"AAAAAH13Zyg=")</f>
        <v>#REF!</v>
      </c>
      <c r="AP96" t="e">
        <f>AND(NhatkyTon!#REF!,"AAAAAH13Zyk=")</f>
        <v>#REF!</v>
      </c>
      <c r="AQ96" t="e">
        <f>AND(NhatkyTon!#REF!,"AAAAAH13Zyo=")</f>
        <v>#REF!</v>
      </c>
      <c r="AR96" t="e">
        <f>AND(NhatkyTon!#REF!,"AAAAAH13Zys=")</f>
        <v>#REF!</v>
      </c>
      <c r="AS96" t="e">
        <f>AND(NhatkyTon!#REF!,"AAAAAH13Zyw=")</f>
        <v>#REF!</v>
      </c>
      <c r="AT96" t="e">
        <f>AND(NhatkyTon!#REF!,"AAAAAH13Zy0=")</f>
        <v>#REF!</v>
      </c>
      <c r="AU96" t="e">
        <f>AND(NhatkyTon!#REF!,"AAAAAH13Zy4=")</f>
        <v>#REF!</v>
      </c>
      <c r="AV96" t="e">
        <f>AND(NhatkyTon!#REF!,"AAAAAH13Zy8=")</f>
        <v>#REF!</v>
      </c>
      <c r="AW96" t="e">
        <f>AND(NhatkyTon!#REF!,"AAAAAH13ZzA=")</f>
        <v>#REF!</v>
      </c>
      <c r="AX96" t="e">
        <f>AND(NhatkyTon!#REF!,"AAAAAH13ZzE=")</f>
        <v>#REF!</v>
      </c>
      <c r="AY96" t="e">
        <f>AND(NhatkyTon!#REF!,"AAAAAH13ZzI=")</f>
        <v>#REF!</v>
      </c>
      <c r="AZ96" t="e">
        <f>AND(NhatkyTon!#REF!,"AAAAAH13ZzM=")</f>
        <v>#REF!</v>
      </c>
      <c r="BA96" t="e">
        <f>AND(NhatkyTon!#REF!,"AAAAAH13ZzQ=")</f>
        <v>#REF!</v>
      </c>
      <c r="BB96" t="e">
        <f>AND(NhatkyTon!#REF!,"AAAAAH13ZzU=")</f>
        <v>#REF!</v>
      </c>
      <c r="BC96" t="e">
        <f>AND(NhatkyTon!#REF!,"AAAAAH13ZzY=")</f>
        <v>#REF!</v>
      </c>
      <c r="BD96" t="e">
        <f>AND(NhatkyTon!#REF!,"AAAAAH13Zzc=")</f>
        <v>#REF!</v>
      </c>
      <c r="BE96" t="e">
        <f>AND(NhatkyTon!#REF!,"AAAAAH13Zzg=")</f>
        <v>#REF!</v>
      </c>
      <c r="BF96" t="e">
        <f>AND(NhatkyTon!#REF!,"AAAAAH13Zzk=")</f>
        <v>#REF!</v>
      </c>
      <c r="BG96" t="e">
        <f>AND(NhatkyTon!#REF!,"AAAAAH13Zzo=")</f>
        <v>#REF!</v>
      </c>
      <c r="BH96" t="e">
        <f>AND(NhatkyTon!#REF!,"AAAAAH13Zzs=")</f>
        <v>#REF!</v>
      </c>
      <c r="BI96" t="e">
        <f>AND(NhatkyTon!#REF!,"AAAAAH13Zzw=")</f>
        <v>#REF!</v>
      </c>
      <c r="BJ96" t="e">
        <f>AND(NhatkyTon!#REF!,"AAAAAH13Zz0=")</f>
        <v>#REF!</v>
      </c>
      <c r="BK96" t="e">
        <f>IF(NhatkyTon!#REF!,"AAAAAH13Zz4=",0)</f>
        <v>#REF!</v>
      </c>
      <c r="BL96" t="e">
        <f>AND(NhatkyTon!#REF!,"AAAAAH13Zz8=")</f>
        <v>#REF!</v>
      </c>
      <c r="BM96" t="e">
        <f>AND(NhatkyTon!#REF!,"AAAAAH13Z0A=")</f>
        <v>#REF!</v>
      </c>
      <c r="BN96" t="e">
        <f>AND(NhatkyTon!#REF!,"AAAAAH13Z0E=")</f>
        <v>#REF!</v>
      </c>
      <c r="BO96" t="e">
        <f>AND(NhatkyTon!#REF!,"AAAAAH13Z0I=")</f>
        <v>#REF!</v>
      </c>
      <c r="BP96" t="e">
        <f>AND(NhatkyTon!#REF!,"AAAAAH13Z0M=")</f>
        <v>#REF!</v>
      </c>
      <c r="BQ96" t="e">
        <f>AND(NhatkyTon!#REF!,"AAAAAH13Z0Q=")</f>
        <v>#REF!</v>
      </c>
      <c r="BR96" t="e">
        <f>AND(NhatkyTon!#REF!,"AAAAAH13Z0U=")</f>
        <v>#REF!</v>
      </c>
      <c r="BS96" t="e">
        <f>AND(NhatkyTon!#REF!,"AAAAAH13Z0Y=")</f>
        <v>#REF!</v>
      </c>
      <c r="BT96" t="e">
        <f>AND(NhatkyTon!#REF!,"AAAAAH13Z0c=")</f>
        <v>#REF!</v>
      </c>
      <c r="BU96" t="e">
        <f>AND(NhatkyTon!#REF!,"AAAAAH13Z0g=")</f>
        <v>#REF!</v>
      </c>
      <c r="BV96" t="e">
        <f>AND(NhatkyTon!#REF!,"AAAAAH13Z0k=")</f>
        <v>#REF!</v>
      </c>
      <c r="BW96" t="e">
        <f>AND(NhatkyTon!#REF!,"AAAAAH13Z0o=")</f>
        <v>#REF!</v>
      </c>
      <c r="BX96" t="e">
        <f>AND(NhatkyTon!#REF!,"AAAAAH13Z0s=")</f>
        <v>#REF!</v>
      </c>
      <c r="BY96" t="e">
        <f>AND(NhatkyTon!#REF!,"AAAAAH13Z0w=")</f>
        <v>#REF!</v>
      </c>
      <c r="BZ96" t="e">
        <f>AND(NhatkyTon!#REF!,"AAAAAH13Z00=")</f>
        <v>#REF!</v>
      </c>
      <c r="CA96" t="e">
        <f>AND(NhatkyTon!#REF!,"AAAAAH13Z04=")</f>
        <v>#REF!</v>
      </c>
      <c r="CB96" t="e">
        <f>AND(NhatkyTon!#REF!,"AAAAAH13Z08=")</f>
        <v>#REF!</v>
      </c>
      <c r="CC96" t="e">
        <f>AND(NhatkyTon!#REF!,"AAAAAH13Z1A=")</f>
        <v>#REF!</v>
      </c>
      <c r="CD96" t="e">
        <f>AND(NhatkyTon!#REF!,"AAAAAH13Z1E=")</f>
        <v>#REF!</v>
      </c>
      <c r="CE96" t="e">
        <f>AND(NhatkyTon!#REF!,"AAAAAH13Z1I=")</f>
        <v>#REF!</v>
      </c>
      <c r="CF96" t="e">
        <f>AND(NhatkyTon!#REF!,"AAAAAH13Z1M=")</f>
        <v>#REF!</v>
      </c>
      <c r="CG96" t="e">
        <f>AND(NhatkyTon!#REF!,"AAAAAH13Z1Q=")</f>
        <v>#REF!</v>
      </c>
      <c r="CH96" t="e">
        <f>AND(NhatkyTon!#REF!,"AAAAAH13Z1U=")</f>
        <v>#REF!</v>
      </c>
      <c r="CI96" t="e">
        <f>AND(NhatkyTon!#REF!,"AAAAAH13Z1Y=")</f>
        <v>#REF!</v>
      </c>
      <c r="CJ96" t="e">
        <f>AND(NhatkyTon!#REF!,"AAAAAH13Z1c=")</f>
        <v>#REF!</v>
      </c>
      <c r="CK96" t="e">
        <f>AND(NhatkyTon!#REF!,"AAAAAH13Z1g=")</f>
        <v>#REF!</v>
      </c>
      <c r="CL96" t="e">
        <f>AND(NhatkyTon!#REF!,"AAAAAH13Z1k=")</f>
        <v>#REF!</v>
      </c>
      <c r="CM96" t="e">
        <f>AND(NhatkyTon!#REF!,"AAAAAH13Z1o=")</f>
        <v>#REF!</v>
      </c>
      <c r="CN96" t="e">
        <f>AND(NhatkyTon!#REF!,"AAAAAH13Z1s=")</f>
        <v>#REF!</v>
      </c>
      <c r="CO96" t="e">
        <f>AND(NhatkyTon!#REF!,"AAAAAH13Z1w=")</f>
        <v>#REF!</v>
      </c>
      <c r="CP96" t="e">
        <f>AND(NhatkyTon!#REF!,"AAAAAH13Z10=")</f>
        <v>#REF!</v>
      </c>
      <c r="CQ96" t="e">
        <f>AND(NhatkyTon!#REF!,"AAAAAH13Z14=")</f>
        <v>#REF!</v>
      </c>
      <c r="CR96" t="e">
        <f>AND(NhatkyTon!#REF!,"AAAAAH13Z18=")</f>
        <v>#REF!</v>
      </c>
      <c r="CS96" t="e">
        <f>AND(NhatkyTon!#REF!,"AAAAAH13Z2A=")</f>
        <v>#REF!</v>
      </c>
      <c r="CT96" t="e">
        <f>IF(NhatkyTon!#REF!,"AAAAAH13Z2E=",0)</f>
        <v>#REF!</v>
      </c>
      <c r="CU96" t="e">
        <f>AND(NhatkyTon!#REF!,"AAAAAH13Z2I=")</f>
        <v>#REF!</v>
      </c>
      <c r="CV96" t="e">
        <f>AND(NhatkyTon!#REF!,"AAAAAH13Z2M=")</f>
        <v>#REF!</v>
      </c>
      <c r="CW96" t="e">
        <f>AND(NhatkyTon!#REF!,"AAAAAH13Z2Q=")</f>
        <v>#REF!</v>
      </c>
      <c r="CX96" t="e">
        <f>AND(NhatkyTon!#REF!,"AAAAAH13Z2U=")</f>
        <v>#REF!</v>
      </c>
      <c r="CY96" t="e">
        <f>AND(NhatkyTon!#REF!,"AAAAAH13Z2Y=")</f>
        <v>#REF!</v>
      </c>
      <c r="CZ96" t="e">
        <f>AND(NhatkyTon!#REF!,"AAAAAH13Z2c=")</f>
        <v>#REF!</v>
      </c>
      <c r="DA96" t="e">
        <f>AND(NhatkyTon!#REF!,"AAAAAH13Z2g=")</f>
        <v>#REF!</v>
      </c>
      <c r="DB96" t="e">
        <f>AND(NhatkyTon!#REF!,"AAAAAH13Z2k=")</f>
        <v>#REF!</v>
      </c>
      <c r="DC96" t="e">
        <f>AND(NhatkyTon!#REF!,"AAAAAH13Z2o=")</f>
        <v>#REF!</v>
      </c>
      <c r="DD96" t="e">
        <f>AND(NhatkyTon!#REF!,"AAAAAH13Z2s=")</f>
        <v>#REF!</v>
      </c>
      <c r="DE96" t="e">
        <f>AND(NhatkyTon!#REF!,"AAAAAH13Z2w=")</f>
        <v>#REF!</v>
      </c>
      <c r="DF96" t="e">
        <f>AND(NhatkyTon!#REF!,"AAAAAH13Z20=")</f>
        <v>#REF!</v>
      </c>
      <c r="DG96" t="e">
        <f>AND(NhatkyTon!#REF!,"AAAAAH13Z24=")</f>
        <v>#REF!</v>
      </c>
      <c r="DH96" t="e">
        <f>AND(NhatkyTon!#REF!,"AAAAAH13Z28=")</f>
        <v>#REF!</v>
      </c>
      <c r="DI96" t="e">
        <f>AND(NhatkyTon!#REF!,"AAAAAH13Z3A=")</f>
        <v>#REF!</v>
      </c>
      <c r="DJ96" t="e">
        <f>AND(NhatkyTon!#REF!,"AAAAAH13Z3E=")</f>
        <v>#REF!</v>
      </c>
      <c r="DK96" t="e">
        <f>AND(NhatkyTon!#REF!,"AAAAAH13Z3I=")</f>
        <v>#REF!</v>
      </c>
      <c r="DL96" t="e">
        <f>AND(NhatkyTon!#REF!,"AAAAAH13Z3M=")</f>
        <v>#REF!</v>
      </c>
      <c r="DM96" t="e">
        <f>AND(NhatkyTon!#REF!,"AAAAAH13Z3Q=")</f>
        <v>#REF!</v>
      </c>
      <c r="DN96" t="e">
        <f>AND(NhatkyTon!#REF!,"AAAAAH13Z3U=")</f>
        <v>#REF!</v>
      </c>
      <c r="DO96" t="e">
        <f>AND(NhatkyTon!#REF!,"AAAAAH13Z3Y=")</f>
        <v>#REF!</v>
      </c>
      <c r="DP96" t="e">
        <f>AND(NhatkyTon!#REF!,"AAAAAH13Z3c=")</f>
        <v>#REF!</v>
      </c>
      <c r="DQ96" t="e">
        <f>AND(NhatkyTon!#REF!,"AAAAAH13Z3g=")</f>
        <v>#REF!</v>
      </c>
      <c r="DR96" t="e">
        <f>AND(NhatkyTon!#REF!,"AAAAAH13Z3k=")</f>
        <v>#REF!</v>
      </c>
      <c r="DS96" t="e">
        <f>AND(NhatkyTon!#REF!,"AAAAAH13Z3o=")</f>
        <v>#REF!</v>
      </c>
      <c r="DT96" t="e">
        <f>AND(NhatkyTon!#REF!,"AAAAAH13Z3s=")</f>
        <v>#REF!</v>
      </c>
      <c r="DU96" t="e">
        <f>AND(NhatkyTon!#REF!,"AAAAAH13Z3w=")</f>
        <v>#REF!</v>
      </c>
      <c r="DV96" t="e">
        <f>AND(NhatkyTon!#REF!,"AAAAAH13Z30=")</f>
        <v>#REF!</v>
      </c>
      <c r="DW96" t="e">
        <f>AND(NhatkyTon!#REF!,"AAAAAH13Z34=")</f>
        <v>#REF!</v>
      </c>
      <c r="DX96" t="e">
        <f>AND(NhatkyTon!#REF!,"AAAAAH13Z38=")</f>
        <v>#REF!</v>
      </c>
      <c r="DY96" t="e">
        <f>AND(NhatkyTon!#REF!,"AAAAAH13Z4A=")</f>
        <v>#REF!</v>
      </c>
      <c r="DZ96" t="e">
        <f>AND(NhatkyTon!#REF!,"AAAAAH13Z4E=")</f>
        <v>#REF!</v>
      </c>
      <c r="EA96" t="e">
        <f>AND(NhatkyTon!#REF!,"AAAAAH13Z4I=")</f>
        <v>#REF!</v>
      </c>
      <c r="EB96" t="e">
        <f>AND(NhatkyTon!#REF!,"AAAAAH13Z4M=")</f>
        <v>#REF!</v>
      </c>
      <c r="EC96" t="e">
        <f>IF(NhatkyTon!#REF!,"AAAAAH13Z4Q=",0)</f>
        <v>#REF!</v>
      </c>
      <c r="ED96" t="e">
        <f>AND(NhatkyTon!#REF!,"AAAAAH13Z4U=")</f>
        <v>#REF!</v>
      </c>
      <c r="EE96" t="e">
        <f>AND(NhatkyTon!#REF!,"AAAAAH13Z4Y=")</f>
        <v>#REF!</v>
      </c>
      <c r="EF96" t="e">
        <f>AND(NhatkyTon!#REF!,"AAAAAH13Z4c=")</f>
        <v>#REF!</v>
      </c>
      <c r="EG96" t="e">
        <f>AND(NhatkyTon!#REF!,"AAAAAH13Z4g=")</f>
        <v>#REF!</v>
      </c>
      <c r="EH96" t="e">
        <f>AND(NhatkyTon!#REF!,"AAAAAH13Z4k=")</f>
        <v>#REF!</v>
      </c>
      <c r="EI96" t="e">
        <f>AND(NhatkyTon!#REF!,"AAAAAH13Z4o=")</f>
        <v>#REF!</v>
      </c>
      <c r="EJ96" t="e">
        <f>AND(NhatkyTon!#REF!,"AAAAAH13Z4s=")</f>
        <v>#REF!</v>
      </c>
      <c r="EK96" t="e">
        <f>AND(NhatkyTon!#REF!,"AAAAAH13Z4w=")</f>
        <v>#REF!</v>
      </c>
      <c r="EL96" t="e">
        <f>AND(NhatkyTon!#REF!,"AAAAAH13Z40=")</f>
        <v>#REF!</v>
      </c>
      <c r="EM96" t="e">
        <f>AND(NhatkyTon!#REF!,"AAAAAH13Z44=")</f>
        <v>#REF!</v>
      </c>
      <c r="EN96" t="e">
        <f>AND(NhatkyTon!#REF!,"AAAAAH13Z48=")</f>
        <v>#REF!</v>
      </c>
      <c r="EO96" t="e">
        <f>AND(NhatkyTon!#REF!,"AAAAAH13Z5A=")</f>
        <v>#REF!</v>
      </c>
      <c r="EP96" t="e">
        <f>AND(NhatkyTon!#REF!,"AAAAAH13Z5E=")</f>
        <v>#REF!</v>
      </c>
      <c r="EQ96" t="e">
        <f>AND(NhatkyTon!#REF!,"AAAAAH13Z5I=")</f>
        <v>#REF!</v>
      </c>
      <c r="ER96" t="e">
        <f>AND(NhatkyTon!#REF!,"AAAAAH13Z5M=")</f>
        <v>#REF!</v>
      </c>
      <c r="ES96" t="e">
        <f>AND(NhatkyTon!#REF!,"AAAAAH13Z5Q=")</f>
        <v>#REF!</v>
      </c>
      <c r="ET96" t="e">
        <f>AND(NhatkyTon!#REF!,"AAAAAH13Z5U=")</f>
        <v>#REF!</v>
      </c>
      <c r="EU96" t="e">
        <f>AND(NhatkyTon!#REF!,"AAAAAH13Z5Y=")</f>
        <v>#REF!</v>
      </c>
      <c r="EV96" t="e">
        <f>AND(NhatkyTon!#REF!,"AAAAAH13Z5c=")</f>
        <v>#REF!</v>
      </c>
      <c r="EW96" t="e">
        <f>AND(NhatkyTon!#REF!,"AAAAAH13Z5g=")</f>
        <v>#REF!</v>
      </c>
      <c r="EX96" t="e">
        <f>AND(NhatkyTon!#REF!,"AAAAAH13Z5k=")</f>
        <v>#REF!</v>
      </c>
      <c r="EY96" t="e">
        <f>AND(NhatkyTon!#REF!,"AAAAAH13Z5o=")</f>
        <v>#REF!</v>
      </c>
      <c r="EZ96" t="e">
        <f>AND(NhatkyTon!#REF!,"AAAAAH13Z5s=")</f>
        <v>#REF!</v>
      </c>
      <c r="FA96" t="e">
        <f>AND(NhatkyTon!#REF!,"AAAAAH13Z5w=")</f>
        <v>#REF!</v>
      </c>
      <c r="FB96" t="e">
        <f>AND(NhatkyTon!#REF!,"AAAAAH13Z50=")</f>
        <v>#REF!</v>
      </c>
      <c r="FC96" t="e">
        <f>AND(NhatkyTon!#REF!,"AAAAAH13Z54=")</f>
        <v>#REF!</v>
      </c>
      <c r="FD96" t="e">
        <f>AND(NhatkyTon!#REF!,"AAAAAH13Z58=")</f>
        <v>#REF!</v>
      </c>
      <c r="FE96" t="e">
        <f>AND(NhatkyTon!#REF!,"AAAAAH13Z6A=")</f>
        <v>#REF!</v>
      </c>
      <c r="FF96" t="e">
        <f>AND(NhatkyTon!#REF!,"AAAAAH13Z6E=")</f>
        <v>#REF!</v>
      </c>
      <c r="FG96" t="e">
        <f>AND(NhatkyTon!#REF!,"AAAAAH13Z6I=")</f>
        <v>#REF!</v>
      </c>
      <c r="FH96" t="e">
        <f>AND(NhatkyTon!#REF!,"AAAAAH13Z6M=")</f>
        <v>#REF!</v>
      </c>
      <c r="FI96" t="e">
        <f>AND(NhatkyTon!#REF!,"AAAAAH13Z6Q=")</f>
        <v>#REF!</v>
      </c>
      <c r="FJ96" t="e">
        <f>AND(NhatkyTon!#REF!,"AAAAAH13Z6U=")</f>
        <v>#REF!</v>
      </c>
      <c r="FK96" t="e">
        <f>AND(NhatkyTon!#REF!,"AAAAAH13Z6Y=")</f>
        <v>#REF!</v>
      </c>
      <c r="FL96" t="e">
        <f>IF(NhatkyTon!#REF!,"AAAAAH13Z6c=",0)</f>
        <v>#REF!</v>
      </c>
      <c r="FM96" t="e">
        <f>AND(NhatkyTon!#REF!,"AAAAAH13Z6g=")</f>
        <v>#REF!</v>
      </c>
      <c r="FN96" t="e">
        <f>AND(NhatkyTon!#REF!,"AAAAAH13Z6k=")</f>
        <v>#REF!</v>
      </c>
      <c r="FO96" t="e">
        <f>AND(NhatkyTon!#REF!,"AAAAAH13Z6o=")</f>
        <v>#REF!</v>
      </c>
      <c r="FP96" t="e">
        <f>AND(NhatkyTon!#REF!,"AAAAAH13Z6s=")</f>
        <v>#REF!</v>
      </c>
      <c r="FQ96" t="e">
        <f>AND(NhatkyTon!#REF!,"AAAAAH13Z6w=")</f>
        <v>#REF!</v>
      </c>
      <c r="FR96" t="e">
        <f>AND(NhatkyTon!#REF!,"AAAAAH13Z60=")</f>
        <v>#REF!</v>
      </c>
      <c r="FS96" t="e">
        <f>AND(NhatkyTon!#REF!,"AAAAAH13Z64=")</f>
        <v>#REF!</v>
      </c>
      <c r="FT96" t="e">
        <f>AND(NhatkyTon!#REF!,"AAAAAH13Z68=")</f>
        <v>#REF!</v>
      </c>
      <c r="FU96" t="e">
        <f>AND(NhatkyTon!#REF!,"AAAAAH13Z7A=")</f>
        <v>#REF!</v>
      </c>
      <c r="FV96" t="e">
        <f>AND(NhatkyTon!#REF!,"AAAAAH13Z7E=")</f>
        <v>#REF!</v>
      </c>
      <c r="FW96" t="e">
        <f>AND(NhatkyTon!#REF!,"AAAAAH13Z7I=")</f>
        <v>#REF!</v>
      </c>
      <c r="FX96" t="e">
        <f>AND(NhatkyTon!#REF!,"AAAAAH13Z7M=")</f>
        <v>#REF!</v>
      </c>
      <c r="FY96" t="e">
        <f>AND(NhatkyTon!#REF!,"AAAAAH13Z7Q=")</f>
        <v>#REF!</v>
      </c>
      <c r="FZ96" t="e">
        <f>AND(NhatkyTon!#REF!,"AAAAAH13Z7U=")</f>
        <v>#REF!</v>
      </c>
      <c r="GA96" t="e">
        <f>AND(NhatkyTon!#REF!,"AAAAAH13Z7Y=")</f>
        <v>#REF!</v>
      </c>
      <c r="GB96" t="e">
        <f>AND(NhatkyTon!#REF!,"AAAAAH13Z7c=")</f>
        <v>#REF!</v>
      </c>
      <c r="GC96" t="e">
        <f>AND(NhatkyTon!#REF!,"AAAAAH13Z7g=")</f>
        <v>#REF!</v>
      </c>
      <c r="GD96" t="e">
        <f>AND(NhatkyTon!#REF!,"AAAAAH13Z7k=")</f>
        <v>#REF!</v>
      </c>
      <c r="GE96" t="e">
        <f>AND(NhatkyTon!#REF!,"AAAAAH13Z7o=")</f>
        <v>#REF!</v>
      </c>
      <c r="GF96" t="e">
        <f>AND(NhatkyTon!#REF!,"AAAAAH13Z7s=")</f>
        <v>#REF!</v>
      </c>
      <c r="GG96" t="e">
        <f>AND(NhatkyTon!#REF!,"AAAAAH13Z7w=")</f>
        <v>#REF!</v>
      </c>
      <c r="GH96" t="e">
        <f>AND(NhatkyTon!#REF!,"AAAAAH13Z70=")</f>
        <v>#REF!</v>
      </c>
      <c r="GI96" t="e">
        <f>AND(NhatkyTon!#REF!,"AAAAAH13Z74=")</f>
        <v>#REF!</v>
      </c>
      <c r="GJ96" t="e">
        <f>AND(NhatkyTon!#REF!,"AAAAAH13Z78=")</f>
        <v>#REF!</v>
      </c>
      <c r="GK96" t="e">
        <f>AND(NhatkyTon!#REF!,"AAAAAH13Z8A=")</f>
        <v>#REF!</v>
      </c>
      <c r="GL96" t="e">
        <f>AND(NhatkyTon!#REF!,"AAAAAH13Z8E=")</f>
        <v>#REF!</v>
      </c>
      <c r="GM96" t="e">
        <f>AND(NhatkyTon!#REF!,"AAAAAH13Z8I=")</f>
        <v>#REF!</v>
      </c>
      <c r="GN96" t="e">
        <f>AND(NhatkyTon!#REF!,"AAAAAH13Z8M=")</f>
        <v>#REF!</v>
      </c>
      <c r="GO96" t="e">
        <f>AND(NhatkyTon!#REF!,"AAAAAH13Z8Q=")</f>
        <v>#REF!</v>
      </c>
      <c r="GP96" t="e">
        <f>AND(NhatkyTon!#REF!,"AAAAAH13Z8U=")</f>
        <v>#REF!</v>
      </c>
      <c r="GQ96" t="e">
        <f>AND(NhatkyTon!#REF!,"AAAAAH13Z8Y=")</f>
        <v>#REF!</v>
      </c>
      <c r="GR96" t="e">
        <f>AND(NhatkyTon!#REF!,"AAAAAH13Z8c=")</f>
        <v>#REF!</v>
      </c>
      <c r="GS96" t="e">
        <f>AND(NhatkyTon!#REF!,"AAAAAH13Z8g=")</f>
        <v>#REF!</v>
      </c>
      <c r="GT96" t="e">
        <f>AND(NhatkyTon!#REF!,"AAAAAH13Z8k=")</f>
        <v>#REF!</v>
      </c>
      <c r="GU96" t="e">
        <f>IF(NhatkyTon!#REF!,"AAAAAH13Z8o=",0)</f>
        <v>#REF!</v>
      </c>
      <c r="GV96" t="e">
        <f>AND(NhatkyTon!#REF!,"AAAAAH13Z8s=")</f>
        <v>#REF!</v>
      </c>
      <c r="GW96" t="e">
        <f>AND(NhatkyTon!#REF!,"AAAAAH13Z8w=")</f>
        <v>#REF!</v>
      </c>
      <c r="GX96" t="e">
        <f>AND(NhatkyTon!#REF!,"AAAAAH13Z80=")</f>
        <v>#REF!</v>
      </c>
      <c r="GY96" t="e">
        <f>AND(NhatkyTon!#REF!,"AAAAAH13Z84=")</f>
        <v>#REF!</v>
      </c>
      <c r="GZ96" t="e">
        <f>AND(NhatkyTon!#REF!,"AAAAAH13Z88=")</f>
        <v>#REF!</v>
      </c>
      <c r="HA96" t="e">
        <f>AND(NhatkyTon!#REF!,"AAAAAH13Z9A=")</f>
        <v>#REF!</v>
      </c>
      <c r="HB96" t="e">
        <f>AND(NhatkyTon!#REF!,"AAAAAH13Z9E=")</f>
        <v>#REF!</v>
      </c>
      <c r="HC96" t="e">
        <f>AND(NhatkyTon!#REF!,"AAAAAH13Z9I=")</f>
        <v>#REF!</v>
      </c>
      <c r="HD96" t="e">
        <f>AND(NhatkyTon!#REF!,"AAAAAH13Z9M=")</f>
        <v>#REF!</v>
      </c>
      <c r="HE96" t="e">
        <f>AND(NhatkyTon!#REF!,"AAAAAH13Z9Q=")</f>
        <v>#REF!</v>
      </c>
      <c r="HF96" t="e">
        <f>AND(NhatkyTon!#REF!,"AAAAAH13Z9U=")</f>
        <v>#REF!</v>
      </c>
      <c r="HG96" t="e">
        <f>AND(NhatkyTon!#REF!,"AAAAAH13Z9Y=")</f>
        <v>#REF!</v>
      </c>
      <c r="HH96" t="e">
        <f>AND(NhatkyTon!#REF!,"AAAAAH13Z9c=")</f>
        <v>#REF!</v>
      </c>
      <c r="HI96" t="e">
        <f>AND(NhatkyTon!#REF!,"AAAAAH13Z9g=")</f>
        <v>#REF!</v>
      </c>
      <c r="HJ96" t="e">
        <f>AND(NhatkyTon!#REF!,"AAAAAH13Z9k=")</f>
        <v>#REF!</v>
      </c>
      <c r="HK96" t="e">
        <f>AND(NhatkyTon!#REF!,"AAAAAH13Z9o=")</f>
        <v>#REF!</v>
      </c>
      <c r="HL96" t="e">
        <f>AND(NhatkyTon!#REF!,"AAAAAH13Z9s=")</f>
        <v>#REF!</v>
      </c>
      <c r="HM96" t="e">
        <f>AND(NhatkyTon!#REF!,"AAAAAH13Z9w=")</f>
        <v>#REF!</v>
      </c>
      <c r="HN96" t="e">
        <f>AND(NhatkyTon!#REF!,"AAAAAH13Z90=")</f>
        <v>#REF!</v>
      </c>
      <c r="HO96" t="e">
        <f>AND(NhatkyTon!#REF!,"AAAAAH13Z94=")</f>
        <v>#REF!</v>
      </c>
      <c r="HP96" t="e">
        <f>AND(NhatkyTon!#REF!,"AAAAAH13Z98=")</f>
        <v>#REF!</v>
      </c>
      <c r="HQ96" t="e">
        <f>AND(NhatkyTon!#REF!,"AAAAAH13Z+A=")</f>
        <v>#REF!</v>
      </c>
      <c r="HR96" t="e">
        <f>AND(NhatkyTon!#REF!,"AAAAAH13Z+E=")</f>
        <v>#REF!</v>
      </c>
      <c r="HS96" t="e">
        <f>AND(NhatkyTon!#REF!,"AAAAAH13Z+I=")</f>
        <v>#REF!</v>
      </c>
      <c r="HT96" t="e">
        <f>AND(NhatkyTon!#REF!,"AAAAAH13Z+M=")</f>
        <v>#REF!</v>
      </c>
      <c r="HU96" t="e">
        <f>AND(NhatkyTon!#REF!,"AAAAAH13Z+Q=")</f>
        <v>#REF!</v>
      </c>
      <c r="HV96" t="e">
        <f>AND(NhatkyTon!#REF!,"AAAAAH13Z+U=")</f>
        <v>#REF!</v>
      </c>
      <c r="HW96" t="e">
        <f>AND(NhatkyTon!#REF!,"AAAAAH13Z+Y=")</f>
        <v>#REF!</v>
      </c>
      <c r="HX96" t="e">
        <f>AND(NhatkyTon!#REF!,"AAAAAH13Z+c=")</f>
        <v>#REF!</v>
      </c>
      <c r="HY96" t="e">
        <f>AND(NhatkyTon!#REF!,"AAAAAH13Z+g=")</f>
        <v>#REF!</v>
      </c>
      <c r="HZ96" t="e">
        <f>AND(NhatkyTon!#REF!,"AAAAAH13Z+k=")</f>
        <v>#REF!</v>
      </c>
      <c r="IA96" t="e">
        <f>AND(NhatkyTon!#REF!,"AAAAAH13Z+o=")</f>
        <v>#REF!</v>
      </c>
      <c r="IB96" t="e">
        <f>AND(NhatkyTon!#REF!,"AAAAAH13Z+s=")</f>
        <v>#REF!</v>
      </c>
      <c r="IC96" t="e">
        <f>AND(NhatkyTon!#REF!,"AAAAAH13Z+w=")</f>
        <v>#REF!</v>
      </c>
      <c r="ID96" t="e">
        <f>IF(NhatkyTon!#REF!,"AAAAAH13Z+0=",0)</f>
        <v>#REF!</v>
      </c>
      <c r="IE96" t="e">
        <f>AND(NhatkyTon!#REF!,"AAAAAH13Z+4=")</f>
        <v>#REF!</v>
      </c>
      <c r="IF96" t="e">
        <f>AND(NhatkyTon!#REF!,"AAAAAH13Z+8=")</f>
        <v>#REF!</v>
      </c>
      <c r="IG96" t="e">
        <f>AND(NhatkyTon!#REF!,"AAAAAH13Z/A=")</f>
        <v>#REF!</v>
      </c>
      <c r="IH96" t="e">
        <f>AND(NhatkyTon!#REF!,"AAAAAH13Z/E=")</f>
        <v>#REF!</v>
      </c>
      <c r="II96" t="e">
        <f>AND(NhatkyTon!#REF!,"AAAAAH13Z/I=")</f>
        <v>#REF!</v>
      </c>
      <c r="IJ96" t="e">
        <f>AND(NhatkyTon!#REF!,"AAAAAH13Z/M=")</f>
        <v>#REF!</v>
      </c>
      <c r="IK96" t="e">
        <f>AND(NhatkyTon!#REF!,"AAAAAH13Z/Q=")</f>
        <v>#REF!</v>
      </c>
      <c r="IL96" t="e">
        <f>AND(NhatkyTon!#REF!,"AAAAAH13Z/U=")</f>
        <v>#REF!</v>
      </c>
      <c r="IM96" t="e">
        <f>AND(NhatkyTon!#REF!,"AAAAAH13Z/Y=")</f>
        <v>#REF!</v>
      </c>
      <c r="IN96" t="e">
        <f>AND(NhatkyTon!#REF!,"AAAAAH13Z/c=")</f>
        <v>#REF!</v>
      </c>
      <c r="IO96" t="e">
        <f>AND(NhatkyTon!#REF!,"AAAAAH13Z/g=")</f>
        <v>#REF!</v>
      </c>
      <c r="IP96" t="e">
        <f>AND(NhatkyTon!#REF!,"AAAAAH13Z/k=")</f>
        <v>#REF!</v>
      </c>
      <c r="IQ96" t="e">
        <f>AND(NhatkyTon!#REF!,"AAAAAH13Z/o=")</f>
        <v>#REF!</v>
      </c>
      <c r="IR96" t="e">
        <f>AND(NhatkyTon!#REF!,"AAAAAH13Z/s=")</f>
        <v>#REF!</v>
      </c>
      <c r="IS96" t="e">
        <f>AND(NhatkyTon!#REF!,"AAAAAH13Z/w=")</f>
        <v>#REF!</v>
      </c>
      <c r="IT96" t="e">
        <f>AND(NhatkyTon!#REF!,"AAAAAH13Z/0=")</f>
        <v>#REF!</v>
      </c>
      <c r="IU96" t="e">
        <f>AND(NhatkyTon!#REF!,"AAAAAH13Z/4=")</f>
        <v>#REF!</v>
      </c>
      <c r="IV96" t="e">
        <f>AND(NhatkyTon!#REF!,"AAAAAH13Z/8=")</f>
        <v>#REF!</v>
      </c>
    </row>
    <row r="97" spans="1:256">
      <c r="A97" t="e">
        <f>AND(NhatkyTon!#REF!,"AAAAAGn2vwA=")</f>
        <v>#REF!</v>
      </c>
      <c r="B97" t="e">
        <f>AND(NhatkyTon!#REF!,"AAAAAGn2vwE=")</f>
        <v>#REF!</v>
      </c>
      <c r="C97" t="e">
        <f>AND(NhatkyTon!#REF!,"AAAAAGn2vwI=")</f>
        <v>#REF!</v>
      </c>
      <c r="D97" t="e">
        <f>AND(NhatkyTon!#REF!,"AAAAAGn2vwM=")</f>
        <v>#REF!</v>
      </c>
      <c r="E97" t="e">
        <f>AND(NhatkyTon!#REF!,"AAAAAGn2vwQ=")</f>
        <v>#REF!</v>
      </c>
      <c r="F97" t="e">
        <f>AND(NhatkyTon!#REF!,"AAAAAGn2vwU=")</f>
        <v>#REF!</v>
      </c>
      <c r="G97" t="e">
        <f>AND(NhatkyTon!#REF!,"AAAAAGn2vwY=")</f>
        <v>#REF!</v>
      </c>
      <c r="H97" t="e">
        <f>AND(NhatkyTon!#REF!,"AAAAAGn2vwc=")</f>
        <v>#REF!</v>
      </c>
      <c r="I97" t="e">
        <f>AND(NhatkyTon!#REF!,"AAAAAGn2vwg=")</f>
        <v>#REF!</v>
      </c>
      <c r="J97" t="e">
        <f>AND(NhatkyTon!#REF!,"AAAAAGn2vwk=")</f>
        <v>#REF!</v>
      </c>
      <c r="K97" t="e">
        <f>AND(NhatkyTon!#REF!,"AAAAAGn2vwo=")</f>
        <v>#REF!</v>
      </c>
      <c r="L97" t="e">
        <f>AND(NhatkyTon!#REF!,"AAAAAGn2vws=")</f>
        <v>#REF!</v>
      </c>
      <c r="M97" t="e">
        <f>AND(NhatkyTon!#REF!,"AAAAAGn2vww=")</f>
        <v>#REF!</v>
      </c>
      <c r="N97" t="e">
        <f>AND(NhatkyTon!#REF!,"AAAAAGn2vw0=")</f>
        <v>#REF!</v>
      </c>
      <c r="O97" t="e">
        <f>AND(NhatkyTon!#REF!,"AAAAAGn2vw4=")</f>
        <v>#REF!</v>
      </c>
      <c r="P97" t="e">
        <f>AND(NhatkyTon!#REF!,"AAAAAGn2vw8=")</f>
        <v>#REF!</v>
      </c>
      <c r="Q97" t="e">
        <f>IF(NhatkyTon!#REF!,"AAAAAGn2vxA=",0)</f>
        <v>#REF!</v>
      </c>
      <c r="R97" t="e">
        <f>AND(NhatkyTon!#REF!,"AAAAAGn2vxE=")</f>
        <v>#REF!</v>
      </c>
      <c r="S97" t="e">
        <f>AND(NhatkyTon!#REF!,"AAAAAGn2vxI=")</f>
        <v>#REF!</v>
      </c>
      <c r="T97" t="e">
        <f>AND(NhatkyTon!#REF!,"AAAAAGn2vxM=")</f>
        <v>#REF!</v>
      </c>
      <c r="U97" t="e">
        <f>AND(NhatkyTon!#REF!,"AAAAAGn2vxQ=")</f>
        <v>#REF!</v>
      </c>
      <c r="V97" t="e">
        <f>AND(NhatkyTon!#REF!,"AAAAAGn2vxU=")</f>
        <v>#REF!</v>
      </c>
      <c r="W97" t="e">
        <f>AND(NhatkyTon!#REF!,"AAAAAGn2vxY=")</f>
        <v>#REF!</v>
      </c>
      <c r="X97" t="e">
        <f>AND(NhatkyTon!#REF!,"AAAAAGn2vxc=")</f>
        <v>#REF!</v>
      </c>
      <c r="Y97" t="e">
        <f>AND(NhatkyTon!#REF!,"AAAAAGn2vxg=")</f>
        <v>#REF!</v>
      </c>
      <c r="Z97" t="e">
        <f>AND(NhatkyTon!#REF!,"AAAAAGn2vxk=")</f>
        <v>#REF!</v>
      </c>
      <c r="AA97" t="e">
        <f>AND(NhatkyTon!#REF!,"AAAAAGn2vxo=")</f>
        <v>#REF!</v>
      </c>
      <c r="AB97" t="e">
        <f>AND(NhatkyTon!#REF!,"AAAAAGn2vxs=")</f>
        <v>#REF!</v>
      </c>
      <c r="AC97" t="e">
        <f>AND(NhatkyTon!#REF!,"AAAAAGn2vxw=")</f>
        <v>#REF!</v>
      </c>
      <c r="AD97" t="e">
        <f>AND(NhatkyTon!#REF!,"AAAAAGn2vx0=")</f>
        <v>#REF!</v>
      </c>
      <c r="AE97" t="e">
        <f>AND(NhatkyTon!#REF!,"AAAAAGn2vx4=")</f>
        <v>#REF!</v>
      </c>
      <c r="AF97" t="e">
        <f>AND(NhatkyTon!#REF!,"AAAAAGn2vx8=")</f>
        <v>#REF!</v>
      </c>
      <c r="AG97" t="e">
        <f>AND(NhatkyTon!#REF!,"AAAAAGn2vyA=")</f>
        <v>#REF!</v>
      </c>
      <c r="AH97" t="e">
        <f>AND(NhatkyTon!#REF!,"AAAAAGn2vyE=")</f>
        <v>#REF!</v>
      </c>
      <c r="AI97" t="e">
        <f>AND(NhatkyTon!#REF!,"AAAAAGn2vyI=")</f>
        <v>#REF!</v>
      </c>
      <c r="AJ97" t="e">
        <f>AND(NhatkyTon!#REF!,"AAAAAGn2vyM=")</f>
        <v>#REF!</v>
      </c>
      <c r="AK97" t="e">
        <f>AND(NhatkyTon!#REF!,"AAAAAGn2vyQ=")</f>
        <v>#REF!</v>
      </c>
      <c r="AL97" t="e">
        <f>AND(NhatkyTon!#REF!,"AAAAAGn2vyU=")</f>
        <v>#REF!</v>
      </c>
      <c r="AM97" t="e">
        <f>AND(NhatkyTon!#REF!,"AAAAAGn2vyY=")</f>
        <v>#REF!</v>
      </c>
      <c r="AN97" t="e">
        <f>AND(NhatkyTon!#REF!,"AAAAAGn2vyc=")</f>
        <v>#REF!</v>
      </c>
      <c r="AO97" t="e">
        <f>AND(NhatkyTon!#REF!,"AAAAAGn2vyg=")</f>
        <v>#REF!</v>
      </c>
      <c r="AP97" t="e">
        <f>AND(NhatkyTon!#REF!,"AAAAAGn2vyk=")</f>
        <v>#REF!</v>
      </c>
      <c r="AQ97" t="e">
        <f>AND(NhatkyTon!#REF!,"AAAAAGn2vyo=")</f>
        <v>#REF!</v>
      </c>
      <c r="AR97" t="e">
        <f>AND(NhatkyTon!#REF!,"AAAAAGn2vys=")</f>
        <v>#REF!</v>
      </c>
      <c r="AS97" t="e">
        <f>AND(NhatkyTon!#REF!,"AAAAAGn2vyw=")</f>
        <v>#REF!</v>
      </c>
      <c r="AT97" t="e">
        <f>AND(NhatkyTon!#REF!,"AAAAAGn2vy0=")</f>
        <v>#REF!</v>
      </c>
      <c r="AU97" t="e">
        <f>AND(NhatkyTon!#REF!,"AAAAAGn2vy4=")</f>
        <v>#REF!</v>
      </c>
      <c r="AV97" t="e">
        <f>AND(NhatkyTon!#REF!,"AAAAAGn2vy8=")</f>
        <v>#REF!</v>
      </c>
      <c r="AW97" t="e">
        <f>AND(NhatkyTon!#REF!,"AAAAAGn2vzA=")</f>
        <v>#REF!</v>
      </c>
      <c r="AX97" t="e">
        <f>AND(NhatkyTon!#REF!,"AAAAAGn2vzE=")</f>
        <v>#REF!</v>
      </c>
      <c r="AY97" t="e">
        <f>AND(NhatkyTon!#REF!,"AAAAAGn2vzI=")</f>
        <v>#REF!</v>
      </c>
      <c r="AZ97" t="e">
        <f>IF(NhatkyTon!#REF!,"AAAAAGn2vzM=",0)</f>
        <v>#REF!</v>
      </c>
      <c r="BA97" t="e">
        <f>AND(NhatkyTon!#REF!,"AAAAAGn2vzQ=")</f>
        <v>#REF!</v>
      </c>
      <c r="BB97" t="e">
        <f>AND(NhatkyTon!#REF!,"AAAAAGn2vzU=")</f>
        <v>#REF!</v>
      </c>
      <c r="BC97" t="e">
        <f>AND(NhatkyTon!#REF!,"AAAAAGn2vzY=")</f>
        <v>#REF!</v>
      </c>
      <c r="BD97" t="e">
        <f>AND(NhatkyTon!#REF!,"AAAAAGn2vzc=")</f>
        <v>#REF!</v>
      </c>
      <c r="BE97" t="e">
        <f>AND(NhatkyTon!#REF!,"AAAAAGn2vzg=")</f>
        <v>#REF!</v>
      </c>
      <c r="BF97" t="e">
        <f>AND(NhatkyTon!#REF!,"AAAAAGn2vzk=")</f>
        <v>#REF!</v>
      </c>
      <c r="BG97" t="e">
        <f>AND(NhatkyTon!#REF!,"AAAAAGn2vzo=")</f>
        <v>#REF!</v>
      </c>
      <c r="BH97" t="e">
        <f>AND(NhatkyTon!#REF!,"AAAAAGn2vzs=")</f>
        <v>#REF!</v>
      </c>
      <c r="BI97" t="e">
        <f>AND(NhatkyTon!#REF!,"AAAAAGn2vzw=")</f>
        <v>#REF!</v>
      </c>
      <c r="BJ97" t="e">
        <f>AND(NhatkyTon!#REF!,"AAAAAGn2vz0=")</f>
        <v>#REF!</v>
      </c>
      <c r="BK97" t="e">
        <f>AND(NhatkyTon!#REF!,"AAAAAGn2vz4=")</f>
        <v>#REF!</v>
      </c>
      <c r="BL97" t="e">
        <f>AND(NhatkyTon!#REF!,"AAAAAGn2vz8=")</f>
        <v>#REF!</v>
      </c>
      <c r="BM97" t="e">
        <f>AND(NhatkyTon!#REF!,"AAAAAGn2v0A=")</f>
        <v>#REF!</v>
      </c>
      <c r="BN97" t="e">
        <f>AND(NhatkyTon!#REF!,"AAAAAGn2v0E=")</f>
        <v>#REF!</v>
      </c>
      <c r="BO97" t="e">
        <f>AND(NhatkyTon!#REF!,"AAAAAGn2v0I=")</f>
        <v>#REF!</v>
      </c>
      <c r="BP97" t="e">
        <f>AND(NhatkyTon!#REF!,"AAAAAGn2v0M=")</f>
        <v>#REF!</v>
      </c>
      <c r="BQ97" t="e">
        <f>AND(NhatkyTon!#REF!,"AAAAAGn2v0Q=")</f>
        <v>#REF!</v>
      </c>
      <c r="BR97" t="e">
        <f>AND(NhatkyTon!#REF!,"AAAAAGn2v0U=")</f>
        <v>#REF!</v>
      </c>
      <c r="BS97" t="e">
        <f>AND(NhatkyTon!#REF!,"AAAAAGn2v0Y=")</f>
        <v>#REF!</v>
      </c>
      <c r="BT97" t="e">
        <f>AND(NhatkyTon!#REF!,"AAAAAGn2v0c=")</f>
        <v>#REF!</v>
      </c>
      <c r="BU97" t="e">
        <f>AND(NhatkyTon!#REF!,"AAAAAGn2v0g=")</f>
        <v>#REF!</v>
      </c>
      <c r="BV97" t="e">
        <f>AND(NhatkyTon!#REF!,"AAAAAGn2v0k=")</f>
        <v>#REF!</v>
      </c>
      <c r="BW97" t="e">
        <f>AND(NhatkyTon!#REF!,"AAAAAGn2v0o=")</f>
        <v>#REF!</v>
      </c>
      <c r="BX97" t="e">
        <f>AND(NhatkyTon!#REF!,"AAAAAGn2v0s=")</f>
        <v>#REF!</v>
      </c>
      <c r="BY97" t="e">
        <f>AND(NhatkyTon!#REF!,"AAAAAGn2v0w=")</f>
        <v>#REF!</v>
      </c>
      <c r="BZ97" t="e">
        <f>AND(NhatkyTon!#REF!,"AAAAAGn2v00=")</f>
        <v>#REF!</v>
      </c>
      <c r="CA97" t="e">
        <f>AND(NhatkyTon!#REF!,"AAAAAGn2v04=")</f>
        <v>#REF!</v>
      </c>
      <c r="CB97" t="e">
        <f>AND(NhatkyTon!#REF!,"AAAAAGn2v08=")</f>
        <v>#REF!</v>
      </c>
      <c r="CC97" t="e">
        <f>AND(NhatkyTon!#REF!,"AAAAAGn2v1A=")</f>
        <v>#REF!</v>
      </c>
      <c r="CD97" t="e">
        <f>AND(NhatkyTon!#REF!,"AAAAAGn2v1E=")</f>
        <v>#REF!</v>
      </c>
      <c r="CE97" t="e">
        <f>AND(NhatkyTon!#REF!,"AAAAAGn2v1I=")</f>
        <v>#REF!</v>
      </c>
      <c r="CF97" t="e">
        <f>AND(NhatkyTon!#REF!,"AAAAAGn2v1M=")</f>
        <v>#REF!</v>
      </c>
      <c r="CG97" t="e">
        <f>AND(NhatkyTon!#REF!,"AAAAAGn2v1Q=")</f>
        <v>#REF!</v>
      </c>
      <c r="CH97" t="e">
        <f>AND(NhatkyTon!#REF!,"AAAAAGn2v1U=")</f>
        <v>#REF!</v>
      </c>
      <c r="CI97" t="e">
        <f>IF(NhatkyTon!#REF!,"AAAAAGn2v1Y=",0)</f>
        <v>#REF!</v>
      </c>
      <c r="CJ97" t="e">
        <f>AND(NhatkyTon!#REF!,"AAAAAGn2v1c=")</f>
        <v>#REF!</v>
      </c>
      <c r="CK97" t="e">
        <f>AND(NhatkyTon!#REF!,"AAAAAGn2v1g=")</f>
        <v>#REF!</v>
      </c>
      <c r="CL97" t="e">
        <f>AND(NhatkyTon!#REF!,"AAAAAGn2v1k=")</f>
        <v>#REF!</v>
      </c>
      <c r="CM97" t="e">
        <f>AND(NhatkyTon!#REF!,"AAAAAGn2v1o=")</f>
        <v>#REF!</v>
      </c>
      <c r="CN97" t="e">
        <f>AND(NhatkyTon!#REF!,"AAAAAGn2v1s=")</f>
        <v>#REF!</v>
      </c>
      <c r="CO97" t="e">
        <f>AND(NhatkyTon!#REF!,"AAAAAGn2v1w=")</f>
        <v>#REF!</v>
      </c>
      <c r="CP97" t="e">
        <f>AND(NhatkyTon!#REF!,"AAAAAGn2v10=")</f>
        <v>#REF!</v>
      </c>
      <c r="CQ97" t="e">
        <f>AND(NhatkyTon!#REF!,"AAAAAGn2v14=")</f>
        <v>#REF!</v>
      </c>
      <c r="CR97" t="e">
        <f>AND(NhatkyTon!#REF!,"AAAAAGn2v18=")</f>
        <v>#REF!</v>
      </c>
      <c r="CS97" t="e">
        <f>AND(NhatkyTon!#REF!,"AAAAAGn2v2A=")</f>
        <v>#REF!</v>
      </c>
      <c r="CT97" t="e">
        <f>AND(NhatkyTon!#REF!,"AAAAAGn2v2E=")</f>
        <v>#REF!</v>
      </c>
      <c r="CU97" t="e">
        <f>AND(NhatkyTon!#REF!,"AAAAAGn2v2I=")</f>
        <v>#REF!</v>
      </c>
      <c r="CV97" t="e">
        <f>AND(NhatkyTon!#REF!,"AAAAAGn2v2M=")</f>
        <v>#REF!</v>
      </c>
      <c r="CW97" t="e">
        <f>AND(NhatkyTon!#REF!,"AAAAAGn2v2Q=")</f>
        <v>#REF!</v>
      </c>
      <c r="CX97" t="e">
        <f>AND(NhatkyTon!#REF!,"AAAAAGn2v2U=")</f>
        <v>#REF!</v>
      </c>
      <c r="CY97" t="e">
        <f>AND(NhatkyTon!#REF!,"AAAAAGn2v2Y=")</f>
        <v>#REF!</v>
      </c>
      <c r="CZ97" t="e">
        <f>AND(NhatkyTon!#REF!,"AAAAAGn2v2c=")</f>
        <v>#REF!</v>
      </c>
      <c r="DA97" t="e">
        <f>AND(NhatkyTon!#REF!,"AAAAAGn2v2g=")</f>
        <v>#REF!</v>
      </c>
      <c r="DB97" t="e">
        <f>AND(NhatkyTon!#REF!,"AAAAAGn2v2k=")</f>
        <v>#REF!</v>
      </c>
      <c r="DC97" t="e">
        <f>AND(NhatkyTon!#REF!,"AAAAAGn2v2o=")</f>
        <v>#REF!</v>
      </c>
      <c r="DD97" t="e">
        <f>AND(NhatkyTon!#REF!,"AAAAAGn2v2s=")</f>
        <v>#REF!</v>
      </c>
      <c r="DE97" t="e">
        <f>AND(NhatkyTon!#REF!,"AAAAAGn2v2w=")</f>
        <v>#REF!</v>
      </c>
      <c r="DF97" t="e">
        <f>AND(NhatkyTon!#REF!,"AAAAAGn2v20=")</f>
        <v>#REF!</v>
      </c>
      <c r="DG97" t="e">
        <f>AND(NhatkyTon!#REF!,"AAAAAGn2v24=")</f>
        <v>#REF!</v>
      </c>
      <c r="DH97" t="e">
        <f>AND(NhatkyTon!#REF!,"AAAAAGn2v28=")</f>
        <v>#REF!</v>
      </c>
      <c r="DI97" t="e">
        <f>AND(NhatkyTon!#REF!,"AAAAAGn2v3A=")</f>
        <v>#REF!</v>
      </c>
      <c r="DJ97" t="e">
        <f>AND(NhatkyTon!#REF!,"AAAAAGn2v3E=")</f>
        <v>#REF!</v>
      </c>
      <c r="DK97" t="e">
        <f>AND(NhatkyTon!#REF!,"AAAAAGn2v3I=")</f>
        <v>#REF!</v>
      </c>
      <c r="DL97" t="e">
        <f>AND(NhatkyTon!#REF!,"AAAAAGn2v3M=")</f>
        <v>#REF!</v>
      </c>
      <c r="DM97" t="e">
        <f>AND(NhatkyTon!#REF!,"AAAAAGn2v3Q=")</f>
        <v>#REF!</v>
      </c>
      <c r="DN97" t="e">
        <f>AND(NhatkyTon!#REF!,"AAAAAGn2v3U=")</f>
        <v>#REF!</v>
      </c>
      <c r="DO97" t="e">
        <f>AND(NhatkyTon!#REF!,"AAAAAGn2v3Y=")</f>
        <v>#REF!</v>
      </c>
      <c r="DP97" t="e">
        <f>AND(NhatkyTon!#REF!,"AAAAAGn2v3c=")</f>
        <v>#REF!</v>
      </c>
      <c r="DQ97" t="e">
        <f>AND(NhatkyTon!#REF!,"AAAAAGn2v3g=")</f>
        <v>#REF!</v>
      </c>
      <c r="DR97" t="e">
        <f>IF(NhatkyTon!#REF!,"AAAAAGn2v3k=",0)</f>
        <v>#REF!</v>
      </c>
      <c r="DS97" t="e">
        <f>AND(NhatkyTon!#REF!,"AAAAAGn2v3o=")</f>
        <v>#REF!</v>
      </c>
      <c r="DT97" t="e">
        <f>AND(NhatkyTon!#REF!,"AAAAAGn2v3s=")</f>
        <v>#REF!</v>
      </c>
      <c r="DU97" t="e">
        <f>AND(NhatkyTon!#REF!,"AAAAAGn2v3w=")</f>
        <v>#REF!</v>
      </c>
      <c r="DV97" t="e">
        <f>AND(NhatkyTon!#REF!,"AAAAAGn2v30=")</f>
        <v>#REF!</v>
      </c>
      <c r="DW97" t="e">
        <f>AND(NhatkyTon!#REF!,"AAAAAGn2v34=")</f>
        <v>#REF!</v>
      </c>
      <c r="DX97" t="e">
        <f>AND(NhatkyTon!#REF!,"AAAAAGn2v38=")</f>
        <v>#REF!</v>
      </c>
      <c r="DY97" t="e">
        <f>AND(NhatkyTon!#REF!,"AAAAAGn2v4A=")</f>
        <v>#REF!</v>
      </c>
      <c r="DZ97" t="e">
        <f>AND(NhatkyTon!#REF!,"AAAAAGn2v4E=")</f>
        <v>#REF!</v>
      </c>
      <c r="EA97" t="e">
        <f>AND(NhatkyTon!#REF!,"AAAAAGn2v4I=")</f>
        <v>#REF!</v>
      </c>
      <c r="EB97" t="e">
        <f>AND(NhatkyTon!#REF!,"AAAAAGn2v4M=")</f>
        <v>#REF!</v>
      </c>
      <c r="EC97" t="e">
        <f>AND(NhatkyTon!#REF!,"AAAAAGn2v4Q=")</f>
        <v>#REF!</v>
      </c>
      <c r="ED97" t="e">
        <f>AND(NhatkyTon!#REF!,"AAAAAGn2v4U=")</f>
        <v>#REF!</v>
      </c>
      <c r="EE97" t="e">
        <f>AND(NhatkyTon!#REF!,"AAAAAGn2v4Y=")</f>
        <v>#REF!</v>
      </c>
      <c r="EF97" t="e">
        <f>AND(NhatkyTon!#REF!,"AAAAAGn2v4c=")</f>
        <v>#REF!</v>
      </c>
      <c r="EG97" t="e">
        <f>AND(NhatkyTon!#REF!,"AAAAAGn2v4g=")</f>
        <v>#REF!</v>
      </c>
      <c r="EH97" t="e">
        <f>AND(NhatkyTon!#REF!,"AAAAAGn2v4k=")</f>
        <v>#REF!</v>
      </c>
      <c r="EI97" t="e">
        <f>AND(NhatkyTon!#REF!,"AAAAAGn2v4o=")</f>
        <v>#REF!</v>
      </c>
      <c r="EJ97" t="e">
        <f>AND(NhatkyTon!#REF!,"AAAAAGn2v4s=")</f>
        <v>#REF!</v>
      </c>
      <c r="EK97" t="e">
        <f>AND(NhatkyTon!#REF!,"AAAAAGn2v4w=")</f>
        <v>#REF!</v>
      </c>
      <c r="EL97" t="e">
        <f>AND(NhatkyTon!#REF!,"AAAAAGn2v40=")</f>
        <v>#REF!</v>
      </c>
      <c r="EM97" t="e">
        <f>AND(NhatkyTon!#REF!,"AAAAAGn2v44=")</f>
        <v>#REF!</v>
      </c>
      <c r="EN97" t="e">
        <f>AND(NhatkyTon!#REF!,"AAAAAGn2v48=")</f>
        <v>#REF!</v>
      </c>
      <c r="EO97" t="e">
        <f>AND(NhatkyTon!#REF!,"AAAAAGn2v5A=")</f>
        <v>#REF!</v>
      </c>
      <c r="EP97" t="e">
        <f>AND(NhatkyTon!#REF!,"AAAAAGn2v5E=")</f>
        <v>#REF!</v>
      </c>
      <c r="EQ97" t="e">
        <f>AND(NhatkyTon!#REF!,"AAAAAGn2v5I=")</f>
        <v>#REF!</v>
      </c>
      <c r="ER97" t="e">
        <f>AND(NhatkyTon!#REF!,"AAAAAGn2v5M=")</f>
        <v>#REF!</v>
      </c>
      <c r="ES97" t="e">
        <f>AND(NhatkyTon!#REF!,"AAAAAGn2v5Q=")</f>
        <v>#REF!</v>
      </c>
      <c r="ET97" t="e">
        <f>AND(NhatkyTon!#REF!,"AAAAAGn2v5U=")</f>
        <v>#REF!</v>
      </c>
      <c r="EU97" t="e">
        <f>AND(NhatkyTon!#REF!,"AAAAAGn2v5Y=")</f>
        <v>#REF!</v>
      </c>
      <c r="EV97" t="e">
        <f>AND(NhatkyTon!#REF!,"AAAAAGn2v5c=")</f>
        <v>#REF!</v>
      </c>
      <c r="EW97" t="e">
        <f>AND(NhatkyTon!#REF!,"AAAAAGn2v5g=")</f>
        <v>#REF!</v>
      </c>
      <c r="EX97" t="e">
        <f>AND(NhatkyTon!#REF!,"AAAAAGn2v5k=")</f>
        <v>#REF!</v>
      </c>
      <c r="EY97" t="e">
        <f>AND(NhatkyTon!#REF!,"AAAAAGn2v5o=")</f>
        <v>#REF!</v>
      </c>
      <c r="EZ97" t="e">
        <f>AND(NhatkyTon!#REF!,"AAAAAGn2v5s=")</f>
        <v>#REF!</v>
      </c>
      <c r="FA97" t="e">
        <f>IF(NhatkyTon!#REF!,"AAAAAGn2v5w=",0)</f>
        <v>#REF!</v>
      </c>
      <c r="FB97" t="e">
        <f>AND(NhatkyTon!#REF!,"AAAAAGn2v50=")</f>
        <v>#REF!</v>
      </c>
      <c r="FC97" t="e">
        <f>AND(NhatkyTon!#REF!,"AAAAAGn2v54=")</f>
        <v>#REF!</v>
      </c>
      <c r="FD97" t="e">
        <f>AND(NhatkyTon!#REF!,"AAAAAGn2v58=")</f>
        <v>#REF!</v>
      </c>
      <c r="FE97" t="e">
        <f>AND(NhatkyTon!#REF!,"AAAAAGn2v6A=")</f>
        <v>#REF!</v>
      </c>
      <c r="FF97" t="e">
        <f>AND(NhatkyTon!#REF!,"AAAAAGn2v6E=")</f>
        <v>#REF!</v>
      </c>
      <c r="FG97" t="e">
        <f>AND(NhatkyTon!#REF!,"AAAAAGn2v6I=")</f>
        <v>#REF!</v>
      </c>
      <c r="FH97" t="e">
        <f>AND(NhatkyTon!#REF!,"AAAAAGn2v6M=")</f>
        <v>#REF!</v>
      </c>
      <c r="FI97" t="e">
        <f>AND(NhatkyTon!#REF!,"AAAAAGn2v6Q=")</f>
        <v>#REF!</v>
      </c>
      <c r="FJ97" t="e">
        <f>AND(NhatkyTon!#REF!,"AAAAAGn2v6U=")</f>
        <v>#REF!</v>
      </c>
      <c r="FK97" t="e">
        <f>AND(NhatkyTon!#REF!,"AAAAAGn2v6Y=")</f>
        <v>#REF!</v>
      </c>
      <c r="FL97" t="e">
        <f>AND(NhatkyTon!#REF!,"AAAAAGn2v6c=")</f>
        <v>#REF!</v>
      </c>
      <c r="FM97" t="e">
        <f>AND(NhatkyTon!#REF!,"AAAAAGn2v6g=")</f>
        <v>#REF!</v>
      </c>
      <c r="FN97" t="e">
        <f>AND(NhatkyTon!#REF!,"AAAAAGn2v6k=")</f>
        <v>#REF!</v>
      </c>
      <c r="FO97" t="e">
        <f>AND(NhatkyTon!#REF!,"AAAAAGn2v6o=")</f>
        <v>#REF!</v>
      </c>
      <c r="FP97" t="e">
        <f>AND(NhatkyTon!#REF!,"AAAAAGn2v6s=")</f>
        <v>#REF!</v>
      </c>
      <c r="FQ97" t="e">
        <f>AND(NhatkyTon!#REF!,"AAAAAGn2v6w=")</f>
        <v>#REF!</v>
      </c>
      <c r="FR97" t="e">
        <f>AND(NhatkyTon!#REF!,"AAAAAGn2v60=")</f>
        <v>#REF!</v>
      </c>
      <c r="FS97" t="e">
        <f>AND(NhatkyTon!#REF!,"AAAAAGn2v64=")</f>
        <v>#REF!</v>
      </c>
      <c r="FT97" t="e">
        <f>AND(NhatkyTon!#REF!,"AAAAAGn2v68=")</f>
        <v>#REF!</v>
      </c>
      <c r="FU97" t="e">
        <f>AND(NhatkyTon!#REF!,"AAAAAGn2v7A=")</f>
        <v>#REF!</v>
      </c>
      <c r="FV97" t="e">
        <f>AND(NhatkyTon!#REF!,"AAAAAGn2v7E=")</f>
        <v>#REF!</v>
      </c>
      <c r="FW97" t="e">
        <f>AND(NhatkyTon!#REF!,"AAAAAGn2v7I=")</f>
        <v>#REF!</v>
      </c>
      <c r="FX97" t="e">
        <f>AND(NhatkyTon!#REF!,"AAAAAGn2v7M=")</f>
        <v>#REF!</v>
      </c>
      <c r="FY97" t="e">
        <f>AND(NhatkyTon!#REF!,"AAAAAGn2v7Q=")</f>
        <v>#REF!</v>
      </c>
      <c r="FZ97" t="e">
        <f>AND(NhatkyTon!#REF!,"AAAAAGn2v7U=")</f>
        <v>#REF!</v>
      </c>
      <c r="GA97" t="e">
        <f>AND(NhatkyTon!#REF!,"AAAAAGn2v7Y=")</f>
        <v>#REF!</v>
      </c>
      <c r="GB97" t="e">
        <f>AND(NhatkyTon!#REF!,"AAAAAGn2v7c=")</f>
        <v>#REF!</v>
      </c>
      <c r="GC97" t="e">
        <f>AND(NhatkyTon!#REF!,"AAAAAGn2v7g=")</f>
        <v>#REF!</v>
      </c>
      <c r="GD97" t="e">
        <f>AND(NhatkyTon!#REF!,"AAAAAGn2v7k=")</f>
        <v>#REF!</v>
      </c>
      <c r="GE97" t="e">
        <f>AND(NhatkyTon!#REF!,"AAAAAGn2v7o=")</f>
        <v>#REF!</v>
      </c>
      <c r="GF97" t="e">
        <f>AND(NhatkyTon!#REF!,"AAAAAGn2v7s=")</f>
        <v>#REF!</v>
      </c>
      <c r="GG97" t="e">
        <f>AND(NhatkyTon!#REF!,"AAAAAGn2v7w=")</f>
        <v>#REF!</v>
      </c>
      <c r="GH97" t="e">
        <f>AND(NhatkyTon!#REF!,"AAAAAGn2v70=")</f>
        <v>#REF!</v>
      </c>
      <c r="GI97" t="e">
        <f>AND(NhatkyTon!#REF!,"AAAAAGn2v74=")</f>
        <v>#REF!</v>
      </c>
      <c r="GJ97" t="e">
        <f>IF(NhatkyTon!#REF!,"AAAAAGn2v78=",0)</f>
        <v>#REF!</v>
      </c>
      <c r="GK97" t="e">
        <f>AND(NhatkyTon!#REF!,"AAAAAGn2v8A=")</f>
        <v>#REF!</v>
      </c>
      <c r="GL97" t="e">
        <f>AND(NhatkyTon!#REF!,"AAAAAGn2v8E=")</f>
        <v>#REF!</v>
      </c>
      <c r="GM97" t="e">
        <f>AND(NhatkyTon!#REF!,"AAAAAGn2v8I=")</f>
        <v>#REF!</v>
      </c>
      <c r="GN97" t="e">
        <f>AND(NhatkyTon!#REF!,"AAAAAGn2v8M=")</f>
        <v>#REF!</v>
      </c>
      <c r="GO97" t="e">
        <f>AND(NhatkyTon!#REF!,"AAAAAGn2v8Q=")</f>
        <v>#REF!</v>
      </c>
      <c r="GP97" t="e">
        <f>AND(NhatkyTon!#REF!,"AAAAAGn2v8U=")</f>
        <v>#REF!</v>
      </c>
      <c r="GQ97" t="e">
        <f>AND(NhatkyTon!#REF!,"AAAAAGn2v8Y=")</f>
        <v>#REF!</v>
      </c>
      <c r="GR97" t="e">
        <f>AND(NhatkyTon!#REF!,"AAAAAGn2v8c=")</f>
        <v>#REF!</v>
      </c>
      <c r="GS97" t="e">
        <f>AND(NhatkyTon!#REF!,"AAAAAGn2v8g=")</f>
        <v>#REF!</v>
      </c>
      <c r="GT97" t="e">
        <f>AND(NhatkyTon!#REF!,"AAAAAGn2v8k=")</f>
        <v>#REF!</v>
      </c>
      <c r="GU97" t="e">
        <f>AND(NhatkyTon!#REF!,"AAAAAGn2v8o=")</f>
        <v>#REF!</v>
      </c>
      <c r="GV97" t="e">
        <f>AND(NhatkyTon!#REF!,"AAAAAGn2v8s=")</f>
        <v>#REF!</v>
      </c>
      <c r="GW97" t="e">
        <f>AND(NhatkyTon!#REF!,"AAAAAGn2v8w=")</f>
        <v>#REF!</v>
      </c>
      <c r="GX97" t="e">
        <f>AND(NhatkyTon!#REF!,"AAAAAGn2v80=")</f>
        <v>#REF!</v>
      </c>
      <c r="GY97" t="e">
        <f>AND(NhatkyTon!#REF!,"AAAAAGn2v84=")</f>
        <v>#REF!</v>
      </c>
      <c r="GZ97" t="e">
        <f>AND(NhatkyTon!#REF!,"AAAAAGn2v88=")</f>
        <v>#REF!</v>
      </c>
      <c r="HA97" t="e">
        <f>AND(NhatkyTon!#REF!,"AAAAAGn2v9A=")</f>
        <v>#REF!</v>
      </c>
      <c r="HB97" t="e">
        <f>AND(NhatkyTon!#REF!,"AAAAAGn2v9E=")</f>
        <v>#REF!</v>
      </c>
      <c r="HC97" t="e">
        <f>AND(NhatkyTon!#REF!,"AAAAAGn2v9I=")</f>
        <v>#REF!</v>
      </c>
      <c r="HD97" t="e">
        <f>AND(NhatkyTon!#REF!,"AAAAAGn2v9M=")</f>
        <v>#REF!</v>
      </c>
      <c r="HE97" t="e">
        <f>AND(NhatkyTon!#REF!,"AAAAAGn2v9Q=")</f>
        <v>#REF!</v>
      </c>
      <c r="HF97" t="e">
        <f>AND(NhatkyTon!#REF!,"AAAAAGn2v9U=")</f>
        <v>#REF!</v>
      </c>
      <c r="HG97" t="e">
        <f>AND(NhatkyTon!#REF!,"AAAAAGn2v9Y=")</f>
        <v>#REF!</v>
      </c>
      <c r="HH97" t="e">
        <f>AND(NhatkyTon!#REF!,"AAAAAGn2v9c=")</f>
        <v>#REF!</v>
      </c>
      <c r="HI97" t="e">
        <f>AND(NhatkyTon!#REF!,"AAAAAGn2v9g=")</f>
        <v>#REF!</v>
      </c>
      <c r="HJ97" t="e">
        <f>AND(NhatkyTon!#REF!,"AAAAAGn2v9k=")</f>
        <v>#REF!</v>
      </c>
      <c r="HK97" t="e">
        <f>AND(NhatkyTon!#REF!,"AAAAAGn2v9o=")</f>
        <v>#REF!</v>
      </c>
      <c r="HL97" t="e">
        <f>AND(NhatkyTon!#REF!,"AAAAAGn2v9s=")</f>
        <v>#REF!</v>
      </c>
      <c r="HM97" t="e">
        <f>AND(NhatkyTon!#REF!,"AAAAAGn2v9w=")</f>
        <v>#REF!</v>
      </c>
      <c r="HN97" t="e">
        <f>AND(NhatkyTon!#REF!,"AAAAAGn2v90=")</f>
        <v>#REF!</v>
      </c>
      <c r="HO97" t="e">
        <f>AND(NhatkyTon!#REF!,"AAAAAGn2v94=")</f>
        <v>#REF!</v>
      </c>
      <c r="HP97" t="e">
        <f>AND(NhatkyTon!#REF!,"AAAAAGn2v98=")</f>
        <v>#REF!</v>
      </c>
      <c r="HQ97" t="e">
        <f>AND(NhatkyTon!#REF!,"AAAAAGn2v+A=")</f>
        <v>#REF!</v>
      </c>
      <c r="HR97" t="e">
        <f>AND(NhatkyTon!#REF!,"AAAAAGn2v+E=")</f>
        <v>#REF!</v>
      </c>
      <c r="HS97" t="e">
        <f>IF(NhatkyTon!#REF!,"AAAAAGn2v+I=",0)</f>
        <v>#REF!</v>
      </c>
      <c r="HT97" t="e">
        <f>AND(NhatkyTon!#REF!,"AAAAAGn2v+M=")</f>
        <v>#REF!</v>
      </c>
      <c r="HU97" t="e">
        <f>AND(NhatkyTon!#REF!,"AAAAAGn2v+Q=")</f>
        <v>#REF!</v>
      </c>
      <c r="HV97" t="e">
        <f>AND(NhatkyTon!#REF!,"AAAAAGn2v+U=")</f>
        <v>#REF!</v>
      </c>
      <c r="HW97" t="e">
        <f>AND(NhatkyTon!#REF!,"AAAAAGn2v+Y=")</f>
        <v>#REF!</v>
      </c>
      <c r="HX97" t="e">
        <f>AND(NhatkyTon!#REF!,"AAAAAGn2v+c=")</f>
        <v>#REF!</v>
      </c>
      <c r="HY97" t="e">
        <f>AND(NhatkyTon!#REF!,"AAAAAGn2v+g=")</f>
        <v>#REF!</v>
      </c>
      <c r="HZ97" t="e">
        <f>AND(NhatkyTon!#REF!,"AAAAAGn2v+k=")</f>
        <v>#REF!</v>
      </c>
      <c r="IA97" t="e">
        <f>AND(NhatkyTon!#REF!,"AAAAAGn2v+o=")</f>
        <v>#REF!</v>
      </c>
      <c r="IB97" t="e">
        <f>AND(NhatkyTon!#REF!,"AAAAAGn2v+s=")</f>
        <v>#REF!</v>
      </c>
      <c r="IC97" t="e">
        <f>AND(NhatkyTon!#REF!,"AAAAAGn2v+w=")</f>
        <v>#REF!</v>
      </c>
      <c r="ID97" t="e">
        <f>AND(NhatkyTon!#REF!,"AAAAAGn2v+0=")</f>
        <v>#REF!</v>
      </c>
      <c r="IE97" t="e">
        <f>AND(NhatkyTon!#REF!,"AAAAAGn2v+4=")</f>
        <v>#REF!</v>
      </c>
      <c r="IF97" t="e">
        <f>AND(NhatkyTon!#REF!,"AAAAAGn2v+8=")</f>
        <v>#REF!</v>
      </c>
      <c r="IG97" t="e">
        <f>AND(NhatkyTon!#REF!,"AAAAAGn2v/A=")</f>
        <v>#REF!</v>
      </c>
      <c r="IH97" t="e">
        <f>AND(NhatkyTon!#REF!,"AAAAAGn2v/E=")</f>
        <v>#REF!</v>
      </c>
      <c r="II97" t="e">
        <f>AND(NhatkyTon!#REF!,"AAAAAGn2v/I=")</f>
        <v>#REF!</v>
      </c>
      <c r="IJ97" t="e">
        <f>AND(NhatkyTon!#REF!,"AAAAAGn2v/M=")</f>
        <v>#REF!</v>
      </c>
      <c r="IK97" t="e">
        <f>AND(NhatkyTon!#REF!,"AAAAAGn2v/Q=")</f>
        <v>#REF!</v>
      </c>
      <c r="IL97" t="e">
        <f>AND(NhatkyTon!#REF!,"AAAAAGn2v/U=")</f>
        <v>#REF!</v>
      </c>
      <c r="IM97" t="e">
        <f>AND(NhatkyTon!#REF!,"AAAAAGn2v/Y=")</f>
        <v>#REF!</v>
      </c>
      <c r="IN97" t="e">
        <f>AND(NhatkyTon!#REF!,"AAAAAGn2v/c=")</f>
        <v>#REF!</v>
      </c>
      <c r="IO97" t="e">
        <f>AND(NhatkyTon!#REF!,"AAAAAGn2v/g=")</f>
        <v>#REF!</v>
      </c>
      <c r="IP97" t="e">
        <f>AND(NhatkyTon!#REF!,"AAAAAGn2v/k=")</f>
        <v>#REF!</v>
      </c>
      <c r="IQ97" t="e">
        <f>AND(NhatkyTon!#REF!,"AAAAAGn2v/o=")</f>
        <v>#REF!</v>
      </c>
      <c r="IR97" t="e">
        <f>AND(NhatkyTon!#REF!,"AAAAAGn2v/s=")</f>
        <v>#REF!</v>
      </c>
      <c r="IS97" t="e">
        <f>AND(NhatkyTon!#REF!,"AAAAAGn2v/w=")</f>
        <v>#REF!</v>
      </c>
      <c r="IT97" t="e">
        <f>AND(NhatkyTon!#REF!,"AAAAAGn2v/0=")</f>
        <v>#REF!</v>
      </c>
      <c r="IU97" t="e">
        <f>AND(NhatkyTon!#REF!,"AAAAAGn2v/4=")</f>
        <v>#REF!</v>
      </c>
      <c r="IV97" t="e">
        <f>AND(NhatkyTon!#REF!,"AAAAAGn2v/8=")</f>
        <v>#REF!</v>
      </c>
    </row>
    <row r="98" spans="1:256">
      <c r="A98" t="e">
        <f>AND(NhatkyTon!#REF!,"AAAAAHv9/wA=")</f>
        <v>#REF!</v>
      </c>
      <c r="B98" t="e">
        <f>AND(NhatkyTon!#REF!,"AAAAAHv9/wE=")</f>
        <v>#REF!</v>
      </c>
      <c r="C98" t="e">
        <f>AND(NhatkyTon!#REF!,"AAAAAHv9/wI=")</f>
        <v>#REF!</v>
      </c>
      <c r="D98" t="e">
        <f>AND(NhatkyTon!#REF!,"AAAAAHv9/wM=")</f>
        <v>#REF!</v>
      </c>
      <c r="E98" t="e">
        <f>AND(NhatkyTon!#REF!,"AAAAAHv9/wQ=")</f>
        <v>#REF!</v>
      </c>
      <c r="F98" t="e">
        <f>IF(NhatkyTon!#REF!,"AAAAAHv9/wU=",0)</f>
        <v>#REF!</v>
      </c>
      <c r="G98" t="e">
        <f>AND(NhatkyTon!#REF!,"AAAAAHv9/wY=")</f>
        <v>#REF!</v>
      </c>
      <c r="H98" t="e">
        <f>AND(NhatkyTon!#REF!,"AAAAAHv9/wc=")</f>
        <v>#REF!</v>
      </c>
      <c r="I98" t="e">
        <f>AND(NhatkyTon!#REF!,"AAAAAHv9/wg=")</f>
        <v>#REF!</v>
      </c>
      <c r="J98" t="e">
        <f>AND(NhatkyTon!#REF!,"AAAAAHv9/wk=")</f>
        <v>#REF!</v>
      </c>
      <c r="K98" t="e">
        <f>AND(NhatkyTon!#REF!,"AAAAAHv9/wo=")</f>
        <v>#REF!</v>
      </c>
      <c r="L98" t="e">
        <f>AND(NhatkyTon!#REF!,"AAAAAHv9/ws=")</f>
        <v>#REF!</v>
      </c>
      <c r="M98" t="e">
        <f>AND(NhatkyTon!#REF!,"AAAAAHv9/ww=")</f>
        <v>#REF!</v>
      </c>
      <c r="N98" t="e">
        <f>AND(NhatkyTon!#REF!,"AAAAAHv9/w0=")</f>
        <v>#REF!</v>
      </c>
      <c r="O98" t="e">
        <f>AND(NhatkyTon!#REF!,"AAAAAHv9/w4=")</f>
        <v>#REF!</v>
      </c>
      <c r="P98" t="e">
        <f>AND(NhatkyTon!#REF!,"AAAAAHv9/w8=")</f>
        <v>#REF!</v>
      </c>
      <c r="Q98" t="e">
        <f>AND(NhatkyTon!#REF!,"AAAAAHv9/xA=")</f>
        <v>#REF!</v>
      </c>
      <c r="R98" t="e">
        <f>AND(NhatkyTon!#REF!,"AAAAAHv9/xE=")</f>
        <v>#REF!</v>
      </c>
      <c r="S98" t="e">
        <f>AND(NhatkyTon!#REF!,"AAAAAHv9/xI=")</f>
        <v>#REF!</v>
      </c>
      <c r="T98" t="e">
        <f>AND(NhatkyTon!#REF!,"AAAAAHv9/xM=")</f>
        <v>#REF!</v>
      </c>
      <c r="U98" t="e">
        <f>AND(NhatkyTon!#REF!,"AAAAAHv9/xQ=")</f>
        <v>#REF!</v>
      </c>
      <c r="V98" t="e">
        <f>AND(NhatkyTon!#REF!,"AAAAAHv9/xU=")</f>
        <v>#REF!</v>
      </c>
      <c r="W98" t="e">
        <f>AND(NhatkyTon!#REF!,"AAAAAHv9/xY=")</f>
        <v>#REF!</v>
      </c>
      <c r="X98" t="e">
        <f>AND(NhatkyTon!#REF!,"AAAAAHv9/xc=")</f>
        <v>#REF!</v>
      </c>
      <c r="Y98" t="e">
        <f>AND(NhatkyTon!#REF!,"AAAAAHv9/xg=")</f>
        <v>#REF!</v>
      </c>
      <c r="Z98" t="e">
        <f>AND(NhatkyTon!#REF!,"AAAAAHv9/xk=")</f>
        <v>#REF!</v>
      </c>
      <c r="AA98" t="e">
        <f>AND(NhatkyTon!#REF!,"AAAAAHv9/xo=")</f>
        <v>#REF!</v>
      </c>
      <c r="AB98" t="e">
        <f>AND(NhatkyTon!#REF!,"AAAAAHv9/xs=")</f>
        <v>#REF!</v>
      </c>
      <c r="AC98" t="e">
        <f>AND(NhatkyTon!#REF!,"AAAAAHv9/xw=")</f>
        <v>#REF!</v>
      </c>
      <c r="AD98" t="e">
        <f>AND(NhatkyTon!#REF!,"AAAAAHv9/x0=")</f>
        <v>#REF!</v>
      </c>
      <c r="AE98" t="e">
        <f>AND(NhatkyTon!#REF!,"AAAAAHv9/x4=")</f>
        <v>#REF!</v>
      </c>
      <c r="AF98" t="e">
        <f>AND(NhatkyTon!#REF!,"AAAAAHv9/x8=")</f>
        <v>#REF!</v>
      </c>
      <c r="AG98" t="e">
        <f>AND(NhatkyTon!#REF!,"AAAAAHv9/yA=")</f>
        <v>#REF!</v>
      </c>
      <c r="AH98" t="e">
        <f>AND(NhatkyTon!#REF!,"AAAAAHv9/yE=")</f>
        <v>#REF!</v>
      </c>
      <c r="AI98" t="e">
        <f>AND(NhatkyTon!#REF!,"AAAAAHv9/yI=")</f>
        <v>#REF!</v>
      </c>
      <c r="AJ98" t="e">
        <f>AND(NhatkyTon!#REF!,"AAAAAHv9/yM=")</f>
        <v>#REF!</v>
      </c>
      <c r="AK98" t="e">
        <f>AND(NhatkyTon!#REF!,"AAAAAHv9/yQ=")</f>
        <v>#REF!</v>
      </c>
      <c r="AL98" t="e">
        <f>AND(NhatkyTon!#REF!,"AAAAAHv9/yU=")</f>
        <v>#REF!</v>
      </c>
      <c r="AM98" t="e">
        <f>AND(NhatkyTon!#REF!,"AAAAAHv9/yY=")</f>
        <v>#REF!</v>
      </c>
      <c r="AN98" t="e">
        <f>AND(NhatkyTon!#REF!,"AAAAAHv9/yc=")</f>
        <v>#REF!</v>
      </c>
      <c r="AO98" t="e">
        <f>IF(NhatkyTon!#REF!,"AAAAAHv9/yg=",0)</f>
        <v>#REF!</v>
      </c>
      <c r="AP98" t="e">
        <f>AND(NhatkyTon!#REF!,"AAAAAHv9/yk=")</f>
        <v>#REF!</v>
      </c>
      <c r="AQ98" t="e">
        <f>AND(NhatkyTon!#REF!,"AAAAAHv9/yo=")</f>
        <v>#REF!</v>
      </c>
      <c r="AR98" t="e">
        <f>AND(NhatkyTon!#REF!,"AAAAAHv9/ys=")</f>
        <v>#REF!</v>
      </c>
      <c r="AS98" t="e">
        <f>AND(NhatkyTon!#REF!,"AAAAAHv9/yw=")</f>
        <v>#REF!</v>
      </c>
      <c r="AT98" t="e">
        <f>AND(NhatkyTon!#REF!,"AAAAAHv9/y0=")</f>
        <v>#REF!</v>
      </c>
      <c r="AU98" t="e">
        <f>AND(NhatkyTon!#REF!,"AAAAAHv9/y4=")</f>
        <v>#REF!</v>
      </c>
      <c r="AV98" t="e">
        <f>AND(NhatkyTon!#REF!,"AAAAAHv9/y8=")</f>
        <v>#REF!</v>
      </c>
      <c r="AW98" t="e">
        <f>AND(NhatkyTon!#REF!,"AAAAAHv9/zA=")</f>
        <v>#REF!</v>
      </c>
      <c r="AX98" t="e">
        <f>AND(NhatkyTon!#REF!,"AAAAAHv9/zE=")</f>
        <v>#REF!</v>
      </c>
      <c r="AY98" t="e">
        <f>AND(NhatkyTon!#REF!,"AAAAAHv9/zI=")</f>
        <v>#REF!</v>
      </c>
      <c r="AZ98" t="e">
        <f>AND(NhatkyTon!#REF!,"AAAAAHv9/zM=")</f>
        <v>#REF!</v>
      </c>
      <c r="BA98" t="e">
        <f>AND(NhatkyTon!#REF!,"AAAAAHv9/zQ=")</f>
        <v>#REF!</v>
      </c>
      <c r="BB98" t="e">
        <f>AND(NhatkyTon!#REF!,"AAAAAHv9/zU=")</f>
        <v>#REF!</v>
      </c>
      <c r="BC98" t="e">
        <f>AND(NhatkyTon!#REF!,"AAAAAHv9/zY=")</f>
        <v>#REF!</v>
      </c>
      <c r="BD98" t="e">
        <f>AND(NhatkyTon!#REF!,"AAAAAHv9/zc=")</f>
        <v>#REF!</v>
      </c>
      <c r="BE98" t="e">
        <f>AND(NhatkyTon!#REF!,"AAAAAHv9/zg=")</f>
        <v>#REF!</v>
      </c>
      <c r="BF98" t="e">
        <f>AND(NhatkyTon!#REF!,"AAAAAHv9/zk=")</f>
        <v>#REF!</v>
      </c>
      <c r="BG98" t="e">
        <f>AND(NhatkyTon!#REF!,"AAAAAHv9/zo=")</f>
        <v>#REF!</v>
      </c>
      <c r="BH98" t="e">
        <f>AND(NhatkyTon!#REF!,"AAAAAHv9/zs=")</f>
        <v>#REF!</v>
      </c>
      <c r="BI98" t="e">
        <f>AND(NhatkyTon!#REF!,"AAAAAHv9/zw=")</f>
        <v>#REF!</v>
      </c>
      <c r="BJ98" t="e">
        <f>AND(NhatkyTon!#REF!,"AAAAAHv9/z0=")</f>
        <v>#REF!</v>
      </c>
      <c r="BK98" t="e">
        <f>AND(NhatkyTon!#REF!,"AAAAAHv9/z4=")</f>
        <v>#REF!</v>
      </c>
      <c r="BL98" t="e">
        <f>AND(NhatkyTon!#REF!,"AAAAAHv9/z8=")</f>
        <v>#REF!</v>
      </c>
      <c r="BM98" t="e">
        <f>AND(NhatkyTon!#REF!,"AAAAAHv9/0A=")</f>
        <v>#REF!</v>
      </c>
      <c r="BN98" t="e">
        <f>AND(NhatkyTon!#REF!,"AAAAAHv9/0E=")</f>
        <v>#REF!</v>
      </c>
      <c r="BO98" t="e">
        <f>AND(NhatkyTon!#REF!,"AAAAAHv9/0I=")</f>
        <v>#REF!</v>
      </c>
      <c r="BP98" t="e">
        <f>AND(NhatkyTon!#REF!,"AAAAAHv9/0M=")</f>
        <v>#REF!</v>
      </c>
      <c r="BQ98" t="e">
        <f>AND(NhatkyTon!#REF!,"AAAAAHv9/0Q=")</f>
        <v>#REF!</v>
      </c>
      <c r="BR98" t="e">
        <f>AND(NhatkyTon!#REF!,"AAAAAHv9/0U=")</f>
        <v>#REF!</v>
      </c>
      <c r="BS98" t="e">
        <f>AND(NhatkyTon!#REF!,"AAAAAHv9/0Y=")</f>
        <v>#REF!</v>
      </c>
      <c r="BT98" t="e">
        <f>AND(NhatkyTon!#REF!,"AAAAAHv9/0c=")</f>
        <v>#REF!</v>
      </c>
      <c r="BU98" t="e">
        <f>AND(NhatkyTon!#REF!,"AAAAAHv9/0g=")</f>
        <v>#REF!</v>
      </c>
      <c r="BV98" t="e">
        <f>AND(NhatkyTon!#REF!,"AAAAAHv9/0k=")</f>
        <v>#REF!</v>
      </c>
      <c r="BW98" t="e">
        <f>AND(NhatkyTon!#REF!,"AAAAAHv9/0o=")</f>
        <v>#REF!</v>
      </c>
      <c r="BX98" t="e">
        <f>IF(NhatkyTon!#REF!,"AAAAAHv9/0s=",0)</f>
        <v>#REF!</v>
      </c>
      <c r="BY98" t="e">
        <f>AND(NhatkyTon!#REF!,"AAAAAHv9/0w=")</f>
        <v>#REF!</v>
      </c>
      <c r="BZ98" t="e">
        <f>AND(NhatkyTon!#REF!,"AAAAAHv9/00=")</f>
        <v>#REF!</v>
      </c>
      <c r="CA98" t="e">
        <f>AND(NhatkyTon!#REF!,"AAAAAHv9/04=")</f>
        <v>#REF!</v>
      </c>
      <c r="CB98" t="e">
        <f>AND(NhatkyTon!#REF!,"AAAAAHv9/08=")</f>
        <v>#REF!</v>
      </c>
      <c r="CC98" t="e">
        <f>AND(NhatkyTon!#REF!,"AAAAAHv9/1A=")</f>
        <v>#REF!</v>
      </c>
      <c r="CD98" t="e">
        <f>AND(NhatkyTon!#REF!,"AAAAAHv9/1E=")</f>
        <v>#REF!</v>
      </c>
      <c r="CE98" t="e">
        <f>AND(NhatkyTon!#REF!,"AAAAAHv9/1I=")</f>
        <v>#REF!</v>
      </c>
      <c r="CF98" t="e">
        <f>AND(NhatkyTon!#REF!,"AAAAAHv9/1M=")</f>
        <v>#REF!</v>
      </c>
      <c r="CG98" t="e">
        <f>AND(NhatkyTon!#REF!,"AAAAAHv9/1Q=")</f>
        <v>#REF!</v>
      </c>
      <c r="CH98" t="e">
        <f>AND(NhatkyTon!#REF!,"AAAAAHv9/1U=")</f>
        <v>#REF!</v>
      </c>
      <c r="CI98" t="e">
        <f>AND(NhatkyTon!#REF!,"AAAAAHv9/1Y=")</f>
        <v>#REF!</v>
      </c>
      <c r="CJ98" t="e">
        <f>AND(NhatkyTon!#REF!,"AAAAAHv9/1c=")</f>
        <v>#REF!</v>
      </c>
      <c r="CK98" t="e">
        <f>AND(NhatkyTon!#REF!,"AAAAAHv9/1g=")</f>
        <v>#REF!</v>
      </c>
      <c r="CL98" t="e">
        <f>AND(NhatkyTon!#REF!,"AAAAAHv9/1k=")</f>
        <v>#REF!</v>
      </c>
      <c r="CM98" t="e">
        <f>AND(NhatkyTon!#REF!,"AAAAAHv9/1o=")</f>
        <v>#REF!</v>
      </c>
      <c r="CN98" t="e">
        <f>AND(NhatkyTon!#REF!,"AAAAAHv9/1s=")</f>
        <v>#REF!</v>
      </c>
      <c r="CO98" t="e">
        <f>AND(NhatkyTon!#REF!,"AAAAAHv9/1w=")</f>
        <v>#REF!</v>
      </c>
      <c r="CP98" t="e">
        <f>AND(NhatkyTon!#REF!,"AAAAAHv9/10=")</f>
        <v>#REF!</v>
      </c>
      <c r="CQ98" t="e">
        <f>AND(NhatkyTon!#REF!,"AAAAAHv9/14=")</f>
        <v>#REF!</v>
      </c>
      <c r="CR98" t="e">
        <f>AND(NhatkyTon!#REF!,"AAAAAHv9/18=")</f>
        <v>#REF!</v>
      </c>
      <c r="CS98" t="e">
        <f>AND(NhatkyTon!#REF!,"AAAAAHv9/2A=")</f>
        <v>#REF!</v>
      </c>
      <c r="CT98" t="e">
        <f>AND(NhatkyTon!#REF!,"AAAAAHv9/2E=")</f>
        <v>#REF!</v>
      </c>
      <c r="CU98" t="e">
        <f>AND(NhatkyTon!#REF!,"AAAAAHv9/2I=")</f>
        <v>#REF!</v>
      </c>
      <c r="CV98" t="e">
        <f>AND(NhatkyTon!#REF!,"AAAAAHv9/2M=")</f>
        <v>#REF!</v>
      </c>
      <c r="CW98" t="e">
        <f>AND(NhatkyTon!#REF!,"AAAAAHv9/2Q=")</f>
        <v>#REF!</v>
      </c>
      <c r="CX98" t="e">
        <f>AND(NhatkyTon!#REF!,"AAAAAHv9/2U=")</f>
        <v>#REF!</v>
      </c>
      <c r="CY98" t="e">
        <f>AND(NhatkyTon!#REF!,"AAAAAHv9/2Y=")</f>
        <v>#REF!</v>
      </c>
      <c r="CZ98" t="e">
        <f>AND(NhatkyTon!#REF!,"AAAAAHv9/2c=")</f>
        <v>#REF!</v>
      </c>
      <c r="DA98" t="e">
        <f>AND(NhatkyTon!#REF!,"AAAAAHv9/2g=")</f>
        <v>#REF!</v>
      </c>
      <c r="DB98" t="e">
        <f>AND(NhatkyTon!#REF!,"AAAAAHv9/2k=")</f>
        <v>#REF!</v>
      </c>
      <c r="DC98" t="e">
        <f>AND(NhatkyTon!#REF!,"AAAAAHv9/2o=")</f>
        <v>#REF!</v>
      </c>
      <c r="DD98" t="e">
        <f>AND(NhatkyTon!#REF!,"AAAAAHv9/2s=")</f>
        <v>#REF!</v>
      </c>
      <c r="DE98" t="e">
        <f>AND(NhatkyTon!#REF!,"AAAAAHv9/2w=")</f>
        <v>#REF!</v>
      </c>
      <c r="DF98" t="e">
        <f>AND(NhatkyTon!#REF!,"AAAAAHv9/20=")</f>
        <v>#REF!</v>
      </c>
      <c r="DG98" t="e">
        <f>IF(NhatkyTon!#REF!,"AAAAAHv9/24=",0)</f>
        <v>#REF!</v>
      </c>
      <c r="DH98" t="e">
        <f>AND(NhatkyTon!#REF!,"AAAAAHv9/28=")</f>
        <v>#REF!</v>
      </c>
      <c r="DI98" t="e">
        <f>AND(NhatkyTon!#REF!,"AAAAAHv9/3A=")</f>
        <v>#REF!</v>
      </c>
      <c r="DJ98" t="e">
        <f>AND(NhatkyTon!#REF!,"AAAAAHv9/3E=")</f>
        <v>#REF!</v>
      </c>
      <c r="DK98" t="e">
        <f>AND(NhatkyTon!#REF!,"AAAAAHv9/3I=")</f>
        <v>#REF!</v>
      </c>
      <c r="DL98" t="e">
        <f>AND(NhatkyTon!#REF!,"AAAAAHv9/3M=")</f>
        <v>#REF!</v>
      </c>
      <c r="DM98" t="e">
        <f>AND(NhatkyTon!#REF!,"AAAAAHv9/3Q=")</f>
        <v>#REF!</v>
      </c>
      <c r="DN98" t="e">
        <f>AND(NhatkyTon!#REF!,"AAAAAHv9/3U=")</f>
        <v>#REF!</v>
      </c>
      <c r="DO98" t="e">
        <f>AND(NhatkyTon!#REF!,"AAAAAHv9/3Y=")</f>
        <v>#REF!</v>
      </c>
      <c r="DP98" t="e">
        <f>AND(NhatkyTon!#REF!,"AAAAAHv9/3c=")</f>
        <v>#REF!</v>
      </c>
      <c r="DQ98" t="e">
        <f>AND(NhatkyTon!#REF!,"AAAAAHv9/3g=")</f>
        <v>#REF!</v>
      </c>
      <c r="DR98" t="e">
        <f>AND(NhatkyTon!#REF!,"AAAAAHv9/3k=")</f>
        <v>#REF!</v>
      </c>
      <c r="DS98" t="e">
        <f>AND(NhatkyTon!#REF!,"AAAAAHv9/3o=")</f>
        <v>#REF!</v>
      </c>
      <c r="DT98" t="e">
        <f>AND(NhatkyTon!#REF!,"AAAAAHv9/3s=")</f>
        <v>#REF!</v>
      </c>
      <c r="DU98" t="e">
        <f>AND(NhatkyTon!#REF!,"AAAAAHv9/3w=")</f>
        <v>#REF!</v>
      </c>
      <c r="DV98" t="e">
        <f>AND(NhatkyTon!#REF!,"AAAAAHv9/30=")</f>
        <v>#REF!</v>
      </c>
      <c r="DW98" t="e">
        <f>AND(NhatkyTon!#REF!,"AAAAAHv9/34=")</f>
        <v>#REF!</v>
      </c>
      <c r="DX98" t="e">
        <f>AND(NhatkyTon!#REF!,"AAAAAHv9/38=")</f>
        <v>#REF!</v>
      </c>
      <c r="DY98" t="e">
        <f>AND(NhatkyTon!#REF!,"AAAAAHv9/4A=")</f>
        <v>#REF!</v>
      </c>
      <c r="DZ98" t="e">
        <f>AND(NhatkyTon!#REF!,"AAAAAHv9/4E=")</f>
        <v>#REF!</v>
      </c>
      <c r="EA98" t="e">
        <f>AND(NhatkyTon!#REF!,"AAAAAHv9/4I=")</f>
        <v>#REF!</v>
      </c>
      <c r="EB98" t="e">
        <f>AND(NhatkyTon!#REF!,"AAAAAHv9/4M=")</f>
        <v>#REF!</v>
      </c>
      <c r="EC98" t="e">
        <f>AND(NhatkyTon!#REF!,"AAAAAHv9/4Q=")</f>
        <v>#REF!</v>
      </c>
      <c r="ED98" t="e">
        <f>AND(NhatkyTon!#REF!,"AAAAAHv9/4U=")</f>
        <v>#REF!</v>
      </c>
      <c r="EE98" t="e">
        <f>AND(NhatkyTon!#REF!,"AAAAAHv9/4Y=")</f>
        <v>#REF!</v>
      </c>
      <c r="EF98" t="e">
        <f>AND(NhatkyTon!#REF!,"AAAAAHv9/4c=")</f>
        <v>#REF!</v>
      </c>
      <c r="EG98" t="e">
        <f>AND(NhatkyTon!#REF!,"AAAAAHv9/4g=")</f>
        <v>#REF!</v>
      </c>
      <c r="EH98" t="e">
        <f>AND(NhatkyTon!#REF!,"AAAAAHv9/4k=")</f>
        <v>#REF!</v>
      </c>
      <c r="EI98" t="e">
        <f>AND(NhatkyTon!#REF!,"AAAAAHv9/4o=")</f>
        <v>#REF!</v>
      </c>
      <c r="EJ98" t="e">
        <f>AND(NhatkyTon!#REF!,"AAAAAHv9/4s=")</f>
        <v>#REF!</v>
      </c>
      <c r="EK98" t="e">
        <f>AND(NhatkyTon!#REF!,"AAAAAHv9/4w=")</f>
        <v>#REF!</v>
      </c>
      <c r="EL98" t="e">
        <f>AND(NhatkyTon!#REF!,"AAAAAHv9/40=")</f>
        <v>#REF!</v>
      </c>
      <c r="EM98" t="e">
        <f>AND(NhatkyTon!#REF!,"AAAAAHv9/44=")</f>
        <v>#REF!</v>
      </c>
      <c r="EN98" t="e">
        <f>AND(NhatkyTon!#REF!,"AAAAAHv9/48=")</f>
        <v>#REF!</v>
      </c>
      <c r="EO98" t="e">
        <f>AND(NhatkyTon!#REF!,"AAAAAHv9/5A=")</f>
        <v>#REF!</v>
      </c>
      <c r="EP98" t="e">
        <f>IF(NhatkyTon!#REF!,"AAAAAHv9/5E=",0)</f>
        <v>#REF!</v>
      </c>
      <c r="EQ98" t="e">
        <f>AND(NhatkyTon!#REF!,"AAAAAHv9/5I=")</f>
        <v>#REF!</v>
      </c>
      <c r="ER98" t="e">
        <f>AND(NhatkyTon!#REF!,"AAAAAHv9/5M=")</f>
        <v>#REF!</v>
      </c>
      <c r="ES98" t="e">
        <f>AND(NhatkyTon!#REF!,"AAAAAHv9/5Q=")</f>
        <v>#REF!</v>
      </c>
      <c r="ET98" t="e">
        <f>AND(NhatkyTon!#REF!,"AAAAAHv9/5U=")</f>
        <v>#REF!</v>
      </c>
      <c r="EU98" t="e">
        <f>AND(NhatkyTon!#REF!,"AAAAAHv9/5Y=")</f>
        <v>#REF!</v>
      </c>
      <c r="EV98" t="e">
        <f>AND(NhatkyTon!#REF!,"AAAAAHv9/5c=")</f>
        <v>#REF!</v>
      </c>
      <c r="EW98" t="e">
        <f>AND(NhatkyTon!#REF!,"AAAAAHv9/5g=")</f>
        <v>#REF!</v>
      </c>
      <c r="EX98" t="e">
        <f>AND(NhatkyTon!#REF!,"AAAAAHv9/5k=")</f>
        <v>#REF!</v>
      </c>
      <c r="EY98" t="e">
        <f>AND(NhatkyTon!#REF!,"AAAAAHv9/5o=")</f>
        <v>#REF!</v>
      </c>
      <c r="EZ98" t="e">
        <f>AND(NhatkyTon!#REF!,"AAAAAHv9/5s=")</f>
        <v>#REF!</v>
      </c>
      <c r="FA98" t="e">
        <f>AND(NhatkyTon!#REF!,"AAAAAHv9/5w=")</f>
        <v>#REF!</v>
      </c>
      <c r="FB98" t="e">
        <f>AND(NhatkyTon!#REF!,"AAAAAHv9/50=")</f>
        <v>#REF!</v>
      </c>
      <c r="FC98" t="e">
        <f>AND(NhatkyTon!#REF!,"AAAAAHv9/54=")</f>
        <v>#REF!</v>
      </c>
      <c r="FD98" t="e">
        <f>AND(NhatkyTon!#REF!,"AAAAAHv9/58=")</f>
        <v>#REF!</v>
      </c>
      <c r="FE98" t="e">
        <f>AND(NhatkyTon!#REF!,"AAAAAHv9/6A=")</f>
        <v>#REF!</v>
      </c>
      <c r="FF98" t="e">
        <f>AND(NhatkyTon!#REF!,"AAAAAHv9/6E=")</f>
        <v>#REF!</v>
      </c>
      <c r="FG98" t="e">
        <f>AND(NhatkyTon!#REF!,"AAAAAHv9/6I=")</f>
        <v>#REF!</v>
      </c>
      <c r="FH98" t="e">
        <f>AND(NhatkyTon!#REF!,"AAAAAHv9/6M=")</f>
        <v>#REF!</v>
      </c>
      <c r="FI98" t="e">
        <f>AND(NhatkyTon!#REF!,"AAAAAHv9/6Q=")</f>
        <v>#REF!</v>
      </c>
      <c r="FJ98" t="e">
        <f>AND(NhatkyTon!#REF!,"AAAAAHv9/6U=")</f>
        <v>#REF!</v>
      </c>
      <c r="FK98" t="e">
        <f>AND(NhatkyTon!#REF!,"AAAAAHv9/6Y=")</f>
        <v>#REF!</v>
      </c>
      <c r="FL98" t="e">
        <f>AND(NhatkyTon!#REF!,"AAAAAHv9/6c=")</f>
        <v>#REF!</v>
      </c>
      <c r="FM98" t="e">
        <f>AND(NhatkyTon!#REF!,"AAAAAHv9/6g=")</f>
        <v>#REF!</v>
      </c>
      <c r="FN98" t="e">
        <f>AND(NhatkyTon!#REF!,"AAAAAHv9/6k=")</f>
        <v>#REF!</v>
      </c>
      <c r="FO98" t="e">
        <f>AND(NhatkyTon!#REF!,"AAAAAHv9/6o=")</f>
        <v>#REF!</v>
      </c>
      <c r="FP98" t="e">
        <f>AND(NhatkyTon!#REF!,"AAAAAHv9/6s=")</f>
        <v>#REF!</v>
      </c>
      <c r="FQ98" t="e">
        <f>AND(NhatkyTon!#REF!,"AAAAAHv9/6w=")</f>
        <v>#REF!</v>
      </c>
      <c r="FR98" t="e">
        <f>AND(NhatkyTon!#REF!,"AAAAAHv9/60=")</f>
        <v>#REF!</v>
      </c>
      <c r="FS98" t="e">
        <f>AND(NhatkyTon!#REF!,"AAAAAHv9/64=")</f>
        <v>#REF!</v>
      </c>
      <c r="FT98" t="e">
        <f>AND(NhatkyTon!#REF!,"AAAAAHv9/68=")</f>
        <v>#REF!</v>
      </c>
      <c r="FU98" t="e">
        <f>AND(NhatkyTon!#REF!,"AAAAAHv9/7A=")</f>
        <v>#REF!</v>
      </c>
      <c r="FV98" t="e">
        <f>AND(NhatkyTon!#REF!,"AAAAAHv9/7E=")</f>
        <v>#REF!</v>
      </c>
      <c r="FW98" t="e">
        <f>AND(NhatkyTon!#REF!,"AAAAAHv9/7I=")</f>
        <v>#REF!</v>
      </c>
      <c r="FX98" t="e">
        <f>AND(NhatkyTon!#REF!,"AAAAAHv9/7M=")</f>
        <v>#REF!</v>
      </c>
      <c r="FY98" t="e">
        <f>IF(NhatkyTon!#REF!,"AAAAAHv9/7Q=",0)</f>
        <v>#REF!</v>
      </c>
      <c r="FZ98" t="e">
        <f>AND(NhatkyTon!#REF!,"AAAAAHv9/7U=")</f>
        <v>#REF!</v>
      </c>
      <c r="GA98" t="e">
        <f>AND(NhatkyTon!#REF!,"AAAAAHv9/7Y=")</f>
        <v>#REF!</v>
      </c>
      <c r="GB98" t="e">
        <f>AND(NhatkyTon!#REF!,"AAAAAHv9/7c=")</f>
        <v>#REF!</v>
      </c>
      <c r="GC98" t="e">
        <f>AND(NhatkyTon!#REF!,"AAAAAHv9/7g=")</f>
        <v>#REF!</v>
      </c>
      <c r="GD98" t="e">
        <f>AND(NhatkyTon!#REF!,"AAAAAHv9/7k=")</f>
        <v>#REF!</v>
      </c>
      <c r="GE98" t="e">
        <f>AND(NhatkyTon!#REF!,"AAAAAHv9/7o=")</f>
        <v>#REF!</v>
      </c>
      <c r="GF98" t="e">
        <f>AND(NhatkyTon!#REF!,"AAAAAHv9/7s=")</f>
        <v>#REF!</v>
      </c>
      <c r="GG98" t="e">
        <f>AND(NhatkyTon!#REF!,"AAAAAHv9/7w=")</f>
        <v>#REF!</v>
      </c>
      <c r="GH98" t="e">
        <f>AND(NhatkyTon!#REF!,"AAAAAHv9/70=")</f>
        <v>#REF!</v>
      </c>
      <c r="GI98" t="e">
        <f>AND(NhatkyTon!#REF!,"AAAAAHv9/74=")</f>
        <v>#REF!</v>
      </c>
      <c r="GJ98" t="e">
        <f>AND(NhatkyTon!#REF!,"AAAAAHv9/78=")</f>
        <v>#REF!</v>
      </c>
      <c r="GK98" t="e">
        <f>AND(NhatkyTon!#REF!,"AAAAAHv9/8A=")</f>
        <v>#REF!</v>
      </c>
      <c r="GL98" t="e">
        <f>AND(NhatkyTon!#REF!,"AAAAAHv9/8E=")</f>
        <v>#REF!</v>
      </c>
      <c r="GM98" t="e">
        <f>AND(NhatkyTon!#REF!,"AAAAAHv9/8I=")</f>
        <v>#REF!</v>
      </c>
      <c r="GN98" t="e">
        <f>AND(NhatkyTon!#REF!,"AAAAAHv9/8M=")</f>
        <v>#REF!</v>
      </c>
      <c r="GO98" t="e">
        <f>AND(NhatkyTon!#REF!,"AAAAAHv9/8Q=")</f>
        <v>#REF!</v>
      </c>
      <c r="GP98" t="e">
        <f>AND(NhatkyTon!#REF!,"AAAAAHv9/8U=")</f>
        <v>#REF!</v>
      </c>
      <c r="GQ98" t="e">
        <f>AND(NhatkyTon!#REF!,"AAAAAHv9/8Y=")</f>
        <v>#REF!</v>
      </c>
      <c r="GR98" t="e">
        <f>AND(NhatkyTon!#REF!,"AAAAAHv9/8c=")</f>
        <v>#REF!</v>
      </c>
      <c r="GS98" t="e">
        <f>AND(NhatkyTon!#REF!,"AAAAAHv9/8g=")</f>
        <v>#REF!</v>
      </c>
      <c r="GT98" t="e">
        <f>AND(NhatkyTon!#REF!,"AAAAAHv9/8k=")</f>
        <v>#REF!</v>
      </c>
      <c r="GU98" t="e">
        <f>AND(NhatkyTon!#REF!,"AAAAAHv9/8o=")</f>
        <v>#REF!</v>
      </c>
      <c r="GV98" t="e">
        <f>AND(NhatkyTon!#REF!,"AAAAAHv9/8s=")</f>
        <v>#REF!</v>
      </c>
      <c r="GW98" t="e">
        <f>AND(NhatkyTon!#REF!,"AAAAAHv9/8w=")</f>
        <v>#REF!</v>
      </c>
      <c r="GX98" t="e">
        <f>AND(NhatkyTon!#REF!,"AAAAAHv9/80=")</f>
        <v>#REF!</v>
      </c>
      <c r="GY98" t="e">
        <f>AND(NhatkyTon!#REF!,"AAAAAHv9/84=")</f>
        <v>#REF!</v>
      </c>
      <c r="GZ98" t="e">
        <f>AND(NhatkyTon!#REF!,"AAAAAHv9/88=")</f>
        <v>#REF!</v>
      </c>
      <c r="HA98" t="e">
        <f>AND(NhatkyTon!#REF!,"AAAAAHv9/9A=")</f>
        <v>#REF!</v>
      </c>
      <c r="HB98" t="e">
        <f>AND(NhatkyTon!#REF!,"AAAAAHv9/9E=")</f>
        <v>#REF!</v>
      </c>
      <c r="HC98" t="e">
        <f>AND(NhatkyTon!#REF!,"AAAAAHv9/9I=")</f>
        <v>#REF!</v>
      </c>
      <c r="HD98" t="e">
        <f>AND(NhatkyTon!#REF!,"AAAAAHv9/9M=")</f>
        <v>#REF!</v>
      </c>
      <c r="HE98" t="e">
        <f>AND(NhatkyTon!#REF!,"AAAAAHv9/9Q=")</f>
        <v>#REF!</v>
      </c>
      <c r="HF98" t="e">
        <f>AND(NhatkyTon!#REF!,"AAAAAHv9/9U=")</f>
        <v>#REF!</v>
      </c>
      <c r="HG98" t="e">
        <f>AND(NhatkyTon!#REF!,"AAAAAHv9/9Y=")</f>
        <v>#REF!</v>
      </c>
      <c r="HH98" t="e">
        <f>IF(NhatkyTon!#REF!,"AAAAAHv9/9c=",0)</f>
        <v>#REF!</v>
      </c>
      <c r="HI98" t="e">
        <f>AND(NhatkyTon!#REF!,"AAAAAHv9/9g=")</f>
        <v>#REF!</v>
      </c>
      <c r="HJ98" t="e">
        <f>AND(NhatkyTon!#REF!,"AAAAAHv9/9k=")</f>
        <v>#REF!</v>
      </c>
      <c r="HK98" t="e">
        <f>AND(NhatkyTon!#REF!,"AAAAAHv9/9o=")</f>
        <v>#REF!</v>
      </c>
      <c r="HL98" t="e">
        <f>AND(NhatkyTon!#REF!,"AAAAAHv9/9s=")</f>
        <v>#REF!</v>
      </c>
      <c r="HM98" t="e">
        <f>AND(NhatkyTon!#REF!,"AAAAAHv9/9w=")</f>
        <v>#REF!</v>
      </c>
      <c r="HN98" t="e">
        <f>AND(NhatkyTon!#REF!,"AAAAAHv9/90=")</f>
        <v>#REF!</v>
      </c>
      <c r="HO98" t="e">
        <f>AND(NhatkyTon!#REF!,"AAAAAHv9/94=")</f>
        <v>#REF!</v>
      </c>
      <c r="HP98" t="e">
        <f>AND(NhatkyTon!#REF!,"AAAAAHv9/98=")</f>
        <v>#REF!</v>
      </c>
      <c r="HQ98" t="e">
        <f>AND(NhatkyTon!#REF!,"AAAAAHv9/+A=")</f>
        <v>#REF!</v>
      </c>
      <c r="HR98" t="e">
        <f>AND(NhatkyTon!#REF!,"AAAAAHv9/+E=")</f>
        <v>#REF!</v>
      </c>
      <c r="HS98" t="e">
        <f>AND(NhatkyTon!#REF!,"AAAAAHv9/+I=")</f>
        <v>#REF!</v>
      </c>
      <c r="HT98" t="e">
        <f>AND(NhatkyTon!#REF!,"AAAAAHv9/+M=")</f>
        <v>#REF!</v>
      </c>
      <c r="HU98" t="e">
        <f>AND(NhatkyTon!#REF!,"AAAAAHv9/+Q=")</f>
        <v>#REF!</v>
      </c>
      <c r="HV98" t="e">
        <f>AND(NhatkyTon!#REF!,"AAAAAHv9/+U=")</f>
        <v>#REF!</v>
      </c>
      <c r="HW98" t="e">
        <f>AND(NhatkyTon!#REF!,"AAAAAHv9/+Y=")</f>
        <v>#REF!</v>
      </c>
      <c r="HX98" t="e">
        <f>AND(NhatkyTon!#REF!,"AAAAAHv9/+c=")</f>
        <v>#REF!</v>
      </c>
      <c r="HY98" t="e">
        <f>AND(NhatkyTon!#REF!,"AAAAAHv9/+g=")</f>
        <v>#REF!</v>
      </c>
      <c r="HZ98" t="e">
        <f>AND(NhatkyTon!#REF!,"AAAAAHv9/+k=")</f>
        <v>#REF!</v>
      </c>
      <c r="IA98" t="e">
        <f>AND(NhatkyTon!#REF!,"AAAAAHv9/+o=")</f>
        <v>#REF!</v>
      </c>
      <c r="IB98" t="e">
        <f>AND(NhatkyTon!#REF!,"AAAAAHv9/+s=")</f>
        <v>#REF!</v>
      </c>
      <c r="IC98" t="e">
        <f>AND(NhatkyTon!#REF!,"AAAAAHv9/+w=")</f>
        <v>#REF!</v>
      </c>
      <c r="ID98" t="e">
        <f>AND(NhatkyTon!#REF!,"AAAAAHv9/+0=")</f>
        <v>#REF!</v>
      </c>
      <c r="IE98" t="e">
        <f>AND(NhatkyTon!#REF!,"AAAAAHv9/+4=")</f>
        <v>#REF!</v>
      </c>
      <c r="IF98" t="e">
        <f>AND(NhatkyTon!#REF!,"AAAAAHv9/+8=")</f>
        <v>#REF!</v>
      </c>
      <c r="IG98" t="e">
        <f>AND(NhatkyTon!#REF!,"AAAAAHv9//A=")</f>
        <v>#REF!</v>
      </c>
      <c r="IH98" t="e">
        <f>AND(NhatkyTon!#REF!,"AAAAAHv9//E=")</f>
        <v>#REF!</v>
      </c>
      <c r="II98" t="e">
        <f>AND(NhatkyTon!#REF!,"AAAAAHv9//I=")</f>
        <v>#REF!</v>
      </c>
      <c r="IJ98" t="e">
        <f>AND(NhatkyTon!#REF!,"AAAAAHv9//M=")</f>
        <v>#REF!</v>
      </c>
      <c r="IK98" t="e">
        <f>AND(NhatkyTon!#REF!,"AAAAAHv9//Q=")</f>
        <v>#REF!</v>
      </c>
      <c r="IL98" t="e">
        <f>AND(NhatkyTon!#REF!,"AAAAAHv9//U=")</f>
        <v>#REF!</v>
      </c>
      <c r="IM98" t="e">
        <f>AND(NhatkyTon!#REF!,"AAAAAHv9//Y=")</f>
        <v>#REF!</v>
      </c>
      <c r="IN98" t="e">
        <f>AND(NhatkyTon!#REF!,"AAAAAHv9//c=")</f>
        <v>#REF!</v>
      </c>
      <c r="IO98" t="e">
        <f>AND(NhatkyTon!#REF!,"AAAAAHv9//g=")</f>
        <v>#REF!</v>
      </c>
      <c r="IP98" t="e">
        <f>AND(NhatkyTon!#REF!,"AAAAAHv9//k=")</f>
        <v>#REF!</v>
      </c>
      <c r="IQ98" t="e">
        <f>IF(NhatkyTon!#REF!,"AAAAAHv9//o=",0)</f>
        <v>#REF!</v>
      </c>
      <c r="IR98" t="e">
        <f>AND(NhatkyTon!#REF!,"AAAAAHv9//s=")</f>
        <v>#REF!</v>
      </c>
      <c r="IS98" t="e">
        <f>AND(NhatkyTon!#REF!,"AAAAAHv9//w=")</f>
        <v>#REF!</v>
      </c>
      <c r="IT98" t="e">
        <f>AND(NhatkyTon!#REF!,"AAAAAHv9//0=")</f>
        <v>#REF!</v>
      </c>
      <c r="IU98" t="e">
        <f>AND(NhatkyTon!#REF!,"AAAAAHv9//4=")</f>
        <v>#REF!</v>
      </c>
      <c r="IV98" t="e">
        <f>AND(NhatkyTon!#REF!,"AAAAAHv9//8=")</f>
        <v>#REF!</v>
      </c>
    </row>
    <row r="99" spans="1:256" ht="25.5">
      <c r="A99" t="e">
        <f>AND(NhatkyTon!#REF!,"AAAAAE+/jgA=")</f>
        <v>#REF!</v>
      </c>
      <c r="B99" t="e">
        <f>AND(NhatkyTon!#REF!,"AAAAAE+/jgE=")</f>
        <v>#REF!</v>
      </c>
      <c r="C99" t="e">
        <f>AND(NhatkyTon!#REF!,"AAAAAE+/jgI=")</f>
        <v>#REF!</v>
      </c>
      <c r="D99" t="e">
        <f>AND(NhatkyTon!#REF!,"AAAAAE+/jgM=")</f>
        <v>#REF!</v>
      </c>
      <c r="E99" t="e">
        <f>AND(NhatkyTon!#REF!,"AAAAAE+/jgQ=")</f>
        <v>#REF!</v>
      </c>
      <c r="F99" t="e">
        <f>AND(NhatkyTon!#REF!,"AAAAAE+/jgU=")</f>
        <v>#REF!</v>
      </c>
      <c r="G99" t="e">
        <f>AND(NhatkyTon!#REF!,"AAAAAE+/jgY=")</f>
        <v>#REF!</v>
      </c>
      <c r="H99" t="e">
        <f>AND(NhatkyTon!#REF!,"AAAAAE+/jgc=")</f>
        <v>#REF!</v>
      </c>
      <c r="I99" t="e">
        <f>AND(NhatkyTon!#REF!,"AAAAAE+/jgg=")</f>
        <v>#REF!</v>
      </c>
      <c r="J99" t="e">
        <f>AND(NhatkyTon!#REF!,"AAAAAE+/jgk=")</f>
        <v>#REF!</v>
      </c>
      <c r="K99" t="e">
        <f>AND(NhatkyTon!#REF!,"AAAAAE+/jgo=")</f>
        <v>#REF!</v>
      </c>
      <c r="L99" t="e">
        <f>AND(NhatkyTon!#REF!,"AAAAAE+/jgs=")</f>
        <v>#REF!</v>
      </c>
      <c r="M99" t="e">
        <f>AND(NhatkyTon!#REF!,"AAAAAE+/jgw=")</f>
        <v>#REF!</v>
      </c>
      <c r="N99" t="e">
        <f>AND(NhatkyTon!#REF!,"AAAAAE+/jg0=")</f>
        <v>#REF!</v>
      </c>
      <c r="O99" t="e">
        <f>AND(NhatkyTon!#REF!,"AAAAAE+/jg4=")</f>
        <v>#REF!</v>
      </c>
      <c r="P99" t="e">
        <f>AND(NhatkyTon!#REF!,"AAAAAE+/jg8=")</f>
        <v>#REF!</v>
      </c>
      <c r="Q99" t="e">
        <f>AND(NhatkyTon!#REF!,"AAAAAE+/jhA=")</f>
        <v>#REF!</v>
      </c>
      <c r="R99" t="e">
        <f>AND(NhatkyTon!#REF!,"AAAAAE+/jhE=")</f>
        <v>#REF!</v>
      </c>
      <c r="S99" t="e">
        <f>AND(NhatkyTon!#REF!,"AAAAAE+/jhI=")</f>
        <v>#REF!</v>
      </c>
      <c r="T99" t="e">
        <f>AND(NhatkyTon!#REF!,"AAAAAE+/jhM=")</f>
        <v>#REF!</v>
      </c>
      <c r="U99" t="e">
        <f>AND(NhatkyTon!#REF!,"AAAAAE+/jhQ=")</f>
        <v>#REF!</v>
      </c>
      <c r="V99" t="e">
        <f>AND(NhatkyTon!#REF!,"AAAAAE+/jhU=")</f>
        <v>#REF!</v>
      </c>
      <c r="W99" t="e">
        <f>AND(NhatkyTon!#REF!,"AAAAAE+/jhY=")</f>
        <v>#REF!</v>
      </c>
      <c r="X99" t="e">
        <f>AND(NhatkyTon!#REF!,"AAAAAE+/jhc=")</f>
        <v>#REF!</v>
      </c>
      <c r="Y99" t="e">
        <f>AND(NhatkyTon!#REF!,"AAAAAE+/jhg=")</f>
        <v>#REF!</v>
      </c>
      <c r="Z99" t="e">
        <f>AND(NhatkyTon!#REF!,"AAAAAE+/jhk=")</f>
        <v>#REF!</v>
      </c>
      <c r="AA99" t="e">
        <f>AND(NhatkyTon!#REF!,"AAAAAE+/jho=")</f>
        <v>#REF!</v>
      </c>
      <c r="AB99" t="e">
        <f>AND(NhatkyTon!#REF!,"AAAAAE+/jhs=")</f>
        <v>#REF!</v>
      </c>
      <c r="AC99" t="e">
        <f>AND(NhatkyTon!#REF!,"AAAAAE+/jhw=")</f>
        <v>#REF!</v>
      </c>
      <c r="AD99" t="e">
        <f>IF(NhatkyTon!#REF!,"AAAAAE+/jh0=",0)</f>
        <v>#REF!</v>
      </c>
      <c r="AE99" t="e">
        <f>AND(NhatkyTon!#REF!,"AAAAAE+/jh4=")</f>
        <v>#REF!</v>
      </c>
      <c r="AF99" t="e">
        <f>AND(NhatkyTon!#REF!,"AAAAAE+/jh8=")</f>
        <v>#REF!</v>
      </c>
      <c r="AG99" t="e">
        <f>AND(NhatkyTon!#REF!,"AAAAAE+/jiA=")</f>
        <v>#REF!</v>
      </c>
      <c r="AH99" t="e">
        <f>AND(NhatkyTon!#REF!,"AAAAAE+/jiE=")</f>
        <v>#REF!</v>
      </c>
      <c r="AI99" t="e">
        <f>AND(NhatkyTon!#REF!,"AAAAAE+/jiI=")</f>
        <v>#REF!</v>
      </c>
      <c r="AJ99" t="e">
        <f>AND(NhatkyTon!#REF!,"AAAAAE+/jiM=")</f>
        <v>#REF!</v>
      </c>
      <c r="AK99" t="e">
        <f>AND(NhatkyTon!#REF!,"AAAAAE+/jiQ=")</f>
        <v>#REF!</v>
      </c>
      <c r="AL99" t="e">
        <f>AND(NhatkyTon!#REF!,"AAAAAE+/jiU=")</f>
        <v>#REF!</v>
      </c>
      <c r="AM99" t="e">
        <f>AND(NhatkyTon!#REF!,"AAAAAE+/jiY=")</f>
        <v>#REF!</v>
      </c>
      <c r="AN99" t="e">
        <f>AND(NhatkyTon!#REF!,"AAAAAE+/jic=")</f>
        <v>#REF!</v>
      </c>
      <c r="AO99" t="e">
        <f>AND(NhatkyTon!#REF!,"AAAAAE+/jig=")</f>
        <v>#REF!</v>
      </c>
      <c r="AP99" t="e">
        <f>AND(NhatkyTon!#REF!,"AAAAAE+/jik=")</f>
        <v>#REF!</v>
      </c>
      <c r="AQ99" t="e">
        <f>AND(NhatkyTon!#REF!,"AAAAAE+/jio=")</f>
        <v>#REF!</v>
      </c>
      <c r="AR99" t="e">
        <f>AND(NhatkyTon!#REF!,"AAAAAE+/jis=")</f>
        <v>#REF!</v>
      </c>
      <c r="AS99" t="e">
        <f>AND(NhatkyTon!#REF!,"AAAAAE+/jiw=")</f>
        <v>#REF!</v>
      </c>
      <c r="AT99" t="e">
        <f>AND(NhatkyTon!#REF!,"AAAAAE+/ji0=")</f>
        <v>#REF!</v>
      </c>
      <c r="AU99" t="e">
        <f>AND(NhatkyTon!#REF!,"AAAAAE+/ji4=")</f>
        <v>#REF!</v>
      </c>
      <c r="AV99" t="e">
        <f>AND(NhatkyTon!#REF!,"AAAAAE+/ji8=")</f>
        <v>#REF!</v>
      </c>
      <c r="AW99" t="e">
        <f>AND(NhatkyTon!#REF!,"AAAAAE+/jjA=")</f>
        <v>#REF!</v>
      </c>
      <c r="AX99" t="e">
        <f>AND(NhatkyTon!#REF!,"AAAAAE+/jjE=")</f>
        <v>#REF!</v>
      </c>
      <c r="AY99" t="e">
        <f>AND(NhatkyTon!#REF!,"AAAAAE+/jjI=")</f>
        <v>#REF!</v>
      </c>
      <c r="AZ99" t="e">
        <f>AND(NhatkyTon!#REF!,"AAAAAE+/jjM=")</f>
        <v>#REF!</v>
      </c>
      <c r="BA99" t="e">
        <f>AND(NhatkyTon!#REF!,"AAAAAE+/jjQ=")</f>
        <v>#REF!</v>
      </c>
      <c r="BB99" t="e">
        <f>AND(NhatkyTon!#REF!,"AAAAAE+/jjU=")</f>
        <v>#REF!</v>
      </c>
      <c r="BC99" t="e">
        <f>AND(NhatkyTon!#REF!,"AAAAAE+/jjY=")</f>
        <v>#REF!</v>
      </c>
      <c r="BD99" t="e">
        <f>AND(NhatkyTon!#REF!,"AAAAAE+/jjc=")</f>
        <v>#REF!</v>
      </c>
      <c r="BE99" t="e">
        <f>AND(NhatkyTon!#REF!,"AAAAAE+/jjg=")</f>
        <v>#REF!</v>
      </c>
      <c r="BF99" t="e">
        <f>AND(NhatkyTon!#REF!,"AAAAAE+/jjk=")</f>
        <v>#REF!</v>
      </c>
      <c r="BG99" t="e">
        <f>AND(NhatkyTon!#REF!,"AAAAAE+/jjo=")</f>
        <v>#REF!</v>
      </c>
      <c r="BH99" t="e">
        <f>AND(NhatkyTon!#REF!,"AAAAAE+/jjs=")</f>
        <v>#REF!</v>
      </c>
      <c r="BI99" t="e">
        <f>AND(NhatkyTon!#REF!,"AAAAAE+/jjw=")</f>
        <v>#REF!</v>
      </c>
      <c r="BJ99" t="e">
        <f>AND(NhatkyTon!#REF!,"AAAAAE+/jj0=")</f>
        <v>#REF!</v>
      </c>
      <c r="BK99" t="e">
        <f>AND(NhatkyTon!#REF!,"AAAAAE+/jj4=")</f>
        <v>#REF!</v>
      </c>
      <c r="BL99" t="e">
        <f>AND(NhatkyTon!#REF!,"AAAAAE+/jj8=")</f>
        <v>#REF!</v>
      </c>
      <c r="BM99" t="e">
        <f>IF(NhatkyTon!#REF!,"AAAAAE+/jkA=",0)</f>
        <v>#REF!</v>
      </c>
      <c r="BN99" t="e">
        <f>AND(NhatkyTon!#REF!,"AAAAAE+/jkE=")</f>
        <v>#REF!</v>
      </c>
      <c r="BO99" t="e">
        <f>AND(NhatkyTon!#REF!,"AAAAAE+/jkI=")</f>
        <v>#REF!</v>
      </c>
      <c r="BP99" t="e">
        <f>AND(NhatkyTon!#REF!,"AAAAAE+/jkM=")</f>
        <v>#REF!</v>
      </c>
      <c r="BQ99" t="e">
        <f>AND(NhatkyTon!#REF!,"AAAAAE+/jkQ=")</f>
        <v>#REF!</v>
      </c>
      <c r="BR99" t="e">
        <f>AND(NhatkyTon!#REF!,"AAAAAE+/jkU=")</f>
        <v>#REF!</v>
      </c>
      <c r="BS99" t="e">
        <f>AND(NhatkyTon!#REF!,"AAAAAE+/jkY=")</f>
        <v>#REF!</v>
      </c>
      <c r="BT99" t="e">
        <f>AND(NhatkyTon!#REF!,"AAAAAE+/jkc=")</f>
        <v>#REF!</v>
      </c>
      <c r="BU99" t="e">
        <f>AND(NhatkyTon!#REF!,"AAAAAE+/jkg=")</f>
        <v>#REF!</v>
      </c>
      <c r="BV99" t="e">
        <f>AND(NhatkyTon!#REF!,"AAAAAE+/jkk=")</f>
        <v>#REF!</v>
      </c>
      <c r="BW99" t="e">
        <f>AND(NhatkyTon!#REF!,"AAAAAE+/jko=")</f>
        <v>#REF!</v>
      </c>
      <c r="BX99" t="e">
        <f>AND(NhatkyTon!#REF!,"AAAAAE+/jks=")</f>
        <v>#REF!</v>
      </c>
      <c r="BY99" t="e">
        <f>AND(NhatkyTon!#REF!,"AAAAAE+/jkw=")</f>
        <v>#REF!</v>
      </c>
      <c r="BZ99" t="e">
        <f>AND(NhatkyTon!#REF!,"AAAAAE+/jk0=")</f>
        <v>#REF!</v>
      </c>
      <c r="CA99" t="e">
        <f>AND(NhatkyTon!#REF!,"AAAAAE+/jk4=")</f>
        <v>#REF!</v>
      </c>
      <c r="CB99" t="e">
        <f>AND(NhatkyTon!#REF!,"AAAAAE+/jk8=")</f>
        <v>#REF!</v>
      </c>
      <c r="CC99" t="e">
        <f>AND(NhatkyTon!#REF!,"AAAAAE+/jlA=")</f>
        <v>#REF!</v>
      </c>
      <c r="CD99" t="e">
        <f>AND(NhatkyTon!#REF!,"AAAAAE+/jlE=")</f>
        <v>#REF!</v>
      </c>
      <c r="CE99" t="e">
        <f>AND(NhatkyTon!#REF!,"AAAAAE+/jlI=")</f>
        <v>#REF!</v>
      </c>
      <c r="CF99" t="e">
        <f>AND(NhatkyTon!#REF!,"AAAAAE+/jlM=")</f>
        <v>#REF!</v>
      </c>
      <c r="CG99" t="e">
        <f>AND(NhatkyTon!#REF!,"AAAAAE+/jlQ=")</f>
        <v>#REF!</v>
      </c>
      <c r="CH99" t="e">
        <f>AND(NhatkyTon!#REF!,"AAAAAE+/jlU=")</f>
        <v>#REF!</v>
      </c>
      <c r="CI99" t="e">
        <f>AND(NhatkyTon!#REF!,"AAAAAE+/jlY=")</f>
        <v>#REF!</v>
      </c>
      <c r="CJ99" t="e">
        <f>AND(NhatkyTon!#REF!,"AAAAAE+/jlc=")</f>
        <v>#REF!</v>
      </c>
      <c r="CK99" t="e">
        <f>AND(NhatkyTon!#REF!,"AAAAAE+/jlg=")</f>
        <v>#REF!</v>
      </c>
      <c r="CL99" t="e">
        <f>AND(NhatkyTon!#REF!,"AAAAAE+/jlk=")</f>
        <v>#REF!</v>
      </c>
      <c r="CM99" t="e">
        <f>AND(NhatkyTon!#REF!,"AAAAAE+/jlo=")</f>
        <v>#REF!</v>
      </c>
      <c r="CN99" t="e">
        <f>AND(NhatkyTon!#REF!,"AAAAAE+/jls=")</f>
        <v>#REF!</v>
      </c>
      <c r="CO99" t="e">
        <f>AND(NhatkyTon!#REF!,"AAAAAE+/jlw=")</f>
        <v>#REF!</v>
      </c>
      <c r="CP99" t="e">
        <f>AND(NhatkyTon!#REF!,"AAAAAE+/jl0=")</f>
        <v>#REF!</v>
      </c>
      <c r="CQ99" t="e">
        <f>AND(NhatkyTon!#REF!,"AAAAAE+/jl4=")</f>
        <v>#REF!</v>
      </c>
      <c r="CR99" t="e">
        <f>AND(NhatkyTon!#REF!,"AAAAAE+/jl8=")</f>
        <v>#REF!</v>
      </c>
      <c r="CS99" t="e">
        <f>AND(NhatkyTon!#REF!,"AAAAAE+/jmA=")</f>
        <v>#REF!</v>
      </c>
      <c r="CT99" t="e">
        <f>AND(NhatkyTon!#REF!,"AAAAAE+/jmE=")</f>
        <v>#REF!</v>
      </c>
      <c r="CU99" t="e">
        <f>AND(NhatkyTon!#REF!,"AAAAAE+/jmI=")</f>
        <v>#REF!</v>
      </c>
      <c r="CV99" t="e">
        <f>IF(NhatkyTon!#REF!,"AAAAAE+/jmM=",0)</f>
        <v>#REF!</v>
      </c>
      <c r="CW99" t="e">
        <f>AND(NhatkyTon!#REF!,"AAAAAE+/jmQ=")</f>
        <v>#REF!</v>
      </c>
      <c r="CX99" t="e">
        <f>AND(NhatkyTon!#REF!,"AAAAAE+/jmU=")</f>
        <v>#REF!</v>
      </c>
      <c r="CY99" t="e">
        <f>AND(NhatkyTon!#REF!,"AAAAAE+/jmY=")</f>
        <v>#REF!</v>
      </c>
      <c r="CZ99" t="e">
        <f>AND(NhatkyTon!#REF!,"AAAAAE+/jmc=")</f>
        <v>#REF!</v>
      </c>
      <c r="DA99" t="e">
        <f>AND(NhatkyTon!#REF!,"AAAAAE+/jmg=")</f>
        <v>#REF!</v>
      </c>
      <c r="DB99" t="e">
        <f>AND(NhatkyTon!#REF!,"AAAAAE+/jmk=")</f>
        <v>#REF!</v>
      </c>
      <c r="DC99" t="e">
        <f>AND(NhatkyTon!#REF!,"AAAAAE+/jmo=")</f>
        <v>#REF!</v>
      </c>
      <c r="DD99" t="e">
        <f>AND(NhatkyTon!#REF!,"AAAAAE+/jms=")</f>
        <v>#REF!</v>
      </c>
      <c r="DE99" t="e">
        <f>AND(NhatkyTon!#REF!,"AAAAAE+/jmw=")</f>
        <v>#REF!</v>
      </c>
      <c r="DF99" t="e">
        <f>AND(NhatkyTon!#REF!,"AAAAAE+/jm0=")</f>
        <v>#REF!</v>
      </c>
      <c r="DG99" t="e">
        <f>AND(NhatkyTon!#REF!,"AAAAAE+/jm4=")</f>
        <v>#REF!</v>
      </c>
      <c r="DH99" t="e">
        <f>AND(NhatkyTon!#REF!,"AAAAAE+/jm8=")</f>
        <v>#REF!</v>
      </c>
      <c r="DI99" t="e">
        <f>AND(NhatkyTon!#REF!,"AAAAAE+/jnA=")</f>
        <v>#REF!</v>
      </c>
      <c r="DJ99" t="e">
        <f>AND(NhatkyTon!#REF!,"AAAAAE+/jnE=")</f>
        <v>#REF!</v>
      </c>
      <c r="DK99" t="e">
        <f>AND(NhatkyTon!#REF!,"AAAAAE+/jnI=")</f>
        <v>#REF!</v>
      </c>
      <c r="DL99" t="e">
        <f>AND(NhatkyTon!#REF!,"AAAAAE+/jnM=")</f>
        <v>#REF!</v>
      </c>
      <c r="DM99" t="e">
        <f>AND(NhatkyTon!#REF!,"AAAAAE+/jnQ=")</f>
        <v>#REF!</v>
      </c>
      <c r="DN99" t="e">
        <f>AND(NhatkyTon!#REF!,"AAAAAE+/jnU=")</f>
        <v>#REF!</v>
      </c>
      <c r="DO99" t="e">
        <f>AND(NhatkyTon!#REF!,"AAAAAE+/jnY=")</f>
        <v>#REF!</v>
      </c>
      <c r="DP99" t="e">
        <f>AND(NhatkyTon!#REF!,"AAAAAE+/jnc=")</f>
        <v>#REF!</v>
      </c>
      <c r="DQ99" t="e">
        <f>AND(NhatkyTon!#REF!,"AAAAAE+/jng=")</f>
        <v>#REF!</v>
      </c>
      <c r="DR99" t="e">
        <f>AND(NhatkyTon!#REF!,"AAAAAE+/jnk=")</f>
        <v>#REF!</v>
      </c>
      <c r="DS99" t="e">
        <f>AND(NhatkyTon!#REF!,"AAAAAE+/jno=")</f>
        <v>#REF!</v>
      </c>
      <c r="DT99" t="e">
        <f>AND(NhatkyTon!#REF!,"AAAAAE+/jns=")</f>
        <v>#REF!</v>
      </c>
      <c r="DU99" t="e">
        <f>AND(NhatkyTon!#REF!,"AAAAAE+/jnw=")</f>
        <v>#REF!</v>
      </c>
      <c r="DV99" t="e">
        <f>AND(NhatkyTon!#REF!,"AAAAAE+/jn0=")</f>
        <v>#REF!</v>
      </c>
      <c r="DW99" t="e">
        <f>AND(NhatkyTon!#REF!,"AAAAAE+/jn4=")</f>
        <v>#REF!</v>
      </c>
      <c r="DX99" t="e">
        <f>AND(NhatkyTon!#REF!,"AAAAAE+/jn8=")</f>
        <v>#REF!</v>
      </c>
      <c r="DY99" t="e">
        <f>AND(NhatkyTon!#REF!,"AAAAAE+/joA=")</f>
        <v>#REF!</v>
      </c>
      <c r="DZ99" t="e">
        <f>AND(NhatkyTon!#REF!,"AAAAAE+/joE=")</f>
        <v>#REF!</v>
      </c>
      <c r="EA99" t="e">
        <f>AND(NhatkyTon!#REF!,"AAAAAE+/joI=")</f>
        <v>#REF!</v>
      </c>
      <c r="EB99" t="e">
        <f>AND(NhatkyTon!#REF!,"AAAAAE+/joM=")</f>
        <v>#REF!</v>
      </c>
      <c r="EC99" t="e">
        <f>AND(NhatkyTon!#REF!,"AAAAAE+/joQ=")</f>
        <v>#REF!</v>
      </c>
      <c r="ED99" t="e">
        <f>AND(NhatkyTon!#REF!,"AAAAAE+/joU=")</f>
        <v>#REF!</v>
      </c>
      <c r="EE99" t="e">
        <f>IF(NhatkyTon!#REF!,"AAAAAE+/joY=",0)</f>
        <v>#REF!</v>
      </c>
      <c r="EF99" t="e">
        <f>AND(NhatkyTon!#REF!,"AAAAAE+/joc=")</f>
        <v>#REF!</v>
      </c>
      <c r="EG99" t="e">
        <f>AND(NhatkyTon!#REF!,"AAAAAE+/jog=")</f>
        <v>#REF!</v>
      </c>
      <c r="EH99" t="e">
        <f>AND(NhatkyTon!#REF!,"AAAAAE+/jok=")</f>
        <v>#REF!</v>
      </c>
      <c r="EI99" t="e">
        <f>AND(NhatkyTon!#REF!,"AAAAAE+/joo=")</f>
        <v>#REF!</v>
      </c>
      <c r="EJ99" t="e">
        <f>AND(NhatkyTon!#REF!,"AAAAAE+/jos=")</f>
        <v>#REF!</v>
      </c>
      <c r="EK99" t="e">
        <f>AND(NhatkyTon!#REF!,"AAAAAE+/jow=")</f>
        <v>#REF!</v>
      </c>
      <c r="EL99" t="e">
        <f>AND(NhatkyTon!#REF!,"AAAAAE+/jo0=")</f>
        <v>#REF!</v>
      </c>
      <c r="EM99" t="e">
        <f>AND(NhatkyTon!#REF!,"AAAAAE+/jo4=")</f>
        <v>#REF!</v>
      </c>
      <c r="EN99" t="e">
        <f>AND(NhatkyTon!#REF!,"AAAAAE+/jo8=")</f>
        <v>#REF!</v>
      </c>
      <c r="EO99" t="e">
        <f>AND(NhatkyTon!#REF!,"AAAAAE+/jpA=")</f>
        <v>#REF!</v>
      </c>
      <c r="EP99" t="e">
        <f>AND(NhatkyTon!#REF!,"AAAAAE+/jpE=")</f>
        <v>#REF!</v>
      </c>
      <c r="EQ99" t="e">
        <f>AND(NhatkyTon!#REF!,"AAAAAE+/jpI=")</f>
        <v>#REF!</v>
      </c>
      <c r="ER99" t="e">
        <f>AND(NhatkyTon!#REF!,"AAAAAE+/jpM=")</f>
        <v>#REF!</v>
      </c>
      <c r="ES99" t="e">
        <f>AND(NhatkyTon!#REF!,"AAAAAE+/jpQ=")</f>
        <v>#REF!</v>
      </c>
      <c r="ET99" t="e">
        <f>AND(NhatkyTon!#REF!,"AAAAAE+/jpU=")</f>
        <v>#REF!</v>
      </c>
      <c r="EU99" t="e">
        <f>AND(NhatkyTon!#REF!,"AAAAAE+/jpY=")</f>
        <v>#REF!</v>
      </c>
      <c r="EV99" t="e">
        <f>AND(NhatkyTon!#REF!,"AAAAAE+/jpc=")</f>
        <v>#REF!</v>
      </c>
      <c r="EW99" t="e">
        <f>AND(NhatkyTon!#REF!,"AAAAAE+/jpg=")</f>
        <v>#REF!</v>
      </c>
      <c r="EX99" t="e">
        <f>AND(NhatkyTon!#REF!,"AAAAAE+/jpk=")</f>
        <v>#REF!</v>
      </c>
      <c r="EY99" t="e">
        <f>AND(NhatkyTon!#REF!,"AAAAAE+/jpo=")</f>
        <v>#REF!</v>
      </c>
      <c r="EZ99" t="e">
        <f>AND(NhatkyTon!#REF!,"AAAAAE+/jps=")</f>
        <v>#REF!</v>
      </c>
      <c r="FA99" t="e">
        <f>AND(NhatkyTon!#REF!,"AAAAAE+/jpw=")</f>
        <v>#REF!</v>
      </c>
      <c r="FB99" t="e">
        <f>AND(NhatkyTon!#REF!,"AAAAAE+/jp0=")</f>
        <v>#REF!</v>
      </c>
      <c r="FC99" t="e">
        <f>AND(NhatkyTon!#REF!,"AAAAAE+/jp4=")</f>
        <v>#REF!</v>
      </c>
      <c r="FD99" t="e">
        <f>AND(NhatkyTon!#REF!,"AAAAAE+/jp8=")</f>
        <v>#REF!</v>
      </c>
      <c r="FE99" t="e">
        <f>AND(NhatkyTon!#REF!,"AAAAAE+/jqA=")</f>
        <v>#REF!</v>
      </c>
      <c r="FF99" t="e">
        <f>AND(NhatkyTon!#REF!,"AAAAAE+/jqE=")</f>
        <v>#REF!</v>
      </c>
      <c r="FG99" t="e">
        <f>AND(NhatkyTon!#REF!,"AAAAAE+/jqI=")</f>
        <v>#REF!</v>
      </c>
      <c r="FH99" t="e">
        <f>AND(NhatkyTon!#REF!,"AAAAAE+/jqM=")</f>
        <v>#REF!</v>
      </c>
      <c r="FI99" t="e">
        <f>AND(NhatkyTon!#REF!,"AAAAAE+/jqQ=")</f>
        <v>#REF!</v>
      </c>
      <c r="FJ99" t="e">
        <f>AND(NhatkyTon!#REF!,"AAAAAE+/jqU=")</f>
        <v>#REF!</v>
      </c>
      <c r="FK99" t="e">
        <f>AND(NhatkyTon!#REF!,"AAAAAE+/jqY=")</f>
        <v>#REF!</v>
      </c>
      <c r="FL99" t="e">
        <f>AND(NhatkyTon!#REF!,"AAAAAE+/jqc=")</f>
        <v>#REF!</v>
      </c>
      <c r="FM99" t="e">
        <f>AND(NhatkyTon!#REF!,"AAAAAE+/jqg=")</f>
        <v>#REF!</v>
      </c>
      <c r="FN99" t="e">
        <f>IF(NhatkyTon!#REF!,"AAAAAE+/jqk=",0)</f>
        <v>#REF!</v>
      </c>
      <c r="FO99" t="e">
        <f>AND(NhatkyTon!#REF!,"AAAAAE+/jqo=")</f>
        <v>#REF!</v>
      </c>
      <c r="FP99" t="e">
        <f>AND(NhatkyTon!#REF!,"AAAAAE+/jqs=")</f>
        <v>#REF!</v>
      </c>
      <c r="FQ99" t="e">
        <f>AND(NhatkyTon!#REF!,"AAAAAE+/jqw=")</f>
        <v>#REF!</v>
      </c>
      <c r="FR99" t="e">
        <f>AND(NhatkyTon!#REF!,"AAAAAE+/jq0=")</f>
        <v>#REF!</v>
      </c>
      <c r="FS99" t="e">
        <f>AND(NhatkyTon!#REF!,"AAAAAE+/jq4=")</f>
        <v>#REF!</v>
      </c>
      <c r="FT99" t="e">
        <f>AND(NhatkyTon!#REF!,"AAAAAE+/jq8=")</f>
        <v>#REF!</v>
      </c>
      <c r="FU99" t="e">
        <f>AND(NhatkyTon!#REF!,"AAAAAE+/jrA=")</f>
        <v>#REF!</v>
      </c>
      <c r="FV99" t="e">
        <f>AND(NhatkyTon!#REF!,"AAAAAE+/jrE=")</f>
        <v>#REF!</v>
      </c>
      <c r="FW99" t="e">
        <f>AND(NhatkyTon!#REF!,"AAAAAE+/jrI=")</f>
        <v>#REF!</v>
      </c>
      <c r="FX99" t="e">
        <f>AND(NhatkyTon!#REF!,"AAAAAE+/jrM=")</f>
        <v>#REF!</v>
      </c>
      <c r="FY99" t="e">
        <f>AND(NhatkyTon!#REF!,"AAAAAE+/jrQ=")</f>
        <v>#REF!</v>
      </c>
      <c r="FZ99" t="e">
        <f>AND(NhatkyTon!#REF!,"AAAAAE+/jrU=")</f>
        <v>#REF!</v>
      </c>
      <c r="GA99" t="e">
        <f>AND(NhatkyTon!#REF!,"AAAAAE+/jrY=")</f>
        <v>#REF!</v>
      </c>
      <c r="GB99" t="e">
        <f>AND(NhatkyTon!#REF!,"AAAAAE+/jrc=")</f>
        <v>#REF!</v>
      </c>
      <c r="GC99" t="e">
        <f>AND(NhatkyTon!#REF!,"AAAAAE+/jrg=")</f>
        <v>#REF!</v>
      </c>
      <c r="GD99" t="e">
        <f>AND(NhatkyTon!#REF!,"AAAAAE+/jrk=")</f>
        <v>#REF!</v>
      </c>
      <c r="GE99" t="e">
        <f>AND(NhatkyTon!#REF!,"AAAAAE+/jro=")</f>
        <v>#REF!</v>
      </c>
      <c r="GF99" t="e">
        <f>AND(NhatkyTon!#REF!,"AAAAAE+/jrs=")</f>
        <v>#REF!</v>
      </c>
      <c r="GG99" t="e">
        <f>AND(NhatkyTon!#REF!,"AAAAAE+/jrw=")</f>
        <v>#REF!</v>
      </c>
      <c r="GH99" t="e">
        <f>AND(NhatkyTon!#REF!,"AAAAAE+/jr0=")</f>
        <v>#REF!</v>
      </c>
      <c r="GI99" t="e">
        <f>AND(NhatkyTon!#REF!,"AAAAAE+/jr4=")</f>
        <v>#REF!</v>
      </c>
      <c r="GJ99" t="e">
        <f>AND(NhatkyTon!#REF!,"AAAAAE+/jr8=")</f>
        <v>#REF!</v>
      </c>
      <c r="GK99" t="e">
        <f>AND(NhatkyTon!#REF!,"AAAAAE+/jsA=")</f>
        <v>#REF!</v>
      </c>
      <c r="GL99" t="e">
        <f>AND(NhatkyTon!#REF!,"AAAAAE+/jsE=")</f>
        <v>#REF!</v>
      </c>
      <c r="GM99" t="e">
        <f>AND(NhatkyTon!#REF!,"AAAAAE+/jsI=")</f>
        <v>#REF!</v>
      </c>
      <c r="GN99" t="e">
        <f>AND(NhatkyTon!#REF!,"AAAAAE+/jsM=")</f>
        <v>#REF!</v>
      </c>
      <c r="GO99" t="e">
        <f>AND(NhatkyTon!#REF!,"AAAAAE+/jsQ=")</f>
        <v>#REF!</v>
      </c>
      <c r="GP99" t="e">
        <f>AND(NhatkyTon!#REF!,"AAAAAE+/jsU=")</f>
        <v>#REF!</v>
      </c>
      <c r="GQ99" t="e">
        <f>AND(NhatkyTon!#REF!,"AAAAAE+/jsY=")</f>
        <v>#REF!</v>
      </c>
      <c r="GR99" t="e">
        <f>AND(NhatkyTon!#REF!,"AAAAAE+/jsc=")</f>
        <v>#REF!</v>
      </c>
      <c r="GS99" t="e">
        <f>AND(NhatkyTon!#REF!,"AAAAAE+/jsg=")</f>
        <v>#REF!</v>
      </c>
      <c r="GT99" t="e">
        <f>AND(NhatkyTon!#REF!,"AAAAAE+/jsk=")</f>
        <v>#REF!</v>
      </c>
      <c r="GU99" t="e">
        <f>AND(NhatkyTon!#REF!,"AAAAAE+/jso=")</f>
        <v>#REF!</v>
      </c>
      <c r="GV99" t="e">
        <f>AND(NhatkyTon!#REF!,"AAAAAE+/jss=")</f>
        <v>#REF!</v>
      </c>
      <c r="GW99" t="e">
        <f>IF(NhatkyTon!#REF!,"AAAAAE+/jsw=",0)</f>
        <v>#REF!</v>
      </c>
      <c r="GX99" t="e">
        <f>AND(NhatkyTon!#REF!,"AAAAAE+/js0=")</f>
        <v>#REF!</v>
      </c>
      <c r="GY99" t="e">
        <f>AND(NhatkyTon!#REF!,"AAAAAE+/js4=")</f>
        <v>#REF!</v>
      </c>
      <c r="GZ99" t="e">
        <f>AND(NhatkyTon!#REF!,"AAAAAE+/js8=")</f>
        <v>#REF!</v>
      </c>
      <c r="HA99" t="e">
        <f>AND(NhatkyTon!#REF!,"AAAAAE+/jtA=")</f>
        <v>#REF!</v>
      </c>
      <c r="HB99" t="e">
        <f>AND(NhatkyTon!#REF!,"AAAAAE+/jtE=")</f>
        <v>#REF!</v>
      </c>
      <c r="HC99" t="e">
        <f>AND(NhatkyTon!#REF!,"AAAAAE+/jtI=")</f>
        <v>#REF!</v>
      </c>
      <c r="HD99" t="e">
        <f>AND(NhatkyTon!#REF!,"AAAAAE+/jtM=")</f>
        <v>#REF!</v>
      </c>
      <c r="HE99" t="e">
        <f>AND(NhatkyTon!#REF!,"AAAAAE+/jtQ=")</f>
        <v>#REF!</v>
      </c>
      <c r="HF99" t="e">
        <f>AND(NhatkyTon!#REF!,"AAAAAE+/jtU=")</f>
        <v>#REF!</v>
      </c>
      <c r="HG99" t="e">
        <f>AND(NhatkyTon!#REF!,"AAAAAE+/jtY=")</f>
        <v>#REF!</v>
      </c>
      <c r="HH99" t="e">
        <f>AND(NhatkyTon!#REF!,"AAAAAE+/jtc=")</f>
        <v>#REF!</v>
      </c>
      <c r="HI99" t="e">
        <f>AND(NhatkyTon!#REF!,"AAAAAE+/jtg=")</f>
        <v>#REF!</v>
      </c>
      <c r="HJ99" t="e">
        <f>AND(NhatkyTon!#REF!,"AAAAAE+/jtk=")</f>
        <v>#REF!</v>
      </c>
      <c r="HK99" t="e">
        <f>AND(NhatkyTon!#REF!,"AAAAAE+/jto=")</f>
        <v>#REF!</v>
      </c>
      <c r="HL99" t="e">
        <f>AND(NhatkyTon!#REF!,"AAAAAE+/jts=")</f>
        <v>#REF!</v>
      </c>
      <c r="HM99" t="e">
        <f>AND(NhatkyTon!#REF!,"AAAAAE+/jtw=")</f>
        <v>#REF!</v>
      </c>
      <c r="HN99" t="e">
        <f>AND(NhatkyTon!#REF!,"AAAAAE+/jt0=")</f>
        <v>#REF!</v>
      </c>
      <c r="HO99" t="e">
        <f>AND(NhatkyTon!#REF!,"AAAAAE+/jt4=")</f>
        <v>#REF!</v>
      </c>
      <c r="HP99" t="e">
        <f>AND(NhatkyTon!#REF!,"AAAAAE+/jt8=")</f>
        <v>#REF!</v>
      </c>
      <c r="HQ99" t="e">
        <f>AND(NhatkyTon!#REF!,"AAAAAE+/juA=")</f>
        <v>#REF!</v>
      </c>
      <c r="HR99" t="e">
        <f>AND(NhatkyTon!#REF!,"AAAAAE+/juE=")</f>
        <v>#REF!</v>
      </c>
      <c r="HS99" t="e">
        <f>AND(NhatkyTon!#REF!,"AAAAAE+/juI=")</f>
        <v>#REF!</v>
      </c>
      <c r="HT99" t="e">
        <f>AND(NhatkyTon!#REF!,"AAAAAE+/juM=")</f>
        <v>#REF!</v>
      </c>
      <c r="HU99" t="e">
        <f>AND(NhatkyTon!#REF!,"AAAAAE+/juQ=")</f>
        <v>#REF!</v>
      </c>
      <c r="HV99" t="e">
        <f>AND(NhatkyTon!#REF!,"AAAAAE+/juU=")</f>
        <v>#REF!</v>
      </c>
      <c r="HW99" t="e">
        <f>AND(NhatkyTon!#REF!,"AAAAAE+/juY=")</f>
        <v>#REF!</v>
      </c>
      <c r="HX99" t="e">
        <f>AND(NhatkyTon!#REF!,"AAAAAE+/juc=")</f>
        <v>#REF!</v>
      </c>
      <c r="HY99" t="e">
        <f>AND(NhatkyTon!#REF!,"AAAAAE+/jug=")</f>
        <v>#REF!</v>
      </c>
      <c r="HZ99" t="e">
        <f>AND(NhatkyTon!#REF!,"AAAAAE+/juk=")</f>
        <v>#REF!</v>
      </c>
      <c r="IA99" t="e">
        <f>AND(NhatkyTon!#REF!,"AAAAAE+/juo=")</f>
        <v>#REF!</v>
      </c>
      <c r="IB99" t="e">
        <f>AND(NhatkyTon!#REF!,"AAAAAE+/jus=")</f>
        <v>#REF!</v>
      </c>
      <c r="IC99" t="e">
        <f>AND(NhatkyTon!#REF!,"AAAAAE+/juw=")</f>
        <v>#REF!</v>
      </c>
      <c r="ID99" t="e">
        <f>AND(NhatkyTon!#REF!,"AAAAAE+/ju0=")</f>
        <v>#REF!</v>
      </c>
      <c r="IE99" t="e">
        <f>AND(NhatkyTon!#REF!,"AAAAAE+/ju4=")</f>
        <v>#REF!</v>
      </c>
      <c r="IF99" t="e">
        <f>IF(NhatkyTon!B:B,"AAAAAE+/ju8=",0)</f>
        <v>#VALUE!</v>
      </c>
      <c r="IG99" t="str">
        <f>IF(NhatkyTon!C:C,"AAAAAE+/jvA=",0)</f>
        <v>AAAAAE+/jvA=</v>
      </c>
      <c r="IH99" t="str">
        <f>IF(NhatkyTon!D:D,"AAAAAE+/jvE=",0)</f>
        <v>AAAAAE+/jvE=</v>
      </c>
      <c r="II99" t="str">
        <f>IF(NhatkyTon!E:E,"AAAAAE+/jvI=",0)</f>
        <v>AAAAAE+/jvI=</v>
      </c>
      <c r="IJ99" t="str">
        <f>IF(NhatkyTon!F:F,"AAAAAE+/jvM=",0)</f>
        <v>AAAAAE+/jvM=</v>
      </c>
      <c r="IK99" t="str">
        <f>IF(NhatkyTon!G:G,"AAAAAE+/jvQ=",0)</f>
        <v>AAAAAE+/jvQ=</v>
      </c>
      <c r="IL99" t="str">
        <f>IF(NhatkyTon!H:H,"AAAAAE+/jvU=",0)</f>
        <v>AAAAAE+/jvU=</v>
      </c>
      <c r="IM99" t="str">
        <f>IF(NhatkyTon!I:I,"AAAAAE+/jvY=",0)</f>
        <v>AAAAAE+/jvY=</v>
      </c>
      <c r="IN99" t="str">
        <f>IF(NhatkyTon!J:J,"AAAAAE+/jvc=",0)</f>
        <v>AAAAAE+/jvc=</v>
      </c>
      <c r="IO99" t="str">
        <f>IF(NhatkyTon!K:K,"AAAAAE+/jvg=",0)</f>
        <v>AAAAAE+/jvg=</v>
      </c>
      <c r="IP99" t="str">
        <f>IF(NhatkyTon!L:L,"AAAAAE+/jvk=",0)</f>
        <v>AAAAAE+/jvk=</v>
      </c>
      <c r="IQ99" t="str">
        <f>IF(NhatkyTon!M:M,"AAAAAE+/jvo=",0)</f>
        <v>AAAAAE+/jvo=</v>
      </c>
      <c r="IR99" t="str">
        <f>IF(NhatkyTon!N:N,"AAAAAE+/jvs=",0)</f>
        <v>AAAAAE+/jvs=</v>
      </c>
      <c r="IS99" t="str">
        <f>IF(NhatkyTon!O:O,"AAAAAE+/jvw=",0)</f>
        <v>AAAAAE+/jvw=</v>
      </c>
      <c r="IT99" t="str">
        <f>IF(NhatkyTon!P:P,"AAAAAE+/jv0=",0)</f>
        <v>AAAAAE+/jv0=</v>
      </c>
      <c r="IU99" t="str">
        <f>IF(NhatkyTon!Q:Q,"AAAAAE+/jv4=",0)</f>
        <v>AAAAAE+/jv4=</v>
      </c>
      <c r="IV99" t="str">
        <f>IF(NhatkyTon!R:R,"AAAAAE+/jv8=",0)</f>
        <v>AAAAAE+/jv8=</v>
      </c>
    </row>
    <row r="100" spans="1:256">
      <c r="A100">
        <f>IF(NhatkyTon!S:S,"AAAAAD8+XwA=",0)</f>
        <v>0</v>
      </c>
      <c r="B100">
        <f>IF(NhatkyTon!T:T,"AAAAAD8+XwE=",0)</f>
        <v>0</v>
      </c>
      <c r="C100">
        <f>IF(NhatkyTon!U:U,"AAAAAD8+XwI=",0)</f>
        <v>0</v>
      </c>
      <c r="D100">
        <f>IF(NhatkyTon!V:V,"AAAAAD8+XwM=",0)</f>
        <v>0</v>
      </c>
      <c r="E100">
        <f>IF(NhatkyTon!W:W,"AAAAAD8+XwQ=",0)</f>
        <v>0</v>
      </c>
      <c r="F100">
        <f>IF(NhatkyTon!X:X,"AAAAAD8+XwU=",0)</f>
        <v>0</v>
      </c>
      <c r="G100">
        <f>IF(NhatkyTon!Y:Y,"AAAAAD8+XwY=",0)</f>
        <v>0</v>
      </c>
      <c r="H100">
        <f>IF(NhatkyTon!Z:Z,"AAAAAD8+Xwc=",0)</f>
        <v>0</v>
      </c>
      <c r="I100">
        <f>IF(NhatkyTon!AA:AA,"AAAAAD8+Xwg=",0)</f>
        <v>0</v>
      </c>
      <c r="J100">
        <f>IF(NhatkyTon!AB:AB,"AAAAAD8+Xwk=",0)</f>
        <v>0</v>
      </c>
      <c r="K100">
        <f>IF(NhatkyTon!AC:AC,"AAAAAD8+Xwo=",0)</f>
        <v>0</v>
      </c>
      <c r="L100">
        <f>IF(NhatkyTon!AD:AD,"AAAAAD8+Xws=",0)</f>
        <v>0</v>
      </c>
      <c r="M100">
        <f>IF(NhatkyTon!AE:AE,"AAAAAD8+Xww=",0)</f>
        <v>0</v>
      </c>
      <c r="N100">
        <f>IF(NhatkyTon!AF:AF,"AAAAAD8+Xw0=",0)</f>
        <v>0</v>
      </c>
      <c r="O100">
        <f>IF(NhatkyTon!AG:AG,"AAAAAD8+Xw4=",0)</f>
        <v>0</v>
      </c>
      <c r="P100" t="e">
        <f>IF(NhatkyTon!#REF!,"AAAAAD8+Xw8=",0)</f>
        <v>#REF!</v>
      </c>
      <c r="Q100" t="e">
        <f>AND(DSSP!D181,"AAAAAD8+XxA=")</f>
        <v>#VALUE!</v>
      </c>
      <c r="R100" t="e">
        <f>AND(DSSP!D182,"AAAAAD8+XxE=")</f>
        <v>#VALUE!</v>
      </c>
      <c r="S100" t="e">
        <f>AND(DSSP!D183,"AAAAAD8+XxI=")</f>
        <v>#VALUE!</v>
      </c>
      <c r="T100" t="e">
        <f>AND(DSSP!D184,"AAAAAD8+XxM=")</f>
        <v>#VALUE!</v>
      </c>
      <c r="U100" t="e">
        <f>AND(DSSP!D185,"AAAAAD8+XxQ=")</f>
        <v>#VALUE!</v>
      </c>
      <c r="V100" t="e">
        <f>AND(DSSP!D186,"AAAAAD8+XxU=")</f>
        <v>#VALUE!</v>
      </c>
      <c r="W100" t="e">
        <f>AND(DSSP!D187,"AAAAAD8+XxY=")</f>
        <v>#VALUE!</v>
      </c>
      <c r="X100" t="e">
        <f>AND(DSSP!D188,"AAAAAD8+Xxc=")</f>
        <v>#VALUE!</v>
      </c>
      <c r="Y100" t="e">
        <f>AND(DSSP!D189,"AAAAAD8+Xxg=")</f>
        <v>#VALUE!</v>
      </c>
      <c r="Z100" t="e">
        <f>AND(DSSP!D190,"AAAAAD8+Xxk=")</f>
        <v>#VALUE!</v>
      </c>
      <c r="AA100" t="e">
        <f>AND(DSSP!D191,"AAAAAD8+Xxo=")</f>
        <v>#VALUE!</v>
      </c>
      <c r="AB100" t="e">
        <f>AND(DSSP!D192,"AAAAAD8+Xxs=")</f>
        <v>#VALUE!</v>
      </c>
      <c r="AC100" t="e">
        <f>AND(DSSP!D193,"AAAAAD8+Xxw=")</f>
        <v>#VALUE!</v>
      </c>
      <c r="AD100" t="e">
        <f>AND(DSSP!D194,"AAAAAD8+Xx0=")</f>
        <v>#VALUE!</v>
      </c>
      <c r="AE100" t="e">
        <f>AND(DSSP!D195,"AAAAAD8+Xx4=")</f>
        <v>#VALUE!</v>
      </c>
      <c r="AF100" t="e">
        <f>AND(DSSP!D196,"AAAAAD8+Xx8=")</f>
        <v>#VALUE!</v>
      </c>
      <c r="AG100" t="e">
        <f>AND(DSSP!D197,"AAAAAD8+XyA=")</f>
        <v>#VALUE!</v>
      </c>
      <c r="AH100" t="e">
        <f>AND(DSSP!D198,"AAAAAD8+XyE=")</f>
        <v>#VALUE!</v>
      </c>
      <c r="AI100" t="e">
        <f>AND(DSSP!D250,"AAAAAD8+XyI=")</f>
        <v>#VALUE!</v>
      </c>
      <c r="AJ100" t="e">
        <f>AND(DSSP!D251,"AAAAAD8+XyM=")</f>
        <v>#VALUE!</v>
      </c>
      <c r="AK100" t="e">
        <f>AND(DSSP!D252,"AAAAAD8+XyQ=")</f>
        <v>#VALUE!</v>
      </c>
      <c r="AL100" t="e">
        <f>AND(DSSP!D253,"AAAAAD8+XyU=")</f>
        <v>#VALUE!</v>
      </c>
      <c r="AM100" t="e">
        <f>AND(DSSP!D254,"AAAAAD8+XyY=")</f>
        <v>#VALUE!</v>
      </c>
    </row>
    <row r="101" spans="1:256">
      <c r="A101" t="e">
        <f>IF(NhatkyBan!#REF!,"AAAAAFv1/wA=",0)</f>
        <v>#REF!</v>
      </c>
      <c r="B101" t="e">
        <f>AND(NhatkyBan!#REF!,"AAAAAFv1/wE=")</f>
        <v>#REF!</v>
      </c>
      <c r="C101" t="e">
        <f>AND(NhatkyBan!#REF!,"AAAAAFv1/wI=")</f>
        <v>#REF!</v>
      </c>
      <c r="D101" t="e">
        <f>AND(NhatkyBan!#REF!,"AAAAAFv1/wM=")</f>
        <v>#REF!</v>
      </c>
      <c r="E101" t="e">
        <f>AND(NhatkyBan!#REF!,"AAAAAFv1/wQ=")</f>
        <v>#REF!</v>
      </c>
      <c r="F101" t="e">
        <f>AND(NhatkyBan!#REF!,"AAAAAFv1/wU=")</f>
        <v>#REF!</v>
      </c>
      <c r="G101" t="e">
        <f>AND(NhatkyBan!#REF!,"AAAAAFv1/wY=")</f>
        <v>#REF!</v>
      </c>
      <c r="H101" t="e">
        <f>AND(NhatkyBan!#REF!,"AAAAAFv1/wc=")</f>
        <v>#REF!</v>
      </c>
      <c r="I101" t="e">
        <f>AND(NhatkyBan!#REF!,"AAAAAFv1/wg=")</f>
        <v>#REF!</v>
      </c>
      <c r="J101" t="e">
        <f>AND(NhatkyBan!#REF!,"AAAAAFv1/wk=")</f>
        <v>#REF!</v>
      </c>
      <c r="K101" t="e">
        <f>AND(NhatkyBan!#REF!,"AAAAAFv1/wo=")</f>
        <v>#REF!</v>
      </c>
      <c r="L101" t="e">
        <f>AND(NhatkyBan!#REF!,"AAAAAFv1/ws=")</f>
        <v>#REF!</v>
      </c>
      <c r="M101" t="e">
        <f>AND(NhatkyBan!#REF!,"AAAAAFv1/ww=")</f>
        <v>#REF!</v>
      </c>
      <c r="N101" t="e">
        <f>AND(NhatkyBan!#REF!,"AAAAAFv1/w0=")</f>
        <v>#REF!</v>
      </c>
      <c r="O101" t="e">
        <f>AND(NhatkyBan!#REF!,"AAAAAFv1/w4=")</f>
        <v>#REF!</v>
      </c>
      <c r="P101" t="e">
        <f>AND(NhatkyBan!#REF!,"AAAAAFv1/w8=")</f>
        <v>#REF!</v>
      </c>
      <c r="Q101" t="e">
        <f>AND(NhatkyBan!#REF!,"AAAAAFv1/xA=")</f>
        <v>#REF!</v>
      </c>
      <c r="R101" t="e">
        <f>AND(NhatkyBan!#REF!,"AAAAAFv1/xE=")</f>
        <v>#REF!</v>
      </c>
      <c r="S101" t="e">
        <f>AND(NhatkyBan!#REF!,"AAAAAFv1/xI=")</f>
        <v>#REF!</v>
      </c>
      <c r="T101" t="e">
        <f>AND(NhatkyBan!#REF!,"AAAAAFv1/xM=")</f>
        <v>#REF!</v>
      </c>
      <c r="U101" t="e">
        <f>AND(NhatkyBan!#REF!,"AAAAAFv1/xQ=")</f>
        <v>#REF!</v>
      </c>
      <c r="V101" t="e">
        <f>AND(NhatkyBan!#REF!,"AAAAAFv1/xU=")</f>
        <v>#REF!</v>
      </c>
      <c r="W101" t="e">
        <f>AND(NhatkyBan!#REF!,"AAAAAFv1/xY=")</f>
        <v>#REF!</v>
      </c>
      <c r="X101" t="e">
        <f>AND(NhatkyBan!#REF!,"AAAAAFv1/xc=")</f>
        <v>#REF!</v>
      </c>
      <c r="Y101" t="e">
        <f>AND(NhatkyBan!#REF!,"AAAAAFv1/xg=")</f>
        <v>#REF!</v>
      </c>
      <c r="Z101" t="e">
        <f>AND(NhatkyBan!#REF!,"AAAAAFv1/xk=")</f>
        <v>#REF!</v>
      </c>
      <c r="AA101" t="e">
        <f>AND(NhatkyBan!#REF!,"AAAAAFv1/xo=")</f>
        <v>#REF!</v>
      </c>
      <c r="AB101" t="e">
        <f>AND(NhatkyBan!#REF!,"AAAAAFv1/xs=")</f>
        <v>#REF!</v>
      </c>
      <c r="AC101" t="e">
        <f>AND(NhatkyBan!#REF!,"AAAAAFv1/xw=")</f>
        <v>#REF!</v>
      </c>
      <c r="AD101" t="e">
        <f>AND(NhatkyBan!#REF!,"AAAAAFv1/x0=")</f>
        <v>#REF!</v>
      </c>
      <c r="AE101" t="e">
        <f>AND(NhatkyBan!#REF!,"AAAAAFv1/x4=")</f>
        <v>#REF!</v>
      </c>
      <c r="AF101" t="e">
        <f>AND(NhatkyBan!#REF!,"AAAAAFv1/x8=")</f>
        <v>#REF!</v>
      </c>
      <c r="AG101" t="e">
        <f>AND(NhatkyBan!#REF!,"AAAAAFv1/yA=")</f>
        <v>#REF!</v>
      </c>
      <c r="AH101" t="e">
        <f>AND(NhatkyBan!#REF!,"AAAAAFv1/yE=")</f>
        <v>#REF!</v>
      </c>
      <c r="AI101" t="e">
        <f>AND(NhatkyBan!#REF!,"AAAAAFv1/yI=")</f>
        <v>#REF!</v>
      </c>
      <c r="AJ101" t="e">
        <f>IF(NhatkyBan!#REF!,"AAAAAFv1/yM=",0)</f>
        <v>#REF!</v>
      </c>
      <c r="AK101" t="e">
        <f>AND(NhatkyBan!#REF!,"AAAAAFv1/yQ=")</f>
        <v>#REF!</v>
      </c>
      <c r="AL101" t="e">
        <f>AND(NhatkyBan!#REF!,"AAAAAFv1/yU=")</f>
        <v>#REF!</v>
      </c>
      <c r="AM101" t="e">
        <f>AND(NhatkyBan!#REF!,"AAAAAFv1/yY=")</f>
        <v>#REF!</v>
      </c>
      <c r="AN101" t="e">
        <f>AND(NhatkyBan!#REF!,"AAAAAFv1/yc=")</f>
        <v>#REF!</v>
      </c>
      <c r="AO101" t="e">
        <f>AND(NhatkyBan!#REF!,"AAAAAFv1/yg=")</f>
        <v>#REF!</v>
      </c>
      <c r="AP101" t="e">
        <f>AND(NhatkyBan!#REF!,"AAAAAFv1/yk=")</f>
        <v>#REF!</v>
      </c>
      <c r="AQ101" t="e">
        <f>AND(NhatkyBan!#REF!,"AAAAAFv1/yo=")</f>
        <v>#REF!</v>
      </c>
      <c r="AR101" t="e">
        <f>AND(NhatkyBan!#REF!,"AAAAAFv1/ys=")</f>
        <v>#REF!</v>
      </c>
      <c r="AS101" t="e">
        <f>AND(NhatkyBan!#REF!,"AAAAAFv1/yw=")</f>
        <v>#REF!</v>
      </c>
      <c r="AT101" t="e">
        <f>AND(NhatkyBan!#REF!,"AAAAAFv1/y0=")</f>
        <v>#REF!</v>
      </c>
      <c r="AU101" t="e">
        <f>AND(NhatkyBan!#REF!,"AAAAAFv1/y4=")</f>
        <v>#REF!</v>
      </c>
      <c r="AV101" t="e">
        <f>AND(NhatkyBan!#REF!,"AAAAAFv1/y8=")</f>
        <v>#REF!</v>
      </c>
      <c r="AW101" t="e">
        <f>AND(NhatkyBan!#REF!,"AAAAAFv1/zA=")</f>
        <v>#REF!</v>
      </c>
      <c r="AX101" t="e">
        <f>AND(NhatkyBan!#REF!,"AAAAAFv1/zE=")</f>
        <v>#REF!</v>
      </c>
      <c r="AY101" t="e">
        <f>AND(NhatkyBan!#REF!,"AAAAAFv1/zI=")</f>
        <v>#REF!</v>
      </c>
      <c r="AZ101" t="e">
        <f>AND(NhatkyBan!#REF!,"AAAAAFv1/zM=")</f>
        <v>#REF!</v>
      </c>
      <c r="BA101" t="e">
        <f>AND(NhatkyBan!#REF!,"AAAAAFv1/zQ=")</f>
        <v>#REF!</v>
      </c>
      <c r="BB101" t="e">
        <f>AND(NhatkyBan!#REF!,"AAAAAFv1/zU=")</f>
        <v>#REF!</v>
      </c>
      <c r="BC101" t="e">
        <f>AND(NhatkyBan!#REF!,"AAAAAFv1/zY=")</f>
        <v>#REF!</v>
      </c>
      <c r="BD101" t="e">
        <f>AND(NhatkyBan!#REF!,"AAAAAFv1/zc=")</f>
        <v>#REF!</v>
      </c>
      <c r="BE101" t="e">
        <f>AND(NhatkyBan!#REF!,"AAAAAFv1/zg=")</f>
        <v>#REF!</v>
      </c>
      <c r="BF101" t="e">
        <f>AND(NhatkyBan!#REF!,"AAAAAFv1/zk=")</f>
        <v>#REF!</v>
      </c>
      <c r="BG101" t="e">
        <f>AND(NhatkyBan!#REF!,"AAAAAFv1/zo=")</f>
        <v>#REF!</v>
      </c>
      <c r="BH101" t="e">
        <f>AND(NhatkyBan!#REF!,"AAAAAFv1/zs=")</f>
        <v>#REF!</v>
      </c>
      <c r="BI101" t="e">
        <f>AND(NhatkyBan!#REF!,"AAAAAFv1/zw=")</f>
        <v>#REF!</v>
      </c>
      <c r="BJ101" t="e">
        <f>AND(NhatkyBan!#REF!,"AAAAAFv1/z0=")</f>
        <v>#REF!</v>
      </c>
      <c r="BK101" t="e">
        <f>AND(NhatkyBan!#REF!,"AAAAAFv1/z4=")</f>
        <v>#REF!</v>
      </c>
      <c r="BL101" t="e">
        <f>AND(NhatkyBan!#REF!,"AAAAAFv1/z8=")</f>
        <v>#REF!</v>
      </c>
      <c r="BM101" t="e">
        <f>AND(NhatkyBan!#REF!,"AAAAAFv1/0A=")</f>
        <v>#REF!</v>
      </c>
      <c r="BN101" t="e">
        <f>AND(NhatkyBan!#REF!,"AAAAAFv1/0E=")</f>
        <v>#REF!</v>
      </c>
      <c r="BO101" t="e">
        <f>AND(NhatkyBan!#REF!,"AAAAAFv1/0I=")</f>
        <v>#REF!</v>
      </c>
      <c r="BP101" t="e">
        <f>AND(NhatkyBan!#REF!,"AAAAAFv1/0M=")</f>
        <v>#REF!</v>
      </c>
      <c r="BQ101" t="e">
        <f>AND(NhatkyBan!#REF!,"AAAAAFv1/0Q=")</f>
        <v>#REF!</v>
      </c>
      <c r="BR101" t="e">
        <f>AND(NhatkyBan!#REF!,"AAAAAFv1/0U=")</f>
        <v>#REF!</v>
      </c>
      <c r="BS101" t="e">
        <f>IF(NhatkyBan!#REF!,"AAAAAFv1/0Y=",0)</f>
        <v>#REF!</v>
      </c>
      <c r="BT101" t="e">
        <f>AND(NhatkyBan!#REF!,"AAAAAFv1/0c=")</f>
        <v>#REF!</v>
      </c>
      <c r="BU101" t="e">
        <f>AND(NhatkyBan!#REF!,"AAAAAFv1/0g=")</f>
        <v>#REF!</v>
      </c>
      <c r="BV101" t="e">
        <f>AND(NhatkyBan!#REF!,"AAAAAFv1/0k=")</f>
        <v>#REF!</v>
      </c>
      <c r="BW101" t="e">
        <f>AND(NhatkyBan!#REF!,"AAAAAFv1/0o=")</f>
        <v>#REF!</v>
      </c>
      <c r="BX101" t="e">
        <f>AND(NhatkyBan!#REF!,"AAAAAFv1/0s=")</f>
        <v>#REF!</v>
      </c>
      <c r="BY101" t="e">
        <f>AND(NhatkyBan!#REF!,"AAAAAFv1/0w=")</f>
        <v>#REF!</v>
      </c>
      <c r="BZ101" t="e">
        <f>AND(NhatkyBan!#REF!,"AAAAAFv1/00=")</f>
        <v>#REF!</v>
      </c>
      <c r="CA101" t="e">
        <f>AND(NhatkyBan!#REF!,"AAAAAFv1/04=")</f>
        <v>#REF!</v>
      </c>
      <c r="CB101" t="e">
        <f>AND(NhatkyBan!#REF!,"AAAAAFv1/08=")</f>
        <v>#REF!</v>
      </c>
      <c r="CC101" t="e">
        <f>AND(NhatkyBan!#REF!,"AAAAAFv1/1A=")</f>
        <v>#REF!</v>
      </c>
      <c r="CD101" t="e">
        <f>AND(NhatkyBan!#REF!,"AAAAAFv1/1E=")</f>
        <v>#REF!</v>
      </c>
      <c r="CE101" t="e">
        <f>AND(NhatkyBan!#REF!,"AAAAAFv1/1I=")</f>
        <v>#REF!</v>
      </c>
      <c r="CF101" t="e">
        <f>AND(NhatkyBan!#REF!,"AAAAAFv1/1M=")</f>
        <v>#REF!</v>
      </c>
      <c r="CG101" t="e">
        <f>AND(NhatkyBan!#REF!,"AAAAAFv1/1Q=")</f>
        <v>#REF!</v>
      </c>
      <c r="CH101" t="e">
        <f>AND(NhatkyBan!#REF!,"AAAAAFv1/1U=")</f>
        <v>#REF!</v>
      </c>
      <c r="CI101" t="e">
        <f>AND(NhatkyBan!#REF!,"AAAAAFv1/1Y=")</f>
        <v>#REF!</v>
      </c>
      <c r="CJ101" t="e">
        <f>AND(NhatkyBan!#REF!,"AAAAAFv1/1c=")</f>
        <v>#REF!</v>
      </c>
      <c r="CK101" t="e">
        <f>AND(NhatkyBan!#REF!,"AAAAAFv1/1g=")</f>
        <v>#REF!</v>
      </c>
      <c r="CL101" t="e">
        <f>AND(NhatkyBan!#REF!,"AAAAAFv1/1k=")</f>
        <v>#REF!</v>
      </c>
      <c r="CM101" t="e">
        <f>AND(NhatkyBan!#REF!,"AAAAAFv1/1o=")</f>
        <v>#REF!</v>
      </c>
      <c r="CN101" t="e">
        <f>AND(NhatkyBan!#REF!,"AAAAAFv1/1s=")</f>
        <v>#REF!</v>
      </c>
      <c r="CO101" t="e">
        <f>AND(NhatkyBan!#REF!,"AAAAAFv1/1w=")</f>
        <v>#REF!</v>
      </c>
      <c r="CP101" t="e">
        <f>AND(NhatkyBan!#REF!,"AAAAAFv1/10=")</f>
        <v>#REF!</v>
      </c>
      <c r="CQ101" t="e">
        <f>AND(NhatkyBan!#REF!,"AAAAAFv1/14=")</f>
        <v>#REF!</v>
      </c>
      <c r="CR101" t="e">
        <f>AND(NhatkyBan!#REF!,"AAAAAFv1/18=")</f>
        <v>#REF!</v>
      </c>
      <c r="CS101" t="e">
        <f>AND(NhatkyBan!#REF!,"AAAAAFv1/2A=")</f>
        <v>#REF!</v>
      </c>
      <c r="CT101" t="e">
        <f>AND(NhatkyBan!#REF!,"AAAAAFv1/2E=")</f>
        <v>#REF!</v>
      </c>
      <c r="CU101" t="e">
        <f>AND(NhatkyBan!#REF!,"AAAAAFv1/2I=")</f>
        <v>#REF!</v>
      </c>
      <c r="CV101" t="e">
        <f>AND(NhatkyBan!#REF!,"AAAAAFv1/2M=")</f>
        <v>#REF!</v>
      </c>
      <c r="CW101" t="e">
        <f>AND(NhatkyBan!#REF!,"AAAAAFv1/2Q=")</f>
        <v>#REF!</v>
      </c>
      <c r="CX101" t="e">
        <f>AND(NhatkyBan!#REF!,"AAAAAFv1/2U=")</f>
        <v>#REF!</v>
      </c>
      <c r="CY101" t="e">
        <f>AND(NhatkyBan!#REF!,"AAAAAFv1/2Y=")</f>
        <v>#REF!</v>
      </c>
      <c r="CZ101" t="e">
        <f>AND(NhatkyBan!#REF!,"AAAAAFv1/2c=")</f>
        <v>#REF!</v>
      </c>
      <c r="DA101" t="e">
        <f>AND(NhatkyBan!#REF!,"AAAAAFv1/2g=")</f>
        <v>#REF!</v>
      </c>
      <c r="DB101" t="e">
        <f>IF(NhatkyBan!#REF!,"AAAAAFv1/2k=",0)</f>
        <v>#REF!</v>
      </c>
      <c r="DC101" t="e">
        <f>AND(NhatkyBan!#REF!,"AAAAAFv1/2o=")</f>
        <v>#REF!</v>
      </c>
      <c r="DD101" t="e">
        <f>AND(NhatkyBan!#REF!,"AAAAAFv1/2s=")</f>
        <v>#REF!</v>
      </c>
      <c r="DE101" t="e">
        <f>AND(NhatkyBan!#REF!,"AAAAAFv1/2w=")</f>
        <v>#REF!</v>
      </c>
      <c r="DF101" t="e">
        <f>AND(NhatkyBan!#REF!,"AAAAAFv1/20=")</f>
        <v>#REF!</v>
      </c>
      <c r="DG101" t="e">
        <f>AND(NhatkyBan!#REF!,"AAAAAFv1/24=")</f>
        <v>#REF!</v>
      </c>
      <c r="DH101" t="e">
        <f>AND(NhatkyBan!#REF!,"AAAAAFv1/28=")</f>
        <v>#REF!</v>
      </c>
      <c r="DI101" t="e">
        <f>AND(NhatkyBan!#REF!,"AAAAAFv1/3A=")</f>
        <v>#REF!</v>
      </c>
      <c r="DJ101" t="e">
        <f>AND(NhatkyBan!#REF!,"AAAAAFv1/3E=")</f>
        <v>#REF!</v>
      </c>
      <c r="DK101" t="e">
        <f>AND(NhatkyBan!#REF!,"AAAAAFv1/3I=")</f>
        <v>#REF!</v>
      </c>
      <c r="DL101" t="e">
        <f>AND(NhatkyBan!#REF!,"AAAAAFv1/3M=")</f>
        <v>#REF!</v>
      </c>
      <c r="DM101" t="e">
        <f>AND(NhatkyBan!#REF!,"AAAAAFv1/3Q=")</f>
        <v>#REF!</v>
      </c>
      <c r="DN101" t="e">
        <f>AND(NhatkyBan!#REF!,"AAAAAFv1/3U=")</f>
        <v>#REF!</v>
      </c>
      <c r="DO101" t="e">
        <f>AND(NhatkyBan!#REF!,"AAAAAFv1/3Y=")</f>
        <v>#REF!</v>
      </c>
      <c r="DP101" t="e">
        <f>AND(NhatkyBan!#REF!,"AAAAAFv1/3c=")</f>
        <v>#REF!</v>
      </c>
      <c r="DQ101" t="e">
        <f>AND(NhatkyBan!#REF!,"AAAAAFv1/3g=")</f>
        <v>#REF!</v>
      </c>
      <c r="DR101" t="e">
        <f>AND(NhatkyBan!#REF!,"AAAAAFv1/3k=")</f>
        <v>#REF!</v>
      </c>
      <c r="DS101" t="e">
        <f>AND(NhatkyBan!#REF!,"AAAAAFv1/3o=")</f>
        <v>#REF!</v>
      </c>
      <c r="DT101" t="e">
        <f>AND(NhatkyBan!#REF!,"AAAAAFv1/3s=")</f>
        <v>#REF!</v>
      </c>
      <c r="DU101" t="e">
        <f>AND(NhatkyBan!#REF!,"AAAAAFv1/3w=")</f>
        <v>#REF!</v>
      </c>
      <c r="DV101" t="e">
        <f>AND(NhatkyBan!#REF!,"AAAAAFv1/30=")</f>
        <v>#REF!</v>
      </c>
      <c r="DW101" t="e">
        <f>AND(NhatkyBan!#REF!,"AAAAAFv1/34=")</f>
        <v>#REF!</v>
      </c>
      <c r="DX101" t="e">
        <f>AND(NhatkyBan!#REF!,"AAAAAFv1/38=")</f>
        <v>#REF!</v>
      </c>
      <c r="DY101" t="e">
        <f>AND(NhatkyBan!#REF!,"AAAAAFv1/4A=")</f>
        <v>#REF!</v>
      </c>
      <c r="DZ101" t="e">
        <f>AND(NhatkyBan!#REF!,"AAAAAFv1/4E=")</f>
        <v>#REF!</v>
      </c>
      <c r="EA101" t="e">
        <f>AND(NhatkyBan!#REF!,"AAAAAFv1/4I=")</f>
        <v>#REF!</v>
      </c>
      <c r="EB101" t="e">
        <f>AND(NhatkyBan!#REF!,"AAAAAFv1/4M=")</f>
        <v>#REF!</v>
      </c>
      <c r="EC101" t="e">
        <f>AND(NhatkyBan!#REF!,"AAAAAFv1/4Q=")</f>
        <v>#REF!</v>
      </c>
      <c r="ED101" t="e">
        <f>AND(NhatkyBan!#REF!,"AAAAAFv1/4U=")</f>
        <v>#REF!</v>
      </c>
      <c r="EE101" t="e">
        <f>AND(NhatkyBan!#REF!,"AAAAAFv1/4Y=")</f>
        <v>#REF!</v>
      </c>
      <c r="EF101" t="e">
        <f>AND(NhatkyBan!#REF!,"AAAAAFv1/4c=")</f>
        <v>#REF!</v>
      </c>
      <c r="EG101" t="e">
        <f>AND(NhatkyBan!#REF!,"AAAAAFv1/4g=")</f>
        <v>#REF!</v>
      </c>
      <c r="EH101" t="e">
        <f>AND(NhatkyBan!#REF!,"AAAAAFv1/4k=")</f>
        <v>#REF!</v>
      </c>
      <c r="EI101" t="e">
        <f>AND(NhatkyBan!#REF!,"AAAAAFv1/4o=")</f>
        <v>#REF!</v>
      </c>
      <c r="EJ101" t="e">
        <f>AND(NhatkyBan!#REF!,"AAAAAFv1/4s=")</f>
        <v>#REF!</v>
      </c>
      <c r="EK101" t="e">
        <f>IF(NhatkyBan!#REF!,"AAAAAFv1/4w=",0)</f>
        <v>#REF!</v>
      </c>
      <c r="EL101" t="e">
        <f>AND(NhatkyBan!#REF!,"AAAAAFv1/40=")</f>
        <v>#REF!</v>
      </c>
      <c r="EM101" t="e">
        <f>AND(NhatkyBan!#REF!,"AAAAAFv1/44=")</f>
        <v>#REF!</v>
      </c>
      <c r="EN101" t="e">
        <f>AND(NhatkyBan!#REF!,"AAAAAFv1/48=")</f>
        <v>#REF!</v>
      </c>
      <c r="EO101" t="e">
        <f>AND(NhatkyBan!#REF!,"AAAAAFv1/5A=")</f>
        <v>#REF!</v>
      </c>
      <c r="EP101" t="e">
        <f>AND(NhatkyBan!#REF!,"AAAAAFv1/5E=")</f>
        <v>#REF!</v>
      </c>
      <c r="EQ101" t="e">
        <f>AND(NhatkyBan!#REF!,"AAAAAFv1/5I=")</f>
        <v>#REF!</v>
      </c>
      <c r="ER101" t="e">
        <f>AND(NhatkyBan!#REF!,"AAAAAFv1/5M=")</f>
        <v>#REF!</v>
      </c>
      <c r="ES101" t="e">
        <f>AND(NhatkyBan!#REF!,"AAAAAFv1/5Q=")</f>
        <v>#REF!</v>
      </c>
      <c r="ET101" t="e">
        <f>AND(NhatkyBan!#REF!,"AAAAAFv1/5U=")</f>
        <v>#REF!</v>
      </c>
      <c r="EU101" t="e">
        <f>AND(NhatkyBan!#REF!,"AAAAAFv1/5Y=")</f>
        <v>#REF!</v>
      </c>
      <c r="EV101" t="e">
        <f>AND(NhatkyBan!#REF!,"AAAAAFv1/5c=")</f>
        <v>#REF!</v>
      </c>
      <c r="EW101" t="e">
        <f>AND(NhatkyBan!#REF!,"AAAAAFv1/5g=")</f>
        <v>#REF!</v>
      </c>
      <c r="EX101" t="e">
        <f>AND(NhatkyBan!#REF!,"AAAAAFv1/5k=")</f>
        <v>#REF!</v>
      </c>
      <c r="EY101" t="e">
        <f>AND(NhatkyBan!#REF!,"AAAAAFv1/5o=")</f>
        <v>#REF!</v>
      </c>
      <c r="EZ101" t="e">
        <f>AND(NhatkyBan!#REF!,"AAAAAFv1/5s=")</f>
        <v>#REF!</v>
      </c>
      <c r="FA101" t="e">
        <f>AND(NhatkyBan!#REF!,"AAAAAFv1/5w=")</f>
        <v>#REF!</v>
      </c>
      <c r="FB101" t="e">
        <f>AND(NhatkyBan!#REF!,"AAAAAFv1/50=")</f>
        <v>#REF!</v>
      </c>
      <c r="FC101" t="e">
        <f>AND(NhatkyBan!#REF!,"AAAAAFv1/54=")</f>
        <v>#REF!</v>
      </c>
      <c r="FD101" t="e">
        <f>AND(NhatkyBan!#REF!,"AAAAAFv1/58=")</f>
        <v>#REF!</v>
      </c>
      <c r="FE101" t="e">
        <f>AND(NhatkyBan!#REF!,"AAAAAFv1/6A=")</f>
        <v>#REF!</v>
      </c>
      <c r="FF101" t="e">
        <f>AND(NhatkyBan!#REF!,"AAAAAFv1/6E=")</f>
        <v>#REF!</v>
      </c>
      <c r="FG101" t="e">
        <f>AND(NhatkyBan!#REF!,"AAAAAFv1/6I=")</f>
        <v>#REF!</v>
      </c>
      <c r="FH101" t="e">
        <f>AND(NhatkyBan!#REF!,"AAAAAFv1/6M=")</f>
        <v>#REF!</v>
      </c>
      <c r="FI101" t="e">
        <f>AND(NhatkyBan!#REF!,"AAAAAFv1/6Q=")</f>
        <v>#REF!</v>
      </c>
      <c r="FJ101" t="e">
        <f>AND(NhatkyBan!#REF!,"AAAAAFv1/6U=")</f>
        <v>#REF!</v>
      </c>
      <c r="FK101" t="e">
        <f>AND(NhatkyBan!#REF!,"AAAAAFv1/6Y=")</f>
        <v>#REF!</v>
      </c>
      <c r="FL101" t="e">
        <f>AND(NhatkyBan!#REF!,"AAAAAFv1/6c=")</f>
        <v>#REF!</v>
      </c>
      <c r="FM101" t="e">
        <f>AND(NhatkyBan!#REF!,"AAAAAFv1/6g=")</f>
        <v>#REF!</v>
      </c>
      <c r="FN101" t="e">
        <f>AND(NhatkyBan!#REF!,"AAAAAFv1/6k=")</f>
        <v>#REF!</v>
      </c>
      <c r="FO101" t="e">
        <f>AND(NhatkyBan!#REF!,"AAAAAFv1/6o=")</f>
        <v>#REF!</v>
      </c>
      <c r="FP101" t="e">
        <f>AND(NhatkyBan!#REF!,"AAAAAFv1/6s=")</f>
        <v>#REF!</v>
      </c>
      <c r="FQ101" t="e">
        <f>AND(NhatkyBan!#REF!,"AAAAAFv1/6w=")</f>
        <v>#REF!</v>
      </c>
      <c r="FR101" t="e">
        <f>AND(NhatkyBan!#REF!,"AAAAAFv1/60=")</f>
        <v>#REF!</v>
      </c>
      <c r="FS101" t="e">
        <f>AND(NhatkyBan!#REF!,"AAAAAFv1/64=")</f>
        <v>#REF!</v>
      </c>
      <c r="FT101" t="e">
        <f>IF(NhatkyBan!#REF!,"AAAAAFv1/68=",0)</f>
        <v>#REF!</v>
      </c>
      <c r="FU101" t="e">
        <f>AND(NhatkyBan!#REF!,"AAAAAFv1/7A=")</f>
        <v>#REF!</v>
      </c>
      <c r="FV101" t="e">
        <f>AND(NhatkyBan!#REF!,"AAAAAFv1/7E=")</f>
        <v>#REF!</v>
      </c>
      <c r="FW101" t="e">
        <f>AND(NhatkyBan!#REF!,"AAAAAFv1/7I=")</f>
        <v>#REF!</v>
      </c>
      <c r="FX101" t="e">
        <f>AND(NhatkyBan!#REF!,"AAAAAFv1/7M=")</f>
        <v>#REF!</v>
      </c>
      <c r="FY101" t="e">
        <f>AND(NhatkyBan!#REF!,"AAAAAFv1/7Q=")</f>
        <v>#REF!</v>
      </c>
      <c r="FZ101" t="e">
        <f>AND(NhatkyBan!#REF!,"AAAAAFv1/7U=")</f>
        <v>#REF!</v>
      </c>
      <c r="GA101" t="e">
        <f>AND(NhatkyBan!#REF!,"AAAAAFv1/7Y=")</f>
        <v>#REF!</v>
      </c>
      <c r="GB101" t="e">
        <f>AND(NhatkyBan!#REF!,"AAAAAFv1/7c=")</f>
        <v>#REF!</v>
      </c>
      <c r="GC101" t="e">
        <f>AND(NhatkyBan!#REF!,"AAAAAFv1/7g=")</f>
        <v>#REF!</v>
      </c>
      <c r="GD101" t="e">
        <f>AND(NhatkyBan!#REF!,"AAAAAFv1/7k=")</f>
        <v>#REF!</v>
      </c>
      <c r="GE101" t="e">
        <f>AND(NhatkyBan!#REF!,"AAAAAFv1/7o=")</f>
        <v>#REF!</v>
      </c>
      <c r="GF101" t="e">
        <f>AND(NhatkyBan!#REF!,"AAAAAFv1/7s=")</f>
        <v>#REF!</v>
      </c>
      <c r="GG101" t="e">
        <f>AND(NhatkyBan!#REF!,"AAAAAFv1/7w=")</f>
        <v>#REF!</v>
      </c>
      <c r="GH101" t="e">
        <f>AND(NhatkyBan!#REF!,"AAAAAFv1/70=")</f>
        <v>#REF!</v>
      </c>
      <c r="GI101" t="e">
        <f>AND(NhatkyBan!#REF!,"AAAAAFv1/74=")</f>
        <v>#REF!</v>
      </c>
      <c r="GJ101" t="e">
        <f>AND(NhatkyBan!#REF!,"AAAAAFv1/78=")</f>
        <v>#REF!</v>
      </c>
      <c r="GK101" t="e">
        <f>AND(NhatkyBan!#REF!,"AAAAAFv1/8A=")</f>
        <v>#REF!</v>
      </c>
      <c r="GL101" t="e">
        <f>AND(NhatkyBan!#REF!,"AAAAAFv1/8E=")</f>
        <v>#REF!</v>
      </c>
      <c r="GM101" t="e">
        <f>AND(NhatkyBan!#REF!,"AAAAAFv1/8I=")</f>
        <v>#REF!</v>
      </c>
      <c r="GN101" t="e">
        <f>AND(NhatkyBan!#REF!,"AAAAAFv1/8M=")</f>
        <v>#REF!</v>
      </c>
      <c r="GO101" t="e">
        <f>AND(NhatkyBan!#REF!,"AAAAAFv1/8Q=")</f>
        <v>#REF!</v>
      </c>
      <c r="GP101" t="e">
        <f>AND(NhatkyBan!#REF!,"AAAAAFv1/8U=")</f>
        <v>#REF!</v>
      </c>
      <c r="GQ101" t="e">
        <f>AND(NhatkyBan!#REF!,"AAAAAFv1/8Y=")</f>
        <v>#REF!</v>
      </c>
      <c r="GR101" t="e">
        <f>AND(NhatkyBan!#REF!,"AAAAAFv1/8c=")</f>
        <v>#REF!</v>
      </c>
      <c r="GS101" t="e">
        <f>AND(NhatkyBan!#REF!,"AAAAAFv1/8g=")</f>
        <v>#REF!</v>
      </c>
      <c r="GT101" t="e">
        <f>AND(NhatkyBan!#REF!,"AAAAAFv1/8k=")</f>
        <v>#REF!</v>
      </c>
      <c r="GU101" t="e">
        <f>AND(NhatkyBan!#REF!,"AAAAAFv1/8o=")</f>
        <v>#REF!</v>
      </c>
      <c r="GV101" t="e">
        <f>AND(NhatkyBan!#REF!,"AAAAAFv1/8s=")</f>
        <v>#REF!</v>
      </c>
      <c r="GW101" t="e">
        <f>AND(NhatkyBan!#REF!,"AAAAAFv1/8w=")</f>
        <v>#REF!</v>
      </c>
      <c r="GX101" t="e">
        <f>AND(NhatkyBan!#REF!,"AAAAAFv1/80=")</f>
        <v>#REF!</v>
      </c>
      <c r="GY101" t="e">
        <f>AND(NhatkyBan!#REF!,"AAAAAFv1/84=")</f>
        <v>#REF!</v>
      </c>
      <c r="GZ101" t="e">
        <f>AND(NhatkyBan!#REF!,"AAAAAFv1/88=")</f>
        <v>#REF!</v>
      </c>
      <c r="HA101" t="e">
        <f>AND(NhatkyBan!#REF!,"AAAAAFv1/9A=")</f>
        <v>#REF!</v>
      </c>
      <c r="HB101" t="e">
        <f>AND(NhatkyBan!#REF!,"AAAAAFv1/9E=")</f>
        <v>#REF!</v>
      </c>
      <c r="HC101" t="e">
        <f>IF(NhatkyBan!#REF!,"AAAAAFv1/9I=",0)</f>
        <v>#REF!</v>
      </c>
      <c r="HD101" t="e">
        <f>AND(NhatkyBan!#REF!,"AAAAAFv1/9M=")</f>
        <v>#REF!</v>
      </c>
      <c r="HE101" t="e">
        <f>AND(NhatkyBan!#REF!,"AAAAAFv1/9Q=")</f>
        <v>#REF!</v>
      </c>
      <c r="HF101" t="e">
        <f>AND(NhatkyBan!#REF!,"AAAAAFv1/9U=")</f>
        <v>#REF!</v>
      </c>
      <c r="HG101" t="e">
        <f>AND(NhatkyBan!#REF!,"AAAAAFv1/9Y=")</f>
        <v>#REF!</v>
      </c>
      <c r="HH101" t="e">
        <f>AND(NhatkyBan!#REF!,"AAAAAFv1/9c=")</f>
        <v>#REF!</v>
      </c>
      <c r="HI101" t="e">
        <f>AND(NhatkyBan!#REF!,"AAAAAFv1/9g=")</f>
        <v>#REF!</v>
      </c>
      <c r="HJ101" t="e">
        <f>AND(NhatkyBan!#REF!,"AAAAAFv1/9k=")</f>
        <v>#REF!</v>
      </c>
      <c r="HK101" t="e">
        <f>AND(NhatkyBan!#REF!,"AAAAAFv1/9o=")</f>
        <v>#REF!</v>
      </c>
      <c r="HL101" t="e">
        <f>AND(NhatkyBan!#REF!,"AAAAAFv1/9s=")</f>
        <v>#REF!</v>
      </c>
      <c r="HM101" t="e">
        <f>AND(NhatkyBan!#REF!,"AAAAAFv1/9w=")</f>
        <v>#REF!</v>
      </c>
      <c r="HN101" t="e">
        <f>AND(NhatkyBan!#REF!,"AAAAAFv1/90=")</f>
        <v>#REF!</v>
      </c>
      <c r="HO101" t="e">
        <f>AND(NhatkyBan!#REF!,"AAAAAFv1/94=")</f>
        <v>#REF!</v>
      </c>
      <c r="HP101" t="e">
        <f>AND(NhatkyBan!#REF!,"AAAAAFv1/98=")</f>
        <v>#REF!</v>
      </c>
      <c r="HQ101" t="e">
        <f>AND(NhatkyBan!#REF!,"AAAAAFv1/+A=")</f>
        <v>#REF!</v>
      </c>
      <c r="HR101" t="e">
        <f>AND(NhatkyBan!#REF!,"AAAAAFv1/+E=")</f>
        <v>#REF!</v>
      </c>
      <c r="HS101" t="e">
        <f>AND(NhatkyBan!#REF!,"AAAAAFv1/+I=")</f>
        <v>#REF!</v>
      </c>
      <c r="HT101" t="e">
        <f>AND(NhatkyBan!#REF!,"AAAAAFv1/+M=")</f>
        <v>#REF!</v>
      </c>
      <c r="HU101" t="e">
        <f>AND(NhatkyBan!#REF!,"AAAAAFv1/+Q=")</f>
        <v>#REF!</v>
      </c>
      <c r="HV101" t="e">
        <f>AND(NhatkyBan!#REF!,"AAAAAFv1/+U=")</f>
        <v>#REF!</v>
      </c>
      <c r="HW101" t="e">
        <f>AND(NhatkyBan!#REF!,"AAAAAFv1/+Y=")</f>
        <v>#REF!</v>
      </c>
      <c r="HX101" t="e">
        <f>AND(NhatkyBan!#REF!,"AAAAAFv1/+c=")</f>
        <v>#REF!</v>
      </c>
      <c r="HY101" t="e">
        <f>AND(NhatkyBan!#REF!,"AAAAAFv1/+g=")</f>
        <v>#REF!</v>
      </c>
      <c r="HZ101" t="e">
        <f>AND(NhatkyBan!#REF!,"AAAAAFv1/+k=")</f>
        <v>#REF!</v>
      </c>
      <c r="IA101" t="e">
        <f>AND(NhatkyBan!#REF!,"AAAAAFv1/+o=")</f>
        <v>#REF!</v>
      </c>
      <c r="IB101" t="e">
        <f>AND(NhatkyBan!#REF!,"AAAAAFv1/+s=")</f>
        <v>#REF!</v>
      </c>
      <c r="IC101" t="e">
        <f>AND(NhatkyBan!#REF!,"AAAAAFv1/+w=")</f>
        <v>#REF!</v>
      </c>
      <c r="ID101" t="e">
        <f>AND(NhatkyBan!#REF!,"AAAAAFv1/+0=")</f>
        <v>#REF!</v>
      </c>
      <c r="IE101" t="e">
        <f>AND(NhatkyBan!#REF!,"AAAAAFv1/+4=")</f>
        <v>#REF!</v>
      </c>
      <c r="IF101" t="e">
        <f>AND(NhatkyBan!#REF!,"AAAAAFv1/+8=")</f>
        <v>#REF!</v>
      </c>
      <c r="IG101" t="e">
        <f>AND(NhatkyBan!#REF!,"AAAAAFv1//A=")</f>
        <v>#REF!</v>
      </c>
      <c r="IH101" t="e">
        <f>AND(NhatkyBan!#REF!,"AAAAAFv1//E=")</f>
        <v>#REF!</v>
      </c>
      <c r="II101" t="e">
        <f>AND(NhatkyBan!#REF!,"AAAAAFv1//I=")</f>
        <v>#REF!</v>
      </c>
      <c r="IJ101" t="e">
        <f>AND(NhatkyBan!#REF!,"AAAAAFv1//M=")</f>
        <v>#REF!</v>
      </c>
      <c r="IK101" t="e">
        <f>AND(NhatkyBan!#REF!,"AAAAAFv1//Q=")</f>
        <v>#REF!</v>
      </c>
      <c r="IL101" t="e">
        <f>IF(NhatkyBan!#REF!,"AAAAAFv1//U=",0)</f>
        <v>#REF!</v>
      </c>
      <c r="IM101" t="e">
        <f>AND(NhatkyBan!#REF!,"AAAAAFv1//Y=")</f>
        <v>#REF!</v>
      </c>
      <c r="IN101" t="e">
        <f>AND(NhatkyBan!#REF!,"AAAAAFv1//c=")</f>
        <v>#REF!</v>
      </c>
      <c r="IO101" t="e">
        <f>AND(NhatkyBan!#REF!,"AAAAAFv1//g=")</f>
        <v>#REF!</v>
      </c>
      <c r="IP101" t="e">
        <f>AND(NhatkyBan!#REF!,"AAAAAFv1//k=")</f>
        <v>#REF!</v>
      </c>
      <c r="IQ101" t="e">
        <f>AND(NhatkyBan!#REF!,"AAAAAFv1//o=")</f>
        <v>#REF!</v>
      </c>
      <c r="IR101" t="e">
        <f>AND(NhatkyBan!#REF!,"AAAAAFv1//s=")</f>
        <v>#REF!</v>
      </c>
      <c r="IS101" t="e">
        <f>AND(NhatkyBan!#REF!,"AAAAAFv1//w=")</f>
        <v>#REF!</v>
      </c>
      <c r="IT101" t="e">
        <f>AND(NhatkyBan!#REF!,"AAAAAFv1//0=")</f>
        <v>#REF!</v>
      </c>
      <c r="IU101" t="e">
        <f>AND(NhatkyBan!#REF!,"AAAAAFv1//4=")</f>
        <v>#REF!</v>
      </c>
      <c r="IV101" t="e">
        <f>AND(NhatkyBan!#REF!,"AAAAAFv1//8=")</f>
        <v>#REF!</v>
      </c>
    </row>
    <row r="102" spans="1:256">
      <c r="A102" t="e">
        <f>AND(NhatkyBan!#REF!,"AAAAAH88PwA=")</f>
        <v>#REF!</v>
      </c>
      <c r="B102" t="e">
        <f>AND(NhatkyBan!#REF!,"AAAAAH88PwE=")</f>
        <v>#REF!</v>
      </c>
      <c r="C102" t="e">
        <f>AND(NhatkyBan!#REF!,"AAAAAH88PwI=")</f>
        <v>#REF!</v>
      </c>
      <c r="D102" t="e">
        <f>AND(NhatkyBan!#REF!,"AAAAAH88PwM=")</f>
        <v>#REF!</v>
      </c>
      <c r="E102" t="e">
        <f>AND(NhatkyBan!#REF!,"AAAAAH88PwQ=")</f>
        <v>#REF!</v>
      </c>
      <c r="F102" t="e">
        <f>AND(NhatkyBan!#REF!,"AAAAAH88PwU=")</f>
        <v>#REF!</v>
      </c>
      <c r="G102" t="e">
        <f>AND(NhatkyBan!#REF!,"AAAAAH88PwY=")</f>
        <v>#REF!</v>
      </c>
      <c r="H102" t="e">
        <f>AND(NhatkyBan!#REF!,"AAAAAH88Pwc=")</f>
        <v>#REF!</v>
      </c>
      <c r="I102" t="e">
        <f>AND(NhatkyBan!#REF!,"AAAAAH88Pwg=")</f>
        <v>#REF!</v>
      </c>
      <c r="J102" t="e">
        <f>AND(NhatkyBan!#REF!,"AAAAAH88Pwk=")</f>
        <v>#REF!</v>
      </c>
      <c r="K102" t="e">
        <f>AND(NhatkyBan!#REF!,"AAAAAH88Pwo=")</f>
        <v>#REF!</v>
      </c>
      <c r="L102" t="e">
        <f>AND(NhatkyBan!#REF!,"AAAAAH88Pws=")</f>
        <v>#REF!</v>
      </c>
      <c r="M102" t="e">
        <f>AND(NhatkyBan!#REF!,"AAAAAH88Pww=")</f>
        <v>#REF!</v>
      </c>
      <c r="N102" t="e">
        <f>AND(NhatkyBan!#REF!,"AAAAAH88Pw0=")</f>
        <v>#REF!</v>
      </c>
      <c r="O102" t="e">
        <f>AND(NhatkyBan!#REF!,"AAAAAH88Pw4=")</f>
        <v>#REF!</v>
      </c>
      <c r="P102" t="e">
        <f>AND(NhatkyBan!#REF!,"AAAAAH88Pw8=")</f>
        <v>#REF!</v>
      </c>
      <c r="Q102" t="e">
        <f>AND(NhatkyBan!#REF!,"AAAAAH88PxA=")</f>
        <v>#REF!</v>
      </c>
      <c r="R102" t="e">
        <f>AND(NhatkyBan!#REF!,"AAAAAH88PxE=")</f>
        <v>#REF!</v>
      </c>
      <c r="S102" t="e">
        <f>AND(NhatkyBan!#REF!,"AAAAAH88PxI=")</f>
        <v>#REF!</v>
      </c>
      <c r="T102" t="e">
        <f>AND(NhatkyBan!#REF!,"AAAAAH88PxM=")</f>
        <v>#REF!</v>
      </c>
      <c r="U102" t="e">
        <f>AND(NhatkyBan!#REF!,"AAAAAH88PxQ=")</f>
        <v>#REF!</v>
      </c>
      <c r="V102" t="e">
        <f>AND(NhatkyBan!#REF!,"AAAAAH88PxU=")</f>
        <v>#REF!</v>
      </c>
      <c r="W102" t="e">
        <f>AND(NhatkyBan!#REF!,"AAAAAH88PxY=")</f>
        <v>#REF!</v>
      </c>
      <c r="X102" t="e">
        <f>AND(NhatkyBan!#REF!,"AAAAAH88Pxc=")</f>
        <v>#REF!</v>
      </c>
      <c r="Y102" t="e">
        <f>IF(NhatkyBan!#REF!,"AAAAAH88Pxg=",0)</f>
        <v>#REF!</v>
      </c>
      <c r="Z102" t="e">
        <f>AND(NhatkyBan!#REF!,"AAAAAH88Pxk=")</f>
        <v>#REF!</v>
      </c>
      <c r="AA102" t="e">
        <f>AND(NhatkyBan!#REF!,"AAAAAH88Pxo=")</f>
        <v>#REF!</v>
      </c>
      <c r="AB102" t="e">
        <f>AND(NhatkyBan!#REF!,"AAAAAH88Pxs=")</f>
        <v>#REF!</v>
      </c>
      <c r="AC102" t="e">
        <f>AND(NhatkyBan!#REF!,"AAAAAH88Pxw=")</f>
        <v>#REF!</v>
      </c>
      <c r="AD102" t="e">
        <f>AND(NhatkyBan!#REF!,"AAAAAH88Px0=")</f>
        <v>#REF!</v>
      </c>
      <c r="AE102" t="e">
        <f>AND(NhatkyBan!#REF!,"AAAAAH88Px4=")</f>
        <v>#REF!</v>
      </c>
      <c r="AF102" t="e">
        <f>AND(NhatkyBan!#REF!,"AAAAAH88Px8=")</f>
        <v>#REF!</v>
      </c>
      <c r="AG102" t="e">
        <f>AND(NhatkyBan!#REF!,"AAAAAH88PyA=")</f>
        <v>#REF!</v>
      </c>
      <c r="AH102" t="e">
        <f>AND(NhatkyBan!#REF!,"AAAAAH88PyE=")</f>
        <v>#REF!</v>
      </c>
      <c r="AI102" t="e">
        <f>AND(NhatkyBan!#REF!,"AAAAAH88PyI=")</f>
        <v>#REF!</v>
      </c>
      <c r="AJ102" t="e">
        <f>AND(NhatkyBan!#REF!,"AAAAAH88PyM=")</f>
        <v>#REF!</v>
      </c>
      <c r="AK102" t="e">
        <f>AND(NhatkyBan!#REF!,"AAAAAH88PyQ=")</f>
        <v>#REF!</v>
      </c>
      <c r="AL102" t="e">
        <f>AND(NhatkyBan!#REF!,"AAAAAH88PyU=")</f>
        <v>#REF!</v>
      </c>
      <c r="AM102" t="e">
        <f>AND(NhatkyBan!#REF!,"AAAAAH88PyY=")</f>
        <v>#REF!</v>
      </c>
      <c r="AN102" t="e">
        <f>AND(NhatkyBan!#REF!,"AAAAAH88Pyc=")</f>
        <v>#REF!</v>
      </c>
      <c r="AO102" t="e">
        <f>AND(NhatkyBan!#REF!,"AAAAAH88Pyg=")</f>
        <v>#REF!</v>
      </c>
      <c r="AP102" t="e">
        <f>AND(NhatkyBan!#REF!,"AAAAAH88Pyk=")</f>
        <v>#REF!</v>
      </c>
      <c r="AQ102" t="e">
        <f>AND(NhatkyBan!#REF!,"AAAAAH88Pyo=")</f>
        <v>#REF!</v>
      </c>
      <c r="AR102" t="e">
        <f>AND(NhatkyBan!#REF!,"AAAAAH88Pys=")</f>
        <v>#REF!</v>
      </c>
      <c r="AS102" t="e">
        <f>AND(NhatkyBan!#REF!,"AAAAAH88Pyw=")</f>
        <v>#REF!</v>
      </c>
      <c r="AT102" t="e">
        <f>AND(NhatkyBan!#REF!,"AAAAAH88Py0=")</f>
        <v>#REF!</v>
      </c>
      <c r="AU102" t="e">
        <f>AND(NhatkyBan!#REF!,"AAAAAH88Py4=")</f>
        <v>#REF!</v>
      </c>
      <c r="AV102" t="e">
        <f>AND(NhatkyBan!#REF!,"AAAAAH88Py8=")</f>
        <v>#REF!</v>
      </c>
      <c r="AW102" t="e">
        <f>AND(NhatkyBan!#REF!,"AAAAAH88PzA=")</f>
        <v>#REF!</v>
      </c>
      <c r="AX102" t="e">
        <f>AND(NhatkyBan!#REF!,"AAAAAH88PzE=")</f>
        <v>#REF!</v>
      </c>
      <c r="AY102" t="e">
        <f>AND(NhatkyBan!#REF!,"AAAAAH88PzI=")</f>
        <v>#REF!</v>
      </c>
      <c r="AZ102" t="e">
        <f>AND(NhatkyBan!#REF!,"AAAAAH88PzM=")</f>
        <v>#REF!</v>
      </c>
      <c r="BA102" t="e">
        <f>AND(NhatkyBan!#REF!,"AAAAAH88PzQ=")</f>
        <v>#REF!</v>
      </c>
      <c r="BB102" t="e">
        <f>AND(NhatkyBan!#REF!,"AAAAAH88PzU=")</f>
        <v>#REF!</v>
      </c>
      <c r="BC102" t="e">
        <f>AND(NhatkyBan!#REF!,"AAAAAH88PzY=")</f>
        <v>#REF!</v>
      </c>
      <c r="BD102" t="e">
        <f>AND(NhatkyBan!#REF!,"AAAAAH88Pzc=")</f>
        <v>#REF!</v>
      </c>
      <c r="BE102" t="e">
        <f>AND(NhatkyBan!#REF!,"AAAAAH88Pzg=")</f>
        <v>#REF!</v>
      </c>
      <c r="BF102" t="e">
        <f>AND(NhatkyBan!#REF!,"AAAAAH88Pzk=")</f>
        <v>#REF!</v>
      </c>
      <c r="BG102" t="e">
        <f>AND(NhatkyBan!#REF!,"AAAAAH88Pzo=")</f>
        <v>#REF!</v>
      </c>
      <c r="BH102" t="e">
        <f>IF(NhatkyBan!#REF!,"AAAAAH88Pzs=",0)</f>
        <v>#REF!</v>
      </c>
      <c r="BI102" t="e">
        <f>AND(NhatkyBan!#REF!,"AAAAAH88Pzw=")</f>
        <v>#REF!</v>
      </c>
      <c r="BJ102" t="e">
        <f>AND(NhatkyBan!#REF!,"AAAAAH88Pz0=")</f>
        <v>#REF!</v>
      </c>
      <c r="BK102" t="e">
        <f>AND(NhatkyBan!#REF!,"AAAAAH88Pz4=")</f>
        <v>#REF!</v>
      </c>
      <c r="BL102" t="e">
        <f>AND(NhatkyBan!#REF!,"AAAAAH88Pz8=")</f>
        <v>#REF!</v>
      </c>
      <c r="BM102" t="e">
        <f>AND(NhatkyBan!#REF!,"AAAAAH88P0A=")</f>
        <v>#REF!</v>
      </c>
      <c r="BN102" t="e">
        <f>AND(NhatkyBan!#REF!,"AAAAAH88P0E=")</f>
        <v>#REF!</v>
      </c>
      <c r="BO102" t="e">
        <f>AND(NhatkyBan!#REF!,"AAAAAH88P0I=")</f>
        <v>#REF!</v>
      </c>
      <c r="BP102" t="e">
        <f>AND(NhatkyBan!#REF!,"AAAAAH88P0M=")</f>
        <v>#REF!</v>
      </c>
      <c r="BQ102" t="e">
        <f>AND(NhatkyBan!#REF!,"AAAAAH88P0Q=")</f>
        <v>#REF!</v>
      </c>
      <c r="BR102" t="e">
        <f>AND(NhatkyBan!#REF!,"AAAAAH88P0U=")</f>
        <v>#REF!</v>
      </c>
      <c r="BS102" t="e">
        <f>AND(NhatkyBan!#REF!,"AAAAAH88P0Y=")</f>
        <v>#REF!</v>
      </c>
      <c r="BT102" t="e">
        <f>AND(NhatkyBan!#REF!,"AAAAAH88P0c=")</f>
        <v>#REF!</v>
      </c>
      <c r="BU102" t="e">
        <f>AND(NhatkyBan!#REF!,"AAAAAH88P0g=")</f>
        <v>#REF!</v>
      </c>
      <c r="BV102" t="e">
        <f>AND(NhatkyBan!#REF!,"AAAAAH88P0k=")</f>
        <v>#REF!</v>
      </c>
      <c r="BW102" t="e">
        <f>AND(NhatkyBan!#REF!,"AAAAAH88P0o=")</f>
        <v>#REF!</v>
      </c>
      <c r="BX102" t="e">
        <f>AND(NhatkyBan!#REF!,"AAAAAH88P0s=")</f>
        <v>#REF!</v>
      </c>
      <c r="BY102" t="e">
        <f>AND(NhatkyBan!#REF!,"AAAAAH88P0w=")</f>
        <v>#REF!</v>
      </c>
      <c r="BZ102" t="e">
        <f>AND(NhatkyBan!#REF!,"AAAAAH88P00=")</f>
        <v>#REF!</v>
      </c>
      <c r="CA102" t="e">
        <f>AND(NhatkyBan!#REF!,"AAAAAH88P04=")</f>
        <v>#REF!</v>
      </c>
      <c r="CB102" t="e">
        <f>AND(NhatkyBan!#REF!,"AAAAAH88P08=")</f>
        <v>#REF!</v>
      </c>
      <c r="CC102" t="e">
        <f>AND(NhatkyBan!#REF!,"AAAAAH88P1A=")</f>
        <v>#REF!</v>
      </c>
      <c r="CD102" t="e">
        <f>AND(NhatkyBan!#REF!,"AAAAAH88P1E=")</f>
        <v>#REF!</v>
      </c>
      <c r="CE102" t="e">
        <f>AND(NhatkyBan!#REF!,"AAAAAH88P1I=")</f>
        <v>#REF!</v>
      </c>
      <c r="CF102" t="e">
        <f>AND(NhatkyBan!#REF!,"AAAAAH88P1M=")</f>
        <v>#REF!</v>
      </c>
      <c r="CG102" t="e">
        <f>AND(NhatkyBan!#REF!,"AAAAAH88P1Q=")</f>
        <v>#REF!</v>
      </c>
      <c r="CH102" t="e">
        <f>AND(NhatkyBan!#REF!,"AAAAAH88P1U=")</f>
        <v>#REF!</v>
      </c>
      <c r="CI102" t="e">
        <f>AND(NhatkyBan!#REF!,"AAAAAH88P1Y=")</f>
        <v>#REF!</v>
      </c>
      <c r="CJ102" t="e">
        <f>AND(NhatkyBan!#REF!,"AAAAAH88P1c=")</f>
        <v>#REF!</v>
      </c>
      <c r="CK102" t="e">
        <f>AND(NhatkyBan!#REF!,"AAAAAH88P1g=")</f>
        <v>#REF!</v>
      </c>
      <c r="CL102" t="e">
        <f>AND(NhatkyBan!#REF!,"AAAAAH88P1k=")</f>
        <v>#REF!</v>
      </c>
      <c r="CM102" t="e">
        <f>AND(NhatkyBan!#REF!,"AAAAAH88P1o=")</f>
        <v>#REF!</v>
      </c>
      <c r="CN102" t="e">
        <f>AND(NhatkyBan!#REF!,"AAAAAH88P1s=")</f>
        <v>#REF!</v>
      </c>
      <c r="CO102" t="e">
        <f>AND(NhatkyBan!#REF!,"AAAAAH88P1w=")</f>
        <v>#REF!</v>
      </c>
      <c r="CP102" t="e">
        <f>AND(NhatkyBan!#REF!,"AAAAAH88P10=")</f>
        <v>#REF!</v>
      </c>
      <c r="CQ102" t="e">
        <f>IF(NhatkyBan!#REF!,"AAAAAH88P14=",0)</f>
        <v>#REF!</v>
      </c>
      <c r="CR102" t="e">
        <f>AND(NhatkyBan!#REF!,"AAAAAH88P18=")</f>
        <v>#REF!</v>
      </c>
      <c r="CS102" t="e">
        <f>AND(NhatkyBan!#REF!,"AAAAAH88P2A=")</f>
        <v>#REF!</v>
      </c>
      <c r="CT102" t="e">
        <f>AND(NhatkyBan!#REF!,"AAAAAH88P2E=")</f>
        <v>#REF!</v>
      </c>
      <c r="CU102" t="e">
        <f>AND(NhatkyBan!#REF!,"AAAAAH88P2I=")</f>
        <v>#REF!</v>
      </c>
      <c r="CV102" t="e">
        <f>AND(NhatkyBan!#REF!,"AAAAAH88P2M=")</f>
        <v>#REF!</v>
      </c>
      <c r="CW102" t="e">
        <f>AND(NhatkyBan!#REF!,"AAAAAH88P2Q=")</f>
        <v>#REF!</v>
      </c>
      <c r="CX102" t="e">
        <f>AND(NhatkyBan!#REF!,"AAAAAH88P2U=")</f>
        <v>#REF!</v>
      </c>
      <c r="CY102" t="e">
        <f>AND(NhatkyBan!#REF!,"AAAAAH88P2Y=")</f>
        <v>#REF!</v>
      </c>
      <c r="CZ102" t="e">
        <f>AND(NhatkyBan!#REF!,"AAAAAH88P2c=")</f>
        <v>#REF!</v>
      </c>
      <c r="DA102" t="e">
        <f>AND(NhatkyBan!#REF!,"AAAAAH88P2g=")</f>
        <v>#REF!</v>
      </c>
      <c r="DB102" t="e">
        <f>AND(NhatkyBan!#REF!,"AAAAAH88P2k=")</f>
        <v>#REF!</v>
      </c>
      <c r="DC102" t="e">
        <f>AND(NhatkyBan!#REF!,"AAAAAH88P2o=")</f>
        <v>#REF!</v>
      </c>
      <c r="DD102" t="e">
        <f>AND(NhatkyBan!#REF!,"AAAAAH88P2s=")</f>
        <v>#REF!</v>
      </c>
      <c r="DE102" t="e">
        <f>AND(NhatkyBan!#REF!,"AAAAAH88P2w=")</f>
        <v>#REF!</v>
      </c>
      <c r="DF102" t="e">
        <f>AND(NhatkyBan!#REF!,"AAAAAH88P20=")</f>
        <v>#REF!</v>
      </c>
      <c r="DG102" t="e">
        <f>AND(NhatkyBan!#REF!,"AAAAAH88P24=")</f>
        <v>#REF!</v>
      </c>
      <c r="DH102" t="e">
        <f>AND(NhatkyBan!#REF!,"AAAAAH88P28=")</f>
        <v>#REF!</v>
      </c>
      <c r="DI102" t="e">
        <f>AND(NhatkyBan!#REF!,"AAAAAH88P3A=")</f>
        <v>#REF!</v>
      </c>
      <c r="DJ102" t="e">
        <f>AND(NhatkyBan!#REF!,"AAAAAH88P3E=")</f>
        <v>#REF!</v>
      </c>
      <c r="DK102" t="e">
        <f>AND(NhatkyBan!#REF!,"AAAAAH88P3I=")</f>
        <v>#REF!</v>
      </c>
      <c r="DL102" t="e">
        <f>AND(NhatkyBan!#REF!,"AAAAAH88P3M=")</f>
        <v>#REF!</v>
      </c>
      <c r="DM102" t="e">
        <f>AND(NhatkyBan!#REF!,"AAAAAH88P3Q=")</f>
        <v>#REF!</v>
      </c>
      <c r="DN102" t="e">
        <f>AND(NhatkyBan!#REF!,"AAAAAH88P3U=")</f>
        <v>#REF!</v>
      </c>
      <c r="DO102" t="e">
        <f>AND(NhatkyBan!#REF!,"AAAAAH88P3Y=")</f>
        <v>#REF!</v>
      </c>
      <c r="DP102" t="e">
        <f>AND(NhatkyBan!#REF!,"AAAAAH88P3c=")</f>
        <v>#REF!</v>
      </c>
      <c r="DQ102" t="e">
        <f>AND(NhatkyBan!#REF!,"AAAAAH88P3g=")</f>
        <v>#REF!</v>
      </c>
      <c r="DR102" t="e">
        <f>AND(NhatkyBan!#REF!,"AAAAAH88P3k=")</f>
        <v>#REF!</v>
      </c>
      <c r="DS102" t="e">
        <f>AND(NhatkyBan!#REF!,"AAAAAH88P3o=")</f>
        <v>#REF!</v>
      </c>
      <c r="DT102" t="e">
        <f>AND(NhatkyBan!#REF!,"AAAAAH88P3s=")</f>
        <v>#REF!</v>
      </c>
      <c r="DU102" t="e">
        <f>AND(NhatkyBan!#REF!,"AAAAAH88P3w=")</f>
        <v>#REF!</v>
      </c>
      <c r="DV102" t="e">
        <f>AND(NhatkyBan!#REF!,"AAAAAH88P30=")</f>
        <v>#REF!</v>
      </c>
      <c r="DW102" t="e">
        <f>AND(NhatkyBan!#REF!,"AAAAAH88P34=")</f>
        <v>#REF!</v>
      </c>
      <c r="DX102" t="e">
        <f>AND(NhatkyBan!#REF!,"AAAAAH88P38=")</f>
        <v>#REF!</v>
      </c>
      <c r="DY102" t="e">
        <f>AND(NhatkyBan!#REF!,"AAAAAH88P4A=")</f>
        <v>#REF!</v>
      </c>
      <c r="DZ102" t="e">
        <f>IF(NhatkyBan!#REF!,"AAAAAH88P4E=",0)</f>
        <v>#REF!</v>
      </c>
      <c r="EA102" t="e">
        <f>AND(NhatkyBan!#REF!,"AAAAAH88P4I=")</f>
        <v>#REF!</v>
      </c>
      <c r="EB102" t="e">
        <f>AND(NhatkyBan!#REF!,"AAAAAH88P4M=")</f>
        <v>#REF!</v>
      </c>
      <c r="EC102" t="e">
        <f>AND(NhatkyBan!#REF!,"AAAAAH88P4Q=")</f>
        <v>#REF!</v>
      </c>
      <c r="ED102" t="e">
        <f>AND(NhatkyBan!#REF!,"AAAAAH88P4U=")</f>
        <v>#REF!</v>
      </c>
      <c r="EE102" t="e">
        <f>AND(NhatkyBan!#REF!,"AAAAAH88P4Y=")</f>
        <v>#REF!</v>
      </c>
      <c r="EF102" t="e">
        <f>AND(NhatkyBan!#REF!,"AAAAAH88P4c=")</f>
        <v>#REF!</v>
      </c>
      <c r="EG102" t="e">
        <f>AND(NhatkyBan!#REF!,"AAAAAH88P4g=")</f>
        <v>#REF!</v>
      </c>
      <c r="EH102" t="e">
        <f>AND(NhatkyBan!#REF!,"AAAAAH88P4k=")</f>
        <v>#REF!</v>
      </c>
      <c r="EI102" t="e">
        <f>AND(NhatkyBan!#REF!,"AAAAAH88P4o=")</f>
        <v>#REF!</v>
      </c>
      <c r="EJ102" t="e">
        <f>AND(NhatkyBan!#REF!,"AAAAAH88P4s=")</f>
        <v>#REF!</v>
      </c>
      <c r="EK102" t="e">
        <f>AND(NhatkyBan!#REF!,"AAAAAH88P4w=")</f>
        <v>#REF!</v>
      </c>
      <c r="EL102" t="e">
        <f>AND(NhatkyBan!#REF!,"AAAAAH88P40=")</f>
        <v>#REF!</v>
      </c>
      <c r="EM102" t="e">
        <f>AND(NhatkyBan!#REF!,"AAAAAH88P44=")</f>
        <v>#REF!</v>
      </c>
      <c r="EN102" t="e">
        <f>AND(NhatkyBan!#REF!,"AAAAAH88P48=")</f>
        <v>#REF!</v>
      </c>
      <c r="EO102" t="e">
        <f>AND(NhatkyBan!#REF!,"AAAAAH88P5A=")</f>
        <v>#REF!</v>
      </c>
      <c r="EP102" t="e">
        <f>AND(NhatkyBan!#REF!,"AAAAAH88P5E=")</f>
        <v>#REF!</v>
      </c>
      <c r="EQ102" t="e">
        <f>AND(NhatkyBan!#REF!,"AAAAAH88P5I=")</f>
        <v>#REF!</v>
      </c>
      <c r="ER102" t="e">
        <f>AND(NhatkyBan!#REF!,"AAAAAH88P5M=")</f>
        <v>#REF!</v>
      </c>
      <c r="ES102" t="e">
        <f>AND(NhatkyBan!#REF!,"AAAAAH88P5Q=")</f>
        <v>#REF!</v>
      </c>
      <c r="ET102" t="e">
        <f>AND(NhatkyBan!#REF!,"AAAAAH88P5U=")</f>
        <v>#REF!</v>
      </c>
      <c r="EU102" t="e">
        <f>AND(NhatkyBan!#REF!,"AAAAAH88P5Y=")</f>
        <v>#REF!</v>
      </c>
      <c r="EV102" t="e">
        <f>AND(NhatkyBan!#REF!,"AAAAAH88P5c=")</f>
        <v>#REF!</v>
      </c>
      <c r="EW102" t="e">
        <f>AND(NhatkyBan!#REF!,"AAAAAH88P5g=")</f>
        <v>#REF!</v>
      </c>
      <c r="EX102" t="e">
        <f>AND(NhatkyBan!#REF!,"AAAAAH88P5k=")</f>
        <v>#REF!</v>
      </c>
      <c r="EY102" t="e">
        <f>AND(NhatkyBan!#REF!,"AAAAAH88P5o=")</f>
        <v>#REF!</v>
      </c>
      <c r="EZ102" t="e">
        <f>AND(NhatkyBan!#REF!,"AAAAAH88P5s=")</f>
        <v>#REF!</v>
      </c>
      <c r="FA102" t="e">
        <f>AND(NhatkyBan!#REF!,"AAAAAH88P5w=")</f>
        <v>#REF!</v>
      </c>
      <c r="FB102" t="e">
        <f>AND(NhatkyBan!#REF!,"AAAAAH88P50=")</f>
        <v>#REF!</v>
      </c>
      <c r="FC102" t="e">
        <f>AND(NhatkyBan!#REF!,"AAAAAH88P54=")</f>
        <v>#REF!</v>
      </c>
      <c r="FD102" t="e">
        <f>AND(NhatkyBan!#REF!,"AAAAAH88P58=")</f>
        <v>#REF!</v>
      </c>
      <c r="FE102" t="e">
        <f>AND(NhatkyBan!#REF!,"AAAAAH88P6A=")</f>
        <v>#REF!</v>
      </c>
      <c r="FF102" t="e">
        <f>AND(NhatkyBan!#REF!,"AAAAAH88P6E=")</f>
        <v>#REF!</v>
      </c>
      <c r="FG102" t="e">
        <f>AND(NhatkyBan!#REF!,"AAAAAH88P6I=")</f>
        <v>#REF!</v>
      </c>
      <c r="FH102" t="e">
        <f>AND(NhatkyBan!#REF!,"AAAAAH88P6M=")</f>
        <v>#REF!</v>
      </c>
      <c r="FI102" t="e">
        <f>IF(NhatkyBan!#REF!,"AAAAAH88P6Q=",0)</f>
        <v>#REF!</v>
      </c>
      <c r="FJ102" t="e">
        <f>AND(NhatkyBan!#REF!,"AAAAAH88P6U=")</f>
        <v>#REF!</v>
      </c>
      <c r="FK102" t="e">
        <f>AND(NhatkyBan!#REF!,"AAAAAH88P6Y=")</f>
        <v>#REF!</v>
      </c>
      <c r="FL102" t="e">
        <f>AND(NhatkyBan!#REF!,"AAAAAH88P6c=")</f>
        <v>#REF!</v>
      </c>
      <c r="FM102" t="e">
        <f>AND(NhatkyBan!#REF!,"AAAAAH88P6g=")</f>
        <v>#REF!</v>
      </c>
      <c r="FN102" t="e">
        <f>AND(NhatkyBan!#REF!,"AAAAAH88P6k=")</f>
        <v>#REF!</v>
      </c>
      <c r="FO102" t="e">
        <f>AND(NhatkyBan!#REF!,"AAAAAH88P6o=")</f>
        <v>#REF!</v>
      </c>
      <c r="FP102" t="e">
        <f>AND(NhatkyBan!#REF!,"AAAAAH88P6s=")</f>
        <v>#REF!</v>
      </c>
      <c r="FQ102" t="e">
        <f>AND(NhatkyBan!#REF!,"AAAAAH88P6w=")</f>
        <v>#REF!</v>
      </c>
      <c r="FR102" t="e">
        <f>AND(NhatkyBan!#REF!,"AAAAAH88P60=")</f>
        <v>#REF!</v>
      </c>
      <c r="FS102" t="e">
        <f>AND(NhatkyBan!#REF!,"AAAAAH88P64=")</f>
        <v>#REF!</v>
      </c>
      <c r="FT102" t="e">
        <f>AND(NhatkyBan!#REF!,"AAAAAH88P68=")</f>
        <v>#REF!</v>
      </c>
      <c r="FU102" t="e">
        <f>AND(NhatkyBan!#REF!,"AAAAAH88P7A=")</f>
        <v>#REF!</v>
      </c>
      <c r="FV102" t="e">
        <f>AND(NhatkyBan!#REF!,"AAAAAH88P7E=")</f>
        <v>#REF!</v>
      </c>
      <c r="FW102" t="e">
        <f>AND(NhatkyBan!#REF!,"AAAAAH88P7I=")</f>
        <v>#REF!</v>
      </c>
      <c r="FX102" t="e">
        <f>AND(NhatkyBan!#REF!,"AAAAAH88P7M=")</f>
        <v>#REF!</v>
      </c>
      <c r="FY102" t="e">
        <f>AND(NhatkyBan!#REF!,"AAAAAH88P7Q=")</f>
        <v>#REF!</v>
      </c>
      <c r="FZ102" t="e">
        <f>AND(NhatkyBan!#REF!,"AAAAAH88P7U=")</f>
        <v>#REF!</v>
      </c>
      <c r="GA102" t="e">
        <f>AND(NhatkyBan!#REF!,"AAAAAH88P7Y=")</f>
        <v>#REF!</v>
      </c>
      <c r="GB102" t="e">
        <f>AND(NhatkyBan!#REF!,"AAAAAH88P7c=")</f>
        <v>#REF!</v>
      </c>
      <c r="GC102" t="e">
        <f>AND(NhatkyBan!#REF!,"AAAAAH88P7g=")</f>
        <v>#REF!</v>
      </c>
      <c r="GD102" t="e">
        <f>AND(NhatkyBan!#REF!,"AAAAAH88P7k=")</f>
        <v>#REF!</v>
      </c>
      <c r="GE102" t="e">
        <f>AND(NhatkyBan!#REF!,"AAAAAH88P7o=")</f>
        <v>#REF!</v>
      </c>
      <c r="GF102" t="e">
        <f>AND(NhatkyBan!#REF!,"AAAAAH88P7s=")</f>
        <v>#REF!</v>
      </c>
      <c r="GG102" t="e">
        <f>AND(NhatkyBan!#REF!,"AAAAAH88P7w=")</f>
        <v>#REF!</v>
      </c>
      <c r="GH102" t="e">
        <f>AND(NhatkyBan!#REF!,"AAAAAH88P70=")</f>
        <v>#REF!</v>
      </c>
      <c r="GI102" t="e">
        <f>AND(NhatkyBan!#REF!,"AAAAAH88P74=")</f>
        <v>#REF!</v>
      </c>
      <c r="GJ102" t="e">
        <f>AND(NhatkyBan!#REF!,"AAAAAH88P78=")</f>
        <v>#REF!</v>
      </c>
      <c r="GK102" t="e">
        <f>AND(NhatkyBan!#REF!,"AAAAAH88P8A=")</f>
        <v>#REF!</v>
      </c>
      <c r="GL102" t="e">
        <f>AND(NhatkyBan!#REF!,"AAAAAH88P8E=")</f>
        <v>#REF!</v>
      </c>
      <c r="GM102" t="e">
        <f>AND(NhatkyBan!#REF!,"AAAAAH88P8I=")</f>
        <v>#REF!</v>
      </c>
      <c r="GN102" t="e">
        <f>AND(NhatkyBan!#REF!,"AAAAAH88P8M=")</f>
        <v>#REF!</v>
      </c>
      <c r="GO102" t="e">
        <f>AND(NhatkyBan!#REF!,"AAAAAH88P8Q=")</f>
        <v>#REF!</v>
      </c>
      <c r="GP102" t="e">
        <f>AND(NhatkyBan!#REF!,"AAAAAH88P8U=")</f>
        <v>#REF!</v>
      </c>
      <c r="GQ102" t="e">
        <f>AND(NhatkyBan!#REF!,"AAAAAH88P8Y=")</f>
        <v>#REF!</v>
      </c>
      <c r="GR102" t="e">
        <f>IF(NhatkyBan!#REF!,"AAAAAH88P8c=",0)</f>
        <v>#REF!</v>
      </c>
      <c r="GS102" t="e">
        <f>AND(NhatkyBan!#REF!,"AAAAAH88P8g=")</f>
        <v>#REF!</v>
      </c>
      <c r="GT102" t="e">
        <f>AND(NhatkyBan!#REF!,"AAAAAH88P8k=")</f>
        <v>#REF!</v>
      </c>
      <c r="GU102" t="e">
        <f>AND(NhatkyBan!#REF!,"AAAAAH88P8o=")</f>
        <v>#REF!</v>
      </c>
      <c r="GV102" t="e">
        <f>AND(NhatkyBan!#REF!,"AAAAAH88P8s=")</f>
        <v>#REF!</v>
      </c>
      <c r="GW102" t="e">
        <f>AND(NhatkyBan!#REF!,"AAAAAH88P8w=")</f>
        <v>#REF!</v>
      </c>
      <c r="GX102" t="e">
        <f>AND(NhatkyBan!#REF!,"AAAAAH88P80=")</f>
        <v>#REF!</v>
      </c>
      <c r="GY102" t="e">
        <f>AND(NhatkyBan!#REF!,"AAAAAH88P84=")</f>
        <v>#REF!</v>
      </c>
      <c r="GZ102" t="e">
        <f>AND(NhatkyBan!#REF!,"AAAAAH88P88=")</f>
        <v>#REF!</v>
      </c>
      <c r="HA102" t="e">
        <f>AND(NhatkyBan!#REF!,"AAAAAH88P9A=")</f>
        <v>#REF!</v>
      </c>
      <c r="HB102" t="e">
        <f>AND(NhatkyBan!#REF!,"AAAAAH88P9E=")</f>
        <v>#REF!</v>
      </c>
      <c r="HC102" t="e">
        <f>AND(NhatkyBan!#REF!,"AAAAAH88P9I=")</f>
        <v>#REF!</v>
      </c>
      <c r="HD102" t="e">
        <f>AND(NhatkyBan!#REF!,"AAAAAH88P9M=")</f>
        <v>#REF!</v>
      </c>
      <c r="HE102" t="e">
        <f>AND(NhatkyBan!#REF!,"AAAAAH88P9Q=")</f>
        <v>#REF!</v>
      </c>
      <c r="HF102" t="e">
        <f>AND(NhatkyBan!#REF!,"AAAAAH88P9U=")</f>
        <v>#REF!</v>
      </c>
      <c r="HG102" t="e">
        <f>AND(NhatkyBan!#REF!,"AAAAAH88P9Y=")</f>
        <v>#REF!</v>
      </c>
      <c r="HH102" t="e">
        <f>AND(NhatkyBan!#REF!,"AAAAAH88P9c=")</f>
        <v>#REF!</v>
      </c>
      <c r="HI102" t="e">
        <f>AND(NhatkyBan!#REF!,"AAAAAH88P9g=")</f>
        <v>#REF!</v>
      </c>
      <c r="HJ102" t="e">
        <f>AND(NhatkyBan!#REF!,"AAAAAH88P9k=")</f>
        <v>#REF!</v>
      </c>
      <c r="HK102" t="e">
        <f>AND(NhatkyBan!#REF!,"AAAAAH88P9o=")</f>
        <v>#REF!</v>
      </c>
      <c r="HL102" t="e">
        <f>AND(NhatkyBan!#REF!,"AAAAAH88P9s=")</f>
        <v>#REF!</v>
      </c>
      <c r="HM102" t="e">
        <f>AND(NhatkyBan!#REF!,"AAAAAH88P9w=")</f>
        <v>#REF!</v>
      </c>
      <c r="HN102" t="e">
        <f>AND(NhatkyBan!#REF!,"AAAAAH88P90=")</f>
        <v>#REF!</v>
      </c>
      <c r="HO102" t="e">
        <f>AND(NhatkyBan!#REF!,"AAAAAH88P94=")</f>
        <v>#REF!</v>
      </c>
      <c r="HP102" t="e">
        <f>AND(NhatkyBan!#REF!,"AAAAAH88P98=")</f>
        <v>#REF!</v>
      </c>
      <c r="HQ102" t="e">
        <f>AND(NhatkyBan!#REF!,"AAAAAH88P+A=")</f>
        <v>#REF!</v>
      </c>
      <c r="HR102" t="e">
        <f>AND(NhatkyBan!#REF!,"AAAAAH88P+E=")</f>
        <v>#REF!</v>
      </c>
      <c r="HS102" t="e">
        <f>AND(NhatkyBan!#REF!,"AAAAAH88P+I=")</f>
        <v>#REF!</v>
      </c>
      <c r="HT102" t="e">
        <f>AND(NhatkyBan!#REF!,"AAAAAH88P+M=")</f>
        <v>#REF!</v>
      </c>
      <c r="HU102" t="e">
        <f>AND(NhatkyBan!#REF!,"AAAAAH88P+Q=")</f>
        <v>#REF!</v>
      </c>
      <c r="HV102" t="e">
        <f>AND(NhatkyBan!#REF!,"AAAAAH88P+U=")</f>
        <v>#REF!</v>
      </c>
      <c r="HW102" t="e">
        <f>AND(NhatkyBan!#REF!,"AAAAAH88P+Y=")</f>
        <v>#REF!</v>
      </c>
      <c r="HX102" t="e">
        <f>AND(NhatkyBan!#REF!,"AAAAAH88P+c=")</f>
        <v>#REF!</v>
      </c>
      <c r="HY102" t="e">
        <f>AND(NhatkyBan!#REF!,"AAAAAH88P+g=")</f>
        <v>#REF!</v>
      </c>
      <c r="HZ102" t="e">
        <f>AND(NhatkyBan!#REF!,"AAAAAH88P+k=")</f>
        <v>#REF!</v>
      </c>
      <c r="IA102" t="e">
        <f>IF(NhatkyBan!#REF!,"AAAAAH88P+o=",0)</f>
        <v>#REF!</v>
      </c>
      <c r="IB102" t="e">
        <f>AND(NhatkyBan!#REF!,"AAAAAH88P+s=")</f>
        <v>#REF!</v>
      </c>
      <c r="IC102" t="e">
        <f>AND(NhatkyBan!#REF!,"AAAAAH88P+w=")</f>
        <v>#REF!</v>
      </c>
      <c r="ID102" t="e">
        <f>AND(NhatkyBan!#REF!,"AAAAAH88P+0=")</f>
        <v>#REF!</v>
      </c>
      <c r="IE102" t="e">
        <f>AND(NhatkyBan!#REF!,"AAAAAH88P+4=")</f>
        <v>#REF!</v>
      </c>
      <c r="IF102" t="e">
        <f>AND(NhatkyBan!#REF!,"AAAAAH88P+8=")</f>
        <v>#REF!</v>
      </c>
      <c r="IG102" t="e">
        <f>AND(NhatkyBan!#REF!,"AAAAAH88P/A=")</f>
        <v>#REF!</v>
      </c>
      <c r="IH102" t="e">
        <f>AND(NhatkyBan!#REF!,"AAAAAH88P/E=")</f>
        <v>#REF!</v>
      </c>
      <c r="II102" t="e">
        <f>AND(NhatkyBan!#REF!,"AAAAAH88P/I=")</f>
        <v>#REF!</v>
      </c>
      <c r="IJ102" t="e">
        <f>AND(NhatkyBan!#REF!,"AAAAAH88P/M=")</f>
        <v>#REF!</v>
      </c>
      <c r="IK102" t="e">
        <f>AND(NhatkyBan!#REF!,"AAAAAH88P/Q=")</f>
        <v>#REF!</v>
      </c>
      <c r="IL102" t="e">
        <f>AND(NhatkyBan!#REF!,"AAAAAH88P/U=")</f>
        <v>#REF!</v>
      </c>
      <c r="IM102" t="e">
        <f>AND(NhatkyBan!#REF!,"AAAAAH88P/Y=")</f>
        <v>#REF!</v>
      </c>
      <c r="IN102" t="e">
        <f>AND(NhatkyBan!#REF!,"AAAAAH88P/c=")</f>
        <v>#REF!</v>
      </c>
      <c r="IO102" t="e">
        <f>AND(NhatkyBan!#REF!,"AAAAAH88P/g=")</f>
        <v>#REF!</v>
      </c>
      <c r="IP102" t="e">
        <f>AND(NhatkyBan!#REF!,"AAAAAH88P/k=")</f>
        <v>#REF!</v>
      </c>
      <c r="IQ102" t="e">
        <f>AND(NhatkyBan!#REF!,"AAAAAH88P/o=")</f>
        <v>#REF!</v>
      </c>
      <c r="IR102" t="e">
        <f>AND(NhatkyBan!#REF!,"AAAAAH88P/s=")</f>
        <v>#REF!</v>
      </c>
      <c r="IS102" t="e">
        <f>AND(NhatkyBan!#REF!,"AAAAAH88P/w=")</f>
        <v>#REF!</v>
      </c>
      <c r="IT102" t="e">
        <f>AND(NhatkyBan!#REF!,"AAAAAH88P/0=")</f>
        <v>#REF!</v>
      </c>
      <c r="IU102" t="e">
        <f>AND(NhatkyBan!#REF!,"AAAAAH88P/4=")</f>
        <v>#REF!</v>
      </c>
      <c r="IV102" t="e">
        <f>AND(NhatkyBan!#REF!,"AAAAAH88P/8=")</f>
        <v>#REF!</v>
      </c>
    </row>
    <row r="103" spans="1:256">
      <c r="A103" t="e">
        <f>AND(NhatkyBan!#REF!,"AAAAAC16hwA=")</f>
        <v>#REF!</v>
      </c>
      <c r="B103" t="e">
        <f>AND(NhatkyBan!#REF!,"AAAAAC16hwE=")</f>
        <v>#REF!</v>
      </c>
      <c r="C103" t="e">
        <f>AND(NhatkyBan!#REF!,"AAAAAC16hwI=")</f>
        <v>#REF!</v>
      </c>
      <c r="D103" t="e">
        <f>AND(NhatkyBan!#REF!,"AAAAAC16hwM=")</f>
        <v>#REF!</v>
      </c>
      <c r="E103" t="e">
        <f>AND(NhatkyBan!#REF!,"AAAAAC16hwQ=")</f>
        <v>#REF!</v>
      </c>
      <c r="F103" t="e">
        <f>AND(NhatkyBan!#REF!,"AAAAAC16hwU=")</f>
        <v>#REF!</v>
      </c>
      <c r="G103" t="e">
        <f>AND(NhatkyBan!#REF!,"AAAAAC16hwY=")</f>
        <v>#REF!</v>
      </c>
      <c r="H103" t="e">
        <f>AND(NhatkyBan!#REF!,"AAAAAC16hwc=")</f>
        <v>#REF!</v>
      </c>
      <c r="I103" t="e">
        <f>AND(NhatkyBan!#REF!,"AAAAAC16hwg=")</f>
        <v>#REF!</v>
      </c>
      <c r="J103" t="e">
        <f>AND(NhatkyBan!#REF!,"AAAAAC16hwk=")</f>
        <v>#REF!</v>
      </c>
      <c r="K103" t="e">
        <f>AND(NhatkyBan!#REF!,"AAAAAC16hwo=")</f>
        <v>#REF!</v>
      </c>
      <c r="L103" t="e">
        <f>AND(NhatkyBan!#REF!,"AAAAAC16hws=")</f>
        <v>#REF!</v>
      </c>
      <c r="M103" t="e">
        <f>AND(NhatkyBan!#REF!,"AAAAAC16hww=")</f>
        <v>#REF!</v>
      </c>
      <c r="N103" t="e">
        <f>IF(NhatkyBan!#REF!,"AAAAAC16hw0=",0)</f>
        <v>#REF!</v>
      </c>
      <c r="O103" t="e">
        <f>AND(NhatkyBan!#REF!,"AAAAAC16hw4=")</f>
        <v>#REF!</v>
      </c>
      <c r="P103" t="e">
        <f>AND(NhatkyBan!#REF!,"AAAAAC16hw8=")</f>
        <v>#REF!</v>
      </c>
      <c r="Q103" t="e">
        <f>AND(NhatkyBan!#REF!,"AAAAAC16hxA=")</f>
        <v>#REF!</v>
      </c>
      <c r="R103" t="e">
        <f>AND(NhatkyBan!#REF!,"AAAAAC16hxE=")</f>
        <v>#REF!</v>
      </c>
      <c r="S103" t="e">
        <f>AND(NhatkyBan!#REF!,"AAAAAC16hxI=")</f>
        <v>#REF!</v>
      </c>
      <c r="T103" t="e">
        <f>AND(NhatkyBan!#REF!,"AAAAAC16hxM=")</f>
        <v>#REF!</v>
      </c>
      <c r="U103" t="e">
        <f>AND(NhatkyBan!#REF!,"AAAAAC16hxQ=")</f>
        <v>#REF!</v>
      </c>
      <c r="V103" t="e">
        <f>AND(NhatkyBan!#REF!,"AAAAAC16hxU=")</f>
        <v>#REF!</v>
      </c>
      <c r="W103" t="e">
        <f>AND(NhatkyBan!#REF!,"AAAAAC16hxY=")</f>
        <v>#REF!</v>
      </c>
      <c r="X103" t="e">
        <f>AND(NhatkyBan!#REF!,"AAAAAC16hxc=")</f>
        <v>#REF!</v>
      </c>
      <c r="Y103" t="e">
        <f>AND(NhatkyBan!#REF!,"AAAAAC16hxg=")</f>
        <v>#REF!</v>
      </c>
      <c r="Z103" t="e">
        <f>AND(NhatkyBan!#REF!,"AAAAAC16hxk=")</f>
        <v>#REF!</v>
      </c>
      <c r="AA103" t="e">
        <f>AND(NhatkyBan!#REF!,"AAAAAC16hxo=")</f>
        <v>#REF!</v>
      </c>
      <c r="AB103" t="e">
        <f>AND(NhatkyBan!#REF!,"AAAAAC16hxs=")</f>
        <v>#REF!</v>
      </c>
      <c r="AC103" t="e">
        <f>AND(NhatkyBan!#REF!,"AAAAAC16hxw=")</f>
        <v>#REF!</v>
      </c>
      <c r="AD103" t="e">
        <f>AND(NhatkyBan!#REF!,"AAAAAC16hx0=")</f>
        <v>#REF!</v>
      </c>
      <c r="AE103" t="e">
        <f>AND(NhatkyBan!#REF!,"AAAAAC16hx4=")</f>
        <v>#REF!</v>
      </c>
      <c r="AF103" t="e">
        <f>AND(NhatkyBan!#REF!,"AAAAAC16hx8=")</f>
        <v>#REF!</v>
      </c>
      <c r="AG103" t="e">
        <f>AND(NhatkyBan!#REF!,"AAAAAC16hyA=")</f>
        <v>#REF!</v>
      </c>
      <c r="AH103" t="e">
        <f>AND(NhatkyBan!#REF!,"AAAAAC16hyE=")</f>
        <v>#REF!</v>
      </c>
      <c r="AI103" t="e">
        <f>AND(NhatkyBan!#REF!,"AAAAAC16hyI=")</f>
        <v>#REF!</v>
      </c>
      <c r="AJ103" t="e">
        <f>AND(NhatkyBan!#REF!,"AAAAAC16hyM=")</f>
        <v>#REF!</v>
      </c>
      <c r="AK103" t="e">
        <f>AND(NhatkyBan!#REF!,"AAAAAC16hyQ=")</f>
        <v>#REF!</v>
      </c>
      <c r="AL103" t="e">
        <f>AND(NhatkyBan!#REF!,"AAAAAC16hyU=")</f>
        <v>#REF!</v>
      </c>
      <c r="AM103" t="e">
        <f>AND(NhatkyBan!#REF!,"AAAAAC16hyY=")</f>
        <v>#REF!</v>
      </c>
      <c r="AN103" t="e">
        <f>AND(NhatkyBan!#REF!,"AAAAAC16hyc=")</f>
        <v>#REF!</v>
      </c>
      <c r="AO103" t="e">
        <f>AND(NhatkyBan!#REF!,"AAAAAC16hyg=")</f>
        <v>#REF!</v>
      </c>
      <c r="AP103" t="e">
        <f>AND(NhatkyBan!#REF!,"AAAAAC16hyk=")</f>
        <v>#REF!</v>
      </c>
      <c r="AQ103" t="e">
        <f>AND(NhatkyBan!#REF!,"AAAAAC16hyo=")</f>
        <v>#REF!</v>
      </c>
      <c r="AR103" t="e">
        <f>AND(NhatkyBan!#REF!,"AAAAAC16hys=")</f>
        <v>#REF!</v>
      </c>
      <c r="AS103" t="e">
        <f>AND(NhatkyBan!#REF!,"AAAAAC16hyw=")</f>
        <v>#REF!</v>
      </c>
      <c r="AT103" t="e">
        <f>AND(NhatkyBan!#REF!,"AAAAAC16hy0=")</f>
        <v>#REF!</v>
      </c>
      <c r="AU103" t="e">
        <f>AND(NhatkyBan!#REF!,"AAAAAC16hy4=")</f>
        <v>#REF!</v>
      </c>
      <c r="AV103" t="e">
        <f>AND(NhatkyBan!#REF!,"AAAAAC16hy8=")</f>
        <v>#REF!</v>
      </c>
      <c r="AW103" t="e">
        <f>IF(NhatkyBan!#REF!,"AAAAAC16hzA=",0)</f>
        <v>#REF!</v>
      </c>
      <c r="AX103" t="e">
        <f>AND(NhatkyBan!#REF!,"AAAAAC16hzE=")</f>
        <v>#REF!</v>
      </c>
      <c r="AY103" t="e">
        <f>AND(NhatkyBan!#REF!,"AAAAAC16hzI=")</f>
        <v>#REF!</v>
      </c>
      <c r="AZ103" t="e">
        <f>AND(NhatkyBan!#REF!,"AAAAAC16hzM=")</f>
        <v>#REF!</v>
      </c>
      <c r="BA103" t="e">
        <f>AND(NhatkyBan!#REF!,"AAAAAC16hzQ=")</f>
        <v>#REF!</v>
      </c>
      <c r="BB103" t="e">
        <f>AND(NhatkyBan!#REF!,"AAAAAC16hzU=")</f>
        <v>#REF!</v>
      </c>
      <c r="BC103" t="e">
        <f>AND(NhatkyBan!#REF!,"AAAAAC16hzY=")</f>
        <v>#REF!</v>
      </c>
      <c r="BD103" t="e">
        <f>AND(NhatkyBan!#REF!,"AAAAAC16hzc=")</f>
        <v>#REF!</v>
      </c>
      <c r="BE103" t="e">
        <f>AND(NhatkyBan!#REF!,"AAAAAC16hzg=")</f>
        <v>#REF!</v>
      </c>
      <c r="BF103" t="e">
        <f>AND(NhatkyBan!#REF!,"AAAAAC16hzk=")</f>
        <v>#REF!</v>
      </c>
      <c r="BG103" t="e">
        <f>AND(NhatkyBan!#REF!,"AAAAAC16hzo=")</f>
        <v>#REF!</v>
      </c>
      <c r="BH103" t="e">
        <f>AND(NhatkyBan!#REF!,"AAAAAC16hzs=")</f>
        <v>#REF!</v>
      </c>
      <c r="BI103" t="e">
        <f>AND(NhatkyBan!#REF!,"AAAAAC16hzw=")</f>
        <v>#REF!</v>
      </c>
      <c r="BJ103" t="e">
        <f>AND(NhatkyBan!#REF!,"AAAAAC16hz0=")</f>
        <v>#REF!</v>
      </c>
      <c r="BK103" t="e">
        <f>AND(NhatkyBan!#REF!,"AAAAAC16hz4=")</f>
        <v>#REF!</v>
      </c>
      <c r="BL103" t="e">
        <f>AND(NhatkyBan!#REF!,"AAAAAC16hz8=")</f>
        <v>#REF!</v>
      </c>
      <c r="BM103" t="e">
        <f>AND(NhatkyBan!#REF!,"AAAAAC16h0A=")</f>
        <v>#REF!</v>
      </c>
      <c r="BN103" t="e">
        <f>AND(NhatkyBan!#REF!,"AAAAAC16h0E=")</f>
        <v>#REF!</v>
      </c>
      <c r="BO103" t="e">
        <f>AND(NhatkyBan!#REF!,"AAAAAC16h0I=")</f>
        <v>#REF!</v>
      </c>
      <c r="BP103" t="e">
        <f>AND(NhatkyBan!#REF!,"AAAAAC16h0M=")</f>
        <v>#REF!</v>
      </c>
      <c r="BQ103" t="e">
        <f>AND(NhatkyBan!#REF!,"AAAAAC16h0Q=")</f>
        <v>#REF!</v>
      </c>
      <c r="BR103" t="e">
        <f>AND(NhatkyBan!#REF!,"AAAAAC16h0U=")</f>
        <v>#REF!</v>
      </c>
      <c r="BS103" t="e">
        <f>AND(NhatkyBan!#REF!,"AAAAAC16h0Y=")</f>
        <v>#REF!</v>
      </c>
      <c r="BT103" t="e">
        <f>AND(NhatkyBan!#REF!,"AAAAAC16h0c=")</f>
        <v>#REF!</v>
      </c>
      <c r="BU103" t="e">
        <f>AND(NhatkyBan!#REF!,"AAAAAC16h0g=")</f>
        <v>#REF!</v>
      </c>
      <c r="BV103" t="e">
        <f>AND(NhatkyBan!#REF!,"AAAAAC16h0k=")</f>
        <v>#REF!</v>
      </c>
      <c r="BW103" t="e">
        <f>AND(NhatkyBan!#REF!,"AAAAAC16h0o=")</f>
        <v>#REF!</v>
      </c>
      <c r="BX103" t="e">
        <f>AND(NhatkyBan!#REF!,"AAAAAC16h0s=")</f>
        <v>#REF!</v>
      </c>
      <c r="BY103" t="e">
        <f>AND(NhatkyBan!#REF!,"AAAAAC16h0w=")</f>
        <v>#REF!</v>
      </c>
      <c r="BZ103" t="e">
        <f>AND(NhatkyBan!#REF!,"AAAAAC16h00=")</f>
        <v>#REF!</v>
      </c>
      <c r="CA103" t="e">
        <f>AND(NhatkyBan!#REF!,"AAAAAC16h04=")</f>
        <v>#REF!</v>
      </c>
      <c r="CB103" t="e">
        <f>AND(NhatkyBan!#REF!,"AAAAAC16h08=")</f>
        <v>#REF!</v>
      </c>
      <c r="CC103" t="e">
        <f>AND(NhatkyBan!#REF!,"AAAAAC16h1A=")</f>
        <v>#REF!</v>
      </c>
      <c r="CD103" t="e">
        <f>AND(NhatkyBan!#REF!,"AAAAAC16h1E=")</f>
        <v>#REF!</v>
      </c>
      <c r="CE103" t="e">
        <f>AND(NhatkyBan!#REF!,"AAAAAC16h1I=")</f>
        <v>#REF!</v>
      </c>
      <c r="CF103" t="e">
        <f>IF(NhatkyBan!#REF!,"AAAAAC16h1M=",0)</f>
        <v>#REF!</v>
      </c>
      <c r="CG103" t="e">
        <f>AND(NhatkyBan!#REF!,"AAAAAC16h1Q=")</f>
        <v>#REF!</v>
      </c>
      <c r="CH103" t="e">
        <f>AND(NhatkyBan!#REF!,"AAAAAC16h1U=")</f>
        <v>#REF!</v>
      </c>
      <c r="CI103" t="e">
        <f>AND(NhatkyBan!#REF!,"AAAAAC16h1Y=")</f>
        <v>#REF!</v>
      </c>
      <c r="CJ103" t="e">
        <f>AND(NhatkyBan!#REF!,"AAAAAC16h1c=")</f>
        <v>#REF!</v>
      </c>
      <c r="CK103" t="e">
        <f>AND(NhatkyBan!#REF!,"AAAAAC16h1g=")</f>
        <v>#REF!</v>
      </c>
      <c r="CL103" t="e">
        <f>AND(NhatkyBan!#REF!,"AAAAAC16h1k=")</f>
        <v>#REF!</v>
      </c>
      <c r="CM103" t="e">
        <f>AND(NhatkyBan!#REF!,"AAAAAC16h1o=")</f>
        <v>#REF!</v>
      </c>
      <c r="CN103" t="e">
        <f>AND(NhatkyBan!#REF!,"AAAAAC16h1s=")</f>
        <v>#REF!</v>
      </c>
      <c r="CO103" t="e">
        <f>AND(NhatkyBan!#REF!,"AAAAAC16h1w=")</f>
        <v>#REF!</v>
      </c>
      <c r="CP103" t="e">
        <f>AND(NhatkyBan!#REF!,"AAAAAC16h10=")</f>
        <v>#REF!</v>
      </c>
      <c r="CQ103" t="e">
        <f>AND(NhatkyBan!#REF!,"AAAAAC16h14=")</f>
        <v>#REF!</v>
      </c>
      <c r="CR103" t="e">
        <f>AND(NhatkyBan!#REF!,"AAAAAC16h18=")</f>
        <v>#REF!</v>
      </c>
      <c r="CS103" t="e">
        <f>AND(NhatkyBan!#REF!,"AAAAAC16h2A=")</f>
        <v>#REF!</v>
      </c>
      <c r="CT103" t="e">
        <f>AND(NhatkyBan!#REF!,"AAAAAC16h2E=")</f>
        <v>#REF!</v>
      </c>
      <c r="CU103" t="e">
        <f>AND(NhatkyBan!#REF!,"AAAAAC16h2I=")</f>
        <v>#REF!</v>
      </c>
      <c r="CV103" t="e">
        <f>AND(NhatkyBan!#REF!,"AAAAAC16h2M=")</f>
        <v>#REF!</v>
      </c>
      <c r="CW103" t="e">
        <f>AND(NhatkyBan!#REF!,"AAAAAC16h2Q=")</f>
        <v>#REF!</v>
      </c>
      <c r="CX103" t="e">
        <f>AND(NhatkyBan!#REF!,"AAAAAC16h2U=")</f>
        <v>#REF!</v>
      </c>
      <c r="CY103" t="e">
        <f>AND(NhatkyBan!#REF!,"AAAAAC16h2Y=")</f>
        <v>#REF!</v>
      </c>
      <c r="CZ103" t="e">
        <f>AND(NhatkyBan!#REF!,"AAAAAC16h2c=")</f>
        <v>#REF!</v>
      </c>
      <c r="DA103" t="e">
        <f>AND(NhatkyBan!#REF!,"AAAAAC16h2g=")</f>
        <v>#REF!</v>
      </c>
      <c r="DB103" t="e">
        <f>AND(NhatkyBan!#REF!,"AAAAAC16h2k=")</f>
        <v>#REF!</v>
      </c>
      <c r="DC103" t="e">
        <f>AND(NhatkyBan!#REF!,"AAAAAC16h2o=")</f>
        <v>#REF!</v>
      </c>
      <c r="DD103" t="e">
        <f>AND(NhatkyBan!#REF!,"AAAAAC16h2s=")</f>
        <v>#REF!</v>
      </c>
      <c r="DE103" t="e">
        <f>AND(NhatkyBan!#REF!,"AAAAAC16h2w=")</f>
        <v>#REF!</v>
      </c>
      <c r="DF103" t="e">
        <f>AND(NhatkyBan!#REF!,"AAAAAC16h20=")</f>
        <v>#REF!</v>
      </c>
      <c r="DG103" t="e">
        <f>AND(NhatkyBan!#REF!,"AAAAAC16h24=")</f>
        <v>#REF!</v>
      </c>
      <c r="DH103" t="e">
        <f>AND(NhatkyBan!#REF!,"AAAAAC16h28=")</f>
        <v>#REF!</v>
      </c>
      <c r="DI103" t="e">
        <f>AND(NhatkyBan!#REF!,"AAAAAC16h3A=")</f>
        <v>#REF!</v>
      </c>
      <c r="DJ103" t="e">
        <f>AND(NhatkyBan!#REF!,"AAAAAC16h3E=")</f>
        <v>#REF!</v>
      </c>
      <c r="DK103" t="e">
        <f>AND(NhatkyBan!#REF!,"AAAAAC16h3I=")</f>
        <v>#REF!</v>
      </c>
      <c r="DL103" t="e">
        <f>AND(NhatkyBan!#REF!,"AAAAAC16h3M=")</f>
        <v>#REF!</v>
      </c>
      <c r="DM103" t="e">
        <f>AND(NhatkyBan!#REF!,"AAAAAC16h3Q=")</f>
        <v>#REF!</v>
      </c>
      <c r="DN103" t="e">
        <f>AND(NhatkyBan!#REF!,"AAAAAC16h3U=")</f>
        <v>#REF!</v>
      </c>
      <c r="DO103" t="e">
        <f>IF(NhatkyBan!#REF!,"AAAAAC16h3Y=",0)</f>
        <v>#REF!</v>
      </c>
      <c r="DP103" t="e">
        <f>AND(NhatkyBan!#REF!,"AAAAAC16h3c=")</f>
        <v>#REF!</v>
      </c>
      <c r="DQ103" t="e">
        <f>AND(NhatkyBan!#REF!,"AAAAAC16h3g=")</f>
        <v>#REF!</v>
      </c>
      <c r="DR103" t="e">
        <f>AND(NhatkyBan!#REF!,"AAAAAC16h3k=")</f>
        <v>#REF!</v>
      </c>
      <c r="DS103" t="e">
        <f>AND(NhatkyBan!#REF!,"AAAAAC16h3o=")</f>
        <v>#REF!</v>
      </c>
      <c r="DT103" t="e">
        <f>AND(NhatkyBan!#REF!,"AAAAAC16h3s=")</f>
        <v>#REF!</v>
      </c>
      <c r="DU103" t="e">
        <f>AND(NhatkyBan!#REF!,"AAAAAC16h3w=")</f>
        <v>#REF!</v>
      </c>
      <c r="DV103" t="e">
        <f>AND(NhatkyBan!#REF!,"AAAAAC16h30=")</f>
        <v>#REF!</v>
      </c>
      <c r="DW103" t="e">
        <f>AND(NhatkyBan!#REF!,"AAAAAC16h34=")</f>
        <v>#REF!</v>
      </c>
      <c r="DX103" t="e">
        <f>AND(NhatkyBan!#REF!,"AAAAAC16h38=")</f>
        <v>#REF!</v>
      </c>
      <c r="DY103" t="e">
        <f>AND(NhatkyBan!#REF!,"AAAAAC16h4A=")</f>
        <v>#REF!</v>
      </c>
      <c r="DZ103" t="e">
        <f>AND(NhatkyBan!#REF!,"AAAAAC16h4E=")</f>
        <v>#REF!</v>
      </c>
      <c r="EA103" t="e">
        <f>AND(NhatkyBan!#REF!,"AAAAAC16h4I=")</f>
        <v>#REF!</v>
      </c>
      <c r="EB103" t="e">
        <f>AND(NhatkyBan!#REF!,"AAAAAC16h4M=")</f>
        <v>#REF!</v>
      </c>
      <c r="EC103" t="e">
        <f>AND(NhatkyBan!#REF!,"AAAAAC16h4Q=")</f>
        <v>#REF!</v>
      </c>
      <c r="ED103" t="e">
        <f>AND(NhatkyBan!#REF!,"AAAAAC16h4U=")</f>
        <v>#REF!</v>
      </c>
      <c r="EE103" t="e">
        <f>AND(NhatkyBan!#REF!,"AAAAAC16h4Y=")</f>
        <v>#REF!</v>
      </c>
      <c r="EF103" t="e">
        <f>AND(NhatkyBan!#REF!,"AAAAAC16h4c=")</f>
        <v>#REF!</v>
      </c>
      <c r="EG103" t="e">
        <f>AND(NhatkyBan!#REF!,"AAAAAC16h4g=")</f>
        <v>#REF!</v>
      </c>
      <c r="EH103" t="e">
        <f>AND(NhatkyBan!#REF!,"AAAAAC16h4k=")</f>
        <v>#REF!</v>
      </c>
      <c r="EI103" t="e">
        <f>AND(NhatkyBan!#REF!,"AAAAAC16h4o=")</f>
        <v>#REF!</v>
      </c>
      <c r="EJ103" t="e">
        <f>AND(NhatkyBan!#REF!,"AAAAAC16h4s=")</f>
        <v>#REF!</v>
      </c>
      <c r="EK103" t="e">
        <f>AND(NhatkyBan!#REF!,"AAAAAC16h4w=")</f>
        <v>#REF!</v>
      </c>
      <c r="EL103" t="e">
        <f>AND(NhatkyBan!#REF!,"AAAAAC16h40=")</f>
        <v>#REF!</v>
      </c>
      <c r="EM103" t="e">
        <f>AND(NhatkyBan!#REF!,"AAAAAC16h44=")</f>
        <v>#REF!</v>
      </c>
      <c r="EN103" t="e">
        <f>AND(NhatkyBan!#REF!,"AAAAAC16h48=")</f>
        <v>#REF!</v>
      </c>
      <c r="EO103" t="e">
        <f>AND(NhatkyBan!#REF!,"AAAAAC16h5A=")</f>
        <v>#REF!</v>
      </c>
      <c r="EP103" t="e">
        <f>AND(NhatkyBan!#REF!,"AAAAAC16h5E=")</f>
        <v>#REF!</v>
      </c>
      <c r="EQ103" t="e">
        <f>AND(NhatkyBan!#REF!,"AAAAAC16h5I=")</f>
        <v>#REF!</v>
      </c>
      <c r="ER103" t="e">
        <f>AND(NhatkyBan!#REF!,"AAAAAC16h5M=")</f>
        <v>#REF!</v>
      </c>
      <c r="ES103" t="e">
        <f>AND(NhatkyBan!#REF!,"AAAAAC16h5Q=")</f>
        <v>#REF!</v>
      </c>
      <c r="ET103" t="e">
        <f>AND(NhatkyBan!#REF!,"AAAAAC16h5U=")</f>
        <v>#REF!</v>
      </c>
      <c r="EU103" t="e">
        <f>AND(NhatkyBan!#REF!,"AAAAAC16h5Y=")</f>
        <v>#REF!</v>
      </c>
      <c r="EV103" t="e">
        <f>AND(NhatkyBan!#REF!,"AAAAAC16h5c=")</f>
        <v>#REF!</v>
      </c>
      <c r="EW103" t="e">
        <f>AND(NhatkyBan!#REF!,"AAAAAC16h5g=")</f>
        <v>#REF!</v>
      </c>
      <c r="EX103" t="e">
        <f>IF(NhatkyBan!#REF!,"AAAAAC16h5k=",0)</f>
        <v>#REF!</v>
      </c>
      <c r="EY103" t="e">
        <f>AND(NhatkyBan!#REF!,"AAAAAC16h5o=")</f>
        <v>#REF!</v>
      </c>
      <c r="EZ103" t="e">
        <f>AND(NhatkyBan!#REF!,"AAAAAC16h5s=")</f>
        <v>#REF!</v>
      </c>
      <c r="FA103" t="e">
        <f>AND(NhatkyBan!#REF!,"AAAAAC16h5w=")</f>
        <v>#REF!</v>
      </c>
      <c r="FB103" t="e">
        <f>AND(NhatkyBan!#REF!,"AAAAAC16h50=")</f>
        <v>#REF!</v>
      </c>
      <c r="FC103" t="e">
        <f>AND(NhatkyBan!#REF!,"AAAAAC16h54=")</f>
        <v>#REF!</v>
      </c>
      <c r="FD103" t="e">
        <f>AND(NhatkyBan!#REF!,"AAAAAC16h58=")</f>
        <v>#REF!</v>
      </c>
      <c r="FE103" t="e">
        <f>AND(NhatkyBan!#REF!,"AAAAAC16h6A=")</f>
        <v>#REF!</v>
      </c>
      <c r="FF103" t="e">
        <f>AND(NhatkyBan!#REF!,"AAAAAC16h6E=")</f>
        <v>#REF!</v>
      </c>
      <c r="FG103" t="e">
        <f>AND(NhatkyBan!#REF!,"AAAAAC16h6I=")</f>
        <v>#REF!</v>
      </c>
      <c r="FH103" t="e">
        <f>AND(NhatkyBan!#REF!,"AAAAAC16h6M=")</f>
        <v>#REF!</v>
      </c>
      <c r="FI103" t="e">
        <f>AND(NhatkyBan!#REF!,"AAAAAC16h6Q=")</f>
        <v>#REF!</v>
      </c>
      <c r="FJ103" t="e">
        <f>AND(NhatkyBan!#REF!,"AAAAAC16h6U=")</f>
        <v>#REF!</v>
      </c>
      <c r="FK103" t="e">
        <f>AND(NhatkyBan!#REF!,"AAAAAC16h6Y=")</f>
        <v>#REF!</v>
      </c>
      <c r="FL103" t="e">
        <f>AND(NhatkyBan!#REF!,"AAAAAC16h6c=")</f>
        <v>#REF!</v>
      </c>
      <c r="FM103" t="e">
        <f>AND(NhatkyBan!#REF!,"AAAAAC16h6g=")</f>
        <v>#REF!</v>
      </c>
      <c r="FN103" t="e">
        <f>AND(NhatkyBan!#REF!,"AAAAAC16h6k=")</f>
        <v>#REF!</v>
      </c>
      <c r="FO103" t="e">
        <f>AND(NhatkyBan!#REF!,"AAAAAC16h6o=")</f>
        <v>#REF!</v>
      </c>
      <c r="FP103" t="e">
        <f>AND(NhatkyBan!#REF!,"AAAAAC16h6s=")</f>
        <v>#REF!</v>
      </c>
      <c r="FQ103" t="e">
        <f>AND(NhatkyBan!#REF!,"AAAAAC16h6w=")</f>
        <v>#REF!</v>
      </c>
      <c r="FR103" t="e">
        <f>AND(NhatkyBan!#REF!,"AAAAAC16h60=")</f>
        <v>#REF!</v>
      </c>
      <c r="FS103" t="e">
        <f>AND(NhatkyBan!#REF!,"AAAAAC16h64=")</f>
        <v>#REF!</v>
      </c>
      <c r="FT103" t="e">
        <f>AND(NhatkyBan!#REF!,"AAAAAC16h68=")</f>
        <v>#REF!</v>
      </c>
      <c r="FU103" t="e">
        <f>AND(NhatkyBan!#REF!,"AAAAAC16h7A=")</f>
        <v>#REF!</v>
      </c>
      <c r="FV103" t="e">
        <f>AND(NhatkyBan!#REF!,"AAAAAC16h7E=")</f>
        <v>#REF!</v>
      </c>
      <c r="FW103" t="e">
        <f>AND(NhatkyBan!#REF!,"AAAAAC16h7I=")</f>
        <v>#REF!</v>
      </c>
      <c r="FX103" t="e">
        <f>AND(NhatkyBan!#REF!,"AAAAAC16h7M=")</f>
        <v>#REF!</v>
      </c>
      <c r="FY103" t="e">
        <f>AND(NhatkyBan!#REF!,"AAAAAC16h7Q=")</f>
        <v>#REF!</v>
      </c>
      <c r="FZ103" t="e">
        <f>AND(NhatkyBan!#REF!,"AAAAAC16h7U=")</f>
        <v>#REF!</v>
      </c>
      <c r="GA103" t="e">
        <f>AND(NhatkyBan!#REF!,"AAAAAC16h7Y=")</f>
        <v>#REF!</v>
      </c>
      <c r="GB103" t="e">
        <f>AND(NhatkyBan!#REF!,"AAAAAC16h7c=")</f>
        <v>#REF!</v>
      </c>
      <c r="GC103" t="e">
        <f>AND(NhatkyBan!#REF!,"AAAAAC16h7g=")</f>
        <v>#REF!</v>
      </c>
      <c r="GD103" t="e">
        <f>AND(NhatkyBan!#REF!,"AAAAAC16h7k=")</f>
        <v>#REF!</v>
      </c>
      <c r="GE103" t="e">
        <f>AND(NhatkyBan!#REF!,"AAAAAC16h7o=")</f>
        <v>#REF!</v>
      </c>
      <c r="GF103" t="e">
        <f>AND(NhatkyBan!#REF!,"AAAAAC16h7s=")</f>
        <v>#REF!</v>
      </c>
      <c r="GG103" t="e">
        <f>IF(NhatkyBan!#REF!,"AAAAAC16h7w=",0)</f>
        <v>#REF!</v>
      </c>
      <c r="GH103" t="e">
        <f>AND(NhatkyBan!#REF!,"AAAAAC16h70=")</f>
        <v>#REF!</v>
      </c>
      <c r="GI103" t="e">
        <f>AND(NhatkyBan!#REF!,"AAAAAC16h74=")</f>
        <v>#REF!</v>
      </c>
      <c r="GJ103" t="e">
        <f>AND(NhatkyBan!#REF!,"AAAAAC16h78=")</f>
        <v>#REF!</v>
      </c>
      <c r="GK103" t="e">
        <f>AND(NhatkyBan!#REF!,"AAAAAC16h8A=")</f>
        <v>#REF!</v>
      </c>
      <c r="GL103" t="e">
        <f>AND(NhatkyBan!#REF!,"AAAAAC16h8E=")</f>
        <v>#REF!</v>
      </c>
      <c r="GM103" t="e">
        <f>AND(NhatkyBan!#REF!,"AAAAAC16h8I=")</f>
        <v>#REF!</v>
      </c>
      <c r="GN103" t="e">
        <f>AND(NhatkyBan!#REF!,"AAAAAC16h8M=")</f>
        <v>#REF!</v>
      </c>
      <c r="GO103" t="e">
        <f>AND(NhatkyBan!#REF!,"AAAAAC16h8Q=")</f>
        <v>#REF!</v>
      </c>
      <c r="GP103" t="e">
        <f>AND(NhatkyBan!#REF!,"AAAAAC16h8U=")</f>
        <v>#REF!</v>
      </c>
      <c r="GQ103" t="e">
        <f>AND(NhatkyBan!#REF!,"AAAAAC16h8Y=")</f>
        <v>#REF!</v>
      </c>
      <c r="GR103" t="e">
        <f>AND(NhatkyBan!#REF!,"AAAAAC16h8c=")</f>
        <v>#REF!</v>
      </c>
      <c r="GS103" t="e">
        <f>AND(NhatkyBan!#REF!,"AAAAAC16h8g=")</f>
        <v>#REF!</v>
      </c>
      <c r="GT103" t="e">
        <f>AND(NhatkyBan!#REF!,"AAAAAC16h8k=")</f>
        <v>#REF!</v>
      </c>
      <c r="GU103" t="e">
        <f>AND(NhatkyBan!#REF!,"AAAAAC16h8o=")</f>
        <v>#REF!</v>
      </c>
      <c r="GV103" t="e">
        <f>AND(NhatkyBan!#REF!,"AAAAAC16h8s=")</f>
        <v>#REF!</v>
      </c>
      <c r="GW103" t="e">
        <f>AND(NhatkyBan!#REF!,"AAAAAC16h8w=")</f>
        <v>#REF!</v>
      </c>
      <c r="GX103" t="e">
        <f>AND(NhatkyBan!#REF!,"AAAAAC16h80=")</f>
        <v>#REF!</v>
      </c>
      <c r="GY103" t="e">
        <f>AND(NhatkyBan!#REF!,"AAAAAC16h84=")</f>
        <v>#REF!</v>
      </c>
      <c r="GZ103" t="e">
        <f>AND(NhatkyBan!#REF!,"AAAAAC16h88=")</f>
        <v>#REF!</v>
      </c>
      <c r="HA103" t="e">
        <f>AND(NhatkyBan!#REF!,"AAAAAC16h9A=")</f>
        <v>#REF!</v>
      </c>
      <c r="HB103" t="e">
        <f>AND(NhatkyBan!#REF!,"AAAAAC16h9E=")</f>
        <v>#REF!</v>
      </c>
      <c r="HC103" t="e">
        <f>AND(NhatkyBan!#REF!,"AAAAAC16h9I=")</f>
        <v>#REF!</v>
      </c>
      <c r="HD103" t="e">
        <f>AND(NhatkyBan!#REF!,"AAAAAC16h9M=")</f>
        <v>#REF!</v>
      </c>
      <c r="HE103" t="e">
        <f>AND(NhatkyBan!#REF!,"AAAAAC16h9Q=")</f>
        <v>#REF!</v>
      </c>
      <c r="HF103" t="e">
        <f>AND(NhatkyBan!#REF!,"AAAAAC16h9U=")</f>
        <v>#REF!</v>
      </c>
      <c r="HG103" t="e">
        <f>AND(NhatkyBan!#REF!,"AAAAAC16h9Y=")</f>
        <v>#REF!</v>
      </c>
      <c r="HH103" t="e">
        <f>AND(NhatkyBan!#REF!,"AAAAAC16h9c=")</f>
        <v>#REF!</v>
      </c>
      <c r="HI103" t="e">
        <f>AND(NhatkyBan!#REF!,"AAAAAC16h9g=")</f>
        <v>#REF!</v>
      </c>
      <c r="HJ103" t="e">
        <f>AND(NhatkyBan!#REF!,"AAAAAC16h9k=")</f>
        <v>#REF!</v>
      </c>
      <c r="HK103" t="e">
        <f>AND(NhatkyBan!#REF!,"AAAAAC16h9o=")</f>
        <v>#REF!</v>
      </c>
      <c r="HL103" t="e">
        <f>AND(NhatkyBan!#REF!,"AAAAAC16h9s=")</f>
        <v>#REF!</v>
      </c>
      <c r="HM103" t="e">
        <f>AND(NhatkyBan!#REF!,"AAAAAC16h9w=")</f>
        <v>#REF!</v>
      </c>
      <c r="HN103" t="e">
        <f>AND(NhatkyBan!#REF!,"AAAAAC16h90=")</f>
        <v>#REF!</v>
      </c>
      <c r="HO103" t="e">
        <f>AND(NhatkyBan!#REF!,"AAAAAC16h94=")</f>
        <v>#REF!</v>
      </c>
      <c r="HP103" t="e">
        <f>IF(NhatkyBan!#REF!,"AAAAAC16h98=",0)</f>
        <v>#REF!</v>
      </c>
      <c r="HQ103" t="e">
        <f>AND(NhatkyBan!#REF!,"AAAAAC16h+A=")</f>
        <v>#REF!</v>
      </c>
      <c r="HR103" t="e">
        <f>AND(NhatkyBan!#REF!,"AAAAAC16h+E=")</f>
        <v>#REF!</v>
      </c>
      <c r="HS103" t="e">
        <f>AND(NhatkyBan!#REF!,"AAAAAC16h+I=")</f>
        <v>#REF!</v>
      </c>
      <c r="HT103" t="e">
        <f>AND(NhatkyBan!#REF!,"AAAAAC16h+M=")</f>
        <v>#REF!</v>
      </c>
      <c r="HU103" t="e">
        <f>AND(NhatkyBan!#REF!,"AAAAAC16h+Q=")</f>
        <v>#REF!</v>
      </c>
      <c r="HV103" t="e">
        <f>AND(NhatkyBan!#REF!,"AAAAAC16h+U=")</f>
        <v>#REF!</v>
      </c>
      <c r="HW103" t="e">
        <f>AND(NhatkyBan!#REF!,"AAAAAC16h+Y=")</f>
        <v>#REF!</v>
      </c>
      <c r="HX103" t="e">
        <f>AND(NhatkyBan!#REF!,"AAAAAC16h+c=")</f>
        <v>#REF!</v>
      </c>
      <c r="HY103" t="e">
        <f>AND(NhatkyBan!#REF!,"AAAAAC16h+g=")</f>
        <v>#REF!</v>
      </c>
      <c r="HZ103" t="e">
        <f>AND(NhatkyBan!#REF!,"AAAAAC16h+k=")</f>
        <v>#REF!</v>
      </c>
      <c r="IA103" t="e">
        <f>AND(NhatkyBan!#REF!,"AAAAAC16h+o=")</f>
        <v>#REF!</v>
      </c>
      <c r="IB103" t="e">
        <f>AND(NhatkyBan!#REF!,"AAAAAC16h+s=")</f>
        <v>#REF!</v>
      </c>
      <c r="IC103" t="e">
        <f>AND(NhatkyBan!#REF!,"AAAAAC16h+w=")</f>
        <v>#REF!</v>
      </c>
      <c r="ID103" t="e">
        <f>AND(NhatkyBan!#REF!,"AAAAAC16h+0=")</f>
        <v>#REF!</v>
      </c>
      <c r="IE103" t="e">
        <f>AND(NhatkyBan!#REF!,"AAAAAC16h+4=")</f>
        <v>#REF!</v>
      </c>
      <c r="IF103" t="e">
        <f>AND(NhatkyBan!#REF!,"AAAAAC16h+8=")</f>
        <v>#REF!</v>
      </c>
      <c r="IG103" t="e">
        <f>AND(NhatkyBan!#REF!,"AAAAAC16h/A=")</f>
        <v>#REF!</v>
      </c>
      <c r="IH103" t="e">
        <f>AND(NhatkyBan!#REF!,"AAAAAC16h/E=")</f>
        <v>#REF!</v>
      </c>
      <c r="II103" t="e">
        <f>AND(NhatkyBan!#REF!,"AAAAAC16h/I=")</f>
        <v>#REF!</v>
      </c>
      <c r="IJ103" t="e">
        <f>AND(NhatkyBan!#REF!,"AAAAAC16h/M=")</f>
        <v>#REF!</v>
      </c>
      <c r="IK103" t="e">
        <f>AND(NhatkyBan!#REF!,"AAAAAC16h/Q=")</f>
        <v>#REF!</v>
      </c>
      <c r="IL103" t="e">
        <f>AND(NhatkyBan!#REF!,"AAAAAC16h/U=")</f>
        <v>#REF!</v>
      </c>
      <c r="IM103" t="e">
        <f>AND(NhatkyBan!#REF!,"AAAAAC16h/Y=")</f>
        <v>#REF!</v>
      </c>
      <c r="IN103" t="e">
        <f>AND(NhatkyBan!#REF!,"AAAAAC16h/c=")</f>
        <v>#REF!</v>
      </c>
      <c r="IO103" t="e">
        <f>AND(NhatkyBan!#REF!,"AAAAAC16h/g=")</f>
        <v>#REF!</v>
      </c>
      <c r="IP103" t="e">
        <f>AND(NhatkyBan!#REF!,"AAAAAC16h/k=")</f>
        <v>#REF!</v>
      </c>
      <c r="IQ103" t="e">
        <f>AND(NhatkyBan!#REF!,"AAAAAC16h/o=")</f>
        <v>#REF!</v>
      </c>
      <c r="IR103" t="e">
        <f>AND(NhatkyBan!#REF!,"AAAAAC16h/s=")</f>
        <v>#REF!</v>
      </c>
      <c r="IS103" t="e">
        <f>AND(NhatkyBan!#REF!,"AAAAAC16h/w=")</f>
        <v>#REF!</v>
      </c>
      <c r="IT103" t="e">
        <f>AND(NhatkyBan!#REF!,"AAAAAC16h/0=")</f>
        <v>#REF!</v>
      </c>
      <c r="IU103" t="e">
        <f>AND(NhatkyBan!#REF!,"AAAAAC16h/4=")</f>
        <v>#REF!</v>
      </c>
      <c r="IV103" t="e">
        <f>AND(NhatkyBan!#REF!,"AAAAAC16h/8=")</f>
        <v>#REF!</v>
      </c>
    </row>
    <row r="104" spans="1:256">
      <c r="A104" t="e">
        <f>AND(NhatkyBan!#REF!,"AAAAAH7f6wA=")</f>
        <v>#REF!</v>
      </c>
      <c r="B104" t="e">
        <f>AND(NhatkyBan!#REF!,"AAAAAH7f6wE=")</f>
        <v>#REF!</v>
      </c>
      <c r="C104" t="e">
        <f>IF(NhatkyBan!#REF!,"AAAAAH7f6wI=",0)</f>
        <v>#REF!</v>
      </c>
      <c r="D104" t="e">
        <f>AND(NhatkyBan!#REF!,"AAAAAH7f6wM=")</f>
        <v>#REF!</v>
      </c>
      <c r="E104" t="e">
        <f>AND(NhatkyBan!#REF!,"AAAAAH7f6wQ=")</f>
        <v>#REF!</v>
      </c>
      <c r="F104" t="e">
        <f>AND(NhatkyBan!#REF!,"AAAAAH7f6wU=")</f>
        <v>#REF!</v>
      </c>
      <c r="G104" t="e">
        <f>AND(NhatkyBan!#REF!,"AAAAAH7f6wY=")</f>
        <v>#REF!</v>
      </c>
      <c r="H104" t="e">
        <f>AND(NhatkyBan!#REF!,"AAAAAH7f6wc=")</f>
        <v>#REF!</v>
      </c>
      <c r="I104" t="e">
        <f>AND(NhatkyBan!#REF!,"AAAAAH7f6wg=")</f>
        <v>#REF!</v>
      </c>
      <c r="J104" t="e">
        <f>AND(NhatkyBan!#REF!,"AAAAAH7f6wk=")</f>
        <v>#REF!</v>
      </c>
      <c r="K104" t="e">
        <f>AND(NhatkyBan!#REF!,"AAAAAH7f6wo=")</f>
        <v>#REF!</v>
      </c>
      <c r="L104" t="e">
        <f>AND(NhatkyBan!#REF!,"AAAAAH7f6ws=")</f>
        <v>#REF!</v>
      </c>
      <c r="M104" t="e">
        <f>AND(NhatkyBan!#REF!,"AAAAAH7f6ww=")</f>
        <v>#REF!</v>
      </c>
      <c r="N104" t="e">
        <f>AND(NhatkyBan!#REF!,"AAAAAH7f6w0=")</f>
        <v>#REF!</v>
      </c>
      <c r="O104" t="e">
        <f>AND(NhatkyBan!#REF!,"AAAAAH7f6w4=")</f>
        <v>#REF!</v>
      </c>
      <c r="P104" t="e">
        <f>AND(NhatkyBan!#REF!,"AAAAAH7f6w8=")</f>
        <v>#REF!</v>
      </c>
      <c r="Q104" t="e">
        <f>AND(NhatkyBan!#REF!,"AAAAAH7f6xA=")</f>
        <v>#REF!</v>
      </c>
      <c r="R104" t="e">
        <f>AND(NhatkyBan!#REF!,"AAAAAH7f6xE=")</f>
        <v>#REF!</v>
      </c>
      <c r="S104" t="e">
        <f>AND(NhatkyBan!#REF!,"AAAAAH7f6xI=")</f>
        <v>#REF!</v>
      </c>
      <c r="T104" t="e">
        <f>AND(NhatkyBan!#REF!,"AAAAAH7f6xM=")</f>
        <v>#REF!</v>
      </c>
      <c r="U104" t="e">
        <f>AND(NhatkyBan!#REF!,"AAAAAH7f6xQ=")</f>
        <v>#REF!</v>
      </c>
      <c r="V104" t="e">
        <f>AND(NhatkyBan!#REF!,"AAAAAH7f6xU=")</f>
        <v>#REF!</v>
      </c>
      <c r="W104" t="e">
        <f>AND(NhatkyBan!#REF!,"AAAAAH7f6xY=")</f>
        <v>#REF!</v>
      </c>
      <c r="X104" t="e">
        <f>AND(NhatkyBan!#REF!,"AAAAAH7f6xc=")</f>
        <v>#REF!</v>
      </c>
      <c r="Y104" t="e">
        <f>AND(NhatkyBan!#REF!,"AAAAAH7f6xg=")</f>
        <v>#REF!</v>
      </c>
      <c r="Z104" t="e">
        <f>AND(NhatkyBan!#REF!,"AAAAAH7f6xk=")</f>
        <v>#REF!</v>
      </c>
      <c r="AA104" t="e">
        <f>AND(NhatkyBan!#REF!,"AAAAAH7f6xo=")</f>
        <v>#REF!</v>
      </c>
      <c r="AB104" t="e">
        <f>AND(NhatkyBan!#REF!,"AAAAAH7f6xs=")</f>
        <v>#REF!</v>
      </c>
      <c r="AC104" t="e">
        <f>AND(NhatkyBan!#REF!,"AAAAAH7f6xw=")</f>
        <v>#REF!</v>
      </c>
      <c r="AD104" t="e">
        <f>AND(NhatkyBan!#REF!,"AAAAAH7f6x0=")</f>
        <v>#REF!</v>
      </c>
      <c r="AE104" t="e">
        <f>AND(NhatkyBan!#REF!,"AAAAAH7f6x4=")</f>
        <v>#REF!</v>
      </c>
      <c r="AF104" t="e">
        <f>AND(NhatkyBan!#REF!,"AAAAAH7f6x8=")</f>
        <v>#REF!</v>
      </c>
      <c r="AG104" t="e">
        <f>AND(NhatkyBan!#REF!,"AAAAAH7f6yA=")</f>
        <v>#REF!</v>
      </c>
      <c r="AH104" t="e">
        <f>AND(NhatkyBan!#REF!,"AAAAAH7f6yE=")</f>
        <v>#REF!</v>
      </c>
      <c r="AI104" t="e">
        <f>AND(NhatkyBan!#REF!,"AAAAAH7f6yI=")</f>
        <v>#REF!</v>
      </c>
      <c r="AJ104" t="e">
        <f>AND(NhatkyBan!#REF!,"AAAAAH7f6yM=")</f>
        <v>#REF!</v>
      </c>
      <c r="AK104" t="e">
        <f>AND(NhatkyBan!#REF!,"AAAAAH7f6yQ=")</f>
        <v>#REF!</v>
      </c>
      <c r="AL104" t="e">
        <f>IF(NhatkyBan!#REF!,"AAAAAH7f6yU=",0)</f>
        <v>#REF!</v>
      </c>
      <c r="AM104" t="e">
        <f>AND(NhatkyBan!#REF!,"AAAAAH7f6yY=")</f>
        <v>#REF!</v>
      </c>
      <c r="AN104" t="e">
        <f>AND(NhatkyBan!#REF!,"AAAAAH7f6yc=")</f>
        <v>#REF!</v>
      </c>
      <c r="AO104" t="e">
        <f>AND(NhatkyBan!#REF!,"AAAAAH7f6yg=")</f>
        <v>#REF!</v>
      </c>
      <c r="AP104" t="e">
        <f>AND(NhatkyBan!#REF!,"AAAAAH7f6yk=")</f>
        <v>#REF!</v>
      </c>
      <c r="AQ104" t="e">
        <f>AND(NhatkyBan!#REF!,"AAAAAH7f6yo=")</f>
        <v>#REF!</v>
      </c>
      <c r="AR104" t="e">
        <f>AND(NhatkyBan!#REF!,"AAAAAH7f6ys=")</f>
        <v>#REF!</v>
      </c>
      <c r="AS104" t="e">
        <f>AND(NhatkyBan!#REF!,"AAAAAH7f6yw=")</f>
        <v>#REF!</v>
      </c>
      <c r="AT104" t="e">
        <f>AND(NhatkyBan!#REF!,"AAAAAH7f6y0=")</f>
        <v>#REF!</v>
      </c>
      <c r="AU104" t="e">
        <f>AND(NhatkyBan!#REF!,"AAAAAH7f6y4=")</f>
        <v>#REF!</v>
      </c>
      <c r="AV104" t="e">
        <f>AND(NhatkyBan!#REF!,"AAAAAH7f6y8=")</f>
        <v>#REF!</v>
      </c>
      <c r="AW104" t="e">
        <f>AND(NhatkyBan!#REF!,"AAAAAH7f6zA=")</f>
        <v>#REF!</v>
      </c>
      <c r="AX104" t="e">
        <f>AND(NhatkyBan!#REF!,"AAAAAH7f6zE=")</f>
        <v>#REF!</v>
      </c>
      <c r="AY104" t="e">
        <f>AND(NhatkyBan!#REF!,"AAAAAH7f6zI=")</f>
        <v>#REF!</v>
      </c>
      <c r="AZ104" t="e">
        <f>AND(NhatkyBan!#REF!,"AAAAAH7f6zM=")</f>
        <v>#REF!</v>
      </c>
      <c r="BA104" t="e">
        <f>AND(NhatkyBan!#REF!,"AAAAAH7f6zQ=")</f>
        <v>#REF!</v>
      </c>
      <c r="BB104" t="e">
        <f>AND(NhatkyBan!#REF!,"AAAAAH7f6zU=")</f>
        <v>#REF!</v>
      </c>
      <c r="BC104" t="e">
        <f>AND(NhatkyBan!#REF!,"AAAAAH7f6zY=")</f>
        <v>#REF!</v>
      </c>
      <c r="BD104" t="e">
        <f>AND(NhatkyBan!#REF!,"AAAAAH7f6zc=")</f>
        <v>#REF!</v>
      </c>
      <c r="BE104" t="e">
        <f>AND(NhatkyBan!#REF!,"AAAAAH7f6zg=")</f>
        <v>#REF!</v>
      </c>
      <c r="BF104" t="e">
        <f>AND(NhatkyBan!#REF!,"AAAAAH7f6zk=")</f>
        <v>#REF!</v>
      </c>
      <c r="BG104" t="e">
        <f>AND(NhatkyBan!#REF!,"AAAAAH7f6zo=")</f>
        <v>#REF!</v>
      </c>
      <c r="BH104" t="e">
        <f>AND(NhatkyBan!#REF!,"AAAAAH7f6zs=")</f>
        <v>#REF!</v>
      </c>
      <c r="BI104" t="e">
        <f>AND(NhatkyBan!#REF!,"AAAAAH7f6zw=")</f>
        <v>#REF!</v>
      </c>
      <c r="BJ104" t="e">
        <f>AND(NhatkyBan!#REF!,"AAAAAH7f6z0=")</f>
        <v>#REF!</v>
      </c>
      <c r="BK104" t="e">
        <f>AND(NhatkyBan!#REF!,"AAAAAH7f6z4=")</f>
        <v>#REF!</v>
      </c>
      <c r="BL104" t="e">
        <f>AND(NhatkyBan!#REF!,"AAAAAH7f6z8=")</f>
        <v>#REF!</v>
      </c>
      <c r="BM104" t="e">
        <f>AND(NhatkyBan!#REF!,"AAAAAH7f60A=")</f>
        <v>#REF!</v>
      </c>
      <c r="BN104" t="e">
        <f>AND(NhatkyBan!#REF!,"AAAAAH7f60E=")</f>
        <v>#REF!</v>
      </c>
      <c r="BO104" t="e">
        <f>AND(NhatkyBan!#REF!,"AAAAAH7f60I=")</f>
        <v>#REF!</v>
      </c>
      <c r="BP104" t="e">
        <f>AND(NhatkyBan!#REF!,"AAAAAH7f60M=")</f>
        <v>#REF!</v>
      </c>
      <c r="BQ104" t="e">
        <f>AND(NhatkyBan!#REF!,"AAAAAH7f60Q=")</f>
        <v>#REF!</v>
      </c>
      <c r="BR104" t="e">
        <f>AND(NhatkyBan!#REF!,"AAAAAH7f60U=")</f>
        <v>#REF!</v>
      </c>
      <c r="BS104" t="e">
        <f>AND(NhatkyBan!#REF!,"AAAAAH7f60Y=")</f>
        <v>#REF!</v>
      </c>
      <c r="BT104" t="e">
        <f>AND(NhatkyBan!#REF!,"AAAAAH7f60c=")</f>
        <v>#REF!</v>
      </c>
      <c r="BU104" t="e">
        <f>IF(NhatkyBan!#REF!,"AAAAAH7f60g=",0)</f>
        <v>#REF!</v>
      </c>
      <c r="BV104" t="e">
        <f>AND(NhatkyBan!#REF!,"AAAAAH7f60k=")</f>
        <v>#REF!</v>
      </c>
      <c r="BW104" t="e">
        <f>AND(NhatkyBan!#REF!,"AAAAAH7f60o=")</f>
        <v>#REF!</v>
      </c>
      <c r="BX104" t="e">
        <f>AND(NhatkyBan!#REF!,"AAAAAH7f60s=")</f>
        <v>#REF!</v>
      </c>
      <c r="BY104" t="e">
        <f>AND(NhatkyBan!#REF!,"AAAAAH7f60w=")</f>
        <v>#REF!</v>
      </c>
      <c r="BZ104" t="e">
        <f>AND(NhatkyBan!#REF!,"AAAAAH7f600=")</f>
        <v>#REF!</v>
      </c>
      <c r="CA104" t="e">
        <f>AND(NhatkyBan!#REF!,"AAAAAH7f604=")</f>
        <v>#REF!</v>
      </c>
      <c r="CB104" t="e">
        <f>AND(NhatkyBan!#REF!,"AAAAAH7f608=")</f>
        <v>#REF!</v>
      </c>
      <c r="CC104" t="e">
        <f>AND(NhatkyBan!#REF!,"AAAAAH7f61A=")</f>
        <v>#REF!</v>
      </c>
      <c r="CD104" t="e">
        <f>AND(NhatkyBan!#REF!,"AAAAAH7f61E=")</f>
        <v>#REF!</v>
      </c>
      <c r="CE104" t="e">
        <f>AND(NhatkyBan!#REF!,"AAAAAH7f61I=")</f>
        <v>#REF!</v>
      </c>
      <c r="CF104" t="e">
        <f>AND(NhatkyBan!#REF!,"AAAAAH7f61M=")</f>
        <v>#REF!</v>
      </c>
      <c r="CG104" t="e">
        <f>AND(NhatkyBan!#REF!,"AAAAAH7f61Q=")</f>
        <v>#REF!</v>
      </c>
      <c r="CH104" t="e">
        <f>AND(NhatkyBan!#REF!,"AAAAAH7f61U=")</f>
        <v>#REF!</v>
      </c>
      <c r="CI104" t="e">
        <f>AND(NhatkyBan!#REF!,"AAAAAH7f61Y=")</f>
        <v>#REF!</v>
      </c>
      <c r="CJ104" t="e">
        <f>AND(NhatkyBan!#REF!,"AAAAAH7f61c=")</f>
        <v>#REF!</v>
      </c>
      <c r="CK104" t="e">
        <f>AND(NhatkyBan!#REF!,"AAAAAH7f61g=")</f>
        <v>#REF!</v>
      </c>
      <c r="CL104" t="e">
        <f>AND(NhatkyBan!#REF!,"AAAAAH7f61k=")</f>
        <v>#REF!</v>
      </c>
      <c r="CM104" t="e">
        <f>AND(NhatkyBan!#REF!,"AAAAAH7f61o=")</f>
        <v>#REF!</v>
      </c>
      <c r="CN104" t="e">
        <f>AND(NhatkyBan!#REF!,"AAAAAH7f61s=")</f>
        <v>#REF!</v>
      </c>
      <c r="CO104" t="e">
        <f>AND(NhatkyBan!#REF!,"AAAAAH7f61w=")</f>
        <v>#REF!</v>
      </c>
      <c r="CP104" t="e">
        <f>AND(NhatkyBan!#REF!,"AAAAAH7f610=")</f>
        <v>#REF!</v>
      </c>
      <c r="CQ104" t="e">
        <f>AND(NhatkyBan!#REF!,"AAAAAH7f614=")</f>
        <v>#REF!</v>
      </c>
      <c r="CR104" t="e">
        <f>AND(NhatkyBan!#REF!,"AAAAAH7f618=")</f>
        <v>#REF!</v>
      </c>
      <c r="CS104" t="e">
        <f>AND(NhatkyBan!#REF!,"AAAAAH7f62A=")</f>
        <v>#REF!</v>
      </c>
      <c r="CT104" t="e">
        <f>AND(NhatkyBan!#REF!,"AAAAAH7f62E=")</f>
        <v>#REF!</v>
      </c>
      <c r="CU104" t="e">
        <f>AND(NhatkyBan!#REF!,"AAAAAH7f62I=")</f>
        <v>#REF!</v>
      </c>
      <c r="CV104" t="e">
        <f>AND(NhatkyBan!#REF!,"AAAAAH7f62M=")</f>
        <v>#REF!</v>
      </c>
      <c r="CW104" t="e">
        <f>AND(NhatkyBan!#REF!,"AAAAAH7f62Q=")</f>
        <v>#REF!</v>
      </c>
      <c r="CX104" t="e">
        <f>AND(NhatkyBan!#REF!,"AAAAAH7f62U=")</f>
        <v>#REF!</v>
      </c>
      <c r="CY104" t="e">
        <f>AND(NhatkyBan!#REF!,"AAAAAH7f62Y=")</f>
        <v>#REF!</v>
      </c>
      <c r="CZ104" t="e">
        <f>AND(NhatkyBan!#REF!,"AAAAAH7f62c=")</f>
        <v>#REF!</v>
      </c>
      <c r="DA104" t="e">
        <f>AND(NhatkyBan!#REF!,"AAAAAH7f62g=")</f>
        <v>#REF!</v>
      </c>
      <c r="DB104" t="e">
        <f>AND(NhatkyBan!#REF!,"AAAAAH7f62k=")</f>
        <v>#REF!</v>
      </c>
      <c r="DC104" t="e">
        <f>AND(NhatkyBan!#REF!,"AAAAAH7f62o=")</f>
        <v>#REF!</v>
      </c>
      <c r="DD104" t="e">
        <f>IF(NhatkyBan!#REF!,"AAAAAH7f62s=",0)</f>
        <v>#REF!</v>
      </c>
      <c r="DE104" t="e">
        <f>AND(NhatkyBan!#REF!,"AAAAAH7f62w=")</f>
        <v>#REF!</v>
      </c>
      <c r="DF104" t="e">
        <f>AND(NhatkyBan!#REF!,"AAAAAH7f620=")</f>
        <v>#REF!</v>
      </c>
      <c r="DG104" t="e">
        <f>AND(NhatkyBan!#REF!,"AAAAAH7f624=")</f>
        <v>#REF!</v>
      </c>
      <c r="DH104" t="e">
        <f>AND(NhatkyBan!#REF!,"AAAAAH7f628=")</f>
        <v>#REF!</v>
      </c>
      <c r="DI104" t="e">
        <f>AND(NhatkyBan!#REF!,"AAAAAH7f63A=")</f>
        <v>#REF!</v>
      </c>
      <c r="DJ104" t="e">
        <f>AND(NhatkyBan!#REF!,"AAAAAH7f63E=")</f>
        <v>#REF!</v>
      </c>
      <c r="DK104" t="e">
        <f>AND(NhatkyBan!#REF!,"AAAAAH7f63I=")</f>
        <v>#REF!</v>
      </c>
      <c r="DL104" t="e">
        <f>AND(NhatkyBan!#REF!,"AAAAAH7f63M=")</f>
        <v>#REF!</v>
      </c>
      <c r="DM104" t="e">
        <f>AND(NhatkyBan!#REF!,"AAAAAH7f63Q=")</f>
        <v>#REF!</v>
      </c>
      <c r="DN104" t="e">
        <f>AND(NhatkyBan!#REF!,"AAAAAH7f63U=")</f>
        <v>#REF!</v>
      </c>
      <c r="DO104" t="e">
        <f>AND(NhatkyBan!#REF!,"AAAAAH7f63Y=")</f>
        <v>#REF!</v>
      </c>
      <c r="DP104" t="e">
        <f>AND(NhatkyBan!#REF!,"AAAAAH7f63c=")</f>
        <v>#REF!</v>
      </c>
      <c r="DQ104" t="e">
        <f>AND(NhatkyBan!#REF!,"AAAAAH7f63g=")</f>
        <v>#REF!</v>
      </c>
      <c r="DR104" t="e">
        <f>AND(NhatkyBan!#REF!,"AAAAAH7f63k=")</f>
        <v>#REF!</v>
      </c>
      <c r="DS104" t="e">
        <f>AND(NhatkyBan!#REF!,"AAAAAH7f63o=")</f>
        <v>#REF!</v>
      </c>
      <c r="DT104" t="e">
        <f>AND(NhatkyBan!#REF!,"AAAAAH7f63s=")</f>
        <v>#REF!</v>
      </c>
      <c r="DU104" t="e">
        <f>AND(NhatkyBan!#REF!,"AAAAAH7f63w=")</f>
        <v>#REF!</v>
      </c>
      <c r="DV104" t="e">
        <f>AND(NhatkyBan!#REF!,"AAAAAH7f630=")</f>
        <v>#REF!</v>
      </c>
      <c r="DW104" t="e">
        <f>AND(NhatkyBan!#REF!,"AAAAAH7f634=")</f>
        <v>#REF!</v>
      </c>
      <c r="DX104" t="e">
        <f>AND(NhatkyBan!#REF!,"AAAAAH7f638=")</f>
        <v>#REF!</v>
      </c>
      <c r="DY104" t="e">
        <f>AND(NhatkyBan!#REF!,"AAAAAH7f64A=")</f>
        <v>#REF!</v>
      </c>
      <c r="DZ104" t="e">
        <f>AND(NhatkyBan!#REF!,"AAAAAH7f64E=")</f>
        <v>#REF!</v>
      </c>
      <c r="EA104" t="e">
        <f>AND(NhatkyBan!#REF!,"AAAAAH7f64I=")</f>
        <v>#REF!</v>
      </c>
      <c r="EB104" t="e">
        <f>AND(NhatkyBan!#REF!,"AAAAAH7f64M=")</f>
        <v>#REF!</v>
      </c>
      <c r="EC104" t="e">
        <f>AND(NhatkyBan!#REF!,"AAAAAH7f64Q=")</f>
        <v>#REF!</v>
      </c>
      <c r="ED104" t="e">
        <f>AND(NhatkyBan!#REF!,"AAAAAH7f64U=")</f>
        <v>#REF!</v>
      </c>
      <c r="EE104" t="e">
        <f>AND(NhatkyBan!#REF!,"AAAAAH7f64Y=")</f>
        <v>#REF!</v>
      </c>
      <c r="EF104" t="e">
        <f>AND(NhatkyBan!#REF!,"AAAAAH7f64c=")</f>
        <v>#REF!</v>
      </c>
      <c r="EG104" t="e">
        <f>AND(NhatkyBan!#REF!,"AAAAAH7f64g=")</f>
        <v>#REF!</v>
      </c>
      <c r="EH104" t="e">
        <f>AND(NhatkyBan!#REF!,"AAAAAH7f64k=")</f>
        <v>#REF!</v>
      </c>
      <c r="EI104" t="e">
        <f>AND(NhatkyBan!#REF!,"AAAAAH7f64o=")</f>
        <v>#REF!</v>
      </c>
      <c r="EJ104" t="e">
        <f>AND(NhatkyBan!#REF!,"AAAAAH7f64s=")</f>
        <v>#REF!</v>
      </c>
      <c r="EK104" t="e">
        <f>AND(NhatkyBan!#REF!,"AAAAAH7f64w=")</f>
        <v>#REF!</v>
      </c>
      <c r="EL104" t="e">
        <f>AND(NhatkyBan!#REF!,"AAAAAH7f640=")</f>
        <v>#REF!</v>
      </c>
      <c r="EM104" t="e">
        <f>IF(NhatkyBan!#REF!,"AAAAAH7f644=",0)</f>
        <v>#REF!</v>
      </c>
      <c r="EN104" t="e">
        <f>AND(NhatkyBan!#REF!,"AAAAAH7f648=")</f>
        <v>#REF!</v>
      </c>
      <c r="EO104" t="e">
        <f>AND(NhatkyBan!#REF!,"AAAAAH7f65A=")</f>
        <v>#REF!</v>
      </c>
      <c r="EP104" t="e">
        <f>AND(NhatkyBan!#REF!,"AAAAAH7f65E=")</f>
        <v>#REF!</v>
      </c>
      <c r="EQ104" t="e">
        <f>AND(NhatkyBan!#REF!,"AAAAAH7f65I=")</f>
        <v>#REF!</v>
      </c>
      <c r="ER104" t="e">
        <f>AND(NhatkyBan!#REF!,"AAAAAH7f65M=")</f>
        <v>#REF!</v>
      </c>
      <c r="ES104" t="e">
        <f>AND(NhatkyBan!#REF!,"AAAAAH7f65Q=")</f>
        <v>#REF!</v>
      </c>
      <c r="ET104" t="e">
        <f>AND(NhatkyBan!#REF!,"AAAAAH7f65U=")</f>
        <v>#REF!</v>
      </c>
      <c r="EU104" t="e">
        <f>AND(NhatkyBan!#REF!,"AAAAAH7f65Y=")</f>
        <v>#REF!</v>
      </c>
      <c r="EV104" t="e">
        <f>AND(NhatkyBan!#REF!,"AAAAAH7f65c=")</f>
        <v>#REF!</v>
      </c>
      <c r="EW104" t="e">
        <f>AND(NhatkyBan!#REF!,"AAAAAH7f65g=")</f>
        <v>#REF!</v>
      </c>
      <c r="EX104" t="e">
        <f>AND(NhatkyBan!#REF!,"AAAAAH7f65k=")</f>
        <v>#REF!</v>
      </c>
      <c r="EY104" t="e">
        <f>AND(NhatkyBan!#REF!,"AAAAAH7f65o=")</f>
        <v>#REF!</v>
      </c>
      <c r="EZ104" t="e">
        <f>AND(NhatkyBan!#REF!,"AAAAAH7f65s=")</f>
        <v>#REF!</v>
      </c>
      <c r="FA104" t="e">
        <f>AND(NhatkyBan!#REF!,"AAAAAH7f65w=")</f>
        <v>#REF!</v>
      </c>
      <c r="FB104" t="e">
        <f>AND(NhatkyBan!#REF!,"AAAAAH7f650=")</f>
        <v>#REF!</v>
      </c>
      <c r="FC104" t="e">
        <f>AND(NhatkyBan!#REF!,"AAAAAH7f654=")</f>
        <v>#REF!</v>
      </c>
      <c r="FD104" t="e">
        <f>AND(NhatkyBan!#REF!,"AAAAAH7f658=")</f>
        <v>#REF!</v>
      </c>
      <c r="FE104" t="e">
        <f>AND(NhatkyBan!#REF!,"AAAAAH7f66A=")</f>
        <v>#REF!</v>
      </c>
      <c r="FF104" t="e">
        <f>AND(NhatkyBan!#REF!,"AAAAAH7f66E=")</f>
        <v>#REF!</v>
      </c>
      <c r="FG104" t="e">
        <f>AND(NhatkyBan!#REF!,"AAAAAH7f66I=")</f>
        <v>#REF!</v>
      </c>
      <c r="FH104" t="e">
        <f>AND(NhatkyBan!#REF!,"AAAAAH7f66M=")</f>
        <v>#REF!</v>
      </c>
      <c r="FI104" t="e">
        <f>AND(NhatkyBan!#REF!,"AAAAAH7f66Q=")</f>
        <v>#REF!</v>
      </c>
      <c r="FJ104" t="e">
        <f>AND(NhatkyBan!#REF!,"AAAAAH7f66U=")</f>
        <v>#REF!</v>
      </c>
      <c r="FK104" t="e">
        <f>AND(NhatkyBan!#REF!,"AAAAAH7f66Y=")</f>
        <v>#REF!</v>
      </c>
      <c r="FL104" t="e">
        <f>AND(NhatkyBan!#REF!,"AAAAAH7f66c=")</f>
        <v>#REF!</v>
      </c>
      <c r="FM104" t="e">
        <f>AND(NhatkyBan!#REF!,"AAAAAH7f66g=")</f>
        <v>#REF!</v>
      </c>
      <c r="FN104" t="e">
        <f>AND(NhatkyBan!#REF!,"AAAAAH7f66k=")</f>
        <v>#REF!</v>
      </c>
      <c r="FO104" t="e">
        <f>AND(NhatkyBan!#REF!,"AAAAAH7f66o=")</f>
        <v>#REF!</v>
      </c>
      <c r="FP104" t="e">
        <f>AND(NhatkyBan!#REF!,"AAAAAH7f66s=")</f>
        <v>#REF!</v>
      </c>
      <c r="FQ104" t="e">
        <f>AND(NhatkyBan!#REF!,"AAAAAH7f66w=")</f>
        <v>#REF!</v>
      </c>
      <c r="FR104" t="e">
        <f>AND(NhatkyBan!#REF!,"AAAAAH7f660=")</f>
        <v>#REF!</v>
      </c>
      <c r="FS104" t="e">
        <f>AND(NhatkyBan!#REF!,"AAAAAH7f664=")</f>
        <v>#REF!</v>
      </c>
      <c r="FT104" t="e">
        <f>AND(NhatkyBan!#REF!,"AAAAAH7f668=")</f>
        <v>#REF!</v>
      </c>
      <c r="FU104" t="e">
        <f>AND(NhatkyBan!#REF!,"AAAAAH7f67A=")</f>
        <v>#REF!</v>
      </c>
      <c r="FV104" t="e">
        <f>IF(NhatkyBan!#REF!,"AAAAAH7f67E=",0)</f>
        <v>#REF!</v>
      </c>
      <c r="FW104" t="e">
        <f>AND(NhatkyBan!#REF!,"AAAAAH7f67I=")</f>
        <v>#REF!</v>
      </c>
      <c r="FX104" t="e">
        <f>AND(NhatkyBan!#REF!,"AAAAAH7f67M=")</f>
        <v>#REF!</v>
      </c>
      <c r="FY104" t="e">
        <f>AND(NhatkyBan!#REF!,"AAAAAH7f67Q=")</f>
        <v>#REF!</v>
      </c>
      <c r="FZ104" t="e">
        <f>AND(NhatkyBan!#REF!,"AAAAAH7f67U=")</f>
        <v>#REF!</v>
      </c>
      <c r="GA104" t="e">
        <f>AND(NhatkyBan!#REF!,"AAAAAH7f67Y=")</f>
        <v>#REF!</v>
      </c>
      <c r="GB104" t="e">
        <f>AND(NhatkyBan!#REF!,"AAAAAH7f67c=")</f>
        <v>#REF!</v>
      </c>
      <c r="GC104" t="e">
        <f>AND(NhatkyBan!#REF!,"AAAAAH7f67g=")</f>
        <v>#REF!</v>
      </c>
      <c r="GD104" t="e">
        <f>AND(NhatkyBan!#REF!,"AAAAAH7f67k=")</f>
        <v>#REF!</v>
      </c>
      <c r="GE104" t="e">
        <f>AND(NhatkyBan!#REF!,"AAAAAH7f67o=")</f>
        <v>#REF!</v>
      </c>
      <c r="GF104" t="e">
        <f>AND(NhatkyBan!#REF!,"AAAAAH7f67s=")</f>
        <v>#REF!</v>
      </c>
      <c r="GG104" t="e">
        <f>AND(NhatkyBan!#REF!,"AAAAAH7f67w=")</f>
        <v>#REF!</v>
      </c>
      <c r="GH104" t="e">
        <f>AND(NhatkyBan!#REF!,"AAAAAH7f670=")</f>
        <v>#REF!</v>
      </c>
      <c r="GI104" t="e">
        <f>AND(NhatkyBan!#REF!,"AAAAAH7f674=")</f>
        <v>#REF!</v>
      </c>
      <c r="GJ104" t="e">
        <f>AND(NhatkyBan!#REF!,"AAAAAH7f678=")</f>
        <v>#REF!</v>
      </c>
      <c r="GK104" t="e">
        <f>AND(NhatkyBan!#REF!,"AAAAAH7f68A=")</f>
        <v>#REF!</v>
      </c>
      <c r="GL104" t="e">
        <f>AND(NhatkyBan!#REF!,"AAAAAH7f68E=")</f>
        <v>#REF!</v>
      </c>
      <c r="GM104" t="e">
        <f>AND(NhatkyBan!#REF!,"AAAAAH7f68I=")</f>
        <v>#REF!</v>
      </c>
      <c r="GN104" t="e">
        <f>AND(NhatkyBan!#REF!,"AAAAAH7f68M=")</f>
        <v>#REF!</v>
      </c>
      <c r="GO104" t="e">
        <f>AND(NhatkyBan!#REF!,"AAAAAH7f68Q=")</f>
        <v>#REF!</v>
      </c>
      <c r="GP104" t="e">
        <f>AND(NhatkyBan!#REF!,"AAAAAH7f68U=")</f>
        <v>#REF!</v>
      </c>
      <c r="GQ104" t="e">
        <f>AND(NhatkyBan!#REF!,"AAAAAH7f68Y=")</f>
        <v>#REF!</v>
      </c>
      <c r="GR104" t="e">
        <f>AND(NhatkyBan!#REF!,"AAAAAH7f68c=")</f>
        <v>#REF!</v>
      </c>
      <c r="GS104" t="e">
        <f>AND(NhatkyBan!#REF!,"AAAAAH7f68g=")</f>
        <v>#REF!</v>
      </c>
      <c r="GT104" t="e">
        <f>AND(NhatkyBan!#REF!,"AAAAAH7f68k=")</f>
        <v>#REF!</v>
      </c>
      <c r="GU104" t="e">
        <f>AND(NhatkyBan!#REF!,"AAAAAH7f68o=")</f>
        <v>#REF!</v>
      </c>
      <c r="GV104" t="e">
        <f>AND(NhatkyBan!#REF!,"AAAAAH7f68s=")</f>
        <v>#REF!</v>
      </c>
      <c r="GW104" t="e">
        <f>AND(NhatkyBan!#REF!,"AAAAAH7f68w=")</f>
        <v>#REF!</v>
      </c>
      <c r="GX104" t="e">
        <f>AND(NhatkyBan!#REF!,"AAAAAH7f680=")</f>
        <v>#REF!</v>
      </c>
      <c r="GY104" t="e">
        <f>AND(NhatkyBan!#REF!,"AAAAAH7f684=")</f>
        <v>#REF!</v>
      </c>
      <c r="GZ104" t="e">
        <f>AND(NhatkyBan!#REF!,"AAAAAH7f688=")</f>
        <v>#REF!</v>
      </c>
      <c r="HA104" t="e">
        <f>AND(NhatkyBan!#REF!,"AAAAAH7f69A=")</f>
        <v>#REF!</v>
      </c>
      <c r="HB104" t="e">
        <f>AND(NhatkyBan!#REF!,"AAAAAH7f69E=")</f>
        <v>#REF!</v>
      </c>
      <c r="HC104" t="e">
        <f>AND(NhatkyBan!#REF!,"AAAAAH7f69I=")</f>
        <v>#REF!</v>
      </c>
      <c r="HD104" t="e">
        <f>AND(NhatkyBan!#REF!,"AAAAAH7f69M=")</f>
        <v>#REF!</v>
      </c>
      <c r="HE104" t="e">
        <f>IF(NhatkyBan!#REF!,"AAAAAH7f69Q=",0)</f>
        <v>#REF!</v>
      </c>
      <c r="HF104" t="e">
        <f>AND(NhatkyBan!#REF!,"AAAAAH7f69U=")</f>
        <v>#REF!</v>
      </c>
      <c r="HG104" t="e">
        <f>AND(NhatkyBan!#REF!,"AAAAAH7f69Y=")</f>
        <v>#REF!</v>
      </c>
      <c r="HH104" t="e">
        <f>AND(NhatkyBan!#REF!,"AAAAAH7f69c=")</f>
        <v>#REF!</v>
      </c>
      <c r="HI104" t="e">
        <f>AND(NhatkyBan!#REF!,"AAAAAH7f69g=")</f>
        <v>#REF!</v>
      </c>
      <c r="HJ104" t="e">
        <f>AND(NhatkyBan!#REF!,"AAAAAH7f69k=")</f>
        <v>#REF!</v>
      </c>
      <c r="HK104" t="e">
        <f>AND(NhatkyBan!#REF!,"AAAAAH7f69o=")</f>
        <v>#REF!</v>
      </c>
      <c r="HL104" t="e">
        <f>AND(NhatkyBan!#REF!,"AAAAAH7f69s=")</f>
        <v>#REF!</v>
      </c>
      <c r="HM104" t="e">
        <f>AND(NhatkyBan!#REF!,"AAAAAH7f69w=")</f>
        <v>#REF!</v>
      </c>
      <c r="HN104" t="e">
        <f>AND(NhatkyBan!#REF!,"AAAAAH7f690=")</f>
        <v>#REF!</v>
      </c>
      <c r="HO104" t="e">
        <f>AND(NhatkyBan!#REF!,"AAAAAH7f694=")</f>
        <v>#REF!</v>
      </c>
      <c r="HP104" t="e">
        <f>AND(NhatkyBan!#REF!,"AAAAAH7f698=")</f>
        <v>#REF!</v>
      </c>
      <c r="HQ104" t="e">
        <f>AND(NhatkyBan!#REF!,"AAAAAH7f6+A=")</f>
        <v>#REF!</v>
      </c>
      <c r="HR104" t="e">
        <f>AND(NhatkyBan!#REF!,"AAAAAH7f6+E=")</f>
        <v>#REF!</v>
      </c>
      <c r="HS104" t="e">
        <f>AND(NhatkyBan!#REF!,"AAAAAH7f6+I=")</f>
        <v>#REF!</v>
      </c>
      <c r="HT104" t="e">
        <f>AND(NhatkyBan!#REF!,"AAAAAH7f6+M=")</f>
        <v>#REF!</v>
      </c>
      <c r="HU104" t="e">
        <f>AND(NhatkyBan!#REF!,"AAAAAH7f6+Q=")</f>
        <v>#REF!</v>
      </c>
      <c r="HV104" t="e">
        <f>AND(NhatkyBan!#REF!,"AAAAAH7f6+U=")</f>
        <v>#REF!</v>
      </c>
      <c r="HW104" t="e">
        <f>AND(NhatkyBan!#REF!,"AAAAAH7f6+Y=")</f>
        <v>#REF!</v>
      </c>
      <c r="HX104" t="e">
        <f>AND(NhatkyBan!#REF!,"AAAAAH7f6+c=")</f>
        <v>#REF!</v>
      </c>
      <c r="HY104" t="e">
        <f>AND(NhatkyBan!#REF!,"AAAAAH7f6+g=")</f>
        <v>#REF!</v>
      </c>
      <c r="HZ104" t="e">
        <f>AND(NhatkyBan!#REF!,"AAAAAH7f6+k=")</f>
        <v>#REF!</v>
      </c>
      <c r="IA104" t="e">
        <f>AND(NhatkyBan!#REF!,"AAAAAH7f6+o=")</f>
        <v>#REF!</v>
      </c>
      <c r="IB104" t="e">
        <f>AND(NhatkyBan!#REF!,"AAAAAH7f6+s=")</f>
        <v>#REF!</v>
      </c>
      <c r="IC104" t="e">
        <f>AND(NhatkyBan!#REF!,"AAAAAH7f6+w=")</f>
        <v>#REF!</v>
      </c>
      <c r="ID104" t="e">
        <f>AND(NhatkyBan!#REF!,"AAAAAH7f6+0=")</f>
        <v>#REF!</v>
      </c>
      <c r="IE104" t="e">
        <f>AND(NhatkyBan!#REF!,"AAAAAH7f6+4=")</f>
        <v>#REF!</v>
      </c>
      <c r="IF104" t="e">
        <f>AND(NhatkyBan!#REF!,"AAAAAH7f6+8=")</f>
        <v>#REF!</v>
      </c>
      <c r="IG104" t="e">
        <f>AND(NhatkyBan!#REF!,"AAAAAH7f6/A=")</f>
        <v>#REF!</v>
      </c>
      <c r="IH104" t="e">
        <f>AND(NhatkyBan!#REF!,"AAAAAH7f6/E=")</f>
        <v>#REF!</v>
      </c>
      <c r="II104" t="e">
        <f>AND(NhatkyBan!#REF!,"AAAAAH7f6/I=")</f>
        <v>#REF!</v>
      </c>
      <c r="IJ104" t="e">
        <f>AND(NhatkyBan!#REF!,"AAAAAH7f6/M=")</f>
        <v>#REF!</v>
      </c>
      <c r="IK104" t="e">
        <f>AND(NhatkyBan!#REF!,"AAAAAH7f6/Q=")</f>
        <v>#REF!</v>
      </c>
      <c r="IL104" t="e">
        <f>AND(NhatkyBan!#REF!,"AAAAAH7f6/U=")</f>
        <v>#REF!</v>
      </c>
      <c r="IM104" t="e">
        <f>AND(NhatkyBan!#REF!,"AAAAAH7f6/Y=")</f>
        <v>#REF!</v>
      </c>
      <c r="IN104" t="e">
        <f>IF(NhatkyBan!#REF!,"AAAAAH7f6/c=",0)</f>
        <v>#REF!</v>
      </c>
      <c r="IO104" t="e">
        <f>AND(NhatkyBan!#REF!,"AAAAAH7f6/g=")</f>
        <v>#REF!</v>
      </c>
      <c r="IP104" t="e">
        <f>AND(NhatkyBan!#REF!,"AAAAAH7f6/k=")</f>
        <v>#REF!</v>
      </c>
      <c r="IQ104" t="e">
        <f>AND(NhatkyBan!#REF!,"AAAAAH7f6/o=")</f>
        <v>#REF!</v>
      </c>
      <c r="IR104" t="e">
        <f>AND(NhatkyBan!#REF!,"AAAAAH7f6/s=")</f>
        <v>#REF!</v>
      </c>
      <c r="IS104" t="e">
        <f>AND(NhatkyBan!#REF!,"AAAAAH7f6/w=")</f>
        <v>#REF!</v>
      </c>
      <c r="IT104" t="e">
        <f>AND(NhatkyBan!#REF!,"AAAAAH7f6/0=")</f>
        <v>#REF!</v>
      </c>
      <c r="IU104" t="e">
        <f>AND(NhatkyBan!#REF!,"AAAAAH7f6/4=")</f>
        <v>#REF!</v>
      </c>
      <c r="IV104" t="e">
        <f>AND(NhatkyBan!#REF!,"AAAAAH7f6/8=")</f>
        <v>#REF!</v>
      </c>
    </row>
    <row r="105" spans="1:256">
      <c r="A105" t="e">
        <f>AND(NhatkyBan!#REF!,"AAAAAH9/3wA=")</f>
        <v>#REF!</v>
      </c>
      <c r="B105" t="e">
        <f>AND(NhatkyBan!#REF!,"AAAAAH9/3wE=")</f>
        <v>#REF!</v>
      </c>
      <c r="C105" t="e">
        <f>AND(NhatkyBan!#REF!,"AAAAAH9/3wI=")</f>
        <v>#REF!</v>
      </c>
      <c r="D105" t="e">
        <f>AND(NhatkyBan!#REF!,"AAAAAH9/3wM=")</f>
        <v>#REF!</v>
      </c>
      <c r="E105" t="e">
        <f>AND(NhatkyBan!#REF!,"AAAAAH9/3wQ=")</f>
        <v>#REF!</v>
      </c>
      <c r="F105" t="e">
        <f>AND(NhatkyBan!#REF!,"AAAAAH9/3wU=")</f>
        <v>#REF!</v>
      </c>
      <c r="G105" t="e">
        <f>AND(NhatkyBan!#REF!,"AAAAAH9/3wY=")</f>
        <v>#REF!</v>
      </c>
      <c r="H105" t="e">
        <f>AND(NhatkyBan!#REF!,"AAAAAH9/3wc=")</f>
        <v>#REF!</v>
      </c>
      <c r="I105" t="e">
        <f>AND(NhatkyBan!#REF!,"AAAAAH9/3wg=")</f>
        <v>#REF!</v>
      </c>
      <c r="J105" t="e">
        <f>AND(NhatkyBan!#REF!,"AAAAAH9/3wk=")</f>
        <v>#REF!</v>
      </c>
      <c r="K105" t="e">
        <f>AND(NhatkyBan!#REF!,"AAAAAH9/3wo=")</f>
        <v>#REF!</v>
      </c>
      <c r="L105" t="e">
        <f>AND(NhatkyBan!#REF!,"AAAAAH9/3ws=")</f>
        <v>#REF!</v>
      </c>
      <c r="M105" t="e">
        <f>AND(NhatkyBan!#REF!,"AAAAAH9/3ww=")</f>
        <v>#REF!</v>
      </c>
      <c r="N105" t="e">
        <f>AND(NhatkyBan!#REF!,"AAAAAH9/3w0=")</f>
        <v>#REF!</v>
      </c>
      <c r="O105" t="e">
        <f>AND(NhatkyBan!#REF!,"AAAAAH9/3w4=")</f>
        <v>#REF!</v>
      </c>
      <c r="P105" t="e">
        <f>AND(NhatkyBan!#REF!,"AAAAAH9/3w8=")</f>
        <v>#REF!</v>
      </c>
      <c r="Q105" t="e">
        <f>AND(NhatkyBan!#REF!,"AAAAAH9/3xA=")</f>
        <v>#REF!</v>
      </c>
      <c r="R105" t="e">
        <f>AND(NhatkyBan!#REF!,"AAAAAH9/3xE=")</f>
        <v>#REF!</v>
      </c>
      <c r="S105" t="e">
        <f>AND(NhatkyBan!#REF!,"AAAAAH9/3xI=")</f>
        <v>#REF!</v>
      </c>
      <c r="T105" t="e">
        <f>AND(NhatkyBan!#REF!,"AAAAAH9/3xM=")</f>
        <v>#REF!</v>
      </c>
      <c r="U105" t="e">
        <f>AND(NhatkyBan!#REF!,"AAAAAH9/3xQ=")</f>
        <v>#REF!</v>
      </c>
      <c r="V105" t="e">
        <f>AND(NhatkyBan!#REF!,"AAAAAH9/3xU=")</f>
        <v>#REF!</v>
      </c>
      <c r="W105" t="e">
        <f>AND(NhatkyBan!#REF!,"AAAAAH9/3xY=")</f>
        <v>#REF!</v>
      </c>
      <c r="X105" t="e">
        <f>AND(NhatkyBan!#REF!,"AAAAAH9/3xc=")</f>
        <v>#REF!</v>
      </c>
      <c r="Y105" t="e">
        <f>AND(NhatkyBan!#REF!,"AAAAAH9/3xg=")</f>
        <v>#REF!</v>
      </c>
      <c r="Z105" t="e">
        <f>AND(NhatkyBan!#REF!,"AAAAAH9/3xk=")</f>
        <v>#REF!</v>
      </c>
      <c r="AA105" t="e">
        <f>IF(NhatkyBan!#REF!,"AAAAAH9/3xo=",0)</f>
        <v>#REF!</v>
      </c>
      <c r="AB105" t="e">
        <f>AND(NhatkyBan!#REF!,"AAAAAH9/3xs=")</f>
        <v>#REF!</v>
      </c>
      <c r="AC105" t="e">
        <f>AND(NhatkyBan!#REF!,"AAAAAH9/3xw=")</f>
        <v>#REF!</v>
      </c>
      <c r="AD105" t="e">
        <f>AND(NhatkyBan!#REF!,"AAAAAH9/3x0=")</f>
        <v>#REF!</v>
      </c>
      <c r="AE105" t="e">
        <f>AND(NhatkyBan!#REF!,"AAAAAH9/3x4=")</f>
        <v>#REF!</v>
      </c>
      <c r="AF105" t="e">
        <f>AND(NhatkyBan!#REF!,"AAAAAH9/3x8=")</f>
        <v>#REF!</v>
      </c>
      <c r="AG105" t="e">
        <f>AND(NhatkyBan!#REF!,"AAAAAH9/3yA=")</f>
        <v>#REF!</v>
      </c>
      <c r="AH105" t="e">
        <f>AND(NhatkyBan!#REF!,"AAAAAH9/3yE=")</f>
        <v>#REF!</v>
      </c>
      <c r="AI105" t="e">
        <f>AND(NhatkyBan!#REF!,"AAAAAH9/3yI=")</f>
        <v>#REF!</v>
      </c>
      <c r="AJ105" t="e">
        <f>AND(NhatkyBan!#REF!,"AAAAAH9/3yM=")</f>
        <v>#REF!</v>
      </c>
      <c r="AK105" t="e">
        <f>AND(NhatkyBan!#REF!,"AAAAAH9/3yQ=")</f>
        <v>#REF!</v>
      </c>
      <c r="AL105" t="e">
        <f>AND(NhatkyBan!#REF!,"AAAAAH9/3yU=")</f>
        <v>#REF!</v>
      </c>
      <c r="AM105" t="e">
        <f>AND(NhatkyBan!#REF!,"AAAAAH9/3yY=")</f>
        <v>#REF!</v>
      </c>
      <c r="AN105" t="e">
        <f>AND(NhatkyBan!#REF!,"AAAAAH9/3yc=")</f>
        <v>#REF!</v>
      </c>
      <c r="AO105" t="e">
        <f>AND(NhatkyBan!#REF!,"AAAAAH9/3yg=")</f>
        <v>#REF!</v>
      </c>
      <c r="AP105" t="e">
        <f>AND(NhatkyBan!#REF!,"AAAAAH9/3yk=")</f>
        <v>#REF!</v>
      </c>
      <c r="AQ105" t="e">
        <f>AND(NhatkyBan!#REF!,"AAAAAH9/3yo=")</f>
        <v>#REF!</v>
      </c>
      <c r="AR105" t="e">
        <f>AND(NhatkyBan!#REF!,"AAAAAH9/3ys=")</f>
        <v>#REF!</v>
      </c>
      <c r="AS105" t="e">
        <f>AND(NhatkyBan!#REF!,"AAAAAH9/3yw=")</f>
        <v>#REF!</v>
      </c>
      <c r="AT105" t="e">
        <f>AND(NhatkyBan!#REF!,"AAAAAH9/3y0=")</f>
        <v>#REF!</v>
      </c>
      <c r="AU105" t="e">
        <f>AND(NhatkyBan!#REF!,"AAAAAH9/3y4=")</f>
        <v>#REF!</v>
      </c>
      <c r="AV105" t="e">
        <f>AND(NhatkyBan!#REF!,"AAAAAH9/3y8=")</f>
        <v>#REF!</v>
      </c>
      <c r="AW105" t="e">
        <f>AND(NhatkyBan!#REF!,"AAAAAH9/3zA=")</f>
        <v>#REF!</v>
      </c>
      <c r="AX105" t="e">
        <f>AND(NhatkyBan!#REF!,"AAAAAH9/3zE=")</f>
        <v>#REF!</v>
      </c>
      <c r="AY105" t="e">
        <f>AND(NhatkyBan!#REF!,"AAAAAH9/3zI=")</f>
        <v>#REF!</v>
      </c>
      <c r="AZ105" t="e">
        <f>AND(NhatkyBan!#REF!,"AAAAAH9/3zM=")</f>
        <v>#REF!</v>
      </c>
      <c r="BA105" t="e">
        <f>AND(NhatkyBan!#REF!,"AAAAAH9/3zQ=")</f>
        <v>#REF!</v>
      </c>
      <c r="BB105" t="e">
        <f>AND(NhatkyBan!#REF!,"AAAAAH9/3zU=")</f>
        <v>#REF!</v>
      </c>
      <c r="BC105" t="e">
        <f>AND(NhatkyBan!#REF!,"AAAAAH9/3zY=")</f>
        <v>#REF!</v>
      </c>
      <c r="BD105" t="e">
        <f>AND(NhatkyBan!#REF!,"AAAAAH9/3zc=")</f>
        <v>#REF!</v>
      </c>
      <c r="BE105" t="e">
        <f>AND(NhatkyBan!#REF!,"AAAAAH9/3zg=")</f>
        <v>#REF!</v>
      </c>
      <c r="BF105" t="e">
        <f>AND(NhatkyBan!#REF!,"AAAAAH9/3zk=")</f>
        <v>#REF!</v>
      </c>
      <c r="BG105" t="e">
        <f>AND(NhatkyBan!#REF!,"AAAAAH9/3zo=")</f>
        <v>#REF!</v>
      </c>
      <c r="BH105" t="e">
        <f>AND(NhatkyBan!#REF!,"AAAAAH9/3zs=")</f>
        <v>#REF!</v>
      </c>
      <c r="BI105" t="e">
        <f>AND(NhatkyBan!#REF!,"AAAAAH9/3zw=")</f>
        <v>#REF!</v>
      </c>
      <c r="BJ105" t="e">
        <f>IF(NhatkyBan!#REF!,"AAAAAH9/3z0=",0)</f>
        <v>#REF!</v>
      </c>
      <c r="BK105" t="e">
        <f>AND(NhatkyBan!#REF!,"AAAAAH9/3z4=")</f>
        <v>#REF!</v>
      </c>
      <c r="BL105" t="e">
        <f>AND(NhatkyBan!#REF!,"AAAAAH9/3z8=")</f>
        <v>#REF!</v>
      </c>
      <c r="BM105" t="e">
        <f>AND(NhatkyBan!#REF!,"AAAAAH9/30A=")</f>
        <v>#REF!</v>
      </c>
      <c r="BN105" t="e">
        <f>AND(NhatkyBan!#REF!,"AAAAAH9/30E=")</f>
        <v>#REF!</v>
      </c>
      <c r="BO105" t="e">
        <f>AND(NhatkyBan!#REF!,"AAAAAH9/30I=")</f>
        <v>#REF!</v>
      </c>
      <c r="BP105" t="e">
        <f>AND(NhatkyBan!#REF!,"AAAAAH9/30M=")</f>
        <v>#REF!</v>
      </c>
      <c r="BQ105" t="e">
        <f>AND(NhatkyBan!#REF!,"AAAAAH9/30Q=")</f>
        <v>#REF!</v>
      </c>
      <c r="BR105" t="e">
        <f>AND(NhatkyBan!#REF!,"AAAAAH9/30U=")</f>
        <v>#REF!</v>
      </c>
      <c r="BS105" t="e">
        <f>AND(NhatkyBan!#REF!,"AAAAAH9/30Y=")</f>
        <v>#REF!</v>
      </c>
      <c r="BT105" t="e">
        <f>AND(NhatkyBan!#REF!,"AAAAAH9/30c=")</f>
        <v>#REF!</v>
      </c>
      <c r="BU105" t="e">
        <f>AND(NhatkyBan!#REF!,"AAAAAH9/30g=")</f>
        <v>#REF!</v>
      </c>
      <c r="BV105" t="e">
        <f>AND(NhatkyBan!#REF!,"AAAAAH9/30k=")</f>
        <v>#REF!</v>
      </c>
      <c r="BW105" t="e">
        <f>AND(NhatkyBan!#REF!,"AAAAAH9/30o=")</f>
        <v>#REF!</v>
      </c>
      <c r="BX105" t="e">
        <f>AND(NhatkyBan!#REF!,"AAAAAH9/30s=")</f>
        <v>#REF!</v>
      </c>
      <c r="BY105" t="e">
        <f>AND(NhatkyBan!#REF!,"AAAAAH9/30w=")</f>
        <v>#REF!</v>
      </c>
      <c r="BZ105" t="e">
        <f>AND(NhatkyBan!#REF!,"AAAAAH9/300=")</f>
        <v>#REF!</v>
      </c>
      <c r="CA105" t="e">
        <f>AND(NhatkyBan!#REF!,"AAAAAH9/304=")</f>
        <v>#REF!</v>
      </c>
      <c r="CB105" t="e">
        <f>AND(NhatkyBan!#REF!,"AAAAAH9/308=")</f>
        <v>#REF!</v>
      </c>
      <c r="CC105" t="e">
        <f>AND(NhatkyBan!#REF!,"AAAAAH9/31A=")</f>
        <v>#REF!</v>
      </c>
      <c r="CD105" t="e">
        <f>AND(NhatkyBan!#REF!,"AAAAAH9/31E=")</f>
        <v>#REF!</v>
      </c>
      <c r="CE105" t="e">
        <f>AND(NhatkyBan!#REF!,"AAAAAH9/31I=")</f>
        <v>#REF!</v>
      </c>
      <c r="CF105" t="e">
        <f>AND(NhatkyBan!#REF!,"AAAAAH9/31M=")</f>
        <v>#REF!</v>
      </c>
      <c r="CG105" t="e">
        <f>AND(NhatkyBan!#REF!,"AAAAAH9/31Q=")</f>
        <v>#REF!</v>
      </c>
      <c r="CH105" t="e">
        <f>AND(NhatkyBan!#REF!,"AAAAAH9/31U=")</f>
        <v>#REF!</v>
      </c>
      <c r="CI105" t="e">
        <f>AND(NhatkyBan!#REF!,"AAAAAH9/31Y=")</f>
        <v>#REF!</v>
      </c>
      <c r="CJ105" t="e">
        <f>AND(NhatkyBan!#REF!,"AAAAAH9/31c=")</f>
        <v>#REF!</v>
      </c>
      <c r="CK105" t="e">
        <f>AND(NhatkyBan!#REF!,"AAAAAH9/31g=")</f>
        <v>#REF!</v>
      </c>
      <c r="CL105" t="e">
        <f>AND(NhatkyBan!#REF!,"AAAAAH9/31k=")</f>
        <v>#REF!</v>
      </c>
      <c r="CM105" t="e">
        <f>AND(NhatkyBan!#REF!,"AAAAAH9/31o=")</f>
        <v>#REF!</v>
      </c>
      <c r="CN105" t="e">
        <f>AND(NhatkyBan!#REF!,"AAAAAH9/31s=")</f>
        <v>#REF!</v>
      </c>
      <c r="CO105" t="e">
        <f>AND(NhatkyBan!#REF!,"AAAAAH9/31w=")</f>
        <v>#REF!</v>
      </c>
      <c r="CP105" t="e">
        <f>AND(NhatkyBan!#REF!,"AAAAAH9/310=")</f>
        <v>#REF!</v>
      </c>
      <c r="CQ105" t="e">
        <f>AND(NhatkyBan!#REF!,"AAAAAH9/314=")</f>
        <v>#REF!</v>
      </c>
      <c r="CR105" t="e">
        <f>AND(NhatkyBan!#REF!,"AAAAAH9/318=")</f>
        <v>#REF!</v>
      </c>
      <c r="CS105" t="e">
        <f>IF(NhatkyBan!#REF!,"AAAAAH9/32A=",0)</f>
        <v>#REF!</v>
      </c>
      <c r="CT105" t="e">
        <f>AND(NhatkyBan!#REF!,"AAAAAH9/32E=")</f>
        <v>#REF!</v>
      </c>
      <c r="CU105" t="e">
        <f>AND(NhatkyBan!#REF!,"AAAAAH9/32I=")</f>
        <v>#REF!</v>
      </c>
      <c r="CV105" t="e">
        <f>AND(NhatkyBan!#REF!,"AAAAAH9/32M=")</f>
        <v>#REF!</v>
      </c>
      <c r="CW105" t="e">
        <f>AND(NhatkyBan!#REF!,"AAAAAH9/32Q=")</f>
        <v>#REF!</v>
      </c>
      <c r="CX105" t="e">
        <f>AND(NhatkyBan!#REF!,"AAAAAH9/32U=")</f>
        <v>#REF!</v>
      </c>
      <c r="CY105" t="e">
        <f>AND(NhatkyBan!#REF!,"AAAAAH9/32Y=")</f>
        <v>#REF!</v>
      </c>
      <c r="CZ105" t="e">
        <f>AND(NhatkyBan!#REF!,"AAAAAH9/32c=")</f>
        <v>#REF!</v>
      </c>
      <c r="DA105" t="e">
        <f>AND(NhatkyBan!#REF!,"AAAAAH9/32g=")</f>
        <v>#REF!</v>
      </c>
      <c r="DB105" t="e">
        <f>AND(NhatkyBan!#REF!,"AAAAAH9/32k=")</f>
        <v>#REF!</v>
      </c>
      <c r="DC105" t="e">
        <f>AND(NhatkyBan!#REF!,"AAAAAH9/32o=")</f>
        <v>#REF!</v>
      </c>
      <c r="DD105" t="e">
        <f>AND(NhatkyBan!#REF!,"AAAAAH9/32s=")</f>
        <v>#REF!</v>
      </c>
      <c r="DE105" t="e">
        <f>AND(NhatkyBan!#REF!,"AAAAAH9/32w=")</f>
        <v>#REF!</v>
      </c>
      <c r="DF105" t="e">
        <f>AND(NhatkyBan!#REF!,"AAAAAH9/320=")</f>
        <v>#REF!</v>
      </c>
      <c r="DG105" t="e">
        <f>AND(NhatkyBan!#REF!,"AAAAAH9/324=")</f>
        <v>#REF!</v>
      </c>
      <c r="DH105" t="e">
        <f>AND(NhatkyBan!#REF!,"AAAAAH9/328=")</f>
        <v>#REF!</v>
      </c>
      <c r="DI105" t="e">
        <f>AND(NhatkyBan!#REF!,"AAAAAH9/33A=")</f>
        <v>#REF!</v>
      </c>
      <c r="DJ105" t="e">
        <f>AND(NhatkyBan!#REF!,"AAAAAH9/33E=")</f>
        <v>#REF!</v>
      </c>
      <c r="DK105" t="e">
        <f>AND(NhatkyBan!#REF!,"AAAAAH9/33I=")</f>
        <v>#REF!</v>
      </c>
      <c r="DL105" t="e">
        <f>AND(NhatkyBan!#REF!,"AAAAAH9/33M=")</f>
        <v>#REF!</v>
      </c>
      <c r="DM105" t="e">
        <f>AND(NhatkyBan!#REF!,"AAAAAH9/33Q=")</f>
        <v>#REF!</v>
      </c>
      <c r="DN105" t="e">
        <f>AND(NhatkyBan!#REF!,"AAAAAH9/33U=")</f>
        <v>#REF!</v>
      </c>
      <c r="DO105" t="e">
        <f>AND(NhatkyBan!#REF!,"AAAAAH9/33Y=")</f>
        <v>#REF!</v>
      </c>
      <c r="DP105" t="e">
        <f>AND(NhatkyBan!#REF!,"AAAAAH9/33c=")</f>
        <v>#REF!</v>
      </c>
      <c r="DQ105" t="e">
        <f>AND(NhatkyBan!#REF!,"AAAAAH9/33g=")</f>
        <v>#REF!</v>
      </c>
      <c r="DR105" t="e">
        <f>AND(NhatkyBan!#REF!,"AAAAAH9/33k=")</f>
        <v>#REF!</v>
      </c>
      <c r="DS105" t="e">
        <f>AND(NhatkyBan!#REF!,"AAAAAH9/33o=")</f>
        <v>#REF!</v>
      </c>
      <c r="DT105" t="e">
        <f>AND(NhatkyBan!#REF!,"AAAAAH9/33s=")</f>
        <v>#REF!</v>
      </c>
      <c r="DU105" t="e">
        <f>AND(NhatkyBan!#REF!,"AAAAAH9/33w=")</f>
        <v>#REF!</v>
      </c>
      <c r="DV105" t="e">
        <f>AND(NhatkyBan!#REF!,"AAAAAH9/330=")</f>
        <v>#REF!</v>
      </c>
      <c r="DW105" t="e">
        <f>AND(NhatkyBan!#REF!,"AAAAAH9/334=")</f>
        <v>#REF!</v>
      </c>
      <c r="DX105" t="e">
        <f>AND(NhatkyBan!#REF!,"AAAAAH9/338=")</f>
        <v>#REF!</v>
      </c>
      <c r="DY105" t="e">
        <f>AND(NhatkyBan!#REF!,"AAAAAH9/34A=")</f>
        <v>#REF!</v>
      </c>
      <c r="DZ105" t="e">
        <f>AND(NhatkyBan!#REF!,"AAAAAH9/34E=")</f>
        <v>#REF!</v>
      </c>
      <c r="EA105" t="e">
        <f>AND(NhatkyBan!#REF!,"AAAAAH9/34I=")</f>
        <v>#REF!</v>
      </c>
      <c r="EB105" t="e">
        <f>IF(NhatkyBan!#REF!,"AAAAAH9/34M=",0)</f>
        <v>#REF!</v>
      </c>
      <c r="EC105" t="e">
        <f>AND(NhatkyBan!#REF!,"AAAAAH9/34Q=")</f>
        <v>#REF!</v>
      </c>
      <c r="ED105" t="e">
        <f>AND(NhatkyBan!#REF!,"AAAAAH9/34U=")</f>
        <v>#REF!</v>
      </c>
      <c r="EE105" t="e">
        <f>AND(NhatkyBan!#REF!,"AAAAAH9/34Y=")</f>
        <v>#REF!</v>
      </c>
      <c r="EF105" t="e">
        <f>AND(NhatkyBan!#REF!,"AAAAAH9/34c=")</f>
        <v>#REF!</v>
      </c>
      <c r="EG105" t="e">
        <f>AND(NhatkyBan!#REF!,"AAAAAH9/34g=")</f>
        <v>#REF!</v>
      </c>
      <c r="EH105" t="e">
        <f>AND(NhatkyBan!#REF!,"AAAAAH9/34k=")</f>
        <v>#REF!</v>
      </c>
      <c r="EI105" t="e">
        <f>AND(NhatkyBan!#REF!,"AAAAAH9/34o=")</f>
        <v>#REF!</v>
      </c>
      <c r="EJ105" t="e">
        <f>AND(NhatkyBan!#REF!,"AAAAAH9/34s=")</f>
        <v>#REF!</v>
      </c>
      <c r="EK105" t="e">
        <f>AND(NhatkyBan!#REF!,"AAAAAH9/34w=")</f>
        <v>#REF!</v>
      </c>
      <c r="EL105" t="e">
        <f>AND(NhatkyBan!#REF!,"AAAAAH9/340=")</f>
        <v>#REF!</v>
      </c>
      <c r="EM105" t="e">
        <f>AND(NhatkyBan!#REF!,"AAAAAH9/344=")</f>
        <v>#REF!</v>
      </c>
      <c r="EN105" t="e">
        <f>AND(NhatkyBan!#REF!,"AAAAAH9/348=")</f>
        <v>#REF!</v>
      </c>
      <c r="EO105" t="e">
        <f>AND(NhatkyBan!#REF!,"AAAAAH9/35A=")</f>
        <v>#REF!</v>
      </c>
      <c r="EP105" t="e">
        <f>AND(NhatkyBan!#REF!,"AAAAAH9/35E=")</f>
        <v>#REF!</v>
      </c>
      <c r="EQ105" t="e">
        <f>AND(NhatkyBan!#REF!,"AAAAAH9/35I=")</f>
        <v>#REF!</v>
      </c>
      <c r="ER105" t="e">
        <f>AND(NhatkyBan!#REF!,"AAAAAH9/35M=")</f>
        <v>#REF!</v>
      </c>
      <c r="ES105" t="e">
        <f>AND(NhatkyBan!#REF!,"AAAAAH9/35Q=")</f>
        <v>#REF!</v>
      </c>
      <c r="ET105" t="e">
        <f>AND(NhatkyBan!#REF!,"AAAAAH9/35U=")</f>
        <v>#REF!</v>
      </c>
      <c r="EU105" t="e">
        <f>AND(NhatkyBan!#REF!,"AAAAAH9/35Y=")</f>
        <v>#REF!</v>
      </c>
      <c r="EV105" t="e">
        <f>AND(NhatkyBan!#REF!,"AAAAAH9/35c=")</f>
        <v>#REF!</v>
      </c>
      <c r="EW105" t="e">
        <f>AND(NhatkyBan!#REF!,"AAAAAH9/35g=")</f>
        <v>#REF!</v>
      </c>
      <c r="EX105" t="e">
        <f>AND(NhatkyBan!#REF!,"AAAAAH9/35k=")</f>
        <v>#REF!</v>
      </c>
      <c r="EY105" t="e">
        <f>AND(NhatkyBan!#REF!,"AAAAAH9/35o=")</f>
        <v>#REF!</v>
      </c>
      <c r="EZ105" t="e">
        <f>AND(NhatkyBan!#REF!,"AAAAAH9/35s=")</f>
        <v>#REF!</v>
      </c>
      <c r="FA105" t="e">
        <f>AND(NhatkyBan!#REF!,"AAAAAH9/35w=")</f>
        <v>#REF!</v>
      </c>
      <c r="FB105" t="e">
        <f>AND(NhatkyBan!#REF!,"AAAAAH9/350=")</f>
        <v>#REF!</v>
      </c>
      <c r="FC105" t="e">
        <f>AND(NhatkyBan!#REF!,"AAAAAH9/354=")</f>
        <v>#REF!</v>
      </c>
      <c r="FD105" t="e">
        <f>AND(NhatkyBan!#REF!,"AAAAAH9/358=")</f>
        <v>#REF!</v>
      </c>
      <c r="FE105" t="e">
        <f>AND(NhatkyBan!#REF!,"AAAAAH9/36A=")</f>
        <v>#REF!</v>
      </c>
      <c r="FF105" t="e">
        <f>AND(NhatkyBan!#REF!,"AAAAAH9/36E=")</f>
        <v>#REF!</v>
      </c>
      <c r="FG105" t="e">
        <f>AND(NhatkyBan!#REF!,"AAAAAH9/36I=")</f>
        <v>#REF!</v>
      </c>
      <c r="FH105" t="e">
        <f>AND(NhatkyBan!#REF!,"AAAAAH9/36M=")</f>
        <v>#REF!</v>
      </c>
      <c r="FI105" t="e">
        <f>AND(NhatkyBan!#REF!,"AAAAAH9/36Q=")</f>
        <v>#REF!</v>
      </c>
      <c r="FJ105" t="e">
        <f>AND(NhatkyBan!#REF!,"AAAAAH9/36U=")</f>
        <v>#REF!</v>
      </c>
      <c r="FK105" t="e">
        <f>IF(NhatkyBan!#REF!,"AAAAAH9/36Y=",0)</f>
        <v>#REF!</v>
      </c>
      <c r="FL105" t="e">
        <f>AND(NhatkyBan!#REF!,"AAAAAH9/36c=")</f>
        <v>#REF!</v>
      </c>
      <c r="FM105" t="e">
        <f>AND(NhatkyBan!#REF!,"AAAAAH9/36g=")</f>
        <v>#REF!</v>
      </c>
      <c r="FN105" t="e">
        <f>AND(NhatkyBan!#REF!,"AAAAAH9/36k=")</f>
        <v>#REF!</v>
      </c>
      <c r="FO105" t="e">
        <f>AND(NhatkyBan!#REF!,"AAAAAH9/36o=")</f>
        <v>#REF!</v>
      </c>
      <c r="FP105" t="e">
        <f>AND(NhatkyBan!#REF!,"AAAAAH9/36s=")</f>
        <v>#REF!</v>
      </c>
      <c r="FQ105" t="e">
        <f>AND(NhatkyBan!#REF!,"AAAAAH9/36w=")</f>
        <v>#REF!</v>
      </c>
      <c r="FR105" t="e">
        <f>AND(NhatkyBan!#REF!,"AAAAAH9/360=")</f>
        <v>#REF!</v>
      </c>
      <c r="FS105" t="e">
        <f>AND(NhatkyBan!#REF!,"AAAAAH9/364=")</f>
        <v>#REF!</v>
      </c>
      <c r="FT105" t="e">
        <f>AND(NhatkyBan!#REF!,"AAAAAH9/368=")</f>
        <v>#REF!</v>
      </c>
      <c r="FU105" t="e">
        <f>AND(NhatkyBan!#REF!,"AAAAAH9/37A=")</f>
        <v>#REF!</v>
      </c>
      <c r="FV105" t="e">
        <f>AND(NhatkyBan!#REF!,"AAAAAH9/37E=")</f>
        <v>#REF!</v>
      </c>
      <c r="FW105" t="e">
        <f>AND(NhatkyBan!#REF!,"AAAAAH9/37I=")</f>
        <v>#REF!</v>
      </c>
      <c r="FX105" t="e">
        <f>AND(NhatkyBan!#REF!,"AAAAAH9/37M=")</f>
        <v>#REF!</v>
      </c>
      <c r="FY105" t="e">
        <f>AND(NhatkyBan!#REF!,"AAAAAH9/37Q=")</f>
        <v>#REF!</v>
      </c>
      <c r="FZ105" t="e">
        <f>AND(NhatkyBan!#REF!,"AAAAAH9/37U=")</f>
        <v>#REF!</v>
      </c>
      <c r="GA105" t="e">
        <f>AND(NhatkyBan!#REF!,"AAAAAH9/37Y=")</f>
        <v>#REF!</v>
      </c>
      <c r="GB105" t="e">
        <f>AND(NhatkyBan!#REF!,"AAAAAH9/37c=")</f>
        <v>#REF!</v>
      </c>
      <c r="GC105" t="e">
        <f>AND(NhatkyBan!#REF!,"AAAAAH9/37g=")</f>
        <v>#REF!</v>
      </c>
      <c r="GD105" t="e">
        <f>AND(NhatkyBan!#REF!,"AAAAAH9/37k=")</f>
        <v>#REF!</v>
      </c>
      <c r="GE105" t="e">
        <f>AND(NhatkyBan!#REF!,"AAAAAH9/37o=")</f>
        <v>#REF!</v>
      </c>
      <c r="GF105" t="e">
        <f>AND(NhatkyBan!#REF!,"AAAAAH9/37s=")</f>
        <v>#REF!</v>
      </c>
      <c r="GG105" t="e">
        <f>AND(NhatkyBan!#REF!,"AAAAAH9/37w=")</f>
        <v>#REF!</v>
      </c>
      <c r="GH105" t="e">
        <f>AND(NhatkyBan!#REF!,"AAAAAH9/370=")</f>
        <v>#REF!</v>
      </c>
      <c r="GI105" t="e">
        <f>AND(NhatkyBan!#REF!,"AAAAAH9/374=")</f>
        <v>#REF!</v>
      </c>
      <c r="GJ105" t="e">
        <f>AND(NhatkyBan!#REF!,"AAAAAH9/378=")</f>
        <v>#REF!</v>
      </c>
      <c r="GK105" t="e">
        <f>AND(NhatkyBan!#REF!,"AAAAAH9/38A=")</f>
        <v>#REF!</v>
      </c>
      <c r="GL105" t="e">
        <f>AND(NhatkyBan!#REF!,"AAAAAH9/38E=")</f>
        <v>#REF!</v>
      </c>
      <c r="GM105" t="e">
        <f>AND(NhatkyBan!#REF!,"AAAAAH9/38I=")</f>
        <v>#REF!</v>
      </c>
      <c r="GN105" t="e">
        <f>AND(NhatkyBan!#REF!,"AAAAAH9/38M=")</f>
        <v>#REF!</v>
      </c>
      <c r="GO105" t="e">
        <f>AND(NhatkyBan!#REF!,"AAAAAH9/38Q=")</f>
        <v>#REF!</v>
      </c>
      <c r="GP105" t="e">
        <f>AND(NhatkyBan!#REF!,"AAAAAH9/38U=")</f>
        <v>#REF!</v>
      </c>
      <c r="GQ105" t="e">
        <f>AND(NhatkyBan!#REF!,"AAAAAH9/38Y=")</f>
        <v>#REF!</v>
      </c>
      <c r="GR105" t="e">
        <f>AND(NhatkyBan!#REF!,"AAAAAH9/38c=")</f>
        <v>#REF!</v>
      </c>
      <c r="GS105" t="e">
        <f>AND(NhatkyBan!#REF!,"AAAAAH9/38g=")</f>
        <v>#REF!</v>
      </c>
      <c r="GT105" t="e">
        <f>IF(NhatkyBan!#REF!,"AAAAAH9/38k=",0)</f>
        <v>#REF!</v>
      </c>
      <c r="GU105" t="e">
        <f>AND(NhatkyBan!#REF!,"AAAAAH9/38o=")</f>
        <v>#REF!</v>
      </c>
      <c r="GV105" t="e">
        <f>AND(NhatkyBan!#REF!,"AAAAAH9/38s=")</f>
        <v>#REF!</v>
      </c>
      <c r="GW105" t="e">
        <f>AND(NhatkyBan!#REF!,"AAAAAH9/38w=")</f>
        <v>#REF!</v>
      </c>
      <c r="GX105" t="e">
        <f>AND(NhatkyBan!#REF!,"AAAAAH9/380=")</f>
        <v>#REF!</v>
      </c>
      <c r="GY105" t="e">
        <f>AND(NhatkyBan!#REF!,"AAAAAH9/384=")</f>
        <v>#REF!</v>
      </c>
      <c r="GZ105" t="e">
        <f>AND(NhatkyBan!#REF!,"AAAAAH9/388=")</f>
        <v>#REF!</v>
      </c>
      <c r="HA105" t="e">
        <f>AND(NhatkyBan!#REF!,"AAAAAH9/39A=")</f>
        <v>#REF!</v>
      </c>
      <c r="HB105" t="e">
        <f>AND(NhatkyBan!#REF!,"AAAAAH9/39E=")</f>
        <v>#REF!</v>
      </c>
      <c r="HC105" t="e">
        <f>AND(NhatkyBan!#REF!,"AAAAAH9/39I=")</f>
        <v>#REF!</v>
      </c>
      <c r="HD105" t="e">
        <f>AND(NhatkyBan!#REF!,"AAAAAH9/39M=")</f>
        <v>#REF!</v>
      </c>
      <c r="HE105" t="e">
        <f>AND(NhatkyBan!#REF!,"AAAAAH9/39Q=")</f>
        <v>#REF!</v>
      </c>
      <c r="HF105" t="e">
        <f>AND(NhatkyBan!#REF!,"AAAAAH9/39U=")</f>
        <v>#REF!</v>
      </c>
      <c r="HG105" t="e">
        <f>AND(NhatkyBan!#REF!,"AAAAAH9/39Y=")</f>
        <v>#REF!</v>
      </c>
      <c r="HH105" t="e">
        <f>AND(NhatkyBan!#REF!,"AAAAAH9/39c=")</f>
        <v>#REF!</v>
      </c>
      <c r="HI105" t="e">
        <f>AND(NhatkyBan!#REF!,"AAAAAH9/39g=")</f>
        <v>#REF!</v>
      </c>
      <c r="HJ105" t="e">
        <f>AND(NhatkyBan!#REF!,"AAAAAH9/39k=")</f>
        <v>#REF!</v>
      </c>
      <c r="HK105" t="e">
        <f>AND(NhatkyBan!#REF!,"AAAAAH9/39o=")</f>
        <v>#REF!</v>
      </c>
      <c r="HL105" t="e">
        <f>AND(NhatkyBan!#REF!,"AAAAAH9/39s=")</f>
        <v>#REF!</v>
      </c>
      <c r="HM105" t="e">
        <f>AND(NhatkyBan!#REF!,"AAAAAH9/39w=")</f>
        <v>#REF!</v>
      </c>
      <c r="HN105" t="e">
        <f>AND(NhatkyBan!#REF!,"AAAAAH9/390=")</f>
        <v>#REF!</v>
      </c>
      <c r="HO105" t="e">
        <f>AND(NhatkyBan!#REF!,"AAAAAH9/394=")</f>
        <v>#REF!</v>
      </c>
      <c r="HP105" t="e">
        <f>AND(NhatkyBan!#REF!,"AAAAAH9/398=")</f>
        <v>#REF!</v>
      </c>
      <c r="HQ105" t="e">
        <f>AND(NhatkyBan!#REF!,"AAAAAH9/3+A=")</f>
        <v>#REF!</v>
      </c>
      <c r="HR105" t="e">
        <f>AND(NhatkyBan!#REF!,"AAAAAH9/3+E=")</f>
        <v>#REF!</v>
      </c>
      <c r="HS105" t="e">
        <f>AND(NhatkyBan!#REF!,"AAAAAH9/3+I=")</f>
        <v>#REF!</v>
      </c>
      <c r="HT105" t="e">
        <f>AND(NhatkyBan!#REF!,"AAAAAH9/3+M=")</f>
        <v>#REF!</v>
      </c>
      <c r="HU105" t="e">
        <f>AND(NhatkyBan!#REF!,"AAAAAH9/3+Q=")</f>
        <v>#REF!</v>
      </c>
      <c r="HV105" t="e">
        <f>AND(NhatkyBan!#REF!,"AAAAAH9/3+U=")</f>
        <v>#REF!</v>
      </c>
      <c r="HW105" t="e">
        <f>AND(NhatkyBan!#REF!,"AAAAAH9/3+Y=")</f>
        <v>#REF!</v>
      </c>
      <c r="HX105" t="e">
        <f>AND(NhatkyBan!#REF!,"AAAAAH9/3+c=")</f>
        <v>#REF!</v>
      </c>
      <c r="HY105" t="e">
        <f>AND(NhatkyBan!#REF!,"AAAAAH9/3+g=")</f>
        <v>#REF!</v>
      </c>
      <c r="HZ105" t="e">
        <f>AND(NhatkyBan!#REF!,"AAAAAH9/3+k=")</f>
        <v>#REF!</v>
      </c>
      <c r="IA105" t="e">
        <f>AND(NhatkyBan!#REF!,"AAAAAH9/3+o=")</f>
        <v>#REF!</v>
      </c>
      <c r="IB105" t="e">
        <f>AND(NhatkyBan!#REF!,"AAAAAH9/3+s=")</f>
        <v>#REF!</v>
      </c>
      <c r="IC105" t="e">
        <f>IF(NhatkyBan!#REF!,"AAAAAH9/3+w=",0)</f>
        <v>#REF!</v>
      </c>
      <c r="ID105" t="e">
        <f>AND(NhatkyBan!#REF!,"AAAAAH9/3+0=")</f>
        <v>#REF!</v>
      </c>
      <c r="IE105" t="e">
        <f>AND(NhatkyBan!#REF!,"AAAAAH9/3+4=")</f>
        <v>#REF!</v>
      </c>
      <c r="IF105" t="e">
        <f>AND(NhatkyBan!#REF!,"AAAAAH9/3+8=")</f>
        <v>#REF!</v>
      </c>
      <c r="IG105" t="e">
        <f>AND(NhatkyBan!#REF!,"AAAAAH9/3/A=")</f>
        <v>#REF!</v>
      </c>
      <c r="IH105" t="e">
        <f>AND(NhatkyBan!#REF!,"AAAAAH9/3/E=")</f>
        <v>#REF!</v>
      </c>
      <c r="II105" t="e">
        <f>AND(NhatkyBan!#REF!,"AAAAAH9/3/I=")</f>
        <v>#REF!</v>
      </c>
      <c r="IJ105" t="e">
        <f>AND(NhatkyBan!#REF!,"AAAAAH9/3/M=")</f>
        <v>#REF!</v>
      </c>
      <c r="IK105" t="e">
        <f>AND(NhatkyBan!#REF!,"AAAAAH9/3/Q=")</f>
        <v>#REF!</v>
      </c>
      <c r="IL105" t="e">
        <f>AND(NhatkyBan!#REF!,"AAAAAH9/3/U=")</f>
        <v>#REF!</v>
      </c>
      <c r="IM105" t="e">
        <f>AND(NhatkyBan!#REF!,"AAAAAH9/3/Y=")</f>
        <v>#REF!</v>
      </c>
      <c r="IN105" t="e">
        <f>AND(NhatkyBan!#REF!,"AAAAAH9/3/c=")</f>
        <v>#REF!</v>
      </c>
      <c r="IO105" t="e">
        <f>AND(NhatkyBan!#REF!,"AAAAAH9/3/g=")</f>
        <v>#REF!</v>
      </c>
      <c r="IP105" t="e">
        <f>AND(NhatkyBan!#REF!,"AAAAAH9/3/k=")</f>
        <v>#REF!</v>
      </c>
      <c r="IQ105" t="e">
        <f>AND(NhatkyBan!#REF!,"AAAAAH9/3/o=")</f>
        <v>#REF!</v>
      </c>
      <c r="IR105" t="e">
        <f>AND(NhatkyBan!#REF!,"AAAAAH9/3/s=")</f>
        <v>#REF!</v>
      </c>
      <c r="IS105" t="e">
        <f>AND(NhatkyBan!#REF!,"AAAAAH9/3/w=")</f>
        <v>#REF!</v>
      </c>
      <c r="IT105" t="e">
        <f>AND(NhatkyBan!#REF!,"AAAAAH9/3/0=")</f>
        <v>#REF!</v>
      </c>
      <c r="IU105" t="e">
        <f>AND(NhatkyBan!#REF!,"AAAAAH9/3/4=")</f>
        <v>#REF!</v>
      </c>
      <c r="IV105" t="e">
        <f>AND(NhatkyBan!#REF!,"AAAAAH9/3/8=")</f>
        <v>#REF!</v>
      </c>
    </row>
    <row r="106" spans="1:256">
      <c r="A106" t="e">
        <f>AND(NhatkyBan!#REF!,"AAAAAG233QA=")</f>
        <v>#REF!</v>
      </c>
      <c r="B106" t="e">
        <f>AND(NhatkyBan!#REF!,"AAAAAG233QE=")</f>
        <v>#REF!</v>
      </c>
      <c r="C106" t="e">
        <f>AND(NhatkyBan!#REF!,"AAAAAG233QI=")</f>
        <v>#REF!</v>
      </c>
      <c r="D106" t="e">
        <f>AND(NhatkyBan!#REF!,"AAAAAG233QM=")</f>
        <v>#REF!</v>
      </c>
      <c r="E106" t="e">
        <f>AND(NhatkyBan!#REF!,"AAAAAG233QQ=")</f>
        <v>#REF!</v>
      </c>
      <c r="F106" t="e">
        <f>AND(NhatkyBan!#REF!,"AAAAAG233QU=")</f>
        <v>#REF!</v>
      </c>
      <c r="G106" t="e">
        <f>AND(NhatkyBan!#REF!,"AAAAAG233QY=")</f>
        <v>#REF!</v>
      </c>
      <c r="H106" t="e">
        <f>AND(NhatkyBan!#REF!,"AAAAAG233Qc=")</f>
        <v>#REF!</v>
      </c>
      <c r="I106" t="e">
        <f>AND(NhatkyBan!#REF!,"AAAAAG233Qg=")</f>
        <v>#REF!</v>
      </c>
      <c r="J106" t="e">
        <f>AND(NhatkyBan!#REF!,"AAAAAG233Qk=")</f>
        <v>#REF!</v>
      </c>
      <c r="K106" t="e">
        <f>AND(NhatkyBan!#REF!,"AAAAAG233Qo=")</f>
        <v>#REF!</v>
      </c>
      <c r="L106" t="e">
        <f>AND(NhatkyBan!#REF!,"AAAAAG233Qs=")</f>
        <v>#REF!</v>
      </c>
      <c r="M106" t="e">
        <f>AND(NhatkyBan!#REF!,"AAAAAG233Qw=")</f>
        <v>#REF!</v>
      </c>
      <c r="N106" t="e">
        <f>AND(NhatkyBan!#REF!,"AAAAAG233Q0=")</f>
        <v>#REF!</v>
      </c>
      <c r="O106" t="e">
        <f>AND(NhatkyBan!#REF!,"AAAAAG233Q4=")</f>
        <v>#REF!</v>
      </c>
      <c r="P106" t="e">
        <f>IF(NhatkyBan!#REF!,"AAAAAG233Q8=",0)</f>
        <v>#REF!</v>
      </c>
      <c r="Q106" t="e">
        <f>AND(NhatkyBan!#REF!,"AAAAAG233RA=")</f>
        <v>#REF!</v>
      </c>
      <c r="R106" t="e">
        <f>AND(NhatkyBan!#REF!,"AAAAAG233RE=")</f>
        <v>#REF!</v>
      </c>
      <c r="S106" t="e">
        <f>AND(NhatkyBan!#REF!,"AAAAAG233RI=")</f>
        <v>#REF!</v>
      </c>
      <c r="T106" t="e">
        <f>AND(NhatkyBan!#REF!,"AAAAAG233RM=")</f>
        <v>#REF!</v>
      </c>
      <c r="U106" t="e">
        <f>AND(NhatkyBan!#REF!,"AAAAAG233RQ=")</f>
        <v>#REF!</v>
      </c>
      <c r="V106" t="e">
        <f>AND(NhatkyBan!#REF!,"AAAAAG233RU=")</f>
        <v>#REF!</v>
      </c>
      <c r="W106" t="e">
        <f>AND(NhatkyBan!#REF!,"AAAAAG233RY=")</f>
        <v>#REF!</v>
      </c>
      <c r="X106" t="e">
        <f>AND(NhatkyBan!#REF!,"AAAAAG233Rc=")</f>
        <v>#REF!</v>
      </c>
      <c r="Y106" t="e">
        <f>AND(NhatkyBan!#REF!,"AAAAAG233Rg=")</f>
        <v>#REF!</v>
      </c>
      <c r="Z106" t="e">
        <f>AND(NhatkyBan!#REF!,"AAAAAG233Rk=")</f>
        <v>#REF!</v>
      </c>
      <c r="AA106" t="e">
        <f>AND(NhatkyBan!#REF!,"AAAAAG233Ro=")</f>
        <v>#REF!</v>
      </c>
      <c r="AB106" t="e">
        <f>AND(NhatkyBan!#REF!,"AAAAAG233Rs=")</f>
        <v>#REF!</v>
      </c>
      <c r="AC106" t="e">
        <f>AND(NhatkyBan!#REF!,"AAAAAG233Rw=")</f>
        <v>#REF!</v>
      </c>
      <c r="AD106" t="e">
        <f>AND(NhatkyBan!#REF!,"AAAAAG233R0=")</f>
        <v>#REF!</v>
      </c>
      <c r="AE106" t="e">
        <f>AND(NhatkyBan!#REF!,"AAAAAG233R4=")</f>
        <v>#REF!</v>
      </c>
      <c r="AF106" t="e">
        <f>AND(NhatkyBan!#REF!,"AAAAAG233R8=")</f>
        <v>#REF!</v>
      </c>
      <c r="AG106" t="e">
        <f>AND(NhatkyBan!#REF!,"AAAAAG233SA=")</f>
        <v>#REF!</v>
      </c>
      <c r="AH106" t="e">
        <f>AND(NhatkyBan!#REF!,"AAAAAG233SE=")</f>
        <v>#REF!</v>
      </c>
      <c r="AI106" t="e">
        <f>AND(NhatkyBan!#REF!,"AAAAAG233SI=")</f>
        <v>#REF!</v>
      </c>
      <c r="AJ106" t="e">
        <f>AND(NhatkyBan!#REF!,"AAAAAG233SM=")</f>
        <v>#REF!</v>
      </c>
      <c r="AK106" t="e">
        <f>AND(NhatkyBan!#REF!,"AAAAAG233SQ=")</f>
        <v>#REF!</v>
      </c>
      <c r="AL106" t="e">
        <f>AND(NhatkyBan!#REF!,"AAAAAG233SU=")</f>
        <v>#REF!</v>
      </c>
      <c r="AM106" t="e">
        <f>AND(NhatkyBan!#REF!,"AAAAAG233SY=")</f>
        <v>#REF!</v>
      </c>
      <c r="AN106" t="e">
        <f>AND(NhatkyBan!#REF!,"AAAAAG233Sc=")</f>
        <v>#REF!</v>
      </c>
      <c r="AO106" t="e">
        <f>AND(NhatkyBan!#REF!,"AAAAAG233Sg=")</f>
        <v>#REF!</v>
      </c>
      <c r="AP106" t="e">
        <f>AND(NhatkyBan!#REF!,"AAAAAG233Sk=")</f>
        <v>#REF!</v>
      </c>
      <c r="AQ106" t="e">
        <f>AND(NhatkyBan!#REF!,"AAAAAG233So=")</f>
        <v>#REF!</v>
      </c>
      <c r="AR106" t="e">
        <f>AND(NhatkyBan!#REF!,"AAAAAG233Ss=")</f>
        <v>#REF!</v>
      </c>
      <c r="AS106" t="e">
        <f>AND(NhatkyBan!#REF!,"AAAAAG233Sw=")</f>
        <v>#REF!</v>
      </c>
      <c r="AT106" t="e">
        <f>AND(NhatkyBan!#REF!,"AAAAAG233S0=")</f>
        <v>#REF!</v>
      </c>
      <c r="AU106" t="e">
        <f>AND(NhatkyBan!#REF!,"AAAAAG233S4=")</f>
        <v>#REF!</v>
      </c>
      <c r="AV106" t="e">
        <f>AND(NhatkyBan!#REF!,"AAAAAG233S8=")</f>
        <v>#REF!</v>
      </c>
      <c r="AW106" t="e">
        <f>AND(NhatkyBan!#REF!,"AAAAAG233TA=")</f>
        <v>#REF!</v>
      </c>
      <c r="AX106" t="e">
        <f>AND(NhatkyBan!#REF!,"AAAAAG233TE=")</f>
        <v>#REF!</v>
      </c>
      <c r="AY106" t="e">
        <f>IF(NhatkyBan!#REF!,"AAAAAG233TI=",0)</f>
        <v>#REF!</v>
      </c>
      <c r="AZ106" t="e">
        <f>AND(NhatkyBan!#REF!,"AAAAAG233TM=")</f>
        <v>#REF!</v>
      </c>
      <c r="BA106" t="e">
        <f>AND(NhatkyBan!#REF!,"AAAAAG233TQ=")</f>
        <v>#REF!</v>
      </c>
      <c r="BB106" t="e">
        <f>AND(NhatkyBan!#REF!,"AAAAAG233TU=")</f>
        <v>#REF!</v>
      </c>
      <c r="BC106" t="e">
        <f>AND(NhatkyBan!#REF!,"AAAAAG233TY=")</f>
        <v>#REF!</v>
      </c>
      <c r="BD106" t="e">
        <f>AND(NhatkyBan!#REF!,"AAAAAG233Tc=")</f>
        <v>#REF!</v>
      </c>
      <c r="BE106" t="e">
        <f>AND(NhatkyBan!#REF!,"AAAAAG233Tg=")</f>
        <v>#REF!</v>
      </c>
      <c r="BF106" t="e">
        <f>AND(NhatkyBan!#REF!,"AAAAAG233Tk=")</f>
        <v>#REF!</v>
      </c>
      <c r="BG106" t="e">
        <f>AND(NhatkyBan!#REF!,"AAAAAG233To=")</f>
        <v>#REF!</v>
      </c>
      <c r="BH106" t="e">
        <f>AND(NhatkyBan!#REF!,"AAAAAG233Ts=")</f>
        <v>#REF!</v>
      </c>
      <c r="BI106" t="e">
        <f>AND(NhatkyBan!#REF!,"AAAAAG233Tw=")</f>
        <v>#REF!</v>
      </c>
      <c r="BJ106" t="e">
        <f>AND(NhatkyBan!#REF!,"AAAAAG233T0=")</f>
        <v>#REF!</v>
      </c>
      <c r="BK106" t="e">
        <f>AND(NhatkyBan!#REF!,"AAAAAG233T4=")</f>
        <v>#REF!</v>
      </c>
      <c r="BL106" t="e">
        <f>AND(NhatkyBan!#REF!,"AAAAAG233T8=")</f>
        <v>#REF!</v>
      </c>
      <c r="BM106" t="e">
        <f>AND(NhatkyBan!#REF!,"AAAAAG233UA=")</f>
        <v>#REF!</v>
      </c>
      <c r="BN106" t="e">
        <f>AND(NhatkyBan!#REF!,"AAAAAG233UE=")</f>
        <v>#REF!</v>
      </c>
      <c r="BO106" t="e">
        <f>AND(NhatkyBan!#REF!,"AAAAAG233UI=")</f>
        <v>#REF!</v>
      </c>
      <c r="BP106" t="e">
        <f>AND(NhatkyBan!#REF!,"AAAAAG233UM=")</f>
        <v>#REF!</v>
      </c>
      <c r="BQ106" t="e">
        <f>AND(NhatkyBan!#REF!,"AAAAAG233UQ=")</f>
        <v>#REF!</v>
      </c>
      <c r="BR106" t="e">
        <f>AND(NhatkyBan!#REF!,"AAAAAG233UU=")</f>
        <v>#REF!</v>
      </c>
      <c r="BS106" t="e">
        <f>AND(NhatkyBan!#REF!,"AAAAAG233UY=")</f>
        <v>#REF!</v>
      </c>
      <c r="BT106" t="e">
        <f>AND(NhatkyBan!#REF!,"AAAAAG233Uc=")</f>
        <v>#REF!</v>
      </c>
      <c r="BU106" t="e">
        <f>AND(NhatkyBan!#REF!,"AAAAAG233Ug=")</f>
        <v>#REF!</v>
      </c>
      <c r="BV106" t="e">
        <f>AND(NhatkyBan!#REF!,"AAAAAG233Uk=")</f>
        <v>#REF!</v>
      </c>
      <c r="BW106" t="e">
        <f>AND(NhatkyBan!#REF!,"AAAAAG233Uo=")</f>
        <v>#REF!</v>
      </c>
      <c r="BX106" t="e">
        <f>AND(NhatkyBan!#REF!,"AAAAAG233Us=")</f>
        <v>#REF!</v>
      </c>
      <c r="BY106" t="e">
        <f>AND(NhatkyBan!#REF!,"AAAAAG233Uw=")</f>
        <v>#REF!</v>
      </c>
      <c r="BZ106" t="e">
        <f>AND(NhatkyBan!#REF!,"AAAAAG233U0=")</f>
        <v>#REF!</v>
      </c>
      <c r="CA106" t="e">
        <f>AND(NhatkyBan!#REF!,"AAAAAG233U4=")</f>
        <v>#REF!</v>
      </c>
      <c r="CB106" t="e">
        <f>AND(NhatkyBan!#REF!,"AAAAAG233U8=")</f>
        <v>#REF!</v>
      </c>
      <c r="CC106" t="e">
        <f>AND(NhatkyBan!#REF!,"AAAAAG233VA=")</f>
        <v>#REF!</v>
      </c>
      <c r="CD106" t="e">
        <f>AND(NhatkyBan!#REF!,"AAAAAG233VE=")</f>
        <v>#REF!</v>
      </c>
      <c r="CE106" t="e">
        <f>AND(NhatkyBan!#REF!,"AAAAAG233VI=")</f>
        <v>#REF!</v>
      </c>
      <c r="CF106" t="e">
        <f>AND(NhatkyBan!#REF!,"AAAAAG233VM=")</f>
        <v>#REF!</v>
      </c>
      <c r="CG106" t="e">
        <f>AND(NhatkyBan!#REF!,"AAAAAG233VQ=")</f>
        <v>#REF!</v>
      </c>
      <c r="CH106" t="e">
        <f>IF(NhatkyBan!#REF!,"AAAAAG233VU=",0)</f>
        <v>#REF!</v>
      </c>
      <c r="CI106" t="e">
        <f>AND(NhatkyBan!#REF!,"AAAAAG233VY=")</f>
        <v>#REF!</v>
      </c>
      <c r="CJ106" t="e">
        <f>AND(NhatkyBan!#REF!,"AAAAAG233Vc=")</f>
        <v>#REF!</v>
      </c>
      <c r="CK106" t="e">
        <f>AND(NhatkyBan!#REF!,"AAAAAG233Vg=")</f>
        <v>#REF!</v>
      </c>
      <c r="CL106" t="e">
        <f>AND(NhatkyBan!#REF!,"AAAAAG233Vk=")</f>
        <v>#REF!</v>
      </c>
      <c r="CM106" t="e">
        <f>AND(NhatkyBan!#REF!,"AAAAAG233Vo=")</f>
        <v>#REF!</v>
      </c>
      <c r="CN106" t="e">
        <f>AND(NhatkyBan!#REF!,"AAAAAG233Vs=")</f>
        <v>#REF!</v>
      </c>
      <c r="CO106" t="e">
        <f>AND(NhatkyBan!#REF!,"AAAAAG233Vw=")</f>
        <v>#REF!</v>
      </c>
      <c r="CP106" t="e">
        <f>AND(NhatkyBan!#REF!,"AAAAAG233V0=")</f>
        <v>#REF!</v>
      </c>
      <c r="CQ106" t="e">
        <f>AND(NhatkyBan!#REF!,"AAAAAG233V4=")</f>
        <v>#REF!</v>
      </c>
      <c r="CR106" t="e">
        <f>AND(NhatkyBan!#REF!,"AAAAAG233V8=")</f>
        <v>#REF!</v>
      </c>
      <c r="CS106" t="e">
        <f>AND(NhatkyBan!#REF!,"AAAAAG233WA=")</f>
        <v>#REF!</v>
      </c>
      <c r="CT106" t="e">
        <f>AND(NhatkyBan!#REF!,"AAAAAG233WE=")</f>
        <v>#REF!</v>
      </c>
      <c r="CU106" t="e">
        <f>AND(NhatkyBan!#REF!,"AAAAAG233WI=")</f>
        <v>#REF!</v>
      </c>
      <c r="CV106" t="e">
        <f>AND(NhatkyBan!#REF!,"AAAAAG233WM=")</f>
        <v>#REF!</v>
      </c>
      <c r="CW106" t="e">
        <f>AND(NhatkyBan!#REF!,"AAAAAG233WQ=")</f>
        <v>#REF!</v>
      </c>
      <c r="CX106" t="e">
        <f>AND(NhatkyBan!#REF!,"AAAAAG233WU=")</f>
        <v>#REF!</v>
      </c>
      <c r="CY106" t="e">
        <f>AND(NhatkyBan!#REF!,"AAAAAG233WY=")</f>
        <v>#REF!</v>
      </c>
      <c r="CZ106" t="e">
        <f>AND(NhatkyBan!#REF!,"AAAAAG233Wc=")</f>
        <v>#REF!</v>
      </c>
      <c r="DA106" t="e">
        <f>AND(NhatkyBan!#REF!,"AAAAAG233Wg=")</f>
        <v>#REF!</v>
      </c>
      <c r="DB106" t="e">
        <f>AND(NhatkyBan!#REF!,"AAAAAG233Wk=")</f>
        <v>#REF!</v>
      </c>
      <c r="DC106" t="e">
        <f>AND(NhatkyBan!#REF!,"AAAAAG233Wo=")</f>
        <v>#REF!</v>
      </c>
      <c r="DD106" t="e">
        <f>AND(NhatkyBan!#REF!,"AAAAAG233Ws=")</f>
        <v>#REF!</v>
      </c>
      <c r="DE106" t="e">
        <f>AND(NhatkyBan!#REF!,"AAAAAG233Ww=")</f>
        <v>#REF!</v>
      </c>
      <c r="DF106" t="e">
        <f>AND(NhatkyBan!#REF!,"AAAAAG233W0=")</f>
        <v>#REF!</v>
      </c>
      <c r="DG106" t="e">
        <f>AND(NhatkyBan!#REF!,"AAAAAG233W4=")</f>
        <v>#REF!</v>
      </c>
      <c r="DH106" t="e">
        <f>AND(NhatkyBan!#REF!,"AAAAAG233W8=")</f>
        <v>#REF!</v>
      </c>
      <c r="DI106" t="e">
        <f>AND(NhatkyBan!#REF!,"AAAAAG233XA=")</f>
        <v>#REF!</v>
      </c>
      <c r="DJ106" t="e">
        <f>AND(NhatkyBan!#REF!,"AAAAAG233XE=")</f>
        <v>#REF!</v>
      </c>
      <c r="DK106" t="e">
        <f>AND(NhatkyBan!#REF!,"AAAAAG233XI=")</f>
        <v>#REF!</v>
      </c>
      <c r="DL106" t="e">
        <f>AND(NhatkyBan!#REF!,"AAAAAG233XM=")</f>
        <v>#REF!</v>
      </c>
      <c r="DM106" t="e">
        <f>AND(NhatkyBan!#REF!,"AAAAAG233XQ=")</f>
        <v>#REF!</v>
      </c>
      <c r="DN106" t="e">
        <f>AND(NhatkyBan!#REF!,"AAAAAG233XU=")</f>
        <v>#REF!</v>
      </c>
      <c r="DO106" t="e">
        <f>AND(NhatkyBan!#REF!,"AAAAAG233XY=")</f>
        <v>#REF!</v>
      </c>
      <c r="DP106" t="e">
        <f>AND(NhatkyBan!#REF!,"AAAAAG233Xc=")</f>
        <v>#REF!</v>
      </c>
      <c r="DQ106" t="e">
        <f>IF(NhatkyBan!#REF!,"AAAAAG233Xg=",0)</f>
        <v>#REF!</v>
      </c>
      <c r="DR106" t="e">
        <f>AND(NhatkyBan!#REF!,"AAAAAG233Xk=")</f>
        <v>#REF!</v>
      </c>
      <c r="DS106" t="e">
        <f>AND(NhatkyBan!#REF!,"AAAAAG233Xo=")</f>
        <v>#REF!</v>
      </c>
      <c r="DT106" t="e">
        <f>AND(NhatkyBan!#REF!,"AAAAAG233Xs=")</f>
        <v>#REF!</v>
      </c>
      <c r="DU106" t="e">
        <f>AND(NhatkyBan!#REF!,"AAAAAG233Xw=")</f>
        <v>#REF!</v>
      </c>
      <c r="DV106" t="e">
        <f>AND(NhatkyBan!#REF!,"AAAAAG233X0=")</f>
        <v>#REF!</v>
      </c>
      <c r="DW106" t="e">
        <f>AND(NhatkyBan!#REF!,"AAAAAG233X4=")</f>
        <v>#REF!</v>
      </c>
      <c r="DX106" t="e">
        <f>AND(NhatkyBan!#REF!,"AAAAAG233X8=")</f>
        <v>#REF!</v>
      </c>
      <c r="DY106" t="e">
        <f>AND(NhatkyBan!#REF!,"AAAAAG233YA=")</f>
        <v>#REF!</v>
      </c>
      <c r="DZ106" t="e">
        <f>AND(NhatkyBan!#REF!,"AAAAAG233YE=")</f>
        <v>#REF!</v>
      </c>
      <c r="EA106" t="e">
        <f>AND(NhatkyBan!#REF!,"AAAAAG233YI=")</f>
        <v>#REF!</v>
      </c>
      <c r="EB106" t="e">
        <f>AND(NhatkyBan!#REF!,"AAAAAG233YM=")</f>
        <v>#REF!</v>
      </c>
      <c r="EC106" t="e">
        <f>AND(NhatkyBan!#REF!,"AAAAAG233YQ=")</f>
        <v>#REF!</v>
      </c>
      <c r="ED106" t="e">
        <f>AND(NhatkyBan!#REF!,"AAAAAG233YU=")</f>
        <v>#REF!</v>
      </c>
      <c r="EE106" t="e">
        <f>AND(NhatkyBan!#REF!,"AAAAAG233YY=")</f>
        <v>#REF!</v>
      </c>
      <c r="EF106" t="e">
        <f>AND(NhatkyBan!#REF!,"AAAAAG233Yc=")</f>
        <v>#REF!</v>
      </c>
      <c r="EG106" t="e">
        <f>AND(NhatkyBan!#REF!,"AAAAAG233Yg=")</f>
        <v>#REF!</v>
      </c>
      <c r="EH106" t="e">
        <f>AND(NhatkyBan!#REF!,"AAAAAG233Yk=")</f>
        <v>#REF!</v>
      </c>
      <c r="EI106" t="e">
        <f>AND(NhatkyBan!#REF!,"AAAAAG233Yo=")</f>
        <v>#REF!</v>
      </c>
      <c r="EJ106" t="e">
        <f>AND(NhatkyBan!#REF!,"AAAAAG233Ys=")</f>
        <v>#REF!</v>
      </c>
      <c r="EK106" t="e">
        <f>AND(NhatkyBan!#REF!,"AAAAAG233Yw=")</f>
        <v>#REF!</v>
      </c>
      <c r="EL106" t="e">
        <f>AND(NhatkyBan!#REF!,"AAAAAG233Y0=")</f>
        <v>#REF!</v>
      </c>
      <c r="EM106" t="e">
        <f>AND(NhatkyBan!#REF!,"AAAAAG233Y4=")</f>
        <v>#REF!</v>
      </c>
      <c r="EN106" t="e">
        <f>AND(NhatkyBan!#REF!,"AAAAAG233Y8=")</f>
        <v>#REF!</v>
      </c>
      <c r="EO106" t="e">
        <f>AND(NhatkyBan!#REF!,"AAAAAG233ZA=")</f>
        <v>#REF!</v>
      </c>
      <c r="EP106" t="e">
        <f>AND(NhatkyBan!#REF!,"AAAAAG233ZE=")</f>
        <v>#REF!</v>
      </c>
      <c r="EQ106" t="e">
        <f>AND(NhatkyBan!#REF!,"AAAAAG233ZI=")</f>
        <v>#REF!</v>
      </c>
      <c r="ER106" t="e">
        <f>AND(NhatkyBan!#REF!,"AAAAAG233ZM=")</f>
        <v>#REF!</v>
      </c>
      <c r="ES106" t="e">
        <f>AND(NhatkyBan!#REF!,"AAAAAG233ZQ=")</f>
        <v>#REF!</v>
      </c>
      <c r="ET106" t="e">
        <f>AND(NhatkyBan!#REF!,"AAAAAG233ZU=")</f>
        <v>#REF!</v>
      </c>
      <c r="EU106" t="e">
        <f>AND(NhatkyBan!#REF!,"AAAAAG233ZY=")</f>
        <v>#REF!</v>
      </c>
      <c r="EV106" t="e">
        <f>AND(NhatkyBan!#REF!,"AAAAAG233Zc=")</f>
        <v>#REF!</v>
      </c>
      <c r="EW106" t="e">
        <f>AND(NhatkyBan!#REF!,"AAAAAG233Zg=")</f>
        <v>#REF!</v>
      </c>
      <c r="EX106" t="e">
        <f>AND(NhatkyBan!#REF!,"AAAAAG233Zk=")</f>
        <v>#REF!</v>
      </c>
      <c r="EY106" t="e">
        <f>AND(NhatkyBan!#REF!,"AAAAAG233Zo=")</f>
        <v>#REF!</v>
      </c>
      <c r="EZ106" t="e">
        <f>IF(NhatkyBan!#REF!,"AAAAAG233Zs=",0)</f>
        <v>#REF!</v>
      </c>
      <c r="FA106" t="e">
        <f>AND(NhatkyBan!#REF!,"AAAAAG233Zw=")</f>
        <v>#REF!</v>
      </c>
      <c r="FB106" t="e">
        <f>AND(NhatkyBan!#REF!,"AAAAAG233Z0=")</f>
        <v>#REF!</v>
      </c>
      <c r="FC106" t="e">
        <f>AND(NhatkyBan!#REF!,"AAAAAG233Z4=")</f>
        <v>#REF!</v>
      </c>
      <c r="FD106" t="e">
        <f>AND(NhatkyBan!#REF!,"AAAAAG233Z8=")</f>
        <v>#REF!</v>
      </c>
      <c r="FE106" t="e">
        <f>AND(NhatkyBan!#REF!,"AAAAAG233aA=")</f>
        <v>#REF!</v>
      </c>
      <c r="FF106" t="e">
        <f>AND(NhatkyBan!#REF!,"AAAAAG233aE=")</f>
        <v>#REF!</v>
      </c>
      <c r="FG106" t="e">
        <f>AND(NhatkyBan!#REF!,"AAAAAG233aI=")</f>
        <v>#REF!</v>
      </c>
      <c r="FH106" t="e">
        <f>AND(NhatkyBan!#REF!,"AAAAAG233aM=")</f>
        <v>#REF!</v>
      </c>
      <c r="FI106" t="e">
        <f>AND(NhatkyBan!#REF!,"AAAAAG233aQ=")</f>
        <v>#REF!</v>
      </c>
      <c r="FJ106" t="e">
        <f>AND(NhatkyBan!#REF!,"AAAAAG233aU=")</f>
        <v>#REF!</v>
      </c>
      <c r="FK106" t="e">
        <f>AND(NhatkyBan!#REF!,"AAAAAG233aY=")</f>
        <v>#REF!</v>
      </c>
      <c r="FL106" t="e">
        <f>AND(NhatkyBan!#REF!,"AAAAAG233ac=")</f>
        <v>#REF!</v>
      </c>
      <c r="FM106" t="e">
        <f>AND(NhatkyBan!#REF!,"AAAAAG233ag=")</f>
        <v>#REF!</v>
      </c>
      <c r="FN106" t="e">
        <f>AND(NhatkyBan!#REF!,"AAAAAG233ak=")</f>
        <v>#REF!</v>
      </c>
      <c r="FO106" t="e">
        <f>AND(NhatkyBan!#REF!,"AAAAAG233ao=")</f>
        <v>#REF!</v>
      </c>
      <c r="FP106" t="e">
        <f>AND(NhatkyBan!#REF!,"AAAAAG233as=")</f>
        <v>#REF!</v>
      </c>
      <c r="FQ106" t="e">
        <f>AND(NhatkyBan!#REF!,"AAAAAG233aw=")</f>
        <v>#REF!</v>
      </c>
      <c r="FR106" t="e">
        <f>AND(NhatkyBan!#REF!,"AAAAAG233a0=")</f>
        <v>#REF!</v>
      </c>
      <c r="FS106" t="e">
        <f>AND(NhatkyBan!#REF!,"AAAAAG233a4=")</f>
        <v>#REF!</v>
      </c>
      <c r="FT106" t="e">
        <f>AND(NhatkyBan!#REF!,"AAAAAG233a8=")</f>
        <v>#REF!</v>
      </c>
      <c r="FU106" t="e">
        <f>AND(NhatkyBan!#REF!,"AAAAAG233bA=")</f>
        <v>#REF!</v>
      </c>
      <c r="FV106" t="e">
        <f>AND(NhatkyBan!#REF!,"AAAAAG233bE=")</f>
        <v>#REF!</v>
      </c>
      <c r="FW106" t="e">
        <f>AND(NhatkyBan!#REF!,"AAAAAG233bI=")</f>
        <v>#REF!</v>
      </c>
      <c r="FX106" t="e">
        <f>AND(NhatkyBan!#REF!,"AAAAAG233bM=")</f>
        <v>#REF!</v>
      </c>
      <c r="FY106" t="e">
        <f>AND(NhatkyBan!#REF!,"AAAAAG233bQ=")</f>
        <v>#REF!</v>
      </c>
      <c r="FZ106" t="e">
        <f>AND(NhatkyBan!#REF!,"AAAAAG233bU=")</f>
        <v>#REF!</v>
      </c>
      <c r="GA106" t="e">
        <f>AND(NhatkyBan!#REF!,"AAAAAG233bY=")</f>
        <v>#REF!</v>
      </c>
      <c r="GB106" t="e">
        <f>AND(NhatkyBan!#REF!,"AAAAAG233bc=")</f>
        <v>#REF!</v>
      </c>
      <c r="GC106" t="e">
        <f>AND(NhatkyBan!#REF!,"AAAAAG233bg=")</f>
        <v>#REF!</v>
      </c>
      <c r="GD106" t="e">
        <f>AND(NhatkyBan!#REF!,"AAAAAG233bk=")</f>
        <v>#REF!</v>
      </c>
      <c r="GE106" t="e">
        <f>AND(NhatkyBan!#REF!,"AAAAAG233bo=")</f>
        <v>#REF!</v>
      </c>
      <c r="GF106" t="e">
        <f>AND(NhatkyBan!#REF!,"AAAAAG233bs=")</f>
        <v>#REF!</v>
      </c>
      <c r="GG106" t="e">
        <f>AND(NhatkyBan!#REF!,"AAAAAG233bw=")</f>
        <v>#REF!</v>
      </c>
      <c r="GH106" t="e">
        <f>AND(NhatkyBan!#REF!,"AAAAAG233b0=")</f>
        <v>#REF!</v>
      </c>
      <c r="GI106" t="e">
        <f>IF(NhatkyBan!#REF!,"AAAAAG233b4=",0)</f>
        <v>#REF!</v>
      </c>
      <c r="GJ106" t="e">
        <f>AND(NhatkyBan!#REF!,"AAAAAG233b8=")</f>
        <v>#REF!</v>
      </c>
      <c r="GK106" t="e">
        <f>AND(NhatkyBan!#REF!,"AAAAAG233cA=")</f>
        <v>#REF!</v>
      </c>
      <c r="GL106" t="e">
        <f>AND(NhatkyBan!#REF!,"AAAAAG233cE=")</f>
        <v>#REF!</v>
      </c>
      <c r="GM106" t="e">
        <f>AND(NhatkyBan!#REF!,"AAAAAG233cI=")</f>
        <v>#REF!</v>
      </c>
      <c r="GN106" t="e">
        <f>AND(NhatkyBan!#REF!,"AAAAAG233cM=")</f>
        <v>#REF!</v>
      </c>
      <c r="GO106" t="e">
        <f>AND(NhatkyBan!#REF!,"AAAAAG233cQ=")</f>
        <v>#REF!</v>
      </c>
      <c r="GP106" t="e">
        <f>AND(NhatkyBan!#REF!,"AAAAAG233cU=")</f>
        <v>#REF!</v>
      </c>
      <c r="GQ106" t="e">
        <f>AND(NhatkyBan!#REF!,"AAAAAG233cY=")</f>
        <v>#REF!</v>
      </c>
      <c r="GR106" t="e">
        <f>AND(NhatkyBan!#REF!,"AAAAAG233cc=")</f>
        <v>#REF!</v>
      </c>
      <c r="GS106" t="e">
        <f>AND(NhatkyBan!#REF!,"AAAAAG233cg=")</f>
        <v>#REF!</v>
      </c>
      <c r="GT106" t="e">
        <f>AND(NhatkyBan!#REF!,"AAAAAG233ck=")</f>
        <v>#REF!</v>
      </c>
      <c r="GU106" t="e">
        <f>AND(NhatkyBan!#REF!,"AAAAAG233co=")</f>
        <v>#REF!</v>
      </c>
      <c r="GV106" t="e">
        <f>AND(NhatkyBan!#REF!,"AAAAAG233cs=")</f>
        <v>#REF!</v>
      </c>
      <c r="GW106" t="e">
        <f>AND(NhatkyBan!#REF!,"AAAAAG233cw=")</f>
        <v>#REF!</v>
      </c>
      <c r="GX106" t="e">
        <f>AND(NhatkyBan!#REF!,"AAAAAG233c0=")</f>
        <v>#REF!</v>
      </c>
      <c r="GY106" t="e">
        <f>AND(NhatkyBan!#REF!,"AAAAAG233c4=")</f>
        <v>#REF!</v>
      </c>
      <c r="GZ106" t="e">
        <f>AND(NhatkyBan!#REF!,"AAAAAG233c8=")</f>
        <v>#REF!</v>
      </c>
      <c r="HA106" t="e">
        <f>AND(NhatkyBan!#REF!,"AAAAAG233dA=")</f>
        <v>#REF!</v>
      </c>
      <c r="HB106" t="e">
        <f>AND(NhatkyBan!#REF!,"AAAAAG233dE=")</f>
        <v>#REF!</v>
      </c>
      <c r="HC106" t="e">
        <f>AND(NhatkyBan!#REF!,"AAAAAG233dI=")</f>
        <v>#REF!</v>
      </c>
      <c r="HD106" t="e">
        <f>AND(NhatkyBan!#REF!,"AAAAAG233dM=")</f>
        <v>#REF!</v>
      </c>
      <c r="HE106" t="e">
        <f>AND(NhatkyBan!#REF!,"AAAAAG233dQ=")</f>
        <v>#REF!</v>
      </c>
      <c r="HF106" t="e">
        <f>AND(NhatkyBan!#REF!,"AAAAAG233dU=")</f>
        <v>#REF!</v>
      </c>
      <c r="HG106" t="e">
        <f>AND(NhatkyBan!#REF!,"AAAAAG233dY=")</f>
        <v>#REF!</v>
      </c>
      <c r="HH106" t="e">
        <f>AND(NhatkyBan!#REF!,"AAAAAG233dc=")</f>
        <v>#REF!</v>
      </c>
      <c r="HI106" t="e">
        <f>AND(NhatkyBan!#REF!,"AAAAAG233dg=")</f>
        <v>#REF!</v>
      </c>
      <c r="HJ106" t="e">
        <f>AND(NhatkyBan!#REF!,"AAAAAG233dk=")</f>
        <v>#REF!</v>
      </c>
      <c r="HK106" t="e">
        <f>AND(NhatkyBan!#REF!,"AAAAAG233do=")</f>
        <v>#REF!</v>
      </c>
      <c r="HL106" t="e">
        <f>AND(NhatkyBan!#REF!,"AAAAAG233ds=")</f>
        <v>#REF!</v>
      </c>
      <c r="HM106" t="e">
        <f>AND(NhatkyBan!#REF!,"AAAAAG233dw=")</f>
        <v>#REF!</v>
      </c>
      <c r="HN106" t="e">
        <f>AND(NhatkyBan!#REF!,"AAAAAG233d0=")</f>
        <v>#REF!</v>
      </c>
      <c r="HO106" t="e">
        <f>AND(NhatkyBan!#REF!,"AAAAAG233d4=")</f>
        <v>#REF!</v>
      </c>
      <c r="HP106" t="e">
        <f>AND(NhatkyBan!#REF!,"AAAAAG233d8=")</f>
        <v>#REF!</v>
      </c>
      <c r="HQ106" t="e">
        <f>AND(NhatkyBan!#REF!,"AAAAAG233eA=")</f>
        <v>#REF!</v>
      </c>
      <c r="HR106" t="e">
        <f>IF(NhatkyBan!#REF!,"AAAAAG233eE=",0)</f>
        <v>#REF!</v>
      </c>
      <c r="HS106" t="e">
        <f>AND(NhatkyBan!#REF!,"AAAAAG233eI=")</f>
        <v>#REF!</v>
      </c>
      <c r="HT106" t="e">
        <f>AND(NhatkyBan!#REF!,"AAAAAG233eM=")</f>
        <v>#REF!</v>
      </c>
      <c r="HU106" t="e">
        <f>AND(NhatkyBan!#REF!,"AAAAAG233eQ=")</f>
        <v>#REF!</v>
      </c>
      <c r="HV106" t="e">
        <f>AND(NhatkyBan!#REF!,"AAAAAG233eU=")</f>
        <v>#REF!</v>
      </c>
      <c r="HW106" t="e">
        <f>AND(NhatkyBan!#REF!,"AAAAAG233eY=")</f>
        <v>#REF!</v>
      </c>
      <c r="HX106" t="e">
        <f>AND(NhatkyBan!#REF!,"AAAAAG233ec=")</f>
        <v>#REF!</v>
      </c>
      <c r="HY106" t="e">
        <f>AND(NhatkyBan!#REF!,"AAAAAG233eg=")</f>
        <v>#REF!</v>
      </c>
      <c r="HZ106" t="e">
        <f>AND(NhatkyBan!#REF!,"AAAAAG233ek=")</f>
        <v>#REF!</v>
      </c>
      <c r="IA106" t="e">
        <f>AND(NhatkyBan!#REF!,"AAAAAG233eo=")</f>
        <v>#REF!</v>
      </c>
      <c r="IB106" t="e">
        <f>AND(NhatkyBan!#REF!,"AAAAAG233es=")</f>
        <v>#REF!</v>
      </c>
      <c r="IC106" t="e">
        <f>AND(NhatkyBan!#REF!,"AAAAAG233ew=")</f>
        <v>#REF!</v>
      </c>
      <c r="ID106" t="e">
        <f>AND(NhatkyBan!#REF!,"AAAAAG233e0=")</f>
        <v>#REF!</v>
      </c>
      <c r="IE106" t="e">
        <f>AND(NhatkyBan!#REF!,"AAAAAG233e4=")</f>
        <v>#REF!</v>
      </c>
      <c r="IF106" t="e">
        <f>AND(NhatkyBan!#REF!,"AAAAAG233e8=")</f>
        <v>#REF!</v>
      </c>
      <c r="IG106" t="e">
        <f>AND(NhatkyBan!#REF!,"AAAAAG233fA=")</f>
        <v>#REF!</v>
      </c>
      <c r="IH106" t="e">
        <f>AND(NhatkyBan!#REF!,"AAAAAG233fE=")</f>
        <v>#REF!</v>
      </c>
      <c r="II106" t="e">
        <f>AND(NhatkyBan!#REF!,"AAAAAG233fI=")</f>
        <v>#REF!</v>
      </c>
      <c r="IJ106" t="e">
        <f>AND(NhatkyBan!#REF!,"AAAAAG233fM=")</f>
        <v>#REF!</v>
      </c>
      <c r="IK106" t="e">
        <f>AND(NhatkyBan!#REF!,"AAAAAG233fQ=")</f>
        <v>#REF!</v>
      </c>
      <c r="IL106" t="e">
        <f>AND(NhatkyBan!#REF!,"AAAAAG233fU=")</f>
        <v>#REF!</v>
      </c>
      <c r="IM106" t="e">
        <f>AND(NhatkyBan!#REF!,"AAAAAG233fY=")</f>
        <v>#REF!</v>
      </c>
      <c r="IN106" t="e">
        <f>AND(NhatkyBan!#REF!,"AAAAAG233fc=")</f>
        <v>#REF!</v>
      </c>
      <c r="IO106" t="e">
        <f>AND(NhatkyBan!#REF!,"AAAAAG233fg=")</f>
        <v>#REF!</v>
      </c>
      <c r="IP106" t="e">
        <f>AND(NhatkyBan!#REF!,"AAAAAG233fk=")</f>
        <v>#REF!</v>
      </c>
      <c r="IQ106" t="e">
        <f>AND(NhatkyBan!#REF!,"AAAAAG233fo=")</f>
        <v>#REF!</v>
      </c>
      <c r="IR106" t="e">
        <f>AND(NhatkyBan!#REF!,"AAAAAG233fs=")</f>
        <v>#REF!</v>
      </c>
      <c r="IS106" t="e">
        <f>AND(NhatkyBan!#REF!,"AAAAAG233fw=")</f>
        <v>#REF!</v>
      </c>
      <c r="IT106" t="e">
        <f>AND(NhatkyBan!#REF!,"AAAAAG233f0=")</f>
        <v>#REF!</v>
      </c>
      <c r="IU106" t="e">
        <f>AND(NhatkyBan!#REF!,"AAAAAG233f4=")</f>
        <v>#REF!</v>
      </c>
      <c r="IV106" t="e">
        <f>AND(NhatkyBan!#REF!,"AAAAAG233f8=")</f>
        <v>#REF!</v>
      </c>
    </row>
    <row r="107" spans="1:256">
      <c r="A107" t="e">
        <f>AND(NhatkyBan!#REF!,"AAAAAE//uwA=")</f>
        <v>#REF!</v>
      </c>
      <c r="B107" t="e">
        <f>AND(NhatkyBan!#REF!,"AAAAAE//uwE=")</f>
        <v>#REF!</v>
      </c>
      <c r="C107" t="e">
        <f>AND(NhatkyBan!#REF!,"AAAAAE//uwI=")</f>
        <v>#REF!</v>
      </c>
      <c r="D107" t="e">
        <f>AND(NhatkyBan!#REF!,"AAAAAE//uwM=")</f>
        <v>#REF!</v>
      </c>
      <c r="E107" t="e">
        <f>IF(NhatkyBan!#REF!,"AAAAAE//uwQ=",0)</f>
        <v>#REF!</v>
      </c>
      <c r="F107" t="e">
        <f>AND(NhatkyBan!#REF!,"AAAAAE//uwU=")</f>
        <v>#REF!</v>
      </c>
      <c r="G107" t="e">
        <f>AND(NhatkyBan!#REF!,"AAAAAE//uwY=")</f>
        <v>#REF!</v>
      </c>
      <c r="H107" t="e">
        <f>AND(NhatkyBan!#REF!,"AAAAAE//uwc=")</f>
        <v>#REF!</v>
      </c>
      <c r="I107" t="e">
        <f>AND(NhatkyBan!#REF!,"AAAAAE//uwg=")</f>
        <v>#REF!</v>
      </c>
      <c r="J107" t="e">
        <f>AND(NhatkyBan!#REF!,"AAAAAE//uwk=")</f>
        <v>#REF!</v>
      </c>
      <c r="K107" t="e">
        <f>AND(NhatkyBan!#REF!,"AAAAAE//uwo=")</f>
        <v>#REF!</v>
      </c>
      <c r="L107" t="e">
        <f>AND(NhatkyBan!#REF!,"AAAAAE//uws=")</f>
        <v>#REF!</v>
      </c>
      <c r="M107" t="e">
        <f>AND(NhatkyBan!#REF!,"AAAAAE//uww=")</f>
        <v>#REF!</v>
      </c>
      <c r="N107" t="e">
        <f>AND(NhatkyBan!#REF!,"AAAAAE//uw0=")</f>
        <v>#REF!</v>
      </c>
      <c r="O107" t="e">
        <f>AND(NhatkyBan!#REF!,"AAAAAE//uw4=")</f>
        <v>#REF!</v>
      </c>
      <c r="P107" t="e">
        <f>AND(NhatkyBan!#REF!,"AAAAAE//uw8=")</f>
        <v>#REF!</v>
      </c>
      <c r="Q107" t="e">
        <f>AND(NhatkyBan!#REF!,"AAAAAE//uxA=")</f>
        <v>#REF!</v>
      </c>
      <c r="R107" t="e">
        <f>AND(NhatkyBan!#REF!,"AAAAAE//uxE=")</f>
        <v>#REF!</v>
      </c>
      <c r="S107" t="e">
        <f>AND(NhatkyBan!#REF!,"AAAAAE//uxI=")</f>
        <v>#REF!</v>
      </c>
      <c r="T107" t="e">
        <f>AND(NhatkyBan!#REF!,"AAAAAE//uxM=")</f>
        <v>#REF!</v>
      </c>
      <c r="U107" t="e">
        <f>AND(NhatkyBan!#REF!,"AAAAAE//uxQ=")</f>
        <v>#REF!</v>
      </c>
      <c r="V107" t="e">
        <f>AND(NhatkyBan!#REF!,"AAAAAE//uxU=")</f>
        <v>#REF!</v>
      </c>
      <c r="W107" t="e">
        <f>AND(NhatkyBan!#REF!,"AAAAAE//uxY=")</f>
        <v>#REF!</v>
      </c>
      <c r="X107" t="e">
        <f>AND(NhatkyBan!#REF!,"AAAAAE//uxc=")</f>
        <v>#REF!</v>
      </c>
      <c r="Y107" t="e">
        <f>AND(NhatkyBan!#REF!,"AAAAAE//uxg=")</f>
        <v>#REF!</v>
      </c>
      <c r="Z107" t="e">
        <f>AND(NhatkyBan!#REF!,"AAAAAE//uxk=")</f>
        <v>#REF!</v>
      </c>
      <c r="AA107" t="e">
        <f>AND(NhatkyBan!#REF!,"AAAAAE//uxo=")</f>
        <v>#REF!</v>
      </c>
      <c r="AB107" t="e">
        <f>AND(NhatkyBan!#REF!,"AAAAAE//uxs=")</f>
        <v>#REF!</v>
      </c>
      <c r="AC107" t="e">
        <f>AND(NhatkyBan!#REF!,"AAAAAE//uxw=")</f>
        <v>#REF!</v>
      </c>
      <c r="AD107" t="e">
        <f>AND(NhatkyBan!#REF!,"AAAAAE//ux0=")</f>
        <v>#REF!</v>
      </c>
      <c r="AE107" t="e">
        <f>AND(NhatkyBan!#REF!,"AAAAAE//ux4=")</f>
        <v>#REF!</v>
      </c>
      <c r="AF107" t="e">
        <f>AND(NhatkyBan!#REF!,"AAAAAE//ux8=")</f>
        <v>#REF!</v>
      </c>
      <c r="AG107" t="e">
        <f>AND(NhatkyBan!#REF!,"AAAAAE//uyA=")</f>
        <v>#REF!</v>
      </c>
      <c r="AH107" t="e">
        <f>AND(NhatkyBan!#REF!,"AAAAAE//uyE=")</f>
        <v>#REF!</v>
      </c>
      <c r="AI107" t="e">
        <f>AND(NhatkyBan!#REF!,"AAAAAE//uyI=")</f>
        <v>#REF!</v>
      </c>
      <c r="AJ107" t="e">
        <f>AND(NhatkyBan!#REF!,"AAAAAE//uyM=")</f>
        <v>#REF!</v>
      </c>
      <c r="AK107" t="e">
        <f>AND(NhatkyBan!#REF!,"AAAAAE//uyQ=")</f>
        <v>#REF!</v>
      </c>
      <c r="AL107" t="e">
        <f>AND(NhatkyBan!#REF!,"AAAAAE//uyU=")</f>
        <v>#REF!</v>
      </c>
      <c r="AM107" t="e">
        <f>AND(NhatkyBan!#REF!,"AAAAAE//uyY=")</f>
        <v>#REF!</v>
      </c>
      <c r="AN107" t="e">
        <f>IF(NhatkyBan!#REF!,"AAAAAE//uyc=",0)</f>
        <v>#REF!</v>
      </c>
      <c r="AO107" t="e">
        <f>AND(NhatkyBan!#REF!,"AAAAAE//uyg=")</f>
        <v>#REF!</v>
      </c>
      <c r="AP107" t="e">
        <f>AND(NhatkyBan!#REF!,"AAAAAE//uyk=")</f>
        <v>#REF!</v>
      </c>
      <c r="AQ107" t="e">
        <f>AND(NhatkyBan!#REF!,"AAAAAE//uyo=")</f>
        <v>#REF!</v>
      </c>
      <c r="AR107" t="e">
        <f>AND(NhatkyBan!#REF!,"AAAAAE//uys=")</f>
        <v>#REF!</v>
      </c>
      <c r="AS107" t="e">
        <f>AND(NhatkyBan!#REF!,"AAAAAE//uyw=")</f>
        <v>#REF!</v>
      </c>
      <c r="AT107" t="e">
        <f>AND(NhatkyBan!#REF!,"AAAAAE//uy0=")</f>
        <v>#REF!</v>
      </c>
      <c r="AU107" t="e">
        <f>AND(NhatkyBan!#REF!,"AAAAAE//uy4=")</f>
        <v>#REF!</v>
      </c>
      <c r="AV107" t="e">
        <f>AND(NhatkyBan!#REF!,"AAAAAE//uy8=")</f>
        <v>#REF!</v>
      </c>
      <c r="AW107" t="e">
        <f>AND(NhatkyBan!#REF!,"AAAAAE//uzA=")</f>
        <v>#REF!</v>
      </c>
      <c r="AX107" t="e">
        <f>AND(NhatkyBan!#REF!,"AAAAAE//uzE=")</f>
        <v>#REF!</v>
      </c>
      <c r="AY107" t="e">
        <f>AND(NhatkyBan!#REF!,"AAAAAE//uzI=")</f>
        <v>#REF!</v>
      </c>
      <c r="AZ107" t="e">
        <f>AND(NhatkyBan!#REF!,"AAAAAE//uzM=")</f>
        <v>#REF!</v>
      </c>
      <c r="BA107" t="e">
        <f>AND(NhatkyBan!#REF!,"AAAAAE//uzQ=")</f>
        <v>#REF!</v>
      </c>
      <c r="BB107" t="e">
        <f>AND(NhatkyBan!#REF!,"AAAAAE//uzU=")</f>
        <v>#REF!</v>
      </c>
      <c r="BC107" t="e">
        <f>AND(NhatkyBan!#REF!,"AAAAAE//uzY=")</f>
        <v>#REF!</v>
      </c>
      <c r="BD107" t="e">
        <f>AND(NhatkyBan!#REF!,"AAAAAE//uzc=")</f>
        <v>#REF!</v>
      </c>
      <c r="BE107" t="e">
        <f>AND(NhatkyBan!#REF!,"AAAAAE//uzg=")</f>
        <v>#REF!</v>
      </c>
      <c r="BF107" t="e">
        <f>AND(NhatkyBan!#REF!,"AAAAAE//uzk=")</f>
        <v>#REF!</v>
      </c>
      <c r="BG107" t="e">
        <f>AND(NhatkyBan!#REF!,"AAAAAE//uzo=")</f>
        <v>#REF!</v>
      </c>
      <c r="BH107" t="e">
        <f>AND(NhatkyBan!#REF!,"AAAAAE//uzs=")</f>
        <v>#REF!</v>
      </c>
      <c r="BI107" t="e">
        <f>AND(NhatkyBan!#REF!,"AAAAAE//uzw=")</f>
        <v>#REF!</v>
      </c>
      <c r="BJ107" t="e">
        <f>AND(NhatkyBan!#REF!,"AAAAAE//uz0=")</f>
        <v>#REF!</v>
      </c>
      <c r="BK107" t="e">
        <f>AND(NhatkyBan!#REF!,"AAAAAE//uz4=")</f>
        <v>#REF!</v>
      </c>
      <c r="BL107" t="e">
        <f>AND(NhatkyBan!#REF!,"AAAAAE//uz8=")</f>
        <v>#REF!</v>
      </c>
      <c r="BM107" t="e">
        <f>AND(NhatkyBan!#REF!,"AAAAAE//u0A=")</f>
        <v>#REF!</v>
      </c>
      <c r="BN107" t="e">
        <f>AND(NhatkyBan!#REF!,"AAAAAE//u0E=")</f>
        <v>#REF!</v>
      </c>
      <c r="BO107" t="e">
        <f>AND(NhatkyBan!#REF!,"AAAAAE//u0I=")</f>
        <v>#REF!</v>
      </c>
      <c r="BP107" t="e">
        <f>AND(NhatkyBan!#REF!,"AAAAAE//u0M=")</f>
        <v>#REF!</v>
      </c>
      <c r="BQ107" t="e">
        <f>AND(NhatkyBan!#REF!,"AAAAAE//u0Q=")</f>
        <v>#REF!</v>
      </c>
      <c r="BR107" t="e">
        <f>AND(NhatkyBan!#REF!,"AAAAAE//u0U=")</f>
        <v>#REF!</v>
      </c>
      <c r="BS107" t="e">
        <f>AND(NhatkyBan!#REF!,"AAAAAE//u0Y=")</f>
        <v>#REF!</v>
      </c>
      <c r="BT107" t="e">
        <f>AND(NhatkyBan!#REF!,"AAAAAE//u0c=")</f>
        <v>#REF!</v>
      </c>
      <c r="BU107" t="e">
        <f>AND(NhatkyBan!#REF!,"AAAAAE//u0g=")</f>
        <v>#REF!</v>
      </c>
      <c r="BV107" t="e">
        <f>AND(NhatkyBan!#REF!,"AAAAAE//u0k=")</f>
        <v>#REF!</v>
      </c>
      <c r="BW107" t="e">
        <f>IF(NhatkyBan!#REF!,"AAAAAE//u0o=",0)</f>
        <v>#REF!</v>
      </c>
      <c r="BX107" t="e">
        <f>AND(NhatkyBan!#REF!,"AAAAAE//u0s=")</f>
        <v>#REF!</v>
      </c>
      <c r="BY107" t="e">
        <f>AND(NhatkyBan!#REF!,"AAAAAE//u0w=")</f>
        <v>#REF!</v>
      </c>
      <c r="BZ107" t="e">
        <f>AND(NhatkyBan!#REF!,"AAAAAE//u00=")</f>
        <v>#REF!</v>
      </c>
      <c r="CA107" t="e">
        <f>AND(NhatkyBan!#REF!,"AAAAAE//u04=")</f>
        <v>#REF!</v>
      </c>
      <c r="CB107" t="e">
        <f>AND(NhatkyBan!#REF!,"AAAAAE//u08=")</f>
        <v>#REF!</v>
      </c>
      <c r="CC107" t="e">
        <f>AND(NhatkyBan!#REF!,"AAAAAE//u1A=")</f>
        <v>#REF!</v>
      </c>
      <c r="CD107" t="e">
        <f>AND(NhatkyBan!#REF!,"AAAAAE//u1E=")</f>
        <v>#REF!</v>
      </c>
      <c r="CE107" t="e">
        <f>AND(NhatkyBan!#REF!,"AAAAAE//u1I=")</f>
        <v>#REF!</v>
      </c>
      <c r="CF107" t="e">
        <f>AND(NhatkyBan!#REF!,"AAAAAE//u1M=")</f>
        <v>#REF!</v>
      </c>
      <c r="CG107" t="e">
        <f>AND(NhatkyBan!#REF!,"AAAAAE//u1Q=")</f>
        <v>#REF!</v>
      </c>
      <c r="CH107" t="e">
        <f>AND(NhatkyBan!#REF!,"AAAAAE//u1U=")</f>
        <v>#REF!</v>
      </c>
      <c r="CI107" t="e">
        <f>AND(NhatkyBan!#REF!,"AAAAAE//u1Y=")</f>
        <v>#REF!</v>
      </c>
      <c r="CJ107" t="e">
        <f>AND(NhatkyBan!#REF!,"AAAAAE//u1c=")</f>
        <v>#REF!</v>
      </c>
      <c r="CK107" t="e">
        <f>AND(NhatkyBan!#REF!,"AAAAAE//u1g=")</f>
        <v>#REF!</v>
      </c>
      <c r="CL107" t="e">
        <f>AND(NhatkyBan!#REF!,"AAAAAE//u1k=")</f>
        <v>#REF!</v>
      </c>
      <c r="CM107" t="e">
        <f>AND(NhatkyBan!#REF!,"AAAAAE//u1o=")</f>
        <v>#REF!</v>
      </c>
      <c r="CN107" t="e">
        <f>AND(NhatkyBan!#REF!,"AAAAAE//u1s=")</f>
        <v>#REF!</v>
      </c>
      <c r="CO107" t="e">
        <f>AND(NhatkyBan!#REF!,"AAAAAE//u1w=")</f>
        <v>#REF!</v>
      </c>
      <c r="CP107" t="e">
        <f>AND(NhatkyBan!#REF!,"AAAAAE//u10=")</f>
        <v>#REF!</v>
      </c>
      <c r="CQ107" t="e">
        <f>AND(NhatkyBan!#REF!,"AAAAAE//u14=")</f>
        <v>#REF!</v>
      </c>
      <c r="CR107" t="e">
        <f>AND(NhatkyBan!#REF!,"AAAAAE//u18=")</f>
        <v>#REF!</v>
      </c>
      <c r="CS107" t="e">
        <f>AND(NhatkyBan!#REF!,"AAAAAE//u2A=")</f>
        <v>#REF!</v>
      </c>
      <c r="CT107" t="e">
        <f>AND(NhatkyBan!#REF!,"AAAAAE//u2E=")</f>
        <v>#REF!</v>
      </c>
      <c r="CU107" t="e">
        <f>AND(NhatkyBan!#REF!,"AAAAAE//u2I=")</f>
        <v>#REF!</v>
      </c>
      <c r="CV107" t="e">
        <f>AND(NhatkyBan!#REF!,"AAAAAE//u2M=")</f>
        <v>#REF!</v>
      </c>
      <c r="CW107" t="e">
        <f>AND(NhatkyBan!#REF!,"AAAAAE//u2Q=")</f>
        <v>#REF!</v>
      </c>
      <c r="CX107" t="e">
        <f>AND(NhatkyBan!#REF!,"AAAAAE//u2U=")</f>
        <v>#REF!</v>
      </c>
      <c r="CY107" t="e">
        <f>AND(NhatkyBan!#REF!,"AAAAAE//u2Y=")</f>
        <v>#REF!</v>
      </c>
      <c r="CZ107" t="e">
        <f>AND(NhatkyBan!#REF!,"AAAAAE//u2c=")</f>
        <v>#REF!</v>
      </c>
      <c r="DA107" t="e">
        <f>AND(NhatkyBan!#REF!,"AAAAAE//u2g=")</f>
        <v>#REF!</v>
      </c>
      <c r="DB107" t="e">
        <f>AND(NhatkyBan!#REF!,"AAAAAE//u2k=")</f>
        <v>#REF!</v>
      </c>
      <c r="DC107" t="e">
        <f>AND(NhatkyBan!#REF!,"AAAAAE//u2o=")</f>
        <v>#REF!</v>
      </c>
      <c r="DD107" t="e">
        <f>AND(NhatkyBan!#REF!,"AAAAAE//u2s=")</f>
        <v>#REF!</v>
      </c>
      <c r="DE107" t="e">
        <f>AND(NhatkyBan!#REF!,"AAAAAE//u2w=")</f>
        <v>#REF!</v>
      </c>
      <c r="DF107" t="e">
        <f>IF(NhatkyBan!#REF!,"AAAAAE//u20=",0)</f>
        <v>#REF!</v>
      </c>
      <c r="DG107" t="e">
        <f>AND(NhatkyBan!#REF!,"AAAAAE//u24=")</f>
        <v>#REF!</v>
      </c>
      <c r="DH107" t="e">
        <f>AND(NhatkyBan!#REF!,"AAAAAE//u28=")</f>
        <v>#REF!</v>
      </c>
      <c r="DI107" t="e">
        <f>AND(NhatkyBan!#REF!,"AAAAAE//u3A=")</f>
        <v>#REF!</v>
      </c>
      <c r="DJ107" t="e">
        <f>AND(NhatkyBan!#REF!,"AAAAAE//u3E=")</f>
        <v>#REF!</v>
      </c>
      <c r="DK107" t="e">
        <f>AND(NhatkyBan!#REF!,"AAAAAE//u3I=")</f>
        <v>#REF!</v>
      </c>
      <c r="DL107" t="e">
        <f>AND(NhatkyBan!#REF!,"AAAAAE//u3M=")</f>
        <v>#REF!</v>
      </c>
      <c r="DM107" t="e">
        <f>AND(NhatkyBan!#REF!,"AAAAAE//u3Q=")</f>
        <v>#REF!</v>
      </c>
      <c r="DN107" t="e">
        <f>AND(NhatkyBan!#REF!,"AAAAAE//u3U=")</f>
        <v>#REF!</v>
      </c>
      <c r="DO107" t="e">
        <f>AND(NhatkyBan!#REF!,"AAAAAE//u3Y=")</f>
        <v>#REF!</v>
      </c>
      <c r="DP107" t="e">
        <f>AND(NhatkyBan!#REF!,"AAAAAE//u3c=")</f>
        <v>#REF!</v>
      </c>
      <c r="DQ107" t="e">
        <f>AND(NhatkyBan!#REF!,"AAAAAE//u3g=")</f>
        <v>#REF!</v>
      </c>
      <c r="DR107" t="e">
        <f>AND(NhatkyBan!#REF!,"AAAAAE//u3k=")</f>
        <v>#REF!</v>
      </c>
      <c r="DS107" t="e">
        <f>AND(NhatkyBan!#REF!,"AAAAAE//u3o=")</f>
        <v>#REF!</v>
      </c>
      <c r="DT107" t="e">
        <f>AND(NhatkyBan!#REF!,"AAAAAE//u3s=")</f>
        <v>#REF!</v>
      </c>
      <c r="DU107" t="e">
        <f>AND(NhatkyBan!#REF!,"AAAAAE//u3w=")</f>
        <v>#REF!</v>
      </c>
      <c r="DV107" t="e">
        <f>AND(NhatkyBan!#REF!,"AAAAAE//u30=")</f>
        <v>#REF!</v>
      </c>
      <c r="DW107" t="e">
        <f>AND(NhatkyBan!#REF!,"AAAAAE//u34=")</f>
        <v>#REF!</v>
      </c>
      <c r="DX107" t="e">
        <f>AND(NhatkyBan!#REF!,"AAAAAE//u38=")</f>
        <v>#REF!</v>
      </c>
      <c r="DY107" t="e">
        <f>AND(NhatkyBan!#REF!,"AAAAAE//u4A=")</f>
        <v>#REF!</v>
      </c>
      <c r="DZ107" t="e">
        <f>AND(NhatkyBan!#REF!,"AAAAAE//u4E=")</f>
        <v>#REF!</v>
      </c>
      <c r="EA107" t="e">
        <f>AND(NhatkyBan!#REF!,"AAAAAE//u4I=")</f>
        <v>#REF!</v>
      </c>
      <c r="EB107" t="e">
        <f>AND(NhatkyBan!#REF!,"AAAAAE//u4M=")</f>
        <v>#REF!</v>
      </c>
      <c r="EC107" t="e">
        <f>AND(NhatkyBan!#REF!,"AAAAAE//u4Q=")</f>
        <v>#REF!</v>
      </c>
      <c r="ED107" t="e">
        <f>AND(NhatkyBan!#REF!,"AAAAAE//u4U=")</f>
        <v>#REF!</v>
      </c>
      <c r="EE107" t="e">
        <f>AND(NhatkyBan!#REF!,"AAAAAE//u4Y=")</f>
        <v>#REF!</v>
      </c>
      <c r="EF107" t="e">
        <f>AND(NhatkyBan!#REF!,"AAAAAE//u4c=")</f>
        <v>#REF!</v>
      </c>
      <c r="EG107" t="e">
        <f>AND(NhatkyBan!#REF!,"AAAAAE//u4g=")</f>
        <v>#REF!</v>
      </c>
      <c r="EH107" t="e">
        <f>AND(NhatkyBan!#REF!,"AAAAAE//u4k=")</f>
        <v>#REF!</v>
      </c>
      <c r="EI107" t="e">
        <f>AND(NhatkyBan!#REF!,"AAAAAE//u4o=")</f>
        <v>#REF!</v>
      </c>
      <c r="EJ107" t="e">
        <f>AND(NhatkyBan!#REF!,"AAAAAE//u4s=")</f>
        <v>#REF!</v>
      </c>
      <c r="EK107" t="e">
        <f>AND(NhatkyBan!#REF!,"AAAAAE//u4w=")</f>
        <v>#REF!</v>
      </c>
      <c r="EL107" t="e">
        <f>AND(NhatkyBan!#REF!,"AAAAAE//u40=")</f>
        <v>#REF!</v>
      </c>
      <c r="EM107" t="e">
        <f>AND(NhatkyBan!#REF!,"AAAAAE//u44=")</f>
        <v>#REF!</v>
      </c>
      <c r="EN107" t="e">
        <f>AND(NhatkyBan!#REF!,"AAAAAE//u48=")</f>
        <v>#REF!</v>
      </c>
      <c r="EO107" t="e">
        <f>IF(NhatkyBan!#REF!,"AAAAAE//u5A=",0)</f>
        <v>#REF!</v>
      </c>
      <c r="EP107" t="e">
        <f>AND(NhatkyBan!#REF!,"AAAAAE//u5E=")</f>
        <v>#REF!</v>
      </c>
      <c r="EQ107" t="e">
        <f>AND(NhatkyBan!#REF!,"AAAAAE//u5I=")</f>
        <v>#REF!</v>
      </c>
      <c r="ER107" t="e">
        <f>AND(NhatkyBan!#REF!,"AAAAAE//u5M=")</f>
        <v>#REF!</v>
      </c>
      <c r="ES107" t="e">
        <f>AND(NhatkyBan!#REF!,"AAAAAE//u5Q=")</f>
        <v>#REF!</v>
      </c>
      <c r="ET107" t="e">
        <f>AND(NhatkyBan!#REF!,"AAAAAE//u5U=")</f>
        <v>#REF!</v>
      </c>
      <c r="EU107" t="e">
        <f>AND(NhatkyBan!#REF!,"AAAAAE//u5Y=")</f>
        <v>#REF!</v>
      </c>
      <c r="EV107" t="e">
        <f>AND(NhatkyBan!#REF!,"AAAAAE//u5c=")</f>
        <v>#REF!</v>
      </c>
      <c r="EW107" t="e">
        <f>AND(NhatkyBan!#REF!,"AAAAAE//u5g=")</f>
        <v>#REF!</v>
      </c>
      <c r="EX107" t="e">
        <f>AND(NhatkyBan!#REF!,"AAAAAE//u5k=")</f>
        <v>#REF!</v>
      </c>
      <c r="EY107" t="e">
        <f>AND(NhatkyBan!#REF!,"AAAAAE//u5o=")</f>
        <v>#REF!</v>
      </c>
      <c r="EZ107" t="e">
        <f>AND(NhatkyBan!#REF!,"AAAAAE//u5s=")</f>
        <v>#REF!</v>
      </c>
      <c r="FA107" t="e">
        <f>AND(NhatkyBan!#REF!,"AAAAAE//u5w=")</f>
        <v>#REF!</v>
      </c>
      <c r="FB107" t="e">
        <f>AND(NhatkyBan!#REF!,"AAAAAE//u50=")</f>
        <v>#REF!</v>
      </c>
      <c r="FC107" t="e">
        <f>AND(NhatkyBan!#REF!,"AAAAAE//u54=")</f>
        <v>#REF!</v>
      </c>
      <c r="FD107" t="e">
        <f>AND(NhatkyBan!#REF!,"AAAAAE//u58=")</f>
        <v>#REF!</v>
      </c>
      <c r="FE107" t="e">
        <f>AND(NhatkyBan!#REF!,"AAAAAE//u6A=")</f>
        <v>#REF!</v>
      </c>
      <c r="FF107" t="e">
        <f>AND(NhatkyBan!#REF!,"AAAAAE//u6E=")</f>
        <v>#REF!</v>
      </c>
      <c r="FG107" t="e">
        <f>AND(NhatkyBan!#REF!,"AAAAAE//u6I=")</f>
        <v>#REF!</v>
      </c>
      <c r="FH107" t="e">
        <f>AND(NhatkyBan!#REF!,"AAAAAE//u6M=")</f>
        <v>#REF!</v>
      </c>
      <c r="FI107" t="e">
        <f>AND(NhatkyBan!#REF!,"AAAAAE//u6Q=")</f>
        <v>#REF!</v>
      </c>
      <c r="FJ107" t="e">
        <f>AND(NhatkyBan!#REF!,"AAAAAE//u6U=")</f>
        <v>#REF!</v>
      </c>
      <c r="FK107" t="e">
        <f>AND(NhatkyBan!#REF!,"AAAAAE//u6Y=")</f>
        <v>#REF!</v>
      </c>
      <c r="FL107" t="e">
        <f>AND(NhatkyBan!#REF!,"AAAAAE//u6c=")</f>
        <v>#REF!</v>
      </c>
      <c r="FM107" t="e">
        <f>AND(NhatkyBan!#REF!,"AAAAAE//u6g=")</f>
        <v>#REF!</v>
      </c>
      <c r="FN107" t="e">
        <f>AND(NhatkyBan!#REF!,"AAAAAE//u6k=")</f>
        <v>#REF!</v>
      </c>
      <c r="FO107" t="e">
        <f>AND(NhatkyBan!#REF!,"AAAAAE//u6o=")</f>
        <v>#REF!</v>
      </c>
      <c r="FP107" t="e">
        <f>AND(NhatkyBan!#REF!,"AAAAAE//u6s=")</f>
        <v>#REF!</v>
      </c>
      <c r="FQ107" t="e">
        <f>AND(NhatkyBan!#REF!,"AAAAAE//u6w=")</f>
        <v>#REF!</v>
      </c>
      <c r="FR107" t="e">
        <f>AND(NhatkyBan!#REF!,"AAAAAE//u60=")</f>
        <v>#REF!</v>
      </c>
      <c r="FS107" t="e">
        <f>AND(NhatkyBan!#REF!,"AAAAAE//u64=")</f>
        <v>#REF!</v>
      </c>
      <c r="FT107" t="e">
        <f>AND(NhatkyBan!#REF!,"AAAAAE//u68=")</f>
        <v>#REF!</v>
      </c>
      <c r="FU107" t="e">
        <f>AND(NhatkyBan!#REF!,"AAAAAE//u7A=")</f>
        <v>#REF!</v>
      </c>
      <c r="FV107" t="e">
        <f>AND(NhatkyBan!#REF!,"AAAAAE//u7E=")</f>
        <v>#REF!</v>
      </c>
      <c r="FW107" t="e">
        <f>AND(NhatkyBan!#REF!,"AAAAAE//u7I=")</f>
        <v>#REF!</v>
      </c>
      <c r="FX107" t="e">
        <f>IF(NhatkyBan!#REF!,"AAAAAE//u7M=",0)</f>
        <v>#REF!</v>
      </c>
      <c r="FY107" t="e">
        <f>AND(NhatkyBan!#REF!,"AAAAAE//u7Q=")</f>
        <v>#REF!</v>
      </c>
      <c r="FZ107" t="e">
        <f>AND(NhatkyBan!#REF!,"AAAAAE//u7U=")</f>
        <v>#REF!</v>
      </c>
      <c r="GA107" t="e">
        <f>AND(NhatkyBan!#REF!,"AAAAAE//u7Y=")</f>
        <v>#REF!</v>
      </c>
      <c r="GB107" t="e">
        <f>AND(NhatkyBan!#REF!,"AAAAAE//u7c=")</f>
        <v>#REF!</v>
      </c>
      <c r="GC107" t="e">
        <f>AND(NhatkyBan!#REF!,"AAAAAE//u7g=")</f>
        <v>#REF!</v>
      </c>
      <c r="GD107" t="e">
        <f>AND(NhatkyBan!#REF!,"AAAAAE//u7k=")</f>
        <v>#REF!</v>
      </c>
      <c r="GE107" t="e">
        <f>AND(NhatkyBan!#REF!,"AAAAAE//u7o=")</f>
        <v>#REF!</v>
      </c>
      <c r="GF107" t="e">
        <f>AND(NhatkyBan!#REF!,"AAAAAE//u7s=")</f>
        <v>#REF!</v>
      </c>
      <c r="GG107" t="e">
        <f>AND(NhatkyBan!#REF!,"AAAAAE//u7w=")</f>
        <v>#REF!</v>
      </c>
      <c r="GH107" t="e">
        <f>AND(NhatkyBan!#REF!,"AAAAAE//u70=")</f>
        <v>#REF!</v>
      </c>
      <c r="GI107" t="e">
        <f>AND(NhatkyBan!#REF!,"AAAAAE//u74=")</f>
        <v>#REF!</v>
      </c>
      <c r="GJ107" t="e">
        <f>AND(NhatkyBan!#REF!,"AAAAAE//u78=")</f>
        <v>#REF!</v>
      </c>
      <c r="GK107" t="e">
        <f>AND(NhatkyBan!#REF!,"AAAAAE//u8A=")</f>
        <v>#REF!</v>
      </c>
      <c r="GL107" t="e">
        <f>AND(NhatkyBan!#REF!,"AAAAAE//u8E=")</f>
        <v>#REF!</v>
      </c>
      <c r="GM107" t="e">
        <f>AND(NhatkyBan!#REF!,"AAAAAE//u8I=")</f>
        <v>#REF!</v>
      </c>
      <c r="GN107" t="e">
        <f>AND(NhatkyBan!#REF!,"AAAAAE//u8M=")</f>
        <v>#REF!</v>
      </c>
      <c r="GO107" t="e">
        <f>AND(NhatkyBan!#REF!,"AAAAAE//u8Q=")</f>
        <v>#REF!</v>
      </c>
      <c r="GP107" t="e">
        <f>AND(NhatkyBan!#REF!,"AAAAAE//u8U=")</f>
        <v>#REF!</v>
      </c>
      <c r="GQ107" t="e">
        <f>AND(NhatkyBan!#REF!,"AAAAAE//u8Y=")</f>
        <v>#REF!</v>
      </c>
      <c r="GR107" t="e">
        <f>AND(NhatkyBan!#REF!,"AAAAAE//u8c=")</f>
        <v>#REF!</v>
      </c>
      <c r="GS107" t="e">
        <f>AND(NhatkyBan!#REF!,"AAAAAE//u8g=")</f>
        <v>#REF!</v>
      </c>
      <c r="GT107" t="e">
        <f>AND(NhatkyBan!#REF!,"AAAAAE//u8k=")</f>
        <v>#REF!</v>
      </c>
      <c r="GU107" t="e">
        <f>AND(NhatkyBan!#REF!,"AAAAAE//u8o=")</f>
        <v>#REF!</v>
      </c>
      <c r="GV107" t="e">
        <f>AND(NhatkyBan!#REF!,"AAAAAE//u8s=")</f>
        <v>#REF!</v>
      </c>
      <c r="GW107" t="e">
        <f>AND(NhatkyBan!#REF!,"AAAAAE//u8w=")</f>
        <v>#REF!</v>
      </c>
      <c r="GX107" t="e">
        <f>AND(NhatkyBan!#REF!,"AAAAAE//u80=")</f>
        <v>#REF!</v>
      </c>
      <c r="GY107" t="e">
        <f>AND(NhatkyBan!#REF!,"AAAAAE//u84=")</f>
        <v>#REF!</v>
      </c>
      <c r="GZ107" t="e">
        <f>AND(NhatkyBan!#REF!,"AAAAAE//u88=")</f>
        <v>#REF!</v>
      </c>
      <c r="HA107" t="e">
        <f>AND(NhatkyBan!#REF!,"AAAAAE//u9A=")</f>
        <v>#REF!</v>
      </c>
      <c r="HB107" t="e">
        <f>AND(NhatkyBan!#REF!,"AAAAAE//u9E=")</f>
        <v>#REF!</v>
      </c>
      <c r="HC107" t="e">
        <f>AND(NhatkyBan!#REF!,"AAAAAE//u9I=")</f>
        <v>#REF!</v>
      </c>
      <c r="HD107" t="e">
        <f>AND(NhatkyBan!#REF!,"AAAAAE//u9M=")</f>
        <v>#REF!</v>
      </c>
      <c r="HE107" t="e">
        <f>AND(NhatkyBan!#REF!,"AAAAAE//u9Q=")</f>
        <v>#REF!</v>
      </c>
      <c r="HF107" t="e">
        <f>AND(NhatkyBan!#REF!,"AAAAAE//u9U=")</f>
        <v>#REF!</v>
      </c>
      <c r="HG107" t="e">
        <f>IF(NhatkyBan!#REF!,"AAAAAE//u9Y=",0)</f>
        <v>#REF!</v>
      </c>
      <c r="HH107" t="e">
        <f>AND(NhatkyBan!#REF!,"AAAAAE//u9c=")</f>
        <v>#REF!</v>
      </c>
      <c r="HI107" t="e">
        <f>AND(NhatkyBan!#REF!,"AAAAAE//u9g=")</f>
        <v>#REF!</v>
      </c>
      <c r="HJ107" t="e">
        <f>AND(NhatkyBan!#REF!,"AAAAAE//u9k=")</f>
        <v>#REF!</v>
      </c>
      <c r="HK107" t="e">
        <f>AND(NhatkyBan!#REF!,"AAAAAE//u9o=")</f>
        <v>#REF!</v>
      </c>
      <c r="HL107" t="e">
        <f>AND(NhatkyBan!#REF!,"AAAAAE//u9s=")</f>
        <v>#REF!</v>
      </c>
      <c r="HM107" t="e">
        <f>AND(NhatkyBan!#REF!,"AAAAAE//u9w=")</f>
        <v>#REF!</v>
      </c>
      <c r="HN107" t="e">
        <f>AND(NhatkyBan!#REF!,"AAAAAE//u90=")</f>
        <v>#REF!</v>
      </c>
      <c r="HO107" t="e">
        <f>AND(NhatkyBan!#REF!,"AAAAAE//u94=")</f>
        <v>#REF!</v>
      </c>
      <c r="HP107" t="e">
        <f>AND(NhatkyBan!#REF!,"AAAAAE//u98=")</f>
        <v>#REF!</v>
      </c>
      <c r="HQ107" t="e">
        <f>AND(NhatkyBan!#REF!,"AAAAAE//u+A=")</f>
        <v>#REF!</v>
      </c>
      <c r="HR107" t="e">
        <f>AND(NhatkyBan!#REF!,"AAAAAE//u+E=")</f>
        <v>#REF!</v>
      </c>
      <c r="HS107" t="e">
        <f>AND(NhatkyBan!#REF!,"AAAAAE//u+I=")</f>
        <v>#REF!</v>
      </c>
      <c r="HT107" t="e">
        <f>AND(NhatkyBan!#REF!,"AAAAAE//u+M=")</f>
        <v>#REF!</v>
      </c>
      <c r="HU107" t="e">
        <f>AND(NhatkyBan!#REF!,"AAAAAE//u+Q=")</f>
        <v>#REF!</v>
      </c>
      <c r="HV107" t="e">
        <f>AND(NhatkyBan!#REF!,"AAAAAE//u+U=")</f>
        <v>#REF!</v>
      </c>
      <c r="HW107" t="e">
        <f>AND(NhatkyBan!#REF!,"AAAAAE//u+Y=")</f>
        <v>#REF!</v>
      </c>
      <c r="HX107" t="e">
        <f>AND(NhatkyBan!#REF!,"AAAAAE//u+c=")</f>
        <v>#REF!</v>
      </c>
      <c r="HY107" t="e">
        <f>AND(NhatkyBan!#REF!,"AAAAAE//u+g=")</f>
        <v>#REF!</v>
      </c>
      <c r="HZ107" t="e">
        <f>AND(NhatkyBan!#REF!,"AAAAAE//u+k=")</f>
        <v>#REF!</v>
      </c>
      <c r="IA107" t="e">
        <f>AND(NhatkyBan!#REF!,"AAAAAE//u+o=")</f>
        <v>#REF!</v>
      </c>
      <c r="IB107" t="e">
        <f>AND(NhatkyBan!#REF!,"AAAAAE//u+s=")</f>
        <v>#REF!</v>
      </c>
      <c r="IC107" t="e">
        <f>AND(NhatkyBan!#REF!,"AAAAAE//u+w=")</f>
        <v>#REF!</v>
      </c>
      <c r="ID107" t="e">
        <f>AND(NhatkyBan!#REF!,"AAAAAE//u+0=")</f>
        <v>#REF!</v>
      </c>
      <c r="IE107" t="e">
        <f>AND(NhatkyBan!#REF!,"AAAAAE//u+4=")</f>
        <v>#REF!</v>
      </c>
      <c r="IF107" t="e">
        <f>AND(NhatkyBan!#REF!,"AAAAAE//u+8=")</f>
        <v>#REF!</v>
      </c>
      <c r="IG107" t="e">
        <f>AND(NhatkyBan!#REF!,"AAAAAE//u/A=")</f>
        <v>#REF!</v>
      </c>
      <c r="IH107" t="e">
        <f>AND(NhatkyBan!#REF!,"AAAAAE//u/E=")</f>
        <v>#REF!</v>
      </c>
      <c r="II107" t="e">
        <f>AND(NhatkyBan!#REF!,"AAAAAE//u/I=")</f>
        <v>#REF!</v>
      </c>
      <c r="IJ107" t="e">
        <f>AND(NhatkyBan!#REF!,"AAAAAE//u/M=")</f>
        <v>#REF!</v>
      </c>
      <c r="IK107" t="e">
        <f>AND(NhatkyBan!#REF!,"AAAAAE//u/Q=")</f>
        <v>#REF!</v>
      </c>
      <c r="IL107" t="e">
        <f>AND(NhatkyBan!#REF!,"AAAAAE//u/U=")</f>
        <v>#REF!</v>
      </c>
      <c r="IM107" t="e">
        <f>AND(NhatkyBan!#REF!,"AAAAAE//u/Y=")</f>
        <v>#REF!</v>
      </c>
      <c r="IN107" t="e">
        <f>AND(NhatkyBan!#REF!,"AAAAAE//u/c=")</f>
        <v>#REF!</v>
      </c>
      <c r="IO107" t="e">
        <f>AND(NhatkyBan!#REF!,"AAAAAE//u/g=")</f>
        <v>#REF!</v>
      </c>
      <c r="IP107" t="e">
        <f>IF(NhatkyBan!#REF!,"AAAAAE//u/k=",0)</f>
        <v>#REF!</v>
      </c>
      <c r="IQ107" t="e">
        <f>AND(NhatkyBan!#REF!,"AAAAAE//u/o=")</f>
        <v>#REF!</v>
      </c>
      <c r="IR107" t="e">
        <f>AND(NhatkyBan!#REF!,"AAAAAE//u/s=")</f>
        <v>#REF!</v>
      </c>
      <c r="IS107" t="e">
        <f>AND(NhatkyBan!#REF!,"AAAAAE//u/w=")</f>
        <v>#REF!</v>
      </c>
      <c r="IT107" t="e">
        <f>AND(NhatkyBan!#REF!,"AAAAAE//u/0=")</f>
        <v>#REF!</v>
      </c>
      <c r="IU107" t="e">
        <f>AND(NhatkyBan!#REF!,"AAAAAE//u/4=")</f>
        <v>#REF!</v>
      </c>
      <c r="IV107" t="e">
        <f>AND(NhatkyBan!#REF!,"AAAAAE//u/8=")</f>
        <v>#REF!</v>
      </c>
    </row>
    <row r="108" spans="1:256">
      <c r="A108" t="e">
        <f>AND(NhatkyBan!#REF!,"AAAAABHPUwA=")</f>
        <v>#REF!</v>
      </c>
      <c r="B108" t="e">
        <f>AND(NhatkyBan!#REF!,"AAAAABHPUwE=")</f>
        <v>#REF!</v>
      </c>
      <c r="C108" t="e">
        <f>AND(NhatkyBan!#REF!,"AAAAABHPUwI=")</f>
        <v>#REF!</v>
      </c>
      <c r="D108" t="e">
        <f>AND(NhatkyBan!#REF!,"AAAAABHPUwM=")</f>
        <v>#REF!</v>
      </c>
      <c r="E108" t="e">
        <f>AND(NhatkyBan!#REF!,"AAAAABHPUwQ=")</f>
        <v>#REF!</v>
      </c>
      <c r="F108" t="e">
        <f>AND(NhatkyBan!#REF!,"AAAAABHPUwU=")</f>
        <v>#REF!</v>
      </c>
      <c r="G108" t="e">
        <f>AND(NhatkyBan!#REF!,"AAAAABHPUwY=")</f>
        <v>#REF!</v>
      </c>
      <c r="H108" t="e">
        <f>AND(NhatkyBan!#REF!,"AAAAABHPUwc=")</f>
        <v>#REF!</v>
      </c>
      <c r="I108" t="e">
        <f>AND(NhatkyBan!#REF!,"AAAAABHPUwg=")</f>
        <v>#REF!</v>
      </c>
      <c r="J108" t="e">
        <f>AND(NhatkyBan!#REF!,"AAAAABHPUwk=")</f>
        <v>#REF!</v>
      </c>
      <c r="K108" t="e">
        <f>AND(NhatkyBan!#REF!,"AAAAABHPUwo=")</f>
        <v>#REF!</v>
      </c>
      <c r="L108" t="e">
        <f>AND(NhatkyBan!#REF!,"AAAAABHPUws=")</f>
        <v>#REF!</v>
      </c>
      <c r="M108" t="e">
        <f>AND(NhatkyBan!#REF!,"AAAAABHPUww=")</f>
        <v>#REF!</v>
      </c>
      <c r="N108" t="e">
        <f>AND(NhatkyBan!#REF!,"AAAAABHPUw0=")</f>
        <v>#REF!</v>
      </c>
      <c r="O108" t="e">
        <f>AND(NhatkyBan!#REF!,"AAAAABHPUw4=")</f>
        <v>#REF!</v>
      </c>
      <c r="P108" t="e">
        <f>AND(NhatkyBan!#REF!,"AAAAABHPUw8=")</f>
        <v>#REF!</v>
      </c>
      <c r="Q108" t="e">
        <f>AND(NhatkyBan!#REF!,"AAAAABHPUxA=")</f>
        <v>#REF!</v>
      </c>
      <c r="R108" t="e">
        <f>AND(NhatkyBan!#REF!,"AAAAABHPUxE=")</f>
        <v>#REF!</v>
      </c>
      <c r="S108" t="e">
        <f>AND(NhatkyBan!#REF!,"AAAAABHPUxI=")</f>
        <v>#REF!</v>
      </c>
      <c r="T108" t="e">
        <f>AND(NhatkyBan!#REF!,"AAAAABHPUxM=")</f>
        <v>#REF!</v>
      </c>
      <c r="U108" t="e">
        <f>AND(NhatkyBan!#REF!,"AAAAABHPUxQ=")</f>
        <v>#REF!</v>
      </c>
      <c r="V108" t="e">
        <f>AND(NhatkyBan!#REF!,"AAAAABHPUxU=")</f>
        <v>#REF!</v>
      </c>
      <c r="W108" t="e">
        <f>AND(NhatkyBan!#REF!,"AAAAABHPUxY=")</f>
        <v>#REF!</v>
      </c>
      <c r="X108" t="e">
        <f>AND(NhatkyBan!#REF!,"AAAAABHPUxc=")</f>
        <v>#REF!</v>
      </c>
      <c r="Y108" t="e">
        <f>AND(NhatkyBan!#REF!,"AAAAABHPUxg=")</f>
        <v>#REF!</v>
      </c>
      <c r="Z108" t="e">
        <f>AND(NhatkyBan!#REF!,"AAAAABHPUxk=")</f>
        <v>#REF!</v>
      </c>
      <c r="AA108" t="e">
        <f>AND(NhatkyBan!#REF!,"AAAAABHPUxo=")</f>
        <v>#REF!</v>
      </c>
      <c r="AB108" t="e">
        <f>AND(NhatkyBan!#REF!,"AAAAABHPUxs=")</f>
        <v>#REF!</v>
      </c>
      <c r="AC108" t="e">
        <f>IF(NhatkyBan!#REF!,"AAAAABHPUxw=",0)</f>
        <v>#REF!</v>
      </c>
      <c r="AD108" t="e">
        <f>AND(NhatkyBan!#REF!,"AAAAABHPUx0=")</f>
        <v>#REF!</v>
      </c>
      <c r="AE108" t="e">
        <f>AND(NhatkyBan!#REF!,"AAAAABHPUx4=")</f>
        <v>#REF!</v>
      </c>
      <c r="AF108" t="e">
        <f>AND(NhatkyBan!#REF!,"AAAAABHPUx8=")</f>
        <v>#REF!</v>
      </c>
      <c r="AG108" t="e">
        <f>AND(NhatkyBan!#REF!,"AAAAABHPUyA=")</f>
        <v>#REF!</v>
      </c>
      <c r="AH108" t="e">
        <f>AND(NhatkyBan!#REF!,"AAAAABHPUyE=")</f>
        <v>#REF!</v>
      </c>
      <c r="AI108" t="e">
        <f>AND(NhatkyBan!#REF!,"AAAAABHPUyI=")</f>
        <v>#REF!</v>
      </c>
      <c r="AJ108" t="e">
        <f>AND(NhatkyBan!#REF!,"AAAAABHPUyM=")</f>
        <v>#REF!</v>
      </c>
      <c r="AK108" t="e">
        <f>AND(NhatkyBan!#REF!,"AAAAABHPUyQ=")</f>
        <v>#REF!</v>
      </c>
      <c r="AL108" t="e">
        <f>AND(NhatkyBan!#REF!,"AAAAABHPUyU=")</f>
        <v>#REF!</v>
      </c>
      <c r="AM108" t="e">
        <f>AND(NhatkyBan!#REF!,"AAAAABHPUyY=")</f>
        <v>#REF!</v>
      </c>
      <c r="AN108" t="e">
        <f>AND(NhatkyBan!#REF!,"AAAAABHPUyc=")</f>
        <v>#REF!</v>
      </c>
      <c r="AO108" t="e">
        <f>AND(NhatkyBan!#REF!,"AAAAABHPUyg=")</f>
        <v>#REF!</v>
      </c>
      <c r="AP108" t="e">
        <f>AND(NhatkyBan!#REF!,"AAAAABHPUyk=")</f>
        <v>#REF!</v>
      </c>
      <c r="AQ108" t="e">
        <f>AND(NhatkyBan!#REF!,"AAAAABHPUyo=")</f>
        <v>#REF!</v>
      </c>
      <c r="AR108" t="e">
        <f>AND(NhatkyBan!#REF!,"AAAAABHPUys=")</f>
        <v>#REF!</v>
      </c>
      <c r="AS108" t="e">
        <f>AND(NhatkyBan!#REF!,"AAAAABHPUyw=")</f>
        <v>#REF!</v>
      </c>
      <c r="AT108" t="e">
        <f>AND(NhatkyBan!#REF!,"AAAAABHPUy0=")</f>
        <v>#REF!</v>
      </c>
      <c r="AU108" t="e">
        <f>AND(NhatkyBan!#REF!,"AAAAABHPUy4=")</f>
        <v>#REF!</v>
      </c>
      <c r="AV108" t="e">
        <f>AND(NhatkyBan!#REF!,"AAAAABHPUy8=")</f>
        <v>#REF!</v>
      </c>
      <c r="AW108" t="e">
        <f>AND(NhatkyBan!#REF!,"AAAAABHPUzA=")</f>
        <v>#REF!</v>
      </c>
      <c r="AX108" t="e">
        <f>AND(NhatkyBan!#REF!,"AAAAABHPUzE=")</f>
        <v>#REF!</v>
      </c>
      <c r="AY108" t="e">
        <f>AND(NhatkyBan!#REF!,"AAAAABHPUzI=")</f>
        <v>#REF!</v>
      </c>
      <c r="AZ108" t="e">
        <f>AND(NhatkyBan!#REF!,"AAAAABHPUzM=")</f>
        <v>#REF!</v>
      </c>
      <c r="BA108" t="e">
        <f>AND(NhatkyBan!#REF!,"AAAAABHPUzQ=")</f>
        <v>#REF!</v>
      </c>
      <c r="BB108" t="e">
        <f>AND(NhatkyBan!#REF!,"AAAAABHPUzU=")</f>
        <v>#REF!</v>
      </c>
      <c r="BC108" t="e">
        <f>AND(NhatkyBan!#REF!,"AAAAABHPUzY=")</f>
        <v>#REF!</v>
      </c>
      <c r="BD108" t="e">
        <f>AND(NhatkyBan!#REF!,"AAAAABHPUzc=")</f>
        <v>#REF!</v>
      </c>
      <c r="BE108" t="e">
        <f>AND(NhatkyBan!#REF!,"AAAAABHPUzg=")</f>
        <v>#REF!</v>
      </c>
      <c r="BF108" t="e">
        <f>AND(NhatkyBan!#REF!,"AAAAABHPUzk=")</f>
        <v>#REF!</v>
      </c>
      <c r="BG108" t="e">
        <f>AND(NhatkyBan!#REF!,"AAAAABHPUzo=")</f>
        <v>#REF!</v>
      </c>
      <c r="BH108" t="e">
        <f>AND(NhatkyBan!#REF!,"AAAAABHPUzs=")</f>
        <v>#REF!</v>
      </c>
      <c r="BI108" t="e">
        <f>AND(NhatkyBan!#REF!,"AAAAABHPUzw=")</f>
        <v>#REF!</v>
      </c>
      <c r="BJ108" t="e">
        <f>AND(NhatkyBan!#REF!,"AAAAABHPUz0=")</f>
        <v>#REF!</v>
      </c>
      <c r="BK108" t="e">
        <f>AND(NhatkyBan!#REF!,"AAAAABHPUz4=")</f>
        <v>#REF!</v>
      </c>
      <c r="BL108" t="e">
        <f>IF(NhatkyBan!#REF!,"AAAAABHPUz8=",0)</f>
        <v>#REF!</v>
      </c>
      <c r="BM108" t="e">
        <f>AND(NhatkyBan!#REF!,"AAAAABHPU0A=")</f>
        <v>#REF!</v>
      </c>
      <c r="BN108" t="e">
        <f>AND(NhatkyBan!#REF!,"AAAAABHPU0E=")</f>
        <v>#REF!</v>
      </c>
      <c r="BO108" t="e">
        <f>AND(NhatkyBan!#REF!,"AAAAABHPU0I=")</f>
        <v>#REF!</v>
      </c>
      <c r="BP108" t="e">
        <f>AND(NhatkyBan!#REF!,"AAAAABHPU0M=")</f>
        <v>#REF!</v>
      </c>
      <c r="BQ108" t="e">
        <f>AND(NhatkyBan!#REF!,"AAAAABHPU0Q=")</f>
        <v>#REF!</v>
      </c>
      <c r="BR108" t="e">
        <f>AND(NhatkyBan!#REF!,"AAAAABHPU0U=")</f>
        <v>#REF!</v>
      </c>
      <c r="BS108" t="e">
        <f>AND(NhatkyBan!#REF!,"AAAAABHPU0Y=")</f>
        <v>#REF!</v>
      </c>
      <c r="BT108" t="e">
        <f>AND(NhatkyBan!#REF!,"AAAAABHPU0c=")</f>
        <v>#REF!</v>
      </c>
      <c r="BU108" t="e">
        <f>AND(NhatkyBan!#REF!,"AAAAABHPU0g=")</f>
        <v>#REF!</v>
      </c>
      <c r="BV108" t="e">
        <f>AND(NhatkyBan!#REF!,"AAAAABHPU0k=")</f>
        <v>#REF!</v>
      </c>
      <c r="BW108" t="e">
        <f>AND(NhatkyBan!#REF!,"AAAAABHPU0o=")</f>
        <v>#REF!</v>
      </c>
      <c r="BX108" t="e">
        <f>AND(NhatkyBan!#REF!,"AAAAABHPU0s=")</f>
        <v>#REF!</v>
      </c>
      <c r="BY108" t="e">
        <f>AND(NhatkyBan!#REF!,"AAAAABHPU0w=")</f>
        <v>#REF!</v>
      </c>
      <c r="BZ108" t="e">
        <f>AND(NhatkyBan!#REF!,"AAAAABHPU00=")</f>
        <v>#REF!</v>
      </c>
      <c r="CA108" t="e">
        <f>AND(NhatkyBan!#REF!,"AAAAABHPU04=")</f>
        <v>#REF!</v>
      </c>
      <c r="CB108" t="e">
        <f>AND(NhatkyBan!#REF!,"AAAAABHPU08=")</f>
        <v>#REF!</v>
      </c>
      <c r="CC108" t="e">
        <f>AND(NhatkyBan!#REF!,"AAAAABHPU1A=")</f>
        <v>#REF!</v>
      </c>
      <c r="CD108" t="e">
        <f>AND(NhatkyBan!#REF!,"AAAAABHPU1E=")</f>
        <v>#REF!</v>
      </c>
      <c r="CE108" t="e">
        <f>AND(NhatkyBan!#REF!,"AAAAABHPU1I=")</f>
        <v>#REF!</v>
      </c>
      <c r="CF108" t="e">
        <f>AND(NhatkyBan!#REF!,"AAAAABHPU1M=")</f>
        <v>#REF!</v>
      </c>
      <c r="CG108" t="e">
        <f>AND(NhatkyBan!#REF!,"AAAAABHPU1Q=")</f>
        <v>#REF!</v>
      </c>
      <c r="CH108" t="e">
        <f>AND(NhatkyBan!#REF!,"AAAAABHPU1U=")</f>
        <v>#REF!</v>
      </c>
      <c r="CI108" t="e">
        <f>AND(NhatkyBan!#REF!,"AAAAABHPU1Y=")</f>
        <v>#REF!</v>
      </c>
      <c r="CJ108" t="e">
        <f>AND(NhatkyBan!#REF!,"AAAAABHPU1c=")</f>
        <v>#REF!</v>
      </c>
      <c r="CK108" t="e">
        <f>AND(NhatkyBan!#REF!,"AAAAABHPU1g=")</f>
        <v>#REF!</v>
      </c>
      <c r="CL108" t="e">
        <f>AND(NhatkyBan!#REF!,"AAAAABHPU1k=")</f>
        <v>#REF!</v>
      </c>
      <c r="CM108" t="e">
        <f>AND(NhatkyBan!#REF!,"AAAAABHPU1o=")</f>
        <v>#REF!</v>
      </c>
      <c r="CN108" t="e">
        <f>AND(NhatkyBan!#REF!,"AAAAABHPU1s=")</f>
        <v>#REF!</v>
      </c>
      <c r="CO108" t="e">
        <f>AND(NhatkyBan!#REF!,"AAAAABHPU1w=")</f>
        <v>#REF!</v>
      </c>
      <c r="CP108" t="e">
        <f>AND(NhatkyBan!#REF!,"AAAAABHPU10=")</f>
        <v>#REF!</v>
      </c>
      <c r="CQ108" t="e">
        <f>AND(NhatkyBan!#REF!,"AAAAABHPU14=")</f>
        <v>#REF!</v>
      </c>
      <c r="CR108" t="e">
        <f>AND(NhatkyBan!#REF!,"AAAAABHPU18=")</f>
        <v>#REF!</v>
      </c>
      <c r="CS108" t="e">
        <f>AND(NhatkyBan!#REF!,"AAAAABHPU2A=")</f>
        <v>#REF!</v>
      </c>
      <c r="CT108" t="e">
        <f>AND(NhatkyBan!#REF!,"AAAAABHPU2E=")</f>
        <v>#REF!</v>
      </c>
      <c r="CU108" t="e">
        <f>IF(NhatkyBan!#REF!,"AAAAABHPU2I=",0)</f>
        <v>#REF!</v>
      </c>
      <c r="CV108" t="e">
        <f>AND(NhatkyBan!#REF!,"AAAAABHPU2M=")</f>
        <v>#REF!</v>
      </c>
      <c r="CW108" t="e">
        <f>AND(NhatkyBan!#REF!,"AAAAABHPU2Q=")</f>
        <v>#REF!</v>
      </c>
      <c r="CX108" t="e">
        <f>AND(NhatkyBan!#REF!,"AAAAABHPU2U=")</f>
        <v>#REF!</v>
      </c>
      <c r="CY108" t="e">
        <f>AND(NhatkyBan!#REF!,"AAAAABHPU2Y=")</f>
        <v>#REF!</v>
      </c>
      <c r="CZ108" t="e">
        <f>AND(NhatkyBan!#REF!,"AAAAABHPU2c=")</f>
        <v>#REF!</v>
      </c>
      <c r="DA108" t="e">
        <f>AND(NhatkyBan!#REF!,"AAAAABHPU2g=")</f>
        <v>#REF!</v>
      </c>
      <c r="DB108" t="e">
        <f>AND(NhatkyBan!#REF!,"AAAAABHPU2k=")</f>
        <v>#REF!</v>
      </c>
      <c r="DC108" t="e">
        <f>AND(NhatkyBan!#REF!,"AAAAABHPU2o=")</f>
        <v>#REF!</v>
      </c>
      <c r="DD108" t="e">
        <f>AND(NhatkyBan!#REF!,"AAAAABHPU2s=")</f>
        <v>#REF!</v>
      </c>
      <c r="DE108" t="e">
        <f>AND(NhatkyBan!#REF!,"AAAAABHPU2w=")</f>
        <v>#REF!</v>
      </c>
      <c r="DF108" t="e">
        <f>AND(NhatkyBan!#REF!,"AAAAABHPU20=")</f>
        <v>#REF!</v>
      </c>
      <c r="DG108" t="e">
        <f>AND(NhatkyBan!#REF!,"AAAAABHPU24=")</f>
        <v>#REF!</v>
      </c>
      <c r="DH108" t="e">
        <f>AND(NhatkyBan!#REF!,"AAAAABHPU28=")</f>
        <v>#REF!</v>
      </c>
      <c r="DI108" t="e">
        <f>AND(NhatkyBan!#REF!,"AAAAABHPU3A=")</f>
        <v>#REF!</v>
      </c>
      <c r="DJ108" t="e">
        <f>AND(NhatkyBan!#REF!,"AAAAABHPU3E=")</f>
        <v>#REF!</v>
      </c>
      <c r="DK108" t="e">
        <f>AND(NhatkyBan!#REF!,"AAAAABHPU3I=")</f>
        <v>#REF!</v>
      </c>
      <c r="DL108" t="e">
        <f>AND(NhatkyBan!#REF!,"AAAAABHPU3M=")</f>
        <v>#REF!</v>
      </c>
      <c r="DM108" t="e">
        <f>AND(NhatkyBan!#REF!,"AAAAABHPU3Q=")</f>
        <v>#REF!</v>
      </c>
      <c r="DN108" t="e">
        <f>AND(NhatkyBan!#REF!,"AAAAABHPU3U=")</f>
        <v>#REF!</v>
      </c>
      <c r="DO108" t="e">
        <f>AND(NhatkyBan!#REF!,"AAAAABHPU3Y=")</f>
        <v>#REF!</v>
      </c>
      <c r="DP108" t="e">
        <f>AND(NhatkyBan!#REF!,"AAAAABHPU3c=")</f>
        <v>#REF!</v>
      </c>
      <c r="DQ108" t="e">
        <f>AND(NhatkyBan!#REF!,"AAAAABHPU3g=")</f>
        <v>#REF!</v>
      </c>
      <c r="DR108" t="e">
        <f>AND(NhatkyBan!#REF!,"AAAAABHPU3k=")</f>
        <v>#REF!</v>
      </c>
      <c r="DS108" t="e">
        <f>AND(NhatkyBan!#REF!,"AAAAABHPU3o=")</f>
        <v>#REF!</v>
      </c>
      <c r="DT108" t="e">
        <f>AND(NhatkyBan!#REF!,"AAAAABHPU3s=")</f>
        <v>#REF!</v>
      </c>
      <c r="DU108" t="e">
        <f>AND(NhatkyBan!#REF!,"AAAAABHPU3w=")</f>
        <v>#REF!</v>
      </c>
      <c r="DV108" t="e">
        <f>AND(NhatkyBan!#REF!,"AAAAABHPU30=")</f>
        <v>#REF!</v>
      </c>
      <c r="DW108" t="e">
        <f>AND(NhatkyBan!#REF!,"AAAAABHPU34=")</f>
        <v>#REF!</v>
      </c>
      <c r="DX108" t="e">
        <f>AND(NhatkyBan!#REF!,"AAAAABHPU38=")</f>
        <v>#REF!</v>
      </c>
      <c r="DY108" t="e">
        <f>AND(NhatkyBan!#REF!,"AAAAABHPU4A=")</f>
        <v>#REF!</v>
      </c>
      <c r="DZ108" t="e">
        <f>AND(NhatkyBan!#REF!,"AAAAABHPU4E=")</f>
        <v>#REF!</v>
      </c>
      <c r="EA108" t="e">
        <f>AND(NhatkyBan!#REF!,"AAAAABHPU4I=")</f>
        <v>#REF!</v>
      </c>
      <c r="EB108" t="e">
        <f>AND(NhatkyBan!#REF!,"AAAAABHPU4M=")</f>
        <v>#REF!</v>
      </c>
      <c r="EC108" t="e">
        <f>AND(NhatkyBan!#REF!,"AAAAABHPU4Q=")</f>
        <v>#REF!</v>
      </c>
      <c r="ED108" t="e">
        <f>IF(NhatkyBan!#REF!,"AAAAABHPU4U=",0)</f>
        <v>#REF!</v>
      </c>
      <c r="EE108" t="e">
        <f>AND(NhatkyBan!#REF!,"AAAAABHPU4Y=")</f>
        <v>#REF!</v>
      </c>
      <c r="EF108" t="e">
        <f>AND(NhatkyBan!#REF!,"AAAAABHPU4c=")</f>
        <v>#REF!</v>
      </c>
      <c r="EG108" t="e">
        <f>AND(NhatkyBan!#REF!,"AAAAABHPU4g=")</f>
        <v>#REF!</v>
      </c>
      <c r="EH108" t="e">
        <f>AND(NhatkyBan!#REF!,"AAAAABHPU4k=")</f>
        <v>#REF!</v>
      </c>
      <c r="EI108" t="e">
        <f>AND(NhatkyBan!#REF!,"AAAAABHPU4o=")</f>
        <v>#REF!</v>
      </c>
      <c r="EJ108" t="e">
        <f>AND(NhatkyBan!#REF!,"AAAAABHPU4s=")</f>
        <v>#REF!</v>
      </c>
      <c r="EK108" t="e">
        <f>AND(NhatkyBan!#REF!,"AAAAABHPU4w=")</f>
        <v>#REF!</v>
      </c>
      <c r="EL108" t="e">
        <f>AND(NhatkyBan!#REF!,"AAAAABHPU40=")</f>
        <v>#REF!</v>
      </c>
      <c r="EM108" t="e">
        <f>AND(NhatkyBan!#REF!,"AAAAABHPU44=")</f>
        <v>#REF!</v>
      </c>
      <c r="EN108" t="e">
        <f>AND(NhatkyBan!#REF!,"AAAAABHPU48=")</f>
        <v>#REF!</v>
      </c>
      <c r="EO108" t="e">
        <f>AND(NhatkyBan!#REF!,"AAAAABHPU5A=")</f>
        <v>#REF!</v>
      </c>
      <c r="EP108" t="e">
        <f>AND(NhatkyBan!#REF!,"AAAAABHPU5E=")</f>
        <v>#REF!</v>
      </c>
      <c r="EQ108" t="e">
        <f>AND(NhatkyBan!#REF!,"AAAAABHPU5I=")</f>
        <v>#REF!</v>
      </c>
      <c r="ER108" t="e">
        <f>AND(NhatkyBan!#REF!,"AAAAABHPU5M=")</f>
        <v>#REF!</v>
      </c>
      <c r="ES108" t="e">
        <f>AND(NhatkyBan!#REF!,"AAAAABHPU5Q=")</f>
        <v>#REF!</v>
      </c>
      <c r="ET108" t="e">
        <f>AND(NhatkyBan!#REF!,"AAAAABHPU5U=")</f>
        <v>#REF!</v>
      </c>
      <c r="EU108" t="e">
        <f>AND(NhatkyBan!#REF!,"AAAAABHPU5Y=")</f>
        <v>#REF!</v>
      </c>
      <c r="EV108" t="e">
        <f>AND(NhatkyBan!#REF!,"AAAAABHPU5c=")</f>
        <v>#REF!</v>
      </c>
      <c r="EW108" t="e">
        <f>AND(NhatkyBan!#REF!,"AAAAABHPU5g=")</f>
        <v>#REF!</v>
      </c>
      <c r="EX108" t="e">
        <f>AND(NhatkyBan!#REF!,"AAAAABHPU5k=")</f>
        <v>#REF!</v>
      </c>
      <c r="EY108" t="e">
        <f>AND(NhatkyBan!#REF!,"AAAAABHPU5o=")</f>
        <v>#REF!</v>
      </c>
      <c r="EZ108" t="e">
        <f>AND(NhatkyBan!#REF!,"AAAAABHPU5s=")</f>
        <v>#REF!</v>
      </c>
      <c r="FA108" t="e">
        <f>AND(NhatkyBan!#REF!,"AAAAABHPU5w=")</f>
        <v>#REF!</v>
      </c>
      <c r="FB108" t="e">
        <f>AND(NhatkyBan!#REF!,"AAAAABHPU50=")</f>
        <v>#REF!</v>
      </c>
      <c r="FC108" t="e">
        <f>AND(NhatkyBan!#REF!,"AAAAABHPU54=")</f>
        <v>#REF!</v>
      </c>
      <c r="FD108" t="e">
        <f>AND(NhatkyBan!#REF!,"AAAAABHPU58=")</f>
        <v>#REF!</v>
      </c>
      <c r="FE108" t="e">
        <f>AND(NhatkyBan!#REF!,"AAAAABHPU6A=")</f>
        <v>#REF!</v>
      </c>
      <c r="FF108" t="e">
        <f>AND(NhatkyBan!#REF!,"AAAAABHPU6E=")</f>
        <v>#REF!</v>
      </c>
      <c r="FG108" t="e">
        <f>AND(NhatkyBan!#REF!,"AAAAABHPU6I=")</f>
        <v>#REF!</v>
      </c>
      <c r="FH108" t="e">
        <f>AND(NhatkyBan!#REF!,"AAAAABHPU6M=")</f>
        <v>#REF!</v>
      </c>
      <c r="FI108" t="e">
        <f>AND(NhatkyBan!#REF!,"AAAAABHPU6Q=")</f>
        <v>#REF!</v>
      </c>
      <c r="FJ108" t="e">
        <f>AND(NhatkyBan!#REF!,"AAAAABHPU6U=")</f>
        <v>#REF!</v>
      </c>
      <c r="FK108" t="e">
        <f>AND(NhatkyBan!#REF!,"AAAAABHPU6Y=")</f>
        <v>#REF!</v>
      </c>
      <c r="FL108" t="e">
        <f>AND(NhatkyBan!#REF!,"AAAAABHPU6c=")</f>
        <v>#REF!</v>
      </c>
      <c r="FM108" t="e">
        <f>IF(NhatkyBan!#REF!,"AAAAABHPU6g=",0)</f>
        <v>#REF!</v>
      </c>
      <c r="FN108" t="e">
        <f>AND(NhatkyBan!#REF!,"AAAAABHPU6k=")</f>
        <v>#REF!</v>
      </c>
      <c r="FO108" t="e">
        <f>AND(NhatkyBan!#REF!,"AAAAABHPU6o=")</f>
        <v>#REF!</v>
      </c>
      <c r="FP108" t="e">
        <f>AND(NhatkyBan!#REF!,"AAAAABHPU6s=")</f>
        <v>#REF!</v>
      </c>
      <c r="FQ108" t="e">
        <f>AND(NhatkyBan!#REF!,"AAAAABHPU6w=")</f>
        <v>#REF!</v>
      </c>
      <c r="FR108" t="e">
        <f>AND(NhatkyBan!#REF!,"AAAAABHPU60=")</f>
        <v>#REF!</v>
      </c>
      <c r="FS108" t="e">
        <f>AND(NhatkyBan!#REF!,"AAAAABHPU64=")</f>
        <v>#REF!</v>
      </c>
      <c r="FT108" t="e">
        <f>AND(NhatkyBan!#REF!,"AAAAABHPU68=")</f>
        <v>#REF!</v>
      </c>
      <c r="FU108" t="e">
        <f>AND(NhatkyBan!#REF!,"AAAAABHPU7A=")</f>
        <v>#REF!</v>
      </c>
      <c r="FV108" t="e">
        <f>AND(NhatkyBan!#REF!,"AAAAABHPU7E=")</f>
        <v>#REF!</v>
      </c>
      <c r="FW108" t="e">
        <f>AND(NhatkyBan!#REF!,"AAAAABHPU7I=")</f>
        <v>#REF!</v>
      </c>
      <c r="FX108" t="e">
        <f>AND(NhatkyBan!#REF!,"AAAAABHPU7M=")</f>
        <v>#REF!</v>
      </c>
      <c r="FY108" t="e">
        <f>AND(NhatkyBan!#REF!,"AAAAABHPU7Q=")</f>
        <v>#REF!</v>
      </c>
      <c r="FZ108" t="e">
        <f>AND(NhatkyBan!#REF!,"AAAAABHPU7U=")</f>
        <v>#REF!</v>
      </c>
      <c r="GA108" t="e">
        <f>AND(NhatkyBan!#REF!,"AAAAABHPU7Y=")</f>
        <v>#REF!</v>
      </c>
      <c r="GB108" t="e">
        <f>AND(NhatkyBan!#REF!,"AAAAABHPU7c=")</f>
        <v>#REF!</v>
      </c>
      <c r="GC108" t="e">
        <f>AND(NhatkyBan!#REF!,"AAAAABHPU7g=")</f>
        <v>#REF!</v>
      </c>
      <c r="GD108" t="e">
        <f>AND(NhatkyBan!#REF!,"AAAAABHPU7k=")</f>
        <v>#REF!</v>
      </c>
      <c r="GE108" t="e">
        <f>AND(NhatkyBan!#REF!,"AAAAABHPU7o=")</f>
        <v>#REF!</v>
      </c>
      <c r="GF108" t="e">
        <f>AND(NhatkyBan!#REF!,"AAAAABHPU7s=")</f>
        <v>#REF!</v>
      </c>
      <c r="GG108" t="e">
        <f>AND(NhatkyBan!#REF!,"AAAAABHPU7w=")</f>
        <v>#REF!</v>
      </c>
      <c r="GH108" t="e">
        <f>AND(NhatkyBan!#REF!,"AAAAABHPU70=")</f>
        <v>#REF!</v>
      </c>
      <c r="GI108" t="e">
        <f>AND(NhatkyBan!#REF!,"AAAAABHPU74=")</f>
        <v>#REF!</v>
      </c>
      <c r="GJ108" t="e">
        <f>AND(NhatkyBan!#REF!,"AAAAABHPU78=")</f>
        <v>#REF!</v>
      </c>
      <c r="GK108" t="e">
        <f>AND(NhatkyBan!#REF!,"AAAAABHPU8A=")</f>
        <v>#REF!</v>
      </c>
      <c r="GL108" t="e">
        <f>AND(NhatkyBan!#REF!,"AAAAABHPU8E=")</f>
        <v>#REF!</v>
      </c>
      <c r="GM108" t="e">
        <f>AND(NhatkyBan!#REF!,"AAAAABHPU8I=")</f>
        <v>#REF!</v>
      </c>
      <c r="GN108" t="e">
        <f>AND(NhatkyBan!#REF!,"AAAAABHPU8M=")</f>
        <v>#REF!</v>
      </c>
      <c r="GO108" t="e">
        <f>AND(NhatkyBan!#REF!,"AAAAABHPU8Q=")</f>
        <v>#REF!</v>
      </c>
      <c r="GP108" t="e">
        <f>AND(NhatkyBan!#REF!,"AAAAABHPU8U=")</f>
        <v>#REF!</v>
      </c>
      <c r="GQ108" t="e">
        <f>AND(NhatkyBan!#REF!,"AAAAABHPU8Y=")</f>
        <v>#REF!</v>
      </c>
      <c r="GR108" t="e">
        <f>AND(NhatkyBan!#REF!,"AAAAABHPU8c=")</f>
        <v>#REF!</v>
      </c>
      <c r="GS108" t="e">
        <f>AND(NhatkyBan!#REF!,"AAAAABHPU8g=")</f>
        <v>#REF!</v>
      </c>
      <c r="GT108" t="e">
        <f>AND(NhatkyBan!#REF!,"AAAAABHPU8k=")</f>
        <v>#REF!</v>
      </c>
      <c r="GU108" t="e">
        <f>AND(NhatkyBan!#REF!,"AAAAABHPU8o=")</f>
        <v>#REF!</v>
      </c>
      <c r="GV108" t="e">
        <f>IF(NhatkyBan!#REF!,"AAAAABHPU8s=",0)</f>
        <v>#REF!</v>
      </c>
      <c r="GW108" t="e">
        <f>AND(NhatkyBan!#REF!,"AAAAABHPU8w=")</f>
        <v>#REF!</v>
      </c>
      <c r="GX108" t="e">
        <f>AND(NhatkyBan!#REF!,"AAAAABHPU80=")</f>
        <v>#REF!</v>
      </c>
      <c r="GY108" t="e">
        <f>AND(NhatkyBan!#REF!,"AAAAABHPU84=")</f>
        <v>#REF!</v>
      </c>
      <c r="GZ108" t="e">
        <f>AND(NhatkyBan!#REF!,"AAAAABHPU88=")</f>
        <v>#REF!</v>
      </c>
      <c r="HA108" t="e">
        <f>AND(NhatkyBan!#REF!,"AAAAABHPU9A=")</f>
        <v>#REF!</v>
      </c>
      <c r="HB108" t="e">
        <f>AND(NhatkyBan!#REF!,"AAAAABHPU9E=")</f>
        <v>#REF!</v>
      </c>
      <c r="HC108" t="e">
        <f>AND(NhatkyBan!#REF!,"AAAAABHPU9I=")</f>
        <v>#REF!</v>
      </c>
      <c r="HD108" t="e">
        <f>AND(NhatkyBan!#REF!,"AAAAABHPU9M=")</f>
        <v>#REF!</v>
      </c>
      <c r="HE108" t="e">
        <f>AND(NhatkyBan!#REF!,"AAAAABHPU9Q=")</f>
        <v>#REF!</v>
      </c>
      <c r="HF108" t="e">
        <f>AND(NhatkyBan!#REF!,"AAAAABHPU9U=")</f>
        <v>#REF!</v>
      </c>
      <c r="HG108" t="e">
        <f>AND(NhatkyBan!#REF!,"AAAAABHPU9Y=")</f>
        <v>#REF!</v>
      </c>
      <c r="HH108" t="e">
        <f>AND(NhatkyBan!#REF!,"AAAAABHPU9c=")</f>
        <v>#REF!</v>
      </c>
      <c r="HI108" t="e">
        <f>AND(NhatkyBan!#REF!,"AAAAABHPU9g=")</f>
        <v>#REF!</v>
      </c>
      <c r="HJ108" t="e">
        <f>AND(NhatkyBan!#REF!,"AAAAABHPU9k=")</f>
        <v>#REF!</v>
      </c>
      <c r="HK108" t="e">
        <f>AND(NhatkyBan!#REF!,"AAAAABHPU9o=")</f>
        <v>#REF!</v>
      </c>
      <c r="HL108" t="e">
        <f>AND(NhatkyBan!#REF!,"AAAAABHPU9s=")</f>
        <v>#REF!</v>
      </c>
      <c r="HM108" t="e">
        <f>AND(NhatkyBan!#REF!,"AAAAABHPU9w=")</f>
        <v>#REF!</v>
      </c>
      <c r="HN108" t="e">
        <f>AND(NhatkyBan!#REF!,"AAAAABHPU90=")</f>
        <v>#REF!</v>
      </c>
      <c r="HO108" t="e">
        <f>AND(NhatkyBan!#REF!,"AAAAABHPU94=")</f>
        <v>#REF!</v>
      </c>
      <c r="HP108" t="e">
        <f>AND(NhatkyBan!#REF!,"AAAAABHPU98=")</f>
        <v>#REF!</v>
      </c>
      <c r="HQ108" t="e">
        <f>AND(NhatkyBan!#REF!,"AAAAABHPU+A=")</f>
        <v>#REF!</v>
      </c>
      <c r="HR108" t="e">
        <f>AND(NhatkyBan!#REF!,"AAAAABHPU+E=")</f>
        <v>#REF!</v>
      </c>
      <c r="HS108" t="e">
        <f>AND(NhatkyBan!#REF!,"AAAAABHPU+I=")</f>
        <v>#REF!</v>
      </c>
      <c r="HT108" t="e">
        <f>AND(NhatkyBan!#REF!,"AAAAABHPU+M=")</f>
        <v>#REF!</v>
      </c>
      <c r="HU108" t="e">
        <f>AND(NhatkyBan!#REF!,"AAAAABHPU+Q=")</f>
        <v>#REF!</v>
      </c>
      <c r="HV108" t="e">
        <f>AND(NhatkyBan!#REF!,"AAAAABHPU+U=")</f>
        <v>#REF!</v>
      </c>
      <c r="HW108" t="e">
        <f>AND(NhatkyBan!#REF!,"AAAAABHPU+Y=")</f>
        <v>#REF!</v>
      </c>
      <c r="HX108" t="e">
        <f>AND(NhatkyBan!#REF!,"AAAAABHPU+c=")</f>
        <v>#REF!</v>
      </c>
      <c r="HY108" t="e">
        <f>AND(NhatkyBan!#REF!,"AAAAABHPU+g=")</f>
        <v>#REF!</v>
      </c>
      <c r="HZ108" t="e">
        <f>AND(NhatkyBan!#REF!,"AAAAABHPU+k=")</f>
        <v>#REF!</v>
      </c>
      <c r="IA108" t="e">
        <f>AND(NhatkyBan!#REF!,"AAAAABHPU+o=")</f>
        <v>#REF!</v>
      </c>
      <c r="IB108" t="e">
        <f>AND(NhatkyBan!#REF!,"AAAAABHPU+s=")</f>
        <v>#REF!</v>
      </c>
      <c r="IC108" t="e">
        <f>AND(NhatkyBan!#REF!,"AAAAABHPU+w=")</f>
        <v>#REF!</v>
      </c>
      <c r="ID108" t="e">
        <f>AND(NhatkyBan!#REF!,"AAAAABHPU+0=")</f>
        <v>#REF!</v>
      </c>
      <c r="IE108" t="e">
        <f>IF(NhatkyBan!#REF!,"AAAAABHPU+4=",0)</f>
        <v>#REF!</v>
      </c>
      <c r="IF108" t="e">
        <f>AND(NhatkyBan!#REF!,"AAAAABHPU+8=")</f>
        <v>#REF!</v>
      </c>
      <c r="IG108" t="e">
        <f>AND(NhatkyBan!#REF!,"AAAAABHPU/A=")</f>
        <v>#REF!</v>
      </c>
      <c r="IH108" t="e">
        <f>AND(NhatkyBan!#REF!,"AAAAABHPU/E=")</f>
        <v>#REF!</v>
      </c>
      <c r="II108" t="e">
        <f>AND(NhatkyBan!#REF!,"AAAAABHPU/I=")</f>
        <v>#REF!</v>
      </c>
      <c r="IJ108" t="e">
        <f>AND(NhatkyBan!#REF!,"AAAAABHPU/M=")</f>
        <v>#REF!</v>
      </c>
      <c r="IK108" t="e">
        <f>AND(NhatkyBan!#REF!,"AAAAABHPU/Q=")</f>
        <v>#REF!</v>
      </c>
      <c r="IL108" t="e">
        <f>AND(NhatkyBan!#REF!,"AAAAABHPU/U=")</f>
        <v>#REF!</v>
      </c>
      <c r="IM108" t="e">
        <f>AND(NhatkyBan!#REF!,"AAAAABHPU/Y=")</f>
        <v>#REF!</v>
      </c>
      <c r="IN108" t="e">
        <f>AND(NhatkyBan!#REF!,"AAAAABHPU/c=")</f>
        <v>#REF!</v>
      </c>
      <c r="IO108" t="e">
        <f>AND(NhatkyBan!#REF!,"AAAAABHPU/g=")</f>
        <v>#REF!</v>
      </c>
      <c r="IP108" t="e">
        <f>AND(NhatkyBan!#REF!,"AAAAABHPU/k=")</f>
        <v>#REF!</v>
      </c>
      <c r="IQ108" t="e">
        <f>AND(NhatkyBan!#REF!,"AAAAABHPU/o=")</f>
        <v>#REF!</v>
      </c>
      <c r="IR108" t="e">
        <f>AND(NhatkyBan!#REF!,"AAAAABHPU/s=")</f>
        <v>#REF!</v>
      </c>
      <c r="IS108" t="e">
        <f>AND(NhatkyBan!#REF!,"AAAAABHPU/w=")</f>
        <v>#REF!</v>
      </c>
      <c r="IT108" t="e">
        <f>AND(NhatkyBan!#REF!,"AAAAABHPU/0=")</f>
        <v>#REF!</v>
      </c>
      <c r="IU108" t="e">
        <f>AND(NhatkyBan!#REF!,"AAAAABHPU/4=")</f>
        <v>#REF!</v>
      </c>
      <c r="IV108" t="e">
        <f>AND(NhatkyBan!#REF!,"AAAAABHPU/8=")</f>
        <v>#REF!</v>
      </c>
    </row>
    <row r="109" spans="1:256">
      <c r="A109" t="e">
        <f>AND(NhatkyBan!#REF!,"AAAAAD/76QA=")</f>
        <v>#REF!</v>
      </c>
      <c r="B109" t="e">
        <f>AND(NhatkyBan!#REF!,"AAAAAD/76QE=")</f>
        <v>#REF!</v>
      </c>
      <c r="C109" t="e">
        <f>AND(NhatkyBan!#REF!,"AAAAAD/76QI=")</f>
        <v>#REF!</v>
      </c>
      <c r="D109" t="e">
        <f>AND(NhatkyBan!#REF!,"AAAAAD/76QM=")</f>
        <v>#REF!</v>
      </c>
      <c r="E109" t="e">
        <f>AND(NhatkyBan!#REF!,"AAAAAD/76QQ=")</f>
        <v>#REF!</v>
      </c>
      <c r="F109" t="e">
        <f>AND(NhatkyBan!#REF!,"AAAAAD/76QU=")</f>
        <v>#REF!</v>
      </c>
      <c r="G109" t="e">
        <f>AND(NhatkyBan!#REF!,"AAAAAD/76QY=")</f>
        <v>#REF!</v>
      </c>
      <c r="H109" t="e">
        <f>AND(NhatkyBan!#REF!,"AAAAAD/76Qc=")</f>
        <v>#REF!</v>
      </c>
      <c r="I109" t="e">
        <f>AND(NhatkyBan!#REF!,"AAAAAD/76Qg=")</f>
        <v>#REF!</v>
      </c>
      <c r="J109" t="e">
        <f>AND(NhatkyBan!#REF!,"AAAAAD/76Qk=")</f>
        <v>#REF!</v>
      </c>
      <c r="K109" t="e">
        <f>AND(NhatkyBan!#REF!,"AAAAAD/76Qo=")</f>
        <v>#REF!</v>
      </c>
      <c r="L109" t="e">
        <f>AND(NhatkyBan!#REF!,"AAAAAD/76Qs=")</f>
        <v>#REF!</v>
      </c>
      <c r="M109" t="e">
        <f>AND(NhatkyBan!#REF!,"AAAAAD/76Qw=")</f>
        <v>#REF!</v>
      </c>
      <c r="N109" t="e">
        <f>AND(NhatkyBan!#REF!,"AAAAAD/76Q0=")</f>
        <v>#REF!</v>
      </c>
      <c r="O109" t="e">
        <f>AND(NhatkyBan!#REF!,"AAAAAD/76Q4=")</f>
        <v>#REF!</v>
      </c>
      <c r="P109" t="e">
        <f>AND(NhatkyBan!#REF!,"AAAAAD/76Q8=")</f>
        <v>#REF!</v>
      </c>
      <c r="Q109" t="e">
        <f>AND(NhatkyBan!#REF!,"AAAAAD/76RA=")</f>
        <v>#REF!</v>
      </c>
      <c r="R109" t="e">
        <f>IF(NhatkyBan!#REF!,"AAAAAD/76RE=",0)</f>
        <v>#REF!</v>
      </c>
      <c r="S109" t="e">
        <f>AND(NhatkyBan!#REF!,"AAAAAD/76RI=")</f>
        <v>#REF!</v>
      </c>
      <c r="T109" t="e">
        <f>AND(NhatkyBan!#REF!,"AAAAAD/76RM=")</f>
        <v>#REF!</v>
      </c>
      <c r="U109" t="e">
        <f>AND(NhatkyBan!#REF!,"AAAAAD/76RQ=")</f>
        <v>#REF!</v>
      </c>
      <c r="V109" t="e">
        <f>AND(NhatkyBan!#REF!,"AAAAAD/76RU=")</f>
        <v>#REF!</v>
      </c>
      <c r="W109" t="e">
        <f>AND(NhatkyBan!#REF!,"AAAAAD/76RY=")</f>
        <v>#REF!</v>
      </c>
      <c r="X109" t="e">
        <f>AND(NhatkyBan!#REF!,"AAAAAD/76Rc=")</f>
        <v>#REF!</v>
      </c>
      <c r="Y109" t="e">
        <f>AND(NhatkyBan!#REF!,"AAAAAD/76Rg=")</f>
        <v>#REF!</v>
      </c>
      <c r="Z109" t="e">
        <f>AND(NhatkyBan!#REF!,"AAAAAD/76Rk=")</f>
        <v>#REF!</v>
      </c>
      <c r="AA109" t="e">
        <f>AND(NhatkyBan!#REF!,"AAAAAD/76Ro=")</f>
        <v>#REF!</v>
      </c>
      <c r="AB109" t="e">
        <f>AND(NhatkyBan!#REF!,"AAAAAD/76Rs=")</f>
        <v>#REF!</v>
      </c>
      <c r="AC109" t="e">
        <f>AND(NhatkyBan!#REF!,"AAAAAD/76Rw=")</f>
        <v>#REF!</v>
      </c>
      <c r="AD109" t="e">
        <f>AND(NhatkyBan!#REF!,"AAAAAD/76R0=")</f>
        <v>#REF!</v>
      </c>
      <c r="AE109" t="e">
        <f>AND(NhatkyBan!#REF!,"AAAAAD/76R4=")</f>
        <v>#REF!</v>
      </c>
      <c r="AF109" t="e">
        <f>AND(NhatkyBan!#REF!,"AAAAAD/76R8=")</f>
        <v>#REF!</v>
      </c>
      <c r="AG109" t="e">
        <f>AND(NhatkyBan!#REF!,"AAAAAD/76SA=")</f>
        <v>#REF!</v>
      </c>
      <c r="AH109" t="e">
        <f>AND(NhatkyBan!#REF!,"AAAAAD/76SE=")</f>
        <v>#REF!</v>
      </c>
      <c r="AI109" t="e">
        <f>AND(NhatkyBan!#REF!,"AAAAAD/76SI=")</f>
        <v>#REF!</v>
      </c>
      <c r="AJ109" t="e">
        <f>AND(NhatkyBan!#REF!,"AAAAAD/76SM=")</f>
        <v>#REF!</v>
      </c>
      <c r="AK109" t="e">
        <f>AND(NhatkyBan!#REF!,"AAAAAD/76SQ=")</f>
        <v>#REF!</v>
      </c>
      <c r="AL109" t="e">
        <f>AND(NhatkyBan!#REF!,"AAAAAD/76SU=")</f>
        <v>#REF!</v>
      </c>
      <c r="AM109" t="e">
        <f>AND(NhatkyBan!#REF!,"AAAAAD/76SY=")</f>
        <v>#REF!</v>
      </c>
      <c r="AN109" t="e">
        <f>AND(NhatkyBan!#REF!,"AAAAAD/76Sc=")</f>
        <v>#REF!</v>
      </c>
      <c r="AO109" t="e">
        <f>AND(NhatkyBan!#REF!,"AAAAAD/76Sg=")</f>
        <v>#REF!</v>
      </c>
      <c r="AP109" t="e">
        <f>AND(NhatkyBan!#REF!,"AAAAAD/76Sk=")</f>
        <v>#REF!</v>
      </c>
      <c r="AQ109" t="e">
        <f>AND(NhatkyBan!#REF!,"AAAAAD/76So=")</f>
        <v>#REF!</v>
      </c>
      <c r="AR109" t="e">
        <f>AND(NhatkyBan!#REF!,"AAAAAD/76Ss=")</f>
        <v>#REF!</v>
      </c>
      <c r="AS109" t="e">
        <f>AND(NhatkyBan!#REF!,"AAAAAD/76Sw=")</f>
        <v>#REF!</v>
      </c>
      <c r="AT109" t="e">
        <f>AND(NhatkyBan!#REF!,"AAAAAD/76S0=")</f>
        <v>#REF!</v>
      </c>
      <c r="AU109" t="e">
        <f>AND(NhatkyBan!#REF!,"AAAAAD/76S4=")</f>
        <v>#REF!</v>
      </c>
      <c r="AV109" t="e">
        <f>AND(NhatkyBan!#REF!,"AAAAAD/76S8=")</f>
        <v>#REF!</v>
      </c>
      <c r="AW109" t="e">
        <f>AND(NhatkyBan!#REF!,"AAAAAD/76TA=")</f>
        <v>#REF!</v>
      </c>
      <c r="AX109" t="e">
        <f>AND(NhatkyBan!#REF!,"AAAAAD/76TE=")</f>
        <v>#REF!</v>
      </c>
      <c r="AY109" t="e">
        <f>AND(NhatkyBan!#REF!,"AAAAAD/76TI=")</f>
        <v>#REF!</v>
      </c>
      <c r="AZ109" t="e">
        <f>AND(NhatkyBan!#REF!,"AAAAAD/76TM=")</f>
        <v>#REF!</v>
      </c>
      <c r="BA109" t="e">
        <f>IF(NhatkyBan!#REF!,"AAAAAD/76TQ=",0)</f>
        <v>#REF!</v>
      </c>
      <c r="BB109" t="e">
        <f>AND(NhatkyBan!#REF!,"AAAAAD/76TU=")</f>
        <v>#REF!</v>
      </c>
      <c r="BC109" t="e">
        <f>AND(NhatkyBan!#REF!,"AAAAAD/76TY=")</f>
        <v>#REF!</v>
      </c>
      <c r="BD109" t="e">
        <f>AND(NhatkyBan!#REF!,"AAAAAD/76Tc=")</f>
        <v>#REF!</v>
      </c>
      <c r="BE109" t="e">
        <f>AND(NhatkyBan!#REF!,"AAAAAD/76Tg=")</f>
        <v>#REF!</v>
      </c>
      <c r="BF109" t="e">
        <f>AND(NhatkyBan!#REF!,"AAAAAD/76Tk=")</f>
        <v>#REF!</v>
      </c>
      <c r="BG109" t="e">
        <f>AND(NhatkyBan!#REF!,"AAAAAD/76To=")</f>
        <v>#REF!</v>
      </c>
      <c r="BH109" t="e">
        <f>AND(NhatkyBan!#REF!,"AAAAAD/76Ts=")</f>
        <v>#REF!</v>
      </c>
      <c r="BI109" t="e">
        <f>AND(NhatkyBan!#REF!,"AAAAAD/76Tw=")</f>
        <v>#REF!</v>
      </c>
      <c r="BJ109" t="e">
        <f>AND(NhatkyBan!#REF!,"AAAAAD/76T0=")</f>
        <v>#REF!</v>
      </c>
      <c r="BK109" t="e">
        <f>AND(NhatkyBan!#REF!,"AAAAAD/76T4=")</f>
        <v>#REF!</v>
      </c>
      <c r="BL109" t="e">
        <f>AND(NhatkyBan!#REF!,"AAAAAD/76T8=")</f>
        <v>#REF!</v>
      </c>
      <c r="BM109" t="e">
        <f>AND(NhatkyBan!#REF!,"AAAAAD/76UA=")</f>
        <v>#REF!</v>
      </c>
      <c r="BN109" t="e">
        <f>AND(NhatkyBan!#REF!,"AAAAAD/76UE=")</f>
        <v>#REF!</v>
      </c>
      <c r="BO109" t="e">
        <f>AND(NhatkyBan!#REF!,"AAAAAD/76UI=")</f>
        <v>#REF!</v>
      </c>
      <c r="BP109" t="e">
        <f>AND(NhatkyBan!#REF!,"AAAAAD/76UM=")</f>
        <v>#REF!</v>
      </c>
      <c r="BQ109" t="e">
        <f>AND(NhatkyBan!#REF!,"AAAAAD/76UQ=")</f>
        <v>#REF!</v>
      </c>
      <c r="BR109" t="e">
        <f>AND(NhatkyBan!#REF!,"AAAAAD/76UU=")</f>
        <v>#REF!</v>
      </c>
      <c r="BS109" t="e">
        <f>AND(NhatkyBan!#REF!,"AAAAAD/76UY=")</f>
        <v>#REF!</v>
      </c>
      <c r="BT109" t="e">
        <f>AND(NhatkyBan!#REF!,"AAAAAD/76Uc=")</f>
        <v>#REF!</v>
      </c>
      <c r="BU109" t="e">
        <f>AND(NhatkyBan!#REF!,"AAAAAD/76Ug=")</f>
        <v>#REF!</v>
      </c>
      <c r="BV109" t="e">
        <f>AND(NhatkyBan!#REF!,"AAAAAD/76Uk=")</f>
        <v>#REF!</v>
      </c>
      <c r="BW109" t="e">
        <f>AND(NhatkyBan!#REF!,"AAAAAD/76Uo=")</f>
        <v>#REF!</v>
      </c>
      <c r="BX109" t="e">
        <f>AND(NhatkyBan!#REF!,"AAAAAD/76Us=")</f>
        <v>#REF!</v>
      </c>
      <c r="BY109" t="e">
        <f>AND(NhatkyBan!#REF!,"AAAAAD/76Uw=")</f>
        <v>#REF!</v>
      </c>
      <c r="BZ109" t="e">
        <f>AND(NhatkyBan!#REF!,"AAAAAD/76U0=")</f>
        <v>#REF!</v>
      </c>
      <c r="CA109" t="e">
        <f>AND(NhatkyBan!#REF!,"AAAAAD/76U4=")</f>
        <v>#REF!</v>
      </c>
      <c r="CB109" t="e">
        <f>AND(NhatkyBan!#REF!,"AAAAAD/76U8=")</f>
        <v>#REF!</v>
      </c>
      <c r="CC109" t="e">
        <f>AND(NhatkyBan!#REF!,"AAAAAD/76VA=")</f>
        <v>#REF!</v>
      </c>
      <c r="CD109" t="e">
        <f>AND(NhatkyBan!#REF!,"AAAAAD/76VE=")</f>
        <v>#REF!</v>
      </c>
      <c r="CE109" t="e">
        <f>AND(NhatkyBan!#REF!,"AAAAAD/76VI=")</f>
        <v>#REF!</v>
      </c>
      <c r="CF109" t="e">
        <f>AND(NhatkyBan!#REF!,"AAAAAD/76VM=")</f>
        <v>#REF!</v>
      </c>
      <c r="CG109" t="e">
        <f>AND(NhatkyBan!#REF!,"AAAAAD/76VQ=")</f>
        <v>#REF!</v>
      </c>
      <c r="CH109" t="e">
        <f>AND(NhatkyBan!#REF!,"AAAAAD/76VU=")</f>
        <v>#REF!</v>
      </c>
      <c r="CI109" t="e">
        <f>AND(NhatkyBan!#REF!,"AAAAAD/76VY=")</f>
        <v>#REF!</v>
      </c>
      <c r="CJ109" t="e">
        <f>IF(NhatkyBan!#REF!,"AAAAAD/76Vc=",0)</f>
        <v>#REF!</v>
      </c>
      <c r="CK109" t="e">
        <f>AND(NhatkyBan!#REF!,"AAAAAD/76Vg=")</f>
        <v>#REF!</v>
      </c>
      <c r="CL109" t="e">
        <f>AND(NhatkyBan!#REF!,"AAAAAD/76Vk=")</f>
        <v>#REF!</v>
      </c>
      <c r="CM109" t="e">
        <f>AND(NhatkyBan!#REF!,"AAAAAD/76Vo=")</f>
        <v>#REF!</v>
      </c>
      <c r="CN109" t="e">
        <f>AND(NhatkyBan!#REF!,"AAAAAD/76Vs=")</f>
        <v>#REF!</v>
      </c>
      <c r="CO109" t="e">
        <f>AND(NhatkyBan!#REF!,"AAAAAD/76Vw=")</f>
        <v>#REF!</v>
      </c>
      <c r="CP109" t="e">
        <f>AND(NhatkyBan!#REF!,"AAAAAD/76V0=")</f>
        <v>#REF!</v>
      </c>
      <c r="CQ109" t="e">
        <f>AND(NhatkyBan!#REF!,"AAAAAD/76V4=")</f>
        <v>#REF!</v>
      </c>
      <c r="CR109" t="e">
        <f>AND(NhatkyBan!#REF!,"AAAAAD/76V8=")</f>
        <v>#REF!</v>
      </c>
      <c r="CS109" t="e">
        <f>AND(NhatkyBan!#REF!,"AAAAAD/76WA=")</f>
        <v>#REF!</v>
      </c>
      <c r="CT109" t="e">
        <f>AND(NhatkyBan!#REF!,"AAAAAD/76WE=")</f>
        <v>#REF!</v>
      </c>
      <c r="CU109" t="e">
        <f>AND(NhatkyBan!#REF!,"AAAAAD/76WI=")</f>
        <v>#REF!</v>
      </c>
      <c r="CV109" t="e">
        <f>AND(NhatkyBan!#REF!,"AAAAAD/76WM=")</f>
        <v>#REF!</v>
      </c>
      <c r="CW109" t="e">
        <f>AND(NhatkyBan!#REF!,"AAAAAD/76WQ=")</f>
        <v>#REF!</v>
      </c>
      <c r="CX109" t="e">
        <f>AND(NhatkyBan!#REF!,"AAAAAD/76WU=")</f>
        <v>#REF!</v>
      </c>
      <c r="CY109" t="e">
        <f>AND(NhatkyBan!#REF!,"AAAAAD/76WY=")</f>
        <v>#REF!</v>
      </c>
      <c r="CZ109" t="e">
        <f>AND(NhatkyBan!#REF!,"AAAAAD/76Wc=")</f>
        <v>#REF!</v>
      </c>
      <c r="DA109" t="e">
        <f>AND(NhatkyBan!#REF!,"AAAAAD/76Wg=")</f>
        <v>#REF!</v>
      </c>
      <c r="DB109" t="e">
        <f>AND(NhatkyBan!#REF!,"AAAAAD/76Wk=")</f>
        <v>#REF!</v>
      </c>
      <c r="DC109" t="e">
        <f>AND(NhatkyBan!#REF!,"AAAAAD/76Wo=")</f>
        <v>#REF!</v>
      </c>
      <c r="DD109" t="e">
        <f>AND(NhatkyBan!#REF!,"AAAAAD/76Ws=")</f>
        <v>#REF!</v>
      </c>
      <c r="DE109" t="e">
        <f>AND(NhatkyBan!#REF!,"AAAAAD/76Ww=")</f>
        <v>#REF!</v>
      </c>
      <c r="DF109" t="e">
        <f>AND(NhatkyBan!#REF!,"AAAAAD/76W0=")</f>
        <v>#REF!</v>
      </c>
      <c r="DG109" t="e">
        <f>AND(NhatkyBan!#REF!,"AAAAAD/76W4=")</f>
        <v>#REF!</v>
      </c>
      <c r="DH109" t="e">
        <f>AND(NhatkyBan!#REF!,"AAAAAD/76W8=")</f>
        <v>#REF!</v>
      </c>
      <c r="DI109" t="e">
        <f>AND(NhatkyBan!#REF!,"AAAAAD/76XA=")</f>
        <v>#REF!</v>
      </c>
      <c r="DJ109" t="e">
        <f>AND(NhatkyBan!#REF!,"AAAAAD/76XE=")</f>
        <v>#REF!</v>
      </c>
      <c r="DK109" t="e">
        <f>AND(NhatkyBan!#REF!,"AAAAAD/76XI=")</f>
        <v>#REF!</v>
      </c>
      <c r="DL109" t="e">
        <f>AND(NhatkyBan!#REF!,"AAAAAD/76XM=")</f>
        <v>#REF!</v>
      </c>
      <c r="DM109" t="e">
        <f>AND(NhatkyBan!#REF!,"AAAAAD/76XQ=")</f>
        <v>#REF!</v>
      </c>
      <c r="DN109" t="e">
        <f>AND(NhatkyBan!#REF!,"AAAAAD/76XU=")</f>
        <v>#REF!</v>
      </c>
      <c r="DO109" t="e">
        <f>AND(NhatkyBan!#REF!,"AAAAAD/76XY=")</f>
        <v>#REF!</v>
      </c>
      <c r="DP109" t="e">
        <f>AND(NhatkyBan!#REF!,"AAAAAD/76Xc=")</f>
        <v>#REF!</v>
      </c>
      <c r="DQ109" t="e">
        <f>AND(NhatkyBan!#REF!,"AAAAAD/76Xg=")</f>
        <v>#REF!</v>
      </c>
      <c r="DR109" t="e">
        <f>AND(NhatkyBan!#REF!,"AAAAAD/76Xk=")</f>
        <v>#REF!</v>
      </c>
      <c r="DS109" t="e">
        <f>IF(NhatkyBan!#REF!,"AAAAAD/76Xo=",0)</f>
        <v>#REF!</v>
      </c>
      <c r="DT109" t="e">
        <f>AND(NhatkyBan!#REF!,"AAAAAD/76Xs=")</f>
        <v>#REF!</v>
      </c>
      <c r="DU109" t="e">
        <f>AND(NhatkyBan!#REF!,"AAAAAD/76Xw=")</f>
        <v>#REF!</v>
      </c>
      <c r="DV109" t="e">
        <f>AND(NhatkyBan!#REF!,"AAAAAD/76X0=")</f>
        <v>#REF!</v>
      </c>
      <c r="DW109" t="e">
        <f>AND(NhatkyBan!#REF!,"AAAAAD/76X4=")</f>
        <v>#REF!</v>
      </c>
      <c r="DX109" t="e">
        <f>AND(NhatkyBan!#REF!,"AAAAAD/76X8=")</f>
        <v>#REF!</v>
      </c>
      <c r="DY109" t="e">
        <f>AND(NhatkyBan!#REF!,"AAAAAD/76YA=")</f>
        <v>#REF!</v>
      </c>
      <c r="DZ109" t="e">
        <f>AND(NhatkyBan!#REF!,"AAAAAD/76YE=")</f>
        <v>#REF!</v>
      </c>
      <c r="EA109" t="e">
        <f>AND(NhatkyBan!#REF!,"AAAAAD/76YI=")</f>
        <v>#REF!</v>
      </c>
      <c r="EB109" t="e">
        <f>AND(NhatkyBan!#REF!,"AAAAAD/76YM=")</f>
        <v>#REF!</v>
      </c>
      <c r="EC109" t="e">
        <f>AND(NhatkyBan!#REF!,"AAAAAD/76YQ=")</f>
        <v>#REF!</v>
      </c>
      <c r="ED109" t="e">
        <f>AND(NhatkyBan!#REF!,"AAAAAD/76YU=")</f>
        <v>#REF!</v>
      </c>
      <c r="EE109" t="e">
        <f>AND(NhatkyBan!#REF!,"AAAAAD/76YY=")</f>
        <v>#REF!</v>
      </c>
      <c r="EF109" t="e">
        <f>AND(NhatkyBan!#REF!,"AAAAAD/76Yc=")</f>
        <v>#REF!</v>
      </c>
      <c r="EG109" t="e">
        <f>AND(NhatkyBan!#REF!,"AAAAAD/76Yg=")</f>
        <v>#REF!</v>
      </c>
      <c r="EH109" t="e">
        <f>AND(NhatkyBan!#REF!,"AAAAAD/76Yk=")</f>
        <v>#REF!</v>
      </c>
      <c r="EI109" t="e">
        <f>AND(NhatkyBan!#REF!,"AAAAAD/76Yo=")</f>
        <v>#REF!</v>
      </c>
      <c r="EJ109" t="e">
        <f>AND(NhatkyBan!#REF!,"AAAAAD/76Ys=")</f>
        <v>#REF!</v>
      </c>
      <c r="EK109" t="e">
        <f>AND(NhatkyBan!#REF!,"AAAAAD/76Yw=")</f>
        <v>#REF!</v>
      </c>
      <c r="EL109" t="e">
        <f>AND(NhatkyBan!#REF!,"AAAAAD/76Y0=")</f>
        <v>#REF!</v>
      </c>
      <c r="EM109" t="e">
        <f>AND(NhatkyBan!#REF!,"AAAAAD/76Y4=")</f>
        <v>#REF!</v>
      </c>
      <c r="EN109" t="e">
        <f>AND(NhatkyBan!#REF!,"AAAAAD/76Y8=")</f>
        <v>#REF!</v>
      </c>
      <c r="EO109" t="e">
        <f>AND(NhatkyBan!#REF!,"AAAAAD/76ZA=")</f>
        <v>#REF!</v>
      </c>
      <c r="EP109" t="e">
        <f>AND(NhatkyBan!#REF!,"AAAAAD/76ZE=")</f>
        <v>#REF!</v>
      </c>
      <c r="EQ109" t="e">
        <f>AND(NhatkyBan!#REF!,"AAAAAD/76ZI=")</f>
        <v>#REF!</v>
      </c>
      <c r="ER109" t="e">
        <f>AND(NhatkyBan!#REF!,"AAAAAD/76ZM=")</f>
        <v>#REF!</v>
      </c>
      <c r="ES109" t="e">
        <f>AND(NhatkyBan!#REF!,"AAAAAD/76ZQ=")</f>
        <v>#REF!</v>
      </c>
      <c r="ET109" t="e">
        <f>AND(NhatkyBan!#REF!,"AAAAAD/76ZU=")</f>
        <v>#REF!</v>
      </c>
      <c r="EU109" t="e">
        <f>AND(NhatkyBan!#REF!,"AAAAAD/76ZY=")</f>
        <v>#REF!</v>
      </c>
      <c r="EV109" t="e">
        <f>AND(NhatkyBan!#REF!,"AAAAAD/76Zc=")</f>
        <v>#REF!</v>
      </c>
      <c r="EW109" t="e">
        <f>AND(NhatkyBan!#REF!,"AAAAAD/76Zg=")</f>
        <v>#REF!</v>
      </c>
      <c r="EX109" t="e">
        <f>AND(NhatkyBan!#REF!,"AAAAAD/76Zk=")</f>
        <v>#REF!</v>
      </c>
      <c r="EY109" t="e">
        <f>AND(NhatkyBan!#REF!,"AAAAAD/76Zo=")</f>
        <v>#REF!</v>
      </c>
      <c r="EZ109" t="e">
        <f>AND(NhatkyBan!#REF!,"AAAAAD/76Zs=")</f>
        <v>#REF!</v>
      </c>
      <c r="FA109" t="e">
        <f>AND(NhatkyBan!#REF!,"AAAAAD/76Zw=")</f>
        <v>#REF!</v>
      </c>
      <c r="FB109" t="e">
        <f>IF(NhatkyBan!#REF!,"AAAAAD/76Z0=",0)</f>
        <v>#REF!</v>
      </c>
      <c r="FC109" t="e">
        <f>AND(NhatkyBan!#REF!,"AAAAAD/76Z4=")</f>
        <v>#REF!</v>
      </c>
      <c r="FD109" t="e">
        <f>AND(NhatkyBan!#REF!,"AAAAAD/76Z8=")</f>
        <v>#REF!</v>
      </c>
      <c r="FE109" t="e">
        <f>AND(NhatkyBan!#REF!,"AAAAAD/76aA=")</f>
        <v>#REF!</v>
      </c>
      <c r="FF109" t="e">
        <f>AND(NhatkyBan!#REF!,"AAAAAD/76aE=")</f>
        <v>#REF!</v>
      </c>
      <c r="FG109" t="e">
        <f>AND(NhatkyBan!#REF!,"AAAAAD/76aI=")</f>
        <v>#REF!</v>
      </c>
      <c r="FH109" t="e">
        <f>AND(NhatkyBan!#REF!,"AAAAAD/76aM=")</f>
        <v>#REF!</v>
      </c>
      <c r="FI109" t="e">
        <f>AND(NhatkyBan!#REF!,"AAAAAD/76aQ=")</f>
        <v>#REF!</v>
      </c>
      <c r="FJ109" t="e">
        <f>AND(NhatkyBan!#REF!,"AAAAAD/76aU=")</f>
        <v>#REF!</v>
      </c>
      <c r="FK109" t="e">
        <f>AND(NhatkyBan!#REF!,"AAAAAD/76aY=")</f>
        <v>#REF!</v>
      </c>
      <c r="FL109" t="e">
        <f>AND(NhatkyBan!#REF!,"AAAAAD/76ac=")</f>
        <v>#REF!</v>
      </c>
      <c r="FM109" t="e">
        <f>AND(NhatkyBan!#REF!,"AAAAAD/76ag=")</f>
        <v>#REF!</v>
      </c>
      <c r="FN109" t="e">
        <f>AND(NhatkyBan!#REF!,"AAAAAD/76ak=")</f>
        <v>#REF!</v>
      </c>
      <c r="FO109" t="e">
        <f>AND(NhatkyBan!#REF!,"AAAAAD/76ao=")</f>
        <v>#REF!</v>
      </c>
      <c r="FP109" t="e">
        <f>AND(NhatkyBan!#REF!,"AAAAAD/76as=")</f>
        <v>#REF!</v>
      </c>
      <c r="FQ109" t="e">
        <f>AND(NhatkyBan!#REF!,"AAAAAD/76aw=")</f>
        <v>#REF!</v>
      </c>
      <c r="FR109" t="e">
        <f>AND(NhatkyBan!#REF!,"AAAAAD/76a0=")</f>
        <v>#REF!</v>
      </c>
      <c r="FS109" t="e">
        <f>AND(NhatkyBan!#REF!,"AAAAAD/76a4=")</f>
        <v>#REF!</v>
      </c>
      <c r="FT109" t="e">
        <f>AND(NhatkyBan!#REF!,"AAAAAD/76a8=")</f>
        <v>#REF!</v>
      </c>
      <c r="FU109" t="e">
        <f>AND(NhatkyBan!#REF!,"AAAAAD/76bA=")</f>
        <v>#REF!</v>
      </c>
      <c r="FV109" t="e">
        <f>AND(NhatkyBan!#REF!,"AAAAAD/76bE=")</f>
        <v>#REF!</v>
      </c>
      <c r="FW109" t="e">
        <f>AND(NhatkyBan!#REF!,"AAAAAD/76bI=")</f>
        <v>#REF!</v>
      </c>
      <c r="FX109" t="e">
        <f>AND(NhatkyBan!#REF!,"AAAAAD/76bM=")</f>
        <v>#REF!</v>
      </c>
      <c r="FY109" t="e">
        <f>AND(NhatkyBan!#REF!,"AAAAAD/76bQ=")</f>
        <v>#REF!</v>
      </c>
      <c r="FZ109" t="e">
        <f>AND(NhatkyBan!#REF!,"AAAAAD/76bU=")</f>
        <v>#REF!</v>
      </c>
      <c r="GA109" t="e">
        <f>AND(NhatkyBan!#REF!,"AAAAAD/76bY=")</f>
        <v>#REF!</v>
      </c>
      <c r="GB109" t="e">
        <f>AND(NhatkyBan!#REF!,"AAAAAD/76bc=")</f>
        <v>#REF!</v>
      </c>
      <c r="GC109" t="e">
        <f>AND(NhatkyBan!#REF!,"AAAAAD/76bg=")</f>
        <v>#REF!</v>
      </c>
      <c r="GD109" t="e">
        <f>AND(NhatkyBan!#REF!,"AAAAAD/76bk=")</f>
        <v>#REF!</v>
      </c>
      <c r="GE109" t="e">
        <f>AND(NhatkyBan!#REF!,"AAAAAD/76bo=")</f>
        <v>#REF!</v>
      </c>
      <c r="GF109" t="e">
        <f>AND(NhatkyBan!#REF!,"AAAAAD/76bs=")</f>
        <v>#REF!</v>
      </c>
      <c r="GG109" t="e">
        <f>AND(NhatkyBan!#REF!,"AAAAAD/76bw=")</f>
        <v>#REF!</v>
      </c>
      <c r="GH109" t="e">
        <f>AND(NhatkyBan!#REF!,"AAAAAD/76b0=")</f>
        <v>#REF!</v>
      </c>
      <c r="GI109" t="e">
        <f>AND(NhatkyBan!#REF!,"AAAAAD/76b4=")</f>
        <v>#REF!</v>
      </c>
      <c r="GJ109" t="e">
        <f>AND(NhatkyBan!#REF!,"AAAAAD/76b8=")</f>
        <v>#REF!</v>
      </c>
      <c r="GK109" t="e">
        <f>IF(NhatkyBan!#REF!,"AAAAAD/76cA=",0)</f>
        <v>#REF!</v>
      </c>
      <c r="GL109" t="e">
        <f>AND(NhatkyBan!#REF!,"AAAAAD/76cE=")</f>
        <v>#REF!</v>
      </c>
      <c r="GM109" t="e">
        <f>AND(NhatkyBan!#REF!,"AAAAAD/76cI=")</f>
        <v>#REF!</v>
      </c>
      <c r="GN109" t="e">
        <f>AND(NhatkyBan!#REF!,"AAAAAD/76cM=")</f>
        <v>#REF!</v>
      </c>
      <c r="GO109" t="e">
        <f>AND(NhatkyBan!#REF!,"AAAAAD/76cQ=")</f>
        <v>#REF!</v>
      </c>
      <c r="GP109" t="e">
        <f>AND(NhatkyBan!#REF!,"AAAAAD/76cU=")</f>
        <v>#REF!</v>
      </c>
      <c r="GQ109" t="e">
        <f>AND(NhatkyBan!#REF!,"AAAAAD/76cY=")</f>
        <v>#REF!</v>
      </c>
      <c r="GR109" t="e">
        <f>AND(NhatkyBan!#REF!,"AAAAAD/76cc=")</f>
        <v>#REF!</v>
      </c>
      <c r="GS109" t="e">
        <f>AND(NhatkyBan!#REF!,"AAAAAD/76cg=")</f>
        <v>#REF!</v>
      </c>
      <c r="GT109" t="e">
        <f>AND(NhatkyBan!#REF!,"AAAAAD/76ck=")</f>
        <v>#REF!</v>
      </c>
      <c r="GU109" t="e">
        <f>AND(NhatkyBan!#REF!,"AAAAAD/76co=")</f>
        <v>#REF!</v>
      </c>
      <c r="GV109" t="e">
        <f>AND(NhatkyBan!#REF!,"AAAAAD/76cs=")</f>
        <v>#REF!</v>
      </c>
      <c r="GW109" t="e">
        <f>AND(NhatkyBan!#REF!,"AAAAAD/76cw=")</f>
        <v>#REF!</v>
      </c>
      <c r="GX109" t="e">
        <f>AND(NhatkyBan!#REF!,"AAAAAD/76c0=")</f>
        <v>#REF!</v>
      </c>
      <c r="GY109" t="e">
        <f>AND(NhatkyBan!#REF!,"AAAAAD/76c4=")</f>
        <v>#REF!</v>
      </c>
      <c r="GZ109" t="e">
        <f>AND(NhatkyBan!#REF!,"AAAAAD/76c8=")</f>
        <v>#REF!</v>
      </c>
      <c r="HA109" t="e">
        <f>AND(NhatkyBan!#REF!,"AAAAAD/76dA=")</f>
        <v>#REF!</v>
      </c>
      <c r="HB109" t="e">
        <f>AND(NhatkyBan!#REF!,"AAAAAD/76dE=")</f>
        <v>#REF!</v>
      </c>
      <c r="HC109" t="e">
        <f>AND(NhatkyBan!#REF!,"AAAAAD/76dI=")</f>
        <v>#REF!</v>
      </c>
      <c r="HD109" t="e">
        <f>AND(NhatkyBan!#REF!,"AAAAAD/76dM=")</f>
        <v>#REF!</v>
      </c>
      <c r="HE109" t="e">
        <f>AND(NhatkyBan!#REF!,"AAAAAD/76dQ=")</f>
        <v>#REF!</v>
      </c>
      <c r="HF109" t="e">
        <f>AND(NhatkyBan!#REF!,"AAAAAD/76dU=")</f>
        <v>#REF!</v>
      </c>
      <c r="HG109" t="e">
        <f>AND(NhatkyBan!#REF!,"AAAAAD/76dY=")</f>
        <v>#REF!</v>
      </c>
      <c r="HH109" t="e">
        <f>AND(NhatkyBan!#REF!,"AAAAAD/76dc=")</f>
        <v>#REF!</v>
      </c>
      <c r="HI109" t="e">
        <f>AND(NhatkyBan!#REF!,"AAAAAD/76dg=")</f>
        <v>#REF!</v>
      </c>
      <c r="HJ109" t="e">
        <f>AND(NhatkyBan!#REF!,"AAAAAD/76dk=")</f>
        <v>#REF!</v>
      </c>
      <c r="HK109" t="e">
        <f>AND(NhatkyBan!#REF!,"AAAAAD/76do=")</f>
        <v>#REF!</v>
      </c>
      <c r="HL109" t="e">
        <f>AND(NhatkyBan!#REF!,"AAAAAD/76ds=")</f>
        <v>#REF!</v>
      </c>
      <c r="HM109" t="e">
        <f>AND(NhatkyBan!#REF!,"AAAAAD/76dw=")</f>
        <v>#REF!</v>
      </c>
      <c r="HN109" t="e">
        <f>AND(NhatkyBan!#REF!,"AAAAAD/76d0=")</f>
        <v>#REF!</v>
      </c>
      <c r="HO109" t="e">
        <f>AND(NhatkyBan!#REF!,"AAAAAD/76d4=")</f>
        <v>#REF!</v>
      </c>
      <c r="HP109" t="e">
        <f>AND(NhatkyBan!#REF!,"AAAAAD/76d8=")</f>
        <v>#REF!</v>
      </c>
      <c r="HQ109" t="e">
        <f>AND(NhatkyBan!#REF!,"AAAAAD/76eA=")</f>
        <v>#REF!</v>
      </c>
      <c r="HR109" t="e">
        <f>AND(NhatkyBan!#REF!,"AAAAAD/76eE=")</f>
        <v>#REF!</v>
      </c>
      <c r="HS109" t="e">
        <f>AND(NhatkyBan!#REF!,"AAAAAD/76eI=")</f>
        <v>#REF!</v>
      </c>
      <c r="HT109" t="e">
        <f>IF(NhatkyBan!#REF!,"AAAAAD/76eM=",0)</f>
        <v>#REF!</v>
      </c>
      <c r="HU109" t="e">
        <f>AND(NhatkyBan!#REF!,"AAAAAD/76eQ=")</f>
        <v>#REF!</v>
      </c>
      <c r="HV109" t="e">
        <f>AND(NhatkyBan!#REF!,"AAAAAD/76eU=")</f>
        <v>#REF!</v>
      </c>
      <c r="HW109" t="e">
        <f>AND(NhatkyBan!#REF!,"AAAAAD/76eY=")</f>
        <v>#REF!</v>
      </c>
      <c r="HX109" t="e">
        <f>AND(NhatkyBan!#REF!,"AAAAAD/76ec=")</f>
        <v>#REF!</v>
      </c>
      <c r="HY109" t="e">
        <f>AND(NhatkyBan!#REF!,"AAAAAD/76eg=")</f>
        <v>#REF!</v>
      </c>
      <c r="HZ109" t="e">
        <f>AND(NhatkyBan!#REF!,"AAAAAD/76ek=")</f>
        <v>#REF!</v>
      </c>
      <c r="IA109" t="e">
        <f>AND(NhatkyBan!#REF!,"AAAAAD/76eo=")</f>
        <v>#REF!</v>
      </c>
      <c r="IB109" t="e">
        <f>AND(NhatkyBan!#REF!,"AAAAAD/76es=")</f>
        <v>#REF!</v>
      </c>
      <c r="IC109" t="e">
        <f>AND(NhatkyBan!#REF!,"AAAAAD/76ew=")</f>
        <v>#REF!</v>
      </c>
      <c r="ID109" t="e">
        <f>AND(NhatkyBan!#REF!,"AAAAAD/76e0=")</f>
        <v>#REF!</v>
      </c>
      <c r="IE109" t="e">
        <f>AND(NhatkyBan!#REF!,"AAAAAD/76e4=")</f>
        <v>#REF!</v>
      </c>
      <c r="IF109" t="e">
        <f>AND(NhatkyBan!#REF!,"AAAAAD/76e8=")</f>
        <v>#REF!</v>
      </c>
      <c r="IG109" t="e">
        <f>AND(NhatkyBan!#REF!,"AAAAAD/76fA=")</f>
        <v>#REF!</v>
      </c>
      <c r="IH109" t="e">
        <f>AND(NhatkyBan!#REF!,"AAAAAD/76fE=")</f>
        <v>#REF!</v>
      </c>
      <c r="II109" t="e">
        <f>AND(NhatkyBan!#REF!,"AAAAAD/76fI=")</f>
        <v>#REF!</v>
      </c>
      <c r="IJ109" t="e">
        <f>AND(NhatkyBan!#REF!,"AAAAAD/76fM=")</f>
        <v>#REF!</v>
      </c>
      <c r="IK109" t="e">
        <f>AND(NhatkyBan!#REF!,"AAAAAD/76fQ=")</f>
        <v>#REF!</v>
      </c>
      <c r="IL109" t="e">
        <f>AND(NhatkyBan!#REF!,"AAAAAD/76fU=")</f>
        <v>#REF!</v>
      </c>
      <c r="IM109" t="e">
        <f>AND(NhatkyBan!#REF!,"AAAAAD/76fY=")</f>
        <v>#REF!</v>
      </c>
      <c r="IN109" t="e">
        <f>AND(NhatkyBan!#REF!,"AAAAAD/76fc=")</f>
        <v>#REF!</v>
      </c>
      <c r="IO109" t="e">
        <f>AND(NhatkyBan!#REF!,"AAAAAD/76fg=")</f>
        <v>#REF!</v>
      </c>
      <c r="IP109" t="e">
        <f>AND(NhatkyBan!#REF!,"AAAAAD/76fk=")</f>
        <v>#REF!</v>
      </c>
      <c r="IQ109" t="e">
        <f>AND(NhatkyBan!#REF!,"AAAAAD/76fo=")</f>
        <v>#REF!</v>
      </c>
      <c r="IR109" t="e">
        <f>AND(NhatkyBan!#REF!,"AAAAAD/76fs=")</f>
        <v>#REF!</v>
      </c>
      <c r="IS109" t="e">
        <f>AND(NhatkyBan!#REF!,"AAAAAD/76fw=")</f>
        <v>#REF!</v>
      </c>
      <c r="IT109" t="e">
        <f>AND(NhatkyBan!#REF!,"AAAAAD/76f0=")</f>
        <v>#REF!</v>
      </c>
      <c r="IU109" t="e">
        <f>AND(NhatkyBan!#REF!,"AAAAAD/76f4=")</f>
        <v>#REF!</v>
      </c>
      <c r="IV109" t="e">
        <f>AND(NhatkyBan!#REF!,"AAAAAD/76f8=")</f>
        <v>#REF!</v>
      </c>
    </row>
    <row r="110" spans="1:256">
      <c r="A110" t="e">
        <f>AND(NhatkyBan!#REF!,"AAAAAH6/vgA=")</f>
        <v>#REF!</v>
      </c>
      <c r="B110" t="e">
        <f>AND(NhatkyBan!#REF!,"AAAAAH6/vgE=")</f>
        <v>#REF!</v>
      </c>
      <c r="C110" t="e">
        <f>AND(NhatkyBan!#REF!,"AAAAAH6/vgI=")</f>
        <v>#REF!</v>
      </c>
      <c r="D110" t="e">
        <f>AND(NhatkyBan!#REF!,"AAAAAH6/vgM=")</f>
        <v>#REF!</v>
      </c>
      <c r="E110" t="e">
        <f>AND(NhatkyBan!#REF!,"AAAAAH6/vgQ=")</f>
        <v>#REF!</v>
      </c>
      <c r="F110" t="e">
        <f>AND(NhatkyBan!#REF!,"AAAAAH6/vgU=")</f>
        <v>#REF!</v>
      </c>
      <c r="G110" t="e">
        <f>IF(NhatkyBan!#REF!,"AAAAAH6/vgY=",0)</f>
        <v>#REF!</v>
      </c>
      <c r="H110" t="e">
        <f>AND(NhatkyBan!#REF!,"AAAAAH6/vgc=")</f>
        <v>#REF!</v>
      </c>
      <c r="I110" t="e">
        <f>AND(NhatkyBan!#REF!,"AAAAAH6/vgg=")</f>
        <v>#REF!</v>
      </c>
      <c r="J110" t="e">
        <f>AND(NhatkyBan!#REF!,"AAAAAH6/vgk=")</f>
        <v>#REF!</v>
      </c>
      <c r="K110" t="e">
        <f>AND(NhatkyBan!#REF!,"AAAAAH6/vgo=")</f>
        <v>#REF!</v>
      </c>
      <c r="L110" t="e">
        <f>AND(NhatkyBan!#REF!,"AAAAAH6/vgs=")</f>
        <v>#REF!</v>
      </c>
      <c r="M110" t="e">
        <f>AND(NhatkyBan!#REF!,"AAAAAH6/vgw=")</f>
        <v>#REF!</v>
      </c>
      <c r="N110" t="e">
        <f>AND(NhatkyBan!#REF!,"AAAAAH6/vg0=")</f>
        <v>#REF!</v>
      </c>
      <c r="O110" t="e">
        <f>AND(NhatkyBan!#REF!,"AAAAAH6/vg4=")</f>
        <v>#REF!</v>
      </c>
      <c r="P110" t="e">
        <f>AND(NhatkyBan!#REF!,"AAAAAH6/vg8=")</f>
        <v>#REF!</v>
      </c>
      <c r="Q110" t="e">
        <f>AND(NhatkyBan!#REF!,"AAAAAH6/vhA=")</f>
        <v>#REF!</v>
      </c>
      <c r="R110" t="e">
        <f>AND(NhatkyBan!#REF!,"AAAAAH6/vhE=")</f>
        <v>#REF!</v>
      </c>
      <c r="S110" t="e">
        <f>AND(NhatkyBan!#REF!,"AAAAAH6/vhI=")</f>
        <v>#REF!</v>
      </c>
      <c r="T110" t="e">
        <f>AND(NhatkyBan!#REF!,"AAAAAH6/vhM=")</f>
        <v>#REF!</v>
      </c>
      <c r="U110" t="e">
        <f>AND(NhatkyBan!#REF!,"AAAAAH6/vhQ=")</f>
        <v>#REF!</v>
      </c>
      <c r="V110" t="e">
        <f>AND(NhatkyBan!#REF!,"AAAAAH6/vhU=")</f>
        <v>#REF!</v>
      </c>
      <c r="W110" t="e">
        <f>AND(NhatkyBan!#REF!,"AAAAAH6/vhY=")</f>
        <v>#REF!</v>
      </c>
      <c r="X110" t="e">
        <f>AND(NhatkyBan!#REF!,"AAAAAH6/vhc=")</f>
        <v>#REF!</v>
      </c>
      <c r="Y110" t="e">
        <f>AND(NhatkyBan!#REF!,"AAAAAH6/vhg=")</f>
        <v>#REF!</v>
      </c>
      <c r="Z110" t="e">
        <f>AND(NhatkyBan!#REF!,"AAAAAH6/vhk=")</f>
        <v>#REF!</v>
      </c>
      <c r="AA110" t="e">
        <f>AND(NhatkyBan!#REF!,"AAAAAH6/vho=")</f>
        <v>#REF!</v>
      </c>
      <c r="AB110" t="e">
        <f>AND(NhatkyBan!#REF!,"AAAAAH6/vhs=")</f>
        <v>#REF!</v>
      </c>
      <c r="AC110" t="e">
        <f>AND(NhatkyBan!#REF!,"AAAAAH6/vhw=")</f>
        <v>#REF!</v>
      </c>
      <c r="AD110" t="e">
        <f>AND(NhatkyBan!#REF!,"AAAAAH6/vh0=")</f>
        <v>#REF!</v>
      </c>
      <c r="AE110" t="e">
        <f>AND(NhatkyBan!#REF!,"AAAAAH6/vh4=")</f>
        <v>#REF!</v>
      </c>
      <c r="AF110" t="e">
        <f>AND(NhatkyBan!#REF!,"AAAAAH6/vh8=")</f>
        <v>#REF!</v>
      </c>
      <c r="AG110" t="e">
        <f>AND(NhatkyBan!#REF!,"AAAAAH6/viA=")</f>
        <v>#REF!</v>
      </c>
      <c r="AH110" t="e">
        <f>AND(NhatkyBan!#REF!,"AAAAAH6/viE=")</f>
        <v>#REF!</v>
      </c>
      <c r="AI110" t="e">
        <f>AND(NhatkyBan!#REF!,"AAAAAH6/viI=")</f>
        <v>#REF!</v>
      </c>
      <c r="AJ110" t="e">
        <f>AND(NhatkyBan!#REF!,"AAAAAH6/viM=")</f>
        <v>#REF!</v>
      </c>
      <c r="AK110" t="e">
        <f>AND(NhatkyBan!#REF!,"AAAAAH6/viQ=")</f>
        <v>#REF!</v>
      </c>
      <c r="AL110" t="e">
        <f>AND(NhatkyBan!#REF!,"AAAAAH6/viU=")</f>
        <v>#REF!</v>
      </c>
      <c r="AM110" t="e">
        <f>AND(NhatkyBan!#REF!,"AAAAAH6/viY=")</f>
        <v>#REF!</v>
      </c>
      <c r="AN110" t="e">
        <f>AND(NhatkyBan!#REF!,"AAAAAH6/vic=")</f>
        <v>#REF!</v>
      </c>
      <c r="AO110" t="e">
        <f>AND(NhatkyBan!#REF!,"AAAAAH6/vig=")</f>
        <v>#REF!</v>
      </c>
      <c r="AP110" t="e">
        <f>IF(NhatkyBan!#REF!,"AAAAAH6/vik=",0)</f>
        <v>#REF!</v>
      </c>
      <c r="AQ110" t="e">
        <f>AND(NhatkyBan!#REF!,"AAAAAH6/vio=")</f>
        <v>#REF!</v>
      </c>
      <c r="AR110" t="e">
        <f>AND(NhatkyBan!#REF!,"AAAAAH6/vis=")</f>
        <v>#REF!</v>
      </c>
      <c r="AS110" t="e">
        <f>AND(NhatkyBan!#REF!,"AAAAAH6/viw=")</f>
        <v>#REF!</v>
      </c>
      <c r="AT110" t="e">
        <f>AND(NhatkyBan!#REF!,"AAAAAH6/vi0=")</f>
        <v>#REF!</v>
      </c>
      <c r="AU110" t="e">
        <f>AND(NhatkyBan!#REF!,"AAAAAH6/vi4=")</f>
        <v>#REF!</v>
      </c>
      <c r="AV110" t="e">
        <f>AND(NhatkyBan!#REF!,"AAAAAH6/vi8=")</f>
        <v>#REF!</v>
      </c>
      <c r="AW110" t="e">
        <f>AND(NhatkyBan!#REF!,"AAAAAH6/vjA=")</f>
        <v>#REF!</v>
      </c>
      <c r="AX110" t="e">
        <f>AND(NhatkyBan!#REF!,"AAAAAH6/vjE=")</f>
        <v>#REF!</v>
      </c>
      <c r="AY110" t="e">
        <f>AND(NhatkyBan!#REF!,"AAAAAH6/vjI=")</f>
        <v>#REF!</v>
      </c>
      <c r="AZ110" t="e">
        <f>AND(NhatkyBan!#REF!,"AAAAAH6/vjM=")</f>
        <v>#REF!</v>
      </c>
      <c r="BA110" t="e">
        <f>AND(NhatkyBan!#REF!,"AAAAAH6/vjQ=")</f>
        <v>#REF!</v>
      </c>
      <c r="BB110" t="e">
        <f>AND(NhatkyBan!#REF!,"AAAAAH6/vjU=")</f>
        <v>#REF!</v>
      </c>
      <c r="BC110" t="e">
        <f>AND(NhatkyBan!#REF!,"AAAAAH6/vjY=")</f>
        <v>#REF!</v>
      </c>
      <c r="BD110" t="e">
        <f>AND(NhatkyBan!#REF!,"AAAAAH6/vjc=")</f>
        <v>#REF!</v>
      </c>
      <c r="BE110" t="e">
        <f>AND(NhatkyBan!#REF!,"AAAAAH6/vjg=")</f>
        <v>#REF!</v>
      </c>
      <c r="BF110" t="e">
        <f>AND(NhatkyBan!#REF!,"AAAAAH6/vjk=")</f>
        <v>#REF!</v>
      </c>
      <c r="BG110" t="e">
        <f>AND(NhatkyBan!#REF!,"AAAAAH6/vjo=")</f>
        <v>#REF!</v>
      </c>
      <c r="BH110" t="e">
        <f>AND(NhatkyBan!#REF!,"AAAAAH6/vjs=")</f>
        <v>#REF!</v>
      </c>
      <c r="BI110" t="e">
        <f>AND(NhatkyBan!#REF!,"AAAAAH6/vjw=")</f>
        <v>#REF!</v>
      </c>
      <c r="BJ110" t="e">
        <f>AND(NhatkyBan!#REF!,"AAAAAH6/vj0=")</f>
        <v>#REF!</v>
      </c>
      <c r="BK110" t="e">
        <f>AND(NhatkyBan!#REF!,"AAAAAH6/vj4=")</f>
        <v>#REF!</v>
      </c>
      <c r="BL110" t="e">
        <f>AND(NhatkyBan!#REF!,"AAAAAH6/vj8=")</f>
        <v>#REF!</v>
      </c>
      <c r="BM110" t="e">
        <f>AND(NhatkyBan!#REF!,"AAAAAH6/vkA=")</f>
        <v>#REF!</v>
      </c>
      <c r="BN110" t="e">
        <f>AND(NhatkyBan!#REF!,"AAAAAH6/vkE=")</f>
        <v>#REF!</v>
      </c>
      <c r="BO110" t="e">
        <f>AND(NhatkyBan!#REF!,"AAAAAH6/vkI=")</f>
        <v>#REF!</v>
      </c>
      <c r="BP110" t="e">
        <f>AND(NhatkyBan!#REF!,"AAAAAH6/vkM=")</f>
        <v>#REF!</v>
      </c>
      <c r="BQ110" t="e">
        <f>AND(NhatkyBan!#REF!,"AAAAAH6/vkQ=")</f>
        <v>#REF!</v>
      </c>
      <c r="BR110" t="e">
        <f>AND(NhatkyBan!#REF!,"AAAAAH6/vkU=")</f>
        <v>#REF!</v>
      </c>
      <c r="BS110" t="e">
        <f>AND(NhatkyBan!#REF!,"AAAAAH6/vkY=")</f>
        <v>#REF!</v>
      </c>
      <c r="BT110" t="e">
        <f>AND(NhatkyBan!#REF!,"AAAAAH6/vkc=")</f>
        <v>#REF!</v>
      </c>
      <c r="BU110" t="e">
        <f>AND(NhatkyBan!#REF!,"AAAAAH6/vkg=")</f>
        <v>#REF!</v>
      </c>
      <c r="BV110" t="e">
        <f>AND(NhatkyBan!#REF!,"AAAAAH6/vkk=")</f>
        <v>#REF!</v>
      </c>
      <c r="BW110" t="e">
        <f>AND(NhatkyBan!#REF!,"AAAAAH6/vko=")</f>
        <v>#REF!</v>
      </c>
      <c r="BX110" t="e">
        <f>AND(NhatkyBan!#REF!,"AAAAAH6/vks=")</f>
        <v>#REF!</v>
      </c>
      <c r="BY110" t="e">
        <f>IF(NhatkyBan!#REF!,"AAAAAH6/vkw=",0)</f>
        <v>#REF!</v>
      </c>
      <c r="BZ110" t="e">
        <f>AND(NhatkyBan!#REF!,"AAAAAH6/vk0=")</f>
        <v>#REF!</v>
      </c>
      <c r="CA110" t="e">
        <f>AND(NhatkyBan!#REF!,"AAAAAH6/vk4=")</f>
        <v>#REF!</v>
      </c>
      <c r="CB110" t="e">
        <f>AND(NhatkyBan!#REF!,"AAAAAH6/vk8=")</f>
        <v>#REF!</v>
      </c>
      <c r="CC110" t="e">
        <f>AND(NhatkyBan!#REF!,"AAAAAH6/vlA=")</f>
        <v>#REF!</v>
      </c>
      <c r="CD110" t="e">
        <f>AND(NhatkyBan!#REF!,"AAAAAH6/vlE=")</f>
        <v>#REF!</v>
      </c>
      <c r="CE110" t="e">
        <f>AND(NhatkyBan!#REF!,"AAAAAH6/vlI=")</f>
        <v>#REF!</v>
      </c>
      <c r="CF110" t="e">
        <f>AND(NhatkyBan!#REF!,"AAAAAH6/vlM=")</f>
        <v>#REF!</v>
      </c>
      <c r="CG110" t="e">
        <f>AND(NhatkyBan!#REF!,"AAAAAH6/vlQ=")</f>
        <v>#REF!</v>
      </c>
      <c r="CH110" t="e">
        <f>AND(NhatkyBan!#REF!,"AAAAAH6/vlU=")</f>
        <v>#REF!</v>
      </c>
      <c r="CI110" t="e">
        <f>AND(NhatkyBan!#REF!,"AAAAAH6/vlY=")</f>
        <v>#REF!</v>
      </c>
      <c r="CJ110" t="e">
        <f>AND(NhatkyBan!#REF!,"AAAAAH6/vlc=")</f>
        <v>#REF!</v>
      </c>
      <c r="CK110" t="e">
        <f>AND(NhatkyBan!#REF!,"AAAAAH6/vlg=")</f>
        <v>#REF!</v>
      </c>
      <c r="CL110" t="e">
        <f>AND(NhatkyBan!#REF!,"AAAAAH6/vlk=")</f>
        <v>#REF!</v>
      </c>
      <c r="CM110" t="e">
        <f>AND(NhatkyBan!#REF!,"AAAAAH6/vlo=")</f>
        <v>#REF!</v>
      </c>
      <c r="CN110" t="e">
        <f>AND(NhatkyBan!#REF!,"AAAAAH6/vls=")</f>
        <v>#REF!</v>
      </c>
      <c r="CO110" t="e">
        <f>AND(NhatkyBan!#REF!,"AAAAAH6/vlw=")</f>
        <v>#REF!</v>
      </c>
      <c r="CP110" t="e">
        <f>AND(NhatkyBan!#REF!,"AAAAAH6/vl0=")</f>
        <v>#REF!</v>
      </c>
      <c r="CQ110" t="e">
        <f>AND(NhatkyBan!#REF!,"AAAAAH6/vl4=")</f>
        <v>#REF!</v>
      </c>
      <c r="CR110" t="e">
        <f>AND(NhatkyBan!#REF!,"AAAAAH6/vl8=")</f>
        <v>#REF!</v>
      </c>
      <c r="CS110" t="e">
        <f>AND(NhatkyBan!#REF!,"AAAAAH6/vmA=")</f>
        <v>#REF!</v>
      </c>
      <c r="CT110" t="e">
        <f>AND(NhatkyBan!#REF!,"AAAAAH6/vmE=")</f>
        <v>#REF!</v>
      </c>
      <c r="CU110" t="e">
        <f>AND(NhatkyBan!#REF!,"AAAAAH6/vmI=")</f>
        <v>#REF!</v>
      </c>
      <c r="CV110" t="e">
        <f>AND(NhatkyBan!#REF!,"AAAAAH6/vmM=")</f>
        <v>#REF!</v>
      </c>
      <c r="CW110" t="e">
        <f>AND(NhatkyBan!#REF!,"AAAAAH6/vmQ=")</f>
        <v>#REF!</v>
      </c>
      <c r="CX110" t="e">
        <f>AND(NhatkyBan!#REF!,"AAAAAH6/vmU=")</f>
        <v>#REF!</v>
      </c>
      <c r="CY110" t="e">
        <f>AND(NhatkyBan!#REF!,"AAAAAH6/vmY=")</f>
        <v>#REF!</v>
      </c>
      <c r="CZ110" t="e">
        <f>AND(NhatkyBan!#REF!,"AAAAAH6/vmc=")</f>
        <v>#REF!</v>
      </c>
      <c r="DA110" t="e">
        <f>AND(NhatkyBan!#REF!,"AAAAAH6/vmg=")</f>
        <v>#REF!</v>
      </c>
      <c r="DB110" t="e">
        <f>AND(NhatkyBan!#REF!,"AAAAAH6/vmk=")</f>
        <v>#REF!</v>
      </c>
      <c r="DC110" t="e">
        <f>AND(NhatkyBan!#REF!,"AAAAAH6/vmo=")</f>
        <v>#REF!</v>
      </c>
      <c r="DD110" t="e">
        <f>AND(NhatkyBan!#REF!,"AAAAAH6/vms=")</f>
        <v>#REF!</v>
      </c>
      <c r="DE110" t="e">
        <f>AND(NhatkyBan!#REF!,"AAAAAH6/vmw=")</f>
        <v>#REF!</v>
      </c>
      <c r="DF110" t="e">
        <f>AND(NhatkyBan!#REF!,"AAAAAH6/vm0=")</f>
        <v>#REF!</v>
      </c>
      <c r="DG110" t="e">
        <f>AND(NhatkyBan!#REF!,"AAAAAH6/vm4=")</f>
        <v>#REF!</v>
      </c>
      <c r="DH110" t="e">
        <f>IF(NhatkyBan!#REF!,"AAAAAH6/vm8=",0)</f>
        <v>#REF!</v>
      </c>
      <c r="DI110" t="e">
        <f>AND(NhatkyBan!#REF!,"AAAAAH6/vnA=")</f>
        <v>#REF!</v>
      </c>
      <c r="DJ110" t="e">
        <f>AND(NhatkyBan!#REF!,"AAAAAH6/vnE=")</f>
        <v>#REF!</v>
      </c>
      <c r="DK110" t="e">
        <f>AND(NhatkyBan!#REF!,"AAAAAH6/vnI=")</f>
        <v>#REF!</v>
      </c>
      <c r="DL110" t="e">
        <f>AND(NhatkyBan!#REF!,"AAAAAH6/vnM=")</f>
        <v>#REF!</v>
      </c>
      <c r="DM110" t="e">
        <f>AND(NhatkyBan!#REF!,"AAAAAH6/vnQ=")</f>
        <v>#REF!</v>
      </c>
      <c r="DN110" t="e">
        <f>AND(NhatkyBan!#REF!,"AAAAAH6/vnU=")</f>
        <v>#REF!</v>
      </c>
      <c r="DO110" t="e">
        <f>AND(NhatkyBan!#REF!,"AAAAAH6/vnY=")</f>
        <v>#REF!</v>
      </c>
      <c r="DP110" t="e">
        <f>AND(NhatkyBan!#REF!,"AAAAAH6/vnc=")</f>
        <v>#REF!</v>
      </c>
      <c r="DQ110" t="e">
        <f>AND(NhatkyBan!#REF!,"AAAAAH6/vng=")</f>
        <v>#REF!</v>
      </c>
      <c r="DR110" t="e">
        <f>AND(NhatkyBan!#REF!,"AAAAAH6/vnk=")</f>
        <v>#REF!</v>
      </c>
      <c r="DS110" t="e">
        <f>AND(NhatkyBan!#REF!,"AAAAAH6/vno=")</f>
        <v>#REF!</v>
      </c>
      <c r="DT110" t="e">
        <f>AND(NhatkyBan!#REF!,"AAAAAH6/vns=")</f>
        <v>#REF!</v>
      </c>
      <c r="DU110" t="e">
        <f>AND(NhatkyBan!#REF!,"AAAAAH6/vnw=")</f>
        <v>#REF!</v>
      </c>
      <c r="DV110" t="e">
        <f>AND(NhatkyBan!#REF!,"AAAAAH6/vn0=")</f>
        <v>#REF!</v>
      </c>
      <c r="DW110" t="e">
        <f>AND(NhatkyBan!#REF!,"AAAAAH6/vn4=")</f>
        <v>#REF!</v>
      </c>
      <c r="DX110" t="e">
        <f>AND(NhatkyBan!#REF!,"AAAAAH6/vn8=")</f>
        <v>#REF!</v>
      </c>
      <c r="DY110" t="e">
        <f>AND(NhatkyBan!#REF!,"AAAAAH6/voA=")</f>
        <v>#REF!</v>
      </c>
      <c r="DZ110" t="e">
        <f>AND(NhatkyBan!#REF!,"AAAAAH6/voE=")</f>
        <v>#REF!</v>
      </c>
      <c r="EA110" t="e">
        <f>AND(NhatkyBan!#REF!,"AAAAAH6/voI=")</f>
        <v>#REF!</v>
      </c>
      <c r="EB110" t="e">
        <f>AND(NhatkyBan!#REF!,"AAAAAH6/voM=")</f>
        <v>#REF!</v>
      </c>
      <c r="EC110" t="e">
        <f>AND(NhatkyBan!#REF!,"AAAAAH6/voQ=")</f>
        <v>#REF!</v>
      </c>
      <c r="ED110" t="e">
        <f>AND(NhatkyBan!#REF!,"AAAAAH6/voU=")</f>
        <v>#REF!</v>
      </c>
      <c r="EE110" t="e">
        <f>AND(NhatkyBan!#REF!,"AAAAAH6/voY=")</f>
        <v>#REF!</v>
      </c>
      <c r="EF110" t="e">
        <f>AND(NhatkyBan!#REF!,"AAAAAH6/voc=")</f>
        <v>#REF!</v>
      </c>
      <c r="EG110" t="e">
        <f>AND(NhatkyBan!#REF!,"AAAAAH6/vog=")</f>
        <v>#REF!</v>
      </c>
      <c r="EH110" t="e">
        <f>AND(NhatkyBan!#REF!,"AAAAAH6/vok=")</f>
        <v>#REF!</v>
      </c>
      <c r="EI110" t="e">
        <f>AND(NhatkyBan!#REF!,"AAAAAH6/voo=")</f>
        <v>#REF!</v>
      </c>
      <c r="EJ110" t="e">
        <f>AND(NhatkyBan!#REF!,"AAAAAH6/vos=")</f>
        <v>#REF!</v>
      </c>
      <c r="EK110" t="e">
        <f>AND(NhatkyBan!#REF!,"AAAAAH6/vow=")</f>
        <v>#REF!</v>
      </c>
      <c r="EL110" t="e">
        <f>AND(NhatkyBan!#REF!,"AAAAAH6/vo0=")</f>
        <v>#REF!</v>
      </c>
      <c r="EM110" t="e">
        <f>AND(NhatkyBan!#REF!,"AAAAAH6/vo4=")</f>
        <v>#REF!</v>
      </c>
      <c r="EN110" t="e">
        <f>AND(NhatkyBan!#REF!,"AAAAAH6/vo8=")</f>
        <v>#REF!</v>
      </c>
      <c r="EO110" t="e">
        <f>AND(NhatkyBan!#REF!,"AAAAAH6/vpA=")</f>
        <v>#REF!</v>
      </c>
      <c r="EP110" t="e">
        <f>AND(NhatkyBan!#REF!,"AAAAAH6/vpE=")</f>
        <v>#REF!</v>
      </c>
      <c r="EQ110" t="e">
        <f>IF(NhatkyBan!#REF!,"AAAAAH6/vpI=",0)</f>
        <v>#REF!</v>
      </c>
      <c r="ER110" t="e">
        <f>AND(NhatkyBan!#REF!,"AAAAAH6/vpM=")</f>
        <v>#REF!</v>
      </c>
      <c r="ES110" t="e">
        <f>AND(NhatkyBan!#REF!,"AAAAAH6/vpQ=")</f>
        <v>#REF!</v>
      </c>
      <c r="ET110" t="e">
        <f>AND(NhatkyBan!#REF!,"AAAAAH6/vpU=")</f>
        <v>#REF!</v>
      </c>
      <c r="EU110" t="e">
        <f>AND(NhatkyBan!#REF!,"AAAAAH6/vpY=")</f>
        <v>#REF!</v>
      </c>
      <c r="EV110" t="e">
        <f>AND(NhatkyBan!#REF!,"AAAAAH6/vpc=")</f>
        <v>#REF!</v>
      </c>
      <c r="EW110" t="e">
        <f>AND(NhatkyBan!#REF!,"AAAAAH6/vpg=")</f>
        <v>#REF!</v>
      </c>
      <c r="EX110" t="e">
        <f>AND(NhatkyBan!#REF!,"AAAAAH6/vpk=")</f>
        <v>#REF!</v>
      </c>
      <c r="EY110" t="e">
        <f>AND(NhatkyBan!#REF!,"AAAAAH6/vpo=")</f>
        <v>#REF!</v>
      </c>
      <c r="EZ110" t="e">
        <f>AND(NhatkyBan!#REF!,"AAAAAH6/vps=")</f>
        <v>#REF!</v>
      </c>
      <c r="FA110" t="e">
        <f>AND(NhatkyBan!#REF!,"AAAAAH6/vpw=")</f>
        <v>#REF!</v>
      </c>
      <c r="FB110" t="e">
        <f>AND(NhatkyBan!#REF!,"AAAAAH6/vp0=")</f>
        <v>#REF!</v>
      </c>
      <c r="FC110" t="e">
        <f>AND(NhatkyBan!#REF!,"AAAAAH6/vp4=")</f>
        <v>#REF!</v>
      </c>
      <c r="FD110" t="e">
        <f>AND(NhatkyBan!#REF!,"AAAAAH6/vp8=")</f>
        <v>#REF!</v>
      </c>
      <c r="FE110" t="e">
        <f>AND(NhatkyBan!#REF!,"AAAAAH6/vqA=")</f>
        <v>#REF!</v>
      </c>
      <c r="FF110" t="e">
        <f>AND(NhatkyBan!#REF!,"AAAAAH6/vqE=")</f>
        <v>#REF!</v>
      </c>
      <c r="FG110" t="e">
        <f>AND(NhatkyBan!#REF!,"AAAAAH6/vqI=")</f>
        <v>#REF!</v>
      </c>
      <c r="FH110" t="e">
        <f>AND(NhatkyBan!#REF!,"AAAAAH6/vqM=")</f>
        <v>#REF!</v>
      </c>
      <c r="FI110" t="e">
        <f>AND(NhatkyBan!#REF!,"AAAAAH6/vqQ=")</f>
        <v>#REF!</v>
      </c>
      <c r="FJ110" t="e">
        <f>AND(NhatkyBan!#REF!,"AAAAAH6/vqU=")</f>
        <v>#REF!</v>
      </c>
      <c r="FK110" t="e">
        <f>AND(NhatkyBan!#REF!,"AAAAAH6/vqY=")</f>
        <v>#REF!</v>
      </c>
      <c r="FL110" t="e">
        <f>AND(NhatkyBan!#REF!,"AAAAAH6/vqc=")</f>
        <v>#REF!</v>
      </c>
      <c r="FM110" t="e">
        <f>AND(NhatkyBan!#REF!,"AAAAAH6/vqg=")</f>
        <v>#REF!</v>
      </c>
      <c r="FN110" t="e">
        <f>AND(NhatkyBan!#REF!,"AAAAAH6/vqk=")</f>
        <v>#REF!</v>
      </c>
      <c r="FO110" t="e">
        <f>AND(NhatkyBan!#REF!,"AAAAAH6/vqo=")</f>
        <v>#REF!</v>
      </c>
      <c r="FP110" t="e">
        <f>AND(NhatkyBan!#REF!,"AAAAAH6/vqs=")</f>
        <v>#REF!</v>
      </c>
      <c r="FQ110" t="e">
        <f>AND(NhatkyBan!#REF!,"AAAAAH6/vqw=")</f>
        <v>#REF!</v>
      </c>
      <c r="FR110" t="e">
        <f>AND(NhatkyBan!#REF!,"AAAAAH6/vq0=")</f>
        <v>#REF!</v>
      </c>
      <c r="FS110" t="e">
        <f>AND(NhatkyBan!#REF!,"AAAAAH6/vq4=")</f>
        <v>#REF!</v>
      </c>
      <c r="FT110" t="e">
        <f>AND(NhatkyBan!#REF!,"AAAAAH6/vq8=")</f>
        <v>#REF!</v>
      </c>
      <c r="FU110" t="e">
        <f>AND(NhatkyBan!#REF!,"AAAAAH6/vrA=")</f>
        <v>#REF!</v>
      </c>
      <c r="FV110" t="e">
        <f>AND(NhatkyBan!#REF!,"AAAAAH6/vrE=")</f>
        <v>#REF!</v>
      </c>
      <c r="FW110" t="e">
        <f>AND(NhatkyBan!#REF!,"AAAAAH6/vrI=")</f>
        <v>#REF!</v>
      </c>
      <c r="FX110" t="e">
        <f>AND(NhatkyBan!#REF!,"AAAAAH6/vrM=")</f>
        <v>#REF!</v>
      </c>
      <c r="FY110" t="e">
        <f>AND(NhatkyBan!#REF!,"AAAAAH6/vrQ=")</f>
        <v>#REF!</v>
      </c>
      <c r="FZ110" t="e">
        <f>IF(NhatkyBan!#REF!,"AAAAAH6/vrU=",0)</f>
        <v>#REF!</v>
      </c>
      <c r="GA110" t="e">
        <f>AND(NhatkyBan!#REF!,"AAAAAH6/vrY=")</f>
        <v>#REF!</v>
      </c>
      <c r="GB110" t="e">
        <f>AND(NhatkyBan!#REF!,"AAAAAH6/vrc=")</f>
        <v>#REF!</v>
      </c>
      <c r="GC110" t="e">
        <f>AND(NhatkyBan!#REF!,"AAAAAH6/vrg=")</f>
        <v>#REF!</v>
      </c>
      <c r="GD110" t="e">
        <f>AND(NhatkyBan!#REF!,"AAAAAH6/vrk=")</f>
        <v>#REF!</v>
      </c>
      <c r="GE110" t="e">
        <f>AND(NhatkyBan!#REF!,"AAAAAH6/vro=")</f>
        <v>#REF!</v>
      </c>
      <c r="GF110" t="e">
        <f>AND(NhatkyBan!#REF!,"AAAAAH6/vrs=")</f>
        <v>#REF!</v>
      </c>
      <c r="GG110" t="e">
        <f>AND(NhatkyBan!#REF!,"AAAAAH6/vrw=")</f>
        <v>#REF!</v>
      </c>
      <c r="GH110" t="e">
        <f>AND(NhatkyBan!#REF!,"AAAAAH6/vr0=")</f>
        <v>#REF!</v>
      </c>
      <c r="GI110" t="e">
        <f>AND(NhatkyBan!#REF!,"AAAAAH6/vr4=")</f>
        <v>#REF!</v>
      </c>
      <c r="GJ110" t="e">
        <f>AND(NhatkyBan!#REF!,"AAAAAH6/vr8=")</f>
        <v>#REF!</v>
      </c>
      <c r="GK110" t="e">
        <f>AND(NhatkyBan!#REF!,"AAAAAH6/vsA=")</f>
        <v>#REF!</v>
      </c>
      <c r="GL110" t="e">
        <f>AND(NhatkyBan!#REF!,"AAAAAH6/vsE=")</f>
        <v>#REF!</v>
      </c>
      <c r="GM110" t="e">
        <f>AND(NhatkyBan!#REF!,"AAAAAH6/vsI=")</f>
        <v>#REF!</v>
      </c>
      <c r="GN110" t="e">
        <f>AND(NhatkyBan!#REF!,"AAAAAH6/vsM=")</f>
        <v>#REF!</v>
      </c>
      <c r="GO110" t="e">
        <f>AND(NhatkyBan!#REF!,"AAAAAH6/vsQ=")</f>
        <v>#REF!</v>
      </c>
      <c r="GP110" t="e">
        <f>AND(NhatkyBan!#REF!,"AAAAAH6/vsU=")</f>
        <v>#REF!</v>
      </c>
      <c r="GQ110" t="e">
        <f>AND(NhatkyBan!#REF!,"AAAAAH6/vsY=")</f>
        <v>#REF!</v>
      </c>
      <c r="GR110" t="e">
        <f>AND(NhatkyBan!#REF!,"AAAAAH6/vsc=")</f>
        <v>#REF!</v>
      </c>
      <c r="GS110" t="e">
        <f>AND(NhatkyBan!#REF!,"AAAAAH6/vsg=")</f>
        <v>#REF!</v>
      </c>
      <c r="GT110" t="e">
        <f>AND(NhatkyBan!#REF!,"AAAAAH6/vsk=")</f>
        <v>#REF!</v>
      </c>
      <c r="GU110" t="e">
        <f>AND(NhatkyBan!#REF!,"AAAAAH6/vso=")</f>
        <v>#REF!</v>
      </c>
      <c r="GV110" t="e">
        <f>AND(NhatkyBan!#REF!,"AAAAAH6/vss=")</f>
        <v>#REF!</v>
      </c>
      <c r="GW110" t="e">
        <f>AND(NhatkyBan!#REF!,"AAAAAH6/vsw=")</f>
        <v>#REF!</v>
      </c>
      <c r="GX110" t="e">
        <f>AND(NhatkyBan!#REF!,"AAAAAH6/vs0=")</f>
        <v>#REF!</v>
      </c>
      <c r="GY110" t="e">
        <f>AND(NhatkyBan!#REF!,"AAAAAH6/vs4=")</f>
        <v>#REF!</v>
      </c>
      <c r="GZ110" t="e">
        <f>AND(NhatkyBan!#REF!,"AAAAAH6/vs8=")</f>
        <v>#REF!</v>
      </c>
      <c r="HA110" t="e">
        <f>AND(NhatkyBan!#REF!,"AAAAAH6/vtA=")</f>
        <v>#REF!</v>
      </c>
      <c r="HB110" t="e">
        <f>AND(NhatkyBan!#REF!,"AAAAAH6/vtE=")</f>
        <v>#REF!</v>
      </c>
      <c r="HC110" t="e">
        <f>AND(NhatkyBan!#REF!,"AAAAAH6/vtI=")</f>
        <v>#REF!</v>
      </c>
      <c r="HD110" t="e">
        <f>AND(NhatkyBan!#REF!,"AAAAAH6/vtM=")</f>
        <v>#REF!</v>
      </c>
      <c r="HE110" t="e">
        <f>AND(NhatkyBan!#REF!,"AAAAAH6/vtQ=")</f>
        <v>#REF!</v>
      </c>
      <c r="HF110" t="e">
        <f>AND(NhatkyBan!#REF!,"AAAAAH6/vtU=")</f>
        <v>#REF!</v>
      </c>
      <c r="HG110" t="e">
        <f>AND(NhatkyBan!#REF!,"AAAAAH6/vtY=")</f>
        <v>#REF!</v>
      </c>
      <c r="HH110" t="e">
        <f>AND(NhatkyBan!#REF!,"AAAAAH6/vtc=")</f>
        <v>#REF!</v>
      </c>
      <c r="HI110" t="e">
        <f>IF(NhatkyBan!#REF!,"AAAAAH6/vtg=",0)</f>
        <v>#REF!</v>
      </c>
      <c r="HJ110" t="e">
        <f>AND(NhatkyBan!#REF!,"AAAAAH6/vtk=")</f>
        <v>#REF!</v>
      </c>
      <c r="HK110" t="e">
        <f>AND(NhatkyBan!#REF!,"AAAAAH6/vto=")</f>
        <v>#REF!</v>
      </c>
      <c r="HL110" t="e">
        <f>AND(NhatkyBan!#REF!,"AAAAAH6/vts=")</f>
        <v>#REF!</v>
      </c>
      <c r="HM110" t="e">
        <f>AND(NhatkyBan!#REF!,"AAAAAH6/vtw=")</f>
        <v>#REF!</v>
      </c>
      <c r="HN110" t="e">
        <f>AND(NhatkyBan!#REF!,"AAAAAH6/vt0=")</f>
        <v>#REF!</v>
      </c>
      <c r="HO110" t="e">
        <f>AND(NhatkyBan!#REF!,"AAAAAH6/vt4=")</f>
        <v>#REF!</v>
      </c>
      <c r="HP110" t="e">
        <f>AND(NhatkyBan!#REF!,"AAAAAH6/vt8=")</f>
        <v>#REF!</v>
      </c>
      <c r="HQ110" t="e">
        <f>AND(NhatkyBan!#REF!,"AAAAAH6/vuA=")</f>
        <v>#REF!</v>
      </c>
      <c r="HR110" t="e">
        <f>AND(NhatkyBan!#REF!,"AAAAAH6/vuE=")</f>
        <v>#REF!</v>
      </c>
      <c r="HS110" t="e">
        <f>AND(NhatkyBan!#REF!,"AAAAAH6/vuI=")</f>
        <v>#REF!</v>
      </c>
      <c r="HT110" t="e">
        <f>AND(NhatkyBan!#REF!,"AAAAAH6/vuM=")</f>
        <v>#REF!</v>
      </c>
      <c r="HU110" t="e">
        <f>AND(NhatkyBan!#REF!,"AAAAAH6/vuQ=")</f>
        <v>#REF!</v>
      </c>
      <c r="HV110" t="e">
        <f>AND(NhatkyBan!#REF!,"AAAAAH6/vuU=")</f>
        <v>#REF!</v>
      </c>
      <c r="HW110" t="e">
        <f>AND(NhatkyBan!#REF!,"AAAAAH6/vuY=")</f>
        <v>#REF!</v>
      </c>
      <c r="HX110" t="e">
        <f>AND(NhatkyBan!#REF!,"AAAAAH6/vuc=")</f>
        <v>#REF!</v>
      </c>
      <c r="HY110" t="e">
        <f>AND(NhatkyBan!#REF!,"AAAAAH6/vug=")</f>
        <v>#REF!</v>
      </c>
      <c r="HZ110" t="e">
        <f>AND(NhatkyBan!#REF!,"AAAAAH6/vuk=")</f>
        <v>#REF!</v>
      </c>
      <c r="IA110" t="e">
        <f>AND(NhatkyBan!#REF!,"AAAAAH6/vuo=")</f>
        <v>#REF!</v>
      </c>
      <c r="IB110" t="e">
        <f>AND(NhatkyBan!#REF!,"AAAAAH6/vus=")</f>
        <v>#REF!</v>
      </c>
      <c r="IC110" t="e">
        <f>AND(NhatkyBan!#REF!,"AAAAAH6/vuw=")</f>
        <v>#REF!</v>
      </c>
      <c r="ID110" t="e">
        <f>AND(NhatkyBan!#REF!,"AAAAAH6/vu0=")</f>
        <v>#REF!</v>
      </c>
      <c r="IE110" t="e">
        <f>AND(NhatkyBan!#REF!,"AAAAAH6/vu4=")</f>
        <v>#REF!</v>
      </c>
      <c r="IF110" t="e">
        <f>AND(NhatkyBan!#REF!,"AAAAAH6/vu8=")</f>
        <v>#REF!</v>
      </c>
      <c r="IG110" t="e">
        <f>AND(NhatkyBan!#REF!,"AAAAAH6/vvA=")</f>
        <v>#REF!</v>
      </c>
      <c r="IH110" t="e">
        <f>AND(NhatkyBan!#REF!,"AAAAAH6/vvE=")</f>
        <v>#REF!</v>
      </c>
      <c r="II110" t="e">
        <f>AND(NhatkyBan!#REF!,"AAAAAH6/vvI=")</f>
        <v>#REF!</v>
      </c>
      <c r="IJ110" t="e">
        <f>AND(NhatkyBan!#REF!,"AAAAAH6/vvM=")</f>
        <v>#REF!</v>
      </c>
      <c r="IK110" t="e">
        <f>AND(NhatkyBan!#REF!,"AAAAAH6/vvQ=")</f>
        <v>#REF!</v>
      </c>
      <c r="IL110" t="e">
        <f>AND(NhatkyBan!#REF!,"AAAAAH6/vvU=")</f>
        <v>#REF!</v>
      </c>
      <c r="IM110" t="e">
        <f>AND(NhatkyBan!#REF!,"AAAAAH6/vvY=")</f>
        <v>#REF!</v>
      </c>
      <c r="IN110" t="e">
        <f>AND(NhatkyBan!#REF!,"AAAAAH6/vvc=")</f>
        <v>#REF!</v>
      </c>
      <c r="IO110" t="e">
        <f>AND(NhatkyBan!#REF!,"AAAAAH6/vvg=")</f>
        <v>#REF!</v>
      </c>
      <c r="IP110" t="e">
        <f>AND(NhatkyBan!#REF!,"AAAAAH6/vvk=")</f>
        <v>#REF!</v>
      </c>
      <c r="IQ110" t="e">
        <f>AND(NhatkyBan!#REF!,"AAAAAH6/vvo=")</f>
        <v>#REF!</v>
      </c>
      <c r="IR110" t="e">
        <f>IF(NhatkyBan!#REF!,"AAAAAH6/vvs=",0)</f>
        <v>#REF!</v>
      </c>
      <c r="IS110" t="e">
        <f>AND(NhatkyBan!#REF!,"AAAAAH6/vvw=")</f>
        <v>#REF!</v>
      </c>
      <c r="IT110" t="e">
        <f>AND(NhatkyBan!#REF!,"AAAAAH6/vv0=")</f>
        <v>#REF!</v>
      </c>
      <c r="IU110" t="e">
        <f>AND(NhatkyBan!#REF!,"AAAAAH6/vv4=")</f>
        <v>#REF!</v>
      </c>
      <c r="IV110" t="e">
        <f>AND(NhatkyBan!#REF!,"AAAAAH6/vv8=")</f>
        <v>#REF!</v>
      </c>
    </row>
    <row r="111" spans="1:256">
      <c r="A111" t="e">
        <f>AND(NhatkyBan!#REF!,"AAAAAGnuVAA=")</f>
        <v>#REF!</v>
      </c>
      <c r="B111" t="e">
        <f>AND(NhatkyBan!#REF!,"AAAAAGnuVAE=")</f>
        <v>#REF!</v>
      </c>
      <c r="C111" t="e">
        <f>AND(NhatkyBan!#REF!,"AAAAAGnuVAI=")</f>
        <v>#REF!</v>
      </c>
      <c r="D111" t="e">
        <f>AND(NhatkyBan!#REF!,"AAAAAGnuVAM=")</f>
        <v>#REF!</v>
      </c>
      <c r="E111" t="e">
        <f>AND(NhatkyBan!#REF!,"AAAAAGnuVAQ=")</f>
        <v>#REF!</v>
      </c>
      <c r="F111" t="e">
        <f>AND(NhatkyBan!#REF!,"AAAAAGnuVAU=")</f>
        <v>#REF!</v>
      </c>
      <c r="G111" t="e">
        <f>AND(NhatkyBan!#REF!,"AAAAAGnuVAY=")</f>
        <v>#REF!</v>
      </c>
      <c r="H111" t="e">
        <f>AND(NhatkyBan!#REF!,"AAAAAGnuVAc=")</f>
        <v>#REF!</v>
      </c>
      <c r="I111" t="e">
        <f>AND(NhatkyBan!#REF!,"AAAAAGnuVAg=")</f>
        <v>#REF!</v>
      </c>
      <c r="J111" t="e">
        <f>AND(NhatkyBan!#REF!,"AAAAAGnuVAk=")</f>
        <v>#REF!</v>
      </c>
      <c r="K111" t="e">
        <f>AND(NhatkyBan!#REF!,"AAAAAGnuVAo=")</f>
        <v>#REF!</v>
      </c>
      <c r="L111" t="e">
        <f>AND(NhatkyBan!#REF!,"AAAAAGnuVAs=")</f>
        <v>#REF!</v>
      </c>
      <c r="M111" t="e">
        <f>AND(NhatkyBan!#REF!,"AAAAAGnuVAw=")</f>
        <v>#REF!</v>
      </c>
      <c r="N111" t="e">
        <f>AND(NhatkyBan!#REF!,"AAAAAGnuVA0=")</f>
        <v>#REF!</v>
      </c>
      <c r="O111" t="e">
        <f>AND(NhatkyBan!#REF!,"AAAAAGnuVA4=")</f>
        <v>#REF!</v>
      </c>
      <c r="P111" t="e">
        <f>AND(NhatkyBan!#REF!,"AAAAAGnuVA8=")</f>
        <v>#REF!</v>
      </c>
      <c r="Q111" t="e">
        <f>AND(NhatkyBan!#REF!,"AAAAAGnuVBA=")</f>
        <v>#REF!</v>
      </c>
      <c r="R111" t="e">
        <f>AND(NhatkyBan!#REF!,"AAAAAGnuVBE=")</f>
        <v>#REF!</v>
      </c>
      <c r="S111" t="e">
        <f>AND(NhatkyBan!#REF!,"AAAAAGnuVBI=")</f>
        <v>#REF!</v>
      </c>
      <c r="T111" t="e">
        <f>AND(NhatkyBan!#REF!,"AAAAAGnuVBM=")</f>
        <v>#REF!</v>
      </c>
      <c r="U111" t="e">
        <f>AND(NhatkyBan!#REF!,"AAAAAGnuVBQ=")</f>
        <v>#REF!</v>
      </c>
      <c r="V111" t="e">
        <f>AND(NhatkyBan!#REF!,"AAAAAGnuVBU=")</f>
        <v>#REF!</v>
      </c>
      <c r="W111" t="e">
        <f>AND(NhatkyBan!#REF!,"AAAAAGnuVBY=")</f>
        <v>#REF!</v>
      </c>
      <c r="X111" t="e">
        <f>AND(NhatkyBan!#REF!,"AAAAAGnuVBc=")</f>
        <v>#REF!</v>
      </c>
      <c r="Y111" t="e">
        <f>AND(NhatkyBan!#REF!,"AAAAAGnuVBg=")</f>
        <v>#REF!</v>
      </c>
      <c r="Z111" t="e">
        <f>AND(NhatkyBan!#REF!,"AAAAAGnuVBk=")</f>
        <v>#REF!</v>
      </c>
      <c r="AA111" t="e">
        <f>AND(NhatkyBan!#REF!,"AAAAAGnuVBo=")</f>
        <v>#REF!</v>
      </c>
      <c r="AB111" t="e">
        <f>AND(NhatkyBan!#REF!,"AAAAAGnuVBs=")</f>
        <v>#REF!</v>
      </c>
      <c r="AC111" t="e">
        <f>AND(NhatkyBan!#REF!,"AAAAAGnuVBw=")</f>
        <v>#REF!</v>
      </c>
      <c r="AD111" t="e">
        <f>AND(NhatkyBan!#REF!,"AAAAAGnuVB0=")</f>
        <v>#REF!</v>
      </c>
      <c r="AE111" t="e">
        <f>IF(NhatkyBan!#REF!,"AAAAAGnuVB4=",0)</f>
        <v>#REF!</v>
      </c>
      <c r="AF111" t="e">
        <f>AND(NhatkyBan!#REF!,"AAAAAGnuVB8=")</f>
        <v>#REF!</v>
      </c>
      <c r="AG111" t="e">
        <f>AND(NhatkyBan!#REF!,"AAAAAGnuVCA=")</f>
        <v>#REF!</v>
      </c>
      <c r="AH111" t="e">
        <f>AND(NhatkyBan!#REF!,"AAAAAGnuVCE=")</f>
        <v>#REF!</v>
      </c>
      <c r="AI111" t="e">
        <f>AND(NhatkyBan!#REF!,"AAAAAGnuVCI=")</f>
        <v>#REF!</v>
      </c>
      <c r="AJ111" t="e">
        <f>AND(NhatkyBan!#REF!,"AAAAAGnuVCM=")</f>
        <v>#REF!</v>
      </c>
      <c r="AK111" t="e">
        <f>AND(NhatkyBan!#REF!,"AAAAAGnuVCQ=")</f>
        <v>#REF!</v>
      </c>
      <c r="AL111" t="e">
        <f>AND(NhatkyBan!#REF!,"AAAAAGnuVCU=")</f>
        <v>#REF!</v>
      </c>
      <c r="AM111" t="e">
        <f>AND(NhatkyBan!#REF!,"AAAAAGnuVCY=")</f>
        <v>#REF!</v>
      </c>
      <c r="AN111" t="e">
        <f>AND(NhatkyBan!#REF!,"AAAAAGnuVCc=")</f>
        <v>#REF!</v>
      </c>
      <c r="AO111" t="e">
        <f>AND(NhatkyBan!#REF!,"AAAAAGnuVCg=")</f>
        <v>#REF!</v>
      </c>
      <c r="AP111" t="e">
        <f>AND(NhatkyBan!#REF!,"AAAAAGnuVCk=")</f>
        <v>#REF!</v>
      </c>
      <c r="AQ111" t="e">
        <f>AND(NhatkyBan!#REF!,"AAAAAGnuVCo=")</f>
        <v>#REF!</v>
      </c>
      <c r="AR111" t="e">
        <f>AND(NhatkyBan!#REF!,"AAAAAGnuVCs=")</f>
        <v>#REF!</v>
      </c>
      <c r="AS111" t="e">
        <f>AND(NhatkyBan!#REF!,"AAAAAGnuVCw=")</f>
        <v>#REF!</v>
      </c>
      <c r="AT111" t="e">
        <f>AND(NhatkyBan!#REF!,"AAAAAGnuVC0=")</f>
        <v>#REF!</v>
      </c>
      <c r="AU111" t="e">
        <f>AND(NhatkyBan!#REF!,"AAAAAGnuVC4=")</f>
        <v>#REF!</v>
      </c>
      <c r="AV111" t="e">
        <f>AND(NhatkyBan!#REF!,"AAAAAGnuVC8=")</f>
        <v>#REF!</v>
      </c>
      <c r="AW111" t="e">
        <f>AND(NhatkyBan!#REF!,"AAAAAGnuVDA=")</f>
        <v>#REF!</v>
      </c>
      <c r="AX111" t="e">
        <f>AND(NhatkyBan!#REF!,"AAAAAGnuVDE=")</f>
        <v>#REF!</v>
      </c>
      <c r="AY111" t="e">
        <f>AND(NhatkyBan!#REF!,"AAAAAGnuVDI=")</f>
        <v>#REF!</v>
      </c>
      <c r="AZ111" t="e">
        <f>AND(NhatkyBan!#REF!,"AAAAAGnuVDM=")</f>
        <v>#REF!</v>
      </c>
      <c r="BA111" t="e">
        <f>AND(NhatkyBan!#REF!,"AAAAAGnuVDQ=")</f>
        <v>#REF!</v>
      </c>
      <c r="BB111" t="e">
        <f>AND(NhatkyBan!#REF!,"AAAAAGnuVDU=")</f>
        <v>#REF!</v>
      </c>
      <c r="BC111" t="e">
        <f>AND(NhatkyBan!#REF!,"AAAAAGnuVDY=")</f>
        <v>#REF!</v>
      </c>
      <c r="BD111" t="e">
        <f>AND(NhatkyBan!#REF!,"AAAAAGnuVDc=")</f>
        <v>#REF!</v>
      </c>
      <c r="BE111" t="e">
        <f>AND(NhatkyBan!#REF!,"AAAAAGnuVDg=")</f>
        <v>#REF!</v>
      </c>
      <c r="BF111" t="e">
        <f>AND(NhatkyBan!#REF!,"AAAAAGnuVDk=")</f>
        <v>#REF!</v>
      </c>
      <c r="BG111" t="e">
        <f>AND(NhatkyBan!#REF!,"AAAAAGnuVDo=")</f>
        <v>#REF!</v>
      </c>
      <c r="BH111" t="e">
        <f>AND(NhatkyBan!#REF!,"AAAAAGnuVDs=")</f>
        <v>#REF!</v>
      </c>
      <c r="BI111" t="e">
        <f>AND(NhatkyBan!#REF!,"AAAAAGnuVDw=")</f>
        <v>#REF!</v>
      </c>
      <c r="BJ111" t="e">
        <f>AND(NhatkyBan!#REF!,"AAAAAGnuVD0=")</f>
        <v>#REF!</v>
      </c>
      <c r="BK111" t="e">
        <f>AND(NhatkyBan!#REF!,"AAAAAGnuVD4=")</f>
        <v>#REF!</v>
      </c>
      <c r="BL111" t="e">
        <f>AND(NhatkyBan!#REF!,"AAAAAGnuVD8=")</f>
        <v>#REF!</v>
      </c>
      <c r="BM111" t="e">
        <f>AND(NhatkyBan!#REF!,"AAAAAGnuVEA=")</f>
        <v>#REF!</v>
      </c>
      <c r="BN111" t="e">
        <f>IF(NhatkyBan!#REF!,"AAAAAGnuVEE=",0)</f>
        <v>#REF!</v>
      </c>
      <c r="BO111" t="e">
        <f>AND(NhatkyBan!#REF!,"AAAAAGnuVEI=")</f>
        <v>#REF!</v>
      </c>
      <c r="BP111" t="e">
        <f>AND(NhatkyBan!#REF!,"AAAAAGnuVEM=")</f>
        <v>#REF!</v>
      </c>
      <c r="BQ111" t="e">
        <f>AND(NhatkyBan!#REF!,"AAAAAGnuVEQ=")</f>
        <v>#REF!</v>
      </c>
      <c r="BR111" t="e">
        <f>AND(NhatkyBan!#REF!,"AAAAAGnuVEU=")</f>
        <v>#REF!</v>
      </c>
      <c r="BS111" t="e">
        <f>AND(NhatkyBan!#REF!,"AAAAAGnuVEY=")</f>
        <v>#REF!</v>
      </c>
      <c r="BT111" t="e">
        <f>AND(NhatkyBan!#REF!,"AAAAAGnuVEc=")</f>
        <v>#REF!</v>
      </c>
      <c r="BU111" t="e">
        <f>AND(NhatkyBan!#REF!,"AAAAAGnuVEg=")</f>
        <v>#REF!</v>
      </c>
      <c r="BV111" t="e">
        <f>AND(NhatkyBan!#REF!,"AAAAAGnuVEk=")</f>
        <v>#REF!</v>
      </c>
      <c r="BW111" t="e">
        <f>AND(NhatkyBan!#REF!,"AAAAAGnuVEo=")</f>
        <v>#REF!</v>
      </c>
      <c r="BX111" t="e">
        <f>AND(NhatkyBan!#REF!,"AAAAAGnuVEs=")</f>
        <v>#REF!</v>
      </c>
      <c r="BY111" t="e">
        <f>AND(NhatkyBan!#REF!,"AAAAAGnuVEw=")</f>
        <v>#REF!</v>
      </c>
      <c r="BZ111" t="e">
        <f>AND(NhatkyBan!#REF!,"AAAAAGnuVE0=")</f>
        <v>#REF!</v>
      </c>
      <c r="CA111" t="e">
        <f>AND(NhatkyBan!#REF!,"AAAAAGnuVE4=")</f>
        <v>#REF!</v>
      </c>
      <c r="CB111" t="e">
        <f>AND(NhatkyBan!#REF!,"AAAAAGnuVE8=")</f>
        <v>#REF!</v>
      </c>
      <c r="CC111" t="e">
        <f>AND(NhatkyBan!#REF!,"AAAAAGnuVFA=")</f>
        <v>#REF!</v>
      </c>
      <c r="CD111" t="e">
        <f>AND(NhatkyBan!#REF!,"AAAAAGnuVFE=")</f>
        <v>#REF!</v>
      </c>
      <c r="CE111" t="e">
        <f>AND(NhatkyBan!#REF!,"AAAAAGnuVFI=")</f>
        <v>#REF!</v>
      </c>
      <c r="CF111" t="e">
        <f>AND(NhatkyBan!#REF!,"AAAAAGnuVFM=")</f>
        <v>#REF!</v>
      </c>
      <c r="CG111" t="e">
        <f>AND(NhatkyBan!#REF!,"AAAAAGnuVFQ=")</f>
        <v>#REF!</v>
      </c>
      <c r="CH111" t="e">
        <f>AND(NhatkyBan!#REF!,"AAAAAGnuVFU=")</f>
        <v>#REF!</v>
      </c>
      <c r="CI111" t="e">
        <f>AND(NhatkyBan!#REF!,"AAAAAGnuVFY=")</f>
        <v>#REF!</v>
      </c>
      <c r="CJ111" t="e">
        <f>AND(NhatkyBan!#REF!,"AAAAAGnuVFc=")</f>
        <v>#REF!</v>
      </c>
      <c r="CK111" t="e">
        <f>AND(NhatkyBan!#REF!,"AAAAAGnuVFg=")</f>
        <v>#REF!</v>
      </c>
      <c r="CL111" t="e">
        <f>AND(NhatkyBan!#REF!,"AAAAAGnuVFk=")</f>
        <v>#REF!</v>
      </c>
      <c r="CM111" t="e">
        <f>AND(NhatkyBan!#REF!,"AAAAAGnuVFo=")</f>
        <v>#REF!</v>
      </c>
      <c r="CN111" t="e">
        <f>AND(NhatkyBan!#REF!,"AAAAAGnuVFs=")</f>
        <v>#REF!</v>
      </c>
      <c r="CO111" t="e">
        <f>AND(NhatkyBan!#REF!,"AAAAAGnuVFw=")</f>
        <v>#REF!</v>
      </c>
      <c r="CP111" t="e">
        <f>AND(NhatkyBan!#REF!,"AAAAAGnuVF0=")</f>
        <v>#REF!</v>
      </c>
      <c r="CQ111" t="e">
        <f>AND(NhatkyBan!#REF!,"AAAAAGnuVF4=")</f>
        <v>#REF!</v>
      </c>
      <c r="CR111" t="e">
        <f>AND(NhatkyBan!#REF!,"AAAAAGnuVF8=")</f>
        <v>#REF!</v>
      </c>
      <c r="CS111" t="e">
        <f>AND(NhatkyBan!#REF!,"AAAAAGnuVGA=")</f>
        <v>#REF!</v>
      </c>
      <c r="CT111" t="e">
        <f>AND(NhatkyBan!#REF!,"AAAAAGnuVGE=")</f>
        <v>#REF!</v>
      </c>
      <c r="CU111" t="e">
        <f>AND(NhatkyBan!#REF!,"AAAAAGnuVGI=")</f>
        <v>#REF!</v>
      </c>
      <c r="CV111" t="e">
        <f>AND(NhatkyBan!#REF!,"AAAAAGnuVGM=")</f>
        <v>#REF!</v>
      </c>
      <c r="CW111" t="e">
        <f>IF(NhatkyBan!#REF!,"AAAAAGnuVGQ=",0)</f>
        <v>#REF!</v>
      </c>
      <c r="CX111" t="e">
        <f>AND(NhatkyBan!#REF!,"AAAAAGnuVGU=")</f>
        <v>#REF!</v>
      </c>
      <c r="CY111" t="e">
        <f>AND(NhatkyBan!#REF!,"AAAAAGnuVGY=")</f>
        <v>#REF!</v>
      </c>
      <c r="CZ111" t="e">
        <f>AND(NhatkyBan!#REF!,"AAAAAGnuVGc=")</f>
        <v>#REF!</v>
      </c>
      <c r="DA111" t="e">
        <f>AND(NhatkyBan!#REF!,"AAAAAGnuVGg=")</f>
        <v>#REF!</v>
      </c>
      <c r="DB111" t="e">
        <f>AND(NhatkyBan!#REF!,"AAAAAGnuVGk=")</f>
        <v>#REF!</v>
      </c>
      <c r="DC111" t="e">
        <f>AND(NhatkyBan!#REF!,"AAAAAGnuVGo=")</f>
        <v>#REF!</v>
      </c>
      <c r="DD111" t="e">
        <f>AND(NhatkyBan!#REF!,"AAAAAGnuVGs=")</f>
        <v>#REF!</v>
      </c>
      <c r="DE111" t="e">
        <f>AND(NhatkyBan!#REF!,"AAAAAGnuVGw=")</f>
        <v>#REF!</v>
      </c>
      <c r="DF111" t="e">
        <f>AND(NhatkyBan!#REF!,"AAAAAGnuVG0=")</f>
        <v>#REF!</v>
      </c>
      <c r="DG111" t="e">
        <f>AND(NhatkyBan!#REF!,"AAAAAGnuVG4=")</f>
        <v>#REF!</v>
      </c>
      <c r="DH111" t="e">
        <f>AND(NhatkyBan!#REF!,"AAAAAGnuVG8=")</f>
        <v>#REF!</v>
      </c>
      <c r="DI111" t="e">
        <f>AND(NhatkyBan!#REF!,"AAAAAGnuVHA=")</f>
        <v>#REF!</v>
      </c>
      <c r="DJ111" t="e">
        <f>AND(NhatkyBan!#REF!,"AAAAAGnuVHE=")</f>
        <v>#REF!</v>
      </c>
      <c r="DK111" t="e">
        <f>AND(NhatkyBan!#REF!,"AAAAAGnuVHI=")</f>
        <v>#REF!</v>
      </c>
      <c r="DL111" t="e">
        <f>AND(NhatkyBan!#REF!,"AAAAAGnuVHM=")</f>
        <v>#REF!</v>
      </c>
      <c r="DM111" t="e">
        <f>AND(NhatkyBan!#REF!,"AAAAAGnuVHQ=")</f>
        <v>#REF!</v>
      </c>
      <c r="DN111" t="e">
        <f>AND(NhatkyBan!#REF!,"AAAAAGnuVHU=")</f>
        <v>#REF!</v>
      </c>
      <c r="DO111" t="e">
        <f>AND(NhatkyBan!#REF!,"AAAAAGnuVHY=")</f>
        <v>#REF!</v>
      </c>
      <c r="DP111" t="e">
        <f>AND(NhatkyBan!#REF!,"AAAAAGnuVHc=")</f>
        <v>#REF!</v>
      </c>
      <c r="DQ111" t="e">
        <f>AND(NhatkyBan!#REF!,"AAAAAGnuVHg=")</f>
        <v>#REF!</v>
      </c>
      <c r="DR111" t="e">
        <f>AND(NhatkyBan!#REF!,"AAAAAGnuVHk=")</f>
        <v>#REF!</v>
      </c>
      <c r="DS111" t="e">
        <f>AND(NhatkyBan!#REF!,"AAAAAGnuVHo=")</f>
        <v>#REF!</v>
      </c>
      <c r="DT111" t="e">
        <f>AND(NhatkyBan!#REF!,"AAAAAGnuVHs=")</f>
        <v>#REF!</v>
      </c>
      <c r="DU111" t="e">
        <f>AND(NhatkyBan!#REF!,"AAAAAGnuVHw=")</f>
        <v>#REF!</v>
      </c>
      <c r="DV111" t="e">
        <f>AND(NhatkyBan!#REF!,"AAAAAGnuVH0=")</f>
        <v>#REF!</v>
      </c>
      <c r="DW111" t="e">
        <f>AND(NhatkyBan!#REF!,"AAAAAGnuVH4=")</f>
        <v>#REF!</v>
      </c>
      <c r="DX111" t="e">
        <f>AND(NhatkyBan!#REF!,"AAAAAGnuVH8=")</f>
        <v>#REF!</v>
      </c>
      <c r="DY111" t="e">
        <f>AND(NhatkyBan!#REF!,"AAAAAGnuVIA=")</f>
        <v>#REF!</v>
      </c>
      <c r="DZ111" t="e">
        <f>AND(NhatkyBan!#REF!,"AAAAAGnuVIE=")</f>
        <v>#REF!</v>
      </c>
      <c r="EA111" t="e">
        <f>AND(NhatkyBan!#REF!,"AAAAAGnuVII=")</f>
        <v>#REF!</v>
      </c>
      <c r="EB111" t="e">
        <f>AND(NhatkyBan!#REF!,"AAAAAGnuVIM=")</f>
        <v>#REF!</v>
      </c>
      <c r="EC111" t="e">
        <f>AND(NhatkyBan!#REF!,"AAAAAGnuVIQ=")</f>
        <v>#REF!</v>
      </c>
      <c r="ED111" t="e">
        <f>AND(NhatkyBan!#REF!,"AAAAAGnuVIU=")</f>
        <v>#REF!</v>
      </c>
      <c r="EE111" t="e">
        <f>AND(NhatkyBan!#REF!,"AAAAAGnuVIY=")</f>
        <v>#REF!</v>
      </c>
      <c r="EF111" t="e">
        <f>IF(NhatkyBan!#REF!,"AAAAAGnuVIc=",0)</f>
        <v>#REF!</v>
      </c>
      <c r="EG111" t="e">
        <f>AND(NhatkyBan!#REF!,"AAAAAGnuVIg=")</f>
        <v>#REF!</v>
      </c>
      <c r="EH111" t="e">
        <f>AND(NhatkyBan!#REF!,"AAAAAGnuVIk=")</f>
        <v>#REF!</v>
      </c>
      <c r="EI111" t="e">
        <f>AND(NhatkyBan!#REF!,"AAAAAGnuVIo=")</f>
        <v>#REF!</v>
      </c>
      <c r="EJ111" t="e">
        <f>AND(NhatkyBan!#REF!,"AAAAAGnuVIs=")</f>
        <v>#REF!</v>
      </c>
      <c r="EK111" t="e">
        <f>AND(NhatkyBan!#REF!,"AAAAAGnuVIw=")</f>
        <v>#REF!</v>
      </c>
      <c r="EL111" t="e">
        <f>AND(NhatkyBan!#REF!,"AAAAAGnuVI0=")</f>
        <v>#REF!</v>
      </c>
      <c r="EM111" t="e">
        <f>AND(NhatkyBan!#REF!,"AAAAAGnuVI4=")</f>
        <v>#REF!</v>
      </c>
      <c r="EN111" t="e">
        <f>AND(NhatkyBan!#REF!,"AAAAAGnuVI8=")</f>
        <v>#REF!</v>
      </c>
      <c r="EO111" t="e">
        <f>AND(NhatkyBan!#REF!,"AAAAAGnuVJA=")</f>
        <v>#REF!</v>
      </c>
      <c r="EP111" t="e">
        <f>AND(NhatkyBan!#REF!,"AAAAAGnuVJE=")</f>
        <v>#REF!</v>
      </c>
      <c r="EQ111" t="e">
        <f>AND(NhatkyBan!#REF!,"AAAAAGnuVJI=")</f>
        <v>#REF!</v>
      </c>
      <c r="ER111" t="e">
        <f>AND(NhatkyBan!#REF!,"AAAAAGnuVJM=")</f>
        <v>#REF!</v>
      </c>
      <c r="ES111" t="e">
        <f>AND(NhatkyBan!#REF!,"AAAAAGnuVJQ=")</f>
        <v>#REF!</v>
      </c>
      <c r="ET111" t="e">
        <f>AND(NhatkyBan!#REF!,"AAAAAGnuVJU=")</f>
        <v>#REF!</v>
      </c>
      <c r="EU111" t="e">
        <f>AND(NhatkyBan!#REF!,"AAAAAGnuVJY=")</f>
        <v>#REF!</v>
      </c>
      <c r="EV111" t="e">
        <f>AND(NhatkyBan!#REF!,"AAAAAGnuVJc=")</f>
        <v>#REF!</v>
      </c>
      <c r="EW111" t="e">
        <f>AND(NhatkyBan!#REF!,"AAAAAGnuVJg=")</f>
        <v>#REF!</v>
      </c>
      <c r="EX111" t="e">
        <f>AND(NhatkyBan!#REF!,"AAAAAGnuVJk=")</f>
        <v>#REF!</v>
      </c>
      <c r="EY111" t="e">
        <f>AND(NhatkyBan!#REF!,"AAAAAGnuVJo=")</f>
        <v>#REF!</v>
      </c>
      <c r="EZ111" t="e">
        <f>AND(NhatkyBan!#REF!,"AAAAAGnuVJs=")</f>
        <v>#REF!</v>
      </c>
      <c r="FA111" t="e">
        <f>AND(NhatkyBan!#REF!,"AAAAAGnuVJw=")</f>
        <v>#REF!</v>
      </c>
      <c r="FB111" t="e">
        <f>AND(NhatkyBan!#REF!,"AAAAAGnuVJ0=")</f>
        <v>#REF!</v>
      </c>
      <c r="FC111" t="e">
        <f>AND(NhatkyBan!#REF!,"AAAAAGnuVJ4=")</f>
        <v>#REF!</v>
      </c>
      <c r="FD111" t="e">
        <f>AND(NhatkyBan!#REF!,"AAAAAGnuVJ8=")</f>
        <v>#REF!</v>
      </c>
      <c r="FE111" t="e">
        <f>AND(NhatkyBan!#REF!,"AAAAAGnuVKA=")</f>
        <v>#REF!</v>
      </c>
      <c r="FF111" t="e">
        <f>AND(NhatkyBan!#REF!,"AAAAAGnuVKE=")</f>
        <v>#REF!</v>
      </c>
      <c r="FG111" t="e">
        <f>AND(NhatkyBan!#REF!,"AAAAAGnuVKI=")</f>
        <v>#REF!</v>
      </c>
      <c r="FH111" t="e">
        <f>AND(NhatkyBan!#REF!,"AAAAAGnuVKM=")</f>
        <v>#REF!</v>
      </c>
      <c r="FI111" t="e">
        <f>AND(NhatkyBan!#REF!,"AAAAAGnuVKQ=")</f>
        <v>#REF!</v>
      </c>
      <c r="FJ111" t="e">
        <f>AND(NhatkyBan!#REF!,"AAAAAGnuVKU=")</f>
        <v>#REF!</v>
      </c>
      <c r="FK111" t="e">
        <f>AND(NhatkyBan!#REF!,"AAAAAGnuVKY=")</f>
        <v>#REF!</v>
      </c>
      <c r="FL111" t="e">
        <f>AND(NhatkyBan!#REF!,"AAAAAGnuVKc=")</f>
        <v>#REF!</v>
      </c>
      <c r="FM111" t="e">
        <f>AND(NhatkyBan!#REF!,"AAAAAGnuVKg=")</f>
        <v>#REF!</v>
      </c>
      <c r="FN111" t="e">
        <f>AND(NhatkyBan!#REF!,"AAAAAGnuVKk=")</f>
        <v>#REF!</v>
      </c>
      <c r="FO111" t="e">
        <f>IF(NhatkyBan!#REF!,"AAAAAGnuVKo=",0)</f>
        <v>#REF!</v>
      </c>
      <c r="FP111" t="e">
        <f>AND(NhatkyBan!#REF!,"AAAAAGnuVKs=")</f>
        <v>#REF!</v>
      </c>
      <c r="FQ111" t="e">
        <f>AND(NhatkyBan!#REF!,"AAAAAGnuVKw=")</f>
        <v>#REF!</v>
      </c>
      <c r="FR111" t="e">
        <f>AND(NhatkyBan!#REF!,"AAAAAGnuVK0=")</f>
        <v>#REF!</v>
      </c>
      <c r="FS111" t="e">
        <f>AND(NhatkyBan!#REF!,"AAAAAGnuVK4=")</f>
        <v>#REF!</v>
      </c>
      <c r="FT111" t="e">
        <f>AND(NhatkyBan!#REF!,"AAAAAGnuVK8=")</f>
        <v>#REF!</v>
      </c>
      <c r="FU111" t="e">
        <f>AND(NhatkyBan!#REF!,"AAAAAGnuVLA=")</f>
        <v>#REF!</v>
      </c>
      <c r="FV111" t="e">
        <f>AND(NhatkyBan!#REF!,"AAAAAGnuVLE=")</f>
        <v>#REF!</v>
      </c>
      <c r="FW111" t="e">
        <f>AND(NhatkyBan!#REF!,"AAAAAGnuVLI=")</f>
        <v>#REF!</v>
      </c>
      <c r="FX111" t="e">
        <f>AND(NhatkyBan!#REF!,"AAAAAGnuVLM=")</f>
        <v>#REF!</v>
      </c>
      <c r="FY111" t="e">
        <f>AND(NhatkyBan!#REF!,"AAAAAGnuVLQ=")</f>
        <v>#REF!</v>
      </c>
      <c r="FZ111" t="e">
        <f>AND(NhatkyBan!#REF!,"AAAAAGnuVLU=")</f>
        <v>#REF!</v>
      </c>
      <c r="GA111" t="e">
        <f>AND(NhatkyBan!#REF!,"AAAAAGnuVLY=")</f>
        <v>#REF!</v>
      </c>
      <c r="GB111" t="e">
        <f>AND(NhatkyBan!#REF!,"AAAAAGnuVLc=")</f>
        <v>#REF!</v>
      </c>
      <c r="GC111" t="e">
        <f>AND(NhatkyBan!#REF!,"AAAAAGnuVLg=")</f>
        <v>#REF!</v>
      </c>
      <c r="GD111" t="e">
        <f>AND(NhatkyBan!#REF!,"AAAAAGnuVLk=")</f>
        <v>#REF!</v>
      </c>
      <c r="GE111" t="e">
        <f>AND(NhatkyBan!#REF!,"AAAAAGnuVLo=")</f>
        <v>#REF!</v>
      </c>
      <c r="GF111" t="e">
        <f>AND(NhatkyBan!#REF!,"AAAAAGnuVLs=")</f>
        <v>#REF!</v>
      </c>
      <c r="GG111" t="e">
        <f>AND(NhatkyBan!#REF!,"AAAAAGnuVLw=")</f>
        <v>#REF!</v>
      </c>
      <c r="GH111" t="e">
        <f>AND(NhatkyBan!#REF!,"AAAAAGnuVL0=")</f>
        <v>#REF!</v>
      </c>
      <c r="GI111" t="e">
        <f>AND(NhatkyBan!#REF!,"AAAAAGnuVL4=")</f>
        <v>#REF!</v>
      </c>
      <c r="GJ111" t="e">
        <f>AND(NhatkyBan!#REF!,"AAAAAGnuVL8=")</f>
        <v>#REF!</v>
      </c>
      <c r="GK111" t="e">
        <f>AND(NhatkyBan!#REF!,"AAAAAGnuVMA=")</f>
        <v>#REF!</v>
      </c>
      <c r="GL111" t="e">
        <f>AND(NhatkyBan!#REF!,"AAAAAGnuVME=")</f>
        <v>#REF!</v>
      </c>
      <c r="GM111" t="e">
        <f>AND(NhatkyBan!#REF!,"AAAAAGnuVMI=")</f>
        <v>#REF!</v>
      </c>
      <c r="GN111" t="e">
        <f>AND(NhatkyBan!#REF!,"AAAAAGnuVMM=")</f>
        <v>#REF!</v>
      </c>
      <c r="GO111" t="e">
        <f>AND(NhatkyBan!#REF!,"AAAAAGnuVMQ=")</f>
        <v>#REF!</v>
      </c>
      <c r="GP111" t="e">
        <f>AND(NhatkyBan!#REF!,"AAAAAGnuVMU=")</f>
        <v>#REF!</v>
      </c>
      <c r="GQ111" t="e">
        <f>AND(NhatkyBan!#REF!,"AAAAAGnuVMY=")</f>
        <v>#REF!</v>
      </c>
      <c r="GR111" t="e">
        <f>AND(NhatkyBan!#REF!,"AAAAAGnuVMc=")</f>
        <v>#REF!</v>
      </c>
      <c r="GS111" t="e">
        <f>AND(NhatkyBan!#REF!,"AAAAAGnuVMg=")</f>
        <v>#REF!</v>
      </c>
      <c r="GT111" t="e">
        <f>AND(NhatkyBan!#REF!,"AAAAAGnuVMk=")</f>
        <v>#REF!</v>
      </c>
      <c r="GU111" t="e">
        <f>AND(NhatkyBan!#REF!,"AAAAAGnuVMo=")</f>
        <v>#REF!</v>
      </c>
      <c r="GV111" t="e">
        <f>AND(NhatkyBan!#REF!,"AAAAAGnuVMs=")</f>
        <v>#REF!</v>
      </c>
      <c r="GW111" t="e">
        <f>AND(NhatkyBan!#REF!,"AAAAAGnuVMw=")</f>
        <v>#REF!</v>
      </c>
      <c r="GX111" t="e">
        <f>IF(NhatkyBan!#REF!,"AAAAAGnuVM0=",0)</f>
        <v>#REF!</v>
      </c>
      <c r="GY111" t="e">
        <f>AND(NhatkyBan!#REF!,"AAAAAGnuVM4=")</f>
        <v>#REF!</v>
      </c>
      <c r="GZ111" t="e">
        <f>AND(NhatkyBan!#REF!,"AAAAAGnuVM8=")</f>
        <v>#REF!</v>
      </c>
      <c r="HA111" t="e">
        <f>AND(NhatkyBan!#REF!,"AAAAAGnuVNA=")</f>
        <v>#REF!</v>
      </c>
      <c r="HB111" t="e">
        <f>AND(NhatkyBan!#REF!,"AAAAAGnuVNE=")</f>
        <v>#REF!</v>
      </c>
      <c r="HC111" t="e">
        <f>AND(NhatkyBan!#REF!,"AAAAAGnuVNI=")</f>
        <v>#REF!</v>
      </c>
      <c r="HD111" t="e">
        <f>AND(NhatkyBan!#REF!,"AAAAAGnuVNM=")</f>
        <v>#REF!</v>
      </c>
      <c r="HE111" t="e">
        <f>AND(NhatkyBan!#REF!,"AAAAAGnuVNQ=")</f>
        <v>#REF!</v>
      </c>
      <c r="HF111" t="e">
        <f>AND(NhatkyBan!#REF!,"AAAAAGnuVNU=")</f>
        <v>#REF!</v>
      </c>
      <c r="HG111" t="e">
        <f>AND(NhatkyBan!#REF!,"AAAAAGnuVNY=")</f>
        <v>#REF!</v>
      </c>
      <c r="HH111" t="e">
        <f>AND(NhatkyBan!#REF!,"AAAAAGnuVNc=")</f>
        <v>#REF!</v>
      </c>
      <c r="HI111" t="e">
        <f>AND(NhatkyBan!#REF!,"AAAAAGnuVNg=")</f>
        <v>#REF!</v>
      </c>
      <c r="HJ111" t="e">
        <f>AND(NhatkyBan!#REF!,"AAAAAGnuVNk=")</f>
        <v>#REF!</v>
      </c>
      <c r="HK111" t="e">
        <f>AND(NhatkyBan!#REF!,"AAAAAGnuVNo=")</f>
        <v>#REF!</v>
      </c>
      <c r="HL111" t="e">
        <f>AND(NhatkyBan!#REF!,"AAAAAGnuVNs=")</f>
        <v>#REF!</v>
      </c>
      <c r="HM111" t="e">
        <f>AND(NhatkyBan!#REF!,"AAAAAGnuVNw=")</f>
        <v>#REF!</v>
      </c>
      <c r="HN111" t="e">
        <f>AND(NhatkyBan!#REF!,"AAAAAGnuVN0=")</f>
        <v>#REF!</v>
      </c>
      <c r="HO111" t="e">
        <f>AND(NhatkyBan!#REF!,"AAAAAGnuVN4=")</f>
        <v>#REF!</v>
      </c>
      <c r="HP111" t="e">
        <f>AND(NhatkyBan!#REF!,"AAAAAGnuVN8=")</f>
        <v>#REF!</v>
      </c>
      <c r="HQ111" t="e">
        <f>AND(NhatkyBan!#REF!,"AAAAAGnuVOA=")</f>
        <v>#REF!</v>
      </c>
      <c r="HR111" t="e">
        <f>AND(NhatkyBan!#REF!,"AAAAAGnuVOE=")</f>
        <v>#REF!</v>
      </c>
      <c r="HS111" t="e">
        <f>AND(NhatkyBan!#REF!,"AAAAAGnuVOI=")</f>
        <v>#REF!</v>
      </c>
      <c r="HT111" t="e">
        <f>AND(NhatkyBan!#REF!,"AAAAAGnuVOM=")</f>
        <v>#REF!</v>
      </c>
      <c r="HU111" t="e">
        <f>AND(NhatkyBan!#REF!,"AAAAAGnuVOQ=")</f>
        <v>#REF!</v>
      </c>
      <c r="HV111" t="e">
        <f>AND(NhatkyBan!#REF!,"AAAAAGnuVOU=")</f>
        <v>#REF!</v>
      </c>
      <c r="HW111" t="e">
        <f>AND(NhatkyBan!#REF!,"AAAAAGnuVOY=")</f>
        <v>#REF!</v>
      </c>
      <c r="HX111" t="e">
        <f>AND(NhatkyBan!#REF!,"AAAAAGnuVOc=")</f>
        <v>#REF!</v>
      </c>
      <c r="HY111" t="e">
        <f>AND(NhatkyBan!#REF!,"AAAAAGnuVOg=")</f>
        <v>#REF!</v>
      </c>
      <c r="HZ111" t="e">
        <f>AND(NhatkyBan!#REF!,"AAAAAGnuVOk=")</f>
        <v>#REF!</v>
      </c>
      <c r="IA111" t="e">
        <f>AND(NhatkyBan!#REF!,"AAAAAGnuVOo=")</f>
        <v>#REF!</v>
      </c>
      <c r="IB111" t="e">
        <f>AND(NhatkyBan!#REF!,"AAAAAGnuVOs=")</f>
        <v>#REF!</v>
      </c>
      <c r="IC111" t="e">
        <f>AND(NhatkyBan!#REF!,"AAAAAGnuVOw=")</f>
        <v>#REF!</v>
      </c>
      <c r="ID111" t="e">
        <f>AND(NhatkyBan!#REF!,"AAAAAGnuVO0=")</f>
        <v>#REF!</v>
      </c>
      <c r="IE111" t="e">
        <f>AND(NhatkyBan!#REF!,"AAAAAGnuVO4=")</f>
        <v>#REF!</v>
      </c>
      <c r="IF111" t="e">
        <f>AND(NhatkyBan!#REF!,"AAAAAGnuVO8=")</f>
        <v>#REF!</v>
      </c>
      <c r="IG111" t="e">
        <f>IF(NhatkyBan!#REF!,"AAAAAGnuVPA=",0)</f>
        <v>#REF!</v>
      </c>
      <c r="IH111" t="e">
        <f>AND(NhatkyBan!#REF!,"AAAAAGnuVPE=")</f>
        <v>#REF!</v>
      </c>
      <c r="II111" t="e">
        <f>AND(NhatkyBan!#REF!,"AAAAAGnuVPI=")</f>
        <v>#REF!</v>
      </c>
      <c r="IJ111" t="e">
        <f>AND(NhatkyBan!#REF!,"AAAAAGnuVPM=")</f>
        <v>#REF!</v>
      </c>
      <c r="IK111" t="e">
        <f>AND(NhatkyBan!#REF!,"AAAAAGnuVPQ=")</f>
        <v>#REF!</v>
      </c>
      <c r="IL111" t="e">
        <f>AND(NhatkyBan!#REF!,"AAAAAGnuVPU=")</f>
        <v>#REF!</v>
      </c>
      <c r="IM111" t="e">
        <f>AND(NhatkyBan!#REF!,"AAAAAGnuVPY=")</f>
        <v>#REF!</v>
      </c>
      <c r="IN111" t="e">
        <f>AND(NhatkyBan!#REF!,"AAAAAGnuVPc=")</f>
        <v>#REF!</v>
      </c>
      <c r="IO111" t="e">
        <f>AND(NhatkyBan!#REF!,"AAAAAGnuVPg=")</f>
        <v>#REF!</v>
      </c>
      <c r="IP111" t="e">
        <f>AND(NhatkyBan!#REF!,"AAAAAGnuVPk=")</f>
        <v>#REF!</v>
      </c>
      <c r="IQ111" t="e">
        <f>AND(NhatkyBan!#REF!,"AAAAAGnuVPo=")</f>
        <v>#REF!</v>
      </c>
      <c r="IR111" t="e">
        <f>AND(NhatkyBan!#REF!,"AAAAAGnuVPs=")</f>
        <v>#REF!</v>
      </c>
      <c r="IS111" t="e">
        <f>AND(NhatkyBan!#REF!,"AAAAAGnuVPw=")</f>
        <v>#REF!</v>
      </c>
      <c r="IT111" t="e">
        <f>AND(NhatkyBan!#REF!,"AAAAAGnuVP0=")</f>
        <v>#REF!</v>
      </c>
      <c r="IU111" t="e">
        <f>AND(NhatkyBan!#REF!,"AAAAAGnuVP4=")</f>
        <v>#REF!</v>
      </c>
      <c r="IV111" t="e">
        <f>AND(NhatkyBan!#REF!,"AAAAAGnuVP8=")</f>
        <v>#REF!</v>
      </c>
    </row>
    <row r="112" spans="1:256">
      <c r="A112" t="e">
        <f>AND(NhatkyBan!#REF!,"AAAAAHvefwA=")</f>
        <v>#REF!</v>
      </c>
      <c r="B112" t="e">
        <f>AND(NhatkyBan!#REF!,"AAAAAHvefwE=")</f>
        <v>#REF!</v>
      </c>
      <c r="C112" t="e">
        <f>AND(NhatkyBan!#REF!,"AAAAAHvefwI=")</f>
        <v>#REF!</v>
      </c>
      <c r="D112" t="e">
        <f>AND(NhatkyBan!#REF!,"AAAAAHvefwM=")</f>
        <v>#REF!</v>
      </c>
      <c r="E112" t="e">
        <f>AND(NhatkyBan!#REF!,"AAAAAHvefwQ=")</f>
        <v>#REF!</v>
      </c>
      <c r="F112" t="e">
        <f>AND(NhatkyBan!#REF!,"AAAAAHvefwU=")</f>
        <v>#REF!</v>
      </c>
      <c r="G112" t="e">
        <f>AND(NhatkyBan!#REF!,"AAAAAHvefwY=")</f>
        <v>#REF!</v>
      </c>
      <c r="H112" t="e">
        <f>AND(NhatkyBan!#REF!,"AAAAAHvefwc=")</f>
        <v>#REF!</v>
      </c>
      <c r="I112" t="e">
        <f>AND(NhatkyBan!#REF!,"AAAAAHvefwg=")</f>
        <v>#REF!</v>
      </c>
      <c r="J112" t="e">
        <f>AND(NhatkyBan!#REF!,"AAAAAHvefwk=")</f>
        <v>#REF!</v>
      </c>
      <c r="K112" t="e">
        <f>AND(NhatkyBan!#REF!,"AAAAAHvefwo=")</f>
        <v>#REF!</v>
      </c>
      <c r="L112" t="e">
        <f>AND(NhatkyBan!#REF!,"AAAAAHvefws=")</f>
        <v>#REF!</v>
      </c>
      <c r="M112" t="e">
        <f>AND(NhatkyBan!#REF!,"AAAAAHvefww=")</f>
        <v>#REF!</v>
      </c>
      <c r="N112" t="e">
        <f>AND(NhatkyBan!#REF!,"AAAAAHvefw0=")</f>
        <v>#REF!</v>
      </c>
      <c r="O112" t="e">
        <f>AND(NhatkyBan!#REF!,"AAAAAHvefw4=")</f>
        <v>#REF!</v>
      </c>
      <c r="P112" t="e">
        <f>AND(NhatkyBan!#REF!,"AAAAAHvefw8=")</f>
        <v>#REF!</v>
      </c>
      <c r="Q112" t="e">
        <f>AND(NhatkyBan!#REF!,"AAAAAHvefxA=")</f>
        <v>#REF!</v>
      </c>
      <c r="R112" t="e">
        <f>AND(NhatkyBan!#REF!,"AAAAAHvefxE=")</f>
        <v>#REF!</v>
      </c>
      <c r="S112" t="e">
        <f>AND(NhatkyBan!#REF!,"AAAAAHvefxI=")</f>
        <v>#REF!</v>
      </c>
      <c r="T112" t="e">
        <f>IF(NhatkyBan!#REF!,"AAAAAHvefxM=",0)</f>
        <v>#REF!</v>
      </c>
      <c r="U112" t="e">
        <f>AND(NhatkyBan!#REF!,"AAAAAHvefxQ=")</f>
        <v>#REF!</v>
      </c>
      <c r="V112" t="e">
        <f>AND(NhatkyBan!#REF!,"AAAAAHvefxU=")</f>
        <v>#REF!</v>
      </c>
      <c r="W112" t="e">
        <f>AND(NhatkyBan!#REF!,"AAAAAHvefxY=")</f>
        <v>#REF!</v>
      </c>
      <c r="X112" t="e">
        <f>AND(NhatkyBan!#REF!,"AAAAAHvefxc=")</f>
        <v>#REF!</v>
      </c>
      <c r="Y112" t="e">
        <f>AND(NhatkyBan!#REF!,"AAAAAHvefxg=")</f>
        <v>#REF!</v>
      </c>
      <c r="Z112" t="e">
        <f>AND(NhatkyBan!#REF!,"AAAAAHvefxk=")</f>
        <v>#REF!</v>
      </c>
      <c r="AA112" t="e">
        <f>AND(NhatkyBan!#REF!,"AAAAAHvefxo=")</f>
        <v>#REF!</v>
      </c>
      <c r="AB112" t="e">
        <f>AND(NhatkyBan!#REF!,"AAAAAHvefxs=")</f>
        <v>#REF!</v>
      </c>
      <c r="AC112" t="e">
        <f>AND(NhatkyBan!#REF!,"AAAAAHvefxw=")</f>
        <v>#REF!</v>
      </c>
      <c r="AD112" t="e">
        <f>AND(NhatkyBan!#REF!,"AAAAAHvefx0=")</f>
        <v>#REF!</v>
      </c>
      <c r="AE112" t="e">
        <f>AND(NhatkyBan!#REF!,"AAAAAHvefx4=")</f>
        <v>#REF!</v>
      </c>
      <c r="AF112" t="e">
        <f>AND(NhatkyBan!#REF!,"AAAAAHvefx8=")</f>
        <v>#REF!</v>
      </c>
      <c r="AG112" t="e">
        <f>AND(NhatkyBan!#REF!,"AAAAAHvefyA=")</f>
        <v>#REF!</v>
      </c>
      <c r="AH112" t="e">
        <f>AND(NhatkyBan!#REF!,"AAAAAHvefyE=")</f>
        <v>#REF!</v>
      </c>
      <c r="AI112" t="e">
        <f>AND(NhatkyBan!#REF!,"AAAAAHvefyI=")</f>
        <v>#REF!</v>
      </c>
      <c r="AJ112" t="e">
        <f>AND(NhatkyBan!#REF!,"AAAAAHvefyM=")</f>
        <v>#REF!</v>
      </c>
      <c r="AK112" t="e">
        <f>AND(NhatkyBan!#REF!,"AAAAAHvefyQ=")</f>
        <v>#REF!</v>
      </c>
      <c r="AL112" t="e">
        <f>AND(NhatkyBan!#REF!,"AAAAAHvefyU=")</f>
        <v>#REF!</v>
      </c>
      <c r="AM112" t="e">
        <f>AND(NhatkyBan!#REF!,"AAAAAHvefyY=")</f>
        <v>#REF!</v>
      </c>
      <c r="AN112" t="e">
        <f>AND(NhatkyBan!#REF!,"AAAAAHvefyc=")</f>
        <v>#REF!</v>
      </c>
      <c r="AO112" t="e">
        <f>AND(NhatkyBan!#REF!,"AAAAAHvefyg=")</f>
        <v>#REF!</v>
      </c>
      <c r="AP112" t="e">
        <f>AND(NhatkyBan!#REF!,"AAAAAHvefyk=")</f>
        <v>#REF!</v>
      </c>
      <c r="AQ112" t="e">
        <f>AND(NhatkyBan!#REF!,"AAAAAHvefyo=")</f>
        <v>#REF!</v>
      </c>
      <c r="AR112" t="e">
        <f>AND(NhatkyBan!#REF!,"AAAAAHvefys=")</f>
        <v>#REF!</v>
      </c>
      <c r="AS112" t="e">
        <f>AND(NhatkyBan!#REF!,"AAAAAHvefyw=")</f>
        <v>#REF!</v>
      </c>
      <c r="AT112" t="e">
        <f>AND(NhatkyBan!#REF!,"AAAAAHvefy0=")</f>
        <v>#REF!</v>
      </c>
      <c r="AU112" t="e">
        <f>AND(NhatkyBan!#REF!,"AAAAAHvefy4=")</f>
        <v>#REF!</v>
      </c>
      <c r="AV112" t="e">
        <f>AND(NhatkyBan!#REF!,"AAAAAHvefy8=")</f>
        <v>#REF!</v>
      </c>
      <c r="AW112" t="e">
        <f>AND(NhatkyBan!#REF!,"AAAAAHvefzA=")</f>
        <v>#REF!</v>
      </c>
      <c r="AX112" t="e">
        <f>AND(NhatkyBan!#REF!,"AAAAAHvefzE=")</f>
        <v>#REF!</v>
      </c>
      <c r="AY112" t="e">
        <f>AND(NhatkyBan!#REF!,"AAAAAHvefzI=")</f>
        <v>#REF!</v>
      </c>
      <c r="AZ112" t="e">
        <f>AND(NhatkyBan!#REF!,"AAAAAHvefzM=")</f>
        <v>#REF!</v>
      </c>
      <c r="BA112" t="e">
        <f>AND(NhatkyBan!#REF!,"AAAAAHvefzQ=")</f>
        <v>#REF!</v>
      </c>
      <c r="BB112" t="e">
        <f>AND(NhatkyBan!#REF!,"AAAAAHvefzU=")</f>
        <v>#REF!</v>
      </c>
      <c r="BC112" t="e">
        <f>IF(NhatkyBan!#REF!,"AAAAAHvefzY=",0)</f>
        <v>#REF!</v>
      </c>
      <c r="BD112" t="e">
        <f>AND(NhatkyBan!#REF!,"AAAAAHvefzc=")</f>
        <v>#REF!</v>
      </c>
      <c r="BE112" t="e">
        <f>AND(NhatkyBan!#REF!,"AAAAAHvefzg=")</f>
        <v>#REF!</v>
      </c>
      <c r="BF112" t="e">
        <f>AND(NhatkyBan!#REF!,"AAAAAHvefzk=")</f>
        <v>#REF!</v>
      </c>
      <c r="BG112" t="e">
        <f>AND(NhatkyBan!#REF!,"AAAAAHvefzo=")</f>
        <v>#REF!</v>
      </c>
      <c r="BH112" t="e">
        <f>AND(NhatkyBan!#REF!,"AAAAAHvefzs=")</f>
        <v>#REF!</v>
      </c>
      <c r="BI112" t="e">
        <f>AND(NhatkyBan!#REF!,"AAAAAHvefzw=")</f>
        <v>#REF!</v>
      </c>
      <c r="BJ112" t="e">
        <f>AND(NhatkyBan!#REF!,"AAAAAHvefz0=")</f>
        <v>#REF!</v>
      </c>
      <c r="BK112" t="e">
        <f>AND(NhatkyBan!#REF!,"AAAAAHvefz4=")</f>
        <v>#REF!</v>
      </c>
      <c r="BL112" t="e">
        <f>AND(NhatkyBan!#REF!,"AAAAAHvefz8=")</f>
        <v>#REF!</v>
      </c>
      <c r="BM112" t="e">
        <f>AND(NhatkyBan!#REF!,"AAAAAHvef0A=")</f>
        <v>#REF!</v>
      </c>
      <c r="BN112" t="e">
        <f>AND(NhatkyBan!#REF!,"AAAAAHvef0E=")</f>
        <v>#REF!</v>
      </c>
      <c r="BO112" t="e">
        <f>AND(NhatkyBan!#REF!,"AAAAAHvef0I=")</f>
        <v>#REF!</v>
      </c>
      <c r="BP112" t="e">
        <f>AND(NhatkyBan!#REF!,"AAAAAHvef0M=")</f>
        <v>#REF!</v>
      </c>
      <c r="BQ112" t="e">
        <f>AND(NhatkyBan!#REF!,"AAAAAHvef0Q=")</f>
        <v>#REF!</v>
      </c>
      <c r="BR112" t="e">
        <f>AND(NhatkyBan!#REF!,"AAAAAHvef0U=")</f>
        <v>#REF!</v>
      </c>
      <c r="BS112" t="e">
        <f>AND(NhatkyBan!#REF!,"AAAAAHvef0Y=")</f>
        <v>#REF!</v>
      </c>
      <c r="BT112" t="e">
        <f>AND(NhatkyBan!#REF!,"AAAAAHvef0c=")</f>
        <v>#REF!</v>
      </c>
      <c r="BU112" t="e">
        <f>AND(NhatkyBan!#REF!,"AAAAAHvef0g=")</f>
        <v>#REF!</v>
      </c>
      <c r="BV112" t="e">
        <f>AND(NhatkyBan!#REF!,"AAAAAHvef0k=")</f>
        <v>#REF!</v>
      </c>
      <c r="BW112" t="e">
        <f>AND(NhatkyBan!#REF!,"AAAAAHvef0o=")</f>
        <v>#REF!</v>
      </c>
      <c r="BX112" t="e">
        <f>AND(NhatkyBan!#REF!,"AAAAAHvef0s=")</f>
        <v>#REF!</v>
      </c>
      <c r="BY112" t="e">
        <f>AND(NhatkyBan!#REF!,"AAAAAHvef0w=")</f>
        <v>#REF!</v>
      </c>
      <c r="BZ112" t="e">
        <f>AND(NhatkyBan!#REF!,"AAAAAHvef00=")</f>
        <v>#REF!</v>
      </c>
      <c r="CA112" t="e">
        <f>AND(NhatkyBan!#REF!,"AAAAAHvef04=")</f>
        <v>#REF!</v>
      </c>
      <c r="CB112" t="e">
        <f>AND(NhatkyBan!#REF!,"AAAAAHvef08=")</f>
        <v>#REF!</v>
      </c>
      <c r="CC112" t="e">
        <f>AND(NhatkyBan!#REF!,"AAAAAHvef1A=")</f>
        <v>#REF!</v>
      </c>
      <c r="CD112" t="e">
        <f>AND(NhatkyBan!#REF!,"AAAAAHvef1E=")</f>
        <v>#REF!</v>
      </c>
      <c r="CE112" t="e">
        <f>AND(NhatkyBan!#REF!,"AAAAAHvef1I=")</f>
        <v>#REF!</v>
      </c>
      <c r="CF112" t="e">
        <f>AND(NhatkyBan!#REF!,"AAAAAHvef1M=")</f>
        <v>#REF!</v>
      </c>
      <c r="CG112" t="e">
        <f>AND(NhatkyBan!#REF!,"AAAAAHvef1Q=")</f>
        <v>#REF!</v>
      </c>
      <c r="CH112" t="e">
        <f>AND(NhatkyBan!#REF!,"AAAAAHvef1U=")</f>
        <v>#REF!</v>
      </c>
      <c r="CI112" t="e">
        <f>AND(NhatkyBan!#REF!,"AAAAAHvef1Y=")</f>
        <v>#REF!</v>
      </c>
      <c r="CJ112" t="e">
        <f>AND(NhatkyBan!#REF!,"AAAAAHvef1c=")</f>
        <v>#REF!</v>
      </c>
      <c r="CK112" t="e">
        <f>AND(NhatkyBan!#REF!,"AAAAAHvef1g=")</f>
        <v>#REF!</v>
      </c>
      <c r="CL112" t="e">
        <f>IF(NhatkyBan!#REF!,"AAAAAHvef1k=",0)</f>
        <v>#REF!</v>
      </c>
      <c r="CM112" t="e">
        <f>AND(NhatkyBan!#REF!,"AAAAAHvef1o=")</f>
        <v>#REF!</v>
      </c>
      <c r="CN112" t="e">
        <f>AND(NhatkyBan!#REF!,"AAAAAHvef1s=")</f>
        <v>#REF!</v>
      </c>
      <c r="CO112" t="e">
        <f>AND(NhatkyBan!#REF!,"AAAAAHvef1w=")</f>
        <v>#REF!</v>
      </c>
      <c r="CP112" t="e">
        <f>AND(NhatkyBan!#REF!,"AAAAAHvef10=")</f>
        <v>#REF!</v>
      </c>
      <c r="CQ112" t="e">
        <f>AND(NhatkyBan!#REF!,"AAAAAHvef14=")</f>
        <v>#REF!</v>
      </c>
      <c r="CR112" t="e">
        <f>AND(NhatkyBan!#REF!,"AAAAAHvef18=")</f>
        <v>#REF!</v>
      </c>
      <c r="CS112" t="e">
        <f>AND(NhatkyBan!#REF!,"AAAAAHvef2A=")</f>
        <v>#REF!</v>
      </c>
      <c r="CT112" t="e">
        <f>AND(NhatkyBan!#REF!,"AAAAAHvef2E=")</f>
        <v>#REF!</v>
      </c>
      <c r="CU112" t="e">
        <f>AND(NhatkyBan!#REF!,"AAAAAHvef2I=")</f>
        <v>#REF!</v>
      </c>
      <c r="CV112" t="e">
        <f>AND(NhatkyBan!#REF!,"AAAAAHvef2M=")</f>
        <v>#REF!</v>
      </c>
      <c r="CW112" t="e">
        <f>AND(NhatkyBan!#REF!,"AAAAAHvef2Q=")</f>
        <v>#REF!</v>
      </c>
      <c r="CX112" t="e">
        <f>AND(NhatkyBan!#REF!,"AAAAAHvef2U=")</f>
        <v>#REF!</v>
      </c>
      <c r="CY112" t="e">
        <f>AND(NhatkyBan!#REF!,"AAAAAHvef2Y=")</f>
        <v>#REF!</v>
      </c>
      <c r="CZ112" t="e">
        <f>AND(NhatkyBan!#REF!,"AAAAAHvef2c=")</f>
        <v>#REF!</v>
      </c>
      <c r="DA112" t="e">
        <f>AND(NhatkyBan!#REF!,"AAAAAHvef2g=")</f>
        <v>#REF!</v>
      </c>
      <c r="DB112" t="e">
        <f>AND(NhatkyBan!#REF!,"AAAAAHvef2k=")</f>
        <v>#REF!</v>
      </c>
      <c r="DC112" t="e">
        <f>AND(NhatkyBan!#REF!,"AAAAAHvef2o=")</f>
        <v>#REF!</v>
      </c>
      <c r="DD112" t="e">
        <f>AND(NhatkyBan!#REF!,"AAAAAHvef2s=")</f>
        <v>#REF!</v>
      </c>
      <c r="DE112" t="e">
        <f>AND(NhatkyBan!#REF!,"AAAAAHvef2w=")</f>
        <v>#REF!</v>
      </c>
      <c r="DF112" t="e">
        <f>AND(NhatkyBan!#REF!,"AAAAAHvef20=")</f>
        <v>#REF!</v>
      </c>
      <c r="DG112" t="e">
        <f>AND(NhatkyBan!#REF!,"AAAAAHvef24=")</f>
        <v>#REF!</v>
      </c>
      <c r="DH112" t="e">
        <f>AND(NhatkyBan!#REF!,"AAAAAHvef28=")</f>
        <v>#REF!</v>
      </c>
      <c r="DI112" t="e">
        <f>AND(NhatkyBan!#REF!,"AAAAAHvef3A=")</f>
        <v>#REF!</v>
      </c>
      <c r="DJ112" t="e">
        <f>AND(NhatkyBan!#REF!,"AAAAAHvef3E=")</f>
        <v>#REF!</v>
      </c>
      <c r="DK112" t="e">
        <f>AND(NhatkyBan!#REF!,"AAAAAHvef3I=")</f>
        <v>#REF!</v>
      </c>
      <c r="DL112" t="e">
        <f>AND(NhatkyBan!#REF!,"AAAAAHvef3M=")</f>
        <v>#REF!</v>
      </c>
      <c r="DM112" t="e">
        <f>AND(NhatkyBan!#REF!,"AAAAAHvef3Q=")</f>
        <v>#REF!</v>
      </c>
      <c r="DN112" t="e">
        <f>AND(NhatkyBan!#REF!,"AAAAAHvef3U=")</f>
        <v>#REF!</v>
      </c>
      <c r="DO112" t="e">
        <f>AND(NhatkyBan!#REF!,"AAAAAHvef3Y=")</f>
        <v>#REF!</v>
      </c>
      <c r="DP112" t="e">
        <f>AND(NhatkyBan!#REF!,"AAAAAHvef3c=")</f>
        <v>#REF!</v>
      </c>
      <c r="DQ112" t="e">
        <f>AND(NhatkyBan!#REF!,"AAAAAHvef3g=")</f>
        <v>#REF!</v>
      </c>
      <c r="DR112" t="e">
        <f>AND(NhatkyBan!#REF!,"AAAAAHvef3k=")</f>
        <v>#REF!</v>
      </c>
      <c r="DS112" t="e">
        <f>AND(NhatkyBan!#REF!,"AAAAAHvef3o=")</f>
        <v>#REF!</v>
      </c>
      <c r="DT112" t="e">
        <f>AND(NhatkyBan!#REF!,"AAAAAHvef3s=")</f>
        <v>#REF!</v>
      </c>
      <c r="DU112" t="e">
        <f>IF(NhatkyBan!#REF!,"AAAAAHvef3w=",0)</f>
        <v>#REF!</v>
      </c>
      <c r="DV112" t="e">
        <f>AND(NhatkyBan!#REF!,"AAAAAHvef30=")</f>
        <v>#REF!</v>
      </c>
      <c r="DW112" t="e">
        <f>AND(NhatkyBan!#REF!,"AAAAAHvef34=")</f>
        <v>#REF!</v>
      </c>
      <c r="DX112" t="e">
        <f>AND(NhatkyBan!#REF!,"AAAAAHvef38=")</f>
        <v>#REF!</v>
      </c>
      <c r="DY112" t="e">
        <f>AND(NhatkyBan!#REF!,"AAAAAHvef4A=")</f>
        <v>#REF!</v>
      </c>
      <c r="DZ112" t="e">
        <f>AND(NhatkyBan!#REF!,"AAAAAHvef4E=")</f>
        <v>#REF!</v>
      </c>
      <c r="EA112" t="e">
        <f>AND(NhatkyBan!#REF!,"AAAAAHvef4I=")</f>
        <v>#REF!</v>
      </c>
      <c r="EB112" t="e">
        <f>AND(NhatkyBan!#REF!,"AAAAAHvef4M=")</f>
        <v>#REF!</v>
      </c>
      <c r="EC112" t="e">
        <f>AND(NhatkyBan!#REF!,"AAAAAHvef4Q=")</f>
        <v>#REF!</v>
      </c>
      <c r="ED112" t="e">
        <f>AND(NhatkyBan!#REF!,"AAAAAHvef4U=")</f>
        <v>#REF!</v>
      </c>
      <c r="EE112" t="e">
        <f>AND(NhatkyBan!#REF!,"AAAAAHvef4Y=")</f>
        <v>#REF!</v>
      </c>
      <c r="EF112" t="e">
        <f>AND(NhatkyBan!#REF!,"AAAAAHvef4c=")</f>
        <v>#REF!</v>
      </c>
      <c r="EG112" t="e">
        <f>AND(NhatkyBan!#REF!,"AAAAAHvef4g=")</f>
        <v>#REF!</v>
      </c>
      <c r="EH112" t="e">
        <f>AND(NhatkyBan!#REF!,"AAAAAHvef4k=")</f>
        <v>#REF!</v>
      </c>
      <c r="EI112" t="e">
        <f>AND(NhatkyBan!#REF!,"AAAAAHvef4o=")</f>
        <v>#REF!</v>
      </c>
      <c r="EJ112" t="e">
        <f>AND(NhatkyBan!#REF!,"AAAAAHvef4s=")</f>
        <v>#REF!</v>
      </c>
      <c r="EK112" t="e">
        <f>AND(NhatkyBan!#REF!,"AAAAAHvef4w=")</f>
        <v>#REF!</v>
      </c>
      <c r="EL112" t="e">
        <f>AND(NhatkyBan!#REF!,"AAAAAHvef40=")</f>
        <v>#REF!</v>
      </c>
      <c r="EM112" t="e">
        <f>AND(NhatkyBan!#REF!,"AAAAAHvef44=")</f>
        <v>#REF!</v>
      </c>
      <c r="EN112" t="e">
        <f>AND(NhatkyBan!#REF!,"AAAAAHvef48=")</f>
        <v>#REF!</v>
      </c>
      <c r="EO112" t="e">
        <f>AND(NhatkyBan!#REF!,"AAAAAHvef5A=")</f>
        <v>#REF!</v>
      </c>
      <c r="EP112" t="e">
        <f>AND(NhatkyBan!#REF!,"AAAAAHvef5E=")</f>
        <v>#REF!</v>
      </c>
      <c r="EQ112" t="e">
        <f>AND(NhatkyBan!#REF!,"AAAAAHvef5I=")</f>
        <v>#REF!</v>
      </c>
      <c r="ER112" t="e">
        <f>AND(NhatkyBan!#REF!,"AAAAAHvef5M=")</f>
        <v>#REF!</v>
      </c>
      <c r="ES112" t="e">
        <f>AND(NhatkyBan!#REF!,"AAAAAHvef5Q=")</f>
        <v>#REF!</v>
      </c>
      <c r="ET112" t="e">
        <f>AND(NhatkyBan!#REF!,"AAAAAHvef5U=")</f>
        <v>#REF!</v>
      </c>
      <c r="EU112" t="e">
        <f>AND(NhatkyBan!#REF!,"AAAAAHvef5Y=")</f>
        <v>#REF!</v>
      </c>
      <c r="EV112" t="e">
        <f>AND(NhatkyBan!#REF!,"AAAAAHvef5c=")</f>
        <v>#REF!</v>
      </c>
      <c r="EW112" t="e">
        <f>AND(NhatkyBan!#REF!,"AAAAAHvef5g=")</f>
        <v>#REF!</v>
      </c>
      <c r="EX112" t="e">
        <f>AND(NhatkyBan!#REF!,"AAAAAHvef5k=")</f>
        <v>#REF!</v>
      </c>
      <c r="EY112" t="e">
        <f>AND(NhatkyBan!#REF!,"AAAAAHvef5o=")</f>
        <v>#REF!</v>
      </c>
      <c r="EZ112" t="e">
        <f>AND(NhatkyBan!#REF!,"AAAAAHvef5s=")</f>
        <v>#REF!</v>
      </c>
      <c r="FA112" t="e">
        <f>AND(NhatkyBan!#REF!,"AAAAAHvef5w=")</f>
        <v>#REF!</v>
      </c>
      <c r="FB112" t="e">
        <f>AND(NhatkyBan!#REF!,"AAAAAHvef50=")</f>
        <v>#REF!</v>
      </c>
      <c r="FC112" t="e">
        <f>AND(NhatkyBan!#REF!,"AAAAAHvef54=")</f>
        <v>#REF!</v>
      </c>
      <c r="FD112" t="e">
        <f>IF(NhatkyBan!#REF!,"AAAAAHvef58=",0)</f>
        <v>#REF!</v>
      </c>
      <c r="FE112" t="e">
        <f>AND(NhatkyBan!#REF!,"AAAAAHvef6A=")</f>
        <v>#REF!</v>
      </c>
      <c r="FF112" t="e">
        <f>AND(NhatkyBan!#REF!,"AAAAAHvef6E=")</f>
        <v>#REF!</v>
      </c>
      <c r="FG112" t="e">
        <f>AND(NhatkyBan!#REF!,"AAAAAHvef6I=")</f>
        <v>#REF!</v>
      </c>
      <c r="FH112" t="e">
        <f>AND(NhatkyBan!#REF!,"AAAAAHvef6M=")</f>
        <v>#REF!</v>
      </c>
      <c r="FI112" t="e">
        <f>AND(NhatkyBan!#REF!,"AAAAAHvef6Q=")</f>
        <v>#REF!</v>
      </c>
      <c r="FJ112" t="e">
        <f>AND(NhatkyBan!#REF!,"AAAAAHvef6U=")</f>
        <v>#REF!</v>
      </c>
      <c r="FK112" t="e">
        <f>AND(NhatkyBan!#REF!,"AAAAAHvef6Y=")</f>
        <v>#REF!</v>
      </c>
      <c r="FL112" t="e">
        <f>AND(NhatkyBan!#REF!,"AAAAAHvef6c=")</f>
        <v>#REF!</v>
      </c>
      <c r="FM112" t="e">
        <f>AND(NhatkyBan!#REF!,"AAAAAHvef6g=")</f>
        <v>#REF!</v>
      </c>
      <c r="FN112" t="e">
        <f>AND(NhatkyBan!#REF!,"AAAAAHvef6k=")</f>
        <v>#REF!</v>
      </c>
      <c r="FO112" t="e">
        <f>AND(NhatkyBan!#REF!,"AAAAAHvef6o=")</f>
        <v>#REF!</v>
      </c>
      <c r="FP112" t="e">
        <f>AND(NhatkyBan!#REF!,"AAAAAHvef6s=")</f>
        <v>#REF!</v>
      </c>
      <c r="FQ112" t="e">
        <f>AND(NhatkyBan!#REF!,"AAAAAHvef6w=")</f>
        <v>#REF!</v>
      </c>
      <c r="FR112" t="e">
        <f>AND(NhatkyBan!#REF!,"AAAAAHvef60=")</f>
        <v>#REF!</v>
      </c>
      <c r="FS112" t="e">
        <f>AND(NhatkyBan!#REF!,"AAAAAHvef64=")</f>
        <v>#REF!</v>
      </c>
      <c r="FT112" t="e">
        <f>AND(NhatkyBan!#REF!,"AAAAAHvef68=")</f>
        <v>#REF!</v>
      </c>
      <c r="FU112" t="e">
        <f>AND(NhatkyBan!#REF!,"AAAAAHvef7A=")</f>
        <v>#REF!</v>
      </c>
      <c r="FV112" t="e">
        <f>AND(NhatkyBan!#REF!,"AAAAAHvef7E=")</f>
        <v>#REF!</v>
      </c>
      <c r="FW112" t="e">
        <f>AND(NhatkyBan!#REF!,"AAAAAHvef7I=")</f>
        <v>#REF!</v>
      </c>
      <c r="FX112" t="e">
        <f>AND(NhatkyBan!#REF!,"AAAAAHvef7M=")</f>
        <v>#REF!</v>
      </c>
      <c r="FY112" t="e">
        <f>AND(NhatkyBan!#REF!,"AAAAAHvef7Q=")</f>
        <v>#REF!</v>
      </c>
      <c r="FZ112" t="e">
        <f>AND(NhatkyBan!#REF!,"AAAAAHvef7U=")</f>
        <v>#REF!</v>
      </c>
      <c r="GA112" t="e">
        <f>AND(NhatkyBan!#REF!,"AAAAAHvef7Y=")</f>
        <v>#REF!</v>
      </c>
      <c r="GB112" t="e">
        <f>AND(NhatkyBan!#REF!,"AAAAAHvef7c=")</f>
        <v>#REF!</v>
      </c>
      <c r="GC112" t="e">
        <f>AND(NhatkyBan!#REF!,"AAAAAHvef7g=")</f>
        <v>#REF!</v>
      </c>
      <c r="GD112" t="e">
        <f>AND(NhatkyBan!#REF!,"AAAAAHvef7k=")</f>
        <v>#REF!</v>
      </c>
      <c r="GE112" t="e">
        <f>AND(NhatkyBan!#REF!,"AAAAAHvef7o=")</f>
        <v>#REF!</v>
      </c>
      <c r="GF112" t="e">
        <f>AND(NhatkyBan!#REF!,"AAAAAHvef7s=")</f>
        <v>#REF!</v>
      </c>
      <c r="GG112" t="e">
        <f>AND(NhatkyBan!#REF!,"AAAAAHvef7w=")</f>
        <v>#REF!</v>
      </c>
      <c r="GH112" t="e">
        <f>AND(NhatkyBan!#REF!,"AAAAAHvef70=")</f>
        <v>#REF!</v>
      </c>
      <c r="GI112" t="e">
        <f>AND(NhatkyBan!#REF!,"AAAAAHvef74=")</f>
        <v>#REF!</v>
      </c>
      <c r="GJ112" t="e">
        <f>AND(NhatkyBan!#REF!,"AAAAAHvef78=")</f>
        <v>#REF!</v>
      </c>
      <c r="GK112" t="e">
        <f>AND(NhatkyBan!#REF!,"AAAAAHvef8A=")</f>
        <v>#REF!</v>
      </c>
      <c r="GL112" t="e">
        <f>AND(NhatkyBan!#REF!,"AAAAAHvef8E=")</f>
        <v>#REF!</v>
      </c>
      <c r="GM112" t="e">
        <f>IF(NhatkyBan!#REF!,"AAAAAHvef8I=",0)</f>
        <v>#REF!</v>
      </c>
      <c r="GN112" t="e">
        <f>AND(NhatkyBan!#REF!,"AAAAAHvef8M=")</f>
        <v>#REF!</v>
      </c>
      <c r="GO112" t="e">
        <f>AND(NhatkyBan!#REF!,"AAAAAHvef8Q=")</f>
        <v>#REF!</v>
      </c>
      <c r="GP112" t="e">
        <f>AND(NhatkyBan!#REF!,"AAAAAHvef8U=")</f>
        <v>#REF!</v>
      </c>
      <c r="GQ112" t="e">
        <f>AND(NhatkyBan!#REF!,"AAAAAHvef8Y=")</f>
        <v>#REF!</v>
      </c>
      <c r="GR112" t="e">
        <f>AND(NhatkyBan!#REF!,"AAAAAHvef8c=")</f>
        <v>#REF!</v>
      </c>
      <c r="GS112" t="e">
        <f>AND(NhatkyBan!#REF!,"AAAAAHvef8g=")</f>
        <v>#REF!</v>
      </c>
      <c r="GT112" t="e">
        <f>AND(NhatkyBan!#REF!,"AAAAAHvef8k=")</f>
        <v>#REF!</v>
      </c>
      <c r="GU112" t="e">
        <f>AND(NhatkyBan!#REF!,"AAAAAHvef8o=")</f>
        <v>#REF!</v>
      </c>
      <c r="GV112" t="e">
        <f>AND(NhatkyBan!#REF!,"AAAAAHvef8s=")</f>
        <v>#REF!</v>
      </c>
      <c r="GW112" t="e">
        <f>AND(NhatkyBan!#REF!,"AAAAAHvef8w=")</f>
        <v>#REF!</v>
      </c>
      <c r="GX112" t="e">
        <f>AND(NhatkyBan!#REF!,"AAAAAHvef80=")</f>
        <v>#REF!</v>
      </c>
      <c r="GY112" t="e">
        <f>AND(NhatkyBan!#REF!,"AAAAAHvef84=")</f>
        <v>#REF!</v>
      </c>
      <c r="GZ112" t="e">
        <f>AND(NhatkyBan!#REF!,"AAAAAHvef88=")</f>
        <v>#REF!</v>
      </c>
      <c r="HA112" t="e">
        <f>AND(NhatkyBan!#REF!,"AAAAAHvef9A=")</f>
        <v>#REF!</v>
      </c>
      <c r="HB112" t="e">
        <f>AND(NhatkyBan!#REF!,"AAAAAHvef9E=")</f>
        <v>#REF!</v>
      </c>
      <c r="HC112" t="e">
        <f>AND(NhatkyBan!#REF!,"AAAAAHvef9I=")</f>
        <v>#REF!</v>
      </c>
      <c r="HD112" t="e">
        <f>AND(NhatkyBan!#REF!,"AAAAAHvef9M=")</f>
        <v>#REF!</v>
      </c>
      <c r="HE112" t="e">
        <f>AND(NhatkyBan!#REF!,"AAAAAHvef9Q=")</f>
        <v>#REF!</v>
      </c>
      <c r="HF112" t="e">
        <f>AND(NhatkyBan!#REF!,"AAAAAHvef9U=")</f>
        <v>#REF!</v>
      </c>
      <c r="HG112" t="e">
        <f>AND(NhatkyBan!#REF!,"AAAAAHvef9Y=")</f>
        <v>#REF!</v>
      </c>
      <c r="HH112" t="e">
        <f>AND(NhatkyBan!#REF!,"AAAAAHvef9c=")</f>
        <v>#REF!</v>
      </c>
      <c r="HI112" t="e">
        <f>AND(NhatkyBan!#REF!,"AAAAAHvef9g=")</f>
        <v>#REF!</v>
      </c>
      <c r="HJ112" t="e">
        <f>AND(NhatkyBan!#REF!,"AAAAAHvef9k=")</f>
        <v>#REF!</v>
      </c>
      <c r="HK112" t="e">
        <f>AND(NhatkyBan!#REF!,"AAAAAHvef9o=")</f>
        <v>#REF!</v>
      </c>
      <c r="HL112" t="e">
        <f>AND(NhatkyBan!#REF!,"AAAAAHvef9s=")</f>
        <v>#REF!</v>
      </c>
      <c r="HM112" t="e">
        <f>AND(NhatkyBan!#REF!,"AAAAAHvef9w=")</f>
        <v>#REF!</v>
      </c>
      <c r="HN112" t="e">
        <f>AND(NhatkyBan!#REF!,"AAAAAHvef90=")</f>
        <v>#REF!</v>
      </c>
      <c r="HO112" t="e">
        <f>AND(NhatkyBan!#REF!,"AAAAAHvef94=")</f>
        <v>#REF!</v>
      </c>
      <c r="HP112" t="e">
        <f>AND(NhatkyBan!#REF!,"AAAAAHvef98=")</f>
        <v>#REF!</v>
      </c>
      <c r="HQ112" t="e">
        <f>AND(NhatkyBan!#REF!,"AAAAAHvef+A=")</f>
        <v>#REF!</v>
      </c>
      <c r="HR112" t="e">
        <f>AND(NhatkyBan!#REF!,"AAAAAHvef+E=")</f>
        <v>#REF!</v>
      </c>
      <c r="HS112" t="e">
        <f>AND(NhatkyBan!#REF!,"AAAAAHvef+I=")</f>
        <v>#REF!</v>
      </c>
      <c r="HT112" t="e">
        <f>AND(NhatkyBan!#REF!,"AAAAAHvef+M=")</f>
        <v>#REF!</v>
      </c>
      <c r="HU112" t="e">
        <f>AND(NhatkyBan!#REF!,"AAAAAHvef+Q=")</f>
        <v>#REF!</v>
      </c>
      <c r="HV112" t="e">
        <f>IF(NhatkyBan!#REF!,"AAAAAHvef+U=",0)</f>
        <v>#REF!</v>
      </c>
      <c r="HW112" t="e">
        <f>AND(NhatkyBan!#REF!,"AAAAAHvef+Y=")</f>
        <v>#REF!</v>
      </c>
      <c r="HX112" t="e">
        <f>AND(NhatkyBan!#REF!,"AAAAAHvef+c=")</f>
        <v>#REF!</v>
      </c>
      <c r="HY112" t="e">
        <f>AND(NhatkyBan!#REF!,"AAAAAHvef+g=")</f>
        <v>#REF!</v>
      </c>
      <c r="HZ112" t="e">
        <f>AND(NhatkyBan!#REF!,"AAAAAHvef+k=")</f>
        <v>#REF!</v>
      </c>
      <c r="IA112" t="e">
        <f>AND(NhatkyBan!#REF!,"AAAAAHvef+o=")</f>
        <v>#REF!</v>
      </c>
      <c r="IB112" t="e">
        <f>AND(NhatkyBan!#REF!,"AAAAAHvef+s=")</f>
        <v>#REF!</v>
      </c>
      <c r="IC112" t="e">
        <f>AND(NhatkyBan!#REF!,"AAAAAHvef+w=")</f>
        <v>#REF!</v>
      </c>
      <c r="ID112" t="e">
        <f>AND(NhatkyBan!#REF!,"AAAAAHvef+0=")</f>
        <v>#REF!</v>
      </c>
      <c r="IE112" t="e">
        <f>AND(NhatkyBan!#REF!,"AAAAAHvef+4=")</f>
        <v>#REF!</v>
      </c>
      <c r="IF112" t="e">
        <f>AND(NhatkyBan!#REF!,"AAAAAHvef+8=")</f>
        <v>#REF!</v>
      </c>
      <c r="IG112" t="e">
        <f>AND(NhatkyBan!#REF!,"AAAAAHvef/A=")</f>
        <v>#REF!</v>
      </c>
      <c r="IH112" t="e">
        <f>AND(NhatkyBan!#REF!,"AAAAAHvef/E=")</f>
        <v>#REF!</v>
      </c>
      <c r="II112" t="e">
        <f>AND(NhatkyBan!#REF!,"AAAAAHvef/I=")</f>
        <v>#REF!</v>
      </c>
      <c r="IJ112" t="e">
        <f>AND(NhatkyBan!#REF!,"AAAAAHvef/M=")</f>
        <v>#REF!</v>
      </c>
      <c r="IK112" t="e">
        <f>AND(NhatkyBan!#REF!,"AAAAAHvef/Q=")</f>
        <v>#REF!</v>
      </c>
      <c r="IL112" t="e">
        <f>AND(NhatkyBan!#REF!,"AAAAAHvef/U=")</f>
        <v>#REF!</v>
      </c>
      <c r="IM112" t="e">
        <f>AND(NhatkyBan!#REF!,"AAAAAHvef/Y=")</f>
        <v>#REF!</v>
      </c>
      <c r="IN112" t="e">
        <f>AND(NhatkyBan!#REF!,"AAAAAHvef/c=")</f>
        <v>#REF!</v>
      </c>
      <c r="IO112" t="e">
        <f>AND(NhatkyBan!#REF!,"AAAAAHvef/g=")</f>
        <v>#REF!</v>
      </c>
      <c r="IP112" t="e">
        <f>AND(NhatkyBan!#REF!,"AAAAAHvef/k=")</f>
        <v>#REF!</v>
      </c>
      <c r="IQ112" t="e">
        <f>AND(NhatkyBan!#REF!,"AAAAAHvef/o=")</f>
        <v>#REF!</v>
      </c>
      <c r="IR112" t="e">
        <f>AND(NhatkyBan!#REF!,"AAAAAHvef/s=")</f>
        <v>#REF!</v>
      </c>
      <c r="IS112" t="e">
        <f>AND(NhatkyBan!#REF!,"AAAAAHvef/w=")</f>
        <v>#REF!</v>
      </c>
      <c r="IT112" t="e">
        <f>AND(NhatkyBan!#REF!,"AAAAAHvef/0=")</f>
        <v>#REF!</v>
      </c>
      <c r="IU112" t="e">
        <f>AND(NhatkyBan!#REF!,"AAAAAHvef/4=")</f>
        <v>#REF!</v>
      </c>
      <c r="IV112" t="e">
        <f>AND(NhatkyBan!#REF!,"AAAAAHvef/8=")</f>
        <v>#REF!</v>
      </c>
    </row>
    <row r="113" spans="1:256">
      <c r="A113" t="e">
        <f>AND(NhatkyBan!#REF!,"AAAAAC2j9wA=")</f>
        <v>#REF!</v>
      </c>
      <c r="B113" t="e">
        <f>AND(NhatkyBan!#REF!,"AAAAAC2j9wE=")</f>
        <v>#REF!</v>
      </c>
      <c r="C113" t="e">
        <f>AND(NhatkyBan!#REF!,"AAAAAC2j9wI=")</f>
        <v>#REF!</v>
      </c>
      <c r="D113" t="e">
        <f>AND(NhatkyBan!#REF!,"AAAAAC2j9wM=")</f>
        <v>#REF!</v>
      </c>
      <c r="E113" t="e">
        <f>AND(NhatkyBan!#REF!,"AAAAAC2j9wQ=")</f>
        <v>#REF!</v>
      </c>
      <c r="F113" t="e">
        <f>AND(NhatkyBan!#REF!,"AAAAAC2j9wU=")</f>
        <v>#REF!</v>
      </c>
      <c r="G113" t="e">
        <f>AND(NhatkyBan!#REF!,"AAAAAC2j9wY=")</f>
        <v>#REF!</v>
      </c>
      <c r="H113" t="e">
        <f>AND(NhatkyBan!#REF!,"AAAAAC2j9wc=")</f>
        <v>#REF!</v>
      </c>
      <c r="I113" t="e">
        <f>IF(NhatkyBan!#REF!,"AAAAAC2j9wg=",0)</f>
        <v>#REF!</v>
      </c>
      <c r="J113" t="e">
        <f>AND(NhatkyBan!#REF!,"AAAAAC2j9wk=")</f>
        <v>#REF!</v>
      </c>
      <c r="K113" t="e">
        <f>AND(NhatkyBan!#REF!,"AAAAAC2j9wo=")</f>
        <v>#REF!</v>
      </c>
      <c r="L113" t="e">
        <f>AND(NhatkyBan!#REF!,"AAAAAC2j9ws=")</f>
        <v>#REF!</v>
      </c>
      <c r="M113" t="e">
        <f>AND(NhatkyBan!#REF!,"AAAAAC2j9ww=")</f>
        <v>#REF!</v>
      </c>
      <c r="N113" t="e">
        <f>AND(NhatkyBan!#REF!,"AAAAAC2j9w0=")</f>
        <v>#REF!</v>
      </c>
      <c r="O113" t="e">
        <f>AND(NhatkyBan!#REF!,"AAAAAC2j9w4=")</f>
        <v>#REF!</v>
      </c>
      <c r="P113" t="e">
        <f>AND(NhatkyBan!#REF!,"AAAAAC2j9w8=")</f>
        <v>#REF!</v>
      </c>
      <c r="Q113" t="e">
        <f>AND(NhatkyBan!#REF!,"AAAAAC2j9xA=")</f>
        <v>#REF!</v>
      </c>
      <c r="R113" t="e">
        <f>AND(NhatkyBan!#REF!,"AAAAAC2j9xE=")</f>
        <v>#REF!</v>
      </c>
      <c r="S113" t="e">
        <f>AND(NhatkyBan!#REF!,"AAAAAC2j9xI=")</f>
        <v>#REF!</v>
      </c>
      <c r="T113" t="e">
        <f>AND(NhatkyBan!#REF!,"AAAAAC2j9xM=")</f>
        <v>#REF!</v>
      </c>
      <c r="U113" t="e">
        <f>AND(NhatkyBan!#REF!,"AAAAAC2j9xQ=")</f>
        <v>#REF!</v>
      </c>
      <c r="V113" t="e">
        <f>AND(NhatkyBan!#REF!,"AAAAAC2j9xU=")</f>
        <v>#REF!</v>
      </c>
      <c r="W113" t="e">
        <f>AND(NhatkyBan!#REF!,"AAAAAC2j9xY=")</f>
        <v>#REF!</v>
      </c>
      <c r="X113" t="e">
        <f>AND(NhatkyBan!#REF!,"AAAAAC2j9xc=")</f>
        <v>#REF!</v>
      </c>
      <c r="Y113" t="e">
        <f>AND(NhatkyBan!#REF!,"AAAAAC2j9xg=")</f>
        <v>#REF!</v>
      </c>
      <c r="Z113" t="e">
        <f>AND(NhatkyBan!#REF!,"AAAAAC2j9xk=")</f>
        <v>#REF!</v>
      </c>
      <c r="AA113" t="e">
        <f>AND(NhatkyBan!#REF!,"AAAAAC2j9xo=")</f>
        <v>#REF!</v>
      </c>
      <c r="AB113" t="e">
        <f>AND(NhatkyBan!#REF!,"AAAAAC2j9xs=")</f>
        <v>#REF!</v>
      </c>
      <c r="AC113" t="e">
        <f>AND(NhatkyBan!#REF!,"AAAAAC2j9xw=")</f>
        <v>#REF!</v>
      </c>
      <c r="AD113" t="e">
        <f>AND(NhatkyBan!#REF!,"AAAAAC2j9x0=")</f>
        <v>#REF!</v>
      </c>
      <c r="AE113" t="e">
        <f>AND(NhatkyBan!#REF!,"AAAAAC2j9x4=")</f>
        <v>#REF!</v>
      </c>
      <c r="AF113" t="e">
        <f>AND(NhatkyBan!#REF!,"AAAAAC2j9x8=")</f>
        <v>#REF!</v>
      </c>
      <c r="AG113" t="e">
        <f>AND(NhatkyBan!#REF!,"AAAAAC2j9yA=")</f>
        <v>#REF!</v>
      </c>
      <c r="AH113" t="e">
        <f>AND(NhatkyBan!#REF!,"AAAAAC2j9yE=")</f>
        <v>#REF!</v>
      </c>
      <c r="AI113" t="e">
        <f>AND(NhatkyBan!#REF!,"AAAAAC2j9yI=")</f>
        <v>#REF!</v>
      </c>
      <c r="AJ113" t="e">
        <f>AND(NhatkyBan!#REF!,"AAAAAC2j9yM=")</f>
        <v>#REF!</v>
      </c>
      <c r="AK113" t="e">
        <f>AND(NhatkyBan!#REF!,"AAAAAC2j9yQ=")</f>
        <v>#REF!</v>
      </c>
      <c r="AL113" t="e">
        <f>AND(NhatkyBan!#REF!,"AAAAAC2j9yU=")</f>
        <v>#REF!</v>
      </c>
      <c r="AM113" t="e">
        <f>AND(NhatkyBan!#REF!,"AAAAAC2j9yY=")</f>
        <v>#REF!</v>
      </c>
      <c r="AN113" t="e">
        <f>AND(NhatkyBan!#REF!,"AAAAAC2j9yc=")</f>
        <v>#REF!</v>
      </c>
      <c r="AO113" t="e">
        <f>AND(NhatkyBan!#REF!,"AAAAAC2j9yg=")</f>
        <v>#REF!</v>
      </c>
      <c r="AP113" t="e">
        <f>AND(NhatkyBan!#REF!,"AAAAAC2j9yk=")</f>
        <v>#REF!</v>
      </c>
      <c r="AQ113" t="e">
        <f>AND(NhatkyBan!#REF!,"AAAAAC2j9yo=")</f>
        <v>#REF!</v>
      </c>
      <c r="AR113" t="e">
        <f>IF(NhatkyBan!#REF!,"AAAAAC2j9ys=",0)</f>
        <v>#REF!</v>
      </c>
      <c r="AS113" t="e">
        <f>AND(NhatkyBan!#REF!,"AAAAAC2j9yw=")</f>
        <v>#REF!</v>
      </c>
      <c r="AT113" t="e">
        <f>AND(NhatkyBan!#REF!,"AAAAAC2j9y0=")</f>
        <v>#REF!</v>
      </c>
      <c r="AU113" t="e">
        <f>AND(NhatkyBan!#REF!,"AAAAAC2j9y4=")</f>
        <v>#REF!</v>
      </c>
      <c r="AV113" t="e">
        <f>AND(NhatkyBan!#REF!,"AAAAAC2j9y8=")</f>
        <v>#REF!</v>
      </c>
      <c r="AW113" t="e">
        <f>AND(NhatkyBan!#REF!,"AAAAAC2j9zA=")</f>
        <v>#REF!</v>
      </c>
      <c r="AX113" t="e">
        <f>AND(NhatkyBan!#REF!,"AAAAAC2j9zE=")</f>
        <v>#REF!</v>
      </c>
      <c r="AY113" t="e">
        <f>AND(NhatkyBan!#REF!,"AAAAAC2j9zI=")</f>
        <v>#REF!</v>
      </c>
      <c r="AZ113" t="e">
        <f>AND(NhatkyBan!#REF!,"AAAAAC2j9zM=")</f>
        <v>#REF!</v>
      </c>
      <c r="BA113" t="e">
        <f>AND(NhatkyBan!#REF!,"AAAAAC2j9zQ=")</f>
        <v>#REF!</v>
      </c>
      <c r="BB113" t="e">
        <f>AND(NhatkyBan!#REF!,"AAAAAC2j9zU=")</f>
        <v>#REF!</v>
      </c>
      <c r="BC113" t="e">
        <f>AND(NhatkyBan!#REF!,"AAAAAC2j9zY=")</f>
        <v>#REF!</v>
      </c>
      <c r="BD113" t="e">
        <f>AND(NhatkyBan!#REF!,"AAAAAC2j9zc=")</f>
        <v>#REF!</v>
      </c>
      <c r="BE113" t="e">
        <f>AND(NhatkyBan!#REF!,"AAAAAC2j9zg=")</f>
        <v>#REF!</v>
      </c>
      <c r="BF113" t="e">
        <f>AND(NhatkyBan!#REF!,"AAAAAC2j9zk=")</f>
        <v>#REF!</v>
      </c>
      <c r="BG113" t="e">
        <f>AND(NhatkyBan!#REF!,"AAAAAC2j9zo=")</f>
        <v>#REF!</v>
      </c>
      <c r="BH113" t="e">
        <f>AND(NhatkyBan!#REF!,"AAAAAC2j9zs=")</f>
        <v>#REF!</v>
      </c>
      <c r="BI113" t="e">
        <f>AND(NhatkyBan!#REF!,"AAAAAC2j9zw=")</f>
        <v>#REF!</v>
      </c>
      <c r="BJ113" t="e">
        <f>AND(NhatkyBan!#REF!,"AAAAAC2j9z0=")</f>
        <v>#REF!</v>
      </c>
      <c r="BK113" t="e">
        <f>AND(NhatkyBan!#REF!,"AAAAAC2j9z4=")</f>
        <v>#REF!</v>
      </c>
      <c r="BL113" t="e">
        <f>AND(NhatkyBan!#REF!,"AAAAAC2j9z8=")</f>
        <v>#REF!</v>
      </c>
      <c r="BM113" t="e">
        <f>AND(NhatkyBan!#REF!,"AAAAAC2j90A=")</f>
        <v>#REF!</v>
      </c>
      <c r="BN113" t="e">
        <f>AND(NhatkyBan!#REF!,"AAAAAC2j90E=")</f>
        <v>#REF!</v>
      </c>
      <c r="BO113" t="e">
        <f>AND(NhatkyBan!#REF!,"AAAAAC2j90I=")</f>
        <v>#REF!</v>
      </c>
      <c r="BP113" t="e">
        <f>AND(NhatkyBan!#REF!,"AAAAAC2j90M=")</f>
        <v>#REF!</v>
      </c>
      <c r="BQ113" t="e">
        <f>AND(NhatkyBan!#REF!,"AAAAAC2j90Q=")</f>
        <v>#REF!</v>
      </c>
      <c r="BR113" t="e">
        <f>AND(NhatkyBan!#REF!,"AAAAAC2j90U=")</f>
        <v>#REF!</v>
      </c>
      <c r="BS113" t="e">
        <f>AND(NhatkyBan!#REF!,"AAAAAC2j90Y=")</f>
        <v>#REF!</v>
      </c>
      <c r="BT113" t="e">
        <f>AND(NhatkyBan!#REF!,"AAAAAC2j90c=")</f>
        <v>#REF!</v>
      </c>
      <c r="BU113" t="e">
        <f>AND(NhatkyBan!#REF!,"AAAAAC2j90g=")</f>
        <v>#REF!</v>
      </c>
      <c r="BV113" t="e">
        <f>AND(NhatkyBan!#REF!,"AAAAAC2j90k=")</f>
        <v>#REF!</v>
      </c>
      <c r="BW113" t="e">
        <f>AND(NhatkyBan!#REF!,"AAAAAC2j90o=")</f>
        <v>#REF!</v>
      </c>
      <c r="BX113" t="e">
        <f>AND(NhatkyBan!#REF!,"AAAAAC2j90s=")</f>
        <v>#REF!</v>
      </c>
      <c r="BY113" t="e">
        <f>AND(NhatkyBan!#REF!,"AAAAAC2j90w=")</f>
        <v>#REF!</v>
      </c>
      <c r="BZ113" t="e">
        <f>AND(NhatkyBan!#REF!,"AAAAAC2j900=")</f>
        <v>#REF!</v>
      </c>
      <c r="CA113" t="e">
        <f>IF(NhatkyBan!#REF!,"AAAAAC2j904=",0)</f>
        <v>#REF!</v>
      </c>
      <c r="CB113" t="e">
        <f>AND(NhatkyBan!#REF!,"AAAAAC2j908=")</f>
        <v>#REF!</v>
      </c>
      <c r="CC113" t="e">
        <f>AND(NhatkyBan!#REF!,"AAAAAC2j91A=")</f>
        <v>#REF!</v>
      </c>
      <c r="CD113" t="e">
        <f>AND(NhatkyBan!#REF!,"AAAAAC2j91E=")</f>
        <v>#REF!</v>
      </c>
      <c r="CE113" t="e">
        <f>AND(NhatkyBan!#REF!,"AAAAAC2j91I=")</f>
        <v>#REF!</v>
      </c>
      <c r="CF113" t="e">
        <f>AND(NhatkyBan!#REF!,"AAAAAC2j91M=")</f>
        <v>#REF!</v>
      </c>
      <c r="CG113" t="e">
        <f>AND(NhatkyBan!#REF!,"AAAAAC2j91Q=")</f>
        <v>#REF!</v>
      </c>
      <c r="CH113" t="e">
        <f>AND(NhatkyBan!#REF!,"AAAAAC2j91U=")</f>
        <v>#REF!</v>
      </c>
      <c r="CI113" t="e">
        <f>AND(NhatkyBan!#REF!,"AAAAAC2j91Y=")</f>
        <v>#REF!</v>
      </c>
      <c r="CJ113" t="e">
        <f>AND(NhatkyBan!#REF!,"AAAAAC2j91c=")</f>
        <v>#REF!</v>
      </c>
      <c r="CK113" t="e">
        <f>AND(NhatkyBan!#REF!,"AAAAAC2j91g=")</f>
        <v>#REF!</v>
      </c>
      <c r="CL113" t="e">
        <f>AND(NhatkyBan!#REF!,"AAAAAC2j91k=")</f>
        <v>#REF!</v>
      </c>
      <c r="CM113" t="e">
        <f>AND(NhatkyBan!#REF!,"AAAAAC2j91o=")</f>
        <v>#REF!</v>
      </c>
      <c r="CN113" t="e">
        <f>AND(NhatkyBan!#REF!,"AAAAAC2j91s=")</f>
        <v>#REF!</v>
      </c>
      <c r="CO113" t="e">
        <f>AND(NhatkyBan!#REF!,"AAAAAC2j91w=")</f>
        <v>#REF!</v>
      </c>
      <c r="CP113" t="e">
        <f>AND(NhatkyBan!#REF!,"AAAAAC2j910=")</f>
        <v>#REF!</v>
      </c>
      <c r="CQ113" t="e">
        <f>AND(NhatkyBan!#REF!,"AAAAAC2j914=")</f>
        <v>#REF!</v>
      </c>
      <c r="CR113" t="e">
        <f>AND(NhatkyBan!#REF!,"AAAAAC2j918=")</f>
        <v>#REF!</v>
      </c>
      <c r="CS113" t="e">
        <f>AND(NhatkyBan!#REF!,"AAAAAC2j92A=")</f>
        <v>#REF!</v>
      </c>
      <c r="CT113" t="e">
        <f>AND(NhatkyBan!#REF!,"AAAAAC2j92E=")</f>
        <v>#REF!</v>
      </c>
      <c r="CU113" t="e">
        <f>AND(NhatkyBan!#REF!,"AAAAAC2j92I=")</f>
        <v>#REF!</v>
      </c>
      <c r="CV113" t="e">
        <f>AND(NhatkyBan!#REF!,"AAAAAC2j92M=")</f>
        <v>#REF!</v>
      </c>
      <c r="CW113" t="e">
        <f>AND(NhatkyBan!#REF!,"AAAAAC2j92Q=")</f>
        <v>#REF!</v>
      </c>
      <c r="CX113" t="e">
        <f>AND(NhatkyBan!#REF!,"AAAAAC2j92U=")</f>
        <v>#REF!</v>
      </c>
      <c r="CY113" t="e">
        <f>AND(NhatkyBan!#REF!,"AAAAAC2j92Y=")</f>
        <v>#REF!</v>
      </c>
      <c r="CZ113" t="e">
        <f>AND(NhatkyBan!#REF!,"AAAAAC2j92c=")</f>
        <v>#REF!</v>
      </c>
      <c r="DA113" t="e">
        <f>AND(NhatkyBan!#REF!,"AAAAAC2j92g=")</f>
        <v>#REF!</v>
      </c>
      <c r="DB113" t="e">
        <f>AND(NhatkyBan!#REF!,"AAAAAC2j92k=")</f>
        <v>#REF!</v>
      </c>
      <c r="DC113" t="e">
        <f>AND(NhatkyBan!#REF!,"AAAAAC2j92o=")</f>
        <v>#REF!</v>
      </c>
      <c r="DD113" t="e">
        <f>AND(NhatkyBan!#REF!,"AAAAAC2j92s=")</f>
        <v>#REF!</v>
      </c>
      <c r="DE113" t="e">
        <f>AND(NhatkyBan!#REF!,"AAAAAC2j92w=")</f>
        <v>#REF!</v>
      </c>
      <c r="DF113" t="e">
        <f>AND(NhatkyBan!#REF!,"AAAAAC2j920=")</f>
        <v>#REF!</v>
      </c>
      <c r="DG113" t="e">
        <f>AND(NhatkyBan!#REF!,"AAAAAC2j924=")</f>
        <v>#REF!</v>
      </c>
      <c r="DH113" t="e">
        <f>AND(NhatkyBan!#REF!,"AAAAAC2j928=")</f>
        <v>#REF!</v>
      </c>
      <c r="DI113" t="e">
        <f>AND(NhatkyBan!#REF!,"AAAAAC2j93A=")</f>
        <v>#REF!</v>
      </c>
      <c r="DJ113" t="e">
        <f>IF(NhatkyBan!#REF!,"AAAAAC2j93E=",0)</f>
        <v>#REF!</v>
      </c>
      <c r="DK113" t="e">
        <f>AND(NhatkyBan!#REF!,"AAAAAC2j93I=")</f>
        <v>#REF!</v>
      </c>
      <c r="DL113" t="e">
        <f>AND(NhatkyBan!#REF!,"AAAAAC2j93M=")</f>
        <v>#REF!</v>
      </c>
      <c r="DM113" t="e">
        <f>AND(NhatkyBan!#REF!,"AAAAAC2j93Q=")</f>
        <v>#REF!</v>
      </c>
      <c r="DN113" t="e">
        <f>AND(NhatkyBan!#REF!,"AAAAAC2j93U=")</f>
        <v>#REF!</v>
      </c>
      <c r="DO113" t="e">
        <f>AND(NhatkyBan!#REF!,"AAAAAC2j93Y=")</f>
        <v>#REF!</v>
      </c>
      <c r="DP113" t="e">
        <f>AND(NhatkyBan!#REF!,"AAAAAC2j93c=")</f>
        <v>#REF!</v>
      </c>
      <c r="DQ113" t="e">
        <f>AND(NhatkyBan!#REF!,"AAAAAC2j93g=")</f>
        <v>#REF!</v>
      </c>
      <c r="DR113" t="e">
        <f>AND(NhatkyBan!#REF!,"AAAAAC2j93k=")</f>
        <v>#REF!</v>
      </c>
      <c r="DS113" t="e">
        <f>AND(NhatkyBan!#REF!,"AAAAAC2j93o=")</f>
        <v>#REF!</v>
      </c>
      <c r="DT113" t="e">
        <f>AND(NhatkyBan!#REF!,"AAAAAC2j93s=")</f>
        <v>#REF!</v>
      </c>
      <c r="DU113" t="e">
        <f>AND(NhatkyBan!#REF!,"AAAAAC2j93w=")</f>
        <v>#REF!</v>
      </c>
      <c r="DV113" t="e">
        <f>AND(NhatkyBan!#REF!,"AAAAAC2j930=")</f>
        <v>#REF!</v>
      </c>
      <c r="DW113" t="e">
        <f>AND(NhatkyBan!#REF!,"AAAAAC2j934=")</f>
        <v>#REF!</v>
      </c>
      <c r="DX113" t="e">
        <f>AND(NhatkyBan!#REF!,"AAAAAC2j938=")</f>
        <v>#REF!</v>
      </c>
      <c r="DY113" t="e">
        <f>AND(NhatkyBan!#REF!,"AAAAAC2j94A=")</f>
        <v>#REF!</v>
      </c>
      <c r="DZ113" t="e">
        <f>AND(NhatkyBan!#REF!,"AAAAAC2j94E=")</f>
        <v>#REF!</v>
      </c>
      <c r="EA113" t="e">
        <f>AND(NhatkyBan!#REF!,"AAAAAC2j94I=")</f>
        <v>#REF!</v>
      </c>
      <c r="EB113" t="e">
        <f>AND(NhatkyBan!#REF!,"AAAAAC2j94M=")</f>
        <v>#REF!</v>
      </c>
      <c r="EC113" t="e">
        <f>AND(NhatkyBan!#REF!,"AAAAAC2j94Q=")</f>
        <v>#REF!</v>
      </c>
      <c r="ED113" t="e">
        <f>AND(NhatkyBan!#REF!,"AAAAAC2j94U=")</f>
        <v>#REF!</v>
      </c>
      <c r="EE113" t="e">
        <f>AND(NhatkyBan!#REF!,"AAAAAC2j94Y=")</f>
        <v>#REF!</v>
      </c>
      <c r="EF113" t="e">
        <f>AND(NhatkyBan!#REF!,"AAAAAC2j94c=")</f>
        <v>#REF!</v>
      </c>
      <c r="EG113" t="e">
        <f>AND(NhatkyBan!#REF!,"AAAAAC2j94g=")</f>
        <v>#REF!</v>
      </c>
      <c r="EH113" t="e">
        <f>AND(NhatkyBan!#REF!,"AAAAAC2j94k=")</f>
        <v>#REF!</v>
      </c>
      <c r="EI113" t="e">
        <f>AND(NhatkyBan!#REF!,"AAAAAC2j94o=")</f>
        <v>#REF!</v>
      </c>
      <c r="EJ113" t="e">
        <f>AND(NhatkyBan!#REF!,"AAAAAC2j94s=")</f>
        <v>#REF!</v>
      </c>
      <c r="EK113" t="e">
        <f>AND(NhatkyBan!#REF!,"AAAAAC2j94w=")</f>
        <v>#REF!</v>
      </c>
      <c r="EL113" t="e">
        <f>AND(NhatkyBan!#REF!,"AAAAAC2j940=")</f>
        <v>#REF!</v>
      </c>
      <c r="EM113" t="e">
        <f>AND(NhatkyBan!#REF!,"AAAAAC2j944=")</f>
        <v>#REF!</v>
      </c>
      <c r="EN113" t="e">
        <f>AND(NhatkyBan!#REF!,"AAAAAC2j948=")</f>
        <v>#REF!</v>
      </c>
      <c r="EO113" t="e">
        <f>AND(NhatkyBan!#REF!,"AAAAAC2j95A=")</f>
        <v>#REF!</v>
      </c>
      <c r="EP113" t="e">
        <f>AND(NhatkyBan!#REF!,"AAAAAC2j95E=")</f>
        <v>#REF!</v>
      </c>
      <c r="EQ113" t="e">
        <f>AND(NhatkyBan!#REF!,"AAAAAC2j95I=")</f>
        <v>#REF!</v>
      </c>
      <c r="ER113" t="e">
        <f>AND(NhatkyBan!#REF!,"AAAAAC2j95M=")</f>
        <v>#REF!</v>
      </c>
      <c r="ES113" t="e">
        <f>IF(NhatkyBan!#REF!,"AAAAAC2j95Q=",0)</f>
        <v>#REF!</v>
      </c>
      <c r="ET113" t="e">
        <f>AND(NhatkyBan!#REF!,"AAAAAC2j95U=")</f>
        <v>#REF!</v>
      </c>
      <c r="EU113" t="e">
        <f>AND(NhatkyBan!#REF!,"AAAAAC2j95Y=")</f>
        <v>#REF!</v>
      </c>
      <c r="EV113" t="e">
        <f>AND(NhatkyBan!#REF!,"AAAAAC2j95c=")</f>
        <v>#REF!</v>
      </c>
      <c r="EW113" t="e">
        <f>AND(NhatkyBan!#REF!,"AAAAAC2j95g=")</f>
        <v>#REF!</v>
      </c>
      <c r="EX113" t="e">
        <f>AND(NhatkyBan!#REF!,"AAAAAC2j95k=")</f>
        <v>#REF!</v>
      </c>
      <c r="EY113" t="e">
        <f>AND(NhatkyBan!#REF!,"AAAAAC2j95o=")</f>
        <v>#REF!</v>
      </c>
      <c r="EZ113" t="e">
        <f>AND(NhatkyBan!#REF!,"AAAAAC2j95s=")</f>
        <v>#REF!</v>
      </c>
      <c r="FA113" t="e">
        <f>AND(NhatkyBan!#REF!,"AAAAAC2j95w=")</f>
        <v>#REF!</v>
      </c>
      <c r="FB113" t="e">
        <f>AND(NhatkyBan!#REF!,"AAAAAC2j950=")</f>
        <v>#REF!</v>
      </c>
      <c r="FC113" t="e">
        <f>AND(NhatkyBan!#REF!,"AAAAAC2j954=")</f>
        <v>#REF!</v>
      </c>
      <c r="FD113" t="e">
        <f>AND(NhatkyBan!#REF!,"AAAAAC2j958=")</f>
        <v>#REF!</v>
      </c>
      <c r="FE113" t="e">
        <f>AND(NhatkyBan!#REF!,"AAAAAC2j96A=")</f>
        <v>#REF!</v>
      </c>
      <c r="FF113" t="e">
        <f>AND(NhatkyBan!#REF!,"AAAAAC2j96E=")</f>
        <v>#REF!</v>
      </c>
      <c r="FG113" t="e">
        <f>AND(NhatkyBan!#REF!,"AAAAAC2j96I=")</f>
        <v>#REF!</v>
      </c>
      <c r="FH113" t="e">
        <f>AND(NhatkyBan!#REF!,"AAAAAC2j96M=")</f>
        <v>#REF!</v>
      </c>
      <c r="FI113" t="e">
        <f>AND(NhatkyBan!#REF!,"AAAAAC2j96Q=")</f>
        <v>#REF!</v>
      </c>
      <c r="FJ113" t="e">
        <f>AND(NhatkyBan!#REF!,"AAAAAC2j96U=")</f>
        <v>#REF!</v>
      </c>
      <c r="FK113" t="e">
        <f>AND(NhatkyBan!#REF!,"AAAAAC2j96Y=")</f>
        <v>#REF!</v>
      </c>
      <c r="FL113" t="e">
        <f>AND(NhatkyBan!#REF!,"AAAAAC2j96c=")</f>
        <v>#REF!</v>
      </c>
      <c r="FM113" t="e">
        <f>AND(NhatkyBan!#REF!,"AAAAAC2j96g=")</f>
        <v>#REF!</v>
      </c>
      <c r="FN113" t="e">
        <f>AND(NhatkyBan!#REF!,"AAAAAC2j96k=")</f>
        <v>#REF!</v>
      </c>
      <c r="FO113" t="e">
        <f>AND(NhatkyBan!#REF!,"AAAAAC2j96o=")</f>
        <v>#REF!</v>
      </c>
      <c r="FP113" t="e">
        <f>AND(NhatkyBan!#REF!,"AAAAAC2j96s=")</f>
        <v>#REF!</v>
      </c>
      <c r="FQ113" t="e">
        <f>AND(NhatkyBan!#REF!,"AAAAAC2j96w=")</f>
        <v>#REF!</v>
      </c>
      <c r="FR113" t="e">
        <f>AND(NhatkyBan!#REF!,"AAAAAC2j960=")</f>
        <v>#REF!</v>
      </c>
      <c r="FS113" t="e">
        <f>AND(NhatkyBan!#REF!,"AAAAAC2j964=")</f>
        <v>#REF!</v>
      </c>
      <c r="FT113" t="e">
        <f>AND(NhatkyBan!#REF!,"AAAAAC2j968=")</f>
        <v>#REF!</v>
      </c>
      <c r="FU113" t="e">
        <f>AND(NhatkyBan!#REF!,"AAAAAC2j97A=")</f>
        <v>#REF!</v>
      </c>
      <c r="FV113" t="e">
        <f>AND(NhatkyBan!#REF!,"AAAAAC2j97E=")</f>
        <v>#REF!</v>
      </c>
      <c r="FW113" t="e">
        <f>AND(NhatkyBan!#REF!,"AAAAAC2j97I=")</f>
        <v>#REF!</v>
      </c>
      <c r="FX113" t="e">
        <f>AND(NhatkyBan!#REF!,"AAAAAC2j97M=")</f>
        <v>#REF!</v>
      </c>
      <c r="FY113" t="e">
        <f>AND(NhatkyBan!#REF!,"AAAAAC2j97Q=")</f>
        <v>#REF!</v>
      </c>
      <c r="FZ113" t="e">
        <f>AND(NhatkyBan!#REF!,"AAAAAC2j97U=")</f>
        <v>#REF!</v>
      </c>
      <c r="GA113" t="e">
        <f>AND(NhatkyBan!#REF!,"AAAAAC2j97Y=")</f>
        <v>#REF!</v>
      </c>
      <c r="GB113" t="e">
        <f>IF(NhatkyBan!#REF!,"AAAAAC2j97c=",0)</f>
        <v>#REF!</v>
      </c>
      <c r="GC113" t="e">
        <f>AND(NhatkyBan!#REF!,"AAAAAC2j97g=")</f>
        <v>#REF!</v>
      </c>
      <c r="GD113" t="e">
        <f>AND(NhatkyBan!#REF!,"AAAAAC2j97k=")</f>
        <v>#REF!</v>
      </c>
      <c r="GE113" t="e">
        <f>AND(NhatkyBan!#REF!,"AAAAAC2j97o=")</f>
        <v>#REF!</v>
      </c>
      <c r="GF113" t="e">
        <f>AND(NhatkyBan!#REF!,"AAAAAC2j97s=")</f>
        <v>#REF!</v>
      </c>
      <c r="GG113" t="e">
        <f>AND(NhatkyBan!#REF!,"AAAAAC2j97w=")</f>
        <v>#REF!</v>
      </c>
      <c r="GH113" t="e">
        <f>AND(NhatkyBan!#REF!,"AAAAAC2j970=")</f>
        <v>#REF!</v>
      </c>
      <c r="GI113" t="e">
        <f>AND(NhatkyBan!#REF!,"AAAAAC2j974=")</f>
        <v>#REF!</v>
      </c>
      <c r="GJ113" t="e">
        <f>AND(NhatkyBan!#REF!,"AAAAAC2j978=")</f>
        <v>#REF!</v>
      </c>
      <c r="GK113" t="e">
        <f>AND(NhatkyBan!#REF!,"AAAAAC2j98A=")</f>
        <v>#REF!</v>
      </c>
      <c r="GL113" t="e">
        <f>AND(NhatkyBan!#REF!,"AAAAAC2j98E=")</f>
        <v>#REF!</v>
      </c>
      <c r="GM113" t="e">
        <f>AND(NhatkyBan!#REF!,"AAAAAC2j98I=")</f>
        <v>#REF!</v>
      </c>
      <c r="GN113" t="e">
        <f>AND(NhatkyBan!#REF!,"AAAAAC2j98M=")</f>
        <v>#REF!</v>
      </c>
      <c r="GO113" t="e">
        <f>AND(NhatkyBan!#REF!,"AAAAAC2j98Q=")</f>
        <v>#REF!</v>
      </c>
      <c r="GP113" t="e">
        <f>AND(NhatkyBan!#REF!,"AAAAAC2j98U=")</f>
        <v>#REF!</v>
      </c>
      <c r="GQ113" t="e">
        <f>AND(NhatkyBan!#REF!,"AAAAAC2j98Y=")</f>
        <v>#REF!</v>
      </c>
      <c r="GR113" t="e">
        <f>AND(NhatkyBan!#REF!,"AAAAAC2j98c=")</f>
        <v>#REF!</v>
      </c>
      <c r="GS113" t="e">
        <f>AND(NhatkyBan!#REF!,"AAAAAC2j98g=")</f>
        <v>#REF!</v>
      </c>
      <c r="GT113" t="e">
        <f>AND(NhatkyBan!#REF!,"AAAAAC2j98k=")</f>
        <v>#REF!</v>
      </c>
      <c r="GU113" t="e">
        <f>AND(NhatkyBan!#REF!,"AAAAAC2j98o=")</f>
        <v>#REF!</v>
      </c>
      <c r="GV113" t="e">
        <f>AND(NhatkyBan!#REF!,"AAAAAC2j98s=")</f>
        <v>#REF!</v>
      </c>
      <c r="GW113" t="e">
        <f>AND(NhatkyBan!#REF!,"AAAAAC2j98w=")</f>
        <v>#REF!</v>
      </c>
      <c r="GX113" t="e">
        <f>AND(NhatkyBan!#REF!,"AAAAAC2j980=")</f>
        <v>#REF!</v>
      </c>
      <c r="GY113" t="e">
        <f>AND(NhatkyBan!#REF!,"AAAAAC2j984=")</f>
        <v>#REF!</v>
      </c>
      <c r="GZ113" t="e">
        <f>AND(NhatkyBan!#REF!,"AAAAAC2j988=")</f>
        <v>#REF!</v>
      </c>
      <c r="HA113" t="e">
        <f>AND(NhatkyBan!#REF!,"AAAAAC2j99A=")</f>
        <v>#REF!</v>
      </c>
      <c r="HB113" t="e">
        <f>AND(NhatkyBan!#REF!,"AAAAAC2j99E=")</f>
        <v>#REF!</v>
      </c>
      <c r="HC113" t="e">
        <f>AND(NhatkyBan!#REF!,"AAAAAC2j99I=")</f>
        <v>#REF!</v>
      </c>
      <c r="HD113" t="e">
        <f>AND(NhatkyBan!#REF!,"AAAAAC2j99M=")</f>
        <v>#REF!</v>
      </c>
      <c r="HE113" t="e">
        <f>AND(NhatkyBan!#REF!,"AAAAAC2j99Q=")</f>
        <v>#REF!</v>
      </c>
      <c r="HF113" t="e">
        <f>AND(NhatkyBan!#REF!,"AAAAAC2j99U=")</f>
        <v>#REF!</v>
      </c>
      <c r="HG113" t="e">
        <f>AND(NhatkyBan!#REF!,"AAAAAC2j99Y=")</f>
        <v>#REF!</v>
      </c>
      <c r="HH113" t="e">
        <f>AND(NhatkyBan!#REF!,"AAAAAC2j99c=")</f>
        <v>#REF!</v>
      </c>
      <c r="HI113" t="e">
        <f>AND(NhatkyBan!#REF!,"AAAAAC2j99g=")</f>
        <v>#REF!</v>
      </c>
      <c r="HJ113" t="e">
        <f>AND(NhatkyBan!#REF!,"AAAAAC2j99k=")</f>
        <v>#REF!</v>
      </c>
      <c r="HK113" t="e">
        <f>IF(NhatkyBan!#REF!,"AAAAAC2j99o=",0)</f>
        <v>#REF!</v>
      </c>
      <c r="HL113" t="e">
        <f>AND(NhatkyBan!#REF!,"AAAAAC2j99s=")</f>
        <v>#REF!</v>
      </c>
      <c r="HM113" t="e">
        <f>AND(NhatkyBan!#REF!,"AAAAAC2j99w=")</f>
        <v>#REF!</v>
      </c>
      <c r="HN113" t="e">
        <f>AND(NhatkyBan!#REF!,"AAAAAC2j990=")</f>
        <v>#REF!</v>
      </c>
      <c r="HO113" t="e">
        <f>AND(NhatkyBan!#REF!,"AAAAAC2j994=")</f>
        <v>#REF!</v>
      </c>
      <c r="HP113" t="e">
        <f>AND(NhatkyBan!#REF!,"AAAAAC2j998=")</f>
        <v>#REF!</v>
      </c>
      <c r="HQ113" t="e">
        <f>AND(NhatkyBan!#REF!,"AAAAAC2j9+A=")</f>
        <v>#REF!</v>
      </c>
      <c r="HR113" t="e">
        <f>AND(NhatkyBan!#REF!,"AAAAAC2j9+E=")</f>
        <v>#REF!</v>
      </c>
      <c r="HS113" t="e">
        <f>AND(NhatkyBan!#REF!,"AAAAAC2j9+I=")</f>
        <v>#REF!</v>
      </c>
      <c r="HT113" t="e">
        <f>AND(NhatkyBan!#REF!,"AAAAAC2j9+M=")</f>
        <v>#REF!</v>
      </c>
      <c r="HU113" t="e">
        <f>AND(NhatkyBan!#REF!,"AAAAAC2j9+Q=")</f>
        <v>#REF!</v>
      </c>
      <c r="HV113" t="e">
        <f>AND(NhatkyBan!#REF!,"AAAAAC2j9+U=")</f>
        <v>#REF!</v>
      </c>
      <c r="HW113" t="e">
        <f>AND(NhatkyBan!#REF!,"AAAAAC2j9+Y=")</f>
        <v>#REF!</v>
      </c>
      <c r="HX113" t="e">
        <f>AND(NhatkyBan!#REF!,"AAAAAC2j9+c=")</f>
        <v>#REF!</v>
      </c>
      <c r="HY113" t="e">
        <f>AND(NhatkyBan!#REF!,"AAAAAC2j9+g=")</f>
        <v>#REF!</v>
      </c>
      <c r="HZ113" t="e">
        <f>AND(NhatkyBan!#REF!,"AAAAAC2j9+k=")</f>
        <v>#REF!</v>
      </c>
      <c r="IA113" t="e">
        <f>AND(NhatkyBan!#REF!,"AAAAAC2j9+o=")</f>
        <v>#REF!</v>
      </c>
      <c r="IB113" t="e">
        <f>AND(NhatkyBan!#REF!,"AAAAAC2j9+s=")</f>
        <v>#REF!</v>
      </c>
      <c r="IC113" t="e">
        <f>AND(NhatkyBan!#REF!,"AAAAAC2j9+w=")</f>
        <v>#REF!</v>
      </c>
      <c r="ID113" t="e">
        <f>AND(NhatkyBan!#REF!,"AAAAAC2j9+0=")</f>
        <v>#REF!</v>
      </c>
      <c r="IE113" t="e">
        <f>AND(NhatkyBan!#REF!,"AAAAAC2j9+4=")</f>
        <v>#REF!</v>
      </c>
      <c r="IF113" t="e">
        <f>AND(NhatkyBan!#REF!,"AAAAAC2j9+8=")</f>
        <v>#REF!</v>
      </c>
      <c r="IG113" t="e">
        <f>AND(NhatkyBan!#REF!,"AAAAAC2j9/A=")</f>
        <v>#REF!</v>
      </c>
      <c r="IH113" t="e">
        <f>AND(NhatkyBan!#REF!,"AAAAAC2j9/E=")</f>
        <v>#REF!</v>
      </c>
      <c r="II113" t="e">
        <f>AND(NhatkyBan!#REF!,"AAAAAC2j9/I=")</f>
        <v>#REF!</v>
      </c>
      <c r="IJ113" t="e">
        <f>AND(NhatkyBan!#REF!,"AAAAAC2j9/M=")</f>
        <v>#REF!</v>
      </c>
      <c r="IK113" t="e">
        <f>AND(NhatkyBan!#REF!,"AAAAAC2j9/Q=")</f>
        <v>#REF!</v>
      </c>
      <c r="IL113" t="e">
        <f>AND(NhatkyBan!#REF!,"AAAAAC2j9/U=")</f>
        <v>#REF!</v>
      </c>
      <c r="IM113" t="e">
        <f>AND(NhatkyBan!#REF!,"AAAAAC2j9/Y=")</f>
        <v>#REF!</v>
      </c>
      <c r="IN113" t="e">
        <f>AND(NhatkyBan!#REF!,"AAAAAC2j9/c=")</f>
        <v>#REF!</v>
      </c>
      <c r="IO113" t="e">
        <f>AND(NhatkyBan!#REF!,"AAAAAC2j9/g=")</f>
        <v>#REF!</v>
      </c>
      <c r="IP113" t="e">
        <f>AND(NhatkyBan!#REF!,"AAAAAC2j9/k=")</f>
        <v>#REF!</v>
      </c>
      <c r="IQ113" t="e">
        <f>AND(NhatkyBan!#REF!,"AAAAAC2j9/o=")</f>
        <v>#REF!</v>
      </c>
      <c r="IR113" t="e">
        <f>AND(NhatkyBan!#REF!,"AAAAAC2j9/s=")</f>
        <v>#REF!</v>
      </c>
      <c r="IS113" t="e">
        <f>AND(NhatkyBan!#REF!,"AAAAAC2j9/w=")</f>
        <v>#REF!</v>
      </c>
      <c r="IT113" t="e">
        <f>IF(NhatkyBan!#REF!,"AAAAAC2j9/0=",0)</f>
        <v>#REF!</v>
      </c>
      <c r="IU113" t="e">
        <f>AND(NhatkyBan!#REF!,"AAAAAC2j9/4=")</f>
        <v>#REF!</v>
      </c>
      <c r="IV113" t="e">
        <f>AND(NhatkyBan!#REF!,"AAAAAC2j9/8=")</f>
        <v>#REF!</v>
      </c>
    </row>
    <row r="114" spans="1:256">
      <c r="A114" t="e">
        <f>AND(NhatkyBan!#REF!,"AAAAAHdb+wA=")</f>
        <v>#REF!</v>
      </c>
      <c r="B114" t="e">
        <f>AND(NhatkyBan!#REF!,"AAAAAHdb+wE=")</f>
        <v>#REF!</v>
      </c>
      <c r="C114" t="e">
        <f>AND(NhatkyBan!#REF!,"AAAAAHdb+wI=")</f>
        <v>#REF!</v>
      </c>
      <c r="D114" t="e">
        <f>AND(NhatkyBan!#REF!,"AAAAAHdb+wM=")</f>
        <v>#REF!</v>
      </c>
      <c r="E114" t="e">
        <f>AND(NhatkyBan!#REF!,"AAAAAHdb+wQ=")</f>
        <v>#REF!</v>
      </c>
      <c r="F114" t="e">
        <f>AND(NhatkyBan!#REF!,"AAAAAHdb+wU=")</f>
        <v>#REF!</v>
      </c>
      <c r="G114" t="e">
        <f>AND(NhatkyBan!#REF!,"AAAAAHdb+wY=")</f>
        <v>#REF!</v>
      </c>
      <c r="H114" t="e">
        <f>AND(NhatkyBan!#REF!,"AAAAAHdb+wc=")</f>
        <v>#REF!</v>
      </c>
      <c r="I114" t="e">
        <f>AND(NhatkyBan!#REF!,"AAAAAHdb+wg=")</f>
        <v>#REF!</v>
      </c>
      <c r="J114" t="e">
        <f>AND(NhatkyBan!#REF!,"AAAAAHdb+wk=")</f>
        <v>#REF!</v>
      </c>
      <c r="K114" t="e">
        <f>AND(NhatkyBan!#REF!,"AAAAAHdb+wo=")</f>
        <v>#REF!</v>
      </c>
      <c r="L114" t="e">
        <f>AND(NhatkyBan!#REF!,"AAAAAHdb+ws=")</f>
        <v>#REF!</v>
      </c>
      <c r="M114" t="e">
        <f>AND(NhatkyBan!#REF!,"AAAAAHdb+ww=")</f>
        <v>#REF!</v>
      </c>
      <c r="N114" t="e">
        <f>AND(NhatkyBan!#REF!,"AAAAAHdb+w0=")</f>
        <v>#REF!</v>
      </c>
      <c r="O114" t="e">
        <f>AND(NhatkyBan!#REF!,"AAAAAHdb+w4=")</f>
        <v>#REF!</v>
      </c>
      <c r="P114" t="e">
        <f>AND(NhatkyBan!#REF!,"AAAAAHdb+w8=")</f>
        <v>#REF!</v>
      </c>
      <c r="Q114" t="e">
        <f>AND(NhatkyBan!#REF!,"AAAAAHdb+xA=")</f>
        <v>#REF!</v>
      </c>
      <c r="R114" t="e">
        <f>AND(NhatkyBan!#REF!,"AAAAAHdb+xE=")</f>
        <v>#REF!</v>
      </c>
      <c r="S114" t="e">
        <f>AND(NhatkyBan!#REF!,"AAAAAHdb+xI=")</f>
        <v>#REF!</v>
      </c>
      <c r="T114" t="e">
        <f>AND(NhatkyBan!#REF!,"AAAAAHdb+xM=")</f>
        <v>#REF!</v>
      </c>
      <c r="U114" t="e">
        <f>AND(NhatkyBan!#REF!,"AAAAAHdb+xQ=")</f>
        <v>#REF!</v>
      </c>
      <c r="V114" t="e">
        <f>AND(NhatkyBan!#REF!,"AAAAAHdb+xU=")</f>
        <v>#REF!</v>
      </c>
      <c r="W114" t="e">
        <f>AND(NhatkyBan!#REF!,"AAAAAHdb+xY=")</f>
        <v>#REF!</v>
      </c>
      <c r="X114" t="e">
        <f>AND(NhatkyBan!#REF!,"AAAAAHdb+xc=")</f>
        <v>#REF!</v>
      </c>
      <c r="Y114" t="e">
        <f>AND(NhatkyBan!#REF!,"AAAAAHdb+xg=")</f>
        <v>#REF!</v>
      </c>
      <c r="Z114" t="e">
        <f>AND(NhatkyBan!#REF!,"AAAAAHdb+xk=")</f>
        <v>#REF!</v>
      </c>
      <c r="AA114" t="e">
        <f>AND(NhatkyBan!#REF!,"AAAAAHdb+xo=")</f>
        <v>#REF!</v>
      </c>
      <c r="AB114" t="e">
        <f>AND(NhatkyBan!#REF!,"AAAAAHdb+xs=")</f>
        <v>#REF!</v>
      </c>
      <c r="AC114" t="e">
        <f>AND(NhatkyBan!#REF!,"AAAAAHdb+xw=")</f>
        <v>#REF!</v>
      </c>
      <c r="AD114" t="e">
        <f>AND(NhatkyBan!#REF!,"AAAAAHdb+x0=")</f>
        <v>#REF!</v>
      </c>
      <c r="AE114" t="e">
        <f>AND(NhatkyBan!#REF!,"AAAAAHdb+x4=")</f>
        <v>#REF!</v>
      </c>
      <c r="AF114" t="e">
        <f>AND(NhatkyBan!#REF!,"AAAAAHdb+x8=")</f>
        <v>#REF!</v>
      </c>
      <c r="AG114" t="e">
        <f>IF(NhatkyBan!#REF!,"AAAAAHdb+yA=",0)</f>
        <v>#REF!</v>
      </c>
      <c r="AH114" t="e">
        <f>AND(NhatkyBan!#REF!,"AAAAAHdb+yE=")</f>
        <v>#REF!</v>
      </c>
      <c r="AI114" t="e">
        <f>AND(NhatkyBan!#REF!,"AAAAAHdb+yI=")</f>
        <v>#REF!</v>
      </c>
      <c r="AJ114" t="e">
        <f>AND(NhatkyBan!#REF!,"AAAAAHdb+yM=")</f>
        <v>#REF!</v>
      </c>
      <c r="AK114" t="e">
        <f>AND(NhatkyBan!#REF!,"AAAAAHdb+yQ=")</f>
        <v>#REF!</v>
      </c>
      <c r="AL114" t="e">
        <f>AND(NhatkyBan!#REF!,"AAAAAHdb+yU=")</f>
        <v>#REF!</v>
      </c>
      <c r="AM114" t="e">
        <f>AND(NhatkyBan!#REF!,"AAAAAHdb+yY=")</f>
        <v>#REF!</v>
      </c>
      <c r="AN114" t="e">
        <f>AND(NhatkyBan!#REF!,"AAAAAHdb+yc=")</f>
        <v>#REF!</v>
      </c>
      <c r="AO114" t="e">
        <f>AND(NhatkyBan!#REF!,"AAAAAHdb+yg=")</f>
        <v>#REF!</v>
      </c>
      <c r="AP114" t="e">
        <f>AND(NhatkyBan!#REF!,"AAAAAHdb+yk=")</f>
        <v>#REF!</v>
      </c>
      <c r="AQ114" t="e">
        <f>AND(NhatkyBan!#REF!,"AAAAAHdb+yo=")</f>
        <v>#REF!</v>
      </c>
      <c r="AR114" t="e">
        <f>AND(NhatkyBan!#REF!,"AAAAAHdb+ys=")</f>
        <v>#REF!</v>
      </c>
      <c r="AS114" t="e">
        <f>AND(NhatkyBan!#REF!,"AAAAAHdb+yw=")</f>
        <v>#REF!</v>
      </c>
      <c r="AT114" t="e">
        <f>AND(NhatkyBan!#REF!,"AAAAAHdb+y0=")</f>
        <v>#REF!</v>
      </c>
      <c r="AU114" t="e">
        <f>AND(NhatkyBan!#REF!,"AAAAAHdb+y4=")</f>
        <v>#REF!</v>
      </c>
      <c r="AV114" t="e">
        <f>AND(NhatkyBan!#REF!,"AAAAAHdb+y8=")</f>
        <v>#REF!</v>
      </c>
      <c r="AW114" t="e">
        <f>AND(NhatkyBan!#REF!,"AAAAAHdb+zA=")</f>
        <v>#REF!</v>
      </c>
      <c r="AX114" t="e">
        <f>AND(NhatkyBan!#REF!,"AAAAAHdb+zE=")</f>
        <v>#REF!</v>
      </c>
      <c r="AY114" t="e">
        <f>AND(NhatkyBan!#REF!,"AAAAAHdb+zI=")</f>
        <v>#REF!</v>
      </c>
      <c r="AZ114" t="e">
        <f>AND(NhatkyBan!#REF!,"AAAAAHdb+zM=")</f>
        <v>#REF!</v>
      </c>
      <c r="BA114" t="e">
        <f>AND(NhatkyBan!#REF!,"AAAAAHdb+zQ=")</f>
        <v>#REF!</v>
      </c>
      <c r="BB114" t="e">
        <f>AND(NhatkyBan!#REF!,"AAAAAHdb+zU=")</f>
        <v>#REF!</v>
      </c>
      <c r="BC114" t="e">
        <f>AND(NhatkyBan!#REF!,"AAAAAHdb+zY=")</f>
        <v>#REF!</v>
      </c>
      <c r="BD114" t="e">
        <f>AND(NhatkyBan!#REF!,"AAAAAHdb+zc=")</f>
        <v>#REF!</v>
      </c>
      <c r="BE114" t="e">
        <f>AND(NhatkyBan!#REF!,"AAAAAHdb+zg=")</f>
        <v>#REF!</v>
      </c>
      <c r="BF114" t="e">
        <f>AND(NhatkyBan!#REF!,"AAAAAHdb+zk=")</f>
        <v>#REF!</v>
      </c>
      <c r="BG114" t="e">
        <f>AND(NhatkyBan!#REF!,"AAAAAHdb+zo=")</f>
        <v>#REF!</v>
      </c>
      <c r="BH114" t="e">
        <f>AND(NhatkyBan!#REF!,"AAAAAHdb+zs=")</f>
        <v>#REF!</v>
      </c>
      <c r="BI114" t="e">
        <f>AND(NhatkyBan!#REF!,"AAAAAHdb+zw=")</f>
        <v>#REF!</v>
      </c>
      <c r="BJ114" t="e">
        <f>AND(NhatkyBan!#REF!,"AAAAAHdb+z0=")</f>
        <v>#REF!</v>
      </c>
      <c r="BK114" t="e">
        <f>AND(NhatkyBan!#REF!,"AAAAAHdb+z4=")</f>
        <v>#REF!</v>
      </c>
      <c r="BL114" t="e">
        <f>AND(NhatkyBan!#REF!,"AAAAAHdb+z8=")</f>
        <v>#REF!</v>
      </c>
      <c r="BM114" t="e">
        <f>AND(NhatkyBan!#REF!,"AAAAAHdb+0A=")</f>
        <v>#REF!</v>
      </c>
      <c r="BN114" t="e">
        <f>AND(NhatkyBan!#REF!,"AAAAAHdb+0E=")</f>
        <v>#REF!</v>
      </c>
      <c r="BO114" t="e">
        <f>AND(NhatkyBan!#REF!,"AAAAAHdb+0I=")</f>
        <v>#REF!</v>
      </c>
      <c r="BP114" t="e">
        <f>IF(NhatkyBan!#REF!,"AAAAAHdb+0M=",0)</f>
        <v>#REF!</v>
      </c>
      <c r="BQ114" t="e">
        <f>AND(NhatkyBan!#REF!,"AAAAAHdb+0Q=")</f>
        <v>#REF!</v>
      </c>
      <c r="BR114" t="e">
        <f>AND(NhatkyBan!#REF!,"AAAAAHdb+0U=")</f>
        <v>#REF!</v>
      </c>
      <c r="BS114" t="e">
        <f>AND(NhatkyBan!#REF!,"AAAAAHdb+0Y=")</f>
        <v>#REF!</v>
      </c>
      <c r="BT114" t="e">
        <f>AND(NhatkyBan!#REF!,"AAAAAHdb+0c=")</f>
        <v>#REF!</v>
      </c>
      <c r="BU114" t="e">
        <f>AND(NhatkyBan!#REF!,"AAAAAHdb+0g=")</f>
        <v>#REF!</v>
      </c>
      <c r="BV114" t="e">
        <f>AND(NhatkyBan!#REF!,"AAAAAHdb+0k=")</f>
        <v>#REF!</v>
      </c>
      <c r="BW114" t="e">
        <f>AND(NhatkyBan!#REF!,"AAAAAHdb+0o=")</f>
        <v>#REF!</v>
      </c>
      <c r="BX114" t="e">
        <f>AND(NhatkyBan!#REF!,"AAAAAHdb+0s=")</f>
        <v>#REF!</v>
      </c>
      <c r="BY114" t="e">
        <f>AND(NhatkyBan!#REF!,"AAAAAHdb+0w=")</f>
        <v>#REF!</v>
      </c>
      <c r="BZ114" t="e">
        <f>AND(NhatkyBan!#REF!,"AAAAAHdb+00=")</f>
        <v>#REF!</v>
      </c>
      <c r="CA114" t="e">
        <f>AND(NhatkyBan!#REF!,"AAAAAHdb+04=")</f>
        <v>#REF!</v>
      </c>
      <c r="CB114" t="e">
        <f>AND(NhatkyBan!#REF!,"AAAAAHdb+08=")</f>
        <v>#REF!</v>
      </c>
      <c r="CC114" t="e">
        <f>AND(NhatkyBan!#REF!,"AAAAAHdb+1A=")</f>
        <v>#REF!</v>
      </c>
      <c r="CD114" t="e">
        <f>AND(NhatkyBan!#REF!,"AAAAAHdb+1E=")</f>
        <v>#REF!</v>
      </c>
      <c r="CE114" t="e">
        <f>AND(NhatkyBan!#REF!,"AAAAAHdb+1I=")</f>
        <v>#REF!</v>
      </c>
      <c r="CF114" t="e">
        <f>AND(NhatkyBan!#REF!,"AAAAAHdb+1M=")</f>
        <v>#REF!</v>
      </c>
      <c r="CG114" t="e">
        <f>AND(NhatkyBan!#REF!,"AAAAAHdb+1Q=")</f>
        <v>#REF!</v>
      </c>
      <c r="CH114" t="e">
        <f>AND(NhatkyBan!#REF!,"AAAAAHdb+1U=")</f>
        <v>#REF!</v>
      </c>
      <c r="CI114" t="e">
        <f>AND(NhatkyBan!#REF!,"AAAAAHdb+1Y=")</f>
        <v>#REF!</v>
      </c>
      <c r="CJ114" t="e">
        <f>AND(NhatkyBan!#REF!,"AAAAAHdb+1c=")</f>
        <v>#REF!</v>
      </c>
      <c r="CK114" t="e">
        <f>AND(NhatkyBan!#REF!,"AAAAAHdb+1g=")</f>
        <v>#REF!</v>
      </c>
      <c r="CL114" t="e">
        <f>AND(NhatkyBan!#REF!,"AAAAAHdb+1k=")</f>
        <v>#REF!</v>
      </c>
      <c r="CM114" t="e">
        <f>AND(NhatkyBan!#REF!,"AAAAAHdb+1o=")</f>
        <v>#REF!</v>
      </c>
      <c r="CN114" t="e">
        <f>AND(NhatkyBan!#REF!,"AAAAAHdb+1s=")</f>
        <v>#REF!</v>
      </c>
      <c r="CO114" t="e">
        <f>AND(NhatkyBan!#REF!,"AAAAAHdb+1w=")</f>
        <v>#REF!</v>
      </c>
      <c r="CP114" t="e">
        <f>AND(NhatkyBan!#REF!,"AAAAAHdb+10=")</f>
        <v>#REF!</v>
      </c>
      <c r="CQ114" t="e">
        <f>AND(NhatkyBan!#REF!,"AAAAAHdb+14=")</f>
        <v>#REF!</v>
      </c>
      <c r="CR114" t="e">
        <f>AND(NhatkyBan!#REF!,"AAAAAHdb+18=")</f>
        <v>#REF!</v>
      </c>
      <c r="CS114" t="e">
        <f>AND(NhatkyBan!#REF!,"AAAAAHdb+2A=")</f>
        <v>#REF!</v>
      </c>
      <c r="CT114" t="e">
        <f>AND(NhatkyBan!#REF!,"AAAAAHdb+2E=")</f>
        <v>#REF!</v>
      </c>
      <c r="CU114" t="e">
        <f>AND(NhatkyBan!#REF!,"AAAAAHdb+2I=")</f>
        <v>#REF!</v>
      </c>
      <c r="CV114" t="e">
        <f>AND(NhatkyBan!#REF!,"AAAAAHdb+2M=")</f>
        <v>#REF!</v>
      </c>
      <c r="CW114" t="e">
        <f>AND(NhatkyBan!#REF!,"AAAAAHdb+2Q=")</f>
        <v>#REF!</v>
      </c>
      <c r="CX114" t="e">
        <f>AND(NhatkyBan!#REF!,"AAAAAHdb+2U=")</f>
        <v>#REF!</v>
      </c>
      <c r="CY114" t="e">
        <f>IF(NhatkyBan!#REF!,"AAAAAHdb+2Y=",0)</f>
        <v>#REF!</v>
      </c>
      <c r="CZ114" t="e">
        <f>AND(NhatkyBan!#REF!,"AAAAAHdb+2c=")</f>
        <v>#REF!</v>
      </c>
      <c r="DA114" t="e">
        <f>AND(NhatkyBan!#REF!,"AAAAAHdb+2g=")</f>
        <v>#REF!</v>
      </c>
      <c r="DB114" t="e">
        <f>AND(NhatkyBan!#REF!,"AAAAAHdb+2k=")</f>
        <v>#REF!</v>
      </c>
      <c r="DC114" t="e">
        <f>AND(NhatkyBan!#REF!,"AAAAAHdb+2o=")</f>
        <v>#REF!</v>
      </c>
      <c r="DD114" t="e">
        <f>AND(NhatkyBan!#REF!,"AAAAAHdb+2s=")</f>
        <v>#REF!</v>
      </c>
      <c r="DE114" t="e">
        <f>AND(NhatkyBan!#REF!,"AAAAAHdb+2w=")</f>
        <v>#REF!</v>
      </c>
      <c r="DF114" t="e">
        <f>AND(NhatkyBan!#REF!,"AAAAAHdb+20=")</f>
        <v>#REF!</v>
      </c>
      <c r="DG114" t="e">
        <f>AND(NhatkyBan!#REF!,"AAAAAHdb+24=")</f>
        <v>#REF!</v>
      </c>
      <c r="DH114" t="e">
        <f>AND(NhatkyBan!#REF!,"AAAAAHdb+28=")</f>
        <v>#REF!</v>
      </c>
      <c r="DI114" t="e">
        <f>AND(NhatkyBan!#REF!,"AAAAAHdb+3A=")</f>
        <v>#REF!</v>
      </c>
      <c r="DJ114" t="e">
        <f>AND(NhatkyBan!#REF!,"AAAAAHdb+3E=")</f>
        <v>#REF!</v>
      </c>
      <c r="DK114" t="e">
        <f>AND(NhatkyBan!#REF!,"AAAAAHdb+3I=")</f>
        <v>#REF!</v>
      </c>
      <c r="DL114" t="e">
        <f>AND(NhatkyBan!#REF!,"AAAAAHdb+3M=")</f>
        <v>#REF!</v>
      </c>
      <c r="DM114" t="e">
        <f>AND(NhatkyBan!#REF!,"AAAAAHdb+3Q=")</f>
        <v>#REF!</v>
      </c>
      <c r="DN114" t="e">
        <f>AND(NhatkyBan!#REF!,"AAAAAHdb+3U=")</f>
        <v>#REF!</v>
      </c>
      <c r="DO114" t="e">
        <f>AND(NhatkyBan!#REF!,"AAAAAHdb+3Y=")</f>
        <v>#REF!</v>
      </c>
      <c r="DP114" t="e">
        <f>AND(NhatkyBan!#REF!,"AAAAAHdb+3c=")</f>
        <v>#REF!</v>
      </c>
      <c r="DQ114" t="e">
        <f>AND(NhatkyBan!#REF!,"AAAAAHdb+3g=")</f>
        <v>#REF!</v>
      </c>
      <c r="DR114" t="e">
        <f>AND(NhatkyBan!#REF!,"AAAAAHdb+3k=")</f>
        <v>#REF!</v>
      </c>
      <c r="DS114" t="e">
        <f>AND(NhatkyBan!#REF!,"AAAAAHdb+3o=")</f>
        <v>#REF!</v>
      </c>
      <c r="DT114" t="e">
        <f>AND(NhatkyBan!#REF!,"AAAAAHdb+3s=")</f>
        <v>#REF!</v>
      </c>
      <c r="DU114" t="e">
        <f>AND(NhatkyBan!#REF!,"AAAAAHdb+3w=")</f>
        <v>#REF!</v>
      </c>
      <c r="DV114" t="e">
        <f>AND(NhatkyBan!#REF!,"AAAAAHdb+30=")</f>
        <v>#REF!</v>
      </c>
      <c r="DW114" t="e">
        <f>AND(NhatkyBan!#REF!,"AAAAAHdb+34=")</f>
        <v>#REF!</v>
      </c>
      <c r="DX114" t="e">
        <f>AND(NhatkyBan!#REF!,"AAAAAHdb+38=")</f>
        <v>#REF!</v>
      </c>
      <c r="DY114" t="e">
        <f>AND(NhatkyBan!#REF!,"AAAAAHdb+4A=")</f>
        <v>#REF!</v>
      </c>
      <c r="DZ114" t="e">
        <f>AND(NhatkyBan!#REF!,"AAAAAHdb+4E=")</f>
        <v>#REF!</v>
      </c>
      <c r="EA114" t="e">
        <f>AND(NhatkyBan!#REF!,"AAAAAHdb+4I=")</f>
        <v>#REF!</v>
      </c>
      <c r="EB114" t="e">
        <f>AND(NhatkyBan!#REF!,"AAAAAHdb+4M=")</f>
        <v>#REF!</v>
      </c>
      <c r="EC114" t="e">
        <f>AND(NhatkyBan!#REF!,"AAAAAHdb+4Q=")</f>
        <v>#REF!</v>
      </c>
      <c r="ED114" t="e">
        <f>AND(NhatkyBan!#REF!,"AAAAAHdb+4U=")</f>
        <v>#REF!</v>
      </c>
      <c r="EE114" t="e">
        <f>AND(NhatkyBan!#REF!,"AAAAAHdb+4Y=")</f>
        <v>#REF!</v>
      </c>
      <c r="EF114" t="e">
        <f>AND(NhatkyBan!#REF!,"AAAAAHdb+4c=")</f>
        <v>#REF!</v>
      </c>
      <c r="EG114" t="e">
        <f>AND(NhatkyBan!#REF!,"AAAAAHdb+4g=")</f>
        <v>#REF!</v>
      </c>
      <c r="EH114" t="e">
        <f>IF(NhatkyBan!#REF!,"AAAAAHdb+4k=",0)</f>
        <v>#REF!</v>
      </c>
      <c r="EI114" t="e">
        <f>AND(NhatkyBan!#REF!,"AAAAAHdb+4o=")</f>
        <v>#REF!</v>
      </c>
      <c r="EJ114" t="e">
        <f>AND(NhatkyBan!#REF!,"AAAAAHdb+4s=")</f>
        <v>#REF!</v>
      </c>
      <c r="EK114" t="e">
        <f>AND(NhatkyBan!#REF!,"AAAAAHdb+4w=")</f>
        <v>#REF!</v>
      </c>
      <c r="EL114" t="e">
        <f>AND(NhatkyBan!#REF!,"AAAAAHdb+40=")</f>
        <v>#REF!</v>
      </c>
      <c r="EM114" t="e">
        <f>AND(NhatkyBan!#REF!,"AAAAAHdb+44=")</f>
        <v>#REF!</v>
      </c>
      <c r="EN114" t="e">
        <f>AND(NhatkyBan!#REF!,"AAAAAHdb+48=")</f>
        <v>#REF!</v>
      </c>
      <c r="EO114" t="e">
        <f>AND(NhatkyBan!#REF!,"AAAAAHdb+5A=")</f>
        <v>#REF!</v>
      </c>
      <c r="EP114" t="e">
        <f>AND(NhatkyBan!#REF!,"AAAAAHdb+5E=")</f>
        <v>#REF!</v>
      </c>
      <c r="EQ114" t="e">
        <f>AND(NhatkyBan!#REF!,"AAAAAHdb+5I=")</f>
        <v>#REF!</v>
      </c>
      <c r="ER114" t="e">
        <f>AND(NhatkyBan!#REF!,"AAAAAHdb+5M=")</f>
        <v>#REF!</v>
      </c>
      <c r="ES114" t="e">
        <f>AND(NhatkyBan!#REF!,"AAAAAHdb+5Q=")</f>
        <v>#REF!</v>
      </c>
      <c r="ET114" t="e">
        <f>AND(NhatkyBan!#REF!,"AAAAAHdb+5U=")</f>
        <v>#REF!</v>
      </c>
      <c r="EU114" t="e">
        <f>AND(NhatkyBan!#REF!,"AAAAAHdb+5Y=")</f>
        <v>#REF!</v>
      </c>
      <c r="EV114" t="e">
        <f>AND(NhatkyBan!#REF!,"AAAAAHdb+5c=")</f>
        <v>#REF!</v>
      </c>
      <c r="EW114" t="e">
        <f>AND(NhatkyBan!#REF!,"AAAAAHdb+5g=")</f>
        <v>#REF!</v>
      </c>
      <c r="EX114" t="e">
        <f>AND(NhatkyBan!#REF!,"AAAAAHdb+5k=")</f>
        <v>#REF!</v>
      </c>
      <c r="EY114" t="e">
        <f>AND(NhatkyBan!#REF!,"AAAAAHdb+5o=")</f>
        <v>#REF!</v>
      </c>
      <c r="EZ114" t="e">
        <f>AND(NhatkyBan!#REF!,"AAAAAHdb+5s=")</f>
        <v>#REF!</v>
      </c>
      <c r="FA114" t="e">
        <f>AND(NhatkyBan!#REF!,"AAAAAHdb+5w=")</f>
        <v>#REF!</v>
      </c>
      <c r="FB114" t="e">
        <f>AND(NhatkyBan!#REF!,"AAAAAHdb+50=")</f>
        <v>#REF!</v>
      </c>
      <c r="FC114" t="e">
        <f>AND(NhatkyBan!#REF!,"AAAAAHdb+54=")</f>
        <v>#REF!</v>
      </c>
      <c r="FD114" t="e">
        <f>AND(NhatkyBan!#REF!,"AAAAAHdb+58=")</f>
        <v>#REF!</v>
      </c>
      <c r="FE114" t="e">
        <f>AND(NhatkyBan!#REF!,"AAAAAHdb+6A=")</f>
        <v>#REF!</v>
      </c>
      <c r="FF114" t="e">
        <f>AND(NhatkyBan!#REF!,"AAAAAHdb+6E=")</f>
        <v>#REF!</v>
      </c>
      <c r="FG114" t="e">
        <f>AND(NhatkyBan!#REF!,"AAAAAHdb+6I=")</f>
        <v>#REF!</v>
      </c>
      <c r="FH114" t="e">
        <f>AND(NhatkyBan!#REF!,"AAAAAHdb+6M=")</f>
        <v>#REF!</v>
      </c>
      <c r="FI114" t="e">
        <f>AND(NhatkyBan!#REF!,"AAAAAHdb+6Q=")</f>
        <v>#REF!</v>
      </c>
      <c r="FJ114" t="e">
        <f>AND(NhatkyBan!#REF!,"AAAAAHdb+6U=")</f>
        <v>#REF!</v>
      </c>
      <c r="FK114" t="e">
        <f>AND(NhatkyBan!#REF!,"AAAAAHdb+6Y=")</f>
        <v>#REF!</v>
      </c>
      <c r="FL114" t="e">
        <f>AND(NhatkyBan!#REF!,"AAAAAHdb+6c=")</f>
        <v>#REF!</v>
      </c>
      <c r="FM114" t="e">
        <f>AND(NhatkyBan!#REF!,"AAAAAHdb+6g=")</f>
        <v>#REF!</v>
      </c>
      <c r="FN114" t="e">
        <f>AND(NhatkyBan!#REF!,"AAAAAHdb+6k=")</f>
        <v>#REF!</v>
      </c>
      <c r="FO114" t="e">
        <f>AND(NhatkyBan!#REF!,"AAAAAHdb+6o=")</f>
        <v>#REF!</v>
      </c>
      <c r="FP114" t="e">
        <f>AND(NhatkyBan!#REF!,"AAAAAHdb+6s=")</f>
        <v>#REF!</v>
      </c>
      <c r="FQ114" t="e">
        <f>IF(NhatkyBan!#REF!,"AAAAAHdb+6w=",0)</f>
        <v>#REF!</v>
      </c>
      <c r="FR114" t="e">
        <f>AND(NhatkyBan!#REF!,"AAAAAHdb+60=")</f>
        <v>#REF!</v>
      </c>
      <c r="FS114" t="e">
        <f>AND(NhatkyBan!#REF!,"AAAAAHdb+64=")</f>
        <v>#REF!</v>
      </c>
      <c r="FT114" t="e">
        <f>AND(NhatkyBan!#REF!,"AAAAAHdb+68=")</f>
        <v>#REF!</v>
      </c>
      <c r="FU114" t="e">
        <f>AND(NhatkyBan!#REF!,"AAAAAHdb+7A=")</f>
        <v>#REF!</v>
      </c>
      <c r="FV114" t="e">
        <f>AND(NhatkyBan!#REF!,"AAAAAHdb+7E=")</f>
        <v>#REF!</v>
      </c>
      <c r="FW114" t="e">
        <f>AND(NhatkyBan!#REF!,"AAAAAHdb+7I=")</f>
        <v>#REF!</v>
      </c>
      <c r="FX114" t="e">
        <f>AND(NhatkyBan!#REF!,"AAAAAHdb+7M=")</f>
        <v>#REF!</v>
      </c>
      <c r="FY114" t="e">
        <f>AND(NhatkyBan!#REF!,"AAAAAHdb+7Q=")</f>
        <v>#REF!</v>
      </c>
      <c r="FZ114" t="e">
        <f>AND(NhatkyBan!#REF!,"AAAAAHdb+7U=")</f>
        <v>#REF!</v>
      </c>
      <c r="GA114" t="e">
        <f>AND(NhatkyBan!#REF!,"AAAAAHdb+7Y=")</f>
        <v>#REF!</v>
      </c>
      <c r="GB114" t="e">
        <f>AND(NhatkyBan!#REF!,"AAAAAHdb+7c=")</f>
        <v>#REF!</v>
      </c>
      <c r="GC114" t="e">
        <f>AND(NhatkyBan!#REF!,"AAAAAHdb+7g=")</f>
        <v>#REF!</v>
      </c>
      <c r="GD114" t="e">
        <f>AND(NhatkyBan!#REF!,"AAAAAHdb+7k=")</f>
        <v>#REF!</v>
      </c>
      <c r="GE114" t="e">
        <f>AND(NhatkyBan!#REF!,"AAAAAHdb+7o=")</f>
        <v>#REF!</v>
      </c>
      <c r="GF114" t="e">
        <f>AND(NhatkyBan!#REF!,"AAAAAHdb+7s=")</f>
        <v>#REF!</v>
      </c>
      <c r="GG114" t="e">
        <f>AND(NhatkyBan!#REF!,"AAAAAHdb+7w=")</f>
        <v>#REF!</v>
      </c>
      <c r="GH114" t="e">
        <f>AND(NhatkyBan!#REF!,"AAAAAHdb+70=")</f>
        <v>#REF!</v>
      </c>
      <c r="GI114" t="e">
        <f>AND(NhatkyBan!#REF!,"AAAAAHdb+74=")</f>
        <v>#REF!</v>
      </c>
      <c r="GJ114" t="e">
        <f>AND(NhatkyBan!#REF!,"AAAAAHdb+78=")</f>
        <v>#REF!</v>
      </c>
      <c r="GK114" t="e">
        <f>AND(NhatkyBan!#REF!,"AAAAAHdb+8A=")</f>
        <v>#REF!</v>
      </c>
      <c r="GL114" t="e">
        <f>AND(NhatkyBan!#REF!,"AAAAAHdb+8E=")</f>
        <v>#REF!</v>
      </c>
      <c r="GM114" t="e">
        <f>AND(NhatkyBan!#REF!,"AAAAAHdb+8I=")</f>
        <v>#REF!</v>
      </c>
      <c r="GN114" t="e">
        <f>AND(NhatkyBan!#REF!,"AAAAAHdb+8M=")</f>
        <v>#REF!</v>
      </c>
      <c r="GO114" t="e">
        <f>AND(NhatkyBan!#REF!,"AAAAAHdb+8Q=")</f>
        <v>#REF!</v>
      </c>
      <c r="GP114" t="e">
        <f>AND(NhatkyBan!#REF!,"AAAAAHdb+8U=")</f>
        <v>#REF!</v>
      </c>
      <c r="GQ114" t="e">
        <f>AND(NhatkyBan!#REF!,"AAAAAHdb+8Y=")</f>
        <v>#REF!</v>
      </c>
      <c r="GR114" t="e">
        <f>AND(NhatkyBan!#REF!,"AAAAAHdb+8c=")</f>
        <v>#REF!</v>
      </c>
      <c r="GS114" t="e">
        <f>AND(NhatkyBan!#REF!,"AAAAAHdb+8g=")</f>
        <v>#REF!</v>
      </c>
      <c r="GT114" t="e">
        <f>AND(NhatkyBan!#REF!,"AAAAAHdb+8k=")</f>
        <v>#REF!</v>
      </c>
      <c r="GU114" t="e">
        <f>AND(NhatkyBan!#REF!,"AAAAAHdb+8o=")</f>
        <v>#REF!</v>
      </c>
      <c r="GV114" t="e">
        <f>AND(NhatkyBan!#REF!,"AAAAAHdb+8s=")</f>
        <v>#REF!</v>
      </c>
      <c r="GW114" t="e">
        <f>AND(NhatkyBan!#REF!,"AAAAAHdb+8w=")</f>
        <v>#REF!</v>
      </c>
      <c r="GX114" t="e">
        <f>AND(NhatkyBan!#REF!,"AAAAAHdb+80=")</f>
        <v>#REF!</v>
      </c>
      <c r="GY114" t="e">
        <f>AND(NhatkyBan!#REF!,"AAAAAHdb+84=")</f>
        <v>#REF!</v>
      </c>
      <c r="GZ114" t="e">
        <f>IF(NhatkyBan!#REF!,"AAAAAHdb+88=",0)</f>
        <v>#REF!</v>
      </c>
      <c r="HA114" t="e">
        <f>AND(NhatkyBan!#REF!,"AAAAAHdb+9A=")</f>
        <v>#REF!</v>
      </c>
      <c r="HB114" t="e">
        <f>AND(NhatkyBan!#REF!,"AAAAAHdb+9E=")</f>
        <v>#REF!</v>
      </c>
      <c r="HC114" t="e">
        <f>AND(NhatkyBan!#REF!,"AAAAAHdb+9I=")</f>
        <v>#REF!</v>
      </c>
      <c r="HD114" t="e">
        <f>AND(NhatkyBan!#REF!,"AAAAAHdb+9M=")</f>
        <v>#REF!</v>
      </c>
      <c r="HE114" t="e">
        <f>AND(NhatkyBan!#REF!,"AAAAAHdb+9Q=")</f>
        <v>#REF!</v>
      </c>
      <c r="HF114" t="e">
        <f>AND(NhatkyBan!#REF!,"AAAAAHdb+9U=")</f>
        <v>#REF!</v>
      </c>
      <c r="HG114" t="e">
        <f>AND(NhatkyBan!#REF!,"AAAAAHdb+9Y=")</f>
        <v>#REF!</v>
      </c>
      <c r="HH114" t="e">
        <f>AND(NhatkyBan!#REF!,"AAAAAHdb+9c=")</f>
        <v>#REF!</v>
      </c>
      <c r="HI114" t="e">
        <f>AND(NhatkyBan!#REF!,"AAAAAHdb+9g=")</f>
        <v>#REF!</v>
      </c>
      <c r="HJ114" t="e">
        <f>AND(NhatkyBan!#REF!,"AAAAAHdb+9k=")</f>
        <v>#REF!</v>
      </c>
      <c r="HK114" t="e">
        <f>AND(NhatkyBan!#REF!,"AAAAAHdb+9o=")</f>
        <v>#REF!</v>
      </c>
      <c r="HL114" t="e">
        <f>AND(NhatkyBan!#REF!,"AAAAAHdb+9s=")</f>
        <v>#REF!</v>
      </c>
      <c r="HM114" t="e">
        <f>AND(NhatkyBan!#REF!,"AAAAAHdb+9w=")</f>
        <v>#REF!</v>
      </c>
      <c r="HN114" t="e">
        <f>AND(NhatkyBan!#REF!,"AAAAAHdb+90=")</f>
        <v>#REF!</v>
      </c>
      <c r="HO114" t="e">
        <f>AND(NhatkyBan!#REF!,"AAAAAHdb+94=")</f>
        <v>#REF!</v>
      </c>
      <c r="HP114" t="e">
        <f>AND(NhatkyBan!#REF!,"AAAAAHdb+98=")</f>
        <v>#REF!</v>
      </c>
      <c r="HQ114" t="e">
        <f>AND(NhatkyBan!#REF!,"AAAAAHdb++A=")</f>
        <v>#REF!</v>
      </c>
      <c r="HR114" t="e">
        <f>AND(NhatkyBan!#REF!,"AAAAAHdb++E=")</f>
        <v>#REF!</v>
      </c>
      <c r="HS114" t="e">
        <f>AND(NhatkyBan!#REF!,"AAAAAHdb++I=")</f>
        <v>#REF!</v>
      </c>
      <c r="HT114" t="e">
        <f>AND(NhatkyBan!#REF!,"AAAAAHdb++M=")</f>
        <v>#REF!</v>
      </c>
      <c r="HU114" t="e">
        <f>AND(NhatkyBan!#REF!,"AAAAAHdb++Q=")</f>
        <v>#REF!</v>
      </c>
      <c r="HV114" t="e">
        <f>AND(NhatkyBan!#REF!,"AAAAAHdb++U=")</f>
        <v>#REF!</v>
      </c>
      <c r="HW114" t="e">
        <f>AND(NhatkyBan!#REF!,"AAAAAHdb++Y=")</f>
        <v>#REF!</v>
      </c>
      <c r="HX114" t="e">
        <f>AND(NhatkyBan!#REF!,"AAAAAHdb++c=")</f>
        <v>#REF!</v>
      </c>
      <c r="HY114" t="e">
        <f>AND(NhatkyBan!#REF!,"AAAAAHdb++g=")</f>
        <v>#REF!</v>
      </c>
      <c r="HZ114" t="e">
        <f>AND(NhatkyBan!#REF!,"AAAAAHdb++k=")</f>
        <v>#REF!</v>
      </c>
      <c r="IA114" t="e">
        <f>AND(NhatkyBan!#REF!,"AAAAAHdb++o=")</f>
        <v>#REF!</v>
      </c>
      <c r="IB114" t="e">
        <f>AND(NhatkyBan!#REF!,"AAAAAHdb++s=")</f>
        <v>#REF!</v>
      </c>
      <c r="IC114" t="e">
        <f>AND(NhatkyBan!#REF!,"AAAAAHdb++w=")</f>
        <v>#REF!</v>
      </c>
      <c r="ID114" t="e">
        <f>AND(NhatkyBan!#REF!,"AAAAAHdb++0=")</f>
        <v>#REF!</v>
      </c>
      <c r="IE114" t="e">
        <f>AND(NhatkyBan!#REF!,"AAAAAHdb++4=")</f>
        <v>#REF!</v>
      </c>
      <c r="IF114" t="e">
        <f>AND(NhatkyBan!#REF!,"AAAAAHdb++8=")</f>
        <v>#REF!</v>
      </c>
      <c r="IG114" t="e">
        <f>AND(NhatkyBan!#REF!,"AAAAAHdb+/A=")</f>
        <v>#REF!</v>
      </c>
      <c r="IH114" t="e">
        <f>AND(NhatkyBan!#REF!,"AAAAAHdb+/E=")</f>
        <v>#REF!</v>
      </c>
      <c r="II114" t="e">
        <f>IF(NhatkyBan!#REF!,"AAAAAHdb+/I=",0)</f>
        <v>#REF!</v>
      </c>
      <c r="IJ114" t="e">
        <f>AND(NhatkyBan!#REF!,"AAAAAHdb+/M=")</f>
        <v>#REF!</v>
      </c>
      <c r="IK114" t="e">
        <f>AND(NhatkyBan!#REF!,"AAAAAHdb+/Q=")</f>
        <v>#REF!</v>
      </c>
      <c r="IL114" t="e">
        <f>AND(NhatkyBan!#REF!,"AAAAAHdb+/U=")</f>
        <v>#REF!</v>
      </c>
      <c r="IM114" t="e">
        <f>AND(NhatkyBan!#REF!,"AAAAAHdb+/Y=")</f>
        <v>#REF!</v>
      </c>
      <c r="IN114" t="e">
        <f>AND(NhatkyBan!#REF!,"AAAAAHdb+/c=")</f>
        <v>#REF!</v>
      </c>
      <c r="IO114" t="e">
        <f>AND(NhatkyBan!#REF!,"AAAAAHdb+/g=")</f>
        <v>#REF!</v>
      </c>
      <c r="IP114" t="e">
        <f>AND(NhatkyBan!#REF!,"AAAAAHdb+/k=")</f>
        <v>#REF!</v>
      </c>
      <c r="IQ114" t="e">
        <f>AND(NhatkyBan!#REF!,"AAAAAHdb+/o=")</f>
        <v>#REF!</v>
      </c>
      <c r="IR114" t="e">
        <f>AND(NhatkyBan!#REF!,"AAAAAHdb+/s=")</f>
        <v>#REF!</v>
      </c>
      <c r="IS114" t="e">
        <f>AND(NhatkyBan!#REF!,"AAAAAHdb+/w=")</f>
        <v>#REF!</v>
      </c>
      <c r="IT114" t="e">
        <f>AND(NhatkyBan!#REF!,"AAAAAHdb+/0=")</f>
        <v>#REF!</v>
      </c>
      <c r="IU114" t="e">
        <f>AND(NhatkyBan!#REF!,"AAAAAHdb+/4=")</f>
        <v>#REF!</v>
      </c>
      <c r="IV114" t="e">
        <f>AND(NhatkyBan!#REF!,"AAAAAHdb+/8=")</f>
        <v>#REF!</v>
      </c>
    </row>
    <row r="115" spans="1:256">
      <c r="A115" t="e">
        <f>AND(NhatkyBan!#REF!,"AAAAAHr9uwA=")</f>
        <v>#REF!</v>
      </c>
      <c r="B115" t="e">
        <f>AND(NhatkyBan!#REF!,"AAAAAHr9uwE=")</f>
        <v>#REF!</v>
      </c>
      <c r="C115" t="e">
        <f>AND(NhatkyBan!#REF!,"AAAAAHr9uwI=")</f>
        <v>#REF!</v>
      </c>
      <c r="D115" t="e">
        <f>AND(NhatkyBan!#REF!,"AAAAAHr9uwM=")</f>
        <v>#REF!</v>
      </c>
      <c r="E115" t="e">
        <f>AND(NhatkyBan!#REF!,"AAAAAHr9uwQ=")</f>
        <v>#REF!</v>
      </c>
      <c r="F115" t="e">
        <f>AND(NhatkyBan!#REF!,"AAAAAHr9uwU=")</f>
        <v>#REF!</v>
      </c>
      <c r="G115" t="e">
        <f>AND(NhatkyBan!#REF!,"AAAAAHr9uwY=")</f>
        <v>#REF!</v>
      </c>
      <c r="H115" t="e">
        <f>AND(NhatkyBan!#REF!,"AAAAAHr9uwc=")</f>
        <v>#REF!</v>
      </c>
      <c r="I115" t="e">
        <f>AND(NhatkyBan!#REF!,"AAAAAHr9uwg=")</f>
        <v>#REF!</v>
      </c>
      <c r="J115" t="e">
        <f>AND(NhatkyBan!#REF!,"AAAAAHr9uwk=")</f>
        <v>#REF!</v>
      </c>
      <c r="K115" t="e">
        <f>AND(NhatkyBan!#REF!,"AAAAAHr9uwo=")</f>
        <v>#REF!</v>
      </c>
      <c r="L115" t="e">
        <f>AND(NhatkyBan!#REF!,"AAAAAHr9uws=")</f>
        <v>#REF!</v>
      </c>
      <c r="M115" t="e">
        <f>AND(NhatkyBan!#REF!,"AAAAAHr9uww=")</f>
        <v>#REF!</v>
      </c>
      <c r="N115" t="e">
        <f>AND(NhatkyBan!#REF!,"AAAAAHr9uw0=")</f>
        <v>#REF!</v>
      </c>
      <c r="O115" t="e">
        <f>AND(NhatkyBan!#REF!,"AAAAAHr9uw4=")</f>
        <v>#REF!</v>
      </c>
      <c r="P115" t="e">
        <f>AND(NhatkyBan!#REF!,"AAAAAHr9uw8=")</f>
        <v>#REF!</v>
      </c>
      <c r="Q115" t="e">
        <f>AND(NhatkyBan!#REF!,"AAAAAHr9uxA=")</f>
        <v>#REF!</v>
      </c>
      <c r="R115" t="e">
        <f>AND(NhatkyBan!#REF!,"AAAAAHr9uxE=")</f>
        <v>#REF!</v>
      </c>
      <c r="S115" t="e">
        <f>AND(NhatkyBan!#REF!,"AAAAAHr9uxI=")</f>
        <v>#REF!</v>
      </c>
      <c r="T115" t="e">
        <f>AND(NhatkyBan!#REF!,"AAAAAHr9uxM=")</f>
        <v>#REF!</v>
      </c>
      <c r="U115" t="e">
        <f>AND(NhatkyBan!#REF!,"AAAAAHr9uxQ=")</f>
        <v>#REF!</v>
      </c>
      <c r="V115" t="e">
        <f>IF(NhatkyBan!#REF!,"AAAAAHr9uxU=",0)</f>
        <v>#REF!</v>
      </c>
      <c r="W115" t="e">
        <f>AND(NhatkyBan!#REF!,"AAAAAHr9uxY=")</f>
        <v>#REF!</v>
      </c>
      <c r="X115" t="e">
        <f>AND(NhatkyBan!#REF!,"AAAAAHr9uxc=")</f>
        <v>#REF!</v>
      </c>
      <c r="Y115" t="e">
        <f>AND(NhatkyBan!#REF!,"AAAAAHr9uxg=")</f>
        <v>#REF!</v>
      </c>
      <c r="Z115" t="e">
        <f>AND(NhatkyBan!#REF!,"AAAAAHr9uxk=")</f>
        <v>#REF!</v>
      </c>
      <c r="AA115" t="e">
        <f>AND(NhatkyBan!#REF!,"AAAAAHr9uxo=")</f>
        <v>#REF!</v>
      </c>
      <c r="AB115" t="e">
        <f>AND(NhatkyBan!#REF!,"AAAAAHr9uxs=")</f>
        <v>#REF!</v>
      </c>
      <c r="AC115" t="e">
        <f>AND(NhatkyBan!#REF!,"AAAAAHr9uxw=")</f>
        <v>#REF!</v>
      </c>
      <c r="AD115" t="e">
        <f>AND(NhatkyBan!#REF!,"AAAAAHr9ux0=")</f>
        <v>#REF!</v>
      </c>
      <c r="AE115" t="e">
        <f>AND(NhatkyBan!#REF!,"AAAAAHr9ux4=")</f>
        <v>#REF!</v>
      </c>
      <c r="AF115" t="e">
        <f>AND(NhatkyBan!#REF!,"AAAAAHr9ux8=")</f>
        <v>#REF!</v>
      </c>
      <c r="AG115" t="e">
        <f>AND(NhatkyBan!#REF!,"AAAAAHr9uyA=")</f>
        <v>#REF!</v>
      </c>
      <c r="AH115" t="e">
        <f>AND(NhatkyBan!#REF!,"AAAAAHr9uyE=")</f>
        <v>#REF!</v>
      </c>
      <c r="AI115" t="e">
        <f>AND(NhatkyBan!#REF!,"AAAAAHr9uyI=")</f>
        <v>#REF!</v>
      </c>
      <c r="AJ115" t="e">
        <f>AND(NhatkyBan!#REF!,"AAAAAHr9uyM=")</f>
        <v>#REF!</v>
      </c>
      <c r="AK115" t="e">
        <f>AND(NhatkyBan!#REF!,"AAAAAHr9uyQ=")</f>
        <v>#REF!</v>
      </c>
      <c r="AL115" t="e">
        <f>AND(NhatkyBan!#REF!,"AAAAAHr9uyU=")</f>
        <v>#REF!</v>
      </c>
      <c r="AM115" t="e">
        <f>AND(NhatkyBan!#REF!,"AAAAAHr9uyY=")</f>
        <v>#REF!</v>
      </c>
      <c r="AN115" t="e">
        <f>AND(NhatkyBan!#REF!,"AAAAAHr9uyc=")</f>
        <v>#REF!</v>
      </c>
      <c r="AO115" t="e">
        <f>AND(NhatkyBan!#REF!,"AAAAAHr9uyg=")</f>
        <v>#REF!</v>
      </c>
      <c r="AP115" t="e">
        <f>AND(NhatkyBan!#REF!,"AAAAAHr9uyk=")</f>
        <v>#REF!</v>
      </c>
      <c r="AQ115" t="e">
        <f>AND(NhatkyBan!#REF!,"AAAAAHr9uyo=")</f>
        <v>#REF!</v>
      </c>
      <c r="AR115" t="e">
        <f>AND(NhatkyBan!#REF!,"AAAAAHr9uys=")</f>
        <v>#REF!</v>
      </c>
      <c r="AS115" t="e">
        <f>AND(NhatkyBan!#REF!,"AAAAAHr9uyw=")</f>
        <v>#REF!</v>
      </c>
      <c r="AT115" t="e">
        <f>AND(NhatkyBan!#REF!,"AAAAAHr9uy0=")</f>
        <v>#REF!</v>
      </c>
      <c r="AU115" t="e">
        <f>AND(NhatkyBan!#REF!,"AAAAAHr9uy4=")</f>
        <v>#REF!</v>
      </c>
      <c r="AV115" t="e">
        <f>AND(NhatkyBan!#REF!,"AAAAAHr9uy8=")</f>
        <v>#REF!</v>
      </c>
      <c r="AW115" t="e">
        <f>AND(NhatkyBan!#REF!,"AAAAAHr9uzA=")</f>
        <v>#REF!</v>
      </c>
      <c r="AX115" t="e">
        <f>AND(NhatkyBan!#REF!,"AAAAAHr9uzE=")</f>
        <v>#REF!</v>
      </c>
      <c r="AY115" t="e">
        <f>AND(NhatkyBan!#REF!,"AAAAAHr9uzI=")</f>
        <v>#REF!</v>
      </c>
      <c r="AZ115" t="e">
        <f>AND(NhatkyBan!#REF!,"AAAAAHr9uzM=")</f>
        <v>#REF!</v>
      </c>
      <c r="BA115" t="e">
        <f>AND(NhatkyBan!#REF!,"AAAAAHr9uzQ=")</f>
        <v>#REF!</v>
      </c>
      <c r="BB115" t="e">
        <f>AND(NhatkyBan!#REF!,"AAAAAHr9uzU=")</f>
        <v>#REF!</v>
      </c>
      <c r="BC115" t="e">
        <f>AND(NhatkyBan!#REF!,"AAAAAHr9uzY=")</f>
        <v>#REF!</v>
      </c>
      <c r="BD115" t="e">
        <f>AND(NhatkyBan!#REF!,"AAAAAHr9uzc=")</f>
        <v>#REF!</v>
      </c>
      <c r="BE115" t="e">
        <f>IF(NhatkyBan!#REF!,"AAAAAHr9uzg=",0)</f>
        <v>#REF!</v>
      </c>
      <c r="BF115" t="e">
        <f>AND(NhatkyBan!#REF!,"AAAAAHr9uzk=")</f>
        <v>#REF!</v>
      </c>
      <c r="BG115" t="e">
        <f>AND(NhatkyBan!#REF!,"AAAAAHr9uzo=")</f>
        <v>#REF!</v>
      </c>
      <c r="BH115" t="e">
        <f>AND(NhatkyBan!#REF!,"AAAAAHr9uzs=")</f>
        <v>#REF!</v>
      </c>
      <c r="BI115" t="e">
        <f>AND(NhatkyBan!#REF!,"AAAAAHr9uzw=")</f>
        <v>#REF!</v>
      </c>
      <c r="BJ115" t="e">
        <f>AND(NhatkyBan!#REF!,"AAAAAHr9uz0=")</f>
        <v>#REF!</v>
      </c>
      <c r="BK115" t="e">
        <f>AND(NhatkyBan!#REF!,"AAAAAHr9uz4=")</f>
        <v>#REF!</v>
      </c>
      <c r="BL115" t="e">
        <f>AND(NhatkyBan!#REF!,"AAAAAHr9uz8=")</f>
        <v>#REF!</v>
      </c>
      <c r="BM115" t="e">
        <f>AND(NhatkyBan!#REF!,"AAAAAHr9u0A=")</f>
        <v>#REF!</v>
      </c>
      <c r="BN115" t="e">
        <f>AND(NhatkyBan!#REF!,"AAAAAHr9u0E=")</f>
        <v>#REF!</v>
      </c>
      <c r="BO115" t="e">
        <f>AND(NhatkyBan!#REF!,"AAAAAHr9u0I=")</f>
        <v>#REF!</v>
      </c>
      <c r="BP115" t="e">
        <f>AND(NhatkyBan!#REF!,"AAAAAHr9u0M=")</f>
        <v>#REF!</v>
      </c>
      <c r="BQ115" t="e">
        <f>AND(NhatkyBan!#REF!,"AAAAAHr9u0Q=")</f>
        <v>#REF!</v>
      </c>
      <c r="BR115" t="e">
        <f>AND(NhatkyBan!#REF!,"AAAAAHr9u0U=")</f>
        <v>#REF!</v>
      </c>
      <c r="BS115" t="e">
        <f>AND(NhatkyBan!#REF!,"AAAAAHr9u0Y=")</f>
        <v>#REF!</v>
      </c>
      <c r="BT115" t="e">
        <f>AND(NhatkyBan!#REF!,"AAAAAHr9u0c=")</f>
        <v>#REF!</v>
      </c>
      <c r="BU115" t="e">
        <f>AND(NhatkyBan!#REF!,"AAAAAHr9u0g=")</f>
        <v>#REF!</v>
      </c>
      <c r="BV115" t="e">
        <f>AND(NhatkyBan!#REF!,"AAAAAHr9u0k=")</f>
        <v>#REF!</v>
      </c>
      <c r="BW115" t="e">
        <f>AND(NhatkyBan!#REF!,"AAAAAHr9u0o=")</f>
        <v>#REF!</v>
      </c>
      <c r="BX115" t="e">
        <f>AND(NhatkyBan!#REF!,"AAAAAHr9u0s=")</f>
        <v>#REF!</v>
      </c>
      <c r="BY115" t="e">
        <f>AND(NhatkyBan!#REF!,"AAAAAHr9u0w=")</f>
        <v>#REF!</v>
      </c>
      <c r="BZ115" t="e">
        <f>AND(NhatkyBan!#REF!,"AAAAAHr9u00=")</f>
        <v>#REF!</v>
      </c>
      <c r="CA115" t="e">
        <f>AND(NhatkyBan!#REF!,"AAAAAHr9u04=")</f>
        <v>#REF!</v>
      </c>
      <c r="CB115" t="e">
        <f>AND(NhatkyBan!#REF!,"AAAAAHr9u08=")</f>
        <v>#REF!</v>
      </c>
      <c r="CC115" t="e">
        <f>AND(NhatkyBan!#REF!,"AAAAAHr9u1A=")</f>
        <v>#REF!</v>
      </c>
      <c r="CD115" t="e">
        <f>AND(NhatkyBan!#REF!,"AAAAAHr9u1E=")</f>
        <v>#REF!</v>
      </c>
      <c r="CE115" t="e">
        <f>AND(NhatkyBan!#REF!,"AAAAAHr9u1I=")</f>
        <v>#REF!</v>
      </c>
      <c r="CF115" t="e">
        <f>AND(NhatkyBan!#REF!,"AAAAAHr9u1M=")</f>
        <v>#REF!</v>
      </c>
      <c r="CG115" t="e">
        <f>AND(NhatkyBan!#REF!,"AAAAAHr9u1Q=")</f>
        <v>#REF!</v>
      </c>
      <c r="CH115" t="e">
        <f>AND(NhatkyBan!#REF!,"AAAAAHr9u1U=")</f>
        <v>#REF!</v>
      </c>
      <c r="CI115" t="e">
        <f>AND(NhatkyBan!#REF!,"AAAAAHr9u1Y=")</f>
        <v>#REF!</v>
      </c>
      <c r="CJ115" t="e">
        <f>AND(NhatkyBan!#REF!,"AAAAAHr9u1c=")</f>
        <v>#REF!</v>
      </c>
      <c r="CK115" t="e">
        <f>AND(NhatkyBan!#REF!,"AAAAAHr9u1g=")</f>
        <v>#REF!</v>
      </c>
      <c r="CL115" t="e">
        <f>AND(NhatkyBan!#REF!,"AAAAAHr9u1k=")</f>
        <v>#REF!</v>
      </c>
      <c r="CM115" t="e">
        <f>AND(NhatkyBan!#REF!,"AAAAAHr9u1o=")</f>
        <v>#REF!</v>
      </c>
      <c r="CN115" t="e">
        <f>IF(NhatkyBan!#REF!,"AAAAAHr9u1s=",0)</f>
        <v>#REF!</v>
      </c>
      <c r="CO115" t="e">
        <f>AND(NhatkyBan!#REF!,"AAAAAHr9u1w=")</f>
        <v>#REF!</v>
      </c>
      <c r="CP115" t="e">
        <f>AND(NhatkyBan!#REF!,"AAAAAHr9u10=")</f>
        <v>#REF!</v>
      </c>
      <c r="CQ115" t="e">
        <f>AND(NhatkyBan!#REF!,"AAAAAHr9u14=")</f>
        <v>#REF!</v>
      </c>
      <c r="CR115" t="e">
        <f>AND(NhatkyBan!#REF!,"AAAAAHr9u18=")</f>
        <v>#REF!</v>
      </c>
      <c r="CS115" t="e">
        <f>AND(NhatkyBan!#REF!,"AAAAAHr9u2A=")</f>
        <v>#REF!</v>
      </c>
      <c r="CT115" t="e">
        <f>AND(NhatkyBan!#REF!,"AAAAAHr9u2E=")</f>
        <v>#REF!</v>
      </c>
      <c r="CU115" t="e">
        <f>AND(NhatkyBan!#REF!,"AAAAAHr9u2I=")</f>
        <v>#REF!</v>
      </c>
      <c r="CV115" t="e">
        <f>AND(NhatkyBan!#REF!,"AAAAAHr9u2M=")</f>
        <v>#REF!</v>
      </c>
      <c r="CW115" t="e">
        <f>AND(NhatkyBan!#REF!,"AAAAAHr9u2Q=")</f>
        <v>#REF!</v>
      </c>
      <c r="CX115" t="e">
        <f>AND(NhatkyBan!#REF!,"AAAAAHr9u2U=")</f>
        <v>#REF!</v>
      </c>
      <c r="CY115" t="e">
        <f>AND(NhatkyBan!#REF!,"AAAAAHr9u2Y=")</f>
        <v>#REF!</v>
      </c>
      <c r="CZ115" t="e">
        <f>AND(NhatkyBan!#REF!,"AAAAAHr9u2c=")</f>
        <v>#REF!</v>
      </c>
      <c r="DA115" t="e">
        <f>AND(NhatkyBan!#REF!,"AAAAAHr9u2g=")</f>
        <v>#REF!</v>
      </c>
      <c r="DB115" t="e">
        <f>AND(NhatkyBan!#REF!,"AAAAAHr9u2k=")</f>
        <v>#REF!</v>
      </c>
      <c r="DC115" t="e">
        <f>AND(NhatkyBan!#REF!,"AAAAAHr9u2o=")</f>
        <v>#REF!</v>
      </c>
      <c r="DD115" t="e">
        <f>AND(NhatkyBan!#REF!,"AAAAAHr9u2s=")</f>
        <v>#REF!</v>
      </c>
      <c r="DE115" t="e">
        <f>AND(NhatkyBan!#REF!,"AAAAAHr9u2w=")</f>
        <v>#REF!</v>
      </c>
      <c r="DF115" t="e">
        <f>AND(NhatkyBan!#REF!,"AAAAAHr9u20=")</f>
        <v>#REF!</v>
      </c>
      <c r="DG115" t="e">
        <f>AND(NhatkyBan!#REF!,"AAAAAHr9u24=")</f>
        <v>#REF!</v>
      </c>
      <c r="DH115" t="e">
        <f>AND(NhatkyBan!#REF!,"AAAAAHr9u28=")</f>
        <v>#REF!</v>
      </c>
      <c r="DI115" t="e">
        <f>AND(NhatkyBan!#REF!,"AAAAAHr9u3A=")</f>
        <v>#REF!</v>
      </c>
      <c r="DJ115" t="e">
        <f>AND(NhatkyBan!#REF!,"AAAAAHr9u3E=")</f>
        <v>#REF!</v>
      </c>
      <c r="DK115" t="e">
        <f>AND(NhatkyBan!#REF!,"AAAAAHr9u3I=")</f>
        <v>#REF!</v>
      </c>
      <c r="DL115" t="e">
        <f>AND(NhatkyBan!#REF!,"AAAAAHr9u3M=")</f>
        <v>#REF!</v>
      </c>
      <c r="DM115" t="e">
        <f>AND(NhatkyBan!#REF!,"AAAAAHr9u3Q=")</f>
        <v>#REF!</v>
      </c>
      <c r="DN115" t="e">
        <f>AND(NhatkyBan!#REF!,"AAAAAHr9u3U=")</f>
        <v>#REF!</v>
      </c>
      <c r="DO115" t="e">
        <f>AND(NhatkyBan!#REF!,"AAAAAHr9u3Y=")</f>
        <v>#REF!</v>
      </c>
      <c r="DP115" t="e">
        <f>AND(NhatkyBan!#REF!,"AAAAAHr9u3c=")</f>
        <v>#REF!</v>
      </c>
      <c r="DQ115" t="e">
        <f>AND(NhatkyBan!#REF!,"AAAAAHr9u3g=")</f>
        <v>#REF!</v>
      </c>
      <c r="DR115" t="e">
        <f>AND(NhatkyBan!#REF!,"AAAAAHr9u3k=")</f>
        <v>#REF!</v>
      </c>
      <c r="DS115" t="e">
        <f>AND(NhatkyBan!#REF!,"AAAAAHr9u3o=")</f>
        <v>#REF!</v>
      </c>
      <c r="DT115" t="e">
        <f>AND(NhatkyBan!#REF!,"AAAAAHr9u3s=")</f>
        <v>#REF!</v>
      </c>
      <c r="DU115" t="e">
        <f>AND(NhatkyBan!#REF!,"AAAAAHr9u3w=")</f>
        <v>#REF!</v>
      </c>
      <c r="DV115" t="e">
        <f>AND(NhatkyBan!#REF!,"AAAAAHr9u30=")</f>
        <v>#REF!</v>
      </c>
      <c r="DW115" t="e">
        <f>IF(NhatkyBan!#REF!,"AAAAAHr9u34=",0)</f>
        <v>#REF!</v>
      </c>
      <c r="DX115" t="e">
        <f>AND(NhatkyBan!#REF!,"AAAAAHr9u38=")</f>
        <v>#REF!</v>
      </c>
      <c r="DY115" t="e">
        <f>AND(NhatkyBan!#REF!,"AAAAAHr9u4A=")</f>
        <v>#REF!</v>
      </c>
      <c r="DZ115" t="e">
        <f>AND(NhatkyBan!#REF!,"AAAAAHr9u4E=")</f>
        <v>#REF!</v>
      </c>
      <c r="EA115" t="e">
        <f>AND(NhatkyBan!#REF!,"AAAAAHr9u4I=")</f>
        <v>#REF!</v>
      </c>
      <c r="EB115" t="e">
        <f>AND(NhatkyBan!#REF!,"AAAAAHr9u4M=")</f>
        <v>#REF!</v>
      </c>
      <c r="EC115" t="e">
        <f>AND(NhatkyBan!#REF!,"AAAAAHr9u4Q=")</f>
        <v>#REF!</v>
      </c>
      <c r="ED115" t="e">
        <f>AND(NhatkyBan!#REF!,"AAAAAHr9u4U=")</f>
        <v>#REF!</v>
      </c>
      <c r="EE115" t="e">
        <f>AND(NhatkyBan!#REF!,"AAAAAHr9u4Y=")</f>
        <v>#REF!</v>
      </c>
      <c r="EF115" t="e">
        <f>AND(NhatkyBan!#REF!,"AAAAAHr9u4c=")</f>
        <v>#REF!</v>
      </c>
      <c r="EG115" t="e">
        <f>AND(NhatkyBan!#REF!,"AAAAAHr9u4g=")</f>
        <v>#REF!</v>
      </c>
      <c r="EH115" t="e">
        <f>AND(NhatkyBan!#REF!,"AAAAAHr9u4k=")</f>
        <v>#REF!</v>
      </c>
      <c r="EI115" t="e">
        <f>AND(NhatkyBan!#REF!,"AAAAAHr9u4o=")</f>
        <v>#REF!</v>
      </c>
      <c r="EJ115" t="e">
        <f>AND(NhatkyBan!#REF!,"AAAAAHr9u4s=")</f>
        <v>#REF!</v>
      </c>
      <c r="EK115" t="e">
        <f>AND(NhatkyBan!#REF!,"AAAAAHr9u4w=")</f>
        <v>#REF!</v>
      </c>
      <c r="EL115" t="e">
        <f>AND(NhatkyBan!#REF!,"AAAAAHr9u40=")</f>
        <v>#REF!</v>
      </c>
      <c r="EM115" t="e">
        <f>AND(NhatkyBan!#REF!,"AAAAAHr9u44=")</f>
        <v>#REF!</v>
      </c>
      <c r="EN115" t="e">
        <f>AND(NhatkyBan!#REF!,"AAAAAHr9u48=")</f>
        <v>#REF!</v>
      </c>
      <c r="EO115" t="e">
        <f>AND(NhatkyBan!#REF!,"AAAAAHr9u5A=")</f>
        <v>#REF!</v>
      </c>
      <c r="EP115" t="e">
        <f>AND(NhatkyBan!#REF!,"AAAAAHr9u5E=")</f>
        <v>#REF!</v>
      </c>
      <c r="EQ115" t="e">
        <f>AND(NhatkyBan!#REF!,"AAAAAHr9u5I=")</f>
        <v>#REF!</v>
      </c>
      <c r="ER115" t="e">
        <f>AND(NhatkyBan!#REF!,"AAAAAHr9u5M=")</f>
        <v>#REF!</v>
      </c>
      <c r="ES115" t="e">
        <f>AND(NhatkyBan!#REF!,"AAAAAHr9u5Q=")</f>
        <v>#REF!</v>
      </c>
      <c r="ET115" t="e">
        <f>AND(NhatkyBan!#REF!,"AAAAAHr9u5U=")</f>
        <v>#REF!</v>
      </c>
      <c r="EU115" t="e">
        <f>AND(NhatkyBan!#REF!,"AAAAAHr9u5Y=")</f>
        <v>#REF!</v>
      </c>
      <c r="EV115" t="e">
        <f>AND(NhatkyBan!#REF!,"AAAAAHr9u5c=")</f>
        <v>#REF!</v>
      </c>
      <c r="EW115" t="e">
        <f>AND(NhatkyBan!#REF!,"AAAAAHr9u5g=")</f>
        <v>#REF!</v>
      </c>
      <c r="EX115" t="e">
        <f>AND(NhatkyBan!#REF!,"AAAAAHr9u5k=")</f>
        <v>#REF!</v>
      </c>
      <c r="EY115" t="e">
        <f>AND(NhatkyBan!#REF!,"AAAAAHr9u5o=")</f>
        <v>#REF!</v>
      </c>
      <c r="EZ115" t="e">
        <f>AND(NhatkyBan!#REF!,"AAAAAHr9u5s=")</f>
        <v>#REF!</v>
      </c>
      <c r="FA115" t="e">
        <f>AND(NhatkyBan!#REF!,"AAAAAHr9u5w=")</f>
        <v>#REF!</v>
      </c>
      <c r="FB115" t="e">
        <f>AND(NhatkyBan!#REF!,"AAAAAHr9u50=")</f>
        <v>#REF!</v>
      </c>
      <c r="FC115" t="e">
        <f>AND(NhatkyBan!#REF!,"AAAAAHr9u54=")</f>
        <v>#REF!</v>
      </c>
      <c r="FD115" t="e">
        <f>AND(NhatkyBan!#REF!,"AAAAAHr9u58=")</f>
        <v>#REF!</v>
      </c>
      <c r="FE115" t="e">
        <f>AND(NhatkyBan!#REF!,"AAAAAHr9u6A=")</f>
        <v>#REF!</v>
      </c>
      <c r="FF115" t="e">
        <f>IF(NhatkyBan!#REF!,"AAAAAHr9u6E=",0)</f>
        <v>#REF!</v>
      </c>
      <c r="FG115" t="e">
        <f>AND(NhatkyBan!#REF!,"AAAAAHr9u6I=")</f>
        <v>#REF!</v>
      </c>
      <c r="FH115" t="e">
        <f>AND(NhatkyBan!#REF!,"AAAAAHr9u6M=")</f>
        <v>#REF!</v>
      </c>
      <c r="FI115" t="e">
        <f>AND(NhatkyBan!#REF!,"AAAAAHr9u6Q=")</f>
        <v>#REF!</v>
      </c>
      <c r="FJ115" t="e">
        <f>AND(NhatkyBan!#REF!,"AAAAAHr9u6U=")</f>
        <v>#REF!</v>
      </c>
      <c r="FK115" t="e">
        <f>AND(NhatkyBan!#REF!,"AAAAAHr9u6Y=")</f>
        <v>#REF!</v>
      </c>
      <c r="FL115" t="e">
        <f>AND(NhatkyBan!#REF!,"AAAAAHr9u6c=")</f>
        <v>#REF!</v>
      </c>
      <c r="FM115" t="e">
        <f>AND(NhatkyBan!#REF!,"AAAAAHr9u6g=")</f>
        <v>#REF!</v>
      </c>
      <c r="FN115" t="e">
        <f>AND(NhatkyBan!#REF!,"AAAAAHr9u6k=")</f>
        <v>#REF!</v>
      </c>
      <c r="FO115" t="e">
        <f>AND(NhatkyBan!#REF!,"AAAAAHr9u6o=")</f>
        <v>#REF!</v>
      </c>
      <c r="FP115" t="e">
        <f>AND(NhatkyBan!#REF!,"AAAAAHr9u6s=")</f>
        <v>#REF!</v>
      </c>
      <c r="FQ115" t="e">
        <f>AND(NhatkyBan!#REF!,"AAAAAHr9u6w=")</f>
        <v>#REF!</v>
      </c>
      <c r="FR115" t="e">
        <f>AND(NhatkyBan!#REF!,"AAAAAHr9u60=")</f>
        <v>#REF!</v>
      </c>
      <c r="FS115" t="e">
        <f>AND(NhatkyBan!#REF!,"AAAAAHr9u64=")</f>
        <v>#REF!</v>
      </c>
      <c r="FT115" t="e">
        <f>AND(NhatkyBan!#REF!,"AAAAAHr9u68=")</f>
        <v>#REF!</v>
      </c>
      <c r="FU115" t="e">
        <f>AND(NhatkyBan!#REF!,"AAAAAHr9u7A=")</f>
        <v>#REF!</v>
      </c>
      <c r="FV115" t="e">
        <f>AND(NhatkyBan!#REF!,"AAAAAHr9u7E=")</f>
        <v>#REF!</v>
      </c>
      <c r="FW115" t="e">
        <f>AND(NhatkyBan!#REF!,"AAAAAHr9u7I=")</f>
        <v>#REF!</v>
      </c>
      <c r="FX115" t="e">
        <f>AND(NhatkyBan!#REF!,"AAAAAHr9u7M=")</f>
        <v>#REF!</v>
      </c>
      <c r="FY115" t="e">
        <f>AND(NhatkyBan!#REF!,"AAAAAHr9u7Q=")</f>
        <v>#REF!</v>
      </c>
      <c r="FZ115" t="e">
        <f>AND(NhatkyBan!#REF!,"AAAAAHr9u7U=")</f>
        <v>#REF!</v>
      </c>
      <c r="GA115" t="e">
        <f>AND(NhatkyBan!#REF!,"AAAAAHr9u7Y=")</f>
        <v>#REF!</v>
      </c>
      <c r="GB115" t="e">
        <f>AND(NhatkyBan!#REF!,"AAAAAHr9u7c=")</f>
        <v>#REF!</v>
      </c>
      <c r="GC115" t="e">
        <f>AND(NhatkyBan!#REF!,"AAAAAHr9u7g=")</f>
        <v>#REF!</v>
      </c>
      <c r="GD115" t="e">
        <f>AND(NhatkyBan!#REF!,"AAAAAHr9u7k=")</f>
        <v>#REF!</v>
      </c>
      <c r="GE115" t="e">
        <f>AND(NhatkyBan!#REF!,"AAAAAHr9u7o=")</f>
        <v>#REF!</v>
      </c>
      <c r="GF115" t="e">
        <f>AND(NhatkyBan!#REF!,"AAAAAHr9u7s=")</f>
        <v>#REF!</v>
      </c>
      <c r="GG115" t="e">
        <f>AND(NhatkyBan!#REF!,"AAAAAHr9u7w=")</f>
        <v>#REF!</v>
      </c>
      <c r="GH115" t="e">
        <f>AND(NhatkyBan!#REF!,"AAAAAHr9u70=")</f>
        <v>#REF!</v>
      </c>
      <c r="GI115" t="e">
        <f>AND(NhatkyBan!#REF!,"AAAAAHr9u74=")</f>
        <v>#REF!</v>
      </c>
      <c r="GJ115" t="e">
        <f>AND(NhatkyBan!#REF!,"AAAAAHr9u78=")</f>
        <v>#REF!</v>
      </c>
      <c r="GK115" t="e">
        <f>AND(NhatkyBan!#REF!,"AAAAAHr9u8A=")</f>
        <v>#REF!</v>
      </c>
      <c r="GL115" t="e">
        <f>AND(NhatkyBan!#REF!,"AAAAAHr9u8E=")</f>
        <v>#REF!</v>
      </c>
      <c r="GM115" t="e">
        <f>AND(NhatkyBan!#REF!,"AAAAAHr9u8I=")</f>
        <v>#REF!</v>
      </c>
      <c r="GN115" t="e">
        <f>AND(NhatkyBan!#REF!,"AAAAAHr9u8M=")</f>
        <v>#REF!</v>
      </c>
      <c r="GO115" t="e">
        <f>IF(NhatkyBan!#REF!,"AAAAAHr9u8Q=",0)</f>
        <v>#REF!</v>
      </c>
      <c r="GP115" t="e">
        <f>AND(NhatkyBan!#REF!,"AAAAAHr9u8U=")</f>
        <v>#REF!</v>
      </c>
      <c r="GQ115" t="e">
        <f>AND(NhatkyBan!#REF!,"AAAAAHr9u8Y=")</f>
        <v>#REF!</v>
      </c>
      <c r="GR115" t="e">
        <f>AND(NhatkyBan!#REF!,"AAAAAHr9u8c=")</f>
        <v>#REF!</v>
      </c>
      <c r="GS115" t="e">
        <f>AND(NhatkyBan!#REF!,"AAAAAHr9u8g=")</f>
        <v>#REF!</v>
      </c>
      <c r="GT115" t="e">
        <f>AND(NhatkyBan!#REF!,"AAAAAHr9u8k=")</f>
        <v>#REF!</v>
      </c>
      <c r="GU115" t="e">
        <f>AND(NhatkyBan!#REF!,"AAAAAHr9u8o=")</f>
        <v>#REF!</v>
      </c>
      <c r="GV115" t="e">
        <f>AND(NhatkyBan!#REF!,"AAAAAHr9u8s=")</f>
        <v>#REF!</v>
      </c>
      <c r="GW115" t="e">
        <f>AND(NhatkyBan!#REF!,"AAAAAHr9u8w=")</f>
        <v>#REF!</v>
      </c>
      <c r="GX115" t="e">
        <f>AND(NhatkyBan!#REF!,"AAAAAHr9u80=")</f>
        <v>#REF!</v>
      </c>
      <c r="GY115" t="e">
        <f>AND(NhatkyBan!#REF!,"AAAAAHr9u84=")</f>
        <v>#REF!</v>
      </c>
      <c r="GZ115" t="e">
        <f>AND(NhatkyBan!#REF!,"AAAAAHr9u88=")</f>
        <v>#REF!</v>
      </c>
      <c r="HA115" t="e">
        <f>AND(NhatkyBan!#REF!,"AAAAAHr9u9A=")</f>
        <v>#REF!</v>
      </c>
      <c r="HB115" t="e">
        <f>AND(NhatkyBan!#REF!,"AAAAAHr9u9E=")</f>
        <v>#REF!</v>
      </c>
      <c r="HC115" t="e">
        <f>AND(NhatkyBan!#REF!,"AAAAAHr9u9I=")</f>
        <v>#REF!</v>
      </c>
      <c r="HD115" t="e">
        <f>AND(NhatkyBan!#REF!,"AAAAAHr9u9M=")</f>
        <v>#REF!</v>
      </c>
      <c r="HE115" t="e">
        <f>AND(NhatkyBan!#REF!,"AAAAAHr9u9Q=")</f>
        <v>#REF!</v>
      </c>
      <c r="HF115" t="e">
        <f>AND(NhatkyBan!#REF!,"AAAAAHr9u9U=")</f>
        <v>#REF!</v>
      </c>
      <c r="HG115" t="e">
        <f>AND(NhatkyBan!#REF!,"AAAAAHr9u9Y=")</f>
        <v>#REF!</v>
      </c>
      <c r="HH115" t="e">
        <f>AND(NhatkyBan!#REF!,"AAAAAHr9u9c=")</f>
        <v>#REF!</v>
      </c>
      <c r="HI115" t="e">
        <f>AND(NhatkyBan!#REF!,"AAAAAHr9u9g=")</f>
        <v>#REF!</v>
      </c>
      <c r="HJ115" t="e">
        <f>AND(NhatkyBan!#REF!,"AAAAAHr9u9k=")</f>
        <v>#REF!</v>
      </c>
      <c r="HK115" t="e">
        <f>AND(NhatkyBan!#REF!,"AAAAAHr9u9o=")</f>
        <v>#REF!</v>
      </c>
      <c r="HL115" t="e">
        <f>AND(NhatkyBan!#REF!,"AAAAAHr9u9s=")</f>
        <v>#REF!</v>
      </c>
      <c r="HM115" t="e">
        <f>AND(NhatkyBan!#REF!,"AAAAAHr9u9w=")</f>
        <v>#REF!</v>
      </c>
      <c r="HN115" t="e">
        <f>AND(NhatkyBan!#REF!,"AAAAAHr9u90=")</f>
        <v>#REF!</v>
      </c>
      <c r="HO115" t="e">
        <f>AND(NhatkyBan!#REF!,"AAAAAHr9u94=")</f>
        <v>#REF!</v>
      </c>
      <c r="HP115" t="e">
        <f>AND(NhatkyBan!#REF!,"AAAAAHr9u98=")</f>
        <v>#REF!</v>
      </c>
      <c r="HQ115" t="e">
        <f>AND(NhatkyBan!#REF!,"AAAAAHr9u+A=")</f>
        <v>#REF!</v>
      </c>
      <c r="HR115" t="e">
        <f>AND(NhatkyBan!#REF!,"AAAAAHr9u+E=")</f>
        <v>#REF!</v>
      </c>
      <c r="HS115" t="e">
        <f>AND(NhatkyBan!#REF!,"AAAAAHr9u+I=")</f>
        <v>#REF!</v>
      </c>
      <c r="HT115" t="e">
        <f>AND(NhatkyBan!#REF!,"AAAAAHr9u+M=")</f>
        <v>#REF!</v>
      </c>
      <c r="HU115" t="e">
        <f>AND(NhatkyBan!#REF!,"AAAAAHr9u+Q=")</f>
        <v>#REF!</v>
      </c>
      <c r="HV115" t="e">
        <f>AND(NhatkyBan!#REF!,"AAAAAHr9u+U=")</f>
        <v>#REF!</v>
      </c>
      <c r="HW115" t="e">
        <f>AND(NhatkyBan!#REF!,"AAAAAHr9u+Y=")</f>
        <v>#REF!</v>
      </c>
      <c r="HX115" t="e">
        <f>IF(NhatkyBan!#REF!,"AAAAAHr9u+c=",0)</f>
        <v>#REF!</v>
      </c>
      <c r="HY115" t="e">
        <f>AND(NhatkyBan!#REF!,"AAAAAHr9u+g=")</f>
        <v>#REF!</v>
      </c>
      <c r="HZ115" t="e">
        <f>AND(NhatkyBan!#REF!,"AAAAAHr9u+k=")</f>
        <v>#REF!</v>
      </c>
      <c r="IA115" t="e">
        <f>AND(NhatkyBan!#REF!,"AAAAAHr9u+o=")</f>
        <v>#REF!</v>
      </c>
      <c r="IB115" t="e">
        <f>AND(NhatkyBan!#REF!,"AAAAAHr9u+s=")</f>
        <v>#REF!</v>
      </c>
      <c r="IC115" t="e">
        <f>AND(NhatkyBan!#REF!,"AAAAAHr9u+w=")</f>
        <v>#REF!</v>
      </c>
      <c r="ID115" t="e">
        <f>AND(NhatkyBan!#REF!,"AAAAAHr9u+0=")</f>
        <v>#REF!</v>
      </c>
      <c r="IE115" t="e">
        <f>AND(NhatkyBan!#REF!,"AAAAAHr9u+4=")</f>
        <v>#REF!</v>
      </c>
      <c r="IF115" t="e">
        <f>AND(NhatkyBan!#REF!,"AAAAAHr9u+8=")</f>
        <v>#REF!</v>
      </c>
      <c r="IG115" t="e">
        <f>AND(NhatkyBan!#REF!,"AAAAAHr9u/A=")</f>
        <v>#REF!</v>
      </c>
      <c r="IH115" t="e">
        <f>AND(NhatkyBan!#REF!,"AAAAAHr9u/E=")</f>
        <v>#REF!</v>
      </c>
      <c r="II115" t="e">
        <f>AND(NhatkyBan!#REF!,"AAAAAHr9u/I=")</f>
        <v>#REF!</v>
      </c>
      <c r="IJ115" t="e">
        <f>AND(NhatkyBan!#REF!,"AAAAAHr9u/M=")</f>
        <v>#REF!</v>
      </c>
      <c r="IK115" t="e">
        <f>AND(NhatkyBan!#REF!,"AAAAAHr9u/Q=")</f>
        <v>#REF!</v>
      </c>
      <c r="IL115" t="e">
        <f>AND(NhatkyBan!#REF!,"AAAAAHr9u/U=")</f>
        <v>#REF!</v>
      </c>
      <c r="IM115" t="e">
        <f>AND(NhatkyBan!#REF!,"AAAAAHr9u/Y=")</f>
        <v>#REF!</v>
      </c>
      <c r="IN115" t="e">
        <f>AND(NhatkyBan!#REF!,"AAAAAHr9u/c=")</f>
        <v>#REF!</v>
      </c>
      <c r="IO115" t="e">
        <f>AND(NhatkyBan!#REF!,"AAAAAHr9u/g=")</f>
        <v>#REF!</v>
      </c>
      <c r="IP115" t="e">
        <f>AND(NhatkyBan!#REF!,"AAAAAHr9u/k=")</f>
        <v>#REF!</v>
      </c>
      <c r="IQ115" t="e">
        <f>AND(NhatkyBan!#REF!,"AAAAAHr9u/o=")</f>
        <v>#REF!</v>
      </c>
      <c r="IR115" t="e">
        <f>AND(NhatkyBan!#REF!,"AAAAAHr9u/s=")</f>
        <v>#REF!</v>
      </c>
      <c r="IS115" t="e">
        <f>AND(NhatkyBan!#REF!,"AAAAAHr9u/w=")</f>
        <v>#REF!</v>
      </c>
      <c r="IT115" t="e">
        <f>AND(NhatkyBan!#REF!,"AAAAAHr9u/0=")</f>
        <v>#REF!</v>
      </c>
      <c r="IU115" t="e">
        <f>AND(NhatkyBan!#REF!,"AAAAAHr9u/4=")</f>
        <v>#REF!</v>
      </c>
      <c r="IV115" t="e">
        <f>AND(NhatkyBan!#REF!,"AAAAAHr9u/8=")</f>
        <v>#REF!</v>
      </c>
    </row>
    <row r="116" spans="1:256">
      <c r="A116" t="e">
        <f>AND(NhatkyBan!#REF!,"AAAAAEW7fgA=")</f>
        <v>#REF!</v>
      </c>
      <c r="B116" t="e">
        <f>AND(NhatkyBan!#REF!,"AAAAAEW7fgE=")</f>
        <v>#REF!</v>
      </c>
      <c r="C116" t="e">
        <f>AND(NhatkyBan!#REF!,"AAAAAEW7fgI=")</f>
        <v>#REF!</v>
      </c>
      <c r="D116" t="e">
        <f>AND(NhatkyBan!#REF!,"AAAAAEW7fgM=")</f>
        <v>#REF!</v>
      </c>
      <c r="E116" t="e">
        <f>AND(NhatkyBan!#REF!,"AAAAAEW7fgQ=")</f>
        <v>#REF!</v>
      </c>
      <c r="F116" t="e">
        <f>AND(NhatkyBan!#REF!,"AAAAAEW7fgU=")</f>
        <v>#REF!</v>
      </c>
      <c r="G116" t="e">
        <f>AND(NhatkyBan!#REF!,"AAAAAEW7fgY=")</f>
        <v>#REF!</v>
      </c>
      <c r="H116" t="e">
        <f>AND(NhatkyBan!#REF!,"AAAAAEW7fgc=")</f>
        <v>#REF!</v>
      </c>
      <c r="I116" t="e">
        <f>AND(NhatkyBan!#REF!,"AAAAAEW7fgg=")</f>
        <v>#REF!</v>
      </c>
      <c r="J116" t="e">
        <f>AND(NhatkyBan!#REF!,"AAAAAEW7fgk=")</f>
        <v>#REF!</v>
      </c>
      <c r="K116" t="e">
        <f>IF(NhatkyBan!#REF!,"AAAAAEW7fgo=",0)</f>
        <v>#REF!</v>
      </c>
      <c r="L116" t="e">
        <f>AND(NhatkyBan!#REF!,"AAAAAEW7fgs=")</f>
        <v>#REF!</v>
      </c>
      <c r="M116" t="e">
        <f>AND(NhatkyBan!#REF!,"AAAAAEW7fgw=")</f>
        <v>#REF!</v>
      </c>
      <c r="N116" t="e">
        <f>AND(NhatkyBan!#REF!,"AAAAAEW7fg0=")</f>
        <v>#REF!</v>
      </c>
      <c r="O116" t="e">
        <f>AND(NhatkyBan!#REF!,"AAAAAEW7fg4=")</f>
        <v>#REF!</v>
      </c>
      <c r="P116" t="e">
        <f>AND(NhatkyBan!#REF!,"AAAAAEW7fg8=")</f>
        <v>#REF!</v>
      </c>
      <c r="Q116" t="e">
        <f>AND(NhatkyBan!#REF!,"AAAAAEW7fhA=")</f>
        <v>#REF!</v>
      </c>
      <c r="R116" t="e">
        <f>AND(NhatkyBan!#REF!,"AAAAAEW7fhE=")</f>
        <v>#REF!</v>
      </c>
      <c r="S116" t="e">
        <f>AND(NhatkyBan!#REF!,"AAAAAEW7fhI=")</f>
        <v>#REF!</v>
      </c>
      <c r="T116" t="e">
        <f>AND(NhatkyBan!#REF!,"AAAAAEW7fhM=")</f>
        <v>#REF!</v>
      </c>
      <c r="U116" t="e">
        <f>AND(NhatkyBan!#REF!,"AAAAAEW7fhQ=")</f>
        <v>#REF!</v>
      </c>
      <c r="V116" t="e">
        <f>AND(NhatkyBan!#REF!,"AAAAAEW7fhU=")</f>
        <v>#REF!</v>
      </c>
      <c r="W116" t="e">
        <f>AND(NhatkyBan!#REF!,"AAAAAEW7fhY=")</f>
        <v>#REF!</v>
      </c>
      <c r="X116" t="e">
        <f>AND(NhatkyBan!#REF!,"AAAAAEW7fhc=")</f>
        <v>#REF!</v>
      </c>
      <c r="Y116" t="e">
        <f>AND(NhatkyBan!#REF!,"AAAAAEW7fhg=")</f>
        <v>#REF!</v>
      </c>
      <c r="Z116" t="e">
        <f>AND(NhatkyBan!#REF!,"AAAAAEW7fhk=")</f>
        <v>#REF!</v>
      </c>
      <c r="AA116" t="e">
        <f>AND(NhatkyBan!#REF!,"AAAAAEW7fho=")</f>
        <v>#REF!</v>
      </c>
      <c r="AB116" t="e">
        <f>AND(NhatkyBan!#REF!,"AAAAAEW7fhs=")</f>
        <v>#REF!</v>
      </c>
      <c r="AC116" t="e">
        <f>AND(NhatkyBan!#REF!,"AAAAAEW7fhw=")</f>
        <v>#REF!</v>
      </c>
      <c r="AD116" t="e">
        <f>AND(NhatkyBan!#REF!,"AAAAAEW7fh0=")</f>
        <v>#REF!</v>
      </c>
      <c r="AE116" t="e">
        <f>AND(NhatkyBan!#REF!,"AAAAAEW7fh4=")</f>
        <v>#REF!</v>
      </c>
      <c r="AF116" t="e">
        <f>AND(NhatkyBan!#REF!,"AAAAAEW7fh8=")</f>
        <v>#REF!</v>
      </c>
      <c r="AG116" t="e">
        <f>AND(NhatkyBan!#REF!,"AAAAAEW7fiA=")</f>
        <v>#REF!</v>
      </c>
      <c r="AH116" t="e">
        <f>AND(NhatkyBan!#REF!,"AAAAAEW7fiE=")</f>
        <v>#REF!</v>
      </c>
      <c r="AI116" t="e">
        <f>AND(NhatkyBan!#REF!,"AAAAAEW7fiI=")</f>
        <v>#REF!</v>
      </c>
      <c r="AJ116" t="e">
        <f>AND(NhatkyBan!#REF!,"AAAAAEW7fiM=")</f>
        <v>#REF!</v>
      </c>
      <c r="AK116" t="e">
        <f>AND(NhatkyBan!#REF!,"AAAAAEW7fiQ=")</f>
        <v>#REF!</v>
      </c>
      <c r="AL116" t="e">
        <f>AND(NhatkyBan!#REF!,"AAAAAEW7fiU=")</f>
        <v>#REF!</v>
      </c>
      <c r="AM116" t="e">
        <f>AND(NhatkyBan!#REF!,"AAAAAEW7fiY=")</f>
        <v>#REF!</v>
      </c>
      <c r="AN116" t="e">
        <f>AND(NhatkyBan!#REF!,"AAAAAEW7fic=")</f>
        <v>#REF!</v>
      </c>
      <c r="AO116" t="e">
        <f>AND(NhatkyBan!#REF!,"AAAAAEW7fig=")</f>
        <v>#REF!</v>
      </c>
      <c r="AP116" t="e">
        <f>AND(NhatkyBan!#REF!,"AAAAAEW7fik=")</f>
        <v>#REF!</v>
      </c>
      <c r="AQ116" t="e">
        <f>AND(NhatkyBan!#REF!,"AAAAAEW7fio=")</f>
        <v>#REF!</v>
      </c>
      <c r="AR116" t="e">
        <f>AND(NhatkyBan!#REF!,"AAAAAEW7fis=")</f>
        <v>#REF!</v>
      </c>
      <c r="AS116" t="e">
        <f>AND(NhatkyBan!#REF!,"AAAAAEW7fiw=")</f>
        <v>#REF!</v>
      </c>
      <c r="AT116" t="e">
        <f>IF(NhatkyBan!#REF!,"AAAAAEW7fi0=",0)</f>
        <v>#REF!</v>
      </c>
      <c r="AU116" t="e">
        <f>AND(NhatkyBan!#REF!,"AAAAAEW7fi4=")</f>
        <v>#REF!</v>
      </c>
      <c r="AV116" t="e">
        <f>AND(NhatkyBan!#REF!,"AAAAAEW7fi8=")</f>
        <v>#REF!</v>
      </c>
      <c r="AW116" t="e">
        <f>AND(NhatkyBan!#REF!,"AAAAAEW7fjA=")</f>
        <v>#REF!</v>
      </c>
      <c r="AX116" t="e">
        <f>AND(NhatkyBan!#REF!,"AAAAAEW7fjE=")</f>
        <v>#REF!</v>
      </c>
      <c r="AY116" t="e">
        <f>AND(NhatkyBan!#REF!,"AAAAAEW7fjI=")</f>
        <v>#REF!</v>
      </c>
      <c r="AZ116" t="e">
        <f>AND(NhatkyBan!#REF!,"AAAAAEW7fjM=")</f>
        <v>#REF!</v>
      </c>
      <c r="BA116" t="e">
        <f>AND(NhatkyBan!#REF!,"AAAAAEW7fjQ=")</f>
        <v>#REF!</v>
      </c>
      <c r="BB116" t="e">
        <f>AND(NhatkyBan!#REF!,"AAAAAEW7fjU=")</f>
        <v>#REF!</v>
      </c>
      <c r="BC116" t="e">
        <f>AND(NhatkyBan!#REF!,"AAAAAEW7fjY=")</f>
        <v>#REF!</v>
      </c>
      <c r="BD116" t="e">
        <f>AND(NhatkyBan!#REF!,"AAAAAEW7fjc=")</f>
        <v>#REF!</v>
      </c>
      <c r="BE116" t="e">
        <f>AND(NhatkyBan!#REF!,"AAAAAEW7fjg=")</f>
        <v>#REF!</v>
      </c>
      <c r="BF116" t="e">
        <f>AND(NhatkyBan!#REF!,"AAAAAEW7fjk=")</f>
        <v>#REF!</v>
      </c>
      <c r="BG116" t="e">
        <f>AND(NhatkyBan!#REF!,"AAAAAEW7fjo=")</f>
        <v>#REF!</v>
      </c>
      <c r="BH116" t="e">
        <f>AND(NhatkyBan!#REF!,"AAAAAEW7fjs=")</f>
        <v>#REF!</v>
      </c>
      <c r="BI116" t="e">
        <f>AND(NhatkyBan!#REF!,"AAAAAEW7fjw=")</f>
        <v>#REF!</v>
      </c>
      <c r="BJ116" t="e">
        <f>AND(NhatkyBan!#REF!,"AAAAAEW7fj0=")</f>
        <v>#REF!</v>
      </c>
      <c r="BK116" t="e">
        <f>AND(NhatkyBan!#REF!,"AAAAAEW7fj4=")</f>
        <v>#REF!</v>
      </c>
      <c r="BL116" t="e">
        <f>AND(NhatkyBan!#REF!,"AAAAAEW7fj8=")</f>
        <v>#REF!</v>
      </c>
      <c r="BM116" t="e">
        <f>AND(NhatkyBan!#REF!,"AAAAAEW7fkA=")</f>
        <v>#REF!</v>
      </c>
      <c r="BN116" t="e">
        <f>AND(NhatkyBan!#REF!,"AAAAAEW7fkE=")</f>
        <v>#REF!</v>
      </c>
      <c r="BO116" t="e">
        <f>AND(NhatkyBan!#REF!,"AAAAAEW7fkI=")</f>
        <v>#REF!</v>
      </c>
      <c r="BP116" t="e">
        <f>AND(NhatkyBan!#REF!,"AAAAAEW7fkM=")</f>
        <v>#REF!</v>
      </c>
      <c r="BQ116" t="e">
        <f>AND(NhatkyBan!#REF!,"AAAAAEW7fkQ=")</f>
        <v>#REF!</v>
      </c>
      <c r="BR116" t="e">
        <f>AND(NhatkyBan!#REF!,"AAAAAEW7fkU=")</f>
        <v>#REF!</v>
      </c>
      <c r="BS116" t="e">
        <f>AND(NhatkyBan!#REF!,"AAAAAEW7fkY=")</f>
        <v>#REF!</v>
      </c>
      <c r="BT116" t="e">
        <f>AND(NhatkyBan!#REF!,"AAAAAEW7fkc=")</f>
        <v>#REF!</v>
      </c>
      <c r="BU116" t="e">
        <f>AND(NhatkyBan!#REF!,"AAAAAEW7fkg=")</f>
        <v>#REF!</v>
      </c>
      <c r="BV116" t="e">
        <f>AND(NhatkyBan!#REF!,"AAAAAEW7fkk=")</f>
        <v>#REF!</v>
      </c>
      <c r="BW116" t="e">
        <f>AND(NhatkyBan!#REF!,"AAAAAEW7fko=")</f>
        <v>#REF!</v>
      </c>
      <c r="BX116" t="e">
        <f>AND(NhatkyBan!#REF!,"AAAAAEW7fks=")</f>
        <v>#REF!</v>
      </c>
      <c r="BY116" t="e">
        <f>AND(NhatkyBan!#REF!,"AAAAAEW7fkw=")</f>
        <v>#REF!</v>
      </c>
      <c r="BZ116" t="e">
        <f>AND(NhatkyBan!#REF!,"AAAAAEW7fk0=")</f>
        <v>#REF!</v>
      </c>
      <c r="CA116" t="e">
        <f>AND(NhatkyBan!#REF!,"AAAAAEW7fk4=")</f>
        <v>#REF!</v>
      </c>
      <c r="CB116" t="e">
        <f>AND(NhatkyBan!#REF!,"AAAAAEW7fk8=")</f>
        <v>#REF!</v>
      </c>
      <c r="CC116" t="e">
        <f>IF(NhatkyBan!#REF!,"AAAAAEW7flA=",0)</f>
        <v>#REF!</v>
      </c>
      <c r="CD116" t="e">
        <f>AND(NhatkyBan!#REF!,"AAAAAEW7flE=")</f>
        <v>#REF!</v>
      </c>
      <c r="CE116" t="e">
        <f>AND(NhatkyBan!#REF!,"AAAAAEW7flI=")</f>
        <v>#REF!</v>
      </c>
      <c r="CF116" t="e">
        <f>AND(NhatkyBan!#REF!,"AAAAAEW7flM=")</f>
        <v>#REF!</v>
      </c>
      <c r="CG116" t="e">
        <f>AND(NhatkyBan!#REF!,"AAAAAEW7flQ=")</f>
        <v>#REF!</v>
      </c>
      <c r="CH116" t="e">
        <f>AND(NhatkyBan!#REF!,"AAAAAEW7flU=")</f>
        <v>#REF!</v>
      </c>
      <c r="CI116" t="e">
        <f>AND(NhatkyBan!#REF!,"AAAAAEW7flY=")</f>
        <v>#REF!</v>
      </c>
      <c r="CJ116" t="e">
        <f>AND(NhatkyBan!#REF!,"AAAAAEW7flc=")</f>
        <v>#REF!</v>
      </c>
      <c r="CK116" t="e">
        <f>AND(NhatkyBan!#REF!,"AAAAAEW7flg=")</f>
        <v>#REF!</v>
      </c>
      <c r="CL116" t="e">
        <f>AND(NhatkyBan!#REF!,"AAAAAEW7flk=")</f>
        <v>#REF!</v>
      </c>
      <c r="CM116" t="e">
        <f>AND(NhatkyBan!#REF!,"AAAAAEW7flo=")</f>
        <v>#REF!</v>
      </c>
      <c r="CN116" t="e">
        <f>AND(NhatkyBan!#REF!,"AAAAAEW7fls=")</f>
        <v>#REF!</v>
      </c>
      <c r="CO116" t="e">
        <f>AND(NhatkyBan!#REF!,"AAAAAEW7flw=")</f>
        <v>#REF!</v>
      </c>
      <c r="CP116" t="e">
        <f>AND(NhatkyBan!#REF!,"AAAAAEW7fl0=")</f>
        <v>#REF!</v>
      </c>
      <c r="CQ116" t="e">
        <f>AND(NhatkyBan!#REF!,"AAAAAEW7fl4=")</f>
        <v>#REF!</v>
      </c>
      <c r="CR116" t="e">
        <f>AND(NhatkyBan!#REF!,"AAAAAEW7fl8=")</f>
        <v>#REF!</v>
      </c>
      <c r="CS116" t="e">
        <f>AND(NhatkyBan!#REF!,"AAAAAEW7fmA=")</f>
        <v>#REF!</v>
      </c>
      <c r="CT116" t="e">
        <f>AND(NhatkyBan!#REF!,"AAAAAEW7fmE=")</f>
        <v>#REF!</v>
      </c>
      <c r="CU116" t="e">
        <f>AND(NhatkyBan!#REF!,"AAAAAEW7fmI=")</f>
        <v>#REF!</v>
      </c>
      <c r="CV116" t="e">
        <f>AND(NhatkyBan!#REF!,"AAAAAEW7fmM=")</f>
        <v>#REF!</v>
      </c>
      <c r="CW116" t="e">
        <f>AND(NhatkyBan!#REF!,"AAAAAEW7fmQ=")</f>
        <v>#REF!</v>
      </c>
      <c r="CX116" t="e">
        <f>AND(NhatkyBan!#REF!,"AAAAAEW7fmU=")</f>
        <v>#REF!</v>
      </c>
      <c r="CY116" t="e">
        <f>AND(NhatkyBan!#REF!,"AAAAAEW7fmY=")</f>
        <v>#REF!</v>
      </c>
      <c r="CZ116" t="e">
        <f>AND(NhatkyBan!#REF!,"AAAAAEW7fmc=")</f>
        <v>#REF!</v>
      </c>
      <c r="DA116" t="e">
        <f>AND(NhatkyBan!#REF!,"AAAAAEW7fmg=")</f>
        <v>#REF!</v>
      </c>
      <c r="DB116" t="e">
        <f>AND(NhatkyBan!#REF!,"AAAAAEW7fmk=")</f>
        <v>#REF!</v>
      </c>
      <c r="DC116" t="e">
        <f>AND(NhatkyBan!#REF!,"AAAAAEW7fmo=")</f>
        <v>#REF!</v>
      </c>
      <c r="DD116" t="e">
        <f>AND(NhatkyBan!#REF!,"AAAAAEW7fms=")</f>
        <v>#REF!</v>
      </c>
      <c r="DE116" t="e">
        <f>AND(NhatkyBan!#REF!,"AAAAAEW7fmw=")</f>
        <v>#REF!</v>
      </c>
      <c r="DF116" t="e">
        <f>AND(NhatkyBan!#REF!,"AAAAAEW7fm0=")</f>
        <v>#REF!</v>
      </c>
      <c r="DG116" t="e">
        <f>AND(NhatkyBan!#REF!,"AAAAAEW7fm4=")</f>
        <v>#REF!</v>
      </c>
      <c r="DH116" t="e">
        <f>AND(NhatkyBan!#REF!,"AAAAAEW7fm8=")</f>
        <v>#REF!</v>
      </c>
      <c r="DI116" t="e">
        <f>AND(NhatkyBan!#REF!,"AAAAAEW7fnA=")</f>
        <v>#REF!</v>
      </c>
      <c r="DJ116" t="e">
        <f>AND(NhatkyBan!#REF!,"AAAAAEW7fnE=")</f>
        <v>#REF!</v>
      </c>
      <c r="DK116" t="e">
        <f>AND(NhatkyBan!#REF!,"AAAAAEW7fnI=")</f>
        <v>#REF!</v>
      </c>
      <c r="DL116" t="e">
        <f>IF(NhatkyBan!#REF!,"AAAAAEW7fnM=",0)</f>
        <v>#REF!</v>
      </c>
      <c r="DM116" t="e">
        <f>AND(NhatkyBan!#REF!,"AAAAAEW7fnQ=")</f>
        <v>#REF!</v>
      </c>
      <c r="DN116" t="e">
        <f>AND(NhatkyBan!#REF!,"AAAAAEW7fnU=")</f>
        <v>#REF!</v>
      </c>
      <c r="DO116" t="e">
        <f>AND(NhatkyBan!#REF!,"AAAAAEW7fnY=")</f>
        <v>#REF!</v>
      </c>
      <c r="DP116" t="e">
        <f>AND(NhatkyBan!#REF!,"AAAAAEW7fnc=")</f>
        <v>#REF!</v>
      </c>
      <c r="DQ116" t="e">
        <f>AND(NhatkyBan!#REF!,"AAAAAEW7fng=")</f>
        <v>#REF!</v>
      </c>
      <c r="DR116" t="e">
        <f>AND(NhatkyBan!#REF!,"AAAAAEW7fnk=")</f>
        <v>#REF!</v>
      </c>
      <c r="DS116" t="e">
        <f>AND(NhatkyBan!#REF!,"AAAAAEW7fno=")</f>
        <v>#REF!</v>
      </c>
      <c r="DT116" t="e">
        <f>AND(NhatkyBan!#REF!,"AAAAAEW7fns=")</f>
        <v>#REF!</v>
      </c>
      <c r="DU116" t="e">
        <f>AND(NhatkyBan!#REF!,"AAAAAEW7fnw=")</f>
        <v>#REF!</v>
      </c>
      <c r="DV116" t="e">
        <f>AND(NhatkyBan!#REF!,"AAAAAEW7fn0=")</f>
        <v>#REF!</v>
      </c>
      <c r="DW116" t="e">
        <f>AND(NhatkyBan!#REF!,"AAAAAEW7fn4=")</f>
        <v>#REF!</v>
      </c>
      <c r="DX116" t="e">
        <f>AND(NhatkyBan!#REF!,"AAAAAEW7fn8=")</f>
        <v>#REF!</v>
      </c>
      <c r="DY116" t="e">
        <f>AND(NhatkyBan!#REF!,"AAAAAEW7foA=")</f>
        <v>#REF!</v>
      </c>
      <c r="DZ116" t="e">
        <f>AND(NhatkyBan!#REF!,"AAAAAEW7foE=")</f>
        <v>#REF!</v>
      </c>
      <c r="EA116" t="e">
        <f>AND(NhatkyBan!#REF!,"AAAAAEW7foI=")</f>
        <v>#REF!</v>
      </c>
      <c r="EB116" t="e">
        <f>AND(NhatkyBan!#REF!,"AAAAAEW7foM=")</f>
        <v>#REF!</v>
      </c>
      <c r="EC116" t="e">
        <f>AND(NhatkyBan!#REF!,"AAAAAEW7foQ=")</f>
        <v>#REF!</v>
      </c>
      <c r="ED116" t="e">
        <f>AND(NhatkyBan!#REF!,"AAAAAEW7foU=")</f>
        <v>#REF!</v>
      </c>
      <c r="EE116" t="e">
        <f>AND(NhatkyBan!#REF!,"AAAAAEW7foY=")</f>
        <v>#REF!</v>
      </c>
      <c r="EF116" t="e">
        <f>AND(NhatkyBan!#REF!,"AAAAAEW7foc=")</f>
        <v>#REF!</v>
      </c>
      <c r="EG116" t="e">
        <f>AND(NhatkyBan!#REF!,"AAAAAEW7fog=")</f>
        <v>#REF!</v>
      </c>
      <c r="EH116" t="e">
        <f>AND(NhatkyBan!#REF!,"AAAAAEW7fok=")</f>
        <v>#REF!</v>
      </c>
      <c r="EI116" t="e">
        <f>AND(NhatkyBan!#REF!,"AAAAAEW7foo=")</f>
        <v>#REF!</v>
      </c>
      <c r="EJ116" t="e">
        <f>AND(NhatkyBan!#REF!,"AAAAAEW7fos=")</f>
        <v>#REF!</v>
      </c>
      <c r="EK116" t="e">
        <f>AND(NhatkyBan!#REF!,"AAAAAEW7fow=")</f>
        <v>#REF!</v>
      </c>
      <c r="EL116" t="e">
        <f>AND(NhatkyBan!#REF!,"AAAAAEW7fo0=")</f>
        <v>#REF!</v>
      </c>
      <c r="EM116" t="e">
        <f>AND(NhatkyBan!#REF!,"AAAAAEW7fo4=")</f>
        <v>#REF!</v>
      </c>
      <c r="EN116" t="e">
        <f>AND(NhatkyBan!#REF!,"AAAAAEW7fo8=")</f>
        <v>#REF!</v>
      </c>
      <c r="EO116" t="e">
        <f>AND(NhatkyBan!#REF!,"AAAAAEW7fpA=")</f>
        <v>#REF!</v>
      </c>
      <c r="EP116" t="e">
        <f>AND(NhatkyBan!#REF!,"AAAAAEW7fpE=")</f>
        <v>#REF!</v>
      </c>
      <c r="EQ116" t="e">
        <f>AND(NhatkyBan!#REF!,"AAAAAEW7fpI=")</f>
        <v>#REF!</v>
      </c>
      <c r="ER116" t="e">
        <f>AND(NhatkyBan!#REF!,"AAAAAEW7fpM=")</f>
        <v>#REF!</v>
      </c>
      <c r="ES116" t="e">
        <f>AND(NhatkyBan!#REF!,"AAAAAEW7fpQ=")</f>
        <v>#REF!</v>
      </c>
      <c r="ET116" t="e">
        <f>AND(NhatkyBan!#REF!,"AAAAAEW7fpU=")</f>
        <v>#REF!</v>
      </c>
      <c r="EU116" t="e">
        <f>IF(NhatkyBan!#REF!,"AAAAAEW7fpY=",0)</f>
        <v>#REF!</v>
      </c>
      <c r="EV116" t="e">
        <f>AND(NhatkyBan!#REF!,"AAAAAEW7fpc=")</f>
        <v>#REF!</v>
      </c>
      <c r="EW116" t="e">
        <f>AND(NhatkyBan!#REF!,"AAAAAEW7fpg=")</f>
        <v>#REF!</v>
      </c>
      <c r="EX116" t="e">
        <f>AND(NhatkyBan!#REF!,"AAAAAEW7fpk=")</f>
        <v>#REF!</v>
      </c>
      <c r="EY116" t="e">
        <f>AND(NhatkyBan!#REF!,"AAAAAEW7fpo=")</f>
        <v>#REF!</v>
      </c>
      <c r="EZ116" t="e">
        <f>AND(NhatkyBan!#REF!,"AAAAAEW7fps=")</f>
        <v>#REF!</v>
      </c>
      <c r="FA116" t="e">
        <f>AND(NhatkyBan!#REF!,"AAAAAEW7fpw=")</f>
        <v>#REF!</v>
      </c>
      <c r="FB116" t="e">
        <f>AND(NhatkyBan!#REF!,"AAAAAEW7fp0=")</f>
        <v>#REF!</v>
      </c>
      <c r="FC116" t="e">
        <f>AND(NhatkyBan!#REF!,"AAAAAEW7fp4=")</f>
        <v>#REF!</v>
      </c>
      <c r="FD116" t="e">
        <f>AND(NhatkyBan!#REF!,"AAAAAEW7fp8=")</f>
        <v>#REF!</v>
      </c>
      <c r="FE116" t="e">
        <f>AND(NhatkyBan!#REF!,"AAAAAEW7fqA=")</f>
        <v>#REF!</v>
      </c>
      <c r="FF116" t="e">
        <f>AND(NhatkyBan!#REF!,"AAAAAEW7fqE=")</f>
        <v>#REF!</v>
      </c>
      <c r="FG116" t="e">
        <f>AND(NhatkyBan!#REF!,"AAAAAEW7fqI=")</f>
        <v>#REF!</v>
      </c>
      <c r="FH116" t="e">
        <f>AND(NhatkyBan!#REF!,"AAAAAEW7fqM=")</f>
        <v>#REF!</v>
      </c>
      <c r="FI116" t="e">
        <f>AND(NhatkyBan!#REF!,"AAAAAEW7fqQ=")</f>
        <v>#REF!</v>
      </c>
      <c r="FJ116" t="e">
        <f>AND(NhatkyBan!#REF!,"AAAAAEW7fqU=")</f>
        <v>#REF!</v>
      </c>
      <c r="FK116" t="e">
        <f>AND(NhatkyBan!#REF!,"AAAAAEW7fqY=")</f>
        <v>#REF!</v>
      </c>
      <c r="FL116" t="e">
        <f>AND(NhatkyBan!#REF!,"AAAAAEW7fqc=")</f>
        <v>#REF!</v>
      </c>
      <c r="FM116" t="e">
        <f>AND(NhatkyBan!#REF!,"AAAAAEW7fqg=")</f>
        <v>#REF!</v>
      </c>
      <c r="FN116" t="e">
        <f>AND(NhatkyBan!#REF!,"AAAAAEW7fqk=")</f>
        <v>#REF!</v>
      </c>
      <c r="FO116" t="e">
        <f>AND(NhatkyBan!#REF!,"AAAAAEW7fqo=")</f>
        <v>#REF!</v>
      </c>
      <c r="FP116" t="e">
        <f>AND(NhatkyBan!#REF!,"AAAAAEW7fqs=")</f>
        <v>#REF!</v>
      </c>
      <c r="FQ116" t="e">
        <f>AND(NhatkyBan!#REF!,"AAAAAEW7fqw=")</f>
        <v>#REF!</v>
      </c>
      <c r="FR116" t="e">
        <f>AND(NhatkyBan!#REF!,"AAAAAEW7fq0=")</f>
        <v>#REF!</v>
      </c>
      <c r="FS116" t="e">
        <f>AND(NhatkyBan!#REF!,"AAAAAEW7fq4=")</f>
        <v>#REF!</v>
      </c>
      <c r="FT116" t="e">
        <f>AND(NhatkyBan!#REF!,"AAAAAEW7fq8=")</f>
        <v>#REF!</v>
      </c>
      <c r="FU116" t="e">
        <f>AND(NhatkyBan!#REF!,"AAAAAEW7frA=")</f>
        <v>#REF!</v>
      </c>
      <c r="FV116" t="e">
        <f>AND(NhatkyBan!#REF!,"AAAAAEW7frE=")</f>
        <v>#REF!</v>
      </c>
      <c r="FW116" t="e">
        <f>AND(NhatkyBan!#REF!,"AAAAAEW7frI=")</f>
        <v>#REF!</v>
      </c>
      <c r="FX116" t="e">
        <f>AND(NhatkyBan!#REF!,"AAAAAEW7frM=")</f>
        <v>#REF!</v>
      </c>
      <c r="FY116" t="e">
        <f>AND(NhatkyBan!#REF!,"AAAAAEW7frQ=")</f>
        <v>#REF!</v>
      </c>
      <c r="FZ116" t="e">
        <f>AND(NhatkyBan!#REF!,"AAAAAEW7frU=")</f>
        <v>#REF!</v>
      </c>
      <c r="GA116" t="e">
        <f>AND(NhatkyBan!#REF!,"AAAAAEW7frY=")</f>
        <v>#REF!</v>
      </c>
      <c r="GB116" t="e">
        <f>AND(NhatkyBan!#REF!,"AAAAAEW7frc=")</f>
        <v>#REF!</v>
      </c>
      <c r="GC116" t="e">
        <f>AND(NhatkyBan!#REF!,"AAAAAEW7frg=")</f>
        <v>#REF!</v>
      </c>
      <c r="GD116" t="e">
        <f>IF(NhatkyBan!#REF!,"AAAAAEW7frk=",0)</f>
        <v>#REF!</v>
      </c>
      <c r="GE116" t="e">
        <f>AND(NhatkyBan!#REF!,"AAAAAEW7fro=")</f>
        <v>#REF!</v>
      </c>
      <c r="GF116" t="e">
        <f>AND(NhatkyBan!#REF!,"AAAAAEW7frs=")</f>
        <v>#REF!</v>
      </c>
      <c r="GG116" t="e">
        <f>AND(NhatkyBan!#REF!,"AAAAAEW7frw=")</f>
        <v>#REF!</v>
      </c>
      <c r="GH116" t="e">
        <f>AND(NhatkyBan!#REF!,"AAAAAEW7fr0=")</f>
        <v>#REF!</v>
      </c>
      <c r="GI116" t="e">
        <f>AND(NhatkyBan!#REF!,"AAAAAEW7fr4=")</f>
        <v>#REF!</v>
      </c>
      <c r="GJ116" t="e">
        <f>AND(NhatkyBan!#REF!,"AAAAAEW7fr8=")</f>
        <v>#REF!</v>
      </c>
      <c r="GK116" t="e">
        <f>AND(NhatkyBan!#REF!,"AAAAAEW7fsA=")</f>
        <v>#REF!</v>
      </c>
      <c r="GL116" t="e">
        <f>AND(NhatkyBan!#REF!,"AAAAAEW7fsE=")</f>
        <v>#REF!</v>
      </c>
      <c r="GM116" t="e">
        <f>AND(NhatkyBan!#REF!,"AAAAAEW7fsI=")</f>
        <v>#REF!</v>
      </c>
      <c r="GN116" t="e">
        <f>AND(NhatkyBan!#REF!,"AAAAAEW7fsM=")</f>
        <v>#REF!</v>
      </c>
      <c r="GO116" t="e">
        <f>AND(NhatkyBan!#REF!,"AAAAAEW7fsQ=")</f>
        <v>#REF!</v>
      </c>
      <c r="GP116" t="e">
        <f>AND(NhatkyBan!#REF!,"AAAAAEW7fsU=")</f>
        <v>#REF!</v>
      </c>
      <c r="GQ116" t="e">
        <f>AND(NhatkyBan!#REF!,"AAAAAEW7fsY=")</f>
        <v>#REF!</v>
      </c>
      <c r="GR116" t="e">
        <f>AND(NhatkyBan!#REF!,"AAAAAEW7fsc=")</f>
        <v>#REF!</v>
      </c>
      <c r="GS116" t="e">
        <f>AND(NhatkyBan!#REF!,"AAAAAEW7fsg=")</f>
        <v>#REF!</v>
      </c>
      <c r="GT116" t="e">
        <f>AND(NhatkyBan!#REF!,"AAAAAEW7fsk=")</f>
        <v>#REF!</v>
      </c>
      <c r="GU116" t="e">
        <f>AND(NhatkyBan!#REF!,"AAAAAEW7fso=")</f>
        <v>#REF!</v>
      </c>
      <c r="GV116" t="e">
        <f>AND(NhatkyBan!#REF!,"AAAAAEW7fss=")</f>
        <v>#REF!</v>
      </c>
      <c r="GW116" t="e">
        <f>AND(NhatkyBan!#REF!,"AAAAAEW7fsw=")</f>
        <v>#REF!</v>
      </c>
      <c r="GX116" t="e">
        <f>AND(NhatkyBan!#REF!,"AAAAAEW7fs0=")</f>
        <v>#REF!</v>
      </c>
      <c r="GY116" t="e">
        <f>AND(NhatkyBan!#REF!,"AAAAAEW7fs4=")</f>
        <v>#REF!</v>
      </c>
      <c r="GZ116" t="e">
        <f>AND(NhatkyBan!#REF!,"AAAAAEW7fs8=")</f>
        <v>#REF!</v>
      </c>
      <c r="HA116" t="e">
        <f>AND(NhatkyBan!#REF!,"AAAAAEW7ftA=")</f>
        <v>#REF!</v>
      </c>
      <c r="HB116" t="e">
        <f>AND(NhatkyBan!#REF!,"AAAAAEW7ftE=")</f>
        <v>#REF!</v>
      </c>
      <c r="HC116" t="e">
        <f>AND(NhatkyBan!#REF!,"AAAAAEW7ftI=")</f>
        <v>#REF!</v>
      </c>
      <c r="HD116" t="e">
        <f>AND(NhatkyBan!#REF!,"AAAAAEW7ftM=")</f>
        <v>#REF!</v>
      </c>
      <c r="HE116" t="e">
        <f>AND(NhatkyBan!#REF!,"AAAAAEW7ftQ=")</f>
        <v>#REF!</v>
      </c>
      <c r="HF116" t="e">
        <f>AND(NhatkyBan!#REF!,"AAAAAEW7ftU=")</f>
        <v>#REF!</v>
      </c>
      <c r="HG116" t="e">
        <f>AND(NhatkyBan!#REF!,"AAAAAEW7ftY=")</f>
        <v>#REF!</v>
      </c>
      <c r="HH116" t="e">
        <f>AND(NhatkyBan!#REF!,"AAAAAEW7ftc=")</f>
        <v>#REF!</v>
      </c>
      <c r="HI116" t="e">
        <f>AND(NhatkyBan!#REF!,"AAAAAEW7ftg=")</f>
        <v>#REF!</v>
      </c>
      <c r="HJ116" t="e">
        <f>AND(NhatkyBan!#REF!,"AAAAAEW7ftk=")</f>
        <v>#REF!</v>
      </c>
      <c r="HK116" t="e">
        <f>AND(NhatkyBan!#REF!,"AAAAAEW7fto=")</f>
        <v>#REF!</v>
      </c>
      <c r="HL116" t="e">
        <f>AND(NhatkyBan!#REF!,"AAAAAEW7fts=")</f>
        <v>#REF!</v>
      </c>
      <c r="HM116" t="e">
        <f>IF(NhatkyBan!#REF!,"AAAAAEW7ftw=",0)</f>
        <v>#REF!</v>
      </c>
      <c r="HN116" t="e">
        <f>AND(NhatkyBan!#REF!,"AAAAAEW7ft0=")</f>
        <v>#REF!</v>
      </c>
      <c r="HO116" t="e">
        <f>AND(NhatkyBan!#REF!,"AAAAAEW7ft4=")</f>
        <v>#REF!</v>
      </c>
      <c r="HP116" t="e">
        <f>AND(NhatkyBan!#REF!,"AAAAAEW7ft8=")</f>
        <v>#REF!</v>
      </c>
      <c r="HQ116" t="e">
        <f>AND(NhatkyBan!#REF!,"AAAAAEW7fuA=")</f>
        <v>#REF!</v>
      </c>
      <c r="HR116" t="e">
        <f>AND(NhatkyBan!#REF!,"AAAAAEW7fuE=")</f>
        <v>#REF!</v>
      </c>
      <c r="HS116" t="e">
        <f>AND(NhatkyBan!#REF!,"AAAAAEW7fuI=")</f>
        <v>#REF!</v>
      </c>
      <c r="HT116" t="e">
        <f>AND(NhatkyBan!#REF!,"AAAAAEW7fuM=")</f>
        <v>#REF!</v>
      </c>
      <c r="HU116" t="e">
        <f>AND(NhatkyBan!#REF!,"AAAAAEW7fuQ=")</f>
        <v>#REF!</v>
      </c>
      <c r="HV116" t="e">
        <f>AND(NhatkyBan!#REF!,"AAAAAEW7fuU=")</f>
        <v>#REF!</v>
      </c>
      <c r="HW116" t="e">
        <f>AND(NhatkyBan!#REF!,"AAAAAEW7fuY=")</f>
        <v>#REF!</v>
      </c>
      <c r="HX116" t="e">
        <f>AND(NhatkyBan!#REF!,"AAAAAEW7fuc=")</f>
        <v>#REF!</v>
      </c>
      <c r="HY116" t="e">
        <f>AND(NhatkyBan!#REF!,"AAAAAEW7fug=")</f>
        <v>#REF!</v>
      </c>
      <c r="HZ116" t="e">
        <f>AND(NhatkyBan!#REF!,"AAAAAEW7fuk=")</f>
        <v>#REF!</v>
      </c>
      <c r="IA116" t="e">
        <f>AND(NhatkyBan!#REF!,"AAAAAEW7fuo=")</f>
        <v>#REF!</v>
      </c>
      <c r="IB116" t="e">
        <f>AND(NhatkyBan!#REF!,"AAAAAEW7fus=")</f>
        <v>#REF!</v>
      </c>
      <c r="IC116" t="e">
        <f>AND(NhatkyBan!#REF!,"AAAAAEW7fuw=")</f>
        <v>#REF!</v>
      </c>
      <c r="ID116" t="e">
        <f>AND(NhatkyBan!#REF!,"AAAAAEW7fu0=")</f>
        <v>#REF!</v>
      </c>
      <c r="IE116" t="e">
        <f>AND(NhatkyBan!#REF!,"AAAAAEW7fu4=")</f>
        <v>#REF!</v>
      </c>
      <c r="IF116" t="e">
        <f>AND(NhatkyBan!#REF!,"AAAAAEW7fu8=")</f>
        <v>#REF!</v>
      </c>
      <c r="IG116" t="e">
        <f>AND(NhatkyBan!#REF!,"AAAAAEW7fvA=")</f>
        <v>#REF!</v>
      </c>
      <c r="IH116" t="e">
        <f>AND(NhatkyBan!#REF!,"AAAAAEW7fvE=")</f>
        <v>#REF!</v>
      </c>
      <c r="II116" t="e">
        <f>AND(NhatkyBan!#REF!,"AAAAAEW7fvI=")</f>
        <v>#REF!</v>
      </c>
      <c r="IJ116" t="e">
        <f>AND(NhatkyBan!#REF!,"AAAAAEW7fvM=")</f>
        <v>#REF!</v>
      </c>
      <c r="IK116" t="e">
        <f>AND(NhatkyBan!#REF!,"AAAAAEW7fvQ=")</f>
        <v>#REF!</v>
      </c>
      <c r="IL116" t="e">
        <f>AND(NhatkyBan!#REF!,"AAAAAEW7fvU=")</f>
        <v>#REF!</v>
      </c>
      <c r="IM116" t="e">
        <f>AND(NhatkyBan!#REF!,"AAAAAEW7fvY=")</f>
        <v>#REF!</v>
      </c>
      <c r="IN116" t="e">
        <f>AND(NhatkyBan!#REF!,"AAAAAEW7fvc=")</f>
        <v>#REF!</v>
      </c>
      <c r="IO116" t="e">
        <f>AND(NhatkyBan!#REF!,"AAAAAEW7fvg=")</f>
        <v>#REF!</v>
      </c>
      <c r="IP116" t="e">
        <f>AND(NhatkyBan!#REF!,"AAAAAEW7fvk=")</f>
        <v>#REF!</v>
      </c>
      <c r="IQ116" t="e">
        <f>AND(NhatkyBan!#REF!,"AAAAAEW7fvo=")</f>
        <v>#REF!</v>
      </c>
      <c r="IR116" t="e">
        <f>AND(NhatkyBan!#REF!,"AAAAAEW7fvs=")</f>
        <v>#REF!</v>
      </c>
      <c r="IS116" t="e">
        <f>AND(NhatkyBan!#REF!,"AAAAAEW7fvw=")</f>
        <v>#REF!</v>
      </c>
      <c r="IT116" t="e">
        <f>AND(NhatkyBan!#REF!,"AAAAAEW7fv0=")</f>
        <v>#REF!</v>
      </c>
      <c r="IU116" t="e">
        <f>AND(NhatkyBan!#REF!,"AAAAAEW7fv4=")</f>
        <v>#REF!</v>
      </c>
      <c r="IV116" t="e">
        <f>IF(NhatkyBan!#REF!,"AAAAAEW7fv8=",0)</f>
        <v>#REF!</v>
      </c>
    </row>
    <row r="117" spans="1:256">
      <c r="A117" t="e">
        <f>AND(NhatkyBan!#REF!,"AAAAAB391AA=")</f>
        <v>#REF!</v>
      </c>
      <c r="B117" t="e">
        <f>AND(NhatkyBan!#REF!,"AAAAAB391AE=")</f>
        <v>#REF!</v>
      </c>
      <c r="C117" t="e">
        <f>AND(NhatkyBan!#REF!,"AAAAAB391AI=")</f>
        <v>#REF!</v>
      </c>
      <c r="D117" t="e">
        <f>AND(NhatkyBan!#REF!,"AAAAAB391AM=")</f>
        <v>#REF!</v>
      </c>
      <c r="E117" t="e">
        <f>AND(NhatkyBan!#REF!,"AAAAAB391AQ=")</f>
        <v>#REF!</v>
      </c>
      <c r="F117" t="e">
        <f>AND(NhatkyBan!#REF!,"AAAAAB391AU=")</f>
        <v>#REF!</v>
      </c>
      <c r="G117" t="e">
        <f>AND(NhatkyBan!#REF!,"AAAAAB391AY=")</f>
        <v>#REF!</v>
      </c>
      <c r="H117" t="e">
        <f>AND(NhatkyBan!#REF!,"AAAAAB391Ac=")</f>
        <v>#REF!</v>
      </c>
      <c r="I117" t="e">
        <f>AND(NhatkyBan!#REF!,"AAAAAB391Ag=")</f>
        <v>#REF!</v>
      </c>
      <c r="J117" t="e">
        <f>AND(NhatkyBan!#REF!,"AAAAAB391Ak=")</f>
        <v>#REF!</v>
      </c>
      <c r="K117" t="e">
        <f>AND(NhatkyBan!#REF!,"AAAAAB391Ao=")</f>
        <v>#REF!</v>
      </c>
      <c r="L117" t="e">
        <f>AND(NhatkyBan!#REF!,"AAAAAB391As=")</f>
        <v>#REF!</v>
      </c>
      <c r="M117" t="e">
        <f>AND(NhatkyBan!#REF!,"AAAAAB391Aw=")</f>
        <v>#REF!</v>
      </c>
      <c r="N117" t="e">
        <f>AND(NhatkyBan!#REF!,"AAAAAB391A0=")</f>
        <v>#REF!</v>
      </c>
      <c r="O117" t="e">
        <f>AND(NhatkyBan!#REF!,"AAAAAB391A4=")</f>
        <v>#REF!</v>
      </c>
      <c r="P117" t="e">
        <f>AND(NhatkyBan!#REF!,"AAAAAB391A8=")</f>
        <v>#REF!</v>
      </c>
      <c r="Q117" t="e">
        <f>AND(NhatkyBan!#REF!,"AAAAAB391BA=")</f>
        <v>#REF!</v>
      </c>
      <c r="R117" t="e">
        <f>AND(NhatkyBan!#REF!,"AAAAAB391BE=")</f>
        <v>#REF!</v>
      </c>
      <c r="S117" t="e">
        <f>AND(NhatkyBan!#REF!,"AAAAAB391BI=")</f>
        <v>#REF!</v>
      </c>
      <c r="T117" t="e">
        <f>AND(NhatkyBan!#REF!,"AAAAAB391BM=")</f>
        <v>#REF!</v>
      </c>
      <c r="U117" t="e">
        <f>AND(NhatkyBan!#REF!,"AAAAAB391BQ=")</f>
        <v>#REF!</v>
      </c>
      <c r="V117" t="e">
        <f>AND(NhatkyBan!#REF!,"AAAAAB391BU=")</f>
        <v>#REF!</v>
      </c>
      <c r="W117" t="e">
        <f>AND(NhatkyBan!#REF!,"AAAAAB391BY=")</f>
        <v>#REF!</v>
      </c>
      <c r="X117" t="e">
        <f>AND(NhatkyBan!#REF!,"AAAAAB391Bc=")</f>
        <v>#REF!</v>
      </c>
      <c r="Y117" t="e">
        <f>AND(NhatkyBan!#REF!,"AAAAAB391Bg=")</f>
        <v>#REF!</v>
      </c>
      <c r="Z117" t="e">
        <f>AND(NhatkyBan!#REF!,"AAAAAB391Bk=")</f>
        <v>#REF!</v>
      </c>
      <c r="AA117" t="e">
        <f>AND(NhatkyBan!#REF!,"AAAAAB391Bo=")</f>
        <v>#REF!</v>
      </c>
      <c r="AB117" t="e">
        <f>AND(NhatkyBan!#REF!,"AAAAAB391Bs=")</f>
        <v>#REF!</v>
      </c>
      <c r="AC117" t="e">
        <f>AND(NhatkyBan!#REF!,"AAAAAB391Bw=")</f>
        <v>#REF!</v>
      </c>
      <c r="AD117" t="e">
        <f>AND(NhatkyBan!#REF!,"AAAAAB391B0=")</f>
        <v>#REF!</v>
      </c>
      <c r="AE117" t="e">
        <f>AND(NhatkyBan!#REF!,"AAAAAB391B4=")</f>
        <v>#REF!</v>
      </c>
      <c r="AF117" t="e">
        <f>AND(NhatkyBan!#REF!,"AAAAAB391B8=")</f>
        <v>#REF!</v>
      </c>
      <c r="AG117" t="e">
        <f>AND(NhatkyBan!#REF!,"AAAAAB391CA=")</f>
        <v>#REF!</v>
      </c>
      <c r="AH117" t="e">
        <f>AND(NhatkyBan!#REF!,"AAAAAB391CE=")</f>
        <v>#REF!</v>
      </c>
      <c r="AI117" t="e">
        <f>IF(NhatkyBan!#REF!,"AAAAAB391CI=",0)</f>
        <v>#REF!</v>
      </c>
      <c r="AJ117" t="e">
        <f>AND(NhatkyBan!#REF!,"AAAAAB391CM=")</f>
        <v>#REF!</v>
      </c>
      <c r="AK117" t="e">
        <f>AND(NhatkyBan!#REF!,"AAAAAB391CQ=")</f>
        <v>#REF!</v>
      </c>
      <c r="AL117" t="e">
        <f>AND(NhatkyBan!#REF!,"AAAAAB391CU=")</f>
        <v>#REF!</v>
      </c>
      <c r="AM117" t="e">
        <f>AND(NhatkyBan!#REF!,"AAAAAB391CY=")</f>
        <v>#REF!</v>
      </c>
      <c r="AN117" t="e">
        <f>AND(NhatkyBan!#REF!,"AAAAAB391Cc=")</f>
        <v>#REF!</v>
      </c>
      <c r="AO117" t="e">
        <f>AND(NhatkyBan!#REF!,"AAAAAB391Cg=")</f>
        <v>#REF!</v>
      </c>
      <c r="AP117" t="e">
        <f>AND(NhatkyBan!#REF!,"AAAAAB391Ck=")</f>
        <v>#REF!</v>
      </c>
      <c r="AQ117" t="e">
        <f>AND(NhatkyBan!#REF!,"AAAAAB391Co=")</f>
        <v>#REF!</v>
      </c>
      <c r="AR117" t="e">
        <f>AND(NhatkyBan!#REF!,"AAAAAB391Cs=")</f>
        <v>#REF!</v>
      </c>
      <c r="AS117" t="e">
        <f>AND(NhatkyBan!#REF!,"AAAAAB391Cw=")</f>
        <v>#REF!</v>
      </c>
      <c r="AT117" t="e">
        <f>AND(NhatkyBan!#REF!,"AAAAAB391C0=")</f>
        <v>#REF!</v>
      </c>
      <c r="AU117" t="e">
        <f>AND(NhatkyBan!#REF!,"AAAAAB391C4=")</f>
        <v>#REF!</v>
      </c>
      <c r="AV117" t="e">
        <f>AND(NhatkyBan!#REF!,"AAAAAB391C8=")</f>
        <v>#REF!</v>
      </c>
      <c r="AW117" t="e">
        <f>AND(NhatkyBan!#REF!,"AAAAAB391DA=")</f>
        <v>#REF!</v>
      </c>
      <c r="AX117" t="e">
        <f>AND(NhatkyBan!#REF!,"AAAAAB391DE=")</f>
        <v>#REF!</v>
      </c>
      <c r="AY117" t="e">
        <f>AND(NhatkyBan!#REF!,"AAAAAB391DI=")</f>
        <v>#REF!</v>
      </c>
      <c r="AZ117" t="e">
        <f>AND(NhatkyBan!#REF!,"AAAAAB391DM=")</f>
        <v>#REF!</v>
      </c>
      <c r="BA117" t="e">
        <f>AND(NhatkyBan!#REF!,"AAAAAB391DQ=")</f>
        <v>#REF!</v>
      </c>
      <c r="BB117" t="e">
        <f>AND(NhatkyBan!#REF!,"AAAAAB391DU=")</f>
        <v>#REF!</v>
      </c>
      <c r="BC117" t="e">
        <f>AND(NhatkyBan!#REF!,"AAAAAB391DY=")</f>
        <v>#REF!</v>
      </c>
      <c r="BD117" t="e">
        <f>AND(NhatkyBan!#REF!,"AAAAAB391Dc=")</f>
        <v>#REF!</v>
      </c>
      <c r="BE117" t="e">
        <f>AND(NhatkyBan!#REF!,"AAAAAB391Dg=")</f>
        <v>#REF!</v>
      </c>
      <c r="BF117" t="e">
        <f>AND(NhatkyBan!#REF!,"AAAAAB391Dk=")</f>
        <v>#REF!</v>
      </c>
      <c r="BG117" t="e">
        <f>AND(NhatkyBan!#REF!,"AAAAAB391Do=")</f>
        <v>#REF!</v>
      </c>
      <c r="BH117" t="e">
        <f>AND(NhatkyBan!#REF!,"AAAAAB391Ds=")</f>
        <v>#REF!</v>
      </c>
      <c r="BI117" t="e">
        <f>AND(NhatkyBan!#REF!,"AAAAAB391Dw=")</f>
        <v>#REF!</v>
      </c>
      <c r="BJ117" t="e">
        <f>AND(NhatkyBan!#REF!,"AAAAAB391D0=")</f>
        <v>#REF!</v>
      </c>
      <c r="BK117" t="e">
        <f>AND(NhatkyBan!#REF!,"AAAAAB391D4=")</f>
        <v>#REF!</v>
      </c>
      <c r="BL117" t="e">
        <f>AND(NhatkyBan!#REF!,"AAAAAB391D8=")</f>
        <v>#REF!</v>
      </c>
      <c r="BM117" t="e">
        <f>AND(NhatkyBan!#REF!,"AAAAAB391EA=")</f>
        <v>#REF!</v>
      </c>
      <c r="BN117" t="e">
        <f>AND(NhatkyBan!#REF!,"AAAAAB391EE=")</f>
        <v>#REF!</v>
      </c>
      <c r="BO117" t="e">
        <f>AND(NhatkyBan!#REF!,"AAAAAB391EI=")</f>
        <v>#REF!</v>
      </c>
      <c r="BP117" t="e">
        <f>AND(NhatkyBan!#REF!,"AAAAAB391EM=")</f>
        <v>#REF!</v>
      </c>
      <c r="BQ117" t="e">
        <f>AND(NhatkyBan!#REF!,"AAAAAB391EQ=")</f>
        <v>#REF!</v>
      </c>
      <c r="BR117" t="e">
        <f>IF(NhatkyBan!#REF!,"AAAAAB391EU=",0)</f>
        <v>#REF!</v>
      </c>
      <c r="BS117" t="e">
        <f>AND(NhatkyBan!#REF!,"AAAAAB391EY=")</f>
        <v>#REF!</v>
      </c>
      <c r="BT117" t="e">
        <f>AND(NhatkyBan!#REF!,"AAAAAB391Ec=")</f>
        <v>#REF!</v>
      </c>
      <c r="BU117" t="e">
        <f>AND(NhatkyBan!#REF!,"AAAAAB391Eg=")</f>
        <v>#REF!</v>
      </c>
      <c r="BV117" t="e">
        <f>AND(NhatkyBan!#REF!,"AAAAAB391Ek=")</f>
        <v>#REF!</v>
      </c>
      <c r="BW117" t="e">
        <f>AND(NhatkyBan!#REF!,"AAAAAB391Eo=")</f>
        <v>#REF!</v>
      </c>
      <c r="BX117" t="e">
        <f>AND(NhatkyBan!#REF!,"AAAAAB391Es=")</f>
        <v>#REF!</v>
      </c>
      <c r="BY117" t="e">
        <f>AND(NhatkyBan!#REF!,"AAAAAB391Ew=")</f>
        <v>#REF!</v>
      </c>
      <c r="BZ117" t="e">
        <f>AND(NhatkyBan!#REF!,"AAAAAB391E0=")</f>
        <v>#REF!</v>
      </c>
      <c r="CA117" t="e">
        <f>AND(NhatkyBan!#REF!,"AAAAAB391E4=")</f>
        <v>#REF!</v>
      </c>
      <c r="CB117" t="e">
        <f>AND(NhatkyBan!#REF!,"AAAAAB391E8=")</f>
        <v>#REF!</v>
      </c>
      <c r="CC117" t="e">
        <f>AND(NhatkyBan!#REF!,"AAAAAB391FA=")</f>
        <v>#REF!</v>
      </c>
      <c r="CD117" t="e">
        <f>AND(NhatkyBan!#REF!,"AAAAAB391FE=")</f>
        <v>#REF!</v>
      </c>
      <c r="CE117" t="e">
        <f>AND(NhatkyBan!#REF!,"AAAAAB391FI=")</f>
        <v>#REF!</v>
      </c>
      <c r="CF117" t="e">
        <f>AND(NhatkyBan!#REF!,"AAAAAB391FM=")</f>
        <v>#REF!</v>
      </c>
      <c r="CG117" t="e">
        <f>AND(NhatkyBan!#REF!,"AAAAAB391FQ=")</f>
        <v>#REF!</v>
      </c>
      <c r="CH117" t="e">
        <f>AND(NhatkyBan!#REF!,"AAAAAB391FU=")</f>
        <v>#REF!</v>
      </c>
      <c r="CI117" t="e">
        <f>AND(NhatkyBan!#REF!,"AAAAAB391FY=")</f>
        <v>#REF!</v>
      </c>
      <c r="CJ117" t="e">
        <f>AND(NhatkyBan!#REF!,"AAAAAB391Fc=")</f>
        <v>#REF!</v>
      </c>
      <c r="CK117" t="e">
        <f>AND(NhatkyBan!#REF!,"AAAAAB391Fg=")</f>
        <v>#REF!</v>
      </c>
      <c r="CL117" t="e">
        <f>AND(NhatkyBan!#REF!,"AAAAAB391Fk=")</f>
        <v>#REF!</v>
      </c>
      <c r="CM117" t="e">
        <f>AND(NhatkyBan!#REF!,"AAAAAB391Fo=")</f>
        <v>#REF!</v>
      </c>
      <c r="CN117" t="e">
        <f>AND(NhatkyBan!#REF!,"AAAAAB391Fs=")</f>
        <v>#REF!</v>
      </c>
      <c r="CO117" t="e">
        <f>AND(NhatkyBan!#REF!,"AAAAAB391Fw=")</f>
        <v>#REF!</v>
      </c>
      <c r="CP117" t="e">
        <f>AND(NhatkyBan!#REF!,"AAAAAB391F0=")</f>
        <v>#REF!</v>
      </c>
      <c r="CQ117" t="e">
        <f>AND(NhatkyBan!#REF!,"AAAAAB391F4=")</f>
        <v>#REF!</v>
      </c>
      <c r="CR117" t="e">
        <f>AND(NhatkyBan!#REF!,"AAAAAB391F8=")</f>
        <v>#REF!</v>
      </c>
      <c r="CS117" t="e">
        <f>AND(NhatkyBan!#REF!,"AAAAAB391GA=")</f>
        <v>#REF!</v>
      </c>
      <c r="CT117" t="e">
        <f>AND(NhatkyBan!#REF!,"AAAAAB391GE=")</f>
        <v>#REF!</v>
      </c>
      <c r="CU117" t="e">
        <f>AND(NhatkyBan!#REF!,"AAAAAB391GI=")</f>
        <v>#REF!</v>
      </c>
      <c r="CV117" t="e">
        <f>AND(NhatkyBan!#REF!,"AAAAAB391GM=")</f>
        <v>#REF!</v>
      </c>
      <c r="CW117" t="e">
        <f>AND(NhatkyBan!#REF!,"AAAAAB391GQ=")</f>
        <v>#REF!</v>
      </c>
      <c r="CX117" t="e">
        <f>AND(NhatkyBan!#REF!,"AAAAAB391GU=")</f>
        <v>#REF!</v>
      </c>
      <c r="CY117" t="e">
        <f>AND(NhatkyBan!#REF!,"AAAAAB391GY=")</f>
        <v>#REF!</v>
      </c>
      <c r="CZ117" t="e">
        <f>AND(NhatkyBan!#REF!,"AAAAAB391Gc=")</f>
        <v>#REF!</v>
      </c>
      <c r="DA117" t="e">
        <f>IF(NhatkyBan!#REF!,"AAAAAB391Gg=",0)</f>
        <v>#REF!</v>
      </c>
      <c r="DB117" t="e">
        <f>AND(NhatkyBan!#REF!,"AAAAAB391Gk=")</f>
        <v>#REF!</v>
      </c>
      <c r="DC117" t="e">
        <f>AND(NhatkyBan!#REF!,"AAAAAB391Go=")</f>
        <v>#REF!</v>
      </c>
      <c r="DD117" t="e">
        <f>AND(NhatkyBan!#REF!,"AAAAAB391Gs=")</f>
        <v>#REF!</v>
      </c>
      <c r="DE117" t="e">
        <f>AND(NhatkyBan!#REF!,"AAAAAB391Gw=")</f>
        <v>#REF!</v>
      </c>
      <c r="DF117" t="e">
        <f>AND(NhatkyBan!#REF!,"AAAAAB391G0=")</f>
        <v>#REF!</v>
      </c>
      <c r="DG117" t="e">
        <f>AND(NhatkyBan!#REF!,"AAAAAB391G4=")</f>
        <v>#REF!</v>
      </c>
      <c r="DH117" t="e">
        <f>AND(NhatkyBan!#REF!,"AAAAAB391G8=")</f>
        <v>#REF!</v>
      </c>
      <c r="DI117" t="e">
        <f>AND(NhatkyBan!#REF!,"AAAAAB391HA=")</f>
        <v>#REF!</v>
      </c>
      <c r="DJ117" t="e">
        <f>AND(NhatkyBan!#REF!,"AAAAAB391HE=")</f>
        <v>#REF!</v>
      </c>
      <c r="DK117" t="e">
        <f>AND(NhatkyBan!#REF!,"AAAAAB391HI=")</f>
        <v>#REF!</v>
      </c>
      <c r="DL117" t="e">
        <f>AND(NhatkyBan!#REF!,"AAAAAB391HM=")</f>
        <v>#REF!</v>
      </c>
      <c r="DM117" t="e">
        <f>AND(NhatkyBan!#REF!,"AAAAAB391HQ=")</f>
        <v>#REF!</v>
      </c>
      <c r="DN117" t="e">
        <f>AND(NhatkyBan!#REF!,"AAAAAB391HU=")</f>
        <v>#REF!</v>
      </c>
      <c r="DO117" t="e">
        <f>AND(NhatkyBan!#REF!,"AAAAAB391HY=")</f>
        <v>#REF!</v>
      </c>
      <c r="DP117" t="e">
        <f>AND(NhatkyBan!#REF!,"AAAAAB391Hc=")</f>
        <v>#REF!</v>
      </c>
      <c r="DQ117" t="e">
        <f>AND(NhatkyBan!#REF!,"AAAAAB391Hg=")</f>
        <v>#REF!</v>
      </c>
      <c r="DR117" t="e">
        <f>AND(NhatkyBan!#REF!,"AAAAAB391Hk=")</f>
        <v>#REF!</v>
      </c>
      <c r="DS117" t="e">
        <f>AND(NhatkyBan!#REF!,"AAAAAB391Ho=")</f>
        <v>#REF!</v>
      </c>
      <c r="DT117" t="e">
        <f>AND(NhatkyBan!#REF!,"AAAAAB391Hs=")</f>
        <v>#REF!</v>
      </c>
      <c r="DU117" t="e">
        <f>AND(NhatkyBan!#REF!,"AAAAAB391Hw=")</f>
        <v>#REF!</v>
      </c>
      <c r="DV117" t="e">
        <f>AND(NhatkyBan!#REF!,"AAAAAB391H0=")</f>
        <v>#REF!</v>
      </c>
      <c r="DW117" t="e">
        <f>AND(NhatkyBan!#REF!,"AAAAAB391H4=")</f>
        <v>#REF!</v>
      </c>
      <c r="DX117" t="e">
        <f>AND(NhatkyBan!#REF!,"AAAAAB391H8=")</f>
        <v>#REF!</v>
      </c>
      <c r="DY117" t="e">
        <f>AND(NhatkyBan!#REF!,"AAAAAB391IA=")</f>
        <v>#REF!</v>
      </c>
      <c r="DZ117" t="e">
        <f>AND(NhatkyBan!#REF!,"AAAAAB391IE=")</f>
        <v>#REF!</v>
      </c>
      <c r="EA117" t="e">
        <f>AND(NhatkyBan!#REF!,"AAAAAB391II=")</f>
        <v>#REF!</v>
      </c>
      <c r="EB117" t="e">
        <f>AND(NhatkyBan!#REF!,"AAAAAB391IM=")</f>
        <v>#REF!</v>
      </c>
      <c r="EC117" t="e">
        <f>AND(NhatkyBan!#REF!,"AAAAAB391IQ=")</f>
        <v>#REF!</v>
      </c>
      <c r="ED117" t="e">
        <f>AND(NhatkyBan!#REF!,"AAAAAB391IU=")</f>
        <v>#REF!</v>
      </c>
      <c r="EE117" t="e">
        <f>AND(NhatkyBan!#REF!,"AAAAAB391IY=")</f>
        <v>#REF!</v>
      </c>
      <c r="EF117" t="e">
        <f>AND(NhatkyBan!#REF!,"AAAAAB391Ic=")</f>
        <v>#REF!</v>
      </c>
      <c r="EG117" t="e">
        <f>AND(NhatkyBan!#REF!,"AAAAAB391Ig=")</f>
        <v>#REF!</v>
      </c>
      <c r="EH117" t="e">
        <f>AND(NhatkyBan!#REF!,"AAAAAB391Ik=")</f>
        <v>#REF!</v>
      </c>
      <c r="EI117" t="e">
        <f>AND(NhatkyBan!#REF!,"AAAAAB391Io=")</f>
        <v>#REF!</v>
      </c>
      <c r="EJ117" t="e">
        <f>IF(NhatkyBan!#REF!,"AAAAAB391Is=",0)</f>
        <v>#REF!</v>
      </c>
      <c r="EK117" t="e">
        <f>AND(NhatkyBan!#REF!,"AAAAAB391Iw=")</f>
        <v>#REF!</v>
      </c>
      <c r="EL117" t="e">
        <f>AND(NhatkyBan!#REF!,"AAAAAB391I0=")</f>
        <v>#REF!</v>
      </c>
      <c r="EM117" t="e">
        <f>AND(NhatkyBan!#REF!,"AAAAAB391I4=")</f>
        <v>#REF!</v>
      </c>
      <c r="EN117" t="e">
        <f>AND(NhatkyBan!#REF!,"AAAAAB391I8=")</f>
        <v>#REF!</v>
      </c>
      <c r="EO117" t="e">
        <f>AND(NhatkyBan!#REF!,"AAAAAB391JA=")</f>
        <v>#REF!</v>
      </c>
      <c r="EP117" t="e">
        <f>AND(NhatkyBan!#REF!,"AAAAAB391JE=")</f>
        <v>#REF!</v>
      </c>
      <c r="EQ117" t="e">
        <f>AND(NhatkyBan!#REF!,"AAAAAB391JI=")</f>
        <v>#REF!</v>
      </c>
      <c r="ER117" t="e">
        <f>AND(NhatkyBan!#REF!,"AAAAAB391JM=")</f>
        <v>#REF!</v>
      </c>
      <c r="ES117" t="e">
        <f>AND(NhatkyBan!#REF!,"AAAAAB391JQ=")</f>
        <v>#REF!</v>
      </c>
      <c r="ET117" t="e">
        <f>AND(NhatkyBan!#REF!,"AAAAAB391JU=")</f>
        <v>#REF!</v>
      </c>
      <c r="EU117" t="e">
        <f>AND(NhatkyBan!#REF!,"AAAAAB391JY=")</f>
        <v>#REF!</v>
      </c>
      <c r="EV117" t="e">
        <f>AND(NhatkyBan!#REF!,"AAAAAB391Jc=")</f>
        <v>#REF!</v>
      </c>
      <c r="EW117" t="e">
        <f>AND(NhatkyBan!#REF!,"AAAAAB391Jg=")</f>
        <v>#REF!</v>
      </c>
      <c r="EX117" t="e">
        <f>AND(NhatkyBan!#REF!,"AAAAAB391Jk=")</f>
        <v>#REF!</v>
      </c>
      <c r="EY117" t="e">
        <f>AND(NhatkyBan!#REF!,"AAAAAB391Jo=")</f>
        <v>#REF!</v>
      </c>
      <c r="EZ117" t="e">
        <f>AND(NhatkyBan!#REF!,"AAAAAB391Js=")</f>
        <v>#REF!</v>
      </c>
      <c r="FA117" t="e">
        <f>AND(NhatkyBan!#REF!,"AAAAAB391Jw=")</f>
        <v>#REF!</v>
      </c>
      <c r="FB117" t="e">
        <f>AND(NhatkyBan!#REF!,"AAAAAB391J0=")</f>
        <v>#REF!</v>
      </c>
      <c r="FC117" t="e">
        <f>AND(NhatkyBan!#REF!,"AAAAAB391J4=")</f>
        <v>#REF!</v>
      </c>
      <c r="FD117" t="e">
        <f>AND(NhatkyBan!#REF!,"AAAAAB391J8=")</f>
        <v>#REF!</v>
      </c>
      <c r="FE117" t="e">
        <f>AND(NhatkyBan!#REF!,"AAAAAB391KA=")</f>
        <v>#REF!</v>
      </c>
      <c r="FF117" t="e">
        <f>AND(NhatkyBan!#REF!,"AAAAAB391KE=")</f>
        <v>#REF!</v>
      </c>
      <c r="FG117" t="e">
        <f>AND(NhatkyBan!#REF!,"AAAAAB391KI=")</f>
        <v>#REF!</v>
      </c>
      <c r="FH117" t="e">
        <f>AND(NhatkyBan!#REF!,"AAAAAB391KM=")</f>
        <v>#REF!</v>
      </c>
      <c r="FI117" t="e">
        <f>AND(NhatkyBan!#REF!,"AAAAAB391KQ=")</f>
        <v>#REF!</v>
      </c>
      <c r="FJ117" t="e">
        <f>AND(NhatkyBan!#REF!,"AAAAAB391KU=")</f>
        <v>#REF!</v>
      </c>
      <c r="FK117" t="e">
        <f>AND(NhatkyBan!#REF!,"AAAAAB391KY=")</f>
        <v>#REF!</v>
      </c>
      <c r="FL117" t="e">
        <f>AND(NhatkyBan!#REF!,"AAAAAB391Kc=")</f>
        <v>#REF!</v>
      </c>
      <c r="FM117" t="e">
        <f>AND(NhatkyBan!#REF!,"AAAAAB391Kg=")</f>
        <v>#REF!</v>
      </c>
      <c r="FN117" t="e">
        <f>AND(NhatkyBan!#REF!,"AAAAAB391Kk=")</f>
        <v>#REF!</v>
      </c>
      <c r="FO117" t="e">
        <f>AND(NhatkyBan!#REF!,"AAAAAB391Ko=")</f>
        <v>#REF!</v>
      </c>
      <c r="FP117" t="e">
        <f>AND(NhatkyBan!#REF!,"AAAAAB391Ks=")</f>
        <v>#REF!</v>
      </c>
      <c r="FQ117" t="e">
        <f>AND(NhatkyBan!#REF!,"AAAAAB391Kw=")</f>
        <v>#REF!</v>
      </c>
      <c r="FR117" t="e">
        <f>AND(NhatkyBan!#REF!,"AAAAAB391K0=")</f>
        <v>#REF!</v>
      </c>
      <c r="FS117" t="e">
        <f>IF(NhatkyBan!#REF!,"AAAAAB391K4=",0)</f>
        <v>#REF!</v>
      </c>
      <c r="FT117" t="e">
        <f>AND(NhatkyBan!#REF!,"AAAAAB391K8=")</f>
        <v>#REF!</v>
      </c>
      <c r="FU117" t="e">
        <f>AND(NhatkyBan!#REF!,"AAAAAB391LA=")</f>
        <v>#REF!</v>
      </c>
      <c r="FV117" t="e">
        <f>AND(NhatkyBan!#REF!,"AAAAAB391LE=")</f>
        <v>#REF!</v>
      </c>
      <c r="FW117" t="e">
        <f>AND(NhatkyBan!#REF!,"AAAAAB391LI=")</f>
        <v>#REF!</v>
      </c>
      <c r="FX117" t="e">
        <f>AND(NhatkyBan!#REF!,"AAAAAB391LM=")</f>
        <v>#REF!</v>
      </c>
      <c r="FY117" t="e">
        <f>AND(NhatkyBan!#REF!,"AAAAAB391LQ=")</f>
        <v>#REF!</v>
      </c>
      <c r="FZ117" t="e">
        <f>AND(NhatkyBan!#REF!,"AAAAAB391LU=")</f>
        <v>#REF!</v>
      </c>
      <c r="GA117" t="e">
        <f>AND(NhatkyBan!#REF!,"AAAAAB391LY=")</f>
        <v>#REF!</v>
      </c>
      <c r="GB117" t="e">
        <f>AND(NhatkyBan!#REF!,"AAAAAB391Lc=")</f>
        <v>#REF!</v>
      </c>
      <c r="GC117" t="e">
        <f>AND(NhatkyBan!#REF!,"AAAAAB391Lg=")</f>
        <v>#REF!</v>
      </c>
      <c r="GD117" t="e">
        <f>AND(NhatkyBan!#REF!,"AAAAAB391Lk=")</f>
        <v>#REF!</v>
      </c>
      <c r="GE117" t="e">
        <f>AND(NhatkyBan!#REF!,"AAAAAB391Lo=")</f>
        <v>#REF!</v>
      </c>
      <c r="GF117" t="e">
        <f>AND(NhatkyBan!#REF!,"AAAAAB391Ls=")</f>
        <v>#REF!</v>
      </c>
      <c r="GG117" t="e">
        <f>AND(NhatkyBan!#REF!,"AAAAAB391Lw=")</f>
        <v>#REF!</v>
      </c>
      <c r="GH117" t="e">
        <f>AND(NhatkyBan!#REF!,"AAAAAB391L0=")</f>
        <v>#REF!</v>
      </c>
      <c r="GI117" t="e">
        <f>AND(NhatkyBan!#REF!,"AAAAAB391L4=")</f>
        <v>#REF!</v>
      </c>
      <c r="GJ117" t="e">
        <f>AND(NhatkyBan!#REF!,"AAAAAB391L8=")</f>
        <v>#REF!</v>
      </c>
      <c r="GK117" t="e">
        <f>AND(NhatkyBan!#REF!,"AAAAAB391MA=")</f>
        <v>#REF!</v>
      </c>
      <c r="GL117" t="e">
        <f>AND(NhatkyBan!#REF!,"AAAAAB391ME=")</f>
        <v>#REF!</v>
      </c>
      <c r="GM117" t="e">
        <f>AND(NhatkyBan!#REF!,"AAAAAB391MI=")</f>
        <v>#REF!</v>
      </c>
      <c r="GN117" t="e">
        <f>AND(NhatkyBan!#REF!,"AAAAAB391MM=")</f>
        <v>#REF!</v>
      </c>
      <c r="GO117" t="e">
        <f>AND(NhatkyBan!#REF!,"AAAAAB391MQ=")</f>
        <v>#REF!</v>
      </c>
      <c r="GP117" t="e">
        <f>AND(NhatkyBan!#REF!,"AAAAAB391MU=")</f>
        <v>#REF!</v>
      </c>
      <c r="GQ117" t="e">
        <f>AND(NhatkyBan!#REF!,"AAAAAB391MY=")</f>
        <v>#REF!</v>
      </c>
      <c r="GR117" t="e">
        <f>AND(NhatkyBan!#REF!,"AAAAAB391Mc=")</f>
        <v>#REF!</v>
      </c>
      <c r="GS117" t="e">
        <f>AND(NhatkyBan!#REF!,"AAAAAB391Mg=")</f>
        <v>#REF!</v>
      </c>
      <c r="GT117" t="e">
        <f>AND(NhatkyBan!#REF!,"AAAAAB391Mk=")</f>
        <v>#REF!</v>
      </c>
      <c r="GU117" t="e">
        <f>AND(NhatkyBan!#REF!,"AAAAAB391Mo=")</f>
        <v>#REF!</v>
      </c>
      <c r="GV117" t="e">
        <f>AND(NhatkyBan!#REF!,"AAAAAB391Ms=")</f>
        <v>#REF!</v>
      </c>
      <c r="GW117" t="e">
        <f>AND(NhatkyBan!#REF!,"AAAAAB391Mw=")</f>
        <v>#REF!</v>
      </c>
      <c r="GX117" t="e">
        <f>AND(NhatkyBan!#REF!,"AAAAAB391M0=")</f>
        <v>#REF!</v>
      </c>
      <c r="GY117" t="e">
        <f>AND(NhatkyBan!#REF!,"AAAAAB391M4=")</f>
        <v>#REF!</v>
      </c>
      <c r="GZ117" t="e">
        <f>AND(NhatkyBan!#REF!,"AAAAAB391M8=")</f>
        <v>#REF!</v>
      </c>
      <c r="HA117" t="e">
        <f>AND(NhatkyBan!#REF!,"AAAAAB391NA=")</f>
        <v>#REF!</v>
      </c>
      <c r="HB117" t="e">
        <f>IF(NhatkyBan!#REF!,"AAAAAB391NE=",0)</f>
        <v>#REF!</v>
      </c>
      <c r="HC117" t="e">
        <f>AND(NhatkyBan!#REF!,"AAAAAB391NI=")</f>
        <v>#REF!</v>
      </c>
      <c r="HD117" t="e">
        <f>AND(NhatkyBan!#REF!,"AAAAAB391NM=")</f>
        <v>#REF!</v>
      </c>
      <c r="HE117" t="e">
        <f>AND(NhatkyBan!#REF!,"AAAAAB391NQ=")</f>
        <v>#REF!</v>
      </c>
      <c r="HF117" t="e">
        <f>AND(NhatkyBan!#REF!,"AAAAAB391NU=")</f>
        <v>#REF!</v>
      </c>
      <c r="HG117" t="e">
        <f>AND(NhatkyBan!#REF!,"AAAAAB391NY=")</f>
        <v>#REF!</v>
      </c>
      <c r="HH117" t="e">
        <f>AND(NhatkyBan!#REF!,"AAAAAB391Nc=")</f>
        <v>#REF!</v>
      </c>
      <c r="HI117" t="e">
        <f>AND(NhatkyBan!#REF!,"AAAAAB391Ng=")</f>
        <v>#REF!</v>
      </c>
      <c r="HJ117" t="e">
        <f>AND(NhatkyBan!#REF!,"AAAAAB391Nk=")</f>
        <v>#REF!</v>
      </c>
      <c r="HK117" t="e">
        <f>AND(NhatkyBan!#REF!,"AAAAAB391No=")</f>
        <v>#REF!</v>
      </c>
      <c r="HL117" t="e">
        <f>AND(NhatkyBan!#REF!,"AAAAAB391Ns=")</f>
        <v>#REF!</v>
      </c>
      <c r="HM117" t="e">
        <f>AND(NhatkyBan!#REF!,"AAAAAB391Nw=")</f>
        <v>#REF!</v>
      </c>
      <c r="HN117" t="e">
        <f>AND(NhatkyBan!#REF!,"AAAAAB391N0=")</f>
        <v>#REF!</v>
      </c>
      <c r="HO117" t="e">
        <f>AND(NhatkyBan!#REF!,"AAAAAB391N4=")</f>
        <v>#REF!</v>
      </c>
      <c r="HP117" t="e">
        <f>AND(NhatkyBan!#REF!,"AAAAAB391N8=")</f>
        <v>#REF!</v>
      </c>
      <c r="HQ117" t="e">
        <f>AND(NhatkyBan!#REF!,"AAAAAB391OA=")</f>
        <v>#REF!</v>
      </c>
      <c r="HR117" t="e">
        <f>AND(NhatkyBan!#REF!,"AAAAAB391OE=")</f>
        <v>#REF!</v>
      </c>
      <c r="HS117" t="e">
        <f>AND(NhatkyBan!#REF!,"AAAAAB391OI=")</f>
        <v>#REF!</v>
      </c>
      <c r="HT117" t="e">
        <f>AND(NhatkyBan!#REF!,"AAAAAB391OM=")</f>
        <v>#REF!</v>
      </c>
      <c r="HU117" t="e">
        <f>AND(NhatkyBan!#REF!,"AAAAAB391OQ=")</f>
        <v>#REF!</v>
      </c>
      <c r="HV117" t="e">
        <f>AND(NhatkyBan!#REF!,"AAAAAB391OU=")</f>
        <v>#REF!</v>
      </c>
      <c r="HW117" t="e">
        <f>AND(NhatkyBan!#REF!,"AAAAAB391OY=")</f>
        <v>#REF!</v>
      </c>
      <c r="HX117" t="e">
        <f>AND(NhatkyBan!#REF!,"AAAAAB391Oc=")</f>
        <v>#REF!</v>
      </c>
      <c r="HY117" t="e">
        <f>AND(NhatkyBan!#REF!,"AAAAAB391Og=")</f>
        <v>#REF!</v>
      </c>
      <c r="HZ117" t="e">
        <f>AND(NhatkyBan!#REF!,"AAAAAB391Ok=")</f>
        <v>#REF!</v>
      </c>
      <c r="IA117" t="e">
        <f>AND(NhatkyBan!#REF!,"AAAAAB391Oo=")</f>
        <v>#REF!</v>
      </c>
      <c r="IB117" t="e">
        <f>AND(NhatkyBan!#REF!,"AAAAAB391Os=")</f>
        <v>#REF!</v>
      </c>
      <c r="IC117" t="e">
        <f>AND(NhatkyBan!#REF!,"AAAAAB391Ow=")</f>
        <v>#REF!</v>
      </c>
      <c r="ID117" t="e">
        <f>AND(NhatkyBan!#REF!,"AAAAAB391O0=")</f>
        <v>#REF!</v>
      </c>
      <c r="IE117" t="e">
        <f>AND(NhatkyBan!#REF!,"AAAAAB391O4=")</f>
        <v>#REF!</v>
      </c>
      <c r="IF117" t="e">
        <f>AND(NhatkyBan!#REF!,"AAAAAB391O8=")</f>
        <v>#REF!</v>
      </c>
      <c r="IG117" t="e">
        <f>AND(NhatkyBan!#REF!,"AAAAAB391PA=")</f>
        <v>#REF!</v>
      </c>
      <c r="IH117" t="e">
        <f>AND(NhatkyBan!#REF!,"AAAAAB391PE=")</f>
        <v>#REF!</v>
      </c>
      <c r="II117" t="e">
        <f>AND(NhatkyBan!#REF!,"AAAAAB391PI=")</f>
        <v>#REF!</v>
      </c>
      <c r="IJ117" t="e">
        <f>AND(NhatkyBan!#REF!,"AAAAAB391PM=")</f>
        <v>#REF!</v>
      </c>
      <c r="IK117" t="e">
        <f>IF(NhatkyBan!#REF!,"AAAAAB391PQ=",0)</f>
        <v>#REF!</v>
      </c>
      <c r="IL117" t="e">
        <f>AND(NhatkyBan!#REF!,"AAAAAB391PU=")</f>
        <v>#REF!</v>
      </c>
      <c r="IM117" t="e">
        <f>AND(NhatkyBan!#REF!,"AAAAAB391PY=")</f>
        <v>#REF!</v>
      </c>
      <c r="IN117" t="e">
        <f>AND(NhatkyBan!#REF!,"AAAAAB391Pc=")</f>
        <v>#REF!</v>
      </c>
      <c r="IO117" t="e">
        <f>AND(NhatkyBan!#REF!,"AAAAAB391Pg=")</f>
        <v>#REF!</v>
      </c>
      <c r="IP117" t="e">
        <f>AND(NhatkyBan!#REF!,"AAAAAB391Pk=")</f>
        <v>#REF!</v>
      </c>
      <c r="IQ117" t="e">
        <f>AND(NhatkyBan!#REF!,"AAAAAB391Po=")</f>
        <v>#REF!</v>
      </c>
      <c r="IR117" t="e">
        <f>AND(NhatkyBan!#REF!,"AAAAAB391Ps=")</f>
        <v>#REF!</v>
      </c>
      <c r="IS117" t="e">
        <f>AND(NhatkyBan!#REF!,"AAAAAB391Pw=")</f>
        <v>#REF!</v>
      </c>
      <c r="IT117" t="e">
        <f>AND(NhatkyBan!#REF!,"AAAAAB391P0=")</f>
        <v>#REF!</v>
      </c>
      <c r="IU117" t="e">
        <f>AND(NhatkyBan!#REF!,"AAAAAB391P4=")</f>
        <v>#REF!</v>
      </c>
      <c r="IV117" t="e">
        <f>AND(NhatkyBan!#REF!,"AAAAAB391P8=")</f>
        <v>#REF!</v>
      </c>
    </row>
    <row r="118" spans="1:256">
      <c r="A118" t="e">
        <f>AND(NhatkyBan!#REF!,"AAAAAHt/JQA=")</f>
        <v>#REF!</v>
      </c>
      <c r="B118" t="e">
        <f>AND(NhatkyBan!#REF!,"AAAAAHt/JQE=")</f>
        <v>#REF!</v>
      </c>
      <c r="C118" t="e">
        <f>AND(NhatkyBan!#REF!,"AAAAAHt/JQI=")</f>
        <v>#REF!</v>
      </c>
      <c r="D118" t="e">
        <f>AND(NhatkyBan!#REF!,"AAAAAHt/JQM=")</f>
        <v>#REF!</v>
      </c>
      <c r="E118" t="e">
        <f>AND(NhatkyBan!#REF!,"AAAAAHt/JQQ=")</f>
        <v>#REF!</v>
      </c>
      <c r="F118" t="e">
        <f>AND(NhatkyBan!#REF!,"AAAAAHt/JQU=")</f>
        <v>#REF!</v>
      </c>
      <c r="G118" t="e">
        <f>AND(NhatkyBan!#REF!,"AAAAAHt/JQY=")</f>
        <v>#REF!</v>
      </c>
      <c r="H118" t="e">
        <f>AND(NhatkyBan!#REF!,"AAAAAHt/JQc=")</f>
        <v>#REF!</v>
      </c>
      <c r="I118" t="e">
        <f>AND(NhatkyBan!#REF!,"AAAAAHt/JQg=")</f>
        <v>#REF!</v>
      </c>
      <c r="J118" t="e">
        <f>AND(NhatkyBan!#REF!,"AAAAAHt/JQk=")</f>
        <v>#REF!</v>
      </c>
      <c r="K118" t="e">
        <f>AND(NhatkyBan!#REF!,"AAAAAHt/JQo=")</f>
        <v>#REF!</v>
      </c>
      <c r="L118" t="e">
        <f>AND(NhatkyBan!#REF!,"AAAAAHt/JQs=")</f>
        <v>#REF!</v>
      </c>
      <c r="M118" t="e">
        <f>AND(NhatkyBan!#REF!,"AAAAAHt/JQw=")</f>
        <v>#REF!</v>
      </c>
      <c r="N118" t="e">
        <f>AND(NhatkyBan!#REF!,"AAAAAHt/JQ0=")</f>
        <v>#REF!</v>
      </c>
      <c r="O118" t="e">
        <f>AND(NhatkyBan!#REF!,"AAAAAHt/JQ4=")</f>
        <v>#REF!</v>
      </c>
      <c r="P118" t="e">
        <f>AND(NhatkyBan!#REF!,"AAAAAHt/JQ8=")</f>
        <v>#REF!</v>
      </c>
      <c r="Q118" t="e">
        <f>AND(NhatkyBan!#REF!,"AAAAAHt/JRA=")</f>
        <v>#REF!</v>
      </c>
      <c r="R118" t="e">
        <f>AND(NhatkyBan!#REF!,"AAAAAHt/JRE=")</f>
        <v>#REF!</v>
      </c>
      <c r="S118" t="e">
        <f>AND(NhatkyBan!#REF!,"AAAAAHt/JRI=")</f>
        <v>#REF!</v>
      </c>
      <c r="T118" t="e">
        <f>AND(NhatkyBan!#REF!,"AAAAAHt/JRM=")</f>
        <v>#REF!</v>
      </c>
      <c r="U118" t="e">
        <f>AND(NhatkyBan!#REF!,"AAAAAHt/JRQ=")</f>
        <v>#REF!</v>
      </c>
      <c r="V118" t="e">
        <f>AND(NhatkyBan!#REF!,"AAAAAHt/JRU=")</f>
        <v>#REF!</v>
      </c>
      <c r="W118" t="e">
        <f>AND(NhatkyBan!#REF!,"AAAAAHt/JRY=")</f>
        <v>#REF!</v>
      </c>
      <c r="X118" t="e">
        <f>IF(NhatkyBan!#REF!,"AAAAAHt/JRc=",0)</f>
        <v>#REF!</v>
      </c>
      <c r="Y118" t="e">
        <f>AND(NhatkyBan!#REF!,"AAAAAHt/JRg=")</f>
        <v>#REF!</v>
      </c>
      <c r="Z118" t="e">
        <f>AND(NhatkyBan!#REF!,"AAAAAHt/JRk=")</f>
        <v>#REF!</v>
      </c>
      <c r="AA118" t="e">
        <f>AND(NhatkyBan!#REF!,"AAAAAHt/JRo=")</f>
        <v>#REF!</v>
      </c>
      <c r="AB118" t="e">
        <f>AND(NhatkyBan!#REF!,"AAAAAHt/JRs=")</f>
        <v>#REF!</v>
      </c>
      <c r="AC118" t="e">
        <f>AND(NhatkyBan!#REF!,"AAAAAHt/JRw=")</f>
        <v>#REF!</v>
      </c>
      <c r="AD118" t="e">
        <f>AND(NhatkyBan!#REF!,"AAAAAHt/JR0=")</f>
        <v>#REF!</v>
      </c>
      <c r="AE118" t="e">
        <f>AND(NhatkyBan!#REF!,"AAAAAHt/JR4=")</f>
        <v>#REF!</v>
      </c>
      <c r="AF118" t="e">
        <f>AND(NhatkyBan!#REF!,"AAAAAHt/JR8=")</f>
        <v>#REF!</v>
      </c>
      <c r="AG118" t="e">
        <f>AND(NhatkyBan!#REF!,"AAAAAHt/JSA=")</f>
        <v>#REF!</v>
      </c>
      <c r="AH118" t="e">
        <f>AND(NhatkyBan!#REF!,"AAAAAHt/JSE=")</f>
        <v>#REF!</v>
      </c>
      <c r="AI118" t="e">
        <f>AND(NhatkyBan!#REF!,"AAAAAHt/JSI=")</f>
        <v>#REF!</v>
      </c>
      <c r="AJ118" t="e">
        <f>AND(NhatkyBan!#REF!,"AAAAAHt/JSM=")</f>
        <v>#REF!</v>
      </c>
      <c r="AK118" t="e">
        <f>AND(NhatkyBan!#REF!,"AAAAAHt/JSQ=")</f>
        <v>#REF!</v>
      </c>
      <c r="AL118" t="e">
        <f>AND(NhatkyBan!#REF!,"AAAAAHt/JSU=")</f>
        <v>#REF!</v>
      </c>
      <c r="AM118" t="e">
        <f>AND(NhatkyBan!#REF!,"AAAAAHt/JSY=")</f>
        <v>#REF!</v>
      </c>
      <c r="AN118" t="e">
        <f>AND(NhatkyBan!#REF!,"AAAAAHt/JSc=")</f>
        <v>#REF!</v>
      </c>
      <c r="AO118" t="e">
        <f>AND(NhatkyBan!#REF!,"AAAAAHt/JSg=")</f>
        <v>#REF!</v>
      </c>
      <c r="AP118" t="e">
        <f>AND(NhatkyBan!#REF!,"AAAAAHt/JSk=")</f>
        <v>#REF!</v>
      </c>
      <c r="AQ118" t="e">
        <f>AND(NhatkyBan!#REF!,"AAAAAHt/JSo=")</f>
        <v>#REF!</v>
      </c>
      <c r="AR118" t="e">
        <f>AND(NhatkyBan!#REF!,"AAAAAHt/JSs=")</f>
        <v>#REF!</v>
      </c>
      <c r="AS118" t="e">
        <f>AND(NhatkyBan!#REF!,"AAAAAHt/JSw=")</f>
        <v>#REF!</v>
      </c>
      <c r="AT118" t="e">
        <f>AND(NhatkyBan!#REF!,"AAAAAHt/JS0=")</f>
        <v>#REF!</v>
      </c>
      <c r="AU118" t="e">
        <f>AND(NhatkyBan!#REF!,"AAAAAHt/JS4=")</f>
        <v>#REF!</v>
      </c>
      <c r="AV118" t="e">
        <f>AND(NhatkyBan!#REF!,"AAAAAHt/JS8=")</f>
        <v>#REF!</v>
      </c>
      <c r="AW118" t="e">
        <f>AND(NhatkyBan!#REF!,"AAAAAHt/JTA=")</f>
        <v>#REF!</v>
      </c>
      <c r="AX118" t="e">
        <f>AND(NhatkyBan!#REF!,"AAAAAHt/JTE=")</f>
        <v>#REF!</v>
      </c>
      <c r="AY118" t="e">
        <f>AND(NhatkyBan!#REF!,"AAAAAHt/JTI=")</f>
        <v>#REF!</v>
      </c>
      <c r="AZ118" t="e">
        <f>AND(NhatkyBan!#REF!,"AAAAAHt/JTM=")</f>
        <v>#REF!</v>
      </c>
      <c r="BA118" t="e">
        <f>AND(NhatkyBan!#REF!,"AAAAAHt/JTQ=")</f>
        <v>#REF!</v>
      </c>
      <c r="BB118" t="e">
        <f>AND(NhatkyBan!#REF!,"AAAAAHt/JTU=")</f>
        <v>#REF!</v>
      </c>
      <c r="BC118" t="e">
        <f>AND(NhatkyBan!#REF!,"AAAAAHt/JTY=")</f>
        <v>#REF!</v>
      </c>
      <c r="BD118" t="e">
        <f>AND(NhatkyBan!#REF!,"AAAAAHt/JTc=")</f>
        <v>#REF!</v>
      </c>
      <c r="BE118" t="e">
        <f>AND(NhatkyBan!#REF!,"AAAAAHt/JTg=")</f>
        <v>#REF!</v>
      </c>
      <c r="BF118" t="e">
        <f>AND(NhatkyBan!#REF!,"AAAAAHt/JTk=")</f>
        <v>#REF!</v>
      </c>
      <c r="BG118" t="e">
        <f>IF(NhatkyBan!#REF!,"AAAAAHt/JTo=",0)</f>
        <v>#REF!</v>
      </c>
      <c r="BH118" t="e">
        <f>AND(NhatkyBan!#REF!,"AAAAAHt/JTs=")</f>
        <v>#REF!</v>
      </c>
      <c r="BI118" t="e">
        <f>AND(NhatkyBan!#REF!,"AAAAAHt/JTw=")</f>
        <v>#REF!</v>
      </c>
      <c r="BJ118" t="e">
        <f>AND(NhatkyBan!#REF!,"AAAAAHt/JT0=")</f>
        <v>#REF!</v>
      </c>
      <c r="BK118" t="e">
        <f>AND(NhatkyBan!#REF!,"AAAAAHt/JT4=")</f>
        <v>#REF!</v>
      </c>
      <c r="BL118" t="e">
        <f>AND(NhatkyBan!#REF!,"AAAAAHt/JT8=")</f>
        <v>#REF!</v>
      </c>
      <c r="BM118" t="e">
        <f>AND(NhatkyBan!#REF!,"AAAAAHt/JUA=")</f>
        <v>#REF!</v>
      </c>
      <c r="BN118" t="e">
        <f>AND(NhatkyBan!#REF!,"AAAAAHt/JUE=")</f>
        <v>#REF!</v>
      </c>
      <c r="BO118" t="e">
        <f>AND(NhatkyBan!#REF!,"AAAAAHt/JUI=")</f>
        <v>#REF!</v>
      </c>
      <c r="BP118" t="e">
        <f>AND(NhatkyBan!#REF!,"AAAAAHt/JUM=")</f>
        <v>#REF!</v>
      </c>
      <c r="BQ118" t="e">
        <f>AND(NhatkyBan!#REF!,"AAAAAHt/JUQ=")</f>
        <v>#REF!</v>
      </c>
      <c r="BR118" t="e">
        <f>AND(NhatkyBan!#REF!,"AAAAAHt/JUU=")</f>
        <v>#REF!</v>
      </c>
      <c r="BS118" t="e">
        <f>AND(NhatkyBan!#REF!,"AAAAAHt/JUY=")</f>
        <v>#REF!</v>
      </c>
      <c r="BT118" t="e">
        <f>AND(NhatkyBan!#REF!,"AAAAAHt/JUc=")</f>
        <v>#REF!</v>
      </c>
      <c r="BU118" t="e">
        <f>AND(NhatkyBan!#REF!,"AAAAAHt/JUg=")</f>
        <v>#REF!</v>
      </c>
      <c r="BV118" t="e">
        <f>AND(NhatkyBan!#REF!,"AAAAAHt/JUk=")</f>
        <v>#REF!</v>
      </c>
      <c r="BW118" t="e">
        <f>AND(NhatkyBan!#REF!,"AAAAAHt/JUo=")</f>
        <v>#REF!</v>
      </c>
      <c r="BX118" t="e">
        <f>AND(NhatkyBan!#REF!,"AAAAAHt/JUs=")</f>
        <v>#REF!</v>
      </c>
      <c r="BY118" t="e">
        <f>AND(NhatkyBan!#REF!,"AAAAAHt/JUw=")</f>
        <v>#REF!</v>
      </c>
      <c r="BZ118" t="e">
        <f>AND(NhatkyBan!#REF!,"AAAAAHt/JU0=")</f>
        <v>#REF!</v>
      </c>
      <c r="CA118" t="e">
        <f>AND(NhatkyBan!#REF!,"AAAAAHt/JU4=")</f>
        <v>#REF!</v>
      </c>
      <c r="CB118" t="e">
        <f>AND(NhatkyBan!#REF!,"AAAAAHt/JU8=")</f>
        <v>#REF!</v>
      </c>
      <c r="CC118" t="e">
        <f>AND(NhatkyBan!#REF!,"AAAAAHt/JVA=")</f>
        <v>#REF!</v>
      </c>
      <c r="CD118" t="e">
        <f>AND(NhatkyBan!#REF!,"AAAAAHt/JVE=")</f>
        <v>#REF!</v>
      </c>
      <c r="CE118" t="e">
        <f>AND(NhatkyBan!#REF!,"AAAAAHt/JVI=")</f>
        <v>#REF!</v>
      </c>
      <c r="CF118" t="e">
        <f>AND(NhatkyBan!#REF!,"AAAAAHt/JVM=")</f>
        <v>#REF!</v>
      </c>
      <c r="CG118" t="e">
        <f>AND(NhatkyBan!#REF!,"AAAAAHt/JVQ=")</f>
        <v>#REF!</v>
      </c>
      <c r="CH118" t="e">
        <f>AND(NhatkyBan!#REF!,"AAAAAHt/JVU=")</f>
        <v>#REF!</v>
      </c>
      <c r="CI118" t="e">
        <f>AND(NhatkyBan!#REF!,"AAAAAHt/JVY=")</f>
        <v>#REF!</v>
      </c>
      <c r="CJ118" t="e">
        <f>AND(NhatkyBan!#REF!,"AAAAAHt/JVc=")</f>
        <v>#REF!</v>
      </c>
      <c r="CK118" t="e">
        <f>AND(NhatkyBan!#REF!,"AAAAAHt/JVg=")</f>
        <v>#REF!</v>
      </c>
      <c r="CL118" t="e">
        <f>AND(NhatkyBan!#REF!,"AAAAAHt/JVk=")</f>
        <v>#REF!</v>
      </c>
      <c r="CM118" t="e">
        <f>AND(NhatkyBan!#REF!,"AAAAAHt/JVo=")</f>
        <v>#REF!</v>
      </c>
      <c r="CN118" t="e">
        <f>AND(NhatkyBan!#REF!,"AAAAAHt/JVs=")</f>
        <v>#REF!</v>
      </c>
      <c r="CO118" t="e">
        <f>AND(NhatkyBan!#REF!,"AAAAAHt/JVw=")</f>
        <v>#REF!</v>
      </c>
      <c r="CP118" t="e">
        <f>IF(NhatkyBan!#REF!,"AAAAAHt/JV0=",0)</f>
        <v>#REF!</v>
      </c>
      <c r="CQ118" t="e">
        <f>AND(NhatkyBan!#REF!,"AAAAAHt/JV4=")</f>
        <v>#REF!</v>
      </c>
      <c r="CR118" t="e">
        <f>AND(NhatkyBan!#REF!,"AAAAAHt/JV8=")</f>
        <v>#REF!</v>
      </c>
      <c r="CS118" t="e">
        <f>AND(NhatkyBan!#REF!,"AAAAAHt/JWA=")</f>
        <v>#REF!</v>
      </c>
      <c r="CT118" t="e">
        <f>AND(NhatkyBan!#REF!,"AAAAAHt/JWE=")</f>
        <v>#REF!</v>
      </c>
      <c r="CU118" t="e">
        <f>AND(NhatkyBan!#REF!,"AAAAAHt/JWI=")</f>
        <v>#REF!</v>
      </c>
      <c r="CV118" t="e">
        <f>AND(NhatkyBan!#REF!,"AAAAAHt/JWM=")</f>
        <v>#REF!</v>
      </c>
      <c r="CW118" t="e">
        <f>AND(NhatkyBan!#REF!,"AAAAAHt/JWQ=")</f>
        <v>#REF!</v>
      </c>
      <c r="CX118" t="e">
        <f>AND(NhatkyBan!#REF!,"AAAAAHt/JWU=")</f>
        <v>#REF!</v>
      </c>
      <c r="CY118" t="e">
        <f>AND(NhatkyBan!#REF!,"AAAAAHt/JWY=")</f>
        <v>#REF!</v>
      </c>
      <c r="CZ118" t="e">
        <f>AND(NhatkyBan!#REF!,"AAAAAHt/JWc=")</f>
        <v>#REF!</v>
      </c>
      <c r="DA118" t="e">
        <f>AND(NhatkyBan!#REF!,"AAAAAHt/JWg=")</f>
        <v>#REF!</v>
      </c>
      <c r="DB118" t="e">
        <f>AND(NhatkyBan!#REF!,"AAAAAHt/JWk=")</f>
        <v>#REF!</v>
      </c>
      <c r="DC118" t="e">
        <f>AND(NhatkyBan!#REF!,"AAAAAHt/JWo=")</f>
        <v>#REF!</v>
      </c>
      <c r="DD118" t="e">
        <f>AND(NhatkyBan!#REF!,"AAAAAHt/JWs=")</f>
        <v>#REF!</v>
      </c>
      <c r="DE118" t="e">
        <f>AND(NhatkyBan!#REF!,"AAAAAHt/JWw=")</f>
        <v>#REF!</v>
      </c>
      <c r="DF118" t="e">
        <f>AND(NhatkyBan!#REF!,"AAAAAHt/JW0=")</f>
        <v>#REF!</v>
      </c>
      <c r="DG118" t="e">
        <f>AND(NhatkyBan!#REF!,"AAAAAHt/JW4=")</f>
        <v>#REF!</v>
      </c>
      <c r="DH118" t="e">
        <f>AND(NhatkyBan!#REF!,"AAAAAHt/JW8=")</f>
        <v>#REF!</v>
      </c>
      <c r="DI118" t="e">
        <f>AND(NhatkyBan!#REF!,"AAAAAHt/JXA=")</f>
        <v>#REF!</v>
      </c>
      <c r="DJ118" t="e">
        <f>AND(NhatkyBan!#REF!,"AAAAAHt/JXE=")</f>
        <v>#REF!</v>
      </c>
      <c r="DK118" t="e">
        <f>AND(NhatkyBan!#REF!,"AAAAAHt/JXI=")</f>
        <v>#REF!</v>
      </c>
      <c r="DL118" t="e">
        <f>AND(NhatkyBan!#REF!,"AAAAAHt/JXM=")</f>
        <v>#REF!</v>
      </c>
      <c r="DM118" t="e">
        <f>AND(NhatkyBan!#REF!,"AAAAAHt/JXQ=")</f>
        <v>#REF!</v>
      </c>
      <c r="DN118" t="e">
        <f>AND(NhatkyBan!#REF!,"AAAAAHt/JXU=")</f>
        <v>#REF!</v>
      </c>
      <c r="DO118" t="e">
        <f>AND(NhatkyBan!#REF!,"AAAAAHt/JXY=")</f>
        <v>#REF!</v>
      </c>
      <c r="DP118" t="e">
        <f>AND(NhatkyBan!#REF!,"AAAAAHt/JXc=")</f>
        <v>#REF!</v>
      </c>
      <c r="DQ118" t="e">
        <f>AND(NhatkyBan!#REF!,"AAAAAHt/JXg=")</f>
        <v>#REF!</v>
      </c>
      <c r="DR118" t="e">
        <f>AND(NhatkyBan!#REF!,"AAAAAHt/JXk=")</f>
        <v>#REF!</v>
      </c>
      <c r="DS118" t="e">
        <f>AND(NhatkyBan!#REF!,"AAAAAHt/JXo=")</f>
        <v>#REF!</v>
      </c>
      <c r="DT118" t="e">
        <f>AND(NhatkyBan!#REF!,"AAAAAHt/JXs=")</f>
        <v>#REF!</v>
      </c>
      <c r="DU118" t="e">
        <f>AND(NhatkyBan!#REF!,"AAAAAHt/JXw=")</f>
        <v>#REF!</v>
      </c>
      <c r="DV118" t="e">
        <f>AND(NhatkyBan!#REF!,"AAAAAHt/JX0=")</f>
        <v>#REF!</v>
      </c>
      <c r="DW118" t="e">
        <f>AND(NhatkyBan!#REF!,"AAAAAHt/JX4=")</f>
        <v>#REF!</v>
      </c>
      <c r="DX118" t="e">
        <f>AND(NhatkyBan!#REF!,"AAAAAHt/JX8=")</f>
        <v>#REF!</v>
      </c>
      <c r="DY118" t="e">
        <f>IF(NhatkyBan!#REF!,"AAAAAHt/JYA=",0)</f>
        <v>#REF!</v>
      </c>
      <c r="DZ118" t="e">
        <f>AND(NhatkyBan!#REF!,"AAAAAHt/JYE=")</f>
        <v>#REF!</v>
      </c>
      <c r="EA118" t="e">
        <f>AND(NhatkyBan!#REF!,"AAAAAHt/JYI=")</f>
        <v>#REF!</v>
      </c>
      <c r="EB118" t="e">
        <f>AND(NhatkyBan!#REF!,"AAAAAHt/JYM=")</f>
        <v>#REF!</v>
      </c>
      <c r="EC118" t="e">
        <f>AND(NhatkyBan!#REF!,"AAAAAHt/JYQ=")</f>
        <v>#REF!</v>
      </c>
      <c r="ED118" t="e">
        <f>AND(NhatkyBan!#REF!,"AAAAAHt/JYU=")</f>
        <v>#REF!</v>
      </c>
      <c r="EE118" t="e">
        <f>AND(NhatkyBan!#REF!,"AAAAAHt/JYY=")</f>
        <v>#REF!</v>
      </c>
      <c r="EF118" t="e">
        <f>AND(NhatkyBan!#REF!,"AAAAAHt/JYc=")</f>
        <v>#REF!</v>
      </c>
      <c r="EG118" t="e">
        <f>AND(NhatkyBan!#REF!,"AAAAAHt/JYg=")</f>
        <v>#REF!</v>
      </c>
      <c r="EH118" t="e">
        <f>AND(NhatkyBan!#REF!,"AAAAAHt/JYk=")</f>
        <v>#REF!</v>
      </c>
      <c r="EI118" t="e">
        <f>AND(NhatkyBan!#REF!,"AAAAAHt/JYo=")</f>
        <v>#REF!</v>
      </c>
      <c r="EJ118" t="e">
        <f>AND(NhatkyBan!#REF!,"AAAAAHt/JYs=")</f>
        <v>#REF!</v>
      </c>
      <c r="EK118" t="e">
        <f>AND(NhatkyBan!#REF!,"AAAAAHt/JYw=")</f>
        <v>#REF!</v>
      </c>
      <c r="EL118" t="e">
        <f>AND(NhatkyBan!#REF!,"AAAAAHt/JY0=")</f>
        <v>#REF!</v>
      </c>
      <c r="EM118" t="e">
        <f>AND(NhatkyBan!#REF!,"AAAAAHt/JY4=")</f>
        <v>#REF!</v>
      </c>
      <c r="EN118" t="e">
        <f>AND(NhatkyBan!#REF!,"AAAAAHt/JY8=")</f>
        <v>#REF!</v>
      </c>
      <c r="EO118" t="e">
        <f>AND(NhatkyBan!#REF!,"AAAAAHt/JZA=")</f>
        <v>#REF!</v>
      </c>
      <c r="EP118" t="e">
        <f>AND(NhatkyBan!#REF!,"AAAAAHt/JZE=")</f>
        <v>#REF!</v>
      </c>
      <c r="EQ118" t="e">
        <f>AND(NhatkyBan!#REF!,"AAAAAHt/JZI=")</f>
        <v>#REF!</v>
      </c>
      <c r="ER118" t="e">
        <f>AND(NhatkyBan!#REF!,"AAAAAHt/JZM=")</f>
        <v>#REF!</v>
      </c>
      <c r="ES118" t="e">
        <f>AND(NhatkyBan!#REF!,"AAAAAHt/JZQ=")</f>
        <v>#REF!</v>
      </c>
      <c r="ET118" t="e">
        <f>AND(NhatkyBan!#REF!,"AAAAAHt/JZU=")</f>
        <v>#REF!</v>
      </c>
      <c r="EU118" t="e">
        <f>AND(NhatkyBan!#REF!,"AAAAAHt/JZY=")</f>
        <v>#REF!</v>
      </c>
      <c r="EV118" t="e">
        <f>AND(NhatkyBan!#REF!,"AAAAAHt/JZc=")</f>
        <v>#REF!</v>
      </c>
      <c r="EW118" t="e">
        <f>AND(NhatkyBan!#REF!,"AAAAAHt/JZg=")</f>
        <v>#REF!</v>
      </c>
      <c r="EX118" t="e">
        <f>AND(NhatkyBan!#REF!,"AAAAAHt/JZk=")</f>
        <v>#REF!</v>
      </c>
      <c r="EY118" t="e">
        <f>AND(NhatkyBan!#REF!,"AAAAAHt/JZo=")</f>
        <v>#REF!</v>
      </c>
      <c r="EZ118" t="e">
        <f>AND(NhatkyBan!#REF!,"AAAAAHt/JZs=")</f>
        <v>#REF!</v>
      </c>
      <c r="FA118" t="e">
        <f>AND(NhatkyBan!#REF!,"AAAAAHt/JZw=")</f>
        <v>#REF!</v>
      </c>
      <c r="FB118" t="e">
        <f>AND(NhatkyBan!#REF!,"AAAAAHt/JZ0=")</f>
        <v>#REF!</v>
      </c>
      <c r="FC118" t="e">
        <f>AND(NhatkyBan!#REF!,"AAAAAHt/JZ4=")</f>
        <v>#REF!</v>
      </c>
      <c r="FD118" t="e">
        <f>AND(NhatkyBan!#REF!,"AAAAAHt/JZ8=")</f>
        <v>#REF!</v>
      </c>
      <c r="FE118" t="e">
        <f>AND(NhatkyBan!#REF!,"AAAAAHt/JaA=")</f>
        <v>#REF!</v>
      </c>
      <c r="FF118" t="e">
        <f>AND(NhatkyBan!#REF!,"AAAAAHt/JaE=")</f>
        <v>#REF!</v>
      </c>
      <c r="FG118" t="e">
        <f>AND(NhatkyBan!#REF!,"AAAAAHt/JaI=")</f>
        <v>#REF!</v>
      </c>
      <c r="FH118" t="e">
        <f>IF(NhatkyBan!#REF!,"AAAAAHt/JaM=",0)</f>
        <v>#REF!</v>
      </c>
      <c r="FI118" t="e">
        <f>AND(NhatkyBan!#REF!,"AAAAAHt/JaQ=")</f>
        <v>#REF!</v>
      </c>
      <c r="FJ118" t="e">
        <f>AND(NhatkyBan!#REF!,"AAAAAHt/JaU=")</f>
        <v>#REF!</v>
      </c>
      <c r="FK118" t="e">
        <f>AND(NhatkyBan!#REF!,"AAAAAHt/JaY=")</f>
        <v>#REF!</v>
      </c>
      <c r="FL118" t="e">
        <f>AND(NhatkyBan!#REF!,"AAAAAHt/Jac=")</f>
        <v>#REF!</v>
      </c>
      <c r="FM118" t="e">
        <f>AND(NhatkyBan!#REF!,"AAAAAHt/Jag=")</f>
        <v>#REF!</v>
      </c>
      <c r="FN118" t="e">
        <f>AND(NhatkyBan!#REF!,"AAAAAHt/Jak=")</f>
        <v>#REF!</v>
      </c>
      <c r="FO118" t="e">
        <f>AND(NhatkyBan!#REF!,"AAAAAHt/Jao=")</f>
        <v>#REF!</v>
      </c>
      <c r="FP118" t="e">
        <f>AND(NhatkyBan!#REF!,"AAAAAHt/Jas=")</f>
        <v>#REF!</v>
      </c>
      <c r="FQ118" t="e">
        <f>AND(NhatkyBan!#REF!,"AAAAAHt/Jaw=")</f>
        <v>#REF!</v>
      </c>
      <c r="FR118" t="e">
        <f>AND(NhatkyBan!#REF!,"AAAAAHt/Ja0=")</f>
        <v>#REF!</v>
      </c>
      <c r="FS118" t="e">
        <f>AND(NhatkyBan!#REF!,"AAAAAHt/Ja4=")</f>
        <v>#REF!</v>
      </c>
      <c r="FT118" t="e">
        <f>AND(NhatkyBan!#REF!,"AAAAAHt/Ja8=")</f>
        <v>#REF!</v>
      </c>
      <c r="FU118" t="e">
        <f>AND(NhatkyBan!#REF!,"AAAAAHt/JbA=")</f>
        <v>#REF!</v>
      </c>
      <c r="FV118" t="e">
        <f>AND(NhatkyBan!#REF!,"AAAAAHt/JbE=")</f>
        <v>#REF!</v>
      </c>
      <c r="FW118" t="e">
        <f>AND(NhatkyBan!#REF!,"AAAAAHt/JbI=")</f>
        <v>#REF!</v>
      </c>
      <c r="FX118" t="e">
        <f>AND(NhatkyBan!#REF!,"AAAAAHt/JbM=")</f>
        <v>#REF!</v>
      </c>
      <c r="FY118" t="e">
        <f>AND(NhatkyBan!#REF!,"AAAAAHt/JbQ=")</f>
        <v>#REF!</v>
      </c>
      <c r="FZ118" t="e">
        <f>AND(NhatkyBan!#REF!,"AAAAAHt/JbU=")</f>
        <v>#REF!</v>
      </c>
      <c r="GA118" t="e">
        <f>AND(NhatkyBan!#REF!,"AAAAAHt/JbY=")</f>
        <v>#REF!</v>
      </c>
      <c r="GB118" t="e">
        <f>AND(NhatkyBan!#REF!,"AAAAAHt/Jbc=")</f>
        <v>#REF!</v>
      </c>
      <c r="GC118" t="e">
        <f>AND(NhatkyBan!#REF!,"AAAAAHt/Jbg=")</f>
        <v>#REF!</v>
      </c>
      <c r="GD118" t="e">
        <f>AND(NhatkyBan!#REF!,"AAAAAHt/Jbk=")</f>
        <v>#REF!</v>
      </c>
      <c r="GE118" t="e">
        <f>AND(NhatkyBan!#REF!,"AAAAAHt/Jbo=")</f>
        <v>#REF!</v>
      </c>
      <c r="GF118" t="e">
        <f>AND(NhatkyBan!#REF!,"AAAAAHt/Jbs=")</f>
        <v>#REF!</v>
      </c>
      <c r="GG118" t="e">
        <f>AND(NhatkyBan!#REF!,"AAAAAHt/Jbw=")</f>
        <v>#REF!</v>
      </c>
      <c r="GH118" t="e">
        <f>AND(NhatkyBan!#REF!,"AAAAAHt/Jb0=")</f>
        <v>#REF!</v>
      </c>
      <c r="GI118" t="e">
        <f>AND(NhatkyBan!#REF!,"AAAAAHt/Jb4=")</f>
        <v>#REF!</v>
      </c>
      <c r="GJ118" t="e">
        <f>AND(NhatkyBan!#REF!,"AAAAAHt/Jb8=")</f>
        <v>#REF!</v>
      </c>
      <c r="GK118" t="e">
        <f>AND(NhatkyBan!#REF!,"AAAAAHt/JcA=")</f>
        <v>#REF!</v>
      </c>
      <c r="GL118" t="e">
        <f>AND(NhatkyBan!#REF!,"AAAAAHt/JcE=")</f>
        <v>#REF!</v>
      </c>
      <c r="GM118" t="e">
        <f>AND(NhatkyBan!#REF!,"AAAAAHt/JcI=")</f>
        <v>#REF!</v>
      </c>
      <c r="GN118" t="e">
        <f>AND(NhatkyBan!#REF!,"AAAAAHt/JcM=")</f>
        <v>#REF!</v>
      </c>
      <c r="GO118" t="e">
        <f>AND(NhatkyBan!#REF!,"AAAAAHt/JcQ=")</f>
        <v>#REF!</v>
      </c>
      <c r="GP118" t="e">
        <f>AND(NhatkyBan!#REF!,"AAAAAHt/JcU=")</f>
        <v>#REF!</v>
      </c>
      <c r="GQ118" t="e">
        <f>IF(NhatkyBan!#REF!,"AAAAAHt/JcY=",0)</f>
        <v>#REF!</v>
      </c>
      <c r="GR118" t="e">
        <f>AND(NhatkyBan!#REF!,"AAAAAHt/Jcc=")</f>
        <v>#REF!</v>
      </c>
      <c r="GS118" t="e">
        <f>AND(NhatkyBan!#REF!,"AAAAAHt/Jcg=")</f>
        <v>#REF!</v>
      </c>
      <c r="GT118" t="e">
        <f>AND(NhatkyBan!#REF!,"AAAAAHt/Jck=")</f>
        <v>#REF!</v>
      </c>
      <c r="GU118" t="e">
        <f>AND(NhatkyBan!#REF!,"AAAAAHt/Jco=")</f>
        <v>#REF!</v>
      </c>
      <c r="GV118" t="e">
        <f>AND(NhatkyBan!#REF!,"AAAAAHt/Jcs=")</f>
        <v>#REF!</v>
      </c>
      <c r="GW118" t="e">
        <f>AND(NhatkyBan!#REF!,"AAAAAHt/Jcw=")</f>
        <v>#REF!</v>
      </c>
      <c r="GX118" t="e">
        <f>AND(NhatkyBan!#REF!,"AAAAAHt/Jc0=")</f>
        <v>#REF!</v>
      </c>
      <c r="GY118" t="e">
        <f>AND(NhatkyBan!#REF!,"AAAAAHt/Jc4=")</f>
        <v>#REF!</v>
      </c>
      <c r="GZ118" t="e">
        <f>AND(NhatkyBan!#REF!,"AAAAAHt/Jc8=")</f>
        <v>#REF!</v>
      </c>
      <c r="HA118" t="e">
        <f>AND(NhatkyBan!#REF!,"AAAAAHt/JdA=")</f>
        <v>#REF!</v>
      </c>
      <c r="HB118" t="e">
        <f>AND(NhatkyBan!#REF!,"AAAAAHt/JdE=")</f>
        <v>#REF!</v>
      </c>
      <c r="HC118" t="e">
        <f>AND(NhatkyBan!#REF!,"AAAAAHt/JdI=")</f>
        <v>#REF!</v>
      </c>
      <c r="HD118" t="e">
        <f>AND(NhatkyBan!#REF!,"AAAAAHt/JdM=")</f>
        <v>#REF!</v>
      </c>
      <c r="HE118" t="e">
        <f>AND(NhatkyBan!#REF!,"AAAAAHt/JdQ=")</f>
        <v>#REF!</v>
      </c>
      <c r="HF118" t="e">
        <f>AND(NhatkyBan!#REF!,"AAAAAHt/JdU=")</f>
        <v>#REF!</v>
      </c>
      <c r="HG118" t="e">
        <f>AND(NhatkyBan!#REF!,"AAAAAHt/JdY=")</f>
        <v>#REF!</v>
      </c>
      <c r="HH118" t="e">
        <f>AND(NhatkyBan!#REF!,"AAAAAHt/Jdc=")</f>
        <v>#REF!</v>
      </c>
      <c r="HI118" t="e">
        <f>AND(NhatkyBan!#REF!,"AAAAAHt/Jdg=")</f>
        <v>#REF!</v>
      </c>
      <c r="HJ118" t="e">
        <f>AND(NhatkyBan!#REF!,"AAAAAHt/Jdk=")</f>
        <v>#REF!</v>
      </c>
      <c r="HK118" t="e">
        <f>AND(NhatkyBan!#REF!,"AAAAAHt/Jdo=")</f>
        <v>#REF!</v>
      </c>
      <c r="HL118" t="e">
        <f>AND(NhatkyBan!#REF!,"AAAAAHt/Jds=")</f>
        <v>#REF!</v>
      </c>
      <c r="HM118" t="e">
        <f>AND(NhatkyBan!#REF!,"AAAAAHt/Jdw=")</f>
        <v>#REF!</v>
      </c>
      <c r="HN118" t="e">
        <f>AND(NhatkyBan!#REF!,"AAAAAHt/Jd0=")</f>
        <v>#REF!</v>
      </c>
      <c r="HO118" t="e">
        <f>AND(NhatkyBan!#REF!,"AAAAAHt/Jd4=")</f>
        <v>#REF!</v>
      </c>
      <c r="HP118" t="e">
        <f>AND(NhatkyBan!#REF!,"AAAAAHt/Jd8=")</f>
        <v>#REF!</v>
      </c>
      <c r="HQ118" t="e">
        <f>AND(NhatkyBan!#REF!,"AAAAAHt/JeA=")</f>
        <v>#REF!</v>
      </c>
      <c r="HR118" t="e">
        <f>AND(NhatkyBan!#REF!,"AAAAAHt/JeE=")</f>
        <v>#REF!</v>
      </c>
      <c r="HS118" t="e">
        <f>AND(NhatkyBan!#REF!,"AAAAAHt/JeI=")</f>
        <v>#REF!</v>
      </c>
      <c r="HT118" t="e">
        <f>AND(NhatkyBan!#REF!,"AAAAAHt/JeM=")</f>
        <v>#REF!</v>
      </c>
      <c r="HU118" t="e">
        <f>AND(NhatkyBan!#REF!,"AAAAAHt/JeQ=")</f>
        <v>#REF!</v>
      </c>
      <c r="HV118" t="e">
        <f>AND(NhatkyBan!#REF!,"AAAAAHt/JeU=")</f>
        <v>#REF!</v>
      </c>
      <c r="HW118" t="e">
        <f>AND(NhatkyBan!#REF!,"AAAAAHt/JeY=")</f>
        <v>#REF!</v>
      </c>
      <c r="HX118" t="e">
        <f>AND(NhatkyBan!#REF!,"AAAAAHt/Jec=")</f>
        <v>#REF!</v>
      </c>
      <c r="HY118" t="e">
        <f>AND(NhatkyBan!#REF!,"AAAAAHt/Jeg=")</f>
        <v>#REF!</v>
      </c>
      <c r="HZ118" t="e">
        <f>IF(NhatkyBan!#REF!,"AAAAAHt/Jek=",0)</f>
        <v>#REF!</v>
      </c>
      <c r="IA118" t="e">
        <f>AND(NhatkyBan!#REF!,"AAAAAHt/Jeo=")</f>
        <v>#REF!</v>
      </c>
      <c r="IB118" t="e">
        <f>AND(NhatkyBan!#REF!,"AAAAAHt/Jes=")</f>
        <v>#REF!</v>
      </c>
      <c r="IC118" t="e">
        <f>AND(NhatkyBan!#REF!,"AAAAAHt/Jew=")</f>
        <v>#REF!</v>
      </c>
      <c r="ID118" t="e">
        <f>AND(NhatkyBan!#REF!,"AAAAAHt/Je0=")</f>
        <v>#REF!</v>
      </c>
      <c r="IE118" t="e">
        <f>AND(NhatkyBan!#REF!,"AAAAAHt/Je4=")</f>
        <v>#REF!</v>
      </c>
      <c r="IF118" t="e">
        <f>AND(NhatkyBan!#REF!,"AAAAAHt/Je8=")</f>
        <v>#REF!</v>
      </c>
      <c r="IG118" t="e">
        <f>AND(NhatkyBan!#REF!,"AAAAAHt/JfA=")</f>
        <v>#REF!</v>
      </c>
      <c r="IH118" t="e">
        <f>AND(NhatkyBan!#REF!,"AAAAAHt/JfE=")</f>
        <v>#REF!</v>
      </c>
      <c r="II118" t="e">
        <f>AND(NhatkyBan!#REF!,"AAAAAHt/JfI=")</f>
        <v>#REF!</v>
      </c>
      <c r="IJ118" t="e">
        <f>AND(NhatkyBan!#REF!,"AAAAAHt/JfM=")</f>
        <v>#REF!</v>
      </c>
      <c r="IK118" t="e">
        <f>AND(NhatkyBan!#REF!,"AAAAAHt/JfQ=")</f>
        <v>#REF!</v>
      </c>
      <c r="IL118" t="e">
        <f>AND(NhatkyBan!#REF!,"AAAAAHt/JfU=")</f>
        <v>#REF!</v>
      </c>
      <c r="IM118" t="e">
        <f>AND(NhatkyBan!#REF!,"AAAAAHt/JfY=")</f>
        <v>#REF!</v>
      </c>
      <c r="IN118" t="e">
        <f>AND(NhatkyBan!#REF!,"AAAAAHt/Jfc=")</f>
        <v>#REF!</v>
      </c>
      <c r="IO118" t="e">
        <f>AND(NhatkyBan!#REF!,"AAAAAHt/Jfg=")</f>
        <v>#REF!</v>
      </c>
      <c r="IP118" t="e">
        <f>AND(NhatkyBan!#REF!,"AAAAAHt/Jfk=")</f>
        <v>#REF!</v>
      </c>
      <c r="IQ118" t="e">
        <f>AND(NhatkyBan!#REF!,"AAAAAHt/Jfo=")</f>
        <v>#REF!</v>
      </c>
      <c r="IR118" t="e">
        <f>AND(NhatkyBan!#REF!,"AAAAAHt/Jfs=")</f>
        <v>#REF!</v>
      </c>
      <c r="IS118" t="e">
        <f>AND(NhatkyBan!#REF!,"AAAAAHt/Jfw=")</f>
        <v>#REF!</v>
      </c>
      <c r="IT118" t="e">
        <f>AND(NhatkyBan!#REF!,"AAAAAHt/Jf0=")</f>
        <v>#REF!</v>
      </c>
      <c r="IU118" t="e">
        <f>AND(NhatkyBan!#REF!,"AAAAAHt/Jf4=")</f>
        <v>#REF!</v>
      </c>
      <c r="IV118" t="e">
        <f>AND(NhatkyBan!#REF!,"AAAAAHt/Jf8=")</f>
        <v>#REF!</v>
      </c>
    </row>
    <row r="119" spans="1:256">
      <c r="A119" t="e">
        <f>AND(NhatkyBan!#REF!,"AAAAAH7w/wA=")</f>
        <v>#REF!</v>
      </c>
      <c r="B119" t="e">
        <f>AND(NhatkyBan!#REF!,"AAAAAH7w/wE=")</f>
        <v>#REF!</v>
      </c>
      <c r="C119" t="e">
        <f>AND(NhatkyBan!#REF!,"AAAAAH7w/wI=")</f>
        <v>#REF!</v>
      </c>
      <c r="D119" t="e">
        <f>AND(NhatkyBan!#REF!,"AAAAAH7w/wM=")</f>
        <v>#REF!</v>
      </c>
      <c r="E119" t="e">
        <f>AND(NhatkyBan!#REF!,"AAAAAH7w/wQ=")</f>
        <v>#REF!</v>
      </c>
      <c r="F119" t="e">
        <f>AND(NhatkyBan!#REF!,"AAAAAH7w/wU=")</f>
        <v>#REF!</v>
      </c>
      <c r="G119" t="e">
        <f>AND(NhatkyBan!#REF!,"AAAAAH7w/wY=")</f>
        <v>#REF!</v>
      </c>
      <c r="H119" t="e">
        <f>AND(NhatkyBan!#REF!,"AAAAAH7w/wc=")</f>
        <v>#REF!</v>
      </c>
      <c r="I119" t="e">
        <f>AND(NhatkyBan!#REF!,"AAAAAH7w/wg=")</f>
        <v>#REF!</v>
      </c>
      <c r="J119" t="e">
        <f>AND(NhatkyBan!#REF!,"AAAAAH7w/wk=")</f>
        <v>#REF!</v>
      </c>
      <c r="K119" t="e">
        <f>AND(NhatkyBan!#REF!,"AAAAAH7w/wo=")</f>
        <v>#REF!</v>
      </c>
      <c r="L119" t="e">
        <f>AND(NhatkyBan!#REF!,"AAAAAH7w/ws=")</f>
        <v>#REF!</v>
      </c>
      <c r="M119" t="e">
        <f>IF(NhatkyBan!#REF!,"AAAAAH7w/ww=",0)</f>
        <v>#REF!</v>
      </c>
      <c r="N119" t="e">
        <f>AND(NhatkyBan!#REF!,"AAAAAH7w/w0=")</f>
        <v>#REF!</v>
      </c>
      <c r="O119" t="e">
        <f>AND(NhatkyBan!#REF!,"AAAAAH7w/w4=")</f>
        <v>#REF!</v>
      </c>
      <c r="P119" t="e">
        <f>AND(NhatkyBan!#REF!,"AAAAAH7w/w8=")</f>
        <v>#REF!</v>
      </c>
      <c r="Q119" t="e">
        <f>AND(NhatkyBan!#REF!,"AAAAAH7w/xA=")</f>
        <v>#REF!</v>
      </c>
      <c r="R119" t="e">
        <f>AND(NhatkyBan!#REF!,"AAAAAH7w/xE=")</f>
        <v>#REF!</v>
      </c>
      <c r="S119" t="e">
        <f>AND(NhatkyBan!#REF!,"AAAAAH7w/xI=")</f>
        <v>#REF!</v>
      </c>
      <c r="T119" t="e">
        <f>AND(NhatkyBan!#REF!,"AAAAAH7w/xM=")</f>
        <v>#REF!</v>
      </c>
      <c r="U119" t="e">
        <f>AND(NhatkyBan!#REF!,"AAAAAH7w/xQ=")</f>
        <v>#REF!</v>
      </c>
      <c r="V119" t="e">
        <f>AND(NhatkyBan!#REF!,"AAAAAH7w/xU=")</f>
        <v>#REF!</v>
      </c>
      <c r="W119" t="e">
        <f>AND(NhatkyBan!#REF!,"AAAAAH7w/xY=")</f>
        <v>#REF!</v>
      </c>
      <c r="X119" t="e">
        <f>AND(NhatkyBan!#REF!,"AAAAAH7w/xc=")</f>
        <v>#REF!</v>
      </c>
      <c r="Y119" t="e">
        <f>AND(NhatkyBan!#REF!,"AAAAAH7w/xg=")</f>
        <v>#REF!</v>
      </c>
      <c r="Z119" t="e">
        <f>AND(NhatkyBan!#REF!,"AAAAAH7w/xk=")</f>
        <v>#REF!</v>
      </c>
      <c r="AA119" t="e">
        <f>AND(NhatkyBan!#REF!,"AAAAAH7w/xo=")</f>
        <v>#REF!</v>
      </c>
      <c r="AB119" t="e">
        <f>AND(NhatkyBan!#REF!,"AAAAAH7w/xs=")</f>
        <v>#REF!</v>
      </c>
      <c r="AC119" t="e">
        <f>AND(NhatkyBan!#REF!,"AAAAAH7w/xw=")</f>
        <v>#REF!</v>
      </c>
      <c r="AD119" t="e">
        <f>AND(NhatkyBan!#REF!,"AAAAAH7w/x0=")</f>
        <v>#REF!</v>
      </c>
      <c r="AE119" t="e">
        <f>AND(NhatkyBan!#REF!,"AAAAAH7w/x4=")</f>
        <v>#REF!</v>
      </c>
      <c r="AF119" t="e">
        <f>AND(NhatkyBan!#REF!,"AAAAAH7w/x8=")</f>
        <v>#REF!</v>
      </c>
      <c r="AG119" t="e">
        <f>AND(NhatkyBan!#REF!,"AAAAAH7w/yA=")</f>
        <v>#REF!</v>
      </c>
      <c r="AH119" t="e">
        <f>AND(NhatkyBan!#REF!,"AAAAAH7w/yE=")</f>
        <v>#REF!</v>
      </c>
      <c r="AI119" t="e">
        <f>AND(NhatkyBan!#REF!,"AAAAAH7w/yI=")</f>
        <v>#REF!</v>
      </c>
      <c r="AJ119" t="e">
        <f>AND(NhatkyBan!#REF!,"AAAAAH7w/yM=")</f>
        <v>#REF!</v>
      </c>
      <c r="AK119" t="e">
        <f>AND(NhatkyBan!#REF!,"AAAAAH7w/yQ=")</f>
        <v>#REF!</v>
      </c>
      <c r="AL119" t="e">
        <f>AND(NhatkyBan!#REF!,"AAAAAH7w/yU=")</f>
        <v>#REF!</v>
      </c>
      <c r="AM119" t="e">
        <f>AND(NhatkyBan!#REF!,"AAAAAH7w/yY=")</f>
        <v>#REF!</v>
      </c>
      <c r="AN119" t="e">
        <f>AND(NhatkyBan!#REF!,"AAAAAH7w/yc=")</f>
        <v>#REF!</v>
      </c>
      <c r="AO119" t="e">
        <f>AND(NhatkyBan!#REF!,"AAAAAH7w/yg=")</f>
        <v>#REF!</v>
      </c>
      <c r="AP119" t="e">
        <f>AND(NhatkyBan!#REF!,"AAAAAH7w/yk=")</f>
        <v>#REF!</v>
      </c>
      <c r="AQ119" t="e">
        <f>AND(NhatkyBan!#REF!,"AAAAAH7w/yo=")</f>
        <v>#REF!</v>
      </c>
      <c r="AR119" t="e">
        <f>AND(NhatkyBan!#REF!,"AAAAAH7w/ys=")</f>
        <v>#REF!</v>
      </c>
      <c r="AS119" t="e">
        <f>AND(NhatkyBan!#REF!,"AAAAAH7w/yw=")</f>
        <v>#REF!</v>
      </c>
      <c r="AT119" t="e">
        <f>AND(NhatkyBan!#REF!,"AAAAAH7w/y0=")</f>
        <v>#REF!</v>
      </c>
      <c r="AU119" t="e">
        <f>AND(NhatkyBan!#REF!,"AAAAAH7w/y4=")</f>
        <v>#REF!</v>
      </c>
      <c r="AV119" t="e">
        <f>IF(NhatkyBan!#REF!,"AAAAAH7w/y8=",0)</f>
        <v>#REF!</v>
      </c>
      <c r="AW119" t="e">
        <f>AND(NhatkyBan!#REF!,"AAAAAH7w/zA=")</f>
        <v>#REF!</v>
      </c>
      <c r="AX119" t="e">
        <f>AND(NhatkyBan!#REF!,"AAAAAH7w/zE=")</f>
        <v>#REF!</v>
      </c>
      <c r="AY119" t="e">
        <f>AND(NhatkyBan!#REF!,"AAAAAH7w/zI=")</f>
        <v>#REF!</v>
      </c>
      <c r="AZ119" t="e">
        <f>AND(NhatkyBan!#REF!,"AAAAAH7w/zM=")</f>
        <v>#REF!</v>
      </c>
      <c r="BA119" t="e">
        <f>AND(NhatkyBan!#REF!,"AAAAAH7w/zQ=")</f>
        <v>#REF!</v>
      </c>
      <c r="BB119" t="e">
        <f>AND(NhatkyBan!#REF!,"AAAAAH7w/zU=")</f>
        <v>#REF!</v>
      </c>
      <c r="BC119" t="e">
        <f>AND(NhatkyBan!#REF!,"AAAAAH7w/zY=")</f>
        <v>#REF!</v>
      </c>
      <c r="BD119" t="e">
        <f>AND(NhatkyBan!#REF!,"AAAAAH7w/zc=")</f>
        <v>#REF!</v>
      </c>
      <c r="BE119" t="e">
        <f>AND(NhatkyBan!#REF!,"AAAAAH7w/zg=")</f>
        <v>#REF!</v>
      </c>
      <c r="BF119" t="e">
        <f>AND(NhatkyBan!#REF!,"AAAAAH7w/zk=")</f>
        <v>#REF!</v>
      </c>
      <c r="BG119" t="e">
        <f>AND(NhatkyBan!#REF!,"AAAAAH7w/zo=")</f>
        <v>#REF!</v>
      </c>
      <c r="BH119" t="e">
        <f>AND(NhatkyBan!#REF!,"AAAAAH7w/zs=")</f>
        <v>#REF!</v>
      </c>
      <c r="BI119" t="e">
        <f>AND(NhatkyBan!#REF!,"AAAAAH7w/zw=")</f>
        <v>#REF!</v>
      </c>
      <c r="BJ119" t="e">
        <f>AND(NhatkyBan!#REF!,"AAAAAH7w/z0=")</f>
        <v>#REF!</v>
      </c>
      <c r="BK119" t="e">
        <f>AND(NhatkyBan!#REF!,"AAAAAH7w/z4=")</f>
        <v>#REF!</v>
      </c>
      <c r="BL119" t="e">
        <f>AND(NhatkyBan!#REF!,"AAAAAH7w/z8=")</f>
        <v>#REF!</v>
      </c>
      <c r="BM119" t="e">
        <f>AND(NhatkyBan!#REF!,"AAAAAH7w/0A=")</f>
        <v>#REF!</v>
      </c>
      <c r="BN119" t="e">
        <f>AND(NhatkyBan!#REF!,"AAAAAH7w/0E=")</f>
        <v>#REF!</v>
      </c>
      <c r="BO119" t="e">
        <f>AND(NhatkyBan!#REF!,"AAAAAH7w/0I=")</f>
        <v>#REF!</v>
      </c>
      <c r="BP119" t="e">
        <f>AND(NhatkyBan!#REF!,"AAAAAH7w/0M=")</f>
        <v>#REF!</v>
      </c>
      <c r="BQ119" t="e">
        <f>AND(NhatkyBan!#REF!,"AAAAAH7w/0Q=")</f>
        <v>#REF!</v>
      </c>
      <c r="BR119" t="e">
        <f>AND(NhatkyBan!#REF!,"AAAAAH7w/0U=")</f>
        <v>#REF!</v>
      </c>
      <c r="BS119" t="e">
        <f>AND(NhatkyBan!#REF!,"AAAAAH7w/0Y=")</f>
        <v>#REF!</v>
      </c>
      <c r="BT119" t="e">
        <f>AND(NhatkyBan!#REF!,"AAAAAH7w/0c=")</f>
        <v>#REF!</v>
      </c>
      <c r="BU119" t="e">
        <f>AND(NhatkyBan!#REF!,"AAAAAH7w/0g=")</f>
        <v>#REF!</v>
      </c>
      <c r="BV119" t="e">
        <f>AND(NhatkyBan!#REF!,"AAAAAH7w/0k=")</f>
        <v>#REF!</v>
      </c>
      <c r="BW119" t="e">
        <f>AND(NhatkyBan!#REF!,"AAAAAH7w/0o=")</f>
        <v>#REF!</v>
      </c>
      <c r="BX119" t="e">
        <f>AND(NhatkyBan!#REF!,"AAAAAH7w/0s=")</f>
        <v>#REF!</v>
      </c>
      <c r="BY119" t="e">
        <f>AND(NhatkyBan!#REF!,"AAAAAH7w/0w=")</f>
        <v>#REF!</v>
      </c>
      <c r="BZ119" t="e">
        <f>AND(NhatkyBan!#REF!,"AAAAAH7w/00=")</f>
        <v>#REF!</v>
      </c>
      <c r="CA119" t="e">
        <f>AND(NhatkyBan!#REF!,"AAAAAH7w/04=")</f>
        <v>#REF!</v>
      </c>
      <c r="CB119" t="e">
        <f>AND(NhatkyBan!#REF!,"AAAAAH7w/08=")</f>
        <v>#REF!</v>
      </c>
      <c r="CC119" t="e">
        <f>AND(NhatkyBan!#REF!,"AAAAAH7w/1A=")</f>
        <v>#REF!</v>
      </c>
      <c r="CD119" t="e">
        <f>AND(NhatkyBan!#REF!,"AAAAAH7w/1E=")</f>
        <v>#REF!</v>
      </c>
      <c r="CE119" t="e">
        <f>IF(NhatkyBan!#REF!,"AAAAAH7w/1I=",0)</f>
        <v>#REF!</v>
      </c>
      <c r="CF119" t="e">
        <f>AND(NhatkyBan!#REF!,"AAAAAH7w/1M=")</f>
        <v>#REF!</v>
      </c>
      <c r="CG119" t="e">
        <f>AND(NhatkyBan!#REF!,"AAAAAH7w/1Q=")</f>
        <v>#REF!</v>
      </c>
      <c r="CH119" t="e">
        <f>AND(NhatkyBan!#REF!,"AAAAAH7w/1U=")</f>
        <v>#REF!</v>
      </c>
      <c r="CI119" t="e">
        <f>AND(NhatkyBan!#REF!,"AAAAAH7w/1Y=")</f>
        <v>#REF!</v>
      </c>
      <c r="CJ119" t="e">
        <f>AND(NhatkyBan!#REF!,"AAAAAH7w/1c=")</f>
        <v>#REF!</v>
      </c>
      <c r="CK119" t="e">
        <f>AND(NhatkyBan!#REF!,"AAAAAH7w/1g=")</f>
        <v>#REF!</v>
      </c>
      <c r="CL119" t="e">
        <f>AND(NhatkyBan!#REF!,"AAAAAH7w/1k=")</f>
        <v>#REF!</v>
      </c>
      <c r="CM119" t="e">
        <f>AND(NhatkyBan!#REF!,"AAAAAH7w/1o=")</f>
        <v>#REF!</v>
      </c>
      <c r="CN119" t="e">
        <f>AND(NhatkyBan!#REF!,"AAAAAH7w/1s=")</f>
        <v>#REF!</v>
      </c>
      <c r="CO119" t="e">
        <f>AND(NhatkyBan!#REF!,"AAAAAH7w/1w=")</f>
        <v>#REF!</v>
      </c>
      <c r="CP119" t="e">
        <f>AND(NhatkyBan!#REF!,"AAAAAH7w/10=")</f>
        <v>#REF!</v>
      </c>
      <c r="CQ119" t="e">
        <f>AND(NhatkyBan!#REF!,"AAAAAH7w/14=")</f>
        <v>#REF!</v>
      </c>
      <c r="CR119" t="e">
        <f>AND(NhatkyBan!#REF!,"AAAAAH7w/18=")</f>
        <v>#REF!</v>
      </c>
      <c r="CS119" t="e">
        <f>AND(NhatkyBan!#REF!,"AAAAAH7w/2A=")</f>
        <v>#REF!</v>
      </c>
      <c r="CT119" t="e">
        <f>AND(NhatkyBan!#REF!,"AAAAAH7w/2E=")</f>
        <v>#REF!</v>
      </c>
      <c r="CU119" t="e">
        <f>AND(NhatkyBan!#REF!,"AAAAAH7w/2I=")</f>
        <v>#REF!</v>
      </c>
      <c r="CV119" t="e">
        <f>AND(NhatkyBan!#REF!,"AAAAAH7w/2M=")</f>
        <v>#REF!</v>
      </c>
      <c r="CW119" t="e">
        <f>AND(NhatkyBan!#REF!,"AAAAAH7w/2Q=")</f>
        <v>#REF!</v>
      </c>
      <c r="CX119" t="e">
        <f>AND(NhatkyBan!#REF!,"AAAAAH7w/2U=")</f>
        <v>#REF!</v>
      </c>
      <c r="CY119" t="e">
        <f>AND(NhatkyBan!#REF!,"AAAAAH7w/2Y=")</f>
        <v>#REF!</v>
      </c>
      <c r="CZ119" t="e">
        <f>AND(NhatkyBan!#REF!,"AAAAAH7w/2c=")</f>
        <v>#REF!</v>
      </c>
      <c r="DA119" t="e">
        <f>AND(NhatkyBan!#REF!,"AAAAAH7w/2g=")</f>
        <v>#REF!</v>
      </c>
      <c r="DB119" t="e">
        <f>AND(NhatkyBan!#REF!,"AAAAAH7w/2k=")</f>
        <v>#REF!</v>
      </c>
      <c r="DC119" t="e">
        <f>AND(NhatkyBan!#REF!,"AAAAAH7w/2o=")</f>
        <v>#REF!</v>
      </c>
      <c r="DD119" t="e">
        <f>AND(NhatkyBan!#REF!,"AAAAAH7w/2s=")</f>
        <v>#REF!</v>
      </c>
      <c r="DE119" t="e">
        <f>AND(NhatkyBan!#REF!,"AAAAAH7w/2w=")</f>
        <v>#REF!</v>
      </c>
      <c r="DF119" t="e">
        <f>AND(NhatkyBan!#REF!,"AAAAAH7w/20=")</f>
        <v>#REF!</v>
      </c>
      <c r="DG119" t="e">
        <f>AND(NhatkyBan!#REF!,"AAAAAH7w/24=")</f>
        <v>#REF!</v>
      </c>
      <c r="DH119" t="e">
        <f>AND(NhatkyBan!#REF!,"AAAAAH7w/28=")</f>
        <v>#REF!</v>
      </c>
      <c r="DI119" t="e">
        <f>AND(NhatkyBan!#REF!,"AAAAAH7w/3A=")</f>
        <v>#REF!</v>
      </c>
      <c r="DJ119" t="e">
        <f>AND(NhatkyBan!#REF!,"AAAAAH7w/3E=")</f>
        <v>#REF!</v>
      </c>
      <c r="DK119" t="e">
        <f>AND(NhatkyBan!#REF!,"AAAAAH7w/3I=")</f>
        <v>#REF!</v>
      </c>
      <c r="DL119" t="e">
        <f>AND(NhatkyBan!#REF!,"AAAAAH7w/3M=")</f>
        <v>#REF!</v>
      </c>
      <c r="DM119" t="e">
        <f>AND(NhatkyBan!#REF!,"AAAAAH7w/3Q=")</f>
        <v>#REF!</v>
      </c>
      <c r="DN119" t="e">
        <f>IF(NhatkyBan!#REF!,"AAAAAH7w/3U=",0)</f>
        <v>#REF!</v>
      </c>
      <c r="DO119" t="e">
        <f>AND(NhatkyBan!#REF!,"AAAAAH7w/3Y=")</f>
        <v>#REF!</v>
      </c>
      <c r="DP119" t="e">
        <f>AND(NhatkyBan!#REF!,"AAAAAH7w/3c=")</f>
        <v>#REF!</v>
      </c>
      <c r="DQ119" t="e">
        <f>AND(NhatkyBan!#REF!,"AAAAAH7w/3g=")</f>
        <v>#REF!</v>
      </c>
      <c r="DR119" t="e">
        <f>AND(NhatkyBan!#REF!,"AAAAAH7w/3k=")</f>
        <v>#REF!</v>
      </c>
      <c r="DS119" t="e">
        <f>AND(NhatkyBan!#REF!,"AAAAAH7w/3o=")</f>
        <v>#REF!</v>
      </c>
      <c r="DT119" t="e">
        <f>AND(NhatkyBan!#REF!,"AAAAAH7w/3s=")</f>
        <v>#REF!</v>
      </c>
      <c r="DU119" t="e">
        <f>AND(NhatkyBan!#REF!,"AAAAAH7w/3w=")</f>
        <v>#REF!</v>
      </c>
      <c r="DV119" t="e">
        <f>AND(NhatkyBan!#REF!,"AAAAAH7w/30=")</f>
        <v>#REF!</v>
      </c>
      <c r="DW119" t="e">
        <f>AND(NhatkyBan!#REF!,"AAAAAH7w/34=")</f>
        <v>#REF!</v>
      </c>
      <c r="DX119" t="e">
        <f>AND(NhatkyBan!#REF!,"AAAAAH7w/38=")</f>
        <v>#REF!</v>
      </c>
      <c r="DY119" t="e">
        <f>AND(NhatkyBan!#REF!,"AAAAAH7w/4A=")</f>
        <v>#REF!</v>
      </c>
      <c r="DZ119" t="e">
        <f>AND(NhatkyBan!#REF!,"AAAAAH7w/4E=")</f>
        <v>#REF!</v>
      </c>
      <c r="EA119" t="e">
        <f>AND(NhatkyBan!#REF!,"AAAAAH7w/4I=")</f>
        <v>#REF!</v>
      </c>
      <c r="EB119" t="e">
        <f>AND(NhatkyBan!#REF!,"AAAAAH7w/4M=")</f>
        <v>#REF!</v>
      </c>
      <c r="EC119" t="e">
        <f>AND(NhatkyBan!#REF!,"AAAAAH7w/4Q=")</f>
        <v>#REF!</v>
      </c>
      <c r="ED119" t="e">
        <f>AND(NhatkyBan!#REF!,"AAAAAH7w/4U=")</f>
        <v>#REF!</v>
      </c>
      <c r="EE119" t="e">
        <f>AND(NhatkyBan!#REF!,"AAAAAH7w/4Y=")</f>
        <v>#REF!</v>
      </c>
      <c r="EF119" t="e">
        <f>AND(NhatkyBan!#REF!,"AAAAAH7w/4c=")</f>
        <v>#REF!</v>
      </c>
      <c r="EG119" t="e">
        <f>AND(NhatkyBan!#REF!,"AAAAAH7w/4g=")</f>
        <v>#REF!</v>
      </c>
      <c r="EH119" t="e">
        <f>AND(NhatkyBan!#REF!,"AAAAAH7w/4k=")</f>
        <v>#REF!</v>
      </c>
      <c r="EI119" t="e">
        <f>AND(NhatkyBan!#REF!,"AAAAAH7w/4o=")</f>
        <v>#REF!</v>
      </c>
      <c r="EJ119" t="e">
        <f>AND(NhatkyBan!#REF!,"AAAAAH7w/4s=")</f>
        <v>#REF!</v>
      </c>
      <c r="EK119" t="e">
        <f>AND(NhatkyBan!#REF!,"AAAAAH7w/4w=")</f>
        <v>#REF!</v>
      </c>
      <c r="EL119" t="e">
        <f>AND(NhatkyBan!#REF!,"AAAAAH7w/40=")</f>
        <v>#REF!</v>
      </c>
      <c r="EM119" t="e">
        <f>AND(NhatkyBan!#REF!,"AAAAAH7w/44=")</f>
        <v>#REF!</v>
      </c>
      <c r="EN119" t="e">
        <f>AND(NhatkyBan!#REF!,"AAAAAH7w/48=")</f>
        <v>#REF!</v>
      </c>
      <c r="EO119" t="e">
        <f>AND(NhatkyBan!#REF!,"AAAAAH7w/5A=")</f>
        <v>#REF!</v>
      </c>
      <c r="EP119" t="e">
        <f>AND(NhatkyBan!#REF!,"AAAAAH7w/5E=")</f>
        <v>#REF!</v>
      </c>
      <c r="EQ119" t="e">
        <f>AND(NhatkyBan!#REF!,"AAAAAH7w/5I=")</f>
        <v>#REF!</v>
      </c>
      <c r="ER119" t="e">
        <f>AND(NhatkyBan!#REF!,"AAAAAH7w/5M=")</f>
        <v>#REF!</v>
      </c>
      <c r="ES119" t="e">
        <f>AND(NhatkyBan!#REF!,"AAAAAH7w/5Q=")</f>
        <v>#REF!</v>
      </c>
      <c r="ET119" t="e">
        <f>AND(NhatkyBan!#REF!,"AAAAAH7w/5U=")</f>
        <v>#REF!</v>
      </c>
      <c r="EU119" t="e">
        <f>AND(NhatkyBan!#REF!,"AAAAAH7w/5Y=")</f>
        <v>#REF!</v>
      </c>
      <c r="EV119" t="e">
        <f>AND(NhatkyBan!#REF!,"AAAAAH7w/5c=")</f>
        <v>#REF!</v>
      </c>
      <c r="EW119" t="e">
        <f>IF(NhatkyBan!#REF!,"AAAAAH7w/5g=",0)</f>
        <v>#REF!</v>
      </c>
      <c r="EX119" t="e">
        <f>AND(NhatkyBan!#REF!,"AAAAAH7w/5k=")</f>
        <v>#REF!</v>
      </c>
      <c r="EY119" t="e">
        <f>AND(NhatkyBan!#REF!,"AAAAAH7w/5o=")</f>
        <v>#REF!</v>
      </c>
      <c r="EZ119" t="e">
        <f>AND(NhatkyBan!#REF!,"AAAAAH7w/5s=")</f>
        <v>#REF!</v>
      </c>
      <c r="FA119" t="e">
        <f>AND(NhatkyBan!#REF!,"AAAAAH7w/5w=")</f>
        <v>#REF!</v>
      </c>
      <c r="FB119" t="e">
        <f>AND(NhatkyBan!#REF!,"AAAAAH7w/50=")</f>
        <v>#REF!</v>
      </c>
      <c r="FC119" t="e">
        <f>AND(NhatkyBan!#REF!,"AAAAAH7w/54=")</f>
        <v>#REF!</v>
      </c>
      <c r="FD119" t="e">
        <f>AND(NhatkyBan!#REF!,"AAAAAH7w/58=")</f>
        <v>#REF!</v>
      </c>
      <c r="FE119" t="e">
        <f>AND(NhatkyBan!#REF!,"AAAAAH7w/6A=")</f>
        <v>#REF!</v>
      </c>
      <c r="FF119" t="e">
        <f>AND(NhatkyBan!#REF!,"AAAAAH7w/6E=")</f>
        <v>#REF!</v>
      </c>
      <c r="FG119" t="e">
        <f>AND(NhatkyBan!#REF!,"AAAAAH7w/6I=")</f>
        <v>#REF!</v>
      </c>
      <c r="FH119" t="e">
        <f>AND(NhatkyBan!#REF!,"AAAAAH7w/6M=")</f>
        <v>#REF!</v>
      </c>
      <c r="FI119" t="e">
        <f>AND(NhatkyBan!#REF!,"AAAAAH7w/6Q=")</f>
        <v>#REF!</v>
      </c>
      <c r="FJ119" t="e">
        <f>AND(NhatkyBan!#REF!,"AAAAAH7w/6U=")</f>
        <v>#REF!</v>
      </c>
      <c r="FK119" t="e">
        <f>AND(NhatkyBan!#REF!,"AAAAAH7w/6Y=")</f>
        <v>#REF!</v>
      </c>
      <c r="FL119" t="e">
        <f>AND(NhatkyBan!#REF!,"AAAAAH7w/6c=")</f>
        <v>#REF!</v>
      </c>
      <c r="FM119" t="e">
        <f>AND(NhatkyBan!#REF!,"AAAAAH7w/6g=")</f>
        <v>#REF!</v>
      </c>
      <c r="FN119" t="e">
        <f>AND(NhatkyBan!#REF!,"AAAAAH7w/6k=")</f>
        <v>#REF!</v>
      </c>
      <c r="FO119" t="e">
        <f>AND(NhatkyBan!#REF!,"AAAAAH7w/6o=")</f>
        <v>#REF!</v>
      </c>
      <c r="FP119" t="e">
        <f>AND(NhatkyBan!#REF!,"AAAAAH7w/6s=")</f>
        <v>#REF!</v>
      </c>
      <c r="FQ119" t="e">
        <f>AND(NhatkyBan!#REF!,"AAAAAH7w/6w=")</f>
        <v>#REF!</v>
      </c>
      <c r="FR119" t="e">
        <f>AND(NhatkyBan!#REF!,"AAAAAH7w/60=")</f>
        <v>#REF!</v>
      </c>
      <c r="FS119" t="e">
        <f>AND(NhatkyBan!#REF!,"AAAAAH7w/64=")</f>
        <v>#REF!</v>
      </c>
      <c r="FT119" t="e">
        <f>AND(NhatkyBan!#REF!,"AAAAAH7w/68=")</f>
        <v>#REF!</v>
      </c>
      <c r="FU119" t="e">
        <f>AND(NhatkyBan!#REF!,"AAAAAH7w/7A=")</f>
        <v>#REF!</v>
      </c>
      <c r="FV119" t="e">
        <f>AND(NhatkyBan!#REF!,"AAAAAH7w/7E=")</f>
        <v>#REF!</v>
      </c>
      <c r="FW119" t="e">
        <f>AND(NhatkyBan!#REF!,"AAAAAH7w/7I=")</f>
        <v>#REF!</v>
      </c>
      <c r="FX119" t="e">
        <f>AND(NhatkyBan!#REF!,"AAAAAH7w/7M=")</f>
        <v>#REF!</v>
      </c>
      <c r="FY119" t="e">
        <f>AND(NhatkyBan!#REF!,"AAAAAH7w/7Q=")</f>
        <v>#REF!</v>
      </c>
      <c r="FZ119" t="e">
        <f>AND(NhatkyBan!#REF!,"AAAAAH7w/7U=")</f>
        <v>#REF!</v>
      </c>
      <c r="GA119" t="e">
        <f>AND(NhatkyBan!#REF!,"AAAAAH7w/7Y=")</f>
        <v>#REF!</v>
      </c>
      <c r="GB119" t="e">
        <f>AND(NhatkyBan!#REF!,"AAAAAH7w/7c=")</f>
        <v>#REF!</v>
      </c>
      <c r="GC119" t="e">
        <f>AND(NhatkyBan!#REF!,"AAAAAH7w/7g=")</f>
        <v>#REF!</v>
      </c>
      <c r="GD119" t="e">
        <f>AND(NhatkyBan!#REF!,"AAAAAH7w/7k=")</f>
        <v>#REF!</v>
      </c>
      <c r="GE119" t="e">
        <f>AND(NhatkyBan!#REF!,"AAAAAH7w/7o=")</f>
        <v>#REF!</v>
      </c>
      <c r="GF119" t="e">
        <f>IF(NhatkyBan!#REF!,"AAAAAH7w/7s=",0)</f>
        <v>#REF!</v>
      </c>
      <c r="GG119" t="e">
        <f>AND(NhatkyBan!#REF!,"AAAAAH7w/7w=")</f>
        <v>#REF!</v>
      </c>
      <c r="GH119" t="e">
        <f>AND(NhatkyBan!#REF!,"AAAAAH7w/70=")</f>
        <v>#REF!</v>
      </c>
      <c r="GI119" t="e">
        <f>AND(NhatkyBan!#REF!,"AAAAAH7w/74=")</f>
        <v>#REF!</v>
      </c>
      <c r="GJ119" t="e">
        <f>AND(NhatkyBan!#REF!,"AAAAAH7w/78=")</f>
        <v>#REF!</v>
      </c>
      <c r="GK119" t="e">
        <f>AND(NhatkyBan!#REF!,"AAAAAH7w/8A=")</f>
        <v>#REF!</v>
      </c>
      <c r="GL119" t="e">
        <f>AND(NhatkyBan!#REF!,"AAAAAH7w/8E=")</f>
        <v>#REF!</v>
      </c>
      <c r="GM119" t="e">
        <f>AND(NhatkyBan!#REF!,"AAAAAH7w/8I=")</f>
        <v>#REF!</v>
      </c>
      <c r="GN119" t="e">
        <f>AND(NhatkyBan!#REF!,"AAAAAH7w/8M=")</f>
        <v>#REF!</v>
      </c>
      <c r="GO119" t="e">
        <f>AND(NhatkyBan!#REF!,"AAAAAH7w/8Q=")</f>
        <v>#REF!</v>
      </c>
      <c r="GP119" t="e">
        <f>AND(NhatkyBan!#REF!,"AAAAAH7w/8U=")</f>
        <v>#REF!</v>
      </c>
      <c r="GQ119" t="e">
        <f>AND(NhatkyBan!#REF!,"AAAAAH7w/8Y=")</f>
        <v>#REF!</v>
      </c>
      <c r="GR119" t="e">
        <f>AND(NhatkyBan!#REF!,"AAAAAH7w/8c=")</f>
        <v>#REF!</v>
      </c>
      <c r="GS119" t="e">
        <f>AND(NhatkyBan!#REF!,"AAAAAH7w/8g=")</f>
        <v>#REF!</v>
      </c>
      <c r="GT119" t="e">
        <f>AND(NhatkyBan!#REF!,"AAAAAH7w/8k=")</f>
        <v>#REF!</v>
      </c>
      <c r="GU119" t="e">
        <f>AND(NhatkyBan!#REF!,"AAAAAH7w/8o=")</f>
        <v>#REF!</v>
      </c>
      <c r="GV119" t="e">
        <f>AND(NhatkyBan!#REF!,"AAAAAH7w/8s=")</f>
        <v>#REF!</v>
      </c>
      <c r="GW119" t="e">
        <f>AND(NhatkyBan!#REF!,"AAAAAH7w/8w=")</f>
        <v>#REF!</v>
      </c>
      <c r="GX119" t="e">
        <f>AND(NhatkyBan!#REF!,"AAAAAH7w/80=")</f>
        <v>#REF!</v>
      </c>
      <c r="GY119" t="e">
        <f>AND(NhatkyBan!#REF!,"AAAAAH7w/84=")</f>
        <v>#REF!</v>
      </c>
      <c r="GZ119" t="e">
        <f>AND(NhatkyBan!#REF!,"AAAAAH7w/88=")</f>
        <v>#REF!</v>
      </c>
      <c r="HA119" t="e">
        <f>AND(NhatkyBan!#REF!,"AAAAAH7w/9A=")</f>
        <v>#REF!</v>
      </c>
      <c r="HB119" t="e">
        <f>AND(NhatkyBan!#REF!,"AAAAAH7w/9E=")</f>
        <v>#REF!</v>
      </c>
      <c r="HC119" t="e">
        <f>AND(NhatkyBan!#REF!,"AAAAAH7w/9I=")</f>
        <v>#REF!</v>
      </c>
      <c r="HD119" t="e">
        <f>AND(NhatkyBan!#REF!,"AAAAAH7w/9M=")</f>
        <v>#REF!</v>
      </c>
      <c r="HE119" t="e">
        <f>AND(NhatkyBan!#REF!,"AAAAAH7w/9Q=")</f>
        <v>#REF!</v>
      </c>
      <c r="HF119" t="e">
        <f>AND(NhatkyBan!#REF!,"AAAAAH7w/9U=")</f>
        <v>#REF!</v>
      </c>
      <c r="HG119" t="e">
        <f>AND(NhatkyBan!#REF!,"AAAAAH7w/9Y=")</f>
        <v>#REF!</v>
      </c>
      <c r="HH119" t="e">
        <f>AND(NhatkyBan!#REF!,"AAAAAH7w/9c=")</f>
        <v>#REF!</v>
      </c>
      <c r="HI119" t="e">
        <f>AND(NhatkyBan!#REF!,"AAAAAH7w/9g=")</f>
        <v>#REF!</v>
      </c>
      <c r="HJ119" t="e">
        <f>AND(NhatkyBan!#REF!,"AAAAAH7w/9k=")</f>
        <v>#REF!</v>
      </c>
      <c r="HK119" t="e">
        <f>AND(NhatkyBan!#REF!,"AAAAAH7w/9o=")</f>
        <v>#REF!</v>
      </c>
      <c r="HL119" t="e">
        <f>AND(NhatkyBan!#REF!,"AAAAAH7w/9s=")</f>
        <v>#REF!</v>
      </c>
      <c r="HM119" t="e">
        <f>AND(NhatkyBan!#REF!,"AAAAAH7w/9w=")</f>
        <v>#REF!</v>
      </c>
      <c r="HN119" t="e">
        <f>AND(NhatkyBan!#REF!,"AAAAAH7w/90=")</f>
        <v>#REF!</v>
      </c>
      <c r="HO119" t="e">
        <f>IF(NhatkyBan!#REF!,"AAAAAH7w/94=",0)</f>
        <v>#REF!</v>
      </c>
      <c r="HP119" t="e">
        <f>AND(NhatkyBan!#REF!,"AAAAAH7w/98=")</f>
        <v>#REF!</v>
      </c>
      <c r="HQ119" t="e">
        <f>AND(NhatkyBan!#REF!,"AAAAAH7w/+A=")</f>
        <v>#REF!</v>
      </c>
      <c r="HR119" t="e">
        <f>AND(NhatkyBan!#REF!,"AAAAAH7w/+E=")</f>
        <v>#REF!</v>
      </c>
      <c r="HS119" t="e">
        <f>AND(NhatkyBan!#REF!,"AAAAAH7w/+I=")</f>
        <v>#REF!</v>
      </c>
      <c r="HT119" t="e">
        <f>AND(NhatkyBan!#REF!,"AAAAAH7w/+M=")</f>
        <v>#REF!</v>
      </c>
      <c r="HU119" t="e">
        <f>AND(NhatkyBan!#REF!,"AAAAAH7w/+Q=")</f>
        <v>#REF!</v>
      </c>
      <c r="HV119" t="e">
        <f>AND(NhatkyBan!#REF!,"AAAAAH7w/+U=")</f>
        <v>#REF!</v>
      </c>
      <c r="HW119" t="e">
        <f>AND(NhatkyBan!#REF!,"AAAAAH7w/+Y=")</f>
        <v>#REF!</v>
      </c>
      <c r="HX119" t="e">
        <f>AND(NhatkyBan!#REF!,"AAAAAH7w/+c=")</f>
        <v>#REF!</v>
      </c>
      <c r="HY119" t="e">
        <f>AND(NhatkyBan!#REF!,"AAAAAH7w/+g=")</f>
        <v>#REF!</v>
      </c>
      <c r="HZ119" t="e">
        <f>AND(NhatkyBan!#REF!,"AAAAAH7w/+k=")</f>
        <v>#REF!</v>
      </c>
      <c r="IA119" t="e">
        <f>AND(NhatkyBan!#REF!,"AAAAAH7w/+o=")</f>
        <v>#REF!</v>
      </c>
      <c r="IB119" t="e">
        <f>AND(NhatkyBan!#REF!,"AAAAAH7w/+s=")</f>
        <v>#REF!</v>
      </c>
      <c r="IC119" t="e">
        <f>AND(NhatkyBan!#REF!,"AAAAAH7w/+w=")</f>
        <v>#REF!</v>
      </c>
      <c r="ID119" t="e">
        <f>AND(NhatkyBan!#REF!,"AAAAAH7w/+0=")</f>
        <v>#REF!</v>
      </c>
      <c r="IE119" t="e">
        <f>AND(NhatkyBan!#REF!,"AAAAAH7w/+4=")</f>
        <v>#REF!</v>
      </c>
      <c r="IF119" t="e">
        <f>AND(NhatkyBan!#REF!,"AAAAAH7w/+8=")</f>
        <v>#REF!</v>
      </c>
      <c r="IG119" t="e">
        <f>AND(NhatkyBan!#REF!,"AAAAAH7w//A=")</f>
        <v>#REF!</v>
      </c>
      <c r="IH119" t="e">
        <f>AND(NhatkyBan!#REF!,"AAAAAH7w//E=")</f>
        <v>#REF!</v>
      </c>
      <c r="II119" t="e">
        <f>AND(NhatkyBan!#REF!,"AAAAAH7w//I=")</f>
        <v>#REF!</v>
      </c>
      <c r="IJ119" t="e">
        <f>AND(NhatkyBan!#REF!,"AAAAAH7w//M=")</f>
        <v>#REF!</v>
      </c>
      <c r="IK119" t="e">
        <f>AND(NhatkyBan!#REF!,"AAAAAH7w//Q=")</f>
        <v>#REF!</v>
      </c>
      <c r="IL119" t="e">
        <f>AND(NhatkyBan!#REF!,"AAAAAH7w//U=")</f>
        <v>#REF!</v>
      </c>
      <c r="IM119" t="e">
        <f>AND(NhatkyBan!#REF!,"AAAAAH7w//Y=")</f>
        <v>#REF!</v>
      </c>
      <c r="IN119" t="e">
        <f>AND(NhatkyBan!#REF!,"AAAAAH7w//c=")</f>
        <v>#REF!</v>
      </c>
      <c r="IO119" t="e">
        <f>AND(NhatkyBan!#REF!,"AAAAAH7w//g=")</f>
        <v>#REF!</v>
      </c>
      <c r="IP119" t="e">
        <f>AND(NhatkyBan!#REF!,"AAAAAH7w//k=")</f>
        <v>#REF!</v>
      </c>
      <c r="IQ119" t="e">
        <f>AND(NhatkyBan!#REF!,"AAAAAH7w//o=")</f>
        <v>#REF!</v>
      </c>
      <c r="IR119" t="e">
        <f>AND(NhatkyBan!#REF!,"AAAAAH7w//s=")</f>
        <v>#REF!</v>
      </c>
      <c r="IS119" t="e">
        <f>AND(NhatkyBan!#REF!,"AAAAAH7w//w=")</f>
        <v>#REF!</v>
      </c>
      <c r="IT119" t="e">
        <f>AND(NhatkyBan!#REF!,"AAAAAH7w//0=")</f>
        <v>#REF!</v>
      </c>
      <c r="IU119" t="e">
        <f>AND(NhatkyBan!#REF!,"AAAAAH7w//4=")</f>
        <v>#REF!</v>
      </c>
      <c r="IV119" t="e">
        <f>AND(NhatkyBan!#REF!,"AAAAAH7w//8=")</f>
        <v>#REF!</v>
      </c>
    </row>
    <row r="120" spans="1:256">
      <c r="A120" t="e">
        <f>AND(NhatkyBan!#REF!,"AAAAAH0dtwA=")</f>
        <v>#REF!</v>
      </c>
      <c r="B120" t="e">
        <f>IF(NhatkyBan!#REF!,"AAAAAH0dtwE=",0)</f>
        <v>#REF!</v>
      </c>
      <c r="C120" t="e">
        <f>AND(NhatkyBan!#REF!,"AAAAAH0dtwI=")</f>
        <v>#REF!</v>
      </c>
      <c r="D120" t="e">
        <f>AND(NhatkyBan!#REF!,"AAAAAH0dtwM=")</f>
        <v>#REF!</v>
      </c>
      <c r="E120" t="e">
        <f>AND(NhatkyBan!#REF!,"AAAAAH0dtwQ=")</f>
        <v>#REF!</v>
      </c>
      <c r="F120" t="e">
        <f>AND(NhatkyBan!#REF!,"AAAAAH0dtwU=")</f>
        <v>#REF!</v>
      </c>
      <c r="G120" t="e">
        <f>AND(NhatkyBan!#REF!,"AAAAAH0dtwY=")</f>
        <v>#REF!</v>
      </c>
      <c r="H120" t="e">
        <f>AND(NhatkyBan!#REF!,"AAAAAH0dtwc=")</f>
        <v>#REF!</v>
      </c>
      <c r="I120" t="e">
        <f>AND(NhatkyBan!#REF!,"AAAAAH0dtwg=")</f>
        <v>#REF!</v>
      </c>
      <c r="J120" t="e">
        <f>AND(NhatkyBan!#REF!,"AAAAAH0dtwk=")</f>
        <v>#REF!</v>
      </c>
      <c r="K120" t="e">
        <f>AND(NhatkyBan!#REF!,"AAAAAH0dtwo=")</f>
        <v>#REF!</v>
      </c>
      <c r="L120" t="e">
        <f>AND(NhatkyBan!#REF!,"AAAAAH0dtws=")</f>
        <v>#REF!</v>
      </c>
      <c r="M120" t="e">
        <f>AND(NhatkyBan!#REF!,"AAAAAH0dtww=")</f>
        <v>#REF!</v>
      </c>
      <c r="N120" t="e">
        <f>AND(NhatkyBan!#REF!,"AAAAAH0dtw0=")</f>
        <v>#REF!</v>
      </c>
      <c r="O120" t="e">
        <f>AND(NhatkyBan!#REF!,"AAAAAH0dtw4=")</f>
        <v>#REF!</v>
      </c>
      <c r="P120" t="e">
        <f>AND(NhatkyBan!#REF!,"AAAAAH0dtw8=")</f>
        <v>#REF!</v>
      </c>
      <c r="Q120" t="e">
        <f>AND(NhatkyBan!#REF!,"AAAAAH0dtxA=")</f>
        <v>#REF!</v>
      </c>
      <c r="R120" t="e">
        <f>AND(NhatkyBan!#REF!,"AAAAAH0dtxE=")</f>
        <v>#REF!</v>
      </c>
      <c r="S120" t="e">
        <f>AND(NhatkyBan!#REF!,"AAAAAH0dtxI=")</f>
        <v>#REF!</v>
      </c>
      <c r="T120" t="e">
        <f>AND(NhatkyBan!#REF!,"AAAAAH0dtxM=")</f>
        <v>#REF!</v>
      </c>
      <c r="U120" t="e">
        <f>AND(NhatkyBan!#REF!,"AAAAAH0dtxQ=")</f>
        <v>#REF!</v>
      </c>
      <c r="V120" t="e">
        <f>AND(NhatkyBan!#REF!,"AAAAAH0dtxU=")</f>
        <v>#REF!</v>
      </c>
      <c r="W120" t="e">
        <f>AND(NhatkyBan!#REF!,"AAAAAH0dtxY=")</f>
        <v>#REF!</v>
      </c>
      <c r="X120" t="e">
        <f>AND(NhatkyBan!#REF!,"AAAAAH0dtxc=")</f>
        <v>#REF!</v>
      </c>
      <c r="Y120" t="e">
        <f>AND(NhatkyBan!#REF!,"AAAAAH0dtxg=")</f>
        <v>#REF!</v>
      </c>
      <c r="Z120" t="e">
        <f>AND(NhatkyBan!#REF!,"AAAAAH0dtxk=")</f>
        <v>#REF!</v>
      </c>
      <c r="AA120" t="e">
        <f>AND(NhatkyBan!#REF!,"AAAAAH0dtxo=")</f>
        <v>#REF!</v>
      </c>
      <c r="AB120" t="e">
        <f>AND(NhatkyBan!#REF!,"AAAAAH0dtxs=")</f>
        <v>#REF!</v>
      </c>
      <c r="AC120" t="e">
        <f>AND(NhatkyBan!#REF!,"AAAAAH0dtxw=")</f>
        <v>#REF!</v>
      </c>
      <c r="AD120" t="e">
        <f>AND(NhatkyBan!#REF!,"AAAAAH0dtx0=")</f>
        <v>#REF!</v>
      </c>
      <c r="AE120" t="e">
        <f>AND(NhatkyBan!#REF!,"AAAAAH0dtx4=")</f>
        <v>#REF!</v>
      </c>
      <c r="AF120" t="e">
        <f>AND(NhatkyBan!#REF!,"AAAAAH0dtx8=")</f>
        <v>#REF!</v>
      </c>
      <c r="AG120" t="e">
        <f>AND(NhatkyBan!#REF!,"AAAAAH0dtyA=")</f>
        <v>#REF!</v>
      </c>
      <c r="AH120" t="e">
        <f>AND(NhatkyBan!#REF!,"AAAAAH0dtyE=")</f>
        <v>#REF!</v>
      </c>
      <c r="AI120" t="e">
        <f>AND(NhatkyBan!#REF!,"AAAAAH0dtyI=")</f>
        <v>#REF!</v>
      </c>
      <c r="AJ120" t="e">
        <f>AND(NhatkyBan!#REF!,"AAAAAH0dtyM=")</f>
        <v>#REF!</v>
      </c>
      <c r="AK120" t="e">
        <f>IF(NhatkyBan!#REF!,"AAAAAH0dtyQ=",0)</f>
        <v>#REF!</v>
      </c>
      <c r="AL120" t="e">
        <f>AND(NhatkyBan!#REF!,"AAAAAH0dtyU=")</f>
        <v>#REF!</v>
      </c>
      <c r="AM120" t="e">
        <f>AND(NhatkyBan!#REF!,"AAAAAH0dtyY=")</f>
        <v>#REF!</v>
      </c>
      <c r="AN120" t="e">
        <f>AND(NhatkyBan!#REF!,"AAAAAH0dtyc=")</f>
        <v>#REF!</v>
      </c>
      <c r="AO120" t="e">
        <f>AND(NhatkyBan!#REF!,"AAAAAH0dtyg=")</f>
        <v>#REF!</v>
      </c>
      <c r="AP120" t="e">
        <f>AND(NhatkyBan!#REF!,"AAAAAH0dtyk=")</f>
        <v>#REF!</v>
      </c>
      <c r="AQ120" t="e">
        <f>AND(NhatkyBan!#REF!,"AAAAAH0dtyo=")</f>
        <v>#REF!</v>
      </c>
      <c r="AR120" t="e">
        <f>AND(NhatkyBan!#REF!,"AAAAAH0dtys=")</f>
        <v>#REF!</v>
      </c>
      <c r="AS120" t="e">
        <f>AND(NhatkyBan!#REF!,"AAAAAH0dtyw=")</f>
        <v>#REF!</v>
      </c>
      <c r="AT120" t="e">
        <f>AND(NhatkyBan!#REF!,"AAAAAH0dty0=")</f>
        <v>#REF!</v>
      </c>
      <c r="AU120" t="e">
        <f>AND(NhatkyBan!#REF!,"AAAAAH0dty4=")</f>
        <v>#REF!</v>
      </c>
      <c r="AV120" t="e">
        <f>AND(NhatkyBan!#REF!,"AAAAAH0dty8=")</f>
        <v>#REF!</v>
      </c>
      <c r="AW120" t="e">
        <f>AND(NhatkyBan!#REF!,"AAAAAH0dtzA=")</f>
        <v>#REF!</v>
      </c>
      <c r="AX120" t="e">
        <f>AND(NhatkyBan!#REF!,"AAAAAH0dtzE=")</f>
        <v>#REF!</v>
      </c>
      <c r="AY120" t="e">
        <f>AND(NhatkyBan!#REF!,"AAAAAH0dtzI=")</f>
        <v>#REF!</v>
      </c>
      <c r="AZ120" t="e">
        <f>AND(NhatkyBan!#REF!,"AAAAAH0dtzM=")</f>
        <v>#REF!</v>
      </c>
      <c r="BA120" t="e">
        <f>AND(NhatkyBan!#REF!,"AAAAAH0dtzQ=")</f>
        <v>#REF!</v>
      </c>
      <c r="BB120" t="e">
        <f>AND(NhatkyBan!#REF!,"AAAAAH0dtzU=")</f>
        <v>#REF!</v>
      </c>
      <c r="BC120" t="e">
        <f>AND(NhatkyBan!#REF!,"AAAAAH0dtzY=")</f>
        <v>#REF!</v>
      </c>
      <c r="BD120" t="e">
        <f>AND(NhatkyBan!#REF!,"AAAAAH0dtzc=")</f>
        <v>#REF!</v>
      </c>
      <c r="BE120" t="e">
        <f>AND(NhatkyBan!#REF!,"AAAAAH0dtzg=")</f>
        <v>#REF!</v>
      </c>
      <c r="BF120" t="e">
        <f>AND(NhatkyBan!#REF!,"AAAAAH0dtzk=")</f>
        <v>#REF!</v>
      </c>
      <c r="BG120" t="e">
        <f>AND(NhatkyBan!#REF!,"AAAAAH0dtzo=")</f>
        <v>#REF!</v>
      </c>
      <c r="BH120" t="e">
        <f>AND(NhatkyBan!#REF!,"AAAAAH0dtzs=")</f>
        <v>#REF!</v>
      </c>
      <c r="BI120" t="e">
        <f>AND(NhatkyBan!#REF!,"AAAAAH0dtzw=")</f>
        <v>#REF!</v>
      </c>
      <c r="BJ120" t="e">
        <f>AND(NhatkyBan!#REF!,"AAAAAH0dtz0=")</f>
        <v>#REF!</v>
      </c>
      <c r="BK120" t="e">
        <f>AND(NhatkyBan!#REF!,"AAAAAH0dtz4=")</f>
        <v>#REF!</v>
      </c>
      <c r="BL120" t="e">
        <f>AND(NhatkyBan!#REF!,"AAAAAH0dtz8=")</f>
        <v>#REF!</v>
      </c>
      <c r="BM120" t="e">
        <f>AND(NhatkyBan!#REF!,"AAAAAH0dt0A=")</f>
        <v>#REF!</v>
      </c>
      <c r="BN120" t="e">
        <f>AND(NhatkyBan!#REF!,"AAAAAH0dt0E=")</f>
        <v>#REF!</v>
      </c>
      <c r="BO120" t="e">
        <f>AND(NhatkyBan!#REF!,"AAAAAH0dt0I=")</f>
        <v>#REF!</v>
      </c>
      <c r="BP120" t="e">
        <f>AND(NhatkyBan!#REF!,"AAAAAH0dt0M=")</f>
        <v>#REF!</v>
      </c>
      <c r="BQ120" t="e">
        <f>AND(NhatkyBan!#REF!,"AAAAAH0dt0Q=")</f>
        <v>#REF!</v>
      </c>
      <c r="BR120" t="e">
        <f>AND(NhatkyBan!#REF!,"AAAAAH0dt0U=")</f>
        <v>#REF!</v>
      </c>
      <c r="BS120" t="e">
        <f>AND(NhatkyBan!#REF!,"AAAAAH0dt0Y=")</f>
        <v>#REF!</v>
      </c>
      <c r="BT120" t="e">
        <f>IF(NhatkyBan!#REF!,"AAAAAH0dt0c=",0)</f>
        <v>#REF!</v>
      </c>
      <c r="BU120" t="e">
        <f>AND(NhatkyBan!#REF!,"AAAAAH0dt0g=")</f>
        <v>#REF!</v>
      </c>
      <c r="BV120" t="e">
        <f>AND(NhatkyBan!#REF!,"AAAAAH0dt0k=")</f>
        <v>#REF!</v>
      </c>
      <c r="BW120" t="e">
        <f>AND(NhatkyBan!#REF!,"AAAAAH0dt0o=")</f>
        <v>#REF!</v>
      </c>
      <c r="BX120" t="e">
        <f>AND(NhatkyBan!#REF!,"AAAAAH0dt0s=")</f>
        <v>#REF!</v>
      </c>
      <c r="BY120" t="e">
        <f>AND(NhatkyBan!#REF!,"AAAAAH0dt0w=")</f>
        <v>#REF!</v>
      </c>
      <c r="BZ120" t="e">
        <f>AND(NhatkyBan!#REF!,"AAAAAH0dt00=")</f>
        <v>#REF!</v>
      </c>
      <c r="CA120" t="e">
        <f>AND(NhatkyBan!#REF!,"AAAAAH0dt04=")</f>
        <v>#REF!</v>
      </c>
      <c r="CB120" t="e">
        <f>AND(NhatkyBan!#REF!,"AAAAAH0dt08=")</f>
        <v>#REF!</v>
      </c>
      <c r="CC120" t="e">
        <f>AND(NhatkyBan!#REF!,"AAAAAH0dt1A=")</f>
        <v>#REF!</v>
      </c>
      <c r="CD120" t="e">
        <f>AND(NhatkyBan!#REF!,"AAAAAH0dt1E=")</f>
        <v>#REF!</v>
      </c>
      <c r="CE120" t="e">
        <f>AND(NhatkyBan!#REF!,"AAAAAH0dt1I=")</f>
        <v>#REF!</v>
      </c>
      <c r="CF120" t="e">
        <f>AND(NhatkyBan!#REF!,"AAAAAH0dt1M=")</f>
        <v>#REF!</v>
      </c>
      <c r="CG120" t="e">
        <f>AND(NhatkyBan!#REF!,"AAAAAH0dt1Q=")</f>
        <v>#REF!</v>
      </c>
      <c r="CH120" t="e">
        <f>AND(NhatkyBan!#REF!,"AAAAAH0dt1U=")</f>
        <v>#REF!</v>
      </c>
      <c r="CI120" t="e">
        <f>AND(NhatkyBan!#REF!,"AAAAAH0dt1Y=")</f>
        <v>#REF!</v>
      </c>
      <c r="CJ120" t="e">
        <f>AND(NhatkyBan!#REF!,"AAAAAH0dt1c=")</f>
        <v>#REF!</v>
      </c>
      <c r="CK120" t="e">
        <f>AND(NhatkyBan!#REF!,"AAAAAH0dt1g=")</f>
        <v>#REF!</v>
      </c>
      <c r="CL120" t="e">
        <f>AND(NhatkyBan!#REF!,"AAAAAH0dt1k=")</f>
        <v>#REF!</v>
      </c>
      <c r="CM120" t="e">
        <f>AND(NhatkyBan!#REF!,"AAAAAH0dt1o=")</f>
        <v>#REF!</v>
      </c>
      <c r="CN120" t="e">
        <f>AND(NhatkyBan!#REF!,"AAAAAH0dt1s=")</f>
        <v>#REF!</v>
      </c>
      <c r="CO120" t="e">
        <f>AND(NhatkyBan!#REF!,"AAAAAH0dt1w=")</f>
        <v>#REF!</v>
      </c>
      <c r="CP120" t="e">
        <f>AND(NhatkyBan!#REF!,"AAAAAH0dt10=")</f>
        <v>#REF!</v>
      </c>
      <c r="CQ120" t="e">
        <f>AND(NhatkyBan!#REF!,"AAAAAH0dt14=")</f>
        <v>#REF!</v>
      </c>
      <c r="CR120" t="e">
        <f>AND(NhatkyBan!#REF!,"AAAAAH0dt18=")</f>
        <v>#REF!</v>
      </c>
      <c r="CS120" t="e">
        <f>AND(NhatkyBan!#REF!,"AAAAAH0dt2A=")</f>
        <v>#REF!</v>
      </c>
      <c r="CT120" t="e">
        <f>AND(NhatkyBan!#REF!,"AAAAAH0dt2E=")</f>
        <v>#REF!</v>
      </c>
      <c r="CU120" t="e">
        <f>AND(NhatkyBan!#REF!,"AAAAAH0dt2I=")</f>
        <v>#REF!</v>
      </c>
      <c r="CV120" t="e">
        <f>AND(NhatkyBan!#REF!,"AAAAAH0dt2M=")</f>
        <v>#REF!</v>
      </c>
      <c r="CW120" t="e">
        <f>AND(NhatkyBan!#REF!,"AAAAAH0dt2Q=")</f>
        <v>#REF!</v>
      </c>
      <c r="CX120" t="e">
        <f>AND(NhatkyBan!#REF!,"AAAAAH0dt2U=")</f>
        <v>#REF!</v>
      </c>
      <c r="CY120" t="e">
        <f>AND(NhatkyBan!#REF!,"AAAAAH0dt2Y=")</f>
        <v>#REF!</v>
      </c>
      <c r="CZ120" t="e">
        <f>AND(NhatkyBan!#REF!,"AAAAAH0dt2c=")</f>
        <v>#REF!</v>
      </c>
      <c r="DA120" t="e">
        <f>AND(NhatkyBan!#REF!,"AAAAAH0dt2g=")</f>
        <v>#REF!</v>
      </c>
      <c r="DB120" t="e">
        <f>AND(NhatkyBan!#REF!,"AAAAAH0dt2k=")</f>
        <v>#REF!</v>
      </c>
      <c r="DC120" t="e">
        <f>IF(NhatkyBan!#REF!,"AAAAAH0dt2o=",0)</f>
        <v>#REF!</v>
      </c>
      <c r="DD120" t="e">
        <f>AND(NhatkyBan!#REF!,"AAAAAH0dt2s=")</f>
        <v>#REF!</v>
      </c>
      <c r="DE120" t="e">
        <f>AND(NhatkyBan!#REF!,"AAAAAH0dt2w=")</f>
        <v>#REF!</v>
      </c>
      <c r="DF120" t="e">
        <f>AND(NhatkyBan!#REF!,"AAAAAH0dt20=")</f>
        <v>#REF!</v>
      </c>
      <c r="DG120" t="e">
        <f>AND(NhatkyBan!#REF!,"AAAAAH0dt24=")</f>
        <v>#REF!</v>
      </c>
      <c r="DH120" t="e">
        <f>AND(NhatkyBan!#REF!,"AAAAAH0dt28=")</f>
        <v>#REF!</v>
      </c>
      <c r="DI120" t="e">
        <f>AND(NhatkyBan!#REF!,"AAAAAH0dt3A=")</f>
        <v>#REF!</v>
      </c>
      <c r="DJ120" t="e">
        <f>AND(NhatkyBan!#REF!,"AAAAAH0dt3E=")</f>
        <v>#REF!</v>
      </c>
      <c r="DK120" t="e">
        <f>AND(NhatkyBan!#REF!,"AAAAAH0dt3I=")</f>
        <v>#REF!</v>
      </c>
      <c r="DL120" t="e">
        <f>AND(NhatkyBan!#REF!,"AAAAAH0dt3M=")</f>
        <v>#REF!</v>
      </c>
      <c r="DM120" t="e">
        <f>AND(NhatkyBan!#REF!,"AAAAAH0dt3Q=")</f>
        <v>#REF!</v>
      </c>
      <c r="DN120" t="e">
        <f>AND(NhatkyBan!#REF!,"AAAAAH0dt3U=")</f>
        <v>#REF!</v>
      </c>
      <c r="DO120" t="e">
        <f>AND(NhatkyBan!#REF!,"AAAAAH0dt3Y=")</f>
        <v>#REF!</v>
      </c>
      <c r="DP120" t="e">
        <f>AND(NhatkyBan!#REF!,"AAAAAH0dt3c=")</f>
        <v>#REF!</v>
      </c>
      <c r="DQ120" t="e">
        <f>AND(NhatkyBan!#REF!,"AAAAAH0dt3g=")</f>
        <v>#REF!</v>
      </c>
      <c r="DR120" t="e">
        <f>AND(NhatkyBan!#REF!,"AAAAAH0dt3k=")</f>
        <v>#REF!</v>
      </c>
      <c r="DS120" t="e">
        <f>AND(NhatkyBan!#REF!,"AAAAAH0dt3o=")</f>
        <v>#REF!</v>
      </c>
      <c r="DT120" t="e">
        <f>AND(NhatkyBan!#REF!,"AAAAAH0dt3s=")</f>
        <v>#REF!</v>
      </c>
      <c r="DU120" t="e">
        <f>AND(NhatkyBan!#REF!,"AAAAAH0dt3w=")</f>
        <v>#REF!</v>
      </c>
      <c r="DV120" t="e">
        <f>AND(NhatkyBan!#REF!,"AAAAAH0dt30=")</f>
        <v>#REF!</v>
      </c>
      <c r="DW120" t="e">
        <f>AND(NhatkyBan!#REF!,"AAAAAH0dt34=")</f>
        <v>#REF!</v>
      </c>
      <c r="DX120" t="e">
        <f>AND(NhatkyBan!#REF!,"AAAAAH0dt38=")</f>
        <v>#REF!</v>
      </c>
      <c r="DY120" t="e">
        <f>AND(NhatkyBan!#REF!,"AAAAAH0dt4A=")</f>
        <v>#REF!</v>
      </c>
      <c r="DZ120" t="e">
        <f>AND(NhatkyBan!#REF!,"AAAAAH0dt4E=")</f>
        <v>#REF!</v>
      </c>
      <c r="EA120" t="e">
        <f>AND(NhatkyBan!#REF!,"AAAAAH0dt4I=")</f>
        <v>#REF!</v>
      </c>
      <c r="EB120" t="e">
        <f>AND(NhatkyBan!#REF!,"AAAAAH0dt4M=")</f>
        <v>#REF!</v>
      </c>
      <c r="EC120" t="e">
        <f>AND(NhatkyBan!#REF!,"AAAAAH0dt4Q=")</f>
        <v>#REF!</v>
      </c>
      <c r="ED120" t="e">
        <f>AND(NhatkyBan!#REF!,"AAAAAH0dt4U=")</f>
        <v>#REF!</v>
      </c>
      <c r="EE120" t="e">
        <f>AND(NhatkyBan!#REF!,"AAAAAH0dt4Y=")</f>
        <v>#REF!</v>
      </c>
      <c r="EF120" t="e">
        <f>AND(NhatkyBan!#REF!,"AAAAAH0dt4c=")</f>
        <v>#REF!</v>
      </c>
      <c r="EG120" t="e">
        <f>AND(NhatkyBan!#REF!,"AAAAAH0dt4g=")</f>
        <v>#REF!</v>
      </c>
      <c r="EH120" t="e">
        <f>AND(NhatkyBan!#REF!,"AAAAAH0dt4k=")</f>
        <v>#REF!</v>
      </c>
      <c r="EI120" t="e">
        <f>AND(NhatkyBan!#REF!,"AAAAAH0dt4o=")</f>
        <v>#REF!</v>
      </c>
      <c r="EJ120" t="e">
        <f>AND(NhatkyBan!#REF!,"AAAAAH0dt4s=")</f>
        <v>#REF!</v>
      </c>
      <c r="EK120" t="e">
        <f>AND(NhatkyBan!#REF!,"AAAAAH0dt4w=")</f>
        <v>#REF!</v>
      </c>
      <c r="EL120" t="e">
        <f>IF(NhatkyBan!#REF!,"AAAAAH0dt40=",0)</f>
        <v>#REF!</v>
      </c>
      <c r="EM120" t="e">
        <f>AND(NhatkyBan!#REF!,"AAAAAH0dt44=")</f>
        <v>#REF!</v>
      </c>
      <c r="EN120" t="e">
        <f>AND(NhatkyBan!#REF!,"AAAAAH0dt48=")</f>
        <v>#REF!</v>
      </c>
      <c r="EO120" t="e">
        <f>AND(NhatkyBan!#REF!,"AAAAAH0dt5A=")</f>
        <v>#REF!</v>
      </c>
      <c r="EP120" t="e">
        <f>AND(NhatkyBan!#REF!,"AAAAAH0dt5E=")</f>
        <v>#REF!</v>
      </c>
      <c r="EQ120" t="e">
        <f>AND(NhatkyBan!#REF!,"AAAAAH0dt5I=")</f>
        <v>#REF!</v>
      </c>
      <c r="ER120" t="e">
        <f>AND(NhatkyBan!#REF!,"AAAAAH0dt5M=")</f>
        <v>#REF!</v>
      </c>
      <c r="ES120" t="e">
        <f>AND(NhatkyBan!#REF!,"AAAAAH0dt5Q=")</f>
        <v>#REF!</v>
      </c>
      <c r="ET120" t="e">
        <f>AND(NhatkyBan!#REF!,"AAAAAH0dt5U=")</f>
        <v>#REF!</v>
      </c>
      <c r="EU120" t="e">
        <f>AND(NhatkyBan!#REF!,"AAAAAH0dt5Y=")</f>
        <v>#REF!</v>
      </c>
      <c r="EV120" t="e">
        <f>AND(NhatkyBan!#REF!,"AAAAAH0dt5c=")</f>
        <v>#REF!</v>
      </c>
      <c r="EW120" t="e">
        <f>AND(NhatkyBan!#REF!,"AAAAAH0dt5g=")</f>
        <v>#REF!</v>
      </c>
      <c r="EX120" t="e">
        <f>AND(NhatkyBan!#REF!,"AAAAAH0dt5k=")</f>
        <v>#REF!</v>
      </c>
      <c r="EY120" t="e">
        <f>AND(NhatkyBan!#REF!,"AAAAAH0dt5o=")</f>
        <v>#REF!</v>
      </c>
      <c r="EZ120" t="e">
        <f>AND(NhatkyBan!#REF!,"AAAAAH0dt5s=")</f>
        <v>#REF!</v>
      </c>
      <c r="FA120" t="e">
        <f>AND(NhatkyBan!#REF!,"AAAAAH0dt5w=")</f>
        <v>#REF!</v>
      </c>
      <c r="FB120" t="e">
        <f>AND(NhatkyBan!#REF!,"AAAAAH0dt50=")</f>
        <v>#REF!</v>
      </c>
      <c r="FC120" t="e">
        <f>AND(NhatkyBan!#REF!,"AAAAAH0dt54=")</f>
        <v>#REF!</v>
      </c>
      <c r="FD120" t="e">
        <f>AND(NhatkyBan!#REF!,"AAAAAH0dt58=")</f>
        <v>#REF!</v>
      </c>
      <c r="FE120" t="e">
        <f>AND(NhatkyBan!#REF!,"AAAAAH0dt6A=")</f>
        <v>#REF!</v>
      </c>
      <c r="FF120" t="e">
        <f>AND(NhatkyBan!#REF!,"AAAAAH0dt6E=")</f>
        <v>#REF!</v>
      </c>
      <c r="FG120" t="e">
        <f>AND(NhatkyBan!#REF!,"AAAAAH0dt6I=")</f>
        <v>#REF!</v>
      </c>
      <c r="FH120" t="e">
        <f>AND(NhatkyBan!#REF!,"AAAAAH0dt6M=")</f>
        <v>#REF!</v>
      </c>
      <c r="FI120" t="e">
        <f>AND(NhatkyBan!#REF!,"AAAAAH0dt6Q=")</f>
        <v>#REF!</v>
      </c>
      <c r="FJ120" t="e">
        <f>AND(NhatkyBan!#REF!,"AAAAAH0dt6U=")</f>
        <v>#REF!</v>
      </c>
      <c r="FK120" t="e">
        <f>AND(NhatkyBan!#REF!,"AAAAAH0dt6Y=")</f>
        <v>#REF!</v>
      </c>
      <c r="FL120" t="e">
        <f>AND(NhatkyBan!#REF!,"AAAAAH0dt6c=")</f>
        <v>#REF!</v>
      </c>
      <c r="FM120" t="e">
        <f>AND(NhatkyBan!#REF!,"AAAAAH0dt6g=")</f>
        <v>#REF!</v>
      </c>
      <c r="FN120" t="e">
        <f>AND(NhatkyBan!#REF!,"AAAAAH0dt6k=")</f>
        <v>#REF!</v>
      </c>
      <c r="FO120" t="e">
        <f>AND(NhatkyBan!#REF!,"AAAAAH0dt6o=")</f>
        <v>#REF!</v>
      </c>
      <c r="FP120" t="e">
        <f>AND(NhatkyBan!#REF!,"AAAAAH0dt6s=")</f>
        <v>#REF!</v>
      </c>
      <c r="FQ120" t="e">
        <f>AND(NhatkyBan!#REF!,"AAAAAH0dt6w=")</f>
        <v>#REF!</v>
      </c>
      <c r="FR120" t="e">
        <f>AND(NhatkyBan!#REF!,"AAAAAH0dt60=")</f>
        <v>#REF!</v>
      </c>
      <c r="FS120" t="e">
        <f>AND(NhatkyBan!#REF!,"AAAAAH0dt64=")</f>
        <v>#REF!</v>
      </c>
      <c r="FT120" t="e">
        <f>AND(NhatkyBan!#REF!,"AAAAAH0dt68=")</f>
        <v>#REF!</v>
      </c>
      <c r="FU120" t="e">
        <f>IF(NhatkyBan!#REF!,"AAAAAH0dt7A=",0)</f>
        <v>#REF!</v>
      </c>
      <c r="FV120" t="e">
        <f>AND(NhatkyBan!#REF!,"AAAAAH0dt7E=")</f>
        <v>#REF!</v>
      </c>
      <c r="FW120" t="e">
        <f>AND(NhatkyBan!#REF!,"AAAAAH0dt7I=")</f>
        <v>#REF!</v>
      </c>
      <c r="FX120" t="e">
        <f>AND(NhatkyBan!#REF!,"AAAAAH0dt7M=")</f>
        <v>#REF!</v>
      </c>
      <c r="FY120" t="e">
        <f>AND(NhatkyBan!#REF!,"AAAAAH0dt7Q=")</f>
        <v>#REF!</v>
      </c>
      <c r="FZ120" t="e">
        <f>AND(NhatkyBan!#REF!,"AAAAAH0dt7U=")</f>
        <v>#REF!</v>
      </c>
      <c r="GA120" t="e">
        <f>AND(NhatkyBan!#REF!,"AAAAAH0dt7Y=")</f>
        <v>#REF!</v>
      </c>
      <c r="GB120" t="e">
        <f>AND(NhatkyBan!#REF!,"AAAAAH0dt7c=")</f>
        <v>#REF!</v>
      </c>
      <c r="GC120" t="e">
        <f>AND(NhatkyBan!#REF!,"AAAAAH0dt7g=")</f>
        <v>#REF!</v>
      </c>
      <c r="GD120" t="e">
        <f>AND(NhatkyBan!#REF!,"AAAAAH0dt7k=")</f>
        <v>#REF!</v>
      </c>
      <c r="GE120" t="e">
        <f>AND(NhatkyBan!#REF!,"AAAAAH0dt7o=")</f>
        <v>#REF!</v>
      </c>
      <c r="GF120" t="e">
        <f>AND(NhatkyBan!#REF!,"AAAAAH0dt7s=")</f>
        <v>#REF!</v>
      </c>
      <c r="GG120" t="e">
        <f>AND(NhatkyBan!#REF!,"AAAAAH0dt7w=")</f>
        <v>#REF!</v>
      </c>
      <c r="GH120" t="e">
        <f>AND(NhatkyBan!#REF!,"AAAAAH0dt70=")</f>
        <v>#REF!</v>
      </c>
      <c r="GI120" t="e">
        <f>AND(NhatkyBan!#REF!,"AAAAAH0dt74=")</f>
        <v>#REF!</v>
      </c>
      <c r="GJ120" t="e">
        <f>AND(NhatkyBan!#REF!,"AAAAAH0dt78=")</f>
        <v>#REF!</v>
      </c>
      <c r="GK120" t="e">
        <f>AND(NhatkyBan!#REF!,"AAAAAH0dt8A=")</f>
        <v>#REF!</v>
      </c>
      <c r="GL120" t="e">
        <f>AND(NhatkyBan!#REF!,"AAAAAH0dt8E=")</f>
        <v>#REF!</v>
      </c>
      <c r="GM120" t="e">
        <f>AND(NhatkyBan!#REF!,"AAAAAH0dt8I=")</f>
        <v>#REF!</v>
      </c>
      <c r="GN120" t="e">
        <f>AND(NhatkyBan!#REF!,"AAAAAH0dt8M=")</f>
        <v>#REF!</v>
      </c>
      <c r="GO120" t="e">
        <f>AND(NhatkyBan!#REF!,"AAAAAH0dt8Q=")</f>
        <v>#REF!</v>
      </c>
      <c r="GP120" t="e">
        <f>AND(NhatkyBan!#REF!,"AAAAAH0dt8U=")</f>
        <v>#REF!</v>
      </c>
      <c r="GQ120" t="e">
        <f>AND(NhatkyBan!#REF!,"AAAAAH0dt8Y=")</f>
        <v>#REF!</v>
      </c>
      <c r="GR120" t="e">
        <f>AND(NhatkyBan!#REF!,"AAAAAH0dt8c=")</f>
        <v>#REF!</v>
      </c>
      <c r="GS120" t="e">
        <f>AND(NhatkyBan!#REF!,"AAAAAH0dt8g=")</f>
        <v>#REF!</v>
      </c>
      <c r="GT120" t="e">
        <f>AND(NhatkyBan!#REF!,"AAAAAH0dt8k=")</f>
        <v>#REF!</v>
      </c>
      <c r="GU120" t="e">
        <f>AND(NhatkyBan!#REF!,"AAAAAH0dt8o=")</f>
        <v>#REF!</v>
      </c>
      <c r="GV120" t="e">
        <f>AND(NhatkyBan!#REF!,"AAAAAH0dt8s=")</f>
        <v>#REF!</v>
      </c>
      <c r="GW120" t="e">
        <f>AND(NhatkyBan!#REF!,"AAAAAH0dt8w=")</f>
        <v>#REF!</v>
      </c>
      <c r="GX120" t="e">
        <f>AND(NhatkyBan!#REF!,"AAAAAH0dt80=")</f>
        <v>#REF!</v>
      </c>
      <c r="GY120" t="e">
        <f>AND(NhatkyBan!#REF!,"AAAAAH0dt84=")</f>
        <v>#REF!</v>
      </c>
      <c r="GZ120" t="e">
        <f>AND(NhatkyBan!#REF!,"AAAAAH0dt88=")</f>
        <v>#REF!</v>
      </c>
      <c r="HA120" t="e">
        <f>AND(NhatkyBan!#REF!,"AAAAAH0dt9A=")</f>
        <v>#REF!</v>
      </c>
      <c r="HB120" t="e">
        <f>AND(NhatkyBan!#REF!,"AAAAAH0dt9E=")</f>
        <v>#REF!</v>
      </c>
      <c r="HC120" t="e">
        <f>AND(NhatkyBan!#REF!,"AAAAAH0dt9I=")</f>
        <v>#REF!</v>
      </c>
      <c r="HD120" t="e">
        <f>IF(NhatkyBan!#REF!,"AAAAAH0dt9M=",0)</f>
        <v>#REF!</v>
      </c>
      <c r="HE120" t="e">
        <f>AND(NhatkyBan!#REF!,"AAAAAH0dt9Q=")</f>
        <v>#REF!</v>
      </c>
      <c r="HF120" t="e">
        <f>AND(NhatkyBan!#REF!,"AAAAAH0dt9U=")</f>
        <v>#REF!</v>
      </c>
      <c r="HG120" t="e">
        <f>AND(NhatkyBan!#REF!,"AAAAAH0dt9Y=")</f>
        <v>#REF!</v>
      </c>
      <c r="HH120" t="e">
        <f>AND(NhatkyBan!#REF!,"AAAAAH0dt9c=")</f>
        <v>#REF!</v>
      </c>
      <c r="HI120" t="e">
        <f>AND(NhatkyBan!#REF!,"AAAAAH0dt9g=")</f>
        <v>#REF!</v>
      </c>
      <c r="HJ120" t="e">
        <f>AND(NhatkyBan!#REF!,"AAAAAH0dt9k=")</f>
        <v>#REF!</v>
      </c>
      <c r="HK120" t="e">
        <f>AND(NhatkyBan!#REF!,"AAAAAH0dt9o=")</f>
        <v>#REF!</v>
      </c>
      <c r="HL120" t="e">
        <f>AND(NhatkyBan!#REF!,"AAAAAH0dt9s=")</f>
        <v>#REF!</v>
      </c>
      <c r="HM120" t="e">
        <f>AND(NhatkyBan!#REF!,"AAAAAH0dt9w=")</f>
        <v>#REF!</v>
      </c>
      <c r="HN120" t="e">
        <f>AND(NhatkyBan!#REF!,"AAAAAH0dt90=")</f>
        <v>#REF!</v>
      </c>
      <c r="HO120" t="e">
        <f>AND(NhatkyBan!#REF!,"AAAAAH0dt94=")</f>
        <v>#REF!</v>
      </c>
      <c r="HP120" t="e">
        <f>AND(NhatkyBan!#REF!,"AAAAAH0dt98=")</f>
        <v>#REF!</v>
      </c>
      <c r="HQ120" t="e">
        <f>AND(NhatkyBan!#REF!,"AAAAAH0dt+A=")</f>
        <v>#REF!</v>
      </c>
      <c r="HR120" t="e">
        <f>AND(NhatkyBan!#REF!,"AAAAAH0dt+E=")</f>
        <v>#REF!</v>
      </c>
      <c r="HS120" t="e">
        <f>AND(NhatkyBan!#REF!,"AAAAAH0dt+I=")</f>
        <v>#REF!</v>
      </c>
      <c r="HT120" t="e">
        <f>AND(NhatkyBan!#REF!,"AAAAAH0dt+M=")</f>
        <v>#REF!</v>
      </c>
      <c r="HU120" t="e">
        <f>AND(NhatkyBan!#REF!,"AAAAAH0dt+Q=")</f>
        <v>#REF!</v>
      </c>
      <c r="HV120" t="e">
        <f>AND(NhatkyBan!#REF!,"AAAAAH0dt+U=")</f>
        <v>#REF!</v>
      </c>
      <c r="HW120" t="e">
        <f>AND(NhatkyBan!#REF!,"AAAAAH0dt+Y=")</f>
        <v>#REF!</v>
      </c>
      <c r="HX120" t="e">
        <f>AND(NhatkyBan!#REF!,"AAAAAH0dt+c=")</f>
        <v>#REF!</v>
      </c>
      <c r="HY120" t="e">
        <f>AND(NhatkyBan!#REF!,"AAAAAH0dt+g=")</f>
        <v>#REF!</v>
      </c>
      <c r="HZ120" t="e">
        <f>AND(NhatkyBan!#REF!,"AAAAAH0dt+k=")</f>
        <v>#REF!</v>
      </c>
      <c r="IA120" t="e">
        <f>AND(NhatkyBan!#REF!,"AAAAAH0dt+o=")</f>
        <v>#REF!</v>
      </c>
      <c r="IB120" t="e">
        <f>AND(NhatkyBan!#REF!,"AAAAAH0dt+s=")</f>
        <v>#REF!</v>
      </c>
      <c r="IC120" t="e">
        <f>AND(NhatkyBan!#REF!,"AAAAAH0dt+w=")</f>
        <v>#REF!</v>
      </c>
      <c r="ID120" t="e">
        <f>AND(NhatkyBan!#REF!,"AAAAAH0dt+0=")</f>
        <v>#REF!</v>
      </c>
      <c r="IE120" t="e">
        <f>AND(NhatkyBan!#REF!,"AAAAAH0dt+4=")</f>
        <v>#REF!</v>
      </c>
      <c r="IF120" t="e">
        <f>AND(NhatkyBan!#REF!,"AAAAAH0dt+8=")</f>
        <v>#REF!</v>
      </c>
      <c r="IG120" t="e">
        <f>AND(NhatkyBan!#REF!,"AAAAAH0dt/A=")</f>
        <v>#REF!</v>
      </c>
      <c r="IH120" t="e">
        <f>AND(NhatkyBan!#REF!,"AAAAAH0dt/E=")</f>
        <v>#REF!</v>
      </c>
      <c r="II120" t="e">
        <f>AND(NhatkyBan!#REF!,"AAAAAH0dt/I=")</f>
        <v>#REF!</v>
      </c>
      <c r="IJ120" t="e">
        <f>AND(NhatkyBan!#REF!,"AAAAAH0dt/M=")</f>
        <v>#REF!</v>
      </c>
      <c r="IK120" t="e">
        <f>AND(NhatkyBan!#REF!,"AAAAAH0dt/Q=")</f>
        <v>#REF!</v>
      </c>
      <c r="IL120" t="e">
        <f>AND(NhatkyBan!#REF!,"AAAAAH0dt/U=")</f>
        <v>#REF!</v>
      </c>
      <c r="IM120" t="e">
        <f>IF(NhatkyBan!#REF!,"AAAAAH0dt/Y=",0)</f>
        <v>#REF!</v>
      </c>
      <c r="IN120" t="e">
        <f>AND(NhatkyBan!#REF!,"AAAAAH0dt/c=")</f>
        <v>#REF!</v>
      </c>
      <c r="IO120" t="e">
        <f>AND(NhatkyBan!#REF!,"AAAAAH0dt/g=")</f>
        <v>#REF!</v>
      </c>
      <c r="IP120" t="e">
        <f>AND(NhatkyBan!#REF!,"AAAAAH0dt/k=")</f>
        <v>#REF!</v>
      </c>
      <c r="IQ120" t="e">
        <f>AND(NhatkyBan!#REF!,"AAAAAH0dt/o=")</f>
        <v>#REF!</v>
      </c>
      <c r="IR120" t="e">
        <f>AND(NhatkyBan!#REF!,"AAAAAH0dt/s=")</f>
        <v>#REF!</v>
      </c>
      <c r="IS120" t="e">
        <f>AND(NhatkyBan!#REF!,"AAAAAH0dt/w=")</f>
        <v>#REF!</v>
      </c>
      <c r="IT120" t="e">
        <f>AND(NhatkyBan!#REF!,"AAAAAH0dt/0=")</f>
        <v>#REF!</v>
      </c>
      <c r="IU120" t="e">
        <f>AND(NhatkyBan!#REF!,"AAAAAH0dt/4=")</f>
        <v>#REF!</v>
      </c>
      <c r="IV120" t="e">
        <f>AND(NhatkyBan!#REF!,"AAAAAH0dt/8=")</f>
        <v>#REF!</v>
      </c>
    </row>
    <row r="121" spans="1:256">
      <c r="A121" t="e">
        <f>AND(NhatkyBan!#REF!,"AAAAAHXrfwA=")</f>
        <v>#REF!</v>
      </c>
      <c r="B121" t="e">
        <f>AND(NhatkyBan!#REF!,"AAAAAHXrfwE=")</f>
        <v>#REF!</v>
      </c>
      <c r="C121" t="e">
        <f>AND(NhatkyBan!#REF!,"AAAAAHXrfwI=")</f>
        <v>#REF!</v>
      </c>
      <c r="D121" t="e">
        <f>AND(NhatkyBan!#REF!,"AAAAAHXrfwM=")</f>
        <v>#REF!</v>
      </c>
      <c r="E121" t="e">
        <f>AND(NhatkyBan!#REF!,"AAAAAHXrfwQ=")</f>
        <v>#REF!</v>
      </c>
      <c r="F121" t="e">
        <f>AND(NhatkyBan!#REF!,"AAAAAHXrfwU=")</f>
        <v>#REF!</v>
      </c>
      <c r="G121" t="e">
        <f>AND(NhatkyBan!#REF!,"AAAAAHXrfwY=")</f>
        <v>#REF!</v>
      </c>
      <c r="H121" t="e">
        <f>AND(NhatkyBan!#REF!,"AAAAAHXrfwc=")</f>
        <v>#REF!</v>
      </c>
      <c r="I121" t="e">
        <f>AND(NhatkyBan!#REF!,"AAAAAHXrfwg=")</f>
        <v>#REF!</v>
      </c>
      <c r="J121" t="e">
        <f>AND(NhatkyBan!#REF!,"AAAAAHXrfwk=")</f>
        <v>#REF!</v>
      </c>
      <c r="K121" t="e">
        <f>AND(NhatkyBan!#REF!,"AAAAAHXrfwo=")</f>
        <v>#REF!</v>
      </c>
      <c r="L121" t="e">
        <f>AND(NhatkyBan!#REF!,"AAAAAHXrfws=")</f>
        <v>#REF!</v>
      </c>
      <c r="M121" t="e">
        <f>AND(NhatkyBan!#REF!,"AAAAAHXrfww=")</f>
        <v>#REF!</v>
      </c>
      <c r="N121" t="e">
        <f>AND(NhatkyBan!#REF!,"AAAAAHXrfw0=")</f>
        <v>#REF!</v>
      </c>
      <c r="O121" t="e">
        <f>AND(NhatkyBan!#REF!,"AAAAAHXrfw4=")</f>
        <v>#REF!</v>
      </c>
      <c r="P121" t="e">
        <f>AND(NhatkyBan!#REF!,"AAAAAHXrfw8=")</f>
        <v>#REF!</v>
      </c>
      <c r="Q121" t="e">
        <f>AND(NhatkyBan!#REF!,"AAAAAHXrfxA=")</f>
        <v>#REF!</v>
      </c>
      <c r="R121" t="e">
        <f>AND(NhatkyBan!#REF!,"AAAAAHXrfxE=")</f>
        <v>#REF!</v>
      </c>
      <c r="S121" t="e">
        <f>AND(NhatkyBan!#REF!,"AAAAAHXrfxI=")</f>
        <v>#REF!</v>
      </c>
      <c r="T121" t="e">
        <f>AND(NhatkyBan!#REF!,"AAAAAHXrfxM=")</f>
        <v>#REF!</v>
      </c>
      <c r="U121" t="e">
        <f>AND(NhatkyBan!#REF!,"AAAAAHXrfxQ=")</f>
        <v>#REF!</v>
      </c>
      <c r="V121" t="e">
        <f>AND(NhatkyBan!#REF!,"AAAAAHXrfxU=")</f>
        <v>#REF!</v>
      </c>
      <c r="W121" t="e">
        <f>AND(NhatkyBan!#REF!,"AAAAAHXrfxY=")</f>
        <v>#REF!</v>
      </c>
      <c r="X121" t="e">
        <f>AND(NhatkyBan!#REF!,"AAAAAHXrfxc=")</f>
        <v>#REF!</v>
      </c>
      <c r="Y121" t="e">
        <f>AND(NhatkyBan!#REF!,"AAAAAHXrfxg=")</f>
        <v>#REF!</v>
      </c>
      <c r="Z121" t="e">
        <f>IF(NhatkyBan!#REF!,"AAAAAHXrfxk=",0)</f>
        <v>#REF!</v>
      </c>
      <c r="AA121" t="e">
        <f>AND(NhatkyBan!#REF!,"AAAAAHXrfxo=")</f>
        <v>#REF!</v>
      </c>
      <c r="AB121" t="e">
        <f>AND(NhatkyBan!#REF!,"AAAAAHXrfxs=")</f>
        <v>#REF!</v>
      </c>
      <c r="AC121" t="e">
        <f>AND(NhatkyBan!#REF!,"AAAAAHXrfxw=")</f>
        <v>#REF!</v>
      </c>
      <c r="AD121" t="e">
        <f>AND(NhatkyBan!#REF!,"AAAAAHXrfx0=")</f>
        <v>#REF!</v>
      </c>
      <c r="AE121" t="e">
        <f>AND(NhatkyBan!#REF!,"AAAAAHXrfx4=")</f>
        <v>#REF!</v>
      </c>
      <c r="AF121" t="e">
        <f>AND(NhatkyBan!#REF!,"AAAAAHXrfx8=")</f>
        <v>#REF!</v>
      </c>
      <c r="AG121" t="e">
        <f>AND(NhatkyBan!#REF!,"AAAAAHXrfyA=")</f>
        <v>#REF!</v>
      </c>
      <c r="AH121" t="e">
        <f>AND(NhatkyBan!#REF!,"AAAAAHXrfyE=")</f>
        <v>#REF!</v>
      </c>
      <c r="AI121" t="e">
        <f>AND(NhatkyBan!#REF!,"AAAAAHXrfyI=")</f>
        <v>#REF!</v>
      </c>
      <c r="AJ121" t="e">
        <f>AND(NhatkyBan!#REF!,"AAAAAHXrfyM=")</f>
        <v>#REF!</v>
      </c>
      <c r="AK121" t="e">
        <f>AND(NhatkyBan!#REF!,"AAAAAHXrfyQ=")</f>
        <v>#REF!</v>
      </c>
      <c r="AL121" t="e">
        <f>AND(NhatkyBan!#REF!,"AAAAAHXrfyU=")</f>
        <v>#REF!</v>
      </c>
      <c r="AM121" t="e">
        <f>AND(NhatkyBan!#REF!,"AAAAAHXrfyY=")</f>
        <v>#REF!</v>
      </c>
      <c r="AN121" t="e">
        <f>AND(NhatkyBan!#REF!,"AAAAAHXrfyc=")</f>
        <v>#REF!</v>
      </c>
      <c r="AO121" t="e">
        <f>AND(NhatkyBan!#REF!,"AAAAAHXrfyg=")</f>
        <v>#REF!</v>
      </c>
      <c r="AP121" t="e">
        <f>AND(NhatkyBan!#REF!,"AAAAAHXrfyk=")</f>
        <v>#REF!</v>
      </c>
      <c r="AQ121" t="e">
        <f>AND(NhatkyBan!#REF!,"AAAAAHXrfyo=")</f>
        <v>#REF!</v>
      </c>
      <c r="AR121" t="e">
        <f>AND(NhatkyBan!#REF!,"AAAAAHXrfys=")</f>
        <v>#REF!</v>
      </c>
      <c r="AS121" t="e">
        <f>AND(NhatkyBan!#REF!,"AAAAAHXrfyw=")</f>
        <v>#REF!</v>
      </c>
      <c r="AT121" t="e">
        <f>AND(NhatkyBan!#REF!,"AAAAAHXrfy0=")</f>
        <v>#REF!</v>
      </c>
      <c r="AU121" t="e">
        <f>AND(NhatkyBan!#REF!,"AAAAAHXrfy4=")</f>
        <v>#REF!</v>
      </c>
      <c r="AV121" t="e">
        <f>AND(NhatkyBan!#REF!,"AAAAAHXrfy8=")</f>
        <v>#REF!</v>
      </c>
      <c r="AW121" t="e">
        <f>AND(NhatkyBan!#REF!,"AAAAAHXrfzA=")</f>
        <v>#REF!</v>
      </c>
      <c r="AX121" t="e">
        <f>AND(NhatkyBan!#REF!,"AAAAAHXrfzE=")</f>
        <v>#REF!</v>
      </c>
      <c r="AY121" t="e">
        <f>AND(NhatkyBan!#REF!,"AAAAAHXrfzI=")</f>
        <v>#REF!</v>
      </c>
      <c r="AZ121" t="e">
        <f>AND(NhatkyBan!#REF!,"AAAAAHXrfzM=")</f>
        <v>#REF!</v>
      </c>
      <c r="BA121" t="e">
        <f>AND(NhatkyBan!#REF!,"AAAAAHXrfzQ=")</f>
        <v>#REF!</v>
      </c>
      <c r="BB121" t="e">
        <f>AND(NhatkyBan!#REF!,"AAAAAHXrfzU=")</f>
        <v>#REF!</v>
      </c>
      <c r="BC121" t="e">
        <f>AND(NhatkyBan!#REF!,"AAAAAHXrfzY=")</f>
        <v>#REF!</v>
      </c>
      <c r="BD121" t="e">
        <f>AND(NhatkyBan!#REF!,"AAAAAHXrfzc=")</f>
        <v>#REF!</v>
      </c>
      <c r="BE121" t="e">
        <f>AND(NhatkyBan!#REF!,"AAAAAHXrfzg=")</f>
        <v>#REF!</v>
      </c>
      <c r="BF121" t="e">
        <f>AND(NhatkyBan!#REF!,"AAAAAHXrfzk=")</f>
        <v>#REF!</v>
      </c>
      <c r="BG121" t="e">
        <f>AND(NhatkyBan!#REF!,"AAAAAHXrfzo=")</f>
        <v>#REF!</v>
      </c>
      <c r="BH121" t="e">
        <f>AND(NhatkyBan!#REF!,"AAAAAHXrfzs=")</f>
        <v>#REF!</v>
      </c>
      <c r="BI121" t="e">
        <f>IF(NhatkyBan!#REF!,"AAAAAHXrfzw=",0)</f>
        <v>#REF!</v>
      </c>
      <c r="BJ121" t="e">
        <f>AND(NhatkyBan!#REF!,"AAAAAHXrfz0=")</f>
        <v>#REF!</v>
      </c>
      <c r="BK121" t="e">
        <f>AND(NhatkyBan!#REF!,"AAAAAHXrfz4=")</f>
        <v>#REF!</v>
      </c>
      <c r="BL121" t="e">
        <f>AND(NhatkyBan!#REF!,"AAAAAHXrfz8=")</f>
        <v>#REF!</v>
      </c>
      <c r="BM121" t="e">
        <f>AND(NhatkyBan!#REF!,"AAAAAHXrf0A=")</f>
        <v>#REF!</v>
      </c>
      <c r="BN121" t="e">
        <f>AND(NhatkyBan!#REF!,"AAAAAHXrf0E=")</f>
        <v>#REF!</v>
      </c>
      <c r="BO121" t="e">
        <f>AND(NhatkyBan!#REF!,"AAAAAHXrf0I=")</f>
        <v>#REF!</v>
      </c>
      <c r="BP121" t="e">
        <f>AND(NhatkyBan!#REF!,"AAAAAHXrf0M=")</f>
        <v>#REF!</v>
      </c>
      <c r="BQ121" t="e">
        <f>AND(NhatkyBan!#REF!,"AAAAAHXrf0Q=")</f>
        <v>#REF!</v>
      </c>
      <c r="BR121" t="e">
        <f>AND(NhatkyBan!#REF!,"AAAAAHXrf0U=")</f>
        <v>#REF!</v>
      </c>
      <c r="BS121" t="e">
        <f>AND(NhatkyBan!#REF!,"AAAAAHXrf0Y=")</f>
        <v>#REF!</v>
      </c>
      <c r="BT121" t="e">
        <f>AND(NhatkyBan!#REF!,"AAAAAHXrf0c=")</f>
        <v>#REF!</v>
      </c>
      <c r="BU121" t="e">
        <f>AND(NhatkyBan!#REF!,"AAAAAHXrf0g=")</f>
        <v>#REF!</v>
      </c>
      <c r="BV121" t="e">
        <f>AND(NhatkyBan!#REF!,"AAAAAHXrf0k=")</f>
        <v>#REF!</v>
      </c>
      <c r="BW121" t="e">
        <f>AND(NhatkyBan!#REF!,"AAAAAHXrf0o=")</f>
        <v>#REF!</v>
      </c>
      <c r="BX121" t="e">
        <f>AND(NhatkyBan!#REF!,"AAAAAHXrf0s=")</f>
        <v>#REF!</v>
      </c>
      <c r="BY121" t="e">
        <f>AND(NhatkyBan!#REF!,"AAAAAHXrf0w=")</f>
        <v>#REF!</v>
      </c>
      <c r="BZ121" t="e">
        <f>AND(NhatkyBan!#REF!,"AAAAAHXrf00=")</f>
        <v>#REF!</v>
      </c>
      <c r="CA121" t="e">
        <f>AND(NhatkyBan!#REF!,"AAAAAHXrf04=")</f>
        <v>#REF!</v>
      </c>
      <c r="CB121" t="e">
        <f>AND(NhatkyBan!#REF!,"AAAAAHXrf08=")</f>
        <v>#REF!</v>
      </c>
      <c r="CC121" t="e">
        <f>AND(NhatkyBan!#REF!,"AAAAAHXrf1A=")</f>
        <v>#REF!</v>
      </c>
      <c r="CD121" t="e">
        <f>AND(NhatkyBan!#REF!,"AAAAAHXrf1E=")</f>
        <v>#REF!</v>
      </c>
      <c r="CE121" t="e">
        <f>AND(NhatkyBan!#REF!,"AAAAAHXrf1I=")</f>
        <v>#REF!</v>
      </c>
      <c r="CF121" t="e">
        <f>AND(NhatkyBan!#REF!,"AAAAAHXrf1M=")</f>
        <v>#REF!</v>
      </c>
      <c r="CG121" t="e">
        <f>AND(NhatkyBan!#REF!,"AAAAAHXrf1Q=")</f>
        <v>#REF!</v>
      </c>
      <c r="CH121" t="e">
        <f>AND(NhatkyBan!#REF!,"AAAAAHXrf1U=")</f>
        <v>#REF!</v>
      </c>
      <c r="CI121" t="e">
        <f>AND(NhatkyBan!#REF!,"AAAAAHXrf1Y=")</f>
        <v>#REF!</v>
      </c>
      <c r="CJ121" t="e">
        <f>AND(NhatkyBan!#REF!,"AAAAAHXrf1c=")</f>
        <v>#REF!</v>
      </c>
      <c r="CK121" t="e">
        <f>AND(NhatkyBan!#REF!,"AAAAAHXrf1g=")</f>
        <v>#REF!</v>
      </c>
      <c r="CL121" t="e">
        <f>AND(NhatkyBan!#REF!,"AAAAAHXrf1k=")</f>
        <v>#REF!</v>
      </c>
      <c r="CM121" t="e">
        <f>AND(NhatkyBan!#REF!,"AAAAAHXrf1o=")</f>
        <v>#REF!</v>
      </c>
      <c r="CN121" t="e">
        <f>AND(NhatkyBan!#REF!,"AAAAAHXrf1s=")</f>
        <v>#REF!</v>
      </c>
      <c r="CO121" t="e">
        <f>AND(NhatkyBan!#REF!,"AAAAAHXrf1w=")</f>
        <v>#REF!</v>
      </c>
      <c r="CP121" t="e">
        <f>AND(NhatkyBan!#REF!,"AAAAAHXrf10=")</f>
        <v>#REF!</v>
      </c>
      <c r="CQ121" t="e">
        <f>AND(NhatkyBan!#REF!,"AAAAAHXrf14=")</f>
        <v>#REF!</v>
      </c>
      <c r="CR121" t="e">
        <f>IF(NhatkyBan!#REF!,"AAAAAHXrf18=",0)</f>
        <v>#REF!</v>
      </c>
      <c r="CS121" t="e">
        <f>AND(NhatkyBan!#REF!,"AAAAAHXrf2A=")</f>
        <v>#REF!</v>
      </c>
      <c r="CT121" t="e">
        <f>AND(NhatkyBan!#REF!,"AAAAAHXrf2E=")</f>
        <v>#REF!</v>
      </c>
      <c r="CU121" t="e">
        <f>AND(NhatkyBan!#REF!,"AAAAAHXrf2I=")</f>
        <v>#REF!</v>
      </c>
      <c r="CV121" t="e">
        <f>AND(NhatkyBan!#REF!,"AAAAAHXrf2M=")</f>
        <v>#REF!</v>
      </c>
      <c r="CW121" t="e">
        <f>AND(NhatkyBan!#REF!,"AAAAAHXrf2Q=")</f>
        <v>#REF!</v>
      </c>
      <c r="CX121" t="e">
        <f>AND(NhatkyBan!#REF!,"AAAAAHXrf2U=")</f>
        <v>#REF!</v>
      </c>
      <c r="CY121" t="e">
        <f>AND(NhatkyBan!#REF!,"AAAAAHXrf2Y=")</f>
        <v>#REF!</v>
      </c>
      <c r="CZ121" t="e">
        <f>AND(NhatkyBan!#REF!,"AAAAAHXrf2c=")</f>
        <v>#REF!</v>
      </c>
      <c r="DA121" t="e">
        <f>AND(NhatkyBan!#REF!,"AAAAAHXrf2g=")</f>
        <v>#REF!</v>
      </c>
      <c r="DB121" t="e">
        <f>AND(NhatkyBan!#REF!,"AAAAAHXrf2k=")</f>
        <v>#REF!</v>
      </c>
      <c r="DC121" t="e">
        <f>AND(NhatkyBan!#REF!,"AAAAAHXrf2o=")</f>
        <v>#REF!</v>
      </c>
      <c r="DD121" t="e">
        <f>AND(NhatkyBan!#REF!,"AAAAAHXrf2s=")</f>
        <v>#REF!</v>
      </c>
      <c r="DE121" t="e">
        <f>AND(NhatkyBan!#REF!,"AAAAAHXrf2w=")</f>
        <v>#REF!</v>
      </c>
      <c r="DF121" t="e">
        <f>AND(NhatkyBan!#REF!,"AAAAAHXrf20=")</f>
        <v>#REF!</v>
      </c>
      <c r="DG121" t="e">
        <f>AND(NhatkyBan!#REF!,"AAAAAHXrf24=")</f>
        <v>#REF!</v>
      </c>
      <c r="DH121" t="e">
        <f>AND(NhatkyBan!#REF!,"AAAAAHXrf28=")</f>
        <v>#REF!</v>
      </c>
      <c r="DI121" t="e">
        <f>AND(NhatkyBan!#REF!,"AAAAAHXrf3A=")</f>
        <v>#REF!</v>
      </c>
      <c r="DJ121" t="e">
        <f>AND(NhatkyBan!#REF!,"AAAAAHXrf3E=")</f>
        <v>#REF!</v>
      </c>
      <c r="DK121" t="e">
        <f>AND(NhatkyBan!#REF!,"AAAAAHXrf3I=")</f>
        <v>#REF!</v>
      </c>
      <c r="DL121" t="e">
        <f>AND(NhatkyBan!#REF!,"AAAAAHXrf3M=")</f>
        <v>#REF!</v>
      </c>
      <c r="DM121" t="e">
        <f>AND(NhatkyBan!#REF!,"AAAAAHXrf3Q=")</f>
        <v>#REF!</v>
      </c>
      <c r="DN121" t="e">
        <f>AND(NhatkyBan!#REF!,"AAAAAHXrf3U=")</f>
        <v>#REF!</v>
      </c>
      <c r="DO121" t="e">
        <f>AND(NhatkyBan!#REF!,"AAAAAHXrf3Y=")</f>
        <v>#REF!</v>
      </c>
      <c r="DP121" t="e">
        <f>AND(NhatkyBan!#REF!,"AAAAAHXrf3c=")</f>
        <v>#REF!</v>
      </c>
      <c r="DQ121" t="e">
        <f>AND(NhatkyBan!#REF!,"AAAAAHXrf3g=")</f>
        <v>#REF!</v>
      </c>
      <c r="DR121" t="e">
        <f>AND(NhatkyBan!#REF!,"AAAAAHXrf3k=")</f>
        <v>#REF!</v>
      </c>
      <c r="DS121" t="e">
        <f>AND(NhatkyBan!#REF!,"AAAAAHXrf3o=")</f>
        <v>#REF!</v>
      </c>
      <c r="DT121" t="e">
        <f>AND(NhatkyBan!#REF!,"AAAAAHXrf3s=")</f>
        <v>#REF!</v>
      </c>
      <c r="DU121" t="e">
        <f>AND(NhatkyBan!#REF!,"AAAAAHXrf3w=")</f>
        <v>#REF!</v>
      </c>
      <c r="DV121" t="e">
        <f>AND(NhatkyBan!#REF!,"AAAAAHXrf30=")</f>
        <v>#REF!</v>
      </c>
      <c r="DW121" t="e">
        <f>AND(NhatkyBan!#REF!,"AAAAAHXrf34=")</f>
        <v>#REF!</v>
      </c>
      <c r="DX121" t="e">
        <f>AND(NhatkyBan!#REF!,"AAAAAHXrf38=")</f>
        <v>#REF!</v>
      </c>
      <c r="DY121" t="e">
        <f>AND(NhatkyBan!#REF!,"AAAAAHXrf4A=")</f>
        <v>#REF!</v>
      </c>
      <c r="DZ121" t="e">
        <f>AND(NhatkyBan!#REF!,"AAAAAHXrf4E=")</f>
        <v>#REF!</v>
      </c>
      <c r="EA121" t="e">
        <f>IF(NhatkyBan!#REF!,"AAAAAHXrf4I=",0)</f>
        <v>#REF!</v>
      </c>
      <c r="EB121" t="e">
        <f>AND(NhatkyBan!#REF!,"AAAAAHXrf4M=")</f>
        <v>#REF!</v>
      </c>
      <c r="EC121" t="e">
        <f>AND(NhatkyBan!#REF!,"AAAAAHXrf4Q=")</f>
        <v>#REF!</v>
      </c>
      <c r="ED121" t="e">
        <f>AND(NhatkyBan!#REF!,"AAAAAHXrf4U=")</f>
        <v>#REF!</v>
      </c>
      <c r="EE121" t="e">
        <f>AND(NhatkyBan!#REF!,"AAAAAHXrf4Y=")</f>
        <v>#REF!</v>
      </c>
      <c r="EF121" t="e">
        <f>AND(NhatkyBan!#REF!,"AAAAAHXrf4c=")</f>
        <v>#REF!</v>
      </c>
      <c r="EG121" t="e">
        <f>AND(NhatkyBan!#REF!,"AAAAAHXrf4g=")</f>
        <v>#REF!</v>
      </c>
      <c r="EH121" t="e">
        <f>AND(NhatkyBan!#REF!,"AAAAAHXrf4k=")</f>
        <v>#REF!</v>
      </c>
      <c r="EI121" t="e">
        <f>AND(NhatkyBan!#REF!,"AAAAAHXrf4o=")</f>
        <v>#REF!</v>
      </c>
      <c r="EJ121" t="e">
        <f>AND(NhatkyBan!#REF!,"AAAAAHXrf4s=")</f>
        <v>#REF!</v>
      </c>
      <c r="EK121" t="e">
        <f>AND(NhatkyBan!#REF!,"AAAAAHXrf4w=")</f>
        <v>#REF!</v>
      </c>
      <c r="EL121" t="e">
        <f>AND(NhatkyBan!#REF!,"AAAAAHXrf40=")</f>
        <v>#REF!</v>
      </c>
      <c r="EM121" t="e">
        <f>AND(NhatkyBan!#REF!,"AAAAAHXrf44=")</f>
        <v>#REF!</v>
      </c>
      <c r="EN121" t="e">
        <f>AND(NhatkyBan!#REF!,"AAAAAHXrf48=")</f>
        <v>#REF!</v>
      </c>
      <c r="EO121" t="e">
        <f>AND(NhatkyBan!#REF!,"AAAAAHXrf5A=")</f>
        <v>#REF!</v>
      </c>
      <c r="EP121" t="e">
        <f>AND(NhatkyBan!#REF!,"AAAAAHXrf5E=")</f>
        <v>#REF!</v>
      </c>
      <c r="EQ121" t="e">
        <f>AND(NhatkyBan!#REF!,"AAAAAHXrf5I=")</f>
        <v>#REF!</v>
      </c>
      <c r="ER121" t="e">
        <f>AND(NhatkyBan!#REF!,"AAAAAHXrf5M=")</f>
        <v>#REF!</v>
      </c>
      <c r="ES121" t="e">
        <f>AND(NhatkyBan!#REF!,"AAAAAHXrf5Q=")</f>
        <v>#REF!</v>
      </c>
      <c r="ET121" t="e">
        <f>AND(NhatkyBan!#REF!,"AAAAAHXrf5U=")</f>
        <v>#REF!</v>
      </c>
      <c r="EU121" t="e">
        <f>AND(NhatkyBan!#REF!,"AAAAAHXrf5Y=")</f>
        <v>#REF!</v>
      </c>
      <c r="EV121" t="e">
        <f>AND(NhatkyBan!#REF!,"AAAAAHXrf5c=")</f>
        <v>#REF!</v>
      </c>
      <c r="EW121" t="e">
        <f>AND(NhatkyBan!#REF!,"AAAAAHXrf5g=")</f>
        <v>#REF!</v>
      </c>
      <c r="EX121" t="e">
        <f>AND(NhatkyBan!#REF!,"AAAAAHXrf5k=")</f>
        <v>#REF!</v>
      </c>
      <c r="EY121" t="e">
        <f>AND(NhatkyBan!#REF!,"AAAAAHXrf5o=")</f>
        <v>#REF!</v>
      </c>
      <c r="EZ121" t="e">
        <f>AND(NhatkyBan!#REF!,"AAAAAHXrf5s=")</f>
        <v>#REF!</v>
      </c>
      <c r="FA121" t="e">
        <f>AND(NhatkyBan!#REF!,"AAAAAHXrf5w=")</f>
        <v>#REF!</v>
      </c>
      <c r="FB121" t="e">
        <f>AND(NhatkyBan!#REF!,"AAAAAHXrf50=")</f>
        <v>#REF!</v>
      </c>
      <c r="FC121" t="e">
        <f>AND(NhatkyBan!#REF!,"AAAAAHXrf54=")</f>
        <v>#REF!</v>
      </c>
      <c r="FD121" t="e">
        <f>AND(NhatkyBan!#REF!,"AAAAAHXrf58=")</f>
        <v>#REF!</v>
      </c>
      <c r="FE121" t="e">
        <f>AND(NhatkyBan!#REF!,"AAAAAHXrf6A=")</f>
        <v>#REF!</v>
      </c>
      <c r="FF121" t="e">
        <f>AND(NhatkyBan!#REF!,"AAAAAHXrf6E=")</f>
        <v>#REF!</v>
      </c>
      <c r="FG121" t="e">
        <f>AND(NhatkyBan!#REF!,"AAAAAHXrf6I=")</f>
        <v>#REF!</v>
      </c>
      <c r="FH121" t="e">
        <f>AND(NhatkyBan!#REF!,"AAAAAHXrf6M=")</f>
        <v>#REF!</v>
      </c>
      <c r="FI121" t="e">
        <f>AND(NhatkyBan!#REF!,"AAAAAHXrf6Q=")</f>
        <v>#REF!</v>
      </c>
      <c r="FJ121" t="e">
        <f>IF(NhatkyBan!#REF!,"AAAAAHXrf6U=",0)</f>
        <v>#REF!</v>
      </c>
      <c r="FK121" t="e">
        <f>AND(NhatkyBan!#REF!,"AAAAAHXrf6Y=")</f>
        <v>#REF!</v>
      </c>
      <c r="FL121" t="e">
        <f>AND(NhatkyBan!#REF!,"AAAAAHXrf6c=")</f>
        <v>#REF!</v>
      </c>
      <c r="FM121" t="e">
        <f>AND(NhatkyBan!#REF!,"AAAAAHXrf6g=")</f>
        <v>#REF!</v>
      </c>
      <c r="FN121" t="e">
        <f>AND(NhatkyBan!#REF!,"AAAAAHXrf6k=")</f>
        <v>#REF!</v>
      </c>
      <c r="FO121" t="e">
        <f>AND(NhatkyBan!#REF!,"AAAAAHXrf6o=")</f>
        <v>#REF!</v>
      </c>
      <c r="FP121" t="e">
        <f>AND(NhatkyBan!#REF!,"AAAAAHXrf6s=")</f>
        <v>#REF!</v>
      </c>
      <c r="FQ121" t="e">
        <f>AND(NhatkyBan!#REF!,"AAAAAHXrf6w=")</f>
        <v>#REF!</v>
      </c>
      <c r="FR121" t="e">
        <f>AND(NhatkyBan!#REF!,"AAAAAHXrf60=")</f>
        <v>#REF!</v>
      </c>
      <c r="FS121" t="e">
        <f>AND(NhatkyBan!#REF!,"AAAAAHXrf64=")</f>
        <v>#REF!</v>
      </c>
      <c r="FT121" t="e">
        <f>AND(NhatkyBan!#REF!,"AAAAAHXrf68=")</f>
        <v>#REF!</v>
      </c>
      <c r="FU121" t="e">
        <f>AND(NhatkyBan!#REF!,"AAAAAHXrf7A=")</f>
        <v>#REF!</v>
      </c>
      <c r="FV121" t="e">
        <f>AND(NhatkyBan!#REF!,"AAAAAHXrf7E=")</f>
        <v>#REF!</v>
      </c>
      <c r="FW121" t="e">
        <f>AND(NhatkyBan!#REF!,"AAAAAHXrf7I=")</f>
        <v>#REF!</v>
      </c>
      <c r="FX121" t="e">
        <f>AND(NhatkyBan!#REF!,"AAAAAHXrf7M=")</f>
        <v>#REF!</v>
      </c>
      <c r="FY121" t="e">
        <f>AND(NhatkyBan!#REF!,"AAAAAHXrf7Q=")</f>
        <v>#REF!</v>
      </c>
      <c r="FZ121" t="e">
        <f>AND(NhatkyBan!#REF!,"AAAAAHXrf7U=")</f>
        <v>#REF!</v>
      </c>
      <c r="GA121" t="e">
        <f>AND(NhatkyBan!#REF!,"AAAAAHXrf7Y=")</f>
        <v>#REF!</v>
      </c>
      <c r="GB121" t="e">
        <f>AND(NhatkyBan!#REF!,"AAAAAHXrf7c=")</f>
        <v>#REF!</v>
      </c>
      <c r="GC121" t="e">
        <f>AND(NhatkyBan!#REF!,"AAAAAHXrf7g=")</f>
        <v>#REF!</v>
      </c>
      <c r="GD121" t="e">
        <f>AND(NhatkyBan!#REF!,"AAAAAHXrf7k=")</f>
        <v>#REF!</v>
      </c>
      <c r="GE121" t="e">
        <f>AND(NhatkyBan!#REF!,"AAAAAHXrf7o=")</f>
        <v>#REF!</v>
      </c>
      <c r="GF121" t="e">
        <f>AND(NhatkyBan!#REF!,"AAAAAHXrf7s=")</f>
        <v>#REF!</v>
      </c>
      <c r="GG121" t="e">
        <f>AND(NhatkyBan!#REF!,"AAAAAHXrf7w=")</f>
        <v>#REF!</v>
      </c>
      <c r="GH121" t="e">
        <f>AND(NhatkyBan!#REF!,"AAAAAHXrf70=")</f>
        <v>#REF!</v>
      </c>
      <c r="GI121" t="e">
        <f>AND(NhatkyBan!#REF!,"AAAAAHXrf74=")</f>
        <v>#REF!</v>
      </c>
      <c r="GJ121" t="e">
        <f>AND(NhatkyBan!#REF!,"AAAAAHXrf78=")</f>
        <v>#REF!</v>
      </c>
      <c r="GK121" t="e">
        <f>AND(NhatkyBan!#REF!,"AAAAAHXrf8A=")</f>
        <v>#REF!</v>
      </c>
      <c r="GL121" t="e">
        <f>AND(NhatkyBan!#REF!,"AAAAAHXrf8E=")</f>
        <v>#REF!</v>
      </c>
      <c r="GM121" t="e">
        <f>AND(NhatkyBan!#REF!,"AAAAAHXrf8I=")</f>
        <v>#REF!</v>
      </c>
      <c r="GN121" t="e">
        <f>AND(NhatkyBan!#REF!,"AAAAAHXrf8M=")</f>
        <v>#REF!</v>
      </c>
      <c r="GO121" t="e">
        <f>AND(NhatkyBan!#REF!,"AAAAAHXrf8Q=")</f>
        <v>#REF!</v>
      </c>
      <c r="GP121" t="e">
        <f>AND(NhatkyBan!#REF!,"AAAAAHXrf8U=")</f>
        <v>#REF!</v>
      </c>
      <c r="GQ121" t="e">
        <f>AND(NhatkyBan!#REF!,"AAAAAHXrf8Y=")</f>
        <v>#REF!</v>
      </c>
      <c r="GR121" t="e">
        <f>AND(NhatkyBan!#REF!,"AAAAAHXrf8c=")</f>
        <v>#REF!</v>
      </c>
      <c r="GS121" t="e">
        <f>IF(NhatkyBan!#REF!,"AAAAAHXrf8g=",0)</f>
        <v>#REF!</v>
      </c>
      <c r="GT121" t="e">
        <f>AND(NhatkyBan!#REF!,"AAAAAHXrf8k=")</f>
        <v>#REF!</v>
      </c>
      <c r="GU121" t="e">
        <f>AND(NhatkyBan!#REF!,"AAAAAHXrf8o=")</f>
        <v>#REF!</v>
      </c>
      <c r="GV121" t="e">
        <f>AND(NhatkyBan!#REF!,"AAAAAHXrf8s=")</f>
        <v>#REF!</v>
      </c>
      <c r="GW121" t="e">
        <f>AND(NhatkyBan!#REF!,"AAAAAHXrf8w=")</f>
        <v>#REF!</v>
      </c>
      <c r="GX121" t="e">
        <f>AND(NhatkyBan!#REF!,"AAAAAHXrf80=")</f>
        <v>#REF!</v>
      </c>
      <c r="GY121" t="e">
        <f>AND(NhatkyBan!#REF!,"AAAAAHXrf84=")</f>
        <v>#REF!</v>
      </c>
      <c r="GZ121" t="e">
        <f>AND(NhatkyBan!#REF!,"AAAAAHXrf88=")</f>
        <v>#REF!</v>
      </c>
      <c r="HA121" t="e">
        <f>AND(NhatkyBan!#REF!,"AAAAAHXrf9A=")</f>
        <v>#REF!</v>
      </c>
      <c r="HB121" t="e">
        <f>AND(NhatkyBan!#REF!,"AAAAAHXrf9E=")</f>
        <v>#REF!</v>
      </c>
      <c r="HC121" t="e">
        <f>AND(NhatkyBan!#REF!,"AAAAAHXrf9I=")</f>
        <v>#REF!</v>
      </c>
      <c r="HD121" t="e">
        <f>AND(NhatkyBan!#REF!,"AAAAAHXrf9M=")</f>
        <v>#REF!</v>
      </c>
      <c r="HE121" t="e">
        <f>AND(NhatkyBan!#REF!,"AAAAAHXrf9Q=")</f>
        <v>#REF!</v>
      </c>
      <c r="HF121" t="e">
        <f>AND(NhatkyBan!#REF!,"AAAAAHXrf9U=")</f>
        <v>#REF!</v>
      </c>
      <c r="HG121" t="e">
        <f>AND(NhatkyBan!#REF!,"AAAAAHXrf9Y=")</f>
        <v>#REF!</v>
      </c>
      <c r="HH121" t="e">
        <f>AND(NhatkyBan!#REF!,"AAAAAHXrf9c=")</f>
        <v>#REF!</v>
      </c>
      <c r="HI121" t="e">
        <f>AND(NhatkyBan!#REF!,"AAAAAHXrf9g=")</f>
        <v>#REF!</v>
      </c>
      <c r="HJ121" t="e">
        <f>AND(NhatkyBan!#REF!,"AAAAAHXrf9k=")</f>
        <v>#REF!</v>
      </c>
      <c r="HK121" t="e">
        <f>AND(NhatkyBan!#REF!,"AAAAAHXrf9o=")</f>
        <v>#REF!</v>
      </c>
      <c r="HL121" t="e">
        <f>AND(NhatkyBan!#REF!,"AAAAAHXrf9s=")</f>
        <v>#REF!</v>
      </c>
      <c r="HM121" t="e">
        <f>AND(NhatkyBan!#REF!,"AAAAAHXrf9w=")</f>
        <v>#REF!</v>
      </c>
      <c r="HN121" t="e">
        <f>AND(NhatkyBan!#REF!,"AAAAAHXrf90=")</f>
        <v>#REF!</v>
      </c>
      <c r="HO121" t="e">
        <f>AND(NhatkyBan!#REF!,"AAAAAHXrf94=")</f>
        <v>#REF!</v>
      </c>
      <c r="HP121" t="e">
        <f>AND(NhatkyBan!#REF!,"AAAAAHXrf98=")</f>
        <v>#REF!</v>
      </c>
      <c r="HQ121" t="e">
        <f>AND(NhatkyBan!#REF!,"AAAAAHXrf+A=")</f>
        <v>#REF!</v>
      </c>
      <c r="HR121" t="e">
        <f>AND(NhatkyBan!#REF!,"AAAAAHXrf+E=")</f>
        <v>#REF!</v>
      </c>
      <c r="HS121" t="e">
        <f>AND(NhatkyBan!#REF!,"AAAAAHXrf+I=")</f>
        <v>#REF!</v>
      </c>
      <c r="HT121" t="e">
        <f>AND(NhatkyBan!#REF!,"AAAAAHXrf+M=")</f>
        <v>#REF!</v>
      </c>
      <c r="HU121" t="e">
        <f>AND(NhatkyBan!#REF!,"AAAAAHXrf+Q=")</f>
        <v>#REF!</v>
      </c>
      <c r="HV121" t="e">
        <f>AND(NhatkyBan!#REF!,"AAAAAHXrf+U=")</f>
        <v>#REF!</v>
      </c>
      <c r="HW121" t="e">
        <f>AND(NhatkyBan!#REF!,"AAAAAHXrf+Y=")</f>
        <v>#REF!</v>
      </c>
      <c r="HX121" t="e">
        <f>AND(NhatkyBan!#REF!,"AAAAAHXrf+c=")</f>
        <v>#REF!</v>
      </c>
      <c r="HY121" t="e">
        <f>AND(NhatkyBan!#REF!,"AAAAAHXrf+g=")</f>
        <v>#REF!</v>
      </c>
      <c r="HZ121" t="e">
        <f>AND(NhatkyBan!#REF!,"AAAAAHXrf+k=")</f>
        <v>#REF!</v>
      </c>
      <c r="IA121" t="e">
        <f>AND(NhatkyBan!#REF!,"AAAAAHXrf+o=")</f>
        <v>#REF!</v>
      </c>
      <c r="IB121" t="e">
        <f>IF(NhatkyBan!#REF!,"AAAAAHXrf+s=",0)</f>
        <v>#REF!</v>
      </c>
      <c r="IC121" t="e">
        <f>AND(NhatkyBan!#REF!,"AAAAAHXrf+w=")</f>
        <v>#REF!</v>
      </c>
      <c r="ID121" t="e">
        <f>AND(NhatkyBan!#REF!,"AAAAAHXrf+0=")</f>
        <v>#REF!</v>
      </c>
      <c r="IE121" t="e">
        <f>AND(NhatkyBan!#REF!,"AAAAAHXrf+4=")</f>
        <v>#REF!</v>
      </c>
      <c r="IF121" t="e">
        <f>AND(NhatkyBan!#REF!,"AAAAAHXrf+8=")</f>
        <v>#REF!</v>
      </c>
      <c r="IG121" t="e">
        <f>AND(NhatkyBan!#REF!,"AAAAAHXrf/A=")</f>
        <v>#REF!</v>
      </c>
      <c r="IH121" t="e">
        <f>AND(NhatkyBan!#REF!,"AAAAAHXrf/E=")</f>
        <v>#REF!</v>
      </c>
      <c r="II121" t="e">
        <f>AND(NhatkyBan!#REF!,"AAAAAHXrf/I=")</f>
        <v>#REF!</v>
      </c>
      <c r="IJ121" t="e">
        <f>AND(NhatkyBan!#REF!,"AAAAAHXrf/M=")</f>
        <v>#REF!</v>
      </c>
      <c r="IK121" t="e">
        <f>AND(NhatkyBan!#REF!,"AAAAAHXrf/Q=")</f>
        <v>#REF!</v>
      </c>
      <c r="IL121" t="e">
        <f>AND(NhatkyBan!#REF!,"AAAAAHXrf/U=")</f>
        <v>#REF!</v>
      </c>
      <c r="IM121" t="e">
        <f>AND(NhatkyBan!#REF!,"AAAAAHXrf/Y=")</f>
        <v>#REF!</v>
      </c>
      <c r="IN121" t="e">
        <f>AND(NhatkyBan!#REF!,"AAAAAHXrf/c=")</f>
        <v>#REF!</v>
      </c>
      <c r="IO121" t="e">
        <f>AND(NhatkyBan!#REF!,"AAAAAHXrf/g=")</f>
        <v>#REF!</v>
      </c>
      <c r="IP121" t="e">
        <f>AND(NhatkyBan!#REF!,"AAAAAHXrf/k=")</f>
        <v>#REF!</v>
      </c>
      <c r="IQ121" t="e">
        <f>AND(NhatkyBan!#REF!,"AAAAAHXrf/o=")</f>
        <v>#REF!</v>
      </c>
      <c r="IR121" t="e">
        <f>AND(NhatkyBan!#REF!,"AAAAAHXrf/s=")</f>
        <v>#REF!</v>
      </c>
      <c r="IS121" t="e">
        <f>AND(NhatkyBan!#REF!,"AAAAAHXrf/w=")</f>
        <v>#REF!</v>
      </c>
      <c r="IT121" t="e">
        <f>AND(NhatkyBan!#REF!,"AAAAAHXrf/0=")</f>
        <v>#REF!</v>
      </c>
      <c r="IU121" t="e">
        <f>AND(NhatkyBan!#REF!,"AAAAAHXrf/4=")</f>
        <v>#REF!</v>
      </c>
      <c r="IV121" t="e">
        <f>AND(NhatkyBan!#REF!,"AAAAAHXrf/8=")</f>
        <v>#REF!</v>
      </c>
    </row>
    <row r="122" spans="1:256">
      <c r="A122" t="e">
        <f>AND(NhatkyBan!#REF!,"AAAAAH3u3gA=")</f>
        <v>#REF!</v>
      </c>
      <c r="B122" t="e">
        <f>AND(NhatkyBan!#REF!,"AAAAAH3u3gE=")</f>
        <v>#REF!</v>
      </c>
      <c r="C122" t="e">
        <f>AND(NhatkyBan!#REF!,"AAAAAH3u3gI=")</f>
        <v>#REF!</v>
      </c>
      <c r="D122" t="e">
        <f>AND(NhatkyBan!#REF!,"AAAAAH3u3gM=")</f>
        <v>#REF!</v>
      </c>
      <c r="E122" t="e">
        <f>AND(NhatkyBan!#REF!,"AAAAAH3u3gQ=")</f>
        <v>#REF!</v>
      </c>
      <c r="F122" t="e">
        <f>AND(NhatkyBan!#REF!,"AAAAAH3u3gU=")</f>
        <v>#REF!</v>
      </c>
      <c r="G122" t="e">
        <f>AND(NhatkyBan!#REF!,"AAAAAH3u3gY=")</f>
        <v>#REF!</v>
      </c>
      <c r="H122" t="e">
        <f>AND(NhatkyBan!#REF!,"AAAAAH3u3gc=")</f>
        <v>#REF!</v>
      </c>
      <c r="I122" t="e">
        <f>AND(NhatkyBan!#REF!,"AAAAAH3u3gg=")</f>
        <v>#REF!</v>
      </c>
      <c r="J122" t="e">
        <f>AND(NhatkyBan!#REF!,"AAAAAH3u3gk=")</f>
        <v>#REF!</v>
      </c>
      <c r="K122" t="e">
        <f>AND(NhatkyBan!#REF!,"AAAAAH3u3go=")</f>
        <v>#REF!</v>
      </c>
      <c r="L122" t="e">
        <f>AND(NhatkyBan!#REF!,"AAAAAH3u3gs=")</f>
        <v>#REF!</v>
      </c>
      <c r="M122" t="e">
        <f>AND(NhatkyBan!#REF!,"AAAAAH3u3gw=")</f>
        <v>#REF!</v>
      </c>
      <c r="N122" t="e">
        <f>AND(NhatkyBan!#REF!,"AAAAAH3u3g0=")</f>
        <v>#REF!</v>
      </c>
      <c r="O122" t="e">
        <f>IF(NhatkyBan!#REF!,"AAAAAH3u3g4=",0)</f>
        <v>#REF!</v>
      </c>
      <c r="P122" t="e">
        <f>AND(NhatkyBan!#REF!,"AAAAAH3u3g8=")</f>
        <v>#REF!</v>
      </c>
      <c r="Q122" t="e">
        <f>AND(NhatkyBan!#REF!,"AAAAAH3u3hA=")</f>
        <v>#REF!</v>
      </c>
      <c r="R122" t="e">
        <f>AND(NhatkyBan!#REF!,"AAAAAH3u3hE=")</f>
        <v>#REF!</v>
      </c>
      <c r="S122" t="e">
        <f>AND(NhatkyBan!#REF!,"AAAAAH3u3hI=")</f>
        <v>#REF!</v>
      </c>
      <c r="T122" t="e">
        <f>AND(NhatkyBan!#REF!,"AAAAAH3u3hM=")</f>
        <v>#REF!</v>
      </c>
      <c r="U122" t="e">
        <f>AND(NhatkyBan!#REF!,"AAAAAH3u3hQ=")</f>
        <v>#REF!</v>
      </c>
      <c r="V122" t="e">
        <f>AND(NhatkyBan!#REF!,"AAAAAH3u3hU=")</f>
        <v>#REF!</v>
      </c>
      <c r="W122" t="e">
        <f>AND(NhatkyBan!#REF!,"AAAAAH3u3hY=")</f>
        <v>#REF!</v>
      </c>
      <c r="X122" t="e">
        <f>AND(NhatkyBan!#REF!,"AAAAAH3u3hc=")</f>
        <v>#REF!</v>
      </c>
      <c r="Y122" t="e">
        <f>AND(NhatkyBan!#REF!,"AAAAAH3u3hg=")</f>
        <v>#REF!</v>
      </c>
      <c r="Z122" t="e">
        <f>AND(NhatkyBan!#REF!,"AAAAAH3u3hk=")</f>
        <v>#REF!</v>
      </c>
      <c r="AA122" t="e">
        <f>AND(NhatkyBan!#REF!,"AAAAAH3u3ho=")</f>
        <v>#REF!</v>
      </c>
      <c r="AB122" t="e">
        <f>AND(NhatkyBan!#REF!,"AAAAAH3u3hs=")</f>
        <v>#REF!</v>
      </c>
      <c r="AC122" t="e">
        <f>AND(NhatkyBan!#REF!,"AAAAAH3u3hw=")</f>
        <v>#REF!</v>
      </c>
      <c r="AD122" t="e">
        <f>AND(NhatkyBan!#REF!,"AAAAAH3u3h0=")</f>
        <v>#REF!</v>
      </c>
      <c r="AE122" t="e">
        <f>AND(NhatkyBan!#REF!,"AAAAAH3u3h4=")</f>
        <v>#REF!</v>
      </c>
      <c r="AF122" t="e">
        <f>AND(NhatkyBan!#REF!,"AAAAAH3u3h8=")</f>
        <v>#REF!</v>
      </c>
      <c r="AG122" t="e">
        <f>AND(NhatkyBan!#REF!,"AAAAAH3u3iA=")</f>
        <v>#REF!</v>
      </c>
      <c r="AH122" t="e">
        <f>AND(NhatkyBan!#REF!,"AAAAAH3u3iE=")</f>
        <v>#REF!</v>
      </c>
      <c r="AI122" t="e">
        <f>AND(NhatkyBan!#REF!,"AAAAAH3u3iI=")</f>
        <v>#REF!</v>
      </c>
      <c r="AJ122" t="e">
        <f>AND(NhatkyBan!#REF!,"AAAAAH3u3iM=")</f>
        <v>#REF!</v>
      </c>
      <c r="AK122" t="e">
        <f>AND(NhatkyBan!#REF!,"AAAAAH3u3iQ=")</f>
        <v>#REF!</v>
      </c>
      <c r="AL122" t="e">
        <f>AND(NhatkyBan!#REF!,"AAAAAH3u3iU=")</f>
        <v>#REF!</v>
      </c>
      <c r="AM122" t="e">
        <f>AND(NhatkyBan!#REF!,"AAAAAH3u3iY=")</f>
        <v>#REF!</v>
      </c>
      <c r="AN122" t="e">
        <f>AND(NhatkyBan!#REF!,"AAAAAH3u3ic=")</f>
        <v>#REF!</v>
      </c>
      <c r="AO122" t="e">
        <f>AND(NhatkyBan!#REF!,"AAAAAH3u3ig=")</f>
        <v>#REF!</v>
      </c>
      <c r="AP122" t="e">
        <f>AND(NhatkyBan!#REF!,"AAAAAH3u3ik=")</f>
        <v>#REF!</v>
      </c>
      <c r="AQ122" t="e">
        <f>AND(NhatkyBan!#REF!,"AAAAAH3u3io=")</f>
        <v>#REF!</v>
      </c>
      <c r="AR122" t="e">
        <f>AND(NhatkyBan!#REF!,"AAAAAH3u3is=")</f>
        <v>#REF!</v>
      </c>
      <c r="AS122" t="e">
        <f>AND(NhatkyBan!#REF!,"AAAAAH3u3iw=")</f>
        <v>#REF!</v>
      </c>
      <c r="AT122" t="e">
        <f>AND(NhatkyBan!#REF!,"AAAAAH3u3i0=")</f>
        <v>#REF!</v>
      </c>
      <c r="AU122" t="e">
        <f>AND(NhatkyBan!#REF!,"AAAAAH3u3i4=")</f>
        <v>#REF!</v>
      </c>
      <c r="AV122" t="e">
        <f>AND(NhatkyBan!#REF!,"AAAAAH3u3i8=")</f>
        <v>#REF!</v>
      </c>
      <c r="AW122" t="e">
        <f>AND(NhatkyBan!#REF!,"AAAAAH3u3jA=")</f>
        <v>#REF!</v>
      </c>
      <c r="AX122" t="e">
        <f>IF(NhatkyBan!#REF!,"AAAAAH3u3jE=",0)</f>
        <v>#REF!</v>
      </c>
      <c r="AY122" t="e">
        <f>AND(NhatkyBan!#REF!,"AAAAAH3u3jI=")</f>
        <v>#REF!</v>
      </c>
      <c r="AZ122" t="e">
        <f>AND(NhatkyBan!#REF!,"AAAAAH3u3jM=")</f>
        <v>#REF!</v>
      </c>
      <c r="BA122" t="e">
        <f>AND(NhatkyBan!#REF!,"AAAAAH3u3jQ=")</f>
        <v>#REF!</v>
      </c>
      <c r="BB122" t="e">
        <f>AND(NhatkyBan!#REF!,"AAAAAH3u3jU=")</f>
        <v>#REF!</v>
      </c>
      <c r="BC122" t="e">
        <f>AND(NhatkyBan!#REF!,"AAAAAH3u3jY=")</f>
        <v>#REF!</v>
      </c>
      <c r="BD122" t="e">
        <f>AND(NhatkyBan!#REF!,"AAAAAH3u3jc=")</f>
        <v>#REF!</v>
      </c>
      <c r="BE122" t="e">
        <f>AND(NhatkyBan!#REF!,"AAAAAH3u3jg=")</f>
        <v>#REF!</v>
      </c>
      <c r="BF122" t="e">
        <f>AND(NhatkyBan!#REF!,"AAAAAH3u3jk=")</f>
        <v>#REF!</v>
      </c>
      <c r="BG122" t="e">
        <f>AND(NhatkyBan!#REF!,"AAAAAH3u3jo=")</f>
        <v>#REF!</v>
      </c>
      <c r="BH122" t="e">
        <f>AND(NhatkyBan!#REF!,"AAAAAH3u3js=")</f>
        <v>#REF!</v>
      </c>
      <c r="BI122" t="e">
        <f>AND(NhatkyBan!#REF!,"AAAAAH3u3jw=")</f>
        <v>#REF!</v>
      </c>
      <c r="BJ122" t="e">
        <f>AND(NhatkyBan!#REF!,"AAAAAH3u3j0=")</f>
        <v>#REF!</v>
      </c>
      <c r="BK122" t="e">
        <f>AND(NhatkyBan!#REF!,"AAAAAH3u3j4=")</f>
        <v>#REF!</v>
      </c>
      <c r="BL122" t="e">
        <f>AND(NhatkyBan!#REF!,"AAAAAH3u3j8=")</f>
        <v>#REF!</v>
      </c>
      <c r="BM122" t="e">
        <f>AND(NhatkyBan!#REF!,"AAAAAH3u3kA=")</f>
        <v>#REF!</v>
      </c>
      <c r="BN122" t="e">
        <f>AND(NhatkyBan!#REF!,"AAAAAH3u3kE=")</f>
        <v>#REF!</v>
      </c>
      <c r="BO122" t="e">
        <f>AND(NhatkyBan!#REF!,"AAAAAH3u3kI=")</f>
        <v>#REF!</v>
      </c>
      <c r="BP122" t="e">
        <f>AND(NhatkyBan!#REF!,"AAAAAH3u3kM=")</f>
        <v>#REF!</v>
      </c>
      <c r="BQ122" t="e">
        <f>AND(NhatkyBan!#REF!,"AAAAAH3u3kQ=")</f>
        <v>#REF!</v>
      </c>
      <c r="BR122" t="e">
        <f>AND(NhatkyBan!#REF!,"AAAAAH3u3kU=")</f>
        <v>#REF!</v>
      </c>
      <c r="BS122" t="e">
        <f>AND(NhatkyBan!#REF!,"AAAAAH3u3kY=")</f>
        <v>#REF!</v>
      </c>
      <c r="BT122" t="e">
        <f>AND(NhatkyBan!#REF!,"AAAAAH3u3kc=")</f>
        <v>#REF!</v>
      </c>
      <c r="BU122" t="e">
        <f>AND(NhatkyBan!#REF!,"AAAAAH3u3kg=")</f>
        <v>#REF!</v>
      </c>
      <c r="BV122" t="e">
        <f>AND(NhatkyBan!#REF!,"AAAAAH3u3kk=")</f>
        <v>#REF!</v>
      </c>
      <c r="BW122" t="e">
        <f>AND(NhatkyBan!#REF!,"AAAAAH3u3ko=")</f>
        <v>#REF!</v>
      </c>
      <c r="BX122" t="e">
        <f>AND(NhatkyBan!#REF!,"AAAAAH3u3ks=")</f>
        <v>#REF!</v>
      </c>
      <c r="BY122" t="e">
        <f>AND(NhatkyBan!#REF!,"AAAAAH3u3kw=")</f>
        <v>#REF!</v>
      </c>
      <c r="BZ122" t="e">
        <f>AND(NhatkyBan!#REF!,"AAAAAH3u3k0=")</f>
        <v>#REF!</v>
      </c>
      <c r="CA122" t="e">
        <f>AND(NhatkyBan!#REF!,"AAAAAH3u3k4=")</f>
        <v>#REF!</v>
      </c>
      <c r="CB122" t="e">
        <f>AND(NhatkyBan!#REF!,"AAAAAH3u3k8=")</f>
        <v>#REF!</v>
      </c>
      <c r="CC122" t="e">
        <f>AND(NhatkyBan!#REF!,"AAAAAH3u3lA=")</f>
        <v>#REF!</v>
      </c>
      <c r="CD122" t="e">
        <f>AND(NhatkyBan!#REF!,"AAAAAH3u3lE=")</f>
        <v>#REF!</v>
      </c>
      <c r="CE122" t="e">
        <f>AND(NhatkyBan!#REF!,"AAAAAH3u3lI=")</f>
        <v>#REF!</v>
      </c>
      <c r="CF122" t="e">
        <f>AND(NhatkyBan!#REF!,"AAAAAH3u3lM=")</f>
        <v>#REF!</v>
      </c>
      <c r="CG122" t="e">
        <f>IF(NhatkyBan!#REF!,"AAAAAH3u3lQ=",0)</f>
        <v>#REF!</v>
      </c>
      <c r="CH122" t="e">
        <f>AND(NhatkyBan!#REF!,"AAAAAH3u3lU=")</f>
        <v>#REF!</v>
      </c>
      <c r="CI122" t="e">
        <f>AND(NhatkyBan!#REF!,"AAAAAH3u3lY=")</f>
        <v>#REF!</v>
      </c>
      <c r="CJ122" t="e">
        <f>AND(NhatkyBan!#REF!,"AAAAAH3u3lc=")</f>
        <v>#REF!</v>
      </c>
      <c r="CK122" t="e">
        <f>AND(NhatkyBan!#REF!,"AAAAAH3u3lg=")</f>
        <v>#REF!</v>
      </c>
      <c r="CL122" t="e">
        <f>AND(NhatkyBan!#REF!,"AAAAAH3u3lk=")</f>
        <v>#REF!</v>
      </c>
      <c r="CM122" t="e">
        <f>AND(NhatkyBan!#REF!,"AAAAAH3u3lo=")</f>
        <v>#REF!</v>
      </c>
      <c r="CN122" t="e">
        <f>AND(NhatkyBan!#REF!,"AAAAAH3u3ls=")</f>
        <v>#REF!</v>
      </c>
      <c r="CO122" t="e">
        <f>AND(NhatkyBan!#REF!,"AAAAAH3u3lw=")</f>
        <v>#REF!</v>
      </c>
      <c r="CP122" t="e">
        <f>AND(NhatkyBan!#REF!,"AAAAAH3u3l0=")</f>
        <v>#REF!</v>
      </c>
      <c r="CQ122" t="e">
        <f>AND(NhatkyBan!#REF!,"AAAAAH3u3l4=")</f>
        <v>#REF!</v>
      </c>
      <c r="CR122" t="e">
        <f>AND(NhatkyBan!#REF!,"AAAAAH3u3l8=")</f>
        <v>#REF!</v>
      </c>
      <c r="CS122" t="e">
        <f>AND(NhatkyBan!#REF!,"AAAAAH3u3mA=")</f>
        <v>#REF!</v>
      </c>
      <c r="CT122" t="e">
        <f>AND(NhatkyBan!#REF!,"AAAAAH3u3mE=")</f>
        <v>#REF!</v>
      </c>
      <c r="CU122" t="e">
        <f>AND(NhatkyBan!#REF!,"AAAAAH3u3mI=")</f>
        <v>#REF!</v>
      </c>
      <c r="CV122" t="e">
        <f>AND(NhatkyBan!#REF!,"AAAAAH3u3mM=")</f>
        <v>#REF!</v>
      </c>
      <c r="CW122" t="e">
        <f>AND(NhatkyBan!#REF!,"AAAAAH3u3mQ=")</f>
        <v>#REF!</v>
      </c>
      <c r="CX122" t="e">
        <f>AND(NhatkyBan!#REF!,"AAAAAH3u3mU=")</f>
        <v>#REF!</v>
      </c>
      <c r="CY122" t="e">
        <f>AND(NhatkyBan!#REF!,"AAAAAH3u3mY=")</f>
        <v>#REF!</v>
      </c>
      <c r="CZ122" t="e">
        <f>AND(NhatkyBan!#REF!,"AAAAAH3u3mc=")</f>
        <v>#REF!</v>
      </c>
      <c r="DA122" t="e">
        <f>AND(NhatkyBan!#REF!,"AAAAAH3u3mg=")</f>
        <v>#REF!</v>
      </c>
      <c r="DB122" t="e">
        <f>AND(NhatkyBan!#REF!,"AAAAAH3u3mk=")</f>
        <v>#REF!</v>
      </c>
      <c r="DC122" t="e">
        <f>AND(NhatkyBan!#REF!,"AAAAAH3u3mo=")</f>
        <v>#REF!</v>
      </c>
      <c r="DD122" t="e">
        <f>AND(NhatkyBan!#REF!,"AAAAAH3u3ms=")</f>
        <v>#REF!</v>
      </c>
      <c r="DE122" t="e">
        <f>AND(NhatkyBan!#REF!,"AAAAAH3u3mw=")</f>
        <v>#REF!</v>
      </c>
      <c r="DF122" t="e">
        <f>AND(NhatkyBan!#REF!,"AAAAAH3u3m0=")</f>
        <v>#REF!</v>
      </c>
      <c r="DG122" t="e">
        <f>AND(NhatkyBan!#REF!,"AAAAAH3u3m4=")</f>
        <v>#REF!</v>
      </c>
      <c r="DH122" t="e">
        <f>AND(NhatkyBan!#REF!,"AAAAAH3u3m8=")</f>
        <v>#REF!</v>
      </c>
      <c r="DI122" t="e">
        <f>AND(NhatkyBan!#REF!,"AAAAAH3u3nA=")</f>
        <v>#REF!</v>
      </c>
      <c r="DJ122" t="e">
        <f>AND(NhatkyBan!#REF!,"AAAAAH3u3nE=")</f>
        <v>#REF!</v>
      </c>
      <c r="DK122" t="e">
        <f>AND(NhatkyBan!#REF!,"AAAAAH3u3nI=")</f>
        <v>#REF!</v>
      </c>
      <c r="DL122" t="e">
        <f>AND(NhatkyBan!#REF!,"AAAAAH3u3nM=")</f>
        <v>#REF!</v>
      </c>
      <c r="DM122" t="e">
        <f>AND(NhatkyBan!#REF!,"AAAAAH3u3nQ=")</f>
        <v>#REF!</v>
      </c>
      <c r="DN122" t="e">
        <f>AND(NhatkyBan!#REF!,"AAAAAH3u3nU=")</f>
        <v>#REF!</v>
      </c>
      <c r="DO122" t="e">
        <f>AND(NhatkyBan!#REF!,"AAAAAH3u3nY=")</f>
        <v>#REF!</v>
      </c>
      <c r="DP122" t="e">
        <f>IF(NhatkyBan!#REF!,"AAAAAH3u3nc=",0)</f>
        <v>#REF!</v>
      </c>
      <c r="DQ122" t="e">
        <f>AND(NhatkyBan!#REF!,"AAAAAH3u3ng=")</f>
        <v>#REF!</v>
      </c>
      <c r="DR122" t="e">
        <f>AND(NhatkyBan!#REF!,"AAAAAH3u3nk=")</f>
        <v>#REF!</v>
      </c>
      <c r="DS122" t="e">
        <f>AND(NhatkyBan!#REF!,"AAAAAH3u3no=")</f>
        <v>#REF!</v>
      </c>
      <c r="DT122" t="e">
        <f>AND(NhatkyBan!#REF!,"AAAAAH3u3ns=")</f>
        <v>#REF!</v>
      </c>
      <c r="DU122" t="e">
        <f>AND(NhatkyBan!#REF!,"AAAAAH3u3nw=")</f>
        <v>#REF!</v>
      </c>
      <c r="DV122" t="e">
        <f>AND(NhatkyBan!#REF!,"AAAAAH3u3n0=")</f>
        <v>#REF!</v>
      </c>
      <c r="DW122" t="e">
        <f>AND(NhatkyBan!#REF!,"AAAAAH3u3n4=")</f>
        <v>#REF!</v>
      </c>
      <c r="DX122" t="e">
        <f>AND(NhatkyBan!#REF!,"AAAAAH3u3n8=")</f>
        <v>#REF!</v>
      </c>
      <c r="DY122" t="e">
        <f>AND(NhatkyBan!#REF!,"AAAAAH3u3oA=")</f>
        <v>#REF!</v>
      </c>
      <c r="DZ122" t="e">
        <f>AND(NhatkyBan!#REF!,"AAAAAH3u3oE=")</f>
        <v>#REF!</v>
      </c>
      <c r="EA122" t="e">
        <f>AND(NhatkyBan!#REF!,"AAAAAH3u3oI=")</f>
        <v>#REF!</v>
      </c>
      <c r="EB122" t="e">
        <f>AND(NhatkyBan!#REF!,"AAAAAH3u3oM=")</f>
        <v>#REF!</v>
      </c>
      <c r="EC122" t="e">
        <f>AND(NhatkyBan!#REF!,"AAAAAH3u3oQ=")</f>
        <v>#REF!</v>
      </c>
      <c r="ED122" t="e">
        <f>AND(NhatkyBan!#REF!,"AAAAAH3u3oU=")</f>
        <v>#REF!</v>
      </c>
      <c r="EE122" t="e">
        <f>AND(NhatkyBan!#REF!,"AAAAAH3u3oY=")</f>
        <v>#REF!</v>
      </c>
      <c r="EF122" t="e">
        <f>AND(NhatkyBan!#REF!,"AAAAAH3u3oc=")</f>
        <v>#REF!</v>
      </c>
      <c r="EG122" t="e">
        <f>AND(NhatkyBan!#REF!,"AAAAAH3u3og=")</f>
        <v>#REF!</v>
      </c>
      <c r="EH122" t="e">
        <f>AND(NhatkyBan!#REF!,"AAAAAH3u3ok=")</f>
        <v>#REF!</v>
      </c>
      <c r="EI122" t="e">
        <f>AND(NhatkyBan!#REF!,"AAAAAH3u3oo=")</f>
        <v>#REF!</v>
      </c>
      <c r="EJ122" t="e">
        <f>AND(NhatkyBan!#REF!,"AAAAAH3u3os=")</f>
        <v>#REF!</v>
      </c>
      <c r="EK122" t="e">
        <f>AND(NhatkyBan!#REF!,"AAAAAH3u3ow=")</f>
        <v>#REF!</v>
      </c>
      <c r="EL122" t="e">
        <f>AND(NhatkyBan!#REF!,"AAAAAH3u3o0=")</f>
        <v>#REF!</v>
      </c>
      <c r="EM122" t="e">
        <f>AND(NhatkyBan!#REF!,"AAAAAH3u3o4=")</f>
        <v>#REF!</v>
      </c>
      <c r="EN122" t="e">
        <f>AND(NhatkyBan!#REF!,"AAAAAH3u3o8=")</f>
        <v>#REF!</v>
      </c>
      <c r="EO122" t="e">
        <f>AND(NhatkyBan!#REF!,"AAAAAH3u3pA=")</f>
        <v>#REF!</v>
      </c>
      <c r="EP122" t="e">
        <f>AND(NhatkyBan!#REF!,"AAAAAH3u3pE=")</f>
        <v>#REF!</v>
      </c>
      <c r="EQ122" t="e">
        <f>AND(NhatkyBan!#REF!,"AAAAAH3u3pI=")</f>
        <v>#REF!</v>
      </c>
      <c r="ER122" t="e">
        <f>AND(NhatkyBan!#REF!,"AAAAAH3u3pM=")</f>
        <v>#REF!</v>
      </c>
      <c r="ES122" t="e">
        <f>AND(NhatkyBan!#REF!,"AAAAAH3u3pQ=")</f>
        <v>#REF!</v>
      </c>
      <c r="ET122" t="e">
        <f>AND(NhatkyBan!#REF!,"AAAAAH3u3pU=")</f>
        <v>#REF!</v>
      </c>
      <c r="EU122" t="e">
        <f>AND(NhatkyBan!#REF!,"AAAAAH3u3pY=")</f>
        <v>#REF!</v>
      </c>
      <c r="EV122" t="e">
        <f>AND(NhatkyBan!#REF!,"AAAAAH3u3pc=")</f>
        <v>#REF!</v>
      </c>
      <c r="EW122" t="e">
        <f>AND(NhatkyBan!#REF!,"AAAAAH3u3pg=")</f>
        <v>#REF!</v>
      </c>
      <c r="EX122" t="e">
        <f>AND(NhatkyBan!#REF!,"AAAAAH3u3pk=")</f>
        <v>#REF!</v>
      </c>
      <c r="EY122" t="e">
        <f>IF(NhatkyBan!#REF!,"AAAAAH3u3po=",0)</f>
        <v>#REF!</v>
      </c>
      <c r="EZ122" t="e">
        <f>AND(NhatkyBan!#REF!,"AAAAAH3u3ps=")</f>
        <v>#REF!</v>
      </c>
      <c r="FA122" t="e">
        <f>AND(NhatkyBan!#REF!,"AAAAAH3u3pw=")</f>
        <v>#REF!</v>
      </c>
      <c r="FB122" t="e">
        <f>AND(NhatkyBan!#REF!,"AAAAAH3u3p0=")</f>
        <v>#REF!</v>
      </c>
      <c r="FC122" t="e">
        <f>AND(NhatkyBan!#REF!,"AAAAAH3u3p4=")</f>
        <v>#REF!</v>
      </c>
      <c r="FD122" t="e">
        <f>AND(NhatkyBan!#REF!,"AAAAAH3u3p8=")</f>
        <v>#REF!</v>
      </c>
      <c r="FE122" t="e">
        <f>AND(NhatkyBan!#REF!,"AAAAAH3u3qA=")</f>
        <v>#REF!</v>
      </c>
      <c r="FF122" t="e">
        <f>AND(NhatkyBan!#REF!,"AAAAAH3u3qE=")</f>
        <v>#REF!</v>
      </c>
      <c r="FG122" t="e">
        <f>AND(NhatkyBan!#REF!,"AAAAAH3u3qI=")</f>
        <v>#REF!</v>
      </c>
      <c r="FH122" t="e">
        <f>AND(NhatkyBan!#REF!,"AAAAAH3u3qM=")</f>
        <v>#REF!</v>
      </c>
      <c r="FI122" t="e">
        <f>AND(NhatkyBan!#REF!,"AAAAAH3u3qQ=")</f>
        <v>#REF!</v>
      </c>
      <c r="FJ122" t="e">
        <f>AND(NhatkyBan!#REF!,"AAAAAH3u3qU=")</f>
        <v>#REF!</v>
      </c>
      <c r="FK122" t="e">
        <f>AND(NhatkyBan!#REF!,"AAAAAH3u3qY=")</f>
        <v>#REF!</v>
      </c>
      <c r="FL122" t="e">
        <f>AND(NhatkyBan!#REF!,"AAAAAH3u3qc=")</f>
        <v>#REF!</v>
      </c>
      <c r="FM122" t="e">
        <f>AND(NhatkyBan!#REF!,"AAAAAH3u3qg=")</f>
        <v>#REF!</v>
      </c>
      <c r="FN122" t="e">
        <f>AND(NhatkyBan!#REF!,"AAAAAH3u3qk=")</f>
        <v>#REF!</v>
      </c>
      <c r="FO122" t="e">
        <f>AND(NhatkyBan!#REF!,"AAAAAH3u3qo=")</f>
        <v>#REF!</v>
      </c>
      <c r="FP122" t="e">
        <f>AND(NhatkyBan!#REF!,"AAAAAH3u3qs=")</f>
        <v>#REF!</v>
      </c>
      <c r="FQ122" t="e">
        <f>AND(NhatkyBan!#REF!,"AAAAAH3u3qw=")</f>
        <v>#REF!</v>
      </c>
      <c r="FR122" t="e">
        <f>AND(NhatkyBan!#REF!,"AAAAAH3u3q0=")</f>
        <v>#REF!</v>
      </c>
      <c r="FS122" t="e">
        <f>AND(NhatkyBan!#REF!,"AAAAAH3u3q4=")</f>
        <v>#REF!</v>
      </c>
      <c r="FT122" t="e">
        <f>AND(NhatkyBan!#REF!,"AAAAAH3u3q8=")</f>
        <v>#REF!</v>
      </c>
      <c r="FU122" t="e">
        <f>AND(NhatkyBan!#REF!,"AAAAAH3u3rA=")</f>
        <v>#REF!</v>
      </c>
      <c r="FV122" t="e">
        <f>AND(NhatkyBan!#REF!,"AAAAAH3u3rE=")</f>
        <v>#REF!</v>
      </c>
      <c r="FW122" t="e">
        <f>AND(NhatkyBan!#REF!,"AAAAAH3u3rI=")</f>
        <v>#REF!</v>
      </c>
      <c r="FX122" t="e">
        <f>AND(NhatkyBan!#REF!,"AAAAAH3u3rM=")</f>
        <v>#REF!</v>
      </c>
      <c r="FY122" t="e">
        <f>AND(NhatkyBan!#REF!,"AAAAAH3u3rQ=")</f>
        <v>#REF!</v>
      </c>
      <c r="FZ122" t="e">
        <f>AND(NhatkyBan!#REF!,"AAAAAH3u3rU=")</f>
        <v>#REF!</v>
      </c>
      <c r="GA122" t="e">
        <f>AND(NhatkyBan!#REF!,"AAAAAH3u3rY=")</f>
        <v>#REF!</v>
      </c>
      <c r="GB122" t="e">
        <f>AND(NhatkyBan!#REF!,"AAAAAH3u3rc=")</f>
        <v>#REF!</v>
      </c>
      <c r="GC122" t="e">
        <f>AND(NhatkyBan!#REF!,"AAAAAH3u3rg=")</f>
        <v>#REF!</v>
      </c>
      <c r="GD122" t="e">
        <f>AND(NhatkyBan!#REF!,"AAAAAH3u3rk=")</f>
        <v>#REF!</v>
      </c>
      <c r="GE122" t="e">
        <f>AND(NhatkyBan!#REF!,"AAAAAH3u3ro=")</f>
        <v>#REF!</v>
      </c>
      <c r="GF122" t="e">
        <f>AND(NhatkyBan!#REF!,"AAAAAH3u3rs=")</f>
        <v>#REF!</v>
      </c>
      <c r="GG122" t="e">
        <f>AND(NhatkyBan!#REF!,"AAAAAH3u3rw=")</f>
        <v>#REF!</v>
      </c>
      <c r="GH122" t="e">
        <f>IF(NhatkyBan!#REF!,"AAAAAH3u3r0=",0)</f>
        <v>#REF!</v>
      </c>
      <c r="GI122" t="e">
        <f>AND(NhatkyBan!#REF!,"AAAAAH3u3r4=")</f>
        <v>#REF!</v>
      </c>
      <c r="GJ122" t="e">
        <f>AND(NhatkyBan!#REF!,"AAAAAH3u3r8=")</f>
        <v>#REF!</v>
      </c>
      <c r="GK122" t="e">
        <f>AND(NhatkyBan!#REF!,"AAAAAH3u3sA=")</f>
        <v>#REF!</v>
      </c>
      <c r="GL122" t="e">
        <f>AND(NhatkyBan!#REF!,"AAAAAH3u3sE=")</f>
        <v>#REF!</v>
      </c>
      <c r="GM122" t="e">
        <f>AND(NhatkyBan!#REF!,"AAAAAH3u3sI=")</f>
        <v>#REF!</v>
      </c>
      <c r="GN122" t="e">
        <f>AND(NhatkyBan!#REF!,"AAAAAH3u3sM=")</f>
        <v>#REF!</v>
      </c>
      <c r="GO122" t="e">
        <f>AND(NhatkyBan!#REF!,"AAAAAH3u3sQ=")</f>
        <v>#REF!</v>
      </c>
      <c r="GP122" t="e">
        <f>AND(NhatkyBan!#REF!,"AAAAAH3u3sU=")</f>
        <v>#REF!</v>
      </c>
      <c r="GQ122" t="e">
        <f>AND(NhatkyBan!#REF!,"AAAAAH3u3sY=")</f>
        <v>#REF!</v>
      </c>
      <c r="GR122" t="e">
        <f>AND(NhatkyBan!#REF!,"AAAAAH3u3sc=")</f>
        <v>#REF!</v>
      </c>
      <c r="GS122" t="e">
        <f>AND(NhatkyBan!#REF!,"AAAAAH3u3sg=")</f>
        <v>#REF!</v>
      </c>
      <c r="GT122" t="e">
        <f>AND(NhatkyBan!#REF!,"AAAAAH3u3sk=")</f>
        <v>#REF!</v>
      </c>
      <c r="GU122" t="e">
        <f>AND(NhatkyBan!#REF!,"AAAAAH3u3so=")</f>
        <v>#REF!</v>
      </c>
      <c r="GV122" t="e">
        <f>AND(NhatkyBan!#REF!,"AAAAAH3u3ss=")</f>
        <v>#REF!</v>
      </c>
      <c r="GW122" t="e">
        <f>AND(NhatkyBan!#REF!,"AAAAAH3u3sw=")</f>
        <v>#REF!</v>
      </c>
      <c r="GX122" t="e">
        <f>AND(NhatkyBan!#REF!,"AAAAAH3u3s0=")</f>
        <v>#REF!</v>
      </c>
      <c r="GY122" t="e">
        <f>AND(NhatkyBan!#REF!,"AAAAAH3u3s4=")</f>
        <v>#REF!</v>
      </c>
      <c r="GZ122" t="e">
        <f>AND(NhatkyBan!#REF!,"AAAAAH3u3s8=")</f>
        <v>#REF!</v>
      </c>
      <c r="HA122" t="e">
        <f>AND(NhatkyBan!#REF!,"AAAAAH3u3tA=")</f>
        <v>#REF!</v>
      </c>
      <c r="HB122" t="e">
        <f>AND(NhatkyBan!#REF!,"AAAAAH3u3tE=")</f>
        <v>#REF!</v>
      </c>
      <c r="HC122" t="e">
        <f>AND(NhatkyBan!#REF!,"AAAAAH3u3tI=")</f>
        <v>#REF!</v>
      </c>
      <c r="HD122" t="e">
        <f>AND(NhatkyBan!#REF!,"AAAAAH3u3tM=")</f>
        <v>#REF!</v>
      </c>
      <c r="HE122" t="e">
        <f>AND(NhatkyBan!#REF!,"AAAAAH3u3tQ=")</f>
        <v>#REF!</v>
      </c>
      <c r="HF122" t="e">
        <f>AND(NhatkyBan!#REF!,"AAAAAH3u3tU=")</f>
        <v>#REF!</v>
      </c>
      <c r="HG122" t="e">
        <f>AND(NhatkyBan!#REF!,"AAAAAH3u3tY=")</f>
        <v>#REF!</v>
      </c>
      <c r="HH122" t="e">
        <f>AND(NhatkyBan!#REF!,"AAAAAH3u3tc=")</f>
        <v>#REF!</v>
      </c>
      <c r="HI122" t="e">
        <f>AND(NhatkyBan!#REF!,"AAAAAH3u3tg=")</f>
        <v>#REF!</v>
      </c>
      <c r="HJ122" t="e">
        <f>AND(NhatkyBan!#REF!,"AAAAAH3u3tk=")</f>
        <v>#REF!</v>
      </c>
      <c r="HK122" t="e">
        <f>AND(NhatkyBan!#REF!,"AAAAAH3u3to=")</f>
        <v>#REF!</v>
      </c>
      <c r="HL122" t="e">
        <f>AND(NhatkyBan!#REF!,"AAAAAH3u3ts=")</f>
        <v>#REF!</v>
      </c>
      <c r="HM122" t="e">
        <f>AND(NhatkyBan!#REF!,"AAAAAH3u3tw=")</f>
        <v>#REF!</v>
      </c>
      <c r="HN122" t="e">
        <f>AND(NhatkyBan!#REF!,"AAAAAH3u3t0=")</f>
        <v>#REF!</v>
      </c>
      <c r="HO122" t="e">
        <f>AND(NhatkyBan!#REF!,"AAAAAH3u3t4=")</f>
        <v>#REF!</v>
      </c>
      <c r="HP122" t="e">
        <f>AND(NhatkyBan!#REF!,"AAAAAH3u3t8=")</f>
        <v>#REF!</v>
      </c>
      <c r="HQ122" t="e">
        <f>IF(NhatkyBan!#REF!,"AAAAAH3u3uA=",0)</f>
        <v>#REF!</v>
      </c>
      <c r="HR122" t="e">
        <f>AND(NhatkyBan!#REF!,"AAAAAH3u3uE=")</f>
        <v>#REF!</v>
      </c>
      <c r="HS122" t="e">
        <f>AND(NhatkyBan!#REF!,"AAAAAH3u3uI=")</f>
        <v>#REF!</v>
      </c>
      <c r="HT122" t="e">
        <f>AND(NhatkyBan!#REF!,"AAAAAH3u3uM=")</f>
        <v>#REF!</v>
      </c>
      <c r="HU122" t="e">
        <f>AND(NhatkyBan!#REF!,"AAAAAH3u3uQ=")</f>
        <v>#REF!</v>
      </c>
      <c r="HV122" t="e">
        <f>AND(NhatkyBan!#REF!,"AAAAAH3u3uU=")</f>
        <v>#REF!</v>
      </c>
      <c r="HW122" t="e">
        <f>AND(NhatkyBan!#REF!,"AAAAAH3u3uY=")</f>
        <v>#REF!</v>
      </c>
      <c r="HX122" t="e">
        <f>AND(NhatkyBan!#REF!,"AAAAAH3u3uc=")</f>
        <v>#REF!</v>
      </c>
      <c r="HY122" t="e">
        <f>AND(NhatkyBan!#REF!,"AAAAAH3u3ug=")</f>
        <v>#REF!</v>
      </c>
      <c r="HZ122" t="e">
        <f>AND(NhatkyBan!#REF!,"AAAAAH3u3uk=")</f>
        <v>#REF!</v>
      </c>
      <c r="IA122" t="e">
        <f>AND(NhatkyBan!#REF!,"AAAAAH3u3uo=")</f>
        <v>#REF!</v>
      </c>
      <c r="IB122" t="e">
        <f>AND(NhatkyBan!#REF!,"AAAAAH3u3us=")</f>
        <v>#REF!</v>
      </c>
      <c r="IC122" t="e">
        <f>AND(NhatkyBan!#REF!,"AAAAAH3u3uw=")</f>
        <v>#REF!</v>
      </c>
      <c r="ID122" t="e">
        <f>AND(NhatkyBan!#REF!,"AAAAAH3u3u0=")</f>
        <v>#REF!</v>
      </c>
      <c r="IE122" t="e">
        <f>AND(NhatkyBan!#REF!,"AAAAAH3u3u4=")</f>
        <v>#REF!</v>
      </c>
      <c r="IF122" t="e">
        <f>AND(NhatkyBan!#REF!,"AAAAAH3u3u8=")</f>
        <v>#REF!</v>
      </c>
      <c r="IG122" t="e">
        <f>AND(NhatkyBan!#REF!,"AAAAAH3u3vA=")</f>
        <v>#REF!</v>
      </c>
      <c r="IH122" t="e">
        <f>AND(NhatkyBan!#REF!,"AAAAAH3u3vE=")</f>
        <v>#REF!</v>
      </c>
      <c r="II122" t="e">
        <f>AND(NhatkyBan!#REF!,"AAAAAH3u3vI=")</f>
        <v>#REF!</v>
      </c>
      <c r="IJ122" t="e">
        <f>AND(NhatkyBan!#REF!,"AAAAAH3u3vM=")</f>
        <v>#REF!</v>
      </c>
      <c r="IK122" t="e">
        <f>AND(NhatkyBan!#REF!,"AAAAAH3u3vQ=")</f>
        <v>#REF!</v>
      </c>
      <c r="IL122" t="e">
        <f>AND(NhatkyBan!#REF!,"AAAAAH3u3vU=")</f>
        <v>#REF!</v>
      </c>
      <c r="IM122" t="e">
        <f>AND(NhatkyBan!#REF!,"AAAAAH3u3vY=")</f>
        <v>#REF!</v>
      </c>
      <c r="IN122" t="e">
        <f>AND(NhatkyBan!#REF!,"AAAAAH3u3vc=")</f>
        <v>#REF!</v>
      </c>
      <c r="IO122" t="e">
        <f>AND(NhatkyBan!#REF!,"AAAAAH3u3vg=")</f>
        <v>#REF!</v>
      </c>
      <c r="IP122" t="e">
        <f>AND(NhatkyBan!#REF!,"AAAAAH3u3vk=")</f>
        <v>#REF!</v>
      </c>
      <c r="IQ122" t="e">
        <f>AND(NhatkyBan!#REF!,"AAAAAH3u3vo=")</f>
        <v>#REF!</v>
      </c>
      <c r="IR122" t="e">
        <f>AND(NhatkyBan!#REF!,"AAAAAH3u3vs=")</f>
        <v>#REF!</v>
      </c>
      <c r="IS122" t="e">
        <f>AND(NhatkyBan!#REF!,"AAAAAH3u3vw=")</f>
        <v>#REF!</v>
      </c>
      <c r="IT122" t="e">
        <f>AND(NhatkyBan!#REF!,"AAAAAH3u3v0=")</f>
        <v>#REF!</v>
      </c>
      <c r="IU122" t="e">
        <f>AND(NhatkyBan!#REF!,"AAAAAH3u3v4=")</f>
        <v>#REF!</v>
      </c>
      <c r="IV122" t="e">
        <f>AND(NhatkyBan!#REF!,"AAAAAH3u3v8=")</f>
        <v>#REF!</v>
      </c>
    </row>
    <row r="123" spans="1:256">
      <c r="A123" t="e">
        <f>AND(NhatkyBan!#REF!,"AAAAAHPnVwA=")</f>
        <v>#REF!</v>
      </c>
      <c r="B123" t="e">
        <f>AND(NhatkyBan!#REF!,"AAAAAHPnVwE=")</f>
        <v>#REF!</v>
      </c>
      <c r="C123" t="e">
        <f>AND(NhatkyBan!#REF!,"AAAAAHPnVwI=")</f>
        <v>#REF!</v>
      </c>
      <c r="D123" t="e">
        <f>IF(NhatkyBan!#REF!,"AAAAAHPnVwM=",0)</f>
        <v>#REF!</v>
      </c>
      <c r="E123" t="e">
        <f>AND(NhatkyBan!#REF!,"AAAAAHPnVwQ=")</f>
        <v>#REF!</v>
      </c>
      <c r="F123" t="e">
        <f>AND(NhatkyBan!#REF!,"AAAAAHPnVwU=")</f>
        <v>#REF!</v>
      </c>
      <c r="G123" t="e">
        <f>AND(NhatkyBan!#REF!,"AAAAAHPnVwY=")</f>
        <v>#REF!</v>
      </c>
      <c r="H123" t="e">
        <f>AND(NhatkyBan!#REF!,"AAAAAHPnVwc=")</f>
        <v>#REF!</v>
      </c>
      <c r="I123" t="e">
        <f>AND(NhatkyBan!#REF!,"AAAAAHPnVwg=")</f>
        <v>#REF!</v>
      </c>
      <c r="J123" t="e">
        <f>AND(NhatkyBan!#REF!,"AAAAAHPnVwk=")</f>
        <v>#REF!</v>
      </c>
      <c r="K123" t="e">
        <f>AND(NhatkyBan!#REF!,"AAAAAHPnVwo=")</f>
        <v>#REF!</v>
      </c>
      <c r="L123" t="e">
        <f>AND(NhatkyBan!#REF!,"AAAAAHPnVws=")</f>
        <v>#REF!</v>
      </c>
      <c r="M123" t="e">
        <f>AND(NhatkyBan!#REF!,"AAAAAHPnVww=")</f>
        <v>#REF!</v>
      </c>
      <c r="N123" t="e">
        <f>AND(NhatkyBan!#REF!,"AAAAAHPnVw0=")</f>
        <v>#REF!</v>
      </c>
      <c r="O123" t="e">
        <f>AND(NhatkyBan!#REF!,"AAAAAHPnVw4=")</f>
        <v>#REF!</v>
      </c>
      <c r="P123" t="e">
        <f>AND(NhatkyBan!#REF!,"AAAAAHPnVw8=")</f>
        <v>#REF!</v>
      </c>
      <c r="Q123" t="e">
        <f>AND(NhatkyBan!#REF!,"AAAAAHPnVxA=")</f>
        <v>#REF!</v>
      </c>
      <c r="R123" t="e">
        <f>AND(NhatkyBan!#REF!,"AAAAAHPnVxE=")</f>
        <v>#REF!</v>
      </c>
      <c r="S123" t="e">
        <f>AND(NhatkyBan!#REF!,"AAAAAHPnVxI=")</f>
        <v>#REF!</v>
      </c>
      <c r="T123" t="e">
        <f>AND(NhatkyBan!#REF!,"AAAAAHPnVxM=")</f>
        <v>#REF!</v>
      </c>
      <c r="U123" t="e">
        <f>AND(NhatkyBan!#REF!,"AAAAAHPnVxQ=")</f>
        <v>#REF!</v>
      </c>
      <c r="V123" t="e">
        <f>AND(NhatkyBan!#REF!,"AAAAAHPnVxU=")</f>
        <v>#REF!</v>
      </c>
      <c r="W123" t="e">
        <f>AND(NhatkyBan!#REF!,"AAAAAHPnVxY=")</f>
        <v>#REF!</v>
      </c>
      <c r="X123" t="e">
        <f>AND(NhatkyBan!#REF!,"AAAAAHPnVxc=")</f>
        <v>#REF!</v>
      </c>
      <c r="Y123" t="e">
        <f>AND(NhatkyBan!#REF!,"AAAAAHPnVxg=")</f>
        <v>#REF!</v>
      </c>
      <c r="Z123" t="e">
        <f>AND(NhatkyBan!#REF!,"AAAAAHPnVxk=")</f>
        <v>#REF!</v>
      </c>
      <c r="AA123" t="e">
        <f>AND(NhatkyBan!#REF!,"AAAAAHPnVxo=")</f>
        <v>#REF!</v>
      </c>
      <c r="AB123" t="e">
        <f>AND(NhatkyBan!#REF!,"AAAAAHPnVxs=")</f>
        <v>#REF!</v>
      </c>
      <c r="AC123" t="e">
        <f>AND(NhatkyBan!#REF!,"AAAAAHPnVxw=")</f>
        <v>#REF!</v>
      </c>
      <c r="AD123" t="e">
        <f>AND(NhatkyBan!#REF!,"AAAAAHPnVx0=")</f>
        <v>#REF!</v>
      </c>
      <c r="AE123" t="e">
        <f>AND(NhatkyBan!#REF!,"AAAAAHPnVx4=")</f>
        <v>#REF!</v>
      </c>
      <c r="AF123" t="e">
        <f>AND(NhatkyBan!#REF!,"AAAAAHPnVx8=")</f>
        <v>#REF!</v>
      </c>
      <c r="AG123" t="e">
        <f>AND(NhatkyBan!#REF!,"AAAAAHPnVyA=")</f>
        <v>#REF!</v>
      </c>
      <c r="AH123" t="e">
        <f>AND(NhatkyBan!#REF!,"AAAAAHPnVyE=")</f>
        <v>#REF!</v>
      </c>
      <c r="AI123" t="e">
        <f>AND(NhatkyBan!#REF!,"AAAAAHPnVyI=")</f>
        <v>#REF!</v>
      </c>
      <c r="AJ123" t="e">
        <f>AND(NhatkyBan!#REF!,"AAAAAHPnVyM=")</f>
        <v>#REF!</v>
      </c>
      <c r="AK123" t="e">
        <f>AND(NhatkyBan!#REF!,"AAAAAHPnVyQ=")</f>
        <v>#REF!</v>
      </c>
      <c r="AL123" t="e">
        <f>AND(NhatkyBan!#REF!,"AAAAAHPnVyU=")</f>
        <v>#REF!</v>
      </c>
      <c r="AM123" t="e">
        <f>IF(NhatkyBan!#REF!,"AAAAAHPnVyY=",0)</f>
        <v>#REF!</v>
      </c>
      <c r="AN123" t="e">
        <f>AND(NhatkyBan!#REF!,"AAAAAHPnVyc=")</f>
        <v>#REF!</v>
      </c>
      <c r="AO123" t="e">
        <f>AND(NhatkyBan!#REF!,"AAAAAHPnVyg=")</f>
        <v>#REF!</v>
      </c>
      <c r="AP123" t="e">
        <f>AND(NhatkyBan!#REF!,"AAAAAHPnVyk=")</f>
        <v>#REF!</v>
      </c>
      <c r="AQ123" t="e">
        <f>AND(NhatkyBan!#REF!,"AAAAAHPnVyo=")</f>
        <v>#REF!</v>
      </c>
      <c r="AR123" t="e">
        <f>AND(NhatkyBan!#REF!,"AAAAAHPnVys=")</f>
        <v>#REF!</v>
      </c>
      <c r="AS123" t="e">
        <f>AND(NhatkyBan!#REF!,"AAAAAHPnVyw=")</f>
        <v>#REF!</v>
      </c>
      <c r="AT123" t="e">
        <f>AND(NhatkyBan!#REF!,"AAAAAHPnVy0=")</f>
        <v>#REF!</v>
      </c>
      <c r="AU123" t="e">
        <f>AND(NhatkyBan!#REF!,"AAAAAHPnVy4=")</f>
        <v>#REF!</v>
      </c>
      <c r="AV123" t="e">
        <f>AND(NhatkyBan!#REF!,"AAAAAHPnVy8=")</f>
        <v>#REF!</v>
      </c>
      <c r="AW123" t="e">
        <f>AND(NhatkyBan!#REF!,"AAAAAHPnVzA=")</f>
        <v>#REF!</v>
      </c>
      <c r="AX123" t="e">
        <f>AND(NhatkyBan!#REF!,"AAAAAHPnVzE=")</f>
        <v>#REF!</v>
      </c>
      <c r="AY123" t="e">
        <f>AND(NhatkyBan!#REF!,"AAAAAHPnVzI=")</f>
        <v>#REF!</v>
      </c>
      <c r="AZ123" t="e">
        <f>AND(NhatkyBan!#REF!,"AAAAAHPnVzM=")</f>
        <v>#REF!</v>
      </c>
      <c r="BA123" t="e">
        <f>AND(NhatkyBan!#REF!,"AAAAAHPnVzQ=")</f>
        <v>#REF!</v>
      </c>
      <c r="BB123" t="e">
        <f>AND(NhatkyBan!#REF!,"AAAAAHPnVzU=")</f>
        <v>#REF!</v>
      </c>
      <c r="BC123" t="e">
        <f>AND(NhatkyBan!#REF!,"AAAAAHPnVzY=")</f>
        <v>#REF!</v>
      </c>
      <c r="BD123" t="e">
        <f>AND(NhatkyBan!#REF!,"AAAAAHPnVzc=")</f>
        <v>#REF!</v>
      </c>
      <c r="BE123" t="e">
        <f>AND(NhatkyBan!#REF!,"AAAAAHPnVzg=")</f>
        <v>#REF!</v>
      </c>
      <c r="BF123" t="e">
        <f>AND(NhatkyBan!#REF!,"AAAAAHPnVzk=")</f>
        <v>#REF!</v>
      </c>
      <c r="BG123" t="e">
        <f>AND(NhatkyBan!#REF!,"AAAAAHPnVzo=")</f>
        <v>#REF!</v>
      </c>
      <c r="BH123" t="e">
        <f>AND(NhatkyBan!#REF!,"AAAAAHPnVzs=")</f>
        <v>#REF!</v>
      </c>
      <c r="BI123" t="e">
        <f>AND(NhatkyBan!#REF!,"AAAAAHPnVzw=")</f>
        <v>#REF!</v>
      </c>
      <c r="BJ123" t="e">
        <f>AND(NhatkyBan!#REF!,"AAAAAHPnVz0=")</f>
        <v>#REF!</v>
      </c>
      <c r="BK123" t="e">
        <f>AND(NhatkyBan!#REF!,"AAAAAHPnVz4=")</f>
        <v>#REF!</v>
      </c>
      <c r="BL123" t="e">
        <f>AND(NhatkyBan!#REF!,"AAAAAHPnVz8=")</f>
        <v>#REF!</v>
      </c>
      <c r="BM123" t="e">
        <f>AND(NhatkyBan!#REF!,"AAAAAHPnV0A=")</f>
        <v>#REF!</v>
      </c>
      <c r="BN123" t="e">
        <f>AND(NhatkyBan!#REF!,"AAAAAHPnV0E=")</f>
        <v>#REF!</v>
      </c>
      <c r="BO123" t="e">
        <f>AND(NhatkyBan!#REF!,"AAAAAHPnV0I=")</f>
        <v>#REF!</v>
      </c>
      <c r="BP123" t="e">
        <f>AND(NhatkyBan!#REF!,"AAAAAHPnV0M=")</f>
        <v>#REF!</v>
      </c>
      <c r="BQ123" t="e">
        <f>AND(NhatkyBan!#REF!,"AAAAAHPnV0Q=")</f>
        <v>#REF!</v>
      </c>
      <c r="BR123" t="e">
        <f>AND(NhatkyBan!#REF!,"AAAAAHPnV0U=")</f>
        <v>#REF!</v>
      </c>
      <c r="BS123" t="e">
        <f>AND(NhatkyBan!#REF!,"AAAAAHPnV0Y=")</f>
        <v>#REF!</v>
      </c>
      <c r="BT123" t="e">
        <f>AND(NhatkyBan!#REF!,"AAAAAHPnV0c=")</f>
        <v>#REF!</v>
      </c>
      <c r="BU123" t="e">
        <f>AND(NhatkyBan!#REF!,"AAAAAHPnV0g=")</f>
        <v>#REF!</v>
      </c>
      <c r="BV123" t="e">
        <f>IF(NhatkyBan!#REF!,"AAAAAHPnV0k=",0)</f>
        <v>#REF!</v>
      </c>
      <c r="BW123" t="e">
        <f>AND(NhatkyBan!#REF!,"AAAAAHPnV0o=")</f>
        <v>#REF!</v>
      </c>
      <c r="BX123" t="e">
        <f>AND(NhatkyBan!#REF!,"AAAAAHPnV0s=")</f>
        <v>#REF!</v>
      </c>
      <c r="BY123" t="e">
        <f>AND(NhatkyBan!#REF!,"AAAAAHPnV0w=")</f>
        <v>#REF!</v>
      </c>
      <c r="BZ123" t="e">
        <f>AND(NhatkyBan!#REF!,"AAAAAHPnV00=")</f>
        <v>#REF!</v>
      </c>
      <c r="CA123" t="e">
        <f>AND(NhatkyBan!#REF!,"AAAAAHPnV04=")</f>
        <v>#REF!</v>
      </c>
      <c r="CB123" t="e">
        <f>AND(NhatkyBan!#REF!,"AAAAAHPnV08=")</f>
        <v>#REF!</v>
      </c>
      <c r="CC123" t="e">
        <f>AND(NhatkyBan!#REF!,"AAAAAHPnV1A=")</f>
        <v>#REF!</v>
      </c>
      <c r="CD123" t="e">
        <f>AND(NhatkyBan!#REF!,"AAAAAHPnV1E=")</f>
        <v>#REF!</v>
      </c>
      <c r="CE123" t="e">
        <f>AND(NhatkyBan!#REF!,"AAAAAHPnV1I=")</f>
        <v>#REF!</v>
      </c>
      <c r="CF123" t="e">
        <f>AND(NhatkyBan!#REF!,"AAAAAHPnV1M=")</f>
        <v>#REF!</v>
      </c>
      <c r="CG123" t="e">
        <f>AND(NhatkyBan!#REF!,"AAAAAHPnV1Q=")</f>
        <v>#REF!</v>
      </c>
      <c r="CH123" t="e">
        <f>AND(NhatkyBan!#REF!,"AAAAAHPnV1U=")</f>
        <v>#REF!</v>
      </c>
      <c r="CI123" t="e">
        <f>AND(NhatkyBan!#REF!,"AAAAAHPnV1Y=")</f>
        <v>#REF!</v>
      </c>
      <c r="CJ123" t="e">
        <f>AND(NhatkyBan!#REF!,"AAAAAHPnV1c=")</f>
        <v>#REF!</v>
      </c>
      <c r="CK123" t="e">
        <f>AND(NhatkyBan!#REF!,"AAAAAHPnV1g=")</f>
        <v>#REF!</v>
      </c>
      <c r="CL123" t="e">
        <f>AND(NhatkyBan!#REF!,"AAAAAHPnV1k=")</f>
        <v>#REF!</v>
      </c>
      <c r="CM123" t="e">
        <f>AND(NhatkyBan!#REF!,"AAAAAHPnV1o=")</f>
        <v>#REF!</v>
      </c>
      <c r="CN123" t="e">
        <f>AND(NhatkyBan!#REF!,"AAAAAHPnV1s=")</f>
        <v>#REF!</v>
      </c>
      <c r="CO123" t="e">
        <f>AND(NhatkyBan!#REF!,"AAAAAHPnV1w=")</f>
        <v>#REF!</v>
      </c>
      <c r="CP123" t="e">
        <f>AND(NhatkyBan!#REF!,"AAAAAHPnV10=")</f>
        <v>#REF!</v>
      </c>
      <c r="CQ123" t="e">
        <f>AND(NhatkyBan!#REF!,"AAAAAHPnV14=")</f>
        <v>#REF!</v>
      </c>
      <c r="CR123" t="e">
        <f>AND(NhatkyBan!#REF!,"AAAAAHPnV18=")</f>
        <v>#REF!</v>
      </c>
      <c r="CS123" t="e">
        <f>AND(NhatkyBan!#REF!,"AAAAAHPnV2A=")</f>
        <v>#REF!</v>
      </c>
      <c r="CT123" t="e">
        <f>AND(NhatkyBan!#REF!,"AAAAAHPnV2E=")</f>
        <v>#REF!</v>
      </c>
      <c r="CU123" t="e">
        <f>AND(NhatkyBan!#REF!,"AAAAAHPnV2I=")</f>
        <v>#REF!</v>
      </c>
      <c r="CV123" t="e">
        <f>AND(NhatkyBan!#REF!,"AAAAAHPnV2M=")</f>
        <v>#REF!</v>
      </c>
      <c r="CW123" t="e">
        <f>AND(NhatkyBan!#REF!,"AAAAAHPnV2Q=")</f>
        <v>#REF!</v>
      </c>
      <c r="CX123" t="e">
        <f>AND(NhatkyBan!#REF!,"AAAAAHPnV2U=")</f>
        <v>#REF!</v>
      </c>
      <c r="CY123" t="e">
        <f>AND(NhatkyBan!#REF!,"AAAAAHPnV2Y=")</f>
        <v>#REF!</v>
      </c>
      <c r="CZ123" t="e">
        <f>AND(NhatkyBan!#REF!,"AAAAAHPnV2c=")</f>
        <v>#REF!</v>
      </c>
      <c r="DA123" t="e">
        <f>AND(NhatkyBan!#REF!,"AAAAAHPnV2g=")</f>
        <v>#REF!</v>
      </c>
      <c r="DB123" t="e">
        <f>AND(NhatkyBan!#REF!,"AAAAAHPnV2k=")</f>
        <v>#REF!</v>
      </c>
      <c r="DC123" t="e">
        <f>AND(NhatkyBan!#REF!,"AAAAAHPnV2o=")</f>
        <v>#REF!</v>
      </c>
      <c r="DD123" t="e">
        <f>AND(NhatkyBan!#REF!,"AAAAAHPnV2s=")</f>
        <v>#REF!</v>
      </c>
      <c r="DE123" t="e">
        <f>IF(NhatkyBan!#REF!,"AAAAAHPnV2w=",0)</f>
        <v>#REF!</v>
      </c>
      <c r="DF123" t="e">
        <f>AND(NhatkyBan!#REF!,"AAAAAHPnV20=")</f>
        <v>#REF!</v>
      </c>
      <c r="DG123" t="e">
        <f>AND(NhatkyBan!#REF!,"AAAAAHPnV24=")</f>
        <v>#REF!</v>
      </c>
      <c r="DH123" t="e">
        <f>AND(NhatkyBan!#REF!,"AAAAAHPnV28=")</f>
        <v>#REF!</v>
      </c>
      <c r="DI123" t="e">
        <f>AND(NhatkyBan!#REF!,"AAAAAHPnV3A=")</f>
        <v>#REF!</v>
      </c>
      <c r="DJ123" t="e">
        <f>AND(NhatkyBan!#REF!,"AAAAAHPnV3E=")</f>
        <v>#REF!</v>
      </c>
      <c r="DK123" t="e">
        <f>AND(NhatkyBan!#REF!,"AAAAAHPnV3I=")</f>
        <v>#REF!</v>
      </c>
      <c r="DL123" t="e">
        <f>AND(NhatkyBan!#REF!,"AAAAAHPnV3M=")</f>
        <v>#REF!</v>
      </c>
      <c r="DM123" t="e">
        <f>AND(NhatkyBan!#REF!,"AAAAAHPnV3Q=")</f>
        <v>#REF!</v>
      </c>
      <c r="DN123" t="e">
        <f>AND(NhatkyBan!#REF!,"AAAAAHPnV3U=")</f>
        <v>#REF!</v>
      </c>
      <c r="DO123" t="e">
        <f>AND(NhatkyBan!#REF!,"AAAAAHPnV3Y=")</f>
        <v>#REF!</v>
      </c>
      <c r="DP123" t="e">
        <f>AND(NhatkyBan!#REF!,"AAAAAHPnV3c=")</f>
        <v>#REF!</v>
      </c>
      <c r="DQ123" t="e">
        <f>AND(NhatkyBan!#REF!,"AAAAAHPnV3g=")</f>
        <v>#REF!</v>
      </c>
      <c r="DR123" t="e">
        <f>AND(NhatkyBan!#REF!,"AAAAAHPnV3k=")</f>
        <v>#REF!</v>
      </c>
      <c r="DS123" t="e">
        <f>AND(NhatkyBan!#REF!,"AAAAAHPnV3o=")</f>
        <v>#REF!</v>
      </c>
      <c r="DT123" t="e">
        <f>AND(NhatkyBan!#REF!,"AAAAAHPnV3s=")</f>
        <v>#REF!</v>
      </c>
      <c r="DU123" t="e">
        <f>AND(NhatkyBan!#REF!,"AAAAAHPnV3w=")</f>
        <v>#REF!</v>
      </c>
      <c r="DV123" t="e">
        <f>AND(NhatkyBan!#REF!,"AAAAAHPnV30=")</f>
        <v>#REF!</v>
      </c>
      <c r="DW123" t="e">
        <f>AND(NhatkyBan!#REF!,"AAAAAHPnV34=")</f>
        <v>#REF!</v>
      </c>
      <c r="DX123" t="e">
        <f>AND(NhatkyBan!#REF!,"AAAAAHPnV38=")</f>
        <v>#REF!</v>
      </c>
      <c r="DY123" t="e">
        <f>AND(NhatkyBan!#REF!,"AAAAAHPnV4A=")</f>
        <v>#REF!</v>
      </c>
      <c r="DZ123" t="e">
        <f>AND(NhatkyBan!#REF!,"AAAAAHPnV4E=")</f>
        <v>#REF!</v>
      </c>
      <c r="EA123" t="e">
        <f>AND(NhatkyBan!#REF!,"AAAAAHPnV4I=")</f>
        <v>#REF!</v>
      </c>
      <c r="EB123" t="e">
        <f>AND(NhatkyBan!#REF!,"AAAAAHPnV4M=")</f>
        <v>#REF!</v>
      </c>
      <c r="EC123" t="e">
        <f>AND(NhatkyBan!#REF!,"AAAAAHPnV4Q=")</f>
        <v>#REF!</v>
      </c>
      <c r="ED123" t="e">
        <f>AND(NhatkyBan!#REF!,"AAAAAHPnV4U=")</f>
        <v>#REF!</v>
      </c>
      <c r="EE123" t="e">
        <f>AND(NhatkyBan!#REF!,"AAAAAHPnV4Y=")</f>
        <v>#REF!</v>
      </c>
      <c r="EF123" t="e">
        <f>AND(NhatkyBan!#REF!,"AAAAAHPnV4c=")</f>
        <v>#REF!</v>
      </c>
      <c r="EG123" t="e">
        <f>AND(NhatkyBan!#REF!,"AAAAAHPnV4g=")</f>
        <v>#REF!</v>
      </c>
      <c r="EH123" t="e">
        <f>AND(NhatkyBan!#REF!,"AAAAAHPnV4k=")</f>
        <v>#REF!</v>
      </c>
      <c r="EI123" t="e">
        <f>AND(NhatkyBan!#REF!,"AAAAAHPnV4o=")</f>
        <v>#REF!</v>
      </c>
      <c r="EJ123" t="e">
        <f>AND(NhatkyBan!#REF!,"AAAAAHPnV4s=")</f>
        <v>#REF!</v>
      </c>
      <c r="EK123" t="e">
        <f>AND(NhatkyBan!#REF!,"AAAAAHPnV4w=")</f>
        <v>#REF!</v>
      </c>
      <c r="EL123" t="e">
        <f>AND(NhatkyBan!#REF!,"AAAAAHPnV40=")</f>
        <v>#REF!</v>
      </c>
      <c r="EM123" t="e">
        <f>AND(NhatkyBan!#REF!,"AAAAAHPnV44=")</f>
        <v>#REF!</v>
      </c>
      <c r="EN123" t="e">
        <f>IF(NhatkyBan!#REF!,"AAAAAHPnV48=",0)</f>
        <v>#REF!</v>
      </c>
      <c r="EO123" t="e">
        <f>AND(NhatkyBan!#REF!,"AAAAAHPnV5A=")</f>
        <v>#REF!</v>
      </c>
      <c r="EP123" t="e">
        <f>AND(NhatkyBan!#REF!,"AAAAAHPnV5E=")</f>
        <v>#REF!</v>
      </c>
      <c r="EQ123" t="e">
        <f>AND(NhatkyBan!#REF!,"AAAAAHPnV5I=")</f>
        <v>#REF!</v>
      </c>
      <c r="ER123" t="e">
        <f>AND(NhatkyBan!#REF!,"AAAAAHPnV5M=")</f>
        <v>#REF!</v>
      </c>
      <c r="ES123" t="e">
        <f>AND(NhatkyBan!#REF!,"AAAAAHPnV5Q=")</f>
        <v>#REF!</v>
      </c>
      <c r="ET123" t="e">
        <f>AND(NhatkyBan!#REF!,"AAAAAHPnV5U=")</f>
        <v>#REF!</v>
      </c>
      <c r="EU123" t="e">
        <f>AND(NhatkyBan!#REF!,"AAAAAHPnV5Y=")</f>
        <v>#REF!</v>
      </c>
      <c r="EV123" t="e">
        <f>AND(NhatkyBan!#REF!,"AAAAAHPnV5c=")</f>
        <v>#REF!</v>
      </c>
      <c r="EW123" t="e">
        <f>AND(NhatkyBan!#REF!,"AAAAAHPnV5g=")</f>
        <v>#REF!</v>
      </c>
      <c r="EX123" t="e">
        <f>AND(NhatkyBan!#REF!,"AAAAAHPnV5k=")</f>
        <v>#REF!</v>
      </c>
      <c r="EY123" t="e">
        <f>AND(NhatkyBan!#REF!,"AAAAAHPnV5o=")</f>
        <v>#REF!</v>
      </c>
      <c r="EZ123" t="e">
        <f>AND(NhatkyBan!#REF!,"AAAAAHPnV5s=")</f>
        <v>#REF!</v>
      </c>
      <c r="FA123" t="e">
        <f>AND(NhatkyBan!#REF!,"AAAAAHPnV5w=")</f>
        <v>#REF!</v>
      </c>
      <c r="FB123" t="e">
        <f>AND(NhatkyBan!#REF!,"AAAAAHPnV50=")</f>
        <v>#REF!</v>
      </c>
      <c r="FC123" t="e">
        <f>AND(NhatkyBan!#REF!,"AAAAAHPnV54=")</f>
        <v>#REF!</v>
      </c>
      <c r="FD123" t="e">
        <f>AND(NhatkyBan!#REF!,"AAAAAHPnV58=")</f>
        <v>#REF!</v>
      </c>
      <c r="FE123" t="e">
        <f>AND(NhatkyBan!#REF!,"AAAAAHPnV6A=")</f>
        <v>#REF!</v>
      </c>
      <c r="FF123" t="e">
        <f>AND(NhatkyBan!#REF!,"AAAAAHPnV6E=")</f>
        <v>#REF!</v>
      </c>
      <c r="FG123" t="e">
        <f>AND(NhatkyBan!#REF!,"AAAAAHPnV6I=")</f>
        <v>#REF!</v>
      </c>
      <c r="FH123" t="e">
        <f>AND(NhatkyBan!#REF!,"AAAAAHPnV6M=")</f>
        <v>#REF!</v>
      </c>
      <c r="FI123" t="e">
        <f>AND(NhatkyBan!#REF!,"AAAAAHPnV6Q=")</f>
        <v>#REF!</v>
      </c>
      <c r="FJ123" t="e">
        <f>AND(NhatkyBan!#REF!,"AAAAAHPnV6U=")</f>
        <v>#REF!</v>
      </c>
      <c r="FK123" t="e">
        <f>AND(NhatkyBan!#REF!,"AAAAAHPnV6Y=")</f>
        <v>#REF!</v>
      </c>
      <c r="FL123" t="e">
        <f>AND(NhatkyBan!#REF!,"AAAAAHPnV6c=")</f>
        <v>#REF!</v>
      </c>
      <c r="FM123" t="e">
        <f>AND(NhatkyBan!#REF!,"AAAAAHPnV6g=")</f>
        <v>#REF!</v>
      </c>
      <c r="FN123" t="e">
        <f>AND(NhatkyBan!#REF!,"AAAAAHPnV6k=")</f>
        <v>#REF!</v>
      </c>
      <c r="FO123" t="e">
        <f>AND(NhatkyBan!#REF!,"AAAAAHPnV6o=")</f>
        <v>#REF!</v>
      </c>
      <c r="FP123" t="e">
        <f>AND(NhatkyBan!#REF!,"AAAAAHPnV6s=")</f>
        <v>#REF!</v>
      </c>
      <c r="FQ123" t="e">
        <f>AND(NhatkyBan!#REF!,"AAAAAHPnV6w=")</f>
        <v>#REF!</v>
      </c>
      <c r="FR123" t="e">
        <f>AND(NhatkyBan!#REF!,"AAAAAHPnV60=")</f>
        <v>#REF!</v>
      </c>
      <c r="FS123" t="e">
        <f>AND(NhatkyBan!#REF!,"AAAAAHPnV64=")</f>
        <v>#REF!</v>
      </c>
      <c r="FT123" t="e">
        <f>AND(NhatkyBan!#REF!,"AAAAAHPnV68=")</f>
        <v>#REF!</v>
      </c>
      <c r="FU123" t="e">
        <f>AND(NhatkyBan!#REF!,"AAAAAHPnV7A=")</f>
        <v>#REF!</v>
      </c>
      <c r="FV123" t="e">
        <f>AND(NhatkyBan!#REF!,"AAAAAHPnV7E=")</f>
        <v>#REF!</v>
      </c>
      <c r="FW123" t="e">
        <f>IF(NhatkyBan!#REF!,"AAAAAHPnV7I=",0)</f>
        <v>#REF!</v>
      </c>
      <c r="FX123" t="e">
        <f>AND(NhatkyBan!#REF!,"AAAAAHPnV7M=")</f>
        <v>#REF!</v>
      </c>
      <c r="FY123" t="e">
        <f>AND(NhatkyBan!#REF!,"AAAAAHPnV7Q=")</f>
        <v>#REF!</v>
      </c>
      <c r="FZ123" t="e">
        <f>AND(NhatkyBan!#REF!,"AAAAAHPnV7U=")</f>
        <v>#REF!</v>
      </c>
      <c r="GA123" t="e">
        <f>AND(NhatkyBan!#REF!,"AAAAAHPnV7Y=")</f>
        <v>#REF!</v>
      </c>
      <c r="GB123" t="e">
        <f>AND(NhatkyBan!#REF!,"AAAAAHPnV7c=")</f>
        <v>#REF!</v>
      </c>
      <c r="GC123" t="e">
        <f>AND(NhatkyBan!#REF!,"AAAAAHPnV7g=")</f>
        <v>#REF!</v>
      </c>
      <c r="GD123" t="e">
        <f>AND(NhatkyBan!#REF!,"AAAAAHPnV7k=")</f>
        <v>#REF!</v>
      </c>
      <c r="GE123" t="e">
        <f>AND(NhatkyBan!#REF!,"AAAAAHPnV7o=")</f>
        <v>#REF!</v>
      </c>
      <c r="GF123" t="e">
        <f>AND(NhatkyBan!#REF!,"AAAAAHPnV7s=")</f>
        <v>#REF!</v>
      </c>
      <c r="GG123" t="e">
        <f>AND(NhatkyBan!#REF!,"AAAAAHPnV7w=")</f>
        <v>#REF!</v>
      </c>
      <c r="GH123" t="e">
        <f>AND(NhatkyBan!#REF!,"AAAAAHPnV70=")</f>
        <v>#REF!</v>
      </c>
      <c r="GI123" t="e">
        <f>AND(NhatkyBan!#REF!,"AAAAAHPnV74=")</f>
        <v>#REF!</v>
      </c>
      <c r="GJ123" t="e">
        <f>AND(NhatkyBan!#REF!,"AAAAAHPnV78=")</f>
        <v>#REF!</v>
      </c>
      <c r="GK123" t="e">
        <f>AND(NhatkyBan!#REF!,"AAAAAHPnV8A=")</f>
        <v>#REF!</v>
      </c>
      <c r="GL123" t="e">
        <f>AND(NhatkyBan!#REF!,"AAAAAHPnV8E=")</f>
        <v>#REF!</v>
      </c>
      <c r="GM123" t="e">
        <f>AND(NhatkyBan!#REF!,"AAAAAHPnV8I=")</f>
        <v>#REF!</v>
      </c>
      <c r="GN123" t="e">
        <f>AND(NhatkyBan!#REF!,"AAAAAHPnV8M=")</f>
        <v>#REF!</v>
      </c>
      <c r="GO123" t="e">
        <f>AND(NhatkyBan!#REF!,"AAAAAHPnV8Q=")</f>
        <v>#REF!</v>
      </c>
      <c r="GP123" t="e">
        <f>AND(NhatkyBan!#REF!,"AAAAAHPnV8U=")</f>
        <v>#REF!</v>
      </c>
      <c r="GQ123" t="e">
        <f>AND(NhatkyBan!#REF!,"AAAAAHPnV8Y=")</f>
        <v>#REF!</v>
      </c>
      <c r="GR123" t="e">
        <f>AND(NhatkyBan!#REF!,"AAAAAHPnV8c=")</f>
        <v>#REF!</v>
      </c>
      <c r="GS123" t="e">
        <f>AND(NhatkyBan!#REF!,"AAAAAHPnV8g=")</f>
        <v>#REF!</v>
      </c>
      <c r="GT123" t="e">
        <f>AND(NhatkyBan!#REF!,"AAAAAHPnV8k=")</f>
        <v>#REF!</v>
      </c>
      <c r="GU123" t="e">
        <f>AND(NhatkyBan!#REF!,"AAAAAHPnV8o=")</f>
        <v>#REF!</v>
      </c>
      <c r="GV123" t="e">
        <f>AND(NhatkyBan!#REF!,"AAAAAHPnV8s=")</f>
        <v>#REF!</v>
      </c>
      <c r="GW123" t="e">
        <f>AND(NhatkyBan!#REF!,"AAAAAHPnV8w=")</f>
        <v>#REF!</v>
      </c>
      <c r="GX123" t="e">
        <f>AND(NhatkyBan!#REF!,"AAAAAHPnV80=")</f>
        <v>#REF!</v>
      </c>
      <c r="GY123" t="e">
        <f>AND(NhatkyBan!#REF!,"AAAAAHPnV84=")</f>
        <v>#REF!</v>
      </c>
      <c r="GZ123" t="e">
        <f>AND(NhatkyBan!#REF!,"AAAAAHPnV88=")</f>
        <v>#REF!</v>
      </c>
      <c r="HA123" t="e">
        <f>AND(NhatkyBan!#REF!,"AAAAAHPnV9A=")</f>
        <v>#REF!</v>
      </c>
      <c r="HB123" t="e">
        <f>AND(NhatkyBan!#REF!,"AAAAAHPnV9E=")</f>
        <v>#REF!</v>
      </c>
      <c r="HC123" t="e">
        <f>AND(NhatkyBan!#REF!,"AAAAAHPnV9I=")</f>
        <v>#REF!</v>
      </c>
      <c r="HD123" t="e">
        <f>AND(NhatkyBan!#REF!,"AAAAAHPnV9M=")</f>
        <v>#REF!</v>
      </c>
      <c r="HE123" t="e">
        <f>AND(NhatkyBan!#REF!,"AAAAAHPnV9Q=")</f>
        <v>#REF!</v>
      </c>
      <c r="HF123" t="e">
        <f>IF(NhatkyBan!#REF!,"AAAAAHPnV9U=",0)</f>
        <v>#REF!</v>
      </c>
      <c r="HG123" t="e">
        <f>AND(NhatkyBan!#REF!,"AAAAAHPnV9Y=")</f>
        <v>#REF!</v>
      </c>
      <c r="HH123" t="e">
        <f>AND(NhatkyBan!#REF!,"AAAAAHPnV9c=")</f>
        <v>#REF!</v>
      </c>
      <c r="HI123" t="e">
        <f>AND(NhatkyBan!#REF!,"AAAAAHPnV9g=")</f>
        <v>#REF!</v>
      </c>
      <c r="HJ123" t="e">
        <f>AND(NhatkyBan!#REF!,"AAAAAHPnV9k=")</f>
        <v>#REF!</v>
      </c>
      <c r="HK123" t="e">
        <f>AND(NhatkyBan!#REF!,"AAAAAHPnV9o=")</f>
        <v>#REF!</v>
      </c>
      <c r="HL123" t="e">
        <f>AND(NhatkyBan!#REF!,"AAAAAHPnV9s=")</f>
        <v>#REF!</v>
      </c>
      <c r="HM123" t="e">
        <f>AND(NhatkyBan!#REF!,"AAAAAHPnV9w=")</f>
        <v>#REF!</v>
      </c>
      <c r="HN123" t="e">
        <f>AND(NhatkyBan!#REF!,"AAAAAHPnV90=")</f>
        <v>#REF!</v>
      </c>
      <c r="HO123" t="e">
        <f>AND(NhatkyBan!#REF!,"AAAAAHPnV94=")</f>
        <v>#REF!</v>
      </c>
      <c r="HP123" t="e">
        <f>AND(NhatkyBan!#REF!,"AAAAAHPnV98=")</f>
        <v>#REF!</v>
      </c>
      <c r="HQ123" t="e">
        <f>AND(NhatkyBan!#REF!,"AAAAAHPnV+A=")</f>
        <v>#REF!</v>
      </c>
      <c r="HR123" t="e">
        <f>AND(NhatkyBan!#REF!,"AAAAAHPnV+E=")</f>
        <v>#REF!</v>
      </c>
      <c r="HS123" t="e">
        <f>AND(NhatkyBan!#REF!,"AAAAAHPnV+I=")</f>
        <v>#REF!</v>
      </c>
      <c r="HT123" t="e">
        <f>AND(NhatkyBan!#REF!,"AAAAAHPnV+M=")</f>
        <v>#REF!</v>
      </c>
      <c r="HU123" t="e">
        <f>AND(NhatkyBan!#REF!,"AAAAAHPnV+Q=")</f>
        <v>#REF!</v>
      </c>
      <c r="HV123" t="e">
        <f>AND(NhatkyBan!#REF!,"AAAAAHPnV+U=")</f>
        <v>#REF!</v>
      </c>
      <c r="HW123" t="e">
        <f>AND(NhatkyBan!#REF!,"AAAAAHPnV+Y=")</f>
        <v>#REF!</v>
      </c>
      <c r="HX123" t="e">
        <f>AND(NhatkyBan!#REF!,"AAAAAHPnV+c=")</f>
        <v>#REF!</v>
      </c>
      <c r="HY123" t="e">
        <f>AND(NhatkyBan!#REF!,"AAAAAHPnV+g=")</f>
        <v>#REF!</v>
      </c>
      <c r="HZ123" t="e">
        <f>AND(NhatkyBan!#REF!,"AAAAAHPnV+k=")</f>
        <v>#REF!</v>
      </c>
      <c r="IA123" t="e">
        <f>AND(NhatkyBan!#REF!,"AAAAAHPnV+o=")</f>
        <v>#REF!</v>
      </c>
      <c r="IB123" t="e">
        <f>AND(NhatkyBan!#REF!,"AAAAAHPnV+s=")</f>
        <v>#REF!</v>
      </c>
      <c r="IC123" t="e">
        <f>AND(NhatkyBan!#REF!,"AAAAAHPnV+w=")</f>
        <v>#REF!</v>
      </c>
      <c r="ID123" t="e">
        <f>AND(NhatkyBan!#REF!,"AAAAAHPnV+0=")</f>
        <v>#REF!</v>
      </c>
      <c r="IE123" t="e">
        <f>AND(NhatkyBan!#REF!,"AAAAAHPnV+4=")</f>
        <v>#REF!</v>
      </c>
      <c r="IF123" t="e">
        <f>AND(NhatkyBan!#REF!,"AAAAAHPnV+8=")</f>
        <v>#REF!</v>
      </c>
      <c r="IG123" t="e">
        <f>AND(NhatkyBan!#REF!,"AAAAAHPnV/A=")</f>
        <v>#REF!</v>
      </c>
      <c r="IH123" t="e">
        <f>AND(NhatkyBan!#REF!,"AAAAAHPnV/E=")</f>
        <v>#REF!</v>
      </c>
      <c r="II123" t="e">
        <f>AND(NhatkyBan!#REF!,"AAAAAHPnV/I=")</f>
        <v>#REF!</v>
      </c>
      <c r="IJ123" t="e">
        <f>AND(NhatkyBan!#REF!,"AAAAAHPnV/M=")</f>
        <v>#REF!</v>
      </c>
      <c r="IK123" t="e">
        <f>AND(NhatkyBan!#REF!,"AAAAAHPnV/Q=")</f>
        <v>#REF!</v>
      </c>
      <c r="IL123" t="e">
        <f>AND(NhatkyBan!#REF!,"AAAAAHPnV/U=")</f>
        <v>#REF!</v>
      </c>
      <c r="IM123" t="e">
        <f>AND(NhatkyBan!#REF!,"AAAAAHPnV/Y=")</f>
        <v>#REF!</v>
      </c>
      <c r="IN123" t="e">
        <f>AND(NhatkyBan!#REF!,"AAAAAHPnV/c=")</f>
        <v>#REF!</v>
      </c>
      <c r="IO123" t="e">
        <f>IF(NhatkyBan!#REF!,"AAAAAHPnV/g=",0)</f>
        <v>#REF!</v>
      </c>
      <c r="IP123" t="e">
        <f>AND(NhatkyBan!#REF!,"AAAAAHPnV/k=")</f>
        <v>#REF!</v>
      </c>
      <c r="IQ123" t="e">
        <f>AND(NhatkyBan!#REF!,"AAAAAHPnV/o=")</f>
        <v>#REF!</v>
      </c>
      <c r="IR123" t="e">
        <f>AND(NhatkyBan!#REF!,"AAAAAHPnV/s=")</f>
        <v>#REF!</v>
      </c>
      <c r="IS123" t="e">
        <f>AND(NhatkyBan!#REF!,"AAAAAHPnV/w=")</f>
        <v>#REF!</v>
      </c>
      <c r="IT123" t="e">
        <f>AND(NhatkyBan!#REF!,"AAAAAHPnV/0=")</f>
        <v>#REF!</v>
      </c>
      <c r="IU123" t="e">
        <f>AND(NhatkyBan!#REF!,"AAAAAHPnV/4=")</f>
        <v>#REF!</v>
      </c>
      <c r="IV123" t="e">
        <f>AND(NhatkyBan!#REF!,"AAAAAHPnV/8=")</f>
        <v>#REF!</v>
      </c>
    </row>
    <row r="124" spans="1:256">
      <c r="A124" t="e">
        <f>AND(NhatkyBan!#REF!,"AAAAAC+/3wA=")</f>
        <v>#REF!</v>
      </c>
      <c r="B124" t="e">
        <f>AND(NhatkyBan!#REF!,"AAAAAC+/3wE=")</f>
        <v>#REF!</v>
      </c>
      <c r="C124" t="e">
        <f>AND(NhatkyBan!#REF!,"AAAAAC+/3wI=")</f>
        <v>#REF!</v>
      </c>
      <c r="D124" t="e">
        <f>AND(NhatkyBan!#REF!,"AAAAAC+/3wM=")</f>
        <v>#REF!</v>
      </c>
      <c r="E124" t="e">
        <f>AND(NhatkyBan!#REF!,"AAAAAC+/3wQ=")</f>
        <v>#REF!</v>
      </c>
      <c r="F124" t="e">
        <f>AND(NhatkyBan!#REF!,"AAAAAC+/3wU=")</f>
        <v>#REF!</v>
      </c>
      <c r="G124" t="e">
        <f>AND(NhatkyBan!#REF!,"AAAAAC+/3wY=")</f>
        <v>#REF!</v>
      </c>
      <c r="H124" t="e">
        <f>AND(NhatkyBan!#REF!,"AAAAAC+/3wc=")</f>
        <v>#REF!</v>
      </c>
      <c r="I124" t="e">
        <f>AND(NhatkyBan!#REF!,"AAAAAC+/3wg=")</f>
        <v>#REF!</v>
      </c>
      <c r="J124" t="e">
        <f>AND(NhatkyBan!#REF!,"AAAAAC+/3wk=")</f>
        <v>#REF!</v>
      </c>
      <c r="K124" t="e">
        <f>AND(NhatkyBan!#REF!,"AAAAAC+/3wo=")</f>
        <v>#REF!</v>
      </c>
      <c r="L124" t="e">
        <f>AND(NhatkyBan!#REF!,"AAAAAC+/3ws=")</f>
        <v>#REF!</v>
      </c>
      <c r="M124" t="e">
        <f>AND(NhatkyBan!#REF!,"AAAAAC+/3ww=")</f>
        <v>#REF!</v>
      </c>
      <c r="N124" t="e">
        <f>AND(NhatkyBan!#REF!,"AAAAAC+/3w0=")</f>
        <v>#REF!</v>
      </c>
      <c r="O124" t="e">
        <f>AND(NhatkyBan!#REF!,"AAAAAC+/3w4=")</f>
        <v>#REF!</v>
      </c>
      <c r="P124" t="e">
        <f>AND(NhatkyBan!#REF!,"AAAAAC+/3w8=")</f>
        <v>#REF!</v>
      </c>
      <c r="Q124" t="e">
        <f>AND(NhatkyBan!#REF!,"AAAAAC+/3xA=")</f>
        <v>#REF!</v>
      </c>
      <c r="R124" t="e">
        <f>AND(NhatkyBan!#REF!,"AAAAAC+/3xE=")</f>
        <v>#REF!</v>
      </c>
      <c r="S124" t="e">
        <f>AND(NhatkyBan!#REF!,"AAAAAC+/3xI=")</f>
        <v>#REF!</v>
      </c>
      <c r="T124" t="e">
        <f>AND(NhatkyBan!#REF!,"AAAAAC+/3xM=")</f>
        <v>#REF!</v>
      </c>
      <c r="U124" t="e">
        <f>AND(NhatkyBan!#REF!,"AAAAAC+/3xQ=")</f>
        <v>#REF!</v>
      </c>
      <c r="V124" t="e">
        <f>AND(NhatkyBan!#REF!,"AAAAAC+/3xU=")</f>
        <v>#REF!</v>
      </c>
      <c r="W124" t="e">
        <f>AND(NhatkyBan!#REF!,"AAAAAC+/3xY=")</f>
        <v>#REF!</v>
      </c>
      <c r="X124" t="e">
        <f>AND(NhatkyBan!#REF!,"AAAAAC+/3xc=")</f>
        <v>#REF!</v>
      </c>
      <c r="Y124" t="e">
        <f>AND(NhatkyBan!#REF!,"AAAAAC+/3xg=")</f>
        <v>#REF!</v>
      </c>
      <c r="Z124" t="e">
        <f>AND(NhatkyBan!#REF!,"AAAAAC+/3xk=")</f>
        <v>#REF!</v>
      </c>
      <c r="AA124" t="e">
        <f>AND(NhatkyBan!#REF!,"AAAAAC+/3xo=")</f>
        <v>#REF!</v>
      </c>
      <c r="AB124" t="e">
        <f>IF(NhatkyBan!#REF!,"AAAAAC+/3xs=",0)</f>
        <v>#REF!</v>
      </c>
      <c r="AC124" t="e">
        <f>AND(NhatkyBan!#REF!,"AAAAAC+/3xw=")</f>
        <v>#REF!</v>
      </c>
      <c r="AD124" t="e">
        <f>AND(NhatkyBan!#REF!,"AAAAAC+/3x0=")</f>
        <v>#REF!</v>
      </c>
      <c r="AE124" t="e">
        <f>AND(NhatkyBan!#REF!,"AAAAAC+/3x4=")</f>
        <v>#REF!</v>
      </c>
      <c r="AF124" t="e">
        <f>AND(NhatkyBan!#REF!,"AAAAAC+/3x8=")</f>
        <v>#REF!</v>
      </c>
      <c r="AG124" t="e">
        <f>AND(NhatkyBan!#REF!,"AAAAAC+/3yA=")</f>
        <v>#REF!</v>
      </c>
      <c r="AH124" t="e">
        <f>AND(NhatkyBan!#REF!,"AAAAAC+/3yE=")</f>
        <v>#REF!</v>
      </c>
      <c r="AI124" t="e">
        <f>AND(NhatkyBan!#REF!,"AAAAAC+/3yI=")</f>
        <v>#REF!</v>
      </c>
      <c r="AJ124" t="e">
        <f>AND(NhatkyBan!#REF!,"AAAAAC+/3yM=")</f>
        <v>#REF!</v>
      </c>
      <c r="AK124" t="e">
        <f>AND(NhatkyBan!#REF!,"AAAAAC+/3yQ=")</f>
        <v>#REF!</v>
      </c>
      <c r="AL124" t="e">
        <f>AND(NhatkyBan!#REF!,"AAAAAC+/3yU=")</f>
        <v>#REF!</v>
      </c>
      <c r="AM124" t="e">
        <f>AND(NhatkyBan!#REF!,"AAAAAC+/3yY=")</f>
        <v>#REF!</v>
      </c>
      <c r="AN124" t="e">
        <f>AND(NhatkyBan!#REF!,"AAAAAC+/3yc=")</f>
        <v>#REF!</v>
      </c>
      <c r="AO124" t="e">
        <f>AND(NhatkyBan!#REF!,"AAAAAC+/3yg=")</f>
        <v>#REF!</v>
      </c>
      <c r="AP124" t="e">
        <f>AND(NhatkyBan!#REF!,"AAAAAC+/3yk=")</f>
        <v>#REF!</v>
      </c>
      <c r="AQ124" t="e">
        <f>AND(NhatkyBan!#REF!,"AAAAAC+/3yo=")</f>
        <v>#REF!</v>
      </c>
      <c r="AR124" t="e">
        <f>AND(NhatkyBan!#REF!,"AAAAAC+/3ys=")</f>
        <v>#REF!</v>
      </c>
      <c r="AS124" t="e">
        <f>AND(NhatkyBan!#REF!,"AAAAAC+/3yw=")</f>
        <v>#REF!</v>
      </c>
      <c r="AT124" t="e">
        <f>AND(NhatkyBan!#REF!,"AAAAAC+/3y0=")</f>
        <v>#REF!</v>
      </c>
      <c r="AU124" t="e">
        <f>AND(NhatkyBan!#REF!,"AAAAAC+/3y4=")</f>
        <v>#REF!</v>
      </c>
      <c r="AV124" t="e">
        <f>AND(NhatkyBan!#REF!,"AAAAAC+/3y8=")</f>
        <v>#REF!</v>
      </c>
      <c r="AW124" t="e">
        <f>AND(NhatkyBan!#REF!,"AAAAAC+/3zA=")</f>
        <v>#REF!</v>
      </c>
      <c r="AX124" t="e">
        <f>AND(NhatkyBan!#REF!,"AAAAAC+/3zE=")</f>
        <v>#REF!</v>
      </c>
      <c r="AY124" t="e">
        <f>AND(NhatkyBan!#REF!,"AAAAAC+/3zI=")</f>
        <v>#REF!</v>
      </c>
      <c r="AZ124" t="e">
        <f>AND(NhatkyBan!#REF!,"AAAAAC+/3zM=")</f>
        <v>#REF!</v>
      </c>
      <c r="BA124" t="e">
        <f>AND(NhatkyBan!#REF!,"AAAAAC+/3zQ=")</f>
        <v>#REF!</v>
      </c>
      <c r="BB124" t="e">
        <f>AND(NhatkyBan!#REF!,"AAAAAC+/3zU=")</f>
        <v>#REF!</v>
      </c>
      <c r="BC124" t="e">
        <f>AND(NhatkyBan!#REF!,"AAAAAC+/3zY=")</f>
        <v>#REF!</v>
      </c>
      <c r="BD124" t="e">
        <f>AND(NhatkyBan!#REF!,"AAAAAC+/3zc=")</f>
        <v>#REF!</v>
      </c>
      <c r="BE124" t="e">
        <f>AND(NhatkyBan!#REF!,"AAAAAC+/3zg=")</f>
        <v>#REF!</v>
      </c>
      <c r="BF124" t="e">
        <f>AND(NhatkyBan!#REF!,"AAAAAC+/3zk=")</f>
        <v>#REF!</v>
      </c>
      <c r="BG124" t="e">
        <f>AND(NhatkyBan!#REF!,"AAAAAC+/3zo=")</f>
        <v>#REF!</v>
      </c>
      <c r="BH124" t="e">
        <f>AND(NhatkyBan!#REF!,"AAAAAC+/3zs=")</f>
        <v>#REF!</v>
      </c>
      <c r="BI124" t="e">
        <f>AND(NhatkyBan!#REF!,"AAAAAC+/3zw=")</f>
        <v>#REF!</v>
      </c>
      <c r="BJ124" t="e">
        <f>AND(NhatkyBan!#REF!,"AAAAAC+/3z0=")</f>
        <v>#REF!</v>
      </c>
      <c r="BK124" t="e">
        <f>IF(NhatkyBan!#REF!,"AAAAAC+/3z4=",0)</f>
        <v>#REF!</v>
      </c>
      <c r="BL124" t="e">
        <f>AND(NhatkyBan!#REF!,"AAAAAC+/3z8=")</f>
        <v>#REF!</v>
      </c>
      <c r="BM124" t="e">
        <f>AND(NhatkyBan!#REF!,"AAAAAC+/30A=")</f>
        <v>#REF!</v>
      </c>
      <c r="BN124" t="e">
        <f>AND(NhatkyBan!#REF!,"AAAAAC+/30E=")</f>
        <v>#REF!</v>
      </c>
      <c r="BO124" t="e">
        <f>AND(NhatkyBan!#REF!,"AAAAAC+/30I=")</f>
        <v>#REF!</v>
      </c>
      <c r="BP124" t="e">
        <f>AND(NhatkyBan!#REF!,"AAAAAC+/30M=")</f>
        <v>#REF!</v>
      </c>
      <c r="BQ124" t="e">
        <f>AND(NhatkyBan!#REF!,"AAAAAC+/30Q=")</f>
        <v>#REF!</v>
      </c>
      <c r="BR124" t="e">
        <f>AND(NhatkyBan!#REF!,"AAAAAC+/30U=")</f>
        <v>#REF!</v>
      </c>
      <c r="BS124" t="e">
        <f>AND(NhatkyBan!#REF!,"AAAAAC+/30Y=")</f>
        <v>#REF!</v>
      </c>
      <c r="BT124" t="e">
        <f>AND(NhatkyBan!#REF!,"AAAAAC+/30c=")</f>
        <v>#REF!</v>
      </c>
      <c r="BU124" t="e">
        <f>AND(NhatkyBan!#REF!,"AAAAAC+/30g=")</f>
        <v>#REF!</v>
      </c>
      <c r="BV124" t="e">
        <f>AND(NhatkyBan!#REF!,"AAAAAC+/30k=")</f>
        <v>#REF!</v>
      </c>
      <c r="BW124" t="e">
        <f>AND(NhatkyBan!#REF!,"AAAAAC+/30o=")</f>
        <v>#REF!</v>
      </c>
      <c r="BX124" t="e">
        <f>AND(NhatkyBan!#REF!,"AAAAAC+/30s=")</f>
        <v>#REF!</v>
      </c>
      <c r="BY124" t="e">
        <f>AND(NhatkyBan!#REF!,"AAAAAC+/30w=")</f>
        <v>#REF!</v>
      </c>
      <c r="BZ124" t="e">
        <f>AND(NhatkyBan!#REF!,"AAAAAC+/300=")</f>
        <v>#REF!</v>
      </c>
      <c r="CA124" t="e">
        <f>AND(NhatkyBan!#REF!,"AAAAAC+/304=")</f>
        <v>#REF!</v>
      </c>
      <c r="CB124" t="e">
        <f>AND(NhatkyBan!#REF!,"AAAAAC+/308=")</f>
        <v>#REF!</v>
      </c>
      <c r="CC124" t="e">
        <f>AND(NhatkyBan!#REF!,"AAAAAC+/31A=")</f>
        <v>#REF!</v>
      </c>
      <c r="CD124" t="e">
        <f>AND(NhatkyBan!#REF!,"AAAAAC+/31E=")</f>
        <v>#REF!</v>
      </c>
      <c r="CE124" t="e">
        <f>AND(NhatkyBan!#REF!,"AAAAAC+/31I=")</f>
        <v>#REF!</v>
      </c>
      <c r="CF124" t="e">
        <f>AND(NhatkyBan!#REF!,"AAAAAC+/31M=")</f>
        <v>#REF!</v>
      </c>
      <c r="CG124" t="e">
        <f>AND(NhatkyBan!#REF!,"AAAAAC+/31Q=")</f>
        <v>#REF!</v>
      </c>
      <c r="CH124" t="e">
        <f>AND(NhatkyBan!#REF!,"AAAAAC+/31U=")</f>
        <v>#REF!</v>
      </c>
      <c r="CI124" t="e">
        <f>AND(NhatkyBan!#REF!,"AAAAAC+/31Y=")</f>
        <v>#REF!</v>
      </c>
      <c r="CJ124" t="e">
        <f>AND(NhatkyBan!#REF!,"AAAAAC+/31c=")</f>
        <v>#REF!</v>
      </c>
      <c r="CK124" t="e">
        <f>AND(NhatkyBan!#REF!,"AAAAAC+/31g=")</f>
        <v>#REF!</v>
      </c>
      <c r="CL124" t="e">
        <f>AND(NhatkyBan!#REF!,"AAAAAC+/31k=")</f>
        <v>#REF!</v>
      </c>
      <c r="CM124" t="e">
        <f>AND(NhatkyBan!#REF!,"AAAAAC+/31o=")</f>
        <v>#REF!</v>
      </c>
      <c r="CN124" t="e">
        <f>AND(NhatkyBan!#REF!,"AAAAAC+/31s=")</f>
        <v>#REF!</v>
      </c>
      <c r="CO124" t="e">
        <f>AND(NhatkyBan!#REF!,"AAAAAC+/31w=")</f>
        <v>#REF!</v>
      </c>
      <c r="CP124" t="e">
        <f>AND(NhatkyBan!#REF!,"AAAAAC+/310=")</f>
        <v>#REF!</v>
      </c>
      <c r="CQ124" t="e">
        <f>AND(NhatkyBan!#REF!,"AAAAAC+/314=")</f>
        <v>#REF!</v>
      </c>
      <c r="CR124" t="e">
        <f>AND(NhatkyBan!#REF!,"AAAAAC+/318=")</f>
        <v>#REF!</v>
      </c>
      <c r="CS124" t="e">
        <f>AND(NhatkyBan!#REF!,"AAAAAC+/32A=")</f>
        <v>#REF!</v>
      </c>
      <c r="CT124" t="e">
        <f>IF(NhatkyBan!#REF!,"AAAAAC+/32E=",0)</f>
        <v>#REF!</v>
      </c>
      <c r="CU124" t="e">
        <f>AND(NhatkyBan!#REF!,"AAAAAC+/32I=")</f>
        <v>#REF!</v>
      </c>
      <c r="CV124" t="e">
        <f>AND(NhatkyBan!#REF!,"AAAAAC+/32M=")</f>
        <v>#REF!</v>
      </c>
      <c r="CW124" t="e">
        <f>AND(NhatkyBan!#REF!,"AAAAAC+/32Q=")</f>
        <v>#REF!</v>
      </c>
      <c r="CX124" t="e">
        <f>AND(NhatkyBan!#REF!,"AAAAAC+/32U=")</f>
        <v>#REF!</v>
      </c>
      <c r="CY124" t="e">
        <f>AND(NhatkyBan!#REF!,"AAAAAC+/32Y=")</f>
        <v>#REF!</v>
      </c>
      <c r="CZ124" t="e">
        <f>AND(NhatkyBan!#REF!,"AAAAAC+/32c=")</f>
        <v>#REF!</v>
      </c>
      <c r="DA124" t="e">
        <f>AND(NhatkyBan!#REF!,"AAAAAC+/32g=")</f>
        <v>#REF!</v>
      </c>
      <c r="DB124" t="e">
        <f>AND(NhatkyBan!#REF!,"AAAAAC+/32k=")</f>
        <v>#REF!</v>
      </c>
      <c r="DC124" t="e">
        <f>AND(NhatkyBan!#REF!,"AAAAAC+/32o=")</f>
        <v>#REF!</v>
      </c>
      <c r="DD124" t="e">
        <f>AND(NhatkyBan!#REF!,"AAAAAC+/32s=")</f>
        <v>#REF!</v>
      </c>
      <c r="DE124" t="e">
        <f>AND(NhatkyBan!#REF!,"AAAAAC+/32w=")</f>
        <v>#REF!</v>
      </c>
      <c r="DF124" t="e">
        <f>AND(NhatkyBan!#REF!,"AAAAAC+/320=")</f>
        <v>#REF!</v>
      </c>
      <c r="DG124" t="e">
        <f>AND(NhatkyBan!#REF!,"AAAAAC+/324=")</f>
        <v>#REF!</v>
      </c>
      <c r="DH124" t="e">
        <f>AND(NhatkyBan!#REF!,"AAAAAC+/328=")</f>
        <v>#REF!</v>
      </c>
      <c r="DI124" t="e">
        <f>AND(NhatkyBan!#REF!,"AAAAAC+/33A=")</f>
        <v>#REF!</v>
      </c>
      <c r="DJ124" t="e">
        <f>AND(NhatkyBan!#REF!,"AAAAAC+/33E=")</f>
        <v>#REF!</v>
      </c>
      <c r="DK124" t="e">
        <f>AND(NhatkyBan!#REF!,"AAAAAC+/33I=")</f>
        <v>#REF!</v>
      </c>
      <c r="DL124" t="e">
        <f>AND(NhatkyBan!#REF!,"AAAAAC+/33M=")</f>
        <v>#REF!</v>
      </c>
      <c r="DM124" t="e">
        <f>AND(NhatkyBan!#REF!,"AAAAAC+/33Q=")</f>
        <v>#REF!</v>
      </c>
      <c r="DN124" t="e">
        <f>AND(NhatkyBan!#REF!,"AAAAAC+/33U=")</f>
        <v>#REF!</v>
      </c>
      <c r="DO124" t="e">
        <f>AND(NhatkyBan!#REF!,"AAAAAC+/33Y=")</f>
        <v>#REF!</v>
      </c>
      <c r="DP124" t="e">
        <f>AND(NhatkyBan!#REF!,"AAAAAC+/33c=")</f>
        <v>#REF!</v>
      </c>
      <c r="DQ124" t="e">
        <f>AND(NhatkyBan!#REF!,"AAAAAC+/33g=")</f>
        <v>#REF!</v>
      </c>
      <c r="DR124" t="e">
        <f>AND(NhatkyBan!#REF!,"AAAAAC+/33k=")</f>
        <v>#REF!</v>
      </c>
      <c r="DS124" t="e">
        <f>AND(NhatkyBan!#REF!,"AAAAAC+/33o=")</f>
        <v>#REF!</v>
      </c>
      <c r="DT124" t="e">
        <f>AND(NhatkyBan!#REF!,"AAAAAC+/33s=")</f>
        <v>#REF!</v>
      </c>
      <c r="DU124" t="e">
        <f>AND(NhatkyBan!#REF!,"AAAAAC+/33w=")</f>
        <v>#REF!</v>
      </c>
      <c r="DV124" t="e">
        <f>AND(NhatkyBan!#REF!,"AAAAAC+/330=")</f>
        <v>#REF!</v>
      </c>
      <c r="DW124" t="e">
        <f>AND(NhatkyBan!#REF!,"AAAAAC+/334=")</f>
        <v>#REF!</v>
      </c>
      <c r="DX124" t="e">
        <f>AND(NhatkyBan!#REF!,"AAAAAC+/338=")</f>
        <v>#REF!</v>
      </c>
      <c r="DY124" t="e">
        <f>AND(NhatkyBan!#REF!,"AAAAAC+/34A=")</f>
        <v>#REF!</v>
      </c>
      <c r="DZ124" t="e">
        <f>AND(NhatkyBan!#REF!,"AAAAAC+/34E=")</f>
        <v>#REF!</v>
      </c>
      <c r="EA124" t="e">
        <f>AND(NhatkyBan!#REF!,"AAAAAC+/34I=")</f>
        <v>#REF!</v>
      </c>
      <c r="EB124" t="e">
        <f>AND(NhatkyBan!#REF!,"AAAAAC+/34M=")</f>
        <v>#REF!</v>
      </c>
      <c r="EC124" t="e">
        <f>IF(NhatkyBan!#REF!,"AAAAAC+/34Q=",0)</f>
        <v>#REF!</v>
      </c>
      <c r="ED124" t="e">
        <f>AND(NhatkyBan!#REF!,"AAAAAC+/34U=")</f>
        <v>#REF!</v>
      </c>
      <c r="EE124" t="e">
        <f>AND(NhatkyBan!#REF!,"AAAAAC+/34Y=")</f>
        <v>#REF!</v>
      </c>
      <c r="EF124" t="e">
        <f>AND(NhatkyBan!#REF!,"AAAAAC+/34c=")</f>
        <v>#REF!</v>
      </c>
      <c r="EG124" t="e">
        <f>AND(NhatkyBan!#REF!,"AAAAAC+/34g=")</f>
        <v>#REF!</v>
      </c>
      <c r="EH124" t="e">
        <f>AND(NhatkyBan!#REF!,"AAAAAC+/34k=")</f>
        <v>#REF!</v>
      </c>
      <c r="EI124" t="e">
        <f>AND(NhatkyBan!#REF!,"AAAAAC+/34o=")</f>
        <v>#REF!</v>
      </c>
      <c r="EJ124" t="e">
        <f>AND(NhatkyBan!#REF!,"AAAAAC+/34s=")</f>
        <v>#REF!</v>
      </c>
      <c r="EK124" t="e">
        <f>AND(NhatkyBan!#REF!,"AAAAAC+/34w=")</f>
        <v>#REF!</v>
      </c>
      <c r="EL124" t="e">
        <f>AND(NhatkyBan!#REF!,"AAAAAC+/340=")</f>
        <v>#REF!</v>
      </c>
      <c r="EM124" t="e">
        <f>AND(NhatkyBan!#REF!,"AAAAAC+/344=")</f>
        <v>#REF!</v>
      </c>
      <c r="EN124" t="e">
        <f>AND(NhatkyBan!#REF!,"AAAAAC+/348=")</f>
        <v>#REF!</v>
      </c>
      <c r="EO124" t="e">
        <f>AND(NhatkyBan!#REF!,"AAAAAC+/35A=")</f>
        <v>#REF!</v>
      </c>
      <c r="EP124" t="e">
        <f>AND(NhatkyBan!#REF!,"AAAAAC+/35E=")</f>
        <v>#REF!</v>
      </c>
      <c r="EQ124" t="e">
        <f>AND(NhatkyBan!#REF!,"AAAAAC+/35I=")</f>
        <v>#REF!</v>
      </c>
      <c r="ER124" t="e">
        <f>AND(NhatkyBan!#REF!,"AAAAAC+/35M=")</f>
        <v>#REF!</v>
      </c>
      <c r="ES124" t="e">
        <f>AND(NhatkyBan!#REF!,"AAAAAC+/35Q=")</f>
        <v>#REF!</v>
      </c>
      <c r="ET124" t="e">
        <f>AND(NhatkyBan!#REF!,"AAAAAC+/35U=")</f>
        <v>#REF!</v>
      </c>
      <c r="EU124" t="e">
        <f>AND(NhatkyBan!#REF!,"AAAAAC+/35Y=")</f>
        <v>#REF!</v>
      </c>
      <c r="EV124" t="e">
        <f>AND(NhatkyBan!#REF!,"AAAAAC+/35c=")</f>
        <v>#REF!</v>
      </c>
      <c r="EW124" t="e">
        <f>AND(NhatkyBan!#REF!,"AAAAAC+/35g=")</f>
        <v>#REF!</v>
      </c>
      <c r="EX124" t="e">
        <f>AND(NhatkyBan!#REF!,"AAAAAC+/35k=")</f>
        <v>#REF!</v>
      </c>
      <c r="EY124" t="e">
        <f>AND(NhatkyBan!#REF!,"AAAAAC+/35o=")</f>
        <v>#REF!</v>
      </c>
      <c r="EZ124" t="e">
        <f>AND(NhatkyBan!#REF!,"AAAAAC+/35s=")</f>
        <v>#REF!</v>
      </c>
      <c r="FA124" t="e">
        <f>AND(NhatkyBan!#REF!,"AAAAAC+/35w=")</f>
        <v>#REF!</v>
      </c>
      <c r="FB124" t="e">
        <f>AND(NhatkyBan!#REF!,"AAAAAC+/350=")</f>
        <v>#REF!</v>
      </c>
      <c r="FC124" t="e">
        <f>AND(NhatkyBan!#REF!,"AAAAAC+/354=")</f>
        <v>#REF!</v>
      </c>
      <c r="FD124" t="e">
        <f>AND(NhatkyBan!#REF!,"AAAAAC+/358=")</f>
        <v>#REF!</v>
      </c>
      <c r="FE124" t="e">
        <f>AND(NhatkyBan!#REF!,"AAAAAC+/36A=")</f>
        <v>#REF!</v>
      </c>
      <c r="FF124" t="e">
        <f>AND(NhatkyBan!#REF!,"AAAAAC+/36E=")</f>
        <v>#REF!</v>
      </c>
      <c r="FG124" t="e">
        <f>AND(NhatkyBan!#REF!,"AAAAAC+/36I=")</f>
        <v>#REF!</v>
      </c>
      <c r="FH124" t="e">
        <f>AND(NhatkyBan!#REF!,"AAAAAC+/36M=")</f>
        <v>#REF!</v>
      </c>
      <c r="FI124" t="e">
        <f>AND(NhatkyBan!#REF!,"AAAAAC+/36Q=")</f>
        <v>#REF!</v>
      </c>
      <c r="FJ124" t="e">
        <f>AND(NhatkyBan!#REF!,"AAAAAC+/36U=")</f>
        <v>#REF!</v>
      </c>
      <c r="FK124" t="e">
        <f>AND(NhatkyBan!#REF!,"AAAAAC+/36Y=")</f>
        <v>#REF!</v>
      </c>
      <c r="FL124" t="e">
        <f>IF(NhatkyBan!#REF!,"AAAAAC+/36c=",0)</f>
        <v>#REF!</v>
      </c>
      <c r="FM124" t="e">
        <f>AND(NhatkyBan!#REF!,"AAAAAC+/36g=")</f>
        <v>#REF!</v>
      </c>
      <c r="FN124" t="e">
        <f>AND(NhatkyBan!#REF!,"AAAAAC+/36k=")</f>
        <v>#REF!</v>
      </c>
      <c r="FO124" t="e">
        <f>AND(NhatkyBan!#REF!,"AAAAAC+/36o=")</f>
        <v>#REF!</v>
      </c>
      <c r="FP124" t="e">
        <f>AND(NhatkyBan!#REF!,"AAAAAC+/36s=")</f>
        <v>#REF!</v>
      </c>
      <c r="FQ124" t="e">
        <f>AND(NhatkyBan!#REF!,"AAAAAC+/36w=")</f>
        <v>#REF!</v>
      </c>
      <c r="FR124" t="e">
        <f>AND(NhatkyBan!#REF!,"AAAAAC+/360=")</f>
        <v>#REF!</v>
      </c>
      <c r="FS124" t="e">
        <f>AND(NhatkyBan!#REF!,"AAAAAC+/364=")</f>
        <v>#REF!</v>
      </c>
      <c r="FT124" t="e">
        <f>AND(NhatkyBan!#REF!,"AAAAAC+/368=")</f>
        <v>#REF!</v>
      </c>
      <c r="FU124" t="e">
        <f>AND(NhatkyBan!#REF!,"AAAAAC+/37A=")</f>
        <v>#REF!</v>
      </c>
      <c r="FV124" t="e">
        <f>AND(NhatkyBan!#REF!,"AAAAAC+/37E=")</f>
        <v>#REF!</v>
      </c>
      <c r="FW124" t="e">
        <f>AND(NhatkyBan!#REF!,"AAAAAC+/37I=")</f>
        <v>#REF!</v>
      </c>
      <c r="FX124" t="e">
        <f>AND(NhatkyBan!#REF!,"AAAAAC+/37M=")</f>
        <v>#REF!</v>
      </c>
      <c r="FY124" t="e">
        <f>AND(NhatkyBan!#REF!,"AAAAAC+/37Q=")</f>
        <v>#REF!</v>
      </c>
      <c r="FZ124" t="e">
        <f>AND(NhatkyBan!#REF!,"AAAAAC+/37U=")</f>
        <v>#REF!</v>
      </c>
      <c r="GA124" t="e">
        <f>AND(NhatkyBan!#REF!,"AAAAAC+/37Y=")</f>
        <v>#REF!</v>
      </c>
      <c r="GB124" t="e">
        <f>AND(NhatkyBan!#REF!,"AAAAAC+/37c=")</f>
        <v>#REF!</v>
      </c>
      <c r="GC124" t="e">
        <f>AND(NhatkyBan!#REF!,"AAAAAC+/37g=")</f>
        <v>#REF!</v>
      </c>
      <c r="GD124" t="e">
        <f>AND(NhatkyBan!#REF!,"AAAAAC+/37k=")</f>
        <v>#REF!</v>
      </c>
      <c r="GE124" t="e">
        <f>AND(NhatkyBan!#REF!,"AAAAAC+/37o=")</f>
        <v>#REF!</v>
      </c>
      <c r="GF124" t="e">
        <f>AND(NhatkyBan!#REF!,"AAAAAC+/37s=")</f>
        <v>#REF!</v>
      </c>
      <c r="GG124" t="e">
        <f>AND(NhatkyBan!#REF!,"AAAAAC+/37w=")</f>
        <v>#REF!</v>
      </c>
      <c r="GH124" t="e">
        <f>AND(NhatkyBan!#REF!,"AAAAAC+/370=")</f>
        <v>#REF!</v>
      </c>
      <c r="GI124" t="e">
        <f>AND(NhatkyBan!#REF!,"AAAAAC+/374=")</f>
        <v>#REF!</v>
      </c>
      <c r="GJ124" t="e">
        <f>AND(NhatkyBan!#REF!,"AAAAAC+/378=")</f>
        <v>#REF!</v>
      </c>
      <c r="GK124" t="e">
        <f>AND(NhatkyBan!#REF!,"AAAAAC+/38A=")</f>
        <v>#REF!</v>
      </c>
      <c r="GL124" t="e">
        <f>AND(NhatkyBan!#REF!,"AAAAAC+/38E=")</f>
        <v>#REF!</v>
      </c>
      <c r="GM124" t="e">
        <f>AND(NhatkyBan!#REF!,"AAAAAC+/38I=")</f>
        <v>#REF!</v>
      </c>
      <c r="GN124" t="e">
        <f>AND(NhatkyBan!#REF!,"AAAAAC+/38M=")</f>
        <v>#REF!</v>
      </c>
      <c r="GO124" t="e">
        <f>AND(NhatkyBan!#REF!,"AAAAAC+/38Q=")</f>
        <v>#REF!</v>
      </c>
      <c r="GP124" t="e">
        <f>AND(NhatkyBan!#REF!,"AAAAAC+/38U=")</f>
        <v>#REF!</v>
      </c>
      <c r="GQ124" t="e">
        <f>AND(NhatkyBan!#REF!,"AAAAAC+/38Y=")</f>
        <v>#REF!</v>
      </c>
      <c r="GR124" t="e">
        <f>AND(NhatkyBan!#REF!,"AAAAAC+/38c=")</f>
        <v>#REF!</v>
      </c>
      <c r="GS124" t="e">
        <f>AND(NhatkyBan!#REF!,"AAAAAC+/38g=")</f>
        <v>#REF!</v>
      </c>
      <c r="GT124" t="e">
        <f>AND(NhatkyBan!#REF!,"AAAAAC+/38k=")</f>
        <v>#REF!</v>
      </c>
      <c r="GU124" t="e">
        <f>IF(NhatkyBan!#REF!,"AAAAAC+/38o=",0)</f>
        <v>#REF!</v>
      </c>
      <c r="GV124" t="e">
        <f>AND(NhatkyBan!#REF!,"AAAAAC+/38s=")</f>
        <v>#REF!</v>
      </c>
      <c r="GW124" t="e">
        <f>AND(NhatkyBan!#REF!,"AAAAAC+/38w=")</f>
        <v>#REF!</v>
      </c>
      <c r="GX124" t="e">
        <f>AND(NhatkyBan!#REF!,"AAAAAC+/380=")</f>
        <v>#REF!</v>
      </c>
      <c r="GY124" t="e">
        <f>AND(NhatkyBan!#REF!,"AAAAAC+/384=")</f>
        <v>#REF!</v>
      </c>
      <c r="GZ124" t="e">
        <f>AND(NhatkyBan!#REF!,"AAAAAC+/388=")</f>
        <v>#REF!</v>
      </c>
      <c r="HA124" t="e">
        <f>AND(NhatkyBan!#REF!,"AAAAAC+/39A=")</f>
        <v>#REF!</v>
      </c>
      <c r="HB124" t="e">
        <f>AND(NhatkyBan!#REF!,"AAAAAC+/39E=")</f>
        <v>#REF!</v>
      </c>
      <c r="HC124" t="e">
        <f>AND(NhatkyBan!#REF!,"AAAAAC+/39I=")</f>
        <v>#REF!</v>
      </c>
      <c r="HD124" t="e">
        <f>AND(NhatkyBan!#REF!,"AAAAAC+/39M=")</f>
        <v>#REF!</v>
      </c>
      <c r="HE124" t="e">
        <f>AND(NhatkyBan!#REF!,"AAAAAC+/39Q=")</f>
        <v>#REF!</v>
      </c>
      <c r="HF124" t="e">
        <f>AND(NhatkyBan!#REF!,"AAAAAC+/39U=")</f>
        <v>#REF!</v>
      </c>
      <c r="HG124" t="e">
        <f>AND(NhatkyBan!#REF!,"AAAAAC+/39Y=")</f>
        <v>#REF!</v>
      </c>
      <c r="HH124" t="e">
        <f>AND(NhatkyBan!#REF!,"AAAAAC+/39c=")</f>
        <v>#REF!</v>
      </c>
      <c r="HI124" t="e">
        <f>AND(NhatkyBan!#REF!,"AAAAAC+/39g=")</f>
        <v>#REF!</v>
      </c>
      <c r="HJ124" t="e">
        <f>AND(NhatkyBan!#REF!,"AAAAAC+/39k=")</f>
        <v>#REF!</v>
      </c>
      <c r="HK124" t="e">
        <f>AND(NhatkyBan!#REF!,"AAAAAC+/39o=")</f>
        <v>#REF!</v>
      </c>
      <c r="HL124" t="e">
        <f>AND(NhatkyBan!#REF!,"AAAAAC+/39s=")</f>
        <v>#REF!</v>
      </c>
      <c r="HM124" t="e">
        <f>AND(NhatkyBan!#REF!,"AAAAAC+/39w=")</f>
        <v>#REF!</v>
      </c>
      <c r="HN124" t="e">
        <f>AND(NhatkyBan!#REF!,"AAAAAC+/390=")</f>
        <v>#REF!</v>
      </c>
      <c r="HO124" t="e">
        <f>AND(NhatkyBan!#REF!,"AAAAAC+/394=")</f>
        <v>#REF!</v>
      </c>
      <c r="HP124" t="e">
        <f>AND(NhatkyBan!#REF!,"AAAAAC+/398=")</f>
        <v>#REF!</v>
      </c>
      <c r="HQ124" t="e">
        <f>AND(NhatkyBan!#REF!,"AAAAAC+/3+A=")</f>
        <v>#REF!</v>
      </c>
      <c r="HR124" t="e">
        <f>AND(NhatkyBan!#REF!,"AAAAAC+/3+E=")</f>
        <v>#REF!</v>
      </c>
      <c r="HS124" t="e">
        <f>AND(NhatkyBan!#REF!,"AAAAAC+/3+I=")</f>
        <v>#REF!</v>
      </c>
      <c r="HT124" t="e">
        <f>AND(NhatkyBan!#REF!,"AAAAAC+/3+M=")</f>
        <v>#REF!</v>
      </c>
      <c r="HU124" t="e">
        <f>AND(NhatkyBan!#REF!,"AAAAAC+/3+Q=")</f>
        <v>#REF!</v>
      </c>
      <c r="HV124" t="e">
        <f>AND(NhatkyBan!#REF!,"AAAAAC+/3+U=")</f>
        <v>#REF!</v>
      </c>
      <c r="HW124" t="e">
        <f>AND(NhatkyBan!#REF!,"AAAAAC+/3+Y=")</f>
        <v>#REF!</v>
      </c>
      <c r="HX124" t="e">
        <f>AND(NhatkyBan!#REF!,"AAAAAC+/3+c=")</f>
        <v>#REF!</v>
      </c>
      <c r="HY124" t="e">
        <f>AND(NhatkyBan!#REF!,"AAAAAC+/3+g=")</f>
        <v>#REF!</v>
      </c>
      <c r="HZ124" t="e">
        <f>AND(NhatkyBan!#REF!,"AAAAAC+/3+k=")</f>
        <v>#REF!</v>
      </c>
      <c r="IA124" t="e">
        <f>AND(NhatkyBan!#REF!,"AAAAAC+/3+o=")</f>
        <v>#REF!</v>
      </c>
      <c r="IB124" t="e">
        <f>AND(NhatkyBan!#REF!,"AAAAAC+/3+s=")</f>
        <v>#REF!</v>
      </c>
      <c r="IC124" t="e">
        <f>AND(NhatkyBan!#REF!,"AAAAAC+/3+w=")</f>
        <v>#REF!</v>
      </c>
      <c r="ID124" t="e">
        <f>IF(NhatkyBan!#REF!,"AAAAAC+/3+0=",0)</f>
        <v>#REF!</v>
      </c>
      <c r="IE124" t="e">
        <f>AND(NhatkyBan!#REF!,"AAAAAC+/3+4=")</f>
        <v>#REF!</v>
      </c>
      <c r="IF124" t="e">
        <f>AND(NhatkyBan!#REF!,"AAAAAC+/3+8=")</f>
        <v>#REF!</v>
      </c>
      <c r="IG124" t="e">
        <f>AND(NhatkyBan!#REF!,"AAAAAC+/3/A=")</f>
        <v>#REF!</v>
      </c>
      <c r="IH124" t="e">
        <f>AND(NhatkyBan!#REF!,"AAAAAC+/3/E=")</f>
        <v>#REF!</v>
      </c>
      <c r="II124" t="e">
        <f>AND(NhatkyBan!#REF!,"AAAAAC+/3/I=")</f>
        <v>#REF!</v>
      </c>
      <c r="IJ124" t="e">
        <f>AND(NhatkyBan!#REF!,"AAAAAC+/3/M=")</f>
        <v>#REF!</v>
      </c>
      <c r="IK124" t="e">
        <f>AND(NhatkyBan!#REF!,"AAAAAC+/3/Q=")</f>
        <v>#REF!</v>
      </c>
      <c r="IL124" t="e">
        <f>AND(NhatkyBan!#REF!,"AAAAAC+/3/U=")</f>
        <v>#REF!</v>
      </c>
      <c r="IM124" t="e">
        <f>AND(NhatkyBan!#REF!,"AAAAAC+/3/Y=")</f>
        <v>#REF!</v>
      </c>
      <c r="IN124" t="e">
        <f>AND(NhatkyBan!#REF!,"AAAAAC+/3/c=")</f>
        <v>#REF!</v>
      </c>
      <c r="IO124" t="e">
        <f>AND(NhatkyBan!#REF!,"AAAAAC+/3/g=")</f>
        <v>#REF!</v>
      </c>
      <c r="IP124" t="e">
        <f>AND(NhatkyBan!#REF!,"AAAAAC+/3/k=")</f>
        <v>#REF!</v>
      </c>
      <c r="IQ124" t="e">
        <f>AND(NhatkyBan!#REF!,"AAAAAC+/3/o=")</f>
        <v>#REF!</v>
      </c>
      <c r="IR124" t="e">
        <f>AND(NhatkyBan!#REF!,"AAAAAC+/3/s=")</f>
        <v>#REF!</v>
      </c>
      <c r="IS124" t="e">
        <f>AND(NhatkyBan!#REF!,"AAAAAC+/3/w=")</f>
        <v>#REF!</v>
      </c>
      <c r="IT124" t="e">
        <f>AND(NhatkyBan!#REF!,"AAAAAC+/3/0=")</f>
        <v>#REF!</v>
      </c>
      <c r="IU124" t="e">
        <f>AND(NhatkyBan!#REF!,"AAAAAC+/3/4=")</f>
        <v>#REF!</v>
      </c>
      <c r="IV124" t="e">
        <f>AND(NhatkyBan!#REF!,"AAAAAC+/3/8=")</f>
        <v>#REF!</v>
      </c>
    </row>
    <row r="125" spans="1:256">
      <c r="A125" t="e">
        <f>AND(NhatkyBan!#REF!,"AAAAAH161wA=")</f>
        <v>#REF!</v>
      </c>
      <c r="B125" t="e">
        <f>AND(NhatkyBan!#REF!,"AAAAAH161wE=")</f>
        <v>#REF!</v>
      </c>
      <c r="C125" t="e">
        <f>AND(NhatkyBan!#REF!,"AAAAAH161wI=")</f>
        <v>#REF!</v>
      </c>
      <c r="D125" t="e">
        <f>AND(NhatkyBan!#REF!,"AAAAAH161wM=")</f>
        <v>#REF!</v>
      </c>
      <c r="E125" t="e">
        <f>AND(NhatkyBan!#REF!,"AAAAAH161wQ=")</f>
        <v>#REF!</v>
      </c>
      <c r="F125" t="e">
        <f>AND(NhatkyBan!#REF!,"AAAAAH161wU=")</f>
        <v>#REF!</v>
      </c>
      <c r="G125" t="e">
        <f>AND(NhatkyBan!#REF!,"AAAAAH161wY=")</f>
        <v>#REF!</v>
      </c>
      <c r="H125" t="e">
        <f>AND(NhatkyBan!#REF!,"AAAAAH161wc=")</f>
        <v>#REF!</v>
      </c>
      <c r="I125" t="e">
        <f>AND(NhatkyBan!#REF!,"AAAAAH161wg=")</f>
        <v>#REF!</v>
      </c>
      <c r="J125" t="e">
        <f>AND(NhatkyBan!#REF!,"AAAAAH161wk=")</f>
        <v>#REF!</v>
      </c>
      <c r="K125" t="e">
        <f>AND(NhatkyBan!#REF!,"AAAAAH161wo=")</f>
        <v>#REF!</v>
      </c>
      <c r="L125" t="e">
        <f>AND(NhatkyBan!#REF!,"AAAAAH161ws=")</f>
        <v>#REF!</v>
      </c>
      <c r="M125" t="e">
        <f>AND(NhatkyBan!#REF!,"AAAAAH161ww=")</f>
        <v>#REF!</v>
      </c>
      <c r="N125" t="e">
        <f>AND(NhatkyBan!#REF!,"AAAAAH161w0=")</f>
        <v>#REF!</v>
      </c>
      <c r="O125" t="e">
        <f>AND(NhatkyBan!#REF!,"AAAAAH161w4=")</f>
        <v>#REF!</v>
      </c>
      <c r="P125" t="e">
        <f>AND(NhatkyBan!#REF!,"AAAAAH161w8=")</f>
        <v>#REF!</v>
      </c>
      <c r="Q125" t="e">
        <f>IF(NhatkyBan!#REF!,"AAAAAH161xA=",0)</f>
        <v>#REF!</v>
      </c>
      <c r="R125" t="e">
        <f>AND(NhatkyBan!#REF!,"AAAAAH161xE=")</f>
        <v>#REF!</v>
      </c>
      <c r="S125" t="e">
        <f>AND(NhatkyBan!#REF!,"AAAAAH161xI=")</f>
        <v>#REF!</v>
      </c>
      <c r="T125" t="e">
        <f>AND(NhatkyBan!#REF!,"AAAAAH161xM=")</f>
        <v>#REF!</v>
      </c>
      <c r="U125" t="e">
        <f>AND(NhatkyBan!#REF!,"AAAAAH161xQ=")</f>
        <v>#REF!</v>
      </c>
      <c r="V125" t="e">
        <f>AND(NhatkyBan!#REF!,"AAAAAH161xU=")</f>
        <v>#REF!</v>
      </c>
      <c r="W125" t="e">
        <f>AND(NhatkyBan!#REF!,"AAAAAH161xY=")</f>
        <v>#REF!</v>
      </c>
      <c r="X125" t="e">
        <f>AND(NhatkyBan!#REF!,"AAAAAH161xc=")</f>
        <v>#REF!</v>
      </c>
      <c r="Y125" t="e">
        <f>AND(NhatkyBan!#REF!,"AAAAAH161xg=")</f>
        <v>#REF!</v>
      </c>
      <c r="Z125" t="e">
        <f>AND(NhatkyBan!#REF!,"AAAAAH161xk=")</f>
        <v>#REF!</v>
      </c>
      <c r="AA125" t="e">
        <f>AND(NhatkyBan!#REF!,"AAAAAH161xo=")</f>
        <v>#REF!</v>
      </c>
      <c r="AB125" t="e">
        <f>AND(NhatkyBan!#REF!,"AAAAAH161xs=")</f>
        <v>#REF!</v>
      </c>
      <c r="AC125" t="e">
        <f>AND(NhatkyBan!#REF!,"AAAAAH161xw=")</f>
        <v>#REF!</v>
      </c>
      <c r="AD125" t="e">
        <f>AND(NhatkyBan!#REF!,"AAAAAH161x0=")</f>
        <v>#REF!</v>
      </c>
      <c r="AE125" t="e">
        <f>AND(NhatkyBan!#REF!,"AAAAAH161x4=")</f>
        <v>#REF!</v>
      </c>
      <c r="AF125" t="e">
        <f>AND(NhatkyBan!#REF!,"AAAAAH161x8=")</f>
        <v>#REF!</v>
      </c>
      <c r="AG125" t="e">
        <f>AND(NhatkyBan!#REF!,"AAAAAH161yA=")</f>
        <v>#REF!</v>
      </c>
      <c r="AH125" t="e">
        <f>AND(NhatkyBan!#REF!,"AAAAAH161yE=")</f>
        <v>#REF!</v>
      </c>
      <c r="AI125" t="e">
        <f>AND(NhatkyBan!#REF!,"AAAAAH161yI=")</f>
        <v>#REF!</v>
      </c>
      <c r="AJ125" t="e">
        <f>AND(NhatkyBan!#REF!,"AAAAAH161yM=")</f>
        <v>#REF!</v>
      </c>
      <c r="AK125" t="e">
        <f>AND(NhatkyBan!#REF!,"AAAAAH161yQ=")</f>
        <v>#REF!</v>
      </c>
      <c r="AL125" t="e">
        <f>AND(NhatkyBan!#REF!,"AAAAAH161yU=")</f>
        <v>#REF!</v>
      </c>
      <c r="AM125" t="e">
        <f>AND(NhatkyBan!#REF!,"AAAAAH161yY=")</f>
        <v>#REF!</v>
      </c>
      <c r="AN125" t="e">
        <f>AND(NhatkyBan!#REF!,"AAAAAH161yc=")</f>
        <v>#REF!</v>
      </c>
      <c r="AO125" t="e">
        <f>AND(NhatkyBan!#REF!,"AAAAAH161yg=")</f>
        <v>#REF!</v>
      </c>
      <c r="AP125" t="e">
        <f>AND(NhatkyBan!#REF!,"AAAAAH161yk=")</f>
        <v>#REF!</v>
      </c>
      <c r="AQ125" t="e">
        <f>AND(NhatkyBan!#REF!,"AAAAAH161yo=")</f>
        <v>#REF!</v>
      </c>
      <c r="AR125" t="e">
        <f>AND(NhatkyBan!#REF!,"AAAAAH161ys=")</f>
        <v>#REF!</v>
      </c>
      <c r="AS125" t="e">
        <f>AND(NhatkyBan!#REF!,"AAAAAH161yw=")</f>
        <v>#REF!</v>
      </c>
      <c r="AT125" t="e">
        <f>AND(NhatkyBan!#REF!,"AAAAAH161y0=")</f>
        <v>#REF!</v>
      </c>
      <c r="AU125" t="e">
        <f>AND(NhatkyBan!#REF!,"AAAAAH161y4=")</f>
        <v>#REF!</v>
      </c>
      <c r="AV125" t="e">
        <f>AND(NhatkyBan!#REF!,"AAAAAH161y8=")</f>
        <v>#REF!</v>
      </c>
      <c r="AW125" t="e">
        <f>AND(NhatkyBan!#REF!,"AAAAAH161zA=")</f>
        <v>#REF!</v>
      </c>
      <c r="AX125" t="e">
        <f>AND(NhatkyBan!#REF!,"AAAAAH161zE=")</f>
        <v>#REF!</v>
      </c>
      <c r="AY125" t="e">
        <f>AND(NhatkyBan!#REF!,"AAAAAH161zI=")</f>
        <v>#REF!</v>
      </c>
      <c r="AZ125" t="e">
        <f>IF(NhatkyBan!#REF!,"AAAAAH161zM=",0)</f>
        <v>#REF!</v>
      </c>
      <c r="BA125" t="e">
        <f>AND(NhatkyBan!#REF!,"AAAAAH161zQ=")</f>
        <v>#REF!</v>
      </c>
      <c r="BB125" t="e">
        <f>AND(NhatkyBan!#REF!,"AAAAAH161zU=")</f>
        <v>#REF!</v>
      </c>
      <c r="BC125" t="e">
        <f>AND(NhatkyBan!#REF!,"AAAAAH161zY=")</f>
        <v>#REF!</v>
      </c>
      <c r="BD125" t="e">
        <f>AND(NhatkyBan!#REF!,"AAAAAH161zc=")</f>
        <v>#REF!</v>
      </c>
      <c r="BE125" t="e">
        <f>AND(NhatkyBan!#REF!,"AAAAAH161zg=")</f>
        <v>#REF!</v>
      </c>
      <c r="BF125" t="e">
        <f>AND(NhatkyBan!#REF!,"AAAAAH161zk=")</f>
        <v>#REF!</v>
      </c>
      <c r="BG125" t="e">
        <f>AND(NhatkyBan!#REF!,"AAAAAH161zo=")</f>
        <v>#REF!</v>
      </c>
      <c r="BH125" t="e">
        <f>AND(NhatkyBan!#REF!,"AAAAAH161zs=")</f>
        <v>#REF!</v>
      </c>
      <c r="BI125" t="e">
        <f>AND(NhatkyBan!#REF!,"AAAAAH161zw=")</f>
        <v>#REF!</v>
      </c>
      <c r="BJ125" t="e">
        <f>AND(NhatkyBan!#REF!,"AAAAAH161z0=")</f>
        <v>#REF!</v>
      </c>
      <c r="BK125" t="e">
        <f>AND(NhatkyBan!#REF!,"AAAAAH161z4=")</f>
        <v>#REF!</v>
      </c>
      <c r="BL125" t="e">
        <f>AND(NhatkyBan!#REF!,"AAAAAH161z8=")</f>
        <v>#REF!</v>
      </c>
      <c r="BM125" t="e">
        <f>AND(NhatkyBan!#REF!,"AAAAAH1610A=")</f>
        <v>#REF!</v>
      </c>
      <c r="BN125" t="e">
        <f>AND(NhatkyBan!#REF!,"AAAAAH1610E=")</f>
        <v>#REF!</v>
      </c>
      <c r="BO125" t="e">
        <f>AND(NhatkyBan!#REF!,"AAAAAH1610I=")</f>
        <v>#REF!</v>
      </c>
      <c r="BP125" t="e">
        <f>AND(NhatkyBan!#REF!,"AAAAAH1610M=")</f>
        <v>#REF!</v>
      </c>
      <c r="BQ125" t="e">
        <f>AND(NhatkyBan!#REF!,"AAAAAH1610Q=")</f>
        <v>#REF!</v>
      </c>
      <c r="BR125" t="e">
        <f>AND(NhatkyBan!#REF!,"AAAAAH1610U=")</f>
        <v>#REF!</v>
      </c>
      <c r="BS125" t="e">
        <f>AND(NhatkyBan!#REF!,"AAAAAH1610Y=")</f>
        <v>#REF!</v>
      </c>
      <c r="BT125" t="e">
        <f>AND(NhatkyBan!#REF!,"AAAAAH1610c=")</f>
        <v>#REF!</v>
      </c>
      <c r="BU125" t="e">
        <f>AND(NhatkyBan!#REF!,"AAAAAH1610g=")</f>
        <v>#REF!</v>
      </c>
      <c r="BV125" t="e">
        <f>AND(NhatkyBan!#REF!,"AAAAAH1610k=")</f>
        <v>#REF!</v>
      </c>
      <c r="BW125" t="e">
        <f>AND(NhatkyBan!#REF!,"AAAAAH1610o=")</f>
        <v>#REF!</v>
      </c>
      <c r="BX125" t="e">
        <f>AND(NhatkyBan!#REF!,"AAAAAH1610s=")</f>
        <v>#REF!</v>
      </c>
      <c r="BY125" t="e">
        <f>AND(NhatkyBan!#REF!,"AAAAAH1610w=")</f>
        <v>#REF!</v>
      </c>
      <c r="BZ125" t="e">
        <f>AND(NhatkyBan!#REF!,"AAAAAH16100=")</f>
        <v>#REF!</v>
      </c>
      <c r="CA125" t="e">
        <f>AND(NhatkyBan!#REF!,"AAAAAH16104=")</f>
        <v>#REF!</v>
      </c>
      <c r="CB125" t="e">
        <f>AND(NhatkyBan!#REF!,"AAAAAH16108=")</f>
        <v>#REF!</v>
      </c>
      <c r="CC125" t="e">
        <f>AND(NhatkyBan!#REF!,"AAAAAH1611A=")</f>
        <v>#REF!</v>
      </c>
      <c r="CD125" t="e">
        <f>AND(NhatkyBan!#REF!,"AAAAAH1611E=")</f>
        <v>#REF!</v>
      </c>
      <c r="CE125" t="e">
        <f>AND(NhatkyBan!#REF!,"AAAAAH1611I=")</f>
        <v>#REF!</v>
      </c>
      <c r="CF125" t="e">
        <f>AND(NhatkyBan!#REF!,"AAAAAH1611M=")</f>
        <v>#REF!</v>
      </c>
      <c r="CG125" t="e">
        <f>AND(NhatkyBan!#REF!,"AAAAAH1611Q=")</f>
        <v>#REF!</v>
      </c>
      <c r="CH125" t="e">
        <f>AND(NhatkyBan!#REF!,"AAAAAH1611U=")</f>
        <v>#REF!</v>
      </c>
      <c r="CI125" t="e">
        <f>IF(NhatkyBan!#REF!,"AAAAAH1611Y=",0)</f>
        <v>#REF!</v>
      </c>
      <c r="CJ125" t="e">
        <f>AND(NhatkyBan!#REF!,"AAAAAH1611c=")</f>
        <v>#REF!</v>
      </c>
      <c r="CK125" t="e">
        <f>AND(NhatkyBan!#REF!,"AAAAAH1611g=")</f>
        <v>#REF!</v>
      </c>
      <c r="CL125" t="e">
        <f>AND(NhatkyBan!#REF!,"AAAAAH1611k=")</f>
        <v>#REF!</v>
      </c>
      <c r="CM125" t="e">
        <f>AND(NhatkyBan!#REF!,"AAAAAH1611o=")</f>
        <v>#REF!</v>
      </c>
      <c r="CN125" t="e">
        <f>AND(NhatkyBan!#REF!,"AAAAAH1611s=")</f>
        <v>#REF!</v>
      </c>
      <c r="CO125" t="e">
        <f>AND(NhatkyBan!#REF!,"AAAAAH1611w=")</f>
        <v>#REF!</v>
      </c>
      <c r="CP125" t="e">
        <f>AND(NhatkyBan!#REF!,"AAAAAH16110=")</f>
        <v>#REF!</v>
      </c>
      <c r="CQ125" t="e">
        <f>AND(NhatkyBan!#REF!,"AAAAAH16114=")</f>
        <v>#REF!</v>
      </c>
      <c r="CR125" t="e">
        <f>AND(NhatkyBan!#REF!,"AAAAAH16118=")</f>
        <v>#REF!</v>
      </c>
      <c r="CS125" t="e">
        <f>AND(NhatkyBan!#REF!,"AAAAAH1612A=")</f>
        <v>#REF!</v>
      </c>
      <c r="CT125" t="e">
        <f>AND(NhatkyBan!#REF!,"AAAAAH1612E=")</f>
        <v>#REF!</v>
      </c>
      <c r="CU125" t="e">
        <f>AND(NhatkyBan!#REF!,"AAAAAH1612I=")</f>
        <v>#REF!</v>
      </c>
      <c r="CV125" t="e">
        <f>AND(NhatkyBan!#REF!,"AAAAAH1612M=")</f>
        <v>#REF!</v>
      </c>
      <c r="CW125" t="e">
        <f>AND(NhatkyBan!#REF!,"AAAAAH1612Q=")</f>
        <v>#REF!</v>
      </c>
      <c r="CX125" t="e">
        <f>AND(NhatkyBan!#REF!,"AAAAAH1612U=")</f>
        <v>#REF!</v>
      </c>
      <c r="CY125" t="e">
        <f>AND(NhatkyBan!#REF!,"AAAAAH1612Y=")</f>
        <v>#REF!</v>
      </c>
      <c r="CZ125" t="e">
        <f>AND(NhatkyBan!#REF!,"AAAAAH1612c=")</f>
        <v>#REF!</v>
      </c>
      <c r="DA125" t="e">
        <f>AND(NhatkyBan!#REF!,"AAAAAH1612g=")</f>
        <v>#REF!</v>
      </c>
      <c r="DB125" t="e">
        <f>AND(NhatkyBan!#REF!,"AAAAAH1612k=")</f>
        <v>#REF!</v>
      </c>
      <c r="DC125" t="e">
        <f>AND(NhatkyBan!#REF!,"AAAAAH1612o=")</f>
        <v>#REF!</v>
      </c>
      <c r="DD125" t="e">
        <f>AND(NhatkyBan!#REF!,"AAAAAH1612s=")</f>
        <v>#REF!</v>
      </c>
      <c r="DE125" t="e">
        <f>AND(NhatkyBan!#REF!,"AAAAAH1612w=")</f>
        <v>#REF!</v>
      </c>
      <c r="DF125" t="e">
        <f>AND(NhatkyBan!#REF!,"AAAAAH16120=")</f>
        <v>#REF!</v>
      </c>
      <c r="DG125" t="e">
        <f>AND(NhatkyBan!#REF!,"AAAAAH16124=")</f>
        <v>#REF!</v>
      </c>
      <c r="DH125" t="e">
        <f>AND(NhatkyBan!#REF!,"AAAAAH16128=")</f>
        <v>#REF!</v>
      </c>
      <c r="DI125" t="e">
        <f>AND(NhatkyBan!#REF!,"AAAAAH1613A=")</f>
        <v>#REF!</v>
      </c>
      <c r="DJ125" t="e">
        <f>AND(NhatkyBan!#REF!,"AAAAAH1613E=")</f>
        <v>#REF!</v>
      </c>
      <c r="DK125" t="e">
        <f>AND(NhatkyBan!#REF!,"AAAAAH1613I=")</f>
        <v>#REF!</v>
      </c>
      <c r="DL125" t="e">
        <f>AND(NhatkyBan!#REF!,"AAAAAH1613M=")</f>
        <v>#REF!</v>
      </c>
      <c r="DM125" t="e">
        <f>AND(NhatkyBan!#REF!,"AAAAAH1613Q=")</f>
        <v>#REF!</v>
      </c>
      <c r="DN125" t="e">
        <f>AND(NhatkyBan!#REF!,"AAAAAH1613U=")</f>
        <v>#REF!</v>
      </c>
      <c r="DO125" t="e">
        <f>AND(NhatkyBan!#REF!,"AAAAAH1613Y=")</f>
        <v>#REF!</v>
      </c>
      <c r="DP125" t="e">
        <f>AND(NhatkyBan!#REF!,"AAAAAH1613c=")</f>
        <v>#REF!</v>
      </c>
      <c r="DQ125" t="e">
        <f>AND(NhatkyBan!#REF!,"AAAAAH1613g=")</f>
        <v>#REF!</v>
      </c>
      <c r="DR125" t="e">
        <f>IF(NhatkyBan!#REF!,"AAAAAH1613k=",0)</f>
        <v>#REF!</v>
      </c>
      <c r="DS125" t="e">
        <f>AND(NhatkyBan!#REF!,"AAAAAH1613o=")</f>
        <v>#REF!</v>
      </c>
      <c r="DT125" t="e">
        <f>AND(NhatkyBan!#REF!,"AAAAAH1613s=")</f>
        <v>#REF!</v>
      </c>
      <c r="DU125" t="e">
        <f>AND(NhatkyBan!#REF!,"AAAAAH1613w=")</f>
        <v>#REF!</v>
      </c>
      <c r="DV125" t="e">
        <f>AND(NhatkyBan!#REF!,"AAAAAH16130=")</f>
        <v>#REF!</v>
      </c>
      <c r="DW125" t="e">
        <f>AND(NhatkyBan!#REF!,"AAAAAH16134=")</f>
        <v>#REF!</v>
      </c>
      <c r="DX125" t="e">
        <f>AND(NhatkyBan!#REF!,"AAAAAH16138=")</f>
        <v>#REF!</v>
      </c>
      <c r="DY125" t="e">
        <f>AND(NhatkyBan!#REF!,"AAAAAH1614A=")</f>
        <v>#REF!</v>
      </c>
      <c r="DZ125" t="e">
        <f>AND(NhatkyBan!#REF!,"AAAAAH1614E=")</f>
        <v>#REF!</v>
      </c>
      <c r="EA125" t="e">
        <f>AND(NhatkyBan!#REF!,"AAAAAH1614I=")</f>
        <v>#REF!</v>
      </c>
      <c r="EB125" t="e">
        <f>AND(NhatkyBan!#REF!,"AAAAAH1614M=")</f>
        <v>#REF!</v>
      </c>
      <c r="EC125" t="e">
        <f>AND(NhatkyBan!#REF!,"AAAAAH1614Q=")</f>
        <v>#REF!</v>
      </c>
      <c r="ED125" t="e">
        <f>AND(NhatkyBan!#REF!,"AAAAAH1614U=")</f>
        <v>#REF!</v>
      </c>
      <c r="EE125" t="e">
        <f>AND(NhatkyBan!#REF!,"AAAAAH1614Y=")</f>
        <v>#REF!</v>
      </c>
      <c r="EF125" t="e">
        <f>AND(NhatkyBan!#REF!,"AAAAAH1614c=")</f>
        <v>#REF!</v>
      </c>
      <c r="EG125" t="e">
        <f>AND(NhatkyBan!#REF!,"AAAAAH1614g=")</f>
        <v>#REF!</v>
      </c>
      <c r="EH125" t="e">
        <f>AND(NhatkyBan!#REF!,"AAAAAH1614k=")</f>
        <v>#REF!</v>
      </c>
      <c r="EI125" t="e">
        <f>AND(NhatkyBan!#REF!,"AAAAAH1614o=")</f>
        <v>#REF!</v>
      </c>
      <c r="EJ125" t="e">
        <f>AND(NhatkyBan!#REF!,"AAAAAH1614s=")</f>
        <v>#REF!</v>
      </c>
      <c r="EK125" t="e">
        <f>AND(NhatkyBan!#REF!,"AAAAAH1614w=")</f>
        <v>#REF!</v>
      </c>
      <c r="EL125" t="e">
        <f>AND(NhatkyBan!#REF!,"AAAAAH16140=")</f>
        <v>#REF!</v>
      </c>
      <c r="EM125" t="e">
        <f>AND(NhatkyBan!#REF!,"AAAAAH16144=")</f>
        <v>#REF!</v>
      </c>
      <c r="EN125" t="e">
        <f>AND(NhatkyBan!#REF!,"AAAAAH16148=")</f>
        <v>#REF!</v>
      </c>
      <c r="EO125" t="e">
        <f>AND(NhatkyBan!#REF!,"AAAAAH1615A=")</f>
        <v>#REF!</v>
      </c>
      <c r="EP125" t="e">
        <f>AND(NhatkyBan!#REF!,"AAAAAH1615E=")</f>
        <v>#REF!</v>
      </c>
      <c r="EQ125" t="e">
        <f>AND(NhatkyBan!#REF!,"AAAAAH1615I=")</f>
        <v>#REF!</v>
      </c>
      <c r="ER125" t="e">
        <f>AND(NhatkyBan!#REF!,"AAAAAH1615M=")</f>
        <v>#REF!</v>
      </c>
      <c r="ES125" t="e">
        <f>AND(NhatkyBan!#REF!,"AAAAAH1615Q=")</f>
        <v>#REF!</v>
      </c>
      <c r="ET125" t="e">
        <f>AND(NhatkyBan!#REF!,"AAAAAH1615U=")</f>
        <v>#REF!</v>
      </c>
      <c r="EU125" t="e">
        <f>AND(NhatkyBan!#REF!,"AAAAAH1615Y=")</f>
        <v>#REF!</v>
      </c>
      <c r="EV125" t="e">
        <f>AND(NhatkyBan!#REF!,"AAAAAH1615c=")</f>
        <v>#REF!</v>
      </c>
      <c r="EW125" t="e">
        <f>AND(NhatkyBan!#REF!,"AAAAAH1615g=")</f>
        <v>#REF!</v>
      </c>
      <c r="EX125" t="e">
        <f>AND(NhatkyBan!#REF!,"AAAAAH1615k=")</f>
        <v>#REF!</v>
      </c>
      <c r="EY125" t="e">
        <f>AND(NhatkyBan!#REF!,"AAAAAH1615o=")</f>
        <v>#REF!</v>
      </c>
      <c r="EZ125" t="e">
        <f>AND(NhatkyBan!#REF!,"AAAAAH1615s=")</f>
        <v>#REF!</v>
      </c>
      <c r="FA125" t="e">
        <f>IF(NhatkyBan!#REF!,"AAAAAH1615w=",0)</f>
        <v>#REF!</v>
      </c>
      <c r="FB125" t="e">
        <f>AND(NhatkyBan!#REF!,"AAAAAH16150=")</f>
        <v>#REF!</v>
      </c>
      <c r="FC125" t="e">
        <f>AND(NhatkyBan!#REF!,"AAAAAH16154=")</f>
        <v>#REF!</v>
      </c>
      <c r="FD125" t="e">
        <f>AND(NhatkyBan!#REF!,"AAAAAH16158=")</f>
        <v>#REF!</v>
      </c>
      <c r="FE125" t="e">
        <f>AND(NhatkyBan!#REF!,"AAAAAH1616A=")</f>
        <v>#REF!</v>
      </c>
      <c r="FF125" t="e">
        <f>AND(NhatkyBan!#REF!,"AAAAAH1616E=")</f>
        <v>#REF!</v>
      </c>
      <c r="FG125" t="e">
        <f>AND(NhatkyBan!#REF!,"AAAAAH1616I=")</f>
        <v>#REF!</v>
      </c>
      <c r="FH125" t="e">
        <f>AND(NhatkyBan!#REF!,"AAAAAH1616M=")</f>
        <v>#REF!</v>
      </c>
      <c r="FI125" t="e">
        <f>AND(NhatkyBan!#REF!,"AAAAAH1616Q=")</f>
        <v>#REF!</v>
      </c>
      <c r="FJ125" t="e">
        <f>AND(NhatkyBan!#REF!,"AAAAAH1616U=")</f>
        <v>#REF!</v>
      </c>
      <c r="FK125" t="e">
        <f>AND(NhatkyBan!#REF!,"AAAAAH1616Y=")</f>
        <v>#REF!</v>
      </c>
      <c r="FL125" t="e">
        <f>AND(NhatkyBan!#REF!,"AAAAAH1616c=")</f>
        <v>#REF!</v>
      </c>
      <c r="FM125" t="e">
        <f>AND(NhatkyBan!#REF!,"AAAAAH1616g=")</f>
        <v>#REF!</v>
      </c>
      <c r="FN125" t="e">
        <f>AND(NhatkyBan!#REF!,"AAAAAH1616k=")</f>
        <v>#REF!</v>
      </c>
      <c r="FO125" t="e">
        <f>AND(NhatkyBan!#REF!,"AAAAAH1616o=")</f>
        <v>#REF!</v>
      </c>
      <c r="FP125" t="e">
        <f>AND(NhatkyBan!#REF!,"AAAAAH1616s=")</f>
        <v>#REF!</v>
      </c>
      <c r="FQ125" t="e">
        <f>AND(NhatkyBan!#REF!,"AAAAAH1616w=")</f>
        <v>#REF!</v>
      </c>
      <c r="FR125" t="e">
        <f>AND(NhatkyBan!#REF!,"AAAAAH16160=")</f>
        <v>#REF!</v>
      </c>
      <c r="FS125" t="e">
        <f>AND(NhatkyBan!#REF!,"AAAAAH16164=")</f>
        <v>#REF!</v>
      </c>
      <c r="FT125" t="e">
        <f>AND(NhatkyBan!#REF!,"AAAAAH16168=")</f>
        <v>#REF!</v>
      </c>
      <c r="FU125" t="e">
        <f>AND(NhatkyBan!#REF!,"AAAAAH1617A=")</f>
        <v>#REF!</v>
      </c>
      <c r="FV125" t="e">
        <f>AND(NhatkyBan!#REF!,"AAAAAH1617E=")</f>
        <v>#REF!</v>
      </c>
      <c r="FW125" t="e">
        <f>AND(NhatkyBan!#REF!,"AAAAAH1617I=")</f>
        <v>#REF!</v>
      </c>
      <c r="FX125" t="e">
        <f>AND(NhatkyBan!#REF!,"AAAAAH1617M=")</f>
        <v>#REF!</v>
      </c>
      <c r="FY125" t="e">
        <f>AND(NhatkyBan!#REF!,"AAAAAH1617Q=")</f>
        <v>#REF!</v>
      </c>
      <c r="FZ125" t="e">
        <f>AND(NhatkyBan!#REF!,"AAAAAH1617U=")</f>
        <v>#REF!</v>
      </c>
      <c r="GA125" t="e">
        <f>AND(NhatkyBan!#REF!,"AAAAAH1617Y=")</f>
        <v>#REF!</v>
      </c>
      <c r="GB125" t="e">
        <f>AND(NhatkyBan!#REF!,"AAAAAH1617c=")</f>
        <v>#REF!</v>
      </c>
      <c r="GC125" t="e">
        <f>AND(NhatkyBan!#REF!,"AAAAAH1617g=")</f>
        <v>#REF!</v>
      </c>
      <c r="GD125" t="e">
        <f>AND(NhatkyBan!#REF!,"AAAAAH1617k=")</f>
        <v>#REF!</v>
      </c>
      <c r="GE125" t="e">
        <f>AND(NhatkyBan!#REF!,"AAAAAH1617o=")</f>
        <v>#REF!</v>
      </c>
      <c r="GF125" t="e">
        <f>AND(NhatkyBan!#REF!,"AAAAAH1617s=")</f>
        <v>#REF!</v>
      </c>
      <c r="GG125" t="e">
        <f>AND(NhatkyBan!#REF!,"AAAAAH1617w=")</f>
        <v>#REF!</v>
      </c>
      <c r="GH125" t="e">
        <f>AND(NhatkyBan!#REF!,"AAAAAH16170=")</f>
        <v>#REF!</v>
      </c>
      <c r="GI125" t="e">
        <f>AND(NhatkyBan!#REF!,"AAAAAH16174=")</f>
        <v>#REF!</v>
      </c>
      <c r="GJ125" t="e">
        <f>IF(NhatkyBan!#REF!,"AAAAAH16178=",0)</f>
        <v>#REF!</v>
      </c>
      <c r="GK125" t="e">
        <f>AND(NhatkyBan!#REF!,"AAAAAH1618A=")</f>
        <v>#REF!</v>
      </c>
      <c r="GL125" t="e">
        <f>AND(NhatkyBan!#REF!,"AAAAAH1618E=")</f>
        <v>#REF!</v>
      </c>
      <c r="GM125" t="e">
        <f>AND(NhatkyBan!#REF!,"AAAAAH1618I=")</f>
        <v>#REF!</v>
      </c>
      <c r="GN125" t="e">
        <f>AND(NhatkyBan!#REF!,"AAAAAH1618M=")</f>
        <v>#REF!</v>
      </c>
      <c r="GO125" t="e">
        <f>AND(NhatkyBan!#REF!,"AAAAAH1618Q=")</f>
        <v>#REF!</v>
      </c>
      <c r="GP125" t="e">
        <f>AND(NhatkyBan!#REF!,"AAAAAH1618U=")</f>
        <v>#REF!</v>
      </c>
      <c r="GQ125" t="e">
        <f>AND(NhatkyBan!#REF!,"AAAAAH1618Y=")</f>
        <v>#REF!</v>
      </c>
      <c r="GR125" t="e">
        <f>AND(NhatkyBan!#REF!,"AAAAAH1618c=")</f>
        <v>#REF!</v>
      </c>
      <c r="GS125" t="e">
        <f>AND(NhatkyBan!#REF!,"AAAAAH1618g=")</f>
        <v>#REF!</v>
      </c>
      <c r="GT125" t="e">
        <f>AND(NhatkyBan!#REF!,"AAAAAH1618k=")</f>
        <v>#REF!</v>
      </c>
      <c r="GU125" t="e">
        <f>AND(NhatkyBan!#REF!,"AAAAAH1618o=")</f>
        <v>#REF!</v>
      </c>
      <c r="GV125" t="e">
        <f>AND(NhatkyBan!#REF!,"AAAAAH1618s=")</f>
        <v>#REF!</v>
      </c>
      <c r="GW125" t="e">
        <f>AND(NhatkyBan!#REF!,"AAAAAH1618w=")</f>
        <v>#REF!</v>
      </c>
      <c r="GX125" t="e">
        <f>AND(NhatkyBan!#REF!,"AAAAAH16180=")</f>
        <v>#REF!</v>
      </c>
      <c r="GY125" t="e">
        <f>AND(NhatkyBan!#REF!,"AAAAAH16184=")</f>
        <v>#REF!</v>
      </c>
      <c r="GZ125" t="e">
        <f>AND(NhatkyBan!#REF!,"AAAAAH16188=")</f>
        <v>#REF!</v>
      </c>
      <c r="HA125" t="e">
        <f>AND(NhatkyBan!#REF!,"AAAAAH1619A=")</f>
        <v>#REF!</v>
      </c>
      <c r="HB125" t="e">
        <f>AND(NhatkyBan!#REF!,"AAAAAH1619E=")</f>
        <v>#REF!</v>
      </c>
      <c r="HC125" t="e">
        <f>AND(NhatkyBan!#REF!,"AAAAAH1619I=")</f>
        <v>#REF!</v>
      </c>
      <c r="HD125" t="e">
        <f>AND(NhatkyBan!#REF!,"AAAAAH1619M=")</f>
        <v>#REF!</v>
      </c>
      <c r="HE125" t="e">
        <f>AND(NhatkyBan!#REF!,"AAAAAH1619Q=")</f>
        <v>#REF!</v>
      </c>
      <c r="HF125" t="e">
        <f>AND(NhatkyBan!#REF!,"AAAAAH1619U=")</f>
        <v>#REF!</v>
      </c>
      <c r="HG125" t="e">
        <f>AND(NhatkyBan!#REF!,"AAAAAH1619Y=")</f>
        <v>#REF!</v>
      </c>
      <c r="HH125" t="e">
        <f>AND(NhatkyBan!#REF!,"AAAAAH1619c=")</f>
        <v>#REF!</v>
      </c>
      <c r="HI125" t="e">
        <f>AND(NhatkyBan!#REF!,"AAAAAH1619g=")</f>
        <v>#REF!</v>
      </c>
      <c r="HJ125" t="e">
        <f>AND(NhatkyBan!#REF!,"AAAAAH1619k=")</f>
        <v>#REF!</v>
      </c>
      <c r="HK125" t="e">
        <f>AND(NhatkyBan!#REF!,"AAAAAH1619o=")</f>
        <v>#REF!</v>
      </c>
      <c r="HL125" t="e">
        <f>AND(NhatkyBan!#REF!,"AAAAAH1619s=")</f>
        <v>#REF!</v>
      </c>
      <c r="HM125" t="e">
        <f>AND(NhatkyBan!#REF!,"AAAAAH1619w=")</f>
        <v>#REF!</v>
      </c>
      <c r="HN125" t="e">
        <f>AND(NhatkyBan!#REF!,"AAAAAH16190=")</f>
        <v>#REF!</v>
      </c>
      <c r="HO125" t="e">
        <f>AND(NhatkyBan!#REF!,"AAAAAH16194=")</f>
        <v>#REF!</v>
      </c>
      <c r="HP125" t="e">
        <f>AND(NhatkyBan!#REF!,"AAAAAH16198=")</f>
        <v>#REF!</v>
      </c>
      <c r="HQ125" t="e">
        <f>AND(NhatkyBan!#REF!,"AAAAAH161+A=")</f>
        <v>#REF!</v>
      </c>
      <c r="HR125" t="e">
        <f>AND(NhatkyBan!#REF!,"AAAAAH161+E=")</f>
        <v>#REF!</v>
      </c>
      <c r="HS125" t="e">
        <f>IF(NhatkyBan!#REF!,"AAAAAH161+I=",0)</f>
        <v>#REF!</v>
      </c>
      <c r="HT125" t="e">
        <f>AND(NhatkyBan!#REF!,"AAAAAH161+M=")</f>
        <v>#REF!</v>
      </c>
      <c r="HU125" t="e">
        <f>AND(NhatkyBan!#REF!,"AAAAAH161+Q=")</f>
        <v>#REF!</v>
      </c>
      <c r="HV125" t="e">
        <f>AND(NhatkyBan!#REF!,"AAAAAH161+U=")</f>
        <v>#REF!</v>
      </c>
      <c r="HW125" t="e">
        <f>AND(NhatkyBan!#REF!,"AAAAAH161+Y=")</f>
        <v>#REF!</v>
      </c>
      <c r="HX125" t="e">
        <f>AND(NhatkyBan!#REF!,"AAAAAH161+c=")</f>
        <v>#REF!</v>
      </c>
      <c r="HY125" t="e">
        <f>AND(NhatkyBan!#REF!,"AAAAAH161+g=")</f>
        <v>#REF!</v>
      </c>
      <c r="HZ125" t="e">
        <f>AND(NhatkyBan!#REF!,"AAAAAH161+k=")</f>
        <v>#REF!</v>
      </c>
      <c r="IA125" t="e">
        <f>AND(NhatkyBan!#REF!,"AAAAAH161+o=")</f>
        <v>#REF!</v>
      </c>
      <c r="IB125" t="e">
        <f>AND(NhatkyBan!#REF!,"AAAAAH161+s=")</f>
        <v>#REF!</v>
      </c>
      <c r="IC125" t="e">
        <f>AND(NhatkyBan!#REF!,"AAAAAH161+w=")</f>
        <v>#REF!</v>
      </c>
      <c r="ID125" t="e">
        <f>AND(NhatkyBan!#REF!,"AAAAAH161+0=")</f>
        <v>#REF!</v>
      </c>
      <c r="IE125" t="e">
        <f>AND(NhatkyBan!#REF!,"AAAAAH161+4=")</f>
        <v>#REF!</v>
      </c>
      <c r="IF125" t="e">
        <f>AND(NhatkyBan!#REF!,"AAAAAH161+8=")</f>
        <v>#REF!</v>
      </c>
      <c r="IG125" t="e">
        <f>AND(NhatkyBan!#REF!,"AAAAAH161/A=")</f>
        <v>#REF!</v>
      </c>
      <c r="IH125" t="e">
        <f>AND(NhatkyBan!#REF!,"AAAAAH161/E=")</f>
        <v>#REF!</v>
      </c>
      <c r="II125" t="e">
        <f>AND(NhatkyBan!#REF!,"AAAAAH161/I=")</f>
        <v>#REF!</v>
      </c>
      <c r="IJ125" t="e">
        <f>AND(NhatkyBan!#REF!,"AAAAAH161/M=")</f>
        <v>#REF!</v>
      </c>
      <c r="IK125" t="e">
        <f>AND(NhatkyBan!#REF!,"AAAAAH161/Q=")</f>
        <v>#REF!</v>
      </c>
      <c r="IL125" t="e">
        <f>AND(NhatkyBan!#REF!,"AAAAAH161/U=")</f>
        <v>#REF!</v>
      </c>
      <c r="IM125" t="e">
        <f>AND(NhatkyBan!#REF!,"AAAAAH161/Y=")</f>
        <v>#REF!</v>
      </c>
      <c r="IN125" t="e">
        <f>AND(NhatkyBan!#REF!,"AAAAAH161/c=")</f>
        <v>#REF!</v>
      </c>
      <c r="IO125" t="e">
        <f>AND(NhatkyBan!#REF!,"AAAAAH161/g=")</f>
        <v>#REF!</v>
      </c>
      <c r="IP125" t="e">
        <f>AND(NhatkyBan!#REF!,"AAAAAH161/k=")</f>
        <v>#REF!</v>
      </c>
      <c r="IQ125" t="e">
        <f>AND(NhatkyBan!#REF!,"AAAAAH161/o=")</f>
        <v>#REF!</v>
      </c>
      <c r="IR125" t="e">
        <f>AND(NhatkyBan!#REF!,"AAAAAH161/s=")</f>
        <v>#REF!</v>
      </c>
      <c r="IS125" t="e">
        <f>AND(NhatkyBan!#REF!,"AAAAAH161/w=")</f>
        <v>#REF!</v>
      </c>
      <c r="IT125" t="e">
        <f>AND(NhatkyBan!#REF!,"AAAAAH161/0=")</f>
        <v>#REF!</v>
      </c>
      <c r="IU125" t="e">
        <f>AND(NhatkyBan!#REF!,"AAAAAH161/4=")</f>
        <v>#REF!</v>
      </c>
      <c r="IV125" t="e">
        <f>AND(NhatkyBan!#REF!,"AAAAAH161/8=")</f>
        <v>#REF!</v>
      </c>
    </row>
    <row r="126" spans="1:256">
      <c r="A126" t="e">
        <f>AND(NhatkyBan!#REF!,"AAAAAD/VtgA=")</f>
        <v>#REF!</v>
      </c>
      <c r="B126" t="e">
        <f>AND(NhatkyBan!#REF!,"AAAAAD/VtgE=")</f>
        <v>#REF!</v>
      </c>
      <c r="C126" t="e">
        <f>AND(NhatkyBan!#REF!,"AAAAAD/VtgI=")</f>
        <v>#REF!</v>
      </c>
      <c r="D126" t="e">
        <f>AND(NhatkyBan!#REF!,"AAAAAD/VtgM=")</f>
        <v>#REF!</v>
      </c>
      <c r="E126" t="e">
        <f>AND(NhatkyBan!#REF!,"AAAAAD/VtgQ=")</f>
        <v>#REF!</v>
      </c>
      <c r="F126" t="e">
        <f>IF(NhatkyBan!#REF!,"AAAAAD/VtgU=",0)</f>
        <v>#REF!</v>
      </c>
      <c r="G126" t="e">
        <f>AND(NhatkyBan!#REF!,"AAAAAD/VtgY=")</f>
        <v>#REF!</v>
      </c>
      <c r="H126" t="e">
        <f>AND(NhatkyBan!#REF!,"AAAAAD/Vtgc=")</f>
        <v>#REF!</v>
      </c>
      <c r="I126" t="e">
        <f>AND(NhatkyBan!#REF!,"AAAAAD/Vtgg=")</f>
        <v>#REF!</v>
      </c>
      <c r="J126" t="e">
        <f>AND(NhatkyBan!#REF!,"AAAAAD/Vtgk=")</f>
        <v>#REF!</v>
      </c>
      <c r="K126" t="e">
        <f>AND(NhatkyBan!#REF!,"AAAAAD/Vtgo=")</f>
        <v>#REF!</v>
      </c>
      <c r="L126" t="e">
        <f>AND(NhatkyBan!#REF!,"AAAAAD/Vtgs=")</f>
        <v>#REF!</v>
      </c>
      <c r="M126" t="e">
        <f>AND(NhatkyBan!#REF!,"AAAAAD/Vtgw=")</f>
        <v>#REF!</v>
      </c>
      <c r="N126" t="e">
        <f>AND(NhatkyBan!#REF!,"AAAAAD/Vtg0=")</f>
        <v>#REF!</v>
      </c>
      <c r="O126" t="e">
        <f>AND(NhatkyBan!#REF!,"AAAAAD/Vtg4=")</f>
        <v>#REF!</v>
      </c>
      <c r="P126" t="e">
        <f>AND(NhatkyBan!#REF!,"AAAAAD/Vtg8=")</f>
        <v>#REF!</v>
      </c>
      <c r="Q126" t="e">
        <f>AND(NhatkyBan!#REF!,"AAAAAD/VthA=")</f>
        <v>#REF!</v>
      </c>
      <c r="R126" t="e">
        <f>AND(NhatkyBan!#REF!,"AAAAAD/VthE=")</f>
        <v>#REF!</v>
      </c>
      <c r="S126" t="e">
        <f>AND(NhatkyBan!#REF!,"AAAAAD/VthI=")</f>
        <v>#REF!</v>
      </c>
      <c r="T126" t="e">
        <f>AND(NhatkyBan!#REF!,"AAAAAD/VthM=")</f>
        <v>#REF!</v>
      </c>
      <c r="U126" t="e">
        <f>AND(NhatkyBan!#REF!,"AAAAAD/VthQ=")</f>
        <v>#REF!</v>
      </c>
      <c r="V126" t="e">
        <f>AND(NhatkyBan!#REF!,"AAAAAD/VthU=")</f>
        <v>#REF!</v>
      </c>
      <c r="W126" t="e">
        <f>AND(NhatkyBan!#REF!,"AAAAAD/VthY=")</f>
        <v>#REF!</v>
      </c>
      <c r="X126" t="e">
        <f>AND(NhatkyBan!#REF!,"AAAAAD/Vthc=")</f>
        <v>#REF!</v>
      </c>
      <c r="Y126" t="e">
        <f>AND(NhatkyBan!#REF!,"AAAAAD/Vthg=")</f>
        <v>#REF!</v>
      </c>
      <c r="Z126" t="e">
        <f>AND(NhatkyBan!#REF!,"AAAAAD/Vthk=")</f>
        <v>#REF!</v>
      </c>
      <c r="AA126" t="e">
        <f>AND(NhatkyBan!#REF!,"AAAAAD/Vtho=")</f>
        <v>#REF!</v>
      </c>
      <c r="AB126" t="e">
        <f>AND(NhatkyBan!#REF!,"AAAAAD/Vths=")</f>
        <v>#REF!</v>
      </c>
      <c r="AC126" t="e">
        <f>AND(NhatkyBan!#REF!,"AAAAAD/Vthw=")</f>
        <v>#REF!</v>
      </c>
      <c r="AD126" t="e">
        <f>AND(NhatkyBan!#REF!,"AAAAAD/Vth0=")</f>
        <v>#REF!</v>
      </c>
      <c r="AE126" t="e">
        <f>AND(NhatkyBan!#REF!,"AAAAAD/Vth4=")</f>
        <v>#REF!</v>
      </c>
      <c r="AF126" t="e">
        <f>AND(NhatkyBan!#REF!,"AAAAAD/Vth8=")</f>
        <v>#REF!</v>
      </c>
      <c r="AG126" t="e">
        <f>AND(NhatkyBan!#REF!,"AAAAAD/VtiA=")</f>
        <v>#REF!</v>
      </c>
      <c r="AH126" t="e">
        <f>AND(NhatkyBan!#REF!,"AAAAAD/VtiE=")</f>
        <v>#REF!</v>
      </c>
      <c r="AI126" t="e">
        <f>AND(NhatkyBan!#REF!,"AAAAAD/VtiI=")</f>
        <v>#REF!</v>
      </c>
      <c r="AJ126" t="e">
        <f>AND(NhatkyBan!#REF!,"AAAAAD/VtiM=")</f>
        <v>#REF!</v>
      </c>
      <c r="AK126" t="e">
        <f>AND(NhatkyBan!#REF!,"AAAAAD/VtiQ=")</f>
        <v>#REF!</v>
      </c>
      <c r="AL126" t="e">
        <f>AND(NhatkyBan!#REF!,"AAAAAD/VtiU=")</f>
        <v>#REF!</v>
      </c>
      <c r="AM126" t="e">
        <f>AND(NhatkyBan!#REF!,"AAAAAD/VtiY=")</f>
        <v>#REF!</v>
      </c>
      <c r="AN126" t="e">
        <f>AND(NhatkyBan!#REF!,"AAAAAD/Vtic=")</f>
        <v>#REF!</v>
      </c>
      <c r="AO126" t="e">
        <f>IF(NhatkyBan!#REF!,"AAAAAD/Vtig=",0)</f>
        <v>#REF!</v>
      </c>
      <c r="AP126" t="e">
        <f>AND(NhatkyBan!#REF!,"AAAAAD/Vtik=")</f>
        <v>#REF!</v>
      </c>
      <c r="AQ126" t="e">
        <f>AND(NhatkyBan!#REF!,"AAAAAD/Vtio=")</f>
        <v>#REF!</v>
      </c>
      <c r="AR126" t="e">
        <f>AND(NhatkyBan!#REF!,"AAAAAD/Vtis=")</f>
        <v>#REF!</v>
      </c>
      <c r="AS126" t="e">
        <f>AND(NhatkyBan!#REF!,"AAAAAD/Vtiw=")</f>
        <v>#REF!</v>
      </c>
      <c r="AT126" t="e">
        <f>AND(NhatkyBan!#REF!,"AAAAAD/Vti0=")</f>
        <v>#REF!</v>
      </c>
      <c r="AU126" t="e">
        <f>AND(NhatkyBan!#REF!,"AAAAAD/Vti4=")</f>
        <v>#REF!</v>
      </c>
      <c r="AV126" t="e">
        <f>AND(NhatkyBan!#REF!,"AAAAAD/Vti8=")</f>
        <v>#REF!</v>
      </c>
      <c r="AW126" t="e">
        <f>AND(NhatkyBan!#REF!,"AAAAAD/VtjA=")</f>
        <v>#REF!</v>
      </c>
      <c r="AX126" t="e">
        <f>AND(NhatkyBan!#REF!,"AAAAAD/VtjE=")</f>
        <v>#REF!</v>
      </c>
      <c r="AY126" t="e">
        <f>AND(NhatkyBan!#REF!,"AAAAAD/VtjI=")</f>
        <v>#REF!</v>
      </c>
      <c r="AZ126" t="e">
        <f>AND(NhatkyBan!#REF!,"AAAAAD/VtjM=")</f>
        <v>#REF!</v>
      </c>
      <c r="BA126" t="e">
        <f>AND(NhatkyBan!#REF!,"AAAAAD/VtjQ=")</f>
        <v>#REF!</v>
      </c>
      <c r="BB126" t="e">
        <f>AND(NhatkyBan!#REF!,"AAAAAD/VtjU=")</f>
        <v>#REF!</v>
      </c>
      <c r="BC126" t="e">
        <f>AND(NhatkyBan!#REF!,"AAAAAD/VtjY=")</f>
        <v>#REF!</v>
      </c>
      <c r="BD126" t="e">
        <f>AND(NhatkyBan!#REF!,"AAAAAD/Vtjc=")</f>
        <v>#REF!</v>
      </c>
      <c r="BE126" t="e">
        <f>AND(NhatkyBan!#REF!,"AAAAAD/Vtjg=")</f>
        <v>#REF!</v>
      </c>
      <c r="BF126" t="e">
        <f>AND(NhatkyBan!#REF!,"AAAAAD/Vtjk=")</f>
        <v>#REF!</v>
      </c>
      <c r="BG126" t="e">
        <f>AND(NhatkyBan!#REF!,"AAAAAD/Vtjo=")</f>
        <v>#REF!</v>
      </c>
      <c r="BH126" t="e">
        <f>AND(NhatkyBan!#REF!,"AAAAAD/Vtjs=")</f>
        <v>#REF!</v>
      </c>
      <c r="BI126" t="e">
        <f>AND(NhatkyBan!#REF!,"AAAAAD/Vtjw=")</f>
        <v>#REF!</v>
      </c>
      <c r="BJ126" t="e">
        <f>AND(NhatkyBan!#REF!,"AAAAAD/Vtj0=")</f>
        <v>#REF!</v>
      </c>
      <c r="BK126" t="e">
        <f>AND(NhatkyBan!#REF!,"AAAAAD/Vtj4=")</f>
        <v>#REF!</v>
      </c>
      <c r="BL126" t="e">
        <f>AND(NhatkyBan!#REF!,"AAAAAD/Vtj8=")</f>
        <v>#REF!</v>
      </c>
      <c r="BM126" t="e">
        <f>AND(NhatkyBan!#REF!,"AAAAAD/VtkA=")</f>
        <v>#REF!</v>
      </c>
      <c r="BN126" t="e">
        <f>AND(NhatkyBan!#REF!,"AAAAAD/VtkE=")</f>
        <v>#REF!</v>
      </c>
      <c r="BO126" t="e">
        <f>AND(NhatkyBan!#REF!,"AAAAAD/VtkI=")</f>
        <v>#REF!</v>
      </c>
      <c r="BP126" t="e">
        <f>AND(NhatkyBan!#REF!,"AAAAAD/VtkM=")</f>
        <v>#REF!</v>
      </c>
      <c r="BQ126" t="e">
        <f>AND(NhatkyBan!#REF!,"AAAAAD/VtkQ=")</f>
        <v>#REF!</v>
      </c>
      <c r="BR126" t="e">
        <f>AND(NhatkyBan!#REF!,"AAAAAD/VtkU=")</f>
        <v>#REF!</v>
      </c>
      <c r="BS126" t="e">
        <f>AND(NhatkyBan!#REF!,"AAAAAD/VtkY=")</f>
        <v>#REF!</v>
      </c>
      <c r="BT126" t="e">
        <f>AND(NhatkyBan!#REF!,"AAAAAD/Vtkc=")</f>
        <v>#REF!</v>
      </c>
      <c r="BU126" t="e">
        <f>AND(NhatkyBan!#REF!,"AAAAAD/Vtkg=")</f>
        <v>#REF!</v>
      </c>
      <c r="BV126" t="e">
        <f>AND(NhatkyBan!#REF!,"AAAAAD/Vtkk=")</f>
        <v>#REF!</v>
      </c>
      <c r="BW126" t="e">
        <f>AND(NhatkyBan!#REF!,"AAAAAD/Vtko=")</f>
        <v>#REF!</v>
      </c>
      <c r="BX126" t="e">
        <f>IF(NhatkyBan!#REF!,"AAAAAD/Vtks=",0)</f>
        <v>#REF!</v>
      </c>
      <c r="BY126" t="e">
        <f>AND(NhatkyBan!#REF!,"AAAAAD/Vtkw=")</f>
        <v>#REF!</v>
      </c>
      <c r="BZ126" t="e">
        <f>AND(NhatkyBan!#REF!,"AAAAAD/Vtk0=")</f>
        <v>#REF!</v>
      </c>
      <c r="CA126" t="e">
        <f>AND(NhatkyBan!#REF!,"AAAAAD/Vtk4=")</f>
        <v>#REF!</v>
      </c>
      <c r="CB126" t="e">
        <f>AND(NhatkyBan!#REF!,"AAAAAD/Vtk8=")</f>
        <v>#REF!</v>
      </c>
      <c r="CC126" t="e">
        <f>AND(NhatkyBan!#REF!,"AAAAAD/VtlA=")</f>
        <v>#REF!</v>
      </c>
      <c r="CD126" t="e">
        <f>AND(NhatkyBan!#REF!,"AAAAAD/VtlE=")</f>
        <v>#REF!</v>
      </c>
      <c r="CE126" t="e">
        <f>AND(NhatkyBan!#REF!,"AAAAAD/VtlI=")</f>
        <v>#REF!</v>
      </c>
      <c r="CF126" t="e">
        <f>AND(NhatkyBan!#REF!,"AAAAAD/VtlM=")</f>
        <v>#REF!</v>
      </c>
      <c r="CG126" t="e">
        <f>AND(NhatkyBan!#REF!,"AAAAAD/VtlQ=")</f>
        <v>#REF!</v>
      </c>
      <c r="CH126" t="e">
        <f>AND(NhatkyBan!#REF!,"AAAAAD/VtlU=")</f>
        <v>#REF!</v>
      </c>
      <c r="CI126" t="e">
        <f>AND(NhatkyBan!#REF!,"AAAAAD/VtlY=")</f>
        <v>#REF!</v>
      </c>
      <c r="CJ126" t="e">
        <f>AND(NhatkyBan!#REF!,"AAAAAD/Vtlc=")</f>
        <v>#REF!</v>
      </c>
      <c r="CK126" t="e">
        <f>AND(NhatkyBan!#REF!,"AAAAAD/Vtlg=")</f>
        <v>#REF!</v>
      </c>
      <c r="CL126" t="e">
        <f>AND(NhatkyBan!#REF!,"AAAAAD/Vtlk=")</f>
        <v>#REF!</v>
      </c>
      <c r="CM126" t="e">
        <f>AND(NhatkyBan!#REF!,"AAAAAD/Vtlo=")</f>
        <v>#REF!</v>
      </c>
      <c r="CN126" t="e">
        <f>AND(NhatkyBan!#REF!,"AAAAAD/Vtls=")</f>
        <v>#REF!</v>
      </c>
      <c r="CO126" t="e">
        <f>AND(NhatkyBan!#REF!,"AAAAAD/Vtlw=")</f>
        <v>#REF!</v>
      </c>
      <c r="CP126" t="e">
        <f>AND(NhatkyBan!#REF!,"AAAAAD/Vtl0=")</f>
        <v>#REF!</v>
      </c>
      <c r="CQ126" t="e">
        <f>AND(NhatkyBan!#REF!,"AAAAAD/Vtl4=")</f>
        <v>#REF!</v>
      </c>
      <c r="CR126" t="e">
        <f>AND(NhatkyBan!#REF!,"AAAAAD/Vtl8=")</f>
        <v>#REF!</v>
      </c>
      <c r="CS126" t="e">
        <f>AND(NhatkyBan!#REF!,"AAAAAD/VtmA=")</f>
        <v>#REF!</v>
      </c>
      <c r="CT126" t="e">
        <f>AND(NhatkyBan!#REF!,"AAAAAD/VtmE=")</f>
        <v>#REF!</v>
      </c>
      <c r="CU126" t="e">
        <f>AND(NhatkyBan!#REF!,"AAAAAD/VtmI=")</f>
        <v>#REF!</v>
      </c>
      <c r="CV126" t="e">
        <f>AND(NhatkyBan!#REF!,"AAAAAD/VtmM=")</f>
        <v>#REF!</v>
      </c>
      <c r="CW126" t="e">
        <f>AND(NhatkyBan!#REF!,"AAAAAD/VtmQ=")</f>
        <v>#REF!</v>
      </c>
      <c r="CX126" t="e">
        <f>AND(NhatkyBan!#REF!,"AAAAAD/VtmU=")</f>
        <v>#REF!</v>
      </c>
      <c r="CY126" t="e">
        <f>AND(NhatkyBan!#REF!,"AAAAAD/VtmY=")</f>
        <v>#REF!</v>
      </c>
      <c r="CZ126" t="e">
        <f>AND(NhatkyBan!#REF!,"AAAAAD/Vtmc=")</f>
        <v>#REF!</v>
      </c>
      <c r="DA126" t="e">
        <f>AND(NhatkyBan!#REF!,"AAAAAD/Vtmg=")</f>
        <v>#REF!</v>
      </c>
      <c r="DB126" t="e">
        <f>AND(NhatkyBan!#REF!,"AAAAAD/Vtmk=")</f>
        <v>#REF!</v>
      </c>
      <c r="DC126" t="e">
        <f>AND(NhatkyBan!#REF!,"AAAAAD/Vtmo=")</f>
        <v>#REF!</v>
      </c>
      <c r="DD126" t="e">
        <f>AND(NhatkyBan!#REF!,"AAAAAD/Vtms=")</f>
        <v>#REF!</v>
      </c>
      <c r="DE126" t="e">
        <f>AND(NhatkyBan!#REF!,"AAAAAD/Vtmw=")</f>
        <v>#REF!</v>
      </c>
      <c r="DF126" t="e">
        <f>AND(NhatkyBan!#REF!,"AAAAAD/Vtm0=")</f>
        <v>#REF!</v>
      </c>
      <c r="DG126" t="e">
        <f>IF(NhatkyBan!#REF!,"AAAAAD/Vtm4=",0)</f>
        <v>#REF!</v>
      </c>
      <c r="DH126" t="e">
        <f>AND(NhatkyBan!#REF!,"AAAAAD/Vtm8=")</f>
        <v>#REF!</v>
      </c>
      <c r="DI126" t="e">
        <f>AND(NhatkyBan!#REF!,"AAAAAD/VtnA=")</f>
        <v>#REF!</v>
      </c>
      <c r="DJ126" t="e">
        <f>AND(NhatkyBan!#REF!,"AAAAAD/VtnE=")</f>
        <v>#REF!</v>
      </c>
      <c r="DK126" t="e">
        <f>AND(NhatkyBan!#REF!,"AAAAAD/VtnI=")</f>
        <v>#REF!</v>
      </c>
      <c r="DL126" t="e">
        <f>AND(NhatkyBan!#REF!,"AAAAAD/VtnM=")</f>
        <v>#REF!</v>
      </c>
      <c r="DM126" t="e">
        <f>AND(NhatkyBan!#REF!,"AAAAAD/VtnQ=")</f>
        <v>#REF!</v>
      </c>
      <c r="DN126" t="e">
        <f>AND(NhatkyBan!#REF!,"AAAAAD/VtnU=")</f>
        <v>#REF!</v>
      </c>
      <c r="DO126" t="e">
        <f>AND(NhatkyBan!#REF!,"AAAAAD/VtnY=")</f>
        <v>#REF!</v>
      </c>
      <c r="DP126" t="e">
        <f>AND(NhatkyBan!#REF!,"AAAAAD/Vtnc=")</f>
        <v>#REF!</v>
      </c>
      <c r="DQ126" t="e">
        <f>AND(NhatkyBan!#REF!,"AAAAAD/Vtng=")</f>
        <v>#REF!</v>
      </c>
      <c r="DR126" t="e">
        <f>AND(NhatkyBan!#REF!,"AAAAAD/Vtnk=")</f>
        <v>#REF!</v>
      </c>
      <c r="DS126" t="e">
        <f>AND(NhatkyBan!#REF!,"AAAAAD/Vtno=")</f>
        <v>#REF!</v>
      </c>
      <c r="DT126" t="e">
        <f>AND(NhatkyBan!#REF!,"AAAAAD/Vtns=")</f>
        <v>#REF!</v>
      </c>
      <c r="DU126" t="e">
        <f>AND(NhatkyBan!#REF!,"AAAAAD/Vtnw=")</f>
        <v>#REF!</v>
      </c>
      <c r="DV126" t="e">
        <f>AND(NhatkyBan!#REF!,"AAAAAD/Vtn0=")</f>
        <v>#REF!</v>
      </c>
      <c r="DW126" t="e">
        <f>AND(NhatkyBan!#REF!,"AAAAAD/Vtn4=")</f>
        <v>#REF!</v>
      </c>
      <c r="DX126" t="e">
        <f>AND(NhatkyBan!#REF!,"AAAAAD/Vtn8=")</f>
        <v>#REF!</v>
      </c>
      <c r="DY126" t="e">
        <f>AND(NhatkyBan!#REF!,"AAAAAD/VtoA=")</f>
        <v>#REF!</v>
      </c>
      <c r="DZ126" t="e">
        <f>AND(NhatkyBan!#REF!,"AAAAAD/VtoE=")</f>
        <v>#REF!</v>
      </c>
      <c r="EA126" t="e">
        <f>AND(NhatkyBan!#REF!,"AAAAAD/VtoI=")</f>
        <v>#REF!</v>
      </c>
      <c r="EB126" t="e">
        <f>AND(NhatkyBan!#REF!,"AAAAAD/VtoM=")</f>
        <v>#REF!</v>
      </c>
      <c r="EC126" t="e">
        <f>AND(NhatkyBan!#REF!,"AAAAAD/VtoQ=")</f>
        <v>#REF!</v>
      </c>
      <c r="ED126" t="e">
        <f>AND(NhatkyBan!#REF!,"AAAAAD/VtoU=")</f>
        <v>#REF!</v>
      </c>
      <c r="EE126" t="e">
        <f>AND(NhatkyBan!#REF!,"AAAAAD/VtoY=")</f>
        <v>#REF!</v>
      </c>
      <c r="EF126" t="e">
        <f>AND(NhatkyBan!#REF!,"AAAAAD/Vtoc=")</f>
        <v>#REF!</v>
      </c>
      <c r="EG126" t="e">
        <f>AND(NhatkyBan!#REF!,"AAAAAD/Vtog=")</f>
        <v>#REF!</v>
      </c>
      <c r="EH126" t="e">
        <f>AND(NhatkyBan!#REF!,"AAAAAD/Vtok=")</f>
        <v>#REF!</v>
      </c>
      <c r="EI126" t="e">
        <f>AND(NhatkyBan!#REF!,"AAAAAD/Vtoo=")</f>
        <v>#REF!</v>
      </c>
      <c r="EJ126" t="e">
        <f>AND(NhatkyBan!#REF!,"AAAAAD/Vtos=")</f>
        <v>#REF!</v>
      </c>
      <c r="EK126" t="e">
        <f>AND(NhatkyBan!#REF!,"AAAAAD/Vtow=")</f>
        <v>#REF!</v>
      </c>
      <c r="EL126" t="e">
        <f>AND(NhatkyBan!#REF!,"AAAAAD/Vto0=")</f>
        <v>#REF!</v>
      </c>
      <c r="EM126" t="e">
        <f>AND(NhatkyBan!#REF!,"AAAAAD/Vto4=")</f>
        <v>#REF!</v>
      </c>
      <c r="EN126" t="e">
        <f>AND(NhatkyBan!#REF!,"AAAAAD/Vto8=")</f>
        <v>#REF!</v>
      </c>
      <c r="EO126" t="e">
        <f>AND(NhatkyBan!#REF!,"AAAAAD/VtpA=")</f>
        <v>#REF!</v>
      </c>
      <c r="EP126" t="e">
        <f>IF(NhatkyBan!#REF!,"AAAAAD/VtpE=",0)</f>
        <v>#REF!</v>
      </c>
      <c r="EQ126" t="e">
        <f>AND(NhatkyBan!#REF!,"AAAAAD/VtpI=")</f>
        <v>#REF!</v>
      </c>
      <c r="ER126" t="e">
        <f>AND(NhatkyBan!#REF!,"AAAAAD/VtpM=")</f>
        <v>#REF!</v>
      </c>
      <c r="ES126" t="e">
        <f>AND(NhatkyBan!#REF!,"AAAAAD/VtpQ=")</f>
        <v>#REF!</v>
      </c>
      <c r="ET126" t="e">
        <f>AND(NhatkyBan!#REF!,"AAAAAD/VtpU=")</f>
        <v>#REF!</v>
      </c>
      <c r="EU126" t="e">
        <f>AND(NhatkyBan!#REF!,"AAAAAD/VtpY=")</f>
        <v>#REF!</v>
      </c>
      <c r="EV126" t="e">
        <f>AND(NhatkyBan!#REF!,"AAAAAD/Vtpc=")</f>
        <v>#REF!</v>
      </c>
      <c r="EW126" t="e">
        <f>AND(NhatkyBan!#REF!,"AAAAAD/Vtpg=")</f>
        <v>#REF!</v>
      </c>
      <c r="EX126" t="e">
        <f>AND(NhatkyBan!#REF!,"AAAAAD/Vtpk=")</f>
        <v>#REF!</v>
      </c>
      <c r="EY126" t="e">
        <f>AND(NhatkyBan!#REF!,"AAAAAD/Vtpo=")</f>
        <v>#REF!</v>
      </c>
      <c r="EZ126" t="e">
        <f>AND(NhatkyBan!#REF!,"AAAAAD/Vtps=")</f>
        <v>#REF!</v>
      </c>
      <c r="FA126" t="e">
        <f>AND(NhatkyBan!#REF!,"AAAAAD/Vtpw=")</f>
        <v>#REF!</v>
      </c>
      <c r="FB126" t="e">
        <f>AND(NhatkyBan!#REF!,"AAAAAD/Vtp0=")</f>
        <v>#REF!</v>
      </c>
      <c r="FC126" t="e">
        <f>AND(NhatkyBan!#REF!,"AAAAAD/Vtp4=")</f>
        <v>#REF!</v>
      </c>
      <c r="FD126" t="e">
        <f>AND(NhatkyBan!#REF!,"AAAAAD/Vtp8=")</f>
        <v>#REF!</v>
      </c>
      <c r="FE126" t="e">
        <f>AND(NhatkyBan!#REF!,"AAAAAD/VtqA=")</f>
        <v>#REF!</v>
      </c>
      <c r="FF126" t="e">
        <f>AND(NhatkyBan!#REF!,"AAAAAD/VtqE=")</f>
        <v>#REF!</v>
      </c>
      <c r="FG126" t="e">
        <f>AND(NhatkyBan!#REF!,"AAAAAD/VtqI=")</f>
        <v>#REF!</v>
      </c>
      <c r="FH126" t="e">
        <f>AND(NhatkyBan!#REF!,"AAAAAD/VtqM=")</f>
        <v>#REF!</v>
      </c>
      <c r="FI126" t="e">
        <f>AND(NhatkyBan!#REF!,"AAAAAD/VtqQ=")</f>
        <v>#REF!</v>
      </c>
      <c r="FJ126" t="e">
        <f>AND(NhatkyBan!#REF!,"AAAAAD/VtqU=")</f>
        <v>#REF!</v>
      </c>
      <c r="FK126" t="e">
        <f>AND(NhatkyBan!#REF!,"AAAAAD/VtqY=")</f>
        <v>#REF!</v>
      </c>
      <c r="FL126" t="e">
        <f>AND(NhatkyBan!#REF!,"AAAAAD/Vtqc=")</f>
        <v>#REF!</v>
      </c>
      <c r="FM126" t="e">
        <f>AND(NhatkyBan!#REF!,"AAAAAD/Vtqg=")</f>
        <v>#REF!</v>
      </c>
      <c r="FN126" t="e">
        <f>AND(NhatkyBan!#REF!,"AAAAAD/Vtqk=")</f>
        <v>#REF!</v>
      </c>
      <c r="FO126" t="e">
        <f>AND(NhatkyBan!#REF!,"AAAAAD/Vtqo=")</f>
        <v>#REF!</v>
      </c>
      <c r="FP126" t="e">
        <f>AND(NhatkyBan!#REF!,"AAAAAD/Vtqs=")</f>
        <v>#REF!</v>
      </c>
      <c r="FQ126" t="e">
        <f>AND(NhatkyBan!#REF!,"AAAAAD/Vtqw=")</f>
        <v>#REF!</v>
      </c>
      <c r="FR126" t="e">
        <f>AND(NhatkyBan!#REF!,"AAAAAD/Vtq0=")</f>
        <v>#REF!</v>
      </c>
      <c r="FS126" t="e">
        <f>AND(NhatkyBan!#REF!,"AAAAAD/Vtq4=")</f>
        <v>#REF!</v>
      </c>
      <c r="FT126" t="e">
        <f>AND(NhatkyBan!#REF!,"AAAAAD/Vtq8=")</f>
        <v>#REF!</v>
      </c>
      <c r="FU126" t="e">
        <f>AND(NhatkyBan!#REF!,"AAAAAD/VtrA=")</f>
        <v>#REF!</v>
      </c>
      <c r="FV126" t="e">
        <f>AND(NhatkyBan!#REF!,"AAAAAD/VtrE=")</f>
        <v>#REF!</v>
      </c>
      <c r="FW126" t="e">
        <f>AND(NhatkyBan!#REF!,"AAAAAD/VtrI=")</f>
        <v>#REF!</v>
      </c>
      <c r="FX126" t="e">
        <f>AND(NhatkyBan!#REF!,"AAAAAD/VtrM=")</f>
        <v>#REF!</v>
      </c>
      <c r="FY126" t="e">
        <f>IF(NhatkyBan!#REF!,"AAAAAD/VtrQ=",0)</f>
        <v>#REF!</v>
      </c>
      <c r="FZ126" t="e">
        <f>AND(NhatkyBan!#REF!,"AAAAAD/VtrU=")</f>
        <v>#REF!</v>
      </c>
      <c r="GA126" t="e">
        <f>AND(NhatkyBan!#REF!,"AAAAAD/VtrY=")</f>
        <v>#REF!</v>
      </c>
      <c r="GB126" t="e">
        <f>AND(NhatkyBan!#REF!,"AAAAAD/Vtrc=")</f>
        <v>#REF!</v>
      </c>
      <c r="GC126" t="e">
        <f>AND(NhatkyBan!#REF!,"AAAAAD/Vtrg=")</f>
        <v>#REF!</v>
      </c>
      <c r="GD126" t="e">
        <f>AND(NhatkyBan!#REF!,"AAAAAD/Vtrk=")</f>
        <v>#REF!</v>
      </c>
      <c r="GE126" t="e">
        <f>AND(NhatkyBan!#REF!,"AAAAAD/Vtro=")</f>
        <v>#REF!</v>
      </c>
      <c r="GF126" t="e">
        <f>AND(NhatkyBan!#REF!,"AAAAAD/Vtrs=")</f>
        <v>#REF!</v>
      </c>
      <c r="GG126" t="e">
        <f>AND(NhatkyBan!#REF!,"AAAAAD/Vtrw=")</f>
        <v>#REF!</v>
      </c>
      <c r="GH126" t="e">
        <f>AND(NhatkyBan!#REF!,"AAAAAD/Vtr0=")</f>
        <v>#REF!</v>
      </c>
      <c r="GI126" t="e">
        <f>AND(NhatkyBan!#REF!,"AAAAAD/Vtr4=")</f>
        <v>#REF!</v>
      </c>
      <c r="GJ126" t="e">
        <f>AND(NhatkyBan!#REF!,"AAAAAD/Vtr8=")</f>
        <v>#REF!</v>
      </c>
      <c r="GK126" t="e">
        <f>AND(NhatkyBan!#REF!,"AAAAAD/VtsA=")</f>
        <v>#REF!</v>
      </c>
      <c r="GL126" t="e">
        <f>AND(NhatkyBan!#REF!,"AAAAAD/VtsE=")</f>
        <v>#REF!</v>
      </c>
      <c r="GM126" t="e">
        <f>AND(NhatkyBan!#REF!,"AAAAAD/VtsI=")</f>
        <v>#REF!</v>
      </c>
      <c r="GN126" t="e">
        <f>AND(NhatkyBan!#REF!,"AAAAAD/VtsM=")</f>
        <v>#REF!</v>
      </c>
      <c r="GO126" t="e">
        <f>AND(NhatkyBan!#REF!,"AAAAAD/VtsQ=")</f>
        <v>#REF!</v>
      </c>
      <c r="GP126" t="e">
        <f>AND(NhatkyBan!#REF!,"AAAAAD/VtsU=")</f>
        <v>#REF!</v>
      </c>
      <c r="GQ126" t="e">
        <f>AND(NhatkyBan!#REF!,"AAAAAD/VtsY=")</f>
        <v>#REF!</v>
      </c>
      <c r="GR126" t="e">
        <f>AND(NhatkyBan!#REF!,"AAAAAD/Vtsc=")</f>
        <v>#REF!</v>
      </c>
      <c r="GS126" t="e">
        <f>AND(NhatkyBan!#REF!,"AAAAAD/Vtsg=")</f>
        <v>#REF!</v>
      </c>
      <c r="GT126" t="e">
        <f>AND(NhatkyBan!#REF!,"AAAAAD/Vtsk=")</f>
        <v>#REF!</v>
      </c>
      <c r="GU126" t="e">
        <f>AND(NhatkyBan!#REF!,"AAAAAD/Vtso=")</f>
        <v>#REF!</v>
      </c>
      <c r="GV126" t="e">
        <f>AND(NhatkyBan!#REF!,"AAAAAD/Vtss=")</f>
        <v>#REF!</v>
      </c>
      <c r="GW126" t="e">
        <f>AND(NhatkyBan!#REF!,"AAAAAD/Vtsw=")</f>
        <v>#REF!</v>
      </c>
      <c r="GX126" t="e">
        <f>AND(NhatkyBan!#REF!,"AAAAAD/Vts0=")</f>
        <v>#REF!</v>
      </c>
      <c r="GY126" t="e">
        <f>AND(NhatkyBan!#REF!,"AAAAAD/Vts4=")</f>
        <v>#REF!</v>
      </c>
      <c r="GZ126" t="e">
        <f>AND(NhatkyBan!#REF!,"AAAAAD/Vts8=")</f>
        <v>#REF!</v>
      </c>
      <c r="HA126" t="e">
        <f>AND(NhatkyBan!#REF!,"AAAAAD/VttA=")</f>
        <v>#REF!</v>
      </c>
      <c r="HB126" t="e">
        <f>AND(NhatkyBan!#REF!,"AAAAAD/VttE=")</f>
        <v>#REF!</v>
      </c>
      <c r="HC126" t="e">
        <f>AND(NhatkyBan!#REF!,"AAAAAD/VttI=")</f>
        <v>#REF!</v>
      </c>
      <c r="HD126" t="e">
        <f>AND(NhatkyBan!#REF!,"AAAAAD/VttM=")</f>
        <v>#REF!</v>
      </c>
      <c r="HE126" t="e">
        <f>AND(NhatkyBan!#REF!,"AAAAAD/VttQ=")</f>
        <v>#REF!</v>
      </c>
      <c r="HF126" t="e">
        <f>AND(NhatkyBan!#REF!,"AAAAAD/VttU=")</f>
        <v>#REF!</v>
      </c>
      <c r="HG126" t="e">
        <f>AND(NhatkyBan!#REF!,"AAAAAD/VttY=")</f>
        <v>#REF!</v>
      </c>
      <c r="HH126" t="e">
        <f>IF(NhatkyBan!#REF!,"AAAAAD/Vttc=",0)</f>
        <v>#REF!</v>
      </c>
      <c r="HI126" t="e">
        <f>AND(NhatkyBan!#REF!,"AAAAAD/Vttg=")</f>
        <v>#REF!</v>
      </c>
      <c r="HJ126" t="e">
        <f>AND(NhatkyBan!#REF!,"AAAAAD/Vttk=")</f>
        <v>#REF!</v>
      </c>
      <c r="HK126" t="e">
        <f>AND(NhatkyBan!#REF!,"AAAAAD/Vtto=")</f>
        <v>#REF!</v>
      </c>
      <c r="HL126" t="e">
        <f>AND(NhatkyBan!#REF!,"AAAAAD/Vtts=")</f>
        <v>#REF!</v>
      </c>
      <c r="HM126" t="e">
        <f>AND(NhatkyBan!#REF!,"AAAAAD/Vttw=")</f>
        <v>#REF!</v>
      </c>
      <c r="HN126" t="e">
        <f>AND(NhatkyBan!#REF!,"AAAAAD/Vtt0=")</f>
        <v>#REF!</v>
      </c>
      <c r="HO126" t="e">
        <f>AND(NhatkyBan!#REF!,"AAAAAD/Vtt4=")</f>
        <v>#REF!</v>
      </c>
      <c r="HP126" t="e">
        <f>AND(NhatkyBan!#REF!,"AAAAAD/Vtt8=")</f>
        <v>#REF!</v>
      </c>
      <c r="HQ126" t="e">
        <f>AND(NhatkyBan!#REF!,"AAAAAD/VtuA=")</f>
        <v>#REF!</v>
      </c>
      <c r="HR126" t="e">
        <f>AND(NhatkyBan!#REF!,"AAAAAD/VtuE=")</f>
        <v>#REF!</v>
      </c>
      <c r="HS126" t="e">
        <f>AND(NhatkyBan!#REF!,"AAAAAD/VtuI=")</f>
        <v>#REF!</v>
      </c>
      <c r="HT126" t="e">
        <f>AND(NhatkyBan!#REF!,"AAAAAD/VtuM=")</f>
        <v>#REF!</v>
      </c>
      <c r="HU126" t="e">
        <f>AND(NhatkyBan!#REF!,"AAAAAD/VtuQ=")</f>
        <v>#REF!</v>
      </c>
      <c r="HV126" t="e">
        <f>AND(NhatkyBan!#REF!,"AAAAAD/VtuU=")</f>
        <v>#REF!</v>
      </c>
      <c r="HW126" t="e">
        <f>AND(NhatkyBan!#REF!,"AAAAAD/VtuY=")</f>
        <v>#REF!</v>
      </c>
      <c r="HX126" t="e">
        <f>AND(NhatkyBan!#REF!,"AAAAAD/Vtuc=")</f>
        <v>#REF!</v>
      </c>
      <c r="HY126" t="e">
        <f>AND(NhatkyBan!#REF!,"AAAAAD/Vtug=")</f>
        <v>#REF!</v>
      </c>
      <c r="HZ126" t="e">
        <f>AND(NhatkyBan!#REF!,"AAAAAD/Vtuk=")</f>
        <v>#REF!</v>
      </c>
      <c r="IA126" t="e">
        <f>AND(NhatkyBan!#REF!,"AAAAAD/Vtuo=")</f>
        <v>#REF!</v>
      </c>
      <c r="IB126" t="e">
        <f>AND(NhatkyBan!#REF!,"AAAAAD/Vtus=")</f>
        <v>#REF!</v>
      </c>
      <c r="IC126" t="e">
        <f>AND(NhatkyBan!#REF!,"AAAAAD/Vtuw=")</f>
        <v>#REF!</v>
      </c>
      <c r="ID126" t="e">
        <f>AND(NhatkyBan!#REF!,"AAAAAD/Vtu0=")</f>
        <v>#REF!</v>
      </c>
      <c r="IE126" t="e">
        <f>AND(NhatkyBan!#REF!,"AAAAAD/Vtu4=")</f>
        <v>#REF!</v>
      </c>
      <c r="IF126" t="e">
        <f>AND(NhatkyBan!#REF!,"AAAAAD/Vtu8=")</f>
        <v>#REF!</v>
      </c>
      <c r="IG126" t="e">
        <f>AND(NhatkyBan!#REF!,"AAAAAD/VtvA=")</f>
        <v>#REF!</v>
      </c>
      <c r="IH126" t="e">
        <f>AND(NhatkyBan!#REF!,"AAAAAD/VtvE=")</f>
        <v>#REF!</v>
      </c>
      <c r="II126" t="e">
        <f>AND(NhatkyBan!#REF!,"AAAAAD/VtvI=")</f>
        <v>#REF!</v>
      </c>
      <c r="IJ126" t="e">
        <f>AND(NhatkyBan!#REF!,"AAAAAD/VtvM=")</f>
        <v>#REF!</v>
      </c>
      <c r="IK126" t="e">
        <f>AND(NhatkyBan!#REF!,"AAAAAD/VtvQ=")</f>
        <v>#REF!</v>
      </c>
      <c r="IL126" t="e">
        <f>AND(NhatkyBan!#REF!,"AAAAAD/VtvU=")</f>
        <v>#REF!</v>
      </c>
      <c r="IM126" t="e">
        <f>AND(NhatkyBan!#REF!,"AAAAAD/VtvY=")</f>
        <v>#REF!</v>
      </c>
      <c r="IN126" t="e">
        <f>AND(NhatkyBan!#REF!,"AAAAAD/Vtvc=")</f>
        <v>#REF!</v>
      </c>
      <c r="IO126" t="e">
        <f>AND(NhatkyBan!#REF!,"AAAAAD/Vtvg=")</f>
        <v>#REF!</v>
      </c>
      <c r="IP126" t="e">
        <f>AND(NhatkyBan!#REF!,"AAAAAD/Vtvk=")</f>
        <v>#REF!</v>
      </c>
      <c r="IQ126" t="e">
        <f>IF(NhatkyBan!#REF!,"AAAAAD/Vtvo=",0)</f>
        <v>#REF!</v>
      </c>
      <c r="IR126" t="e">
        <f>AND(NhatkyBan!#REF!,"AAAAAD/Vtvs=")</f>
        <v>#REF!</v>
      </c>
      <c r="IS126" t="e">
        <f>AND(NhatkyBan!#REF!,"AAAAAD/Vtvw=")</f>
        <v>#REF!</v>
      </c>
      <c r="IT126" t="e">
        <f>AND(NhatkyBan!#REF!,"AAAAAD/Vtv0=")</f>
        <v>#REF!</v>
      </c>
      <c r="IU126" t="e">
        <f>AND(NhatkyBan!#REF!,"AAAAAD/Vtv4=")</f>
        <v>#REF!</v>
      </c>
      <c r="IV126" t="e">
        <f>AND(NhatkyBan!#REF!,"AAAAAD/Vtv8=")</f>
        <v>#REF!</v>
      </c>
    </row>
    <row r="127" spans="1:256">
      <c r="A127" t="e">
        <f>AND(NhatkyBan!#REF!,"AAAAAH3ufwA=")</f>
        <v>#REF!</v>
      </c>
      <c r="B127" t="e">
        <f>AND(NhatkyBan!#REF!,"AAAAAH3ufwE=")</f>
        <v>#REF!</v>
      </c>
      <c r="C127" t="e">
        <f>AND(NhatkyBan!#REF!,"AAAAAH3ufwI=")</f>
        <v>#REF!</v>
      </c>
      <c r="D127" t="e">
        <f>AND(NhatkyBan!#REF!,"AAAAAH3ufwM=")</f>
        <v>#REF!</v>
      </c>
      <c r="E127" t="e">
        <f>AND(NhatkyBan!#REF!,"AAAAAH3ufwQ=")</f>
        <v>#REF!</v>
      </c>
      <c r="F127" t="e">
        <f>AND(NhatkyBan!#REF!,"AAAAAH3ufwU=")</f>
        <v>#REF!</v>
      </c>
      <c r="G127" t="e">
        <f>AND(NhatkyBan!#REF!,"AAAAAH3ufwY=")</f>
        <v>#REF!</v>
      </c>
      <c r="H127" t="e">
        <f>AND(NhatkyBan!#REF!,"AAAAAH3ufwc=")</f>
        <v>#REF!</v>
      </c>
      <c r="I127" t="e">
        <f>AND(NhatkyBan!#REF!,"AAAAAH3ufwg=")</f>
        <v>#REF!</v>
      </c>
      <c r="J127" t="e">
        <f>AND(NhatkyBan!#REF!,"AAAAAH3ufwk=")</f>
        <v>#REF!</v>
      </c>
      <c r="K127" t="e">
        <f>AND(NhatkyBan!#REF!,"AAAAAH3ufwo=")</f>
        <v>#REF!</v>
      </c>
      <c r="L127" t="e">
        <f>AND(NhatkyBan!#REF!,"AAAAAH3ufws=")</f>
        <v>#REF!</v>
      </c>
      <c r="M127" t="e">
        <f>AND(NhatkyBan!#REF!,"AAAAAH3ufww=")</f>
        <v>#REF!</v>
      </c>
      <c r="N127" t="e">
        <f>AND(NhatkyBan!#REF!,"AAAAAH3ufw0=")</f>
        <v>#REF!</v>
      </c>
      <c r="O127" t="e">
        <f>AND(NhatkyBan!#REF!,"AAAAAH3ufw4=")</f>
        <v>#REF!</v>
      </c>
      <c r="P127" t="e">
        <f>AND(NhatkyBan!#REF!,"AAAAAH3ufw8=")</f>
        <v>#REF!</v>
      </c>
      <c r="Q127" t="e">
        <f>AND(NhatkyBan!#REF!,"AAAAAH3ufxA=")</f>
        <v>#REF!</v>
      </c>
      <c r="R127" t="e">
        <f>AND(NhatkyBan!#REF!,"AAAAAH3ufxE=")</f>
        <v>#REF!</v>
      </c>
      <c r="S127" t="e">
        <f>AND(NhatkyBan!#REF!,"AAAAAH3ufxI=")</f>
        <v>#REF!</v>
      </c>
      <c r="T127" t="e">
        <f>AND(NhatkyBan!#REF!,"AAAAAH3ufxM=")</f>
        <v>#REF!</v>
      </c>
      <c r="U127" t="e">
        <f>AND(NhatkyBan!#REF!,"AAAAAH3ufxQ=")</f>
        <v>#REF!</v>
      </c>
      <c r="V127" t="e">
        <f>AND(NhatkyBan!#REF!,"AAAAAH3ufxU=")</f>
        <v>#REF!</v>
      </c>
      <c r="W127" t="e">
        <f>AND(NhatkyBan!#REF!,"AAAAAH3ufxY=")</f>
        <v>#REF!</v>
      </c>
      <c r="X127" t="e">
        <f>AND(NhatkyBan!#REF!,"AAAAAH3ufxc=")</f>
        <v>#REF!</v>
      </c>
      <c r="Y127" t="e">
        <f>AND(NhatkyBan!#REF!,"AAAAAH3ufxg=")</f>
        <v>#REF!</v>
      </c>
      <c r="Z127" t="e">
        <f>AND(NhatkyBan!#REF!,"AAAAAH3ufxk=")</f>
        <v>#REF!</v>
      </c>
      <c r="AA127" t="e">
        <f>AND(NhatkyBan!#REF!,"AAAAAH3ufxo=")</f>
        <v>#REF!</v>
      </c>
      <c r="AB127" t="e">
        <f>AND(NhatkyBan!#REF!,"AAAAAH3ufxs=")</f>
        <v>#REF!</v>
      </c>
      <c r="AC127" t="e">
        <f>AND(NhatkyBan!#REF!,"AAAAAH3ufxw=")</f>
        <v>#REF!</v>
      </c>
      <c r="AD127" t="e">
        <f>IF(NhatkyBan!#REF!,"AAAAAH3ufx0=",0)</f>
        <v>#REF!</v>
      </c>
      <c r="AE127" t="e">
        <f>AND(NhatkyBan!#REF!,"AAAAAH3ufx4=")</f>
        <v>#REF!</v>
      </c>
      <c r="AF127" t="e">
        <f>AND(NhatkyBan!#REF!,"AAAAAH3ufx8=")</f>
        <v>#REF!</v>
      </c>
      <c r="AG127" t="e">
        <f>AND(NhatkyBan!#REF!,"AAAAAH3ufyA=")</f>
        <v>#REF!</v>
      </c>
      <c r="AH127" t="e">
        <f>AND(NhatkyBan!#REF!,"AAAAAH3ufyE=")</f>
        <v>#REF!</v>
      </c>
      <c r="AI127" t="e">
        <f>AND(NhatkyBan!#REF!,"AAAAAH3ufyI=")</f>
        <v>#REF!</v>
      </c>
      <c r="AJ127" t="e">
        <f>AND(NhatkyBan!#REF!,"AAAAAH3ufyM=")</f>
        <v>#REF!</v>
      </c>
      <c r="AK127" t="e">
        <f>AND(NhatkyBan!#REF!,"AAAAAH3ufyQ=")</f>
        <v>#REF!</v>
      </c>
      <c r="AL127" t="e">
        <f>AND(NhatkyBan!#REF!,"AAAAAH3ufyU=")</f>
        <v>#REF!</v>
      </c>
      <c r="AM127" t="e">
        <f>AND(NhatkyBan!#REF!,"AAAAAH3ufyY=")</f>
        <v>#REF!</v>
      </c>
      <c r="AN127" t="e">
        <f>AND(NhatkyBan!#REF!,"AAAAAH3ufyc=")</f>
        <v>#REF!</v>
      </c>
      <c r="AO127" t="e">
        <f>AND(NhatkyBan!#REF!,"AAAAAH3ufyg=")</f>
        <v>#REF!</v>
      </c>
      <c r="AP127" t="e">
        <f>AND(NhatkyBan!#REF!,"AAAAAH3ufyk=")</f>
        <v>#REF!</v>
      </c>
      <c r="AQ127" t="e">
        <f>AND(NhatkyBan!#REF!,"AAAAAH3ufyo=")</f>
        <v>#REF!</v>
      </c>
      <c r="AR127" t="e">
        <f>AND(NhatkyBan!#REF!,"AAAAAH3ufys=")</f>
        <v>#REF!</v>
      </c>
      <c r="AS127" t="e">
        <f>AND(NhatkyBan!#REF!,"AAAAAH3ufyw=")</f>
        <v>#REF!</v>
      </c>
      <c r="AT127" t="e">
        <f>AND(NhatkyBan!#REF!,"AAAAAH3ufy0=")</f>
        <v>#REF!</v>
      </c>
      <c r="AU127" t="e">
        <f>AND(NhatkyBan!#REF!,"AAAAAH3ufy4=")</f>
        <v>#REF!</v>
      </c>
      <c r="AV127" t="e">
        <f>AND(NhatkyBan!#REF!,"AAAAAH3ufy8=")</f>
        <v>#REF!</v>
      </c>
      <c r="AW127" t="e">
        <f>AND(NhatkyBan!#REF!,"AAAAAH3ufzA=")</f>
        <v>#REF!</v>
      </c>
      <c r="AX127" t="e">
        <f>AND(NhatkyBan!#REF!,"AAAAAH3ufzE=")</f>
        <v>#REF!</v>
      </c>
      <c r="AY127" t="e">
        <f>AND(NhatkyBan!#REF!,"AAAAAH3ufzI=")</f>
        <v>#REF!</v>
      </c>
      <c r="AZ127" t="e">
        <f>AND(NhatkyBan!#REF!,"AAAAAH3ufzM=")</f>
        <v>#REF!</v>
      </c>
      <c r="BA127" t="e">
        <f>AND(NhatkyBan!#REF!,"AAAAAH3ufzQ=")</f>
        <v>#REF!</v>
      </c>
      <c r="BB127" t="e">
        <f>AND(NhatkyBan!#REF!,"AAAAAH3ufzU=")</f>
        <v>#REF!</v>
      </c>
      <c r="BC127" t="e">
        <f>AND(NhatkyBan!#REF!,"AAAAAH3ufzY=")</f>
        <v>#REF!</v>
      </c>
      <c r="BD127" t="e">
        <f>AND(NhatkyBan!#REF!,"AAAAAH3ufzc=")</f>
        <v>#REF!</v>
      </c>
      <c r="BE127" t="e">
        <f>AND(NhatkyBan!#REF!,"AAAAAH3ufzg=")</f>
        <v>#REF!</v>
      </c>
      <c r="BF127" t="e">
        <f>AND(NhatkyBan!#REF!,"AAAAAH3ufzk=")</f>
        <v>#REF!</v>
      </c>
      <c r="BG127" t="e">
        <f>AND(NhatkyBan!#REF!,"AAAAAH3ufzo=")</f>
        <v>#REF!</v>
      </c>
      <c r="BH127" t="e">
        <f>AND(NhatkyBan!#REF!,"AAAAAH3ufzs=")</f>
        <v>#REF!</v>
      </c>
      <c r="BI127" t="e">
        <f>AND(NhatkyBan!#REF!,"AAAAAH3ufzw=")</f>
        <v>#REF!</v>
      </c>
      <c r="BJ127" t="e">
        <f>AND(NhatkyBan!#REF!,"AAAAAH3ufz0=")</f>
        <v>#REF!</v>
      </c>
      <c r="BK127" t="e">
        <f>AND(NhatkyBan!#REF!,"AAAAAH3ufz4=")</f>
        <v>#REF!</v>
      </c>
      <c r="BL127" t="e">
        <f>AND(NhatkyBan!#REF!,"AAAAAH3ufz8=")</f>
        <v>#REF!</v>
      </c>
      <c r="BM127" t="e">
        <f>IF(NhatkyBan!#REF!,"AAAAAH3uf0A=",0)</f>
        <v>#REF!</v>
      </c>
      <c r="BN127" t="e">
        <f>AND(NhatkyBan!#REF!,"AAAAAH3uf0E=")</f>
        <v>#REF!</v>
      </c>
      <c r="BO127" t="e">
        <f>AND(NhatkyBan!#REF!,"AAAAAH3uf0I=")</f>
        <v>#REF!</v>
      </c>
      <c r="BP127" t="e">
        <f>AND(NhatkyBan!#REF!,"AAAAAH3uf0M=")</f>
        <v>#REF!</v>
      </c>
      <c r="BQ127" t="e">
        <f>AND(NhatkyBan!#REF!,"AAAAAH3uf0Q=")</f>
        <v>#REF!</v>
      </c>
      <c r="BR127" t="e">
        <f>AND(NhatkyBan!#REF!,"AAAAAH3uf0U=")</f>
        <v>#REF!</v>
      </c>
      <c r="BS127" t="e">
        <f>AND(NhatkyBan!#REF!,"AAAAAH3uf0Y=")</f>
        <v>#REF!</v>
      </c>
      <c r="BT127" t="e">
        <f>AND(NhatkyBan!#REF!,"AAAAAH3uf0c=")</f>
        <v>#REF!</v>
      </c>
      <c r="BU127" t="e">
        <f>AND(NhatkyBan!#REF!,"AAAAAH3uf0g=")</f>
        <v>#REF!</v>
      </c>
      <c r="BV127" t="e">
        <f>AND(NhatkyBan!#REF!,"AAAAAH3uf0k=")</f>
        <v>#REF!</v>
      </c>
      <c r="BW127" t="e">
        <f>AND(NhatkyBan!#REF!,"AAAAAH3uf0o=")</f>
        <v>#REF!</v>
      </c>
      <c r="BX127" t="e">
        <f>AND(NhatkyBan!#REF!,"AAAAAH3uf0s=")</f>
        <v>#REF!</v>
      </c>
      <c r="BY127" t="e">
        <f>AND(NhatkyBan!#REF!,"AAAAAH3uf0w=")</f>
        <v>#REF!</v>
      </c>
      <c r="BZ127" t="e">
        <f>AND(NhatkyBan!#REF!,"AAAAAH3uf00=")</f>
        <v>#REF!</v>
      </c>
      <c r="CA127" t="e">
        <f>AND(NhatkyBan!#REF!,"AAAAAH3uf04=")</f>
        <v>#REF!</v>
      </c>
      <c r="CB127" t="e">
        <f>AND(NhatkyBan!#REF!,"AAAAAH3uf08=")</f>
        <v>#REF!</v>
      </c>
      <c r="CC127" t="e">
        <f>AND(NhatkyBan!#REF!,"AAAAAH3uf1A=")</f>
        <v>#REF!</v>
      </c>
      <c r="CD127" t="e">
        <f>AND(NhatkyBan!#REF!,"AAAAAH3uf1E=")</f>
        <v>#REF!</v>
      </c>
      <c r="CE127" t="e">
        <f>AND(NhatkyBan!#REF!,"AAAAAH3uf1I=")</f>
        <v>#REF!</v>
      </c>
      <c r="CF127" t="e">
        <f>AND(NhatkyBan!#REF!,"AAAAAH3uf1M=")</f>
        <v>#REF!</v>
      </c>
      <c r="CG127" t="e">
        <f>AND(NhatkyBan!#REF!,"AAAAAH3uf1Q=")</f>
        <v>#REF!</v>
      </c>
      <c r="CH127" t="e">
        <f>AND(NhatkyBan!#REF!,"AAAAAH3uf1U=")</f>
        <v>#REF!</v>
      </c>
      <c r="CI127" t="e">
        <f>AND(NhatkyBan!#REF!,"AAAAAH3uf1Y=")</f>
        <v>#REF!</v>
      </c>
      <c r="CJ127" t="e">
        <f>AND(NhatkyBan!#REF!,"AAAAAH3uf1c=")</f>
        <v>#REF!</v>
      </c>
      <c r="CK127" t="e">
        <f>AND(NhatkyBan!#REF!,"AAAAAH3uf1g=")</f>
        <v>#REF!</v>
      </c>
      <c r="CL127" t="e">
        <f>AND(NhatkyBan!#REF!,"AAAAAH3uf1k=")</f>
        <v>#REF!</v>
      </c>
      <c r="CM127" t="e">
        <f>AND(NhatkyBan!#REF!,"AAAAAH3uf1o=")</f>
        <v>#REF!</v>
      </c>
      <c r="CN127" t="e">
        <f>AND(NhatkyBan!#REF!,"AAAAAH3uf1s=")</f>
        <v>#REF!</v>
      </c>
      <c r="CO127" t="e">
        <f>AND(NhatkyBan!#REF!,"AAAAAH3uf1w=")</f>
        <v>#REF!</v>
      </c>
      <c r="CP127" t="e">
        <f>AND(NhatkyBan!#REF!,"AAAAAH3uf10=")</f>
        <v>#REF!</v>
      </c>
      <c r="CQ127" t="e">
        <f>AND(NhatkyBan!#REF!,"AAAAAH3uf14=")</f>
        <v>#REF!</v>
      </c>
      <c r="CR127" t="e">
        <f>AND(NhatkyBan!#REF!,"AAAAAH3uf18=")</f>
        <v>#REF!</v>
      </c>
      <c r="CS127" t="e">
        <f>AND(NhatkyBan!#REF!,"AAAAAH3uf2A=")</f>
        <v>#REF!</v>
      </c>
      <c r="CT127" t="e">
        <f>AND(NhatkyBan!#REF!,"AAAAAH3uf2E=")</f>
        <v>#REF!</v>
      </c>
      <c r="CU127" t="e">
        <f>AND(NhatkyBan!#REF!,"AAAAAH3uf2I=")</f>
        <v>#REF!</v>
      </c>
      <c r="CV127" t="e">
        <f>IF(NhatkyBan!#REF!,"AAAAAH3uf2M=",0)</f>
        <v>#REF!</v>
      </c>
      <c r="CW127" t="e">
        <f>AND(NhatkyBan!#REF!,"AAAAAH3uf2Q=")</f>
        <v>#REF!</v>
      </c>
      <c r="CX127" t="e">
        <f>AND(NhatkyBan!#REF!,"AAAAAH3uf2U=")</f>
        <v>#REF!</v>
      </c>
      <c r="CY127" t="e">
        <f>AND(NhatkyBan!#REF!,"AAAAAH3uf2Y=")</f>
        <v>#REF!</v>
      </c>
      <c r="CZ127" t="e">
        <f>AND(NhatkyBan!#REF!,"AAAAAH3uf2c=")</f>
        <v>#REF!</v>
      </c>
      <c r="DA127" t="e">
        <f>AND(NhatkyBan!#REF!,"AAAAAH3uf2g=")</f>
        <v>#REF!</v>
      </c>
      <c r="DB127" t="e">
        <f>AND(NhatkyBan!#REF!,"AAAAAH3uf2k=")</f>
        <v>#REF!</v>
      </c>
      <c r="DC127" t="e">
        <f>AND(NhatkyBan!#REF!,"AAAAAH3uf2o=")</f>
        <v>#REF!</v>
      </c>
      <c r="DD127" t="e">
        <f>AND(NhatkyBan!#REF!,"AAAAAH3uf2s=")</f>
        <v>#REF!</v>
      </c>
      <c r="DE127" t="e">
        <f>AND(NhatkyBan!#REF!,"AAAAAH3uf2w=")</f>
        <v>#REF!</v>
      </c>
      <c r="DF127" t="e">
        <f>AND(NhatkyBan!#REF!,"AAAAAH3uf20=")</f>
        <v>#REF!</v>
      </c>
      <c r="DG127" t="e">
        <f>AND(NhatkyBan!#REF!,"AAAAAH3uf24=")</f>
        <v>#REF!</v>
      </c>
      <c r="DH127" t="e">
        <f>AND(NhatkyBan!#REF!,"AAAAAH3uf28=")</f>
        <v>#REF!</v>
      </c>
      <c r="DI127" t="e">
        <f>AND(NhatkyBan!#REF!,"AAAAAH3uf3A=")</f>
        <v>#REF!</v>
      </c>
      <c r="DJ127" t="e">
        <f>AND(NhatkyBan!#REF!,"AAAAAH3uf3E=")</f>
        <v>#REF!</v>
      </c>
      <c r="DK127" t="e">
        <f>AND(NhatkyBan!#REF!,"AAAAAH3uf3I=")</f>
        <v>#REF!</v>
      </c>
      <c r="DL127" t="e">
        <f>AND(NhatkyBan!#REF!,"AAAAAH3uf3M=")</f>
        <v>#REF!</v>
      </c>
      <c r="DM127" t="e">
        <f>AND(NhatkyBan!#REF!,"AAAAAH3uf3Q=")</f>
        <v>#REF!</v>
      </c>
      <c r="DN127" t="e">
        <f>AND(NhatkyBan!#REF!,"AAAAAH3uf3U=")</f>
        <v>#REF!</v>
      </c>
      <c r="DO127" t="e">
        <f>AND(NhatkyBan!#REF!,"AAAAAH3uf3Y=")</f>
        <v>#REF!</v>
      </c>
      <c r="DP127" t="e">
        <f>AND(NhatkyBan!#REF!,"AAAAAH3uf3c=")</f>
        <v>#REF!</v>
      </c>
      <c r="DQ127" t="e">
        <f>AND(NhatkyBan!#REF!,"AAAAAH3uf3g=")</f>
        <v>#REF!</v>
      </c>
      <c r="DR127" t="e">
        <f>AND(NhatkyBan!#REF!,"AAAAAH3uf3k=")</f>
        <v>#REF!</v>
      </c>
      <c r="DS127" t="e">
        <f>AND(NhatkyBan!#REF!,"AAAAAH3uf3o=")</f>
        <v>#REF!</v>
      </c>
      <c r="DT127" t="e">
        <f>AND(NhatkyBan!#REF!,"AAAAAH3uf3s=")</f>
        <v>#REF!</v>
      </c>
      <c r="DU127" t="e">
        <f>AND(NhatkyBan!#REF!,"AAAAAH3uf3w=")</f>
        <v>#REF!</v>
      </c>
      <c r="DV127" t="e">
        <f>AND(NhatkyBan!#REF!,"AAAAAH3uf30=")</f>
        <v>#REF!</v>
      </c>
      <c r="DW127" t="e">
        <f>AND(NhatkyBan!#REF!,"AAAAAH3uf34=")</f>
        <v>#REF!</v>
      </c>
      <c r="DX127" t="e">
        <f>AND(NhatkyBan!#REF!,"AAAAAH3uf38=")</f>
        <v>#REF!</v>
      </c>
      <c r="DY127" t="e">
        <f>AND(NhatkyBan!#REF!,"AAAAAH3uf4A=")</f>
        <v>#REF!</v>
      </c>
      <c r="DZ127" t="e">
        <f>AND(NhatkyBan!#REF!,"AAAAAH3uf4E=")</f>
        <v>#REF!</v>
      </c>
      <c r="EA127" t="e">
        <f>AND(NhatkyBan!#REF!,"AAAAAH3uf4I=")</f>
        <v>#REF!</v>
      </c>
      <c r="EB127" t="e">
        <f>AND(NhatkyBan!#REF!,"AAAAAH3uf4M=")</f>
        <v>#REF!</v>
      </c>
      <c r="EC127" t="e">
        <f>AND(NhatkyBan!#REF!,"AAAAAH3uf4Q=")</f>
        <v>#REF!</v>
      </c>
      <c r="ED127" t="e">
        <f>AND(NhatkyBan!#REF!,"AAAAAH3uf4U=")</f>
        <v>#REF!</v>
      </c>
      <c r="EE127" t="e">
        <f>IF(NhatkyBan!#REF!,"AAAAAH3uf4Y=",0)</f>
        <v>#REF!</v>
      </c>
      <c r="EF127" t="e">
        <f>AND(NhatkyBan!#REF!,"AAAAAH3uf4c=")</f>
        <v>#REF!</v>
      </c>
      <c r="EG127" t="e">
        <f>AND(NhatkyBan!#REF!,"AAAAAH3uf4g=")</f>
        <v>#REF!</v>
      </c>
      <c r="EH127" t="e">
        <f>AND(NhatkyBan!#REF!,"AAAAAH3uf4k=")</f>
        <v>#REF!</v>
      </c>
      <c r="EI127" t="e">
        <f>AND(NhatkyBan!#REF!,"AAAAAH3uf4o=")</f>
        <v>#REF!</v>
      </c>
      <c r="EJ127" t="e">
        <f>AND(NhatkyBan!#REF!,"AAAAAH3uf4s=")</f>
        <v>#REF!</v>
      </c>
      <c r="EK127" t="e">
        <f>AND(NhatkyBan!#REF!,"AAAAAH3uf4w=")</f>
        <v>#REF!</v>
      </c>
      <c r="EL127" t="e">
        <f>AND(NhatkyBan!#REF!,"AAAAAH3uf40=")</f>
        <v>#REF!</v>
      </c>
      <c r="EM127" t="e">
        <f>AND(NhatkyBan!#REF!,"AAAAAH3uf44=")</f>
        <v>#REF!</v>
      </c>
      <c r="EN127" t="e">
        <f>AND(NhatkyBan!#REF!,"AAAAAH3uf48=")</f>
        <v>#REF!</v>
      </c>
      <c r="EO127" t="e">
        <f>AND(NhatkyBan!#REF!,"AAAAAH3uf5A=")</f>
        <v>#REF!</v>
      </c>
      <c r="EP127" t="e">
        <f>AND(NhatkyBan!#REF!,"AAAAAH3uf5E=")</f>
        <v>#REF!</v>
      </c>
      <c r="EQ127" t="e">
        <f>AND(NhatkyBan!#REF!,"AAAAAH3uf5I=")</f>
        <v>#REF!</v>
      </c>
      <c r="ER127" t="e">
        <f>AND(NhatkyBan!#REF!,"AAAAAH3uf5M=")</f>
        <v>#REF!</v>
      </c>
      <c r="ES127" t="e">
        <f>AND(NhatkyBan!#REF!,"AAAAAH3uf5Q=")</f>
        <v>#REF!</v>
      </c>
      <c r="ET127" t="e">
        <f>AND(NhatkyBan!#REF!,"AAAAAH3uf5U=")</f>
        <v>#REF!</v>
      </c>
      <c r="EU127" t="e">
        <f>AND(NhatkyBan!#REF!,"AAAAAH3uf5Y=")</f>
        <v>#REF!</v>
      </c>
      <c r="EV127" t="e">
        <f>AND(NhatkyBan!#REF!,"AAAAAH3uf5c=")</f>
        <v>#REF!</v>
      </c>
      <c r="EW127" t="e">
        <f>AND(NhatkyBan!#REF!,"AAAAAH3uf5g=")</f>
        <v>#REF!</v>
      </c>
      <c r="EX127" t="e">
        <f>AND(NhatkyBan!#REF!,"AAAAAH3uf5k=")</f>
        <v>#REF!</v>
      </c>
      <c r="EY127" t="e">
        <f>AND(NhatkyBan!#REF!,"AAAAAH3uf5o=")</f>
        <v>#REF!</v>
      </c>
      <c r="EZ127" t="e">
        <f>AND(NhatkyBan!#REF!,"AAAAAH3uf5s=")</f>
        <v>#REF!</v>
      </c>
      <c r="FA127" t="e">
        <f>AND(NhatkyBan!#REF!,"AAAAAH3uf5w=")</f>
        <v>#REF!</v>
      </c>
      <c r="FB127" t="e">
        <f>AND(NhatkyBan!#REF!,"AAAAAH3uf50=")</f>
        <v>#REF!</v>
      </c>
      <c r="FC127" t="e">
        <f>AND(NhatkyBan!#REF!,"AAAAAH3uf54=")</f>
        <v>#REF!</v>
      </c>
      <c r="FD127" t="e">
        <f>AND(NhatkyBan!#REF!,"AAAAAH3uf58=")</f>
        <v>#REF!</v>
      </c>
      <c r="FE127" t="e">
        <f>AND(NhatkyBan!#REF!,"AAAAAH3uf6A=")</f>
        <v>#REF!</v>
      </c>
      <c r="FF127" t="e">
        <f>AND(NhatkyBan!#REF!,"AAAAAH3uf6E=")</f>
        <v>#REF!</v>
      </c>
      <c r="FG127" t="e">
        <f>AND(NhatkyBan!#REF!,"AAAAAH3uf6I=")</f>
        <v>#REF!</v>
      </c>
      <c r="FH127" t="e">
        <f>AND(NhatkyBan!#REF!,"AAAAAH3uf6M=")</f>
        <v>#REF!</v>
      </c>
      <c r="FI127" t="e">
        <f>AND(NhatkyBan!#REF!,"AAAAAH3uf6Q=")</f>
        <v>#REF!</v>
      </c>
      <c r="FJ127" t="e">
        <f>AND(NhatkyBan!#REF!,"AAAAAH3uf6U=")</f>
        <v>#REF!</v>
      </c>
      <c r="FK127" t="e">
        <f>AND(NhatkyBan!#REF!,"AAAAAH3uf6Y=")</f>
        <v>#REF!</v>
      </c>
      <c r="FL127" t="e">
        <f>AND(NhatkyBan!#REF!,"AAAAAH3uf6c=")</f>
        <v>#REF!</v>
      </c>
      <c r="FM127" t="e">
        <f>AND(NhatkyBan!#REF!,"AAAAAH3uf6g=")</f>
        <v>#REF!</v>
      </c>
      <c r="FN127" t="e">
        <f>IF(NhatkyBan!#REF!,"AAAAAH3uf6k=",0)</f>
        <v>#REF!</v>
      </c>
      <c r="FO127" t="e">
        <f>AND(NhatkyBan!#REF!,"AAAAAH3uf6o=")</f>
        <v>#REF!</v>
      </c>
      <c r="FP127" t="e">
        <f>AND(NhatkyBan!#REF!,"AAAAAH3uf6s=")</f>
        <v>#REF!</v>
      </c>
      <c r="FQ127" t="e">
        <f>AND(NhatkyBan!#REF!,"AAAAAH3uf6w=")</f>
        <v>#REF!</v>
      </c>
      <c r="FR127" t="e">
        <f>AND(NhatkyBan!#REF!,"AAAAAH3uf60=")</f>
        <v>#REF!</v>
      </c>
      <c r="FS127" t="e">
        <f>AND(NhatkyBan!#REF!,"AAAAAH3uf64=")</f>
        <v>#REF!</v>
      </c>
      <c r="FT127" t="e">
        <f>AND(NhatkyBan!#REF!,"AAAAAH3uf68=")</f>
        <v>#REF!</v>
      </c>
      <c r="FU127" t="e">
        <f>AND(NhatkyBan!#REF!,"AAAAAH3uf7A=")</f>
        <v>#REF!</v>
      </c>
      <c r="FV127" t="e">
        <f>AND(NhatkyBan!#REF!,"AAAAAH3uf7E=")</f>
        <v>#REF!</v>
      </c>
      <c r="FW127" t="e">
        <f>AND(NhatkyBan!#REF!,"AAAAAH3uf7I=")</f>
        <v>#REF!</v>
      </c>
      <c r="FX127" t="e">
        <f>AND(NhatkyBan!#REF!,"AAAAAH3uf7M=")</f>
        <v>#REF!</v>
      </c>
      <c r="FY127" t="e">
        <f>AND(NhatkyBan!#REF!,"AAAAAH3uf7Q=")</f>
        <v>#REF!</v>
      </c>
      <c r="FZ127" t="e">
        <f>AND(NhatkyBan!#REF!,"AAAAAH3uf7U=")</f>
        <v>#REF!</v>
      </c>
      <c r="GA127" t="e">
        <f>AND(NhatkyBan!#REF!,"AAAAAH3uf7Y=")</f>
        <v>#REF!</v>
      </c>
      <c r="GB127" t="e">
        <f>AND(NhatkyBan!#REF!,"AAAAAH3uf7c=")</f>
        <v>#REF!</v>
      </c>
      <c r="GC127" t="e">
        <f>AND(NhatkyBan!#REF!,"AAAAAH3uf7g=")</f>
        <v>#REF!</v>
      </c>
      <c r="GD127" t="e">
        <f>AND(NhatkyBan!#REF!,"AAAAAH3uf7k=")</f>
        <v>#REF!</v>
      </c>
      <c r="GE127" t="e">
        <f>AND(NhatkyBan!#REF!,"AAAAAH3uf7o=")</f>
        <v>#REF!</v>
      </c>
      <c r="GF127" t="e">
        <f>AND(NhatkyBan!#REF!,"AAAAAH3uf7s=")</f>
        <v>#REF!</v>
      </c>
      <c r="GG127" t="e">
        <f>AND(NhatkyBan!#REF!,"AAAAAH3uf7w=")</f>
        <v>#REF!</v>
      </c>
      <c r="GH127" t="e">
        <f>AND(NhatkyBan!#REF!,"AAAAAH3uf70=")</f>
        <v>#REF!</v>
      </c>
      <c r="GI127" t="e">
        <f>AND(NhatkyBan!#REF!,"AAAAAH3uf74=")</f>
        <v>#REF!</v>
      </c>
      <c r="GJ127" t="e">
        <f>AND(NhatkyBan!#REF!,"AAAAAH3uf78=")</f>
        <v>#REF!</v>
      </c>
      <c r="GK127" t="e">
        <f>AND(NhatkyBan!#REF!,"AAAAAH3uf8A=")</f>
        <v>#REF!</v>
      </c>
      <c r="GL127" t="e">
        <f>AND(NhatkyBan!#REF!,"AAAAAH3uf8E=")</f>
        <v>#REF!</v>
      </c>
      <c r="GM127" t="e">
        <f>AND(NhatkyBan!#REF!,"AAAAAH3uf8I=")</f>
        <v>#REF!</v>
      </c>
      <c r="GN127" t="e">
        <f>AND(NhatkyBan!#REF!,"AAAAAH3uf8M=")</f>
        <v>#REF!</v>
      </c>
      <c r="GO127" t="e">
        <f>AND(NhatkyBan!#REF!,"AAAAAH3uf8Q=")</f>
        <v>#REF!</v>
      </c>
      <c r="GP127" t="e">
        <f>AND(NhatkyBan!#REF!,"AAAAAH3uf8U=")</f>
        <v>#REF!</v>
      </c>
      <c r="GQ127" t="e">
        <f>AND(NhatkyBan!#REF!,"AAAAAH3uf8Y=")</f>
        <v>#REF!</v>
      </c>
      <c r="GR127" t="e">
        <f>AND(NhatkyBan!#REF!,"AAAAAH3uf8c=")</f>
        <v>#REF!</v>
      </c>
      <c r="GS127" t="e">
        <f>AND(NhatkyBan!#REF!,"AAAAAH3uf8g=")</f>
        <v>#REF!</v>
      </c>
      <c r="GT127" t="e">
        <f>AND(NhatkyBan!#REF!,"AAAAAH3uf8k=")</f>
        <v>#REF!</v>
      </c>
      <c r="GU127" t="e">
        <f>AND(NhatkyBan!#REF!,"AAAAAH3uf8o=")</f>
        <v>#REF!</v>
      </c>
      <c r="GV127" t="e">
        <f>AND(NhatkyBan!#REF!,"AAAAAH3uf8s=")</f>
        <v>#REF!</v>
      </c>
      <c r="GW127" t="e">
        <f>IF(NhatkyBan!#REF!,"AAAAAH3uf8w=",0)</f>
        <v>#REF!</v>
      </c>
      <c r="GX127" t="e">
        <f>AND(NhatkyBan!#REF!,"AAAAAH3uf80=")</f>
        <v>#REF!</v>
      </c>
      <c r="GY127" t="e">
        <f>AND(NhatkyBan!#REF!,"AAAAAH3uf84=")</f>
        <v>#REF!</v>
      </c>
      <c r="GZ127" t="e">
        <f>AND(NhatkyBan!#REF!,"AAAAAH3uf88=")</f>
        <v>#REF!</v>
      </c>
      <c r="HA127" t="e">
        <f>AND(NhatkyBan!#REF!,"AAAAAH3uf9A=")</f>
        <v>#REF!</v>
      </c>
      <c r="HB127" t="e">
        <f>AND(NhatkyBan!#REF!,"AAAAAH3uf9E=")</f>
        <v>#REF!</v>
      </c>
      <c r="HC127" t="e">
        <f>AND(NhatkyBan!#REF!,"AAAAAH3uf9I=")</f>
        <v>#REF!</v>
      </c>
      <c r="HD127" t="e">
        <f>AND(NhatkyBan!#REF!,"AAAAAH3uf9M=")</f>
        <v>#REF!</v>
      </c>
      <c r="HE127" t="e">
        <f>AND(NhatkyBan!#REF!,"AAAAAH3uf9Q=")</f>
        <v>#REF!</v>
      </c>
      <c r="HF127" t="e">
        <f>AND(NhatkyBan!#REF!,"AAAAAH3uf9U=")</f>
        <v>#REF!</v>
      </c>
      <c r="HG127" t="e">
        <f>AND(NhatkyBan!#REF!,"AAAAAH3uf9Y=")</f>
        <v>#REF!</v>
      </c>
      <c r="HH127" t="e">
        <f>AND(NhatkyBan!#REF!,"AAAAAH3uf9c=")</f>
        <v>#REF!</v>
      </c>
      <c r="HI127" t="e">
        <f>AND(NhatkyBan!#REF!,"AAAAAH3uf9g=")</f>
        <v>#REF!</v>
      </c>
      <c r="HJ127" t="e">
        <f>AND(NhatkyBan!#REF!,"AAAAAH3uf9k=")</f>
        <v>#REF!</v>
      </c>
      <c r="HK127" t="e">
        <f>AND(NhatkyBan!#REF!,"AAAAAH3uf9o=")</f>
        <v>#REF!</v>
      </c>
      <c r="HL127" t="e">
        <f>AND(NhatkyBan!#REF!,"AAAAAH3uf9s=")</f>
        <v>#REF!</v>
      </c>
      <c r="HM127" t="e">
        <f>AND(NhatkyBan!#REF!,"AAAAAH3uf9w=")</f>
        <v>#REF!</v>
      </c>
      <c r="HN127" t="e">
        <f>AND(NhatkyBan!#REF!,"AAAAAH3uf90=")</f>
        <v>#REF!</v>
      </c>
      <c r="HO127" t="e">
        <f>AND(NhatkyBan!#REF!,"AAAAAH3uf94=")</f>
        <v>#REF!</v>
      </c>
      <c r="HP127" t="e">
        <f>AND(NhatkyBan!#REF!,"AAAAAH3uf98=")</f>
        <v>#REF!</v>
      </c>
      <c r="HQ127" t="e">
        <f>AND(NhatkyBan!#REF!,"AAAAAH3uf+A=")</f>
        <v>#REF!</v>
      </c>
      <c r="HR127" t="e">
        <f>AND(NhatkyBan!#REF!,"AAAAAH3uf+E=")</f>
        <v>#REF!</v>
      </c>
      <c r="HS127" t="e">
        <f>AND(NhatkyBan!#REF!,"AAAAAH3uf+I=")</f>
        <v>#REF!</v>
      </c>
      <c r="HT127" t="e">
        <f>AND(NhatkyBan!#REF!,"AAAAAH3uf+M=")</f>
        <v>#REF!</v>
      </c>
      <c r="HU127" t="e">
        <f>AND(NhatkyBan!#REF!,"AAAAAH3uf+Q=")</f>
        <v>#REF!</v>
      </c>
      <c r="HV127" t="e">
        <f>AND(NhatkyBan!#REF!,"AAAAAH3uf+U=")</f>
        <v>#REF!</v>
      </c>
      <c r="HW127" t="e">
        <f>AND(NhatkyBan!#REF!,"AAAAAH3uf+Y=")</f>
        <v>#REF!</v>
      </c>
      <c r="HX127" t="e">
        <f>AND(NhatkyBan!#REF!,"AAAAAH3uf+c=")</f>
        <v>#REF!</v>
      </c>
      <c r="HY127" t="e">
        <f>AND(NhatkyBan!#REF!,"AAAAAH3uf+g=")</f>
        <v>#REF!</v>
      </c>
      <c r="HZ127" t="e">
        <f>AND(NhatkyBan!#REF!,"AAAAAH3uf+k=")</f>
        <v>#REF!</v>
      </c>
      <c r="IA127" t="e">
        <f>AND(NhatkyBan!#REF!,"AAAAAH3uf+o=")</f>
        <v>#REF!</v>
      </c>
      <c r="IB127" t="e">
        <f>AND(NhatkyBan!#REF!,"AAAAAH3uf+s=")</f>
        <v>#REF!</v>
      </c>
      <c r="IC127" t="e">
        <f>AND(NhatkyBan!#REF!,"AAAAAH3uf+w=")</f>
        <v>#REF!</v>
      </c>
      <c r="ID127" t="e">
        <f>AND(NhatkyBan!#REF!,"AAAAAH3uf+0=")</f>
        <v>#REF!</v>
      </c>
      <c r="IE127" t="e">
        <f>AND(NhatkyBan!#REF!,"AAAAAH3uf+4=")</f>
        <v>#REF!</v>
      </c>
      <c r="IF127" t="e">
        <f>IF(NhatkyBan!#REF!,"AAAAAH3uf+8=",0)</f>
        <v>#REF!</v>
      </c>
      <c r="IG127" t="e">
        <f>AND(NhatkyBan!#REF!,"AAAAAH3uf/A=")</f>
        <v>#REF!</v>
      </c>
      <c r="IH127" t="e">
        <f>AND(NhatkyBan!#REF!,"AAAAAH3uf/E=")</f>
        <v>#REF!</v>
      </c>
      <c r="II127" t="e">
        <f>AND(NhatkyBan!#REF!,"AAAAAH3uf/I=")</f>
        <v>#REF!</v>
      </c>
      <c r="IJ127" t="e">
        <f>AND(NhatkyBan!#REF!,"AAAAAH3uf/M=")</f>
        <v>#REF!</v>
      </c>
      <c r="IK127" t="e">
        <f>AND(NhatkyBan!#REF!,"AAAAAH3uf/Q=")</f>
        <v>#REF!</v>
      </c>
      <c r="IL127" t="e">
        <f>AND(NhatkyBan!#REF!,"AAAAAH3uf/U=")</f>
        <v>#REF!</v>
      </c>
      <c r="IM127" t="e">
        <f>AND(NhatkyBan!#REF!,"AAAAAH3uf/Y=")</f>
        <v>#REF!</v>
      </c>
      <c r="IN127" t="e">
        <f>AND(NhatkyBan!#REF!,"AAAAAH3uf/c=")</f>
        <v>#REF!</v>
      </c>
      <c r="IO127" t="e">
        <f>AND(NhatkyBan!#REF!,"AAAAAH3uf/g=")</f>
        <v>#REF!</v>
      </c>
      <c r="IP127" t="e">
        <f>AND(NhatkyBan!#REF!,"AAAAAH3uf/k=")</f>
        <v>#REF!</v>
      </c>
      <c r="IQ127" t="e">
        <f>AND(NhatkyBan!#REF!,"AAAAAH3uf/o=")</f>
        <v>#REF!</v>
      </c>
      <c r="IR127" t="e">
        <f>AND(NhatkyBan!#REF!,"AAAAAH3uf/s=")</f>
        <v>#REF!</v>
      </c>
      <c r="IS127" t="e">
        <f>AND(NhatkyBan!#REF!,"AAAAAH3uf/w=")</f>
        <v>#REF!</v>
      </c>
      <c r="IT127" t="e">
        <f>AND(NhatkyBan!#REF!,"AAAAAH3uf/0=")</f>
        <v>#REF!</v>
      </c>
      <c r="IU127" t="e">
        <f>AND(NhatkyBan!#REF!,"AAAAAH3uf/4=")</f>
        <v>#REF!</v>
      </c>
      <c r="IV127" t="e">
        <f>AND(NhatkyBan!#REF!,"AAAAAH3uf/8=")</f>
        <v>#REF!</v>
      </c>
    </row>
    <row r="128" spans="1:256">
      <c r="A128" t="e">
        <f>AND(NhatkyBan!#REF!,"AAAAAF/f+QA=")</f>
        <v>#REF!</v>
      </c>
      <c r="B128" t="e">
        <f>AND(NhatkyBan!#REF!,"AAAAAF/f+QE=")</f>
        <v>#REF!</v>
      </c>
      <c r="C128" t="e">
        <f>AND(NhatkyBan!#REF!,"AAAAAF/f+QI=")</f>
        <v>#REF!</v>
      </c>
      <c r="D128" t="e">
        <f>AND(NhatkyBan!#REF!,"AAAAAF/f+QM=")</f>
        <v>#REF!</v>
      </c>
      <c r="E128" t="e">
        <f>AND(NhatkyBan!#REF!,"AAAAAF/f+QQ=")</f>
        <v>#REF!</v>
      </c>
      <c r="F128" t="e">
        <f>AND(NhatkyBan!#REF!,"AAAAAF/f+QU=")</f>
        <v>#REF!</v>
      </c>
      <c r="G128" t="e">
        <f>AND(NhatkyBan!#REF!,"AAAAAF/f+QY=")</f>
        <v>#REF!</v>
      </c>
      <c r="H128" t="e">
        <f>AND(NhatkyBan!#REF!,"AAAAAF/f+Qc=")</f>
        <v>#REF!</v>
      </c>
      <c r="I128" t="e">
        <f>AND(NhatkyBan!#REF!,"AAAAAF/f+Qg=")</f>
        <v>#REF!</v>
      </c>
      <c r="J128" t="e">
        <f>AND(NhatkyBan!#REF!,"AAAAAF/f+Qk=")</f>
        <v>#REF!</v>
      </c>
      <c r="K128" t="e">
        <f>AND(NhatkyBan!#REF!,"AAAAAF/f+Qo=")</f>
        <v>#REF!</v>
      </c>
      <c r="L128" t="e">
        <f>AND(NhatkyBan!#REF!,"AAAAAF/f+Qs=")</f>
        <v>#REF!</v>
      </c>
      <c r="M128" t="e">
        <f>AND(NhatkyBan!#REF!,"AAAAAF/f+Qw=")</f>
        <v>#REF!</v>
      </c>
      <c r="N128" t="e">
        <f>AND(NhatkyBan!#REF!,"AAAAAF/f+Q0=")</f>
        <v>#REF!</v>
      </c>
      <c r="O128" t="e">
        <f>AND(NhatkyBan!#REF!,"AAAAAF/f+Q4=")</f>
        <v>#REF!</v>
      </c>
      <c r="P128" t="e">
        <f>AND(NhatkyBan!#REF!,"AAAAAF/f+Q8=")</f>
        <v>#REF!</v>
      </c>
      <c r="Q128" t="e">
        <f>AND(NhatkyBan!#REF!,"AAAAAF/f+RA=")</f>
        <v>#REF!</v>
      </c>
      <c r="R128" t="e">
        <f>AND(NhatkyBan!#REF!,"AAAAAF/f+RE=")</f>
        <v>#REF!</v>
      </c>
      <c r="S128" t="e">
        <f>IF(NhatkyBan!#REF!,"AAAAAF/f+RI=",0)</f>
        <v>#REF!</v>
      </c>
      <c r="T128" t="e">
        <f>AND(NhatkyBan!#REF!,"AAAAAF/f+RM=")</f>
        <v>#REF!</v>
      </c>
      <c r="U128" t="e">
        <f>AND(NhatkyBan!#REF!,"AAAAAF/f+RQ=")</f>
        <v>#REF!</v>
      </c>
      <c r="V128" t="e">
        <f>AND(NhatkyBan!#REF!,"AAAAAF/f+RU=")</f>
        <v>#REF!</v>
      </c>
      <c r="W128" t="e">
        <f>AND(NhatkyBan!#REF!,"AAAAAF/f+RY=")</f>
        <v>#REF!</v>
      </c>
      <c r="X128" t="e">
        <f>AND(NhatkyBan!#REF!,"AAAAAF/f+Rc=")</f>
        <v>#REF!</v>
      </c>
      <c r="Y128" t="e">
        <f>AND(NhatkyBan!#REF!,"AAAAAF/f+Rg=")</f>
        <v>#REF!</v>
      </c>
      <c r="Z128" t="e">
        <f>AND(NhatkyBan!#REF!,"AAAAAF/f+Rk=")</f>
        <v>#REF!</v>
      </c>
      <c r="AA128" t="e">
        <f>AND(NhatkyBan!#REF!,"AAAAAF/f+Ro=")</f>
        <v>#REF!</v>
      </c>
      <c r="AB128" t="e">
        <f>AND(NhatkyBan!#REF!,"AAAAAF/f+Rs=")</f>
        <v>#REF!</v>
      </c>
      <c r="AC128" t="e">
        <f>AND(NhatkyBan!#REF!,"AAAAAF/f+Rw=")</f>
        <v>#REF!</v>
      </c>
      <c r="AD128" t="e">
        <f>AND(NhatkyBan!#REF!,"AAAAAF/f+R0=")</f>
        <v>#REF!</v>
      </c>
      <c r="AE128" t="e">
        <f>AND(NhatkyBan!#REF!,"AAAAAF/f+R4=")</f>
        <v>#REF!</v>
      </c>
      <c r="AF128" t="e">
        <f>AND(NhatkyBan!#REF!,"AAAAAF/f+R8=")</f>
        <v>#REF!</v>
      </c>
      <c r="AG128" t="e">
        <f>AND(NhatkyBan!#REF!,"AAAAAF/f+SA=")</f>
        <v>#REF!</v>
      </c>
      <c r="AH128" t="e">
        <f>AND(NhatkyBan!#REF!,"AAAAAF/f+SE=")</f>
        <v>#REF!</v>
      </c>
      <c r="AI128" t="e">
        <f>AND(NhatkyBan!#REF!,"AAAAAF/f+SI=")</f>
        <v>#REF!</v>
      </c>
      <c r="AJ128" t="e">
        <f>AND(NhatkyBan!#REF!,"AAAAAF/f+SM=")</f>
        <v>#REF!</v>
      </c>
      <c r="AK128" t="e">
        <f>AND(NhatkyBan!#REF!,"AAAAAF/f+SQ=")</f>
        <v>#REF!</v>
      </c>
      <c r="AL128" t="e">
        <f>AND(NhatkyBan!#REF!,"AAAAAF/f+SU=")</f>
        <v>#REF!</v>
      </c>
      <c r="AM128" t="e">
        <f>AND(NhatkyBan!#REF!,"AAAAAF/f+SY=")</f>
        <v>#REF!</v>
      </c>
      <c r="AN128" t="e">
        <f>AND(NhatkyBan!#REF!,"AAAAAF/f+Sc=")</f>
        <v>#REF!</v>
      </c>
      <c r="AO128" t="e">
        <f>AND(NhatkyBan!#REF!,"AAAAAF/f+Sg=")</f>
        <v>#REF!</v>
      </c>
      <c r="AP128" t="e">
        <f>AND(NhatkyBan!#REF!,"AAAAAF/f+Sk=")</f>
        <v>#REF!</v>
      </c>
      <c r="AQ128" t="e">
        <f>AND(NhatkyBan!#REF!,"AAAAAF/f+So=")</f>
        <v>#REF!</v>
      </c>
      <c r="AR128" t="e">
        <f>AND(NhatkyBan!#REF!,"AAAAAF/f+Ss=")</f>
        <v>#REF!</v>
      </c>
      <c r="AS128" t="e">
        <f>AND(NhatkyBan!#REF!,"AAAAAF/f+Sw=")</f>
        <v>#REF!</v>
      </c>
      <c r="AT128" t="e">
        <f>AND(NhatkyBan!#REF!,"AAAAAF/f+S0=")</f>
        <v>#REF!</v>
      </c>
      <c r="AU128" t="e">
        <f>AND(NhatkyBan!#REF!,"AAAAAF/f+S4=")</f>
        <v>#REF!</v>
      </c>
      <c r="AV128" t="e">
        <f>AND(NhatkyBan!#REF!,"AAAAAF/f+S8=")</f>
        <v>#REF!</v>
      </c>
      <c r="AW128" t="e">
        <f>AND(NhatkyBan!#REF!,"AAAAAF/f+TA=")</f>
        <v>#REF!</v>
      </c>
      <c r="AX128" t="e">
        <f>AND(NhatkyBan!#REF!,"AAAAAF/f+TE=")</f>
        <v>#REF!</v>
      </c>
      <c r="AY128" t="e">
        <f>AND(NhatkyBan!#REF!,"AAAAAF/f+TI=")</f>
        <v>#REF!</v>
      </c>
      <c r="AZ128" t="e">
        <f>AND(NhatkyBan!#REF!,"AAAAAF/f+TM=")</f>
        <v>#REF!</v>
      </c>
      <c r="BA128" t="e">
        <f>AND(NhatkyBan!#REF!,"AAAAAF/f+TQ=")</f>
        <v>#REF!</v>
      </c>
      <c r="BB128" t="e">
        <f>IF(NhatkyBan!#REF!,"AAAAAF/f+TU=",0)</f>
        <v>#REF!</v>
      </c>
      <c r="BC128" t="e">
        <f>AND(NhatkyBan!#REF!,"AAAAAF/f+TY=")</f>
        <v>#REF!</v>
      </c>
      <c r="BD128" t="e">
        <f>AND(NhatkyBan!#REF!,"AAAAAF/f+Tc=")</f>
        <v>#REF!</v>
      </c>
      <c r="BE128" t="e">
        <f>AND(NhatkyBan!#REF!,"AAAAAF/f+Tg=")</f>
        <v>#REF!</v>
      </c>
      <c r="BF128" t="e">
        <f>AND(NhatkyBan!#REF!,"AAAAAF/f+Tk=")</f>
        <v>#REF!</v>
      </c>
      <c r="BG128" t="e">
        <f>AND(NhatkyBan!#REF!,"AAAAAF/f+To=")</f>
        <v>#REF!</v>
      </c>
      <c r="BH128" t="e">
        <f>AND(NhatkyBan!#REF!,"AAAAAF/f+Ts=")</f>
        <v>#REF!</v>
      </c>
      <c r="BI128" t="e">
        <f>AND(NhatkyBan!#REF!,"AAAAAF/f+Tw=")</f>
        <v>#REF!</v>
      </c>
      <c r="BJ128" t="e">
        <f>AND(NhatkyBan!#REF!,"AAAAAF/f+T0=")</f>
        <v>#REF!</v>
      </c>
      <c r="BK128" t="e">
        <f>AND(NhatkyBan!#REF!,"AAAAAF/f+T4=")</f>
        <v>#REF!</v>
      </c>
      <c r="BL128" t="e">
        <f>AND(NhatkyBan!#REF!,"AAAAAF/f+T8=")</f>
        <v>#REF!</v>
      </c>
      <c r="BM128" t="e">
        <f>AND(NhatkyBan!#REF!,"AAAAAF/f+UA=")</f>
        <v>#REF!</v>
      </c>
      <c r="BN128" t="e">
        <f>AND(NhatkyBan!#REF!,"AAAAAF/f+UE=")</f>
        <v>#REF!</v>
      </c>
      <c r="BO128" t="e">
        <f>AND(NhatkyBan!#REF!,"AAAAAF/f+UI=")</f>
        <v>#REF!</v>
      </c>
      <c r="BP128" t="e">
        <f>AND(NhatkyBan!#REF!,"AAAAAF/f+UM=")</f>
        <v>#REF!</v>
      </c>
      <c r="BQ128" t="e">
        <f>AND(NhatkyBan!#REF!,"AAAAAF/f+UQ=")</f>
        <v>#REF!</v>
      </c>
      <c r="BR128" t="e">
        <f>AND(NhatkyBan!#REF!,"AAAAAF/f+UU=")</f>
        <v>#REF!</v>
      </c>
      <c r="BS128" t="e">
        <f>AND(NhatkyBan!#REF!,"AAAAAF/f+UY=")</f>
        <v>#REF!</v>
      </c>
      <c r="BT128" t="e">
        <f>AND(NhatkyBan!#REF!,"AAAAAF/f+Uc=")</f>
        <v>#REF!</v>
      </c>
      <c r="BU128" t="e">
        <f>AND(NhatkyBan!#REF!,"AAAAAF/f+Ug=")</f>
        <v>#REF!</v>
      </c>
      <c r="BV128" t="e">
        <f>AND(NhatkyBan!#REF!,"AAAAAF/f+Uk=")</f>
        <v>#REF!</v>
      </c>
      <c r="BW128" t="e">
        <f>AND(NhatkyBan!#REF!,"AAAAAF/f+Uo=")</f>
        <v>#REF!</v>
      </c>
      <c r="BX128" t="e">
        <f>AND(NhatkyBan!#REF!,"AAAAAF/f+Us=")</f>
        <v>#REF!</v>
      </c>
      <c r="BY128" t="e">
        <f>AND(NhatkyBan!#REF!,"AAAAAF/f+Uw=")</f>
        <v>#REF!</v>
      </c>
      <c r="BZ128" t="e">
        <f>AND(NhatkyBan!#REF!,"AAAAAF/f+U0=")</f>
        <v>#REF!</v>
      </c>
      <c r="CA128" t="e">
        <f>AND(NhatkyBan!#REF!,"AAAAAF/f+U4=")</f>
        <v>#REF!</v>
      </c>
      <c r="CB128" t="e">
        <f>AND(NhatkyBan!#REF!,"AAAAAF/f+U8=")</f>
        <v>#REF!</v>
      </c>
      <c r="CC128" t="e">
        <f>AND(NhatkyBan!#REF!,"AAAAAF/f+VA=")</f>
        <v>#REF!</v>
      </c>
      <c r="CD128" t="e">
        <f>AND(NhatkyBan!#REF!,"AAAAAF/f+VE=")</f>
        <v>#REF!</v>
      </c>
      <c r="CE128" t="e">
        <f>AND(NhatkyBan!#REF!,"AAAAAF/f+VI=")</f>
        <v>#REF!</v>
      </c>
      <c r="CF128" t="e">
        <f>AND(NhatkyBan!#REF!,"AAAAAF/f+VM=")</f>
        <v>#REF!</v>
      </c>
      <c r="CG128" t="e">
        <f>AND(NhatkyBan!#REF!,"AAAAAF/f+VQ=")</f>
        <v>#REF!</v>
      </c>
      <c r="CH128" t="e">
        <f>AND(NhatkyBan!#REF!,"AAAAAF/f+VU=")</f>
        <v>#REF!</v>
      </c>
      <c r="CI128" t="e">
        <f>AND(NhatkyBan!#REF!,"AAAAAF/f+VY=")</f>
        <v>#REF!</v>
      </c>
      <c r="CJ128" t="e">
        <f>AND(NhatkyBan!#REF!,"AAAAAF/f+Vc=")</f>
        <v>#REF!</v>
      </c>
      <c r="CK128" t="e">
        <f>IF(NhatkyBan!#REF!,"AAAAAF/f+Vg=",0)</f>
        <v>#REF!</v>
      </c>
      <c r="CL128" t="e">
        <f>AND(NhatkyBan!#REF!,"AAAAAF/f+Vk=")</f>
        <v>#REF!</v>
      </c>
      <c r="CM128" t="e">
        <f>AND(NhatkyBan!#REF!,"AAAAAF/f+Vo=")</f>
        <v>#REF!</v>
      </c>
      <c r="CN128" t="e">
        <f>AND(NhatkyBan!#REF!,"AAAAAF/f+Vs=")</f>
        <v>#REF!</v>
      </c>
      <c r="CO128" t="e">
        <f>AND(NhatkyBan!#REF!,"AAAAAF/f+Vw=")</f>
        <v>#REF!</v>
      </c>
      <c r="CP128" t="e">
        <f>AND(NhatkyBan!#REF!,"AAAAAF/f+V0=")</f>
        <v>#REF!</v>
      </c>
      <c r="CQ128" t="e">
        <f>AND(NhatkyBan!#REF!,"AAAAAF/f+V4=")</f>
        <v>#REF!</v>
      </c>
      <c r="CR128" t="e">
        <f>AND(NhatkyBan!#REF!,"AAAAAF/f+V8=")</f>
        <v>#REF!</v>
      </c>
      <c r="CS128" t="e">
        <f>AND(NhatkyBan!#REF!,"AAAAAF/f+WA=")</f>
        <v>#REF!</v>
      </c>
      <c r="CT128" t="e">
        <f>AND(NhatkyBan!#REF!,"AAAAAF/f+WE=")</f>
        <v>#REF!</v>
      </c>
      <c r="CU128" t="e">
        <f>AND(NhatkyBan!#REF!,"AAAAAF/f+WI=")</f>
        <v>#REF!</v>
      </c>
      <c r="CV128" t="e">
        <f>AND(NhatkyBan!#REF!,"AAAAAF/f+WM=")</f>
        <v>#REF!</v>
      </c>
      <c r="CW128" t="e">
        <f>AND(NhatkyBan!#REF!,"AAAAAF/f+WQ=")</f>
        <v>#REF!</v>
      </c>
      <c r="CX128" t="e">
        <f>AND(NhatkyBan!#REF!,"AAAAAF/f+WU=")</f>
        <v>#REF!</v>
      </c>
      <c r="CY128" t="e">
        <f>AND(NhatkyBan!#REF!,"AAAAAF/f+WY=")</f>
        <v>#REF!</v>
      </c>
      <c r="CZ128" t="e">
        <f>AND(NhatkyBan!#REF!,"AAAAAF/f+Wc=")</f>
        <v>#REF!</v>
      </c>
      <c r="DA128" t="e">
        <f>AND(NhatkyBan!#REF!,"AAAAAF/f+Wg=")</f>
        <v>#REF!</v>
      </c>
      <c r="DB128" t="e">
        <f>AND(NhatkyBan!#REF!,"AAAAAF/f+Wk=")</f>
        <v>#REF!</v>
      </c>
      <c r="DC128" t="e">
        <f>AND(NhatkyBan!#REF!,"AAAAAF/f+Wo=")</f>
        <v>#REF!</v>
      </c>
      <c r="DD128" t="e">
        <f>AND(NhatkyBan!#REF!,"AAAAAF/f+Ws=")</f>
        <v>#REF!</v>
      </c>
      <c r="DE128" t="e">
        <f>AND(NhatkyBan!#REF!,"AAAAAF/f+Ww=")</f>
        <v>#REF!</v>
      </c>
      <c r="DF128" t="e">
        <f>AND(NhatkyBan!#REF!,"AAAAAF/f+W0=")</f>
        <v>#REF!</v>
      </c>
      <c r="DG128" t="e">
        <f>AND(NhatkyBan!#REF!,"AAAAAF/f+W4=")</f>
        <v>#REF!</v>
      </c>
      <c r="DH128" t="e">
        <f>AND(NhatkyBan!#REF!,"AAAAAF/f+W8=")</f>
        <v>#REF!</v>
      </c>
      <c r="DI128" t="e">
        <f>AND(NhatkyBan!#REF!,"AAAAAF/f+XA=")</f>
        <v>#REF!</v>
      </c>
      <c r="DJ128" t="e">
        <f>AND(NhatkyBan!#REF!,"AAAAAF/f+XE=")</f>
        <v>#REF!</v>
      </c>
      <c r="DK128" t="e">
        <f>AND(NhatkyBan!#REF!,"AAAAAF/f+XI=")</f>
        <v>#REF!</v>
      </c>
      <c r="DL128" t="e">
        <f>AND(NhatkyBan!#REF!,"AAAAAF/f+XM=")</f>
        <v>#REF!</v>
      </c>
      <c r="DM128" t="e">
        <f>AND(NhatkyBan!#REF!,"AAAAAF/f+XQ=")</f>
        <v>#REF!</v>
      </c>
      <c r="DN128" t="e">
        <f>AND(NhatkyBan!#REF!,"AAAAAF/f+XU=")</f>
        <v>#REF!</v>
      </c>
      <c r="DO128" t="e">
        <f>AND(NhatkyBan!#REF!,"AAAAAF/f+XY=")</f>
        <v>#REF!</v>
      </c>
      <c r="DP128" t="e">
        <f>AND(NhatkyBan!#REF!,"AAAAAF/f+Xc=")</f>
        <v>#REF!</v>
      </c>
      <c r="DQ128" t="e">
        <f>AND(NhatkyBan!#REF!,"AAAAAF/f+Xg=")</f>
        <v>#REF!</v>
      </c>
      <c r="DR128" t="e">
        <f>AND(NhatkyBan!#REF!,"AAAAAF/f+Xk=")</f>
        <v>#REF!</v>
      </c>
      <c r="DS128" t="e">
        <f>AND(NhatkyBan!#REF!,"AAAAAF/f+Xo=")</f>
        <v>#REF!</v>
      </c>
      <c r="DT128" t="e">
        <f>IF(NhatkyBan!#REF!,"AAAAAF/f+Xs=",0)</f>
        <v>#REF!</v>
      </c>
      <c r="DU128" t="e">
        <f>AND(NhatkyBan!#REF!,"AAAAAF/f+Xw=")</f>
        <v>#REF!</v>
      </c>
      <c r="DV128" t="e">
        <f>AND(NhatkyBan!#REF!,"AAAAAF/f+X0=")</f>
        <v>#REF!</v>
      </c>
      <c r="DW128" t="e">
        <f>AND(NhatkyBan!#REF!,"AAAAAF/f+X4=")</f>
        <v>#REF!</v>
      </c>
      <c r="DX128" t="e">
        <f>AND(NhatkyBan!#REF!,"AAAAAF/f+X8=")</f>
        <v>#REF!</v>
      </c>
      <c r="DY128" t="e">
        <f>AND(NhatkyBan!#REF!,"AAAAAF/f+YA=")</f>
        <v>#REF!</v>
      </c>
      <c r="DZ128" t="e">
        <f>AND(NhatkyBan!#REF!,"AAAAAF/f+YE=")</f>
        <v>#REF!</v>
      </c>
      <c r="EA128" t="e">
        <f>AND(NhatkyBan!#REF!,"AAAAAF/f+YI=")</f>
        <v>#REF!</v>
      </c>
      <c r="EB128" t="e">
        <f>AND(NhatkyBan!#REF!,"AAAAAF/f+YM=")</f>
        <v>#REF!</v>
      </c>
      <c r="EC128" t="e">
        <f>AND(NhatkyBan!#REF!,"AAAAAF/f+YQ=")</f>
        <v>#REF!</v>
      </c>
      <c r="ED128" t="e">
        <f>AND(NhatkyBan!#REF!,"AAAAAF/f+YU=")</f>
        <v>#REF!</v>
      </c>
      <c r="EE128" t="e">
        <f>AND(NhatkyBan!#REF!,"AAAAAF/f+YY=")</f>
        <v>#REF!</v>
      </c>
      <c r="EF128" t="e">
        <f>AND(NhatkyBan!#REF!,"AAAAAF/f+Yc=")</f>
        <v>#REF!</v>
      </c>
      <c r="EG128" t="e">
        <f>AND(NhatkyBan!#REF!,"AAAAAF/f+Yg=")</f>
        <v>#REF!</v>
      </c>
      <c r="EH128" t="e">
        <f>AND(NhatkyBan!#REF!,"AAAAAF/f+Yk=")</f>
        <v>#REF!</v>
      </c>
      <c r="EI128" t="e">
        <f>AND(NhatkyBan!#REF!,"AAAAAF/f+Yo=")</f>
        <v>#REF!</v>
      </c>
      <c r="EJ128" t="e">
        <f>AND(NhatkyBan!#REF!,"AAAAAF/f+Ys=")</f>
        <v>#REF!</v>
      </c>
      <c r="EK128" t="e">
        <f>AND(NhatkyBan!#REF!,"AAAAAF/f+Yw=")</f>
        <v>#REF!</v>
      </c>
      <c r="EL128" t="e">
        <f>AND(NhatkyBan!#REF!,"AAAAAF/f+Y0=")</f>
        <v>#REF!</v>
      </c>
      <c r="EM128" t="e">
        <f>AND(NhatkyBan!#REF!,"AAAAAF/f+Y4=")</f>
        <v>#REF!</v>
      </c>
      <c r="EN128" t="e">
        <f>AND(NhatkyBan!#REF!,"AAAAAF/f+Y8=")</f>
        <v>#REF!</v>
      </c>
      <c r="EO128" t="e">
        <f>AND(NhatkyBan!#REF!,"AAAAAF/f+ZA=")</f>
        <v>#REF!</v>
      </c>
      <c r="EP128" t="e">
        <f>AND(NhatkyBan!#REF!,"AAAAAF/f+ZE=")</f>
        <v>#REF!</v>
      </c>
      <c r="EQ128" t="e">
        <f>AND(NhatkyBan!#REF!,"AAAAAF/f+ZI=")</f>
        <v>#REF!</v>
      </c>
      <c r="ER128" t="e">
        <f>AND(NhatkyBan!#REF!,"AAAAAF/f+ZM=")</f>
        <v>#REF!</v>
      </c>
      <c r="ES128" t="e">
        <f>AND(NhatkyBan!#REF!,"AAAAAF/f+ZQ=")</f>
        <v>#REF!</v>
      </c>
      <c r="ET128" t="e">
        <f>AND(NhatkyBan!#REF!,"AAAAAF/f+ZU=")</f>
        <v>#REF!</v>
      </c>
      <c r="EU128" t="e">
        <f>AND(NhatkyBan!#REF!,"AAAAAF/f+ZY=")</f>
        <v>#REF!</v>
      </c>
      <c r="EV128" t="e">
        <f>AND(NhatkyBan!#REF!,"AAAAAF/f+Zc=")</f>
        <v>#REF!</v>
      </c>
      <c r="EW128" t="e">
        <f>AND(NhatkyBan!#REF!,"AAAAAF/f+Zg=")</f>
        <v>#REF!</v>
      </c>
      <c r="EX128" t="e">
        <f>AND(NhatkyBan!#REF!,"AAAAAF/f+Zk=")</f>
        <v>#REF!</v>
      </c>
      <c r="EY128" t="e">
        <f>AND(NhatkyBan!#REF!,"AAAAAF/f+Zo=")</f>
        <v>#REF!</v>
      </c>
      <c r="EZ128" t="e">
        <f>AND(NhatkyBan!#REF!,"AAAAAF/f+Zs=")</f>
        <v>#REF!</v>
      </c>
      <c r="FA128" t="e">
        <f>AND(NhatkyBan!#REF!,"AAAAAF/f+Zw=")</f>
        <v>#REF!</v>
      </c>
      <c r="FB128" t="e">
        <f>AND(NhatkyBan!#REF!,"AAAAAF/f+Z0=")</f>
        <v>#REF!</v>
      </c>
      <c r="FC128" t="e">
        <f>IF(NhatkyBan!#REF!,"AAAAAF/f+Z4=",0)</f>
        <v>#REF!</v>
      </c>
      <c r="FD128" t="e">
        <f>AND(NhatkyBan!#REF!,"AAAAAF/f+Z8=")</f>
        <v>#REF!</v>
      </c>
      <c r="FE128" t="e">
        <f>AND(NhatkyBan!#REF!,"AAAAAF/f+aA=")</f>
        <v>#REF!</v>
      </c>
      <c r="FF128" t="e">
        <f>AND(NhatkyBan!#REF!,"AAAAAF/f+aE=")</f>
        <v>#REF!</v>
      </c>
      <c r="FG128" t="e">
        <f>AND(NhatkyBan!#REF!,"AAAAAF/f+aI=")</f>
        <v>#REF!</v>
      </c>
      <c r="FH128" t="e">
        <f>AND(NhatkyBan!#REF!,"AAAAAF/f+aM=")</f>
        <v>#REF!</v>
      </c>
      <c r="FI128" t="e">
        <f>AND(NhatkyBan!#REF!,"AAAAAF/f+aQ=")</f>
        <v>#REF!</v>
      </c>
      <c r="FJ128" t="e">
        <f>AND(NhatkyBan!#REF!,"AAAAAF/f+aU=")</f>
        <v>#REF!</v>
      </c>
      <c r="FK128" t="e">
        <f>AND(NhatkyBan!#REF!,"AAAAAF/f+aY=")</f>
        <v>#REF!</v>
      </c>
      <c r="FL128" t="e">
        <f>AND(NhatkyBan!#REF!,"AAAAAF/f+ac=")</f>
        <v>#REF!</v>
      </c>
      <c r="FM128" t="e">
        <f>AND(NhatkyBan!#REF!,"AAAAAF/f+ag=")</f>
        <v>#REF!</v>
      </c>
      <c r="FN128" t="e">
        <f>AND(NhatkyBan!#REF!,"AAAAAF/f+ak=")</f>
        <v>#REF!</v>
      </c>
      <c r="FO128" t="e">
        <f>AND(NhatkyBan!#REF!,"AAAAAF/f+ao=")</f>
        <v>#REF!</v>
      </c>
      <c r="FP128" t="e">
        <f>AND(NhatkyBan!#REF!,"AAAAAF/f+as=")</f>
        <v>#REF!</v>
      </c>
      <c r="FQ128" t="e">
        <f>AND(NhatkyBan!#REF!,"AAAAAF/f+aw=")</f>
        <v>#REF!</v>
      </c>
      <c r="FR128" t="e">
        <f>AND(NhatkyBan!#REF!,"AAAAAF/f+a0=")</f>
        <v>#REF!</v>
      </c>
      <c r="FS128" t="e">
        <f>AND(NhatkyBan!#REF!,"AAAAAF/f+a4=")</f>
        <v>#REF!</v>
      </c>
      <c r="FT128" t="e">
        <f>AND(NhatkyBan!#REF!,"AAAAAF/f+a8=")</f>
        <v>#REF!</v>
      </c>
      <c r="FU128" t="e">
        <f>AND(NhatkyBan!#REF!,"AAAAAF/f+bA=")</f>
        <v>#REF!</v>
      </c>
      <c r="FV128" t="e">
        <f>AND(NhatkyBan!#REF!,"AAAAAF/f+bE=")</f>
        <v>#REF!</v>
      </c>
      <c r="FW128" t="e">
        <f>AND(NhatkyBan!#REF!,"AAAAAF/f+bI=")</f>
        <v>#REF!</v>
      </c>
      <c r="FX128" t="e">
        <f>AND(NhatkyBan!#REF!,"AAAAAF/f+bM=")</f>
        <v>#REF!</v>
      </c>
      <c r="FY128" t="e">
        <f>AND(NhatkyBan!#REF!,"AAAAAF/f+bQ=")</f>
        <v>#REF!</v>
      </c>
      <c r="FZ128" t="e">
        <f>AND(NhatkyBan!#REF!,"AAAAAF/f+bU=")</f>
        <v>#REF!</v>
      </c>
      <c r="GA128" t="e">
        <f>AND(NhatkyBan!#REF!,"AAAAAF/f+bY=")</f>
        <v>#REF!</v>
      </c>
      <c r="GB128" t="e">
        <f>AND(NhatkyBan!#REF!,"AAAAAF/f+bc=")</f>
        <v>#REF!</v>
      </c>
      <c r="GC128" t="e">
        <f>AND(NhatkyBan!#REF!,"AAAAAF/f+bg=")</f>
        <v>#REF!</v>
      </c>
      <c r="GD128" t="e">
        <f>AND(NhatkyBan!#REF!,"AAAAAF/f+bk=")</f>
        <v>#REF!</v>
      </c>
      <c r="GE128" t="e">
        <f>AND(NhatkyBan!#REF!,"AAAAAF/f+bo=")</f>
        <v>#REF!</v>
      </c>
      <c r="GF128" t="e">
        <f>AND(NhatkyBan!#REF!,"AAAAAF/f+bs=")</f>
        <v>#REF!</v>
      </c>
      <c r="GG128" t="e">
        <f>AND(NhatkyBan!#REF!,"AAAAAF/f+bw=")</f>
        <v>#REF!</v>
      </c>
      <c r="GH128" t="e">
        <f>AND(NhatkyBan!#REF!,"AAAAAF/f+b0=")</f>
        <v>#REF!</v>
      </c>
      <c r="GI128" t="e">
        <f>AND(NhatkyBan!#REF!,"AAAAAF/f+b4=")</f>
        <v>#REF!</v>
      </c>
      <c r="GJ128" t="e">
        <f>AND(NhatkyBan!#REF!,"AAAAAF/f+b8=")</f>
        <v>#REF!</v>
      </c>
      <c r="GK128" t="e">
        <f>AND(NhatkyBan!#REF!,"AAAAAF/f+cA=")</f>
        <v>#REF!</v>
      </c>
      <c r="GL128" t="e">
        <f>IF(NhatkyBan!#REF!,"AAAAAF/f+cE=",0)</f>
        <v>#REF!</v>
      </c>
      <c r="GM128" t="e">
        <f>AND(NhatkyBan!#REF!,"AAAAAF/f+cI=")</f>
        <v>#REF!</v>
      </c>
      <c r="GN128" t="e">
        <f>AND(NhatkyBan!#REF!,"AAAAAF/f+cM=")</f>
        <v>#REF!</v>
      </c>
      <c r="GO128" t="e">
        <f>AND(NhatkyBan!#REF!,"AAAAAF/f+cQ=")</f>
        <v>#REF!</v>
      </c>
      <c r="GP128" t="e">
        <f>AND(NhatkyBan!#REF!,"AAAAAF/f+cU=")</f>
        <v>#REF!</v>
      </c>
      <c r="GQ128" t="e">
        <f>AND(NhatkyBan!#REF!,"AAAAAF/f+cY=")</f>
        <v>#REF!</v>
      </c>
      <c r="GR128" t="e">
        <f>AND(NhatkyBan!#REF!,"AAAAAF/f+cc=")</f>
        <v>#REF!</v>
      </c>
      <c r="GS128" t="e">
        <f>AND(NhatkyBan!#REF!,"AAAAAF/f+cg=")</f>
        <v>#REF!</v>
      </c>
      <c r="GT128" t="e">
        <f>AND(NhatkyBan!#REF!,"AAAAAF/f+ck=")</f>
        <v>#REF!</v>
      </c>
      <c r="GU128" t="e">
        <f>AND(NhatkyBan!#REF!,"AAAAAF/f+co=")</f>
        <v>#REF!</v>
      </c>
      <c r="GV128" t="e">
        <f>AND(NhatkyBan!#REF!,"AAAAAF/f+cs=")</f>
        <v>#REF!</v>
      </c>
      <c r="GW128" t="e">
        <f>AND(NhatkyBan!#REF!,"AAAAAF/f+cw=")</f>
        <v>#REF!</v>
      </c>
      <c r="GX128" t="e">
        <f>AND(NhatkyBan!#REF!,"AAAAAF/f+c0=")</f>
        <v>#REF!</v>
      </c>
      <c r="GY128" t="e">
        <f>AND(NhatkyBan!#REF!,"AAAAAF/f+c4=")</f>
        <v>#REF!</v>
      </c>
      <c r="GZ128" t="e">
        <f>AND(NhatkyBan!#REF!,"AAAAAF/f+c8=")</f>
        <v>#REF!</v>
      </c>
      <c r="HA128" t="e">
        <f>AND(NhatkyBan!#REF!,"AAAAAF/f+dA=")</f>
        <v>#REF!</v>
      </c>
      <c r="HB128" t="e">
        <f>AND(NhatkyBan!#REF!,"AAAAAF/f+dE=")</f>
        <v>#REF!</v>
      </c>
      <c r="HC128" t="e">
        <f>AND(NhatkyBan!#REF!,"AAAAAF/f+dI=")</f>
        <v>#REF!</v>
      </c>
      <c r="HD128" t="e">
        <f>AND(NhatkyBan!#REF!,"AAAAAF/f+dM=")</f>
        <v>#REF!</v>
      </c>
      <c r="HE128" t="e">
        <f>AND(NhatkyBan!#REF!,"AAAAAF/f+dQ=")</f>
        <v>#REF!</v>
      </c>
      <c r="HF128" t="e">
        <f>AND(NhatkyBan!#REF!,"AAAAAF/f+dU=")</f>
        <v>#REF!</v>
      </c>
      <c r="HG128" t="e">
        <f>AND(NhatkyBan!#REF!,"AAAAAF/f+dY=")</f>
        <v>#REF!</v>
      </c>
      <c r="HH128" t="e">
        <f>AND(NhatkyBan!#REF!,"AAAAAF/f+dc=")</f>
        <v>#REF!</v>
      </c>
      <c r="HI128" t="e">
        <f>AND(NhatkyBan!#REF!,"AAAAAF/f+dg=")</f>
        <v>#REF!</v>
      </c>
      <c r="HJ128" t="e">
        <f>AND(NhatkyBan!#REF!,"AAAAAF/f+dk=")</f>
        <v>#REF!</v>
      </c>
      <c r="HK128" t="e">
        <f>AND(NhatkyBan!#REF!,"AAAAAF/f+do=")</f>
        <v>#REF!</v>
      </c>
      <c r="HL128" t="e">
        <f>AND(NhatkyBan!#REF!,"AAAAAF/f+ds=")</f>
        <v>#REF!</v>
      </c>
      <c r="HM128" t="e">
        <f>AND(NhatkyBan!#REF!,"AAAAAF/f+dw=")</f>
        <v>#REF!</v>
      </c>
      <c r="HN128" t="e">
        <f>AND(NhatkyBan!#REF!,"AAAAAF/f+d0=")</f>
        <v>#REF!</v>
      </c>
      <c r="HO128" t="e">
        <f>AND(NhatkyBan!#REF!,"AAAAAF/f+d4=")</f>
        <v>#REF!</v>
      </c>
      <c r="HP128" t="e">
        <f>AND(NhatkyBan!#REF!,"AAAAAF/f+d8=")</f>
        <v>#REF!</v>
      </c>
      <c r="HQ128" t="e">
        <f>AND(NhatkyBan!#REF!,"AAAAAF/f+eA=")</f>
        <v>#REF!</v>
      </c>
      <c r="HR128" t="e">
        <f>AND(NhatkyBan!#REF!,"AAAAAF/f+eE=")</f>
        <v>#REF!</v>
      </c>
      <c r="HS128" t="e">
        <f>AND(NhatkyBan!#REF!,"AAAAAF/f+eI=")</f>
        <v>#REF!</v>
      </c>
      <c r="HT128" t="e">
        <f>AND(NhatkyBan!#REF!,"AAAAAF/f+eM=")</f>
        <v>#REF!</v>
      </c>
      <c r="HU128" t="e">
        <f>IF(NhatkyBan!#REF!,"AAAAAF/f+eQ=",0)</f>
        <v>#REF!</v>
      </c>
      <c r="HV128" t="e">
        <f>AND(NhatkyBan!#REF!,"AAAAAF/f+eU=")</f>
        <v>#REF!</v>
      </c>
      <c r="HW128" t="e">
        <f>AND(NhatkyBan!#REF!,"AAAAAF/f+eY=")</f>
        <v>#REF!</v>
      </c>
      <c r="HX128" t="e">
        <f>AND(NhatkyBan!#REF!,"AAAAAF/f+ec=")</f>
        <v>#REF!</v>
      </c>
      <c r="HY128" t="e">
        <f>AND(NhatkyBan!#REF!,"AAAAAF/f+eg=")</f>
        <v>#REF!</v>
      </c>
      <c r="HZ128" t="e">
        <f>AND(NhatkyBan!#REF!,"AAAAAF/f+ek=")</f>
        <v>#REF!</v>
      </c>
      <c r="IA128" t="e">
        <f>AND(NhatkyBan!#REF!,"AAAAAF/f+eo=")</f>
        <v>#REF!</v>
      </c>
      <c r="IB128" t="e">
        <f>AND(NhatkyBan!#REF!,"AAAAAF/f+es=")</f>
        <v>#REF!</v>
      </c>
      <c r="IC128" t="e">
        <f>AND(NhatkyBan!#REF!,"AAAAAF/f+ew=")</f>
        <v>#REF!</v>
      </c>
      <c r="ID128" t="e">
        <f>AND(NhatkyBan!#REF!,"AAAAAF/f+e0=")</f>
        <v>#REF!</v>
      </c>
      <c r="IE128" t="e">
        <f>AND(NhatkyBan!#REF!,"AAAAAF/f+e4=")</f>
        <v>#REF!</v>
      </c>
      <c r="IF128" t="e">
        <f>AND(NhatkyBan!#REF!,"AAAAAF/f+e8=")</f>
        <v>#REF!</v>
      </c>
      <c r="IG128" t="e">
        <f>AND(NhatkyBan!#REF!,"AAAAAF/f+fA=")</f>
        <v>#REF!</v>
      </c>
      <c r="IH128" t="e">
        <f>AND(NhatkyBan!#REF!,"AAAAAF/f+fE=")</f>
        <v>#REF!</v>
      </c>
      <c r="II128" t="e">
        <f>AND(NhatkyBan!#REF!,"AAAAAF/f+fI=")</f>
        <v>#REF!</v>
      </c>
      <c r="IJ128" t="e">
        <f>AND(NhatkyBan!#REF!,"AAAAAF/f+fM=")</f>
        <v>#REF!</v>
      </c>
      <c r="IK128" t="e">
        <f>AND(NhatkyBan!#REF!,"AAAAAF/f+fQ=")</f>
        <v>#REF!</v>
      </c>
      <c r="IL128" t="e">
        <f>AND(NhatkyBan!#REF!,"AAAAAF/f+fU=")</f>
        <v>#REF!</v>
      </c>
      <c r="IM128" t="e">
        <f>AND(NhatkyBan!#REF!,"AAAAAF/f+fY=")</f>
        <v>#REF!</v>
      </c>
      <c r="IN128" t="e">
        <f>AND(NhatkyBan!#REF!,"AAAAAF/f+fc=")</f>
        <v>#REF!</v>
      </c>
      <c r="IO128" t="e">
        <f>AND(NhatkyBan!#REF!,"AAAAAF/f+fg=")</f>
        <v>#REF!</v>
      </c>
      <c r="IP128" t="e">
        <f>AND(NhatkyBan!#REF!,"AAAAAF/f+fk=")</f>
        <v>#REF!</v>
      </c>
      <c r="IQ128" t="e">
        <f>AND(NhatkyBan!#REF!,"AAAAAF/f+fo=")</f>
        <v>#REF!</v>
      </c>
      <c r="IR128" t="e">
        <f>AND(NhatkyBan!#REF!,"AAAAAF/f+fs=")</f>
        <v>#REF!</v>
      </c>
      <c r="IS128" t="e">
        <f>AND(NhatkyBan!#REF!,"AAAAAF/f+fw=")</f>
        <v>#REF!</v>
      </c>
      <c r="IT128" t="e">
        <f>AND(NhatkyBan!#REF!,"AAAAAF/f+f0=")</f>
        <v>#REF!</v>
      </c>
      <c r="IU128" t="e">
        <f>AND(NhatkyBan!#REF!,"AAAAAF/f+f4=")</f>
        <v>#REF!</v>
      </c>
      <c r="IV128" t="e">
        <f>AND(NhatkyBan!#REF!,"AAAAAF/f+f8=")</f>
        <v>#REF!</v>
      </c>
    </row>
    <row r="129" spans="1:256">
      <c r="A129" t="e">
        <f>AND(NhatkyBan!#REF!,"AAAAABf5/wA=")</f>
        <v>#REF!</v>
      </c>
      <c r="B129" t="e">
        <f>AND(NhatkyBan!#REF!,"AAAAABf5/wE=")</f>
        <v>#REF!</v>
      </c>
      <c r="C129" t="e">
        <f>AND(NhatkyBan!#REF!,"AAAAABf5/wI=")</f>
        <v>#REF!</v>
      </c>
      <c r="D129" t="e">
        <f>AND(NhatkyBan!#REF!,"AAAAABf5/wM=")</f>
        <v>#REF!</v>
      </c>
      <c r="E129" t="e">
        <f>AND(NhatkyBan!#REF!,"AAAAABf5/wQ=")</f>
        <v>#REF!</v>
      </c>
      <c r="F129" t="e">
        <f>AND(NhatkyBan!#REF!,"AAAAABf5/wU=")</f>
        <v>#REF!</v>
      </c>
      <c r="G129" t="e">
        <f>AND(NhatkyBan!#REF!,"AAAAABf5/wY=")</f>
        <v>#REF!</v>
      </c>
      <c r="H129" t="e">
        <f>IF(NhatkyBan!#REF!,"AAAAABf5/wc=",0)</f>
        <v>#REF!</v>
      </c>
      <c r="I129" t="e">
        <f>AND(NhatkyBan!#REF!,"AAAAABf5/wg=")</f>
        <v>#REF!</v>
      </c>
      <c r="J129" t="e">
        <f>AND(NhatkyBan!#REF!,"AAAAABf5/wk=")</f>
        <v>#REF!</v>
      </c>
      <c r="K129" t="e">
        <f>AND(NhatkyBan!#REF!,"AAAAABf5/wo=")</f>
        <v>#REF!</v>
      </c>
      <c r="L129" t="e">
        <f>AND(NhatkyBan!#REF!,"AAAAABf5/ws=")</f>
        <v>#REF!</v>
      </c>
      <c r="M129" t="e">
        <f>AND(NhatkyBan!#REF!,"AAAAABf5/ww=")</f>
        <v>#REF!</v>
      </c>
      <c r="N129" t="e">
        <f>AND(NhatkyBan!#REF!,"AAAAABf5/w0=")</f>
        <v>#REF!</v>
      </c>
      <c r="O129" t="e">
        <f>AND(NhatkyBan!#REF!,"AAAAABf5/w4=")</f>
        <v>#REF!</v>
      </c>
      <c r="P129" t="e">
        <f>AND(NhatkyBan!#REF!,"AAAAABf5/w8=")</f>
        <v>#REF!</v>
      </c>
      <c r="Q129" t="e">
        <f>AND(NhatkyBan!#REF!,"AAAAABf5/xA=")</f>
        <v>#REF!</v>
      </c>
      <c r="R129" t="e">
        <f>AND(NhatkyBan!#REF!,"AAAAABf5/xE=")</f>
        <v>#REF!</v>
      </c>
      <c r="S129" t="e">
        <f>AND(NhatkyBan!#REF!,"AAAAABf5/xI=")</f>
        <v>#REF!</v>
      </c>
      <c r="T129" t="e">
        <f>AND(NhatkyBan!#REF!,"AAAAABf5/xM=")</f>
        <v>#REF!</v>
      </c>
      <c r="U129" t="e">
        <f>AND(NhatkyBan!#REF!,"AAAAABf5/xQ=")</f>
        <v>#REF!</v>
      </c>
      <c r="V129" t="e">
        <f>AND(NhatkyBan!#REF!,"AAAAABf5/xU=")</f>
        <v>#REF!</v>
      </c>
      <c r="W129" t="e">
        <f>AND(NhatkyBan!#REF!,"AAAAABf5/xY=")</f>
        <v>#REF!</v>
      </c>
      <c r="X129" t="e">
        <f>AND(NhatkyBan!#REF!,"AAAAABf5/xc=")</f>
        <v>#REF!</v>
      </c>
      <c r="Y129" t="e">
        <f>AND(NhatkyBan!#REF!,"AAAAABf5/xg=")</f>
        <v>#REF!</v>
      </c>
      <c r="Z129" t="e">
        <f>AND(NhatkyBan!#REF!,"AAAAABf5/xk=")</f>
        <v>#REF!</v>
      </c>
      <c r="AA129" t="e">
        <f>AND(NhatkyBan!#REF!,"AAAAABf5/xo=")</f>
        <v>#REF!</v>
      </c>
      <c r="AB129" t="e">
        <f>AND(NhatkyBan!#REF!,"AAAAABf5/xs=")</f>
        <v>#REF!</v>
      </c>
      <c r="AC129" t="e">
        <f>AND(NhatkyBan!#REF!,"AAAAABf5/xw=")</f>
        <v>#REF!</v>
      </c>
      <c r="AD129" t="e">
        <f>AND(NhatkyBan!#REF!,"AAAAABf5/x0=")</f>
        <v>#REF!</v>
      </c>
      <c r="AE129" t="e">
        <f>AND(NhatkyBan!#REF!,"AAAAABf5/x4=")</f>
        <v>#REF!</v>
      </c>
      <c r="AF129" t="e">
        <f>AND(NhatkyBan!#REF!,"AAAAABf5/x8=")</f>
        <v>#REF!</v>
      </c>
      <c r="AG129" t="e">
        <f>AND(NhatkyBan!#REF!,"AAAAABf5/yA=")</f>
        <v>#REF!</v>
      </c>
      <c r="AH129" t="e">
        <f>AND(NhatkyBan!#REF!,"AAAAABf5/yE=")</f>
        <v>#REF!</v>
      </c>
      <c r="AI129" t="e">
        <f>AND(NhatkyBan!#REF!,"AAAAABf5/yI=")</f>
        <v>#REF!</v>
      </c>
      <c r="AJ129" t="e">
        <f>AND(NhatkyBan!#REF!,"AAAAABf5/yM=")</f>
        <v>#REF!</v>
      </c>
      <c r="AK129" t="e">
        <f>AND(NhatkyBan!#REF!,"AAAAABf5/yQ=")</f>
        <v>#REF!</v>
      </c>
      <c r="AL129" t="e">
        <f>AND(NhatkyBan!#REF!,"AAAAABf5/yU=")</f>
        <v>#REF!</v>
      </c>
      <c r="AM129" t="e">
        <f>AND(NhatkyBan!#REF!,"AAAAABf5/yY=")</f>
        <v>#REF!</v>
      </c>
      <c r="AN129" t="e">
        <f>AND(NhatkyBan!#REF!,"AAAAABf5/yc=")</f>
        <v>#REF!</v>
      </c>
      <c r="AO129" t="e">
        <f>AND(NhatkyBan!#REF!,"AAAAABf5/yg=")</f>
        <v>#REF!</v>
      </c>
      <c r="AP129" t="e">
        <f>AND(NhatkyBan!#REF!,"AAAAABf5/yk=")</f>
        <v>#REF!</v>
      </c>
      <c r="AQ129" t="e">
        <f>IF(NhatkyBan!#REF!,"AAAAABf5/yo=",0)</f>
        <v>#REF!</v>
      </c>
      <c r="AR129" t="e">
        <f>AND(NhatkyBan!#REF!,"AAAAABf5/ys=")</f>
        <v>#REF!</v>
      </c>
      <c r="AS129" t="e">
        <f>AND(NhatkyBan!#REF!,"AAAAABf5/yw=")</f>
        <v>#REF!</v>
      </c>
      <c r="AT129" t="e">
        <f>AND(NhatkyBan!#REF!,"AAAAABf5/y0=")</f>
        <v>#REF!</v>
      </c>
      <c r="AU129" t="e">
        <f>AND(NhatkyBan!#REF!,"AAAAABf5/y4=")</f>
        <v>#REF!</v>
      </c>
      <c r="AV129" t="e">
        <f>AND(NhatkyBan!#REF!,"AAAAABf5/y8=")</f>
        <v>#REF!</v>
      </c>
      <c r="AW129" t="e">
        <f>AND(NhatkyBan!#REF!,"AAAAABf5/zA=")</f>
        <v>#REF!</v>
      </c>
      <c r="AX129" t="e">
        <f>AND(NhatkyBan!#REF!,"AAAAABf5/zE=")</f>
        <v>#REF!</v>
      </c>
      <c r="AY129" t="e">
        <f>AND(NhatkyBan!#REF!,"AAAAABf5/zI=")</f>
        <v>#REF!</v>
      </c>
      <c r="AZ129" t="e">
        <f>AND(NhatkyBan!#REF!,"AAAAABf5/zM=")</f>
        <v>#REF!</v>
      </c>
      <c r="BA129" t="e">
        <f>AND(NhatkyBan!#REF!,"AAAAABf5/zQ=")</f>
        <v>#REF!</v>
      </c>
      <c r="BB129" t="e">
        <f>AND(NhatkyBan!#REF!,"AAAAABf5/zU=")</f>
        <v>#REF!</v>
      </c>
      <c r="BC129" t="e">
        <f>AND(NhatkyBan!#REF!,"AAAAABf5/zY=")</f>
        <v>#REF!</v>
      </c>
      <c r="BD129" t="e">
        <f>AND(NhatkyBan!#REF!,"AAAAABf5/zc=")</f>
        <v>#REF!</v>
      </c>
      <c r="BE129" t="e">
        <f>AND(NhatkyBan!#REF!,"AAAAABf5/zg=")</f>
        <v>#REF!</v>
      </c>
      <c r="BF129" t="e">
        <f>AND(NhatkyBan!#REF!,"AAAAABf5/zk=")</f>
        <v>#REF!</v>
      </c>
      <c r="BG129" t="e">
        <f>AND(NhatkyBan!#REF!,"AAAAABf5/zo=")</f>
        <v>#REF!</v>
      </c>
      <c r="BH129" t="e">
        <f>AND(NhatkyBan!#REF!,"AAAAABf5/zs=")</f>
        <v>#REF!</v>
      </c>
      <c r="BI129" t="e">
        <f>AND(NhatkyBan!#REF!,"AAAAABf5/zw=")</f>
        <v>#REF!</v>
      </c>
      <c r="BJ129" t="e">
        <f>AND(NhatkyBan!#REF!,"AAAAABf5/z0=")</f>
        <v>#REF!</v>
      </c>
      <c r="BK129" t="e">
        <f>AND(NhatkyBan!#REF!,"AAAAABf5/z4=")</f>
        <v>#REF!</v>
      </c>
      <c r="BL129" t="e">
        <f>AND(NhatkyBan!#REF!,"AAAAABf5/z8=")</f>
        <v>#REF!</v>
      </c>
      <c r="BM129" t="e">
        <f>AND(NhatkyBan!#REF!,"AAAAABf5/0A=")</f>
        <v>#REF!</v>
      </c>
      <c r="BN129" t="e">
        <f>AND(NhatkyBan!#REF!,"AAAAABf5/0E=")</f>
        <v>#REF!</v>
      </c>
      <c r="BO129" t="e">
        <f>AND(NhatkyBan!#REF!,"AAAAABf5/0I=")</f>
        <v>#REF!</v>
      </c>
      <c r="BP129" t="e">
        <f>AND(NhatkyBan!#REF!,"AAAAABf5/0M=")</f>
        <v>#REF!</v>
      </c>
      <c r="BQ129" t="e">
        <f>AND(NhatkyBan!#REF!,"AAAAABf5/0Q=")</f>
        <v>#REF!</v>
      </c>
      <c r="BR129" t="e">
        <f>AND(NhatkyBan!#REF!,"AAAAABf5/0U=")</f>
        <v>#REF!</v>
      </c>
      <c r="BS129" t="e">
        <f>AND(NhatkyBan!#REF!,"AAAAABf5/0Y=")</f>
        <v>#REF!</v>
      </c>
      <c r="BT129" t="e">
        <f>AND(NhatkyBan!#REF!,"AAAAABf5/0c=")</f>
        <v>#REF!</v>
      </c>
      <c r="BU129" t="e">
        <f>AND(NhatkyBan!#REF!,"AAAAABf5/0g=")</f>
        <v>#REF!</v>
      </c>
      <c r="BV129" t="e">
        <f>AND(NhatkyBan!#REF!,"AAAAABf5/0k=")</f>
        <v>#REF!</v>
      </c>
      <c r="BW129" t="e">
        <f>AND(NhatkyBan!#REF!,"AAAAABf5/0o=")</f>
        <v>#REF!</v>
      </c>
      <c r="BX129" t="e">
        <f>AND(NhatkyBan!#REF!,"AAAAABf5/0s=")</f>
        <v>#REF!</v>
      </c>
      <c r="BY129" t="e">
        <f>AND(NhatkyBan!#REF!,"AAAAABf5/0w=")</f>
        <v>#REF!</v>
      </c>
      <c r="BZ129" t="e">
        <f>IF(NhatkyBan!#REF!,"AAAAABf5/00=",0)</f>
        <v>#REF!</v>
      </c>
      <c r="CA129" t="e">
        <f>AND(NhatkyBan!#REF!,"AAAAABf5/04=")</f>
        <v>#REF!</v>
      </c>
      <c r="CB129" t="e">
        <f>AND(NhatkyBan!#REF!,"AAAAABf5/08=")</f>
        <v>#REF!</v>
      </c>
      <c r="CC129" t="e">
        <f>AND(NhatkyBan!#REF!,"AAAAABf5/1A=")</f>
        <v>#REF!</v>
      </c>
      <c r="CD129" t="e">
        <f>AND(NhatkyBan!#REF!,"AAAAABf5/1E=")</f>
        <v>#REF!</v>
      </c>
      <c r="CE129" t="e">
        <f>AND(NhatkyBan!#REF!,"AAAAABf5/1I=")</f>
        <v>#REF!</v>
      </c>
      <c r="CF129" t="e">
        <f>AND(NhatkyBan!#REF!,"AAAAABf5/1M=")</f>
        <v>#REF!</v>
      </c>
      <c r="CG129" t="e">
        <f>AND(NhatkyBan!#REF!,"AAAAABf5/1Q=")</f>
        <v>#REF!</v>
      </c>
      <c r="CH129" t="e">
        <f>AND(NhatkyBan!#REF!,"AAAAABf5/1U=")</f>
        <v>#REF!</v>
      </c>
      <c r="CI129" t="e">
        <f>AND(NhatkyBan!#REF!,"AAAAABf5/1Y=")</f>
        <v>#REF!</v>
      </c>
      <c r="CJ129" t="e">
        <f>AND(NhatkyBan!#REF!,"AAAAABf5/1c=")</f>
        <v>#REF!</v>
      </c>
      <c r="CK129" t="e">
        <f>AND(NhatkyBan!#REF!,"AAAAABf5/1g=")</f>
        <v>#REF!</v>
      </c>
      <c r="CL129" t="e">
        <f>AND(NhatkyBan!#REF!,"AAAAABf5/1k=")</f>
        <v>#REF!</v>
      </c>
      <c r="CM129" t="e">
        <f>AND(NhatkyBan!#REF!,"AAAAABf5/1o=")</f>
        <v>#REF!</v>
      </c>
      <c r="CN129" t="e">
        <f>AND(NhatkyBan!#REF!,"AAAAABf5/1s=")</f>
        <v>#REF!</v>
      </c>
      <c r="CO129" t="e">
        <f>AND(NhatkyBan!#REF!,"AAAAABf5/1w=")</f>
        <v>#REF!</v>
      </c>
      <c r="CP129" t="e">
        <f>AND(NhatkyBan!#REF!,"AAAAABf5/10=")</f>
        <v>#REF!</v>
      </c>
      <c r="CQ129" t="e">
        <f>AND(NhatkyBan!#REF!,"AAAAABf5/14=")</f>
        <v>#REF!</v>
      </c>
      <c r="CR129" t="e">
        <f>AND(NhatkyBan!#REF!,"AAAAABf5/18=")</f>
        <v>#REF!</v>
      </c>
      <c r="CS129" t="e">
        <f>AND(NhatkyBan!#REF!,"AAAAABf5/2A=")</f>
        <v>#REF!</v>
      </c>
      <c r="CT129" t="e">
        <f>AND(NhatkyBan!#REF!,"AAAAABf5/2E=")</f>
        <v>#REF!</v>
      </c>
      <c r="CU129" t="e">
        <f>AND(NhatkyBan!#REF!,"AAAAABf5/2I=")</f>
        <v>#REF!</v>
      </c>
      <c r="CV129" t="e">
        <f>AND(NhatkyBan!#REF!,"AAAAABf5/2M=")</f>
        <v>#REF!</v>
      </c>
      <c r="CW129" t="e">
        <f>AND(NhatkyBan!#REF!,"AAAAABf5/2Q=")</f>
        <v>#REF!</v>
      </c>
      <c r="CX129" t="e">
        <f>AND(NhatkyBan!#REF!,"AAAAABf5/2U=")</f>
        <v>#REF!</v>
      </c>
      <c r="CY129" t="e">
        <f>AND(NhatkyBan!#REF!,"AAAAABf5/2Y=")</f>
        <v>#REF!</v>
      </c>
      <c r="CZ129" t="e">
        <f>AND(NhatkyBan!#REF!,"AAAAABf5/2c=")</f>
        <v>#REF!</v>
      </c>
      <c r="DA129" t="e">
        <f>AND(NhatkyBan!#REF!,"AAAAABf5/2g=")</f>
        <v>#REF!</v>
      </c>
      <c r="DB129" t="e">
        <f>AND(NhatkyBan!#REF!,"AAAAABf5/2k=")</f>
        <v>#REF!</v>
      </c>
      <c r="DC129" t="e">
        <f>AND(NhatkyBan!#REF!,"AAAAABf5/2o=")</f>
        <v>#REF!</v>
      </c>
      <c r="DD129" t="e">
        <f>AND(NhatkyBan!#REF!,"AAAAABf5/2s=")</f>
        <v>#REF!</v>
      </c>
      <c r="DE129" t="e">
        <f>AND(NhatkyBan!#REF!,"AAAAABf5/2w=")</f>
        <v>#REF!</v>
      </c>
      <c r="DF129" t="e">
        <f>AND(NhatkyBan!#REF!,"AAAAABf5/20=")</f>
        <v>#REF!</v>
      </c>
      <c r="DG129" t="e">
        <f>AND(NhatkyBan!#REF!,"AAAAABf5/24=")</f>
        <v>#REF!</v>
      </c>
      <c r="DH129" t="e">
        <f>AND(NhatkyBan!#REF!,"AAAAABf5/28=")</f>
        <v>#REF!</v>
      </c>
      <c r="DI129" t="e">
        <f>IF(NhatkyNhap!#REF!,"AAAAABf5/3A=",0)</f>
        <v>#REF!</v>
      </c>
      <c r="DJ129" t="e">
        <f>AND(NhatkyNhap!#REF!,"AAAAABf5/3E=")</f>
        <v>#REF!</v>
      </c>
      <c r="DK129" t="e">
        <f>AND(NhatkyNhap!#REF!,"AAAAABf5/3I=")</f>
        <v>#REF!</v>
      </c>
      <c r="DL129" t="e">
        <f>AND(NhatkyNhap!#REF!,"AAAAABf5/3M=")</f>
        <v>#REF!</v>
      </c>
      <c r="DM129" t="e">
        <f>AND(NhatkyNhap!#REF!,"AAAAABf5/3Q=")</f>
        <v>#REF!</v>
      </c>
      <c r="DN129" t="e">
        <f>AND(NhatkyNhap!#REF!,"AAAAABf5/3U=")</f>
        <v>#REF!</v>
      </c>
      <c r="DO129" t="e">
        <f>AND(NhatkyNhap!#REF!,"AAAAABf5/3Y=")</f>
        <v>#REF!</v>
      </c>
      <c r="DP129" t="e">
        <f>AND(NhatkyNhap!#REF!,"AAAAABf5/3c=")</f>
        <v>#REF!</v>
      </c>
      <c r="DQ129" t="e">
        <f>AND(NhatkyNhap!#REF!,"AAAAABf5/3g=")</f>
        <v>#REF!</v>
      </c>
      <c r="DR129" t="e">
        <f>AND(NhatkyNhap!#REF!,"AAAAABf5/3k=")</f>
        <v>#REF!</v>
      </c>
      <c r="DS129" t="e">
        <f>AND(NhatkyNhap!#REF!,"AAAAABf5/3o=")</f>
        <v>#REF!</v>
      </c>
      <c r="DT129" t="e">
        <f>AND(NhatkyNhap!#REF!,"AAAAABf5/3s=")</f>
        <v>#REF!</v>
      </c>
      <c r="DU129" t="e">
        <f>AND(NhatkyNhap!#REF!,"AAAAABf5/3w=")</f>
        <v>#REF!</v>
      </c>
      <c r="DV129" t="e">
        <f>AND(NhatkyNhap!#REF!,"AAAAABf5/30=")</f>
        <v>#REF!</v>
      </c>
      <c r="DW129" t="e">
        <f>AND(NhatkyNhap!#REF!,"AAAAABf5/34=")</f>
        <v>#REF!</v>
      </c>
      <c r="DX129" t="e">
        <f>AND(NhatkyNhap!#REF!,"AAAAABf5/38=")</f>
        <v>#REF!</v>
      </c>
      <c r="DY129" t="e">
        <f>AND(NhatkyNhap!#REF!,"AAAAABf5/4A=")</f>
        <v>#REF!</v>
      </c>
      <c r="DZ129" t="e">
        <f>AND(NhatkyNhap!#REF!,"AAAAABf5/4E=")</f>
        <v>#REF!</v>
      </c>
      <c r="EA129" t="e">
        <f>AND(NhatkyNhap!#REF!,"AAAAABf5/4I=")</f>
        <v>#REF!</v>
      </c>
      <c r="EB129" t="e">
        <f>AND(NhatkyNhap!#REF!,"AAAAABf5/4M=")</f>
        <v>#REF!</v>
      </c>
      <c r="EC129" t="e">
        <f>AND(NhatkyNhap!#REF!,"AAAAABf5/4Q=")</f>
        <v>#REF!</v>
      </c>
      <c r="ED129" t="e">
        <f>AND(NhatkyNhap!#REF!,"AAAAABf5/4U=")</f>
        <v>#REF!</v>
      </c>
      <c r="EE129" t="e">
        <f>AND(NhatkyNhap!#REF!,"AAAAABf5/4Y=")</f>
        <v>#REF!</v>
      </c>
      <c r="EF129" t="e">
        <f>AND(NhatkyNhap!#REF!,"AAAAABf5/4c=")</f>
        <v>#REF!</v>
      </c>
      <c r="EG129" t="e">
        <f>AND(NhatkyNhap!#REF!,"AAAAABf5/4g=")</f>
        <v>#REF!</v>
      </c>
      <c r="EH129" t="e">
        <f>AND(NhatkyNhap!#REF!,"AAAAABf5/4k=")</f>
        <v>#REF!</v>
      </c>
      <c r="EI129" t="e">
        <f>AND(NhatkyNhap!#REF!,"AAAAABf5/4o=")</f>
        <v>#REF!</v>
      </c>
      <c r="EJ129" t="e">
        <f>AND(NhatkyNhap!#REF!,"AAAAABf5/4s=")</f>
        <v>#REF!</v>
      </c>
      <c r="EK129" t="e">
        <f>AND(NhatkyNhap!#REF!,"AAAAABf5/4w=")</f>
        <v>#REF!</v>
      </c>
      <c r="EL129" t="e">
        <f>AND(NhatkyNhap!#REF!,"AAAAABf5/40=")</f>
        <v>#REF!</v>
      </c>
      <c r="EM129" t="e">
        <f>AND(NhatkyNhap!#REF!,"AAAAABf5/44=")</f>
        <v>#REF!</v>
      </c>
      <c r="EN129" t="e">
        <f>AND(NhatkyNhap!#REF!,"AAAAABf5/48=")</f>
        <v>#REF!</v>
      </c>
      <c r="EO129" t="e">
        <f>AND(NhatkyNhap!#REF!,"AAAAABf5/5A=")</f>
        <v>#REF!</v>
      </c>
      <c r="EP129" t="e">
        <f>AND(NhatkyNhap!#REF!,"AAAAABf5/5E=")</f>
        <v>#REF!</v>
      </c>
      <c r="EQ129" t="e">
        <f>AND(NhatkyNhap!#REF!,"AAAAABf5/5I=")</f>
        <v>#REF!</v>
      </c>
      <c r="ER129" t="e">
        <f>IF(NhatkyNhap!#REF!,"AAAAABf5/5M=",0)</f>
        <v>#REF!</v>
      </c>
      <c r="ES129" t="e">
        <f>AND(NhatkyNhap!#REF!,"AAAAABf5/5Q=")</f>
        <v>#REF!</v>
      </c>
      <c r="ET129" t="e">
        <f>AND(NhatkyNhap!#REF!,"AAAAABf5/5U=")</f>
        <v>#REF!</v>
      </c>
      <c r="EU129" t="e">
        <f>AND(NhatkyNhap!#REF!,"AAAAABf5/5Y=")</f>
        <v>#REF!</v>
      </c>
      <c r="EV129" t="e">
        <f>AND(NhatkyNhap!#REF!,"AAAAABf5/5c=")</f>
        <v>#REF!</v>
      </c>
      <c r="EW129" t="e">
        <f>AND(NhatkyNhap!#REF!,"AAAAABf5/5g=")</f>
        <v>#REF!</v>
      </c>
      <c r="EX129" t="e">
        <f>AND(NhatkyNhap!#REF!,"AAAAABf5/5k=")</f>
        <v>#REF!</v>
      </c>
      <c r="EY129" t="e">
        <f>AND(NhatkyNhap!#REF!,"AAAAABf5/5o=")</f>
        <v>#REF!</v>
      </c>
      <c r="EZ129" t="e">
        <f>AND(NhatkyNhap!#REF!,"AAAAABf5/5s=")</f>
        <v>#REF!</v>
      </c>
      <c r="FA129" t="e">
        <f>AND(NhatkyNhap!#REF!,"AAAAABf5/5w=")</f>
        <v>#REF!</v>
      </c>
      <c r="FB129" t="e">
        <f>AND(NhatkyNhap!#REF!,"AAAAABf5/50=")</f>
        <v>#REF!</v>
      </c>
      <c r="FC129" t="e">
        <f>AND(NhatkyNhap!#REF!,"AAAAABf5/54=")</f>
        <v>#REF!</v>
      </c>
      <c r="FD129" t="e">
        <f>AND(NhatkyNhap!#REF!,"AAAAABf5/58=")</f>
        <v>#REF!</v>
      </c>
      <c r="FE129" t="e">
        <f>AND(NhatkyNhap!#REF!,"AAAAABf5/6A=")</f>
        <v>#REF!</v>
      </c>
      <c r="FF129" t="e">
        <f>AND(NhatkyNhap!#REF!,"AAAAABf5/6E=")</f>
        <v>#REF!</v>
      </c>
      <c r="FG129" t="e">
        <f>AND(NhatkyNhap!#REF!,"AAAAABf5/6I=")</f>
        <v>#REF!</v>
      </c>
      <c r="FH129" t="e">
        <f>AND(NhatkyNhap!#REF!,"AAAAABf5/6M=")</f>
        <v>#REF!</v>
      </c>
      <c r="FI129" t="e">
        <f>AND(NhatkyNhap!#REF!,"AAAAABf5/6Q=")</f>
        <v>#REF!</v>
      </c>
      <c r="FJ129" t="e">
        <f>AND(NhatkyNhap!#REF!,"AAAAABf5/6U=")</f>
        <v>#REF!</v>
      </c>
      <c r="FK129" t="e">
        <f>AND(NhatkyNhap!#REF!,"AAAAABf5/6Y=")</f>
        <v>#REF!</v>
      </c>
      <c r="FL129" t="e">
        <f>AND(NhatkyNhap!#REF!,"AAAAABf5/6c=")</f>
        <v>#REF!</v>
      </c>
      <c r="FM129" t="e">
        <f>AND(NhatkyNhap!#REF!,"AAAAABf5/6g=")</f>
        <v>#REF!</v>
      </c>
      <c r="FN129" t="e">
        <f>AND(NhatkyNhap!#REF!,"AAAAABf5/6k=")</f>
        <v>#REF!</v>
      </c>
      <c r="FO129" t="e">
        <f>AND(NhatkyNhap!#REF!,"AAAAABf5/6o=")</f>
        <v>#REF!</v>
      </c>
      <c r="FP129" t="e">
        <f>AND(NhatkyNhap!#REF!,"AAAAABf5/6s=")</f>
        <v>#REF!</v>
      </c>
      <c r="FQ129" t="e">
        <f>AND(NhatkyNhap!#REF!,"AAAAABf5/6w=")</f>
        <v>#REF!</v>
      </c>
      <c r="FR129" t="e">
        <f>AND(NhatkyNhap!#REF!,"AAAAABf5/60=")</f>
        <v>#REF!</v>
      </c>
      <c r="FS129" t="e">
        <f>AND(NhatkyNhap!#REF!,"AAAAABf5/64=")</f>
        <v>#REF!</v>
      </c>
      <c r="FT129" t="e">
        <f>AND(NhatkyNhap!#REF!,"AAAAABf5/68=")</f>
        <v>#REF!</v>
      </c>
      <c r="FU129" t="e">
        <f>AND(NhatkyNhap!#REF!,"AAAAABf5/7A=")</f>
        <v>#REF!</v>
      </c>
      <c r="FV129" t="e">
        <f>AND(NhatkyNhap!#REF!,"AAAAABf5/7E=")</f>
        <v>#REF!</v>
      </c>
      <c r="FW129" t="e">
        <f>AND(NhatkyNhap!#REF!,"AAAAABf5/7I=")</f>
        <v>#REF!</v>
      </c>
      <c r="FX129" t="e">
        <f>AND(NhatkyNhap!#REF!,"AAAAABf5/7M=")</f>
        <v>#REF!</v>
      </c>
      <c r="FY129" t="e">
        <f>AND(NhatkyNhap!#REF!,"AAAAABf5/7Q=")</f>
        <v>#REF!</v>
      </c>
      <c r="FZ129" t="e">
        <f>AND(NhatkyNhap!#REF!,"AAAAABf5/7U=")</f>
        <v>#REF!</v>
      </c>
      <c r="GA129" t="e">
        <f>IF(NhatkyNhap!#REF!,"AAAAABf5/7Y=",0)</f>
        <v>#REF!</v>
      </c>
      <c r="GB129" t="e">
        <f>AND(NhatkyNhap!#REF!,"AAAAABf5/7c=")</f>
        <v>#REF!</v>
      </c>
      <c r="GC129" t="e">
        <f>AND(NhatkyNhap!#REF!,"AAAAABf5/7g=")</f>
        <v>#REF!</v>
      </c>
      <c r="GD129" t="e">
        <f>AND(NhatkyNhap!#REF!,"AAAAABf5/7k=")</f>
        <v>#REF!</v>
      </c>
      <c r="GE129" t="e">
        <f>AND(NhatkyNhap!#REF!,"AAAAABf5/7o=")</f>
        <v>#REF!</v>
      </c>
      <c r="GF129" t="e">
        <f>AND(NhatkyNhap!#REF!,"AAAAABf5/7s=")</f>
        <v>#REF!</v>
      </c>
      <c r="GG129" t="e">
        <f>AND(NhatkyNhap!#REF!,"AAAAABf5/7w=")</f>
        <v>#REF!</v>
      </c>
      <c r="GH129" t="e">
        <f>AND(NhatkyNhap!#REF!,"AAAAABf5/70=")</f>
        <v>#REF!</v>
      </c>
      <c r="GI129" t="e">
        <f>AND(NhatkyNhap!#REF!,"AAAAABf5/74=")</f>
        <v>#REF!</v>
      </c>
      <c r="GJ129" t="e">
        <f>AND(NhatkyNhap!#REF!,"AAAAABf5/78=")</f>
        <v>#REF!</v>
      </c>
      <c r="GK129" t="e">
        <f>AND(NhatkyNhap!#REF!,"AAAAABf5/8A=")</f>
        <v>#REF!</v>
      </c>
      <c r="GL129" t="e">
        <f>AND(NhatkyNhap!#REF!,"AAAAABf5/8E=")</f>
        <v>#REF!</v>
      </c>
      <c r="GM129" t="e">
        <f>AND(NhatkyNhap!#REF!,"AAAAABf5/8I=")</f>
        <v>#REF!</v>
      </c>
      <c r="GN129" t="e">
        <f>AND(NhatkyNhap!#REF!,"AAAAABf5/8M=")</f>
        <v>#REF!</v>
      </c>
      <c r="GO129" t="e">
        <f>AND(NhatkyNhap!#REF!,"AAAAABf5/8Q=")</f>
        <v>#REF!</v>
      </c>
      <c r="GP129" t="e">
        <f>AND(NhatkyNhap!#REF!,"AAAAABf5/8U=")</f>
        <v>#REF!</v>
      </c>
      <c r="GQ129" t="e">
        <f>AND(NhatkyNhap!#REF!,"AAAAABf5/8Y=")</f>
        <v>#REF!</v>
      </c>
      <c r="GR129" t="e">
        <f>AND(NhatkyNhap!#REF!,"AAAAABf5/8c=")</f>
        <v>#REF!</v>
      </c>
      <c r="GS129" t="e">
        <f>AND(NhatkyNhap!#REF!,"AAAAABf5/8g=")</f>
        <v>#REF!</v>
      </c>
      <c r="GT129" t="e">
        <f>AND(NhatkyNhap!#REF!,"AAAAABf5/8k=")</f>
        <v>#REF!</v>
      </c>
      <c r="GU129" t="e">
        <f>AND(NhatkyNhap!#REF!,"AAAAABf5/8o=")</f>
        <v>#REF!</v>
      </c>
      <c r="GV129" t="e">
        <f>AND(NhatkyNhap!#REF!,"AAAAABf5/8s=")</f>
        <v>#REF!</v>
      </c>
      <c r="GW129" t="e">
        <f>AND(NhatkyNhap!#REF!,"AAAAABf5/8w=")</f>
        <v>#REF!</v>
      </c>
      <c r="GX129" t="e">
        <f>AND(NhatkyNhap!#REF!,"AAAAABf5/80=")</f>
        <v>#REF!</v>
      </c>
      <c r="GY129" t="e">
        <f>AND(NhatkyNhap!#REF!,"AAAAABf5/84=")</f>
        <v>#REF!</v>
      </c>
      <c r="GZ129" t="e">
        <f>AND(NhatkyNhap!#REF!,"AAAAABf5/88=")</f>
        <v>#REF!</v>
      </c>
      <c r="HA129" t="e">
        <f>AND(NhatkyNhap!#REF!,"AAAAABf5/9A=")</f>
        <v>#REF!</v>
      </c>
      <c r="HB129" t="e">
        <f>AND(NhatkyNhap!#REF!,"AAAAABf5/9E=")</f>
        <v>#REF!</v>
      </c>
      <c r="HC129" t="e">
        <f>AND(NhatkyNhap!#REF!,"AAAAABf5/9I=")</f>
        <v>#REF!</v>
      </c>
      <c r="HD129" t="e">
        <f>AND(NhatkyNhap!#REF!,"AAAAABf5/9M=")</f>
        <v>#REF!</v>
      </c>
      <c r="HE129" t="e">
        <f>AND(NhatkyNhap!#REF!,"AAAAABf5/9Q=")</f>
        <v>#REF!</v>
      </c>
      <c r="HF129" t="e">
        <f>AND(NhatkyNhap!#REF!,"AAAAABf5/9U=")</f>
        <v>#REF!</v>
      </c>
      <c r="HG129" t="e">
        <f>AND(NhatkyNhap!#REF!,"AAAAABf5/9Y=")</f>
        <v>#REF!</v>
      </c>
      <c r="HH129" t="e">
        <f>AND(NhatkyNhap!#REF!,"AAAAABf5/9c=")</f>
        <v>#REF!</v>
      </c>
      <c r="HI129" t="e">
        <f>AND(NhatkyNhap!#REF!,"AAAAABf5/9g=")</f>
        <v>#REF!</v>
      </c>
      <c r="HJ129" t="e">
        <f>IF(NhatkyNhap!#REF!,"AAAAABf5/9k=",0)</f>
        <v>#REF!</v>
      </c>
      <c r="HK129" t="e">
        <f>AND(NhatkyNhap!#REF!,"AAAAABf5/9o=")</f>
        <v>#REF!</v>
      </c>
      <c r="HL129" t="e">
        <f>AND(NhatkyNhap!#REF!,"AAAAABf5/9s=")</f>
        <v>#REF!</v>
      </c>
      <c r="HM129" t="e">
        <f>AND(NhatkyNhap!#REF!,"AAAAABf5/9w=")</f>
        <v>#REF!</v>
      </c>
      <c r="HN129" t="e">
        <f>AND(NhatkyNhap!#REF!,"AAAAABf5/90=")</f>
        <v>#REF!</v>
      </c>
      <c r="HO129" t="e">
        <f>AND(NhatkyNhap!#REF!,"AAAAABf5/94=")</f>
        <v>#REF!</v>
      </c>
      <c r="HP129" t="e">
        <f>AND(NhatkyNhap!#REF!,"AAAAABf5/98=")</f>
        <v>#REF!</v>
      </c>
      <c r="HQ129" t="e">
        <f>AND(NhatkyNhap!#REF!,"AAAAABf5/+A=")</f>
        <v>#REF!</v>
      </c>
      <c r="HR129" t="e">
        <f>AND(NhatkyNhap!#REF!,"AAAAABf5/+E=")</f>
        <v>#REF!</v>
      </c>
      <c r="HS129" t="e">
        <f>AND(NhatkyNhap!#REF!,"AAAAABf5/+I=")</f>
        <v>#REF!</v>
      </c>
      <c r="HT129" t="e">
        <f>AND(NhatkyNhap!#REF!,"AAAAABf5/+M=")</f>
        <v>#REF!</v>
      </c>
      <c r="HU129" t="e">
        <f>AND(NhatkyNhap!#REF!,"AAAAABf5/+Q=")</f>
        <v>#REF!</v>
      </c>
      <c r="HV129" t="e">
        <f>AND(NhatkyNhap!#REF!,"AAAAABf5/+U=")</f>
        <v>#REF!</v>
      </c>
      <c r="HW129" t="e">
        <f>AND(NhatkyNhap!#REF!,"AAAAABf5/+Y=")</f>
        <v>#REF!</v>
      </c>
      <c r="HX129" t="e">
        <f>AND(NhatkyNhap!#REF!,"AAAAABf5/+c=")</f>
        <v>#REF!</v>
      </c>
      <c r="HY129" t="e">
        <f>AND(NhatkyNhap!#REF!,"AAAAABf5/+g=")</f>
        <v>#REF!</v>
      </c>
      <c r="HZ129" t="e">
        <f>AND(NhatkyNhap!#REF!,"AAAAABf5/+k=")</f>
        <v>#REF!</v>
      </c>
      <c r="IA129" t="e">
        <f>AND(NhatkyNhap!#REF!,"AAAAABf5/+o=")</f>
        <v>#REF!</v>
      </c>
      <c r="IB129" t="e">
        <f>AND(NhatkyNhap!#REF!,"AAAAABf5/+s=")</f>
        <v>#REF!</v>
      </c>
      <c r="IC129" t="e">
        <f>AND(NhatkyNhap!#REF!,"AAAAABf5/+w=")</f>
        <v>#REF!</v>
      </c>
      <c r="ID129" t="e">
        <f>AND(NhatkyNhap!#REF!,"AAAAABf5/+0=")</f>
        <v>#REF!</v>
      </c>
      <c r="IE129" t="e">
        <f>AND(NhatkyNhap!#REF!,"AAAAABf5/+4=")</f>
        <v>#REF!</v>
      </c>
      <c r="IF129" t="e">
        <f>AND(NhatkyNhap!#REF!,"AAAAABf5/+8=")</f>
        <v>#REF!</v>
      </c>
      <c r="IG129" t="e">
        <f>AND(NhatkyNhap!#REF!,"AAAAABf5//A=")</f>
        <v>#REF!</v>
      </c>
      <c r="IH129" t="e">
        <f>AND(NhatkyNhap!#REF!,"AAAAABf5//E=")</f>
        <v>#REF!</v>
      </c>
      <c r="II129" t="e">
        <f>AND(NhatkyNhap!#REF!,"AAAAABf5//I=")</f>
        <v>#REF!</v>
      </c>
      <c r="IJ129" t="e">
        <f>AND(NhatkyNhap!#REF!,"AAAAABf5//M=")</f>
        <v>#REF!</v>
      </c>
      <c r="IK129" t="e">
        <f>AND(NhatkyNhap!#REF!,"AAAAABf5//Q=")</f>
        <v>#REF!</v>
      </c>
      <c r="IL129" t="e">
        <f>AND(NhatkyNhap!#REF!,"AAAAABf5//U=")</f>
        <v>#REF!</v>
      </c>
      <c r="IM129" t="e">
        <f>AND(NhatkyNhap!#REF!,"AAAAABf5//Y=")</f>
        <v>#REF!</v>
      </c>
      <c r="IN129" t="e">
        <f>AND(NhatkyNhap!#REF!,"AAAAABf5//c=")</f>
        <v>#REF!</v>
      </c>
      <c r="IO129" t="e">
        <f>AND(NhatkyNhap!#REF!,"AAAAABf5//g=")</f>
        <v>#REF!</v>
      </c>
      <c r="IP129" t="e">
        <f>AND(NhatkyNhap!#REF!,"AAAAABf5//k=")</f>
        <v>#REF!</v>
      </c>
      <c r="IQ129" t="e">
        <f>AND(NhatkyNhap!#REF!,"AAAAABf5//o=")</f>
        <v>#REF!</v>
      </c>
      <c r="IR129" t="e">
        <f>AND(NhatkyNhap!#REF!,"AAAAABf5//s=")</f>
        <v>#REF!</v>
      </c>
      <c r="IS129" t="e">
        <f>IF(NhatkyNhap!#REF!,"AAAAABf5//w=",0)</f>
        <v>#REF!</v>
      </c>
      <c r="IT129" t="e">
        <f>AND(NhatkyNhap!#REF!,"AAAAABf5//0=")</f>
        <v>#REF!</v>
      </c>
      <c r="IU129" t="e">
        <f>AND(NhatkyNhap!#REF!,"AAAAABf5//4=")</f>
        <v>#REF!</v>
      </c>
      <c r="IV129" t="e">
        <f>AND(NhatkyNhap!#REF!,"AAAAABf5//8=")</f>
        <v>#REF!</v>
      </c>
    </row>
    <row r="130" spans="1:256">
      <c r="A130" t="e">
        <f>AND(NhatkyNhap!#REF!,"AAAAAG/fnwA=")</f>
        <v>#REF!</v>
      </c>
      <c r="B130" t="e">
        <f>AND(NhatkyNhap!#REF!,"AAAAAG/fnwE=")</f>
        <v>#REF!</v>
      </c>
      <c r="C130" t="e">
        <f>AND(NhatkyNhap!#REF!,"AAAAAG/fnwI=")</f>
        <v>#REF!</v>
      </c>
      <c r="D130" t="e">
        <f>AND(NhatkyNhap!#REF!,"AAAAAG/fnwM=")</f>
        <v>#REF!</v>
      </c>
      <c r="E130" t="e">
        <f>AND(NhatkyNhap!#REF!,"AAAAAG/fnwQ=")</f>
        <v>#REF!</v>
      </c>
      <c r="F130" t="e">
        <f>AND(NhatkyNhap!#REF!,"AAAAAG/fnwU=")</f>
        <v>#REF!</v>
      </c>
      <c r="G130" t="e">
        <f>AND(NhatkyNhap!#REF!,"AAAAAG/fnwY=")</f>
        <v>#REF!</v>
      </c>
      <c r="H130" t="e">
        <f>AND(NhatkyNhap!#REF!,"AAAAAG/fnwc=")</f>
        <v>#REF!</v>
      </c>
      <c r="I130" t="e">
        <f>AND(NhatkyNhap!#REF!,"AAAAAG/fnwg=")</f>
        <v>#REF!</v>
      </c>
      <c r="J130" t="e">
        <f>AND(NhatkyNhap!#REF!,"AAAAAG/fnwk=")</f>
        <v>#REF!</v>
      </c>
      <c r="K130" t="e">
        <f>AND(NhatkyNhap!#REF!,"AAAAAG/fnwo=")</f>
        <v>#REF!</v>
      </c>
      <c r="L130" t="e">
        <f>AND(NhatkyNhap!#REF!,"AAAAAG/fnws=")</f>
        <v>#REF!</v>
      </c>
      <c r="M130" t="e">
        <f>AND(NhatkyNhap!#REF!,"AAAAAG/fnww=")</f>
        <v>#REF!</v>
      </c>
      <c r="N130" t="e">
        <f>AND(NhatkyNhap!#REF!,"AAAAAG/fnw0=")</f>
        <v>#REF!</v>
      </c>
      <c r="O130" t="e">
        <f>AND(NhatkyNhap!#REF!,"AAAAAG/fnw4=")</f>
        <v>#REF!</v>
      </c>
      <c r="P130" t="e">
        <f>AND(NhatkyNhap!#REF!,"AAAAAG/fnw8=")</f>
        <v>#REF!</v>
      </c>
      <c r="Q130" t="e">
        <f>AND(NhatkyNhap!#REF!,"AAAAAG/fnxA=")</f>
        <v>#REF!</v>
      </c>
      <c r="R130" t="e">
        <f>AND(NhatkyNhap!#REF!,"AAAAAG/fnxE=")</f>
        <v>#REF!</v>
      </c>
      <c r="S130" t="e">
        <f>AND(NhatkyNhap!#REF!,"AAAAAG/fnxI=")</f>
        <v>#REF!</v>
      </c>
      <c r="T130" t="e">
        <f>AND(NhatkyNhap!#REF!,"AAAAAG/fnxM=")</f>
        <v>#REF!</v>
      </c>
      <c r="U130" t="e">
        <f>AND(NhatkyNhap!#REF!,"AAAAAG/fnxQ=")</f>
        <v>#REF!</v>
      </c>
      <c r="V130" t="e">
        <f>AND(NhatkyNhap!#REF!,"AAAAAG/fnxU=")</f>
        <v>#REF!</v>
      </c>
      <c r="W130" t="e">
        <f>AND(NhatkyNhap!#REF!,"AAAAAG/fnxY=")</f>
        <v>#REF!</v>
      </c>
      <c r="X130" t="e">
        <f>AND(NhatkyNhap!#REF!,"AAAAAG/fnxc=")</f>
        <v>#REF!</v>
      </c>
      <c r="Y130" t="e">
        <f>AND(NhatkyNhap!#REF!,"AAAAAG/fnxg=")</f>
        <v>#REF!</v>
      </c>
      <c r="Z130" t="e">
        <f>AND(NhatkyNhap!#REF!,"AAAAAG/fnxk=")</f>
        <v>#REF!</v>
      </c>
      <c r="AA130" t="e">
        <f>AND(NhatkyNhap!#REF!,"AAAAAG/fnxo=")</f>
        <v>#REF!</v>
      </c>
      <c r="AB130" t="e">
        <f>AND(NhatkyNhap!#REF!,"AAAAAG/fnxs=")</f>
        <v>#REF!</v>
      </c>
      <c r="AC130" t="e">
        <f>AND(NhatkyNhap!#REF!,"AAAAAG/fnxw=")</f>
        <v>#REF!</v>
      </c>
      <c r="AD130" t="e">
        <f>AND(NhatkyNhap!#REF!,"AAAAAG/fnx0=")</f>
        <v>#REF!</v>
      </c>
      <c r="AE130" t="e">
        <f>AND(NhatkyNhap!#REF!,"AAAAAG/fnx4=")</f>
        <v>#REF!</v>
      </c>
      <c r="AF130" t="e">
        <f>IF(NhatkyNhap!#REF!,"AAAAAG/fnx8=",0)</f>
        <v>#REF!</v>
      </c>
      <c r="AG130" t="e">
        <f>AND(NhatkyNhap!#REF!,"AAAAAG/fnyA=")</f>
        <v>#REF!</v>
      </c>
      <c r="AH130" t="e">
        <f>AND(NhatkyNhap!#REF!,"AAAAAG/fnyE=")</f>
        <v>#REF!</v>
      </c>
      <c r="AI130" t="e">
        <f>AND(NhatkyNhap!#REF!,"AAAAAG/fnyI=")</f>
        <v>#REF!</v>
      </c>
      <c r="AJ130" t="e">
        <f>AND(NhatkyNhap!#REF!,"AAAAAG/fnyM=")</f>
        <v>#REF!</v>
      </c>
      <c r="AK130" t="e">
        <f>AND(NhatkyNhap!#REF!,"AAAAAG/fnyQ=")</f>
        <v>#REF!</v>
      </c>
      <c r="AL130" t="e">
        <f>AND(NhatkyNhap!#REF!,"AAAAAG/fnyU=")</f>
        <v>#REF!</v>
      </c>
      <c r="AM130" t="e">
        <f>AND(NhatkyNhap!#REF!,"AAAAAG/fnyY=")</f>
        <v>#REF!</v>
      </c>
      <c r="AN130" t="e">
        <f>AND(NhatkyNhap!#REF!,"AAAAAG/fnyc=")</f>
        <v>#REF!</v>
      </c>
      <c r="AO130" t="e">
        <f>AND(NhatkyNhap!#REF!,"AAAAAG/fnyg=")</f>
        <v>#REF!</v>
      </c>
      <c r="AP130" t="e">
        <f>AND(NhatkyNhap!#REF!,"AAAAAG/fnyk=")</f>
        <v>#REF!</v>
      </c>
      <c r="AQ130" t="e">
        <f>AND(NhatkyNhap!#REF!,"AAAAAG/fnyo=")</f>
        <v>#REF!</v>
      </c>
      <c r="AR130" t="e">
        <f>AND(NhatkyNhap!#REF!,"AAAAAG/fnys=")</f>
        <v>#REF!</v>
      </c>
      <c r="AS130" t="e">
        <f>AND(NhatkyNhap!#REF!,"AAAAAG/fnyw=")</f>
        <v>#REF!</v>
      </c>
      <c r="AT130" t="e">
        <f>AND(NhatkyNhap!#REF!,"AAAAAG/fny0=")</f>
        <v>#REF!</v>
      </c>
      <c r="AU130" t="e">
        <f>AND(NhatkyNhap!#REF!,"AAAAAG/fny4=")</f>
        <v>#REF!</v>
      </c>
      <c r="AV130" t="e">
        <f>AND(NhatkyNhap!#REF!,"AAAAAG/fny8=")</f>
        <v>#REF!</v>
      </c>
      <c r="AW130" t="e">
        <f>AND(NhatkyNhap!#REF!,"AAAAAG/fnzA=")</f>
        <v>#REF!</v>
      </c>
      <c r="AX130" t="e">
        <f>AND(NhatkyNhap!#REF!,"AAAAAG/fnzE=")</f>
        <v>#REF!</v>
      </c>
      <c r="AY130" t="e">
        <f>AND(NhatkyNhap!#REF!,"AAAAAG/fnzI=")</f>
        <v>#REF!</v>
      </c>
      <c r="AZ130" t="e">
        <f>AND(NhatkyNhap!#REF!,"AAAAAG/fnzM=")</f>
        <v>#REF!</v>
      </c>
      <c r="BA130" t="e">
        <f>AND(NhatkyNhap!#REF!,"AAAAAG/fnzQ=")</f>
        <v>#REF!</v>
      </c>
      <c r="BB130" t="e">
        <f>AND(NhatkyNhap!#REF!,"AAAAAG/fnzU=")</f>
        <v>#REF!</v>
      </c>
      <c r="BC130" t="e">
        <f>AND(NhatkyNhap!#REF!,"AAAAAG/fnzY=")</f>
        <v>#REF!</v>
      </c>
      <c r="BD130" t="e">
        <f>AND(NhatkyNhap!#REF!,"AAAAAG/fnzc=")</f>
        <v>#REF!</v>
      </c>
      <c r="BE130" t="e">
        <f>AND(NhatkyNhap!#REF!,"AAAAAG/fnzg=")</f>
        <v>#REF!</v>
      </c>
      <c r="BF130" t="e">
        <f>AND(NhatkyNhap!#REF!,"AAAAAG/fnzk=")</f>
        <v>#REF!</v>
      </c>
      <c r="BG130" t="e">
        <f>AND(NhatkyNhap!#REF!,"AAAAAG/fnzo=")</f>
        <v>#REF!</v>
      </c>
      <c r="BH130" t="e">
        <f>AND(NhatkyNhap!#REF!,"AAAAAG/fnzs=")</f>
        <v>#REF!</v>
      </c>
      <c r="BI130" t="e">
        <f>AND(NhatkyNhap!#REF!,"AAAAAG/fnzw=")</f>
        <v>#REF!</v>
      </c>
      <c r="BJ130" t="e">
        <f>AND(NhatkyNhap!#REF!,"AAAAAG/fnz0=")</f>
        <v>#REF!</v>
      </c>
      <c r="BK130" t="e">
        <f>AND(NhatkyNhap!#REF!,"AAAAAG/fnz4=")</f>
        <v>#REF!</v>
      </c>
      <c r="BL130" t="e">
        <f>AND(NhatkyNhap!#REF!,"AAAAAG/fnz8=")</f>
        <v>#REF!</v>
      </c>
      <c r="BM130" t="e">
        <f>AND(NhatkyNhap!#REF!,"AAAAAG/fn0A=")</f>
        <v>#REF!</v>
      </c>
      <c r="BN130" t="e">
        <f>AND(NhatkyNhap!#REF!,"AAAAAG/fn0E=")</f>
        <v>#REF!</v>
      </c>
      <c r="BO130" t="e">
        <f>IF(NhatkyNhap!#REF!,"AAAAAG/fn0I=",0)</f>
        <v>#REF!</v>
      </c>
      <c r="BP130" t="e">
        <f>AND(NhatkyNhap!#REF!,"AAAAAG/fn0M=")</f>
        <v>#REF!</v>
      </c>
      <c r="BQ130" t="e">
        <f>AND(NhatkyNhap!#REF!,"AAAAAG/fn0Q=")</f>
        <v>#REF!</v>
      </c>
      <c r="BR130" t="e">
        <f>AND(NhatkyNhap!#REF!,"AAAAAG/fn0U=")</f>
        <v>#REF!</v>
      </c>
      <c r="BS130" t="e">
        <f>AND(NhatkyNhap!#REF!,"AAAAAG/fn0Y=")</f>
        <v>#REF!</v>
      </c>
      <c r="BT130" t="e">
        <f>AND(NhatkyNhap!#REF!,"AAAAAG/fn0c=")</f>
        <v>#REF!</v>
      </c>
      <c r="BU130" t="e">
        <f>AND(NhatkyNhap!#REF!,"AAAAAG/fn0g=")</f>
        <v>#REF!</v>
      </c>
      <c r="BV130" t="e">
        <f>AND(NhatkyNhap!#REF!,"AAAAAG/fn0k=")</f>
        <v>#REF!</v>
      </c>
      <c r="BW130" t="e">
        <f>AND(NhatkyNhap!#REF!,"AAAAAG/fn0o=")</f>
        <v>#REF!</v>
      </c>
      <c r="BX130" t="e">
        <f>AND(NhatkyNhap!#REF!,"AAAAAG/fn0s=")</f>
        <v>#REF!</v>
      </c>
      <c r="BY130" t="e">
        <f>AND(NhatkyNhap!#REF!,"AAAAAG/fn0w=")</f>
        <v>#REF!</v>
      </c>
      <c r="BZ130" t="e">
        <f>AND(NhatkyNhap!#REF!,"AAAAAG/fn00=")</f>
        <v>#REF!</v>
      </c>
      <c r="CA130" t="e">
        <f>AND(NhatkyNhap!#REF!,"AAAAAG/fn04=")</f>
        <v>#REF!</v>
      </c>
      <c r="CB130" t="e">
        <f>AND(NhatkyNhap!#REF!,"AAAAAG/fn08=")</f>
        <v>#REF!</v>
      </c>
      <c r="CC130" t="e">
        <f>AND(NhatkyNhap!#REF!,"AAAAAG/fn1A=")</f>
        <v>#REF!</v>
      </c>
      <c r="CD130" t="e">
        <f>AND(NhatkyNhap!#REF!,"AAAAAG/fn1E=")</f>
        <v>#REF!</v>
      </c>
      <c r="CE130" t="e">
        <f>AND(NhatkyNhap!#REF!,"AAAAAG/fn1I=")</f>
        <v>#REF!</v>
      </c>
      <c r="CF130" t="e">
        <f>AND(NhatkyNhap!#REF!,"AAAAAG/fn1M=")</f>
        <v>#REF!</v>
      </c>
      <c r="CG130" t="e">
        <f>AND(NhatkyNhap!#REF!,"AAAAAG/fn1Q=")</f>
        <v>#REF!</v>
      </c>
      <c r="CH130" t="e">
        <f>AND(NhatkyNhap!#REF!,"AAAAAG/fn1U=")</f>
        <v>#REF!</v>
      </c>
      <c r="CI130" t="e">
        <f>AND(NhatkyNhap!#REF!,"AAAAAG/fn1Y=")</f>
        <v>#REF!</v>
      </c>
      <c r="CJ130" t="e">
        <f>AND(NhatkyNhap!#REF!,"AAAAAG/fn1c=")</f>
        <v>#REF!</v>
      </c>
      <c r="CK130" t="e">
        <f>AND(NhatkyNhap!#REF!,"AAAAAG/fn1g=")</f>
        <v>#REF!</v>
      </c>
      <c r="CL130" t="e">
        <f>AND(NhatkyNhap!#REF!,"AAAAAG/fn1k=")</f>
        <v>#REF!</v>
      </c>
      <c r="CM130" t="e">
        <f>AND(NhatkyNhap!#REF!,"AAAAAG/fn1o=")</f>
        <v>#REF!</v>
      </c>
      <c r="CN130" t="e">
        <f>AND(NhatkyNhap!#REF!,"AAAAAG/fn1s=")</f>
        <v>#REF!</v>
      </c>
      <c r="CO130" t="e">
        <f>AND(NhatkyNhap!#REF!,"AAAAAG/fn1w=")</f>
        <v>#REF!</v>
      </c>
      <c r="CP130" t="e">
        <f>AND(NhatkyNhap!#REF!,"AAAAAG/fn10=")</f>
        <v>#REF!</v>
      </c>
      <c r="CQ130" t="e">
        <f>AND(NhatkyNhap!#REF!,"AAAAAG/fn14=")</f>
        <v>#REF!</v>
      </c>
      <c r="CR130" t="e">
        <f>AND(NhatkyNhap!#REF!,"AAAAAG/fn18=")</f>
        <v>#REF!</v>
      </c>
      <c r="CS130" t="e">
        <f>AND(NhatkyNhap!#REF!,"AAAAAG/fn2A=")</f>
        <v>#REF!</v>
      </c>
      <c r="CT130" t="e">
        <f>AND(NhatkyNhap!#REF!,"AAAAAG/fn2E=")</f>
        <v>#REF!</v>
      </c>
      <c r="CU130" t="e">
        <f>AND(NhatkyNhap!#REF!,"AAAAAG/fn2I=")</f>
        <v>#REF!</v>
      </c>
      <c r="CV130" t="e">
        <f>AND(NhatkyNhap!#REF!,"AAAAAG/fn2M=")</f>
        <v>#REF!</v>
      </c>
      <c r="CW130" t="e">
        <f>AND(NhatkyNhap!#REF!,"AAAAAG/fn2Q=")</f>
        <v>#REF!</v>
      </c>
      <c r="CX130" t="e">
        <f>IF(NhatkyNhap!#REF!,"AAAAAG/fn2U=",0)</f>
        <v>#REF!</v>
      </c>
      <c r="CY130" t="e">
        <f>AND(NhatkyNhap!#REF!,"AAAAAG/fn2Y=")</f>
        <v>#REF!</v>
      </c>
      <c r="CZ130" t="e">
        <f>AND(NhatkyNhap!#REF!,"AAAAAG/fn2c=")</f>
        <v>#REF!</v>
      </c>
      <c r="DA130" t="e">
        <f>AND(NhatkyNhap!#REF!,"AAAAAG/fn2g=")</f>
        <v>#REF!</v>
      </c>
      <c r="DB130" t="e">
        <f>AND(NhatkyNhap!#REF!,"AAAAAG/fn2k=")</f>
        <v>#REF!</v>
      </c>
      <c r="DC130" t="e">
        <f>AND(NhatkyNhap!#REF!,"AAAAAG/fn2o=")</f>
        <v>#REF!</v>
      </c>
      <c r="DD130" t="e">
        <f>AND(NhatkyNhap!#REF!,"AAAAAG/fn2s=")</f>
        <v>#REF!</v>
      </c>
      <c r="DE130" t="e">
        <f>AND(NhatkyNhap!#REF!,"AAAAAG/fn2w=")</f>
        <v>#REF!</v>
      </c>
      <c r="DF130" t="e">
        <f>AND(NhatkyNhap!#REF!,"AAAAAG/fn20=")</f>
        <v>#REF!</v>
      </c>
      <c r="DG130" t="e">
        <f>AND(NhatkyNhap!#REF!,"AAAAAG/fn24=")</f>
        <v>#REF!</v>
      </c>
      <c r="DH130" t="e">
        <f>AND(NhatkyNhap!#REF!,"AAAAAG/fn28=")</f>
        <v>#REF!</v>
      </c>
      <c r="DI130" t="e">
        <f>AND(NhatkyNhap!#REF!,"AAAAAG/fn3A=")</f>
        <v>#REF!</v>
      </c>
      <c r="DJ130" t="e">
        <f>AND(NhatkyNhap!#REF!,"AAAAAG/fn3E=")</f>
        <v>#REF!</v>
      </c>
      <c r="DK130" t="e">
        <f>AND(NhatkyNhap!#REF!,"AAAAAG/fn3I=")</f>
        <v>#REF!</v>
      </c>
      <c r="DL130" t="e">
        <f>AND(NhatkyNhap!#REF!,"AAAAAG/fn3M=")</f>
        <v>#REF!</v>
      </c>
      <c r="DM130" t="e">
        <f>AND(NhatkyNhap!#REF!,"AAAAAG/fn3Q=")</f>
        <v>#REF!</v>
      </c>
      <c r="DN130" t="e">
        <f>AND(NhatkyNhap!#REF!,"AAAAAG/fn3U=")</f>
        <v>#REF!</v>
      </c>
      <c r="DO130" t="e">
        <f>AND(NhatkyNhap!#REF!,"AAAAAG/fn3Y=")</f>
        <v>#REF!</v>
      </c>
      <c r="DP130" t="e">
        <f>AND(NhatkyNhap!#REF!,"AAAAAG/fn3c=")</f>
        <v>#REF!</v>
      </c>
      <c r="DQ130" t="e">
        <f>AND(NhatkyNhap!#REF!,"AAAAAG/fn3g=")</f>
        <v>#REF!</v>
      </c>
      <c r="DR130" t="e">
        <f>AND(NhatkyNhap!#REF!,"AAAAAG/fn3k=")</f>
        <v>#REF!</v>
      </c>
      <c r="DS130" t="e">
        <f>AND(NhatkyNhap!#REF!,"AAAAAG/fn3o=")</f>
        <v>#REF!</v>
      </c>
      <c r="DT130" t="e">
        <f>AND(NhatkyNhap!#REF!,"AAAAAG/fn3s=")</f>
        <v>#REF!</v>
      </c>
      <c r="DU130" t="e">
        <f>AND(NhatkyNhap!#REF!,"AAAAAG/fn3w=")</f>
        <v>#REF!</v>
      </c>
      <c r="DV130" t="e">
        <f>AND(NhatkyNhap!#REF!,"AAAAAG/fn30=")</f>
        <v>#REF!</v>
      </c>
      <c r="DW130" t="e">
        <f>AND(NhatkyNhap!#REF!,"AAAAAG/fn34=")</f>
        <v>#REF!</v>
      </c>
      <c r="DX130" t="e">
        <f>AND(NhatkyNhap!#REF!,"AAAAAG/fn38=")</f>
        <v>#REF!</v>
      </c>
      <c r="DY130" t="e">
        <f>AND(NhatkyNhap!#REF!,"AAAAAG/fn4A=")</f>
        <v>#REF!</v>
      </c>
      <c r="DZ130" t="e">
        <f>AND(NhatkyNhap!#REF!,"AAAAAG/fn4E=")</f>
        <v>#REF!</v>
      </c>
      <c r="EA130" t="e">
        <f>AND(NhatkyNhap!#REF!,"AAAAAG/fn4I=")</f>
        <v>#REF!</v>
      </c>
      <c r="EB130" t="e">
        <f>AND(NhatkyNhap!#REF!,"AAAAAG/fn4M=")</f>
        <v>#REF!</v>
      </c>
      <c r="EC130" t="e">
        <f>AND(NhatkyNhap!#REF!,"AAAAAG/fn4Q=")</f>
        <v>#REF!</v>
      </c>
      <c r="ED130" t="e">
        <f>AND(NhatkyNhap!#REF!,"AAAAAG/fn4U=")</f>
        <v>#REF!</v>
      </c>
      <c r="EE130" t="e">
        <f>AND(NhatkyNhap!#REF!,"AAAAAG/fn4Y=")</f>
        <v>#REF!</v>
      </c>
      <c r="EF130" t="e">
        <f>AND(NhatkyNhap!#REF!,"AAAAAG/fn4c=")</f>
        <v>#REF!</v>
      </c>
      <c r="EG130" t="e">
        <f>IF(NhatkyNhap!#REF!,"AAAAAG/fn4g=",0)</f>
        <v>#REF!</v>
      </c>
      <c r="EH130" t="e">
        <f>AND(NhatkyNhap!#REF!,"AAAAAG/fn4k=")</f>
        <v>#REF!</v>
      </c>
      <c r="EI130" t="e">
        <f>AND(NhatkyNhap!#REF!,"AAAAAG/fn4o=")</f>
        <v>#REF!</v>
      </c>
      <c r="EJ130" t="e">
        <f>AND(NhatkyNhap!#REF!,"AAAAAG/fn4s=")</f>
        <v>#REF!</v>
      </c>
      <c r="EK130" t="e">
        <f>AND(NhatkyNhap!#REF!,"AAAAAG/fn4w=")</f>
        <v>#REF!</v>
      </c>
      <c r="EL130" t="e">
        <f>AND(NhatkyNhap!#REF!,"AAAAAG/fn40=")</f>
        <v>#REF!</v>
      </c>
      <c r="EM130" t="e">
        <f>AND(NhatkyNhap!#REF!,"AAAAAG/fn44=")</f>
        <v>#REF!</v>
      </c>
      <c r="EN130" t="e">
        <f>AND(NhatkyNhap!#REF!,"AAAAAG/fn48=")</f>
        <v>#REF!</v>
      </c>
      <c r="EO130" t="e">
        <f>AND(NhatkyNhap!#REF!,"AAAAAG/fn5A=")</f>
        <v>#REF!</v>
      </c>
      <c r="EP130" t="e">
        <f>AND(NhatkyNhap!#REF!,"AAAAAG/fn5E=")</f>
        <v>#REF!</v>
      </c>
      <c r="EQ130" t="e">
        <f>AND(NhatkyNhap!#REF!,"AAAAAG/fn5I=")</f>
        <v>#REF!</v>
      </c>
      <c r="ER130" t="e">
        <f>AND(NhatkyNhap!#REF!,"AAAAAG/fn5M=")</f>
        <v>#REF!</v>
      </c>
      <c r="ES130" t="e">
        <f>AND(NhatkyNhap!#REF!,"AAAAAG/fn5Q=")</f>
        <v>#REF!</v>
      </c>
      <c r="ET130" t="e">
        <f>AND(NhatkyNhap!#REF!,"AAAAAG/fn5U=")</f>
        <v>#REF!</v>
      </c>
      <c r="EU130" t="e">
        <f>AND(NhatkyNhap!#REF!,"AAAAAG/fn5Y=")</f>
        <v>#REF!</v>
      </c>
      <c r="EV130" t="e">
        <f>AND(NhatkyNhap!#REF!,"AAAAAG/fn5c=")</f>
        <v>#REF!</v>
      </c>
      <c r="EW130" t="e">
        <f>AND(NhatkyNhap!#REF!,"AAAAAG/fn5g=")</f>
        <v>#REF!</v>
      </c>
      <c r="EX130" t="e">
        <f>AND(NhatkyNhap!#REF!,"AAAAAG/fn5k=")</f>
        <v>#REF!</v>
      </c>
      <c r="EY130" t="e">
        <f>AND(NhatkyNhap!#REF!,"AAAAAG/fn5o=")</f>
        <v>#REF!</v>
      </c>
      <c r="EZ130" t="e">
        <f>AND(NhatkyNhap!#REF!,"AAAAAG/fn5s=")</f>
        <v>#REF!</v>
      </c>
      <c r="FA130" t="e">
        <f>AND(NhatkyNhap!#REF!,"AAAAAG/fn5w=")</f>
        <v>#REF!</v>
      </c>
      <c r="FB130" t="e">
        <f>AND(NhatkyNhap!#REF!,"AAAAAG/fn50=")</f>
        <v>#REF!</v>
      </c>
      <c r="FC130" t="e">
        <f>AND(NhatkyNhap!#REF!,"AAAAAG/fn54=")</f>
        <v>#REF!</v>
      </c>
      <c r="FD130" t="e">
        <f>AND(NhatkyNhap!#REF!,"AAAAAG/fn58=")</f>
        <v>#REF!</v>
      </c>
      <c r="FE130" t="e">
        <f>AND(NhatkyNhap!#REF!,"AAAAAG/fn6A=")</f>
        <v>#REF!</v>
      </c>
      <c r="FF130" t="e">
        <f>AND(NhatkyNhap!#REF!,"AAAAAG/fn6E=")</f>
        <v>#REF!</v>
      </c>
      <c r="FG130" t="e">
        <f>AND(NhatkyNhap!#REF!,"AAAAAG/fn6I=")</f>
        <v>#REF!</v>
      </c>
      <c r="FH130" t="e">
        <f>AND(NhatkyNhap!#REF!,"AAAAAG/fn6M=")</f>
        <v>#REF!</v>
      </c>
      <c r="FI130" t="e">
        <f>AND(NhatkyNhap!#REF!,"AAAAAG/fn6Q=")</f>
        <v>#REF!</v>
      </c>
      <c r="FJ130" t="e">
        <f>AND(NhatkyNhap!#REF!,"AAAAAG/fn6U=")</f>
        <v>#REF!</v>
      </c>
      <c r="FK130" t="e">
        <f>AND(NhatkyNhap!#REF!,"AAAAAG/fn6Y=")</f>
        <v>#REF!</v>
      </c>
      <c r="FL130" t="e">
        <f>AND(NhatkyNhap!#REF!,"AAAAAG/fn6c=")</f>
        <v>#REF!</v>
      </c>
      <c r="FM130" t="e">
        <f>AND(NhatkyNhap!#REF!,"AAAAAG/fn6g=")</f>
        <v>#REF!</v>
      </c>
      <c r="FN130" t="e">
        <f>AND(NhatkyNhap!#REF!,"AAAAAG/fn6k=")</f>
        <v>#REF!</v>
      </c>
      <c r="FO130" t="e">
        <f>AND(NhatkyNhap!#REF!,"AAAAAG/fn6o=")</f>
        <v>#REF!</v>
      </c>
      <c r="FP130" t="e">
        <f>IF(NhatkyNhap!#REF!,"AAAAAG/fn6s=",0)</f>
        <v>#REF!</v>
      </c>
      <c r="FQ130" t="e">
        <f>AND(NhatkyNhap!#REF!,"AAAAAG/fn6w=")</f>
        <v>#REF!</v>
      </c>
      <c r="FR130" t="e">
        <f>AND(NhatkyNhap!#REF!,"AAAAAG/fn60=")</f>
        <v>#REF!</v>
      </c>
      <c r="FS130" t="e">
        <f>AND(NhatkyNhap!#REF!,"AAAAAG/fn64=")</f>
        <v>#REF!</v>
      </c>
      <c r="FT130" t="e">
        <f>AND(NhatkyNhap!#REF!,"AAAAAG/fn68=")</f>
        <v>#REF!</v>
      </c>
      <c r="FU130" t="e">
        <f>AND(NhatkyNhap!#REF!,"AAAAAG/fn7A=")</f>
        <v>#REF!</v>
      </c>
      <c r="FV130" t="e">
        <f>AND(NhatkyNhap!#REF!,"AAAAAG/fn7E=")</f>
        <v>#REF!</v>
      </c>
      <c r="FW130" t="e">
        <f>AND(NhatkyNhap!#REF!,"AAAAAG/fn7I=")</f>
        <v>#REF!</v>
      </c>
      <c r="FX130" t="e">
        <f>AND(NhatkyNhap!#REF!,"AAAAAG/fn7M=")</f>
        <v>#REF!</v>
      </c>
      <c r="FY130" t="e">
        <f>AND(NhatkyNhap!#REF!,"AAAAAG/fn7Q=")</f>
        <v>#REF!</v>
      </c>
      <c r="FZ130" t="e">
        <f>AND(NhatkyNhap!#REF!,"AAAAAG/fn7U=")</f>
        <v>#REF!</v>
      </c>
      <c r="GA130" t="e">
        <f>AND(NhatkyNhap!#REF!,"AAAAAG/fn7Y=")</f>
        <v>#REF!</v>
      </c>
      <c r="GB130" t="e">
        <f>AND(NhatkyNhap!#REF!,"AAAAAG/fn7c=")</f>
        <v>#REF!</v>
      </c>
      <c r="GC130" t="e">
        <f>AND(NhatkyNhap!#REF!,"AAAAAG/fn7g=")</f>
        <v>#REF!</v>
      </c>
      <c r="GD130" t="e">
        <f>AND(NhatkyNhap!#REF!,"AAAAAG/fn7k=")</f>
        <v>#REF!</v>
      </c>
      <c r="GE130" t="e">
        <f>AND(NhatkyNhap!#REF!,"AAAAAG/fn7o=")</f>
        <v>#REF!</v>
      </c>
      <c r="GF130" t="e">
        <f>AND(NhatkyNhap!#REF!,"AAAAAG/fn7s=")</f>
        <v>#REF!</v>
      </c>
      <c r="GG130" t="e">
        <f>AND(NhatkyNhap!#REF!,"AAAAAG/fn7w=")</f>
        <v>#REF!</v>
      </c>
      <c r="GH130" t="e">
        <f>AND(NhatkyNhap!#REF!,"AAAAAG/fn70=")</f>
        <v>#REF!</v>
      </c>
      <c r="GI130" t="e">
        <f>AND(NhatkyNhap!#REF!,"AAAAAG/fn74=")</f>
        <v>#REF!</v>
      </c>
      <c r="GJ130" t="e">
        <f>AND(NhatkyNhap!#REF!,"AAAAAG/fn78=")</f>
        <v>#REF!</v>
      </c>
      <c r="GK130" t="e">
        <f>AND(NhatkyNhap!#REF!,"AAAAAG/fn8A=")</f>
        <v>#REF!</v>
      </c>
      <c r="GL130" t="e">
        <f>AND(NhatkyNhap!#REF!,"AAAAAG/fn8E=")</f>
        <v>#REF!</v>
      </c>
      <c r="GM130" t="e">
        <f>AND(NhatkyNhap!#REF!,"AAAAAG/fn8I=")</f>
        <v>#REF!</v>
      </c>
      <c r="GN130" t="e">
        <f>AND(NhatkyNhap!#REF!,"AAAAAG/fn8M=")</f>
        <v>#REF!</v>
      </c>
      <c r="GO130" t="e">
        <f>AND(NhatkyNhap!#REF!,"AAAAAG/fn8Q=")</f>
        <v>#REF!</v>
      </c>
      <c r="GP130" t="e">
        <f>AND(NhatkyNhap!#REF!,"AAAAAG/fn8U=")</f>
        <v>#REF!</v>
      </c>
      <c r="GQ130" t="e">
        <f>AND(NhatkyNhap!#REF!,"AAAAAG/fn8Y=")</f>
        <v>#REF!</v>
      </c>
      <c r="GR130" t="e">
        <f>AND(NhatkyNhap!#REF!,"AAAAAG/fn8c=")</f>
        <v>#REF!</v>
      </c>
      <c r="GS130" t="e">
        <f>AND(NhatkyNhap!#REF!,"AAAAAG/fn8g=")</f>
        <v>#REF!</v>
      </c>
      <c r="GT130" t="e">
        <f>AND(NhatkyNhap!#REF!,"AAAAAG/fn8k=")</f>
        <v>#REF!</v>
      </c>
      <c r="GU130" t="e">
        <f>AND(NhatkyNhap!#REF!,"AAAAAG/fn8o=")</f>
        <v>#REF!</v>
      </c>
      <c r="GV130" t="e">
        <f>AND(NhatkyNhap!#REF!,"AAAAAG/fn8s=")</f>
        <v>#REF!</v>
      </c>
      <c r="GW130" t="e">
        <f>AND(NhatkyNhap!#REF!,"AAAAAG/fn8w=")</f>
        <v>#REF!</v>
      </c>
      <c r="GX130" t="e">
        <f>AND(NhatkyNhap!#REF!,"AAAAAG/fn80=")</f>
        <v>#REF!</v>
      </c>
      <c r="GY130" t="e">
        <f>IF(NhatkyNhap!#REF!,"AAAAAG/fn84=",0)</f>
        <v>#REF!</v>
      </c>
      <c r="GZ130" t="e">
        <f>AND(NhatkyNhap!#REF!,"AAAAAG/fn88=")</f>
        <v>#REF!</v>
      </c>
      <c r="HA130" t="e">
        <f>AND(NhatkyNhap!#REF!,"AAAAAG/fn9A=")</f>
        <v>#REF!</v>
      </c>
      <c r="HB130" t="e">
        <f>AND(NhatkyNhap!#REF!,"AAAAAG/fn9E=")</f>
        <v>#REF!</v>
      </c>
      <c r="HC130" t="e">
        <f>AND(NhatkyNhap!#REF!,"AAAAAG/fn9I=")</f>
        <v>#REF!</v>
      </c>
      <c r="HD130" t="e">
        <f>AND(NhatkyNhap!#REF!,"AAAAAG/fn9M=")</f>
        <v>#REF!</v>
      </c>
      <c r="HE130" t="e">
        <f>AND(NhatkyNhap!#REF!,"AAAAAG/fn9Q=")</f>
        <v>#REF!</v>
      </c>
      <c r="HF130" t="e">
        <f>AND(NhatkyNhap!#REF!,"AAAAAG/fn9U=")</f>
        <v>#REF!</v>
      </c>
      <c r="HG130" t="e">
        <f>AND(NhatkyNhap!#REF!,"AAAAAG/fn9Y=")</f>
        <v>#REF!</v>
      </c>
      <c r="HH130" t="e">
        <f>AND(NhatkyNhap!#REF!,"AAAAAG/fn9c=")</f>
        <v>#REF!</v>
      </c>
      <c r="HI130" t="e">
        <f>AND(NhatkyNhap!#REF!,"AAAAAG/fn9g=")</f>
        <v>#REF!</v>
      </c>
      <c r="HJ130" t="e">
        <f>AND(NhatkyNhap!#REF!,"AAAAAG/fn9k=")</f>
        <v>#REF!</v>
      </c>
      <c r="HK130" t="e">
        <f>AND(NhatkyNhap!#REF!,"AAAAAG/fn9o=")</f>
        <v>#REF!</v>
      </c>
      <c r="HL130" t="e">
        <f>AND(NhatkyNhap!#REF!,"AAAAAG/fn9s=")</f>
        <v>#REF!</v>
      </c>
      <c r="HM130" t="e">
        <f>AND(NhatkyNhap!#REF!,"AAAAAG/fn9w=")</f>
        <v>#REF!</v>
      </c>
      <c r="HN130" t="e">
        <f>AND(NhatkyNhap!#REF!,"AAAAAG/fn90=")</f>
        <v>#REF!</v>
      </c>
      <c r="HO130" t="e">
        <f>AND(NhatkyNhap!#REF!,"AAAAAG/fn94=")</f>
        <v>#REF!</v>
      </c>
      <c r="HP130" t="e">
        <f>AND(NhatkyNhap!#REF!,"AAAAAG/fn98=")</f>
        <v>#REF!</v>
      </c>
      <c r="HQ130" t="e">
        <f>AND(NhatkyNhap!#REF!,"AAAAAG/fn+A=")</f>
        <v>#REF!</v>
      </c>
      <c r="HR130" t="e">
        <f>AND(NhatkyNhap!#REF!,"AAAAAG/fn+E=")</f>
        <v>#REF!</v>
      </c>
      <c r="HS130" t="e">
        <f>AND(NhatkyNhap!#REF!,"AAAAAG/fn+I=")</f>
        <v>#REF!</v>
      </c>
      <c r="HT130" t="e">
        <f>AND(NhatkyNhap!#REF!,"AAAAAG/fn+M=")</f>
        <v>#REF!</v>
      </c>
      <c r="HU130" t="e">
        <f>AND(NhatkyNhap!#REF!,"AAAAAG/fn+Q=")</f>
        <v>#REF!</v>
      </c>
      <c r="HV130" t="e">
        <f>AND(NhatkyNhap!#REF!,"AAAAAG/fn+U=")</f>
        <v>#REF!</v>
      </c>
      <c r="HW130" t="e">
        <f>AND(NhatkyNhap!#REF!,"AAAAAG/fn+Y=")</f>
        <v>#REF!</v>
      </c>
      <c r="HX130" t="e">
        <f>AND(NhatkyNhap!#REF!,"AAAAAG/fn+c=")</f>
        <v>#REF!</v>
      </c>
      <c r="HY130" t="e">
        <f>AND(NhatkyNhap!#REF!,"AAAAAG/fn+g=")</f>
        <v>#REF!</v>
      </c>
      <c r="HZ130" t="e">
        <f>AND(NhatkyNhap!#REF!,"AAAAAG/fn+k=")</f>
        <v>#REF!</v>
      </c>
      <c r="IA130" t="e">
        <f>AND(NhatkyNhap!#REF!,"AAAAAG/fn+o=")</f>
        <v>#REF!</v>
      </c>
      <c r="IB130" t="e">
        <f>AND(NhatkyNhap!#REF!,"AAAAAG/fn+s=")</f>
        <v>#REF!</v>
      </c>
      <c r="IC130" t="e">
        <f>AND(NhatkyNhap!#REF!,"AAAAAG/fn+w=")</f>
        <v>#REF!</v>
      </c>
      <c r="ID130" t="e">
        <f>AND(NhatkyNhap!#REF!,"AAAAAG/fn+0=")</f>
        <v>#REF!</v>
      </c>
      <c r="IE130" t="e">
        <f>AND(NhatkyNhap!#REF!,"AAAAAG/fn+4=")</f>
        <v>#REF!</v>
      </c>
      <c r="IF130" t="e">
        <f>AND(NhatkyNhap!#REF!,"AAAAAG/fn+8=")</f>
        <v>#REF!</v>
      </c>
      <c r="IG130" t="e">
        <f>AND(NhatkyNhap!#REF!,"AAAAAG/fn/A=")</f>
        <v>#REF!</v>
      </c>
      <c r="IH130" t="e">
        <f>IF(NhatkyNhap!#REF!,"AAAAAG/fn/E=",0)</f>
        <v>#REF!</v>
      </c>
      <c r="II130" t="e">
        <f>AND(NhatkyNhap!#REF!,"AAAAAG/fn/I=")</f>
        <v>#REF!</v>
      </c>
      <c r="IJ130" t="e">
        <f>AND(NhatkyNhap!#REF!,"AAAAAG/fn/M=")</f>
        <v>#REF!</v>
      </c>
      <c r="IK130" t="e">
        <f>AND(NhatkyNhap!#REF!,"AAAAAG/fn/Q=")</f>
        <v>#REF!</v>
      </c>
      <c r="IL130" t="e">
        <f>AND(NhatkyNhap!#REF!,"AAAAAG/fn/U=")</f>
        <v>#REF!</v>
      </c>
      <c r="IM130" t="e">
        <f>AND(NhatkyNhap!#REF!,"AAAAAG/fn/Y=")</f>
        <v>#REF!</v>
      </c>
      <c r="IN130" t="e">
        <f>AND(NhatkyNhap!#REF!,"AAAAAG/fn/c=")</f>
        <v>#REF!</v>
      </c>
      <c r="IO130" t="e">
        <f>AND(NhatkyNhap!#REF!,"AAAAAG/fn/g=")</f>
        <v>#REF!</v>
      </c>
      <c r="IP130" t="e">
        <f>AND(NhatkyNhap!#REF!,"AAAAAG/fn/k=")</f>
        <v>#REF!</v>
      </c>
      <c r="IQ130" t="e">
        <f>AND(NhatkyNhap!#REF!,"AAAAAG/fn/o=")</f>
        <v>#REF!</v>
      </c>
      <c r="IR130" t="e">
        <f>AND(NhatkyNhap!#REF!,"AAAAAG/fn/s=")</f>
        <v>#REF!</v>
      </c>
      <c r="IS130" t="e">
        <f>AND(NhatkyNhap!#REF!,"AAAAAG/fn/w=")</f>
        <v>#REF!</v>
      </c>
      <c r="IT130" t="e">
        <f>AND(NhatkyNhap!#REF!,"AAAAAG/fn/0=")</f>
        <v>#REF!</v>
      </c>
      <c r="IU130" t="e">
        <f>AND(NhatkyNhap!#REF!,"AAAAAG/fn/4=")</f>
        <v>#REF!</v>
      </c>
      <c r="IV130" t="e">
        <f>AND(NhatkyNhap!#REF!,"AAAAAG/fn/8=")</f>
        <v>#REF!</v>
      </c>
    </row>
    <row r="131" spans="1:256">
      <c r="A131" t="e">
        <f>AND(NhatkyNhap!#REF!,"AAAAAGv8mgA=")</f>
        <v>#REF!</v>
      </c>
      <c r="B131" t="e">
        <f>AND(NhatkyNhap!#REF!,"AAAAAGv8mgE=")</f>
        <v>#REF!</v>
      </c>
      <c r="C131" t="e">
        <f>AND(NhatkyNhap!#REF!,"AAAAAGv8mgI=")</f>
        <v>#REF!</v>
      </c>
      <c r="D131" t="e">
        <f>AND(NhatkyNhap!#REF!,"AAAAAGv8mgM=")</f>
        <v>#REF!</v>
      </c>
      <c r="E131" t="e">
        <f>AND(NhatkyNhap!#REF!,"AAAAAGv8mgQ=")</f>
        <v>#REF!</v>
      </c>
      <c r="F131" t="e">
        <f>AND(NhatkyNhap!#REF!,"AAAAAGv8mgU=")</f>
        <v>#REF!</v>
      </c>
      <c r="G131" t="e">
        <f>AND(NhatkyNhap!#REF!,"AAAAAGv8mgY=")</f>
        <v>#REF!</v>
      </c>
      <c r="H131" t="e">
        <f>AND(NhatkyNhap!#REF!,"AAAAAGv8mgc=")</f>
        <v>#REF!</v>
      </c>
      <c r="I131" t="e">
        <f>AND(NhatkyNhap!#REF!,"AAAAAGv8mgg=")</f>
        <v>#REF!</v>
      </c>
      <c r="J131" t="e">
        <f>AND(NhatkyNhap!#REF!,"AAAAAGv8mgk=")</f>
        <v>#REF!</v>
      </c>
      <c r="K131" t="e">
        <f>AND(NhatkyNhap!#REF!,"AAAAAGv8mgo=")</f>
        <v>#REF!</v>
      </c>
      <c r="L131" t="e">
        <f>AND(NhatkyNhap!#REF!,"AAAAAGv8mgs=")</f>
        <v>#REF!</v>
      </c>
      <c r="M131" t="e">
        <f>AND(NhatkyNhap!#REF!,"AAAAAGv8mgw=")</f>
        <v>#REF!</v>
      </c>
      <c r="N131" t="e">
        <f>AND(NhatkyNhap!#REF!,"AAAAAGv8mg0=")</f>
        <v>#REF!</v>
      </c>
      <c r="O131" t="e">
        <f>AND(NhatkyNhap!#REF!,"AAAAAGv8mg4=")</f>
        <v>#REF!</v>
      </c>
      <c r="P131" t="e">
        <f>AND(NhatkyNhap!#REF!,"AAAAAGv8mg8=")</f>
        <v>#REF!</v>
      </c>
      <c r="Q131" t="e">
        <f>AND(NhatkyNhap!#REF!,"AAAAAGv8mhA=")</f>
        <v>#REF!</v>
      </c>
      <c r="R131" t="e">
        <f>AND(NhatkyNhap!#REF!,"AAAAAGv8mhE=")</f>
        <v>#REF!</v>
      </c>
      <c r="S131" t="e">
        <f>AND(NhatkyNhap!#REF!,"AAAAAGv8mhI=")</f>
        <v>#REF!</v>
      </c>
      <c r="T131" t="e">
        <f>AND(NhatkyNhap!#REF!,"AAAAAGv8mhM=")</f>
        <v>#REF!</v>
      </c>
      <c r="U131" t="e">
        <f>IF(NhatkyNhap!#REF!,"AAAAAGv8mhQ=",0)</f>
        <v>#REF!</v>
      </c>
      <c r="V131" t="e">
        <f>AND(NhatkyNhap!#REF!,"AAAAAGv8mhU=")</f>
        <v>#REF!</v>
      </c>
      <c r="W131" t="e">
        <f>AND(NhatkyNhap!#REF!,"AAAAAGv8mhY=")</f>
        <v>#REF!</v>
      </c>
      <c r="X131" t="e">
        <f>AND(NhatkyNhap!#REF!,"AAAAAGv8mhc=")</f>
        <v>#REF!</v>
      </c>
      <c r="Y131" t="e">
        <f>AND(NhatkyNhap!#REF!,"AAAAAGv8mhg=")</f>
        <v>#REF!</v>
      </c>
      <c r="Z131" t="e">
        <f>AND(NhatkyNhap!#REF!,"AAAAAGv8mhk=")</f>
        <v>#REF!</v>
      </c>
      <c r="AA131" t="e">
        <f>AND(NhatkyNhap!#REF!,"AAAAAGv8mho=")</f>
        <v>#REF!</v>
      </c>
      <c r="AB131" t="e">
        <f>AND(NhatkyNhap!#REF!,"AAAAAGv8mhs=")</f>
        <v>#REF!</v>
      </c>
      <c r="AC131" t="e">
        <f>AND(NhatkyNhap!#REF!,"AAAAAGv8mhw=")</f>
        <v>#REF!</v>
      </c>
      <c r="AD131" t="e">
        <f>AND(NhatkyNhap!#REF!,"AAAAAGv8mh0=")</f>
        <v>#REF!</v>
      </c>
      <c r="AE131" t="e">
        <f>AND(NhatkyNhap!#REF!,"AAAAAGv8mh4=")</f>
        <v>#REF!</v>
      </c>
      <c r="AF131" t="e">
        <f>AND(NhatkyNhap!#REF!,"AAAAAGv8mh8=")</f>
        <v>#REF!</v>
      </c>
      <c r="AG131" t="e">
        <f>AND(NhatkyNhap!#REF!,"AAAAAGv8miA=")</f>
        <v>#REF!</v>
      </c>
      <c r="AH131" t="e">
        <f>AND(NhatkyNhap!#REF!,"AAAAAGv8miE=")</f>
        <v>#REF!</v>
      </c>
      <c r="AI131" t="e">
        <f>AND(NhatkyNhap!#REF!,"AAAAAGv8miI=")</f>
        <v>#REF!</v>
      </c>
      <c r="AJ131" t="e">
        <f>AND(NhatkyNhap!#REF!,"AAAAAGv8miM=")</f>
        <v>#REF!</v>
      </c>
      <c r="AK131" t="e">
        <f>AND(NhatkyNhap!#REF!,"AAAAAGv8miQ=")</f>
        <v>#REF!</v>
      </c>
      <c r="AL131" t="e">
        <f>AND(NhatkyNhap!#REF!,"AAAAAGv8miU=")</f>
        <v>#REF!</v>
      </c>
      <c r="AM131" t="e">
        <f>AND(NhatkyNhap!#REF!,"AAAAAGv8miY=")</f>
        <v>#REF!</v>
      </c>
      <c r="AN131" t="e">
        <f>AND(NhatkyNhap!#REF!,"AAAAAGv8mic=")</f>
        <v>#REF!</v>
      </c>
      <c r="AO131" t="e">
        <f>AND(NhatkyNhap!#REF!,"AAAAAGv8mig=")</f>
        <v>#REF!</v>
      </c>
      <c r="AP131" t="e">
        <f>AND(NhatkyNhap!#REF!,"AAAAAGv8mik=")</f>
        <v>#REF!</v>
      </c>
      <c r="AQ131" t="e">
        <f>AND(NhatkyNhap!#REF!,"AAAAAGv8mio=")</f>
        <v>#REF!</v>
      </c>
      <c r="AR131" t="e">
        <f>AND(NhatkyNhap!#REF!,"AAAAAGv8mis=")</f>
        <v>#REF!</v>
      </c>
      <c r="AS131" t="e">
        <f>AND(NhatkyNhap!#REF!,"AAAAAGv8miw=")</f>
        <v>#REF!</v>
      </c>
      <c r="AT131" t="e">
        <f>AND(NhatkyNhap!#REF!,"AAAAAGv8mi0=")</f>
        <v>#REF!</v>
      </c>
      <c r="AU131" t="e">
        <f>AND(NhatkyNhap!#REF!,"AAAAAGv8mi4=")</f>
        <v>#REF!</v>
      </c>
      <c r="AV131" t="e">
        <f>AND(NhatkyNhap!#REF!,"AAAAAGv8mi8=")</f>
        <v>#REF!</v>
      </c>
      <c r="AW131" t="e">
        <f>AND(NhatkyNhap!#REF!,"AAAAAGv8mjA=")</f>
        <v>#REF!</v>
      </c>
      <c r="AX131" t="e">
        <f>AND(NhatkyNhap!#REF!,"AAAAAGv8mjE=")</f>
        <v>#REF!</v>
      </c>
      <c r="AY131" t="e">
        <f>AND(NhatkyNhap!#REF!,"AAAAAGv8mjI=")</f>
        <v>#REF!</v>
      </c>
      <c r="AZ131" t="e">
        <f>AND(NhatkyNhap!#REF!,"AAAAAGv8mjM=")</f>
        <v>#REF!</v>
      </c>
      <c r="BA131" t="e">
        <f>AND(NhatkyNhap!#REF!,"AAAAAGv8mjQ=")</f>
        <v>#REF!</v>
      </c>
      <c r="BB131" t="e">
        <f>AND(NhatkyNhap!#REF!,"AAAAAGv8mjU=")</f>
        <v>#REF!</v>
      </c>
      <c r="BC131" t="e">
        <f>AND(NhatkyNhap!#REF!,"AAAAAGv8mjY=")</f>
        <v>#REF!</v>
      </c>
      <c r="BD131" t="e">
        <f>IF(NhatkyNhap!#REF!,"AAAAAGv8mjc=",0)</f>
        <v>#REF!</v>
      </c>
      <c r="BE131" t="e">
        <f>AND(NhatkyNhap!#REF!,"AAAAAGv8mjg=")</f>
        <v>#REF!</v>
      </c>
      <c r="BF131" t="e">
        <f>AND(NhatkyNhap!#REF!,"AAAAAGv8mjk=")</f>
        <v>#REF!</v>
      </c>
      <c r="BG131" t="e">
        <f>AND(NhatkyNhap!#REF!,"AAAAAGv8mjo=")</f>
        <v>#REF!</v>
      </c>
      <c r="BH131" t="e">
        <f>AND(NhatkyNhap!#REF!,"AAAAAGv8mjs=")</f>
        <v>#REF!</v>
      </c>
      <c r="BI131" t="e">
        <f>AND(NhatkyNhap!#REF!,"AAAAAGv8mjw=")</f>
        <v>#REF!</v>
      </c>
      <c r="BJ131" t="e">
        <f>AND(NhatkyNhap!#REF!,"AAAAAGv8mj0=")</f>
        <v>#REF!</v>
      </c>
      <c r="BK131" t="e">
        <f>AND(NhatkyNhap!#REF!,"AAAAAGv8mj4=")</f>
        <v>#REF!</v>
      </c>
      <c r="BL131" t="e">
        <f>AND(NhatkyNhap!#REF!,"AAAAAGv8mj8=")</f>
        <v>#REF!</v>
      </c>
      <c r="BM131" t="e">
        <f>AND(NhatkyNhap!#REF!,"AAAAAGv8mkA=")</f>
        <v>#REF!</v>
      </c>
      <c r="BN131" t="e">
        <f>AND(NhatkyNhap!#REF!,"AAAAAGv8mkE=")</f>
        <v>#REF!</v>
      </c>
      <c r="BO131" t="e">
        <f>AND(NhatkyNhap!#REF!,"AAAAAGv8mkI=")</f>
        <v>#REF!</v>
      </c>
      <c r="BP131" t="e">
        <f>AND(NhatkyNhap!#REF!,"AAAAAGv8mkM=")</f>
        <v>#REF!</v>
      </c>
      <c r="BQ131" t="e">
        <f>AND(NhatkyNhap!#REF!,"AAAAAGv8mkQ=")</f>
        <v>#REF!</v>
      </c>
      <c r="BR131" t="e">
        <f>AND(NhatkyNhap!#REF!,"AAAAAGv8mkU=")</f>
        <v>#REF!</v>
      </c>
      <c r="BS131" t="e">
        <f>AND(NhatkyNhap!#REF!,"AAAAAGv8mkY=")</f>
        <v>#REF!</v>
      </c>
      <c r="BT131" t="e">
        <f>AND(NhatkyNhap!#REF!,"AAAAAGv8mkc=")</f>
        <v>#REF!</v>
      </c>
      <c r="BU131" t="e">
        <f>AND(NhatkyNhap!#REF!,"AAAAAGv8mkg=")</f>
        <v>#REF!</v>
      </c>
      <c r="BV131" t="e">
        <f>AND(NhatkyNhap!#REF!,"AAAAAGv8mkk=")</f>
        <v>#REF!</v>
      </c>
      <c r="BW131" t="e">
        <f>AND(NhatkyNhap!#REF!,"AAAAAGv8mko=")</f>
        <v>#REF!</v>
      </c>
      <c r="BX131" t="e">
        <f>AND(NhatkyNhap!#REF!,"AAAAAGv8mks=")</f>
        <v>#REF!</v>
      </c>
      <c r="BY131" t="e">
        <f>AND(NhatkyNhap!#REF!,"AAAAAGv8mkw=")</f>
        <v>#REF!</v>
      </c>
      <c r="BZ131" t="e">
        <f>AND(NhatkyNhap!#REF!,"AAAAAGv8mk0=")</f>
        <v>#REF!</v>
      </c>
      <c r="CA131" t="e">
        <f>AND(NhatkyNhap!#REF!,"AAAAAGv8mk4=")</f>
        <v>#REF!</v>
      </c>
      <c r="CB131" t="e">
        <f>AND(NhatkyNhap!#REF!,"AAAAAGv8mk8=")</f>
        <v>#REF!</v>
      </c>
      <c r="CC131" t="e">
        <f>AND(NhatkyNhap!#REF!,"AAAAAGv8mlA=")</f>
        <v>#REF!</v>
      </c>
      <c r="CD131" t="e">
        <f>AND(NhatkyNhap!#REF!,"AAAAAGv8mlE=")</f>
        <v>#REF!</v>
      </c>
      <c r="CE131" t="e">
        <f>AND(NhatkyNhap!#REF!,"AAAAAGv8mlI=")</f>
        <v>#REF!</v>
      </c>
      <c r="CF131" t="e">
        <f>AND(NhatkyNhap!#REF!,"AAAAAGv8mlM=")</f>
        <v>#REF!</v>
      </c>
      <c r="CG131" t="e">
        <f>AND(NhatkyNhap!#REF!,"AAAAAGv8mlQ=")</f>
        <v>#REF!</v>
      </c>
      <c r="CH131" t="e">
        <f>AND(NhatkyNhap!#REF!,"AAAAAGv8mlU=")</f>
        <v>#REF!</v>
      </c>
      <c r="CI131" t="e">
        <f>AND(NhatkyNhap!#REF!,"AAAAAGv8mlY=")</f>
        <v>#REF!</v>
      </c>
      <c r="CJ131" t="e">
        <f>AND(NhatkyNhap!#REF!,"AAAAAGv8mlc=")</f>
        <v>#REF!</v>
      </c>
      <c r="CK131" t="e">
        <f>AND(NhatkyNhap!#REF!,"AAAAAGv8mlg=")</f>
        <v>#REF!</v>
      </c>
      <c r="CL131" t="e">
        <f>AND(NhatkyNhap!#REF!,"AAAAAGv8mlk=")</f>
        <v>#REF!</v>
      </c>
      <c r="CM131" t="e">
        <f>IF(NhatkyNhap!#REF!,"AAAAAGv8mlo=",0)</f>
        <v>#REF!</v>
      </c>
      <c r="CN131" t="e">
        <f>AND(NhatkyNhap!#REF!,"AAAAAGv8mls=")</f>
        <v>#REF!</v>
      </c>
      <c r="CO131" t="e">
        <f>AND(NhatkyNhap!#REF!,"AAAAAGv8mlw=")</f>
        <v>#REF!</v>
      </c>
      <c r="CP131" t="e">
        <f>AND(NhatkyNhap!#REF!,"AAAAAGv8ml0=")</f>
        <v>#REF!</v>
      </c>
      <c r="CQ131" t="e">
        <f>AND(NhatkyNhap!#REF!,"AAAAAGv8ml4=")</f>
        <v>#REF!</v>
      </c>
      <c r="CR131" t="e">
        <f>AND(NhatkyNhap!#REF!,"AAAAAGv8ml8=")</f>
        <v>#REF!</v>
      </c>
      <c r="CS131" t="e">
        <f>AND(NhatkyNhap!#REF!,"AAAAAGv8mmA=")</f>
        <v>#REF!</v>
      </c>
      <c r="CT131" t="e">
        <f>AND(NhatkyNhap!#REF!,"AAAAAGv8mmE=")</f>
        <v>#REF!</v>
      </c>
      <c r="CU131" t="e">
        <f>AND(NhatkyNhap!#REF!,"AAAAAGv8mmI=")</f>
        <v>#REF!</v>
      </c>
      <c r="CV131" t="e">
        <f>AND(NhatkyNhap!#REF!,"AAAAAGv8mmM=")</f>
        <v>#REF!</v>
      </c>
      <c r="CW131" t="e">
        <f>AND(NhatkyNhap!#REF!,"AAAAAGv8mmQ=")</f>
        <v>#REF!</v>
      </c>
      <c r="CX131" t="e">
        <f>AND(NhatkyNhap!#REF!,"AAAAAGv8mmU=")</f>
        <v>#REF!</v>
      </c>
      <c r="CY131" t="e">
        <f>AND(NhatkyNhap!#REF!,"AAAAAGv8mmY=")</f>
        <v>#REF!</v>
      </c>
      <c r="CZ131" t="e">
        <f>AND(NhatkyNhap!#REF!,"AAAAAGv8mmc=")</f>
        <v>#REF!</v>
      </c>
      <c r="DA131" t="e">
        <f>AND(NhatkyNhap!#REF!,"AAAAAGv8mmg=")</f>
        <v>#REF!</v>
      </c>
      <c r="DB131" t="e">
        <f>AND(NhatkyNhap!#REF!,"AAAAAGv8mmk=")</f>
        <v>#REF!</v>
      </c>
      <c r="DC131" t="e">
        <f>AND(NhatkyNhap!#REF!,"AAAAAGv8mmo=")</f>
        <v>#REF!</v>
      </c>
      <c r="DD131" t="e">
        <f>AND(NhatkyNhap!#REF!,"AAAAAGv8mms=")</f>
        <v>#REF!</v>
      </c>
      <c r="DE131" t="e">
        <f>AND(NhatkyNhap!#REF!,"AAAAAGv8mmw=")</f>
        <v>#REF!</v>
      </c>
      <c r="DF131" t="e">
        <f>AND(NhatkyNhap!#REF!,"AAAAAGv8mm0=")</f>
        <v>#REF!</v>
      </c>
      <c r="DG131" t="e">
        <f>AND(NhatkyNhap!#REF!,"AAAAAGv8mm4=")</f>
        <v>#REF!</v>
      </c>
      <c r="DH131" t="e">
        <f>AND(NhatkyNhap!#REF!,"AAAAAGv8mm8=")</f>
        <v>#REF!</v>
      </c>
      <c r="DI131" t="e">
        <f>AND(NhatkyNhap!#REF!,"AAAAAGv8mnA=")</f>
        <v>#REF!</v>
      </c>
      <c r="DJ131" t="e">
        <f>AND(NhatkyNhap!#REF!,"AAAAAGv8mnE=")</f>
        <v>#REF!</v>
      </c>
      <c r="DK131" t="e">
        <f>AND(NhatkyNhap!#REF!,"AAAAAGv8mnI=")</f>
        <v>#REF!</v>
      </c>
      <c r="DL131" t="e">
        <f>AND(NhatkyNhap!#REF!,"AAAAAGv8mnM=")</f>
        <v>#REF!</v>
      </c>
      <c r="DM131" t="e">
        <f>AND(NhatkyNhap!#REF!,"AAAAAGv8mnQ=")</f>
        <v>#REF!</v>
      </c>
      <c r="DN131" t="e">
        <f>AND(NhatkyNhap!#REF!,"AAAAAGv8mnU=")</f>
        <v>#REF!</v>
      </c>
      <c r="DO131" t="e">
        <f>AND(NhatkyNhap!#REF!,"AAAAAGv8mnY=")</f>
        <v>#REF!</v>
      </c>
      <c r="DP131" t="e">
        <f>AND(NhatkyNhap!#REF!,"AAAAAGv8mnc=")</f>
        <v>#REF!</v>
      </c>
      <c r="DQ131" t="e">
        <f>AND(NhatkyNhap!#REF!,"AAAAAGv8mng=")</f>
        <v>#REF!</v>
      </c>
      <c r="DR131" t="e">
        <f>AND(NhatkyNhap!#REF!,"AAAAAGv8mnk=")</f>
        <v>#REF!</v>
      </c>
      <c r="DS131" t="e">
        <f>AND(NhatkyNhap!#REF!,"AAAAAGv8mno=")</f>
        <v>#REF!</v>
      </c>
      <c r="DT131" t="e">
        <f>AND(NhatkyNhap!#REF!,"AAAAAGv8mns=")</f>
        <v>#REF!</v>
      </c>
      <c r="DU131" t="e">
        <f>AND(NhatkyNhap!#REF!,"AAAAAGv8mnw=")</f>
        <v>#REF!</v>
      </c>
      <c r="DV131" t="e">
        <f>IF(NhatkyNhap!#REF!,"AAAAAGv8mn0=",0)</f>
        <v>#REF!</v>
      </c>
      <c r="DW131" t="e">
        <f>AND(NhatkyNhap!#REF!,"AAAAAGv8mn4=")</f>
        <v>#REF!</v>
      </c>
      <c r="DX131" t="e">
        <f>AND(NhatkyNhap!#REF!,"AAAAAGv8mn8=")</f>
        <v>#REF!</v>
      </c>
      <c r="DY131" t="e">
        <f>AND(NhatkyNhap!#REF!,"AAAAAGv8moA=")</f>
        <v>#REF!</v>
      </c>
      <c r="DZ131" t="e">
        <f>AND(NhatkyNhap!#REF!,"AAAAAGv8moE=")</f>
        <v>#REF!</v>
      </c>
      <c r="EA131" t="e">
        <f>AND(NhatkyNhap!#REF!,"AAAAAGv8moI=")</f>
        <v>#REF!</v>
      </c>
      <c r="EB131" t="e">
        <f>AND(NhatkyNhap!#REF!,"AAAAAGv8moM=")</f>
        <v>#REF!</v>
      </c>
      <c r="EC131" t="e">
        <f>AND(NhatkyNhap!#REF!,"AAAAAGv8moQ=")</f>
        <v>#REF!</v>
      </c>
      <c r="ED131" t="e">
        <f>AND(NhatkyNhap!#REF!,"AAAAAGv8moU=")</f>
        <v>#REF!</v>
      </c>
      <c r="EE131" t="e">
        <f>AND(NhatkyNhap!#REF!,"AAAAAGv8moY=")</f>
        <v>#REF!</v>
      </c>
      <c r="EF131" t="e">
        <f>AND(NhatkyNhap!#REF!,"AAAAAGv8moc=")</f>
        <v>#REF!</v>
      </c>
      <c r="EG131" t="e">
        <f>AND(NhatkyNhap!#REF!,"AAAAAGv8mog=")</f>
        <v>#REF!</v>
      </c>
      <c r="EH131" t="e">
        <f>AND(NhatkyNhap!#REF!,"AAAAAGv8mok=")</f>
        <v>#REF!</v>
      </c>
      <c r="EI131" t="e">
        <f>AND(NhatkyNhap!#REF!,"AAAAAGv8moo=")</f>
        <v>#REF!</v>
      </c>
      <c r="EJ131" t="e">
        <f>AND(NhatkyNhap!#REF!,"AAAAAGv8mos=")</f>
        <v>#REF!</v>
      </c>
      <c r="EK131" t="e">
        <f>AND(NhatkyNhap!#REF!,"AAAAAGv8mow=")</f>
        <v>#REF!</v>
      </c>
      <c r="EL131" t="e">
        <f>AND(NhatkyNhap!#REF!,"AAAAAGv8mo0=")</f>
        <v>#REF!</v>
      </c>
      <c r="EM131" t="e">
        <f>AND(NhatkyNhap!#REF!,"AAAAAGv8mo4=")</f>
        <v>#REF!</v>
      </c>
      <c r="EN131" t="e">
        <f>AND(NhatkyNhap!#REF!,"AAAAAGv8mo8=")</f>
        <v>#REF!</v>
      </c>
      <c r="EO131" t="e">
        <f>AND(NhatkyNhap!#REF!,"AAAAAGv8mpA=")</f>
        <v>#REF!</v>
      </c>
      <c r="EP131" t="e">
        <f>AND(NhatkyNhap!#REF!,"AAAAAGv8mpE=")</f>
        <v>#REF!</v>
      </c>
      <c r="EQ131" t="e">
        <f>AND(NhatkyNhap!#REF!,"AAAAAGv8mpI=")</f>
        <v>#REF!</v>
      </c>
      <c r="ER131" t="e">
        <f>AND(NhatkyNhap!#REF!,"AAAAAGv8mpM=")</f>
        <v>#REF!</v>
      </c>
      <c r="ES131" t="e">
        <f>AND(NhatkyNhap!#REF!,"AAAAAGv8mpQ=")</f>
        <v>#REF!</v>
      </c>
      <c r="ET131" t="e">
        <f>AND(NhatkyNhap!#REF!,"AAAAAGv8mpU=")</f>
        <v>#REF!</v>
      </c>
      <c r="EU131" t="e">
        <f>AND(NhatkyNhap!#REF!,"AAAAAGv8mpY=")</f>
        <v>#REF!</v>
      </c>
      <c r="EV131" t="e">
        <f>AND(NhatkyNhap!#REF!,"AAAAAGv8mpc=")</f>
        <v>#REF!</v>
      </c>
      <c r="EW131" t="e">
        <f>AND(NhatkyNhap!#REF!,"AAAAAGv8mpg=")</f>
        <v>#REF!</v>
      </c>
      <c r="EX131" t="e">
        <f>AND(NhatkyNhap!#REF!,"AAAAAGv8mpk=")</f>
        <v>#REF!</v>
      </c>
      <c r="EY131" t="e">
        <f>AND(NhatkyNhap!#REF!,"AAAAAGv8mpo=")</f>
        <v>#REF!</v>
      </c>
      <c r="EZ131" t="e">
        <f>AND(NhatkyNhap!#REF!,"AAAAAGv8mps=")</f>
        <v>#REF!</v>
      </c>
      <c r="FA131" t="e">
        <f>AND(NhatkyNhap!#REF!,"AAAAAGv8mpw=")</f>
        <v>#REF!</v>
      </c>
      <c r="FB131" t="e">
        <f>AND(NhatkyNhap!#REF!,"AAAAAGv8mp0=")</f>
        <v>#REF!</v>
      </c>
      <c r="FC131" t="e">
        <f>AND(NhatkyNhap!#REF!,"AAAAAGv8mp4=")</f>
        <v>#REF!</v>
      </c>
      <c r="FD131" t="e">
        <f>AND(NhatkyNhap!#REF!,"AAAAAGv8mp8=")</f>
        <v>#REF!</v>
      </c>
      <c r="FE131" t="e">
        <f>IF(NhatkyNhap!#REF!,"AAAAAGv8mqA=",0)</f>
        <v>#REF!</v>
      </c>
      <c r="FF131" t="e">
        <f>AND(NhatkyNhap!#REF!,"AAAAAGv8mqE=")</f>
        <v>#REF!</v>
      </c>
      <c r="FG131" t="e">
        <f>AND(NhatkyNhap!#REF!,"AAAAAGv8mqI=")</f>
        <v>#REF!</v>
      </c>
      <c r="FH131" t="e">
        <f>AND(NhatkyNhap!#REF!,"AAAAAGv8mqM=")</f>
        <v>#REF!</v>
      </c>
      <c r="FI131" t="e">
        <f>AND(NhatkyNhap!#REF!,"AAAAAGv8mqQ=")</f>
        <v>#REF!</v>
      </c>
      <c r="FJ131" t="e">
        <f>AND(NhatkyNhap!#REF!,"AAAAAGv8mqU=")</f>
        <v>#REF!</v>
      </c>
      <c r="FK131" t="e">
        <f>AND(NhatkyNhap!#REF!,"AAAAAGv8mqY=")</f>
        <v>#REF!</v>
      </c>
      <c r="FL131" t="e">
        <f>AND(NhatkyNhap!#REF!,"AAAAAGv8mqc=")</f>
        <v>#REF!</v>
      </c>
      <c r="FM131" t="e">
        <f>AND(NhatkyNhap!#REF!,"AAAAAGv8mqg=")</f>
        <v>#REF!</v>
      </c>
      <c r="FN131" t="e">
        <f>AND(NhatkyNhap!#REF!,"AAAAAGv8mqk=")</f>
        <v>#REF!</v>
      </c>
      <c r="FO131" t="e">
        <f>AND(NhatkyNhap!#REF!,"AAAAAGv8mqo=")</f>
        <v>#REF!</v>
      </c>
      <c r="FP131" t="e">
        <f>AND(NhatkyNhap!#REF!,"AAAAAGv8mqs=")</f>
        <v>#REF!</v>
      </c>
      <c r="FQ131" t="e">
        <f>AND(NhatkyNhap!#REF!,"AAAAAGv8mqw=")</f>
        <v>#REF!</v>
      </c>
      <c r="FR131" t="e">
        <f>AND(NhatkyNhap!#REF!,"AAAAAGv8mq0=")</f>
        <v>#REF!</v>
      </c>
      <c r="FS131" t="e">
        <f>AND(NhatkyNhap!#REF!,"AAAAAGv8mq4=")</f>
        <v>#REF!</v>
      </c>
      <c r="FT131" t="e">
        <f>AND(NhatkyNhap!#REF!,"AAAAAGv8mq8=")</f>
        <v>#REF!</v>
      </c>
      <c r="FU131" t="e">
        <f>AND(NhatkyNhap!#REF!,"AAAAAGv8mrA=")</f>
        <v>#REF!</v>
      </c>
      <c r="FV131" t="e">
        <f>AND(NhatkyNhap!#REF!,"AAAAAGv8mrE=")</f>
        <v>#REF!</v>
      </c>
      <c r="FW131" t="e">
        <f>AND(NhatkyNhap!#REF!,"AAAAAGv8mrI=")</f>
        <v>#REF!</v>
      </c>
      <c r="FX131" t="e">
        <f>AND(NhatkyNhap!#REF!,"AAAAAGv8mrM=")</f>
        <v>#REF!</v>
      </c>
      <c r="FY131" t="e">
        <f>AND(NhatkyNhap!#REF!,"AAAAAGv8mrQ=")</f>
        <v>#REF!</v>
      </c>
      <c r="FZ131" t="e">
        <f>AND(NhatkyNhap!#REF!,"AAAAAGv8mrU=")</f>
        <v>#REF!</v>
      </c>
      <c r="GA131" t="e">
        <f>AND(NhatkyNhap!#REF!,"AAAAAGv8mrY=")</f>
        <v>#REF!</v>
      </c>
      <c r="GB131" t="e">
        <f>AND(NhatkyNhap!#REF!,"AAAAAGv8mrc=")</f>
        <v>#REF!</v>
      </c>
      <c r="GC131" t="e">
        <f>AND(NhatkyNhap!#REF!,"AAAAAGv8mrg=")</f>
        <v>#REF!</v>
      </c>
      <c r="GD131" t="e">
        <f>AND(NhatkyNhap!#REF!,"AAAAAGv8mrk=")</f>
        <v>#REF!</v>
      </c>
      <c r="GE131" t="e">
        <f>AND(NhatkyNhap!#REF!,"AAAAAGv8mro=")</f>
        <v>#REF!</v>
      </c>
      <c r="GF131" t="e">
        <f>AND(NhatkyNhap!#REF!,"AAAAAGv8mrs=")</f>
        <v>#REF!</v>
      </c>
      <c r="GG131" t="e">
        <f>AND(NhatkyNhap!#REF!,"AAAAAGv8mrw=")</f>
        <v>#REF!</v>
      </c>
      <c r="GH131" t="e">
        <f>AND(NhatkyNhap!#REF!,"AAAAAGv8mr0=")</f>
        <v>#REF!</v>
      </c>
      <c r="GI131" t="e">
        <f>AND(NhatkyNhap!#REF!,"AAAAAGv8mr4=")</f>
        <v>#REF!</v>
      </c>
      <c r="GJ131" t="e">
        <f>AND(NhatkyNhap!#REF!,"AAAAAGv8mr8=")</f>
        <v>#REF!</v>
      </c>
      <c r="GK131" t="e">
        <f>AND(NhatkyNhap!#REF!,"AAAAAGv8msA=")</f>
        <v>#REF!</v>
      </c>
      <c r="GL131" t="e">
        <f>AND(NhatkyNhap!#REF!,"AAAAAGv8msE=")</f>
        <v>#REF!</v>
      </c>
      <c r="GM131" t="e">
        <f>AND(NhatkyNhap!#REF!,"AAAAAGv8msI=")</f>
        <v>#REF!</v>
      </c>
      <c r="GN131" t="e">
        <f>IF(NhatkyNhap!#REF!,"AAAAAGv8msM=",0)</f>
        <v>#REF!</v>
      </c>
      <c r="GO131" t="e">
        <f>AND(NhatkyNhap!#REF!,"AAAAAGv8msQ=")</f>
        <v>#REF!</v>
      </c>
      <c r="GP131" t="e">
        <f>AND(NhatkyNhap!#REF!,"AAAAAGv8msU=")</f>
        <v>#REF!</v>
      </c>
      <c r="GQ131" t="e">
        <f>AND(NhatkyNhap!#REF!,"AAAAAGv8msY=")</f>
        <v>#REF!</v>
      </c>
      <c r="GR131" t="e">
        <f>AND(NhatkyNhap!#REF!,"AAAAAGv8msc=")</f>
        <v>#REF!</v>
      </c>
      <c r="GS131" t="e">
        <f>AND(NhatkyNhap!#REF!,"AAAAAGv8msg=")</f>
        <v>#REF!</v>
      </c>
      <c r="GT131" t="e">
        <f>AND(NhatkyNhap!#REF!,"AAAAAGv8msk=")</f>
        <v>#REF!</v>
      </c>
      <c r="GU131" t="e">
        <f>AND(NhatkyNhap!#REF!,"AAAAAGv8mso=")</f>
        <v>#REF!</v>
      </c>
      <c r="GV131" t="e">
        <f>AND(NhatkyNhap!#REF!,"AAAAAGv8mss=")</f>
        <v>#REF!</v>
      </c>
      <c r="GW131" t="e">
        <f>AND(NhatkyNhap!#REF!,"AAAAAGv8msw=")</f>
        <v>#REF!</v>
      </c>
      <c r="GX131" t="e">
        <f>AND(NhatkyNhap!#REF!,"AAAAAGv8ms0=")</f>
        <v>#REF!</v>
      </c>
      <c r="GY131" t="e">
        <f>AND(NhatkyNhap!#REF!,"AAAAAGv8ms4=")</f>
        <v>#REF!</v>
      </c>
      <c r="GZ131" t="e">
        <f>AND(NhatkyNhap!#REF!,"AAAAAGv8ms8=")</f>
        <v>#REF!</v>
      </c>
      <c r="HA131" t="e">
        <f>AND(NhatkyNhap!#REF!,"AAAAAGv8mtA=")</f>
        <v>#REF!</v>
      </c>
      <c r="HB131" t="e">
        <f>AND(NhatkyNhap!#REF!,"AAAAAGv8mtE=")</f>
        <v>#REF!</v>
      </c>
      <c r="HC131" t="e">
        <f>AND(NhatkyNhap!#REF!,"AAAAAGv8mtI=")</f>
        <v>#REF!</v>
      </c>
      <c r="HD131" t="e">
        <f>AND(NhatkyNhap!#REF!,"AAAAAGv8mtM=")</f>
        <v>#REF!</v>
      </c>
      <c r="HE131" t="e">
        <f>AND(NhatkyNhap!#REF!,"AAAAAGv8mtQ=")</f>
        <v>#REF!</v>
      </c>
      <c r="HF131" t="e">
        <f>AND(NhatkyNhap!#REF!,"AAAAAGv8mtU=")</f>
        <v>#REF!</v>
      </c>
      <c r="HG131" t="e">
        <f>AND(NhatkyNhap!#REF!,"AAAAAGv8mtY=")</f>
        <v>#REF!</v>
      </c>
      <c r="HH131" t="e">
        <f>AND(NhatkyNhap!#REF!,"AAAAAGv8mtc=")</f>
        <v>#REF!</v>
      </c>
      <c r="HI131" t="e">
        <f>AND(NhatkyNhap!#REF!,"AAAAAGv8mtg=")</f>
        <v>#REF!</v>
      </c>
      <c r="HJ131" t="e">
        <f>AND(NhatkyNhap!#REF!,"AAAAAGv8mtk=")</f>
        <v>#REF!</v>
      </c>
      <c r="HK131" t="e">
        <f>AND(NhatkyNhap!#REF!,"AAAAAGv8mto=")</f>
        <v>#REF!</v>
      </c>
      <c r="HL131" t="e">
        <f>AND(NhatkyNhap!#REF!,"AAAAAGv8mts=")</f>
        <v>#REF!</v>
      </c>
      <c r="HM131" t="e">
        <f>AND(NhatkyNhap!#REF!,"AAAAAGv8mtw=")</f>
        <v>#REF!</v>
      </c>
      <c r="HN131" t="e">
        <f>AND(NhatkyNhap!#REF!,"AAAAAGv8mt0=")</f>
        <v>#REF!</v>
      </c>
      <c r="HO131" t="e">
        <f>AND(NhatkyNhap!#REF!,"AAAAAGv8mt4=")</f>
        <v>#REF!</v>
      </c>
      <c r="HP131" t="e">
        <f>AND(NhatkyNhap!#REF!,"AAAAAGv8mt8=")</f>
        <v>#REF!</v>
      </c>
      <c r="HQ131" t="e">
        <f>AND(NhatkyNhap!#REF!,"AAAAAGv8muA=")</f>
        <v>#REF!</v>
      </c>
      <c r="HR131" t="e">
        <f>AND(NhatkyNhap!#REF!,"AAAAAGv8muE=")</f>
        <v>#REF!</v>
      </c>
      <c r="HS131" t="e">
        <f>AND(NhatkyNhap!#REF!,"AAAAAGv8muI=")</f>
        <v>#REF!</v>
      </c>
      <c r="HT131" t="e">
        <f>AND(NhatkyNhap!#REF!,"AAAAAGv8muM=")</f>
        <v>#REF!</v>
      </c>
      <c r="HU131" t="e">
        <f>AND(NhatkyNhap!#REF!,"AAAAAGv8muQ=")</f>
        <v>#REF!</v>
      </c>
      <c r="HV131" t="e">
        <f>AND(NhatkyNhap!#REF!,"AAAAAGv8muU=")</f>
        <v>#REF!</v>
      </c>
      <c r="HW131" t="e">
        <f>IF(NhatkyNhap!#REF!,"AAAAAGv8muY=",0)</f>
        <v>#REF!</v>
      </c>
      <c r="HX131" t="e">
        <f>AND(NhatkyNhap!#REF!,"AAAAAGv8muc=")</f>
        <v>#REF!</v>
      </c>
      <c r="HY131" t="e">
        <f>AND(NhatkyNhap!#REF!,"AAAAAGv8mug=")</f>
        <v>#REF!</v>
      </c>
      <c r="HZ131" t="e">
        <f>AND(NhatkyNhap!#REF!,"AAAAAGv8muk=")</f>
        <v>#REF!</v>
      </c>
      <c r="IA131" t="e">
        <f>AND(NhatkyNhap!#REF!,"AAAAAGv8muo=")</f>
        <v>#REF!</v>
      </c>
      <c r="IB131" t="e">
        <f>AND(NhatkyNhap!#REF!,"AAAAAGv8mus=")</f>
        <v>#REF!</v>
      </c>
      <c r="IC131" t="e">
        <f>AND(NhatkyNhap!#REF!,"AAAAAGv8muw=")</f>
        <v>#REF!</v>
      </c>
      <c r="ID131" t="e">
        <f>AND(NhatkyNhap!#REF!,"AAAAAGv8mu0=")</f>
        <v>#REF!</v>
      </c>
      <c r="IE131" t="e">
        <f>AND(NhatkyNhap!#REF!,"AAAAAGv8mu4=")</f>
        <v>#REF!</v>
      </c>
      <c r="IF131" t="e">
        <f>AND(NhatkyNhap!#REF!,"AAAAAGv8mu8=")</f>
        <v>#REF!</v>
      </c>
      <c r="IG131" t="e">
        <f>AND(NhatkyNhap!#REF!,"AAAAAGv8mvA=")</f>
        <v>#REF!</v>
      </c>
      <c r="IH131" t="e">
        <f>AND(NhatkyNhap!#REF!,"AAAAAGv8mvE=")</f>
        <v>#REF!</v>
      </c>
      <c r="II131" t="e">
        <f>AND(NhatkyNhap!#REF!,"AAAAAGv8mvI=")</f>
        <v>#REF!</v>
      </c>
      <c r="IJ131" t="e">
        <f>AND(NhatkyNhap!#REF!,"AAAAAGv8mvM=")</f>
        <v>#REF!</v>
      </c>
      <c r="IK131" t="e">
        <f>AND(NhatkyNhap!#REF!,"AAAAAGv8mvQ=")</f>
        <v>#REF!</v>
      </c>
      <c r="IL131" t="e">
        <f>AND(NhatkyNhap!#REF!,"AAAAAGv8mvU=")</f>
        <v>#REF!</v>
      </c>
      <c r="IM131" t="e">
        <f>AND(NhatkyNhap!#REF!,"AAAAAGv8mvY=")</f>
        <v>#REF!</v>
      </c>
      <c r="IN131" t="e">
        <f>AND(NhatkyNhap!#REF!,"AAAAAGv8mvc=")</f>
        <v>#REF!</v>
      </c>
      <c r="IO131" t="e">
        <f>AND(NhatkyNhap!#REF!,"AAAAAGv8mvg=")</f>
        <v>#REF!</v>
      </c>
      <c r="IP131" t="e">
        <f>AND(NhatkyNhap!#REF!,"AAAAAGv8mvk=")</f>
        <v>#REF!</v>
      </c>
      <c r="IQ131" t="e">
        <f>AND(NhatkyNhap!#REF!,"AAAAAGv8mvo=")</f>
        <v>#REF!</v>
      </c>
      <c r="IR131" t="e">
        <f>AND(NhatkyNhap!#REF!,"AAAAAGv8mvs=")</f>
        <v>#REF!</v>
      </c>
      <c r="IS131" t="e">
        <f>AND(NhatkyNhap!#REF!,"AAAAAGv8mvw=")</f>
        <v>#REF!</v>
      </c>
      <c r="IT131" t="e">
        <f>AND(NhatkyNhap!#REF!,"AAAAAGv8mv0=")</f>
        <v>#REF!</v>
      </c>
      <c r="IU131" t="e">
        <f>AND(NhatkyNhap!#REF!,"AAAAAGv8mv4=")</f>
        <v>#REF!</v>
      </c>
      <c r="IV131" t="e">
        <f>AND(NhatkyNhap!#REF!,"AAAAAGv8mv8=")</f>
        <v>#REF!</v>
      </c>
    </row>
    <row r="132" spans="1:256">
      <c r="A132" t="e">
        <f>AND(NhatkyNhap!#REF!,"AAAAAHv4rwA=")</f>
        <v>#REF!</v>
      </c>
      <c r="B132" t="e">
        <f>AND(NhatkyNhap!#REF!,"AAAAAHv4rwE=")</f>
        <v>#REF!</v>
      </c>
      <c r="C132" t="e">
        <f>AND(NhatkyNhap!#REF!,"AAAAAHv4rwI=")</f>
        <v>#REF!</v>
      </c>
      <c r="D132" t="e">
        <f>AND(NhatkyNhap!#REF!,"AAAAAHv4rwM=")</f>
        <v>#REF!</v>
      </c>
      <c r="E132" t="e">
        <f>AND(NhatkyNhap!#REF!,"AAAAAHv4rwQ=")</f>
        <v>#REF!</v>
      </c>
      <c r="F132" t="e">
        <f>AND(NhatkyNhap!#REF!,"AAAAAHv4rwU=")</f>
        <v>#REF!</v>
      </c>
      <c r="G132" t="e">
        <f>AND(NhatkyNhap!#REF!,"AAAAAHv4rwY=")</f>
        <v>#REF!</v>
      </c>
      <c r="H132" t="e">
        <f>AND(NhatkyNhap!#REF!,"AAAAAHv4rwc=")</f>
        <v>#REF!</v>
      </c>
      <c r="I132" t="e">
        <f>AND(NhatkyNhap!#REF!,"AAAAAHv4rwg=")</f>
        <v>#REF!</v>
      </c>
      <c r="J132" t="e">
        <f>IF(NhatkyNhap!#REF!,"AAAAAHv4rwk=",0)</f>
        <v>#REF!</v>
      </c>
      <c r="K132" t="e">
        <f>AND(NhatkyNhap!#REF!,"AAAAAHv4rwo=")</f>
        <v>#REF!</v>
      </c>
      <c r="L132" t="e">
        <f>AND(NhatkyNhap!#REF!,"AAAAAHv4rws=")</f>
        <v>#REF!</v>
      </c>
      <c r="M132" t="e">
        <f>AND(NhatkyNhap!#REF!,"AAAAAHv4rww=")</f>
        <v>#REF!</v>
      </c>
      <c r="N132" t="e">
        <f>AND(NhatkyNhap!#REF!,"AAAAAHv4rw0=")</f>
        <v>#REF!</v>
      </c>
      <c r="O132" t="e">
        <f>AND(NhatkyNhap!#REF!,"AAAAAHv4rw4=")</f>
        <v>#REF!</v>
      </c>
      <c r="P132" t="e">
        <f>AND(NhatkyNhap!#REF!,"AAAAAHv4rw8=")</f>
        <v>#REF!</v>
      </c>
      <c r="Q132" t="e">
        <f>AND(NhatkyNhap!#REF!,"AAAAAHv4rxA=")</f>
        <v>#REF!</v>
      </c>
      <c r="R132" t="e">
        <f>AND(NhatkyNhap!#REF!,"AAAAAHv4rxE=")</f>
        <v>#REF!</v>
      </c>
      <c r="S132" t="e">
        <f>AND(NhatkyNhap!#REF!,"AAAAAHv4rxI=")</f>
        <v>#REF!</v>
      </c>
      <c r="T132" t="e">
        <f>AND(NhatkyNhap!#REF!,"AAAAAHv4rxM=")</f>
        <v>#REF!</v>
      </c>
      <c r="U132" t="e">
        <f>AND(NhatkyNhap!#REF!,"AAAAAHv4rxQ=")</f>
        <v>#REF!</v>
      </c>
      <c r="V132" t="e">
        <f>AND(NhatkyNhap!#REF!,"AAAAAHv4rxU=")</f>
        <v>#REF!</v>
      </c>
      <c r="W132" t="e">
        <f>AND(NhatkyNhap!#REF!,"AAAAAHv4rxY=")</f>
        <v>#REF!</v>
      </c>
      <c r="X132" t="e">
        <f>AND(NhatkyNhap!#REF!,"AAAAAHv4rxc=")</f>
        <v>#REF!</v>
      </c>
      <c r="Y132" t="e">
        <f>AND(NhatkyNhap!#REF!,"AAAAAHv4rxg=")</f>
        <v>#REF!</v>
      </c>
      <c r="Z132" t="e">
        <f>AND(NhatkyNhap!#REF!,"AAAAAHv4rxk=")</f>
        <v>#REF!</v>
      </c>
      <c r="AA132" t="e">
        <f>AND(NhatkyNhap!#REF!,"AAAAAHv4rxo=")</f>
        <v>#REF!</v>
      </c>
      <c r="AB132" t="e">
        <f>AND(NhatkyNhap!#REF!,"AAAAAHv4rxs=")</f>
        <v>#REF!</v>
      </c>
      <c r="AC132" t="e">
        <f>AND(NhatkyNhap!#REF!,"AAAAAHv4rxw=")</f>
        <v>#REF!</v>
      </c>
      <c r="AD132" t="e">
        <f>AND(NhatkyNhap!#REF!,"AAAAAHv4rx0=")</f>
        <v>#REF!</v>
      </c>
      <c r="AE132" t="e">
        <f>AND(NhatkyNhap!#REF!,"AAAAAHv4rx4=")</f>
        <v>#REF!</v>
      </c>
      <c r="AF132" t="e">
        <f>AND(NhatkyNhap!#REF!,"AAAAAHv4rx8=")</f>
        <v>#REF!</v>
      </c>
      <c r="AG132" t="e">
        <f>AND(NhatkyNhap!#REF!,"AAAAAHv4ryA=")</f>
        <v>#REF!</v>
      </c>
      <c r="AH132" t="e">
        <f>AND(NhatkyNhap!#REF!,"AAAAAHv4ryE=")</f>
        <v>#REF!</v>
      </c>
      <c r="AI132" t="e">
        <f>AND(NhatkyNhap!#REF!,"AAAAAHv4ryI=")</f>
        <v>#REF!</v>
      </c>
      <c r="AJ132" t="e">
        <f>AND(NhatkyNhap!#REF!,"AAAAAHv4ryM=")</f>
        <v>#REF!</v>
      </c>
      <c r="AK132" t="e">
        <f>AND(NhatkyNhap!#REF!,"AAAAAHv4ryQ=")</f>
        <v>#REF!</v>
      </c>
      <c r="AL132" t="e">
        <f>AND(NhatkyNhap!#REF!,"AAAAAHv4ryU=")</f>
        <v>#REF!</v>
      </c>
      <c r="AM132" t="e">
        <f>AND(NhatkyNhap!#REF!,"AAAAAHv4ryY=")</f>
        <v>#REF!</v>
      </c>
      <c r="AN132" t="e">
        <f>AND(NhatkyNhap!#REF!,"AAAAAHv4ryc=")</f>
        <v>#REF!</v>
      </c>
      <c r="AO132" t="e">
        <f>AND(NhatkyNhap!#REF!,"AAAAAHv4ryg=")</f>
        <v>#REF!</v>
      </c>
      <c r="AP132" t="e">
        <f>AND(NhatkyNhap!#REF!,"AAAAAHv4ryk=")</f>
        <v>#REF!</v>
      </c>
      <c r="AQ132" t="e">
        <f>AND(NhatkyNhap!#REF!,"AAAAAHv4ryo=")</f>
        <v>#REF!</v>
      </c>
      <c r="AR132" t="e">
        <f>AND(NhatkyNhap!#REF!,"AAAAAHv4rys=")</f>
        <v>#REF!</v>
      </c>
      <c r="AS132" t="e">
        <f>IF(NhatkyNhap!#REF!,"AAAAAHv4ryw=",0)</f>
        <v>#REF!</v>
      </c>
      <c r="AT132" t="e">
        <f>AND(NhatkyNhap!#REF!,"AAAAAHv4ry0=")</f>
        <v>#REF!</v>
      </c>
      <c r="AU132" t="e">
        <f>AND(NhatkyNhap!#REF!,"AAAAAHv4ry4=")</f>
        <v>#REF!</v>
      </c>
      <c r="AV132" t="e">
        <f>AND(NhatkyNhap!#REF!,"AAAAAHv4ry8=")</f>
        <v>#REF!</v>
      </c>
      <c r="AW132" t="e">
        <f>AND(NhatkyNhap!#REF!,"AAAAAHv4rzA=")</f>
        <v>#REF!</v>
      </c>
      <c r="AX132" t="e">
        <f>AND(NhatkyNhap!#REF!,"AAAAAHv4rzE=")</f>
        <v>#REF!</v>
      </c>
      <c r="AY132" t="e">
        <f>AND(NhatkyNhap!#REF!,"AAAAAHv4rzI=")</f>
        <v>#REF!</v>
      </c>
      <c r="AZ132" t="e">
        <f>AND(NhatkyNhap!#REF!,"AAAAAHv4rzM=")</f>
        <v>#REF!</v>
      </c>
      <c r="BA132" t="e">
        <f>AND(NhatkyNhap!#REF!,"AAAAAHv4rzQ=")</f>
        <v>#REF!</v>
      </c>
      <c r="BB132" t="e">
        <f>AND(NhatkyNhap!#REF!,"AAAAAHv4rzU=")</f>
        <v>#REF!</v>
      </c>
      <c r="BC132" t="e">
        <f>AND(NhatkyNhap!#REF!,"AAAAAHv4rzY=")</f>
        <v>#REF!</v>
      </c>
      <c r="BD132" t="e">
        <f>AND(NhatkyNhap!#REF!,"AAAAAHv4rzc=")</f>
        <v>#REF!</v>
      </c>
      <c r="BE132" t="e">
        <f>AND(NhatkyNhap!#REF!,"AAAAAHv4rzg=")</f>
        <v>#REF!</v>
      </c>
      <c r="BF132" t="e">
        <f>AND(NhatkyNhap!#REF!,"AAAAAHv4rzk=")</f>
        <v>#REF!</v>
      </c>
      <c r="BG132" t="e">
        <f>AND(NhatkyNhap!#REF!,"AAAAAHv4rzo=")</f>
        <v>#REF!</v>
      </c>
      <c r="BH132" t="e">
        <f>AND(NhatkyNhap!#REF!,"AAAAAHv4rzs=")</f>
        <v>#REF!</v>
      </c>
      <c r="BI132" t="e">
        <f>AND(NhatkyNhap!#REF!,"AAAAAHv4rzw=")</f>
        <v>#REF!</v>
      </c>
      <c r="BJ132" t="e">
        <f>AND(NhatkyNhap!#REF!,"AAAAAHv4rz0=")</f>
        <v>#REF!</v>
      </c>
      <c r="BK132" t="e">
        <f>AND(NhatkyNhap!#REF!,"AAAAAHv4rz4=")</f>
        <v>#REF!</v>
      </c>
      <c r="BL132" t="e">
        <f>AND(NhatkyNhap!#REF!,"AAAAAHv4rz8=")</f>
        <v>#REF!</v>
      </c>
      <c r="BM132" t="e">
        <f>AND(NhatkyNhap!#REF!,"AAAAAHv4r0A=")</f>
        <v>#REF!</v>
      </c>
      <c r="BN132" t="e">
        <f>AND(NhatkyNhap!#REF!,"AAAAAHv4r0E=")</f>
        <v>#REF!</v>
      </c>
      <c r="BO132" t="e">
        <f>AND(NhatkyNhap!#REF!,"AAAAAHv4r0I=")</f>
        <v>#REF!</v>
      </c>
      <c r="BP132" t="e">
        <f>AND(NhatkyNhap!#REF!,"AAAAAHv4r0M=")</f>
        <v>#REF!</v>
      </c>
      <c r="BQ132" t="e">
        <f>AND(NhatkyNhap!#REF!,"AAAAAHv4r0Q=")</f>
        <v>#REF!</v>
      </c>
      <c r="BR132" t="e">
        <f>AND(NhatkyNhap!#REF!,"AAAAAHv4r0U=")</f>
        <v>#REF!</v>
      </c>
      <c r="BS132" t="e">
        <f>AND(NhatkyNhap!#REF!,"AAAAAHv4r0Y=")</f>
        <v>#REF!</v>
      </c>
      <c r="BT132" t="e">
        <f>AND(NhatkyNhap!#REF!,"AAAAAHv4r0c=")</f>
        <v>#REF!</v>
      </c>
      <c r="BU132" t="e">
        <f>AND(NhatkyNhap!#REF!,"AAAAAHv4r0g=")</f>
        <v>#REF!</v>
      </c>
      <c r="BV132" t="e">
        <f>AND(NhatkyNhap!#REF!,"AAAAAHv4r0k=")</f>
        <v>#REF!</v>
      </c>
      <c r="BW132" t="e">
        <f>AND(NhatkyNhap!#REF!,"AAAAAHv4r0o=")</f>
        <v>#REF!</v>
      </c>
      <c r="BX132" t="e">
        <f>AND(NhatkyNhap!#REF!,"AAAAAHv4r0s=")</f>
        <v>#REF!</v>
      </c>
      <c r="BY132" t="e">
        <f>AND(NhatkyNhap!#REF!,"AAAAAHv4r0w=")</f>
        <v>#REF!</v>
      </c>
      <c r="BZ132" t="e">
        <f>AND(NhatkyNhap!#REF!,"AAAAAHv4r00=")</f>
        <v>#REF!</v>
      </c>
      <c r="CA132" t="e">
        <f>AND(NhatkyNhap!#REF!,"AAAAAHv4r04=")</f>
        <v>#REF!</v>
      </c>
      <c r="CB132" t="e">
        <f>IF(NhatkyNhap!#REF!,"AAAAAHv4r08=",0)</f>
        <v>#REF!</v>
      </c>
      <c r="CC132" t="e">
        <f>AND(NhatkyNhap!#REF!,"AAAAAHv4r1A=")</f>
        <v>#REF!</v>
      </c>
      <c r="CD132" t="e">
        <f>AND(NhatkyNhap!#REF!,"AAAAAHv4r1E=")</f>
        <v>#REF!</v>
      </c>
      <c r="CE132" t="e">
        <f>AND(NhatkyNhap!#REF!,"AAAAAHv4r1I=")</f>
        <v>#REF!</v>
      </c>
      <c r="CF132" t="e">
        <f>AND(NhatkyNhap!#REF!,"AAAAAHv4r1M=")</f>
        <v>#REF!</v>
      </c>
      <c r="CG132" t="e">
        <f>AND(NhatkyNhap!#REF!,"AAAAAHv4r1Q=")</f>
        <v>#REF!</v>
      </c>
      <c r="CH132" t="e">
        <f>AND(NhatkyNhap!#REF!,"AAAAAHv4r1U=")</f>
        <v>#REF!</v>
      </c>
      <c r="CI132" t="e">
        <f>AND(NhatkyNhap!#REF!,"AAAAAHv4r1Y=")</f>
        <v>#REF!</v>
      </c>
      <c r="CJ132" t="e">
        <f>AND(NhatkyNhap!#REF!,"AAAAAHv4r1c=")</f>
        <v>#REF!</v>
      </c>
      <c r="CK132" t="e">
        <f>AND(NhatkyNhap!#REF!,"AAAAAHv4r1g=")</f>
        <v>#REF!</v>
      </c>
      <c r="CL132" t="e">
        <f>AND(NhatkyNhap!#REF!,"AAAAAHv4r1k=")</f>
        <v>#REF!</v>
      </c>
      <c r="CM132" t="e">
        <f>AND(NhatkyNhap!#REF!,"AAAAAHv4r1o=")</f>
        <v>#REF!</v>
      </c>
      <c r="CN132" t="e">
        <f>AND(NhatkyNhap!#REF!,"AAAAAHv4r1s=")</f>
        <v>#REF!</v>
      </c>
      <c r="CO132" t="e">
        <f>AND(NhatkyNhap!#REF!,"AAAAAHv4r1w=")</f>
        <v>#REF!</v>
      </c>
      <c r="CP132" t="e">
        <f>AND(NhatkyNhap!#REF!,"AAAAAHv4r10=")</f>
        <v>#REF!</v>
      </c>
      <c r="CQ132" t="e">
        <f>AND(NhatkyNhap!#REF!,"AAAAAHv4r14=")</f>
        <v>#REF!</v>
      </c>
      <c r="CR132" t="e">
        <f>AND(NhatkyNhap!#REF!,"AAAAAHv4r18=")</f>
        <v>#REF!</v>
      </c>
      <c r="CS132" t="e">
        <f>AND(NhatkyNhap!#REF!,"AAAAAHv4r2A=")</f>
        <v>#REF!</v>
      </c>
      <c r="CT132" t="e">
        <f>AND(NhatkyNhap!#REF!,"AAAAAHv4r2E=")</f>
        <v>#REF!</v>
      </c>
      <c r="CU132" t="e">
        <f>AND(NhatkyNhap!#REF!,"AAAAAHv4r2I=")</f>
        <v>#REF!</v>
      </c>
      <c r="CV132" t="e">
        <f>AND(NhatkyNhap!#REF!,"AAAAAHv4r2M=")</f>
        <v>#REF!</v>
      </c>
      <c r="CW132" t="e">
        <f>AND(NhatkyNhap!#REF!,"AAAAAHv4r2Q=")</f>
        <v>#REF!</v>
      </c>
      <c r="CX132" t="e">
        <f>AND(NhatkyNhap!#REF!,"AAAAAHv4r2U=")</f>
        <v>#REF!</v>
      </c>
      <c r="CY132" t="e">
        <f>AND(NhatkyNhap!#REF!,"AAAAAHv4r2Y=")</f>
        <v>#REF!</v>
      </c>
      <c r="CZ132" t="e">
        <f>AND(NhatkyNhap!#REF!,"AAAAAHv4r2c=")</f>
        <v>#REF!</v>
      </c>
      <c r="DA132" t="e">
        <f>AND(NhatkyNhap!#REF!,"AAAAAHv4r2g=")</f>
        <v>#REF!</v>
      </c>
      <c r="DB132" t="e">
        <f>AND(NhatkyNhap!#REF!,"AAAAAHv4r2k=")</f>
        <v>#REF!</v>
      </c>
      <c r="DC132" t="e">
        <f>AND(NhatkyNhap!#REF!,"AAAAAHv4r2o=")</f>
        <v>#REF!</v>
      </c>
      <c r="DD132" t="e">
        <f>AND(NhatkyNhap!#REF!,"AAAAAHv4r2s=")</f>
        <v>#REF!</v>
      </c>
      <c r="DE132" t="e">
        <f>AND(NhatkyNhap!#REF!,"AAAAAHv4r2w=")</f>
        <v>#REF!</v>
      </c>
      <c r="DF132" t="e">
        <f>AND(NhatkyNhap!#REF!,"AAAAAHv4r20=")</f>
        <v>#REF!</v>
      </c>
      <c r="DG132" t="e">
        <f>AND(NhatkyNhap!#REF!,"AAAAAHv4r24=")</f>
        <v>#REF!</v>
      </c>
      <c r="DH132" t="e">
        <f>AND(NhatkyNhap!#REF!,"AAAAAHv4r28=")</f>
        <v>#REF!</v>
      </c>
      <c r="DI132" t="e">
        <f>AND(NhatkyNhap!#REF!,"AAAAAHv4r3A=")</f>
        <v>#REF!</v>
      </c>
      <c r="DJ132" t="e">
        <f>AND(NhatkyNhap!#REF!,"AAAAAHv4r3E=")</f>
        <v>#REF!</v>
      </c>
      <c r="DK132" t="e">
        <f>IF(NhatkyNhap!#REF!,"AAAAAHv4r3I=",0)</f>
        <v>#REF!</v>
      </c>
      <c r="DL132" t="e">
        <f>AND(NhatkyNhap!#REF!,"AAAAAHv4r3M=")</f>
        <v>#REF!</v>
      </c>
      <c r="DM132" t="e">
        <f>AND(NhatkyNhap!#REF!,"AAAAAHv4r3Q=")</f>
        <v>#REF!</v>
      </c>
      <c r="DN132" t="e">
        <f>AND(NhatkyNhap!#REF!,"AAAAAHv4r3U=")</f>
        <v>#REF!</v>
      </c>
      <c r="DO132" t="e">
        <f>AND(NhatkyNhap!#REF!,"AAAAAHv4r3Y=")</f>
        <v>#REF!</v>
      </c>
      <c r="DP132" t="e">
        <f>AND(NhatkyNhap!#REF!,"AAAAAHv4r3c=")</f>
        <v>#REF!</v>
      </c>
      <c r="DQ132" t="e">
        <f>AND(NhatkyNhap!#REF!,"AAAAAHv4r3g=")</f>
        <v>#REF!</v>
      </c>
      <c r="DR132" t="e">
        <f>AND(NhatkyNhap!#REF!,"AAAAAHv4r3k=")</f>
        <v>#REF!</v>
      </c>
      <c r="DS132" t="e">
        <f>AND(NhatkyNhap!#REF!,"AAAAAHv4r3o=")</f>
        <v>#REF!</v>
      </c>
      <c r="DT132" t="e">
        <f>AND(NhatkyNhap!#REF!,"AAAAAHv4r3s=")</f>
        <v>#REF!</v>
      </c>
      <c r="DU132" t="e">
        <f>AND(NhatkyNhap!#REF!,"AAAAAHv4r3w=")</f>
        <v>#REF!</v>
      </c>
      <c r="DV132" t="e">
        <f>AND(NhatkyNhap!#REF!,"AAAAAHv4r30=")</f>
        <v>#REF!</v>
      </c>
      <c r="DW132" t="e">
        <f>AND(NhatkyNhap!#REF!,"AAAAAHv4r34=")</f>
        <v>#REF!</v>
      </c>
      <c r="DX132" t="e">
        <f>AND(NhatkyNhap!#REF!,"AAAAAHv4r38=")</f>
        <v>#REF!</v>
      </c>
      <c r="DY132" t="e">
        <f>AND(NhatkyNhap!#REF!,"AAAAAHv4r4A=")</f>
        <v>#REF!</v>
      </c>
      <c r="DZ132" t="e">
        <f>AND(NhatkyNhap!#REF!,"AAAAAHv4r4E=")</f>
        <v>#REF!</v>
      </c>
      <c r="EA132" t="e">
        <f>AND(NhatkyNhap!#REF!,"AAAAAHv4r4I=")</f>
        <v>#REF!</v>
      </c>
      <c r="EB132" t="e">
        <f>AND(NhatkyNhap!#REF!,"AAAAAHv4r4M=")</f>
        <v>#REF!</v>
      </c>
      <c r="EC132" t="e">
        <f>AND(NhatkyNhap!#REF!,"AAAAAHv4r4Q=")</f>
        <v>#REF!</v>
      </c>
      <c r="ED132" t="e">
        <f>AND(NhatkyNhap!#REF!,"AAAAAHv4r4U=")</f>
        <v>#REF!</v>
      </c>
      <c r="EE132" t="e">
        <f>AND(NhatkyNhap!#REF!,"AAAAAHv4r4Y=")</f>
        <v>#REF!</v>
      </c>
      <c r="EF132" t="e">
        <f>AND(NhatkyNhap!#REF!,"AAAAAHv4r4c=")</f>
        <v>#REF!</v>
      </c>
      <c r="EG132" t="e">
        <f>AND(NhatkyNhap!#REF!,"AAAAAHv4r4g=")</f>
        <v>#REF!</v>
      </c>
      <c r="EH132" t="e">
        <f>AND(NhatkyNhap!#REF!,"AAAAAHv4r4k=")</f>
        <v>#REF!</v>
      </c>
      <c r="EI132" t="e">
        <f>AND(NhatkyNhap!#REF!,"AAAAAHv4r4o=")</f>
        <v>#REF!</v>
      </c>
      <c r="EJ132" t="e">
        <f>AND(NhatkyNhap!#REF!,"AAAAAHv4r4s=")</f>
        <v>#REF!</v>
      </c>
      <c r="EK132" t="e">
        <f>AND(NhatkyNhap!#REF!,"AAAAAHv4r4w=")</f>
        <v>#REF!</v>
      </c>
      <c r="EL132" t="e">
        <f>AND(NhatkyNhap!#REF!,"AAAAAHv4r40=")</f>
        <v>#REF!</v>
      </c>
      <c r="EM132" t="e">
        <f>AND(NhatkyNhap!#REF!,"AAAAAHv4r44=")</f>
        <v>#REF!</v>
      </c>
      <c r="EN132" t="e">
        <f>AND(NhatkyNhap!#REF!,"AAAAAHv4r48=")</f>
        <v>#REF!</v>
      </c>
      <c r="EO132" t="e">
        <f>AND(NhatkyNhap!#REF!,"AAAAAHv4r5A=")</f>
        <v>#REF!</v>
      </c>
      <c r="EP132" t="e">
        <f>AND(NhatkyNhap!#REF!,"AAAAAHv4r5E=")</f>
        <v>#REF!</v>
      </c>
      <c r="EQ132" t="e">
        <f>AND(NhatkyNhap!#REF!,"AAAAAHv4r5I=")</f>
        <v>#REF!</v>
      </c>
      <c r="ER132" t="e">
        <f>AND(NhatkyNhap!#REF!,"AAAAAHv4r5M=")</f>
        <v>#REF!</v>
      </c>
      <c r="ES132" t="e">
        <f>AND(NhatkyNhap!#REF!,"AAAAAHv4r5Q=")</f>
        <v>#REF!</v>
      </c>
      <c r="ET132" t="e">
        <f>IF(NhatkyNhap!#REF!,"AAAAAHv4r5U=",0)</f>
        <v>#REF!</v>
      </c>
      <c r="EU132" t="e">
        <f>AND(NhatkyNhap!#REF!,"AAAAAHv4r5Y=")</f>
        <v>#REF!</v>
      </c>
      <c r="EV132" t="e">
        <f>AND(NhatkyNhap!#REF!,"AAAAAHv4r5c=")</f>
        <v>#REF!</v>
      </c>
      <c r="EW132" t="e">
        <f>AND(NhatkyNhap!#REF!,"AAAAAHv4r5g=")</f>
        <v>#REF!</v>
      </c>
      <c r="EX132" t="e">
        <f>AND(NhatkyNhap!#REF!,"AAAAAHv4r5k=")</f>
        <v>#REF!</v>
      </c>
      <c r="EY132" t="e">
        <f>AND(NhatkyNhap!#REF!,"AAAAAHv4r5o=")</f>
        <v>#REF!</v>
      </c>
      <c r="EZ132" t="e">
        <f>AND(NhatkyNhap!#REF!,"AAAAAHv4r5s=")</f>
        <v>#REF!</v>
      </c>
      <c r="FA132" t="e">
        <f>AND(NhatkyNhap!#REF!,"AAAAAHv4r5w=")</f>
        <v>#REF!</v>
      </c>
      <c r="FB132" t="e">
        <f>AND(NhatkyNhap!#REF!,"AAAAAHv4r50=")</f>
        <v>#REF!</v>
      </c>
      <c r="FC132" t="e">
        <f>AND(NhatkyNhap!#REF!,"AAAAAHv4r54=")</f>
        <v>#REF!</v>
      </c>
      <c r="FD132" t="e">
        <f>AND(NhatkyNhap!#REF!,"AAAAAHv4r58=")</f>
        <v>#REF!</v>
      </c>
      <c r="FE132" t="e">
        <f>AND(NhatkyNhap!#REF!,"AAAAAHv4r6A=")</f>
        <v>#REF!</v>
      </c>
      <c r="FF132" t="e">
        <f>AND(NhatkyNhap!#REF!,"AAAAAHv4r6E=")</f>
        <v>#REF!</v>
      </c>
      <c r="FG132" t="e">
        <f>AND(NhatkyNhap!#REF!,"AAAAAHv4r6I=")</f>
        <v>#REF!</v>
      </c>
      <c r="FH132" t="e">
        <f>AND(NhatkyNhap!#REF!,"AAAAAHv4r6M=")</f>
        <v>#REF!</v>
      </c>
      <c r="FI132" t="e">
        <f>AND(NhatkyNhap!#REF!,"AAAAAHv4r6Q=")</f>
        <v>#REF!</v>
      </c>
      <c r="FJ132" t="e">
        <f>AND(NhatkyNhap!#REF!,"AAAAAHv4r6U=")</f>
        <v>#REF!</v>
      </c>
      <c r="FK132" t="e">
        <f>AND(NhatkyNhap!#REF!,"AAAAAHv4r6Y=")</f>
        <v>#REF!</v>
      </c>
      <c r="FL132" t="e">
        <f>AND(NhatkyNhap!#REF!,"AAAAAHv4r6c=")</f>
        <v>#REF!</v>
      </c>
      <c r="FM132" t="e">
        <f>AND(NhatkyNhap!#REF!,"AAAAAHv4r6g=")</f>
        <v>#REF!</v>
      </c>
      <c r="FN132" t="e">
        <f>AND(NhatkyNhap!#REF!,"AAAAAHv4r6k=")</f>
        <v>#REF!</v>
      </c>
      <c r="FO132" t="e">
        <f>AND(NhatkyNhap!#REF!,"AAAAAHv4r6o=")</f>
        <v>#REF!</v>
      </c>
      <c r="FP132" t="e">
        <f>AND(NhatkyNhap!#REF!,"AAAAAHv4r6s=")</f>
        <v>#REF!</v>
      </c>
      <c r="FQ132" t="e">
        <f>AND(NhatkyNhap!#REF!,"AAAAAHv4r6w=")</f>
        <v>#REF!</v>
      </c>
      <c r="FR132" t="e">
        <f>AND(NhatkyNhap!#REF!,"AAAAAHv4r60=")</f>
        <v>#REF!</v>
      </c>
      <c r="FS132" t="e">
        <f>AND(NhatkyNhap!#REF!,"AAAAAHv4r64=")</f>
        <v>#REF!</v>
      </c>
      <c r="FT132" t="e">
        <f>AND(NhatkyNhap!#REF!,"AAAAAHv4r68=")</f>
        <v>#REF!</v>
      </c>
      <c r="FU132" t="e">
        <f>AND(NhatkyNhap!#REF!,"AAAAAHv4r7A=")</f>
        <v>#REF!</v>
      </c>
      <c r="FV132" t="e">
        <f>AND(NhatkyNhap!#REF!,"AAAAAHv4r7E=")</f>
        <v>#REF!</v>
      </c>
      <c r="FW132" t="e">
        <f>AND(NhatkyNhap!#REF!,"AAAAAHv4r7I=")</f>
        <v>#REF!</v>
      </c>
      <c r="FX132" t="e">
        <f>AND(NhatkyNhap!#REF!,"AAAAAHv4r7M=")</f>
        <v>#REF!</v>
      </c>
      <c r="FY132" t="e">
        <f>AND(NhatkyNhap!#REF!,"AAAAAHv4r7Q=")</f>
        <v>#REF!</v>
      </c>
      <c r="FZ132" t="e">
        <f>AND(NhatkyNhap!#REF!,"AAAAAHv4r7U=")</f>
        <v>#REF!</v>
      </c>
      <c r="GA132" t="e">
        <f>AND(NhatkyNhap!#REF!,"AAAAAHv4r7Y=")</f>
        <v>#REF!</v>
      </c>
      <c r="GB132" t="e">
        <f>AND(NhatkyNhap!#REF!,"AAAAAHv4r7c=")</f>
        <v>#REF!</v>
      </c>
      <c r="GC132" t="e">
        <f>IF(NhatkyNhap!#REF!,"AAAAAHv4r7g=",0)</f>
        <v>#REF!</v>
      </c>
      <c r="GD132" t="e">
        <f>AND(NhatkyNhap!#REF!,"AAAAAHv4r7k=")</f>
        <v>#REF!</v>
      </c>
      <c r="GE132" t="e">
        <f>AND(NhatkyNhap!#REF!,"AAAAAHv4r7o=")</f>
        <v>#REF!</v>
      </c>
      <c r="GF132" t="e">
        <f>AND(NhatkyNhap!#REF!,"AAAAAHv4r7s=")</f>
        <v>#REF!</v>
      </c>
      <c r="GG132" t="e">
        <f>AND(NhatkyNhap!#REF!,"AAAAAHv4r7w=")</f>
        <v>#REF!</v>
      </c>
      <c r="GH132" t="e">
        <f>AND(NhatkyNhap!#REF!,"AAAAAHv4r70=")</f>
        <v>#REF!</v>
      </c>
      <c r="GI132" t="e">
        <f>AND(NhatkyNhap!#REF!,"AAAAAHv4r74=")</f>
        <v>#REF!</v>
      </c>
      <c r="GJ132" t="e">
        <f>AND(NhatkyNhap!#REF!,"AAAAAHv4r78=")</f>
        <v>#REF!</v>
      </c>
      <c r="GK132" t="e">
        <f>AND(NhatkyNhap!#REF!,"AAAAAHv4r8A=")</f>
        <v>#REF!</v>
      </c>
      <c r="GL132" t="e">
        <f>AND(NhatkyNhap!#REF!,"AAAAAHv4r8E=")</f>
        <v>#REF!</v>
      </c>
      <c r="GM132" t="e">
        <f>AND(NhatkyNhap!#REF!,"AAAAAHv4r8I=")</f>
        <v>#REF!</v>
      </c>
      <c r="GN132" t="e">
        <f>AND(NhatkyNhap!#REF!,"AAAAAHv4r8M=")</f>
        <v>#REF!</v>
      </c>
      <c r="GO132" t="e">
        <f>AND(NhatkyNhap!#REF!,"AAAAAHv4r8Q=")</f>
        <v>#REF!</v>
      </c>
      <c r="GP132" t="e">
        <f>AND(NhatkyNhap!#REF!,"AAAAAHv4r8U=")</f>
        <v>#REF!</v>
      </c>
      <c r="GQ132" t="e">
        <f>AND(NhatkyNhap!#REF!,"AAAAAHv4r8Y=")</f>
        <v>#REF!</v>
      </c>
      <c r="GR132" t="e">
        <f>AND(NhatkyNhap!#REF!,"AAAAAHv4r8c=")</f>
        <v>#REF!</v>
      </c>
      <c r="GS132" t="e">
        <f>AND(NhatkyNhap!#REF!,"AAAAAHv4r8g=")</f>
        <v>#REF!</v>
      </c>
      <c r="GT132" t="e">
        <f>AND(NhatkyNhap!#REF!,"AAAAAHv4r8k=")</f>
        <v>#REF!</v>
      </c>
      <c r="GU132" t="e">
        <f>AND(NhatkyNhap!#REF!,"AAAAAHv4r8o=")</f>
        <v>#REF!</v>
      </c>
      <c r="GV132" t="e">
        <f>AND(NhatkyNhap!#REF!,"AAAAAHv4r8s=")</f>
        <v>#REF!</v>
      </c>
      <c r="GW132" t="e">
        <f>AND(NhatkyNhap!#REF!,"AAAAAHv4r8w=")</f>
        <v>#REF!</v>
      </c>
      <c r="GX132" t="e">
        <f>AND(NhatkyNhap!#REF!,"AAAAAHv4r80=")</f>
        <v>#REF!</v>
      </c>
      <c r="GY132" t="e">
        <f>AND(NhatkyNhap!#REF!,"AAAAAHv4r84=")</f>
        <v>#REF!</v>
      </c>
      <c r="GZ132" t="e">
        <f>AND(NhatkyNhap!#REF!,"AAAAAHv4r88=")</f>
        <v>#REF!</v>
      </c>
      <c r="HA132" t="e">
        <f>AND(NhatkyNhap!#REF!,"AAAAAHv4r9A=")</f>
        <v>#REF!</v>
      </c>
      <c r="HB132" t="e">
        <f>AND(NhatkyNhap!#REF!,"AAAAAHv4r9E=")</f>
        <v>#REF!</v>
      </c>
      <c r="HC132" t="e">
        <f>AND(NhatkyNhap!#REF!,"AAAAAHv4r9I=")</f>
        <v>#REF!</v>
      </c>
      <c r="HD132" t="e">
        <f>AND(NhatkyNhap!#REF!,"AAAAAHv4r9M=")</f>
        <v>#REF!</v>
      </c>
      <c r="HE132" t="e">
        <f>AND(NhatkyNhap!#REF!,"AAAAAHv4r9Q=")</f>
        <v>#REF!</v>
      </c>
      <c r="HF132" t="e">
        <f>AND(NhatkyNhap!#REF!,"AAAAAHv4r9U=")</f>
        <v>#REF!</v>
      </c>
      <c r="HG132" t="e">
        <f>AND(NhatkyNhap!#REF!,"AAAAAHv4r9Y=")</f>
        <v>#REF!</v>
      </c>
      <c r="HH132" t="e">
        <f>AND(NhatkyNhap!#REF!,"AAAAAHv4r9c=")</f>
        <v>#REF!</v>
      </c>
      <c r="HI132" t="e">
        <f>AND(NhatkyNhap!#REF!,"AAAAAHv4r9g=")</f>
        <v>#REF!</v>
      </c>
      <c r="HJ132" t="e">
        <f>AND(NhatkyNhap!#REF!,"AAAAAHv4r9k=")</f>
        <v>#REF!</v>
      </c>
      <c r="HK132" t="e">
        <f>AND(NhatkyNhap!#REF!,"AAAAAHv4r9o=")</f>
        <v>#REF!</v>
      </c>
      <c r="HL132" t="e">
        <f>IF(NhatkyNhap!#REF!,"AAAAAHv4r9s=",0)</f>
        <v>#REF!</v>
      </c>
      <c r="HM132" t="e">
        <f>AND(NhatkyNhap!#REF!,"AAAAAHv4r9w=")</f>
        <v>#REF!</v>
      </c>
      <c r="HN132" t="e">
        <f>AND(NhatkyNhap!#REF!,"AAAAAHv4r90=")</f>
        <v>#REF!</v>
      </c>
      <c r="HO132" t="e">
        <f>AND(NhatkyNhap!#REF!,"AAAAAHv4r94=")</f>
        <v>#REF!</v>
      </c>
      <c r="HP132" t="e">
        <f>AND(NhatkyNhap!#REF!,"AAAAAHv4r98=")</f>
        <v>#REF!</v>
      </c>
      <c r="HQ132" t="e">
        <f>AND(NhatkyNhap!#REF!,"AAAAAHv4r+A=")</f>
        <v>#REF!</v>
      </c>
      <c r="HR132" t="e">
        <f>AND(NhatkyNhap!#REF!,"AAAAAHv4r+E=")</f>
        <v>#REF!</v>
      </c>
      <c r="HS132" t="e">
        <f>AND(NhatkyNhap!#REF!,"AAAAAHv4r+I=")</f>
        <v>#REF!</v>
      </c>
      <c r="HT132" t="e">
        <f>AND(NhatkyNhap!#REF!,"AAAAAHv4r+M=")</f>
        <v>#REF!</v>
      </c>
      <c r="HU132" t="e">
        <f>AND(NhatkyNhap!#REF!,"AAAAAHv4r+Q=")</f>
        <v>#REF!</v>
      </c>
      <c r="HV132" t="e">
        <f>AND(NhatkyNhap!#REF!,"AAAAAHv4r+U=")</f>
        <v>#REF!</v>
      </c>
      <c r="HW132" t="e">
        <f>AND(NhatkyNhap!#REF!,"AAAAAHv4r+Y=")</f>
        <v>#REF!</v>
      </c>
      <c r="HX132" t="e">
        <f>AND(NhatkyNhap!#REF!,"AAAAAHv4r+c=")</f>
        <v>#REF!</v>
      </c>
      <c r="HY132" t="e">
        <f>AND(NhatkyNhap!#REF!,"AAAAAHv4r+g=")</f>
        <v>#REF!</v>
      </c>
      <c r="HZ132" t="e">
        <f>AND(NhatkyNhap!#REF!,"AAAAAHv4r+k=")</f>
        <v>#REF!</v>
      </c>
      <c r="IA132" t="e">
        <f>AND(NhatkyNhap!#REF!,"AAAAAHv4r+o=")</f>
        <v>#REF!</v>
      </c>
      <c r="IB132" t="e">
        <f>AND(NhatkyNhap!#REF!,"AAAAAHv4r+s=")</f>
        <v>#REF!</v>
      </c>
      <c r="IC132" t="e">
        <f>AND(NhatkyNhap!#REF!,"AAAAAHv4r+w=")</f>
        <v>#REF!</v>
      </c>
      <c r="ID132" t="e">
        <f>AND(NhatkyNhap!#REF!,"AAAAAHv4r+0=")</f>
        <v>#REF!</v>
      </c>
      <c r="IE132" t="e">
        <f>AND(NhatkyNhap!#REF!,"AAAAAHv4r+4=")</f>
        <v>#REF!</v>
      </c>
      <c r="IF132" t="e">
        <f>AND(NhatkyNhap!#REF!,"AAAAAHv4r+8=")</f>
        <v>#REF!</v>
      </c>
      <c r="IG132" t="e">
        <f>AND(NhatkyNhap!#REF!,"AAAAAHv4r/A=")</f>
        <v>#REF!</v>
      </c>
      <c r="IH132" t="e">
        <f>AND(NhatkyNhap!#REF!,"AAAAAHv4r/E=")</f>
        <v>#REF!</v>
      </c>
      <c r="II132" t="e">
        <f>AND(NhatkyNhap!#REF!,"AAAAAHv4r/I=")</f>
        <v>#REF!</v>
      </c>
      <c r="IJ132" t="e">
        <f>AND(NhatkyNhap!#REF!,"AAAAAHv4r/M=")</f>
        <v>#REF!</v>
      </c>
      <c r="IK132" t="e">
        <f>AND(NhatkyNhap!#REF!,"AAAAAHv4r/Q=")</f>
        <v>#REF!</v>
      </c>
      <c r="IL132" t="e">
        <f>AND(NhatkyNhap!#REF!,"AAAAAHv4r/U=")</f>
        <v>#REF!</v>
      </c>
      <c r="IM132" t="e">
        <f>AND(NhatkyNhap!#REF!,"AAAAAHv4r/Y=")</f>
        <v>#REF!</v>
      </c>
      <c r="IN132" t="e">
        <f>AND(NhatkyNhap!#REF!,"AAAAAHv4r/c=")</f>
        <v>#REF!</v>
      </c>
      <c r="IO132" t="e">
        <f>AND(NhatkyNhap!#REF!,"AAAAAHv4r/g=")</f>
        <v>#REF!</v>
      </c>
      <c r="IP132" t="e">
        <f>AND(NhatkyNhap!#REF!,"AAAAAHv4r/k=")</f>
        <v>#REF!</v>
      </c>
      <c r="IQ132" t="e">
        <f>AND(NhatkyNhap!#REF!,"AAAAAHv4r/o=")</f>
        <v>#REF!</v>
      </c>
      <c r="IR132" t="e">
        <f>AND(NhatkyNhap!#REF!,"AAAAAHv4r/s=")</f>
        <v>#REF!</v>
      </c>
      <c r="IS132" t="e">
        <f>AND(NhatkyNhap!#REF!,"AAAAAHv4r/w=")</f>
        <v>#REF!</v>
      </c>
      <c r="IT132" t="e">
        <f>AND(NhatkyNhap!#REF!,"AAAAAHv4r/0=")</f>
        <v>#REF!</v>
      </c>
      <c r="IU132" t="e">
        <f>IF(NhatkyNhap!#REF!,"AAAAAHv4r/4=",0)</f>
        <v>#REF!</v>
      </c>
      <c r="IV132" t="e">
        <f>AND(NhatkyNhap!#REF!,"AAAAAHv4r/8=")</f>
        <v>#REF!</v>
      </c>
    </row>
    <row r="133" spans="1:256">
      <c r="A133" t="e">
        <f>AND(NhatkyNhap!#REF!,"AAAAAH/1XwA=")</f>
        <v>#REF!</v>
      </c>
      <c r="B133" t="e">
        <f>AND(NhatkyNhap!#REF!,"AAAAAH/1XwE=")</f>
        <v>#REF!</v>
      </c>
      <c r="C133" t="e">
        <f>AND(NhatkyNhap!#REF!,"AAAAAH/1XwI=")</f>
        <v>#REF!</v>
      </c>
      <c r="D133" t="e">
        <f>AND(NhatkyNhap!#REF!,"AAAAAH/1XwM=")</f>
        <v>#REF!</v>
      </c>
      <c r="E133" t="e">
        <f>AND(NhatkyNhap!#REF!,"AAAAAH/1XwQ=")</f>
        <v>#REF!</v>
      </c>
      <c r="F133" t="e">
        <f>AND(NhatkyNhap!#REF!,"AAAAAH/1XwU=")</f>
        <v>#REF!</v>
      </c>
      <c r="G133" t="e">
        <f>AND(NhatkyNhap!#REF!,"AAAAAH/1XwY=")</f>
        <v>#REF!</v>
      </c>
      <c r="H133" t="e">
        <f>AND(NhatkyNhap!#REF!,"AAAAAH/1Xwc=")</f>
        <v>#REF!</v>
      </c>
      <c r="I133" t="e">
        <f>AND(NhatkyNhap!#REF!,"AAAAAH/1Xwg=")</f>
        <v>#REF!</v>
      </c>
      <c r="J133" t="e">
        <f>AND(NhatkyNhap!#REF!,"AAAAAH/1Xwk=")</f>
        <v>#REF!</v>
      </c>
      <c r="K133" t="e">
        <f>AND(NhatkyNhap!#REF!,"AAAAAH/1Xwo=")</f>
        <v>#REF!</v>
      </c>
      <c r="L133" t="e">
        <f>AND(NhatkyNhap!#REF!,"AAAAAH/1Xws=")</f>
        <v>#REF!</v>
      </c>
      <c r="M133" t="e">
        <f>AND(NhatkyNhap!#REF!,"AAAAAH/1Xww=")</f>
        <v>#REF!</v>
      </c>
      <c r="N133" t="e">
        <f>AND(NhatkyNhap!#REF!,"AAAAAH/1Xw0=")</f>
        <v>#REF!</v>
      </c>
      <c r="O133" t="e">
        <f>AND(NhatkyNhap!#REF!,"AAAAAH/1Xw4=")</f>
        <v>#REF!</v>
      </c>
      <c r="P133" t="e">
        <f>AND(NhatkyNhap!#REF!,"AAAAAH/1Xw8=")</f>
        <v>#REF!</v>
      </c>
      <c r="Q133" t="e">
        <f>AND(NhatkyNhap!#REF!,"AAAAAH/1XxA=")</f>
        <v>#REF!</v>
      </c>
      <c r="R133" t="e">
        <f>AND(NhatkyNhap!#REF!,"AAAAAH/1XxE=")</f>
        <v>#REF!</v>
      </c>
      <c r="S133" t="e">
        <f>AND(NhatkyNhap!#REF!,"AAAAAH/1XxI=")</f>
        <v>#REF!</v>
      </c>
      <c r="T133" t="e">
        <f>AND(NhatkyNhap!#REF!,"AAAAAH/1XxM=")</f>
        <v>#REF!</v>
      </c>
      <c r="U133" t="e">
        <f>AND(NhatkyNhap!#REF!,"AAAAAH/1XxQ=")</f>
        <v>#REF!</v>
      </c>
      <c r="V133" t="e">
        <f>AND(NhatkyNhap!#REF!,"AAAAAH/1XxU=")</f>
        <v>#REF!</v>
      </c>
      <c r="W133" t="e">
        <f>AND(NhatkyNhap!#REF!,"AAAAAH/1XxY=")</f>
        <v>#REF!</v>
      </c>
      <c r="X133" t="e">
        <f>AND(NhatkyNhap!#REF!,"AAAAAH/1Xxc=")</f>
        <v>#REF!</v>
      </c>
      <c r="Y133" t="e">
        <f>AND(NhatkyNhap!#REF!,"AAAAAH/1Xxg=")</f>
        <v>#REF!</v>
      </c>
      <c r="Z133" t="e">
        <f>AND(NhatkyNhap!#REF!,"AAAAAH/1Xxk=")</f>
        <v>#REF!</v>
      </c>
      <c r="AA133" t="e">
        <f>AND(NhatkyNhap!#REF!,"AAAAAH/1Xxo=")</f>
        <v>#REF!</v>
      </c>
      <c r="AB133" t="e">
        <f>AND(NhatkyNhap!#REF!,"AAAAAH/1Xxs=")</f>
        <v>#REF!</v>
      </c>
      <c r="AC133" t="e">
        <f>AND(NhatkyNhap!#REF!,"AAAAAH/1Xxw=")</f>
        <v>#REF!</v>
      </c>
      <c r="AD133" t="e">
        <f>AND(NhatkyNhap!#REF!,"AAAAAH/1Xx0=")</f>
        <v>#REF!</v>
      </c>
      <c r="AE133" t="e">
        <f>AND(NhatkyNhap!#REF!,"AAAAAH/1Xx4=")</f>
        <v>#REF!</v>
      </c>
      <c r="AF133" t="e">
        <f>AND(NhatkyNhap!#REF!,"AAAAAH/1Xx8=")</f>
        <v>#REF!</v>
      </c>
      <c r="AG133" t="e">
        <f>AND(NhatkyNhap!#REF!,"AAAAAH/1XyA=")</f>
        <v>#REF!</v>
      </c>
      <c r="AH133" t="e">
        <f>IF(NhatkyNhap!#REF!,"AAAAAH/1XyE=",0)</f>
        <v>#REF!</v>
      </c>
      <c r="AI133" t="e">
        <f>AND(NhatkyNhap!#REF!,"AAAAAH/1XyI=")</f>
        <v>#REF!</v>
      </c>
      <c r="AJ133" t="e">
        <f>AND(NhatkyNhap!#REF!,"AAAAAH/1XyM=")</f>
        <v>#REF!</v>
      </c>
      <c r="AK133" t="e">
        <f>AND(NhatkyNhap!#REF!,"AAAAAH/1XyQ=")</f>
        <v>#REF!</v>
      </c>
      <c r="AL133" t="e">
        <f>AND(NhatkyNhap!#REF!,"AAAAAH/1XyU=")</f>
        <v>#REF!</v>
      </c>
      <c r="AM133" t="e">
        <f>AND(NhatkyNhap!#REF!,"AAAAAH/1XyY=")</f>
        <v>#REF!</v>
      </c>
      <c r="AN133" t="e">
        <f>AND(NhatkyNhap!#REF!,"AAAAAH/1Xyc=")</f>
        <v>#REF!</v>
      </c>
      <c r="AO133" t="e">
        <f>AND(NhatkyNhap!#REF!,"AAAAAH/1Xyg=")</f>
        <v>#REF!</v>
      </c>
      <c r="AP133" t="e">
        <f>AND(NhatkyNhap!#REF!,"AAAAAH/1Xyk=")</f>
        <v>#REF!</v>
      </c>
      <c r="AQ133" t="e">
        <f>AND(NhatkyNhap!#REF!,"AAAAAH/1Xyo=")</f>
        <v>#REF!</v>
      </c>
      <c r="AR133" t="e">
        <f>AND(NhatkyNhap!#REF!,"AAAAAH/1Xys=")</f>
        <v>#REF!</v>
      </c>
      <c r="AS133" t="e">
        <f>AND(NhatkyNhap!#REF!,"AAAAAH/1Xyw=")</f>
        <v>#REF!</v>
      </c>
      <c r="AT133" t="e">
        <f>AND(NhatkyNhap!#REF!,"AAAAAH/1Xy0=")</f>
        <v>#REF!</v>
      </c>
      <c r="AU133" t="e">
        <f>AND(NhatkyNhap!#REF!,"AAAAAH/1Xy4=")</f>
        <v>#REF!</v>
      </c>
      <c r="AV133" t="e">
        <f>AND(NhatkyNhap!#REF!,"AAAAAH/1Xy8=")</f>
        <v>#REF!</v>
      </c>
      <c r="AW133" t="e">
        <f>AND(NhatkyNhap!#REF!,"AAAAAH/1XzA=")</f>
        <v>#REF!</v>
      </c>
      <c r="AX133" t="e">
        <f>AND(NhatkyNhap!#REF!,"AAAAAH/1XzE=")</f>
        <v>#REF!</v>
      </c>
      <c r="AY133" t="e">
        <f>AND(NhatkyNhap!#REF!,"AAAAAH/1XzI=")</f>
        <v>#REF!</v>
      </c>
      <c r="AZ133" t="e">
        <f>AND(NhatkyNhap!#REF!,"AAAAAH/1XzM=")</f>
        <v>#REF!</v>
      </c>
      <c r="BA133" t="e">
        <f>AND(NhatkyNhap!#REF!,"AAAAAH/1XzQ=")</f>
        <v>#REF!</v>
      </c>
      <c r="BB133" t="e">
        <f>AND(NhatkyNhap!#REF!,"AAAAAH/1XzU=")</f>
        <v>#REF!</v>
      </c>
      <c r="BC133" t="e">
        <f>AND(NhatkyNhap!#REF!,"AAAAAH/1XzY=")</f>
        <v>#REF!</v>
      </c>
      <c r="BD133" t="e">
        <f>AND(NhatkyNhap!#REF!,"AAAAAH/1Xzc=")</f>
        <v>#REF!</v>
      </c>
      <c r="BE133" t="e">
        <f>AND(NhatkyNhap!#REF!,"AAAAAH/1Xzg=")</f>
        <v>#REF!</v>
      </c>
      <c r="BF133" t="e">
        <f>AND(NhatkyNhap!#REF!,"AAAAAH/1Xzk=")</f>
        <v>#REF!</v>
      </c>
      <c r="BG133" t="e">
        <f>AND(NhatkyNhap!#REF!,"AAAAAH/1Xzo=")</f>
        <v>#REF!</v>
      </c>
      <c r="BH133" t="e">
        <f>AND(NhatkyNhap!#REF!,"AAAAAH/1Xzs=")</f>
        <v>#REF!</v>
      </c>
      <c r="BI133" t="e">
        <f>AND(NhatkyNhap!#REF!,"AAAAAH/1Xzw=")</f>
        <v>#REF!</v>
      </c>
      <c r="BJ133" t="e">
        <f>AND(NhatkyNhap!#REF!,"AAAAAH/1Xz0=")</f>
        <v>#REF!</v>
      </c>
      <c r="BK133" t="e">
        <f>AND(NhatkyNhap!#REF!,"AAAAAH/1Xz4=")</f>
        <v>#REF!</v>
      </c>
      <c r="BL133" t="e">
        <f>AND(NhatkyNhap!#REF!,"AAAAAH/1Xz8=")</f>
        <v>#REF!</v>
      </c>
      <c r="BM133" t="e">
        <f>AND(NhatkyNhap!#REF!,"AAAAAH/1X0A=")</f>
        <v>#REF!</v>
      </c>
      <c r="BN133" t="e">
        <f>AND(NhatkyNhap!#REF!,"AAAAAH/1X0E=")</f>
        <v>#REF!</v>
      </c>
      <c r="BO133" t="e">
        <f>AND(NhatkyNhap!#REF!,"AAAAAH/1X0I=")</f>
        <v>#REF!</v>
      </c>
      <c r="BP133" t="e">
        <f>AND(NhatkyNhap!#REF!,"AAAAAH/1X0M=")</f>
        <v>#REF!</v>
      </c>
      <c r="BQ133" t="e">
        <f>IF(NhatkyNhap!#REF!,"AAAAAH/1X0Q=",0)</f>
        <v>#REF!</v>
      </c>
      <c r="BR133" t="e">
        <f>AND(NhatkyNhap!#REF!,"AAAAAH/1X0U=")</f>
        <v>#REF!</v>
      </c>
      <c r="BS133" t="e">
        <f>AND(NhatkyNhap!#REF!,"AAAAAH/1X0Y=")</f>
        <v>#REF!</v>
      </c>
      <c r="BT133" t="e">
        <f>AND(NhatkyNhap!#REF!,"AAAAAH/1X0c=")</f>
        <v>#REF!</v>
      </c>
      <c r="BU133" t="e">
        <f>AND(NhatkyNhap!#REF!,"AAAAAH/1X0g=")</f>
        <v>#REF!</v>
      </c>
      <c r="BV133" t="e">
        <f>AND(NhatkyNhap!#REF!,"AAAAAH/1X0k=")</f>
        <v>#REF!</v>
      </c>
      <c r="BW133" t="e">
        <f>AND(NhatkyNhap!#REF!,"AAAAAH/1X0o=")</f>
        <v>#REF!</v>
      </c>
      <c r="BX133" t="e">
        <f>AND(NhatkyNhap!#REF!,"AAAAAH/1X0s=")</f>
        <v>#REF!</v>
      </c>
      <c r="BY133" t="e">
        <f>AND(NhatkyNhap!#REF!,"AAAAAH/1X0w=")</f>
        <v>#REF!</v>
      </c>
      <c r="BZ133" t="e">
        <f>AND(NhatkyNhap!#REF!,"AAAAAH/1X00=")</f>
        <v>#REF!</v>
      </c>
      <c r="CA133" t="e">
        <f>AND(NhatkyNhap!#REF!,"AAAAAH/1X04=")</f>
        <v>#REF!</v>
      </c>
      <c r="CB133" t="e">
        <f>AND(NhatkyNhap!#REF!,"AAAAAH/1X08=")</f>
        <v>#REF!</v>
      </c>
      <c r="CC133" t="e">
        <f>AND(NhatkyNhap!#REF!,"AAAAAH/1X1A=")</f>
        <v>#REF!</v>
      </c>
      <c r="CD133" t="e">
        <f>AND(NhatkyNhap!#REF!,"AAAAAH/1X1E=")</f>
        <v>#REF!</v>
      </c>
      <c r="CE133" t="e">
        <f>AND(NhatkyNhap!#REF!,"AAAAAH/1X1I=")</f>
        <v>#REF!</v>
      </c>
      <c r="CF133" t="e">
        <f>AND(NhatkyNhap!#REF!,"AAAAAH/1X1M=")</f>
        <v>#REF!</v>
      </c>
      <c r="CG133" t="e">
        <f>AND(NhatkyNhap!#REF!,"AAAAAH/1X1Q=")</f>
        <v>#REF!</v>
      </c>
      <c r="CH133" t="e">
        <f>AND(NhatkyNhap!#REF!,"AAAAAH/1X1U=")</f>
        <v>#REF!</v>
      </c>
      <c r="CI133" t="e">
        <f>AND(NhatkyNhap!#REF!,"AAAAAH/1X1Y=")</f>
        <v>#REF!</v>
      </c>
      <c r="CJ133" t="e">
        <f>AND(NhatkyNhap!#REF!,"AAAAAH/1X1c=")</f>
        <v>#REF!</v>
      </c>
      <c r="CK133" t="e">
        <f>AND(NhatkyNhap!#REF!,"AAAAAH/1X1g=")</f>
        <v>#REF!</v>
      </c>
      <c r="CL133" t="e">
        <f>AND(NhatkyNhap!#REF!,"AAAAAH/1X1k=")</f>
        <v>#REF!</v>
      </c>
      <c r="CM133" t="e">
        <f>AND(NhatkyNhap!#REF!,"AAAAAH/1X1o=")</f>
        <v>#REF!</v>
      </c>
      <c r="CN133" t="e">
        <f>AND(NhatkyNhap!#REF!,"AAAAAH/1X1s=")</f>
        <v>#REF!</v>
      </c>
      <c r="CO133" t="e">
        <f>AND(NhatkyNhap!#REF!,"AAAAAH/1X1w=")</f>
        <v>#REF!</v>
      </c>
      <c r="CP133" t="e">
        <f>AND(NhatkyNhap!#REF!,"AAAAAH/1X10=")</f>
        <v>#REF!</v>
      </c>
      <c r="CQ133" t="e">
        <f>AND(NhatkyNhap!#REF!,"AAAAAH/1X14=")</f>
        <v>#REF!</v>
      </c>
      <c r="CR133" t="e">
        <f>AND(NhatkyNhap!#REF!,"AAAAAH/1X18=")</f>
        <v>#REF!</v>
      </c>
      <c r="CS133" t="e">
        <f>AND(NhatkyNhap!#REF!,"AAAAAH/1X2A=")</f>
        <v>#REF!</v>
      </c>
      <c r="CT133" t="e">
        <f>AND(NhatkyNhap!#REF!,"AAAAAH/1X2E=")</f>
        <v>#REF!</v>
      </c>
      <c r="CU133" t="e">
        <f>AND(NhatkyNhap!#REF!,"AAAAAH/1X2I=")</f>
        <v>#REF!</v>
      </c>
      <c r="CV133" t="e">
        <f>AND(NhatkyNhap!#REF!,"AAAAAH/1X2M=")</f>
        <v>#REF!</v>
      </c>
      <c r="CW133" t="e">
        <f>AND(NhatkyNhap!#REF!,"AAAAAH/1X2Q=")</f>
        <v>#REF!</v>
      </c>
      <c r="CX133" t="e">
        <f>AND(NhatkyNhap!#REF!,"AAAAAH/1X2U=")</f>
        <v>#REF!</v>
      </c>
      <c r="CY133" t="e">
        <f>AND(NhatkyNhap!#REF!,"AAAAAH/1X2Y=")</f>
        <v>#REF!</v>
      </c>
      <c r="CZ133" t="e">
        <f>IF(NhatkyNhap!#REF!,"AAAAAH/1X2c=",0)</f>
        <v>#REF!</v>
      </c>
      <c r="DA133" t="e">
        <f>AND(NhatkyNhap!#REF!,"AAAAAH/1X2g=")</f>
        <v>#REF!</v>
      </c>
      <c r="DB133" t="e">
        <f>AND(NhatkyNhap!#REF!,"AAAAAH/1X2k=")</f>
        <v>#REF!</v>
      </c>
      <c r="DC133" t="e">
        <f>AND(NhatkyNhap!#REF!,"AAAAAH/1X2o=")</f>
        <v>#REF!</v>
      </c>
      <c r="DD133" t="e">
        <f>AND(NhatkyNhap!#REF!,"AAAAAH/1X2s=")</f>
        <v>#REF!</v>
      </c>
      <c r="DE133" t="e">
        <f>AND(NhatkyNhap!#REF!,"AAAAAH/1X2w=")</f>
        <v>#REF!</v>
      </c>
      <c r="DF133" t="e">
        <f>AND(NhatkyNhap!#REF!,"AAAAAH/1X20=")</f>
        <v>#REF!</v>
      </c>
      <c r="DG133" t="e">
        <f>AND(NhatkyNhap!#REF!,"AAAAAH/1X24=")</f>
        <v>#REF!</v>
      </c>
      <c r="DH133" t="e">
        <f>AND(NhatkyNhap!#REF!,"AAAAAH/1X28=")</f>
        <v>#REF!</v>
      </c>
      <c r="DI133" t="e">
        <f>AND(NhatkyNhap!#REF!,"AAAAAH/1X3A=")</f>
        <v>#REF!</v>
      </c>
      <c r="DJ133" t="e">
        <f>AND(NhatkyNhap!#REF!,"AAAAAH/1X3E=")</f>
        <v>#REF!</v>
      </c>
      <c r="DK133" t="e">
        <f>AND(NhatkyNhap!#REF!,"AAAAAH/1X3I=")</f>
        <v>#REF!</v>
      </c>
      <c r="DL133" t="e">
        <f>AND(NhatkyNhap!#REF!,"AAAAAH/1X3M=")</f>
        <v>#REF!</v>
      </c>
      <c r="DM133" t="e">
        <f>AND(NhatkyNhap!#REF!,"AAAAAH/1X3Q=")</f>
        <v>#REF!</v>
      </c>
      <c r="DN133" t="e">
        <f>AND(NhatkyNhap!#REF!,"AAAAAH/1X3U=")</f>
        <v>#REF!</v>
      </c>
      <c r="DO133" t="e">
        <f>AND(NhatkyNhap!#REF!,"AAAAAH/1X3Y=")</f>
        <v>#REF!</v>
      </c>
      <c r="DP133" t="e">
        <f>AND(NhatkyNhap!#REF!,"AAAAAH/1X3c=")</f>
        <v>#REF!</v>
      </c>
      <c r="DQ133" t="e">
        <f>AND(NhatkyNhap!#REF!,"AAAAAH/1X3g=")</f>
        <v>#REF!</v>
      </c>
      <c r="DR133" t="e">
        <f>AND(NhatkyNhap!#REF!,"AAAAAH/1X3k=")</f>
        <v>#REF!</v>
      </c>
      <c r="DS133" t="e">
        <f>AND(NhatkyNhap!#REF!,"AAAAAH/1X3o=")</f>
        <v>#REF!</v>
      </c>
      <c r="DT133" t="e">
        <f>AND(NhatkyNhap!#REF!,"AAAAAH/1X3s=")</f>
        <v>#REF!</v>
      </c>
      <c r="DU133" t="e">
        <f>AND(NhatkyNhap!#REF!,"AAAAAH/1X3w=")</f>
        <v>#REF!</v>
      </c>
      <c r="DV133" t="e">
        <f>AND(NhatkyNhap!#REF!,"AAAAAH/1X30=")</f>
        <v>#REF!</v>
      </c>
      <c r="DW133" t="e">
        <f>AND(NhatkyNhap!#REF!,"AAAAAH/1X34=")</f>
        <v>#REF!</v>
      </c>
      <c r="DX133" t="e">
        <f>AND(NhatkyNhap!#REF!,"AAAAAH/1X38=")</f>
        <v>#REF!</v>
      </c>
      <c r="DY133" t="e">
        <f>AND(NhatkyNhap!#REF!,"AAAAAH/1X4A=")</f>
        <v>#REF!</v>
      </c>
      <c r="DZ133" t="e">
        <f>AND(NhatkyNhap!#REF!,"AAAAAH/1X4E=")</f>
        <v>#REF!</v>
      </c>
      <c r="EA133" t="e">
        <f>AND(NhatkyNhap!#REF!,"AAAAAH/1X4I=")</f>
        <v>#REF!</v>
      </c>
      <c r="EB133" t="e">
        <f>AND(NhatkyNhap!#REF!,"AAAAAH/1X4M=")</f>
        <v>#REF!</v>
      </c>
      <c r="EC133" t="e">
        <f>AND(NhatkyNhap!#REF!,"AAAAAH/1X4Q=")</f>
        <v>#REF!</v>
      </c>
      <c r="ED133" t="e">
        <f>AND(NhatkyNhap!#REF!,"AAAAAH/1X4U=")</f>
        <v>#REF!</v>
      </c>
      <c r="EE133" t="e">
        <f>AND(NhatkyNhap!#REF!,"AAAAAH/1X4Y=")</f>
        <v>#REF!</v>
      </c>
      <c r="EF133" t="e">
        <f>AND(NhatkyNhap!#REF!,"AAAAAH/1X4c=")</f>
        <v>#REF!</v>
      </c>
      <c r="EG133" t="e">
        <f>AND(NhatkyNhap!#REF!,"AAAAAH/1X4g=")</f>
        <v>#REF!</v>
      </c>
      <c r="EH133" t="e">
        <f>AND(NhatkyNhap!#REF!,"AAAAAH/1X4k=")</f>
        <v>#REF!</v>
      </c>
      <c r="EI133" t="e">
        <f>IF(NhatkyNhap!#REF!,"AAAAAH/1X4o=",0)</f>
        <v>#REF!</v>
      </c>
      <c r="EJ133" t="e">
        <f>AND(NhatkyNhap!#REF!,"AAAAAH/1X4s=")</f>
        <v>#REF!</v>
      </c>
      <c r="EK133" t="e">
        <f>AND(NhatkyNhap!#REF!,"AAAAAH/1X4w=")</f>
        <v>#REF!</v>
      </c>
      <c r="EL133" t="e">
        <f>AND(NhatkyNhap!#REF!,"AAAAAH/1X40=")</f>
        <v>#REF!</v>
      </c>
      <c r="EM133" t="e">
        <f>AND(NhatkyNhap!#REF!,"AAAAAH/1X44=")</f>
        <v>#REF!</v>
      </c>
      <c r="EN133" t="e">
        <f>AND(NhatkyNhap!#REF!,"AAAAAH/1X48=")</f>
        <v>#REF!</v>
      </c>
      <c r="EO133" t="e">
        <f>AND(NhatkyNhap!#REF!,"AAAAAH/1X5A=")</f>
        <v>#REF!</v>
      </c>
      <c r="EP133" t="e">
        <f>AND(NhatkyNhap!#REF!,"AAAAAH/1X5E=")</f>
        <v>#REF!</v>
      </c>
      <c r="EQ133" t="e">
        <f>AND(NhatkyNhap!#REF!,"AAAAAH/1X5I=")</f>
        <v>#REF!</v>
      </c>
      <c r="ER133" t="e">
        <f>AND(NhatkyNhap!#REF!,"AAAAAH/1X5M=")</f>
        <v>#REF!</v>
      </c>
      <c r="ES133" t="e">
        <f>AND(NhatkyNhap!#REF!,"AAAAAH/1X5Q=")</f>
        <v>#REF!</v>
      </c>
      <c r="ET133" t="e">
        <f>AND(NhatkyNhap!#REF!,"AAAAAH/1X5U=")</f>
        <v>#REF!</v>
      </c>
      <c r="EU133" t="e">
        <f>AND(NhatkyNhap!#REF!,"AAAAAH/1X5Y=")</f>
        <v>#REF!</v>
      </c>
      <c r="EV133" t="e">
        <f>AND(NhatkyNhap!#REF!,"AAAAAH/1X5c=")</f>
        <v>#REF!</v>
      </c>
      <c r="EW133" t="e">
        <f>AND(NhatkyNhap!#REF!,"AAAAAH/1X5g=")</f>
        <v>#REF!</v>
      </c>
      <c r="EX133" t="e">
        <f>AND(NhatkyNhap!#REF!,"AAAAAH/1X5k=")</f>
        <v>#REF!</v>
      </c>
      <c r="EY133" t="e">
        <f>AND(NhatkyNhap!#REF!,"AAAAAH/1X5o=")</f>
        <v>#REF!</v>
      </c>
      <c r="EZ133" t="e">
        <f>AND(NhatkyNhap!#REF!,"AAAAAH/1X5s=")</f>
        <v>#REF!</v>
      </c>
      <c r="FA133" t="e">
        <f>AND(NhatkyNhap!#REF!,"AAAAAH/1X5w=")</f>
        <v>#REF!</v>
      </c>
      <c r="FB133" t="e">
        <f>AND(NhatkyNhap!#REF!,"AAAAAH/1X50=")</f>
        <v>#REF!</v>
      </c>
      <c r="FC133" t="e">
        <f>AND(NhatkyNhap!#REF!,"AAAAAH/1X54=")</f>
        <v>#REF!</v>
      </c>
      <c r="FD133" t="e">
        <f>AND(NhatkyNhap!#REF!,"AAAAAH/1X58=")</f>
        <v>#REF!</v>
      </c>
      <c r="FE133" t="e">
        <f>AND(NhatkyNhap!#REF!,"AAAAAH/1X6A=")</f>
        <v>#REF!</v>
      </c>
      <c r="FF133" t="e">
        <f>AND(NhatkyNhap!#REF!,"AAAAAH/1X6E=")</f>
        <v>#REF!</v>
      </c>
      <c r="FG133" t="e">
        <f>AND(NhatkyNhap!#REF!,"AAAAAH/1X6I=")</f>
        <v>#REF!</v>
      </c>
      <c r="FH133" t="e">
        <f>AND(NhatkyNhap!#REF!,"AAAAAH/1X6M=")</f>
        <v>#REF!</v>
      </c>
      <c r="FI133" t="e">
        <f>AND(NhatkyNhap!#REF!,"AAAAAH/1X6Q=")</f>
        <v>#REF!</v>
      </c>
      <c r="FJ133" t="e">
        <f>AND(NhatkyNhap!#REF!,"AAAAAH/1X6U=")</f>
        <v>#REF!</v>
      </c>
      <c r="FK133" t="e">
        <f>AND(NhatkyNhap!#REF!,"AAAAAH/1X6Y=")</f>
        <v>#REF!</v>
      </c>
      <c r="FL133" t="e">
        <f>AND(NhatkyNhap!#REF!,"AAAAAH/1X6c=")</f>
        <v>#REF!</v>
      </c>
      <c r="FM133" t="e">
        <f>AND(NhatkyNhap!#REF!,"AAAAAH/1X6g=")</f>
        <v>#REF!</v>
      </c>
      <c r="FN133" t="e">
        <f>AND(NhatkyNhap!#REF!,"AAAAAH/1X6k=")</f>
        <v>#REF!</v>
      </c>
      <c r="FO133" t="e">
        <f>AND(NhatkyNhap!#REF!,"AAAAAH/1X6o=")</f>
        <v>#REF!</v>
      </c>
      <c r="FP133" t="e">
        <f>AND(NhatkyNhap!#REF!,"AAAAAH/1X6s=")</f>
        <v>#REF!</v>
      </c>
      <c r="FQ133" t="e">
        <f>AND(NhatkyNhap!#REF!,"AAAAAH/1X6w=")</f>
        <v>#REF!</v>
      </c>
      <c r="FR133" t="e">
        <f>IF(NhatkyNhap!#REF!,"AAAAAH/1X60=",0)</f>
        <v>#REF!</v>
      </c>
      <c r="FS133" t="e">
        <f>AND(NhatkyNhap!#REF!,"AAAAAH/1X64=")</f>
        <v>#REF!</v>
      </c>
      <c r="FT133" t="e">
        <f>AND(NhatkyNhap!#REF!,"AAAAAH/1X68=")</f>
        <v>#REF!</v>
      </c>
      <c r="FU133" t="e">
        <f>AND(NhatkyNhap!#REF!,"AAAAAH/1X7A=")</f>
        <v>#REF!</v>
      </c>
      <c r="FV133" t="e">
        <f>AND(NhatkyNhap!#REF!,"AAAAAH/1X7E=")</f>
        <v>#REF!</v>
      </c>
      <c r="FW133" t="e">
        <f>AND(NhatkyNhap!#REF!,"AAAAAH/1X7I=")</f>
        <v>#REF!</v>
      </c>
      <c r="FX133" t="e">
        <f>AND(NhatkyNhap!#REF!,"AAAAAH/1X7M=")</f>
        <v>#REF!</v>
      </c>
      <c r="FY133" t="e">
        <f>AND(NhatkyNhap!#REF!,"AAAAAH/1X7Q=")</f>
        <v>#REF!</v>
      </c>
      <c r="FZ133" t="e">
        <f>AND(NhatkyNhap!#REF!,"AAAAAH/1X7U=")</f>
        <v>#REF!</v>
      </c>
      <c r="GA133" t="e">
        <f>AND(NhatkyNhap!#REF!,"AAAAAH/1X7Y=")</f>
        <v>#REF!</v>
      </c>
      <c r="GB133" t="e">
        <f>AND(NhatkyNhap!#REF!,"AAAAAH/1X7c=")</f>
        <v>#REF!</v>
      </c>
      <c r="GC133" t="e">
        <f>AND(NhatkyNhap!#REF!,"AAAAAH/1X7g=")</f>
        <v>#REF!</v>
      </c>
      <c r="GD133" t="e">
        <f>AND(NhatkyNhap!#REF!,"AAAAAH/1X7k=")</f>
        <v>#REF!</v>
      </c>
      <c r="GE133" t="e">
        <f>AND(NhatkyNhap!#REF!,"AAAAAH/1X7o=")</f>
        <v>#REF!</v>
      </c>
      <c r="GF133" t="e">
        <f>AND(NhatkyNhap!#REF!,"AAAAAH/1X7s=")</f>
        <v>#REF!</v>
      </c>
      <c r="GG133" t="e">
        <f>AND(NhatkyNhap!#REF!,"AAAAAH/1X7w=")</f>
        <v>#REF!</v>
      </c>
      <c r="GH133" t="e">
        <f>AND(NhatkyNhap!#REF!,"AAAAAH/1X70=")</f>
        <v>#REF!</v>
      </c>
      <c r="GI133" t="e">
        <f>AND(NhatkyNhap!#REF!,"AAAAAH/1X74=")</f>
        <v>#REF!</v>
      </c>
      <c r="GJ133" t="e">
        <f>AND(NhatkyNhap!#REF!,"AAAAAH/1X78=")</f>
        <v>#REF!</v>
      </c>
      <c r="GK133" t="e">
        <f>AND(NhatkyNhap!#REF!,"AAAAAH/1X8A=")</f>
        <v>#REF!</v>
      </c>
      <c r="GL133" t="e">
        <f>AND(NhatkyNhap!#REF!,"AAAAAH/1X8E=")</f>
        <v>#REF!</v>
      </c>
      <c r="GM133" t="e">
        <f>AND(NhatkyNhap!#REF!,"AAAAAH/1X8I=")</f>
        <v>#REF!</v>
      </c>
      <c r="GN133" t="e">
        <f>AND(NhatkyNhap!#REF!,"AAAAAH/1X8M=")</f>
        <v>#REF!</v>
      </c>
      <c r="GO133" t="e">
        <f>AND(NhatkyNhap!#REF!,"AAAAAH/1X8Q=")</f>
        <v>#REF!</v>
      </c>
      <c r="GP133" t="e">
        <f>AND(NhatkyNhap!#REF!,"AAAAAH/1X8U=")</f>
        <v>#REF!</v>
      </c>
      <c r="GQ133" t="e">
        <f>AND(NhatkyNhap!#REF!,"AAAAAH/1X8Y=")</f>
        <v>#REF!</v>
      </c>
      <c r="GR133" t="e">
        <f>AND(NhatkyNhap!#REF!,"AAAAAH/1X8c=")</f>
        <v>#REF!</v>
      </c>
      <c r="GS133" t="e">
        <f>AND(NhatkyNhap!#REF!,"AAAAAH/1X8g=")</f>
        <v>#REF!</v>
      </c>
      <c r="GT133" t="e">
        <f>AND(NhatkyNhap!#REF!,"AAAAAH/1X8k=")</f>
        <v>#REF!</v>
      </c>
      <c r="GU133" t="e">
        <f>AND(NhatkyNhap!#REF!,"AAAAAH/1X8o=")</f>
        <v>#REF!</v>
      </c>
      <c r="GV133" t="e">
        <f>AND(NhatkyNhap!#REF!,"AAAAAH/1X8s=")</f>
        <v>#REF!</v>
      </c>
      <c r="GW133" t="e">
        <f>AND(NhatkyNhap!#REF!,"AAAAAH/1X8w=")</f>
        <v>#REF!</v>
      </c>
      <c r="GX133" t="e">
        <f>AND(NhatkyNhap!#REF!,"AAAAAH/1X80=")</f>
        <v>#REF!</v>
      </c>
      <c r="GY133" t="e">
        <f>AND(NhatkyNhap!#REF!,"AAAAAH/1X84=")</f>
        <v>#REF!</v>
      </c>
      <c r="GZ133" t="e">
        <f>AND(NhatkyNhap!#REF!,"AAAAAH/1X88=")</f>
        <v>#REF!</v>
      </c>
      <c r="HA133" t="e">
        <f>IF(NhatkyNhap!#REF!,"AAAAAH/1X9A=",0)</f>
        <v>#REF!</v>
      </c>
      <c r="HB133" t="e">
        <f>AND(NhatkyNhap!#REF!,"AAAAAH/1X9E=")</f>
        <v>#REF!</v>
      </c>
      <c r="HC133" t="e">
        <f>AND(NhatkyNhap!#REF!,"AAAAAH/1X9I=")</f>
        <v>#REF!</v>
      </c>
      <c r="HD133" t="e">
        <f>AND(NhatkyNhap!#REF!,"AAAAAH/1X9M=")</f>
        <v>#REF!</v>
      </c>
      <c r="HE133" t="e">
        <f>AND(NhatkyNhap!#REF!,"AAAAAH/1X9Q=")</f>
        <v>#REF!</v>
      </c>
      <c r="HF133" t="e">
        <f>AND(NhatkyNhap!#REF!,"AAAAAH/1X9U=")</f>
        <v>#REF!</v>
      </c>
      <c r="HG133" t="e">
        <f>AND(NhatkyNhap!#REF!,"AAAAAH/1X9Y=")</f>
        <v>#REF!</v>
      </c>
      <c r="HH133" t="e">
        <f>AND(NhatkyNhap!#REF!,"AAAAAH/1X9c=")</f>
        <v>#REF!</v>
      </c>
      <c r="HI133" t="e">
        <f>AND(NhatkyNhap!#REF!,"AAAAAH/1X9g=")</f>
        <v>#REF!</v>
      </c>
      <c r="HJ133" t="e">
        <f>AND(NhatkyNhap!#REF!,"AAAAAH/1X9k=")</f>
        <v>#REF!</v>
      </c>
      <c r="HK133" t="e">
        <f>AND(NhatkyNhap!#REF!,"AAAAAH/1X9o=")</f>
        <v>#REF!</v>
      </c>
      <c r="HL133" t="e">
        <f>AND(NhatkyNhap!#REF!,"AAAAAH/1X9s=")</f>
        <v>#REF!</v>
      </c>
      <c r="HM133" t="e">
        <f>AND(NhatkyNhap!#REF!,"AAAAAH/1X9w=")</f>
        <v>#REF!</v>
      </c>
      <c r="HN133" t="e">
        <f>AND(NhatkyNhap!#REF!,"AAAAAH/1X90=")</f>
        <v>#REF!</v>
      </c>
      <c r="HO133" t="e">
        <f>AND(NhatkyNhap!#REF!,"AAAAAH/1X94=")</f>
        <v>#REF!</v>
      </c>
      <c r="HP133" t="e">
        <f>AND(NhatkyNhap!#REF!,"AAAAAH/1X98=")</f>
        <v>#REF!</v>
      </c>
      <c r="HQ133" t="e">
        <f>AND(NhatkyNhap!#REF!,"AAAAAH/1X+A=")</f>
        <v>#REF!</v>
      </c>
      <c r="HR133" t="e">
        <f>AND(NhatkyNhap!#REF!,"AAAAAH/1X+E=")</f>
        <v>#REF!</v>
      </c>
      <c r="HS133" t="e">
        <f>AND(NhatkyNhap!#REF!,"AAAAAH/1X+I=")</f>
        <v>#REF!</v>
      </c>
      <c r="HT133" t="e">
        <f>AND(NhatkyNhap!#REF!,"AAAAAH/1X+M=")</f>
        <v>#REF!</v>
      </c>
      <c r="HU133" t="e">
        <f>AND(NhatkyNhap!#REF!,"AAAAAH/1X+Q=")</f>
        <v>#REF!</v>
      </c>
      <c r="HV133" t="e">
        <f>AND(NhatkyNhap!#REF!,"AAAAAH/1X+U=")</f>
        <v>#REF!</v>
      </c>
      <c r="HW133" t="e">
        <f>AND(NhatkyNhap!#REF!,"AAAAAH/1X+Y=")</f>
        <v>#REF!</v>
      </c>
      <c r="HX133" t="e">
        <f>AND(NhatkyNhap!#REF!,"AAAAAH/1X+c=")</f>
        <v>#REF!</v>
      </c>
      <c r="HY133" t="e">
        <f>AND(NhatkyNhap!#REF!,"AAAAAH/1X+g=")</f>
        <v>#REF!</v>
      </c>
      <c r="HZ133" t="e">
        <f>AND(NhatkyNhap!#REF!,"AAAAAH/1X+k=")</f>
        <v>#REF!</v>
      </c>
      <c r="IA133" t="e">
        <f>AND(NhatkyNhap!#REF!,"AAAAAH/1X+o=")</f>
        <v>#REF!</v>
      </c>
      <c r="IB133" t="e">
        <f>AND(NhatkyNhap!#REF!,"AAAAAH/1X+s=")</f>
        <v>#REF!</v>
      </c>
      <c r="IC133" t="e">
        <f>AND(NhatkyNhap!#REF!,"AAAAAH/1X+w=")</f>
        <v>#REF!</v>
      </c>
      <c r="ID133" t="e">
        <f>AND(NhatkyNhap!#REF!,"AAAAAH/1X+0=")</f>
        <v>#REF!</v>
      </c>
      <c r="IE133" t="e">
        <f>AND(NhatkyNhap!#REF!,"AAAAAH/1X+4=")</f>
        <v>#REF!</v>
      </c>
      <c r="IF133" t="e">
        <f>AND(NhatkyNhap!#REF!,"AAAAAH/1X+8=")</f>
        <v>#REF!</v>
      </c>
      <c r="IG133" t="e">
        <f>AND(NhatkyNhap!#REF!,"AAAAAH/1X/A=")</f>
        <v>#REF!</v>
      </c>
      <c r="IH133" t="e">
        <f>AND(NhatkyNhap!#REF!,"AAAAAH/1X/E=")</f>
        <v>#REF!</v>
      </c>
      <c r="II133" t="e">
        <f>AND(NhatkyNhap!#REF!,"AAAAAH/1X/I=")</f>
        <v>#REF!</v>
      </c>
      <c r="IJ133" t="e">
        <f>IF(NhatkyNhap!#REF!,"AAAAAH/1X/M=",0)</f>
        <v>#REF!</v>
      </c>
      <c r="IK133" t="e">
        <f>AND(NhatkyNhap!#REF!,"AAAAAH/1X/Q=")</f>
        <v>#REF!</v>
      </c>
      <c r="IL133" t="e">
        <f>AND(NhatkyNhap!#REF!,"AAAAAH/1X/U=")</f>
        <v>#REF!</v>
      </c>
      <c r="IM133" t="e">
        <f>AND(NhatkyNhap!#REF!,"AAAAAH/1X/Y=")</f>
        <v>#REF!</v>
      </c>
      <c r="IN133" t="e">
        <f>AND(NhatkyNhap!#REF!,"AAAAAH/1X/c=")</f>
        <v>#REF!</v>
      </c>
      <c r="IO133" t="e">
        <f>AND(NhatkyNhap!#REF!,"AAAAAH/1X/g=")</f>
        <v>#REF!</v>
      </c>
      <c r="IP133" t="e">
        <f>AND(NhatkyNhap!#REF!,"AAAAAH/1X/k=")</f>
        <v>#REF!</v>
      </c>
      <c r="IQ133" t="e">
        <f>AND(NhatkyNhap!#REF!,"AAAAAH/1X/o=")</f>
        <v>#REF!</v>
      </c>
      <c r="IR133" t="e">
        <f>AND(NhatkyNhap!#REF!,"AAAAAH/1X/s=")</f>
        <v>#REF!</v>
      </c>
      <c r="IS133" t="e">
        <f>AND(NhatkyNhap!#REF!,"AAAAAH/1X/w=")</f>
        <v>#REF!</v>
      </c>
      <c r="IT133" t="e">
        <f>AND(NhatkyNhap!#REF!,"AAAAAH/1X/0=")</f>
        <v>#REF!</v>
      </c>
      <c r="IU133" t="e">
        <f>AND(NhatkyNhap!#REF!,"AAAAAH/1X/4=")</f>
        <v>#REF!</v>
      </c>
      <c r="IV133" t="e">
        <f>AND(NhatkyNhap!#REF!,"AAAAAH/1X/8=")</f>
        <v>#REF!</v>
      </c>
    </row>
    <row r="134" spans="1:256">
      <c r="A134" t="e">
        <f>AND(NhatkyNhap!#REF!,"AAAAAHv//gA=")</f>
        <v>#REF!</v>
      </c>
      <c r="B134" t="e">
        <f>AND(NhatkyNhap!#REF!,"AAAAAHv//gE=")</f>
        <v>#REF!</v>
      </c>
      <c r="C134" t="e">
        <f>AND(NhatkyNhap!#REF!,"AAAAAHv//gI=")</f>
        <v>#REF!</v>
      </c>
      <c r="D134" t="e">
        <f>AND(NhatkyNhap!#REF!,"AAAAAHv//gM=")</f>
        <v>#REF!</v>
      </c>
      <c r="E134" t="e">
        <f>AND(NhatkyNhap!#REF!,"AAAAAHv//gQ=")</f>
        <v>#REF!</v>
      </c>
      <c r="F134" t="e">
        <f>AND(NhatkyNhap!#REF!,"AAAAAHv//gU=")</f>
        <v>#REF!</v>
      </c>
      <c r="G134" t="e">
        <f>AND(NhatkyNhap!#REF!,"AAAAAHv//gY=")</f>
        <v>#REF!</v>
      </c>
      <c r="H134" t="e">
        <f>AND(NhatkyNhap!#REF!,"AAAAAHv//gc=")</f>
        <v>#REF!</v>
      </c>
      <c r="I134" t="e">
        <f>AND(NhatkyNhap!#REF!,"AAAAAHv//gg=")</f>
        <v>#REF!</v>
      </c>
      <c r="J134" t="e">
        <f>AND(NhatkyNhap!#REF!,"AAAAAHv//gk=")</f>
        <v>#REF!</v>
      </c>
      <c r="K134" t="e">
        <f>AND(NhatkyNhap!#REF!,"AAAAAHv//go=")</f>
        <v>#REF!</v>
      </c>
      <c r="L134" t="e">
        <f>AND(NhatkyNhap!#REF!,"AAAAAHv//gs=")</f>
        <v>#REF!</v>
      </c>
      <c r="M134" t="e">
        <f>AND(NhatkyNhap!#REF!,"AAAAAHv//gw=")</f>
        <v>#REF!</v>
      </c>
      <c r="N134" t="e">
        <f>AND(NhatkyNhap!#REF!,"AAAAAHv//g0=")</f>
        <v>#REF!</v>
      </c>
      <c r="O134" t="e">
        <f>AND(NhatkyNhap!#REF!,"AAAAAHv//g4=")</f>
        <v>#REF!</v>
      </c>
      <c r="P134" t="e">
        <f>AND(NhatkyNhap!#REF!,"AAAAAHv//g8=")</f>
        <v>#REF!</v>
      </c>
      <c r="Q134" t="e">
        <f>AND(NhatkyNhap!#REF!,"AAAAAHv//hA=")</f>
        <v>#REF!</v>
      </c>
      <c r="R134" t="e">
        <f>AND(NhatkyNhap!#REF!,"AAAAAHv//hE=")</f>
        <v>#REF!</v>
      </c>
      <c r="S134" t="e">
        <f>AND(NhatkyNhap!#REF!,"AAAAAHv//hI=")</f>
        <v>#REF!</v>
      </c>
      <c r="T134" t="e">
        <f>AND(NhatkyNhap!#REF!,"AAAAAHv//hM=")</f>
        <v>#REF!</v>
      </c>
      <c r="U134" t="e">
        <f>AND(NhatkyNhap!#REF!,"AAAAAHv//hQ=")</f>
        <v>#REF!</v>
      </c>
      <c r="V134" t="e">
        <f>AND(NhatkyNhap!#REF!,"AAAAAHv//hU=")</f>
        <v>#REF!</v>
      </c>
      <c r="W134" t="e">
        <f>IF(NhatkyNhap!#REF!,"AAAAAHv//hY=",0)</f>
        <v>#REF!</v>
      </c>
      <c r="X134" t="e">
        <f>AND(NhatkyNhap!#REF!,"AAAAAHv//hc=")</f>
        <v>#REF!</v>
      </c>
      <c r="Y134" t="e">
        <f>AND(NhatkyNhap!#REF!,"AAAAAHv//hg=")</f>
        <v>#REF!</v>
      </c>
      <c r="Z134" t="e">
        <f>AND(NhatkyNhap!#REF!,"AAAAAHv//hk=")</f>
        <v>#REF!</v>
      </c>
      <c r="AA134" t="e">
        <f>AND(NhatkyNhap!#REF!,"AAAAAHv//ho=")</f>
        <v>#REF!</v>
      </c>
      <c r="AB134" t="e">
        <f>AND(NhatkyNhap!#REF!,"AAAAAHv//hs=")</f>
        <v>#REF!</v>
      </c>
      <c r="AC134" t="e">
        <f>AND(NhatkyNhap!#REF!,"AAAAAHv//hw=")</f>
        <v>#REF!</v>
      </c>
      <c r="AD134" t="e">
        <f>AND(NhatkyNhap!#REF!,"AAAAAHv//h0=")</f>
        <v>#REF!</v>
      </c>
      <c r="AE134" t="e">
        <f>AND(NhatkyNhap!#REF!,"AAAAAHv//h4=")</f>
        <v>#REF!</v>
      </c>
      <c r="AF134" t="e">
        <f>AND(NhatkyNhap!#REF!,"AAAAAHv//h8=")</f>
        <v>#REF!</v>
      </c>
      <c r="AG134" t="e">
        <f>AND(NhatkyNhap!#REF!,"AAAAAHv//iA=")</f>
        <v>#REF!</v>
      </c>
      <c r="AH134" t="e">
        <f>AND(NhatkyNhap!#REF!,"AAAAAHv//iE=")</f>
        <v>#REF!</v>
      </c>
      <c r="AI134" t="e">
        <f>AND(NhatkyNhap!#REF!,"AAAAAHv//iI=")</f>
        <v>#REF!</v>
      </c>
      <c r="AJ134" t="e">
        <f>AND(NhatkyNhap!#REF!,"AAAAAHv//iM=")</f>
        <v>#REF!</v>
      </c>
      <c r="AK134" t="e">
        <f>AND(NhatkyNhap!#REF!,"AAAAAHv//iQ=")</f>
        <v>#REF!</v>
      </c>
      <c r="AL134" t="e">
        <f>AND(NhatkyNhap!#REF!,"AAAAAHv//iU=")</f>
        <v>#REF!</v>
      </c>
      <c r="AM134" t="e">
        <f>AND(NhatkyNhap!#REF!,"AAAAAHv//iY=")</f>
        <v>#REF!</v>
      </c>
      <c r="AN134" t="e">
        <f>AND(NhatkyNhap!#REF!,"AAAAAHv//ic=")</f>
        <v>#REF!</v>
      </c>
      <c r="AO134" t="e">
        <f>AND(NhatkyNhap!#REF!,"AAAAAHv//ig=")</f>
        <v>#REF!</v>
      </c>
      <c r="AP134" t="e">
        <f>AND(NhatkyNhap!#REF!,"AAAAAHv//ik=")</f>
        <v>#REF!</v>
      </c>
      <c r="AQ134" t="e">
        <f>AND(NhatkyNhap!#REF!,"AAAAAHv//io=")</f>
        <v>#REF!</v>
      </c>
      <c r="AR134" t="e">
        <f>AND(NhatkyNhap!#REF!,"AAAAAHv//is=")</f>
        <v>#REF!</v>
      </c>
      <c r="AS134" t="e">
        <f>AND(NhatkyNhap!#REF!,"AAAAAHv//iw=")</f>
        <v>#REF!</v>
      </c>
      <c r="AT134" t="e">
        <f>AND(NhatkyNhap!#REF!,"AAAAAHv//i0=")</f>
        <v>#REF!</v>
      </c>
      <c r="AU134" t="e">
        <f>AND(NhatkyNhap!#REF!,"AAAAAHv//i4=")</f>
        <v>#REF!</v>
      </c>
      <c r="AV134" t="e">
        <f>AND(NhatkyNhap!#REF!,"AAAAAHv//i8=")</f>
        <v>#REF!</v>
      </c>
      <c r="AW134" t="e">
        <f>AND(NhatkyNhap!#REF!,"AAAAAHv//jA=")</f>
        <v>#REF!</v>
      </c>
      <c r="AX134" t="e">
        <f>AND(NhatkyNhap!#REF!,"AAAAAHv//jE=")</f>
        <v>#REF!</v>
      </c>
      <c r="AY134" t="e">
        <f>AND(NhatkyNhap!#REF!,"AAAAAHv//jI=")</f>
        <v>#REF!</v>
      </c>
      <c r="AZ134" t="e">
        <f>AND(NhatkyNhap!#REF!,"AAAAAHv//jM=")</f>
        <v>#REF!</v>
      </c>
      <c r="BA134" t="e">
        <f>AND(NhatkyNhap!#REF!,"AAAAAHv//jQ=")</f>
        <v>#REF!</v>
      </c>
      <c r="BB134" t="e">
        <f>AND(NhatkyNhap!#REF!,"AAAAAHv//jU=")</f>
        <v>#REF!</v>
      </c>
      <c r="BC134" t="e">
        <f>AND(NhatkyNhap!#REF!,"AAAAAHv//jY=")</f>
        <v>#REF!</v>
      </c>
      <c r="BD134" t="e">
        <f>AND(NhatkyNhap!#REF!,"AAAAAHv//jc=")</f>
        <v>#REF!</v>
      </c>
      <c r="BE134" t="e">
        <f>AND(NhatkyNhap!#REF!,"AAAAAHv//jg=")</f>
        <v>#REF!</v>
      </c>
      <c r="BF134" t="e">
        <f>IF(NhatkyNhap!#REF!,"AAAAAHv//jk=",0)</f>
        <v>#REF!</v>
      </c>
      <c r="BG134" t="e">
        <f>AND(NhatkyNhap!#REF!,"AAAAAHv//jo=")</f>
        <v>#REF!</v>
      </c>
      <c r="BH134" t="e">
        <f>AND(NhatkyNhap!#REF!,"AAAAAHv//js=")</f>
        <v>#REF!</v>
      </c>
      <c r="BI134" t="e">
        <f>AND(NhatkyNhap!#REF!,"AAAAAHv//jw=")</f>
        <v>#REF!</v>
      </c>
      <c r="BJ134" t="e">
        <f>AND(NhatkyNhap!#REF!,"AAAAAHv//j0=")</f>
        <v>#REF!</v>
      </c>
      <c r="BK134" t="e">
        <f>AND(NhatkyNhap!#REF!,"AAAAAHv//j4=")</f>
        <v>#REF!</v>
      </c>
      <c r="BL134" t="e">
        <f>AND(NhatkyNhap!#REF!,"AAAAAHv//j8=")</f>
        <v>#REF!</v>
      </c>
      <c r="BM134" t="e">
        <f>AND(NhatkyNhap!#REF!,"AAAAAHv//kA=")</f>
        <v>#REF!</v>
      </c>
      <c r="BN134" t="e">
        <f>AND(NhatkyNhap!#REF!,"AAAAAHv//kE=")</f>
        <v>#REF!</v>
      </c>
      <c r="BO134" t="e">
        <f>AND(NhatkyNhap!#REF!,"AAAAAHv//kI=")</f>
        <v>#REF!</v>
      </c>
      <c r="BP134" t="e">
        <f>AND(NhatkyNhap!#REF!,"AAAAAHv//kM=")</f>
        <v>#REF!</v>
      </c>
      <c r="BQ134" t="e">
        <f>AND(NhatkyNhap!#REF!,"AAAAAHv//kQ=")</f>
        <v>#REF!</v>
      </c>
      <c r="BR134" t="e">
        <f>AND(NhatkyNhap!#REF!,"AAAAAHv//kU=")</f>
        <v>#REF!</v>
      </c>
      <c r="BS134" t="e">
        <f>AND(NhatkyNhap!#REF!,"AAAAAHv//kY=")</f>
        <v>#REF!</v>
      </c>
      <c r="BT134" t="e">
        <f>AND(NhatkyNhap!#REF!,"AAAAAHv//kc=")</f>
        <v>#REF!</v>
      </c>
      <c r="BU134" t="e">
        <f>AND(NhatkyNhap!#REF!,"AAAAAHv//kg=")</f>
        <v>#REF!</v>
      </c>
      <c r="BV134" t="e">
        <f>AND(NhatkyNhap!#REF!,"AAAAAHv//kk=")</f>
        <v>#REF!</v>
      </c>
      <c r="BW134" t="e">
        <f>AND(NhatkyNhap!#REF!,"AAAAAHv//ko=")</f>
        <v>#REF!</v>
      </c>
      <c r="BX134" t="e">
        <f>AND(NhatkyNhap!#REF!,"AAAAAHv//ks=")</f>
        <v>#REF!</v>
      </c>
      <c r="BY134" t="e">
        <f>AND(NhatkyNhap!#REF!,"AAAAAHv//kw=")</f>
        <v>#REF!</v>
      </c>
      <c r="BZ134" t="e">
        <f>AND(NhatkyNhap!#REF!,"AAAAAHv//k0=")</f>
        <v>#REF!</v>
      </c>
      <c r="CA134" t="e">
        <f>AND(NhatkyNhap!#REF!,"AAAAAHv//k4=")</f>
        <v>#REF!</v>
      </c>
      <c r="CB134" t="e">
        <f>AND(NhatkyNhap!#REF!,"AAAAAHv//k8=")</f>
        <v>#REF!</v>
      </c>
      <c r="CC134" t="e">
        <f>AND(NhatkyNhap!#REF!,"AAAAAHv//lA=")</f>
        <v>#REF!</v>
      </c>
      <c r="CD134" t="e">
        <f>AND(NhatkyNhap!#REF!,"AAAAAHv//lE=")</f>
        <v>#REF!</v>
      </c>
      <c r="CE134" t="e">
        <f>AND(NhatkyNhap!#REF!,"AAAAAHv//lI=")</f>
        <v>#REF!</v>
      </c>
      <c r="CF134" t="e">
        <f>AND(NhatkyNhap!#REF!,"AAAAAHv//lM=")</f>
        <v>#REF!</v>
      </c>
      <c r="CG134" t="e">
        <f>AND(NhatkyNhap!#REF!,"AAAAAHv//lQ=")</f>
        <v>#REF!</v>
      </c>
      <c r="CH134" t="e">
        <f>AND(NhatkyNhap!#REF!,"AAAAAHv//lU=")</f>
        <v>#REF!</v>
      </c>
      <c r="CI134" t="e">
        <f>AND(NhatkyNhap!#REF!,"AAAAAHv//lY=")</f>
        <v>#REF!</v>
      </c>
      <c r="CJ134" t="e">
        <f>AND(NhatkyNhap!#REF!,"AAAAAHv//lc=")</f>
        <v>#REF!</v>
      </c>
      <c r="CK134" t="e">
        <f>AND(NhatkyNhap!#REF!,"AAAAAHv//lg=")</f>
        <v>#REF!</v>
      </c>
      <c r="CL134" t="e">
        <f>AND(NhatkyNhap!#REF!,"AAAAAHv//lk=")</f>
        <v>#REF!</v>
      </c>
      <c r="CM134" t="e">
        <f>AND(NhatkyNhap!#REF!,"AAAAAHv//lo=")</f>
        <v>#REF!</v>
      </c>
      <c r="CN134" t="e">
        <f>AND(NhatkyNhap!#REF!,"AAAAAHv//ls=")</f>
        <v>#REF!</v>
      </c>
      <c r="CO134" t="e">
        <f>IF(NhatkyNhap!#REF!,"AAAAAHv//lw=",0)</f>
        <v>#REF!</v>
      </c>
      <c r="CP134" t="e">
        <f>AND(NhatkyNhap!#REF!,"AAAAAHv//l0=")</f>
        <v>#REF!</v>
      </c>
      <c r="CQ134" t="e">
        <f>AND(NhatkyNhap!#REF!,"AAAAAHv//l4=")</f>
        <v>#REF!</v>
      </c>
      <c r="CR134" t="e">
        <f>AND(NhatkyNhap!#REF!,"AAAAAHv//l8=")</f>
        <v>#REF!</v>
      </c>
      <c r="CS134" t="e">
        <f>AND(NhatkyNhap!#REF!,"AAAAAHv//mA=")</f>
        <v>#REF!</v>
      </c>
      <c r="CT134" t="e">
        <f>AND(NhatkyNhap!#REF!,"AAAAAHv//mE=")</f>
        <v>#REF!</v>
      </c>
      <c r="CU134" t="e">
        <f>AND(NhatkyNhap!#REF!,"AAAAAHv//mI=")</f>
        <v>#REF!</v>
      </c>
      <c r="CV134" t="e">
        <f>AND(NhatkyNhap!#REF!,"AAAAAHv//mM=")</f>
        <v>#REF!</v>
      </c>
      <c r="CW134" t="e">
        <f>AND(NhatkyNhap!#REF!,"AAAAAHv//mQ=")</f>
        <v>#REF!</v>
      </c>
      <c r="CX134" t="e">
        <f>AND(NhatkyNhap!#REF!,"AAAAAHv//mU=")</f>
        <v>#REF!</v>
      </c>
      <c r="CY134" t="e">
        <f>AND(NhatkyNhap!#REF!,"AAAAAHv//mY=")</f>
        <v>#REF!</v>
      </c>
      <c r="CZ134" t="e">
        <f>AND(NhatkyNhap!#REF!,"AAAAAHv//mc=")</f>
        <v>#REF!</v>
      </c>
      <c r="DA134" t="e">
        <f>AND(NhatkyNhap!#REF!,"AAAAAHv//mg=")</f>
        <v>#REF!</v>
      </c>
      <c r="DB134" t="e">
        <f>AND(NhatkyNhap!#REF!,"AAAAAHv//mk=")</f>
        <v>#REF!</v>
      </c>
      <c r="DC134" t="e">
        <f>AND(NhatkyNhap!#REF!,"AAAAAHv//mo=")</f>
        <v>#REF!</v>
      </c>
      <c r="DD134" t="e">
        <f>AND(NhatkyNhap!#REF!,"AAAAAHv//ms=")</f>
        <v>#REF!</v>
      </c>
      <c r="DE134" t="e">
        <f>AND(NhatkyNhap!#REF!,"AAAAAHv//mw=")</f>
        <v>#REF!</v>
      </c>
      <c r="DF134" t="e">
        <f>AND(NhatkyNhap!#REF!,"AAAAAHv//m0=")</f>
        <v>#REF!</v>
      </c>
      <c r="DG134" t="e">
        <f>AND(NhatkyNhap!#REF!,"AAAAAHv//m4=")</f>
        <v>#REF!</v>
      </c>
      <c r="DH134" t="e">
        <f>AND(NhatkyNhap!#REF!,"AAAAAHv//m8=")</f>
        <v>#REF!</v>
      </c>
      <c r="DI134" t="e">
        <f>AND(NhatkyNhap!#REF!,"AAAAAHv//nA=")</f>
        <v>#REF!</v>
      </c>
      <c r="DJ134" t="e">
        <f>AND(NhatkyNhap!#REF!,"AAAAAHv//nE=")</f>
        <v>#REF!</v>
      </c>
      <c r="DK134" t="e">
        <f>AND(NhatkyNhap!#REF!,"AAAAAHv//nI=")</f>
        <v>#REF!</v>
      </c>
      <c r="DL134" t="e">
        <f>AND(NhatkyNhap!#REF!,"AAAAAHv//nM=")</f>
        <v>#REF!</v>
      </c>
      <c r="DM134" t="e">
        <f>AND(NhatkyNhap!#REF!,"AAAAAHv//nQ=")</f>
        <v>#REF!</v>
      </c>
      <c r="DN134" t="e">
        <f>AND(NhatkyNhap!#REF!,"AAAAAHv//nU=")</f>
        <v>#REF!</v>
      </c>
      <c r="DO134" t="e">
        <f>AND(NhatkyNhap!#REF!,"AAAAAHv//nY=")</f>
        <v>#REF!</v>
      </c>
      <c r="DP134" t="e">
        <f>AND(NhatkyNhap!#REF!,"AAAAAHv//nc=")</f>
        <v>#REF!</v>
      </c>
      <c r="DQ134" t="e">
        <f>AND(NhatkyNhap!#REF!,"AAAAAHv//ng=")</f>
        <v>#REF!</v>
      </c>
      <c r="DR134" t="e">
        <f>AND(NhatkyNhap!#REF!,"AAAAAHv//nk=")</f>
        <v>#REF!</v>
      </c>
      <c r="DS134" t="e">
        <f>AND(NhatkyNhap!#REF!,"AAAAAHv//no=")</f>
        <v>#REF!</v>
      </c>
      <c r="DT134" t="e">
        <f>AND(NhatkyNhap!#REF!,"AAAAAHv//ns=")</f>
        <v>#REF!</v>
      </c>
      <c r="DU134" t="e">
        <f>AND(NhatkyNhap!#REF!,"AAAAAHv//nw=")</f>
        <v>#REF!</v>
      </c>
      <c r="DV134" t="e">
        <f>AND(NhatkyNhap!#REF!,"AAAAAHv//n0=")</f>
        <v>#REF!</v>
      </c>
      <c r="DW134" t="e">
        <f>AND(NhatkyNhap!#REF!,"AAAAAHv//n4=")</f>
        <v>#REF!</v>
      </c>
      <c r="DX134" t="e">
        <f>IF(NhatkyNhap!#REF!,"AAAAAHv//n8=",0)</f>
        <v>#REF!</v>
      </c>
      <c r="DY134" t="e">
        <f>AND(NhatkyNhap!#REF!,"AAAAAHv//oA=")</f>
        <v>#REF!</v>
      </c>
      <c r="DZ134" t="e">
        <f>AND(NhatkyNhap!#REF!,"AAAAAHv//oE=")</f>
        <v>#REF!</v>
      </c>
      <c r="EA134" t="e">
        <f>AND(NhatkyNhap!#REF!,"AAAAAHv//oI=")</f>
        <v>#REF!</v>
      </c>
      <c r="EB134" t="e">
        <f>AND(NhatkyNhap!#REF!,"AAAAAHv//oM=")</f>
        <v>#REF!</v>
      </c>
      <c r="EC134" t="e">
        <f>AND(NhatkyNhap!#REF!,"AAAAAHv//oQ=")</f>
        <v>#REF!</v>
      </c>
      <c r="ED134" t="e">
        <f>AND(NhatkyNhap!#REF!,"AAAAAHv//oU=")</f>
        <v>#REF!</v>
      </c>
      <c r="EE134" t="e">
        <f>AND(NhatkyNhap!#REF!,"AAAAAHv//oY=")</f>
        <v>#REF!</v>
      </c>
      <c r="EF134" t="e">
        <f>AND(NhatkyNhap!#REF!,"AAAAAHv//oc=")</f>
        <v>#REF!</v>
      </c>
      <c r="EG134" t="e">
        <f>AND(NhatkyNhap!#REF!,"AAAAAHv//og=")</f>
        <v>#REF!</v>
      </c>
      <c r="EH134" t="e">
        <f>AND(NhatkyNhap!#REF!,"AAAAAHv//ok=")</f>
        <v>#REF!</v>
      </c>
      <c r="EI134" t="e">
        <f>AND(NhatkyNhap!#REF!,"AAAAAHv//oo=")</f>
        <v>#REF!</v>
      </c>
      <c r="EJ134" t="e">
        <f>AND(NhatkyNhap!#REF!,"AAAAAHv//os=")</f>
        <v>#REF!</v>
      </c>
      <c r="EK134" t="e">
        <f>AND(NhatkyNhap!#REF!,"AAAAAHv//ow=")</f>
        <v>#REF!</v>
      </c>
      <c r="EL134" t="e">
        <f>AND(NhatkyNhap!#REF!,"AAAAAHv//o0=")</f>
        <v>#REF!</v>
      </c>
      <c r="EM134" t="e">
        <f>AND(NhatkyNhap!#REF!,"AAAAAHv//o4=")</f>
        <v>#REF!</v>
      </c>
      <c r="EN134" t="e">
        <f>AND(NhatkyNhap!#REF!,"AAAAAHv//o8=")</f>
        <v>#REF!</v>
      </c>
      <c r="EO134" t="e">
        <f>AND(NhatkyNhap!#REF!,"AAAAAHv//pA=")</f>
        <v>#REF!</v>
      </c>
      <c r="EP134" t="e">
        <f>AND(NhatkyNhap!#REF!,"AAAAAHv//pE=")</f>
        <v>#REF!</v>
      </c>
      <c r="EQ134" t="e">
        <f>AND(NhatkyNhap!#REF!,"AAAAAHv//pI=")</f>
        <v>#REF!</v>
      </c>
      <c r="ER134" t="e">
        <f>AND(NhatkyNhap!#REF!,"AAAAAHv//pM=")</f>
        <v>#REF!</v>
      </c>
      <c r="ES134" t="e">
        <f>AND(NhatkyNhap!#REF!,"AAAAAHv//pQ=")</f>
        <v>#REF!</v>
      </c>
      <c r="ET134" t="e">
        <f>AND(NhatkyNhap!#REF!,"AAAAAHv//pU=")</f>
        <v>#REF!</v>
      </c>
      <c r="EU134" t="e">
        <f>AND(NhatkyNhap!#REF!,"AAAAAHv//pY=")</f>
        <v>#REF!</v>
      </c>
      <c r="EV134" t="e">
        <f>AND(NhatkyNhap!#REF!,"AAAAAHv//pc=")</f>
        <v>#REF!</v>
      </c>
      <c r="EW134" t="e">
        <f>AND(NhatkyNhap!#REF!,"AAAAAHv//pg=")</f>
        <v>#REF!</v>
      </c>
      <c r="EX134" t="e">
        <f>AND(NhatkyNhap!#REF!,"AAAAAHv//pk=")</f>
        <v>#REF!</v>
      </c>
      <c r="EY134" t="e">
        <f>AND(NhatkyNhap!#REF!,"AAAAAHv//po=")</f>
        <v>#REF!</v>
      </c>
      <c r="EZ134" t="e">
        <f>AND(NhatkyNhap!#REF!,"AAAAAHv//ps=")</f>
        <v>#REF!</v>
      </c>
      <c r="FA134" t="e">
        <f>AND(NhatkyNhap!#REF!,"AAAAAHv//pw=")</f>
        <v>#REF!</v>
      </c>
      <c r="FB134" t="e">
        <f>AND(NhatkyNhap!#REF!,"AAAAAHv//p0=")</f>
        <v>#REF!</v>
      </c>
      <c r="FC134" t="e">
        <f>AND(NhatkyNhap!#REF!,"AAAAAHv//p4=")</f>
        <v>#REF!</v>
      </c>
      <c r="FD134" t="e">
        <f>AND(NhatkyNhap!#REF!,"AAAAAHv//p8=")</f>
        <v>#REF!</v>
      </c>
      <c r="FE134" t="e">
        <f>AND(NhatkyNhap!#REF!,"AAAAAHv//qA=")</f>
        <v>#REF!</v>
      </c>
      <c r="FF134" t="e">
        <f>AND(NhatkyNhap!#REF!,"AAAAAHv//qE=")</f>
        <v>#REF!</v>
      </c>
      <c r="FG134" t="e">
        <f>IF(NhatkyNhap!#REF!,"AAAAAHv//qI=",0)</f>
        <v>#REF!</v>
      </c>
      <c r="FH134" t="e">
        <f>AND(NhatkyNhap!#REF!,"AAAAAHv//qM=")</f>
        <v>#REF!</v>
      </c>
      <c r="FI134" t="e">
        <f>AND(NhatkyNhap!#REF!,"AAAAAHv//qQ=")</f>
        <v>#REF!</v>
      </c>
      <c r="FJ134" t="e">
        <f>AND(NhatkyNhap!#REF!,"AAAAAHv//qU=")</f>
        <v>#REF!</v>
      </c>
      <c r="FK134" t="e">
        <f>AND(NhatkyNhap!#REF!,"AAAAAHv//qY=")</f>
        <v>#REF!</v>
      </c>
      <c r="FL134" t="e">
        <f>AND(NhatkyNhap!#REF!,"AAAAAHv//qc=")</f>
        <v>#REF!</v>
      </c>
      <c r="FM134" t="e">
        <f>AND(NhatkyNhap!#REF!,"AAAAAHv//qg=")</f>
        <v>#REF!</v>
      </c>
      <c r="FN134" t="e">
        <f>AND(NhatkyNhap!#REF!,"AAAAAHv//qk=")</f>
        <v>#REF!</v>
      </c>
      <c r="FO134" t="e">
        <f>AND(NhatkyNhap!#REF!,"AAAAAHv//qo=")</f>
        <v>#REF!</v>
      </c>
      <c r="FP134" t="e">
        <f>AND(NhatkyNhap!#REF!,"AAAAAHv//qs=")</f>
        <v>#REF!</v>
      </c>
      <c r="FQ134" t="e">
        <f>AND(NhatkyNhap!#REF!,"AAAAAHv//qw=")</f>
        <v>#REF!</v>
      </c>
      <c r="FR134" t="e">
        <f>AND(NhatkyNhap!#REF!,"AAAAAHv//q0=")</f>
        <v>#REF!</v>
      </c>
      <c r="FS134" t="e">
        <f>AND(NhatkyNhap!#REF!,"AAAAAHv//q4=")</f>
        <v>#REF!</v>
      </c>
      <c r="FT134" t="e">
        <f>AND(NhatkyNhap!#REF!,"AAAAAHv//q8=")</f>
        <v>#REF!</v>
      </c>
      <c r="FU134" t="e">
        <f>AND(NhatkyNhap!#REF!,"AAAAAHv//rA=")</f>
        <v>#REF!</v>
      </c>
      <c r="FV134" t="e">
        <f>AND(NhatkyNhap!#REF!,"AAAAAHv//rE=")</f>
        <v>#REF!</v>
      </c>
      <c r="FW134" t="e">
        <f>AND(NhatkyNhap!#REF!,"AAAAAHv//rI=")</f>
        <v>#REF!</v>
      </c>
      <c r="FX134" t="e">
        <f>AND(NhatkyNhap!#REF!,"AAAAAHv//rM=")</f>
        <v>#REF!</v>
      </c>
      <c r="FY134" t="e">
        <f>AND(NhatkyNhap!#REF!,"AAAAAHv//rQ=")</f>
        <v>#REF!</v>
      </c>
      <c r="FZ134" t="e">
        <f>AND(NhatkyNhap!#REF!,"AAAAAHv//rU=")</f>
        <v>#REF!</v>
      </c>
      <c r="GA134" t="e">
        <f>AND(NhatkyNhap!#REF!,"AAAAAHv//rY=")</f>
        <v>#REF!</v>
      </c>
      <c r="GB134" t="e">
        <f>AND(NhatkyNhap!#REF!,"AAAAAHv//rc=")</f>
        <v>#REF!</v>
      </c>
      <c r="GC134" t="e">
        <f>AND(NhatkyNhap!#REF!,"AAAAAHv//rg=")</f>
        <v>#REF!</v>
      </c>
      <c r="GD134" t="e">
        <f>AND(NhatkyNhap!#REF!,"AAAAAHv//rk=")</f>
        <v>#REF!</v>
      </c>
      <c r="GE134" t="e">
        <f>AND(NhatkyNhap!#REF!,"AAAAAHv//ro=")</f>
        <v>#REF!</v>
      </c>
      <c r="GF134" t="e">
        <f>AND(NhatkyNhap!#REF!,"AAAAAHv//rs=")</f>
        <v>#REF!</v>
      </c>
      <c r="GG134" t="e">
        <f>AND(NhatkyNhap!#REF!,"AAAAAHv//rw=")</f>
        <v>#REF!</v>
      </c>
      <c r="GH134" t="e">
        <f>AND(NhatkyNhap!#REF!,"AAAAAHv//r0=")</f>
        <v>#REF!</v>
      </c>
      <c r="GI134" t="e">
        <f>AND(NhatkyNhap!#REF!,"AAAAAHv//r4=")</f>
        <v>#REF!</v>
      </c>
      <c r="GJ134" t="e">
        <f>AND(NhatkyNhap!#REF!,"AAAAAHv//r8=")</f>
        <v>#REF!</v>
      </c>
      <c r="GK134" t="e">
        <f>AND(NhatkyNhap!#REF!,"AAAAAHv//sA=")</f>
        <v>#REF!</v>
      </c>
      <c r="GL134" t="e">
        <f>AND(NhatkyNhap!#REF!,"AAAAAHv//sE=")</f>
        <v>#REF!</v>
      </c>
      <c r="GM134" t="e">
        <f>AND(NhatkyNhap!#REF!,"AAAAAHv//sI=")</f>
        <v>#REF!</v>
      </c>
      <c r="GN134" t="e">
        <f>AND(NhatkyNhap!#REF!,"AAAAAHv//sM=")</f>
        <v>#REF!</v>
      </c>
      <c r="GO134" t="e">
        <f>AND(NhatkyNhap!#REF!,"AAAAAHv//sQ=")</f>
        <v>#REF!</v>
      </c>
      <c r="GP134" t="e">
        <f>IF(NhatkyNhap!#REF!,"AAAAAHv//sU=",0)</f>
        <v>#REF!</v>
      </c>
      <c r="GQ134" t="e">
        <f>AND(NhatkyNhap!#REF!,"AAAAAHv//sY=")</f>
        <v>#REF!</v>
      </c>
      <c r="GR134" t="e">
        <f>AND(NhatkyNhap!#REF!,"AAAAAHv//sc=")</f>
        <v>#REF!</v>
      </c>
      <c r="GS134" t="e">
        <f>AND(NhatkyNhap!#REF!,"AAAAAHv//sg=")</f>
        <v>#REF!</v>
      </c>
      <c r="GT134" t="e">
        <f>AND(NhatkyNhap!#REF!,"AAAAAHv//sk=")</f>
        <v>#REF!</v>
      </c>
      <c r="GU134" t="e">
        <f>AND(NhatkyNhap!#REF!,"AAAAAHv//so=")</f>
        <v>#REF!</v>
      </c>
      <c r="GV134" t="e">
        <f>AND(NhatkyNhap!#REF!,"AAAAAHv//ss=")</f>
        <v>#REF!</v>
      </c>
      <c r="GW134" t="e">
        <f>AND(NhatkyNhap!#REF!,"AAAAAHv//sw=")</f>
        <v>#REF!</v>
      </c>
      <c r="GX134" t="e">
        <f>AND(NhatkyNhap!#REF!,"AAAAAHv//s0=")</f>
        <v>#REF!</v>
      </c>
      <c r="GY134" t="e">
        <f>AND(NhatkyNhap!#REF!,"AAAAAHv//s4=")</f>
        <v>#REF!</v>
      </c>
      <c r="GZ134" t="e">
        <f>AND(NhatkyNhap!#REF!,"AAAAAHv//s8=")</f>
        <v>#REF!</v>
      </c>
      <c r="HA134" t="e">
        <f>AND(NhatkyNhap!#REF!,"AAAAAHv//tA=")</f>
        <v>#REF!</v>
      </c>
      <c r="HB134" t="e">
        <f>AND(NhatkyNhap!#REF!,"AAAAAHv//tE=")</f>
        <v>#REF!</v>
      </c>
      <c r="HC134" t="e">
        <f>AND(NhatkyNhap!#REF!,"AAAAAHv//tI=")</f>
        <v>#REF!</v>
      </c>
      <c r="HD134" t="e">
        <f>AND(NhatkyNhap!#REF!,"AAAAAHv//tM=")</f>
        <v>#REF!</v>
      </c>
      <c r="HE134" t="e">
        <f>AND(NhatkyNhap!#REF!,"AAAAAHv//tQ=")</f>
        <v>#REF!</v>
      </c>
      <c r="HF134" t="e">
        <f>AND(NhatkyNhap!#REF!,"AAAAAHv//tU=")</f>
        <v>#REF!</v>
      </c>
      <c r="HG134" t="e">
        <f>AND(NhatkyNhap!#REF!,"AAAAAHv//tY=")</f>
        <v>#REF!</v>
      </c>
      <c r="HH134" t="e">
        <f>AND(NhatkyNhap!#REF!,"AAAAAHv//tc=")</f>
        <v>#REF!</v>
      </c>
      <c r="HI134" t="e">
        <f>AND(NhatkyNhap!#REF!,"AAAAAHv//tg=")</f>
        <v>#REF!</v>
      </c>
      <c r="HJ134" t="e">
        <f>AND(NhatkyNhap!#REF!,"AAAAAHv//tk=")</f>
        <v>#REF!</v>
      </c>
      <c r="HK134" t="e">
        <f>AND(NhatkyNhap!#REF!,"AAAAAHv//to=")</f>
        <v>#REF!</v>
      </c>
      <c r="HL134" t="e">
        <f>AND(NhatkyNhap!#REF!,"AAAAAHv//ts=")</f>
        <v>#REF!</v>
      </c>
      <c r="HM134" t="e">
        <f>AND(NhatkyNhap!#REF!,"AAAAAHv//tw=")</f>
        <v>#REF!</v>
      </c>
      <c r="HN134" t="e">
        <f>AND(NhatkyNhap!#REF!,"AAAAAHv//t0=")</f>
        <v>#REF!</v>
      </c>
      <c r="HO134" t="e">
        <f>AND(NhatkyNhap!#REF!,"AAAAAHv//t4=")</f>
        <v>#REF!</v>
      </c>
      <c r="HP134" t="e">
        <f>AND(NhatkyNhap!#REF!,"AAAAAHv//t8=")</f>
        <v>#REF!</v>
      </c>
      <c r="HQ134" t="e">
        <f>AND(NhatkyNhap!#REF!,"AAAAAHv//uA=")</f>
        <v>#REF!</v>
      </c>
      <c r="HR134" t="e">
        <f>AND(NhatkyNhap!#REF!,"AAAAAHv//uE=")</f>
        <v>#REF!</v>
      </c>
      <c r="HS134" t="e">
        <f>AND(NhatkyNhap!#REF!,"AAAAAHv//uI=")</f>
        <v>#REF!</v>
      </c>
      <c r="HT134" t="e">
        <f>AND(NhatkyNhap!#REF!,"AAAAAHv//uM=")</f>
        <v>#REF!</v>
      </c>
      <c r="HU134" t="e">
        <f>AND(NhatkyNhap!#REF!,"AAAAAHv//uQ=")</f>
        <v>#REF!</v>
      </c>
      <c r="HV134" t="e">
        <f>AND(NhatkyNhap!#REF!,"AAAAAHv//uU=")</f>
        <v>#REF!</v>
      </c>
      <c r="HW134" t="e">
        <f>AND(NhatkyNhap!#REF!,"AAAAAHv//uY=")</f>
        <v>#REF!</v>
      </c>
      <c r="HX134" t="e">
        <f>AND(NhatkyNhap!#REF!,"AAAAAHv//uc=")</f>
        <v>#REF!</v>
      </c>
      <c r="HY134" t="e">
        <f>IF(NhatkyNhap!#REF!,"AAAAAHv//ug=",0)</f>
        <v>#REF!</v>
      </c>
      <c r="HZ134" t="e">
        <f>AND(NhatkyNhap!#REF!,"AAAAAHv//uk=")</f>
        <v>#REF!</v>
      </c>
      <c r="IA134" t="e">
        <f>AND(NhatkyNhap!#REF!,"AAAAAHv//uo=")</f>
        <v>#REF!</v>
      </c>
      <c r="IB134" t="e">
        <f>AND(NhatkyNhap!#REF!,"AAAAAHv//us=")</f>
        <v>#REF!</v>
      </c>
      <c r="IC134" t="e">
        <f>AND(NhatkyNhap!#REF!,"AAAAAHv//uw=")</f>
        <v>#REF!</v>
      </c>
      <c r="ID134" t="e">
        <f>AND(NhatkyNhap!#REF!,"AAAAAHv//u0=")</f>
        <v>#REF!</v>
      </c>
      <c r="IE134" t="e">
        <f>AND(NhatkyNhap!#REF!,"AAAAAHv//u4=")</f>
        <v>#REF!</v>
      </c>
      <c r="IF134" t="e">
        <f>AND(NhatkyNhap!#REF!,"AAAAAHv//u8=")</f>
        <v>#REF!</v>
      </c>
      <c r="IG134" t="e">
        <f>AND(NhatkyNhap!#REF!,"AAAAAHv//vA=")</f>
        <v>#REF!</v>
      </c>
      <c r="IH134" t="e">
        <f>AND(NhatkyNhap!#REF!,"AAAAAHv//vE=")</f>
        <v>#REF!</v>
      </c>
      <c r="II134" t="e">
        <f>AND(NhatkyNhap!#REF!,"AAAAAHv//vI=")</f>
        <v>#REF!</v>
      </c>
      <c r="IJ134" t="e">
        <f>AND(NhatkyNhap!#REF!,"AAAAAHv//vM=")</f>
        <v>#REF!</v>
      </c>
      <c r="IK134" t="e">
        <f>AND(NhatkyNhap!#REF!,"AAAAAHv//vQ=")</f>
        <v>#REF!</v>
      </c>
      <c r="IL134" t="e">
        <f>AND(NhatkyNhap!#REF!,"AAAAAHv//vU=")</f>
        <v>#REF!</v>
      </c>
      <c r="IM134" t="e">
        <f>AND(NhatkyNhap!#REF!,"AAAAAHv//vY=")</f>
        <v>#REF!</v>
      </c>
      <c r="IN134" t="e">
        <f>AND(NhatkyNhap!#REF!,"AAAAAHv//vc=")</f>
        <v>#REF!</v>
      </c>
      <c r="IO134" t="e">
        <f>AND(NhatkyNhap!#REF!,"AAAAAHv//vg=")</f>
        <v>#REF!</v>
      </c>
      <c r="IP134" t="e">
        <f>AND(NhatkyNhap!#REF!,"AAAAAHv//vk=")</f>
        <v>#REF!</v>
      </c>
      <c r="IQ134" t="e">
        <f>AND(NhatkyNhap!#REF!,"AAAAAHv//vo=")</f>
        <v>#REF!</v>
      </c>
      <c r="IR134" t="e">
        <f>AND(NhatkyNhap!#REF!,"AAAAAHv//vs=")</f>
        <v>#REF!</v>
      </c>
      <c r="IS134" t="e">
        <f>AND(NhatkyNhap!#REF!,"AAAAAHv//vw=")</f>
        <v>#REF!</v>
      </c>
      <c r="IT134" t="e">
        <f>AND(NhatkyNhap!#REF!,"AAAAAHv//v0=")</f>
        <v>#REF!</v>
      </c>
      <c r="IU134" t="e">
        <f>AND(NhatkyNhap!#REF!,"AAAAAHv//v4=")</f>
        <v>#REF!</v>
      </c>
      <c r="IV134" t="e">
        <f>AND(NhatkyNhap!#REF!,"AAAAAHv//v8=")</f>
        <v>#REF!</v>
      </c>
    </row>
    <row r="135" spans="1:256">
      <c r="A135" t="e">
        <f>AND(NhatkyNhap!#REF!,"AAAAAH/v/wA=")</f>
        <v>#REF!</v>
      </c>
      <c r="B135" t="e">
        <f>AND(NhatkyNhap!#REF!,"AAAAAH/v/wE=")</f>
        <v>#REF!</v>
      </c>
      <c r="C135" t="e">
        <f>AND(NhatkyNhap!#REF!,"AAAAAH/v/wI=")</f>
        <v>#REF!</v>
      </c>
      <c r="D135" t="e">
        <f>AND(NhatkyNhap!#REF!,"AAAAAH/v/wM=")</f>
        <v>#REF!</v>
      </c>
      <c r="E135" t="e">
        <f>AND(NhatkyNhap!#REF!,"AAAAAH/v/wQ=")</f>
        <v>#REF!</v>
      </c>
      <c r="F135" t="e">
        <f>AND(NhatkyNhap!#REF!,"AAAAAH/v/wU=")</f>
        <v>#REF!</v>
      </c>
      <c r="G135" t="e">
        <f>AND(NhatkyNhap!#REF!,"AAAAAH/v/wY=")</f>
        <v>#REF!</v>
      </c>
      <c r="H135" t="e">
        <f>AND(NhatkyNhap!#REF!,"AAAAAH/v/wc=")</f>
        <v>#REF!</v>
      </c>
      <c r="I135" t="e">
        <f>AND(NhatkyNhap!#REF!,"AAAAAH/v/wg=")</f>
        <v>#REF!</v>
      </c>
      <c r="J135" t="e">
        <f>AND(NhatkyNhap!#REF!,"AAAAAH/v/wk=")</f>
        <v>#REF!</v>
      </c>
      <c r="K135" t="e">
        <f>AND(NhatkyNhap!#REF!,"AAAAAH/v/wo=")</f>
        <v>#REF!</v>
      </c>
      <c r="L135" t="e">
        <f>IF(NhatkyNhap!#REF!,"AAAAAH/v/ws=",0)</f>
        <v>#REF!</v>
      </c>
      <c r="M135" t="e">
        <f>AND(NhatkyNhap!#REF!,"AAAAAH/v/ww=")</f>
        <v>#REF!</v>
      </c>
      <c r="N135" t="e">
        <f>AND(NhatkyNhap!#REF!,"AAAAAH/v/w0=")</f>
        <v>#REF!</v>
      </c>
      <c r="O135" t="e">
        <f>AND(NhatkyNhap!#REF!,"AAAAAH/v/w4=")</f>
        <v>#REF!</v>
      </c>
      <c r="P135" t="e">
        <f>AND(NhatkyNhap!#REF!,"AAAAAH/v/w8=")</f>
        <v>#REF!</v>
      </c>
      <c r="Q135" t="e">
        <f>AND(NhatkyNhap!#REF!,"AAAAAH/v/xA=")</f>
        <v>#REF!</v>
      </c>
      <c r="R135" t="e">
        <f>AND(NhatkyNhap!#REF!,"AAAAAH/v/xE=")</f>
        <v>#REF!</v>
      </c>
      <c r="S135" t="e">
        <f>AND(NhatkyNhap!#REF!,"AAAAAH/v/xI=")</f>
        <v>#REF!</v>
      </c>
      <c r="T135" t="e">
        <f>AND(NhatkyNhap!#REF!,"AAAAAH/v/xM=")</f>
        <v>#REF!</v>
      </c>
      <c r="U135" t="e">
        <f>AND(NhatkyNhap!#REF!,"AAAAAH/v/xQ=")</f>
        <v>#REF!</v>
      </c>
      <c r="V135" t="e">
        <f>AND(NhatkyNhap!#REF!,"AAAAAH/v/xU=")</f>
        <v>#REF!</v>
      </c>
      <c r="W135" t="e">
        <f>AND(NhatkyNhap!#REF!,"AAAAAH/v/xY=")</f>
        <v>#REF!</v>
      </c>
      <c r="X135" t="e">
        <f>AND(NhatkyNhap!#REF!,"AAAAAH/v/xc=")</f>
        <v>#REF!</v>
      </c>
      <c r="Y135" t="e">
        <f>AND(NhatkyNhap!#REF!,"AAAAAH/v/xg=")</f>
        <v>#REF!</v>
      </c>
      <c r="Z135" t="e">
        <f>AND(NhatkyNhap!#REF!,"AAAAAH/v/xk=")</f>
        <v>#REF!</v>
      </c>
      <c r="AA135" t="e">
        <f>AND(NhatkyNhap!#REF!,"AAAAAH/v/xo=")</f>
        <v>#REF!</v>
      </c>
      <c r="AB135" t="e">
        <f>AND(NhatkyNhap!#REF!,"AAAAAH/v/xs=")</f>
        <v>#REF!</v>
      </c>
      <c r="AC135" t="e">
        <f>AND(NhatkyNhap!#REF!,"AAAAAH/v/xw=")</f>
        <v>#REF!</v>
      </c>
      <c r="AD135" t="e">
        <f>AND(NhatkyNhap!#REF!,"AAAAAH/v/x0=")</f>
        <v>#REF!</v>
      </c>
      <c r="AE135" t="e">
        <f>AND(NhatkyNhap!#REF!,"AAAAAH/v/x4=")</f>
        <v>#REF!</v>
      </c>
      <c r="AF135" t="e">
        <f>AND(NhatkyNhap!#REF!,"AAAAAH/v/x8=")</f>
        <v>#REF!</v>
      </c>
      <c r="AG135" t="e">
        <f>AND(NhatkyNhap!#REF!,"AAAAAH/v/yA=")</f>
        <v>#REF!</v>
      </c>
      <c r="AH135" t="e">
        <f>AND(NhatkyNhap!#REF!,"AAAAAH/v/yE=")</f>
        <v>#REF!</v>
      </c>
      <c r="AI135" t="e">
        <f>AND(NhatkyNhap!#REF!,"AAAAAH/v/yI=")</f>
        <v>#REF!</v>
      </c>
      <c r="AJ135" t="e">
        <f>AND(NhatkyNhap!#REF!,"AAAAAH/v/yM=")</f>
        <v>#REF!</v>
      </c>
      <c r="AK135" t="e">
        <f>AND(NhatkyNhap!#REF!,"AAAAAH/v/yQ=")</f>
        <v>#REF!</v>
      </c>
      <c r="AL135" t="e">
        <f>AND(NhatkyNhap!#REF!,"AAAAAH/v/yU=")</f>
        <v>#REF!</v>
      </c>
      <c r="AM135" t="e">
        <f>AND(NhatkyNhap!#REF!,"AAAAAH/v/yY=")</f>
        <v>#REF!</v>
      </c>
      <c r="AN135" t="e">
        <f>AND(NhatkyNhap!#REF!,"AAAAAH/v/yc=")</f>
        <v>#REF!</v>
      </c>
      <c r="AO135" t="e">
        <f>AND(NhatkyNhap!#REF!,"AAAAAH/v/yg=")</f>
        <v>#REF!</v>
      </c>
      <c r="AP135" t="e">
        <f>AND(NhatkyNhap!#REF!,"AAAAAH/v/yk=")</f>
        <v>#REF!</v>
      </c>
      <c r="AQ135" t="e">
        <f>AND(NhatkyNhap!#REF!,"AAAAAH/v/yo=")</f>
        <v>#REF!</v>
      </c>
      <c r="AR135" t="e">
        <f>AND(NhatkyNhap!#REF!,"AAAAAH/v/ys=")</f>
        <v>#REF!</v>
      </c>
      <c r="AS135" t="e">
        <f>AND(NhatkyNhap!#REF!,"AAAAAH/v/yw=")</f>
        <v>#REF!</v>
      </c>
      <c r="AT135" t="e">
        <f>AND(NhatkyNhap!#REF!,"AAAAAH/v/y0=")</f>
        <v>#REF!</v>
      </c>
      <c r="AU135" t="e">
        <f>IF(NhatkyNhap!#REF!,"AAAAAH/v/y4=",0)</f>
        <v>#REF!</v>
      </c>
      <c r="AV135" t="e">
        <f>AND(NhatkyNhap!#REF!,"AAAAAH/v/y8=")</f>
        <v>#REF!</v>
      </c>
      <c r="AW135" t="e">
        <f>AND(NhatkyNhap!#REF!,"AAAAAH/v/zA=")</f>
        <v>#REF!</v>
      </c>
      <c r="AX135" t="e">
        <f>AND(NhatkyNhap!#REF!,"AAAAAH/v/zE=")</f>
        <v>#REF!</v>
      </c>
      <c r="AY135" t="e">
        <f>AND(NhatkyNhap!#REF!,"AAAAAH/v/zI=")</f>
        <v>#REF!</v>
      </c>
      <c r="AZ135" t="e">
        <f>AND(NhatkyNhap!#REF!,"AAAAAH/v/zM=")</f>
        <v>#REF!</v>
      </c>
      <c r="BA135" t="e">
        <f>AND(NhatkyNhap!#REF!,"AAAAAH/v/zQ=")</f>
        <v>#REF!</v>
      </c>
      <c r="BB135" t="e">
        <f>AND(NhatkyNhap!#REF!,"AAAAAH/v/zU=")</f>
        <v>#REF!</v>
      </c>
      <c r="BC135" t="e">
        <f>AND(NhatkyNhap!#REF!,"AAAAAH/v/zY=")</f>
        <v>#REF!</v>
      </c>
      <c r="BD135" t="e">
        <f>AND(NhatkyNhap!#REF!,"AAAAAH/v/zc=")</f>
        <v>#REF!</v>
      </c>
      <c r="BE135" t="e">
        <f>AND(NhatkyNhap!#REF!,"AAAAAH/v/zg=")</f>
        <v>#REF!</v>
      </c>
      <c r="BF135" t="e">
        <f>AND(NhatkyNhap!#REF!,"AAAAAH/v/zk=")</f>
        <v>#REF!</v>
      </c>
      <c r="BG135" t="e">
        <f>AND(NhatkyNhap!#REF!,"AAAAAH/v/zo=")</f>
        <v>#REF!</v>
      </c>
      <c r="BH135" t="e">
        <f>AND(NhatkyNhap!#REF!,"AAAAAH/v/zs=")</f>
        <v>#REF!</v>
      </c>
      <c r="BI135" t="e">
        <f>AND(NhatkyNhap!#REF!,"AAAAAH/v/zw=")</f>
        <v>#REF!</v>
      </c>
      <c r="BJ135" t="e">
        <f>AND(NhatkyNhap!#REF!,"AAAAAH/v/z0=")</f>
        <v>#REF!</v>
      </c>
      <c r="BK135" t="e">
        <f>AND(NhatkyNhap!#REF!,"AAAAAH/v/z4=")</f>
        <v>#REF!</v>
      </c>
      <c r="BL135" t="e">
        <f>AND(NhatkyNhap!#REF!,"AAAAAH/v/z8=")</f>
        <v>#REF!</v>
      </c>
      <c r="BM135" t="e">
        <f>AND(NhatkyNhap!#REF!,"AAAAAH/v/0A=")</f>
        <v>#REF!</v>
      </c>
      <c r="BN135" t="e">
        <f>AND(NhatkyNhap!#REF!,"AAAAAH/v/0E=")</f>
        <v>#REF!</v>
      </c>
      <c r="BO135" t="e">
        <f>AND(NhatkyNhap!#REF!,"AAAAAH/v/0I=")</f>
        <v>#REF!</v>
      </c>
      <c r="BP135" t="e">
        <f>AND(NhatkyNhap!#REF!,"AAAAAH/v/0M=")</f>
        <v>#REF!</v>
      </c>
      <c r="BQ135" t="e">
        <f>AND(NhatkyNhap!#REF!,"AAAAAH/v/0Q=")</f>
        <v>#REF!</v>
      </c>
      <c r="BR135" t="e">
        <f>AND(NhatkyNhap!#REF!,"AAAAAH/v/0U=")</f>
        <v>#REF!</v>
      </c>
      <c r="BS135" t="e">
        <f>AND(NhatkyNhap!#REF!,"AAAAAH/v/0Y=")</f>
        <v>#REF!</v>
      </c>
      <c r="BT135" t="e">
        <f>AND(NhatkyNhap!#REF!,"AAAAAH/v/0c=")</f>
        <v>#REF!</v>
      </c>
      <c r="BU135" t="e">
        <f>AND(NhatkyNhap!#REF!,"AAAAAH/v/0g=")</f>
        <v>#REF!</v>
      </c>
      <c r="BV135" t="e">
        <f>AND(NhatkyNhap!#REF!,"AAAAAH/v/0k=")</f>
        <v>#REF!</v>
      </c>
      <c r="BW135" t="e">
        <f>AND(NhatkyNhap!#REF!,"AAAAAH/v/0o=")</f>
        <v>#REF!</v>
      </c>
      <c r="BX135" t="e">
        <f>AND(NhatkyNhap!#REF!,"AAAAAH/v/0s=")</f>
        <v>#REF!</v>
      </c>
      <c r="BY135" t="e">
        <f>AND(NhatkyNhap!#REF!,"AAAAAH/v/0w=")</f>
        <v>#REF!</v>
      </c>
      <c r="BZ135" t="e">
        <f>AND(NhatkyNhap!#REF!,"AAAAAH/v/00=")</f>
        <v>#REF!</v>
      </c>
      <c r="CA135" t="e">
        <f>AND(NhatkyNhap!#REF!,"AAAAAH/v/04=")</f>
        <v>#REF!</v>
      </c>
      <c r="CB135" t="e">
        <f>AND(NhatkyNhap!#REF!,"AAAAAH/v/08=")</f>
        <v>#REF!</v>
      </c>
      <c r="CC135" t="e">
        <f>AND(NhatkyNhap!#REF!,"AAAAAH/v/1A=")</f>
        <v>#REF!</v>
      </c>
      <c r="CD135" t="e">
        <f>IF(NhatkyNhap!#REF!,"AAAAAH/v/1E=",0)</f>
        <v>#REF!</v>
      </c>
      <c r="CE135" t="e">
        <f>AND(NhatkyNhap!#REF!,"AAAAAH/v/1I=")</f>
        <v>#REF!</v>
      </c>
      <c r="CF135" t="e">
        <f>AND(NhatkyNhap!#REF!,"AAAAAH/v/1M=")</f>
        <v>#REF!</v>
      </c>
      <c r="CG135" t="e">
        <f>AND(NhatkyNhap!#REF!,"AAAAAH/v/1Q=")</f>
        <v>#REF!</v>
      </c>
      <c r="CH135" t="e">
        <f>AND(NhatkyNhap!#REF!,"AAAAAH/v/1U=")</f>
        <v>#REF!</v>
      </c>
      <c r="CI135" t="e">
        <f>AND(NhatkyNhap!#REF!,"AAAAAH/v/1Y=")</f>
        <v>#REF!</v>
      </c>
      <c r="CJ135" t="e">
        <f>AND(NhatkyNhap!#REF!,"AAAAAH/v/1c=")</f>
        <v>#REF!</v>
      </c>
      <c r="CK135" t="e">
        <f>AND(NhatkyNhap!#REF!,"AAAAAH/v/1g=")</f>
        <v>#REF!</v>
      </c>
      <c r="CL135" t="e">
        <f>AND(NhatkyNhap!#REF!,"AAAAAH/v/1k=")</f>
        <v>#REF!</v>
      </c>
      <c r="CM135" t="e">
        <f>AND(NhatkyNhap!#REF!,"AAAAAH/v/1o=")</f>
        <v>#REF!</v>
      </c>
      <c r="CN135" t="e">
        <f>AND(NhatkyNhap!#REF!,"AAAAAH/v/1s=")</f>
        <v>#REF!</v>
      </c>
      <c r="CO135" t="e">
        <f>AND(NhatkyNhap!#REF!,"AAAAAH/v/1w=")</f>
        <v>#REF!</v>
      </c>
      <c r="CP135" t="e">
        <f>AND(NhatkyNhap!#REF!,"AAAAAH/v/10=")</f>
        <v>#REF!</v>
      </c>
      <c r="CQ135" t="e">
        <f>AND(NhatkyNhap!#REF!,"AAAAAH/v/14=")</f>
        <v>#REF!</v>
      </c>
      <c r="CR135" t="e">
        <f>AND(NhatkyNhap!#REF!,"AAAAAH/v/18=")</f>
        <v>#REF!</v>
      </c>
      <c r="CS135" t="e">
        <f>AND(NhatkyNhap!#REF!,"AAAAAH/v/2A=")</f>
        <v>#REF!</v>
      </c>
      <c r="CT135" t="e">
        <f>AND(NhatkyNhap!#REF!,"AAAAAH/v/2E=")</f>
        <v>#REF!</v>
      </c>
      <c r="CU135" t="e">
        <f>AND(NhatkyNhap!#REF!,"AAAAAH/v/2I=")</f>
        <v>#REF!</v>
      </c>
      <c r="CV135" t="e">
        <f>AND(NhatkyNhap!#REF!,"AAAAAH/v/2M=")</f>
        <v>#REF!</v>
      </c>
      <c r="CW135" t="e">
        <f>AND(NhatkyNhap!#REF!,"AAAAAH/v/2Q=")</f>
        <v>#REF!</v>
      </c>
      <c r="CX135" t="e">
        <f>AND(NhatkyNhap!#REF!,"AAAAAH/v/2U=")</f>
        <v>#REF!</v>
      </c>
      <c r="CY135" t="e">
        <f>AND(NhatkyNhap!#REF!,"AAAAAH/v/2Y=")</f>
        <v>#REF!</v>
      </c>
      <c r="CZ135" t="e">
        <f>AND(NhatkyNhap!#REF!,"AAAAAH/v/2c=")</f>
        <v>#REF!</v>
      </c>
      <c r="DA135" t="e">
        <f>AND(NhatkyNhap!#REF!,"AAAAAH/v/2g=")</f>
        <v>#REF!</v>
      </c>
      <c r="DB135" t="e">
        <f>AND(NhatkyNhap!#REF!,"AAAAAH/v/2k=")</f>
        <v>#REF!</v>
      </c>
      <c r="DC135" t="e">
        <f>AND(NhatkyNhap!#REF!,"AAAAAH/v/2o=")</f>
        <v>#REF!</v>
      </c>
      <c r="DD135" t="e">
        <f>AND(NhatkyNhap!#REF!,"AAAAAH/v/2s=")</f>
        <v>#REF!</v>
      </c>
      <c r="DE135" t="e">
        <f>AND(NhatkyNhap!#REF!,"AAAAAH/v/2w=")</f>
        <v>#REF!</v>
      </c>
      <c r="DF135" t="e">
        <f>AND(NhatkyNhap!#REF!,"AAAAAH/v/20=")</f>
        <v>#REF!</v>
      </c>
      <c r="DG135" t="e">
        <f>AND(NhatkyNhap!#REF!,"AAAAAH/v/24=")</f>
        <v>#REF!</v>
      </c>
      <c r="DH135" t="e">
        <f>AND(NhatkyNhap!#REF!,"AAAAAH/v/28=")</f>
        <v>#REF!</v>
      </c>
      <c r="DI135" t="e">
        <f>AND(NhatkyNhap!#REF!,"AAAAAH/v/3A=")</f>
        <v>#REF!</v>
      </c>
      <c r="DJ135" t="e">
        <f>AND(NhatkyNhap!#REF!,"AAAAAH/v/3E=")</f>
        <v>#REF!</v>
      </c>
      <c r="DK135" t="e">
        <f>AND(NhatkyNhap!#REF!,"AAAAAH/v/3I=")</f>
        <v>#REF!</v>
      </c>
      <c r="DL135" t="e">
        <f>AND(NhatkyNhap!#REF!,"AAAAAH/v/3M=")</f>
        <v>#REF!</v>
      </c>
      <c r="DM135" t="e">
        <f>IF(NhatkyNhap!#REF!,"AAAAAH/v/3Q=",0)</f>
        <v>#REF!</v>
      </c>
      <c r="DN135" t="e">
        <f>AND(NhatkyNhap!#REF!,"AAAAAH/v/3U=")</f>
        <v>#REF!</v>
      </c>
      <c r="DO135" t="e">
        <f>AND(NhatkyNhap!#REF!,"AAAAAH/v/3Y=")</f>
        <v>#REF!</v>
      </c>
      <c r="DP135" t="e">
        <f>AND(NhatkyNhap!#REF!,"AAAAAH/v/3c=")</f>
        <v>#REF!</v>
      </c>
      <c r="DQ135" t="e">
        <f>AND(NhatkyNhap!#REF!,"AAAAAH/v/3g=")</f>
        <v>#REF!</v>
      </c>
      <c r="DR135" t="e">
        <f>AND(NhatkyNhap!#REF!,"AAAAAH/v/3k=")</f>
        <v>#REF!</v>
      </c>
      <c r="DS135" t="e">
        <f>AND(NhatkyNhap!#REF!,"AAAAAH/v/3o=")</f>
        <v>#REF!</v>
      </c>
      <c r="DT135" t="e">
        <f>AND(NhatkyNhap!#REF!,"AAAAAH/v/3s=")</f>
        <v>#REF!</v>
      </c>
      <c r="DU135" t="e">
        <f>AND(NhatkyNhap!#REF!,"AAAAAH/v/3w=")</f>
        <v>#REF!</v>
      </c>
      <c r="DV135" t="e">
        <f>AND(NhatkyNhap!#REF!,"AAAAAH/v/30=")</f>
        <v>#REF!</v>
      </c>
      <c r="DW135" t="e">
        <f>AND(NhatkyNhap!#REF!,"AAAAAH/v/34=")</f>
        <v>#REF!</v>
      </c>
      <c r="DX135" t="e">
        <f>AND(NhatkyNhap!#REF!,"AAAAAH/v/38=")</f>
        <v>#REF!</v>
      </c>
      <c r="DY135" t="e">
        <f>AND(NhatkyNhap!#REF!,"AAAAAH/v/4A=")</f>
        <v>#REF!</v>
      </c>
      <c r="DZ135" t="e">
        <f>AND(NhatkyNhap!#REF!,"AAAAAH/v/4E=")</f>
        <v>#REF!</v>
      </c>
      <c r="EA135" t="e">
        <f>AND(NhatkyNhap!#REF!,"AAAAAH/v/4I=")</f>
        <v>#REF!</v>
      </c>
      <c r="EB135" t="e">
        <f>AND(NhatkyNhap!#REF!,"AAAAAH/v/4M=")</f>
        <v>#REF!</v>
      </c>
      <c r="EC135" t="e">
        <f>AND(NhatkyNhap!#REF!,"AAAAAH/v/4Q=")</f>
        <v>#REF!</v>
      </c>
      <c r="ED135" t="e">
        <f>AND(NhatkyNhap!#REF!,"AAAAAH/v/4U=")</f>
        <v>#REF!</v>
      </c>
      <c r="EE135" t="e">
        <f>AND(NhatkyNhap!#REF!,"AAAAAH/v/4Y=")</f>
        <v>#REF!</v>
      </c>
      <c r="EF135" t="e">
        <f>AND(NhatkyNhap!#REF!,"AAAAAH/v/4c=")</f>
        <v>#REF!</v>
      </c>
      <c r="EG135" t="e">
        <f>AND(NhatkyNhap!#REF!,"AAAAAH/v/4g=")</f>
        <v>#REF!</v>
      </c>
      <c r="EH135" t="e">
        <f>AND(NhatkyNhap!#REF!,"AAAAAH/v/4k=")</f>
        <v>#REF!</v>
      </c>
      <c r="EI135" t="e">
        <f>AND(NhatkyNhap!#REF!,"AAAAAH/v/4o=")</f>
        <v>#REF!</v>
      </c>
      <c r="EJ135" t="e">
        <f>AND(NhatkyNhap!#REF!,"AAAAAH/v/4s=")</f>
        <v>#REF!</v>
      </c>
      <c r="EK135" t="e">
        <f>AND(NhatkyNhap!#REF!,"AAAAAH/v/4w=")</f>
        <v>#REF!</v>
      </c>
      <c r="EL135" t="e">
        <f>AND(NhatkyNhap!#REF!,"AAAAAH/v/40=")</f>
        <v>#REF!</v>
      </c>
      <c r="EM135" t="e">
        <f>AND(NhatkyNhap!#REF!,"AAAAAH/v/44=")</f>
        <v>#REF!</v>
      </c>
      <c r="EN135" t="e">
        <f>AND(NhatkyNhap!#REF!,"AAAAAH/v/48=")</f>
        <v>#REF!</v>
      </c>
      <c r="EO135" t="e">
        <f>AND(NhatkyNhap!#REF!,"AAAAAH/v/5A=")</f>
        <v>#REF!</v>
      </c>
      <c r="EP135" t="e">
        <f>AND(NhatkyNhap!#REF!,"AAAAAH/v/5E=")</f>
        <v>#REF!</v>
      </c>
      <c r="EQ135" t="e">
        <f>AND(NhatkyNhap!#REF!,"AAAAAH/v/5I=")</f>
        <v>#REF!</v>
      </c>
      <c r="ER135" t="e">
        <f>AND(NhatkyNhap!#REF!,"AAAAAH/v/5M=")</f>
        <v>#REF!</v>
      </c>
      <c r="ES135" t="e">
        <f>AND(NhatkyNhap!#REF!,"AAAAAH/v/5Q=")</f>
        <v>#REF!</v>
      </c>
      <c r="ET135" t="e">
        <f>AND(NhatkyNhap!#REF!,"AAAAAH/v/5U=")</f>
        <v>#REF!</v>
      </c>
      <c r="EU135" t="e">
        <f>AND(NhatkyNhap!#REF!,"AAAAAH/v/5Y=")</f>
        <v>#REF!</v>
      </c>
      <c r="EV135" t="e">
        <f>IF(NhatkyNhap!#REF!,"AAAAAH/v/5c=",0)</f>
        <v>#REF!</v>
      </c>
      <c r="EW135" t="e">
        <f>AND(NhatkyNhap!#REF!,"AAAAAH/v/5g=")</f>
        <v>#REF!</v>
      </c>
      <c r="EX135" t="e">
        <f>AND(NhatkyNhap!#REF!,"AAAAAH/v/5k=")</f>
        <v>#REF!</v>
      </c>
      <c r="EY135" t="e">
        <f>AND(NhatkyNhap!#REF!,"AAAAAH/v/5o=")</f>
        <v>#REF!</v>
      </c>
      <c r="EZ135" t="e">
        <f>AND(NhatkyNhap!#REF!,"AAAAAH/v/5s=")</f>
        <v>#REF!</v>
      </c>
      <c r="FA135" t="e">
        <f>AND(NhatkyNhap!#REF!,"AAAAAH/v/5w=")</f>
        <v>#REF!</v>
      </c>
      <c r="FB135" t="e">
        <f>AND(NhatkyNhap!#REF!,"AAAAAH/v/50=")</f>
        <v>#REF!</v>
      </c>
      <c r="FC135" t="e">
        <f>AND(NhatkyNhap!#REF!,"AAAAAH/v/54=")</f>
        <v>#REF!</v>
      </c>
      <c r="FD135" t="e">
        <f>AND(NhatkyNhap!#REF!,"AAAAAH/v/58=")</f>
        <v>#REF!</v>
      </c>
      <c r="FE135" t="e">
        <f>AND(NhatkyNhap!#REF!,"AAAAAH/v/6A=")</f>
        <v>#REF!</v>
      </c>
      <c r="FF135" t="e">
        <f>AND(NhatkyNhap!#REF!,"AAAAAH/v/6E=")</f>
        <v>#REF!</v>
      </c>
      <c r="FG135" t="e">
        <f>AND(NhatkyNhap!#REF!,"AAAAAH/v/6I=")</f>
        <v>#REF!</v>
      </c>
      <c r="FH135" t="e">
        <f>AND(NhatkyNhap!#REF!,"AAAAAH/v/6M=")</f>
        <v>#REF!</v>
      </c>
      <c r="FI135" t="e">
        <f>AND(NhatkyNhap!#REF!,"AAAAAH/v/6Q=")</f>
        <v>#REF!</v>
      </c>
      <c r="FJ135" t="e">
        <f>AND(NhatkyNhap!#REF!,"AAAAAH/v/6U=")</f>
        <v>#REF!</v>
      </c>
      <c r="FK135" t="e">
        <f>AND(NhatkyNhap!#REF!,"AAAAAH/v/6Y=")</f>
        <v>#REF!</v>
      </c>
      <c r="FL135" t="e">
        <f>AND(NhatkyNhap!#REF!,"AAAAAH/v/6c=")</f>
        <v>#REF!</v>
      </c>
      <c r="FM135" t="e">
        <f>AND(NhatkyNhap!#REF!,"AAAAAH/v/6g=")</f>
        <v>#REF!</v>
      </c>
      <c r="FN135" t="e">
        <f>AND(NhatkyNhap!#REF!,"AAAAAH/v/6k=")</f>
        <v>#REF!</v>
      </c>
      <c r="FO135" t="e">
        <f>AND(NhatkyNhap!#REF!,"AAAAAH/v/6o=")</f>
        <v>#REF!</v>
      </c>
      <c r="FP135" t="e">
        <f>AND(NhatkyNhap!#REF!,"AAAAAH/v/6s=")</f>
        <v>#REF!</v>
      </c>
      <c r="FQ135" t="e">
        <f>AND(NhatkyNhap!#REF!,"AAAAAH/v/6w=")</f>
        <v>#REF!</v>
      </c>
      <c r="FR135" t="e">
        <f>AND(NhatkyNhap!#REF!,"AAAAAH/v/60=")</f>
        <v>#REF!</v>
      </c>
      <c r="FS135" t="e">
        <f>AND(NhatkyNhap!#REF!,"AAAAAH/v/64=")</f>
        <v>#REF!</v>
      </c>
      <c r="FT135" t="e">
        <f>AND(NhatkyNhap!#REF!,"AAAAAH/v/68=")</f>
        <v>#REF!</v>
      </c>
      <c r="FU135" t="e">
        <f>AND(NhatkyNhap!#REF!,"AAAAAH/v/7A=")</f>
        <v>#REF!</v>
      </c>
      <c r="FV135" t="e">
        <f>AND(NhatkyNhap!#REF!,"AAAAAH/v/7E=")</f>
        <v>#REF!</v>
      </c>
      <c r="FW135" t="e">
        <f>AND(NhatkyNhap!#REF!,"AAAAAH/v/7I=")</f>
        <v>#REF!</v>
      </c>
      <c r="FX135" t="e">
        <f>AND(NhatkyNhap!#REF!,"AAAAAH/v/7M=")</f>
        <v>#REF!</v>
      </c>
      <c r="FY135" t="e">
        <f>AND(NhatkyNhap!#REF!,"AAAAAH/v/7Q=")</f>
        <v>#REF!</v>
      </c>
      <c r="FZ135" t="e">
        <f>AND(NhatkyNhap!#REF!,"AAAAAH/v/7U=")</f>
        <v>#REF!</v>
      </c>
      <c r="GA135" t="e">
        <f>AND(NhatkyNhap!#REF!,"AAAAAH/v/7Y=")</f>
        <v>#REF!</v>
      </c>
      <c r="GB135" t="e">
        <f>AND(NhatkyNhap!#REF!,"AAAAAH/v/7c=")</f>
        <v>#REF!</v>
      </c>
      <c r="GC135" t="e">
        <f>AND(NhatkyNhap!#REF!,"AAAAAH/v/7g=")</f>
        <v>#REF!</v>
      </c>
      <c r="GD135" t="e">
        <f>AND(NhatkyNhap!#REF!,"AAAAAH/v/7k=")</f>
        <v>#REF!</v>
      </c>
      <c r="GE135" t="e">
        <f>IF(NhatkyNhap!#REF!,"AAAAAH/v/7o=",0)</f>
        <v>#REF!</v>
      </c>
      <c r="GF135" t="e">
        <f>AND(NhatkyNhap!#REF!,"AAAAAH/v/7s=")</f>
        <v>#REF!</v>
      </c>
      <c r="GG135" t="e">
        <f>AND(NhatkyNhap!#REF!,"AAAAAH/v/7w=")</f>
        <v>#REF!</v>
      </c>
      <c r="GH135" t="e">
        <f>AND(NhatkyNhap!#REF!,"AAAAAH/v/70=")</f>
        <v>#REF!</v>
      </c>
      <c r="GI135" t="e">
        <f>AND(NhatkyNhap!#REF!,"AAAAAH/v/74=")</f>
        <v>#REF!</v>
      </c>
      <c r="GJ135" t="e">
        <f>AND(NhatkyNhap!#REF!,"AAAAAH/v/78=")</f>
        <v>#REF!</v>
      </c>
      <c r="GK135" t="e">
        <f>AND(NhatkyNhap!#REF!,"AAAAAH/v/8A=")</f>
        <v>#REF!</v>
      </c>
      <c r="GL135" t="e">
        <f>AND(NhatkyNhap!#REF!,"AAAAAH/v/8E=")</f>
        <v>#REF!</v>
      </c>
      <c r="GM135" t="e">
        <f>AND(NhatkyNhap!#REF!,"AAAAAH/v/8I=")</f>
        <v>#REF!</v>
      </c>
      <c r="GN135" t="e">
        <f>AND(NhatkyNhap!#REF!,"AAAAAH/v/8M=")</f>
        <v>#REF!</v>
      </c>
      <c r="GO135" t="e">
        <f>AND(NhatkyNhap!#REF!,"AAAAAH/v/8Q=")</f>
        <v>#REF!</v>
      </c>
      <c r="GP135" t="e">
        <f>AND(NhatkyNhap!#REF!,"AAAAAH/v/8U=")</f>
        <v>#REF!</v>
      </c>
      <c r="GQ135" t="e">
        <f>AND(NhatkyNhap!#REF!,"AAAAAH/v/8Y=")</f>
        <v>#REF!</v>
      </c>
      <c r="GR135" t="e">
        <f>AND(NhatkyNhap!#REF!,"AAAAAH/v/8c=")</f>
        <v>#REF!</v>
      </c>
      <c r="GS135" t="e">
        <f>AND(NhatkyNhap!#REF!,"AAAAAH/v/8g=")</f>
        <v>#REF!</v>
      </c>
      <c r="GT135" t="e">
        <f>AND(NhatkyNhap!#REF!,"AAAAAH/v/8k=")</f>
        <v>#REF!</v>
      </c>
      <c r="GU135" t="e">
        <f>AND(NhatkyNhap!#REF!,"AAAAAH/v/8o=")</f>
        <v>#REF!</v>
      </c>
      <c r="GV135" t="e">
        <f>AND(NhatkyNhap!#REF!,"AAAAAH/v/8s=")</f>
        <v>#REF!</v>
      </c>
      <c r="GW135" t="e">
        <f>AND(NhatkyNhap!#REF!,"AAAAAH/v/8w=")</f>
        <v>#REF!</v>
      </c>
      <c r="GX135" t="e">
        <f>AND(NhatkyNhap!#REF!,"AAAAAH/v/80=")</f>
        <v>#REF!</v>
      </c>
      <c r="GY135" t="e">
        <f>AND(NhatkyNhap!#REF!,"AAAAAH/v/84=")</f>
        <v>#REF!</v>
      </c>
      <c r="GZ135" t="e">
        <f>AND(NhatkyNhap!#REF!,"AAAAAH/v/88=")</f>
        <v>#REF!</v>
      </c>
      <c r="HA135" t="e">
        <f>AND(NhatkyNhap!#REF!,"AAAAAH/v/9A=")</f>
        <v>#REF!</v>
      </c>
      <c r="HB135" t="e">
        <f>AND(NhatkyNhap!#REF!,"AAAAAH/v/9E=")</f>
        <v>#REF!</v>
      </c>
      <c r="HC135" t="e">
        <f>AND(NhatkyNhap!#REF!,"AAAAAH/v/9I=")</f>
        <v>#REF!</v>
      </c>
      <c r="HD135" t="e">
        <f>AND(NhatkyNhap!#REF!,"AAAAAH/v/9M=")</f>
        <v>#REF!</v>
      </c>
      <c r="HE135" t="e">
        <f>AND(NhatkyNhap!#REF!,"AAAAAH/v/9Q=")</f>
        <v>#REF!</v>
      </c>
      <c r="HF135" t="e">
        <f>AND(NhatkyNhap!#REF!,"AAAAAH/v/9U=")</f>
        <v>#REF!</v>
      </c>
      <c r="HG135" t="e">
        <f>AND(NhatkyNhap!#REF!,"AAAAAH/v/9Y=")</f>
        <v>#REF!</v>
      </c>
      <c r="HH135" t="e">
        <f>AND(NhatkyNhap!#REF!,"AAAAAH/v/9c=")</f>
        <v>#REF!</v>
      </c>
      <c r="HI135" t="e">
        <f>AND(NhatkyNhap!#REF!,"AAAAAH/v/9g=")</f>
        <v>#REF!</v>
      </c>
      <c r="HJ135" t="e">
        <f>AND(NhatkyNhap!#REF!,"AAAAAH/v/9k=")</f>
        <v>#REF!</v>
      </c>
      <c r="HK135" t="e">
        <f>AND(NhatkyNhap!#REF!,"AAAAAH/v/9o=")</f>
        <v>#REF!</v>
      </c>
      <c r="HL135" t="e">
        <f>AND(NhatkyNhap!#REF!,"AAAAAH/v/9s=")</f>
        <v>#REF!</v>
      </c>
      <c r="HM135" t="e">
        <f>AND(NhatkyNhap!#REF!,"AAAAAH/v/9w=")</f>
        <v>#REF!</v>
      </c>
      <c r="HN135" t="e">
        <f>IF(NhatkyNhap!#REF!,"AAAAAH/v/90=",0)</f>
        <v>#REF!</v>
      </c>
      <c r="HO135" t="e">
        <f>AND(NhatkyNhap!#REF!,"AAAAAH/v/94=")</f>
        <v>#REF!</v>
      </c>
      <c r="HP135" t="e">
        <f>AND(NhatkyNhap!#REF!,"AAAAAH/v/98=")</f>
        <v>#REF!</v>
      </c>
      <c r="HQ135" t="e">
        <f>AND(NhatkyNhap!#REF!,"AAAAAH/v/+A=")</f>
        <v>#REF!</v>
      </c>
      <c r="HR135" t="e">
        <f>AND(NhatkyNhap!#REF!,"AAAAAH/v/+E=")</f>
        <v>#REF!</v>
      </c>
      <c r="HS135" t="e">
        <f>AND(NhatkyNhap!#REF!,"AAAAAH/v/+I=")</f>
        <v>#REF!</v>
      </c>
      <c r="HT135" t="e">
        <f>AND(NhatkyNhap!#REF!,"AAAAAH/v/+M=")</f>
        <v>#REF!</v>
      </c>
      <c r="HU135" t="e">
        <f>AND(NhatkyNhap!#REF!,"AAAAAH/v/+Q=")</f>
        <v>#REF!</v>
      </c>
      <c r="HV135" t="e">
        <f>AND(NhatkyNhap!#REF!,"AAAAAH/v/+U=")</f>
        <v>#REF!</v>
      </c>
      <c r="HW135" t="e">
        <f>AND(NhatkyNhap!#REF!,"AAAAAH/v/+Y=")</f>
        <v>#REF!</v>
      </c>
      <c r="HX135" t="e">
        <f>AND(NhatkyNhap!#REF!,"AAAAAH/v/+c=")</f>
        <v>#REF!</v>
      </c>
      <c r="HY135" t="e">
        <f>AND(NhatkyNhap!#REF!,"AAAAAH/v/+g=")</f>
        <v>#REF!</v>
      </c>
      <c r="HZ135" t="e">
        <f>AND(NhatkyNhap!#REF!,"AAAAAH/v/+k=")</f>
        <v>#REF!</v>
      </c>
      <c r="IA135" t="e">
        <f>AND(NhatkyNhap!#REF!,"AAAAAH/v/+o=")</f>
        <v>#REF!</v>
      </c>
      <c r="IB135" t="e">
        <f>AND(NhatkyNhap!#REF!,"AAAAAH/v/+s=")</f>
        <v>#REF!</v>
      </c>
      <c r="IC135" t="e">
        <f>AND(NhatkyNhap!#REF!,"AAAAAH/v/+w=")</f>
        <v>#REF!</v>
      </c>
      <c r="ID135" t="e">
        <f>AND(NhatkyNhap!#REF!,"AAAAAH/v/+0=")</f>
        <v>#REF!</v>
      </c>
      <c r="IE135" t="e">
        <f>AND(NhatkyNhap!#REF!,"AAAAAH/v/+4=")</f>
        <v>#REF!</v>
      </c>
      <c r="IF135" t="e">
        <f>AND(NhatkyNhap!#REF!,"AAAAAH/v/+8=")</f>
        <v>#REF!</v>
      </c>
      <c r="IG135" t="e">
        <f>AND(NhatkyNhap!#REF!,"AAAAAH/v//A=")</f>
        <v>#REF!</v>
      </c>
      <c r="IH135" t="e">
        <f>AND(NhatkyNhap!#REF!,"AAAAAH/v//E=")</f>
        <v>#REF!</v>
      </c>
      <c r="II135" t="e">
        <f>AND(NhatkyNhap!#REF!,"AAAAAH/v//I=")</f>
        <v>#REF!</v>
      </c>
      <c r="IJ135" t="e">
        <f>AND(NhatkyNhap!#REF!,"AAAAAH/v//M=")</f>
        <v>#REF!</v>
      </c>
      <c r="IK135" t="e">
        <f>AND(NhatkyNhap!#REF!,"AAAAAH/v//Q=")</f>
        <v>#REF!</v>
      </c>
      <c r="IL135" t="e">
        <f>AND(NhatkyNhap!#REF!,"AAAAAH/v//U=")</f>
        <v>#REF!</v>
      </c>
      <c r="IM135" t="e">
        <f>AND(NhatkyNhap!#REF!,"AAAAAH/v//Y=")</f>
        <v>#REF!</v>
      </c>
      <c r="IN135" t="e">
        <f>AND(NhatkyNhap!#REF!,"AAAAAH/v//c=")</f>
        <v>#REF!</v>
      </c>
      <c r="IO135" t="e">
        <f>AND(NhatkyNhap!#REF!,"AAAAAH/v//g=")</f>
        <v>#REF!</v>
      </c>
      <c r="IP135" t="e">
        <f>AND(NhatkyNhap!#REF!,"AAAAAH/v//k=")</f>
        <v>#REF!</v>
      </c>
      <c r="IQ135" t="e">
        <f>AND(NhatkyNhap!#REF!,"AAAAAH/v//o=")</f>
        <v>#REF!</v>
      </c>
      <c r="IR135" t="e">
        <f>AND(NhatkyNhap!#REF!,"AAAAAH/v//s=")</f>
        <v>#REF!</v>
      </c>
      <c r="IS135" t="e">
        <f>AND(NhatkyNhap!#REF!,"AAAAAH/v//w=")</f>
        <v>#REF!</v>
      </c>
      <c r="IT135" t="e">
        <f>AND(NhatkyNhap!#REF!,"AAAAAH/v//0=")</f>
        <v>#REF!</v>
      </c>
      <c r="IU135" t="e">
        <f>AND(NhatkyNhap!#REF!,"AAAAAH/v//4=")</f>
        <v>#REF!</v>
      </c>
      <c r="IV135" t="e">
        <f>AND(NhatkyNhap!#REF!,"AAAAAH/v//8=")</f>
        <v>#REF!</v>
      </c>
    </row>
    <row r="136" spans="1:256">
      <c r="A136" t="e">
        <f>IF(NhatkyNhap!#REF!,"AAAAAF5/+QA=",0)</f>
        <v>#REF!</v>
      </c>
      <c r="B136" t="e">
        <f>AND(NhatkyNhap!#REF!,"AAAAAF5/+QE=")</f>
        <v>#REF!</v>
      </c>
      <c r="C136" t="e">
        <f>AND(NhatkyNhap!#REF!,"AAAAAF5/+QI=")</f>
        <v>#REF!</v>
      </c>
      <c r="D136" t="e">
        <f>AND(NhatkyNhap!#REF!,"AAAAAF5/+QM=")</f>
        <v>#REF!</v>
      </c>
      <c r="E136" t="e">
        <f>AND(NhatkyNhap!#REF!,"AAAAAF5/+QQ=")</f>
        <v>#REF!</v>
      </c>
      <c r="F136" t="e">
        <f>AND(NhatkyNhap!#REF!,"AAAAAF5/+QU=")</f>
        <v>#REF!</v>
      </c>
      <c r="G136" t="e">
        <f>AND(NhatkyNhap!#REF!,"AAAAAF5/+QY=")</f>
        <v>#REF!</v>
      </c>
      <c r="H136" t="e">
        <f>AND(NhatkyNhap!#REF!,"AAAAAF5/+Qc=")</f>
        <v>#REF!</v>
      </c>
      <c r="I136" t="e">
        <f>AND(NhatkyNhap!#REF!,"AAAAAF5/+Qg=")</f>
        <v>#REF!</v>
      </c>
      <c r="J136" t="e">
        <f>AND(NhatkyNhap!#REF!,"AAAAAF5/+Qk=")</f>
        <v>#REF!</v>
      </c>
      <c r="K136" t="e">
        <f>AND(NhatkyNhap!#REF!,"AAAAAF5/+Qo=")</f>
        <v>#REF!</v>
      </c>
      <c r="L136" t="e">
        <f>AND(NhatkyNhap!#REF!,"AAAAAF5/+Qs=")</f>
        <v>#REF!</v>
      </c>
      <c r="M136" t="e">
        <f>AND(NhatkyNhap!#REF!,"AAAAAF5/+Qw=")</f>
        <v>#REF!</v>
      </c>
      <c r="N136" t="e">
        <f>AND(NhatkyNhap!#REF!,"AAAAAF5/+Q0=")</f>
        <v>#REF!</v>
      </c>
      <c r="O136" t="e">
        <f>AND(NhatkyNhap!#REF!,"AAAAAF5/+Q4=")</f>
        <v>#REF!</v>
      </c>
      <c r="P136" t="e">
        <f>AND(NhatkyNhap!#REF!,"AAAAAF5/+Q8=")</f>
        <v>#REF!</v>
      </c>
      <c r="Q136" t="e">
        <f>AND(NhatkyNhap!#REF!,"AAAAAF5/+RA=")</f>
        <v>#REF!</v>
      </c>
      <c r="R136" t="e">
        <f>AND(NhatkyNhap!#REF!,"AAAAAF5/+RE=")</f>
        <v>#REF!</v>
      </c>
      <c r="S136" t="e">
        <f>AND(NhatkyNhap!#REF!,"AAAAAF5/+RI=")</f>
        <v>#REF!</v>
      </c>
      <c r="T136" t="e">
        <f>AND(NhatkyNhap!#REF!,"AAAAAF5/+RM=")</f>
        <v>#REF!</v>
      </c>
      <c r="U136" t="e">
        <f>AND(NhatkyNhap!#REF!,"AAAAAF5/+RQ=")</f>
        <v>#REF!</v>
      </c>
      <c r="V136" t="e">
        <f>AND(NhatkyNhap!#REF!,"AAAAAF5/+RU=")</f>
        <v>#REF!</v>
      </c>
      <c r="W136" t="e">
        <f>AND(NhatkyNhap!#REF!,"AAAAAF5/+RY=")</f>
        <v>#REF!</v>
      </c>
      <c r="X136" t="e">
        <f>AND(NhatkyNhap!#REF!,"AAAAAF5/+Rc=")</f>
        <v>#REF!</v>
      </c>
      <c r="Y136" t="e">
        <f>AND(NhatkyNhap!#REF!,"AAAAAF5/+Rg=")</f>
        <v>#REF!</v>
      </c>
      <c r="Z136" t="e">
        <f>AND(NhatkyNhap!#REF!,"AAAAAF5/+Rk=")</f>
        <v>#REF!</v>
      </c>
      <c r="AA136" t="e">
        <f>AND(NhatkyNhap!#REF!,"AAAAAF5/+Ro=")</f>
        <v>#REF!</v>
      </c>
      <c r="AB136" t="e">
        <f>AND(NhatkyNhap!#REF!,"AAAAAF5/+Rs=")</f>
        <v>#REF!</v>
      </c>
      <c r="AC136" t="e">
        <f>AND(NhatkyNhap!#REF!,"AAAAAF5/+Rw=")</f>
        <v>#REF!</v>
      </c>
      <c r="AD136" t="e">
        <f>AND(NhatkyNhap!#REF!,"AAAAAF5/+R0=")</f>
        <v>#REF!</v>
      </c>
      <c r="AE136" t="e">
        <f>AND(NhatkyNhap!#REF!,"AAAAAF5/+R4=")</f>
        <v>#REF!</v>
      </c>
      <c r="AF136" t="e">
        <f>AND(NhatkyNhap!#REF!,"AAAAAF5/+R8=")</f>
        <v>#REF!</v>
      </c>
      <c r="AG136" t="e">
        <f>AND(NhatkyNhap!#REF!,"AAAAAF5/+SA=")</f>
        <v>#REF!</v>
      </c>
      <c r="AH136" t="e">
        <f>AND(NhatkyNhap!#REF!,"AAAAAF5/+SE=")</f>
        <v>#REF!</v>
      </c>
      <c r="AI136" t="e">
        <f>AND(NhatkyNhap!#REF!,"AAAAAF5/+SI=")</f>
        <v>#REF!</v>
      </c>
      <c r="AJ136" t="e">
        <f>IF(NhatkyNhap!#REF!,"AAAAAF5/+SM=",0)</f>
        <v>#REF!</v>
      </c>
      <c r="AK136" t="e">
        <f>AND(NhatkyNhap!#REF!,"AAAAAF5/+SQ=")</f>
        <v>#REF!</v>
      </c>
      <c r="AL136" t="e">
        <f>AND(NhatkyNhap!#REF!,"AAAAAF5/+SU=")</f>
        <v>#REF!</v>
      </c>
      <c r="AM136" t="e">
        <f>AND(NhatkyNhap!#REF!,"AAAAAF5/+SY=")</f>
        <v>#REF!</v>
      </c>
      <c r="AN136" t="e">
        <f>AND(NhatkyNhap!#REF!,"AAAAAF5/+Sc=")</f>
        <v>#REF!</v>
      </c>
      <c r="AO136" t="e">
        <f>AND(NhatkyNhap!#REF!,"AAAAAF5/+Sg=")</f>
        <v>#REF!</v>
      </c>
      <c r="AP136" t="e">
        <f>AND(NhatkyNhap!#REF!,"AAAAAF5/+Sk=")</f>
        <v>#REF!</v>
      </c>
      <c r="AQ136" t="e">
        <f>AND(NhatkyNhap!#REF!,"AAAAAF5/+So=")</f>
        <v>#REF!</v>
      </c>
      <c r="AR136" t="e">
        <f>AND(NhatkyNhap!#REF!,"AAAAAF5/+Ss=")</f>
        <v>#REF!</v>
      </c>
      <c r="AS136" t="e">
        <f>AND(NhatkyNhap!#REF!,"AAAAAF5/+Sw=")</f>
        <v>#REF!</v>
      </c>
      <c r="AT136" t="e">
        <f>AND(NhatkyNhap!#REF!,"AAAAAF5/+S0=")</f>
        <v>#REF!</v>
      </c>
      <c r="AU136" t="e">
        <f>AND(NhatkyNhap!#REF!,"AAAAAF5/+S4=")</f>
        <v>#REF!</v>
      </c>
      <c r="AV136" t="e">
        <f>AND(NhatkyNhap!#REF!,"AAAAAF5/+S8=")</f>
        <v>#REF!</v>
      </c>
      <c r="AW136" t="e">
        <f>AND(NhatkyNhap!#REF!,"AAAAAF5/+TA=")</f>
        <v>#REF!</v>
      </c>
      <c r="AX136" t="e">
        <f>AND(NhatkyNhap!#REF!,"AAAAAF5/+TE=")</f>
        <v>#REF!</v>
      </c>
      <c r="AY136" t="e">
        <f>AND(NhatkyNhap!#REF!,"AAAAAF5/+TI=")</f>
        <v>#REF!</v>
      </c>
      <c r="AZ136" t="e">
        <f>AND(NhatkyNhap!#REF!,"AAAAAF5/+TM=")</f>
        <v>#REF!</v>
      </c>
      <c r="BA136" t="e">
        <f>AND(NhatkyNhap!#REF!,"AAAAAF5/+TQ=")</f>
        <v>#REF!</v>
      </c>
      <c r="BB136" t="e">
        <f>AND(NhatkyNhap!#REF!,"AAAAAF5/+TU=")</f>
        <v>#REF!</v>
      </c>
      <c r="BC136" t="e">
        <f>AND(NhatkyNhap!#REF!,"AAAAAF5/+TY=")</f>
        <v>#REF!</v>
      </c>
      <c r="BD136" t="e">
        <f>AND(NhatkyNhap!#REF!,"AAAAAF5/+Tc=")</f>
        <v>#REF!</v>
      </c>
      <c r="BE136" t="e">
        <f>AND(NhatkyNhap!#REF!,"AAAAAF5/+Tg=")</f>
        <v>#REF!</v>
      </c>
      <c r="BF136" t="e">
        <f>AND(NhatkyNhap!#REF!,"AAAAAF5/+Tk=")</f>
        <v>#REF!</v>
      </c>
      <c r="BG136" t="e">
        <f>AND(NhatkyNhap!#REF!,"AAAAAF5/+To=")</f>
        <v>#REF!</v>
      </c>
      <c r="BH136" t="e">
        <f>AND(NhatkyNhap!#REF!,"AAAAAF5/+Ts=")</f>
        <v>#REF!</v>
      </c>
      <c r="BI136" t="e">
        <f>AND(NhatkyNhap!#REF!,"AAAAAF5/+Tw=")</f>
        <v>#REF!</v>
      </c>
      <c r="BJ136" t="e">
        <f>AND(NhatkyNhap!#REF!,"AAAAAF5/+T0=")</f>
        <v>#REF!</v>
      </c>
      <c r="BK136" t="e">
        <f>AND(NhatkyNhap!#REF!,"AAAAAF5/+T4=")</f>
        <v>#REF!</v>
      </c>
      <c r="BL136" t="e">
        <f>AND(NhatkyNhap!#REF!,"AAAAAF5/+T8=")</f>
        <v>#REF!</v>
      </c>
      <c r="BM136" t="e">
        <f>AND(NhatkyNhap!#REF!,"AAAAAF5/+UA=")</f>
        <v>#REF!</v>
      </c>
      <c r="BN136" t="e">
        <f>AND(NhatkyNhap!#REF!,"AAAAAF5/+UE=")</f>
        <v>#REF!</v>
      </c>
      <c r="BO136" t="e">
        <f>AND(NhatkyNhap!#REF!,"AAAAAF5/+UI=")</f>
        <v>#REF!</v>
      </c>
      <c r="BP136" t="e">
        <f>AND(NhatkyNhap!#REF!,"AAAAAF5/+UM=")</f>
        <v>#REF!</v>
      </c>
      <c r="BQ136" t="e">
        <f>AND(NhatkyNhap!#REF!,"AAAAAF5/+UQ=")</f>
        <v>#REF!</v>
      </c>
      <c r="BR136" t="e">
        <f>AND(NhatkyNhap!#REF!,"AAAAAF5/+UU=")</f>
        <v>#REF!</v>
      </c>
      <c r="BS136" t="e">
        <f>IF(NhatkyNhap!#REF!,"AAAAAF5/+UY=",0)</f>
        <v>#REF!</v>
      </c>
      <c r="BT136" t="e">
        <f>AND(NhatkyNhap!#REF!,"AAAAAF5/+Uc=")</f>
        <v>#REF!</v>
      </c>
      <c r="BU136" t="e">
        <f>AND(NhatkyNhap!#REF!,"AAAAAF5/+Ug=")</f>
        <v>#REF!</v>
      </c>
      <c r="BV136" t="e">
        <f>AND(NhatkyNhap!#REF!,"AAAAAF5/+Uk=")</f>
        <v>#REF!</v>
      </c>
      <c r="BW136" t="e">
        <f>AND(NhatkyNhap!#REF!,"AAAAAF5/+Uo=")</f>
        <v>#REF!</v>
      </c>
      <c r="BX136" t="e">
        <f>AND(NhatkyNhap!#REF!,"AAAAAF5/+Us=")</f>
        <v>#REF!</v>
      </c>
      <c r="BY136" t="e">
        <f>AND(NhatkyNhap!#REF!,"AAAAAF5/+Uw=")</f>
        <v>#REF!</v>
      </c>
      <c r="BZ136" t="e">
        <f>AND(NhatkyNhap!#REF!,"AAAAAF5/+U0=")</f>
        <v>#REF!</v>
      </c>
      <c r="CA136" t="e">
        <f>AND(NhatkyNhap!#REF!,"AAAAAF5/+U4=")</f>
        <v>#REF!</v>
      </c>
      <c r="CB136" t="e">
        <f>AND(NhatkyNhap!#REF!,"AAAAAF5/+U8=")</f>
        <v>#REF!</v>
      </c>
      <c r="CC136" t="e">
        <f>AND(NhatkyNhap!#REF!,"AAAAAF5/+VA=")</f>
        <v>#REF!</v>
      </c>
      <c r="CD136" t="e">
        <f>AND(NhatkyNhap!#REF!,"AAAAAF5/+VE=")</f>
        <v>#REF!</v>
      </c>
      <c r="CE136" t="e">
        <f>AND(NhatkyNhap!#REF!,"AAAAAF5/+VI=")</f>
        <v>#REF!</v>
      </c>
      <c r="CF136" t="e">
        <f>AND(NhatkyNhap!#REF!,"AAAAAF5/+VM=")</f>
        <v>#REF!</v>
      </c>
      <c r="CG136" t="e">
        <f>AND(NhatkyNhap!#REF!,"AAAAAF5/+VQ=")</f>
        <v>#REF!</v>
      </c>
      <c r="CH136" t="e">
        <f>AND(NhatkyNhap!#REF!,"AAAAAF5/+VU=")</f>
        <v>#REF!</v>
      </c>
      <c r="CI136" t="e">
        <f>AND(NhatkyNhap!#REF!,"AAAAAF5/+VY=")</f>
        <v>#REF!</v>
      </c>
      <c r="CJ136" t="e">
        <f>AND(NhatkyNhap!#REF!,"AAAAAF5/+Vc=")</f>
        <v>#REF!</v>
      </c>
      <c r="CK136" t="e">
        <f>AND(NhatkyNhap!#REF!,"AAAAAF5/+Vg=")</f>
        <v>#REF!</v>
      </c>
      <c r="CL136" t="e">
        <f>AND(NhatkyNhap!#REF!,"AAAAAF5/+Vk=")</f>
        <v>#REF!</v>
      </c>
      <c r="CM136" t="e">
        <f>AND(NhatkyNhap!#REF!,"AAAAAF5/+Vo=")</f>
        <v>#REF!</v>
      </c>
      <c r="CN136" t="e">
        <f>AND(NhatkyNhap!#REF!,"AAAAAF5/+Vs=")</f>
        <v>#REF!</v>
      </c>
      <c r="CO136" t="e">
        <f>AND(NhatkyNhap!#REF!,"AAAAAF5/+Vw=")</f>
        <v>#REF!</v>
      </c>
      <c r="CP136" t="e">
        <f>AND(NhatkyNhap!#REF!,"AAAAAF5/+V0=")</f>
        <v>#REF!</v>
      </c>
      <c r="CQ136" t="e">
        <f>AND(NhatkyNhap!#REF!,"AAAAAF5/+V4=")</f>
        <v>#REF!</v>
      </c>
      <c r="CR136" t="e">
        <f>AND(NhatkyNhap!#REF!,"AAAAAF5/+V8=")</f>
        <v>#REF!</v>
      </c>
      <c r="CS136" t="e">
        <f>AND(NhatkyNhap!#REF!,"AAAAAF5/+WA=")</f>
        <v>#REF!</v>
      </c>
      <c r="CT136" t="e">
        <f>AND(NhatkyNhap!#REF!,"AAAAAF5/+WE=")</f>
        <v>#REF!</v>
      </c>
      <c r="CU136" t="e">
        <f>AND(NhatkyNhap!#REF!,"AAAAAF5/+WI=")</f>
        <v>#REF!</v>
      </c>
      <c r="CV136" t="e">
        <f>AND(NhatkyNhap!#REF!,"AAAAAF5/+WM=")</f>
        <v>#REF!</v>
      </c>
      <c r="CW136" t="e">
        <f>AND(NhatkyNhap!#REF!,"AAAAAF5/+WQ=")</f>
        <v>#REF!</v>
      </c>
      <c r="CX136" t="e">
        <f>AND(NhatkyNhap!#REF!,"AAAAAF5/+WU=")</f>
        <v>#REF!</v>
      </c>
      <c r="CY136" t="e">
        <f>AND(NhatkyNhap!#REF!,"AAAAAF5/+WY=")</f>
        <v>#REF!</v>
      </c>
      <c r="CZ136" t="e">
        <f>AND(NhatkyNhap!#REF!,"AAAAAF5/+Wc=")</f>
        <v>#REF!</v>
      </c>
      <c r="DA136" t="e">
        <f>AND(NhatkyNhap!#REF!,"AAAAAF5/+Wg=")</f>
        <v>#REF!</v>
      </c>
      <c r="DB136" t="e">
        <f>IF(NhatkyNhap!#REF!,"AAAAAF5/+Wk=",0)</f>
        <v>#REF!</v>
      </c>
      <c r="DC136" t="e">
        <f>AND(NhatkyNhap!#REF!,"AAAAAF5/+Wo=")</f>
        <v>#REF!</v>
      </c>
      <c r="DD136" t="e">
        <f>AND(NhatkyNhap!#REF!,"AAAAAF5/+Ws=")</f>
        <v>#REF!</v>
      </c>
      <c r="DE136" t="e">
        <f>AND(NhatkyNhap!#REF!,"AAAAAF5/+Ww=")</f>
        <v>#REF!</v>
      </c>
      <c r="DF136" t="e">
        <f>AND(NhatkyNhap!#REF!,"AAAAAF5/+W0=")</f>
        <v>#REF!</v>
      </c>
      <c r="DG136" t="e">
        <f>AND(NhatkyNhap!#REF!,"AAAAAF5/+W4=")</f>
        <v>#REF!</v>
      </c>
      <c r="DH136" t="e">
        <f>AND(NhatkyNhap!#REF!,"AAAAAF5/+W8=")</f>
        <v>#REF!</v>
      </c>
      <c r="DI136" t="e">
        <f>AND(NhatkyNhap!#REF!,"AAAAAF5/+XA=")</f>
        <v>#REF!</v>
      </c>
      <c r="DJ136" t="e">
        <f>AND(NhatkyNhap!#REF!,"AAAAAF5/+XE=")</f>
        <v>#REF!</v>
      </c>
      <c r="DK136" t="e">
        <f>AND(NhatkyNhap!#REF!,"AAAAAF5/+XI=")</f>
        <v>#REF!</v>
      </c>
      <c r="DL136" t="e">
        <f>AND(NhatkyNhap!#REF!,"AAAAAF5/+XM=")</f>
        <v>#REF!</v>
      </c>
      <c r="DM136" t="e">
        <f>AND(NhatkyNhap!#REF!,"AAAAAF5/+XQ=")</f>
        <v>#REF!</v>
      </c>
      <c r="DN136" t="e">
        <f>AND(NhatkyNhap!#REF!,"AAAAAF5/+XU=")</f>
        <v>#REF!</v>
      </c>
      <c r="DO136" t="e">
        <f>AND(NhatkyNhap!#REF!,"AAAAAF5/+XY=")</f>
        <v>#REF!</v>
      </c>
      <c r="DP136" t="e">
        <f>AND(NhatkyNhap!#REF!,"AAAAAF5/+Xc=")</f>
        <v>#REF!</v>
      </c>
      <c r="DQ136" t="e">
        <f>AND(NhatkyNhap!#REF!,"AAAAAF5/+Xg=")</f>
        <v>#REF!</v>
      </c>
      <c r="DR136" t="e">
        <f>AND(NhatkyNhap!#REF!,"AAAAAF5/+Xk=")</f>
        <v>#REF!</v>
      </c>
      <c r="DS136" t="e">
        <f>AND(NhatkyNhap!#REF!,"AAAAAF5/+Xo=")</f>
        <v>#REF!</v>
      </c>
      <c r="DT136" t="e">
        <f>AND(NhatkyNhap!#REF!,"AAAAAF5/+Xs=")</f>
        <v>#REF!</v>
      </c>
      <c r="DU136" t="e">
        <f>AND(NhatkyNhap!#REF!,"AAAAAF5/+Xw=")</f>
        <v>#REF!</v>
      </c>
      <c r="DV136" t="e">
        <f>AND(NhatkyNhap!#REF!,"AAAAAF5/+X0=")</f>
        <v>#REF!</v>
      </c>
      <c r="DW136" t="e">
        <f>AND(NhatkyNhap!#REF!,"AAAAAF5/+X4=")</f>
        <v>#REF!</v>
      </c>
      <c r="DX136" t="e">
        <f>AND(NhatkyNhap!#REF!,"AAAAAF5/+X8=")</f>
        <v>#REF!</v>
      </c>
      <c r="DY136" t="e">
        <f>AND(NhatkyNhap!#REF!,"AAAAAF5/+YA=")</f>
        <v>#REF!</v>
      </c>
      <c r="DZ136" t="e">
        <f>AND(NhatkyNhap!#REF!,"AAAAAF5/+YE=")</f>
        <v>#REF!</v>
      </c>
      <c r="EA136" t="e">
        <f>AND(NhatkyNhap!#REF!,"AAAAAF5/+YI=")</f>
        <v>#REF!</v>
      </c>
      <c r="EB136" t="e">
        <f>AND(NhatkyNhap!#REF!,"AAAAAF5/+YM=")</f>
        <v>#REF!</v>
      </c>
      <c r="EC136" t="e">
        <f>AND(NhatkyNhap!#REF!,"AAAAAF5/+YQ=")</f>
        <v>#REF!</v>
      </c>
      <c r="ED136" t="e">
        <f>AND(NhatkyNhap!#REF!,"AAAAAF5/+YU=")</f>
        <v>#REF!</v>
      </c>
      <c r="EE136" t="e">
        <f>AND(NhatkyNhap!#REF!,"AAAAAF5/+YY=")</f>
        <v>#REF!</v>
      </c>
      <c r="EF136" t="e">
        <f>AND(NhatkyNhap!#REF!,"AAAAAF5/+Yc=")</f>
        <v>#REF!</v>
      </c>
      <c r="EG136" t="e">
        <f>AND(NhatkyNhap!#REF!,"AAAAAF5/+Yg=")</f>
        <v>#REF!</v>
      </c>
      <c r="EH136" t="e">
        <f>AND(NhatkyNhap!#REF!,"AAAAAF5/+Yk=")</f>
        <v>#REF!</v>
      </c>
      <c r="EI136" t="e">
        <f>AND(NhatkyNhap!#REF!,"AAAAAF5/+Yo=")</f>
        <v>#REF!</v>
      </c>
      <c r="EJ136" t="e">
        <f>AND(NhatkyNhap!#REF!,"AAAAAF5/+Ys=")</f>
        <v>#REF!</v>
      </c>
      <c r="EK136" t="e">
        <f>IF(NhatkyNhap!#REF!,"AAAAAF5/+Yw=",0)</f>
        <v>#REF!</v>
      </c>
      <c r="EL136" t="e">
        <f>AND(NhatkyNhap!#REF!,"AAAAAF5/+Y0=")</f>
        <v>#REF!</v>
      </c>
      <c r="EM136" t="e">
        <f>AND(NhatkyNhap!#REF!,"AAAAAF5/+Y4=")</f>
        <v>#REF!</v>
      </c>
      <c r="EN136" t="e">
        <f>AND(NhatkyNhap!#REF!,"AAAAAF5/+Y8=")</f>
        <v>#REF!</v>
      </c>
      <c r="EO136" t="e">
        <f>AND(NhatkyNhap!#REF!,"AAAAAF5/+ZA=")</f>
        <v>#REF!</v>
      </c>
      <c r="EP136" t="e">
        <f>AND(NhatkyNhap!#REF!,"AAAAAF5/+ZE=")</f>
        <v>#REF!</v>
      </c>
      <c r="EQ136" t="e">
        <f>AND(NhatkyNhap!#REF!,"AAAAAF5/+ZI=")</f>
        <v>#REF!</v>
      </c>
      <c r="ER136" t="e">
        <f>AND(NhatkyNhap!#REF!,"AAAAAF5/+ZM=")</f>
        <v>#REF!</v>
      </c>
      <c r="ES136" t="e">
        <f>AND(NhatkyNhap!#REF!,"AAAAAF5/+ZQ=")</f>
        <v>#REF!</v>
      </c>
      <c r="ET136" t="e">
        <f>AND(NhatkyNhap!#REF!,"AAAAAF5/+ZU=")</f>
        <v>#REF!</v>
      </c>
      <c r="EU136" t="e">
        <f>AND(NhatkyNhap!#REF!,"AAAAAF5/+ZY=")</f>
        <v>#REF!</v>
      </c>
      <c r="EV136" t="e">
        <f>AND(NhatkyNhap!#REF!,"AAAAAF5/+Zc=")</f>
        <v>#REF!</v>
      </c>
      <c r="EW136" t="e">
        <f>AND(NhatkyNhap!#REF!,"AAAAAF5/+Zg=")</f>
        <v>#REF!</v>
      </c>
      <c r="EX136" t="e">
        <f>AND(NhatkyNhap!#REF!,"AAAAAF5/+Zk=")</f>
        <v>#REF!</v>
      </c>
      <c r="EY136" t="e">
        <f>AND(NhatkyNhap!#REF!,"AAAAAF5/+Zo=")</f>
        <v>#REF!</v>
      </c>
      <c r="EZ136" t="e">
        <f>AND(NhatkyNhap!#REF!,"AAAAAF5/+Zs=")</f>
        <v>#REF!</v>
      </c>
      <c r="FA136" t="e">
        <f>AND(NhatkyNhap!#REF!,"AAAAAF5/+Zw=")</f>
        <v>#REF!</v>
      </c>
      <c r="FB136" t="e">
        <f>AND(NhatkyNhap!#REF!,"AAAAAF5/+Z0=")</f>
        <v>#REF!</v>
      </c>
      <c r="FC136" t="e">
        <f>AND(NhatkyNhap!#REF!,"AAAAAF5/+Z4=")</f>
        <v>#REF!</v>
      </c>
      <c r="FD136" t="e">
        <f>AND(NhatkyNhap!#REF!,"AAAAAF5/+Z8=")</f>
        <v>#REF!</v>
      </c>
      <c r="FE136" t="e">
        <f>AND(NhatkyNhap!#REF!,"AAAAAF5/+aA=")</f>
        <v>#REF!</v>
      </c>
      <c r="FF136" t="e">
        <f>AND(NhatkyNhap!#REF!,"AAAAAF5/+aE=")</f>
        <v>#REF!</v>
      </c>
      <c r="FG136" t="e">
        <f>AND(NhatkyNhap!#REF!,"AAAAAF5/+aI=")</f>
        <v>#REF!</v>
      </c>
      <c r="FH136" t="e">
        <f>AND(NhatkyNhap!#REF!,"AAAAAF5/+aM=")</f>
        <v>#REF!</v>
      </c>
      <c r="FI136" t="e">
        <f>AND(NhatkyNhap!#REF!,"AAAAAF5/+aQ=")</f>
        <v>#REF!</v>
      </c>
      <c r="FJ136" t="e">
        <f>AND(NhatkyNhap!#REF!,"AAAAAF5/+aU=")</f>
        <v>#REF!</v>
      </c>
      <c r="FK136" t="e">
        <f>AND(NhatkyNhap!#REF!,"AAAAAF5/+aY=")</f>
        <v>#REF!</v>
      </c>
      <c r="FL136" t="e">
        <f>AND(NhatkyNhap!#REF!,"AAAAAF5/+ac=")</f>
        <v>#REF!</v>
      </c>
      <c r="FM136" t="e">
        <f>AND(NhatkyNhap!#REF!,"AAAAAF5/+ag=")</f>
        <v>#REF!</v>
      </c>
      <c r="FN136" t="e">
        <f>AND(NhatkyNhap!#REF!,"AAAAAF5/+ak=")</f>
        <v>#REF!</v>
      </c>
      <c r="FO136" t="e">
        <f>AND(NhatkyNhap!#REF!,"AAAAAF5/+ao=")</f>
        <v>#REF!</v>
      </c>
      <c r="FP136" t="e">
        <f>AND(NhatkyNhap!#REF!,"AAAAAF5/+as=")</f>
        <v>#REF!</v>
      </c>
      <c r="FQ136" t="e">
        <f>AND(NhatkyNhap!#REF!,"AAAAAF5/+aw=")</f>
        <v>#REF!</v>
      </c>
      <c r="FR136" t="e">
        <f>AND(NhatkyNhap!#REF!,"AAAAAF5/+a0=")</f>
        <v>#REF!</v>
      </c>
      <c r="FS136" t="e">
        <f>AND(NhatkyNhap!#REF!,"AAAAAF5/+a4=")</f>
        <v>#REF!</v>
      </c>
      <c r="FT136" t="e">
        <f>IF(NhatkyNhap!#REF!,"AAAAAF5/+a8=",0)</f>
        <v>#REF!</v>
      </c>
      <c r="FU136" t="e">
        <f>AND(NhatkyNhap!#REF!,"AAAAAF5/+bA=")</f>
        <v>#REF!</v>
      </c>
      <c r="FV136" t="e">
        <f>AND(NhatkyNhap!#REF!,"AAAAAF5/+bE=")</f>
        <v>#REF!</v>
      </c>
      <c r="FW136" t="e">
        <f>AND(NhatkyNhap!#REF!,"AAAAAF5/+bI=")</f>
        <v>#REF!</v>
      </c>
      <c r="FX136" t="e">
        <f>AND(NhatkyNhap!#REF!,"AAAAAF5/+bM=")</f>
        <v>#REF!</v>
      </c>
      <c r="FY136" t="e">
        <f>AND(NhatkyNhap!#REF!,"AAAAAF5/+bQ=")</f>
        <v>#REF!</v>
      </c>
      <c r="FZ136" t="e">
        <f>AND(NhatkyNhap!#REF!,"AAAAAF5/+bU=")</f>
        <v>#REF!</v>
      </c>
      <c r="GA136" t="e">
        <f>AND(NhatkyNhap!#REF!,"AAAAAF5/+bY=")</f>
        <v>#REF!</v>
      </c>
      <c r="GB136" t="e">
        <f>AND(NhatkyNhap!#REF!,"AAAAAF5/+bc=")</f>
        <v>#REF!</v>
      </c>
      <c r="GC136" t="e">
        <f>AND(NhatkyNhap!#REF!,"AAAAAF5/+bg=")</f>
        <v>#REF!</v>
      </c>
      <c r="GD136" t="e">
        <f>AND(NhatkyNhap!#REF!,"AAAAAF5/+bk=")</f>
        <v>#REF!</v>
      </c>
      <c r="GE136" t="e">
        <f>AND(NhatkyNhap!#REF!,"AAAAAF5/+bo=")</f>
        <v>#REF!</v>
      </c>
      <c r="GF136" t="e">
        <f>AND(NhatkyNhap!#REF!,"AAAAAF5/+bs=")</f>
        <v>#REF!</v>
      </c>
      <c r="GG136" t="e">
        <f>AND(NhatkyNhap!#REF!,"AAAAAF5/+bw=")</f>
        <v>#REF!</v>
      </c>
      <c r="GH136" t="e">
        <f>AND(NhatkyNhap!#REF!,"AAAAAF5/+b0=")</f>
        <v>#REF!</v>
      </c>
      <c r="GI136" t="e">
        <f>AND(NhatkyNhap!#REF!,"AAAAAF5/+b4=")</f>
        <v>#REF!</v>
      </c>
      <c r="GJ136" t="e">
        <f>AND(NhatkyNhap!#REF!,"AAAAAF5/+b8=")</f>
        <v>#REF!</v>
      </c>
      <c r="GK136" t="e">
        <f>AND(NhatkyNhap!#REF!,"AAAAAF5/+cA=")</f>
        <v>#REF!</v>
      </c>
      <c r="GL136" t="e">
        <f>AND(NhatkyNhap!#REF!,"AAAAAF5/+cE=")</f>
        <v>#REF!</v>
      </c>
      <c r="GM136" t="e">
        <f>AND(NhatkyNhap!#REF!,"AAAAAF5/+cI=")</f>
        <v>#REF!</v>
      </c>
      <c r="GN136" t="e">
        <f>AND(NhatkyNhap!#REF!,"AAAAAF5/+cM=")</f>
        <v>#REF!</v>
      </c>
      <c r="GO136" t="e">
        <f>AND(NhatkyNhap!#REF!,"AAAAAF5/+cQ=")</f>
        <v>#REF!</v>
      </c>
      <c r="GP136" t="e">
        <f>AND(NhatkyNhap!#REF!,"AAAAAF5/+cU=")</f>
        <v>#REF!</v>
      </c>
      <c r="GQ136" t="e">
        <f>AND(NhatkyNhap!#REF!,"AAAAAF5/+cY=")</f>
        <v>#REF!</v>
      </c>
      <c r="GR136" t="e">
        <f>AND(NhatkyNhap!#REF!,"AAAAAF5/+cc=")</f>
        <v>#REF!</v>
      </c>
      <c r="GS136" t="e">
        <f>AND(NhatkyNhap!#REF!,"AAAAAF5/+cg=")</f>
        <v>#REF!</v>
      </c>
      <c r="GT136" t="e">
        <f>AND(NhatkyNhap!#REF!,"AAAAAF5/+ck=")</f>
        <v>#REF!</v>
      </c>
      <c r="GU136" t="e">
        <f>AND(NhatkyNhap!#REF!,"AAAAAF5/+co=")</f>
        <v>#REF!</v>
      </c>
      <c r="GV136" t="e">
        <f>AND(NhatkyNhap!#REF!,"AAAAAF5/+cs=")</f>
        <v>#REF!</v>
      </c>
      <c r="GW136" t="e">
        <f>AND(NhatkyNhap!#REF!,"AAAAAF5/+cw=")</f>
        <v>#REF!</v>
      </c>
      <c r="GX136" t="e">
        <f>AND(NhatkyNhap!#REF!,"AAAAAF5/+c0=")</f>
        <v>#REF!</v>
      </c>
      <c r="GY136" t="e">
        <f>AND(NhatkyNhap!#REF!,"AAAAAF5/+c4=")</f>
        <v>#REF!</v>
      </c>
      <c r="GZ136" t="e">
        <f>AND(NhatkyNhap!#REF!,"AAAAAF5/+c8=")</f>
        <v>#REF!</v>
      </c>
      <c r="HA136" t="e">
        <f>AND(NhatkyNhap!#REF!,"AAAAAF5/+dA=")</f>
        <v>#REF!</v>
      </c>
      <c r="HB136" t="e">
        <f>AND(NhatkyNhap!#REF!,"AAAAAF5/+dE=")</f>
        <v>#REF!</v>
      </c>
      <c r="HC136" t="e">
        <f>IF(NhatkyNhap!#REF!,"AAAAAF5/+dI=",0)</f>
        <v>#REF!</v>
      </c>
      <c r="HD136" t="e">
        <f>AND(NhatkyNhap!#REF!,"AAAAAF5/+dM=")</f>
        <v>#REF!</v>
      </c>
      <c r="HE136" t="e">
        <f>AND(NhatkyNhap!#REF!,"AAAAAF5/+dQ=")</f>
        <v>#REF!</v>
      </c>
      <c r="HF136" t="e">
        <f>AND(NhatkyNhap!#REF!,"AAAAAF5/+dU=")</f>
        <v>#REF!</v>
      </c>
      <c r="HG136" t="e">
        <f>AND(NhatkyNhap!#REF!,"AAAAAF5/+dY=")</f>
        <v>#REF!</v>
      </c>
      <c r="HH136" t="e">
        <f>AND(NhatkyNhap!#REF!,"AAAAAF5/+dc=")</f>
        <v>#REF!</v>
      </c>
      <c r="HI136" t="e">
        <f>AND(NhatkyNhap!#REF!,"AAAAAF5/+dg=")</f>
        <v>#REF!</v>
      </c>
      <c r="HJ136" t="e">
        <f>AND(NhatkyNhap!#REF!,"AAAAAF5/+dk=")</f>
        <v>#REF!</v>
      </c>
      <c r="HK136" t="e">
        <f>AND(NhatkyNhap!#REF!,"AAAAAF5/+do=")</f>
        <v>#REF!</v>
      </c>
      <c r="HL136" t="e">
        <f>AND(NhatkyNhap!#REF!,"AAAAAF5/+ds=")</f>
        <v>#REF!</v>
      </c>
      <c r="HM136" t="e">
        <f>AND(NhatkyNhap!#REF!,"AAAAAF5/+dw=")</f>
        <v>#REF!</v>
      </c>
      <c r="HN136" t="e">
        <f>AND(NhatkyNhap!#REF!,"AAAAAF5/+d0=")</f>
        <v>#REF!</v>
      </c>
      <c r="HO136" t="e">
        <f>AND(NhatkyNhap!#REF!,"AAAAAF5/+d4=")</f>
        <v>#REF!</v>
      </c>
      <c r="HP136" t="e">
        <f>AND(NhatkyNhap!#REF!,"AAAAAF5/+d8=")</f>
        <v>#REF!</v>
      </c>
      <c r="HQ136" t="e">
        <f>AND(NhatkyNhap!#REF!,"AAAAAF5/+eA=")</f>
        <v>#REF!</v>
      </c>
      <c r="HR136" t="e">
        <f>AND(NhatkyNhap!#REF!,"AAAAAF5/+eE=")</f>
        <v>#REF!</v>
      </c>
      <c r="HS136" t="e">
        <f>AND(NhatkyNhap!#REF!,"AAAAAF5/+eI=")</f>
        <v>#REF!</v>
      </c>
      <c r="HT136" t="e">
        <f>AND(NhatkyNhap!#REF!,"AAAAAF5/+eM=")</f>
        <v>#REF!</v>
      </c>
      <c r="HU136" t="e">
        <f>AND(NhatkyNhap!#REF!,"AAAAAF5/+eQ=")</f>
        <v>#REF!</v>
      </c>
      <c r="HV136" t="e">
        <f>AND(NhatkyNhap!#REF!,"AAAAAF5/+eU=")</f>
        <v>#REF!</v>
      </c>
      <c r="HW136" t="e">
        <f>AND(NhatkyNhap!#REF!,"AAAAAF5/+eY=")</f>
        <v>#REF!</v>
      </c>
      <c r="HX136" t="e">
        <f>AND(NhatkyNhap!#REF!,"AAAAAF5/+ec=")</f>
        <v>#REF!</v>
      </c>
      <c r="HY136" t="e">
        <f>AND(NhatkyNhap!#REF!,"AAAAAF5/+eg=")</f>
        <v>#REF!</v>
      </c>
      <c r="HZ136" t="e">
        <f>AND(NhatkyNhap!#REF!,"AAAAAF5/+ek=")</f>
        <v>#REF!</v>
      </c>
      <c r="IA136" t="e">
        <f>AND(NhatkyNhap!#REF!,"AAAAAF5/+eo=")</f>
        <v>#REF!</v>
      </c>
      <c r="IB136" t="e">
        <f>AND(NhatkyNhap!#REF!,"AAAAAF5/+es=")</f>
        <v>#REF!</v>
      </c>
      <c r="IC136" t="e">
        <f>AND(NhatkyNhap!#REF!,"AAAAAF5/+ew=")</f>
        <v>#REF!</v>
      </c>
      <c r="ID136" t="e">
        <f>AND(NhatkyNhap!#REF!,"AAAAAF5/+e0=")</f>
        <v>#REF!</v>
      </c>
      <c r="IE136" t="e">
        <f>AND(NhatkyNhap!#REF!,"AAAAAF5/+e4=")</f>
        <v>#REF!</v>
      </c>
      <c r="IF136" t="e">
        <f>AND(NhatkyNhap!#REF!,"AAAAAF5/+e8=")</f>
        <v>#REF!</v>
      </c>
      <c r="IG136" t="e">
        <f>AND(NhatkyNhap!#REF!,"AAAAAF5/+fA=")</f>
        <v>#REF!</v>
      </c>
      <c r="IH136" t="e">
        <f>AND(NhatkyNhap!#REF!,"AAAAAF5/+fE=")</f>
        <v>#REF!</v>
      </c>
      <c r="II136" t="e">
        <f>AND(NhatkyNhap!#REF!,"AAAAAF5/+fI=")</f>
        <v>#REF!</v>
      </c>
      <c r="IJ136" t="e">
        <f>AND(NhatkyNhap!#REF!,"AAAAAF5/+fM=")</f>
        <v>#REF!</v>
      </c>
      <c r="IK136" t="e">
        <f>AND(NhatkyNhap!#REF!,"AAAAAF5/+fQ=")</f>
        <v>#REF!</v>
      </c>
      <c r="IL136" t="e">
        <f>IF(NhatkyNhap!#REF!,"AAAAAF5/+fU=",0)</f>
        <v>#REF!</v>
      </c>
      <c r="IM136" t="e">
        <f>AND(NhatkyNhap!#REF!,"AAAAAF5/+fY=")</f>
        <v>#REF!</v>
      </c>
      <c r="IN136" t="e">
        <f>AND(NhatkyNhap!#REF!,"AAAAAF5/+fc=")</f>
        <v>#REF!</v>
      </c>
      <c r="IO136" t="e">
        <f>AND(NhatkyNhap!#REF!,"AAAAAF5/+fg=")</f>
        <v>#REF!</v>
      </c>
      <c r="IP136" t="e">
        <f>AND(NhatkyNhap!#REF!,"AAAAAF5/+fk=")</f>
        <v>#REF!</v>
      </c>
      <c r="IQ136" t="e">
        <f>AND(NhatkyNhap!#REF!,"AAAAAF5/+fo=")</f>
        <v>#REF!</v>
      </c>
      <c r="IR136" t="e">
        <f>AND(NhatkyNhap!#REF!,"AAAAAF5/+fs=")</f>
        <v>#REF!</v>
      </c>
      <c r="IS136" t="e">
        <f>AND(NhatkyNhap!#REF!,"AAAAAF5/+fw=")</f>
        <v>#REF!</v>
      </c>
      <c r="IT136" t="e">
        <f>AND(NhatkyNhap!#REF!,"AAAAAF5/+f0=")</f>
        <v>#REF!</v>
      </c>
      <c r="IU136" t="e">
        <f>AND(NhatkyNhap!#REF!,"AAAAAF5/+f4=")</f>
        <v>#REF!</v>
      </c>
      <c r="IV136" t="e">
        <f>AND(NhatkyNhap!#REF!,"AAAAAF5/+f8=")</f>
        <v>#REF!</v>
      </c>
    </row>
    <row r="137" spans="1:256">
      <c r="A137" t="e">
        <f>AND(NhatkyNhap!#REF!,"AAAAAH7P/QA=")</f>
        <v>#REF!</v>
      </c>
      <c r="B137" t="e">
        <f>AND(NhatkyNhap!#REF!,"AAAAAH7P/QE=")</f>
        <v>#REF!</v>
      </c>
      <c r="C137" t="e">
        <f>AND(NhatkyNhap!#REF!,"AAAAAH7P/QI=")</f>
        <v>#REF!</v>
      </c>
      <c r="D137" t="e">
        <f>AND(NhatkyNhap!#REF!,"AAAAAH7P/QM=")</f>
        <v>#REF!</v>
      </c>
      <c r="E137" t="e">
        <f>AND(NhatkyNhap!#REF!,"AAAAAH7P/QQ=")</f>
        <v>#REF!</v>
      </c>
      <c r="F137" t="e">
        <f>AND(NhatkyNhap!#REF!,"AAAAAH7P/QU=")</f>
        <v>#REF!</v>
      </c>
      <c r="G137" t="e">
        <f>AND(NhatkyNhap!#REF!,"AAAAAH7P/QY=")</f>
        <v>#REF!</v>
      </c>
      <c r="H137" t="e">
        <f>AND(NhatkyNhap!#REF!,"AAAAAH7P/Qc=")</f>
        <v>#REF!</v>
      </c>
      <c r="I137" t="e">
        <f>AND(NhatkyNhap!#REF!,"AAAAAH7P/Qg=")</f>
        <v>#REF!</v>
      </c>
      <c r="J137" t="e">
        <f>AND(NhatkyNhap!#REF!,"AAAAAH7P/Qk=")</f>
        <v>#REF!</v>
      </c>
      <c r="K137" t="e">
        <f>AND(NhatkyNhap!#REF!,"AAAAAH7P/Qo=")</f>
        <v>#REF!</v>
      </c>
      <c r="L137" t="e">
        <f>AND(NhatkyNhap!#REF!,"AAAAAH7P/Qs=")</f>
        <v>#REF!</v>
      </c>
      <c r="M137" t="e">
        <f>AND(NhatkyNhap!#REF!,"AAAAAH7P/Qw=")</f>
        <v>#REF!</v>
      </c>
      <c r="N137" t="e">
        <f>AND(NhatkyNhap!#REF!,"AAAAAH7P/Q0=")</f>
        <v>#REF!</v>
      </c>
      <c r="O137" t="e">
        <f>AND(NhatkyNhap!#REF!,"AAAAAH7P/Q4=")</f>
        <v>#REF!</v>
      </c>
      <c r="P137" t="e">
        <f>AND(NhatkyNhap!#REF!,"AAAAAH7P/Q8=")</f>
        <v>#REF!</v>
      </c>
      <c r="Q137" t="e">
        <f>AND(NhatkyNhap!#REF!,"AAAAAH7P/RA=")</f>
        <v>#REF!</v>
      </c>
      <c r="R137" t="e">
        <f>AND(NhatkyNhap!#REF!,"AAAAAH7P/RE=")</f>
        <v>#REF!</v>
      </c>
      <c r="S137" t="e">
        <f>AND(NhatkyNhap!#REF!,"AAAAAH7P/RI=")</f>
        <v>#REF!</v>
      </c>
      <c r="T137" t="e">
        <f>AND(NhatkyNhap!#REF!,"AAAAAH7P/RM=")</f>
        <v>#REF!</v>
      </c>
      <c r="U137" t="e">
        <f>AND(NhatkyNhap!#REF!,"AAAAAH7P/RQ=")</f>
        <v>#REF!</v>
      </c>
      <c r="V137" t="e">
        <f>AND(NhatkyNhap!#REF!,"AAAAAH7P/RU=")</f>
        <v>#REF!</v>
      </c>
      <c r="W137" t="e">
        <f>AND(NhatkyNhap!#REF!,"AAAAAH7P/RY=")</f>
        <v>#REF!</v>
      </c>
      <c r="X137" t="e">
        <f>AND(NhatkyNhap!#REF!,"AAAAAH7P/Rc=")</f>
        <v>#REF!</v>
      </c>
      <c r="Y137" t="e">
        <f>IF(NhatkyNhap!#REF!,"AAAAAH7P/Rg=",0)</f>
        <v>#REF!</v>
      </c>
      <c r="Z137" t="e">
        <f>AND(NhatkyNhap!#REF!,"AAAAAH7P/Rk=")</f>
        <v>#REF!</v>
      </c>
      <c r="AA137" t="e">
        <f>AND(NhatkyNhap!#REF!,"AAAAAH7P/Ro=")</f>
        <v>#REF!</v>
      </c>
      <c r="AB137" t="e">
        <f>AND(NhatkyNhap!#REF!,"AAAAAH7P/Rs=")</f>
        <v>#REF!</v>
      </c>
      <c r="AC137" t="e">
        <f>AND(NhatkyNhap!#REF!,"AAAAAH7P/Rw=")</f>
        <v>#REF!</v>
      </c>
      <c r="AD137" t="e">
        <f>AND(NhatkyNhap!#REF!,"AAAAAH7P/R0=")</f>
        <v>#REF!</v>
      </c>
      <c r="AE137" t="e">
        <f>AND(NhatkyNhap!#REF!,"AAAAAH7P/R4=")</f>
        <v>#REF!</v>
      </c>
      <c r="AF137" t="e">
        <f>AND(NhatkyNhap!#REF!,"AAAAAH7P/R8=")</f>
        <v>#REF!</v>
      </c>
      <c r="AG137" t="e">
        <f>AND(NhatkyNhap!#REF!,"AAAAAH7P/SA=")</f>
        <v>#REF!</v>
      </c>
      <c r="AH137" t="e">
        <f>AND(NhatkyNhap!#REF!,"AAAAAH7P/SE=")</f>
        <v>#REF!</v>
      </c>
      <c r="AI137" t="e">
        <f>AND(NhatkyNhap!#REF!,"AAAAAH7P/SI=")</f>
        <v>#REF!</v>
      </c>
      <c r="AJ137" t="e">
        <f>AND(NhatkyNhap!#REF!,"AAAAAH7P/SM=")</f>
        <v>#REF!</v>
      </c>
      <c r="AK137" t="e">
        <f>AND(NhatkyNhap!#REF!,"AAAAAH7P/SQ=")</f>
        <v>#REF!</v>
      </c>
      <c r="AL137" t="e">
        <f>AND(NhatkyNhap!#REF!,"AAAAAH7P/SU=")</f>
        <v>#REF!</v>
      </c>
      <c r="AM137" t="e">
        <f>AND(NhatkyNhap!#REF!,"AAAAAH7P/SY=")</f>
        <v>#REF!</v>
      </c>
      <c r="AN137" t="e">
        <f>AND(NhatkyNhap!#REF!,"AAAAAH7P/Sc=")</f>
        <v>#REF!</v>
      </c>
      <c r="AO137" t="e">
        <f>AND(NhatkyNhap!#REF!,"AAAAAH7P/Sg=")</f>
        <v>#REF!</v>
      </c>
      <c r="AP137" t="e">
        <f>AND(NhatkyNhap!#REF!,"AAAAAH7P/Sk=")</f>
        <v>#REF!</v>
      </c>
      <c r="AQ137" t="e">
        <f>AND(NhatkyNhap!#REF!,"AAAAAH7P/So=")</f>
        <v>#REF!</v>
      </c>
      <c r="AR137" t="e">
        <f>AND(NhatkyNhap!#REF!,"AAAAAH7P/Ss=")</f>
        <v>#REF!</v>
      </c>
      <c r="AS137" t="e">
        <f>AND(NhatkyNhap!#REF!,"AAAAAH7P/Sw=")</f>
        <v>#REF!</v>
      </c>
      <c r="AT137" t="e">
        <f>AND(NhatkyNhap!#REF!,"AAAAAH7P/S0=")</f>
        <v>#REF!</v>
      </c>
      <c r="AU137" t="e">
        <f>AND(NhatkyNhap!#REF!,"AAAAAH7P/S4=")</f>
        <v>#REF!</v>
      </c>
      <c r="AV137" t="e">
        <f>AND(NhatkyNhap!#REF!,"AAAAAH7P/S8=")</f>
        <v>#REF!</v>
      </c>
      <c r="AW137" t="e">
        <f>AND(NhatkyNhap!#REF!,"AAAAAH7P/TA=")</f>
        <v>#REF!</v>
      </c>
      <c r="AX137" t="e">
        <f>AND(NhatkyNhap!#REF!,"AAAAAH7P/TE=")</f>
        <v>#REF!</v>
      </c>
      <c r="AY137" t="e">
        <f>AND(NhatkyNhap!#REF!,"AAAAAH7P/TI=")</f>
        <v>#REF!</v>
      </c>
      <c r="AZ137" t="e">
        <f>AND(NhatkyNhap!#REF!,"AAAAAH7P/TM=")</f>
        <v>#REF!</v>
      </c>
      <c r="BA137" t="e">
        <f>AND(NhatkyNhap!#REF!,"AAAAAH7P/TQ=")</f>
        <v>#REF!</v>
      </c>
      <c r="BB137" t="e">
        <f>AND(NhatkyNhap!#REF!,"AAAAAH7P/TU=")</f>
        <v>#REF!</v>
      </c>
      <c r="BC137" t="e">
        <f>AND(NhatkyNhap!#REF!,"AAAAAH7P/TY=")</f>
        <v>#REF!</v>
      </c>
      <c r="BD137" t="e">
        <f>AND(NhatkyNhap!#REF!,"AAAAAH7P/Tc=")</f>
        <v>#REF!</v>
      </c>
      <c r="BE137" t="e">
        <f>AND(NhatkyNhap!#REF!,"AAAAAH7P/Tg=")</f>
        <v>#REF!</v>
      </c>
      <c r="BF137" t="e">
        <f>AND(NhatkyNhap!#REF!,"AAAAAH7P/Tk=")</f>
        <v>#REF!</v>
      </c>
      <c r="BG137" t="e">
        <f>AND(NhatkyNhap!#REF!,"AAAAAH7P/To=")</f>
        <v>#REF!</v>
      </c>
      <c r="BH137" t="e">
        <f>IF(NhatkyNhap!#REF!,"AAAAAH7P/Ts=",0)</f>
        <v>#REF!</v>
      </c>
      <c r="BI137" t="e">
        <f>AND(NhatkyNhap!#REF!,"AAAAAH7P/Tw=")</f>
        <v>#REF!</v>
      </c>
      <c r="BJ137" t="e">
        <f>AND(NhatkyNhap!#REF!,"AAAAAH7P/T0=")</f>
        <v>#REF!</v>
      </c>
      <c r="BK137" t="e">
        <f>AND(NhatkyNhap!#REF!,"AAAAAH7P/T4=")</f>
        <v>#REF!</v>
      </c>
      <c r="BL137" t="e">
        <f>AND(NhatkyNhap!#REF!,"AAAAAH7P/T8=")</f>
        <v>#REF!</v>
      </c>
      <c r="BM137" t="e">
        <f>AND(NhatkyNhap!#REF!,"AAAAAH7P/UA=")</f>
        <v>#REF!</v>
      </c>
      <c r="BN137" t="e">
        <f>AND(NhatkyNhap!#REF!,"AAAAAH7P/UE=")</f>
        <v>#REF!</v>
      </c>
      <c r="BO137" t="e">
        <f>AND(NhatkyNhap!#REF!,"AAAAAH7P/UI=")</f>
        <v>#REF!</v>
      </c>
      <c r="BP137" t="e">
        <f>AND(NhatkyNhap!#REF!,"AAAAAH7P/UM=")</f>
        <v>#REF!</v>
      </c>
      <c r="BQ137" t="e">
        <f>AND(NhatkyNhap!#REF!,"AAAAAH7P/UQ=")</f>
        <v>#REF!</v>
      </c>
      <c r="BR137" t="e">
        <f>AND(NhatkyNhap!#REF!,"AAAAAH7P/UU=")</f>
        <v>#REF!</v>
      </c>
      <c r="BS137" t="e">
        <f>AND(NhatkyNhap!#REF!,"AAAAAH7P/UY=")</f>
        <v>#REF!</v>
      </c>
      <c r="BT137" t="e">
        <f>AND(NhatkyNhap!#REF!,"AAAAAH7P/Uc=")</f>
        <v>#REF!</v>
      </c>
      <c r="BU137" t="e">
        <f>AND(NhatkyNhap!#REF!,"AAAAAH7P/Ug=")</f>
        <v>#REF!</v>
      </c>
      <c r="BV137" t="e">
        <f>AND(NhatkyNhap!#REF!,"AAAAAH7P/Uk=")</f>
        <v>#REF!</v>
      </c>
      <c r="BW137" t="e">
        <f>AND(NhatkyNhap!#REF!,"AAAAAH7P/Uo=")</f>
        <v>#REF!</v>
      </c>
      <c r="BX137" t="e">
        <f>AND(NhatkyNhap!#REF!,"AAAAAH7P/Us=")</f>
        <v>#REF!</v>
      </c>
      <c r="BY137" t="e">
        <f>AND(NhatkyNhap!#REF!,"AAAAAH7P/Uw=")</f>
        <v>#REF!</v>
      </c>
      <c r="BZ137" t="e">
        <f>AND(NhatkyNhap!#REF!,"AAAAAH7P/U0=")</f>
        <v>#REF!</v>
      </c>
      <c r="CA137" t="e">
        <f>AND(NhatkyNhap!#REF!,"AAAAAH7P/U4=")</f>
        <v>#REF!</v>
      </c>
      <c r="CB137" t="e">
        <f>AND(NhatkyNhap!#REF!,"AAAAAH7P/U8=")</f>
        <v>#REF!</v>
      </c>
      <c r="CC137" t="e">
        <f>AND(NhatkyNhap!#REF!,"AAAAAH7P/VA=")</f>
        <v>#REF!</v>
      </c>
      <c r="CD137" t="e">
        <f>AND(NhatkyNhap!#REF!,"AAAAAH7P/VE=")</f>
        <v>#REF!</v>
      </c>
      <c r="CE137" t="e">
        <f>AND(NhatkyNhap!#REF!,"AAAAAH7P/VI=")</f>
        <v>#REF!</v>
      </c>
      <c r="CF137" t="e">
        <f>AND(NhatkyNhap!#REF!,"AAAAAH7P/VM=")</f>
        <v>#REF!</v>
      </c>
      <c r="CG137" t="e">
        <f>AND(NhatkyNhap!#REF!,"AAAAAH7P/VQ=")</f>
        <v>#REF!</v>
      </c>
      <c r="CH137" t="e">
        <f>AND(NhatkyNhap!#REF!,"AAAAAH7P/VU=")</f>
        <v>#REF!</v>
      </c>
      <c r="CI137" t="e">
        <f>AND(NhatkyNhap!#REF!,"AAAAAH7P/VY=")</f>
        <v>#REF!</v>
      </c>
      <c r="CJ137" t="e">
        <f>AND(NhatkyNhap!#REF!,"AAAAAH7P/Vc=")</f>
        <v>#REF!</v>
      </c>
      <c r="CK137" t="e">
        <f>AND(NhatkyNhap!#REF!,"AAAAAH7P/Vg=")</f>
        <v>#REF!</v>
      </c>
      <c r="CL137" t="e">
        <f>AND(NhatkyNhap!#REF!,"AAAAAH7P/Vk=")</f>
        <v>#REF!</v>
      </c>
      <c r="CM137" t="e">
        <f>AND(NhatkyNhap!#REF!,"AAAAAH7P/Vo=")</f>
        <v>#REF!</v>
      </c>
      <c r="CN137" t="e">
        <f>AND(NhatkyNhap!#REF!,"AAAAAH7P/Vs=")</f>
        <v>#REF!</v>
      </c>
      <c r="CO137" t="e">
        <f>AND(NhatkyNhap!#REF!,"AAAAAH7P/Vw=")</f>
        <v>#REF!</v>
      </c>
      <c r="CP137" t="e">
        <f>AND(NhatkyNhap!#REF!,"AAAAAH7P/V0=")</f>
        <v>#REF!</v>
      </c>
      <c r="CQ137" t="e">
        <f>IF(NhatkyNhap!#REF!,"AAAAAH7P/V4=",0)</f>
        <v>#REF!</v>
      </c>
      <c r="CR137" t="e">
        <f>AND(NhatkyNhap!#REF!,"AAAAAH7P/V8=")</f>
        <v>#REF!</v>
      </c>
      <c r="CS137" t="e">
        <f>AND(NhatkyNhap!#REF!,"AAAAAH7P/WA=")</f>
        <v>#REF!</v>
      </c>
      <c r="CT137" t="e">
        <f>AND(NhatkyNhap!#REF!,"AAAAAH7P/WE=")</f>
        <v>#REF!</v>
      </c>
      <c r="CU137" t="e">
        <f>AND(NhatkyNhap!#REF!,"AAAAAH7P/WI=")</f>
        <v>#REF!</v>
      </c>
      <c r="CV137" t="e">
        <f>AND(NhatkyNhap!#REF!,"AAAAAH7P/WM=")</f>
        <v>#REF!</v>
      </c>
      <c r="CW137" t="e">
        <f>AND(NhatkyNhap!#REF!,"AAAAAH7P/WQ=")</f>
        <v>#REF!</v>
      </c>
      <c r="CX137" t="e">
        <f>AND(NhatkyNhap!#REF!,"AAAAAH7P/WU=")</f>
        <v>#REF!</v>
      </c>
      <c r="CY137" t="e">
        <f>AND(NhatkyNhap!#REF!,"AAAAAH7P/WY=")</f>
        <v>#REF!</v>
      </c>
      <c r="CZ137" t="e">
        <f>AND(NhatkyNhap!#REF!,"AAAAAH7P/Wc=")</f>
        <v>#REF!</v>
      </c>
      <c r="DA137" t="e">
        <f>AND(NhatkyNhap!#REF!,"AAAAAH7P/Wg=")</f>
        <v>#REF!</v>
      </c>
      <c r="DB137" t="e">
        <f>AND(NhatkyNhap!#REF!,"AAAAAH7P/Wk=")</f>
        <v>#REF!</v>
      </c>
      <c r="DC137" t="e">
        <f>AND(NhatkyNhap!#REF!,"AAAAAH7P/Wo=")</f>
        <v>#REF!</v>
      </c>
      <c r="DD137" t="e">
        <f>AND(NhatkyNhap!#REF!,"AAAAAH7P/Ws=")</f>
        <v>#REF!</v>
      </c>
      <c r="DE137" t="e">
        <f>AND(NhatkyNhap!#REF!,"AAAAAH7P/Ww=")</f>
        <v>#REF!</v>
      </c>
      <c r="DF137" t="e">
        <f>AND(NhatkyNhap!#REF!,"AAAAAH7P/W0=")</f>
        <v>#REF!</v>
      </c>
      <c r="DG137" t="e">
        <f>AND(NhatkyNhap!#REF!,"AAAAAH7P/W4=")</f>
        <v>#REF!</v>
      </c>
      <c r="DH137" t="e">
        <f>AND(NhatkyNhap!#REF!,"AAAAAH7P/W8=")</f>
        <v>#REF!</v>
      </c>
      <c r="DI137" t="e">
        <f>AND(NhatkyNhap!#REF!,"AAAAAH7P/XA=")</f>
        <v>#REF!</v>
      </c>
      <c r="DJ137" t="e">
        <f>AND(NhatkyNhap!#REF!,"AAAAAH7P/XE=")</f>
        <v>#REF!</v>
      </c>
      <c r="DK137" t="e">
        <f>AND(NhatkyNhap!#REF!,"AAAAAH7P/XI=")</f>
        <v>#REF!</v>
      </c>
      <c r="DL137" t="e">
        <f>AND(NhatkyNhap!#REF!,"AAAAAH7P/XM=")</f>
        <v>#REF!</v>
      </c>
      <c r="DM137" t="e">
        <f>AND(NhatkyNhap!#REF!,"AAAAAH7P/XQ=")</f>
        <v>#REF!</v>
      </c>
      <c r="DN137" t="e">
        <f>AND(NhatkyNhap!#REF!,"AAAAAH7P/XU=")</f>
        <v>#REF!</v>
      </c>
      <c r="DO137" t="e">
        <f>AND(NhatkyNhap!#REF!,"AAAAAH7P/XY=")</f>
        <v>#REF!</v>
      </c>
      <c r="DP137" t="e">
        <f>AND(NhatkyNhap!#REF!,"AAAAAH7P/Xc=")</f>
        <v>#REF!</v>
      </c>
      <c r="DQ137" t="e">
        <f>AND(NhatkyNhap!#REF!,"AAAAAH7P/Xg=")</f>
        <v>#REF!</v>
      </c>
      <c r="DR137" t="e">
        <f>AND(NhatkyNhap!#REF!,"AAAAAH7P/Xk=")</f>
        <v>#REF!</v>
      </c>
      <c r="DS137" t="e">
        <f>AND(NhatkyNhap!#REF!,"AAAAAH7P/Xo=")</f>
        <v>#REF!</v>
      </c>
      <c r="DT137" t="e">
        <f>AND(NhatkyNhap!#REF!,"AAAAAH7P/Xs=")</f>
        <v>#REF!</v>
      </c>
      <c r="DU137" t="e">
        <f>AND(NhatkyNhap!#REF!,"AAAAAH7P/Xw=")</f>
        <v>#REF!</v>
      </c>
      <c r="DV137" t="e">
        <f>AND(NhatkyNhap!#REF!,"AAAAAH7P/X0=")</f>
        <v>#REF!</v>
      </c>
      <c r="DW137" t="e">
        <f>AND(NhatkyNhap!#REF!,"AAAAAH7P/X4=")</f>
        <v>#REF!</v>
      </c>
      <c r="DX137" t="e">
        <f>AND(NhatkyNhap!#REF!,"AAAAAH7P/X8=")</f>
        <v>#REF!</v>
      </c>
      <c r="DY137" t="e">
        <f>AND(NhatkyNhap!#REF!,"AAAAAH7P/YA=")</f>
        <v>#REF!</v>
      </c>
      <c r="DZ137" t="e">
        <f>IF(NhatkyNhap!#REF!,"AAAAAH7P/YE=",0)</f>
        <v>#REF!</v>
      </c>
      <c r="EA137" t="e">
        <f>AND(NhatkyNhap!#REF!,"AAAAAH7P/YI=")</f>
        <v>#REF!</v>
      </c>
      <c r="EB137" t="e">
        <f>AND(NhatkyNhap!#REF!,"AAAAAH7P/YM=")</f>
        <v>#REF!</v>
      </c>
      <c r="EC137" t="e">
        <f>AND(NhatkyNhap!#REF!,"AAAAAH7P/YQ=")</f>
        <v>#REF!</v>
      </c>
      <c r="ED137" t="e">
        <f>AND(NhatkyNhap!#REF!,"AAAAAH7P/YU=")</f>
        <v>#REF!</v>
      </c>
      <c r="EE137" t="e">
        <f>AND(NhatkyNhap!#REF!,"AAAAAH7P/YY=")</f>
        <v>#REF!</v>
      </c>
      <c r="EF137" t="e">
        <f>AND(NhatkyNhap!#REF!,"AAAAAH7P/Yc=")</f>
        <v>#REF!</v>
      </c>
      <c r="EG137" t="e">
        <f>AND(NhatkyNhap!#REF!,"AAAAAH7P/Yg=")</f>
        <v>#REF!</v>
      </c>
      <c r="EH137" t="e">
        <f>AND(NhatkyNhap!#REF!,"AAAAAH7P/Yk=")</f>
        <v>#REF!</v>
      </c>
      <c r="EI137" t="e">
        <f>AND(NhatkyNhap!#REF!,"AAAAAH7P/Yo=")</f>
        <v>#REF!</v>
      </c>
      <c r="EJ137" t="e">
        <f>AND(NhatkyNhap!#REF!,"AAAAAH7P/Ys=")</f>
        <v>#REF!</v>
      </c>
      <c r="EK137" t="e">
        <f>AND(NhatkyNhap!#REF!,"AAAAAH7P/Yw=")</f>
        <v>#REF!</v>
      </c>
      <c r="EL137" t="e">
        <f>AND(NhatkyNhap!#REF!,"AAAAAH7P/Y0=")</f>
        <v>#REF!</v>
      </c>
      <c r="EM137" t="e">
        <f>AND(NhatkyNhap!#REF!,"AAAAAH7P/Y4=")</f>
        <v>#REF!</v>
      </c>
      <c r="EN137" t="e">
        <f>AND(NhatkyNhap!#REF!,"AAAAAH7P/Y8=")</f>
        <v>#REF!</v>
      </c>
      <c r="EO137" t="e">
        <f>AND(NhatkyNhap!#REF!,"AAAAAH7P/ZA=")</f>
        <v>#REF!</v>
      </c>
      <c r="EP137" t="e">
        <f>AND(NhatkyNhap!#REF!,"AAAAAH7P/ZE=")</f>
        <v>#REF!</v>
      </c>
      <c r="EQ137" t="e">
        <f>AND(NhatkyNhap!#REF!,"AAAAAH7P/ZI=")</f>
        <v>#REF!</v>
      </c>
      <c r="ER137" t="e">
        <f>AND(NhatkyNhap!#REF!,"AAAAAH7P/ZM=")</f>
        <v>#REF!</v>
      </c>
      <c r="ES137" t="e">
        <f>AND(NhatkyNhap!#REF!,"AAAAAH7P/ZQ=")</f>
        <v>#REF!</v>
      </c>
      <c r="ET137" t="e">
        <f>AND(NhatkyNhap!#REF!,"AAAAAH7P/ZU=")</f>
        <v>#REF!</v>
      </c>
      <c r="EU137" t="e">
        <f>AND(NhatkyNhap!#REF!,"AAAAAH7P/ZY=")</f>
        <v>#REF!</v>
      </c>
      <c r="EV137" t="e">
        <f>AND(NhatkyNhap!#REF!,"AAAAAH7P/Zc=")</f>
        <v>#REF!</v>
      </c>
      <c r="EW137" t="e">
        <f>AND(NhatkyNhap!#REF!,"AAAAAH7P/Zg=")</f>
        <v>#REF!</v>
      </c>
      <c r="EX137" t="e">
        <f>AND(NhatkyNhap!#REF!,"AAAAAH7P/Zk=")</f>
        <v>#REF!</v>
      </c>
      <c r="EY137" t="e">
        <f>AND(NhatkyNhap!#REF!,"AAAAAH7P/Zo=")</f>
        <v>#REF!</v>
      </c>
      <c r="EZ137" t="e">
        <f>AND(NhatkyNhap!#REF!,"AAAAAH7P/Zs=")</f>
        <v>#REF!</v>
      </c>
      <c r="FA137" t="e">
        <f>AND(NhatkyNhap!#REF!,"AAAAAH7P/Zw=")</f>
        <v>#REF!</v>
      </c>
      <c r="FB137" t="e">
        <f>AND(NhatkyNhap!#REF!,"AAAAAH7P/Z0=")</f>
        <v>#REF!</v>
      </c>
      <c r="FC137" t="e">
        <f>AND(NhatkyNhap!#REF!,"AAAAAH7P/Z4=")</f>
        <v>#REF!</v>
      </c>
      <c r="FD137" t="e">
        <f>AND(NhatkyNhap!#REF!,"AAAAAH7P/Z8=")</f>
        <v>#REF!</v>
      </c>
      <c r="FE137" t="e">
        <f>AND(NhatkyNhap!#REF!,"AAAAAH7P/aA=")</f>
        <v>#REF!</v>
      </c>
      <c r="FF137" t="e">
        <f>AND(NhatkyNhap!#REF!,"AAAAAH7P/aE=")</f>
        <v>#REF!</v>
      </c>
      <c r="FG137" t="e">
        <f>AND(NhatkyNhap!#REF!,"AAAAAH7P/aI=")</f>
        <v>#REF!</v>
      </c>
      <c r="FH137" t="e">
        <f>AND(NhatkyNhap!#REF!,"AAAAAH7P/aM=")</f>
        <v>#REF!</v>
      </c>
      <c r="FI137" t="e">
        <f>IF(NhatkyNhap!#REF!,"AAAAAH7P/aQ=",0)</f>
        <v>#REF!</v>
      </c>
      <c r="FJ137" t="e">
        <f>AND(NhatkyNhap!#REF!,"AAAAAH7P/aU=")</f>
        <v>#REF!</v>
      </c>
      <c r="FK137" t="e">
        <f>AND(NhatkyNhap!#REF!,"AAAAAH7P/aY=")</f>
        <v>#REF!</v>
      </c>
      <c r="FL137" t="e">
        <f>AND(NhatkyNhap!#REF!,"AAAAAH7P/ac=")</f>
        <v>#REF!</v>
      </c>
      <c r="FM137" t="e">
        <f>AND(NhatkyNhap!#REF!,"AAAAAH7P/ag=")</f>
        <v>#REF!</v>
      </c>
      <c r="FN137" t="e">
        <f>AND(NhatkyNhap!#REF!,"AAAAAH7P/ak=")</f>
        <v>#REF!</v>
      </c>
      <c r="FO137" t="e">
        <f>AND(NhatkyNhap!#REF!,"AAAAAH7P/ao=")</f>
        <v>#REF!</v>
      </c>
      <c r="FP137" t="e">
        <f>AND(NhatkyNhap!#REF!,"AAAAAH7P/as=")</f>
        <v>#REF!</v>
      </c>
      <c r="FQ137" t="e">
        <f>AND(NhatkyNhap!#REF!,"AAAAAH7P/aw=")</f>
        <v>#REF!</v>
      </c>
      <c r="FR137" t="e">
        <f>AND(NhatkyNhap!#REF!,"AAAAAH7P/a0=")</f>
        <v>#REF!</v>
      </c>
      <c r="FS137" t="e">
        <f>AND(NhatkyNhap!#REF!,"AAAAAH7P/a4=")</f>
        <v>#REF!</v>
      </c>
      <c r="FT137" t="e">
        <f>AND(NhatkyNhap!#REF!,"AAAAAH7P/a8=")</f>
        <v>#REF!</v>
      </c>
      <c r="FU137" t="e">
        <f>AND(NhatkyNhap!#REF!,"AAAAAH7P/bA=")</f>
        <v>#REF!</v>
      </c>
      <c r="FV137" t="e">
        <f>AND(NhatkyNhap!#REF!,"AAAAAH7P/bE=")</f>
        <v>#REF!</v>
      </c>
      <c r="FW137" t="e">
        <f>AND(NhatkyNhap!#REF!,"AAAAAH7P/bI=")</f>
        <v>#REF!</v>
      </c>
      <c r="FX137" t="e">
        <f>AND(NhatkyNhap!#REF!,"AAAAAH7P/bM=")</f>
        <v>#REF!</v>
      </c>
      <c r="FY137" t="e">
        <f>AND(NhatkyNhap!#REF!,"AAAAAH7P/bQ=")</f>
        <v>#REF!</v>
      </c>
      <c r="FZ137" t="e">
        <f>AND(NhatkyNhap!#REF!,"AAAAAH7P/bU=")</f>
        <v>#REF!</v>
      </c>
      <c r="GA137" t="e">
        <f>AND(NhatkyNhap!#REF!,"AAAAAH7P/bY=")</f>
        <v>#REF!</v>
      </c>
      <c r="GB137" t="e">
        <f>AND(NhatkyNhap!#REF!,"AAAAAH7P/bc=")</f>
        <v>#REF!</v>
      </c>
      <c r="GC137" t="e">
        <f>AND(NhatkyNhap!#REF!,"AAAAAH7P/bg=")</f>
        <v>#REF!</v>
      </c>
      <c r="GD137" t="e">
        <f>AND(NhatkyNhap!#REF!,"AAAAAH7P/bk=")</f>
        <v>#REF!</v>
      </c>
      <c r="GE137" t="e">
        <f>AND(NhatkyNhap!#REF!,"AAAAAH7P/bo=")</f>
        <v>#REF!</v>
      </c>
      <c r="GF137" t="e">
        <f>AND(NhatkyNhap!#REF!,"AAAAAH7P/bs=")</f>
        <v>#REF!</v>
      </c>
      <c r="GG137" t="e">
        <f>AND(NhatkyNhap!#REF!,"AAAAAH7P/bw=")</f>
        <v>#REF!</v>
      </c>
      <c r="GH137" t="e">
        <f>AND(NhatkyNhap!#REF!,"AAAAAH7P/b0=")</f>
        <v>#REF!</v>
      </c>
      <c r="GI137" t="e">
        <f>AND(NhatkyNhap!#REF!,"AAAAAH7P/b4=")</f>
        <v>#REF!</v>
      </c>
      <c r="GJ137" t="e">
        <f>AND(NhatkyNhap!#REF!,"AAAAAH7P/b8=")</f>
        <v>#REF!</v>
      </c>
      <c r="GK137" t="e">
        <f>AND(NhatkyNhap!#REF!,"AAAAAH7P/cA=")</f>
        <v>#REF!</v>
      </c>
      <c r="GL137" t="e">
        <f>AND(NhatkyNhap!#REF!,"AAAAAH7P/cE=")</f>
        <v>#REF!</v>
      </c>
      <c r="GM137" t="e">
        <f>AND(NhatkyNhap!#REF!,"AAAAAH7P/cI=")</f>
        <v>#REF!</v>
      </c>
      <c r="GN137" t="e">
        <f>AND(NhatkyNhap!#REF!,"AAAAAH7P/cM=")</f>
        <v>#REF!</v>
      </c>
      <c r="GO137" t="e">
        <f>AND(NhatkyNhap!#REF!,"AAAAAH7P/cQ=")</f>
        <v>#REF!</v>
      </c>
      <c r="GP137" t="e">
        <f>AND(NhatkyNhap!#REF!,"AAAAAH7P/cU=")</f>
        <v>#REF!</v>
      </c>
      <c r="GQ137" t="e">
        <f>AND(NhatkyNhap!#REF!,"AAAAAH7P/cY=")</f>
        <v>#REF!</v>
      </c>
      <c r="GR137" t="e">
        <f>IF(NhatkyNhap!#REF!,"AAAAAH7P/cc=",0)</f>
        <v>#REF!</v>
      </c>
      <c r="GS137" t="e">
        <f>AND(NhatkyNhap!#REF!,"AAAAAH7P/cg=")</f>
        <v>#REF!</v>
      </c>
      <c r="GT137" t="e">
        <f>AND(NhatkyNhap!#REF!,"AAAAAH7P/ck=")</f>
        <v>#REF!</v>
      </c>
      <c r="GU137" t="e">
        <f>AND(NhatkyNhap!#REF!,"AAAAAH7P/co=")</f>
        <v>#REF!</v>
      </c>
      <c r="GV137" t="e">
        <f>AND(NhatkyNhap!#REF!,"AAAAAH7P/cs=")</f>
        <v>#REF!</v>
      </c>
      <c r="GW137" t="e">
        <f>AND(NhatkyNhap!#REF!,"AAAAAH7P/cw=")</f>
        <v>#REF!</v>
      </c>
      <c r="GX137" t="e">
        <f>AND(NhatkyNhap!#REF!,"AAAAAH7P/c0=")</f>
        <v>#REF!</v>
      </c>
      <c r="GY137" t="e">
        <f>AND(NhatkyNhap!#REF!,"AAAAAH7P/c4=")</f>
        <v>#REF!</v>
      </c>
      <c r="GZ137" t="e">
        <f>AND(NhatkyNhap!#REF!,"AAAAAH7P/c8=")</f>
        <v>#REF!</v>
      </c>
      <c r="HA137" t="e">
        <f>AND(NhatkyNhap!#REF!,"AAAAAH7P/dA=")</f>
        <v>#REF!</v>
      </c>
      <c r="HB137" t="e">
        <f>AND(NhatkyNhap!#REF!,"AAAAAH7P/dE=")</f>
        <v>#REF!</v>
      </c>
      <c r="HC137" t="e">
        <f>AND(NhatkyNhap!#REF!,"AAAAAH7P/dI=")</f>
        <v>#REF!</v>
      </c>
      <c r="HD137" t="e">
        <f>AND(NhatkyNhap!#REF!,"AAAAAH7P/dM=")</f>
        <v>#REF!</v>
      </c>
      <c r="HE137" t="e">
        <f>AND(NhatkyNhap!#REF!,"AAAAAH7P/dQ=")</f>
        <v>#REF!</v>
      </c>
      <c r="HF137" t="e">
        <f>AND(NhatkyNhap!#REF!,"AAAAAH7P/dU=")</f>
        <v>#REF!</v>
      </c>
      <c r="HG137" t="e">
        <f>AND(NhatkyNhap!#REF!,"AAAAAH7P/dY=")</f>
        <v>#REF!</v>
      </c>
      <c r="HH137" t="e">
        <f>AND(NhatkyNhap!#REF!,"AAAAAH7P/dc=")</f>
        <v>#REF!</v>
      </c>
      <c r="HI137" t="e">
        <f>AND(NhatkyNhap!#REF!,"AAAAAH7P/dg=")</f>
        <v>#REF!</v>
      </c>
      <c r="HJ137" t="e">
        <f>AND(NhatkyNhap!#REF!,"AAAAAH7P/dk=")</f>
        <v>#REF!</v>
      </c>
      <c r="HK137" t="e">
        <f>AND(NhatkyNhap!#REF!,"AAAAAH7P/do=")</f>
        <v>#REF!</v>
      </c>
      <c r="HL137" t="e">
        <f>AND(NhatkyNhap!#REF!,"AAAAAH7P/ds=")</f>
        <v>#REF!</v>
      </c>
      <c r="HM137" t="e">
        <f>AND(NhatkyNhap!#REF!,"AAAAAH7P/dw=")</f>
        <v>#REF!</v>
      </c>
      <c r="HN137" t="e">
        <f>AND(NhatkyNhap!#REF!,"AAAAAH7P/d0=")</f>
        <v>#REF!</v>
      </c>
      <c r="HO137" t="e">
        <f>AND(NhatkyNhap!#REF!,"AAAAAH7P/d4=")</f>
        <v>#REF!</v>
      </c>
      <c r="HP137" t="e">
        <f>AND(NhatkyNhap!#REF!,"AAAAAH7P/d8=")</f>
        <v>#REF!</v>
      </c>
      <c r="HQ137" t="e">
        <f>AND(NhatkyNhap!#REF!,"AAAAAH7P/eA=")</f>
        <v>#REF!</v>
      </c>
      <c r="HR137" t="e">
        <f>AND(NhatkyNhap!#REF!,"AAAAAH7P/eE=")</f>
        <v>#REF!</v>
      </c>
      <c r="HS137" t="e">
        <f>AND(NhatkyNhap!#REF!,"AAAAAH7P/eI=")</f>
        <v>#REF!</v>
      </c>
      <c r="HT137" t="e">
        <f>AND(NhatkyNhap!#REF!,"AAAAAH7P/eM=")</f>
        <v>#REF!</v>
      </c>
      <c r="HU137" t="e">
        <f>AND(NhatkyNhap!#REF!,"AAAAAH7P/eQ=")</f>
        <v>#REF!</v>
      </c>
      <c r="HV137" t="e">
        <f>AND(NhatkyNhap!#REF!,"AAAAAH7P/eU=")</f>
        <v>#REF!</v>
      </c>
      <c r="HW137" t="e">
        <f>AND(NhatkyNhap!#REF!,"AAAAAH7P/eY=")</f>
        <v>#REF!</v>
      </c>
      <c r="HX137" t="e">
        <f>AND(NhatkyNhap!#REF!,"AAAAAH7P/ec=")</f>
        <v>#REF!</v>
      </c>
      <c r="HY137" t="e">
        <f>AND(NhatkyNhap!#REF!,"AAAAAH7P/eg=")</f>
        <v>#REF!</v>
      </c>
      <c r="HZ137" t="e">
        <f>AND(NhatkyNhap!#REF!,"AAAAAH7P/ek=")</f>
        <v>#REF!</v>
      </c>
      <c r="IA137" t="e">
        <f>IF(NhatkyNhap!#REF!,"AAAAAH7P/eo=",0)</f>
        <v>#REF!</v>
      </c>
      <c r="IB137" t="e">
        <f>AND(NhatkyNhap!#REF!,"AAAAAH7P/es=")</f>
        <v>#REF!</v>
      </c>
      <c r="IC137" t="e">
        <f>AND(NhatkyNhap!#REF!,"AAAAAH7P/ew=")</f>
        <v>#REF!</v>
      </c>
      <c r="ID137" t="e">
        <f>AND(NhatkyNhap!#REF!,"AAAAAH7P/e0=")</f>
        <v>#REF!</v>
      </c>
      <c r="IE137" t="e">
        <f>AND(NhatkyNhap!#REF!,"AAAAAH7P/e4=")</f>
        <v>#REF!</v>
      </c>
      <c r="IF137" t="e">
        <f>AND(NhatkyNhap!#REF!,"AAAAAH7P/e8=")</f>
        <v>#REF!</v>
      </c>
      <c r="IG137" t="e">
        <f>AND(NhatkyNhap!#REF!,"AAAAAH7P/fA=")</f>
        <v>#REF!</v>
      </c>
      <c r="IH137" t="e">
        <f>AND(NhatkyNhap!#REF!,"AAAAAH7P/fE=")</f>
        <v>#REF!</v>
      </c>
      <c r="II137" t="e">
        <f>AND(NhatkyNhap!#REF!,"AAAAAH7P/fI=")</f>
        <v>#REF!</v>
      </c>
      <c r="IJ137" t="e">
        <f>AND(NhatkyNhap!#REF!,"AAAAAH7P/fM=")</f>
        <v>#REF!</v>
      </c>
      <c r="IK137" t="e">
        <f>AND(NhatkyNhap!#REF!,"AAAAAH7P/fQ=")</f>
        <v>#REF!</v>
      </c>
      <c r="IL137" t="e">
        <f>AND(NhatkyNhap!#REF!,"AAAAAH7P/fU=")</f>
        <v>#REF!</v>
      </c>
      <c r="IM137" t="e">
        <f>AND(NhatkyNhap!#REF!,"AAAAAH7P/fY=")</f>
        <v>#REF!</v>
      </c>
      <c r="IN137" t="e">
        <f>AND(NhatkyNhap!#REF!,"AAAAAH7P/fc=")</f>
        <v>#REF!</v>
      </c>
      <c r="IO137" t="e">
        <f>AND(NhatkyNhap!#REF!,"AAAAAH7P/fg=")</f>
        <v>#REF!</v>
      </c>
      <c r="IP137" t="e">
        <f>AND(NhatkyNhap!#REF!,"AAAAAH7P/fk=")</f>
        <v>#REF!</v>
      </c>
      <c r="IQ137" t="e">
        <f>AND(NhatkyNhap!#REF!,"AAAAAH7P/fo=")</f>
        <v>#REF!</v>
      </c>
      <c r="IR137" t="e">
        <f>AND(NhatkyNhap!#REF!,"AAAAAH7P/fs=")</f>
        <v>#REF!</v>
      </c>
      <c r="IS137" t="e">
        <f>AND(NhatkyNhap!#REF!,"AAAAAH7P/fw=")</f>
        <v>#REF!</v>
      </c>
      <c r="IT137" t="e">
        <f>AND(NhatkyNhap!#REF!,"AAAAAH7P/f0=")</f>
        <v>#REF!</v>
      </c>
      <c r="IU137" t="e">
        <f>AND(NhatkyNhap!#REF!,"AAAAAH7P/f4=")</f>
        <v>#REF!</v>
      </c>
      <c r="IV137" t="e">
        <f>AND(NhatkyNhap!#REF!,"AAAAAH7P/f8=")</f>
        <v>#REF!</v>
      </c>
    </row>
    <row r="138" spans="1:256">
      <c r="A138" t="e">
        <f>AND(NhatkyNhap!#REF!,"AAAAAH/7cwA=")</f>
        <v>#REF!</v>
      </c>
      <c r="B138" t="e">
        <f>AND(NhatkyNhap!#REF!,"AAAAAH/7cwE=")</f>
        <v>#REF!</v>
      </c>
      <c r="C138" t="e">
        <f>AND(NhatkyNhap!#REF!,"AAAAAH/7cwI=")</f>
        <v>#REF!</v>
      </c>
      <c r="D138" t="e">
        <f>AND(NhatkyNhap!#REF!,"AAAAAH/7cwM=")</f>
        <v>#REF!</v>
      </c>
      <c r="E138" t="e">
        <f>AND(NhatkyNhap!#REF!,"AAAAAH/7cwQ=")</f>
        <v>#REF!</v>
      </c>
      <c r="F138" t="e">
        <f>AND(NhatkyNhap!#REF!,"AAAAAH/7cwU=")</f>
        <v>#REF!</v>
      </c>
      <c r="G138" t="e">
        <f>AND(NhatkyNhap!#REF!,"AAAAAH/7cwY=")</f>
        <v>#REF!</v>
      </c>
      <c r="H138" t="e">
        <f>AND(NhatkyNhap!#REF!,"AAAAAH/7cwc=")</f>
        <v>#REF!</v>
      </c>
      <c r="I138" t="e">
        <f>AND(NhatkyNhap!#REF!,"AAAAAH/7cwg=")</f>
        <v>#REF!</v>
      </c>
      <c r="J138" t="e">
        <f>AND(NhatkyNhap!#REF!,"AAAAAH/7cwk=")</f>
        <v>#REF!</v>
      </c>
      <c r="K138" t="e">
        <f>AND(NhatkyNhap!#REF!,"AAAAAH/7cwo=")</f>
        <v>#REF!</v>
      </c>
      <c r="L138" t="e">
        <f>AND(NhatkyNhap!#REF!,"AAAAAH/7cws=")</f>
        <v>#REF!</v>
      </c>
      <c r="M138" t="e">
        <f>AND(NhatkyNhap!#REF!,"AAAAAH/7cww=")</f>
        <v>#REF!</v>
      </c>
      <c r="N138" t="e">
        <f>IF(NhatkyNhap!#REF!,"AAAAAH/7cw0=",0)</f>
        <v>#REF!</v>
      </c>
      <c r="O138" t="e">
        <f>AND(NhatkyNhap!#REF!,"AAAAAH/7cw4=")</f>
        <v>#REF!</v>
      </c>
      <c r="P138" t="e">
        <f>AND(NhatkyNhap!#REF!,"AAAAAH/7cw8=")</f>
        <v>#REF!</v>
      </c>
      <c r="Q138" t="e">
        <f>AND(NhatkyNhap!#REF!,"AAAAAH/7cxA=")</f>
        <v>#REF!</v>
      </c>
      <c r="R138" t="e">
        <f>AND(NhatkyNhap!#REF!,"AAAAAH/7cxE=")</f>
        <v>#REF!</v>
      </c>
      <c r="S138" t="e">
        <f>AND(NhatkyNhap!#REF!,"AAAAAH/7cxI=")</f>
        <v>#REF!</v>
      </c>
      <c r="T138" t="e">
        <f>AND(NhatkyNhap!#REF!,"AAAAAH/7cxM=")</f>
        <v>#REF!</v>
      </c>
      <c r="U138" t="e">
        <f>AND(NhatkyNhap!#REF!,"AAAAAH/7cxQ=")</f>
        <v>#REF!</v>
      </c>
      <c r="V138" t="e">
        <f>AND(NhatkyNhap!#REF!,"AAAAAH/7cxU=")</f>
        <v>#REF!</v>
      </c>
      <c r="W138" t="e">
        <f>AND(NhatkyNhap!#REF!,"AAAAAH/7cxY=")</f>
        <v>#REF!</v>
      </c>
      <c r="X138" t="e">
        <f>AND(NhatkyNhap!#REF!,"AAAAAH/7cxc=")</f>
        <v>#REF!</v>
      </c>
      <c r="Y138" t="e">
        <f>AND(NhatkyNhap!#REF!,"AAAAAH/7cxg=")</f>
        <v>#REF!</v>
      </c>
      <c r="Z138" t="e">
        <f>AND(NhatkyNhap!#REF!,"AAAAAH/7cxk=")</f>
        <v>#REF!</v>
      </c>
      <c r="AA138" t="e">
        <f>AND(NhatkyNhap!#REF!,"AAAAAH/7cxo=")</f>
        <v>#REF!</v>
      </c>
      <c r="AB138" t="e">
        <f>AND(NhatkyNhap!#REF!,"AAAAAH/7cxs=")</f>
        <v>#REF!</v>
      </c>
      <c r="AC138" t="e">
        <f>AND(NhatkyNhap!#REF!,"AAAAAH/7cxw=")</f>
        <v>#REF!</v>
      </c>
      <c r="AD138" t="e">
        <f>AND(NhatkyNhap!#REF!,"AAAAAH/7cx0=")</f>
        <v>#REF!</v>
      </c>
      <c r="AE138" t="e">
        <f>AND(NhatkyNhap!#REF!,"AAAAAH/7cx4=")</f>
        <v>#REF!</v>
      </c>
      <c r="AF138" t="e">
        <f>AND(NhatkyNhap!#REF!,"AAAAAH/7cx8=")</f>
        <v>#REF!</v>
      </c>
      <c r="AG138" t="e">
        <f>AND(NhatkyNhap!#REF!,"AAAAAH/7cyA=")</f>
        <v>#REF!</v>
      </c>
      <c r="AH138" t="e">
        <f>AND(NhatkyNhap!#REF!,"AAAAAH/7cyE=")</f>
        <v>#REF!</v>
      </c>
      <c r="AI138" t="e">
        <f>AND(NhatkyNhap!#REF!,"AAAAAH/7cyI=")</f>
        <v>#REF!</v>
      </c>
      <c r="AJ138" t="e">
        <f>AND(NhatkyNhap!#REF!,"AAAAAH/7cyM=")</f>
        <v>#REF!</v>
      </c>
      <c r="AK138" t="e">
        <f>AND(NhatkyNhap!#REF!,"AAAAAH/7cyQ=")</f>
        <v>#REF!</v>
      </c>
      <c r="AL138" t="e">
        <f>AND(NhatkyNhap!#REF!,"AAAAAH/7cyU=")</f>
        <v>#REF!</v>
      </c>
      <c r="AM138" t="e">
        <f>AND(NhatkyNhap!#REF!,"AAAAAH/7cyY=")</f>
        <v>#REF!</v>
      </c>
      <c r="AN138" t="e">
        <f>AND(NhatkyNhap!#REF!,"AAAAAH/7cyc=")</f>
        <v>#REF!</v>
      </c>
      <c r="AO138" t="e">
        <f>AND(NhatkyNhap!#REF!,"AAAAAH/7cyg=")</f>
        <v>#REF!</v>
      </c>
      <c r="AP138" t="e">
        <f>AND(NhatkyNhap!#REF!,"AAAAAH/7cyk=")</f>
        <v>#REF!</v>
      </c>
      <c r="AQ138" t="e">
        <f>AND(NhatkyNhap!#REF!,"AAAAAH/7cyo=")</f>
        <v>#REF!</v>
      </c>
      <c r="AR138" t="e">
        <f>AND(NhatkyNhap!#REF!,"AAAAAH/7cys=")</f>
        <v>#REF!</v>
      </c>
      <c r="AS138" t="e">
        <f>AND(NhatkyNhap!#REF!,"AAAAAH/7cyw=")</f>
        <v>#REF!</v>
      </c>
      <c r="AT138" t="e">
        <f>AND(NhatkyNhap!#REF!,"AAAAAH/7cy0=")</f>
        <v>#REF!</v>
      </c>
      <c r="AU138" t="e">
        <f>AND(NhatkyNhap!#REF!,"AAAAAH/7cy4=")</f>
        <v>#REF!</v>
      </c>
      <c r="AV138" t="e">
        <f>AND(NhatkyNhap!#REF!,"AAAAAH/7cy8=")</f>
        <v>#REF!</v>
      </c>
      <c r="AW138" t="e">
        <f>IF(NhatkyNhap!#REF!,"AAAAAH/7czA=",0)</f>
        <v>#REF!</v>
      </c>
      <c r="AX138" t="e">
        <f>AND(NhatkyNhap!#REF!,"AAAAAH/7czE=")</f>
        <v>#REF!</v>
      </c>
      <c r="AY138" t="e">
        <f>AND(NhatkyNhap!#REF!,"AAAAAH/7czI=")</f>
        <v>#REF!</v>
      </c>
      <c r="AZ138" t="e">
        <f>AND(NhatkyNhap!#REF!,"AAAAAH/7czM=")</f>
        <v>#REF!</v>
      </c>
      <c r="BA138" t="e">
        <f>AND(NhatkyNhap!#REF!,"AAAAAH/7czQ=")</f>
        <v>#REF!</v>
      </c>
      <c r="BB138" t="e">
        <f>AND(NhatkyNhap!#REF!,"AAAAAH/7czU=")</f>
        <v>#REF!</v>
      </c>
      <c r="BC138" t="e">
        <f>AND(NhatkyNhap!#REF!,"AAAAAH/7czY=")</f>
        <v>#REF!</v>
      </c>
      <c r="BD138" t="e">
        <f>AND(NhatkyNhap!#REF!,"AAAAAH/7czc=")</f>
        <v>#REF!</v>
      </c>
      <c r="BE138" t="e">
        <f>AND(NhatkyNhap!#REF!,"AAAAAH/7czg=")</f>
        <v>#REF!</v>
      </c>
      <c r="BF138" t="e">
        <f>AND(NhatkyNhap!#REF!,"AAAAAH/7czk=")</f>
        <v>#REF!</v>
      </c>
      <c r="BG138" t="e">
        <f>AND(NhatkyNhap!#REF!,"AAAAAH/7czo=")</f>
        <v>#REF!</v>
      </c>
      <c r="BH138" t="e">
        <f>AND(NhatkyNhap!#REF!,"AAAAAH/7czs=")</f>
        <v>#REF!</v>
      </c>
      <c r="BI138" t="e">
        <f>AND(NhatkyNhap!#REF!,"AAAAAH/7czw=")</f>
        <v>#REF!</v>
      </c>
      <c r="BJ138" t="e">
        <f>AND(NhatkyNhap!#REF!,"AAAAAH/7cz0=")</f>
        <v>#REF!</v>
      </c>
      <c r="BK138" t="e">
        <f>AND(NhatkyNhap!#REF!,"AAAAAH/7cz4=")</f>
        <v>#REF!</v>
      </c>
      <c r="BL138" t="e">
        <f>AND(NhatkyNhap!#REF!,"AAAAAH/7cz8=")</f>
        <v>#REF!</v>
      </c>
      <c r="BM138" t="e">
        <f>AND(NhatkyNhap!#REF!,"AAAAAH/7c0A=")</f>
        <v>#REF!</v>
      </c>
      <c r="BN138" t="e">
        <f>AND(NhatkyNhap!#REF!,"AAAAAH/7c0E=")</f>
        <v>#REF!</v>
      </c>
      <c r="BO138" t="e">
        <f>AND(NhatkyNhap!#REF!,"AAAAAH/7c0I=")</f>
        <v>#REF!</v>
      </c>
      <c r="BP138" t="e">
        <f>AND(NhatkyNhap!#REF!,"AAAAAH/7c0M=")</f>
        <v>#REF!</v>
      </c>
      <c r="BQ138" t="e">
        <f>AND(NhatkyNhap!#REF!,"AAAAAH/7c0Q=")</f>
        <v>#REF!</v>
      </c>
      <c r="BR138" t="e">
        <f>AND(NhatkyNhap!#REF!,"AAAAAH/7c0U=")</f>
        <v>#REF!</v>
      </c>
      <c r="BS138" t="e">
        <f>AND(NhatkyNhap!#REF!,"AAAAAH/7c0Y=")</f>
        <v>#REF!</v>
      </c>
      <c r="BT138" t="e">
        <f>AND(NhatkyNhap!#REF!,"AAAAAH/7c0c=")</f>
        <v>#REF!</v>
      </c>
      <c r="BU138" t="e">
        <f>AND(NhatkyNhap!#REF!,"AAAAAH/7c0g=")</f>
        <v>#REF!</v>
      </c>
      <c r="BV138" t="e">
        <f>AND(NhatkyNhap!#REF!,"AAAAAH/7c0k=")</f>
        <v>#REF!</v>
      </c>
      <c r="BW138" t="e">
        <f>AND(NhatkyNhap!#REF!,"AAAAAH/7c0o=")</f>
        <v>#REF!</v>
      </c>
      <c r="BX138" t="e">
        <f>AND(NhatkyNhap!#REF!,"AAAAAH/7c0s=")</f>
        <v>#REF!</v>
      </c>
      <c r="BY138" t="e">
        <f>AND(NhatkyNhap!#REF!,"AAAAAH/7c0w=")</f>
        <v>#REF!</v>
      </c>
      <c r="BZ138" t="e">
        <f>AND(NhatkyNhap!#REF!,"AAAAAH/7c00=")</f>
        <v>#REF!</v>
      </c>
      <c r="CA138" t="e">
        <f>AND(NhatkyNhap!#REF!,"AAAAAH/7c04=")</f>
        <v>#REF!</v>
      </c>
      <c r="CB138" t="e">
        <f>AND(NhatkyNhap!#REF!,"AAAAAH/7c08=")</f>
        <v>#REF!</v>
      </c>
      <c r="CC138" t="e">
        <f>AND(NhatkyNhap!#REF!,"AAAAAH/7c1A=")</f>
        <v>#REF!</v>
      </c>
      <c r="CD138" t="e">
        <f>AND(NhatkyNhap!#REF!,"AAAAAH/7c1E=")</f>
        <v>#REF!</v>
      </c>
      <c r="CE138" t="e">
        <f>AND(NhatkyNhap!#REF!,"AAAAAH/7c1I=")</f>
        <v>#REF!</v>
      </c>
      <c r="CF138" t="e">
        <f>IF(NhatkyNhap!#REF!,"AAAAAH/7c1M=",0)</f>
        <v>#REF!</v>
      </c>
      <c r="CG138" t="e">
        <f>AND(NhatkyNhap!#REF!,"AAAAAH/7c1Q=")</f>
        <v>#REF!</v>
      </c>
      <c r="CH138" t="e">
        <f>AND(NhatkyNhap!#REF!,"AAAAAH/7c1U=")</f>
        <v>#REF!</v>
      </c>
      <c r="CI138" t="e">
        <f>AND(NhatkyNhap!#REF!,"AAAAAH/7c1Y=")</f>
        <v>#REF!</v>
      </c>
      <c r="CJ138" t="e">
        <f>AND(NhatkyNhap!#REF!,"AAAAAH/7c1c=")</f>
        <v>#REF!</v>
      </c>
      <c r="CK138" t="e">
        <f>AND(NhatkyNhap!#REF!,"AAAAAH/7c1g=")</f>
        <v>#REF!</v>
      </c>
      <c r="CL138" t="e">
        <f>AND(NhatkyNhap!#REF!,"AAAAAH/7c1k=")</f>
        <v>#REF!</v>
      </c>
      <c r="CM138" t="e">
        <f>AND(NhatkyNhap!#REF!,"AAAAAH/7c1o=")</f>
        <v>#REF!</v>
      </c>
      <c r="CN138" t="e">
        <f>AND(NhatkyNhap!#REF!,"AAAAAH/7c1s=")</f>
        <v>#REF!</v>
      </c>
      <c r="CO138" t="e">
        <f>AND(NhatkyNhap!#REF!,"AAAAAH/7c1w=")</f>
        <v>#REF!</v>
      </c>
      <c r="CP138" t="e">
        <f>AND(NhatkyNhap!#REF!,"AAAAAH/7c10=")</f>
        <v>#REF!</v>
      </c>
      <c r="CQ138" t="e">
        <f>AND(NhatkyNhap!#REF!,"AAAAAH/7c14=")</f>
        <v>#REF!</v>
      </c>
      <c r="CR138" t="e">
        <f>AND(NhatkyNhap!#REF!,"AAAAAH/7c18=")</f>
        <v>#REF!</v>
      </c>
      <c r="CS138" t="e">
        <f>AND(NhatkyNhap!#REF!,"AAAAAH/7c2A=")</f>
        <v>#REF!</v>
      </c>
      <c r="CT138" t="e">
        <f>AND(NhatkyNhap!#REF!,"AAAAAH/7c2E=")</f>
        <v>#REF!</v>
      </c>
      <c r="CU138" t="e">
        <f>AND(NhatkyNhap!#REF!,"AAAAAH/7c2I=")</f>
        <v>#REF!</v>
      </c>
      <c r="CV138" t="e">
        <f>AND(NhatkyNhap!#REF!,"AAAAAH/7c2M=")</f>
        <v>#REF!</v>
      </c>
      <c r="CW138" t="e">
        <f>AND(NhatkyNhap!#REF!,"AAAAAH/7c2Q=")</f>
        <v>#REF!</v>
      </c>
      <c r="CX138" t="e">
        <f>AND(NhatkyNhap!#REF!,"AAAAAH/7c2U=")</f>
        <v>#REF!</v>
      </c>
      <c r="CY138" t="e">
        <f>AND(NhatkyNhap!#REF!,"AAAAAH/7c2Y=")</f>
        <v>#REF!</v>
      </c>
      <c r="CZ138" t="e">
        <f>AND(NhatkyNhap!#REF!,"AAAAAH/7c2c=")</f>
        <v>#REF!</v>
      </c>
      <c r="DA138" t="e">
        <f>AND(NhatkyNhap!#REF!,"AAAAAH/7c2g=")</f>
        <v>#REF!</v>
      </c>
      <c r="DB138" t="e">
        <f>AND(NhatkyNhap!#REF!,"AAAAAH/7c2k=")</f>
        <v>#REF!</v>
      </c>
      <c r="DC138" t="e">
        <f>AND(NhatkyNhap!#REF!,"AAAAAH/7c2o=")</f>
        <v>#REF!</v>
      </c>
      <c r="DD138" t="e">
        <f>AND(NhatkyNhap!#REF!,"AAAAAH/7c2s=")</f>
        <v>#REF!</v>
      </c>
      <c r="DE138" t="e">
        <f>AND(NhatkyNhap!#REF!,"AAAAAH/7c2w=")</f>
        <v>#REF!</v>
      </c>
      <c r="DF138" t="e">
        <f>AND(NhatkyNhap!#REF!,"AAAAAH/7c20=")</f>
        <v>#REF!</v>
      </c>
      <c r="DG138" t="e">
        <f>AND(NhatkyNhap!#REF!,"AAAAAH/7c24=")</f>
        <v>#REF!</v>
      </c>
      <c r="DH138" t="e">
        <f>AND(NhatkyNhap!#REF!,"AAAAAH/7c28=")</f>
        <v>#REF!</v>
      </c>
      <c r="DI138" t="e">
        <f>AND(NhatkyNhap!#REF!,"AAAAAH/7c3A=")</f>
        <v>#REF!</v>
      </c>
      <c r="DJ138" t="e">
        <f>AND(NhatkyNhap!#REF!,"AAAAAH/7c3E=")</f>
        <v>#REF!</v>
      </c>
      <c r="DK138" t="e">
        <f>AND(NhatkyNhap!#REF!,"AAAAAH/7c3I=")</f>
        <v>#REF!</v>
      </c>
      <c r="DL138" t="e">
        <f>AND(NhatkyNhap!#REF!,"AAAAAH/7c3M=")</f>
        <v>#REF!</v>
      </c>
      <c r="DM138" t="e">
        <f>AND(NhatkyNhap!#REF!,"AAAAAH/7c3Q=")</f>
        <v>#REF!</v>
      </c>
      <c r="DN138" t="e">
        <f>AND(NhatkyNhap!#REF!,"AAAAAH/7c3U=")</f>
        <v>#REF!</v>
      </c>
      <c r="DO138" t="e">
        <f>IF(NhatkyNhap!#REF!,"AAAAAH/7c3Y=",0)</f>
        <v>#REF!</v>
      </c>
      <c r="DP138" t="e">
        <f>AND(NhatkyNhap!#REF!,"AAAAAH/7c3c=")</f>
        <v>#REF!</v>
      </c>
      <c r="DQ138" t="e">
        <f>AND(NhatkyNhap!#REF!,"AAAAAH/7c3g=")</f>
        <v>#REF!</v>
      </c>
      <c r="DR138" t="e">
        <f>AND(NhatkyNhap!#REF!,"AAAAAH/7c3k=")</f>
        <v>#REF!</v>
      </c>
      <c r="DS138" t="e">
        <f>AND(NhatkyNhap!#REF!,"AAAAAH/7c3o=")</f>
        <v>#REF!</v>
      </c>
      <c r="DT138" t="e">
        <f>AND(NhatkyNhap!#REF!,"AAAAAH/7c3s=")</f>
        <v>#REF!</v>
      </c>
      <c r="DU138" t="e">
        <f>AND(NhatkyNhap!#REF!,"AAAAAH/7c3w=")</f>
        <v>#REF!</v>
      </c>
      <c r="DV138" t="e">
        <f>AND(NhatkyNhap!#REF!,"AAAAAH/7c30=")</f>
        <v>#REF!</v>
      </c>
      <c r="DW138" t="e">
        <f>AND(NhatkyNhap!#REF!,"AAAAAH/7c34=")</f>
        <v>#REF!</v>
      </c>
      <c r="DX138" t="e">
        <f>AND(NhatkyNhap!#REF!,"AAAAAH/7c38=")</f>
        <v>#REF!</v>
      </c>
      <c r="DY138" t="e">
        <f>AND(NhatkyNhap!#REF!,"AAAAAH/7c4A=")</f>
        <v>#REF!</v>
      </c>
      <c r="DZ138" t="e">
        <f>AND(NhatkyNhap!#REF!,"AAAAAH/7c4E=")</f>
        <v>#REF!</v>
      </c>
      <c r="EA138" t="e">
        <f>AND(NhatkyNhap!#REF!,"AAAAAH/7c4I=")</f>
        <v>#REF!</v>
      </c>
      <c r="EB138" t="e">
        <f>AND(NhatkyNhap!#REF!,"AAAAAH/7c4M=")</f>
        <v>#REF!</v>
      </c>
      <c r="EC138" t="e">
        <f>AND(NhatkyNhap!#REF!,"AAAAAH/7c4Q=")</f>
        <v>#REF!</v>
      </c>
      <c r="ED138" t="e">
        <f>AND(NhatkyNhap!#REF!,"AAAAAH/7c4U=")</f>
        <v>#REF!</v>
      </c>
      <c r="EE138" t="e">
        <f>AND(NhatkyNhap!#REF!,"AAAAAH/7c4Y=")</f>
        <v>#REF!</v>
      </c>
      <c r="EF138" t="e">
        <f>AND(NhatkyNhap!#REF!,"AAAAAH/7c4c=")</f>
        <v>#REF!</v>
      </c>
      <c r="EG138" t="e">
        <f>AND(NhatkyNhap!#REF!,"AAAAAH/7c4g=")</f>
        <v>#REF!</v>
      </c>
      <c r="EH138" t="e">
        <f>AND(NhatkyNhap!#REF!,"AAAAAH/7c4k=")</f>
        <v>#REF!</v>
      </c>
      <c r="EI138" t="e">
        <f>AND(NhatkyNhap!#REF!,"AAAAAH/7c4o=")</f>
        <v>#REF!</v>
      </c>
      <c r="EJ138" t="e">
        <f>AND(NhatkyNhap!#REF!,"AAAAAH/7c4s=")</f>
        <v>#REF!</v>
      </c>
      <c r="EK138" t="e">
        <f>AND(NhatkyNhap!#REF!,"AAAAAH/7c4w=")</f>
        <v>#REF!</v>
      </c>
      <c r="EL138" t="e">
        <f>AND(NhatkyNhap!#REF!,"AAAAAH/7c40=")</f>
        <v>#REF!</v>
      </c>
      <c r="EM138" t="e">
        <f>AND(NhatkyNhap!#REF!,"AAAAAH/7c44=")</f>
        <v>#REF!</v>
      </c>
      <c r="EN138" t="e">
        <f>AND(NhatkyNhap!#REF!,"AAAAAH/7c48=")</f>
        <v>#REF!</v>
      </c>
      <c r="EO138" t="e">
        <f>AND(NhatkyNhap!#REF!,"AAAAAH/7c5A=")</f>
        <v>#REF!</v>
      </c>
      <c r="EP138" t="e">
        <f>AND(NhatkyNhap!#REF!,"AAAAAH/7c5E=")</f>
        <v>#REF!</v>
      </c>
      <c r="EQ138" t="e">
        <f>AND(NhatkyNhap!#REF!,"AAAAAH/7c5I=")</f>
        <v>#REF!</v>
      </c>
      <c r="ER138" t="e">
        <f>AND(NhatkyNhap!#REF!,"AAAAAH/7c5M=")</f>
        <v>#REF!</v>
      </c>
      <c r="ES138" t="e">
        <f>AND(NhatkyNhap!#REF!,"AAAAAH/7c5Q=")</f>
        <v>#REF!</v>
      </c>
      <c r="ET138" t="e">
        <f>AND(NhatkyNhap!#REF!,"AAAAAH/7c5U=")</f>
        <v>#REF!</v>
      </c>
      <c r="EU138" t="e">
        <f>AND(NhatkyNhap!#REF!,"AAAAAH/7c5Y=")</f>
        <v>#REF!</v>
      </c>
      <c r="EV138" t="e">
        <f>AND(NhatkyNhap!#REF!,"AAAAAH/7c5c=")</f>
        <v>#REF!</v>
      </c>
      <c r="EW138" t="e">
        <f>AND(NhatkyNhap!#REF!,"AAAAAH/7c5g=")</f>
        <v>#REF!</v>
      </c>
      <c r="EX138" t="e">
        <f>IF(NhatkyNhap!#REF!,"AAAAAH/7c5k=",0)</f>
        <v>#REF!</v>
      </c>
      <c r="EY138" t="e">
        <f>AND(NhatkyNhap!#REF!,"AAAAAH/7c5o=")</f>
        <v>#REF!</v>
      </c>
      <c r="EZ138" t="e">
        <f>AND(NhatkyNhap!#REF!,"AAAAAH/7c5s=")</f>
        <v>#REF!</v>
      </c>
      <c r="FA138" t="e">
        <f>AND(NhatkyNhap!#REF!,"AAAAAH/7c5w=")</f>
        <v>#REF!</v>
      </c>
      <c r="FB138" t="e">
        <f>AND(NhatkyNhap!#REF!,"AAAAAH/7c50=")</f>
        <v>#REF!</v>
      </c>
      <c r="FC138" t="e">
        <f>AND(NhatkyNhap!#REF!,"AAAAAH/7c54=")</f>
        <v>#REF!</v>
      </c>
      <c r="FD138" t="e">
        <f>AND(NhatkyNhap!#REF!,"AAAAAH/7c58=")</f>
        <v>#REF!</v>
      </c>
      <c r="FE138" t="e">
        <f>AND(NhatkyNhap!#REF!,"AAAAAH/7c6A=")</f>
        <v>#REF!</v>
      </c>
      <c r="FF138" t="e">
        <f>AND(NhatkyNhap!#REF!,"AAAAAH/7c6E=")</f>
        <v>#REF!</v>
      </c>
      <c r="FG138" t="e">
        <f>AND(NhatkyNhap!#REF!,"AAAAAH/7c6I=")</f>
        <v>#REF!</v>
      </c>
      <c r="FH138" t="e">
        <f>AND(NhatkyNhap!#REF!,"AAAAAH/7c6M=")</f>
        <v>#REF!</v>
      </c>
      <c r="FI138" t="e">
        <f>AND(NhatkyNhap!#REF!,"AAAAAH/7c6Q=")</f>
        <v>#REF!</v>
      </c>
      <c r="FJ138" t="e">
        <f>AND(NhatkyNhap!#REF!,"AAAAAH/7c6U=")</f>
        <v>#REF!</v>
      </c>
      <c r="FK138" t="e">
        <f>AND(NhatkyNhap!#REF!,"AAAAAH/7c6Y=")</f>
        <v>#REF!</v>
      </c>
      <c r="FL138" t="e">
        <f>AND(NhatkyNhap!#REF!,"AAAAAH/7c6c=")</f>
        <v>#REF!</v>
      </c>
      <c r="FM138" t="e">
        <f>AND(NhatkyNhap!#REF!,"AAAAAH/7c6g=")</f>
        <v>#REF!</v>
      </c>
      <c r="FN138" t="e">
        <f>AND(NhatkyNhap!#REF!,"AAAAAH/7c6k=")</f>
        <v>#REF!</v>
      </c>
      <c r="FO138" t="e">
        <f>AND(NhatkyNhap!#REF!,"AAAAAH/7c6o=")</f>
        <v>#REF!</v>
      </c>
      <c r="FP138" t="e">
        <f>AND(NhatkyNhap!#REF!,"AAAAAH/7c6s=")</f>
        <v>#REF!</v>
      </c>
      <c r="FQ138" t="e">
        <f>AND(NhatkyNhap!#REF!,"AAAAAH/7c6w=")</f>
        <v>#REF!</v>
      </c>
      <c r="FR138" t="e">
        <f>AND(NhatkyNhap!#REF!,"AAAAAH/7c60=")</f>
        <v>#REF!</v>
      </c>
      <c r="FS138" t="e">
        <f>AND(NhatkyNhap!#REF!,"AAAAAH/7c64=")</f>
        <v>#REF!</v>
      </c>
      <c r="FT138" t="e">
        <f>AND(NhatkyNhap!#REF!,"AAAAAH/7c68=")</f>
        <v>#REF!</v>
      </c>
      <c r="FU138" t="e">
        <f>AND(NhatkyNhap!#REF!,"AAAAAH/7c7A=")</f>
        <v>#REF!</v>
      </c>
      <c r="FV138" t="e">
        <f>AND(NhatkyNhap!#REF!,"AAAAAH/7c7E=")</f>
        <v>#REF!</v>
      </c>
      <c r="FW138" t="e">
        <f>AND(NhatkyNhap!#REF!,"AAAAAH/7c7I=")</f>
        <v>#REF!</v>
      </c>
      <c r="FX138" t="e">
        <f>AND(NhatkyNhap!#REF!,"AAAAAH/7c7M=")</f>
        <v>#REF!</v>
      </c>
      <c r="FY138" t="e">
        <f>AND(NhatkyNhap!#REF!,"AAAAAH/7c7Q=")</f>
        <v>#REF!</v>
      </c>
      <c r="FZ138" t="e">
        <f>AND(NhatkyNhap!#REF!,"AAAAAH/7c7U=")</f>
        <v>#REF!</v>
      </c>
      <c r="GA138" t="e">
        <f>AND(NhatkyNhap!#REF!,"AAAAAH/7c7Y=")</f>
        <v>#REF!</v>
      </c>
      <c r="GB138" t="e">
        <f>AND(NhatkyNhap!#REF!,"AAAAAH/7c7c=")</f>
        <v>#REF!</v>
      </c>
      <c r="GC138" t="e">
        <f>AND(NhatkyNhap!#REF!,"AAAAAH/7c7g=")</f>
        <v>#REF!</v>
      </c>
      <c r="GD138" t="e">
        <f>AND(NhatkyNhap!#REF!,"AAAAAH/7c7k=")</f>
        <v>#REF!</v>
      </c>
      <c r="GE138" t="e">
        <f>AND(NhatkyNhap!#REF!,"AAAAAH/7c7o=")</f>
        <v>#REF!</v>
      </c>
      <c r="GF138" t="e">
        <f>AND(NhatkyNhap!#REF!,"AAAAAH/7c7s=")</f>
        <v>#REF!</v>
      </c>
      <c r="GG138" t="e">
        <f>IF(NhatkyNhap!#REF!,"AAAAAH/7c7w=",0)</f>
        <v>#REF!</v>
      </c>
      <c r="GH138" t="e">
        <f>AND(NhatkyNhap!#REF!,"AAAAAH/7c70=")</f>
        <v>#REF!</v>
      </c>
      <c r="GI138" t="e">
        <f>AND(NhatkyNhap!#REF!,"AAAAAH/7c74=")</f>
        <v>#REF!</v>
      </c>
      <c r="GJ138" t="e">
        <f>AND(NhatkyNhap!#REF!,"AAAAAH/7c78=")</f>
        <v>#REF!</v>
      </c>
      <c r="GK138" t="e">
        <f>AND(NhatkyNhap!#REF!,"AAAAAH/7c8A=")</f>
        <v>#REF!</v>
      </c>
      <c r="GL138" t="e">
        <f>AND(NhatkyNhap!#REF!,"AAAAAH/7c8E=")</f>
        <v>#REF!</v>
      </c>
      <c r="GM138" t="e">
        <f>AND(NhatkyNhap!#REF!,"AAAAAH/7c8I=")</f>
        <v>#REF!</v>
      </c>
      <c r="GN138" t="e">
        <f>AND(NhatkyNhap!#REF!,"AAAAAH/7c8M=")</f>
        <v>#REF!</v>
      </c>
      <c r="GO138" t="e">
        <f>AND(NhatkyNhap!#REF!,"AAAAAH/7c8Q=")</f>
        <v>#REF!</v>
      </c>
      <c r="GP138" t="e">
        <f>AND(NhatkyNhap!#REF!,"AAAAAH/7c8U=")</f>
        <v>#REF!</v>
      </c>
      <c r="GQ138" t="e">
        <f>AND(NhatkyNhap!#REF!,"AAAAAH/7c8Y=")</f>
        <v>#REF!</v>
      </c>
      <c r="GR138" t="e">
        <f>AND(NhatkyNhap!#REF!,"AAAAAH/7c8c=")</f>
        <v>#REF!</v>
      </c>
      <c r="GS138" t="e">
        <f>AND(NhatkyNhap!#REF!,"AAAAAH/7c8g=")</f>
        <v>#REF!</v>
      </c>
      <c r="GT138" t="e">
        <f>AND(NhatkyNhap!#REF!,"AAAAAH/7c8k=")</f>
        <v>#REF!</v>
      </c>
      <c r="GU138" t="e">
        <f>AND(NhatkyNhap!#REF!,"AAAAAH/7c8o=")</f>
        <v>#REF!</v>
      </c>
      <c r="GV138" t="e">
        <f>AND(NhatkyNhap!#REF!,"AAAAAH/7c8s=")</f>
        <v>#REF!</v>
      </c>
      <c r="GW138" t="e">
        <f>AND(NhatkyNhap!#REF!,"AAAAAH/7c8w=")</f>
        <v>#REF!</v>
      </c>
      <c r="GX138" t="e">
        <f>AND(NhatkyNhap!#REF!,"AAAAAH/7c80=")</f>
        <v>#REF!</v>
      </c>
      <c r="GY138" t="e">
        <f>AND(NhatkyNhap!#REF!,"AAAAAH/7c84=")</f>
        <v>#REF!</v>
      </c>
      <c r="GZ138" t="e">
        <f>AND(NhatkyNhap!#REF!,"AAAAAH/7c88=")</f>
        <v>#REF!</v>
      </c>
      <c r="HA138" t="e">
        <f>AND(NhatkyNhap!#REF!,"AAAAAH/7c9A=")</f>
        <v>#REF!</v>
      </c>
      <c r="HB138" t="e">
        <f>AND(NhatkyNhap!#REF!,"AAAAAH/7c9E=")</f>
        <v>#REF!</v>
      </c>
      <c r="HC138" t="e">
        <f>AND(NhatkyNhap!#REF!,"AAAAAH/7c9I=")</f>
        <v>#REF!</v>
      </c>
      <c r="HD138" t="e">
        <f>AND(NhatkyNhap!#REF!,"AAAAAH/7c9M=")</f>
        <v>#REF!</v>
      </c>
      <c r="HE138" t="e">
        <f>AND(NhatkyNhap!#REF!,"AAAAAH/7c9Q=")</f>
        <v>#REF!</v>
      </c>
      <c r="HF138" t="e">
        <f>AND(NhatkyNhap!#REF!,"AAAAAH/7c9U=")</f>
        <v>#REF!</v>
      </c>
      <c r="HG138" t="e">
        <f>AND(NhatkyNhap!#REF!,"AAAAAH/7c9Y=")</f>
        <v>#REF!</v>
      </c>
      <c r="HH138" t="e">
        <f>AND(NhatkyNhap!#REF!,"AAAAAH/7c9c=")</f>
        <v>#REF!</v>
      </c>
      <c r="HI138" t="e">
        <f>AND(NhatkyNhap!#REF!,"AAAAAH/7c9g=")</f>
        <v>#REF!</v>
      </c>
      <c r="HJ138" t="e">
        <f>AND(NhatkyNhap!#REF!,"AAAAAH/7c9k=")</f>
        <v>#REF!</v>
      </c>
      <c r="HK138" t="e">
        <f>AND(NhatkyNhap!#REF!,"AAAAAH/7c9o=")</f>
        <v>#REF!</v>
      </c>
      <c r="HL138" t="e">
        <f>AND(NhatkyNhap!#REF!,"AAAAAH/7c9s=")</f>
        <v>#REF!</v>
      </c>
      <c r="HM138" t="e">
        <f>AND(NhatkyNhap!#REF!,"AAAAAH/7c9w=")</f>
        <v>#REF!</v>
      </c>
      <c r="HN138" t="e">
        <f>AND(NhatkyNhap!#REF!,"AAAAAH/7c90=")</f>
        <v>#REF!</v>
      </c>
      <c r="HO138" t="e">
        <f>AND(NhatkyNhap!#REF!,"AAAAAH/7c94=")</f>
        <v>#REF!</v>
      </c>
      <c r="HP138" t="e">
        <f>IF(NhatkyNhap!#REF!,"AAAAAH/7c98=",0)</f>
        <v>#REF!</v>
      </c>
      <c r="HQ138" t="e">
        <f>AND(NhatkyNhap!#REF!,"AAAAAH/7c+A=")</f>
        <v>#REF!</v>
      </c>
      <c r="HR138" t="e">
        <f>AND(NhatkyNhap!#REF!,"AAAAAH/7c+E=")</f>
        <v>#REF!</v>
      </c>
      <c r="HS138" t="e">
        <f>AND(NhatkyNhap!#REF!,"AAAAAH/7c+I=")</f>
        <v>#REF!</v>
      </c>
      <c r="HT138" t="e">
        <f>AND(NhatkyNhap!#REF!,"AAAAAH/7c+M=")</f>
        <v>#REF!</v>
      </c>
      <c r="HU138" t="e">
        <f>AND(NhatkyNhap!#REF!,"AAAAAH/7c+Q=")</f>
        <v>#REF!</v>
      </c>
      <c r="HV138" t="e">
        <f>AND(NhatkyNhap!#REF!,"AAAAAH/7c+U=")</f>
        <v>#REF!</v>
      </c>
      <c r="HW138" t="e">
        <f>AND(NhatkyNhap!#REF!,"AAAAAH/7c+Y=")</f>
        <v>#REF!</v>
      </c>
      <c r="HX138" t="e">
        <f>AND(NhatkyNhap!#REF!,"AAAAAH/7c+c=")</f>
        <v>#REF!</v>
      </c>
      <c r="HY138" t="e">
        <f>AND(NhatkyNhap!#REF!,"AAAAAH/7c+g=")</f>
        <v>#REF!</v>
      </c>
      <c r="HZ138" t="e">
        <f>AND(NhatkyNhap!#REF!,"AAAAAH/7c+k=")</f>
        <v>#REF!</v>
      </c>
      <c r="IA138" t="e">
        <f>AND(NhatkyNhap!#REF!,"AAAAAH/7c+o=")</f>
        <v>#REF!</v>
      </c>
      <c r="IB138" t="e">
        <f>AND(NhatkyNhap!#REF!,"AAAAAH/7c+s=")</f>
        <v>#REF!</v>
      </c>
      <c r="IC138" t="e">
        <f>AND(NhatkyNhap!#REF!,"AAAAAH/7c+w=")</f>
        <v>#REF!</v>
      </c>
      <c r="ID138" t="e">
        <f>AND(NhatkyNhap!#REF!,"AAAAAH/7c+0=")</f>
        <v>#REF!</v>
      </c>
      <c r="IE138" t="e">
        <f>AND(NhatkyNhap!#REF!,"AAAAAH/7c+4=")</f>
        <v>#REF!</v>
      </c>
      <c r="IF138" t="e">
        <f>AND(NhatkyNhap!#REF!,"AAAAAH/7c+8=")</f>
        <v>#REF!</v>
      </c>
      <c r="IG138" t="e">
        <f>AND(NhatkyNhap!#REF!,"AAAAAH/7c/A=")</f>
        <v>#REF!</v>
      </c>
      <c r="IH138" t="e">
        <f>AND(NhatkyNhap!#REF!,"AAAAAH/7c/E=")</f>
        <v>#REF!</v>
      </c>
      <c r="II138" t="e">
        <f>AND(NhatkyNhap!#REF!,"AAAAAH/7c/I=")</f>
        <v>#REF!</v>
      </c>
      <c r="IJ138" t="e">
        <f>AND(NhatkyNhap!#REF!,"AAAAAH/7c/M=")</f>
        <v>#REF!</v>
      </c>
      <c r="IK138" t="e">
        <f>AND(NhatkyNhap!#REF!,"AAAAAH/7c/Q=")</f>
        <v>#REF!</v>
      </c>
      <c r="IL138" t="e">
        <f>AND(NhatkyNhap!#REF!,"AAAAAH/7c/U=")</f>
        <v>#REF!</v>
      </c>
      <c r="IM138" t="e">
        <f>AND(NhatkyNhap!#REF!,"AAAAAH/7c/Y=")</f>
        <v>#REF!</v>
      </c>
      <c r="IN138" t="e">
        <f>AND(NhatkyNhap!#REF!,"AAAAAH/7c/c=")</f>
        <v>#REF!</v>
      </c>
      <c r="IO138" t="e">
        <f>AND(NhatkyNhap!#REF!,"AAAAAH/7c/g=")</f>
        <v>#REF!</v>
      </c>
      <c r="IP138" t="e">
        <f>AND(NhatkyNhap!#REF!,"AAAAAH/7c/k=")</f>
        <v>#REF!</v>
      </c>
      <c r="IQ138" t="e">
        <f>AND(NhatkyNhap!#REF!,"AAAAAH/7c/o=")</f>
        <v>#REF!</v>
      </c>
      <c r="IR138" t="e">
        <f>AND(NhatkyNhap!#REF!,"AAAAAH/7c/s=")</f>
        <v>#REF!</v>
      </c>
      <c r="IS138" t="e">
        <f>AND(NhatkyNhap!#REF!,"AAAAAH/7c/w=")</f>
        <v>#REF!</v>
      </c>
      <c r="IT138" t="e">
        <f>AND(NhatkyNhap!#REF!,"AAAAAH/7c/0=")</f>
        <v>#REF!</v>
      </c>
      <c r="IU138" t="e">
        <f>AND(NhatkyNhap!#REF!,"AAAAAH/7c/4=")</f>
        <v>#REF!</v>
      </c>
      <c r="IV138" t="e">
        <f>AND(NhatkyNhap!#REF!,"AAAAAH/7c/8=")</f>
        <v>#REF!</v>
      </c>
    </row>
    <row r="139" spans="1:256">
      <c r="A139" t="e">
        <f>AND(NhatkyNhap!#REF!,"AAAAAC+N5wA=")</f>
        <v>#REF!</v>
      </c>
      <c r="B139" t="e">
        <f>AND(NhatkyNhap!#REF!,"AAAAAC+N5wE=")</f>
        <v>#REF!</v>
      </c>
      <c r="C139" t="e">
        <f>IF(NhatkyNhap!#REF!,"AAAAAC+N5wI=",0)</f>
        <v>#REF!</v>
      </c>
      <c r="D139" t="e">
        <f>AND(NhatkyNhap!#REF!,"AAAAAC+N5wM=")</f>
        <v>#REF!</v>
      </c>
      <c r="E139" t="e">
        <f>AND(NhatkyNhap!#REF!,"AAAAAC+N5wQ=")</f>
        <v>#REF!</v>
      </c>
      <c r="F139" t="e">
        <f>AND(NhatkyNhap!#REF!,"AAAAAC+N5wU=")</f>
        <v>#REF!</v>
      </c>
      <c r="G139" t="e">
        <f>AND(NhatkyNhap!#REF!,"AAAAAC+N5wY=")</f>
        <v>#REF!</v>
      </c>
      <c r="H139" t="e">
        <f>AND(NhatkyNhap!#REF!,"AAAAAC+N5wc=")</f>
        <v>#REF!</v>
      </c>
      <c r="I139" t="e">
        <f>AND(NhatkyNhap!#REF!,"AAAAAC+N5wg=")</f>
        <v>#REF!</v>
      </c>
      <c r="J139" t="e">
        <f>AND(NhatkyNhap!#REF!,"AAAAAC+N5wk=")</f>
        <v>#REF!</v>
      </c>
      <c r="K139" t="e">
        <f>AND(NhatkyNhap!#REF!,"AAAAAC+N5wo=")</f>
        <v>#REF!</v>
      </c>
      <c r="L139" t="e">
        <f>AND(NhatkyNhap!#REF!,"AAAAAC+N5ws=")</f>
        <v>#REF!</v>
      </c>
      <c r="M139" t="e">
        <f>AND(NhatkyNhap!#REF!,"AAAAAC+N5ww=")</f>
        <v>#REF!</v>
      </c>
      <c r="N139" t="e">
        <f>AND(NhatkyNhap!#REF!,"AAAAAC+N5w0=")</f>
        <v>#REF!</v>
      </c>
      <c r="O139" t="e">
        <f>AND(NhatkyNhap!#REF!,"AAAAAC+N5w4=")</f>
        <v>#REF!</v>
      </c>
      <c r="P139" t="e">
        <f>AND(NhatkyNhap!#REF!,"AAAAAC+N5w8=")</f>
        <v>#REF!</v>
      </c>
      <c r="Q139" t="e">
        <f>AND(NhatkyNhap!#REF!,"AAAAAC+N5xA=")</f>
        <v>#REF!</v>
      </c>
      <c r="R139" t="e">
        <f>AND(NhatkyNhap!#REF!,"AAAAAC+N5xE=")</f>
        <v>#REF!</v>
      </c>
      <c r="S139" t="e">
        <f>AND(NhatkyNhap!#REF!,"AAAAAC+N5xI=")</f>
        <v>#REF!</v>
      </c>
      <c r="T139" t="e">
        <f>AND(NhatkyNhap!#REF!,"AAAAAC+N5xM=")</f>
        <v>#REF!</v>
      </c>
      <c r="U139" t="e">
        <f>AND(NhatkyNhap!#REF!,"AAAAAC+N5xQ=")</f>
        <v>#REF!</v>
      </c>
      <c r="V139" t="e">
        <f>AND(NhatkyNhap!#REF!,"AAAAAC+N5xU=")</f>
        <v>#REF!</v>
      </c>
      <c r="W139" t="e">
        <f>AND(NhatkyNhap!#REF!,"AAAAAC+N5xY=")</f>
        <v>#REF!</v>
      </c>
      <c r="X139" t="e">
        <f>AND(NhatkyNhap!#REF!,"AAAAAC+N5xc=")</f>
        <v>#REF!</v>
      </c>
      <c r="Y139" t="e">
        <f>AND(NhatkyNhap!#REF!,"AAAAAC+N5xg=")</f>
        <v>#REF!</v>
      </c>
      <c r="Z139" t="e">
        <f>AND(NhatkyNhap!#REF!,"AAAAAC+N5xk=")</f>
        <v>#REF!</v>
      </c>
      <c r="AA139" t="e">
        <f>AND(NhatkyNhap!#REF!,"AAAAAC+N5xo=")</f>
        <v>#REF!</v>
      </c>
      <c r="AB139" t="e">
        <f>AND(NhatkyNhap!#REF!,"AAAAAC+N5xs=")</f>
        <v>#REF!</v>
      </c>
      <c r="AC139" t="e">
        <f>AND(NhatkyNhap!#REF!,"AAAAAC+N5xw=")</f>
        <v>#REF!</v>
      </c>
      <c r="AD139" t="e">
        <f>AND(NhatkyNhap!#REF!,"AAAAAC+N5x0=")</f>
        <v>#REF!</v>
      </c>
      <c r="AE139" t="e">
        <f>AND(NhatkyNhap!#REF!,"AAAAAC+N5x4=")</f>
        <v>#REF!</v>
      </c>
      <c r="AF139" t="e">
        <f>AND(NhatkyNhap!#REF!,"AAAAAC+N5x8=")</f>
        <v>#REF!</v>
      </c>
      <c r="AG139" t="e">
        <f>AND(NhatkyNhap!#REF!,"AAAAAC+N5yA=")</f>
        <v>#REF!</v>
      </c>
      <c r="AH139" t="e">
        <f>AND(NhatkyNhap!#REF!,"AAAAAC+N5yE=")</f>
        <v>#REF!</v>
      </c>
      <c r="AI139" t="e">
        <f>AND(NhatkyNhap!#REF!,"AAAAAC+N5yI=")</f>
        <v>#REF!</v>
      </c>
      <c r="AJ139" t="e">
        <f>AND(NhatkyNhap!#REF!,"AAAAAC+N5yM=")</f>
        <v>#REF!</v>
      </c>
      <c r="AK139" t="e">
        <f>AND(NhatkyNhap!#REF!,"AAAAAC+N5yQ=")</f>
        <v>#REF!</v>
      </c>
      <c r="AL139" t="e">
        <f>IF(NhatkyNhap!#REF!,"AAAAAC+N5yU=",0)</f>
        <v>#REF!</v>
      </c>
      <c r="AM139" t="e">
        <f>AND(NhatkyNhap!#REF!,"AAAAAC+N5yY=")</f>
        <v>#REF!</v>
      </c>
      <c r="AN139" t="e">
        <f>AND(NhatkyNhap!#REF!,"AAAAAC+N5yc=")</f>
        <v>#REF!</v>
      </c>
      <c r="AO139" t="e">
        <f>AND(NhatkyNhap!#REF!,"AAAAAC+N5yg=")</f>
        <v>#REF!</v>
      </c>
      <c r="AP139" t="e">
        <f>AND(NhatkyNhap!#REF!,"AAAAAC+N5yk=")</f>
        <v>#REF!</v>
      </c>
      <c r="AQ139" t="e">
        <f>AND(NhatkyNhap!#REF!,"AAAAAC+N5yo=")</f>
        <v>#REF!</v>
      </c>
      <c r="AR139" t="e">
        <f>AND(NhatkyNhap!#REF!,"AAAAAC+N5ys=")</f>
        <v>#REF!</v>
      </c>
      <c r="AS139" t="e">
        <f>AND(NhatkyNhap!#REF!,"AAAAAC+N5yw=")</f>
        <v>#REF!</v>
      </c>
      <c r="AT139" t="e">
        <f>AND(NhatkyNhap!#REF!,"AAAAAC+N5y0=")</f>
        <v>#REF!</v>
      </c>
      <c r="AU139" t="e">
        <f>AND(NhatkyNhap!#REF!,"AAAAAC+N5y4=")</f>
        <v>#REF!</v>
      </c>
      <c r="AV139" t="e">
        <f>AND(NhatkyNhap!#REF!,"AAAAAC+N5y8=")</f>
        <v>#REF!</v>
      </c>
      <c r="AW139" t="e">
        <f>AND(NhatkyNhap!#REF!,"AAAAAC+N5zA=")</f>
        <v>#REF!</v>
      </c>
      <c r="AX139" t="e">
        <f>AND(NhatkyNhap!#REF!,"AAAAAC+N5zE=")</f>
        <v>#REF!</v>
      </c>
      <c r="AY139" t="e">
        <f>AND(NhatkyNhap!#REF!,"AAAAAC+N5zI=")</f>
        <v>#REF!</v>
      </c>
      <c r="AZ139" t="e">
        <f>AND(NhatkyNhap!#REF!,"AAAAAC+N5zM=")</f>
        <v>#REF!</v>
      </c>
      <c r="BA139" t="e">
        <f>AND(NhatkyNhap!#REF!,"AAAAAC+N5zQ=")</f>
        <v>#REF!</v>
      </c>
      <c r="BB139" t="e">
        <f>AND(NhatkyNhap!#REF!,"AAAAAC+N5zU=")</f>
        <v>#REF!</v>
      </c>
      <c r="BC139" t="e">
        <f>AND(NhatkyNhap!#REF!,"AAAAAC+N5zY=")</f>
        <v>#REF!</v>
      </c>
      <c r="BD139" t="e">
        <f>AND(NhatkyNhap!#REF!,"AAAAAC+N5zc=")</f>
        <v>#REF!</v>
      </c>
      <c r="BE139" t="e">
        <f>AND(NhatkyNhap!#REF!,"AAAAAC+N5zg=")</f>
        <v>#REF!</v>
      </c>
      <c r="BF139" t="e">
        <f>AND(NhatkyNhap!#REF!,"AAAAAC+N5zk=")</f>
        <v>#REF!</v>
      </c>
      <c r="BG139" t="e">
        <f>AND(NhatkyNhap!#REF!,"AAAAAC+N5zo=")</f>
        <v>#REF!</v>
      </c>
      <c r="BH139" t="e">
        <f>AND(NhatkyNhap!#REF!,"AAAAAC+N5zs=")</f>
        <v>#REF!</v>
      </c>
      <c r="BI139" t="e">
        <f>AND(NhatkyNhap!#REF!,"AAAAAC+N5zw=")</f>
        <v>#REF!</v>
      </c>
      <c r="BJ139" t="e">
        <f>AND(NhatkyNhap!#REF!,"AAAAAC+N5z0=")</f>
        <v>#REF!</v>
      </c>
      <c r="BK139" t="e">
        <f>AND(NhatkyNhap!#REF!,"AAAAAC+N5z4=")</f>
        <v>#REF!</v>
      </c>
      <c r="BL139" t="e">
        <f>AND(NhatkyNhap!#REF!,"AAAAAC+N5z8=")</f>
        <v>#REF!</v>
      </c>
      <c r="BM139" t="e">
        <f>AND(NhatkyNhap!#REF!,"AAAAAC+N50A=")</f>
        <v>#REF!</v>
      </c>
      <c r="BN139" t="e">
        <f>AND(NhatkyNhap!#REF!,"AAAAAC+N50E=")</f>
        <v>#REF!</v>
      </c>
      <c r="BO139" t="e">
        <f>AND(NhatkyNhap!#REF!,"AAAAAC+N50I=")</f>
        <v>#REF!</v>
      </c>
      <c r="BP139" t="e">
        <f>AND(NhatkyNhap!#REF!,"AAAAAC+N50M=")</f>
        <v>#REF!</v>
      </c>
      <c r="BQ139" t="e">
        <f>AND(NhatkyNhap!#REF!,"AAAAAC+N50Q=")</f>
        <v>#REF!</v>
      </c>
      <c r="BR139" t="e">
        <f>AND(NhatkyNhap!#REF!,"AAAAAC+N50U=")</f>
        <v>#REF!</v>
      </c>
      <c r="BS139" t="e">
        <f>AND(NhatkyNhap!#REF!,"AAAAAC+N50Y=")</f>
        <v>#REF!</v>
      </c>
      <c r="BT139" t="e">
        <f>AND(NhatkyNhap!#REF!,"AAAAAC+N50c=")</f>
        <v>#REF!</v>
      </c>
      <c r="BU139" t="e">
        <f>IF(NhatkyNhap!#REF!,"AAAAAC+N50g=",0)</f>
        <v>#REF!</v>
      </c>
      <c r="BV139" t="e">
        <f>AND(NhatkyNhap!#REF!,"AAAAAC+N50k=")</f>
        <v>#REF!</v>
      </c>
      <c r="BW139" t="e">
        <f>AND(NhatkyNhap!#REF!,"AAAAAC+N50o=")</f>
        <v>#REF!</v>
      </c>
      <c r="BX139" t="e">
        <f>AND(NhatkyNhap!#REF!,"AAAAAC+N50s=")</f>
        <v>#REF!</v>
      </c>
      <c r="BY139" t="e">
        <f>AND(NhatkyNhap!#REF!,"AAAAAC+N50w=")</f>
        <v>#REF!</v>
      </c>
      <c r="BZ139" t="e">
        <f>AND(NhatkyNhap!#REF!,"AAAAAC+N500=")</f>
        <v>#REF!</v>
      </c>
      <c r="CA139" t="e">
        <f>AND(NhatkyNhap!#REF!,"AAAAAC+N504=")</f>
        <v>#REF!</v>
      </c>
      <c r="CB139" t="e">
        <f>AND(NhatkyNhap!#REF!,"AAAAAC+N508=")</f>
        <v>#REF!</v>
      </c>
      <c r="CC139" t="e">
        <f>AND(NhatkyNhap!#REF!,"AAAAAC+N51A=")</f>
        <v>#REF!</v>
      </c>
      <c r="CD139" t="e">
        <f>AND(NhatkyNhap!#REF!,"AAAAAC+N51E=")</f>
        <v>#REF!</v>
      </c>
      <c r="CE139" t="e">
        <f>AND(NhatkyNhap!#REF!,"AAAAAC+N51I=")</f>
        <v>#REF!</v>
      </c>
      <c r="CF139" t="e">
        <f>AND(NhatkyNhap!#REF!,"AAAAAC+N51M=")</f>
        <v>#REF!</v>
      </c>
      <c r="CG139" t="e">
        <f>AND(NhatkyNhap!#REF!,"AAAAAC+N51Q=")</f>
        <v>#REF!</v>
      </c>
      <c r="CH139" t="e">
        <f>AND(NhatkyNhap!#REF!,"AAAAAC+N51U=")</f>
        <v>#REF!</v>
      </c>
      <c r="CI139" t="e">
        <f>AND(NhatkyNhap!#REF!,"AAAAAC+N51Y=")</f>
        <v>#REF!</v>
      </c>
      <c r="CJ139" t="e">
        <f>AND(NhatkyNhap!#REF!,"AAAAAC+N51c=")</f>
        <v>#REF!</v>
      </c>
      <c r="CK139" t="e">
        <f>AND(NhatkyNhap!#REF!,"AAAAAC+N51g=")</f>
        <v>#REF!</v>
      </c>
      <c r="CL139" t="e">
        <f>AND(NhatkyNhap!#REF!,"AAAAAC+N51k=")</f>
        <v>#REF!</v>
      </c>
      <c r="CM139" t="e">
        <f>AND(NhatkyNhap!#REF!,"AAAAAC+N51o=")</f>
        <v>#REF!</v>
      </c>
      <c r="CN139" t="e">
        <f>AND(NhatkyNhap!#REF!,"AAAAAC+N51s=")</f>
        <v>#REF!</v>
      </c>
      <c r="CO139" t="e">
        <f>AND(NhatkyNhap!#REF!,"AAAAAC+N51w=")</f>
        <v>#REF!</v>
      </c>
      <c r="CP139" t="e">
        <f>AND(NhatkyNhap!#REF!,"AAAAAC+N510=")</f>
        <v>#REF!</v>
      </c>
      <c r="CQ139" t="e">
        <f>AND(NhatkyNhap!#REF!,"AAAAAC+N514=")</f>
        <v>#REF!</v>
      </c>
      <c r="CR139" t="e">
        <f>AND(NhatkyNhap!#REF!,"AAAAAC+N518=")</f>
        <v>#REF!</v>
      </c>
      <c r="CS139" t="e">
        <f>AND(NhatkyNhap!#REF!,"AAAAAC+N52A=")</f>
        <v>#REF!</v>
      </c>
      <c r="CT139" t="e">
        <f>AND(NhatkyNhap!#REF!,"AAAAAC+N52E=")</f>
        <v>#REF!</v>
      </c>
      <c r="CU139" t="e">
        <f>AND(NhatkyNhap!#REF!,"AAAAAC+N52I=")</f>
        <v>#REF!</v>
      </c>
      <c r="CV139" t="e">
        <f>AND(NhatkyNhap!#REF!,"AAAAAC+N52M=")</f>
        <v>#REF!</v>
      </c>
      <c r="CW139" t="e">
        <f>AND(NhatkyNhap!#REF!,"AAAAAC+N52Q=")</f>
        <v>#REF!</v>
      </c>
      <c r="CX139" t="e">
        <f>AND(NhatkyNhap!#REF!,"AAAAAC+N52U=")</f>
        <v>#REF!</v>
      </c>
      <c r="CY139" t="e">
        <f>AND(NhatkyNhap!#REF!,"AAAAAC+N52Y=")</f>
        <v>#REF!</v>
      </c>
      <c r="CZ139" t="e">
        <f>AND(NhatkyNhap!#REF!,"AAAAAC+N52c=")</f>
        <v>#REF!</v>
      </c>
      <c r="DA139" t="e">
        <f>AND(NhatkyNhap!#REF!,"AAAAAC+N52g=")</f>
        <v>#REF!</v>
      </c>
      <c r="DB139" t="e">
        <f>AND(NhatkyNhap!#REF!,"AAAAAC+N52k=")</f>
        <v>#REF!</v>
      </c>
      <c r="DC139" t="e">
        <f>AND(NhatkyNhap!#REF!,"AAAAAC+N52o=")</f>
        <v>#REF!</v>
      </c>
      <c r="DD139" t="e">
        <f>IF(NhatkyNhap!#REF!,"AAAAAC+N52s=",0)</f>
        <v>#REF!</v>
      </c>
      <c r="DE139" t="e">
        <f>AND(NhatkyNhap!#REF!,"AAAAAC+N52w=")</f>
        <v>#REF!</v>
      </c>
      <c r="DF139" t="e">
        <f>AND(NhatkyNhap!#REF!,"AAAAAC+N520=")</f>
        <v>#REF!</v>
      </c>
      <c r="DG139" t="e">
        <f>AND(NhatkyNhap!#REF!,"AAAAAC+N524=")</f>
        <v>#REF!</v>
      </c>
      <c r="DH139" t="e">
        <f>AND(NhatkyNhap!#REF!,"AAAAAC+N528=")</f>
        <v>#REF!</v>
      </c>
      <c r="DI139" t="e">
        <f>AND(NhatkyNhap!#REF!,"AAAAAC+N53A=")</f>
        <v>#REF!</v>
      </c>
      <c r="DJ139" t="e">
        <f>AND(NhatkyNhap!#REF!,"AAAAAC+N53E=")</f>
        <v>#REF!</v>
      </c>
      <c r="DK139" t="e">
        <f>AND(NhatkyNhap!#REF!,"AAAAAC+N53I=")</f>
        <v>#REF!</v>
      </c>
      <c r="DL139" t="e">
        <f>AND(NhatkyNhap!#REF!,"AAAAAC+N53M=")</f>
        <v>#REF!</v>
      </c>
      <c r="DM139" t="e">
        <f>AND(NhatkyNhap!#REF!,"AAAAAC+N53Q=")</f>
        <v>#REF!</v>
      </c>
      <c r="DN139" t="e">
        <f>AND(NhatkyNhap!#REF!,"AAAAAC+N53U=")</f>
        <v>#REF!</v>
      </c>
      <c r="DO139" t="e">
        <f>AND(NhatkyNhap!#REF!,"AAAAAC+N53Y=")</f>
        <v>#REF!</v>
      </c>
      <c r="DP139" t="e">
        <f>AND(NhatkyNhap!#REF!,"AAAAAC+N53c=")</f>
        <v>#REF!</v>
      </c>
      <c r="DQ139" t="e">
        <f>AND(NhatkyNhap!#REF!,"AAAAAC+N53g=")</f>
        <v>#REF!</v>
      </c>
      <c r="DR139" t="e">
        <f>AND(NhatkyNhap!#REF!,"AAAAAC+N53k=")</f>
        <v>#REF!</v>
      </c>
      <c r="DS139" t="e">
        <f>AND(NhatkyNhap!#REF!,"AAAAAC+N53o=")</f>
        <v>#REF!</v>
      </c>
      <c r="DT139" t="e">
        <f>AND(NhatkyNhap!#REF!,"AAAAAC+N53s=")</f>
        <v>#REF!</v>
      </c>
      <c r="DU139" t="e">
        <f>AND(NhatkyNhap!#REF!,"AAAAAC+N53w=")</f>
        <v>#REF!</v>
      </c>
      <c r="DV139" t="e">
        <f>AND(NhatkyNhap!#REF!,"AAAAAC+N530=")</f>
        <v>#REF!</v>
      </c>
      <c r="DW139" t="e">
        <f>AND(NhatkyNhap!#REF!,"AAAAAC+N534=")</f>
        <v>#REF!</v>
      </c>
      <c r="DX139" t="e">
        <f>AND(NhatkyNhap!#REF!,"AAAAAC+N538=")</f>
        <v>#REF!</v>
      </c>
      <c r="DY139" t="e">
        <f>AND(NhatkyNhap!#REF!,"AAAAAC+N54A=")</f>
        <v>#REF!</v>
      </c>
      <c r="DZ139" t="e">
        <f>AND(NhatkyNhap!#REF!,"AAAAAC+N54E=")</f>
        <v>#REF!</v>
      </c>
      <c r="EA139" t="e">
        <f>AND(NhatkyNhap!#REF!,"AAAAAC+N54I=")</f>
        <v>#REF!</v>
      </c>
      <c r="EB139" t="e">
        <f>AND(NhatkyNhap!#REF!,"AAAAAC+N54M=")</f>
        <v>#REF!</v>
      </c>
      <c r="EC139" t="e">
        <f>AND(NhatkyNhap!#REF!,"AAAAAC+N54Q=")</f>
        <v>#REF!</v>
      </c>
      <c r="ED139" t="e">
        <f>AND(NhatkyNhap!#REF!,"AAAAAC+N54U=")</f>
        <v>#REF!</v>
      </c>
      <c r="EE139" t="e">
        <f>AND(NhatkyNhap!#REF!,"AAAAAC+N54Y=")</f>
        <v>#REF!</v>
      </c>
      <c r="EF139" t="e">
        <f>AND(NhatkyNhap!#REF!,"AAAAAC+N54c=")</f>
        <v>#REF!</v>
      </c>
      <c r="EG139" t="e">
        <f>AND(NhatkyNhap!#REF!,"AAAAAC+N54g=")</f>
        <v>#REF!</v>
      </c>
      <c r="EH139" t="e">
        <f>AND(NhatkyNhap!#REF!,"AAAAAC+N54k=")</f>
        <v>#REF!</v>
      </c>
      <c r="EI139" t="e">
        <f>AND(NhatkyNhap!#REF!,"AAAAAC+N54o=")</f>
        <v>#REF!</v>
      </c>
      <c r="EJ139" t="e">
        <f>AND(NhatkyNhap!#REF!,"AAAAAC+N54s=")</f>
        <v>#REF!</v>
      </c>
      <c r="EK139" t="e">
        <f>AND(NhatkyNhap!#REF!,"AAAAAC+N54w=")</f>
        <v>#REF!</v>
      </c>
      <c r="EL139" t="e">
        <f>AND(NhatkyNhap!#REF!,"AAAAAC+N540=")</f>
        <v>#REF!</v>
      </c>
      <c r="EM139" t="e">
        <f>IF(NhatkyNhap!#REF!,"AAAAAC+N544=",0)</f>
        <v>#REF!</v>
      </c>
      <c r="EN139" t="e">
        <f>AND(NhatkyNhap!#REF!,"AAAAAC+N548=")</f>
        <v>#REF!</v>
      </c>
      <c r="EO139" t="e">
        <f>AND(NhatkyNhap!#REF!,"AAAAAC+N55A=")</f>
        <v>#REF!</v>
      </c>
      <c r="EP139" t="e">
        <f>AND(NhatkyNhap!#REF!,"AAAAAC+N55E=")</f>
        <v>#REF!</v>
      </c>
      <c r="EQ139" t="e">
        <f>AND(NhatkyNhap!#REF!,"AAAAAC+N55I=")</f>
        <v>#REF!</v>
      </c>
      <c r="ER139" t="e">
        <f>AND(NhatkyNhap!#REF!,"AAAAAC+N55M=")</f>
        <v>#REF!</v>
      </c>
      <c r="ES139" t="e">
        <f>AND(NhatkyNhap!#REF!,"AAAAAC+N55Q=")</f>
        <v>#REF!</v>
      </c>
      <c r="ET139" t="e">
        <f>AND(NhatkyNhap!#REF!,"AAAAAC+N55U=")</f>
        <v>#REF!</v>
      </c>
      <c r="EU139" t="e">
        <f>AND(NhatkyNhap!#REF!,"AAAAAC+N55Y=")</f>
        <v>#REF!</v>
      </c>
      <c r="EV139" t="e">
        <f>AND(NhatkyNhap!#REF!,"AAAAAC+N55c=")</f>
        <v>#REF!</v>
      </c>
      <c r="EW139" t="e">
        <f>AND(NhatkyNhap!#REF!,"AAAAAC+N55g=")</f>
        <v>#REF!</v>
      </c>
      <c r="EX139" t="e">
        <f>AND(NhatkyNhap!#REF!,"AAAAAC+N55k=")</f>
        <v>#REF!</v>
      </c>
      <c r="EY139" t="e">
        <f>AND(NhatkyNhap!#REF!,"AAAAAC+N55o=")</f>
        <v>#REF!</v>
      </c>
      <c r="EZ139" t="e">
        <f>AND(NhatkyNhap!#REF!,"AAAAAC+N55s=")</f>
        <v>#REF!</v>
      </c>
      <c r="FA139" t="e">
        <f>AND(NhatkyNhap!#REF!,"AAAAAC+N55w=")</f>
        <v>#REF!</v>
      </c>
      <c r="FB139" t="e">
        <f>AND(NhatkyNhap!#REF!,"AAAAAC+N550=")</f>
        <v>#REF!</v>
      </c>
      <c r="FC139" t="e">
        <f>AND(NhatkyNhap!#REF!,"AAAAAC+N554=")</f>
        <v>#REF!</v>
      </c>
      <c r="FD139" t="e">
        <f>AND(NhatkyNhap!#REF!,"AAAAAC+N558=")</f>
        <v>#REF!</v>
      </c>
      <c r="FE139" t="e">
        <f>AND(NhatkyNhap!#REF!,"AAAAAC+N56A=")</f>
        <v>#REF!</v>
      </c>
      <c r="FF139" t="e">
        <f>AND(NhatkyNhap!#REF!,"AAAAAC+N56E=")</f>
        <v>#REF!</v>
      </c>
      <c r="FG139" t="e">
        <f>AND(NhatkyNhap!#REF!,"AAAAAC+N56I=")</f>
        <v>#REF!</v>
      </c>
      <c r="FH139" t="e">
        <f>AND(NhatkyNhap!#REF!,"AAAAAC+N56M=")</f>
        <v>#REF!</v>
      </c>
      <c r="FI139" t="e">
        <f>AND(NhatkyNhap!#REF!,"AAAAAC+N56Q=")</f>
        <v>#REF!</v>
      </c>
      <c r="FJ139" t="e">
        <f>AND(NhatkyNhap!#REF!,"AAAAAC+N56U=")</f>
        <v>#REF!</v>
      </c>
      <c r="FK139" t="e">
        <f>AND(NhatkyNhap!#REF!,"AAAAAC+N56Y=")</f>
        <v>#REF!</v>
      </c>
      <c r="FL139" t="e">
        <f>AND(NhatkyNhap!#REF!,"AAAAAC+N56c=")</f>
        <v>#REF!</v>
      </c>
      <c r="FM139" t="e">
        <f>AND(NhatkyNhap!#REF!,"AAAAAC+N56g=")</f>
        <v>#REF!</v>
      </c>
      <c r="FN139" t="e">
        <f>AND(NhatkyNhap!#REF!,"AAAAAC+N56k=")</f>
        <v>#REF!</v>
      </c>
      <c r="FO139" t="e">
        <f>AND(NhatkyNhap!#REF!,"AAAAAC+N56o=")</f>
        <v>#REF!</v>
      </c>
      <c r="FP139" t="e">
        <f>AND(NhatkyNhap!#REF!,"AAAAAC+N56s=")</f>
        <v>#REF!</v>
      </c>
      <c r="FQ139" t="e">
        <f>AND(NhatkyNhap!#REF!,"AAAAAC+N56w=")</f>
        <v>#REF!</v>
      </c>
      <c r="FR139" t="e">
        <f>AND(NhatkyNhap!#REF!,"AAAAAC+N560=")</f>
        <v>#REF!</v>
      </c>
      <c r="FS139" t="e">
        <f>AND(NhatkyNhap!#REF!,"AAAAAC+N564=")</f>
        <v>#REF!</v>
      </c>
      <c r="FT139" t="e">
        <f>AND(NhatkyNhap!#REF!,"AAAAAC+N568=")</f>
        <v>#REF!</v>
      </c>
      <c r="FU139" t="e">
        <f>AND(NhatkyNhap!#REF!,"AAAAAC+N57A=")</f>
        <v>#REF!</v>
      </c>
      <c r="FV139" t="e">
        <f>IF(NhatkyNhap!#REF!,"AAAAAC+N57E=",0)</f>
        <v>#REF!</v>
      </c>
      <c r="FW139" t="e">
        <f>AND(NhatkyNhap!#REF!,"AAAAAC+N57I=")</f>
        <v>#REF!</v>
      </c>
      <c r="FX139" t="e">
        <f>AND(NhatkyNhap!#REF!,"AAAAAC+N57M=")</f>
        <v>#REF!</v>
      </c>
      <c r="FY139" t="e">
        <f>AND(NhatkyNhap!#REF!,"AAAAAC+N57Q=")</f>
        <v>#REF!</v>
      </c>
      <c r="FZ139" t="e">
        <f>AND(NhatkyNhap!#REF!,"AAAAAC+N57U=")</f>
        <v>#REF!</v>
      </c>
      <c r="GA139" t="e">
        <f>AND(NhatkyNhap!#REF!,"AAAAAC+N57Y=")</f>
        <v>#REF!</v>
      </c>
      <c r="GB139" t="e">
        <f>AND(NhatkyNhap!#REF!,"AAAAAC+N57c=")</f>
        <v>#REF!</v>
      </c>
      <c r="GC139" t="e">
        <f>AND(NhatkyNhap!#REF!,"AAAAAC+N57g=")</f>
        <v>#REF!</v>
      </c>
      <c r="GD139" t="e">
        <f>AND(NhatkyNhap!#REF!,"AAAAAC+N57k=")</f>
        <v>#REF!</v>
      </c>
      <c r="GE139" t="e">
        <f>AND(NhatkyNhap!#REF!,"AAAAAC+N57o=")</f>
        <v>#REF!</v>
      </c>
      <c r="GF139" t="e">
        <f>AND(NhatkyNhap!#REF!,"AAAAAC+N57s=")</f>
        <v>#REF!</v>
      </c>
      <c r="GG139" t="e">
        <f>AND(NhatkyNhap!#REF!,"AAAAAC+N57w=")</f>
        <v>#REF!</v>
      </c>
      <c r="GH139" t="e">
        <f>AND(NhatkyNhap!#REF!,"AAAAAC+N570=")</f>
        <v>#REF!</v>
      </c>
      <c r="GI139" t="e">
        <f>AND(NhatkyNhap!#REF!,"AAAAAC+N574=")</f>
        <v>#REF!</v>
      </c>
      <c r="GJ139" t="e">
        <f>AND(NhatkyNhap!#REF!,"AAAAAC+N578=")</f>
        <v>#REF!</v>
      </c>
      <c r="GK139" t="e">
        <f>AND(NhatkyNhap!#REF!,"AAAAAC+N58A=")</f>
        <v>#REF!</v>
      </c>
      <c r="GL139" t="e">
        <f>AND(NhatkyNhap!#REF!,"AAAAAC+N58E=")</f>
        <v>#REF!</v>
      </c>
      <c r="GM139" t="e">
        <f>AND(NhatkyNhap!#REF!,"AAAAAC+N58I=")</f>
        <v>#REF!</v>
      </c>
      <c r="GN139" t="e">
        <f>AND(NhatkyNhap!#REF!,"AAAAAC+N58M=")</f>
        <v>#REF!</v>
      </c>
      <c r="GO139" t="e">
        <f>AND(NhatkyNhap!#REF!,"AAAAAC+N58Q=")</f>
        <v>#REF!</v>
      </c>
      <c r="GP139" t="e">
        <f>AND(NhatkyNhap!#REF!,"AAAAAC+N58U=")</f>
        <v>#REF!</v>
      </c>
      <c r="GQ139" t="e">
        <f>AND(NhatkyNhap!#REF!,"AAAAAC+N58Y=")</f>
        <v>#REF!</v>
      </c>
      <c r="GR139" t="e">
        <f>AND(NhatkyNhap!#REF!,"AAAAAC+N58c=")</f>
        <v>#REF!</v>
      </c>
      <c r="GS139" t="e">
        <f>AND(NhatkyNhap!#REF!,"AAAAAC+N58g=")</f>
        <v>#REF!</v>
      </c>
      <c r="GT139" t="e">
        <f>AND(NhatkyNhap!#REF!,"AAAAAC+N58k=")</f>
        <v>#REF!</v>
      </c>
      <c r="GU139" t="e">
        <f>AND(NhatkyNhap!#REF!,"AAAAAC+N58o=")</f>
        <v>#REF!</v>
      </c>
      <c r="GV139" t="e">
        <f>AND(NhatkyNhap!#REF!,"AAAAAC+N58s=")</f>
        <v>#REF!</v>
      </c>
      <c r="GW139" t="e">
        <f>AND(NhatkyNhap!#REF!,"AAAAAC+N58w=")</f>
        <v>#REF!</v>
      </c>
      <c r="GX139" t="e">
        <f>AND(NhatkyNhap!#REF!,"AAAAAC+N580=")</f>
        <v>#REF!</v>
      </c>
      <c r="GY139" t="e">
        <f>AND(NhatkyNhap!#REF!,"AAAAAC+N584=")</f>
        <v>#REF!</v>
      </c>
      <c r="GZ139" t="e">
        <f>AND(NhatkyNhap!#REF!,"AAAAAC+N588=")</f>
        <v>#REF!</v>
      </c>
      <c r="HA139" t="e">
        <f>AND(NhatkyNhap!#REF!,"AAAAAC+N59A=")</f>
        <v>#REF!</v>
      </c>
      <c r="HB139" t="e">
        <f>AND(NhatkyNhap!#REF!,"AAAAAC+N59E=")</f>
        <v>#REF!</v>
      </c>
      <c r="HC139" t="e">
        <f>AND(NhatkyNhap!#REF!,"AAAAAC+N59I=")</f>
        <v>#REF!</v>
      </c>
      <c r="HD139" t="e">
        <f>AND(NhatkyNhap!#REF!,"AAAAAC+N59M=")</f>
        <v>#REF!</v>
      </c>
      <c r="HE139" t="e">
        <f>IF(NhatkyNhap!#REF!,"AAAAAC+N59Q=",0)</f>
        <v>#REF!</v>
      </c>
      <c r="HF139" t="e">
        <f>AND(NhatkyNhap!#REF!,"AAAAAC+N59U=")</f>
        <v>#REF!</v>
      </c>
      <c r="HG139" t="e">
        <f>AND(NhatkyNhap!#REF!,"AAAAAC+N59Y=")</f>
        <v>#REF!</v>
      </c>
      <c r="HH139" t="e">
        <f>AND(NhatkyNhap!#REF!,"AAAAAC+N59c=")</f>
        <v>#REF!</v>
      </c>
      <c r="HI139" t="e">
        <f>AND(NhatkyNhap!#REF!,"AAAAAC+N59g=")</f>
        <v>#REF!</v>
      </c>
      <c r="HJ139" t="e">
        <f>AND(NhatkyNhap!#REF!,"AAAAAC+N59k=")</f>
        <v>#REF!</v>
      </c>
      <c r="HK139" t="e">
        <f>AND(NhatkyNhap!#REF!,"AAAAAC+N59o=")</f>
        <v>#REF!</v>
      </c>
      <c r="HL139" t="e">
        <f>AND(NhatkyNhap!#REF!,"AAAAAC+N59s=")</f>
        <v>#REF!</v>
      </c>
      <c r="HM139" t="e">
        <f>AND(NhatkyNhap!#REF!,"AAAAAC+N59w=")</f>
        <v>#REF!</v>
      </c>
      <c r="HN139" t="e">
        <f>AND(NhatkyNhap!#REF!,"AAAAAC+N590=")</f>
        <v>#REF!</v>
      </c>
      <c r="HO139" t="e">
        <f>AND(NhatkyNhap!#REF!,"AAAAAC+N594=")</f>
        <v>#REF!</v>
      </c>
      <c r="HP139" t="e">
        <f>AND(NhatkyNhap!#REF!,"AAAAAC+N598=")</f>
        <v>#REF!</v>
      </c>
      <c r="HQ139" t="e">
        <f>AND(NhatkyNhap!#REF!,"AAAAAC+N5+A=")</f>
        <v>#REF!</v>
      </c>
      <c r="HR139" t="e">
        <f>AND(NhatkyNhap!#REF!,"AAAAAC+N5+E=")</f>
        <v>#REF!</v>
      </c>
      <c r="HS139" t="e">
        <f>AND(NhatkyNhap!#REF!,"AAAAAC+N5+I=")</f>
        <v>#REF!</v>
      </c>
      <c r="HT139" t="e">
        <f>AND(NhatkyNhap!#REF!,"AAAAAC+N5+M=")</f>
        <v>#REF!</v>
      </c>
      <c r="HU139" t="e">
        <f>AND(NhatkyNhap!#REF!,"AAAAAC+N5+Q=")</f>
        <v>#REF!</v>
      </c>
      <c r="HV139" t="e">
        <f>AND(NhatkyNhap!#REF!,"AAAAAC+N5+U=")</f>
        <v>#REF!</v>
      </c>
      <c r="HW139" t="e">
        <f>AND(NhatkyNhap!#REF!,"AAAAAC+N5+Y=")</f>
        <v>#REF!</v>
      </c>
      <c r="HX139" t="e">
        <f>AND(NhatkyNhap!#REF!,"AAAAAC+N5+c=")</f>
        <v>#REF!</v>
      </c>
      <c r="HY139" t="e">
        <f>AND(NhatkyNhap!#REF!,"AAAAAC+N5+g=")</f>
        <v>#REF!</v>
      </c>
      <c r="HZ139" t="e">
        <f>AND(NhatkyNhap!#REF!,"AAAAAC+N5+k=")</f>
        <v>#REF!</v>
      </c>
      <c r="IA139" t="e">
        <f>AND(NhatkyNhap!#REF!,"AAAAAC+N5+o=")</f>
        <v>#REF!</v>
      </c>
      <c r="IB139" t="e">
        <f>AND(NhatkyNhap!#REF!,"AAAAAC+N5+s=")</f>
        <v>#REF!</v>
      </c>
      <c r="IC139" t="e">
        <f>AND(NhatkyNhap!#REF!,"AAAAAC+N5+w=")</f>
        <v>#REF!</v>
      </c>
      <c r="ID139" t="e">
        <f>AND(NhatkyNhap!#REF!,"AAAAAC+N5+0=")</f>
        <v>#REF!</v>
      </c>
      <c r="IE139" t="e">
        <f>AND(NhatkyNhap!#REF!,"AAAAAC+N5+4=")</f>
        <v>#REF!</v>
      </c>
      <c r="IF139" t="e">
        <f>AND(NhatkyNhap!#REF!,"AAAAAC+N5+8=")</f>
        <v>#REF!</v>
      </c>
      <c r="IG139" t="e">
        <f>AND(NhatkyNhap!#REF!,"AAAAAC+N5/A=")</f>
        <v>#REF!</v>
      </c>
      <c r="IH139" t="e">
        <f>AND(NhatkyNhap!#REF!,"AAAAAC+N5/E=")</f>
        <v>#REF!</v>
      </c>
      <c r="II139" t="e">
        <f>AND(NhatkyNhap!#REF!,"AAAAAC+N5/I=")</f>
        <v>#REF!</v>
      </c>
      <c r="IJ139" t="e">
        <f>AND(NhatkyNhap!#REF!,"AAAAAC+N5/M=")</f>
        <v>#REF!</v>
      </c>
      <c r="IK139" t="e">
        <f>AND(NhatkyNhap!#REF!,"AAAAAC+N5/Q=")</f>
        <v>#REF!</v>
      </c>
      <c r="IL139" t="e">
        <f>AND(NhatkyNhap!#REF!,"AAAAAC+N5/U=")</f>
        <v>#REF!</v>
      </c>
      <c r="IM139" t="e">
        <f>AND(NhatkyNhap!#REF!,"AAAAAC+N5/Y=")</f>
        <v>#REF!</v>
      </c>
      <c r="IN139" t="e">
        <f>IF(NhatkyNhap!#REF!,"AAAAAC+N5/c=",0)</f>
        <v>#REF!</v>
      </c>
      <c r="IO139" t="e">
        <f>AND(NhatkyNhap!#REF!,"AAAAAC+N5/g=")</f>
        <v>#REF!</v>
      </c>
      <c r="IP139" t="e">
        <f>AND(NhatkyNhap!#REF!,"AAAAAC+N5/k=")</f>
        <v>#REF!</v>
      </c>
      <c r="IQ139" t="e">
        <f>AND(NhatkyNhap!#REF!,"AAAAAC+N5/o=")</f>
        <v>#REF!</v>
      </c>
      <c r="IR139" t="e">
        <f>AND(NhatkyNhap!#REF!,"AAAAAC+N5/s=")</f>
        <v>#REF!</v>
      </c>
      <c r="IS139" t="e">
        <f>AND(NhatkyNhap!#REF!,"AAAAAC+N5/w=")</f>
        <v>#REF!</v>
      </c>
      <c r="IT139" t="e">
        <f>AND(NhatkyNhap!#REF!,"AAAAAC+N5/0=")</f>
        <v>#REF!</v>
      </c>
      <c r="IU139" t="e">
        <f>AND(NhatkyNhap!#REF!,"AAAAAC+N5/4=")</f>
        <v>#REF!</v>
      </c>
      <c r="IV139" t="e">
        <f>AND(NhatkyNhap!#REF!,"AAAAAC+N5/8=")</f>
        <v>#REF!</v>
      </c>
    </row>
    <row r="140" spans="1:256">
      <c r="A140" t="e">
        <f>AND(NhatkyNhap!#REF!,"AAAAAE9+8gA=")</f>
        <v>#REF!</v>
      </c>
      <c r="B140" t="e">
        <f>AND(NhatkyNhap!#REF!,"AAAAAE9+8gE=")</f>
        <v>#REF!</v>
      </c>
      <c r="C140" t="e">
        <f>AND(NhatkyNhap!#REF!,"AAAAAE9+8gI=")</f>
        <v>#REF!</v>
      </c>
      <c r="D140" t="e">
        <f>AND(NhatkyNhap!#REF!,"AAAAAE9+8gM=")</f>
        <v>#REF!</v>
      </c>
      <c r="E140" t="e">
        <f>AND(NhatkyNhap!#REF!,"AAAAAE9+8gQ=")</f>
        <v>#REF!</v>
      </c>
      <c r="F140" t="e">
        <f>AND(NhatkyNhap!#REF!,"AAAAAE9+8gU=")</f>
        <v>#REF!</v>
      </c>
      <c r="G140" t="e">
        <f>AND(NhatkyNhap!#REF!,"AAAAAE9+8gY=")</f>
        <v>#REF!</v>
      </c>
      <c r="H140" t="e">
        <f>AND(NhatkyNhap!#REF!,"AAAAAE9+8gc=")</f>
        <v>#REF!</v>
      </c>
      <c r="I140" t="e">
        <f>AND(NhatkyNhap!#REF!,"AAAAAE9+8gg=")</f>
        <v>#REF!</v>
      </c>
      <c r="J140" t="e">
        <f>AND(NhatkyNhap!#REF!,"AAAAAE9+8gk=")</f>
        <v>#REF!</v>
      </c>
      <c r="K140" t="e">
        <f>AND(NhatkyNhap!#REF!,"AAAAAE9+8go=")</f>
        <v>#REF!</v>
      </c>
      <c r="L140" t="e">
        <f>AND(NhatkyNhap!#REF!,"AAAAAE9+8gs=")</f>
        <v>#REF!</v>
      </c>
      <c r="M140" t="e">
        <f>AND(NhatkyNhap!#REF!,"AAAAAE9+8gw=")</f>
        <v>#REF!</v>
      </c>
      <c r="N140" t="e">
        <f>AND(NhatkyNhap!#REF!,"AAAAAE9+8g0=")</f>
        <v>#REF!</v>
      </c>
      <c r="O140" t="e">
        <f>AND(NhatkyNhap!#REF!,"AAAAAE9+8g4=")</f>
        <v>#REF!</v>
      </c>
      <c r="P140" t="e">
        <f>AND(NhatkyNhap!#REF!,"AAAAAE9+8g8=")</f>
        <v>#REF!</v>
      </c>
      <c r="Q140" t="e">
        <f>AND(NhatkyNhap!#REF!,"AAAAAE9+8hA=")</f>
        <v>#REF!</v>
      </c>
      <c r="R140" t="e">
        <f>AND(NhatkyNhap!#REF!,"AAAAAE9+8hE=")</f>
        <v>#REF!</v>
      </c>
      <c r="S140" t="e">
        <f>AND(NhatkyNhap!#REF!,"AAAAAE9+8hI=")</f>
        <v>#REF!</v>
      </c>
      <c r="T140" t="e">
        <f>AND(NhatkyNhap!#REF!,"AAAAAE9+8hM=")</f>
        <v>#REF!</v>
      </c>
      <c r="U140" t="e">
        <f>AND(NhatkyNhap!#REF!,"AAAAAE9+8hQ=")</f>
        <v>#REF!</v>
      </c>
      <c r="V140" t="e">
        <f>AND(NhatkyNhap!#REF!,"AAAAAE9+8hU=")</f>
        <v>#REF!</v>
      </c>
      <c r="W140" t="e">
        <f>AND(NhatkyNhap!#REF!,"AAAAAE9+8hY=")</f>
        <v>#REF!</v>
      </c>
      <c r="X140" t="e">
        <f>AND(NhatkyNhap!#REF!,"AAAAAE9+8hc=")</f>
        <v>#REF!</v>
      </c>
      <c r="Y140" t="e">
        <f>AND(NhatkyNhap!#REF!,"AAAAAE9+8hg=")</f>
        <v>#REF!</v>
      </c>
      <c r="Z140" t="e">
        <f>AND(NhatkyNhap!#REF!,"AAAAAE9+8hk=")</f>
        <v>#REF!</v>
      </c>
      <c r="AA140" t="e">
        <f>IF(NhatkyNhap!#REF!,"AAAAAE9+8ho=",0)</f>
        <v>#REF!</v>
      </c>
      <c r="AB140" t="e">
        <f>AND(NhatkyNhap!#REF!,"AAAAAE9+8hs=")</f>
        <v>#REF!</v>
      </c>
      <c r="AC140" t="e">
        <f>AND(NhatkyNhap!#REF!,"AAAAAE9+8hw=")</f>
        <v>#REF!</v>
      </c>
      <c r="AD140" t="e">
        <f>AND(NhatkyNhap!#REF!,"AAAAAE9+8h0=")</f>
        <v>#REF!</v>
      </c>
      <c r="AE140" t="e">
        <f>AND(NhatkyNhap!#REF!,"AAAAAE9+8h4=")</f>
        <v>#REF!</v>
      </c>
      <c r="AF140" t="e">
        <f>AND(NhatkyNhap!#REF!,"AAAAAE9+8h8=")</f>
        <v>#REF!</v>
      </c>
      <c r="AG140" t="e">
        <f>AND(NhatkyNhap!#REF!,"AAAAAE9+8iA=")</f>
        <v>#REF!</v>
      </c>
      <c r="AH140" t="e">
        <f>AND(NhatkyNhap!#REF!,"AAAAAE9+8iE=")</f>
        <v>#REF!</v>
      </c>
      <c r="AI140" t="e">
        <f>AND(NhatkyNhap!#REF!,"AAAAAE9+8iI=")</f>
        <v>#REF!</v>
      </c>
      <c r="AJ140" t="e">
        <f>AND(NhatkyNhap!#REF!,"AAAAAE9+8iM=")</f>
        <v>#REF!</v>
      </c>
      <c r="AK140" t="e">
        <f>AND(NhatkyNhap!#REF!,"AAAAAE9+8iQ=")</f>
        <v>#REF!</v>
      </c>
      <c r="AL140" t="e">
        <f>AND(NhatkyNhap!#REF!,"AAAAAE9+8iU=")</f>
        <v>#REF!</v>
      </c>
      <c r="AM140" t="e">
        <f>AND(NhatkyNhap!#REF!,"AAAAAE9+8iY=")</f>
        <v>#REF!</v>
      </c>
      <c r="AN140" t="e">
        <f>AND(NhatkyNhap!#REF!,"AAAAAE9+8ic=")</f>
        <v>#REF!</v>
      </c>
      <c r="AO140" t="e">
        <f>AND(NhatkyNhap!#REF!,"AAAAAE9+8ig=")</f>
        <v>#REF!</v>
      </c>
      <c r="AP140" t="e">
        <f>AND(NhatkyNhap!#REF!,"AAAAAE9+8ik=")</f>
        <v>#REF!</v>
      </c>
      <c r="AQ140" t="e">
        <f>AND(NhatkyNhap!#REF!,"AAAAAE9+8io=")</f>
        <v>#REF!</v>
      </c>
      <c r="AR140" t="e">
        <f>AND(NhatkyNhap!#REF!,"AAAAAE9+8is=")</f>
        <v>#REF!</v>
      </c>
      <c r="AS140" t="e">
        <f>AND(NhatkyNhap!#REF!,"AAAAAE9+8iw=")</f>
        <v>#REF!</v>
      </c>
      <c r="AT140" t="e">
        <f>AND(NhatkyNhap!#REF!,"AAAAAE9+8i0=")</f>
        <v>#REF!</v>
      </c>
      <c r="AU140" t="e">
        <f>AND(NhatkyNhap!#REF!,"AAAAAE9+8i4=")</f>
        <v>#REF!</v>
      </c>
      <c r="AV140" t="e">
        <f>AND(NhatkyNhap!#REF!,"AAAAAE9+8i8=")</f>
        <v>#REF!</v>
      </c>
      <c r="AW140" t="e">
        <f>AND(NhatkyNhap!#REF!,"AAAAAE9+8jA=")</f>
        <v>#REF!</v>
      </c>
      <c r="AX140" t="e">
        <f>AND(NhatkyNhap!#REF!,"AAAAAE9+8jE=")</f>
        <v>#REF!</v>
      </c>
      <c r="AY140" t="e">
        <f>AND(NhatkyNhap!#REF!,"AAAAAE9+8jI=")</f>
        <v>#REF!</v>
      </c>
      <c r="AZ140" t="e">
        <f>AND(NhatkyNhap!#REF!,"AAAAAE9+8jM=")</f>
        <v>#REF!</v>
      </c>
      <c r="BA140" t="e">
        <f>AND(NhatkyNhap!#REF!,"AAAAAE9+8jQ=")</f>
        <v>#REF!</v>
      </c>
      <c r="BB140" t="e">
        <f>AND(NhatkyNhap!#REF!,"AAAAAE9+8jU=")</f>
        <v>#REF!</v>
      </c>
      <c r="BC140" t="e">
        <f>AND(NhatkyNhap!#REF!,"AAAAAE9+8jY=")</f>
        <v>#REF!</v>
      </c>
      <c r="BD140" t="e">
        <f>AND(NhatkyNhap!#REF!,"AAAAAE9+8jc=")</f>
        <v>#REF!</v>
      </c>
      <c r="BE140" t="e">
        <f>AND(NhatkyNhap!#REF!,"AAAAAE9+8jg=")</f>
        <v>#REF!</v>
      </c>
      <c r="BF140" t="e">
        <f>AND(NhatkyNhap!#REF!,"AAAAAE9+8jk=")</f>
        <v>#REF!</v>
      </c>
      <c r="BG140" t="e">
        <f>AND(NhatkyNhap!#REF!,"AAAAAE9+8jo=")</f>
        <v>#REF!</v>
      </c>
      <c r="BH140" t="e">
        <f>AND(NhatkyNhap!#REF!,"AAAAAE9+8js=")</f>
        <v>#REF!</v>
      </c>
      <c r="BI140" t="e">
        <f>AND(NhatkyNhap!#REF!,"AAAAAE9+8jw=")</f>
        <v>#REF!</v>
      </c>
      <c r="BJ140" t="e">
        <f>IF(NhatkyNhap!#REF!,"AAAAAE9+8j0=",0)</f>
        <v>#REF!</v>
      </c>
      <c r="BK140" t="e">
        <f>AND(NhatkyNhap!#REF!,"AAAAAE9+8j4=")</f>
        <v>#REF!</v>
      </c>
      <c r="BL140" t="e">
        <f>AND(NhatkyNhap!#REF!,"AAAAAE9+8j8=")</f>
        <v>#REF!</v>
      </c>
      <c r="BM140" t="e">
        <f>AND(NhatkyNhap!#REF!,"AAAAAE9+8kA=")</f>
        <v>#REF!</v>
      </c>
      <c r="BN140" t="e">
        <f>AND(NhatkyNhap!#REF!,"AAAAAE9+8kE=")</f>
        <v>#REF!</v>
      </c>
      <c r="BO140" t="e">
        <f>AND(NhatkyNhap!#REF!,"AAAAAE9+8kI=")</f>
        <v>#REF!</v>
      </c>
      <c r="BP140" t="e">
        <f>AND(NhatkyNhap!#REF!,"AAAAAE9+8kM=")</f>
        <v>#REF!</v>
      </c>
      <c r="BQ140" t="e">
        <f>AND(NhatkyNhap!#REF!,"AAAAAE9+8kQ=")</f>
        <v>#REF!</v>
      </c>
      <c r="BR140" t="e">
        <f>AND(NhatkyNhap!#REF!,"AAAAAE9+8kU=")</f>
        <v>#REF!</v>
      </c>
      <c r="BS140" t="e">
        <f>AND(NhatkyNhap!#REF!,"AAAAAE9+8kY=")</f>
        <v>#REF!</v>
      </c>
      <c r="BT140" t="e">
        <f>AND(NhatkyNhap!#REF!,"AAAAAE9+8kc=")</f>
        <v>#REF!</v>
      </c>
      <c r="BU140" t="e">
        <f>AND(NhatkyNhap!#REF!,"AAAAAE9+8kg=")</f>
        <v>#REF!</v>
      </c>
      <c r="BV140" t="e">
        <f>AND(NhatkyNhap!#REF!,"AAAAAE9+8kk=")</f>
        <v>#REF!</v>
      </c>
      <c r="BW140" t="e">
        <f>AND(NhatkyNhap!#REF!,"AAAAAE9+8ko=")</f>
        <v>#REF!</v>
      </c>
      <c r="BX140" t="e">
        <f>AND(NhatkyNhap!#REF!,"AAAAAE9+8ks=")</f>
        <v>#REF!</v>
      </c>
      <c r="BY140" t="e">
        <f>AND(NhatkyNhap!#REF!,"AAAAAE9+8kw=")</f>
        <v>#REF!</v>
      </c>
      <c r="BZ140" t="e">
        <f>AND(NhatkyNhap!#REF!,"AAAAAE9+8k0=")</f>
        <v>#REF!</v>
      </c>
      <c r="CA140" t="e">
        <f>AND(NhatkyNhap!#REF!,"AAAAAE9+8k4=")</f>
        <v>#REF!</v>
      </c>
      <c r="CB140" t="e">
        <f>AND(NhatkyNhap!#REF!,"AAAAAE9+8k8=")</f>
        <v>#REF!</v>
      </c>
      <c r="CC140" t="e">
        <f>AND(NhatkyNhap!#REF!,"AAAAAE9+8lA=")</f>
        <v>#REF!</v>
      </c>
      <c r="CD140" t="e">
        <f>AND(NhatkyNhap!#REF!,"AAAAAE9+8lE=")</f>
        <v>#REF!</v>
      </c>
      <c r="CE140" t="e">
        <f>AND(NhatkyNhap!#REF!,"AAAAAE9+8lI=")</f>
        <v>#REF!</v>
      </c>
      <c r="CF140" t="e">
        <f>AND(NhatkyNhap!#REF!,"AAAAAE9+8lM=")</f>
        <v>#REF!</v>
      </c>
      <c r="CG140" t="e">
        <f>AND(NhatkyNhap!#REF!,"AAAAAE9+8lQ=")</f>
        <v>#REF!</v>
      </c>
      <c r="CH140" t="e">
        <f>AND(NhatkyNhap!#REF!,"AAAAAE9+8lU=")</f>
        <v>#REF!</v>
      </c>
      <c r="CI140" t="e">
        <f>AND(NhatkyNhap!#REF!,"AAAAAE9+8lY=")</f>
        <v>#REF!</v>
      </c>
      <c r="CJ140" t="e">
        <f>AND(NhatkyNhap!#REF!,"AAAAAE9+8lc=")</f>
        <v>#REF!</v>
      </c>
      <c r="CK140" t="e">
        <f>AND(NhatkyNhap!#REF!,"AAAAAE9+8lg=")</f>
        <v>#REF!</v>
      </c>
      <c r="CL140" t="e">
        <f>AND(NhatkyNhap!#REF!,"AAAAAE9+8lk=")</f>
        <v>#REF!</v>
      </c>
      <c r="CM140" t="e">
        <f>AND(NhatkyNhap!#REF!,"AAAAAE9+8lo=")</f>
        <v>#REF!</v>
      </c>
      <c r="CN140" t="e">
        <f>AND(NhatkyNhap!#REF!,"AAAAAE9+8ls=")</f>
        <v>#REF!</v>
      </c>
      <c r="CO140" t="e">
        <f>AND(NhatkyNhap!#REF!,"AAAAAE9+8lw=")</f>
        <v>#REF!</v>
      </c>
      <c r="CP140" t="e">
        <f>AND(NhatkyNhap!#REF!,"AAAAAE9+8l0=")</f>
        <v>#REF!</v>
      </c>
      <c r="CQ140" t="e">
        <f>AND(NhatkyNhap!#REF!,"AAAAAE9+8l4=")</f>
        <v>#REF!</v>
      </c>
      <c r="CR140" t="e">
        <f>AND(NhatkyNhap!#REF!,"AAAAAE9+8l8=")</f>
        <v>#REF!</v>
      </c>
      <c r="CS140" t="e">
        <f>IF(NhatkyNhap!#REF!,"AAAAAE9+8mA=",0)</f>
        <v>#REF!</v>
      </c>
      <c r="CT140" t="e">
        <f>AND(NhatkyNhap!#REF!,"AAAAAE9+8mE=")</f>
        <v>#REF!</v>
      </c>
      <c r="CU140" t="e">
        <f>AND(NhatkyNhap!#REF!,"AAAAAE9+8mI=")</f>
        <v>#REF!</v>
      </c>
      <c r="CV140" t="e">
        <f>AND(NhatkyNhap!#REF!,"AAAAAE9+8mM=")</f>
        <v>#REF!</v>
      </c>
      <c r="CW140" t="e">
        <f>AND(NhatkyNhap!#REF!,"AAAAAE9+8mQ=")</f>
        <v>#REF!</v>
      </c>
      <c r="CX140" t="e">
        <f>AND(NhatkyNhap!#REF!,"AAAAAE9+8mU=")</f>
        <v>#REF!</v>
      </c>
      <c r="CY140" t="e">
        <f>AND(NhatkyNhap!#REF!,"AAAAAE9+8mY=")</f>
        <v>#REF!</v>
      </c>
      <c r="CZ140" t="e">
        <f>AND(NhatkyNhap!#REF!,"AAAAAE9+8mc=")</f>
        <v>#REF!</v>
      </c>
      <c r="DA140" t="e">
        <f>AND(NhatkyNhap!#REF!,"AAAAAE9+8mg=")</f>
        <v>#REF!</v>
      </c>
      <c r="DB140" t="e">
        <f>AND(NhatkyNhap!#REF!,"AAAAAE9+8mk=")</f>
        <v>#REF!</v>
      </c>
      <c r="DC140" t="e">
        <f>AND(NhatkyNhap!#REF!,"AAAAAE9+8mo=")</f>
        <v>#REF!</v>
      </c>
      <c r="DD140" t="e">
        <f>AND(NhatkyNhap!#REF!,"AAAAAE9+8ms=")</f>
        <v>#REF!</v>
      </c>
      <c r="DE140" t="e">
        <f>AND(NhatkyNhap!#REF!,"AAAAAE9+8mw=")</f>
        <v>#REF!</v>
      </c>
      <c r="DF140" t="e">
        <f>AND(NhatkyNhap!#REF!,"AAAAAE9+8m0=")</f>
        <v>#REF!</v>
      </c>
      <c r="DG140" t="e">
        <f>AND(NhatkyNhap!#REF!,"AAAAAE9+8m4=")</f>
        <v>#REF!</v>
      </c>
      <c r="DH140" t="e">
        <f>AND(NhatkyNhap!#REF!,"AAAAAE9+8m8=")</f>
        <v>#REF!</v>
      </c>
      <c r="DI140" t="e">
        <f>AND(NhatkyNhap!#REF!,"AAAAAE9+8nA=")</f>
        <v>#REF!</v>
      </c>
      <c r="DJ140" t="e">
        <f>AND(NhatkyNhap!#REF!,"AAAAAE9+8nE=")</f>
        <v>#REF!</v>
      </c>
      <c r="DK140" t="e">
        <f>AND(NhatkyNhap!#REF!,"AAAAAE9+8nI=")</f>
        <v>#REF!</v>
      </c>
      <c r="DL140" t="e">
        <f>AND(NhatkyNhap!#REF!,"AAAAAE9+8nM=")</f>
        <v>#REF!</v>
      </c>
      <c r="DM140" t="e">
        <f>AND(NhatkyNhap!#REF!,"AAAAAE9+8nQ=")</f>
        <v>#REF!</v>
      </c>
      <c r="DN140" t="e">
        <f>AND(NhatkyNhap!#REF!,"AAAAAE9+8nU=")</f>
        <v>#REF!</v>
      </c>
      <c r="DO140" t="e">
        <f>AND(NhatkyNhap!#REF!,"AAAAAE9+8nY=")</f>
        <v>#REF!</v>
      </c>
      <c r="DP140" t="e">
        <f>AND(NhatkyNhap!#REF!,"AAAAAE9+8nc=")</f>
        <v>#REF!</v>
      </c>
      <c r="DQ140" t="e">
        <f>AND(NhatkyNhap!#REF!,"AAAAAE9+8ng=")</f>
        <v>#REF!</v>
      </c>
      <c r="DR140" t="e">
        <f>AND(NhatkyNhap!#REF!,"AAAAAE9+8nk=")</f>
        <v>#REF!</v>
      </c>
      <c r="DS140" t="e">
        <f>AND(NhatkyNhap!#REF!,"AAAAAE9+8no=")</f>
        <v>#REF!</v>
      </c>
      <c r="DT140" t="e">
        <f>AND(NhatkyNhap!#REF!,"AAAAAE9+8ns=")</f>
        <v>#REF!</v>
      </c>
      <c r="DU140" t="e">
        <f>AND(NhatkyNhap!#REF!,"AAAAAE9+8nw=")</f>
        <v>#REF!</v>
      </c>
      <c r="DV140" t="e">
        <f>AND(NhatkyNhap!#REF!,"AAAAAE9+8n0=")</f>
        <v>#REF!</v>
      </c>
      <c r="DW140" t="e">
        <f>AND(NhatkyNhap!#REF!,"AAAAAE9+8n4=")</f>
        <v>#REF!</v>
      </c>
      <c r="DX140" t="e">
        <f>AND(NhatkyNhap!#REF!,"AAAAAE9+8n8=")</f>
        <v>#REF!</v>
      </c>
      <c r="DY140" t="e">
        <f>AND(NhatkyNhap!#REF!,"AAAAAE9+8oA=")</f>
        <v>#REF!</v>
      </c>
      <c r="DZ140" t="e">
        <f>AND(NhatkyNhap!#REF!,"AAAAAE9+8oE=")</f>
        <v>#REF!</v>
      </c>
      <c r="EA140" t="e">
        <f>AND(NhatkyNhap!#REF!,"AAAAAE9+8oI=")</f>
        <v>#REF!</v>
      </c>
      <c r="EB140" t="e">
        <f>IF(NhatkyNhap!#REF!,"AAAAAE9+8oM=",0)</f>
        <v>#REF!</v>
      </c>
      <c r="EC140" t="e">
        <f>AND(NhatkyNhap!#REF!,"AAAAAE9+8oQ=")</f>
        <v>#REF!</v>
      </c>
      <c r="ED140" t="e">
        <f>AND(NhatkyNhap!#REF!,"AAAAAE9+8oU=")</f>
        <v>#REF!</v>
      </c>
      <c r="EE140" t="e">
        <f>AND(NhatkyNhap!#REF!,"AAAAAE9+8oY=")</f>
        <v>#REF!</v>
      </c>
      <c r="EF140" t="e">
        <f>AND(NhatkyNhap!#REF!,"AAAAAE9+8oc=")</f>
        <v>#REF!</v>
      </c>
      <c r="EG140" t="e">
        <f>AND(NhatkyNhap!#REF!,"AAAAAE9+8og=")</f>
        <v>#REF!</v>
      </c>
      <c r="EH140" t="e">
        <f>AND(NhatkyNhap!#REF!,"AAAAAE9+8ok=")</f>
        <v>#REF!</v>
      </c>
      <c r="EI140" t="e">
        <f>AND(NhatkyNhap!#REF!,"AAAAAE9+8oo=")</f>
        <v>#REF!</v>
      </c>
      <c r="EJ140" t="e">
        <f>AND(NhatkyNhap!#REF!,"AAAAAE9+8os=")</f>
        <v>#REF!</v>
      </c>
      <c r="EK140" t="e">
        <f>AND(NhatkyNhap!#REF!,"AAAAAE9+8ow=")</f>
        <v>#REF!</v>
      </c>
      <c r="EL140" t="e">
        <f>AND(NhatkyNhap!#REF!,"AAAAAE9+8o0=")</f>
        <v>#REF!</v>
      </c>
      <c r="EM140" t="e">
        <f>AND(NhatkyNhap!#REF!,"AAAAAE9+8o4=")</f>
        <v>#REF!</v>
      </c>
      <c r="EN140" t="e">
        <f>AND(NhatkyNhap!#REF!,"AAAAAE9+8o8=")</f>
        <v>#REF!</v>
      </c>
      <c r="EO140" t="e">
        <f>AND(NhatkyNhap!#REF!,"AAAAAE9+8pA=")</f>
        <v>#REF!</v>
      </c>
      <c r="EP140" t="e">
        <f>AND(NhatkyNhap!#REF!,"AAAAAE9+8pE=")</f>
        <v>#REF!</v>
      </c>
      <c r="EQ140" t="e">
        <f>AND(NhatkyNhap!#REF!,"AAAAAE9+8pI=")</f>
        <v>#REF!</v>
      </c>
      <c r="ER140" t="e">
        <f>AND(NhatkyNhap!#REF!,"AAAAAE9+8pM=")</f>
        <v>#REF!</v>
      </c>
      <c r="ES140" t="e">
        <f>AND(NhatkyNhap!#REF!,"AAAAAE9+8pQ=")</f>
        <v>#REF!</v>
      </c>
      <c r="ET140" t="e">
        <f>AND(NhatkyNhap!#REF!,"AAAAAE9+8pU=")</f>
        <v>#REF!</v>
      </c>
      <c r="EU140" t="e">
        <f>AND(NhatkyNhap!#REF!,"AAAAAE9+8pY=")</f>
        <v>#REF!</v>
      </c>
      <c r="EV140" t="e">
        <f>AND(NhatkyNhap!#REF!,"AAAAAE9+8pc=")</f>
        <v>#REF!</v>
      </c>
      <c r="EW140" t="e">
        <f>AND(NhatkyNhap!#REF!,"AAAAAE9+8pg=")</f>
        <v>#REF!</v>
      </c>
      <c r="EX140" t="e">
        <f>AND(NhatkyNhap!#REF!,"AAAAAE9+8pk=")</f>
        <v>#REF!</v>
      </c>
      <c r="EY140" t="e">
        <f>AND(NhatkyNhap!#REF!,"AAAAAE9+8po=")</f>
        <v>#REF!</v>
      </c>
      <c r="EZ140" t="e">
        <f>AND(NhatkyNhap!#REF!,"AAAAAE9+8ps=")</f>
        <v>#REF!</v>
      </c>
      <c r="FA140" t="e">
        <f>AND(NhatkyNhap!#REF!,"AAAAAE9+8pw=")</f>
        <v>#REF!</v>
      </c>
      <c r="FB140" t="e">
        <f>AND(NhatkyNhap!#REF!,"AAAAAE9+8p0=")</f>
        <v>#REF!</v>
      </c>
      <c r="FC140" t="e">
        <f>AND(NhatkyNhap!#REF!,"AAAAAE9+8p4=")</f>
        <v>#REF!</v>
      </c>
      <c r="FD140" t="e">
        <f>AND(NhatkyNhap!#REF!,"AAAAAE9+8p8=")</f>
        <v>#REF!</v>
      </c>
      <c r="FE140" t="e">
        <f>AND(NhatkyNhap!#REF!,"AAAAAE9+8qA=")</f>
        <v>#REF!</v>
      </c>
      <c r="FF140" t="e">
        <f>AND(NhatkyNhap!#REF!,"AAAAAE9+8qE=")</f>
        <v>#REF!</v>
      </c>
      <c r="FG140" t="e">
        <f>AND(NhatkyNhap!#REF!,"AAAAAE9+8qI=")</f>
        <v>#REF!</v>
      </c>
      <c r="FH140" t="e">
        <f>AND(NhatkyNhap!#REF!,"AAAAAE9+8qM=")</f>
        <v>#REF!</v>
      </c>
      <c r="FI140" t="e">
        <f>AND(NhatkyNhap!#REF!,"AAAAAE9+8qQ=")</f>
        <v>#REF!</v>
      </c>
      <c r="FJ140" t="e">
        <f>AND(NhatkyNhap!#REF!,"AAAAAE9+8qU=")</f>
        <v>#REF!</v>
      </c>
      <c r="FK140" t="e">
        <f>IF(NhatkyNhap!#REF!,"AAAAAE9+8qY=",0)</f>
        <v>#REF!</v>
      </c>
      <c r="FL140" t="e">
        <f>AND(NhatkyNhap!#REF!,"AAAAAE9+8qc=")</f>
        <v>#REF!</v>
      </c>
      <c r="FM140" t="e">
        <f>AND(NhatkyNhap!#REF!,"AAAAAE9+8qg=")</f>
        <v>#REF!</v>
      </c>
      <c r="FN140" t="e">
        <f>AND(NhatkyNhap!#REF!,"AAAAAE9+8qk=")</f>
        <v>#REF!</v>
      </c>
      <c r="FO140" t="e">
        <f>AND(NhatkyNhap!#REF!,"AAAAAE9+8qo=")</f>
        <v>#REF!</v>
      </c>
      <c r="FP140" t="e">
        <f>AND(NhatkyNhap!#REF!,"AAAAAE9+8qs=")</f>
        <v>#REF!</v>
      </c>
      <c r="FQ140" t="e">
        <f>AND(NhatkyNhap!#REF!,"AAAAAE9+8qw=")</f>
        <v>#REF!</v>
      </c>
      <c r="FR140" t="e">
        <f>AND(NhatkyNhap!#REF!,"AAAAAE9+8q0=")</f>
        <v>#REF!</v>
      </c>
      <c r="FS140" t="e">
        <f>AND(NhatkyNhap!#REF!,"AAAAAE9+8q4=")</f>
        <v>#REF!</v>
      </c>
      <c r="FT140" t="e">
        <f>AND(NhatkyNhap!#REF!,"AAAAAE9+8q8=")</f>
        <v>#REF!</v>
      </c>
      <c r="FU140" t="e">
        <f>AND(NhatkyNhap!#REF!,"AAAAAE9+8rA=")</f>
        <v>#REF!</v>
      </c>
      <c r="FV140" t="e">
        <f>AND(NhatkyNhap!#REF!,"AAAAAE9+8rE=")</f>
        <v>#REF!</v>
      </c>
      <c r="FW140" t="e">
        <f>AND(NhatkyNhap!#REF!,"AAAAAE9+8rI=")</f>
        <v>#REF!</v>
      </c>
      <c r="FX140" t="e">
        <f>AND(NhatkyNhap!#REF!,"AAAAAE9+8rM=")</f>
        <v>#REF!</v>
      </c>
      <c r="FY140" t="e">
        <f>AND(NhatkyNhap!#REF!,"AAAAAE9+8rQ=")</f>
        <v>#REF!</v>
      </c>
      <c r="FZ140" t="e">
        <f>AND(NhatkyNhap!#REF!,"AAAAAE9+8rU=")</f>
        <v>#REF!</v>
      </c>
      <c r="GA140" t="e">
        <f>AND(NhatkyNhap!#REF!,"AAAAAE9+8rY=")</f>
        <v>#REF!</v>
      </c>
      <c r="GB140" t="e">
        <f>AND(NhatkyNhap!#REF!,"AAAAAE9+8rc=")</f>
        <v>#REF!</v>
      </c>
      <c r="GC140" t="e">
        <f>AND(NhatkyNhap!#REF!,"AAAAAE9+8rg=")</f>
        <v>#REF!</v>
      </c>
      <c r="GD140" t="e">
        <f>AND(NhatkyNhap!#REF!,"AAAAAE9+8rk=")</f>
        <v>#REF!</v>
      </c>
      <c r="GE140" t="e">
        <f>AND(NhatkyNhap!#REF!,"AAAAAE9+8ro=")</f>
        <v>#REF!</v>
      </c>
      <c r="GF140" t="e">
        <f>AND(NhatkyNhap!#REF!,"AAAAAE9+8rs=")</f>
        <v>#REF!</v>
      </c>
      <c r="GG140" t="e">
        <f>AND(NhatkyNhap!#REF!,"AAAAAE9+8rw=")</f>
        <v>#REF!</v>
      </c>
      <c r="GH140" t="e">
        <f>AND(NhatkyNhap!#REF!,"AAAAAE9+8r0=")</f>
        <v>#REF!</v>
      </c>
      <c r="GI140" t="e">
        <f>AND(NhatkyNhap!#REF!,"AAAAAE9+8r4=")</f>
        <v>#REF!</v>
      </c>
      <c r="GJ140" t="e">
        <f>AND(NhatkyNhap!#REF!,"AAAAAE9+8r8=")</f>
        <v>#REF!</v>
      </c>
      <c r="GK140" t="e">
        <f>AND(NhatkyNhap!#REF!,"AAAAAE9+8sA=")</f>
        <v>#REF!</v>
      </c>
      <c r="GL140" t="e">
        <f>AND(NhatkyNhap!#REF!,"AAAAAE9+8sE=")</f>
        <v>#REF!</v>
      </c>
      <c r="GM140" t="e">
        <f>AND(NhatkyNhap!#REF!,"AAAAAE9+8sI=")</f>
        <v>#REF!</v>
      </c>
      <c r="GN140" t="e">
        <f>AND(NhatkyNhap!#REF!,"AAAAAE9+8sM=")</f>
        <v>#REF!</v>
      </c>
      <c r="GO140" t="e">
        <f>AND(NhatkyNhap!#REF!,"AAAAAE9+8sQ=")</f>
        <v>#REF!</v>
      </c>
      <c r="GP140" t="e">
        <f>AND(NhatkyNhap!#REF!,"AAAAAE9+8sU=")</f>
        <v>#REF!</v>
      </c>
      <c r="GQ140" t="e">
        <f>AND(NhatkyNhap!#REF!,"AAAAAE9+8sY=")</f>
        <v>#REF!</v>
      </c>
      <c r="GR140" t="e">
        <f>AND(NhatkyNhap!#REF!,"AAAAAE9+8sc=")</f>
        <v>#REF!</v>
      </c>
      <c r="GS140" t="e">
        <f>AND(NhatkyNhap!#REF!,"AAAAAE9+8sg=")</f>
        <v>#REF!</v>
      </c>
      <c r="GT140" t="e">
        <f>IF(NhatkyNhap!#REF!,"AAAAAE9+8sk=",0)</f>
        <v>#REF!</v>
      </c>
      <c r="GU140" t="e">
        <f>AND(NhatkyNhap!#REF!,"AAAAAE9+8so=")</f>
        <v>#REF!</v>
      </c>
      <c r="GV140" t="e">
        <f>AND(NhatkyNhap!#REF!,"AAAAAE9+8ss=")</f>
        <v>#REF!</v>
      </c>
      <c r="GW140" t="e">
        <f>AND(NhatkyNhap!#REF!,"AAAAAE9+8sw=")</f>
        <v>#REF!</v>
      </c>
      <c r="GX140" t="e">
        <f>AND(NhatkyNhap!#REF!,"AAAAAE9+8s0=")</f>
        <v>#REF!</v>
      </c>
      <c r="GY140" t="e">
        <f>AND(NhatkyNhap!#REF!,"AAAAAE9+8s4=")</f>
        <v>#REF!</v>
      </c>
      <c r="GZ140" t="e">
        <f>AND(NhatkyNhap!#REF!,"AAAAAE9+8s8=")</f>
        <v>#REF!</v>
      </c>
      <c r="HA140" t="e">
        <f>AND(NhatkyNhap!#REF!,"AAAAAE9+8tA=")</f>
        <v>#REF!</v>
      </c>
      <c r="HB140" t="e">
        <f>AND(NhatkyNhap!#REF!,"AAAAAE9+8tE=")</f>
        <v>#REF!</v>
      </c>
      <c r="HC140" t="e">
        <f>AND(NhatkyNhap!#REF!,"AAAAAE9+8tI=")</f>
        <v>#REF!</v>
      </c>
      <c r="HD140" t="e">
        <f>AND(NhatkyNhap!#REF!,"AAAAAE9+8tM=")</f>
        <v>#REF!</v>
      </c>
      <c r="HE140" t="e">
        <f>AND(NhatkyNhap!#REF!,"AAAAAE9+8tQ=")</f>
        <v>#REF!</v>
      </c>
      <c r="HF140" t="e">
        <f>AND(NhatkyNhap!#REF!,"AAAAAE9+8tU=")</f>
        <v>#REF!</v>
      </c>
      <c r="HG140" t="e">
        <f>AND(NhatkyNhap!#REF!,"AAAAAE9+8tY=")</f>
        <v>#REF!</v>
      </c>
      <c r="HH140" t="e">
        <f>AND(NhatkyNhap!#REF!,"AAAAAE9+8tc=")</f>
        <v>#REF!</v>
      </c>
      <c r="HI140" t="e">
        <f>AND(NhatkyNhap!#REF!,"AAAAAE9+8tg=")</f>
        <v>#REF!</v>
      </c>
      <c r="HJ140" t="e">
        <f>AND(NhatkyNhap!#REF!,"AAAAAE9+8tk=")</f>
        <v>#REF!</v>
      </c>
      <c r="HK140" t="e">
        <f>AND(NhatkyNhap!#REF!,"AAAAAE9+8to=")</f>
        <v>#REF!</v>
      </c>
      <c r="HL140" t="e">
        <f>AND(NhatkyNhap!#REF!,"AAAAAE9+8ts=")</f>
        <v>#REF!</v>
      </c>
      <c r="HM140" t="e">
        <f>AND(NhatkyNhap!#REF!,"AAAAAE9+8tw=")</f>
        <v>#REF!</v>
      </c>
      <c r="HN140" t="e">
        <f>AND(NhatkyNhap!#REF!,"AAAAAE9+8t0=")</f>
        <v>#REF!</v>
      </c>
      <c r="HO140" t="e">
        <f>AND(NhatkyNhap!#REF!,"AAAAAE9+8t4=")</f>
        <v>#REF!</v>
      </c>
      <c r="HP140" t="e">
        <f>AND(NhatkyNhap!#REF!,"AAAAAE9+8t8=")</f>
        <v>#REF!</v>
      </c>
      <c r="HQ140" t="e">
        <f>AND(NhatkyNhap!#REF!,"AAAAAE9+8uA=")</f>
        <v>#REF!</v>
      </c>
      <c r="HR140" t="e">
        <f>AND(NhatkyNhap!#REF!,"AAAAAE9+8uE=")</f>
        <v>#REF!</v>
      </c>
      <c r="HS140" t="e">
        <f>AND(NhatkyNhap!#REF!,"AAAAAE9+8uI=")</f>
        <v>#REF!</v>
      </c>
      <c r="HT140" t="e">
        <f>AND(NhatkyNhap!#REF!,"AAAAAE9+8uM=")</f>
        <v>#REF!</v>
      </c>
      <c r="HU140" t="e">
        <f>AND(NhatkyNhap!#REF!,"AAAAAE9+8uQ=")</f>
        <v>#REF!</v>
      </c>
      <c r="HV140" t="e">
        <f>AND(NhatkyNhap!#REF!,"AAAAAE9+8uU=")</f>
        <v>#REF!</v>
      </c>
      <c r="HW140" t="e">
        <f>AND(NhatkyNhap!#REF!,"AAAAAE9+8uY=")</f>
        <v>#REF!</v>
      </c>
      <c r="HX140" t="e">
        <f>AND(NhatkyNhap!#REF!,"AAAAAE9+8uc=")</f>
        <v>#REF!</v>
      </c>
      <c r="HY140" t="e">
        <f>AND(NhatkyNhap!#REF!,"AAAAAE9+8ug=")</f>
        <v>#REF!</v>
      </c>
      <c r="HZ140" t="e">
        <f>AND(NhatkyNhap!#REF!,"AAAAAE9+8uk=")</f>
        <v>#REF!</v>
      </c>
      <c r="IA140" t="e">
        <f>AND(NhatkyNhap!#REF!,"AAAAAE9+8uo=")</f>
        <v>#REF!</v>
      </c>
      <c r="IB140" t="e">
        <f>AND(NhatkyNhap!#REF!,"AAAAAE9+8us=")</f>
        <v>#REF!</v>
      </c>
      <c r="IC140" t="e">
        <f>IF(NhatkyNhap!#REF!,"AAAAAE9+8uw=",0)</f>
        <v>#REF!</v>
      </c>
      <c r="ID140" t="e">
        <f>AND(NhatkyNhap!#REF!,"AAAAAE9+8u0=")</f>
        <v>#REF!</v>
      </c>
      <c r="IE140" t="e">
        <f>AND(NhatkyNhap!#REF!,"AAAAAE9+8u4=")</f>
        <v>#REF!</v>
      </c>
      <c r="IF140" t="e">
        <f>AND(NhatkyNhap!#REF!,"AAAAAE9+8u8=")</f>
        <v>#REF!</v>
      </c>
      <c r="IG140" t="e">
        <f>AND(NhatkyNhap!#REF!,"AAAAAE9+8vA=")</f>
        <v>#REF!</v>
      </c>
      <c r="IH140" t="e">
        <f>AND(NhatkyNhap!#REF!,"AAAAAE9+8vE=")</f>
        <v>#REF!</v>
      </c>
      <c r="II140" t="e">
        <f>AND(NhatkyNhap!#REF!,"AAAAAE9+8vI=")</f>
        <v>#REF!</v>
      </c>
      <c r="IJ140" t="e">
        <f>AND(NhatkyNhap!#REF!,"AAAAAE9+8vM=")</f>
        <v>#REF!</v>
      </c>
      <c r="IK140" t="e">
        <f>AND(NhatkyNhap!#REF!,"AAAAAE9+8vQ=")</f>
        <v>#REF!</v>
      </c>
      <c r="IL140" t="e">
        <f>AND(NhatkyNhap!#REF!,"AAAAAE9+8vU=")</f>
        <v>#REF!</v>
      </c>
      <c r="IM140" t="e">
        <f>AND(NhatkyNhap!#REF!,"AAAAAE9+8vY=")</f>
        <v>#REF!</v>
      </c>
      <c r="IN140" t="e">
        <f>AND(NhatkyNhap!#REF!,"AAAAAE9+8vc=")</f>
        <v>#REF!</v>
      </c>
      <c r="IO140" t="e">
        <f>AND(NhatkyNhap!#REF!,"AAAAAE9+8vg=")</f>
        <v>#REF!</v>
      </c>
      <c r="IP140" t="e">
        <f>AND(NhatkyNhap!#REF!,"AAAAAE9+8vk=")</f>
        <v>#REF!</v>
      </c>
      <c r="IQ140" t="e">
        <f>AND(NhatkyNhap!#REF!,"AAAAAE9+8vo=")</f>
        <v>#REF!</v>
      </c>
      <c r="IR140" t="e">
        <f>AND(NhatkyNhap!#REF!,"AAAAAE9+8vs=")</f>
        <v>#REF!</v>
      </c>
      <c r="IS140" t="e">
        <f>AND(NhatkyNhap!#REF!,"AAAAAE9+8vw=")</f>
        <v>#REF!</v>
      </c>
      <c r="IT140" t="e">
        <f>AND(NhatkyNhap!#REF!,"AAAAAE9+8v0=")</f>
        <v>#REF!</v>
      </c>
      <c r="IU140" t="e">
        <f>AND(NhatkyNhap!#REF!,"AAAAAE9+8v4=")</f>
        <v>#REF!</v>
      </c>
      <c r="IV140" t="e">
        <f>AND(NhatkyNhap!#REF!,"AAAAAE9+8v8=")</f>
        <v>#REF!</v>
      </c>
    </row>
    <row r="141" spans="1:256">
      <c r="A141" t="e">
        <f>AND(NhatkyNhap!#REF!,"AAAAADH16wA=")</f>
        <v>#REF!</v>
      </c>
      <c r="B141" t="e">
        <f>AND(NhatkyNhap!#REF!,"AAAAADH16wE=")</f>
        <v>#REF!</v>
      </c>
      <c r="C141" t="e">
        <f>AND(NhatkyNhap!#REF!,"AAAAADH16wI=")</f>
        <v>#REF!</v>
      </c>
      <c r="D141" t="e">
        <f>AND(NhatkyNhap!#REF!,"AAAAADH16wM=")</f>
        <v>#REF!</v>
      </c>
      <c r="E141" t="e">
        <f>AND(NhatkyNhap!#REF!,"AAAAADH16wQ=")</f>
        <v>#REF!</v>
      </c>
      <c r="F141" t="e">
        <f>AND(NhatkyNhap!#REF!,"AAAAADH16wU=")</f>
        <v>#REF!</v>
      </c>
      <c r="G141" t="e">
        <f>AND(NhatkyNhap!#REF!,"AAAAADH16wY=")</f>
        <v>#REF!</v>
      </c>
      <c r="H141" t="e">
        <f>AND(NhatkyNhap!#REF!,"AAAAADH16wc=")</f>
        <v>#REF!</v>
      </c>
      <c r="I141" t="e">
        <f>AND(NhatkyNhap!#REF!,"AAAAADH16wg=")</f>
        <v>#REF!</v>
      </c>
      <c r="J141" t="e">
        <f>AND(NhatkyNhap!#REF!,"AAAAADH16wk=")</f>
        <v>#REF!</v>
      </c>
      <c r="K141" t="e">
        <f>AND(NhatkyNhap!#REF!,"AAAAADH16wo=")</f>
        <v>#REF!</v>
      </c>
      <c r="L141" t="e">
        <f>AND(NhatkyNhap!#REF!,"AAAAADH16ws=")</f>
        <v>#REF!</v>
      </c>
      <c r="M141" t="e">
        <f>AND(NhatkyNhap!#REF!,"AAAAADH16ww=")</f>
        <v>#REF!</v>
      </c>
      <c r="N141" t="e">
        <f>AND(NhatkyNhap!#REF!,"AAAAADH16w0=")</f>
        <v>#REF!</v>
      </c>
      <c r="O141" t="e">
        <f>AND(NhatkyNhap!#REF!,"AAAAADH16w4=")</f>
        <v>#REF!</v>
      </c>
      <c r="P141" t="e">
        <f>IF(NhatkyNhap!#REF!,"AAAAADH16w8=",0)</f>
        <v>#REF!</v>
      </c>
      <c r="Q141" t="e">
        <f>AND(NhatkyNhap!#REF!,"AAAAADH16xA=")</f>
        <v>#REF!</v>
      </c>
      <c r="R141" t="e">
        <f>AND(NhatkyNhap!#REF!,"AAAAADH16xE=")</f>
        <v>#REF!</v>
      </c>
      <c r="S141" t="e">
        <f>AND(NhatkyNhap!#REF!,"AAAAADH16xI=")</f>
        <v>#REF!</v>
      </c>
      <c r="T141" t="e">
        <f>AND(NhatkyNhap!#REF!,"AAAAADH16xM=")</f>
        <v>#REF!</v>
      </c>
      <c r="U141" t="e">
        <f>AND(NhatkyNhap!#REF!,"AAAAADH16xQ=")</f>
        <v>#REF!</v>
      </c>
      <c r="V141" t="e">
        <f>AND(NhatkyNhap!#REF!,"AAAAADH16xU=")</f>
        <v>#REF!</v>
      </c>
      <c r="W141" t="e">
        <f>AND(NhatkyNhap!#REF!,"AAAAADH16xY=")</f>
        <v>#REF!</v>
      </c>
      <c r="X141" t="e">
        <f>AND(NhatkyNhap!#REF!,"AAAAADH16xc=")</f>
        <v>#REF!</v>
      </c>
      <c r="Y141" t="e">
        <f>AND(NhatkyNhap!#REF!,"AAAAADH16xg=")</f>
        <v>#REF!</v>
      </c>
      <c r="Z141" t="e">
        <f>AND(NhatkyNhap!#REF!,"AAAAADH16xk=")</f>
        <v>#REF!</v>
      </c>
      <c r="AA141" t="e">
        <f>AND(NhatkyNhap!#REF!,"AAAAADH16xo=")</f>
        <v>#REF!</v>
      </c>
      <c r="AB141" t="e">
        <f>AND(NhatkyNhap!#REF!,"AAAAADH16xs=")</f>
        <v>#REF!</v>
      </c>
      <c r="AC141" t="e">
        <f>AND(NhatkyNhap!#REF!,"AAAAADH16xw=")</f>
        <v>#REF!</v>
      </c>
      <c r="AD141" t="e">
        <f>AND(NhatkyNhap!#REF!,"AAAAADH16x0=")</f>
        <v>#REF!</v>
      </c>
      <c r="AE141" t="e">
        <f>AND(NhatkyNhap!#REF!,"AAAAADH16x4=")</f>
        <v>#REF!</v>
      </c>
      <c r="AF141" t="e">
        <f>AND(NhatkyNhap!#REF!,"AAAAADH16x8=")</f>
        <v>#REF!</v>
      </c>
      <c r="AG141" t="e">
        <f>AND(NhatkyNhap!#REF!,"AAAAADH16yA=")</f>
        <v>#REF!</v>
      </c>
      <c r="AH141" t="e">
        <f>AND(NhatkyNhap!#REF!,"AAAAADH16yE=")</f>
        <v>#REF!</v>
      </c>
      <c r="AI141" t="e">
        <f>AND(NhatkyNhap!#REF!,"AAAAADH16yI=")</f>
        <v>#REF!</v>
      </c>
      <c r="AJ141" t="e">
        <f>AND(NhatkyNhap!#REF!,"AAAAADH16yM=")</f>
        <v>#REF!</v>
      </c>
      <c r="AK141" t="e">
        <f>AND(NhatkyNhap!#REF!,"AAAAADH16yQ=")</f>
        <v>#REF!</v>
      </c>
      <c r="AL141" t="e">
        <f>AND(NhatkyNhap!#REF!,"AAAAADH16yU=")</f>
        <v>#REF!</v>
      </c>
      <c r="AM141" t="e">
        <f>AND(NhatkyNhap!#REF!,"AAAAADH16yY=")</f>
        <v>#REF!</v>
      </c>
      <c r="AN141" t="e">
        <f>AND(NhatkyNhap!#REF!,"AAAAADH16yc=")</f>
        <v>#REF!</v>
      </c>
      <c r="AO141" t="e">
        <f>AND(NhatkyNhap!#REF!,"AAAAADH16yg=")</f>
        <v>#REF!</v>
      </c>
      <c r="AP141" t="e">
        <f>AND(NhatkyNhap!#REF!,"AAAAADH16yk=")</f>
        <v>#REF!</v>
      </c>
      <c r="AQ141" t="e">
        <f>AND(NhatkyNhap!#REF!,"AAAAADH16yo=")</f>
        <v>#REF!</v>
      </c>
      <c r="AR141" t="e">
        <f>AND(NhatkyNhap!#REF!,"AAAAADH16ys=")</f>
        <v>#REF!</v>
      </c>
      <c r="AS141" t="e">
        <f>AND(NhatkyNhap!#REF!,"AAAAADH16yw=")</f>
        <v>#REF!</v>
      </c>
      <c r="AT141" t="e">
        <f>AND(NhatkyNhap!#REF!,"AAAAADH16y0=")</f>
        <v>#REF!</v>
      </c>
      <c r="AU141" t="e">
        <f>AND(NhatkyNhap!#REF!,"AAAAADH16y4=")</f>
        <v>#REF!</v>
      </c>
      <c r="AV141" t="e">
        <f>AND(NhatkyNhap!#REF!,"AAAAADH16y8=")</f>
        <v>#REF!</v>
      </c>
      <c r="AW141" t="e">
        <f>AND(NhatkyNhap!#REF!,"AAAAADH16zA=")</f>
        <v>#REF!</v>
      </c>
      <c r="AX141" t="e">
        <f>AND(NhatkyNhap!#REF!,"AAAAADH16zE=")</f>
        <v>#REF!</v>
      </c>
      <c r="AY141" t="e">
        <f>IF(NhatkyNhap!#REF!,"AAAAADH16zI=",0)</f>
        <v>#REF!</v>
      </c>
      <c r="AZ141" t="e">
        <f>AND(NhatkyNhap!#REF!,"AAAAADH16zM=")</f>
        <v>#REF!</v>
      </c>
      <c r="BA141" t="e">
        <f>AND(NhatkyNhap!#REF!,"AAAAADH16zQ=")</f>
        <v>#REF!</v>
      </c>
      <c r="BB141" t="e">
        <f>AND(NhatkyNhap!#REF!,"AAAAADH16zU=")</f>
        <v>#REF!</v>
      </c>
      <c r="BC141" t="e">
        <f>AND(NhatkyNhap!#REF!,"AAAAADH16zY=")</f>
        <v>#REF!</v>
      </c>
      <c r="BD141" t="e">
        <f>AND(NhatkyNhap!#REF!,"AAAAADH16zc=")</f>
        <v>#REF!</v>
      </c>
      <c r="BE141" t="e">
        <f>AND(NhatkyNhap!#REF!,"AAAAADH16zg=")</f>
        <v>#REF!</v>
      </c>
      <c r="BF141" t="e">
        <f>AND(NhatkyNhap!#REF!,"AAAAADH16zk=")</f>
        <v>#REF!</v>
      </c>
      <c r="BG141" t="e">
        <f>AND(NhatkyNhap!#REF!,"AAAAADH16zo=")</f>
        <v>#REF!</v>
      </c>
      <c r="BH141" t="e">
        <f>AND(NhatkyNhap!#REF!,"AAAAADH16zs=")</f>
        <v>#REF!</v>
      </c>
      <c r="BI141" t="e">
        <f>AND(NhatkyNhap!#REF!,"AAAAADH16zw=")</f>
        <v>#REF!</v>
      </c>
      <c r="BJ141" t="e">
        <f>AND(NhatkyNhap!#REF!,"AAAAADH16z0=")</f>
        <v>#REF!</v>
      </c>
      <c r="BK141" t="e">
        <f>AND(NhatkyNhap!#REF!,"AAAAADH16z4=")</f>
        <v>#REF!</v>
      </c>
      <c r="BL141" t="e">
        <f>AND(NhatkyNhap!#REF!,"AAAAADH16z8=")</f>
        <v>#REF!</v>
      </c>
      <c r="BM141" t="e">
        <f>AND(NhatkyNhap!#REF!,"AAAAADH160A=")</f>
        <v>#REF!</v>
      </c>
      <c r="BN141" t="e">
        <f>AND(NhatkyNhap!#REF!,"AAAAADH160E=")</f>
        <v>#REF!</v>
      </c>
      <c r="BO141" t="e">
        <f>AND(NhatkyNhap!#REF!,"AAAAADH160I=")</f>
        <v>#REF!</v>
      </c>
      <c r="BP141" t="e">
        <f>AND(NhatkyNhap!#REF!,"AAAAADH160M=")</f>
        <v>#REF!</v>
      </c>
      <c r="BQ141" t="e">
        <f>AND(NhatkyNhap!#REF!,"AAAAADH160Q=")</f>
        <v>#REF!</v>
      </c>
      <c r="BR141" t="e">
        <f>AND(NhatkyNhap!#REF!,"AAAAADH160U=")</f>
        <v>#REF!</v>
      </c>
      <c r="BS141" t="e">
        <f>AND(NhatkyNhap!#REF!,"AAAAADH160Y=")</f>
        <v>#REF!</v>
      </c>
      <c r="BT141" t="e">
        <f>AND(NhatkyNhap!#REF!,"AAAAADH160c=")</f>
        <v>#REF!</v>
      </c>
      <c r="BU141" t="e">
        <f>AND(NhatkyNhap!#REF!,"AAAAADH160g=")</f>
        <v>#REF!</v>
      </c>
      <c r="BV141" t="e">
        <f>AND(NhatkyNhap!#REF!,"AAAAADH160k=")</f>
        <v>#REF!</v>
      </c>
      <c r="BW141" t="e">
        <f>AND(NhatkyNhap!#REF!,"AAAAADH160o=")</f>
        <v>#REF!</v>
      </c>
      <c r="BX141" t="e">
        <f>AND(NhatkyNhap!#REF!,"AAAAADH160s=")</f>
        <v>#REF!</v>
      </c>
      <c r="BY141" t="e">
        <f>AND(NhatkyNhap!#REF!,"AAAAADH160w=")</f>
        <v>#REF!</v>
      </c>
      <c r="BZ141" t="e">
        <f>AND(NhatkyNhap!#REF!,"AAAAADH1600=")</f>
        <v>#REF!</v>
      </c>
      <c r="CA141" t="e">
        <f>AND(NhatkyNhap!#REF!,"AAAAADH1604=")</f>
        <v>#REF!</v>
      </c>
      <c r="CB141" t="e">
        <f>AND(NhatkyNhap!#REF!,"AAAAADH1608=")</f>
        <v>#REF!</v>
      </c>
      <c r="CC141" t="e">
        <f>AND(NhatkyNhap!#REF!,"AAAAADH161A=")</f>
        <v>#REF!</v>
      </c>
      <c r="CD141" t="e">
        <f>AND(NhatkyNhap!#REF!,"AAAAADH161E=")</f>
        <v>#REF!</v>
      </c>
      <c r="CE141" t="e">
        <f>AND(NhatkyNhap!#REF!,"AAAAADH161I=")</f>
        <v>#REF!</v>
      </c>
      <c r="CF141" t="e">
        <f>AND(NhatkyNhap!#REF!,"AAAAADH161M=")</f>
        <v>#REF!</v>
      </c>
      <c r="CG141" t="e">
        <f>AND(NhatkyNhap!#REF!,"AAAAADH161Q=")</f>
        <v>#REF!</v>
      </c>
      <c r="CH141" t="e">
        <f>IF(NhatkyNhap!#REF!,"AAAAADH161U=",0)</f>
        <v>#REF!</v>
      </c>
      <c r="CI141" t="e">
        <f>AND(NhatkyNhap!#REF!,"AAAAADH161Y=")</f>
        <v>#REF!</v>
      </c>
      <c r="CJ141" t="e">
        <f>AND(NhatkyNhap!#REF!,"AAAAADH161c=")</f>
        <v>#REF!</v>
      </c>
      <c r="CK141" t="e">
        <f>AND(NhatkyNhap!#REF!,"AAAAADH161g=")</f>
        <v>#REF!</v>
      </c>
      <c r="CL141" t="e">
        <f>AND(NhatkyNhap!#REF!,"AAAAADH161k=")</f>
        <v>#REF!</v>
      </c>
      <c r="CM141" t="e">
        <f>AND(NhatkyNhap!#REF!,"AAAAADH161o=")</f>
        <v>#REF!</v>
      </c>
      <c r="CN141" t="e">
        <f>AND(NhatkyNhap!#REF!,"AAAAADH161s=")</f>
        <v>#REF!</v>
      </c>
      <c r="CO141" t="e">
        <f>AND(NhatkyNhap!#REF!,"AAAAADH161w=")</f>
        <v>#REF!</v>
      </c>
      <c r="CP141" t="e">
        <f>AND(NhatkyNhap!#REF!,"AAAAADH1610=")</f>
        <v>#REF!</v>
      </c>
      <c r="CQ141" t="e">
        <f>AND(NhatkyNhap!#REF!,"AAAAADH1614=")</f>
        <v>#REF!</v>
      </c>
      <c r="CR141" t="e">
        <f>AND(NhatkyNhap!#REF!,"AAAAADH1618=")</f>
        <v>#REF!</v>
      </c>
      <c r="CS141" t="e">
        <f>AND(NhatkyNhap!#REF!,"AAAAADH162A=")</f>
        <v>#REF!</v>
      </c>
      <c r="CT141" t="e">
        <f>AND(NhatkyNhap!#REF!,"AAAAADH162E=")</f>
        <v>#REF!</v>
      </c>
      <c r="CU141" t="e">
        <f>AND(NhatkyNhap!#REF!,"AAAAADH162I=")</f>
        <v>#REF!</v>
      </c>
      <c r="CV141" t="e">
        <f>AND(NhatkyNhap!#REF!,"AAAAADH162M=")</f>
        <v>#REF!</v>
      </c>
      <c r="CW141" t="e">
        <f>AND(NhatkyNhap!#REF!,"AAAAADH162Q=")</f>
        <v>#REF!</v>
      </c>
      <c r="CX141" t="e">
        <f>AND(NhatkyNhap!#REF!,"AAAAADH162U=")</f>
        <v>#REF!</v>
      </c>
      <c r="CY141" t="e">
        <f>AND(NhatkyNhap!#REF!,"AAAAADH162Y=")</f>
        <v>#REF!</v>
      </c>
      <c r="CZ141" t="e">
        <f>AND(NhatkyNhap!#REF!,"AAAAADH162c=")</f>
        <v>#REF!</v>
      </c>
      <c r="DA141" t="e">
        <f>AND(NhatkyNhap!#REF!,"AAAAADH162g=")</f>
        <v>#REF!</v>
      </c>
      <c r="DB141" t="e">
        <f>AND(NhatkyNhap!#REF!,"AAAAADH162k=")</f>
        <v>#REF!</v>
      </c>
      <c r="DC141" t="e">
        <f>AND(NhatkyNhap!#REF!,"AAAAADH162o=")</f>
        <v>#REF!</v>
      </c>
      <c r="DD141" t="e">
        <f>AND(NhatkyNhap!#REF!,"AAAAADH162s=")</f>
        <v>#REF!</v>
      </c>
      <c r="DE141" t="e">
        <f>AND(NhatkyNhap!#REF!,"AAAAADH162w=")</f>
        <v>#REF!</v>
      </c>
      <c r="DF141" t="e">
        <f>AND(NhatkyNhap!#REF!,"AAAAADH1620=")</f>
        <v>#REF!</v>
      </c>
      <c r="DG141" t="e">
        <f>AND(NhatkyNhap!#REF!,"AAAAADH1624=")</f>
        <v>#REF!</v>
      </c>
      <c r="DH141" t="e">
        <f>AND(NhatkyNhap!#REF!,"AAAAADH1628=")</f>
        <v>#REF!</v>
      </c>
      <c r="DI141" t="e">
        <f>AND(NhatkyNhap!#REF!,"AAAAADH163A=")</f>
        <v>#REF!</v>
      </c>
      <c r="DJ141" t="e">
        <f>AND(NhatkyNhap!#REF!,"AAAAADH163E=")</f>
        <v>#REF!</v>
      </c>
      <c r="DK141" t="e">
        <f>AND(NhatkyNhap!#REF!,"AAAAADH163I=")</f>
        <v>#REF!</v>
      </c>
      <c r="DL141" t="e">
        <f>AND(NhatkyNhap!#REF!,"AAAAADH163M=")</f>
        <v>#REF!</v>
      </c>
      <c r="DM141" t="e">
        <f>AND(NhatkyNhap!#REF!,"AAAAADH163Q=")</f>
        <v>#REF!</v>
      </c>
      <c r="DN141" t="e">
        <f>AND(NhatkyNhap!#REF!,"AAAAADH163U=")</f>
        <v>#REF!</v>
      </c>
      <c r="DO141" t="e">
        <f>AND(NhatkyNhap!#REF!,"AAAAADH163Y=")</f>
        <v>#REF!</v>
      </c>
      <c r="DP141" t="e">
        <f>AND(NhatkyNhap!#REF!,"AAAAADH163c=")</f>
        <v>#REF!</v>
      </c>
      <c r="DQ141" t="e">
        <f>IF(NhatkyNhap!#REF!,"AAAAADH163g=",0)</f>
        <v>#REF!</v>
      </c>
      <c r="DR141" t="e">
        <f>AND(NhatkyNhap!#REF!,"AAAAADH163k=")</f>
        <v>#REF!</v>
      </c>
      <c r="DS141" t="e">
        <f>AND(NhatkyNhap!#REF!,"AAAAADH163o=")</f>
        <v>#REF!</v>
      </c>
      <c r="DT141" t="e">
        <f>AND(NhatkyNhap!#REF!,"AAAAADH163s=")</f>
        <v>#REF!</v>
      </c>
      <c r="DU141" t="e">
        <f>AND(NhatkyNhap!#REF!,"AAAAADH163w=")</f>
        <v>#REF!</v>
      </c>
      <c r="DV141" t="e">
        <f>AND(NhatkyNhap!#REF!,"AAAAADH1630=")</f>
        <v>#REF!</v>
      </c>
      <c r="DW141" t="e">
        <f>AND(NhatkyNhap!#REF!,"AAAAADH1634=")</f>
        <v>#REF!</v>
      </c>
      <c r="DX141" t="e">
        <f>AND(NhatkyNhap!#REF!,"AAAAADH1638=")</f>
        <v>#REF!</v>
      </c>
      <c r="DY141" t="e">
        <f>AND(NhatkyNhap!#REF!,"AAAAADH164A=")</f>
        <v>#REF!</v>
      </c>
      <c r="DZ141" t="e">
        <f>AND(NhatkyNhap!#REF!,"AAAAADH164E=")</f>
        <v>#REF!</v>
      </c>
      <c r="EA141" t="e">
        <f>AND(NhatkyNhap!#REF!,"AAAAADH164I=")</f>
        <v>#REF!</v>
      </c>
      <c r="EB141" t="e">
        <f>AND(NhatkyNhap!#REF!,"AAAAADH164M=")</f>
        <v>#REF!</v>
      </c>
      <c r="EC141" t="e">
        <f>AND(NhatkyNhap!#REF!,"AAAAADH164Q=")</f>
        <v>#REF!</v>
      </c>
      <c r="ED141" t="e">
        <f>AND(NhatkyNhap!#REF!,"AAAAADH164U=")</f>
        <v>#REF!</v>
      </c>
      <c r="EE141" t="e">
        <f>AND(NhatkyNhap!#REF!,"AAAAADH164Y=")</f>
        <v>#REF!</v>
      </c>
      <c r="EF141" t="e">
        <f>AND(NhatkyNhap!#REF!,"AAAAADH164c=")</f>
        <v>#REF!</v>
      </c>
      <c r="EG141" t="e">
        <f>AND(NhatkyNhap!#REF!,"AAAAADH164g=")</f>
        <v>#REF!</v>
      </c>
      <c r="EH141" t="e">
        <f>AND(NhatkyNhap!#REF!,"AAAAADH164k=")</f>
        <v>#REF!</v>
      </c>
      <c r="EI141" t="e">
        <f>AND(NhatkyNhap!#REF!,"AAAAADH164o=")</f>
        <v>#REF!</v>
      </c>
      <c r="EJ141" t="e">
        <f>AND(NhatkyNhap!#REF!,"AAAAADH164s=")</f>
        <v>#REF!</v>
      </c>
      <c r="EK141" t="e">
        <f>AND(NhatkyNhap!#REF!,"AAAAADH164w=")</f>
        <v>#REF!</v>
      </c>
      <c r="EL141" t="e">
        <f>AND(NhatkyNhap!#REF!,"AAAAADH1640=")</f>
        <v>#REF!</v>
      </c>
      <c r="EM141" t="e">
        <f>AND(NhatkyNhap!#REF!,"AAAAADH1644=")</f>
        <v>#REF!</v>
      </c>
      <c r="EN141" t="e">
        <f>AND(NhatkyNhap!#REF!,"AAAAADH1648=")</f>
        <v>#REF!</v>
      </c>
      <c r="EO141" t="e">
        <f>AND(NhatkyNhap!#REF!,"AAAAADH165A=")</f>
        <v>#REF!</v>
      </c>
      <c r="EP141" t="e">
        <f>AND(NhatkyNhap!#REF!,"AAAAADH165E=")</f>
        <v>#REF!</v>
      </c>
      <c r="EQ141" t="e">
        <f>AND(NhatkyNhap!#REF!,"AAAAADH165I=")</f>
        <v>#REF!</v>
      </c>
      <c r="ER141" t="e">
        <f>AND(NhatkyNhap!#REF!,"AAAAADH165M=")</f>
        <v>#REF!</v>
      </c>
      <c r="ES141" t="e">
        <f>AND(NhatkyNhap!#REF!,"AAAAADH165Q=")</f>
        <v>#REF!</v>
      </c>
      <c r="ET141" t="e">
        <f>AND(NhatkyNhap!#REF!,"AAAAADH165U=")</f>
        <v>#REF!</v>
      </c>
      <c r="EU141" t="e">
        <f>AND(NhatkyNhap!#REF!,"AAAAADH165Y=")</f>
        <v>#REF!</v>
      </c>
      <c r="EV141" t="e">
        <f>AND(NhatkyNhap!#REF!,"AAAAADH165c=")</f>
        <v>#REF!</v>
      </c>
      <c r="EW141" t="e">
        <f>AND(NhatkyNhap!#REF!,"AAAAADH165g=")</f>
        <v>#REF!</v>
      </c>
      <c r="EX141" t="e">
        <f>AND(NhatkyNhap!#REF!,"AAAAADH165k=")</f>
        <v>#REF!</v>
      </c>
      <c r="EY141" t="e">
        <f>AND(NhatkyNhap!#REF!,"AAAAADH165o=")</f>
        <v>#REF!</v>
      </c>
      <c r="EZ141" t="e">
        <f>IF(NhatkyNhap!#REF!,"AAAAADH165s=",0)</f>
        <v>#REF!</v>
      </c>
      <c r="FA141" t="e">
        <f>AND(NhatkyNhap!#REF!,"AAAAADH165w=")</f>
        <v>#REF!</v>
      </c>
      <c r="FB141" t="e">
        <f>AND(NhatkyNhap!#REF!,"AAAAADH1650=")</f>
        <v>#REF!</v>
      </c>
      <c r="FC141" t="e">
        <f>AND(NhatkyNhap!#REF!,"AAAAADH1654=")</f>
        <v>#REF!</v>
      </c>
      <c r="FD141" t="e">
        <f>AND(NhatkyNhap!#REF!,"AAAAADH1658=")</f>
        <v>#REF!</v>
      </c>
      <c r="FE141" t="e">
        <f>AND(NhatkyNhap!#REF!,"AAAAADH166A=")</f>
        <v>#REF!</v>
      </c>
      <c r="FF141" t="e">
        <f>AND(NhatkyNhap!#REF!,"AAAAADH166E=")</f>
        <v>#REF!</v>
      </c>
      <c r="FG141" t="e">
        <f>AND(NhatkyNhap!#REF!,"AAAAADH166I=")</f>
        <v>#REF!</v>
      </c>
      <c r="FH141" t="e">
        <f>AND(NhatkyNhap!#REF!,"AAAAADH166M=")</f>
        <v>#REF!</v>
      </c>
      <c r="FI141" t="e">
        <f>AND(NhatkyNhap!#REF!,"AAAAADH166Q=")</f>
        <v>#REF!</v>
      </c>
      <c r="FJ141" t="e">
        <f>AND(NhatkyNhap!#REF!,"AAAAADH166U=")</f>
        <v>#REF!</v>
      </c>
      <c r="FK141" t="e">
        <f>AND(NhatkyNhap!#REF!,"AAAAADH166Y=")</f>
        <v>#REF!</v>
      </c>
      <c r="FL141" t="e">
        <f>AND(NhatkyNhap!#REF!,"AAAAADH166c=")</f>
        <v>#REF!</v>
      </c>
      <c r="FM141" t="e">
        <f>AND(NhatkyNhap!#REF!,"AAAAADH166g=")</f>
        <v>#REF!</v>
      </c>
      <c r="FN141" t="e">
        <f>AND(NhatkyNhap!#REF!,"AAAAADH166k=")</f>
        <v>#REF!</v>
      </c>
      <c r="FO141" t="e">
        <f>AND(NhatkyNhap!#REF!,"AAAAADH166o=")</f>
        <v>#REF!</v>
      </c>
      <c r="FP141" t="e">
        <f>AND(NhatkyNhap!#REF!,"AAAAADH166s=")</f>
        <v>#REF!</v>
      </c>
      <c r="FQ141" t="e">
        <f>AND(NhatkyNhap!#REF!,"AAAAADH166w=")</f>
        <v>#REF!</v>
      </c>
      <c r="FR141" t="e">
        <f>AND(NhatkyNhap!#REF!,"AAAAADH1660=")</f>
        <v>#REF!</v>
      </c>
      <c r="FS141" t="e">
        <f>AND(NhatkyNhap!#REF!,"AAAAADH1664=")</f>
        <v>#REF!</v>
      </c>
      <c r="FT141" t="e">
        <f>AND(NhatkyNhap!#REF!,"AAAAADH1668=")</f>
        <v>#REF!</v>
      </c>
      <c r="FU141" t="e">
        <f>AND(NhatkyNhap!#REF!,"AAAAADH167A=")</f>
        <v>#REF!</v>
      </c>
      <c r="FV141" t="e">
        <f>AND(NhatkyNhap!#REF!,"AAAAADH167E=")</f>
        <v>#REF!</v>
      </c>
      <c r="FW141" t="e">
        <f>AND(NhatkyNhap!#REF!,"AAAAADH167I=")</f>
        <v>#REF!</v>
      </c>
      <c r="FX141" t="e">
        <f>AND(NhatkyNhap!#REF!,"AAAAADH167M=")</f>
        <v>#REF!</v>
      </c>
      <c r="FY141" t="e">
        <f>AND(NhatkyNhap!#REF!,"AAAAADH167Q=")</f>
        <v>#REF!</v>
      </c>
      <c r="FZ141" t="e">
        <f>AND(NhatkyNhap!#REF!,"AAAAADH167U=")</f>
        <v>#REF!</v>
      </c>
      <c r="GA141" t="e">
        <f>AND(NhatkyNhap!#REF!,"AAAAADH167Y=")</f>
        <v>#REF!</v>
      </c>
      <c r="GB141" t="e">
        <f>AND(NhatkyNhap!#REF!,"AAAAADH167c=")</f>
        <v>#REF!</v>
      </c>
      <c r="GC141" t="e">
        <f>AND(NhatkyNhap!#REF!,"AAAAADH167g=")</f>
        <v>#REF!</v>
      </c>
      <c r="GD141" t="e">
        <f>AND(NhatkyNhap!#REF!,"AAAAADH167k=")</f>
        <v>#REF!</v>
      </c>
      <c r="GE141" t="e">
        <f>AND(NhatkyNhap!#REF!,"AAAAADH167o=")</f>
        <v>#REF!</v>
      </c>
      <c r="GF141" t="e">
        <f>AND(NhatkyNhap!#REF!,"AAAAADH167s=")</f>
        <v>#REF!</v>
      </c>
      <c r="GG141" t="e">
        <f>AND(NhatkyNhap!#REF!,"AAAAADH167w=")</f>
        <v>#REF!</v>
      </c>
      <c r="GH141" t="e">
        <f>AND(NhatkyNhap!#REF!,"AAAAADH1670=")</f>
        <v>#REF!</v>
      </c>
      <c r="GI141" t="e">
        <f>IF(NhatkyNhap!#REF!,"AAAAADH1674=",0)</f>
        <v>#REF!</v>
      </c>
      <c r="GJ141" t="e">
        <f>AND(NhatkyNhap!#REF!,"AAAAADH1678=")</f>
        <v>#REF!</v>
      </c>
      <c r="GK141" t="e">
        <f>AND(NhatkyNhap!#REF!,"AAAAADH168A=")</f>
        <v>#REF!</v>
      </c>
      <c r="GL141" t="e">
        <f>AND(NhatkyNhap!#REF!,"AAAAADH168E=")</f>
        <v>#REF!</v>
      </c>
      <c r="GM141" t="e">
        <f>AND(NhatkyNhap!#REF!,"AAAAADH168I=")</f>
        <v>#REF!</v>
      </c>
      <c r="GN141" t="e">
        <f>AND(NhatkyNhap!#REF!,"AAAAADH168M=")</f>
        <v>#REF!</v>
      </c>
      <c r="GO141" t="e">
        <f>AND(NhatkyNhap!#REF!,"AAAAADH168Q=")</f>
        <v>#REF!</v>
      </c>
      <c r="GP141" t="e">
        <f>AND(NhatkyNhap!#REF!,"AAAAADH168U=")</f>
        <v>#REF!</v>
      </c>
      <c r="GQ141" t="e">
        <f>AND(NhatkyNhap!#REF!,"AAAAADH168Y=")</f>
        <v>#REF!</v>
      </c>
      <c r="GR141" t="e">
        <f>AND(NhatkyNhap!#REF!,"AAAAADH168c=")</f>
        <v>#REF!</v>
      </c>
      <c r="GS141" t="e">
        <f>AND(NhatkyNhap!#REF!,"AAAAADH168g=")</f>
        <v>#REF!</v>
      </c>
      <c r="GT141" t="e">
        <f>AND(NhatkyNhap!#REF!,"AAAAADH168k=")</f>
        <v>#REF!</v>
      </c>
      <c r="GU141" t="e">
        <f>AND(NhatkyNhap!#REF!,"AAAAADH168o=")</f>
        <v>#REF!</v>
      </c>
      <c r="GV141" t="e">
        <f>AND(NhatkyNhap!#REF!,"AAAAADH168s=")</f>
        <v>#REF!</v>
      </c>
      <c r="GW141" t="e">
        <f>AND(NhatkyNhap!#REF!,"AAAAADH168w=")</f>
        <v>#REF!</v>
      </c>
      <c r="GX141" t="e">
        <f>AND(NhatkyNhap!#REF!,"AAAAADH1680=")</f>
        <v>#REF!</v>
      </c>
      <c r="GY141" t="e">
        <f>AND(NhatkyNhap!#REF!,"AAAAADH1684=")</f>
        <v>#REF!</v>
      </c>
      <c r="GZ141" t="e">
        <f>AND(NhatkyNhap!#REF!,"AAAAADH1688=")</f>
        <v>#REF!</v>
      </c>
      <c r="HA141" t="e">
        <f>AND(NhatkyNhap!#REF!,"AAAAADH169A=")</f>
        <v>#REF!</v>
      </c>
      <c r="HB141" t="e">
        <f>AND(NhatkyNhap!#REF!,"AAAAADH169E=")</f>
        <v>#REF!</v>
      </c>
      <c r="HC141" t="e">
        <f>AND(NhatkyNhap!#REF!,"AAAAADH169I=")</f>
        <v>#REF!</v>
      </c>
      <c r="HD141" t="e">
        <f>AND(NhatkyNhap!#REF!,"AAAAADH169M=")</f>
        <v>#REF!</v>
      </c>
      <c r="HE141" t="e">
        <f>AND(NhatkyNhap!#REF!,"AAAAADH169Q=")</f>
        <v>#REF!</v>
      </c>
      <c r="HF141" t="e">
        <f>AND(NhatkyNhap!#REF!,"AAAAADH169U=")</f>
        <v>#REF!</v>
      </c>
      <c r="HG141" t="e">
        <f>AND(NhatkyNhap!#REF!,"AAAAADH169Y=")</f>
        <v>#REF!</v>
      </c>
      <c r="HH141" t="e">
        <f>AND(NhatkyNhap!#REF!,"AAAAADH169c=")</f>
        <v>#REF!</v>
      </c>
      <c r="HI141" t="e">
        <f>AND(NhatkyNhap!#REF!,"AAAAADH169g=")</f>
        <v>#REF!</v>
      </c>
      <c r="HJ141" t="e">
        <f>AND(NhatkyNhap!#REF!,"AAAAADH169k=")</f>
        <v>#REF!</v>
      </c>
      <c r="HK141" t="e">
        <f>AND(NhatkyNhap!#REF!,"AAAAADH169o=")</f>
        <v>#REF!</v>
      </c>
      <c r="HL141" t="e">
        <f>AND(NhatkyNhap!#REF!,"AAAAADH169s=")</f>
        <v>#REF!</v>
      </c>
      <c r="HM141" t="e">
        <f>AND(NhatkyNhap!#REF!,"AAAAADH169w=")</f>
        <v>#REF!</v>
      </c>
      <c r="HN141" t="e">
        <f>AND(NhatkyNhap!#REF!,"AAAAADH1690=")</f>
        <v>#REF!</v>
      </c>
      <c r="HO141" t="e">
        <f>AND(NhatkyNhap!#REF!,"AAAAADH1694=")</f>
        <v>#REF!</v>
      </c>
      <c r="HP141" t="e">
        <f>AND(NhatkyNhap!#REF!,"AAAAADH1698=")</f>
        <v>#REF!</v>
      </c>
      <c r="HQ141" t="e">
        <f>AND(NhatkyNhap!#REF!,"AAAAADH16+A=")</f>
        <v>#REF!</v>
      </c>
      <c r="HR141" t="e">
        <f>IF(NhatkyNhap!#REF!,"AAAAADH16+E=",0)</f>
        <v>#REF!</v>
      </c>
      <c r="HS141" t="e">
        <f>AND(NhatkyNhap!#REF!,"AAAAADH16+I=")</f>
        <v>#REF!</v>
      </c>
      <c r="HT141" t="e">
        <f>AND(NhatkyNhap!#REF!,"AAAAADH16+M=")</f>
        <v>#REF!</v>
      </c>
      <c r="HU141" t="e">
        <f>AND(NhatkyNhap!#REF!,"AAAAADH16+Q=")</f>
        <v>#REF!</v>
      </c>
      <c r="HV141" t="e">
        <f>AND(NhatkyNhap!#REF!,"AAAAADH16+U=")</f>
        <v>#REF!</v>
      </c>
      <c r="HW141" t="e">
        <f>AND(NhatkyNhap!#REF!,"AAAAADH16+Y=")</f>
        <v>#REF!</v>
      </c>
      <c r="HX141" t="e">
        <f>AND(NhatkyNhap!#REF!,"AAAAADH16+c=")</f>
        <v>#REF!</v>
      </c>
      <c r="HY141" t="e">
        <f>AND(NhatkyNhap!#REF!,"AAAAADH16+g=")</f>
        <v>#REF!</v>
      </c>
      <c r="HZ141" t="e">
        <f>AND(NhatkyNhap!#REF!,"AAAAADH16+k=")</f>
        <v>#REF!</v>
      </c>
      <c r="IA141" t="e">
        <f>AND(NhatkyNhap!#REF!,"AAAAADH16+o=")</f>
        <v>#REF!</v>
      </c>
      <c r="IB141" t="e">
        <f>AND(NhatkyNhap!#REF!,"AAAAADH16+s=")</f>
        <v>#REF!</v>
      </c>
      <c r="IC141" t="e">
        <f>AND(NhatkyNhap!#REF!,"AAAAADH16+w=")</f>
        <v>#REF!</v>
      </c>
      <c r="ID141" t="e">
        <f>AND(NhatkyNhap!#REF!,"AAAAADH16+0=")</f>
        <v>#REF!</v>
      </c>
      <c r="IE141" t="e">
        <f>AND(NhatkyNhap!#REF!,"AAAAADH16+4=")</f>
        <v>#REF!</v>
      </c>
      <c r="IF141" t="e">
        <f>AND(NhatkyNhap!#REF!,"AAAAADH16+8=")</f>
        <v>#REF!</v>
      </c>
      <c r="IG141" t="e">
        <f>AND(NhatkyNhap!#REF!,"AAAAADH16/A=")</f>
        <v>#REF!</v>
      </c>
      <c r="IH141" t="e">
        <f>AND(NhatkyNhap!#REF!,"AAAAADH16/E=")</f>
        <v>#REF!</v>
      </c>
      <c r="II141" t="e">
        <f>AND(NhatkyNhap!#REF!,"AAAAADH16/I=")</f>
        <v>#REF!</v>
      </c>
      <c r="IJ141" t="e">
        <f>AND(NhatkyNhap!#REF!,"AAAAADH16/M=")</f>
        <v>#REF!</v>
      </c>
      <c r="IK141" t="e">
        <f>AND(NhatkyNhap!#REF!,"AAAAADH16/Q=")</f>
        <v>#REF!</v>
      </c>
      <c r="IL141" t="e">
        <f>AND(NhatkyNhap!#REF!,"AAAAADH16/U=")</f>
        <v>#REF!</v>
      </c>
      <c r="IM141" t="e">
        <f>AND(NhatkyNhap!#REF!,"AAAAADH16/Y=")</f>
        <v>#REF!</v>
      </c>
      <c r="IN141" t="e">
        <f>AND(NhatkyNhap!#REF!,"AAAAADH16/c=")</f>
        <v>#REF!</v>
      </c>
      <c r="IO141" t="e">
        <f>AND(NhatkyNhap!#REF!,"AAAAADH16/g=")</f>
        <v>#REF!</v>
      </c>
      <c r="IP141" t="e">
        <f>AND(NhatkyNhap!#REF!,"AAAAADH16/k=")</f>
        <v>#REF!</v>
      </c>
      <c r="IQ141" t="e">
        <f>AND(NhatkyNhap!#REF!,"AAAAADH16/o=")</f>
        <v>#REF!</v>
      </c>
      <c r="IR141" t="e">
        <f>AND(NhatkyNhap!#REF!,"AAAAADH16/s=")</f>
        <v>#REF!</v>
      </c>
      <c r="IS141" t="e">
        <f>AND(NhatkyNhap!#REF!,"AAAAADH16/w=")</f>
        <v>#REF!</v>
      </c>
      <c r="IT141" t="e">
        <f>AND(NhatkyNhap!#REF!,"AAAAADH16/0=")</f>
        <v>#REF!</v>
      </c>
      <c r="IU141" t="e">
        <f>AND(NhatkyNhap!#REF!,"AAAAADH16/4=")</f>
        <v>#REF!</v>
      </c>
      <c r="IV141" t="e">
        <f>AND(NhatkyNhap!#REF!,"AAAAADH16/8=")</f>
        <v>#REF!</v>
      </c>
    </row>
    <row r="142" spans="1:256">
      <c r="A142" t="e">
        <f>AND(NhatkyNhap!#REF!,"AAAAAF527QA=")</f>
        <v>#REF!</v>
      </c>
      <c r="B142" t="e">
        <f>AND(NhatkyNhap!#REF!,"AAAAAF527QE=")</f>
        <v>#REF!</v>
      </c>
      <c r="C142" t="e">
        <f>AND(NhatkyNhap!#REF!,"AAAAAF527QI=")</f>
        <v>#REF!</v>
      </c>
      <c r="D142" t="e">
        <f>AND(NhatkyNhap!#REF!,"AAAAAF527QM=")</f>
        <v>#REF!</v>
      </c>
      <c r="E142" t="e">
        <f>IF(NhatkyNhap!#REF!,"AAAAAF527QQ=",0)</f>
        <v>#REF!</v>
      </c>
      <c r="F142" t="e">
        <f>AND(NhatkyNhap!#REF!,"AAAAAF527QU=")</f>
        <v>#REF!</v>
      </c>
      <c r="G142" t="e">
        <f>AND(NhatkyNhap!#REF!,"AAAAAF527QY=")</f>
        <v>#REF!</v>
      </c>
      <c r="H142" t="e">
        <f>AND(NhatkyNhap!#REF!,"AAAAAF527Qc=")</f>
        <v>#REF!</v>
      </c>
      <c r="I142" t="e">
        <f>AND(NhatkyNhap!#REF!,"AAAAAF527Qg=")</f>
        <v>#REF!</v>
      </c>
      <c r="J142" t="e">
        <f>AND(NhatkyNhap!#REF!,"AAAAAF527Qk=")</f>
        <v>#REF!</v>
      </c>
      <c r="K142" t="e">
        <f>AND(NhatkyNhap!#REF!,"AAAAAF527Qo=")</f>
        <v>#REF!</v>
      </c>
      <c r="L142" t="e">
        <f>AND(NhatkyNhap!#REF!,"AAAAAF527Qs=")</f>
        <v>#REF!</v>
      </c>
      <c r="M142" t="e">
        <f>AND(NhatkyNhap!#REF!,"AAAAAF527Qw=")</f>
        <v>#REF!</v>
      </c>
      <c r="N142" t="e">
        <f>AND(NhatkyNhap!#REF!,"AAAAAF527Q0=")</f>
        <v>#REF!</v>
      </c>
      <c r="O142" t="e">
        <f>AND(NhatkyNhap!#REF!,"AAAAAF527Q4=")</f>
        <v>#REF!</v>
      </c>
      <c r="P142" t="e">
        <f>AND(NhatkyNhap!#REF!,"AAAAAF527Q8=")</f>
        <v>#REF!</v>
      </c>
      <c r="Q142" t="e">
        <f>AND(NhatkyNhap!#REF!,"AAAAAF527RA=")</f>
        <v>#REF!</v>
      </c>
      <c r="R142" t="e">
        <f>AND(NhatkyNhap!#REF!,"AAAAAF527RE=")</f>
        <v>#REF!</v>
      </c>
      <c r="S142" t="e">
        <f>AND(NhatkyNhap!#REF!,"AAAAAF527RI=")</f>
        <v>#REF!</v>
      </c>
      <c r="T142" t="e">
        <f>AND(NhatkyNhap!#REF!,"AAAAAF527RM=")</f>
        <v>#REF!</v>
      </c>
      <c r="U142" t="e">
        <f>AND(NhatkyNhap!#REF!,"AAAAAF527RQ=")</f>
        <v>#REF!</v>
      </c>
      <c r="V142" t="e">
        <f>AND(NhatkyNhap!#REF!,"AAAAAF527RU=")</f>
        <v>#REF!</v>
      </c>
      <c r="W142" t="e">
        <f>AND(NhatkyNhap!#REF!,"AAAAAF527RY=")</f>
        <v>#REF!</v>
      </c>
      <c r="X142" t="e">
        <f>AND(NhatkyNhap!#REF!,"AAAAAF527Rc=")</f>
        <v>#REF!</v>
      </c>
      <c r="Y142" t="e">
        <f>AND(NhatkyNhap!#REF!,"AAAAAF527Rg=")</f>
        <v>#REF!</v>
      </c>
      <c r="Z142" t="e">
        <f>AND(NhatkyNhap!#REF!,"AAAAAF527Rk=")</f>
        <v>#REF!</v>
      </c>
      <c r="AA142" t="e">
        <f>AND(NhatkyNhap!#REF!,"AAAAAF527Ro=")</f>
        <v>#REF!</v>
      </c>
      <c r="AB142" t="e">
        <f>AND(NhatkyNhap!#REF!,"AAAAAF527Rs=")</f>
        <v>#REF!</v>
      </c>
      <c r="AC142" t="e">
        <f>AND(NhatkyNhap!#REF!,"AAAAAF527Rw=")</f>
        <v>#REF!</v>
      </c>
      <c r="AD142" t="e">
        <f>AND(NhatkyNhap!#REF!,"AAAAAF527R0=")</f>
        <v>#REF!</v>
      </c>
      <c r="AE142" t="e">
        <f>AND(NhatkyNhap!#REF!,"AAAAAF527R4=")</f>
        <v>#REF!</v>
      </c>
      <c r="AF142" t="e">
        <f>AND(NhatkyNhap!#REF!,"AAAAAF527R8=")</f>
        <v>#REF!</v>
      </c>
      <c r="AG142" t="e">
        <f>AND(NhatkyNhap!#REF!,"AAAAAF527SA=")</f>
        <v>#REF!</v>
      </c>
      <c r="AH142" t="e">
        <f>AND(NhatkyNhap!#REF!,"AAAAAF527SE=")</f>
        <v>#REF!</v>
      </c>
      <c r="AI142" t="e">
        <f>AND(NhatkyNhap!#REF!,"AAAAAF527SI=")</f>
        <v>#REF!</v>
      </c>
      <c r="AJ142" t="e">
        <f>AND(NhatkyNhap!#REF!,"AAAAAF527SM=")</f>
        <v>#REF!</v>
      </c>
      <c r="AK142" t="e">
        <f>AND(NhatkyNhap!#REF!,"AAAAAF527SQ=")</f>
        <v>#REF!</v>
      </c>
      <c r="AL142" t="e">
        <f>AND(NhatkyNhap!#REF!,"AAAAAF527SU=")</f>
        <v>#REF!</v>
      </c>
      <c r="AM142" t="e">
        <f>AND(NhatkyNhap!#REF!,"AAAAAF527SY=")</f>
        <v>#REF!</v>
      </c>
      <c r="AN142" t="e">
        <f>IF(NhatkyNhap!#REF!,"AAAAAF527Sc=",0)</f>
        <v>#REF!</v>
      </c>
      <c r="AO142" t="e">
        <f>AND(NhatkyNhap!#REF!,"AAAAAF527Sg=")</f>
        <v>#REF!</v>
      </c>
      <c r="AP142" t="e">
        <f>AND(NhatkyNhap!#REF!,"AAAAAF527Sk=")</f>
        <v>#REF!</v>
      </c>
      <c r="AQ142" t="e">
        <f>AND(NhatkyNhap!#REF!,"AAAAAF527So=")</f>
        <v>#REF!</v>
      </c>
      <c r="AR142" t="e">
        <f>AND(NhatkyNhap!#REF!,"AAAAAF527Ss=")</f>
        <v>#REF!</v>
      </c>
      <c r="AS142" t="e">
        <f>AND(NhatkyNhap!#REF!,"AAAAAF527Sw=")</f>
        <v>#REF!</v>
      </c>
      <c r="AT142" t="e">
        <f>AND(NhatkyNhap!#REF!,"AAAAAF527S0=")</f>
        <v>#REF!</v>
      </c>
      <c r="AU142" t="e">
        <f>AND(NhatkyNhap!#REF!,"AAAAAF527S4=")</f>
        <v>#REF!</v>
      </c>
      <c r="AV142" t="e">
        <f>AND(NhatkyNhap!#REF!,"AAAAAF527S8=")</f>
        <v>#REF!</v>
      </c>
      <c r="AW142" t="e">
        <f>AND(NhatkyNhap!#REF!,"AAAAAF527TA=")</f>
        <v>#REF!</v>
      </c>
      <c r="AX142" t="e">
        <f>AND(NhatkyNhap!#REF!,"AAAAAF527TE=")</f>
        <v>#REF!</v>
      </c>
      <c r="AY142" t="e">
        <f>AND(NhatkyNhap!#REF!,"AAAAAF527TI=")</f>
        <v>#REF!</v>
      </c>
      <c r="AZ142" t="e">
        <f>AND(NhatkyNhap!#REF!,"AAAAAF527TM=")</f>
        <v>#REF!</v>
      </c>
      <c r="BA142" t="e">
        <f>AND(NhatkyNhap!#REF!,"AAAAAF527TQ=")</f>
        <v>#REF!</v>
      </c>
      <c r="BB142" t="e">
        <f>AND(NhatkyNhap!#REF!,"AAAAAF527TU=")</f>
        <v>#REF!</v>
      </c>
      <c r="BC142" t="e">
        <f>AND(NhatkyNhap!#REF!,"AAAAAF527TY=")</f>
        <v>#REF!</v>
      </c>
      <c r="BD142" t="e">
        <f>AND(NhatkyNhap!#REF!,"AAAAAF527Tc=")</f>
        <v>#REF!</v>
      </c>
      <c r="BE142" t="e">
        <f>AND(NhatkyNhap!#REF!,"AAAAAF527Tg=")</f>
        <v>#REF!</v>
      </c>
      <c r="BF142" t="e">
        <f>AND(NhatkyNhap!#REF!,"AAAAAF527Tk=")</f>
        <v>#REF!</v>
      </c>
      <c r="BG142" t="e">
        <f>AND(NhatkyNhap!#REF!,"AAAAAF527To=")</f>
        <v>#REF!</v>
      </c>
      <c r="BH142" t="e">
        <f>AND(NhatkyNhap!#REF!,"AAAAAF527Ts=")</f>
        <v>#REF!</v>
      </c>
      <c r="BI142" t="e">
        <f>AND(NhatkyNhap!#REF!,"AAAAAF527Tw=")</f>
        <v>#REF!</v>
      </c>
      <c r="BJ142" t="e">
        <f>AND(NhatkyNhap!#REF!,"AAAAAF527T0=")</f>
        <v>#REF!</v>
      </c>
      <c r="BK142" t="e">
        <f>AND(NhatkyNhap!#REF!,"AAAAAF527T4=")</f>
        <v>#REF!</v>
      </c>
      <c r="BL142" t="e">
        <f>AND(NhatkyNhap!#REF!,"AAAAAF527T8=")</f>
        <v>#REF!</v>
      </c>
      <c r="BM142" t="e">
        <f>AND(NhatkyNhap!#REF!,"AAAAAF527UA=")</f>
        <v>#REF!</v>
      </c>
      <c r="BN142" t="e">
        <f>AND(NhatkyNhap!#REF!,"AAAAAF527UE=")</f>
        <v>#REF!</v>
      </c>
      <c r="BO142" t="e">
        <f>AND(NhatkyNhap!#REF!,"AAAAAF527UI=")</f>
        <v>#REF!</v>
      </c>
      <c r="BP142" t="e">
        <f>AND(NhatkyNhap!#REF!,"AAAAAF527UM=")</f>
        <v>#REF!</v>
      </c>
      <c r="BQ142" t="e">
        <f>AND(NhatkyNhap!#REF!,"AAAAAF527UQ=")</f>
        <v>#REF!</v>
      </c>
      <c r="BR142" t="e">
        <f>AND(NhatkyNhap!#REF!,"AAAAAF527UU=")</f>
        <v>#REF!</v>
      </c>
      <c r="BS142" t="e">
        <f>AND(NhatkyNhap!#REF!,"AAAAAF527UY=")</f>
        <v>#REF!</v>
      </c>
      <c r="BT142" t="e">
        <f>AND(NhatkyNhap!#REF!,"AAAAAF527Uc=")</f>
        <v>#REF!</v>
      </c>
      <c r="BU142" t="e">
        <f>AND(NhatkyNhap!#REF!,"AAAAAF527Ug=")</f>
        <v>#REF!</v>
      </c>
      <c r="BV142" t="e">
        <f>AND(NhatkyNhap!#REF!,"AAAAAF527Uk=")</f>
        <v>#REF!</v>
      </c>
      <c r="BW142" t="e">
        <f>IF(NhatkyNhap!#REF!,"AAAAAF527Uo=",0)</f>
        <v>#REF!</v>
      </c>
      <c r="BX142" t="e">
        <f>AND(NhatkyNhap!#REF!,"AAAAAF527Us=")</f>
        <v>#REF!</v>
      </c>
      <c r="BY142" t="e">
        <f>AND(NhatkyNhap!#REF!,"AAAAAF527Uw=")</f>
        <v>#REF!</v>
      </c>
      <c r="BZ142" t="e">
        <f>AND(NhatkyNhap!#REF!,"AAAAAF527U0=")</f>
        <v>#REF!</v>
      </c>
      <c r="CA142" t="e">
        <f>AND(NhatkyNhap!#REF!,"AAAAAF527U4=")</f>
        <v>#REF!</v>
      </c>
      <c r="CB142" t="e">
        <f>AND(NhatkyNhap!#REF!,"AAAAAF527U8=")</f>
        <v>#REF!</v>
      </c>
      <c r="CC142" t="e">
        <f>AND(NhatkyNhap!#REF!,"AAAAAF527VA=")</f>
        <v>#REF!</v>
      </c>
      <c r="CD142" t="e">
        <f>AND(NhatkyNhap!#REF!,"AAAAAF527VE=")</f>
        <v>#REF!</v>
      </c>
      <c r="CE142" t="e">
        <f>AND(NhatkyNhap!#REF!,"AAAAAF527VI=")</f>
        <v>#REF!</v>
      </c>
      <c r="CF142" t="e">
        <f>AND(NhatkyNhap!#REF!,"AAAAAF527VM=")</f>
        <v>#REF!</v>
      </c>
      <c r="CG142" t="e">
        <f>AND(NhatkyNhap!#REF!,"AAAAAF527VQ=")</f>
        <v>#REF!</v>
      </c>
      <c r="CH142" t="e">
        <f>AND(NhatkyNhap!#REF!,"AAAAAF527VU=")</f>
        <v>#REF!</v>
      </c>
      <c r="CI142" t="e">
        <f>AND(NhatkyNhap!#REF!,"AAAAAF527VY=")</f>
        <v>#REF!</v>
      </c>
      <c r="CJ142" t="e">
        <f>AND(NhatkyNhap!#REF!,"AAAAAF527Vc=")</f>
        <v>#REF!</v>
      </c>
      <c r="CK142" t="e">
        <f>AND(NhatkyNhap!#REF!,"AAAAAF527Vg=")</f>
        <v>#REF!</v>
      </c>
      <c r="CL142" t="e">
        <f>AND(NhatkyNhap!#REF!,"AAAAAF527Vk=")</f>
        <v>#REF!</v>
      </c>
      <c r="CM142" t="e">
        <f>AND(NhatkyNhap!#REF!,"AAAAAF527Vo=")</f>
        <v>#REF!</v>
      </c>
      <c r="CN142" t="e">
        <f>AND(NhatkyNhap!#REF!,"AAAAAF527Vs=")</f>
        <v>#REF!</v>
      </c>
      <c r="CO142" t="e">
        <f>AND(NhatkyNhap!#REF!,"AAAAAF527Vw=")</f>
        <v>#REF!</v>
      </c>
      <c r="CP142" t="e">
        <f>AND(NhatkyNhap!#REF!,"AAAAAF527V0=")</f>
        <v>#REF!</v>
      </c>
      <c r="CQ142" t="e">
        <f>AND(NhatkyNhap!#REF!,"AAAAAF527V4=")</f>
        <v>#REF!</v>
      </c>
      <c r="CR142" t="e">
        <f>AND(NhatkyNhap!#REF!,"AAAAAF527V8=")</f>
        <v>#REF!</v>
      </c>
      <c r="CS142" t="e">
        <f>AND(NhatkyNhap!#REF!,"AAAAAF527WA=")</f>
        <v>#REF!</v>
      </c>
      <c r="CT142" t="e">
        <f>AND(NhatkyNhap!#REF!,"AAAAAF527WE=")</f>
        <v>#REF!</v>
      </c>
      <c r="CU142" t="e">
        <f>AND(NhatkyNhap!#REF!,"AAAAAF527WI=")</f>
        <v>#REF!</v>
      </c>
      <c r="CV142" t="e">
        <f>AND(NhatkyNhap!#REF!,"AAAAAF527WM=")</f>
        <v>#REF!</v>
      </c>
      <c r="CW142" t="e">
        <f>AND(NhatkyNhap!#REF!,"AAAAAF527WQ=")</f>
        <v>#REF!</v>
      </c>
      <c r="CX142" t="e">
        <f>AND(NhatkyNhap!#REF!,"AAAAAF527WU=")</f>
        <v>#REF!</v>
      </c>
      <c r="CY142" t="e">
        <f>AND(NhatkyNhap!#REF!,"AAAAAF527WY=")</f>
        <v>#REF!</v>
      </c>
      <c r="CZ142" t="e">
        <f>AND(NhatkyNhap!#REF!,"AAAAAF527Wc=")</f>
        <v>#REF!</v>
      </c>
      <c r="DA142" t="e">
        <f>AND(NhatkyNhap!#REF!,"AAAAAF527Wg=")</f>
        <v>#REF!</v>
      </c>
      <c r="DB142" t="e">
        <f>AND(NhatkyNhap!#REF!,"AAAAAF527Wk=")</f>
        <v>#REF!</v>
      </c>
      <c r="DC142" t="e">
        <f>AND(NhatkyNhap!#REF!,"AAAAAF527Wo=")</f>
        <v>#REF!</v>
      </c>
      <c r="DD142" t="e">
        <f>AND(NhatkyNhap!#REF!,"AAAAAF527Ws=")</f>
        <v>#REF!</v>
      </c>
      <c r="DE142" t="e">
        <f>AND(NhatkyNhap!#REF!,"AAAAAF527Ww=")</f>
        <v>#REF!</v>
      </c>
      <c r="DF142" t="e">
        <f>IF(NhatkyNhap!#REF!,"AAAAAF527W0=",0)</f>
        <v>#REF!</v>
      </c>
      <c r="DG142" t="e">
        <f>AND(NhatkyNhap!#REF!,"AAAAAF527W4=")</f>
        <v>#REF!</v>
      </c>
      <c r="DH142" t="e">
        <f>AND(NhatkyNhap!#REF!,"AAAAAF527W8=")</f>
        <v>#REF!</v>
      </c>
      <c r="DI142" t="e">
        <f>AND(NhatkyNhap!#REF!,"AAAAAF527XA=")</f>
        <v>#REF!</v>
      </c>
      <c r="DJ142" t="e">
        <f>AND(NhatkyNhap!#REF!,"AAAAAF527XE=")</f>
        <v>#REF!</v>
      </c>
      <c r="DK142" t="e">
        <f>AND(NhatkyNhap!#REF!,"AAAAAF527XI=")</f>
        <v>#REF!</v>
      </c>
      <c r="DL142" t="e">
        <f>AND(NhatkyNhap!#REF!,"AAAAAF527XM=")</f>
        <v>#REF!</v>
      </c>
      <c r="DM142" t="e">
        <f>AND(NhatkyNhap!#REF!,"AAAAAF527XQ=")</f>
        <v>#REF!</v>
      </c>
      <c r="DN142" t="e">
        <f>AND(NhatkyNhap!#REF!,"AAAAAF527XU=")</f>
        <v>#REF!</v>
      </c>
      <c r="DO142" t="e">
        <f>AND(NhatkyNhap!#REF!,"AAAAAF527XY=")</f>
        <v>#REF!</v>
      </c>
      <c r="DP142" t="e">
        <f>AND(NhatkyNhap!#REF!,"AAAAAF527Xc=")</f>
        <v>#REF!</v>
      </c>
      <c r="DQ142" t="e">
        <f>AND(NhatkyNhap!#REF!,"AAAAAF527Xg=")</f>
        <v>#REF!</v>
      </c>
      <c r="DR142" t="e">
        <f>AND(NhatkyNhap!#REF!,"AAAAAF527Xk=")</f>
        <v>#REF!</v>
      </c>
      <c r="DS142" t="e">
        <f>AND(NhatkyNhap!#REF!,"AAAAAF527Xo=")</f>
        <v>#REF!</v>
      </c>
      <c r="DT142" t="e">
        <f>AND(NhatkyNhap!#REF!,"AAAAAF527Xs=")</f>
        <v>#REF!</v>
      </c>
      <c r="DU142" t="e">
        <f>AND(NhatkyNhap!#REF!,"AAAAAF527Xw=")</f>
        <v>#REF!</v>
      </c>
      <c r="DV142" t="e">
        <f>AND(NhatkyNhap!#REF!,"AAAAAF527X0=")</f>
        <v>#REF!</v>
      </c>
      <c r="DW142" t="e">
        <f>AND(NhatkyNhap!#REF!,"AAAAAF527X4=")</f>
        <v>#REF!</v>
      </c>
      <c r="DX142" t="e">
        <f>AND(NhatkyNhap!#REF!,"AAAAAF527X8=")</f>
        <v>#REF!</v>
      </c>
      <c r="DY142" t="e">
        <f>AND(NhatkyNhap!#REF!,"AAAAAF527YA=")</f>
        <v>#REF!</v>
      </c>
      <c r="DZ142" t="e">
        <f>AND(NhatkyNhap!#REF!,"AAAAAF527YE=")</f>
        <v>#REF!</v>
      </c>
      <c r="EA142" t="e">
        <f>AND(NhatkyNhap!#REF!,"AAAAAF527YI=")</f>
        <v>#REF!</v>
      </c>
      <c r="EB142" t="e">
        <f>AND(NhatkyNhap!#REF!,"AAAAAF527YM=")</f>
        <v>#REF!</v>
      </c>
      <c r="EC142" t="e">
        <f>AND(NhatkyNhap!#REF!,"AAAAAF527YQ=")</f>
        <v>#REF!</v>
      </c>
      <c r="ED142" t="e">
        <f>AND(NhatkyNhap!#REF!,"AAAAAF527YU=")</f>
        <v>#REF!</v>
      </c>
      <c r="EE142" t="e">
        <f>AND(NhatkyNhap!#REF!,"AAAAAF527YY=")</f>
        <v>#REF!</v>
      </c>
      <c r="EF142" t="e">
        <f>AND(NhatkyNhap!#REF!,"AAAAAF527Yc=")</f>
        <v>#REF!</v>
      </c>
      <c r="EG142" t="e">
        <f>AND(NhatkyNhap!#REF!,"AAAAAF527Yg=")</f>
        <v>#REF!</v>
      </c>
      <c r="EH142" t="e">
        <f>AND(NhatkyNhap!#REF!,"AAAAAF527Yk=")</f>
        <v>#REF!</v>
      </c>
      <c r="EI142" t="e">
        <f>AND(NhatkyNhap!#REF!,"AAAAAF527Yo=")</f>
        <v>#REF!</v>
      </c>
      <c r="EJ142" t="e">
        <f>AND(NhatkyNhap!#REF!,"AAAAAF527Ys=")</f>
        <v>#REF!</v>
      </c>
      <c r="EK142" t="e">
        <f>AND(NhatkyNhap!#REF!,"AAAAAF527Yw=")</f>
        <v>#REF!</v>
      </c>
      <c r="EL142" t="e">
        <f>AND(NhatkyNhap!#REF!,"AAAAAF527Y0=")</f>
        <v>#REF!</v>
      </c>
      <c r="EM142" t="e">
        <f>AND(NhatkyNhap!#REF!,"AAAAAF527Y4=")</f>
        <v>#REF!</v>
      </c>
      <c r="EN142" t="e">
        <f>AND(NhatkyNhap!#REF!,"AAAAAF527Y8=")</f>
        <v>#REF!</v>
      </c>
      <c r="EO142" t="e">
        <f>IF(NhatkyNhap!#REF!,"AAAAAF527ZA=",0)</f>
        <v>#REF!</v>
      </c>
      <c r="EP142" t="e">
        <f>AND(NhatkyNhap!#REF!,"AAAAAF527ZE=")</f>
        <v>#REF!</v>
      </c>
      <c r="EQ142" t="e">
        <f>AND(NhatkyNhap!#REF!,"AAAAAF527ZI=")</f>
        <v>#REF!</v>
      </c>
      <c r="ER142" t="e">
        <f>AND(NhatkyNhap!#REF!,"AAAAAF527ZM=")</f>
        <v>#REF!</v>
      </c>
      <c r="ES142" t="e">
        <f>AND(NhatkyNhap!#REF!,"AAAAAF527ZQ=")</f>
        <v>#REF!</v>
      </c>
      <c r="ET142" t="e">
        <f>AND(NhatkyNhap!#REF!,"AAAAAF527ZU=")</f>
        <v>#REF!</v>
      </c>
      <c r="EU142" t="e">
        <f>AND(NhatkyNhap!#REF!,"AAAAAF527ZY=")</f>
        <v>#REF!</v>
      </c>
      <c r="EV142" t="e">
        <f>AND(NhatkyNhap!#REF!,"AAAAAF527Zc=")</f>
        <v>#REF!</v>
      </c>
      <c r="EW142" t="e">
        <f>AND(NhatkyNhap!#REF!,"AAAAAF527Zg=")</f>
        <v>#REF!</v>
      </c>
      <c r="EX142" t="e">
        <f>AND(NhatkyNhap!#REF!,"AAAAAF527Zk=")</f>
        <v>#REF!</v>
      </c>
      <c r="EY142" t="e">
        <f>AND(NhatkyNhap!#REF!,"AAAAAF527Zo=")</f>
        <v>#REF!</v>
      </c>
      <c r="EZ142" t="e">
        <f>AND(NhatkyNhap!#REF!,"AAAAAF527Zs=")</f>
        <v>#REF!</v>
      </c>
      <c r="FA142" t="e">
        <f>AND(NhatkyNhap!#REF!,"AAAAAF527Zw=")</f>
        <v>#REF!</v>
      </c>
      <c r="FB142" t="e">
        <f>AND(NhatkyNhap!#REF!,"AAAAAF527Z0=")</f>
        <v>#REF!</v>
      </c>
      <c r="FC142" t="e">
        <f>AND(NhatkyNhap!#REF!,"AAAAAF527Z4=")</f>
        <v>#REF!</v>
      </c>
      <c r="FD142" t="e">
        <f>AND(NhatkyNhap!#REF!,"AAAAAF527Z8=")</f>
        <v>#REF!</v>
      </c>
      <c r="FE142" t="e">
        <f>AND(NhatkyNhap!#REF!,"AAAAAF527aA=")</f>
        <v>#REF!</v>
      </c>
      <c r="FF142" t="e">
        <f>AND(NhatkyNhap!#REF!,"AAAAAF527aE=")</f>
        <v>#REF!</v>
      </c>
      <c r="FG142" t="e">
        <f>AND(NhatkyNhap!#REF!,"AAAAAF527aI=")</f>
        <v>#REF!</v>
      </c>
      <c r="FH142" t="e">
        <f>AND(NhatkyNhap!#REF!,"AAAAAF527aM=")</f>
        <v>#REF!</v>
      </c>
      <c r="FI142" t="e">
        <f>AND(NhatkyNhap!#REF!,"AAAAAF527aQ=")</f>
        <v>#REF!</v>
      </c>
      <c r="FJ142" t="e">
        <f>AND(NhatkyNhap!#REF!,"AAAAAF527aU=")</f>
        <v>#REF!</v>
      </c>
      <c r="FK142" t="e">
        <f>AND(NhatkyNhap!#REF!,"AAAAAF527aY=")</f>
        <v>#REF!</v>
      </c>
      <c r="FL142" t="e">
        <f>AND(NhatkyNhap!#REF!,"AAAAAF527ac=")</f>
        <v>#REF!</v>
      </c>
      <c r="FM142" t="e">
        <f>AND(NhatkyNhap!#REF!,"AAAAAF527ag=")</f>
        <v>#REF!</v>
      </c>
      <c r="FN142" t="e">
        <f>AND(NhatkyNhap!#REF!,"AAAAAF527ak=")</f>
        <v>#REF!</v>
      </c>
      <c r="FO142" t="e">
        <f>AND(NhatkyNhap!#REF!,"AAAAAF527ao=")</f>
        <v>#REF!</v>
      </c>
      <c r="FP142" t="e">
        <f>AND(NhatkyNhap!#REF!,"AAAAAF527as=")</f>
        <v>#REF!</v>
      </c>
      <c r="FQ142" t="e">
        <f>AND(NhatkyNhap!#REF!,"AAAAAF527aw=")</f>
        <v>#REF!</v>
      </c>
      <c r="FR142" t="e">
        <f>AND(NhatkyNhap!#REF!,"AAAAAF527a0=")</f>
        <v>#REF!</v>
      </c>
      <c r="FS142" t="e">
        <f>AND(NhatkyNhap!#REF!,"AAAAAF527a4=")</f>
        <v>#REF!</v>
      </c>
      <c r="FT142" t="e">
        <f>AND(NhatkyNhap!#REF!,"AAAAAF527a8=")</f>
        <v>#REF!</v>
      </c>
      <c r="FU142" t="e">
        <f>AND(NhatkyNhap!#REF!,"AAAAAF527bA=")</f>
        <v>#REF!</v>
      </c>
      <c r="FV142" t="e">
        <f>AND(NhatkyNhap!#REF!,"AAAAAF527bE=")</f>
        <v>#REF!</v>
      </c>
      <c r="FW142" t="e">
        <f>AND(NhatkyNhap!#REF!,"AAAAAF527bI=")</f>
        <v>#REF!</v>
      </c>
      <c r="FX142" t="e">
        <f>IF(NhatkyNhap!#REF!,"AAAAAF527bM=",0)</f>
        <v>#REF!</v>
      </c>
      <c r="FY142" t="e">
        <f>AND(NhatkyNhap!#REF!,"AAAAAF527bQ=")</f>
        <v>#REF!</v>
      </c>
      <c r="FZ142" t="e">
        <f>AND(NhatkyNhap!#REF!,"AAAAAF527bU=")</f>
        <v>#REF!</v>
      </c>
      <c r="GA142" t="e">
        <f>AND(NhatkyNhap!#REF!,"AAAAAF527bY=")</f>
        <v>#REF!</v>
      </c>
      <c r="GB142" t="e">
        <f>AND(NhatkyNhap!#REF!,"AAAAAF527bc=")</f>
        <v>#REF!</v>
      </c>
      <c r="GC142" t="e">
        <f>AND(NhatkyNhap!#REF!,"AAAAAF527bg=")</f>
        <v>#REF!</v>
      </c>
      <c r="GD142" t="e">
        <f>AND(NhatkyNhap!#REF!,"AAAAAF527bk=")</f>
        <v>#REF!</v>
      </c>
      <c r="GE142" t="e">
        <f>AND(NhatkyNhap!#REF!,"AAAAAF527bo=")</f>
        <v>#REF!</v>
      </c>
      <c r="GF142" t="e">
        <f>AND(NhatkyNhap!#REF!,"AAAAAF527bs=")</f>
        <v>#REF!</v>
      </c>
      <c r="GG142" t="e">
        <f>AND(NhatkyNhap!#REF!,"AAAAAF527bw=")</f>
        <v>#REF!</v>
      </c>
      <c r="GH142" t="e">
        <f>AND(NhatkyNhap!#REF!,"AAAAAF527b0=")</f>
        <v>#REF!</v>
      </c>
      <c r="GI142" t="e">
        <f>AND(NhatkyNhap!#REF!,"AAAAAF527b4=")</f>
        <v>#REF!</v>
      </c>
      <c r="GJ142" t="e">
        <f>AND(NhatkyNhap!#REF!,"AAAAAF527b8=")</f>
        <v>#REF!</v>
      </c>
      <c r="GK142" t="e">
        <f>AND(NhatkyNhap!#REF!,"AAAAAF527cA=")</f>
        <v>#REF!</v>
      </c>
      <c r="GL142" t="e">
        <f>AND(NhatkyNhap!#REF!,"AAAAAF527cE=")</f>
        <v>#REF!</v>
      </c>
      <c r="GM142" t="e">
        <f>AND(NhatkyNhap!#REF!,"AAAAAF527cI=")</f>
        <v>#REF!</v>
      </c>
      <c r="GN142" t="e">
        <f>AND(NhatkyNhap!#REF!,"AAAAAF527cM=")</f>
        <v>#REF!</v>
      </c>
      <c r="GO142" t="e">
        <f>AND(NhatkyNhap!#REF!,"AAAAAF527cQ=")</f>
        <v>#REF!</v>
      </c>
      <c r="GP142" t="e">
        <f>AND(NhatkyNhap!#REF!,"AAAAAF527cU=")</f>
        <v>#REF!</v>
      </c>
      <c r="GQ142" t="e">
        <f>AND(NhatkyNhap!#REF!,"AAAAAF527cY=")</f>
        <v>#REF!</v>
      </c>
      <c r="GR142" t="e">
        <f>AND(NhatkyNhap!#REF!,"AAAAAF527cc=")</f>
        <v>#REF!</v>
      </c>
      <c r="GS142" t="e">
        <f>AND(NhatkyNhap!#REF!,"AAAAAF527cg=")</f>
        <v>#REF!</v>
      </c>
      <c r="GT142" t="e">
        <f>AND(NhatkyNhap!#REF!,"AAAAAF527ck=")</f>
        <v>#REF!</v>
      </c>
      <c r="GU142" t="e">
        <f>AND(NhatkyNhap!#REF!,"AAAAAF527co=")</f>
        <v>#REF!</v>
      </c>
      <c r="GV142" t="e">
        <f>AND(NhatkyNhap!#REF!,"AAAAAF527cs=")</f>
        <v>#REF!</v>
      </c>
      <c r="GW142" t="e">
        <f>AND(NhatkyNhap!#REF!,"AAAAAF527cw=")</f>
        <v>#REF!</v>
      </c>
      <c r="GX142" t="e">
        <f>AND(NhatkyNhap!#REF!,"AAAAAF527c0=")</f>
        <v>#REF!</v>
      </c>
      <c r="GY142" t="e">
        <f>AND(NhatkyNhap!#REF!,"AAAAAF527c4=")</f>
        <v>#REF!</v>
      </c>
      <c r="GZ142" t="e">
        <f>AND(NhatkyNhap!#REF!,"AAAAAF527c8=")</f>
        <v>#REF!</v>
      </c>
      <c r="HA142" t="e">
        <f>AND(NhatkyNhap!#REF!,"AAAAAF527dA=")</f>
        <v>#REF!</v>
      </c>
      <c r="HB142" t="e">
        <f>AND(NhatkyNhap!#REF!,"AAAAAF527dE=")</f>
        <v>#REF!</v>
      </c>
      <c r="HC142" t="e">
        <f>AND(NhatkyNhap!#REF!,"AAAAAF527dI=")</f>
        <v>#REF!</v>
      </c>
      <c r="HD142" t="e">
        <f>AND(NhatkyNhap!#REF!,"AAAAAF527dM=")</f>
        <v>#REF!</v>
      </c>
      <c r="HE142" t="e">
        <f>AND(NhatkyNhap!#REF!,"AAAAAF527dQ=")</f>
        <v>#REF!</v>
      </c>
      <c r="HF142" t="e">
        <f>AND(NhatkyNhap!#REF!,"AAAAAF527dU=")</f>
        <v>#REF!</v>
      </c>
      <c r="HG142" t="e">
        <f>IF(NhatkyNhap!#REF!,"AAAAAF527dY=",0)</f>
        <v>#REF!</v>
      </c>
      <c r="HH142" t="e">
        <f>AND(NhatkyNhap!#REF!,"AAAAAF527dc=")</f>
        <v>#REF!</v>
      </c>
      <c r="HI142" t="e">
        <f>AND(NhatkyNhap!#REF!,"AAAAAF527dg=")</f>
        <v>#REF!</v>
      </c>
      <c r="HJ142" t="e">
        <f>AND(NhatkyNhap!#REF!,"AAAAAF527dk=")</f>
        <v>#REF!</v>
      </c>
      <c r="HK142" t="e">
        <f>AND(NhatkyNhap!#REF!,"AAAAAF527do=")</f>
        <v>#REF!</v>
      </c>
      <c r="HL142" t="e">
        <f>AND(NhatkyNhap!#REF!,"AAAAAF527ds=")</f>
        <v>#REF!</v>
      </c>
      <c r="HM142" t="e">
        <f>AND(NhatkyNhap!#REF!,"AAAAAF527dw=")</f>
        <v>#REF!</v>
      </c>
      <c r="HN142" t="e">
        <f>AND(NhatkyNhap!#REF!,"AAAAAF527d0=")</f>
        <v>#REF!</v>
      </c>
      <c r="HO142" t="e">
        <f>AND(NhatkyNhap!#REF!,"AAAAAF527d4=")</f>
        <v>#REF!</v>
      </c>
      <c r="HP142" t="e">
        <f>AND(NhatkyNhap!#REF!,"AAAAAF527d8=")</f>
        <v>#REF!</v>
      </c>
      <c r="HQ142" t="e">
        <f>AND(NhatkyNhap!#REF!,"AAAAAF527eA=")</f>
        <v>#REF!</v>
      </c>
      <c r="HR142" t="e">
        <f>AND(NhatkyNhap!#REF!,"AAAAAF527eE=")</f>
        <v>#REF!</v>
      </c>
      <c r="HS142" t="e">
        <f>AND(NhatkyNhap!#REF!,"AAAAAF527eI=")</f>
        <v>#REF!</v>
      </c>
      <c r="HT142" t="e">
        <f>AND(NhatkyNhap!#REF!,"AAAAAF527eM=")</f>
        <v>#REF!</v>
      </c>
      <c r="HU142" t="e">
        <f>AND(NhatkyNhap!#REF!,"AAAAAF527eQ=")</f>
        <v>#REF!</v>
      </c>
      <c r="HV142" t="e">
        <f>AND(NhatkyNhap!#REF!,"AAAAAF527eU=")</f>
        <v>#REF!</v>
      </c>
      <c r="HW142" t="e">
        <f>AND(NhatkyNhap!#REF!,"AAAAAF527eY=")</f>
        <v>#REF!</v>
      </c>
      <c r="HX142" t="e">
        <f>AND(NhatkyNhap!#REF!,"AAAAAF527ec=")</f>
        <v>#REF!</v>
      </c>
      <c r="HY142" t="e">
        <f>AND(NhatkyNhap!#REF!,"AAAAAF527eg=")</f>
        <v>#REF!</v>
      </c>
      <c r="HZ142" t="e">
        <f>AND(NhatkyNhap!#REF!,"AAAAAF527ek=")</f>
        <v>#REF!</v>
      </c>
      <c r="IA142" t="e">
        <f>AND(NhatkyNhap!#REF!,"AAAAAF527eo=")</f>
        <v>#REF!</v>
      </c>
      <c r="IB142" t="e">
        <f>AND(NhatkyNhap!#REF!,"AAAAAF527es=")</f>
        <v>#REF!</v>
      </c>
      <c r="IC142" t="e">
        <f>AND(NhatkyNhap!#REF!,"AAAAAF527ew=")</f>
        <v>#REF!</v>
      </c>
      <c r="ID142" t="e">
        <f>AND(NhatkyNhap!#REF!,"AAAAAF527e0=")</f>
        <v>#REF!</v>
      </c>
      <c r="IE142" t="e">
        <f>AND(NhatkyNhap!#REF!,"AAAAAF527e4=")</f>
        <v>#REF!</v>
      </c>
      <c r="IF142" t="e">
        <f>AND(NhatkyNhap!#REF!,"AAAAAF527e8=")</f>
        <v>#REF!</v>
      </c>
      <c r="IG142" t="e">
        <f>AND(NhatkyNhap!#REF!,"AAAAAF527fA=")</f>
        <v>#REF!</v>
      </c>
      <c r="IH142" t="e">
        <f>AND(NhatkyNhap!#REF!,"AAAAAF527fE=")</f>
        <v>#REF!</v>
      </c>
      <c r="II142" t="e">
        <f>AND(NhatkyNhap!#REF!,"AAAAAF527fI=")</f>
        <v>#REF!</v>
      </c>
      <c r="IJ142" t="e">
        <f>AND(NhatkyNhap!#REF!,"AAAAAF527fM=")</f>
        <v>#REF!</v>
      </c>
      <c r="IK142" t="e">
        <f>AND(NhatkyNhap!#REF!,"AAAAAF527fQ=")</f>
        <v>#REF!</v>
      </c>
      <c r="IL142" t="e">
        <f>AND(NhatkyNhap!#REF!,"AAAAAF527fU=")</f>
        <v>#REF!</v>
      </c>
      <c r="IM142" t="e">
        <f>AND(NhatkyNhap!#REF!,"AAAAAF527fY=")</f>
        <v>#REF!</v>
      </c>
      <c r="IN142" t="e">
        <f>AND(NhatkyNhap!#REF!,"AAAAAF527fc=")</f>
        <v>#REF!</v>
      </c>
      <c r="IO142" t="e">
        <f>AND(NhatkyNhap!#REF!,"AAAAAF527fg=")</f>
        <v>#REF!</v>
      </c>
      <c r="IP142" t="e">
        <f>IF(NhatkyNhap!#REF!,"AAAAAF527fk=",0)</f>
        <v>#REF!</v>
      </c>
      <c r="IQ142" t="e">
        <f>AND(NhatkyNhap!#REF!,"AAAAAF527fo=")</f>
        <v>#REF!</v>
      </c>
      <c r="IR142" t="e">
        <f>AND(NhatkyNhap!#REF!,"AAAAAF527fs=")</f>
        <v>#REF!</v>
      </c>
      <c r="IS142" t="e">
        <f>AND(NhatkyNhap!#REF!,"AAAAAF527fw=")</f>
        <v>#REF!</v>
      </c>
      <c r="IT142" t="e">
        <f>AND(NhatkyNhap!#REF!,"AAAAAF527f0=")</f>
        <v>#REF!</v>
      </c>
      <c r="IU142" t="e">
        <f>AND(NhatkyNhap!#REF!,"AAAAAF527f4=")</f>
        <v>#REF!</v>
      </c>
      <c r="IV142" t="e">
        <f>AND(NhatkyNhap!#REF!,"AAAAAF527f8=")</f>
        <v>#REF!</v>
      </c>
    </row>
    <row r="143" spans="1:256">
      <c r="A143" t="e">
        <f>AND(NhatkyNhap!#REF!,"AAAAAD33ygA=")</f>
        <v>#REF!</v>
      </c>
      <c r="B143" t="e">
        <f>AND(NhatkyNhap!#REF!,"AAAAAD33ygE=")</f>
        <v>#REF!</v>
      </c>
      <c r="C143" t="e">
        <f>AND(NhatkyNhap!#REF!,"AAAAAD33ygI=")</f>
        <v>#REF!</v>
      </c>
      <c r="D143" t="e">
        <f>AND(NhatkyNhap!#REF!,"AAAAAD33ygM=")</f>
        <v>#REF!</v>
      </c>
      <c r="E143" t="e">
        <f>AND(NhatkyNhap!#REF!,"AAAAAD33ygQ=")</f>
        <v>#REF!</v>
      </c>
      <c r="F143" t="e">
        <f>AND(NhatkyNhap!#REF!,"AAAAAD33ygU=")</f>
        <v>#REF!</v>
      </c>
      <c r="G143" t="e">
        <f>AND(NhatkyNhap!#REF!,"AAAAAD33ygY=")</f>
        <v>#REF!</v>
      </c>
      <c r="H143" t="e">
        <f>AND(NhatkyNhap!#REF!,"AAAAAD33ygc=")</f>
        <v>#REF!</v>
      </c>
      <c r="I143" t="e">
        <f>AND(NhatkyNhap!#REF!,"AAAAAD33ygg=")</f>
        <v>#REF!</v>
      </c>
      <c r="J143" t="e">
        <f>AND(NhatkyNhap!#REF!,"AAAAAD33ygk=")</f>
        <v>#REF!</v>
      </c>
      <c r="K143" t="e">
        <f>AND(NhatkyNhap!#REF!,"AAAAAD33ygo=")</f>
        <v>#REF!</v>
      </c>
      <c r="L143" t="e">
        <f>AND(NhatkyNhap!#REF!,"AAAAAD33ygs=")</f>
        <v>#REF!</v>
      </c>
      <c r="M143" t="e">
        <f>AND(NhatkyNhap!#REF!,"AAAAAD33ygw=")</f>
        <v>#REF!</v>
      </c>
      <c r="N143" t="e">
        <f>AND(NhatkyNhap!#REF!,"AAAAAD33yg0=")</f>
        <v>#REF!</v>
      </c>
      <c r="O143" t="e">
        <f>AND(NhatkyNhap!#REF!,"AAAAAD33yg4=")</f>
        <v>#REF!</v>
      </c>
      <c r="P143" t="e">
        <f>AND(NhatkyNhap!#REF!,"AAAAAD33yg8=")</f>
        <v>#REF!</v>
      </c>
      <c r="Q143" t="e">
        <f>AND(NhatkyNhap!#REF!,"AAAAAD33yhA=")</f>
        <v>#REF!</v>
      </c>
      <c r="R143" t="e">
        <f>AND(NhatkyNhap!#REF!,"AAAAAD33yhE=")</f>
        <v>#REF!</v>
      </c>
      <c r="S143" t="e">
        <f>AND(NhatkyNhap!#REF!,"AAAAAD33yhI=")</f>
        <v>#REF!</v>
      </c>
      <c r="T143" t="e">
        <f>AND(NhatkyNhap!#REF!,"AAAAAD33yhM=")</f>
        <v>#REF!</v>
      </c>
      <c r="U143" t="e">
        <f>AND(NhatkyNhap!#REF!,"AAAAAD33yhQ=")</f>
        <v>#REF!</v>
      </c>
      <c r="V143" t="e">
        <f>AND(NhatkyNhap!#REF!,"AAAAAD33yhU=")</f>
        <v>#REF!</v>
      </c>
      <c r="W143" t="e">
        <f>AND(NhatkyNhap!#REF!,"AAAAAD33yhY=")</f>
        <v>#REF!</v>
      </c>
      <c r="X143" t="e">
        <f>AND(NhatkyNhap!#REF!,"AAAAAD33yhc=")</f>
        <v>#REF!</v>
      </c>
      <c r="Y143" t="e">
        <f>AND(NhatkyNhap!#REF!,"AAAAAD33yhg=")</f>
        <v>#REF!</v>
      </c>
      <c r="Z143" t="e">
        <f>AND(NhatkyNhap!#REF!,"AAAAAD33yhk=")</f>
        <v>#REF!</v>
      </c>
      <c r="AA143" t="e">
        <f>AND(NhatkyNhap!#REF!,"AAAAAD33yho=")</f>
        <v>#REF!</v>
      </c>
      <c r="AB143" t="e">
        <f>AND(NhatkyNhap!#REF!,"AAAAAD33yhs=")</f>
        <v>#REF!</v>
      </c>
      <c r="AC143" t="e">
        <f>IF(NhatkyNhap!#REF!,"AAAAAD33yhw=",0)</f>
        <v>#REF!</v>
      </c>
      <c r="AD143" t="e">
        <f>AND(NhatkyNhap!#REF!,"AAAAAD33yh0=")</f>
        <v>#REF!</v>
      </c>
      <c r="AE143" t="e">
        <f>AND(NhatkyNhap!#REF!,"AAAAAD33yh4=")</f>
        <v>#REF!</v>
      </c>
      <c r="AF143" t="e">
        <f>AND(NhatkyNhap!#REF!,"AAAAAD33yh8=")</f>
        <v>#REF!</v>
      </c>
      <c r="AG143" t="e">
        <f>AND(NhatkyNhap!#REF!,"AAAAAD33yiA=")</f>
        <v>#REF!</v>
      </c>
      <c r="AH143" t="e">
        <f>AND(NhatkyNhap!#REF!,"AAAAAD33yiE=")</f>
        <v>#REF!</v>
      </c>
      <c r="AI143" t="e">
        <f>AND(NhatkyNhap!#REF!,"AAAAAD33yiI=")</f>
        <v>#REF!</v>
      </c>
      <c r="AJ143" t="e">
        <f>AND(NhatkyNhap!#REF!,"AAAAAD33yiM=")</f>
        <v>#REF!</v>
      </c>
      <c r="AK143" t="e">
        <f>AND(NhatkyNhap!#REF!,"AAAAAD33yiQ=")</f>
        <v>#REF!</v>
      </c>
      <c r="AL143" t="e">
        <f>AND(NhatkyNhap!#REF!,"AAAAAD33yiU=")</f>
        <v>#REF!</v>
      </c>
      <c r="AM143" t="e">
        <f>AND(NhatkyNhap!#REF!,"AAAAAD33yiY=")</f>
        <v>#REF!</v>
      </c>
      <c r="AN143" t="e">
        <f>AND(NhatkyNhap!#REF!,"AAAAAD33yic=")</f>
        <v>#REF!</v>
      </c>
      <c r="AO143" t="e">
        <f>AND(NhatkyNhap!#REF!,"AAAAAD33yig=")</f>
        <v>#REF!</v>
      </c>
      <c r="AP143" t="e">
        <f>AND(NhatkyNhap!#REF!,"AAAAAD33yik=")</f>
        <v>#REF!</v>
      </c>
      <c r="AQ143" t="e">
        <f>AND(NhatkyNhap!#REF!,"AAAAAD33yio=")</f>
        <v>#REF!</v>
      </c>
      <c r="AR143" t="e">
        <f>AND(NhatkyNhap!#REF!,"AAAAAD33yis=")</f>
        <v>#REF!</v>
      </c>
      <c r="AS143" t="e">
        <f>AND(NhatkyNhap!#REF!,"AAAAAD33yiw=")</f>
        <v>#REF!</v>
      </c>
      <c r="AT143" t="e">
        <f>AND(NhatkyNhap!#REF!,"AAAAAD33yi0=")</f>
        <v>#REF!</v>
      </c>
      <c r="AU143" t="e">
        <f>AND(NhatkyNhap!#REF!,"AAAAAD33yi4=")</f>
        <v>#REF!</v>
      </c>
      <c r="AV143" t="e">
        <f>AND(NhatkyNhap!#REF!,"AAAAAD33yi8=")</f>
        <v>#REF!</v>
      </c>
      <c r="AW143" t="e">
        <f>AND(NhatkyNhap!#REF!,"AAAAAD33yjA=")</f>
        <v>#REF!</v>
      </c>
      <c r="AX143" t="e">
        <f>AND(NhatkyNhap!#REF!,"AAAAAD33yjE=")</f>
        <v>#REF!</v>
      </c>
      <c r="AY143" t="e">
        <f>AND(NhatkyNhap!#REF!,"AAAAAD33yjI=")</f>
        <v>#REF!</v>
      </c>
      <c r="AZ143" t="e">
        <f>AND(NhatkyNhap!#REF!,"AAAAAD33yjM=")</f>
        <v>#REF!</v>
      </c>
      <c r="BA143" t="e">
        <f>AND(NhatkyNhap!#REF!,"AAAAAD33yjQ=")</f>
        <v>#REF!</v>
      </c>
      <c r="BB143" t="e">
        <f>AND(NhatkyNhap!#REF!,"AAAAAD33yjU=")</f>
        <v>#REF!</v>
      </c>
      <c r="BC143" t="e">
        <f>AND(NhatkyNhap!#REF!,"AAAAAD33yjY=")</f>
        <v>#REF!</v>
      </c>
      <c r="BD143" t="e">
        <f>AND(NhatkyNhap!#REF!,"AAAAAD33yjc=")</f>
        <v>#REF!</v>
      </c>
      <c r="BE143" t="e">
        <f>AND(NhatkyNhap!#REF!,"AAAAAD33yjg=")</f>
        <v>#REF!</v>
      </c>
      <c r="BF143" t="e">
        <f>AND(NhatkyNhap!#REF!,"AAAAAD33yjk=")</f>
        <v>#REF!</v>
      </c>
      <c r="BG143" t="e">
        <f>AND(NhatkyNhap!#REF!,"AAAAAD33yjo=")</f>
        <v>#REF!</v>
      </c>
      <c r="BH143" t="e">
        <f>AND(NhatkyNhap!#REF!,"AAAAAD33yjs=")</f>
        <v>#REF!</v>
      </c>
      <c r="BI143" t="e">
        <f>AND(NhatkyNhap!#REF!,"AAAAAD33yjw=")</f>
        <v>#REF!</v>
      </c>
      <c r="BJ143" t="e">
        <f>AND(NhatkyNhap!#REF!,"AAAAAD33yj0=")</f>
        <v>#REF!</v>
      </c>
      <c r="BK143" t="e">
        <f>AND(NhatkyNhap!#REF!,"AAAAAD33yj4=")</f>
        <v>#REF!</v>
      </c>
      <c r="BL143" t="e">
        <f>IF(NhatkyNhap!#REF!,"AAAAAD33yj8=",0)</f>
        <v>#REF!</v>
      </c>
      <c r="BM143" t="e">
        <f>AND(NhatkyNhap!#REF!,"AAAAAD33ykA=")</f>
        <v>#REF!</v>
      </c>
      <c r="BN143" t="e">
        <f>AND(NhatkyNhap!#REF!,"AAAAAD33ykE=")</f>
        <v>#REF!</v>
      </c>
      <c r="BO143" t="e">
        <f>AND(NhatkyNhap!#REF!,"AAAAAD33ykI=")</f>
        <v>#REF!</v>
      </c>
      <c r="BP143" t="e">
        <f>AND(NhatkyNhap!#REF!,"AAAAAD33ykM=")</f>
        <v>#REF!</v>
      </c>
      <c r="BQ143" t="e">
        <f>AND(NhatkyNhap!#REF!,"AAAAAD33ykQ=")</f>
        <v>#REF!</v>
      </c>
      <c r="BR143" t="e">
        <f>AND(NhatkyNhap!#REF!,"AAAAAD33ykU=")</f>
        <v>#REF!</v>
      </c>
      <c r="BS143" t="e">
        <f>AND(NhatkyNhap!#REF!,"AAAAAD33ykY=")</f>
        <v>#REF!</v>
      </c>
      <c r="BT143" t="e">
        <f>AND(NhatkyNhap!#REF!,"AAAAAD33ykc=")</f>
        <v>#REF!</v>
      </c>
      <c r="BU143" t="e">
        <f>AND(NhatkyNhap!#REF!,"AAAAAD33ykg=")</f>
        <v>#REF!</v>
      </c>
      <c r="BV143" t="e">
        <f>AND(NhatkyNhap!#REF!,"AAAAAD33ykk=")</f>
        <v>#REF!</v>
      </c>
      <c r="BW143" t="e">
        <f>AND(NhatkyNhap!#REF!,"AAAAAD33yko=")</f>
        <v>#REF!</v>
      </c>
      <c r="BX143" t="e">
        <f>AND(NhatkyNhap!#REF!,"AAAAAD33yks=")</f>
        <v>#REF!</v>
      </c>
      <c r="BY143" t="e">
        <f>AND(NhatkyNhap!#REF!,"AAAAAD33ykw=")</f>
        <v>#REF!</v>
      </c>
      <c r="BZ143" t="e">
        <f>AND(NhatkyNhap!#REF!,"AAAAAD33yk0=")</f>
        <v>#REF!</v>
      </c>
      <c r="CA143" t="e">
        <f>AND(NhatkyNhap!#REF!,"AAAAAD33yk4=")</f>
        <v>#REF!</v>
      </c>
      <c r="CB143" t="e">
        <f>AND(NhatkyNhap!#REF!,"AAAAAD33yk8=")</f>
        <v>#REF!</v>
      </c>
      <c r="CC143" t="e">
        <f>AND(NhatkyNhap!#REF!,"AAAAAD33ylA=")</f>
        <v>#REF!</v>
      </c>
      <c r="CD143" t="e">
        <f>AND(NhatkyNhap!#REF!,"AAAAAD33ylE=")</f>
        <v>#REF!</v>
      </c>
      <c r="CE143" t="e">
        <f>AND(NhatkyNhap!#REF!,"AAAAAD33ylI=")</f>
        <v>#REF!</v>
      </c>
      <c r="CF143" t="e">
        <f>AND(NhatkyNhap!#REF!,"AAAAAD33ylM=")</f>
        <v>#REF!</v>
      </c>
      <c r="CG143" t="e">
        <f>AND(NhatkyNhap!#REF!,"AAAAAD33ylQ=")</f>
        <v>#REF!</v>
      </c>
      <c r="CH143" t="e">
        <f>AND(NhatkyNhap!#REF!,"AAAAAD33ylU=")</f>
        <v>#REF!</v>
      </c>
      <c r="CI143" t="e">
        <f>AND(NhatkyNhap!#REF!,"AAAAAD33ylY=")</f>
        <v>#REF!</v>
      </c>
      <c r="CJ143" t="e">
        <f>AND(NhatkyNhap!#REF!,"AAAAAD33ylc=")</f>
        <v>#REF!</v>
      </c>
      <c r="CK143" t="e">
        <f>AND(NhatkyNhap!#REF!,"AAAAAD33ylg=")</f>
        <v>#REF!</v>
      </c>
      <c r="CL143" t="e">
        <f>AND(NhatkyNhap!#REF!,"AAAAAD33ylk=")</f>
        <v>#REF!</v>
      </c>
      <c r="CM143" t="e">
        <f>AND(NhatkyNhap!#REF!,"AAAAAD33ylo=")</f>
        <v>#REF!</v>
      </c>
      <c r="CN143" t="e">
        <f>AND(NhatkyNhap!#REF!,"AAAAAD33yls=")</f>
        <v>#REF!</v>
      </c>
      <c r="CO143" t="e">
        <f>AND(NhatkyNhap!#REF!,"AAAAAD33ylw=")</f>
        <v>#REF!</v>
      </c>
      <c r="CP143" t="e">
        <f>AND(NhatkyNhap!#REF!,"AAAAAD33yl0=")</f>
        <v>#REF!</v>
      </c>
      <c r="CQ143" t="e">
        <f>AND(NhatkyNhap!#REF!,"AAAAAD33yl4=")</f>
        <v>#REF!</v>
      </c>
      <c r="CR143" t="e">
        <f>AND(NhatkyNhap!#REF!,"AAAAAD33yl8=")</f>
        <v>#REF!</v>
      </c>
      <c r="CS143" t="e">
        <f>AND(NhatkyNhap!#REF!,"AAAAAD33ymA=")</f>
        <v>#REF!</v>
      </c>
      <c r="CT143" t="e">
        <f>AND(NhatkyNhap!#REF!,"AAAAAD33ymE=")</f>
        <v>#REF!</v>
      </c>
      <c r="CU143" t="e">
        <f>IF(NhatkyNhap!#REF!,"AAAAAD33ymI=",0)</f>
        <v>#REF!</v>
      </c>
      <c r="CV143" t="e">
        <f>AND(NhatkyNhap!#REF!,"AAAAAD33ymM=")</f>
        <v>#REF!</v>
      </c>
      <c r="CW143" t="e">
        <f>AND(NhatkyNhap!#REF!,"AAAAAD33ymQ=")</f>
        <v>#REF!</v>
      </c>
      <c r="CX143" t="e">
        <f>AND(NhatkyNhap!#REF!,"AAAAAD33ymU=")</f>
        <v>#REF!</v>
      </c>
      <c r="CY143" t="e">
        <f>AND(NhatkyNhap!#REF!,"AAAAAD33ymY=")</f>
        <v>#REF!</v>
      </c>
      <c r="CZ143" t="e">
        <f>AND(NhatkyNhap!#REF!,"AAAAAD33ymc=")</f>
        <v>#REF!</v>
      </c>
      <c r="DA143" t="e">
        <f>AND(NhatkyNhap!#REF!,"AAAAAD33ymg=")</f>
        <v>#REF!</v>
      </c>
      <c r="DB143" t="e">
        <f>AND(NhatkyNhap!#REF!,"AAAAAD33ymk=")</f>
        <v>#REF!</v>
      </c>
      <c r="DC143" t="e">
        <f>AND(NhatkyNhap!#REF!,"AAAAAD33ymo=")</f>
        <v>#REF!</v>
      </c>
      <c r="DD143" t="e">
        <f>AND(NhatkyNhap!#REF!,"AAAAAD33yms=")</f>
        <v>#REF!</v>
      </c>
      <c r="DE143" t="e">
        <f>AND(NhatkyNhap!#REF!,"AAAAAD33ymw=")</f>
        <v>#REF!</v>
      </c>
      <c r="DF143" t="e">
        <f>AND(NhatkyNhap!#REF!,"AAAAAD33ym0=")</f>
        <v>#REF!</v>
      </c>
      <c r="DG143" t="e">
        <f>AND(NhatkyNhap!#REF!,"AAAAAD33ym4=")</f>
        <v>#REF!</v>
      </c>
      <c r="DH143" t="e">
        <f>AND(NhatkyNhap!#REF!,"AAAAAD33ym8=")</f>
        <v>#REF!</v>
      </c>
      <c r="DI143" t="e">
        <f>AND(NhatkyNhap!#REF!,"AAAAAD33ynA=")</f>
        <v>#REF!</v>
      </c>
      <c r="DJ143" t="e">
        <f>AND(NhatkyNhap!#REF!,"AAAAAD33ynE=")</f>
        <v>#REF!</v>
      </c>
      <c r="DK143" t="e">
        <f>AND(NhatkyNhap!#REF!,"AAAAAD33ynI=")</f>
        <v>#REF!</v>
      </c>
      <c r="DL143" t="e">
        <f>AND(NhatkyNhap!#REF!,"AAAAAD33ynM=")</f>
        <v>#REF!</v>
      </c>
      <c r="DM143" t="e">
        <f>AND(NhatkyNhap!#REF!,"AAAAAD33ynQ=")</f>
        <v>#REF!</v>
      </c>
      <c r="DN143" t="e">
        <f>AND(NhatkyNhap!#REF!,"AAAAAD33ynU=")</f>
        <v>#REF!</v>
      </c>
      <c r="DO143" t="e">
        <f>AND(NhatkyNhap!#REF!,"AAAAAD33ynY=")</f>
        <v>#REF!</v>
      </c>
      <c r="DP143" t="e">
        <f>AND(NhatkyNhap!#REF!,"AAAAAD33ync=")</f>
        <v>#REF!</v>
      </c>
      <c r="DQ143" t="e">
        <f>AND(NhatkyNhap!#REF!,"AAAAAD33yng=")</f>
        <v>#REF!</v>
      </c>
      <c r="DR143" t="e">
        <f>AND(NhatkyNhap!#REF!,"AAAAAD33ynk=")</f>
        <v>#REF!</v>
      </c>
      <c r="DS143" t="e">
        <f>AND(NhatkyNhap!#REF!,"AAAAAD33yno=")</f>
        <v>#REF!</v>
      </c>
      <c r="DT143" t="e">
        <f>AND(NhatkyNhap!#REF!,"AAAAAD33yns=")</f>
        <v>#REF!</v>
      </c>
      <c r="DU143" t="e">
        <f>AND(NhatkyNhap!#REF!,"AAAAAD33ynw=")</f>
        <v>#REF!</v>
      </c>
      <c r="DV143" t="e">
        <f>AND(NhatkyNhap!#REF!,"AAAAAD33yn0=")</f>
        <v>#REF!</v>
      </c>
      <c r="DW143" t="e">
        <f>AND(NhatkyNhap!#REF!,"AAAAAD33yn4=")</f>
        <v>#REF!</v>
      </c>
      <c r="DX143" t="e">
        <f>AND(NhatkyNhap!#REF!,"AAAAAD33yn8=")</f>
        <v>#REF!</v>
      </c>
      <c r="DY143" t="e">
        <f>AND(NhatkyNhap!#REF!,"AAAAAD33yoA=")</f>
        <v>#REF!</v>
      </c>
      <c r="DZ143" t="e">
        <f>AND(NhatkyNhap!#REF!,"AAAAAD33yoE=")</f>
        <v>#REF!</v>
      </c>
      <c r="EA143" t="e">
        <f>AND(NhatkyNhap!#REF!,"AAAAAD33yoI=")</f>
        <v>#REF!</v>
      </c>
      <c r="EB143" t="e">
        <f>AND(NhatkyNhap!#REF!,"AAAAAD33yoM=")</f>
        <v>#REF!</v>
      </c>
      <c r="EC143" t="e">
        <f>AND(NhatkyNhap!#REF!,"AAAAAD33yoQ=")</f>
        <v>#REF!</v>
      </c>
      <c r="ED143" t="e">
        <f>IF(NhatkyNhap!#REF!,"AAAAAD33yoU=",0)</f>
        <v>#REF!</v>
      </c>
      <c r="EE143" t="e">
        <f>AND(NhatkyNhap!#REF!,"AAAAAD33yoY=")</f>
        <v>#REF!</v>
      </c>
      <c r="EF143" t="e">
        <f>AND(NhatkyNhap!#REF!,"AAAAAD33yoc=")</f>
        <v>#REF!</v>
      </c>
      <c r="EG143" t="e">
        <f>AND(NhatkyNhap!#REF!,"AAAAAD33yog=")</f>
        <v>#REF!</v>
      </c>
      <c r="EH143" t="e">
        <f>AND(NhatkyNhap!#REF!,"AAAAAD33yok=")</f>
        <v>#REF!</v>
      </c>
      <c r="EI143" t="e">
        <f>AND(NhatkyNhap!#REF!,"AAAAAD33yoo=")</f>
        <v>#REF!</v>
      </c>
      <c r="EJ143" t="e">
        <f>AND(NhatkyNhap!#REF!,"AAAAAD33yos=")</f>
        <v>#REF!</v>
      </c>
      <c r="EK143" t="e">
        <f>AND(NhatkyNhap!#REF!,"AAAAAD33yow=")</f>
        <v>#REF!</v>
      </c>
      <c r="EL143" t="e">
        <f>AND(NhatkyNhap!#REF!,"AAAAAD33yo0=")</f>
        <v>#REF!</v>
      </c>
      <c r="EM143" t="e">
        <f>AND(NhatkyNhap!#REF!,"AAAAAD33yo4=")</f>
        <v>#REF!</v>
      </c>
      <c r="EN143" t="e">
        <f>AND(NhatkyNhap!#REF!,"AAAAAD33yo8=")</f>
        <v>#REF!</v>
      </c>
      <c r="EO143" t="e">
        <f>AND(NhatkyNhap!#REF!,"AAAAAD33ypA=")</f>
        <v>#REF!</v>
      </c>
      <c r="EP143" t="e">
        <f>AND(NhatkyNhap!#REF!,"AAAAAD33ypE=")</f>
        <v>#REF!</v>
      </c>
      <c r="EQ143" t="e">
        <f>AND(NhatkyNhap!#REF!,"AAAAAD33ypI=")</f>
        <v>#REF!</v>
      </c>
      <c r="ER143" t="e">
        <f>AND(NhatkyNhap!#REF!,"AAAAAD33ypM=")</f>
        <v>#REF!</v>
      </c>
      <c r="ES143" t="e">
        <f>AND(NhatkyNhap!#REF!,"AAAAAD33ypQ=")</f>
        <v>#REF!</v>
      </c>
      <c r="ET143" t="e">
        <f>AND(NhatkyNhap!#REF!,"AAAAAD33ypU=")</f>
        <v>#REF!</v>
      </c>
      <c r="EU143" t="e">
        <f>AND(NhatkyNhap!#REF!,"AAAAAD33ypY=")</f>
        <v>#REF!</v>
      </c>
      <c r="EV143" t="e">
        <f>AND(NhatkyNhap!#REF!,"AAAAAD33ypc=")</f>
        <v>#REF!</v>
      </c>
      <c r="EW143" t="e">
        <f>AND(NhatkyNhap!#REF!,"AAAAAD33ypg=")</f>
        <v>#REF!</v>
      </c>
      <c r="EX143" t="e">
        <f>AND(NhatkyNhap!#REF!,"AAAAAD33ypk=")</f>
        <v>#REF!</v>
      </c>
      <c r="EY143" t="e">
        <f>AND(NhatkyNhap!#REF!,"AAAAAD33ypo=")</f>
        <v>#REF!</v>
      </c>
      <c r="EZ143" t="e">
        <f>AND(NhatkyNhap!#REF!,"AAAAAD33yps=")</f>
        <v>#REF!</v>
      </c>
      <c r="FA143" t="e">
        <f>AND(NhatkyNhap!#REF!,"AAAAAD33ypw=")</f>
        <v>#REF!</v>
      </c>
      <c r="FB143" t="e">
        <f>AND(NhatkyNhap!#REF!,"AAAAAD33yp0=")</f>
        <v>#REF!</v>
      </c>
      <c r="FC143" t="e">
        <f>AND(NhatkyNhap!#REF!,"AAAAAD33yp4=")</f>
        <v>#REF!</v>
      </c>
      <c r="FD143" t="e">
        <f>AND(NhatkyNhap!#REF!,"AAAAAD33yp8=")</f>
        <v>#REF!</v>
      </c>
      <c r="FE143" t="e">
        <f>AND(NhatkyNhap!#REF!,"AAAAAD33yqA=")</f>
        <v>#REF!</v>
      </c>
      <c r="FF143" t="e">
        <f>AND(NhatkyNhap!#REF!,"AAAAAD33yqE=")</f>
        <v>#REF!</v>
      </c>
      <c r="FG143" t="e">
        <f>AND(NhatkyNhap!#REF!,"AAAAAD33yqI=")</f>
        <v>#REF!</v>
      </c>
      <c r="FH143" t="e">
        <f>AND(NhatkyNhap!#REF!,"AAAAAD33yqM=")</f>
        <v>#REF!</v>
      </c>
      <c r="FI143" t="e">
        <f>AND(NhatkyNhap!#REF!,"AAAAAD33yqQ=")</f>
        <v>#REF!</v>
      </c>
      <c r="FJ143" t="e">
        <f>AND(NhatkyNhap!#REF!,"AAAAAD33yqU=")</f>
        <v>#REF!</v>
      </c>
      <c r="FK143" t="e">
        <f>AND(NhatkyNhap!#REF!,"AAAAAD33yqY=")</f>
        <v>#REF!</v>
      </c>
      <c r="FL143" t="e">
        <f>AND(NhatkyNhap!#REF!,"AAAAAD33yqc=")</f>
        <v>#REF!</v>
      </c>
      <c r="FM143" t="e">
        <f>IF(NhatkyNhap!#REF!,"AAAAAD33yqg=",0)</f>
        <v>#REF!</v>
      </c>
      <c r="FN143" t="e">
        <f>AND(NhatkyNhap!#REF!,"AAAAAD33yqk=")</f>
        <v>#REF!</v>
      </c>
      <c r="FO143" t="e">
        <f>AND(NhatkyNhap!#REF!,"AAAAAD33yqo=")</f>
        <v>#REF!</v>
      </c>
      <c r="FP143" t="e">
        <f>AND(NhatkyNhap!#REF!,"AAAAAD33yqs=")</f>
        <v>#REF!</v>
      </c>
      <c r="FQ143" t="e">
        <f>AND(NhatkyNhap!#REF!,"AAAAAD33yqw=")</f>
        <v>#REF!</v>
      </c>
      <c r="FR143" t="e">
        <f>AND(NhatkyNhap!#REF!,"AAAAAD33yq0=")</f>
        <v>#REF!</v>
      </c>
      <c r="FS143" t="e">
        <f>AND(NhatkyNhap!#REF!,"AAAAAD33yq4=")</f>
        <v>#REF!</v>
      </c>
      <c r="FT143" t="e">
        <f>AND(NhatkyNhap!#REF!,"AAAAAD33yq8=")</f>
        <v>#REF!</v>
      </c>
      <c r="FU143" t="e">
        <f>AND(NhatkyNhap!#REF!,"AAAAAD33yrA=")</f>
        <v>#REF!</v>
      </c>
      <c r="FV143" t="e">
        <f>AND(NhatkyNhap!#REF!,"AAAAAD33yrE=")</f>
        <v>#REF!</v>
      </c>
      <c r="FW143" t="e">
        <f>AND(NhatkyNhap!#REF!,"AAAAAD33yrI=")</f>
        <v>#REF!</v>
      </c>
      <c r="FX143" t="e">
        <f>AND(NhatkyNhap!#REF!,"AAAAAD33yrM=")</f>
        <v>#REF!</v>
      </c>
      <c r="FY143" t="e">
        <f>AND(NhatkyNhap!#REF!,"AAAAAD33yrQ=")</f>
        <v>#REF!</v>
      </c>
      <c r="FZ143" t="e">
        <f>AND(NhatkyNhap!#REF!,"AAAAAD33yrU=")</f>
        <v>#REF!</v>
      </c>
      <c r="GA143" t="e">
        <f>AND(NhatkyNhap!#REF!,"AAAAAD33yrY=")</f>
        <v>#REF!</v>
      </c>
      <c r="GB143" t="e">
        <f>AND(NhatkyNhap!#REF!,"AAAAAD33yrc=")</f>
        <v>#REF!</v>
      </c>
      <c r="GC143" t="e">
        <f>AND(NhatkyNhap!#REF!,"AAAAAD33yrg=")</f>
        <v>#REF!</v>
      </c>
      <c r="GD143" t="e">
        <f>AND(NhatkyNhap!#REF!,"AAAAAD33yrk=")</f>
        <v>#REF!</v>
      </c>
      <c r="GE143" t="e">
        <f>AND(NhatkyNhap!#REF!,"AAAAAD33yro=")</f>
        <v>#REF!</v>
      </c>
      <c r="GF143" t="e">
        <f>AND(NhatkyNhap!#REF!,"AAAAAD33yrs=")</f>
        <v>#REF!</v>
      </c>
      <c r="GG143" t="e">
        <f>AND(NhatkyNhap!#REF!,"AAAAAD33yrw=")</f>
        <v>#REF!</v>
      </c>
      <c r="GH143" t="e">
        <f>AND(NhatkyNhap!#REF!,"AAAAAD33yr0=")</f>
        <v>#REF!</v>
      </c>
      <c r="GI143" t="e">
        <f>AND(NhatkyNhap!#REF!,"AAAAAD33yr4=")</f>
        <v>#REF!</v>
      </c>
      <c r="GJ143" t="e">
        <f>AND(NhatkyNhap!#REF!,"AAAAAD33yr8=")</f>
        <v>#REF!</v>
      </c>
      <c r="GK143" t="e">
        <f>AND(NhatkyNhap!#REF!,"AAAAAD33ysA=")</f>
        <v>#REF!</v>
      </c>
      <c r="GL143" t="e">
        <f>AND(NhatkyNhap!#REF!,"AAAAAD33ysE=")</f>
        <v>#REF!</v>
      </c>
      <c r="GM143" t="e">
        <f>AND(NhatkyNhap!#REF!,"AAAAAD33ysI=")</f>
        <v>#REF!</v>
      </c>
      <c r="GN143" t="e">
        <f>AND(NhatkyNhap!#REF!,"AAAAAD33ysM=")</f>
        <v>#REF!</v>
      </c>
      <c r="GO143" t="e">
        <f>AND(NhatkyNhap!#REF!,"AAAAAD33ysQ=")</f>
        <v>#REF!</v>
      </c>
      <c r="GP143" t="e">
        <f>AND(NhatkyNhap!#REF!,"AAAAAD33ysU=")</f>
        <v>#REF!</v>
      </c>
      <c r="GQ143" t="e">
        <f>AND(NhatkyNhap!#REF!,"AAAAAD33ysY=")</f>
        <v>#REF!</v>
      </c>
      <c r="GR143" t="e">
        <f>AND(NhatkyNhap!#REF!,"AAAAAD33ysc=")</f>
        <v>#REF!</v>
      </c>
      <c r="GS143" t="e">
        <f>AND(NhatkyNhap!#REF!,"AAAAAD33ysg=")</f>
        <v>#REF!</v>
      </c>
      <c r="GT143" t="e">
        <f>AND(NhatkyNhap!#REF!,"AAAAAD33ysk=")</f>
        <v>#REF!</v>
      </c>
      <c r="GU143" t="e">
        <f>AND(NhatkyNhap!#REF!,"AAAAAD33yso=")</f>
        <v>#REF!</v>
      </c>
      <c r="GV143" t="e">
        <f>IF(NhatkyNhap!#REF!,"AAAAAD33yss=",0)</f>
        <v>#REF!</v>
      </c>
      <c r="GW143" t="e">
        <f>AND(NhatkyNhap!#REF!,"AAAAAD33ysw=")</f>
        <v>#REF!</v>
      </c>
      <c r="GX143" t="e">
        <f>AND(NhatkyNhap!#REF!,"AAAAAD33ys0=")</f>
        <v>#REF!</v>
      </c>
      <c r="GY143" t="e">
        <f>AND(NhatkyNhap!#REF!,"AAAAAD33ys4=")</f>
        <v>#REF!</v>
      </c>
      <c r="GZ143" t="e">
        <f>AND(NhatkyNhap!#REF!,"AAAAAD33ys8=")</f>
        <v>#REF!</v>
      </c>
      <c r="HA143" t="e">
        <f>AND(NhatkyNhap!#REF!,"AAAAAD33ytA=")</f>
        <v>#REF!</v>
      </c>
      <c r="HB143" t="e">
        <f>AND(NhatkyNhap!#REF!,"AAAAAD33ytE=")</f>
        <v>#REF!</v>
      </c>
      <c r="HC143" t="e">
        <f>AND(NhatkyNhap!#REF!,"AAAAAD33ytI=")</f>
        <v>#REF!</v>
      </c>
      <c r="HD143" t="e">
        <f>AND(NhatkyNhap!#REF!,"AAAAAD33ytM=")</f>
        <v>#REF!</v>
      </c>
      <c r="HE143" t="e">
        <f>AND(NhatkyNhap!#REF!,"AAAAAD33ytQ=")</f>
        <v>#REF!</v>
      </c>
      <c r="HF143" t="e">
        <f>AND(NhatkyNhap!#REF!,"AAAAAD33ytU=")</f>
        <v>#REF!</v>
      </c>
      <c r="HG143" t="e">
        <f>AND(NhatkyNhap!#REF!,"AAAAAD33ytY=")</f>
        <v>#REF!</v>
      </c>
      <c r="HH143" t="e">
        <f>AND(NhatkyNhap!#REF!,"AAAAAD33ytc=")</f>
        <v>#REF!</v>
      </c>
      <c r="HI143" t="e">
        <f>AND(NhatkyNhap!#REF!,"AAAAAD33ytg=")</f>
        <v>#REF!</v>
      </c>
      <c r="HJ143" t="e">
        <f>AND(NhatkyNhap!#REF!,"AAAAAD33ytk=")</f>
        <v>#REF!</v>
      </c>
      <c r="HK143" t="e">
        <f>AND(NhatkyNhap!#REF!,"AAAAAD33yto=")</f>
        <v>#REF!</v>
      </c>
      <c r="HL143" t="e">
        <f>AND(NhatkyNhap!#REF!,"AAAAAD33yts=")</f>
        <v>#REF!</v>
      </c>
      <c r="HM143" t="e">
        <f>AND(NhatkyNhap!#REF!,"AAAAAD33ytw=")</f>
        <v>#REF!</v>
      </c>
      <c r="HN143" t="e">
        <f>AND(NhatkyNhap!#REF!,"AAAAAD33yt0=")</f>
        <v>#REF!</v>
      </c>
      <c r="HO143" t="e">
        <f>AND(NhatkyNhap!#REF!,"AAAAAD33yt4=")</f>
        <v>#REF!</v>
      </c>
      <c r="HP143" t="e">
        <f>AND(NhatkyNhap!#REF!,"AAAAAD33yt8=")</f>
        <v>#REF!</v>
      </c>
      <c r="HQ143" t="e">
        <f>AND(NhatkyNhap!#REF!,"AAAAAD33yuA=")</f>
        <v>#REF!</v>
      </c>
      <c r="HR143" t="e">
        <f>AND(NhatkyNhap!#REF!,"AAAAAD33yuE=")</f>
        <v>#REF!</v>
      </c>
      <c r="HS143" t="e">
        <f>AND(NhatkyNhap!#REF!,"AAAAAD33yuI=")</f>
        <v>#REF!</v>
      </c>
      <c r="HT143" t="e">
        <f>AND(NhatkyNhap!#REF!,"AAAAAD33yuM=")</f>
        <v>#REF!</v>
      </c>
      <c r="HU143" t="e">
        <f>AND(NhatkyNhap!#REF!,"AAAAAD33yuQ=")</f>
        <v>#REF!</v>
      </c>
      <c r="HV143" t="e">
        <f>AND(NhatkyNhap!#REF!,"AAAAAD33yuU=")</f>
        <v>#REF!</v>
      </c>
      <c r="HW143" t="e">
        <f>AND(NhatkyNhap!#REF!,"AAAAAD33yuY=")</f>
        <v>#REF!</v>
      </c>
      <c r="HX143" t="e">
        <f>AND(NhatkyNhap!#REF!,"AAAAAD33yuc=")</f>
        <v>#REF!</v>
      </c>
      <c r="HY143" t="e">
        <f>AND(NhatkyNhap!#REF!,"AAAAAD33yug=")</f>
        <v>#REF!</v>
      </c>
      <c r="HZ143" t="e">
        <f>AND(NhatkyNhap!#REF!,"AAAAAD33yuk=")</f>
        <v>#REF!</v>
      </c>
      <c r="IA143" t="e">
        <f>AND(NhatkyNhap!#REF!,"AAAAAD33yuo=")</f>
        <v>#REF!</v>
      </c>
      <c r="IB143" t="e">
        <f>AND(NhatkyNhap!#REF!,"AAAAAD33yus=")</f>
        <v>#REF!</v>
      </c>
      <c r="IC143" t="e">
        <f>AND(NhatkyNhap!#REF!,"AAAAAD33yuw=")</f>
        <v>#REF!</v>
      </c>
      <c r="ID143" t="e">
        <f>AND(NhatkyNhap!#REF!,"AAAAAD33yu0=")</f>
        <v>#REF!</v>
      </c>
      <c r="IE143" t="e">
        <f>IF(NhatkyNhap!#REF!,"AAAAAD33yu4=",0)</f>
        <v>#REF!</v>
      </c>
      <c r="IF143" t="e">
        <f>AND(NhatkyNhap!#REF!,"AAAAAD33yu8=")</f>
        <v>#REF!</v>
      </c>
      <c r="IG143" t="e">
        <f>AND(NhatkyNhap!#REF!,"AAAAAD33yvA=")</f>
        <v>#REF!</v>
      </c>
      <c r="IH143" t="e">
        <f>AND(NhatkyNhap!#REF!,"AAAAAD33yvE=")</f>
        <v>#REF!</v>
      </c>
      <c r="II143" t="e">
        <f>AND(NhatkyNhap!#REF!,"AAAAAD33yvI=")</f>
        <v>#REF!</v>
      </c>
      <c r="IJ143" t="e">
        <f>AND(NhatkyNhap!#REF!,"AAAAAD33yvM=")</f>
        <v>#REF!</v>
      </c>
      <c r="IK143" t="e">
        <f>AND(NhatkyNhap!#REF!,"AAAAAD33yvQ=")</f>
        <v>#REF!</v>
      </c>
      <c r="IL143" t="e">
        <f>AND(NhatkyNhap!#REF!,"AAAAAD33yvU=")</f>
        <v>#REF!</v>
      </c>
      <c r="IM143" t="e">
        <f>AND(NhatkyNhap!#REF!,"AAAAAD33yvY=")</f>
        <v>#REF!</v>
      </c>
      <c r="IN143" t="e">
        <f>AND(NhatkyNhap!#REF!,"AAAAAD33yvc=")</f>
        <v>#REF!</v>
      </c>
      <c r="IO143" t="e">
        <f>AND(NhatkyNhap!#REF!,"AAAAAD33yvg=")</f>
        <v>#REF!</v>
      </c>
      <c r="IP143" t="e">
        <f>AND(NhatkyNhap!#REF!,"AAAAAD33yvk=")</f>
        <v>#REF!</v>
      </c>
      <c r="IQ143" t="e">
        <f>AND(NhatkyNhap!#REF!,"AAAAAD33yvo=")</f>
        <v>#REF!</v>
      </c>
      <c r="IR143" t="e">
        <f>AND(NhatkyNhap!#REF!,"AAAAAD33yvs=")</f>
        <v>#REF!</v>
      </c>
      <c r="IS143" t="e">
        <f>AND(NhatkyNhap!#REF!,"AAAAAD33yvw=")</f>
        <v>#REF!</v>
      </c>
      <c r="IT143" t="e">
        <f>AND(NhatkyNhap!#REF!,"AAAAAD33yv0=")</f>
        <v>#REF!</v>
      </c>
      <c r="IU143" t="e">
        <f>AND(NhatkyNhap!#REF!,"AAAAAD33yv4=")</f>
        <v>#REF!</v>
      </c>
      <c r="IV143" t="e">
        <f>AND(NhatkyNhap!#REF!,"AAAAAD33yv8=")</f>
        <v>#REF!</v>
      </c>
    </row>
    <row r="144" spans="1:256">
      <c r="A144" t="e">
        <f>AND(NhatkyNhap!#REF!,"AAAAADaf9gA=")</f>
        <v>#REF!</v>
      </c>
      <c r="B144" t="e">
        <f>AND(NhatkyNhap!#REF!,"AAAAADaf9gE=")</f>
        <v>#REF!</v>
      </c>
      <c r="C144" t="e">
        <f>AND(NhatkyNhap!#REF!,"AAAAADaf9gI=")</f>
        <v>#REF!</v>
      </c>
      <c r="D144" t="e">
        <f>AND(NhatkyNhap!#REF!,"AAAAADaf9gM=")</f>
        <v>#REF!</v>
      </c>
      <c r="E144" t="e">
        <f>AND(NhatkyNhap!#REF!,"AAAAADaf9gQ=")</f>
        <v>#REF!</v>
      </c>
      <c r="F144" t="e">
        <f>AND(NhatkyNhap!#REF!,"AAAAADaf9gU=")</f>
        <v>#REF!</v>
      </c>
      <c r="G144" t="e">
        <f>AND(NhatkyNhap!#REF!,"AAAAADaf9gY=")</f>
        <v>#REF!</v>
      </c>
      <c r="H144" t="e">
        <f>AND(NhatkyNhap!#REF!,"AAAAADaf9gc=")</f>
        <v>#REF!</v>
      </c>
      <c r="I144" t="e">
        <f>AND(NhatkyNhap!#REF!,"AAAAADaf9gg=")</f>
        <v>#REF!</v>
      </c>
      <c r="J144" t="e">
        <f>AND(NhatkyNhap!#REF!,"AAAAADaf9gk=")</f>
        <v>#REF!</v>
      </c>
      <c r="K144" t="e">
        <f>AND(NhatkyNhap!#REF!,"AAAAADaf9go=")</f>
        <v>#REF!</v>
      </c>
      <c r="L144" t="e">
        <f>AND(NhatkyNhap!#REF!,"AAAAADaf9gs=")</f>
        <v>#REF!</v>
      </c>
      <c r="M144" t="e">
        <f>AND(NhatkyNhap!#REF!,"AAAAADaf9gw=")</f>
        <v>#REF!</v>
      </c>
      <c r="N144" t="e">
        <f>AND(NhatkyNhap!#REF!,"AAAAADaf9g0=")</f>
        <v>#REF!</v>
      </c>
      <c r="O144" t="e">
        <f>AND(NhatkyNhap!#REF!,"AAAAADaf9g4=")</f>
        <v>#REF!</v>
      </c>
      <c r="P144" t="e">
        <f>AND(NhatkyNhap!#REF!,"AAAAADaf9g8=")</f>
        <v>#REF!</v>
      </c>
      <c r="Q144" t="e">
        <f>AND(NhatkyNhap!#REF!,"AAAAADaf9hA=")</f>
        <v>#REF!</v>
      </c>
      <c r="R144" t="e">
        <f>IF(NhatkyNhap!#REF!,"AAAAADaf9hE=",0)</f>
        <v>#REF!</v>
      </c>
      <c r="S144" t="e">
        <f>AND(NhatkyNhap!#REF!,"AAAAADaf9hI=")</f>
        <v>#REF!</v>
      </c>
      <c r="T144" t="e">
        <f>AND(NhatkyNhap!#REF!,"AAAAADaf9hM=")</f>
        <v>#REF!</v>
      </c>
      <c r="U144" t="e">
        <f>AND(NhatkyNhap!#REF!,"AAAAADaf9hQ=")</f>
        <v>#REF!</v>
      </c>
      <c r="V144" t="e">
        <f>AND(NhatkyNhap!#REF!,"AAAAADaf9hU=")</f>
        <v>#REF!</v>
      </c>
      <c r="W144" t="e">
        <f>AND(NhatkyNhap!#REF!,"AAAAADaf9hY=")</f>
        <v>#REF!</v>
      </c>
      <c r="X144" t="e">
        <f>AND(NhatkyNhap!#REF!,"AAAAADaf9hc=")</f>
        <v>#REF!</v>
      </c>
      <c r="Y144" t="e">
        <f>AND(NhatkyNhap!#REF!,"AAAAADaf9hg=")</f>
        <v>#REF!</v>
      </c>
      <c r="Z144" t="e">
        <f>AND(NhatkyNhap!#REF!,"AAAAADaf9hk=")</f>
        <v>#REF!</v>
      </c>
      <c r="AA144" t="e">
        <f>AND(NhatkyNhap!#REF!,"AAAAADaf9ho=")</f>
        <v>#REF!</v>
      </c>
      <c r="AB144" t="e">
        <f>AND(NhatkyNhap!#REF!,"AAAAADaf9hs=")</f>
        <v>#REF!</v>
      </c>
      <c r="AC144" t="e">
        <f>AND(NhatkyNhap!#REF!,"AAAAADaf9hw=")</f>
        <v>#REF!</v>
      </c>
      <c r="AD144" t="e">
        <f>AND(NhatkyNhap!#REF!,"AAAAADaf9h0=")</f>
        <v>#REF!</v>
      </c>
      <c r="AE144" t="e">
        <f>AND(NhatkyNhap!#REF!,"AAAAADaf9h4=")</f>
        <v>#REF!</v>
      </c>
      <c r="AF144" t="e">
        <f>AND(NhatkyNhap!#REF!,"AAAAADaf9h8=")</f>
        <v>#REF!</v>
      </c>
      <c r="AG144" t="e">
        <f>AND(NhatkyNhap!#REF!,"AAAAADaf9iA=")</f>
        <v>#REF!</v>
      </c>
      <c r="AH144" t="e">
        <f>AND(NhatkyNhap!#REF!,"AAAAADaf9iE=")</f>
        <v>#REF!</v>
      </c>
      <c r="AI144" t="e">
        <f>AND(NhatkyNhap!#REF!,"AAAAADaf9iI=")</f>
        <v>#REF!</v>
      </c>
      <c r="AJ144" t="e">
        <f>AND(NhatkyNhap!#REF!,"AAAAADaf9iM=")</f>
        <v>#REF!</v>
      </c>
      <c r="AK144" t="e">
        <f>AND(NhatkyNhap!#REF!,"AAAAADaf9iQ=")</f>
        <v>#REF!</v>
      </c>
      <c r="AL144" t="e">
        <f>AND(NhatkyNhap!#REF!,"AAAAADaf9iU=")</f>
        <v>#REF!</v>
      </c>
      <c r="AM144" t="e">
        <f>AND(NhatkyNhap!#REF!,"AAAAADaf9iY=")</f>
        <v>#REF!</v>
      </c>
      <c r="AN144" t="e">
        <f>AND(NhatkyNhap!#REF!,"AAAAADaf9ic=")</f>
        <v>#REF!</v>
      </c>
      <c r="AO144" t="e">
        <f>AND(NhatkyNhap!#REF!,"AAAAADaf9ig=")</f>
        <v>#REF!</v>
      </c>
      <c r="AP144" t="e">
        <f>AND(NhatkyNhap!#REF!,"AAAAADaf9ik=")</f>
        <v>#REF!</v>
      </c>
      <c r="AQ144" t="e">
        <f>AND(NhatkyNhap!#REF!,"AAAAADaf9io=")</f>
        <v>#REF!</v>
      </c>
      <c r="AR144" t="e">
        <f>AND(NhatkyNhap!#REF!,"AAAAADaf9is=")</f>
        <v>#REF!</v>
      </c>
      <c r="AS144" t="e">
        <f>AND(NhatkyNhap!#REF!,"AAAAADaf9iw=")</f>
        <v>#REF!</v>
      </c>
      <c r="AT144" t="e">
        <f>AND(NhatkyNhap!#REF!,"AAAAADaf9i0=")</f>
        <v>#REF!</v>
      </c>
      <c r="AU144" t="e">
        <f>AND(NhatkyNhap!#REF!,"AAAAADaf9i4=")</f>
        <v>#REF!</v>
      </c>
      <c r="AV144" t="e">
        <f>AND(NhatkyNhap!#REF!,"AAAAADaf9i8=")</f>
        <v>#REF!</v>
      </c>
      <c r="AW144" t="e">
        <f>AND(NhatkyNhap!#REF!,"AAAAADaf9jA=")</f>
        <v>#REF!</v>
      </c>
      <c r="AX144" t="e">
        <f>AND(NhatkyNhap!#REF!,"AAAAADaf9jE=")</f>
        <v>#REF!</v>
      </c>
      <c r="AY144" t="e">
        <f>AND(NhatkyNhap!#REF!,"AAAAADaf9jI=")</f>
        <v>#REF!</v>
      </c>
      <c r="AZ144" t="e">
        <f>AND(NhatkyNhap!#REF!,"AAAAADaf9jM=")</f>
        <v>#REF!</v>
      </c>
      <c r="BA144" t="e">
        <f>IF(NhatkyNhap!#REF!,"AAAAADaf9jQ=",0)</f>
        <v>#REF!</v>
      </c>
      <c r="BB144" t="e">
        <f>AND(NhatkyNhap!#REF!,"AAAAADaf9jU=")</f>
        <v>#REF!</v>
      </c>
      <c r="BC144" t="e">
        <f>AND(NhatkyNhap!#REF!,"AAAAADaf9jY=")</f>
        <v>#REF!</v>
      </c>
      <c r="BD144" t="e">
        <f>AND(NhatkyNhap!#REF!,"AAAAADaf9jc=")</f>
        <v>#REF!</v>
      </c>
      <c r="BE144" t="e">
        <f>AND(NhatkyNhap!#REF!,"AAAAADaf9jg=")</f>
        <v>#REF!</v>
      </c>
      <c r="BF144" t="e">
        <f>AND(NhatkyNhap!#REF!,"AAAAADaf9jk=")</f>
        <v>#REF!</v>
      </c>
      <c r="BG144" t="e">
        <f>AND(NhatkyNhap!#REF!,"AAAAADaf9jo=")</f>
        <v>#REF!</v>
      </c>
      <c r="BH144" t="e">
        <f>AND(NhatkyNhap!#REF!,"AAAAADaf9js=")</f>
        <v>#REF!</v>
      </c>
      <c r="BI144" t="e">
        <f>AND(NhatkyNhap!#REF!,"AAAAADaf9jw=")</f>
        <v>#REF!</v>
      </c>
      <c r="BJ144" t="e">
        <f>AND(NhatkyNhap!#REF!,"AAAAADaf9j0=")</f>
        <v>#REF!</v>
      </c>
      <c r="BK144" t="e">
        <f>AND(NhatkyNhap!#REF!,"AAAAADaf9j4=")</f>
        <v>#REF!</v>
      </c>
      <c r="BL144" t="e">
        <f>AND(NhatkyNhap!#REF!,"AAAAADaf9j8=")</f>
        <v>#REF!</v>
      </c>
      <c r="BM144" t="e">
        <f>AND(NhatkyNhap!#REF!,"AAAAADaf9kA=")</f>
        <v>#REF!</v>
      </c>
      <c r="BN144" t="e">
        <f>AND(NhatkyNhap!#REF!,"AAAAADaf9kE=")</f>
        <v>#REF!</v>
      </c>
      <c r="BO144" t="e">
        <f>AND(NhatkyNhap!#REF!,"AAAAADaf9kI=")</f>
        <v>#REF!</v>
      </c>
      <c r="BP144" t="e">
        <f>AND(NhatkyNhap!#REF!,"AAAAADaf9kM=")</f>
        <v>#REF!</v>
      </c>
      <c r="BQ144" t="e">
        <f>AND(NhatkyNhap!#REF!,"AAAAADaf9kQ=")</f>
        <v>#REF!</v>
      </c>
      <c r="BR144" t="e">
        <f>AND(NhatkyNhap!#REF!,"AAAAADaf9kU=")</f>
        <v>#REF!</v>
      </c>
      <c r="BS144" t="e">
        <f>AND(NhatkyNhap!#REF!,"AAAAADaf9kY=")</f>
        <v>#REF!</v>
      </c>
      <c r="BT144" t="e">
        <f>AND(NhatkyNhap!#REF!,"AAAAADaf9kc=")</f>
        <v>#REF!</v>
      </c>
      <c r="BU144" t="e">
        <f>AND(NhatkyNhap!#REF!,"AAAAADaf9kg=")</f>
        <v>#REF!</v>
      </c>
      <c r="BV144" t="e">
        <f>AND(NhatkyNhap!#REF!,"AAAAADaf9kk=")</f>
        <v>#REF!</v>
      </c>
      <c r="BW144" t="e">
        <f>AND(NhatkyNhap!#REF!,"AAAAADaf9ko=")</f>
        <v>#REF!</v>
      </c>
      <c r="BX144" t="e">
        <f>AND(NhatkyNhap!#REF!,"AAAAADaf9ks=")</f>
        <v>#REF!</v>
      </c>
      <c r="BY144" t="e">
        <f>AND(NhatkyNhap!#REF!,"AAAAADaf9kw=")</f>
        <v>#REF!</v>
      </c>
      <c r="BZ144" t="e">
        <f>AND(NhatkyNhap!#REF!,"AAAAADaf9k0=")</f>
        <v>#REF!</v>
      </c>
      <c r="CA144" t="e">
        <f>AND(NhatkyNhap!#REF!,"AAAAADaf9k4=")</f>
        <v>#REF!</v>
      </c>
      <c r="CB144" t="e">
        <f>AND(NhatkyNhap!#REF!,"AAAAADaf9k8=")</f>
        <v>#REF!</v>
      </c>
      <c r="CC144" t="e">
        <f>AND(NhatkyNhap!#REF!,"AAAAADaf9lA=")</f>
        <v>#REF!</v>
      </c>
      <c r="CD144" t="e">
        <f>AND(NhatkyNhap!#REF!,"AAAAADaf9lE=")</f>
        <v>#REF!</v>
      </c>
      <c r="CE144" t="e">
        <f>AND(NhatkyNhap!#REF!,"AAAAADaf9lI=")</f>
        <v>#REF!</v>
      </c>
      <c r="CF144" t="e">
        <f>AND(NhatkyNhap!#REF!,"AAAAADaf9lM=")</f>
        <v>#REF!</v>
      </c>
      <c r="CG144" t="e">
        <f>AND(NhatkyNhap!#REF!,"AAAAADaf9lQ=")</f>
        <v>#REF!</v>
      </c>
      <c r="CH144" t="e">
        <f>AND(NhatkyNhap!#REF!,"AAAAADaf9lU=")</f>
        <v>#REF!</v>
      </c>
      <c r="CI144" t="e">
        <f>AND(NhatkyNhap!#REF!,"AAAAADaf9lY=")</f>
        <v>#REF!</v>
      </c>
      <c r="CJ144" t="e">
        <f>IF(NhatkyNhap!#REF!,"AAAAADaf9lc=",0)</f>
        <v>#REF!</v>
      </c>
      <c r="CK144" t="e">
        <f>AND(NhatkyNhap!#REF!,"AAAAADaf9lg=")</f>
        <v>#REF!</v>
      </c>
      <c r="CL144" t="e">
        <f>AND(NhatkyNhap!#REF!,"AAAAADaf9lk=")</f>
        <v>#REF!</v>
      </c>
      <c r="CM144" t="e">
        <f>AND(NhatkyNhap!#REF!,"AAAAADaf9lo=")</f>
        <v>#REF!</v>
      </c>
      <c r="CN144" t="e">
        <f>AND(NhatkyNhap!#REF!,"AAAAADaf9ls=")</f>
        <v>#REF!</v>
      </c>
      <c r="CO144" t="e">
        <f>AND(NhatkyNhap!#REF!,"AAAAADaf9lw=")</f>
        <v>#REF!</v>
      </c>
      <c r="CP144" t="e">
        <f>AND(NhatkyNhap!#REF!,"AAAAADaf9l0=")</f>
        <v>#REF!</v>
      </c>
      <c r="CQ144" t="e">
        <f>AND(NhatkyNhap!#REF!,"AAAAADaf9l4=")</f>
        <v>#REF!</v>
      </c>
      <c r="CR144" t="e">
        <f>AND(NhatkyNhap!#REF!,"AAAAADaf9l8=")</f>
        <v>#REF!</v>
      </c>
      <c r="CS144" t="e">
        <f>AND(NhatkyNhap!#REF!,"AAAAADaf9mA=")</f>
        <v>#REF!</v>
      </c>
      <c r="CT144" t="e">
        <f>AND(NhatkyNhap!#REF!,"AAAAADaf9mE=")</f>
        <v>#REF!</v>
      </c>
      <c r="CU144" t="e">
        <f>AND(NhatkyNhap!#REF!,"AAAAADaf9mI=")</f>
        <v>#REF!</v>
      </c>
      <c r="CV144" t="e">
        <f>AND(NhatkyNhap!#REF!,"AAAAADaf9mM=")</f>
        <v>#REF!</v>
      </c>
      <c r="CW144" t="e">
        <f>AND(NhatkyNhap!#REF!,"AAAAADaf9mQ=")</f>
        <v>#REF!</v>
      </c>
      <c r="CX144" t="e">
        <f>AND(NhatkyNhap!#REF!,"AAAAADaf9mU=")</f>
        <v>#REF!</v>
      </c>
      <c r="CY144" t="e">
        <f>AND(NhatkyNhap!#REF!,"AAAAADaf9mY=")</f>
        <v>#REF!</v>
      </c>
      <c r="CZ144" t="e">
        <f>AND(NhatkyNhap!#REF!,"AAAAADaf9mc=")</f>
        <v>#REF!</v>
      </c>
      <c r="DA144" t="e">
        <f>AND(NhatkyNhap!#REF!,"AAAAADaf9mg=")</f>
        <v>#REF!</v>
      </c>
      <c r="DB144" t="e">
        <f>AND(NhatkyNhap!#REF!,"AAAAADaf9mk=")</f>
        <v>#REF!</v>
      </c>
      <c r="DC144" t="e">
        <f>AND(NhatkyNhap!#REF!,"AAAAADaf9mo=")</f>
        <v>#REF!</v>
      </c>
      <c r="DD144" t="e">
        <f>AND(NhatkyNhap!#REF!,"AAAAADaf9ms=")</f>
        <v>#REF!</v>
      </c>
      <c r="DE144" t="e">
        <f>AND(NhatkyNhap!#REF!,"AAAAADaf9mw=")</f>
        <v>#REF!</v>
      </c>
      <c r="DF144" t="e">
        <f>AND(NhatkyNhap!#REF!,"AAAAADaf9m0=")</f>
        <v>#REF!</v>
      </c>
      <c r="DG144" t="e">
        <f>AND(NhatkyNhap!#REF!,"AAAAADaf9m4=")</f>
        <v>#REF!</v>
      </c>
      <c r="DH144" t="e">
        <f>AND(NhatkyNhap!#REF!,"AAAAADaf9m8=")</f>
        <v>#REF!</v>
      </c>
      <c r="DI144" t="e">
        <f>AND(NhatkyNhap!#REF!,"AAAAADaf9nA=")</f>
        <v>#REF!</v>
      </c>
      <c r="DJ144" t="e">
        <f>AND(NhatkyNhap!#REF!,"AAAAADaf9nE=")</f>
        <v>#REF!</v>
      </c>
      <c r="DK144" t="e">
        <f>AND(NhatkyNhap!#REF!,"AAAAADaf9nI=")</f>
        <v>#REF!</v>
      </c>
      <c r="DL144" t="e">
        <f>AND(NhatkyNhap!#REF!,"AAAAADaf9nM=")</f>
        <v>#REF!</v>
      </c>
      <c r="DM144" t="e">
        <f>AND(NhatkyNhap!#REF!,"AAAAADaf9nQ=")</f>
        <v>#REF!</v>
      </c>
      <c r="DN144" t="e">
        <f>AND(NhatkyNhap!#REF!,"AAAAADaf9nU=")</f>
        <v>#REF!</v>
      </c>
      <c r="DO144" t="e">
        <f>AND(NhatkyNhap!#REF!,"AAAAADaf9nY=")</f>
        <v>#REF!</v>
      </c>
      <c r="DP144" t="e">
        <f>AND(NhatkyNhap!#REF!,"AAAAADaf9nc=")</f>
        <v>#REF!</v>
      </c>
      <c r="DQ144" t="e">
        <f>AND(NhatkyNhap!#REF!,"AAAAADaf9ng=")</f>
        <v>#REF!</v>
      </c>
      <c r="DR144" t="e">
        <f>AND(NhatkyNhap!#REF!,"AAAAADaf9nk=")</f>
        <v>#REF!</v>
      </c>
      <c r="DS144" t="e">
        <f>IF(NhatkyNhap!#REF!,"AAAAADaf9no=",0)</f>
        <v>#REF!</v>
      </c>
      <c r="DT144" t="e">
        <f>AND(NhatkyNhap!#REF!,"AAAAADaf9ns=")</f>
        <v>#REF!</v>
      </c>
      <c r="DU144" t="e">
        <f>AND(NhatkyNhap!#REF!,"AAAAADaf9nw=")</f>
        <v>#REF!</v>
      </c>
      <c r="DV144" t="e">
        <f>AND(NhatkyNhap!#REF!,"AAAAADaf9n0=")</f>
        <v>#REF!</v>
      </c>
      <c r="DW144" t="e">
        <f>AND(NhatkyNhap!#REF!,"AAAAADaf9n4=")</f>
        <v>#REF!</v>
      </c>
      <c r="DX144" t="e">
        <f>AND(NhatkyNhap!#REF!,"AAAAADaf9n8=")</f>
        <v>#REF!</v>
      </c>
      <c r="DY144" t="e">
        <f>AND(NhatkyNhap!#REF!,"AAAAADaf9oA=")</f>
        <v>#REF!</v>
      </c>
      <c r="DZ144" t="e">
        <f>AND(NhatkyNhap!#REF!,"AAAAADaf9oE=")</f>
        <v>#REF!</v>
      </c>
      <c r="EA144" t="e">
        <f>AND(NhatkyNhap!#REF!,"AAAAADaf9oI=")</f>
        <v>#REF!</v>
      </c>
      <c r="EB144" t="e">
        <f>AND(NhatkyNhap!#REF!,"AAAAADaf9oM=")</f>
        <v>#REF!</v>
      </c>
      <c r="EC144" t="e">
        <f>AND(NhatkyNhap!#REF!,"AAAAADaf9oQ=")</f>
        <v>#REF!</v>
      </c>
      <c r="ED144" t="e">
        <f>AND(NhatkyNhap!#REF!,"AAAAADaf9oU=")</f>
        <v>#REF!</v>
      </c>
      <c r="EE144" t="e">
        <f>AND(NhatkyNhap!#REF!,"AAAAADaf9oY=")</f>
        <v>#REF!</v>
      </c>
      <c r="EF144" t="e">
        <f>AND(NhatkyNhap!#REF!,"AAAAADaf9oc=")</f>
        <v>#REF!</v>
      </c>
      <c r="EG144" t="e">
        <f>AND(NhatkyNhap!#REF!,"AAAAADaf9og=")</f>
        <v>#REF!</v>
      </c>
      <c r="EH144" t="e">
        <f>AND(NhatkyNhap!#REF!,"AAAAADaf9ok=")</f>
        <v>#REF!</v>
      </c>
      <c r="EI144" t="e">
        <f>AND(NhatkyNhap!#REF!,"AAAAADaf9oo=")</f>
        <v>#REF!</v>
      </c>
      <c r="EJ144" t="e">
        <f>AND(NhatkyNhap!#REF!,"AAAAADaf9os=")</f>
        <v>#REF!</v>
      </c>
      <c r="EK144" t="e">
        <f>AND(NhatkyNhap!#REF!,"AAAAADaf9ow=")</f>
        <v>#REF!</v>
      </c>
      <c r="EL144" t="e">
        <f>AND(NhatkyNhap!#REF!,"AAAAADaf9o0=")</f>
        <v>#REF!</v>
      </c>
      <c r="EM144" t="e">
        <f>AND(NhatkyNhap!#REF!,"AAAAADaf9o4=")</f>
        <v>#REF!</v>
      </c>
      <c r="EN144" t="e">
        <f>AND(NhatkyNhap!#REF!,"AAAAADaf9o8=")</f>
        <v>#REF!</v>
      </c>
      <c r="EO144" t="e">
        <f>AND(NhatkyNhap!#REF!,"AAAAADaf9pA=")</f>
        <v>#REF!</v>
      </c>
      <c r="EP144" t="e">
        <f>AND(NhatkyNhap!#REF!,"AAAAADaf9pE=")</f>
        <v>#REF!</v>
      </c>
      <c r="EQ144" t="e">
        <f>AND(NhatkyNhap!#REF!,"AAAAADaf9pI=")</f>
        <v>#REF!</v>
      </c>
      <c r="ER144" t="e">
        <f>AND(NhatkyNhap!#REF!,"AAAAADaf9pM=")</f>
        <v>#REF!</v>
      </c>
      <c r="ES144" t="e">
        <f>AND(NhatkyNhap!#REF!,"AAAAADaf9pQ=")</f>
        <v>#REF!</v>
      </c>
      <c r="ET144" t="e">
        <f>AND(NhatkyNhap!#REF!,"AAAAADaf9pU=")</f>
        <v>#REF!</v>
      </c>
      <c r="EU144" t="e">
        <f>AND(NhatkyNhap!#REF!,"AAAAADaf9pY=")</f>
        <v>#REF!</v>
      </c>
      <c r="EV144" t="e">
        <f>AND(NhatkyNhap!#REF!,"AAAAADaf9pc=")</f>
        <v>#REF!</v>
      </c>
      <c r="EW144" t="e">
        <f>AND(NhatkyNhap!#REF!,"AAAAADaf9pg=")</f>
        <v>#REF!</v>
      </c>
      <c r="EX144" t="e">
        <f>AND(NhatkyNhap!#REF!,"AAAAADaf9pk=")</f>
        <v>#REF!</v>
      </c>
      <c r="EY144" t="e">
        <f>AND(NhatkyNhap!#REF!,"AAAAADaf9po=")</f>
        <v>#REF!</v>
      </c>
      <c r="EZ144" t="e">
        <f>AND(NhatkyNhap!#REF!,"AAAAADaf9ps=")</f>
        <v>#REF!</v>
      </c>
      <c r="FA144" t="e">
        <f>AND(NhatkyNhap!#REF!,"AAAAADaf9pw=")</f>
        <v>#REF!</v>
      </c>
      <c r="FB144" t="e">
        <f>IF(NhatkyNhap!#REF!,"AAAAADaf9p0=",0)</f>
        <v>#REF!</v>
      </c>
      <c r="FC144" t="e">
        <f>AND(NhatkyNhap!#REF!,"AAAAADaf9p4=")</f>
        <v>#REF!</v>
      </c>
      <c r="FD144" t="e">
        <f>AND(NhatkyNhap!#REF!,"AAAAADaf9p8=")</f>
        <v>#REF!</v>
      </c>
      <c r="FE144" t="e">
        <f>AND(NhatkyNhap!#REF!,"AAAAADaf9qA=")</f>
        <v>#REF!</v>
      </c>
      <c r="FF144" t="e">
        <f>AND(NhatkyNhap!#REF!,"AAAAADaf9qE=")</f>
        <v>#REF!</v>
      </c>
      <c r="FG144" t="e">
        <f>AND(NhatkyNhap!#REF!,"AAAAADaf9qI=")</f>
        <v>#REF!</v>
      </c>
      <c r="FH144" t="e">
        <f>AND(NhatkyNhap!#REF!,"AAAAADaf9qM=")</f>
        <v>#REF!</v>
      </c>
      <c r="FI144" t="e">
        <f>AND(NhatkyNhap!#REF!,"AAAAADaf9qQ=")</f>
        <v>#REF!</v>
      </c>
      <c r="FJ144" t="e">
        <f>AND(NhatkyNhap!#REF!,"AAAAADaf9qU=")</f>
        <v>#REF!</v>
      </c>
      <c r="FK144" t="e">
        <f>AND(NhatkyNhap!#REF!,"AAAAADaf9qY=")</f>
        <v>#REF!</v>
      </c>
      <c r="FL144" t="e">
        <f>AND(NhatkyNhap!#REF!,"AAAAADaf9qc=")</f>
        <v>#REF!</v>
      </c>
      <c r="FM144" t="e">
        <f>AND(NhatkyNhap!#REF!,"AAAAADaf9qg=")</f>
        <v>#REF!</v>
      </c>
      <c r="FN144" t="e">
        <f>AND(NhatkyNhap!#REF!,"AAAAADaf9qk=")</f>
        <v>#REF!</v>
      </c>
      <c r="FO144" t="e">
        <f>AND(NhatkyNhap!#REF!,"AAAAADaf9qo=")</f>
        <v>#REF!</v>
      </c>
      <c r="FP144" t="e">
        <f>AND(NhatkyNhap!#REF!,"AAAAADaf9qs=")</f>
        <v>#REF!</v>
      </c>
      <c r="FQ144" t="e">
        <f>AND(NhatkyNhap!#REF!,"AAAAADaf9qw=")</f>
        <v>#REF!</v>
      </c>
      <c r="FR144" t="e">
        <f>AND(NhatkyNhap!#REF!,"AAAAADaf9q0=")</f>
        <v>#REF!</v>
      </c>
      <c r="FS144" t="e">
        <f>AND(NhatkyNhap!#REF!,"AAAAADaf9q4=")</f>
        <v>#REF!</v>
      </c>
      <c r="FT144" t="e">
        <f>AND(NhatkyNhap!#REF!,"AAAAADaf9q8=")</f>
        <v>#REF!</v>
      </c>
      <c r="FU144" t="e">
        <f>AND(NhatkyNhap!#REF!,"AAAAADaf9rA=")</f>
        <v>#REF!</v>
      </c>
      <c r="FV144" t="e">
        <f>AND(NhatkyNhap!#REF!,"AAAAADaf9rE=")</f>
        <v>#REF!</v>
      </c>
      <c r="FW144" t="e">
        <f>AND(NhatkyNhap!#REF!,"AAAAADaf9rI=")</f>
        <v>#REF!</v>
      </c>
      <c r="FX144" t="e">
        <f>AND(NhatkyNhap!#REF!,"AAAAADaf9rM=")</f>
        <v>#REF!</v>
      </c>
      <c r="FY144" t="e">
        <f>AND(NhatkyNhap!#REF!,"AAAAADaf9rQ=")</f>
        <v>#REF!</v>
      </c>
      <c r="FZ144" t="e">
        <f>AND(NhatkyNhap!#REF!,"AAAAADaf9rU=")</f>
        <v>#REF!</v>
      </c>
      <c r="GA144" t="e">
        <f>AND(NhatkyNhap!#REF!,"AAAAADaf9rY=")</f>
        <v>#REF!</v>
      </c>
      <c r="GB144" t="e">
        <f>AND(NhatkyNhap!#REF!,"AAAAADaf9rc=")</f>
        <v>#REF!</v>
      </c>
      <c r="GC144" t="e">
        <f>AND(NhatkyNhap!#REF!,"AAAAADaf9rg=")</f>
        <v>#REF!</v>
      </c>
      <c r="GD144" t="e">
        <f>AND(NhatkyNhap!#REF!,"AAAAADaf9rk=")</f>
        <v>#REF!</v>
      </c>
      <c r="GE144" t="e">
        <f>AND(NhatkyNhap!#REF!,"AAAAADaf9ro=")</f>
        <v>#REF!</v>
      </c>
      <c r="GF144" t="e">
        <f>AND(NhatkyNhap!#REF!,"AAAAADaf9rs=")</f>
        <v>#REF!</v>
      </c>
      <c r="GG144" t="e">
        <f>AND(NhatkyNhap!#REF!,"AAAAADaf9rw=")</f>
        <v>#REF!</v>
      </c>
      <c r="GH144" t="e">
        <f>AND(NhatkyNhap!#REF!,"AAAAADaf9r0=")</f>
        <v>#REF!</v>
      </c>
      <c r="GI144" t="e">
        <f>AND(NhatkyNhap!#REF!,"AAAAADaf9r4=")</f>
        <v>#REF!</v>
      </c>
      <c r="GJ144" t="e">
        <f>AND(NhatkyNhap!#REF!,"AAAAADaf9r8=")</f>
        <v>#REF!</v>
      </c>
      <c r="GK144" t="e">
        <f>IF(NhatkyNhap!#REF!,"AAAAADaf9sA=",0)</f>
        <v>#REF!</v>
      </c>
      <c r="GL144" t="e">
        <f>AND(NhatkyNhap!#REF!,"AAAAADaf9sE=")</f>
        <v>#REF!</v>
      </c>
      <c r="GM144" t="e">
        <f>AND(NhatkyNhap!#REF!,"AAAAADaf9sI=")</f>
        <v>#REF!</v>
      </c>
      <c r="GN144" t="e">
        <f>AND(NhatkyNhap!#REF!,"AAAAADaf9sM=")</f>
        <v>#REF!</v>
      </c>
      <c r="GO144" t="e">
        <f>AND(NhatkyNhap!#REF!,"AAAAADaf9sQ=")</f>
        <v>#REF!</v>
      </c>
      <c r="GP144" t="e">
        <f>AND(NhatkyNhap!#REF!,"AAAAADaf9sU=")</f>
        <v>#REF!</v>
      </c>
      <c r="GQ144" t="e">
        <f>AND(NhatkyNhap!#REF!,"AAAAADaf9sY=")</f>
        <v>#REF!</v>
      </c>
      <c r="GR144" t="e">
        <f>AND(NhatkyNhap!#REF!,"AAAAADaf9sc=")</f>
        <v>#REF!</v>
      </c>
      <c r="GS144" t="e">
        <f>AND(NhatkyNhap!#REF!,"AAAAADaf9sg=")</f>
        <v>#REF!</v>
      </c>
      <c r="GT144" t="e">
        <f>AND(NhatkyNhap!#REF!,"AAAAADaf9sk=")</f>
        <v>#REF!</v>
      </c>
      <c r="GU144" t="e">
        <f>AND(NhatkyNhap!#REF!,"AAAAADaf9so=")</f>
        <v>#REF!</v>
      </c>
      <c r="GV144" t="e">
        <f>AND(NhatkyNhap!#REF!,"AAAAADaf9ss=")</f>
        <v>#REF!</v>
      </c>
      <c r="GW144" t="e">
        <f>AND(NhatkyNhap!#REF!,"AAAAADaf9sw=")</f>
        <v>#REF!</v>
      </c>
      <c r="GX144" t="e">
        <f>AND(NhatkyNhap!#REF!,"AAAAADaf9s0=")</f>
        <v>#REF!</v>
      </c>
      <c r="GY144" t="e">
        <f>AND(NhatkyNhap!#REF!,"AAAAADaf9s4=")</f>
        <v>#REF!</v>
      </c>
      <c r="GZ144" t="e">
        <f>AND(NhatkyNhap!#REF!,"AAAAADaf9s8=")</f>
        <v>#REF!</v>
      </c>
      <c r="HA144" t="e">
        <f>AND(NhatkyNhap!#REF!,"AAAAADaf9tA=")</f>
        <v>#REF!</v>
      </c>
      <c r="HB144" t="e">
        <f>AND(NhatkyNhap!#REF!,"AAAAADaf9tE=")</f>
        <v>#REF!</v>
      </c>
      <c r="HC144" t="e">
        <f>AND(NhatkyNhap!#REF!,"AAAAADaf9tI=")</f>
        <v>#REF!</v>
      </c>
      <c r="HD144" t="e">
        <f>AND(NhatkyNhap!#REF!,"AAAAADaf9tM=")</f>
        <v>#REF!</v>
      </c>
      <c r="HE144" t="e">
        <f>AND(NhatkyNhap!#REF!,"AAAAADaf9tQ=")</f>
        <v>#REF!</v>
      </c>
      <c r="HF144" t="e">
        <f>AND(NhatkyNhap!#REF!,"AAAAADaf9tU=")</f>
        <v>#REF!</v>
      </c>
      <c r="HG144" t="e">
        <f>AND(NhatkyNhap!#REF!,"AAAAADaf9tY=")</f>
        <v>#REF!</v>
      </c>
      <c r="HH144" t="e">
        <f>AND(NhatkyNhap!#REF!,"AAAAADaf9tc=")</f>
        <v>#REF!</v>
      </c>
      <c r="HI144" t="e">
        <f>AND(NhatkyNhap!#REF!,"AAAAADaf9tg=")</f>
        <v>#REF!</v>
      </c>
      <c r="HJ144" t="e">
        <f>AND(NhatkyNhap!#REF!,"AAAAADaf9tk=")</f>
        <v>#REF!</v>
      </c>
      <c r="HK144" t="e">
        <f>AND(NhatkyNhap!#REF!,"AAAAADaf9to=")</f>
        <v>#REF!</v>
      </c>
      <c r="HL144" t="e">
        <f>AND(NhatkyNhap!#REF!,"AAAAADaf9ts=")</f>
        <v>#REF!</v>
      </c>
      <c r="HM144" t="e">
        <f>AND(NhatkyNhap!#REF!,"AAAAADaf9tw=")</f>
        <v>#REF!</v>
      </c>
      <c r="HN144" t="e">
        <f>AND(NhatkyNhap!#REF!,"AAAAADaf9t0=")</f>
        <v>#REF!</v>
      </c>
      <c r="HO144" t="e">
        <f>AND(NhatkyNhap!#REF!,"AAAAADaf9t4=")</f>
        <v>#REF!</v>
      </c>
      <c r="HP144" t="e">
        <f>AND(NhatkyNhap!#REF!,"AAAAADaf9t8=")</f>
        <v>#REF!</v>
      </c>
      <c r="HQ144" t="e">
        <f>AND(NhatkyNhap!#REF!,"AAAAADaf9uA=")</f>
        <v>#REF!</v>
      </c>
      <c r="HR144" t="e">
        <f>AND(NhatkyNhap!#REF!,"AAAAADaf9uE=")</f>
        <v>#REF!</v>
      </c>
      <c r="HS144" t="e">
        <f>AND(NhatkyNhap!#REF!,"AAAAADaf9uI=")</f>
        <v>#REF!</v>
      </c>
      <c r="HT144" t="e">
        <f>IF(NhatkyNhap!#REF!,"AAAAADaf9uM=",0)</f>
        <v>#REF!</v>
      </c>
      <c r="HU144" t="e">
        <f>AND(NhatkyNhap!#REF!,"AAAAADaf9uQ=")</f>
        <v>#REF!</v>
      </c>
      <c r="HV144" t="e">
        <f>AND(NhatkyNhap!#REF!,"AAAAADaf9uU=")</f>
        <v>#REF!</v>
      </c>
      <c r="HW144" t="e">
        <f>AND(NhatkyNhap!#REF!,"AAAAADaf9uY=")</f>
        <v>#REF!</v>
      </c>
      <c r="HX144" t="e">
        <f>AND(NhatkyNhap!#REF!,"AAAAADaf9uc=")</f>
        <v>#REF!</v>
      </c>
      <c r="HY144" t="e">
        <f>AND(NhatkyNhap!#REF!,"AAAAADaf9ug=")</f>
        <v>#REF!</v>
      </c>
      <c r="HZ144" t="e">
        <f>AND(NhatkyNhap!#REF!,"AAAAADaf9uk=")</f>
        <v>#REF!</v>
      </c>
      <c r="IA144" t="e">
        <f>AND(NhatkyNhap!#REF!,"AAAAADaf9uo=")</f>
        <v>#REF!</v>
      </c>
      <c r="IB144" t="e">
        <f>AND(NhatkyNhap!#REF!,"AAAAADaf9us=")</f>
        <v>#REF!</v>
      </c>
      <c r="IC144" t="e">
        <f>AND(NhatkyNhap!#REF!,"AAAAADaf9uw=")</f>
        <v>#REF!</v>
      </c>
      <c r="ID144" t="e">
        <f>AND(NhatkyNhap!#REF!,"AAAAADaf9u0=")</f>
        <v>#REF!</v>
      </c>
      <c r="IE144" t="e">
        <f>AND(NhatkyNhap!#REF!,"AAAAADaf9u4=")</f>
        <v>#REF!</v>
      </c>
      <c r="IF144" t="e">
        <f>AND(NhatkyNhap!#REF!,"AAAAADaf9u8=")</f>
        <v>#REF!</v>
      </c>
      <c r="IG144" t="e">
        <f>AND(NhatkyNhap!#REF!,"AAAAADaf9vA=")</f>
        <v>#REF!</v>
      </c>
      <c r="IH144" t="e">
        <f>AND(NhatkyNhap!#REF!,"AAAAADaf9vE=")</f>
        <v>#REF!</v>
      </c>
      <c r="II144" t="e">
        <f>AND(NhatkyNhap!#REF!,"AAAAADaf9vI=")</f>
        <v>#REF!</v>
      </c>
      <c r="IJ144" t="e">
        <f>AND(NhatkyNhap!#REF!,"AAAAADaf9vM=")</f>
        <v>#REF!</v>
      </c>
      <c r="IK144" t="e">
        <f>AND(NhatkyNhap!#REF!,"AAAAADaf9vQ=")</f>
        <v>#REF!</v>
      </c>
      <c r="IL144" t="e">
        <f>AND(NhatkyNhap!#REF!,"AAAAADaf9vU=")</f>
        <v>#REF!</v>
      </c>
      <c r="IM144" t="e">
        <f>AND(NhatkyNhap!#REF!,"AAAAADaf9vY=")</f>
        <v>#REF!</v>
      </c>
      <c r="IN144" t="e">
        <f>AND(NhatkyNhap!#REF!,"AAAAADaf9vc=")</f>
        <v>#REF!</v>
      </c>
      <c r="IO144" t="e">
        <f>AND(NhatkyNhap!#REF!,"AAAAADaf9vg=")</f>
        <v>#REF!</v>
      </c>
      <c r="IP144" t="e">
        <f>AND(NhatkyNhap!#REF!,"AAAAADaf9vk=")</f>
        <v>#REF!</v>
      </c>
      <c r="IQ144" t="e">
        <f>AND(NhatkyNhap!#REF!,"AAAAADaf9vo=")</f>
        <v>#REF!</v>
      </c>
      <c r="IR144" t="e">
        <f>AND(NhatkyNhap!#REF!,"AAAAADaf9vs=")</f>
        <v>#REF!</v>
      </c>
      <c r="IS144" t="e">
        <f>AND(NhatkyNhap!#REF!,"AAAAADaf9vw=")</f>
        <v>#REF!</v>
      </c>
      <c r="IT144" t="e">
        <f>AND(NhatkyNhap!#REF!,"AAAAADaf9v0=")</f>
        <v>#REF!</v>
      </c>
      <c r="IU144" t="e">
        <f>AND(NhatkyNhap!#REF!,"AAAAADaf9v4=")</f>
        <v>#REF!</v>
      </c>
      <c r="IV144" t="e">
        <f>AND(NhatkyNhap!#REF!,"AAAAADaf9v8=")</f>
        <v>#REF!</v>
      </c>
    </row>
    <row r="145" spans="1:256">
      <c r="A145" t="e">
        <f>AND(NhatkyNhap!#REF!,"AAAAAFf1+gA=")</f>
        <v>#REF!</v>
      </c>
      <c r="B145" t="e">
        <f>AND(NhatkyNhap!#REF!,"AAAAAFf1+gE=")</f>
        <v>#REF!</v>
      </c>
      <c r="C145" t="e">
        <f>AND(NhatkyNhap!#REF!,"AAAAAFf1+gI=")</f>
        <v>#REF!</v>
      </c>
      <c r="D145" t="e">
        <f>AND(NhatkyNhap!#REF!,"AAAAAFf1+gM=")</f>
        <v>#REF!</v>
      </c>
      <c r="E145" t="e">
        <f>AND(NhatkyNhap!#REF!,"AAAAAFf1+gQ=")</f>
        <v>#REF!</v>
      </c>
      <c r="F145" t="e">
        <f>AND(NhatkyNhap!#REF!,"AAAAAFf1+gU=")</f>
        <v>#REF!</v>
      </c>
      <c r="G145" t="e">
        <f>IF(NhatkyNhap!#REF!,"AAAAAFf1+gY=",0)</f>
        <v>#REF!</v>
      </c>
      <c r="H145" t="e">
        <f>AND(NhatkyNhap!#REF!,"AAAAAFf1+gc=")</f>
        <v>#REF!</v>
      </c>
      <c r="I145" t="e">
        <f>AND(NhatkyNhap!#REF!,"AAAAAFf1+gg=")</f>
        <v>#REF!</v>
      </c>
      <c r="J145" t="e">
        <f>AND(NhatkyNhap!#REF!,"AAAAAFf1+gk=")</f>
        <v>#REF!</v>
      </c>
      <c r="K145" t="e">
        <f>AND(NhatkyNhap!#REF!,"AAAAAFf1+go=")</f>
        <v>#REF!</v>
      </c>
      <c r="L145" t="e">
        <f>AND(NhatkyNhap!#REF!,"AAAAAFf1+gs=")</f>
        <v>#REF!</v>
      </c>
      <c r="M145" t="e">
        <f>AND(NhatkyNhap!#REF!,"AAAAAFf1+gw=")</f>
        <v>#REF!</v>
      </c>
      <c r="N145" t="e">
        <f>AND(NhatkyNhap!#REF!,"AAAAAFf1+g0=")</f>
        <v>#REF!</v>
      </c>
      <c r="O145" t="e">
        <f>AND(NhatkyNhap!#REF!,"AAAAAFf1+g4=")</f>
        <v>#REF!</v>
      </c>
      <c r="P145" t="e">
        <f>AND(NhatkyNhap!#REF!,"AAAAAFf1+g8=")</f>
        <v>#REF!</v>
      </c>
      <c r="Q145" t="e">
        <f>AND(NhatkyNhap!#REF!,"AAAAAFf1+hA=")</f>
        <v>#REF!</v>
      </c>
      <c r="R145" t="e">
        <f>AND(NhatkyNhap!#REF!,"AAAAAFf1+hE=")</f>
        <v>#REF!</v>
      </c>
      <c r="S145" t="e">
        <f>AND(NhatkyNhap!#REF!,"AAAAAFf1+hI=")</f>
        <v>#REF!</v>
      </c>
      <c r="T145" t="e">
        <f>AND(NhatkyNhap!#REF!,"AAAAAFf1+hM=")</f>
        <v>#REF!</v>
      </c>
      <c r="U145" t="e">
        <f>AND(NhatkyNhap!#REF!,"AAAAAFf1+hQ=")</f>
        <v>#REF!</v>
      </c>
      <c r="V145" t="e">
        <f>AND(NhatkyNhap!#REF!,"AAAAAFf1+hU=")</f>
        <v>#REF!</v>
      </c>
      <c r="W145" t="e">
        <f>AND(NhatkyNhap!#REF!,"AAAAAFf1+hY=")</f>
        <v>#REF!</v>
      </c>
      <c r="X145" t="e">
        <f>AND(NhatkyNhap!#REF!,"AAAAAFf1+hc=")</f>
        <v>#REF!</v>
      </c>
      <c r="Y145" t="e">
        <f>AND(NhatkyNhap!#REF!,"AAAAAFf1+hg=")</f>
        <v>#REF!</v>
      </c>
      <c r="Z145" t="e">
        <f>AND(NhatkyNhap!#REF!,"AAAAAFf1+hk=")</f>
        <v>#REF!</v>
      </c>
      <c r="AA145" t="e">
        <f>AND(NhatkyNhap!#REF!,"AAAAAFf1+ho=")</f>
        <v>#REF!</v>
      </c>
      <c r="AB145" t="e">
        <f>AND(NhatkyNhap!#REF!,"AAAAAFf1+hs=")</f>
        <v>#REF!</v>
      </c>
      <c r="AC145" t="e">
        <f>AND(NhatkyNhap!#REF!,"AAAAAFf1+hw=")</f>
        <v>#REF!</v>
      </c>
      <c r="AD145" t="e">
        <f>AND(NhatkyNhap!#REF!,"AAAAAFf1+h0=")</f>
        <v>#REF!</v>
      </c>
      <c r="AE145" t="e">
        <f>AND(NhatkyNhap!#REF!,"AAAAAFf1+h4=")</f>
        <v>#REF!</v>
      </c>
      <c r="AF145" t="e">
        <f>AND(NhatkyNhap!#REF!,"AAAAAFf1+h8=")</f>
        <v>#REF!</v>
      </c>
      <c r="AG145" t="e">
        <f>AND(NhatkyNhap!#REF!,"AAAAAFf1+iA=")</f>
        <v>#REF!</v>
      </c>
      <c r="AH145" t="e">
        <f>AND(NhatkyNhap!#REF!,"AAAAAFf1+iE=")</f>
        <v>#REF!</v>
      </c>
      <c r="AI145" t="e">
        <f>AND(NhatkyNhap!#REF!,"AAAAAFf1+iI=")</f>
        <v>#REF!</v>
      </c>
      <c r="AJ145" t="e">
        <f>AND(NhatkyNhap!#REF!,"AAAAAFf1+iM=")</f>
        <v>#REF!</v>
      </c>
      <c r="AK145" t="e">
        <f>AND(NhatkyNhap!#REF!,"AAAAAFf1+iQ=")</f>
        <v>#REF!</v>
      </c>
      <c r="AL145" t="e">
        <f>AND(NhatkyNhap!#REF!,"AAAAAFf1+iU=")</f>
        <v>#REF!</v>
      </c>
      <c r="AM145" t="e">
        <f>AND(NhatkyNhap!#REF!,"AAAAAFf1+iY=")</f>
        <v>#REF!</v>
      </c>
      <c r="AN145" t="e">
        <f>AND(NhatkyNhap!#REF!,"AAAAAFf1+ic=")</f>
        <v>#REF!</v>
      </c>
      <c r="AO145" t="e">
        <f>AND(NhatkyNhap!#REF!,"AAAAAFf1+ig=")</f>
        <v>#REF!</v>
      </c>
      <c r="AP145" t="e">
        <f>IF(NhatkyNhap!#REF!,"AAAAAFf1+ik=",0)</f>
        <v>#REF!</v>
      </c>
      <c r="AQ145" t="e">
        <f>AND(NhatkyNhap!#REF!,"AAAAAFf1+io=")</f>
        <v>#REF!</v>
      </c>
      <c r="AR145" t="e">
        <f>AND(NhatkyNhap!#REF!,"AAAAAFf1+is=")</f>
        <v>#REF!</v>
      </c>
      <c r="AS145" t="e">
        <f>AND(NhatkyNhap!#REF!,"AAAAAFf1+iw=")</f>
        <v>#REF!</v>
      </c>
      <c r="AT145" t="e">
        <f>AND(NhatkyNhap!#REF!,"AAAAAFf1+i0=")</f>
        <v>#REF!</v>
      </c>
      <c r="AU145" t="e">
        <f>AND(NhatkyNhap!#REF!,"AAAAAFf1+i4=")</f>
        <v>#REF!</v>
      </c>
      <c r="AV145" t="e">
        <f>AND(NhatkyNhap!#REF!,"AAAAAFf1+i8=")</f>
        <v>#REF!</v>
      </c>
      <c r="AW145" t="e">
        <f>AND(NhatkyNhap!#REF!,"AAAAAFf1+jA=")</f>
        <v>#REF!</v>
      </c>
      <c r="AX145" t="e">
        <f>AND(NhatkyNhap!#REF!,"AAAAAFf1+jE=")</f>
        <v>#REF!</v>
      </c>
      <c r="AY145" t="e">
        <f>AND(NhatkyNhap!#REF!,"AAAAAFf1+jI=")</f>
        <v>#REF!</v>
      </c>
      <c r="AZ145" t="e">
        <f>AND(NhatkyNhap!#REF!,"AAAAAFf1+jM=")</f>
        <v>#REF!</v>
      </c>
      <c r="BA145" t="e">
        <f>AND(NhatkyNhap!#REF!,"AAAAAFf1+jQ=")</f>
        <v>#REF!</v>
      </c>
      <c r="BB145" t="e">
        <f>AND(NhatkyNhap!#REF!,"AAAAAFf1+jU=")</f>
        <v>#REF!</v>
      </c>
      <c r="BC145" t="e">
        <f>AND(NhatkyNhap!#REF!,"AAAAAFf1+jY=")</f>
        <v>#REF!</v>
      </c>
      <c r="BD145" t="e">
        <f>AND(NhatkyNhap!#REF!,"AAAAAFf1+jc=")</f>
        <v>#REF!</v>
      </c>
      <c r="BE145" t="e">
        <f>AND(NhatkyNhap!#REF!,"AAAAAFf1+jg=")</f>
        <v>#REF!</v>
      </c>
      <c r="BF145" t="e">
        <f>AND(NhatkyNhap!#REF!,"AAAAAFf1+jk=")</f>
        <v>#REF!</v>
      </c>
      <c r="BG145" t="e">
        <f>AND(NhatkyNhap!#REF!,"AAAAAFf1+jo=")</f>
        <v>#REF!</v>
      </c>
      <c r="BH145" t="e">
        <f>AND(NhatkyNhap!#REF!,"AAAAAFf1+js=")</f>
        <v>#REF!</v>
      </c>
      <c r="BI145" t="e">
        <f>AND(NhatkyNhap!#REF!,"AAAAAFf1+jw=")</f>
        <v>#REF!</v>
      </c>
      <c r="BJ145" t="e">
        <f>AND(NhatkyNhap!#REF!,"AAAAAFf1+j0=")</f>
        <v>#REF!</v>
      </c>
      <c r="BK145" t="e">
        <f>AND(NhatkyNhap!#REF!,"AAAAAFf1+j4=")</f>
        <v>#REF!</v>
      </c>
      <c r="BL145" t="e">
        <f>AND(NhatkyNhap!#REF!,"AAAAAFf1+j8=")</f>
        <v>#REF!</v>
      </c>
      <c r="BM145" t="e">
        <f>AND(NhatkyNhap!#REF!,"AAAAAFf1+kA=")</f>
        <v>#REF!</v>
      </c>
      <c r="BN145" t="e">
        <f>AND(NhatkyNhap!#REF!,"AAAAAFf1+kE=")</f>
        <v>#REF!</v>
      </c>
      <c r="BO145" t="e">
        <f>AND(NhatkyNhap!#REF!,"AAAAAFf1+kI=")</f>
        <v>#REF!</v>
      </c>
      <c r="BP145" t="e">
        <f>AND(NhatkyNhap!#REF!,"AAAAAFf1+kM=")</f>
        <v>#REF!</v>
      </c>
      <c r="BQ145" t="e">
        <f>AND(NhatkyNhap!#REF!,"AAAAAFf1+kQ=")</f>
        <v>#REF!</v>
      </c>
      <c r="BR145" t="e">
        <f>AND(NhatkyNhap!#REF!,"AAAAAFf1+kU=")</f>
        <v>#REF!</v>
      </c>
      <c r="BS145" t="e">
        <f>AND(NhatkyNhap!#REF!,"AAAAAFf1+kY=")</f>
        <v>#REF!</v>
      </c>
      <c r="BT145" t="e">
        <f>AND(NhatkyNhap!#REF!,"AAAAAFf1+kc=")</f>
        <v>#REF!</v>
      </c>
      <c r="BU145" t="e">
        <f>AND(NhatkyNhap!#REF!,"AAAAAFf1+kg=")</f>
        <v>#REF!</v>
      </c>
      <c r="BV145" t="e">
        <f>AND(NhatkyNhap!#REF!,"AAAAAFf1+kk=")</f>
        <v>#REF!</v>
      </c>
      <c r="BW145" t="e">
        <f>AND(NhatkyNhap!#REF!,"AAAAAFf1+ko=")</f>
        <v>#REF!</v>
      </c>
      <c r="BX145" t="e">
        <f>AND(NhatkyNhap!#REF!,"AAAAAFf1+ks=")</f>
        <v>#REF!</v>
      </c>
      <c r="BY145" t="e">
        <f>IF(NhatkyNhap!#REF!,"AAAAAFf1+kw=",0)</f>
        <v>#REF!</v>
      </c>
      <c r="BZ145" t="e">
        <f>AND(NhatkyNhap!#REF!,"AAAAAFf1+k0=")</f>
        <v>#REF!</v>
      </c>
      <c r="CA145" t="e">
        <f>AND(NhatkyNhap!#REF!,"AAAAAFf1+k4=")</f>
        <v>#REF!</v>
      </c>
      <c r="CB145" t="e">
        <f>AND(NhatkyNhap!#REF!,"AAAAAFf1+k8=")</f>
        <v>#REF!</v>
      </c>
      <c r="CC145" t="e">
        <f>AND(NhatkyNhap!#REF!,"AAAAAFf1+lA=")</f>
        <v>#REF!</v>
      </c>
      <c r="CD145" t="e">
        <f>AND(NhatkyNhap!#REF!,"AAAAAFf1+lE=")</f>
        <v>#REF!</v>
      </c>
      <c r="CE145" t="e">
        <f>AND(NhatkyNhap!#REF!,"AAAAAFf1+lI=")</f>
        <v>#REF!</v>
      </c>
      <c r="CF145" t="e">
        <f>AND(NhatkyNhap!#REF!,"AAAAAFf1+lM=")</f>
        <v>#REF!</v>
      </c>
      <c r="CG145" t="e">
        <f>AND(NhatkyNhap!#REF!,"AAAAAFf1+lQ=")</f>
        <v>#REF!</v>
      </c>
      <c r="CH145" t="e">
        <f>AND(NhatkyNhap!#REF!,"AAAAAFf1+lU=")</f>
        <v>#REF!</v>
      </c>
      <c r="CI145" t="e">
        <f>AND(NhatkyNhap!#REF!,"AAAAAFf1+lY=")</f>
        <v>#REF!</v>
      </c>
      <c r="CJ145" t="e">
        <f>AND(NhatkyNhap!#REF!,"AAAAAFf1+lc=")</f>
        <v>#REF!</v>
      </c>
      <c r="CK145" t="e">
        <f>AND(NhatkyNhap!#REF!,"AAAAAFf1+lg=")</f>
        <v>#REF!</v>
      </c>
      <c r="CL145" t="e">
        <f>AND(NhatkyNhap!#REF!,"AAAAAFf1+lk=")</f>
        <v>#REF!</v>
      </c>
      <c r="CM145" t="e">
        <f>AND(NhatkyNhap!#REF!,"AAAAAFf1+lo=")</f>
        <v>#REF!</v>
      </c>
      <c r="CN145" t="e">
        <f>AND(NhatkyNhap!#REF!,"AAAAAFf1+ls=")</f>
        <v>#REF!</v>
      </c>
      <c r="CO145" t="e">
        <f>AND(NhatkyNhap!#REF!,"AAAAAFf1+lw=")</f>
        <v>#REF!</v>
      </c>
      <c r="CP145" t="e">
        <f>AND(NhatkyNhap!#REF!,"AAAAAFf1+l0=")</f>
        <v>#REF!</v>
      </c>
      <c r="CQ145" t="e">
        <f>AND(NhatkyNhap!#REF!,"AAAAAFf1+l4=")</f>
        <v>#REF!</v>
      </c>
      <c r="CR145" t="e">
        <f>AND(NhatkyNhap!#REF!,"AAAAAFf1+l8=")</f>
        <v>#REF!</v>
      </c>
      <c r="CS145" t="e">
        <f>AND(NhatkyNhap!#REF!,"AAAAAFf1+mA=")</f>
        <v>#REF!</v>
      </c>
      <c r="CT145" t="e">
        <f>AND(NhatkyNhap!#REF!,"AAAAAFf1+mE=")</f>
        <v>#REF!</v>
      </c>
      <c r="CU145" t="e">
        <f>AND(NhatkyNhap!#REF!,"AAAAAFf1+mI=")</f>
        <v>#REF!</v>
      </c>
      <c r="CV145" t="e">
        <f>AND(NhatkyNhap!#REF!,"AAAAAFf1+mM=")</f>
        <v>#REF!</v>
      </c>
      <c r="CW145" t="e">
        <f>AND(NhatkyNhap!#REF!,"AAAAAFf1+mQ=")</f>
        <v>#REF!</v>
      </c>
      <c r="CX145" t="e">
        <f>AND(NhatkyNhap!#REF!,"AAAAAFf1+mU=")</f>
        <v>#REF!</v>
      </c>
      <c r="CY145" t="e">
        <f>AND(NhatkyNhap!#REF!,"AAAAAFf1+mY=")</f>
        <v>#REF!</v>
      </c>
      <c r="CZ145" t="e">
        <f>AND(NhatkyNhap!#REF!,"AAAAAFf1+mc=")</f>
        <v>#REF!</v>
      </c>
      <c r="DA145" t="e">
        <f>AND(NhatkyNhap!#REF!,"AAAAAFf1+mg=")</f>
        <v>#REF!</v>
      </c>
      <c r="DB145" t="e">
        <f>AND(NhatkyNhap!#REF!,"AAAAAFf1+mk=")</f>
        <v>#REF!</v>
      </c>
      <c r="DC145" t="e">
        <f>AND(NhatkyNhap!#REF!,"AAAAAFf1+mo=")</f>
        <v>#REF!</v>
      </c>
      <c r="DD145" t="e">
        <f>AND(NhatkyNhap!#REF!,"AAAAAFf1+ms=")</f>
        <v>#REF!</v>
      </c>
      <c r="DE145" t="e">
        <f>AND(NhatkyNhap!#REF!,"AAAAAFf1+mw=")</f>
        <v>#REF!</v>
      </c>
      <c r="DF145" t="e">
        <f>AND(NhatkyNhap!#REF!,"AAAAAFf1+m0=")</f>
        <v>#REF!</v>
      </c>
      <c r="DG145" t="e">
        <f>AND(NhatkyNhap!#REF!,"AAAAAFf1+m4=")</f>
        <v>#REF!</v>
      </c>
      <c r="DH145" t="e">
        <f>IF(NhatkyNhap!#REF!,"AAAAAFf1+m8=",0)</f>
        <v>#REF!</v>
      </c>
      <c r="DI145" t="e">
        <f>AND(NhatkyNhap!#REF!,"AAAAAFf1+nA=")</f>
        <v>#REF!</v>
      </c>
      <c r="DJ145" t="e">
        <f>AND(NhatkyNhap!#REF!,"AAAAAFf1+nE=")</f>
        <v>#REF!</v>
      </c>
      <c r="DK145" t="e">
        <f>AND(NhatkyNhap!#REF!,"AAAAAFf1+nI=")</f>
        <v>#REF!</v>
      </c>
      <c r="DL145" t="e">
        <f>AND(NhatkyNhap!#REF!,"AAAAAFf1+nM=")</f>
        <v>#REF!</v>
      </c>
      <c r="DM145" t="e">
        <f>AND(NhatkyNhap!#REF!,"AAAAAFf1+nQ=")</f>
        <v>#REF!</v>
      </c>
      <c r="DN145" t="e">
        <f>AND(NhatkyNhap!#REF!,"AAAAAFf1+nU=")</f>
        <v>#REF!</v>
      </c>
      <c r="DO145" t="e">
        <f>AND(NhatkyNhap!#REF!,"AAAAAFf1+nY=")</f>
        <v>#REF!</v>
      </c>
      <c r="DP145" t="e">
        <f>AND(NhatkyNhap!#REF!,"AAAAAFf1+nc=")</f>
        <v>#REF!</v>
      </c>
      <c r="DQ145" t="e">
        <f>AND(NhatkyNhap!#REF!,"AAAAAFf1+ng=")</f>
        <v>#REF!</v>
      </c>
      <c r="DR145" t="e">
        <f>AND(NhatkyNhap!#REF!,"AAAAAFf1+nk=")</f>
        <v>#REF!</v>
      </c>
      <c r="DS145" t="e">
        <f>AND(NhatkyNhap!#REF!,"AAAAAFf1+no=")</f>
        <v>#REF!</v>
      </c>
      <c r="DT145" t="e">
        <f>AND(NhatkyNhap!#REF!,"AAAAAFf1+ns=")</f>
        <v>#REF!</v>
      </c>
      <c r="DU145" t="e">
        <f>AND(NhatkyNhap!#REF!,"AAAAAFf1+nw=")</f>
        <v>#REF!</v>
      </c>
      <c r="DV145" t="e">
        <f>AND(NhatkyNhap!#REF!,"AAAAAFf1+n0=")</f>
        <v>#REF!</v>
      </c>
      <c r="DW145" t="e">
        <f>AND(NhatkyNhap!#REF!,"AAAAAFf1+n4=")</f>
        <v>#REF!</v>
      </c>
      <c r="DX145" t="e">
        <f>AND(NhatkyNhap!#REF!,"AAAAAFf1+n8=")</f>
        <v>#REF!</v>
      </c>
      <c r="DY145" t="e">
        <f>AND(NhatkyNhap!#REF!,"AAAAAFf1+oA=")</f>
        <v>#REF!</v>
      </c>
      <c r="DZ145" t="e">
        <f>AND(NhatkyNhap!#REF!,"AAAAAFf1+oE=")</f>
        <v>#REF!</v>
      </c>
      <c r="EA145" t="e">
        <f>AND(NhatkyNhap!#REF!,"AAAAAFf1+oI=")</f>
        <v>#REF!</v>
      </c>
      <c r="EB145" t="e">
        <f>AND(NhatkyNhap!#REF!,"AAAAAFf1+oM=")</f>
        <v>#REF!</v>
      </c>
      <c r="EC145" t="e">
        <f>AND(NhatkyNhap!#REF!,"AAAAAFf1+oQ=")</f>
        <v>#REF!</v>
      </c>
      <c r="ED145" t="e">
        <f>AND(NhatkyNhap!#REF!,"AAAAAFf1+oU=")</f>
        <v>#REF!</v>
      </c>
      <c r="EE145" t="e">
        <f>AND(NhatkyNhap!#REF!,"AAAAAFf1+oY=")</f>
        <v>#REF!</v>
      </c>
      <c r="EF145" t="e">
        <f>AND(NhatkyNhap!#REF!,"AAAAAFf1+oc=")</f>
        <v>#REF!</v>
      </c>
      <c r="EG145" t="e">
        <f>AND(NhatkyNhap!#REF!,"AAAAAFf1+og=")</f>
        <v>#REF!</v>
      </c>
      <c r="EH145" t="e">
        <f>AND(NhatkyNhap!#REF!,"AAAAAFf1+ok=")</f>
        <v>#REF!</v>
      </c>
      <c r="EI145" t="e">
        <f>AND(NhatkyNhap!#REF!,"AAAAAFf1+oo=")</f>
        <v>#REF!</v>
      </c>
      <c r="EJ145" t="e">
        <f>AND(NhatkyNhap!#REF!,"AAAAAFf1+os=")</f>
        <v>#REF!</v>
      </c>
      <c r="EK145" t="e">
        <f>AND(NhatkyNhap!#REF!,"AAAAAFf1+ow=")</f>
        <v>#REF!</v>
      </c>
      <c r="EL145" t="e">
        <f>AND(NhatkyNhap!#REF!,"AAAAAFf1+o0=")</f>
        <v>#REF!</v>
      </c>
      <c r="EM145" t="e">
        <f>AND(NhatkyNhap!#REF!,"AAAAAFf1+o4=")</f>
        <v>#REF!</v>
      </c>
      <c r="EN145" t="e">
        <f>AND(NhatkyNhap!#REF!,"AAAAAFf1+o8=")</f>
        <v>#REF!</v>
      </c>
      <c r="EO145" t="e">
        <f>AND(NhatkyNhap!#REF!,"AAAAAFf1+pA=")</f>
        <v>#REF!</v>
      </c>
      <c r="EP145" t="e">
        <f>AND(NhatkyNhap!#REF!,"AAAAAFf1+pE=")</f>
        <v>#REF!</v>
      </c>
      <c r="EQ145" t="e">
        <f>IF(NhatkyNhap!#REF!,"AAAAAFf1+pI=",0)</f>
        <v>#REF!</v>
      </c>
      <c r="ER145" t="e">
        <f>AND(NhatkyNhap!#REF!,"AAAAAFf1+pM=")</f>
        <v>#REF!</v>
      </c>
      <c r="ES145" t="e">
        <f>AND(NhatkyNhap!#REF!,"AAAAAFf1+pQ=")</f>
        <v>#REF!</v>
      </c>
      <c r="ET145" t="e">
        <f>AND(NhatkyNhap!#REF!,"AAAAAFf1+pU=")</f>
        <v>#REF!</v>
      </c>
      <c r="EU145" t="e">
        <f>AND(NhatkyNhap!#REF!,"AAAAAFf1+pY=")</f>
        <v>#REF!</v>
      </c>
      <c r="EV145" t="e">
        <f>AND(NhatkyNhap!#REF!,"AAAAAFf1+pc=")</f>
        <v>#REF!</v>
      </c>
      <c r="EW145" t="e">
        <f>AND(NhatkyNhap!#REF!,"AAAAAFf1+pg=")</f>
        <v>#REF!</v>
      </c>
      <c r="EX145" t="e">
        <f>AND(NhatkyNhap!#REF!,"AAAAAFf1+pk=")</f>
        <v>#REF!</v>
      </c>
      <c r="EY145" t="e">
        <f>AND(NhatkyNhap!#REF!,"AAAAAFf1+po=")</f>
        <v>#REF!</v>
      </c>
      <c r="EZ145" t="e">
        <f>AND(NhatkyNhap!#REF!,"AAAAAFf1+ps=")</f>
        <v>#REF!</v>
      </c>
      <c r="FA145" t="e">
        <f>AND(NhatkyNhap!#REF!,"AAAAAFf1+pw=")</f>
        <v>#REF!</v>
      </c>
      <c r="FB145" t="e">
        <f>AND(NhatkyNhap!#REF!,"AAAAAFf1+p0=")</f>
        <v>#REF!</v>
      </c>
      <c r="FC145" t="e">
        <f>AND(NhatkyNhap!#REF!,"AAAAAFf1+p4=")</f>
        <v>#REF!</v>
      </c>
      <c r="FD145" t="e">
        <f>AND(NhatkyNhap!#REF!,"AAAAAFf1+p8=")</f>
        <v>#REF!</v>
      </c>
      <c r="FE145" t="e">
        <f>AND(NhatkyNhap!#REF!,"AAAAAFf1+qA=")</f>
        <v>#REF!</v>
      </c>
      <c r="FF145" t="e">
        <f>AND(NhatkyNhap!#REF!,"AAAAAFf1+qE=")</f>
        <v>#REF!</v>
      </c>
      <c r="FG145" t="e">
        <f>AND(NhatkyNhap!#REF!,"AAAAAFf1+qI=")</f>
        <v>#REF!</v>
      </c>
      <c r="FH145" t="e">
        <f>AND(NhatkyNhap!#REF!,"AAAAAFf1+qM=")</f>
        <v>#REF!</v>
      </c>
      <c r="FI145" t="e">
        <f>AND(NhatkyNhap!#REF!,"AAAAAFf1+qQ=")</f>
        <v>#REF!</v>
      </c>
      <c r="FJ145" t="e">
        <f>AND(NhatkyNhap!#REF!,"AAAAAFf1+qU=")</f>
        <v>#REF!</v>
      </c>
      <c r="FK145" t="e">
        <f>AND(NhatkyNhap!#REF!,"AAAAAFf1+qY=")</f>
        <v>#REF!</v>
      </c>
      <c r="FL145" t="e">
        <f>AND(NhatkyNhap!#REF!,"AAAAAFf1+qc=")</f>
        <v>#REF!</v>
      </c>
      <c r="FM145" t="e">
        <f>AND(NhatkyNhap!#REF!,"AAAAAFf1+qg=")</f>
        <v>#REF!</v>
      </c>
      <c r="FN145" t="e">
        <f>AND(NhatkyNhap!#REF!,"AAAAAFf1+qk=")</f>
        <v>#REF!</v>
      </c>
      <c r="FO145" t="e">
        <f>AND(NhatkyNhap!#REF!,"AAAAAFf1+qo=")</f>
        <v>#REF!</v>
      </c>
      <c r="FP145" t="e">
        <f>AND(NhatkyNhap!#REF!,"AAAAAFf1+qs=")</f>
        <v>#REF!</v>
      </c>
      <c r="FQ145" t="e">
        <f>AND(NhatkyNhap!#REF!,"AAAAAFf1+qw=")</f>
        <v>#REF!</v>
      </c>
      <c r="FR145" t="e">
        <f>AND(NhatkyNhap!#REF!,"AAAAAFf1+q0=")</f>
        <v>#REF!</v>
      </c>
      <c r="FS145" t="e">
        <f>AND(NhatkyNhap!#REF!,"AAAAAFf1+q4=")</f>
        <v>#REF!</v>
      </c>
      <c r="FT145" t="e">
        <f>AND(NhatkyNhap!#REF!,"AAAAAFf1+q8=")</f>
        <v>#REF!</v>
      </c>
      <c r="FU145" t="e">
        <f>AND(NhatkyNhap!#REF!,"AAAAAFf1+rA=")</f>
        <v>#REF!</v>
      </c>
      <c r="FV145" t="e">
        <f>AND(NhatkyNhap!#REF!,"AAAAAFf1+rE=")</f>
        <v>#REF!</v>
      </c>
      <c r="FW145" t="e">
        <f>AND(NhatkyNhap!#REF!,"AAAAAFf1+rI=")</f>
        <v>#REF!</v>
      </c>
      <c r="FX145" t="e">
        <f>AND(NhatkyNhap!#REF!,"AAAAAFf1+rM=")</f>
        <v>#REF!</v>
      </c>
      <c r="FY145" t="e">
        <f>AND(NhatkyNhap!#REF!,"AAAAAFf1+rQ=")</f>
        <v>#REF!</v>
      </c>
      <c r="FZ145" t="e">
        <f>IF(NhatkyNhap!#REF!,"AAAAAFf1+rU=",0)</f>
        <v>#REF!</v>
      </c>
      <c r="GA145" t="e">
        <f>AND(NhatkyNhap!#REF!,"AAAAAFf1+rY=")</f>
        <v>#REF!</v>
      </c>
      <c r="GB145" t="e">
        <f>AND(NhatkyNhap!#REF!,"AAAAAFf1+rc=")</f>
        <v>#REF!</v>
      </c>
      <c r="GC145" t="e">
        <f>AND(NhatkyNhap!#REF!,"AAAAAFf1+rg=")</f>
        <v>#REF!</v>
      </c>
      <c r="GD145" t="e">
        <f>AND(NhatkyNhap!#REF!,"AAAAAFf1+rk=")</f>
        <v>#REF!</v>
      </c>
      <c r="GE145" t="e">
        <f>AND(NhatkyNhap!#REF!,"AAAAAFf1+ro=")</f>
        <v>#REF!</v>
      </c>
      <c r="GF145" t="e">
        <f>AND(NhatkyNhap!#REF!,"AAAAAFf1+rs=")</f>
        <v>#REF!</v>
      </c>
      <c r="GG145" t="e">
        <f>AND(NhatkyNhap!#REF!,"AAAAAFf1+rw=")</f>
        <v>#REF!</v>
      </c>
      <c r="GH145" t="e">
        <f>AND(NhatkyNhap!#REF!,"AAAAAFf1+r0=")</f>
        <v>#REF!</v>
      </c>
      <c r="GI145" t="e">
        <f>AND(NhatkyNhap!#REF!,"AAAAAFf1+r4=")</f>
        <v>#REF!</v>
      </c>
      <c r="GJ145" t="e">
        <f>AND(NhatkyNhap!#REF!,"AAAAAFf1+r8=")</f>
        <v>#REF!</v>
      </c>
      <c r="GK145" t="e">
        <f>AND(NhatkyNhap!#REF!,"AAAAAFf1+sA=")</f>
        <v>#REF!</v>
      </c>
      <c r="GL145" t="e">
        <f>AND(NhatkyNhap!#REF!,"AAAAAFf1+sE=")</f>
        <v>#REF!</v>
      </c>
      <c r="GM145" t="e">
        <f>AND(NhatkyNhap!#REF!,"AAAAAFf1+sI=")</f>
        <v>#REF!</v>
      </c>
      <c r="GN145" t="e">
        <f>AND(NhatkyNhap!#REF!,"AAAAAFf1+sM=")</f>
        <v>#REF!</v>
      </c>
      <c r="GO145" t="e">
        <f>AND(NhatkyNhap!#REF!,"AAAAAFf1+sQ=")</f>
        <v>#REF!</v>
      </c>
      <c r="GP145" t="e">
        <f>AND(NhatkyNhap!#REF!,"AAAAAFf1+sU=")</f>
        <v>#REF!</v>
      </c>
      <c r="GQ145" t="e">
        <f>AND(NhatkyNhap!#REF!,"AAAAAFf1+sY=")</f>
        <v>#REF!</v>
      </c>
      <c r="GR145" t="e">
        <f>AND(NhatkyNhap!#REF!,"AAAAAFf1+sc=")</f>
        <v>#REF!</v>
      </c>
      <c r="GS145" t="e">
        <f>AND(NhatkyNhap!#REF!,"AAAAAFf1+sg=")</f>
        <v>#REF!</v>
      </c>
      <c r="GT145" t="e">
        <f>AND(NhatkyNhap!#REF!,"AAAAAFf1+sk=")</f>
        <v>#REF!</v>
      </c>
      <c r="GU145" t="e">
        <f>AND(NhatkyNhap!#REF!,"AAAAAFf1+so=")</f>
        <v>#REF!</v>
      </c>
      <c r="GV145" t="e">
        <f>AND(NhatkyNhap!#REF!,"AAAAAFf1+ss=")</f>
        <v>#REF!</v>
      </c>
      <c r="GW145" t="e">
        <f>AND(NhatkyNhap!#REF!,"AAAAAFf1+sw=")</f>
        <v>#REF!</v>
      </c>
      <c r="GX145" t="e">
        <f>AND(NhatkyNhap!#REF!,"AAAAAFf1+s0=")</f>
        <v>#REF!</v>
      </c>
      <c r="GY145" t="e">
        <f>AND(NhatkyNhap!#REF!,"AAAAAFf1+s4=")</f>
        <v>#REF!</v>
      </c>
      <c r="GZ145" t="e">
        <f>AND(NhatkyNhap!#REF!,"AAAAAFf1+s8=")</f>
        <v>#REF!</v>
      </c>
      <c r="HA145" t="e">
        <f>AND(NhatkyNhap!#REF!,"AAAAAFf1+tA=")</f>
        <v>#REF!</v>
      </c>
      <c r="HB145" t="e">
        <f>AND(NhatkyNhap!#REF!,"AAAAAFf1+tE=")</f>
        <v>#REF!</v>
      </c>
      <c r="HC145" t="e">
        <f>AND(NhatkyNhap!#REF!,"AAAAAFf1+tI=")</f>
        <v>#REF!</v>
      </c>
      <c r="HD145" t="e">
        <f>AND(NhatkyNhap!#REF!,"AAAAAFf1+tM=")</f>
        <v>#REF!</v>
      </c>
      <c r="HE145" t="e">
        <f>AND(NhatkyNhap!#REF!,"AAAAAFf1+tQ=")</f>
        <v>#REF!</v>
      </c>
      <c r="HF145" t="e">
        <f>AND(NhatkyNhap!#REF!,"AAAAAFf1+tU=")</f>
        <v>#REF!</v>
      </c>
      <c r="HG145" t="e">
        <f>AND(NhatkyNhap!#REF!,"AAAAAFf1+tY=")</f>
        <v>#REF!</v>
      </c>
      <c r="HH145" t="e">
        <f>AND(NhatkyNhap!#REF!,"AAAAAFf1+tc=")</f>
        <v>#REF!</v>
      </c>
      <c r="HI145" t="e">
        <f>IF(NhatkyNhap!#REF!,"AAAAAFf1+tg=",0)</f>
        <v>#REF!</v>
      </c>
      <c r="HJ145" t="e">
        <f>AND(NhatkyNhap!#REF!,"AAAAAFf1+tk=")</f>
        <v>#REF!</v>
      </c>
      <c r="HK145" t="e">
        <f>AND(NhatkyNhap!#REF!,"AAAAAFf1+to=")</f>
        <v>#REF!</v>
      </c>
      <c r="HL145" t="e">
        <f>AND(NhatkyNhap!#REF!,"AAAAAFf1+ts=")</f>
        <v>#REF!</v>
      </c>
      <c r="HM145" t="e">
        <f>AND(NhatkyNhap!#REF!,"AAAAAFf1+tw=")</f>
        <v>#REF!</v>
      </c>
      <c r="HN145" t="e">
        <f>AND(NhatkyNhap!#REF!,"AAAAAFf1+t0=")</f>
        <v>#REF!</v>
      </c>
      <c r="HO145" t="e">
        <f>AND(NhatkyNhap!#REF!,"AAAAAFf1+t4=")</f>
        <v>#REF!</v>
      </c>
      <c r="HP145" t="e">
        <f>AND(NhatkyNhap!#REF!,"AAAAAFf1+t8=")</f>
        <v>#REF!</v>
      </c>
      <c r="HQ145" t="e">
        <f>AND(NhatkyNhap!#REF!,"AAAAAFf1+uA=")</f>
        <v>#REF!</v>
      </c>
      <c r="HR145" t="e">
        <f>AND(NhatkyNhap!#REF!,"AAAAAFf1+uE=")</f>
        <v>#REF!</v>
      </c>
      <c r="HS145" t="e">
        <f>AND(NhatkyNhap!#REF!,"AAAAAFf1+uI=")</f>
        <v>#REF!</v>
      </c>
      <c r="HT145" t="e">
        <f>AND(NhatkyNhap!#REF!,"AAAAAFf1+uM=")</f>
        <v>#REF!</v>
      </c>
      <c r="HU145" t="e">
        <f>AND(NhatkyNhap!#REF!,"AAAAAFf1+uQ=")</f>
        <v>#REF!</v>
      </c>
      <c r="HV145" t="e">
        <f>AND(NhatkyNhap!#REF!,"AAAAAFf1+uU=")</f>
        <v>#REF!</v>
      </c>
      <c r="HW145" t="e">
        <f>AND(NhatkyNhap!#REF!,"AAAAAFf1+uY=")</f>
        <v>#REF!</v>
      </c>
      <c r="HX145" t="e">
        <f>AND(NhatkyNhap!#REF!,"AAAAAFf1+uc=")</f>
        <v>#REF!</v>
      </c>
      <c r="HY145" t="e">
        <f>AND(NhatkyNhap!#REF!,"AAAAAFf1+ug=")</f>
        <v>#REF!</v>
      </c>
      <c r="HZ145" t="e">
        <f>AND(NhatkyNhap!#REF!,"AAAAAFf1+uk=")</f>
        <v>#REF!</v>
      </c>
      <c r="IA145" t="e">
        <f>AND(NhatkyNhap!#REF!,"AAAAAFf1+uo=")</f>
        <v>#REF!</v>
      </c>
      <c r="IB145" t="e">
        <f>AND(NhatkyNhap!#REF!,"AAAAAFf1+us=")</f>
        <v>#REF!</v>
      </c>
      <c r="IC145" t="e">
        <f>AND(NhatkyNhap!#REF!,"AAAAAFf1+uw=")</f>
        <v>#REF!</v>
      </c>
      <c r="ID145" t="e">
        <f>AND(NhatkyNhap!#REF!,"AAAAAFf1+u0=")</f>
        <v>#REF!</v>
      </c>
      <c r="IE145" t="e">
        <f>AND(NhatkyNhap!#REF!,"AAAAAFf1+u4=")</f>
        <v>#REF!</v>
      </c>
      <c r="IF145" t="e">
        <f>AND(NhatkyNhap!#REF!,"AAAAAFf1+u8=")</f>
        <v>#REF!</v>
      </c>
      <c r="IG145" t="e">
        <f>AND(NhatkyNhap!#REF!,"AAAAAFf1+vA=")</f>
        <v>#REF!</v>
      </c>
      <c r="IH145" t="e">
        <f>AND(NhatkyNhap!#REF!,"AAAAAFf1+vE=")</f>
        <v>#REF!</v>
      </c>
      <c r="II145" t="e">
        <f>AND(NhatkyNhap!#REF!,"AAAAAFf1+vI=")</f>
        <v>#REF!</v>
      </c>
      <c r="IJ145" t="e">
        <f>AND(NhatkyNhap!#REF!,"AAAAAFf1+vM=")</f>
        <v>#REF!</v>
      </c>
      <c r="IK145" t="e">
        <f>AND(NhatkyNhap!#REF!,"AAAAAFf1+vQ=")</f>
        <v>#REF!</v>
      </c>
      <c r="IL145" t="e">
        <f>AND(NhatkyNhap!#REF!,"AAAAAFf1+vU=")</f>
        <v>#REF!</v>
      </c>
      <c r="IM145" t="e">
        <f>AND(NhatkyNhap!#REF!,"AAAAAFf1+vY=")</f>
        <v>#REF!</v>
      </c>
      <c r="IN145" t="e">
        <f>AND(NhatkyNhap!#REF!,"AAAAAFf1+vc=")</f>
        <v>#REF!</v>
      </c>
      <c r="IO145" t="e">
        <f>AND(NhatkyNhap!#REF!,"AAAAAFf1+vg=")</f>
        <v>#REF!</v>
      </c>
      <c r="IP145" t="e">
        <f>AND(NhatkyNhap!#REF!,"AAAAAFf1+vk=")</f>
        <v>#REF!</v>
      </c>
      <c r="IQ145" t="e">
        <f>AND(NhatkyNhap!#REF!,"AAAAAFf1+vo=")</f>
        <v>#REF!</v>
      </c>
      <c r="IR145" t="e">
        <f>IF(NhatkyNhap!#REF!,"AAAAAFf1+vs=",0)</f>
        <v>#REF!</v>
      </c>
      <c r="IS145" t="e">
        <f>AND(NhatkyNhap!#REF!,"AAAAAFf1+vw=")</f>
        <v>#REF!</v>
      </c>
      <c r="IT145" t="e">
        <f>AND(NhatkyNhap!#REF!,"AAAAAFf1+v0=")</f>
        <v>#REF!</v>
      </c>
      <c r="IU145" t="e">
        <f>AND(NhatkyNhap!#REF!,"AAAAAFf1+v4=")</f>
        <v>#REF!</v>
      </c>
      <c r="IV145" t="e">
        <f>AND(NhatkyNhap!#REF!,"AAAAAFf1+v8=")</f>
        <v>#REF!</v>
      </c>
    </row>
    <row r="146" spans="1:256">
      <c r="A146" t="e">
        <f>AND(NhatkyNhap!#REF!,"AAAAADJn+wA=")</f>
        <v>#REF!</v>
      </c>
      <c r="B146" t="e">
        <f>AND(NhatkyNhap!#REF!,"AAAAADJn+wE=")</f>
        <v>#REF!</v>
      </c>
      <c r="C146" t="e">
        <f>AND(NhatkyNhap!#REF!,"AAAAADJn+wI=")</f>
        <v>#REF!</v>
      </c>
      <c r="D146" t="e">
        <f>AND(NhatkyNhap!#REF!,"AAAAADJn+wM=")</f>
        <v>#REF!</v>
      </c>
      <c r="E146" t="e">
        <f>AND(NhatkyNhap!#REF!,"AAAAADJn+wQ=")</f>
        <v>#REF!</v>
      </c>
      <c r="F146" t="e">
        <f>AND(NhatkyNhap!#REF!,"AAAAADJn+wU=")</f>
        <v>#REF!</v>
      </c>
      <c r="G146" t="e">
        <f>AND(NhatkyNhap!#REF!,"AAAAADJn+wY=")</f>
        <v>#REF!</v>
      </c>
      <c r="H146" t="e">
        <f>AND(NhatkyNhap!#REF!,"AAAAADJn+wc=")</f>
        <v>#REF!</v>
      </c>
      <c r="I146" t="e">
        <f>AND(NhatkyNhap!#REF!,"AAAAADJn+wg=")</f>
        <v>#REF!</v>
      </c>
      <c r="J146" t="e">
        <f>AND(NhatkyNhap!#REF!,"AAAAADJn+wk=")</f>
        <v>#REF!</v>
      </c>
      <c r="K146" t="e">
        <f>AND(NhatkyNhap!#REF!,"AAAAADJn+wo=")</f>
        <v>#REF!</v>
      </c>
      <c r="L146" t="e">
        <f>AND(NhatkyNhap!#REF!,"AAAAADJn+ws=")</f>
        <v>#REF!</v>
      </c>
      <c r="M146" t="e">
        <f>AND(NhatkyNhap!#REF!,"AAAAADJn+ww=")</f>
        <v>#REF!</v>
      </c>
      <c r="N146" t="e">
        <f>AND(NhatkyNhap!#REF!,"AAAAADJn+w0=")</f>
        <v>#REF!</v>
      </c>
      <c r="O146" t="e">
        <f>AND(NhatkyNhap!#REF!,"AAAAADJn+w4=")</f>
        <v>#REF!</v>
      </c>
      <c r="P146" t="e">
        <f>AND(NhatkyNhap!#REF!,"AAAAADJn+w8=")</f>
        <v>#REF!</v>
      </c>
      <c r="Q146" t="e">
        <f>AND(NhatkyNhap!#REF!,"AAAAADJn+xA=")</f>
        <v>#REF!</v>
      </c>
      <c r="R146" t="e">
        <f>AND(NhatkyNhap!#REF!,"AAAAADJn+xE=")</f>
        <v>#REF!</v>
      </c>
      <c r="S146" t="e">
        <f>AND(NhatkyNhap!#REF!,"AAAAADJn+xI=")</f>
        <v>#REF!</v>
      </c>
      <c r="T146" t="e">
        <f>AND(NhatkyNhap!#REF!,"AAAAADJn+xM=")</f>
        <v>#REF!</v>
      </c>
      <c r="U146" t="e">
        <f>AND(NhatkyNhap!#REF!,"AAAAADJn+xQ=")</f>
        <v>#REF!</v>
      </c>
      <c r="V146" t="e">
        <f>AND(NhatkyNhap!#REF!,"AAAAADJn+xU=")</f>
        <v>#REF!</v>
      </c>
      <c r="W146" t="e">
        <f>AND(NhatkyNhap!#REF!,"AAAAADJn+xY=")</f>
        <v>#REF!</v>
      </c>
      <c r="X146" t="e">
        <f>AND(NhatkyNhap!#REF!,"AAAAADJn+xc=")</f>
        <v>#REF!</v>
      </c>
      <c r="Y146" t="e">
        <f>AND(NhatkyNhap!#REF!,"AAAAADJn+xg=")</f>
        <v>#REF!</v>
      </c>
      <c r="Z146" t="e">
        <f>AND(NhatkyNhap!#REF!,"AAAAADJn+xk=")</f>
        <v>#REF!</v>
      </c>
      <c r="AA146" t="e">
        <f>AND(NhatkyNhap!#REF!,"AAAAADJn+xo=")</f>
        <v>#REF!</v>
      </c>
      <c r="AB146" t="e">
        <f>AND(NhatkyNhap!#REF!,"AAAAADJn+xs=")</f>
        <v>#REF!</v>
      </c>
      <c r="AC146" t="e">
        <f>AND(NhatkyNhap!#REF!,"AAAAADJn+xw=")</f>
        <v>#REF!</v>
      </c>
      <c r="AD146" t="e">
        <f>AND(NhatkyNhap!#REF!,"AAAAADJn+x0=")</f>
        <v>#REF!</v>
      </c>
      <c r="AE146" t="e">
        <f>IF(NhatkyNhap!#REF!,"AAAAADJn+x4=",0)</f>
        <v>#REF!</v>
      </c>
      <c r="AF146" t="e">
        <f>AND(NhatkyNhap!#REF!,"AAAAADJn+x8=")</f>
        <v>#REF!</v>
      </c>
      <c r="AG146" t="e">
        <f>AND(NhatkyNhap!#REF!,"AAAAADJn+yA=")</f>
        <v>#REF!</v>
      </c>
      <c r="AH146" t="e">
        <f>AND(NhatkyNhap!#REF!,"AAAAADJn+yE=")</f>
        <v>#REF!</v>
      </c>
      <c r="AI146" t="e">
        <f>AND(NhatkyNhap!#REF!,"AAAAADJn+yI=")</f>
        <v>#REF!</v>
      </c>
      <c r="AJ146" t="e">
        <f>AND(NhatkyNhap!#REF!,"AAAAADJn+yM=")</f>
        <v>#REF!</v>
      </c>
      <c r="AK146" t="e">
        <f>AND(NhatkyNhap!#REF!,"AAAAADJn+yQ=")</f>
        <v>#REF!</v>
      </c>
      <c r="AL146" t="e">
        <f>AND(NhatkyNhap!#REF!,"AAAAADJn+yU=")</f>
        <v>#REF!</v>
      </c>
      <c r="AM146" t="e">
        <f>AND(NhatkyNhap!#REF!,"AAAAADJn+yY=")</f>
        <v>#REF!</v>
      </c>
      <c r="AN146" t="e">
        <f>AND(NhatkyNhap!#REF!,"AAAAADJn+yc=")</f>
        <v>#REF!</v>
      </c>
      <c r="AO146" t="e">
        <f>AND(NhatkyNhap!#REF!,"AAAAADJn+yg=")</f>
        <v>#REF!</v>
      </c>
      <c r="AP146" t="e">
        <f>AND(NhatkyNhap!#REF!,"AAAAADJn+yk=")</f>
        <v>#REF!</v>
      </c>
      <c r="AQ146" t="e">
        <f>AND(NhatkyNhap!#REF!,"AAAAADJn+yo=")</f>
        <v>#REF!</v>
      </c>
      <c r="AR146" t="e">
        <f>AND(NhatkyNhap!#REF!,"AAAAADJn+ys=")</f>
        <v>#REF!</v>
      </c>
      <c r="AS146" t="e">
        <f>AND(NhatkyNhap!#REF!,"AAAAADJn+yw=")</f>
        <v>#REF!</v>
      </c>
      <c r="AT146" t="e">
        <f>AND(NhatkyNhap!#REF!,"AAAAADJn+y0=")</f>
        <v>#REF!</v>
      </c>
      <c r="AU146" t="e">
        <f>AND(NhatkyNhap!#REF!,"AAAAADJn+y4=")</f>
        <v>#REF!</v>
      </c>
      <c r="AV146" t="e">
        <f>AND(NhatkyNhap!#REF!,"AAAAADJn+y8=")</f>
        <v>#REF!</v>
      </c>
      <c r="AW146" t="e">
        <f>AND(NhatkyNhap!#REF!,"AAAAADJn+zA=")</f>
        <v>#REF!</v>
      </c>
      <c r="AX146" t="e">
        <f>AND(NhatkyNhap!#REF!,"AAAAADJn+zE=")</f>
        <v>#REF!</v>
      </c>
      <c r="AY146" t="e">
        <f>AND(NhatkyNhap!#REF!,"AAAAADJn+zI=")</f>
        <v>#REF!</v>
      </c>
      <c r="AZ146" t="e">
        <f>AND(NhatkyNhap!#REF!,"AAAAADJn+zM=")</f>
        <v>#REF!</v>
      </c>
      <c r="BA146" t="e">
        <f>AND(NhatkyNhap!#REF!,"AAAAADJn+zQ=")</f>
        <v>#REF!</v>
      </c>
      <c r="BB146" t="e">
        <f>AND(NhatkyNhap!#REF!,"AAAAADJn+zU=")</f>
        <v>#REF!</v>
      </c>
      <c r="BC146" t="e">
        <f>AND(NhatkyNhap!#REF!,"AAAAADJn+zY=")</f>
        <v>#REF!</v>
      </c>
      <c r="BD146" t="e">
        <f>AND(NhatkyNhap!#REF!,"AAAAADJn+zc=")</f>
        <v>#REF!</v>
      </c>
      <c r="BE146" t="e">
        <f>AND(NhatkyNhap!#REF!,"AAAAADJn+zg=")</f>
        <v>#REF!</v>
      </c>
      <c r="BF146" t="e">
        <f>AND(NhatkyNhap!#REF!,"AAAAADJn+zk=")</f>
        <v>#REF!</v>
      </c>
      <c r="BG146" t="e">
        <f>AND(NhatkyNhap!#REF!,"AAAAADJn+zo=")</f>
        <v>#REF!</v>
      </c>
      <c r="BH146" t="e">
        <f>AND(NhatkyNhap!#REF!,"AAAAADJn+zs=")</f>
        <v>#REF!</v>
      </c>
      <c r="BI146" t="e">
        <f>AND(NhatkyNhap!#REF!,"AAAAADJn+zw=")</f>
        <v>#REF!</v>
      </c>
      <c r="BJ146" t="e">
        <f>AND(NhatkyNhap!#REF!,"AAAAADJn+z0=")</f>
        <v>#REF!</v>
      </c>
      <c r="BK146" t="e">
        <f>AND(NhatkyNhap!#REF!,"AAAAADJn+z4=")</f>
        <v>#REF!</v>
      </c>
      <c r="BL146" t="e">
        <f>AND(NhatkyNhap!#REF!,"AAAAADJn+z8=")</f>
        <v>#REF!</v>
      </c>
      <c r="BM146" t="e">
        <f>AND(NhatkyNhap!#REF!,"AAAAADJn+0A=")</f>
        <v>#REF!</v>
      </c>
      <c r="BN146" t="e">
        <f>IF(NhatkyNhap!#REF!,"AAAAADJn+0E=",0)</f>
        <v>#REF!</v>
      </c>
      <c r="BO146" t="e">
        <f>AND(NhatkyNhap!#REF!,"AAAAADJn+0I=")</f>
        <v>#REF!</v>
      </c>
      <c r="BP146" t="e">
        <f>AND(NhatkyNhap!#REF!,"AAAAADJn+0M=")</f>
        <v>#REF!</v>
      </c>
      <c r="BQ146" t="e">
        <f>AND(NhatkyNhap!#REF!,"AAAAADJn+0Q=")</f>
        <v>#REF!</v>
      </c>
      <c r="BR146" t="e">
        <f>AND(NhatkyNhap!#REF!,"AAAAADJn+0U=")</f>
        <v>#REF!</v>
      </c>
      <c r="BS146" t="e">
        <f>AND(NhatkyNhap!#REF!,"AAAAADJn+0Y=")</f>
        <v>#REF!</v>
      </c>
      <c r="BT146" t="e">
        <f>AND(NhatkyNhap!#REF!,"AAAAADJn+0c=")</f>
        <v>#REF!</v>
      </c>
      <c r="BU146" t="e">
        <f>AND(NhatkyNhap!#REF!,"AAAAADJn+0g=")</f>
        <v>#REF!</v>
      </c>
      <c r="BV146" t="e">
        <f>AND(NhatkyNhap!#REF!,"AAAAADJn+0k=")</f>
        <v>#REF!</v>
      </c>
      <c r="BW146" t="e">
        <f>AND(NhatkyNhap!#REF!,"AAAAADJn+0o=")</f>
        <v>#REF!</v>
      </c>
      <c r="BX146" t="e">
        <f>AND(NhatkyNhap!#REF!,"AAAAADJn+0s=")</f>
        <v>#REF!</v>
      </c>
      <c r="BY146" t="e">
        <f>AND(NhatkyNhap!#REF!,"AAAAADJn+0w=")</f>
        <v>#REF!</v>
      </c>
      <c r="BZ146" t="e">
        <f>AND(NhatkyNhap!#REF!,"AAAAADJn+00=")</f>
        <v>#REF!</v>
      </c>
      <c r="CA146" t="e">
        <f>AND(NhatkyNhap!#REF!,"AAAAADJn+04=")</f>
        <v>#REF!</v>
      </c>
      <c r="CB146" t="e">
        <f>AND(NhatkyNhap!#REF!,"AAAAADJn+08=")</f>
        <v>#REF!</v>
      </c>
      <c r="CC146" t="e">
        <f>AND(NhatkyNhap!#REF!,"AAAAADJn+1A=")</f>
        <v>#REF!</v>
      </c>
      <c r="CD146" t="e">
        <f>AND(NhatkyNhap!#REF!,"AAAAADJn+1E=")</f>
        <v>#REF!</v>
      </c>
      <c r="CE146" t="e">
        <f>AND(NhatkyNhap!#REF!,"AAAAADJn+1I=")</f>
        <v>#REF!</v>
      </c>
      <c r="CF146" t="e">
        <f>AND(NhatkyNhap!#REF!,"AAAAADJn+1M=")</f>
        <v>#REF!</v>
      </c>
      <c r="CG146" t="e">
        <f>AND(NhatkyNhap!#REF!,"AAAAADJn+1Q=")</f>
        <v>#REF!</v>
      </c>
      <c r="CH146" t="e">
        <f>AND(NhatkyNhap!#REF!,"AAAAADJn+1U=")</f>
        <v>#REF!</v>
      </c>
      <c r="CI146" t="e">
        <f>AND(NhatkyNhap!#REF!,"AAAAADJn+1Y=")</f>
        <v>#REF!</v>
      </c>
      <c r="CJ146" t="e">
        <f>AND(NhatkyNhap!#REF!,"AAAAADJn+1c=")</f>
        <v>#REF!</v>
      </c>
      <c r="CK146" t="e">
        <f>AND(NhatkyNhap!#REF!,"AAAAADJn+1g=")</f>
        <v>#REF!</v>
      </c>
      <c r="CL146" t="e">
        <f>AND(NhatkyNhap!#REF!,"AAAAADJn+1k=")</f>
        <v>#REF!</v>
      </c>
      <c r="CM146" t="e">
        <f>AND(NhatkyNhap!#REF!,"AAAAADJn+1o=")</f>
        <v>#REF!</v>
      </c>
      <c r="CN146" t="e">
        <f>AND(NhatkyNhap!#REF!,"AAAAADJn+1s=")</f>
        <v>#REF!</v>
      </c>
      <c r="CO146" t="e">
        <f>AND(NhatkyNhap!#REF!,"AAAAADJn+1w=")</f>
        <v>#REF!</v>
      </c>
      <c r="CP146" t="e">
        <f>AND(NhatkyNhap!#REF!,"AAAAADJn+10=")</f>
        <v>#REF!</v>
      </c>
      <c r="CQ146" t="e">
        <f>AND(NhatkyNhap!#REF!,"AAAAADJn+14=")</f>
        <v>#REF!</v>
      </c>
      <c r="CR146" t="e">
        <f>AND(NhatkyNhap!#REF!,"AAAAADJn+18=")</f>
        <v>#REF!</v>
      </c>
      <c r="CS146" t="e">
        <f>AND(NhatkyNhap!#REF!,"AAAAADJn+2A=")</f>
        <v>#REF!</v>
      </c>
      <c r="CT146" t="e">
        <f>AND(NhatkyNhap!#REF!,"AAAAADJn+2E=")</f>
        <v>#REF!</v>
      </c>
      <c r="CU146" t="e">
        <f>AND(NhatkyNhap!#REF!,"AAAAADJn+2I=")</f>
        <v>#REF!</v>
      </c>
      <c r="CV146" t="e">
        <f>AND(NhatkyNhap!#REF!,"AAAAADJn+2M=")</f>
        <v>#REF!</v>
      </c>
      <c r="CW146" t="e">
        <f>IF(NhatkyNhap!#REF!,"AAAAADJn+2Q=",0)</f>
        <v>#REF!</v>
      </c>
      <c r="CX146" t="e">
        <f>AND(NhatkyNhap!#REF!,"AAAAADJn+2U=")</f>
        <v>#REF!</v>
      </c>
      <c r="CY146" t="e">
        <f>AND(NhatkyNhap!#REF!,"AAAAADJn+2Y=")</f>
        <v>#REF!</v>
      </c>
      <c r="CZ146" t="e">
        <f>AND(NhatkyNhap!#REF!,"AAAAADJn+2c=")</f>
        <v>#REF!</v>
      </c>
      <c r="DA146" t="e">
        <f>AND(NhatkyNhap!#REF!,"AAAAADJn+2g=")</f>
        <v>#REF!</v>
      </c>
      <c r="DB146" t="e">
        <f>AND(NhatkyNhap!#REF!,"AAAAADJn+2k=")</f>
        <v>#REF!</v>
      </c>
      <c r="DC146" t="e">
        <f>AND(NhatkyNhap!#REF!,"AAAAADJn+2o=")</f>
        <v>#REF!</v>
      </c>
      <c r="DD146" t="e">
        <f>AND(NhatkyNhap!#REF!,"AAAAADJn+2s=")</f>
        <v>#REF!</v>
      </c>
      <c r="DE146" t="e">
        <f>AND(NhatkyNhap!#REF!,"AAAAADJn+2w=")</f>
        <v>#REF!</v>
      </c>
      <c r="DF146" t="e">
        <f>AND(NhatkyNhap!#REF!,"AAAAADJn+20=")</f>
        <v>#REF!</v>
      </c>
      <c r="DG146" t="e">
        <f>AND(NhatkyNhap!#REF!,"AAAAADJn+24=")</f>
        <v>#REF!</v>
      </c>
      <c r="DH146" t="e">
        <f>AND(NhatkyNhap!#REF!,"AAAAADJn+28=")</f>
        <v>#REF!</v>
      </c>
      <c r="DI146" t="e">
        <f>AND(NhatkyNhap!#REF!,"AAAAADJn+3A=")</f>
        <v>#REF!</v>
      </c>
      <c r="DJ146" t="e">
        <f>AND(NhatkyNhap!#REF!,"AAAAADJn+3E=")</f>
        <v>#REF!</v>
      </c>
      <c r="DK146" t="e">
        <f>AND(NhatkyNhap!#REF!,"AAAAADJn+3I=")</f>
        <v>#REF!</v>
      </c>
      <c r="DL146" t="e">
        <f>AND(NhatkyNhap!#REF!,"AAAAADJn+3M=")</f>
        <v>#REF!</v>
      </c>
      <c r="DM146" t="e">
        <f>AND(NhatkyNhap!#REF!,"AAAAADJn+3Q=")</f>
        <v>#REF!</v>
      </c>
      <c r="DN146" t="e">
        <f>AND(NhatkyNhap!#REF!,"AAAAADJn+3U=")</f>
        <v>#REF!</v>
      </c>
      <c r="DO146" t="e">
        <f>AND(NhatkyNhap!#REF!,"AAAAADJn+3Y=")</f>
        <v>#REF!</v>
      </c>
      <c r="DP146" t="e">
        <f>AND(NhatkyNhap!#REF!,"AAAAADJn+3c=")</f>
        <v>#REF!</v>
      </c>
      <c r="DQ146" t="e">
        <f>AND(NhatkyNhap!#REF!,"AAAAADJn+3g=")</f>
        <v>#REF!</v>
      </c>
      <c r="DR146" t="e">
        <f>AND(NhatkyNhap!#REF!,"AAAAADJn+3k=")</f>
        <v>#REF!</v>
      </c>
      <c r="DS146" t="e">
        <f>AND(NhatkyNhap!#REF!,"AAAAADJn+3o=")</f>
        <v>#REF!</v>
      </c>
      <c r="DT146" t="e">
        <f>AND(NhatkyNhap!#REF!,"AAAAADJn+3s=")</f>
        <v>#REF!</v>
      </c>
      <c r="DU146" t="e">
        <f>AND(NhatkyNhap!#REF!,"AAAAADJn+3w=")</f>
        <v>#REF!</v>
      </c>
      <c r="DV146" t="e">
        <f>AND(NhatkyNhap!#REF!,"AAAAADJn+30=")</f>
        <v>#REF!</v>
      </c>
      <c r="DW146" t="e">
        <f>AND(NhatkyNhap!#REF!,"AAAAADJn+34=")</f>
        <v>#REF!</v>
      </c>
      <c r="DX146" t="e">
        <f>AND(NhatkyNhap!#REF!,"AAAAADJn+38=")</f>
        <v>#REF!</v>
      </c>
      <c r="DY146" t="e">
        <f>AND(NhatkyNhap!#REF!,"AAAAADJn+4A=")</f>
        <v>#REF!</v>
      </c>
      <c r="DZ146" t="e">
        <f>AND(NhatkyNhap!#REF!,"AAAAADJn+4E=")</f>
        <v>#REF!</v>
      </c>
      <c r="EA146" t="e">
        <f>AND(NhatkyNhap!#REF!,"AAAAADJn+4I=")</f>
        <v>#REF!</v>
      </c>
      <c r="EB146" t="e">
        <f>AND(NhatkyNhap!#REF!,"AAAAADJn+4M=")</f>
        <v>#REF!</v>
      </c>
      <c r="EC146" t="e">
        <f>AND(NhatkyNhap!#REF!,"AAAAADJn+4Q=")</f>
        <v>#REF!</v>
      </c>
      <c r="ED146" t="e">
        <f>AND(NhatkyNhap!#REF!,"AAAAADJn+4U=")</f>
        <v>#REF!</v>
      </c>
      <c r="EE146" t="e">
        <f>AND(NhatkyNhap!#REF!,"AAAAADJn+4Y=")</f>
        <v>#REF!</v>
      </c>
      <c r="EF146" t="e">
        <f>IF(NhatkyNhap!#REF!,"AAAAADJn+4c=",0)</f>
        <v>#REF!</v>
      </c>
      <c r="EG146" t="e">
        <f>AND(NhatkyNhap!#REF!,"AAAAADJn+4g=")</f>
        <v>#REF!</v>
      </c>
      <c r="EH146" t="e">
        <f>AND(NhatkyNhap!#REF!,"AAAAADJn+4k=")</f>
        <v>#REF!</v>
      </c>
      <c r="EI146" t="e">
        <f>AND(NhatkyNhap!#REF!,"AAAAADJn+4o=")</f>
        <v>#REF!</v>
      </c>
      <c r="EJ146" t="e">
        <f>AND(NhatkyNhap!#REF!,"AAAAADJn+4s=")</f>
        <v>#REF!</v>
      </c>
      <c r="EK146" t="e">
        <f>AND(NhatkyNhap!#REF!,"AAAAADJn+4w=")</f>
        <v>#REF!</v>
      </c>
      <c r="EL146" t="e">
        <f>AND(NhatkyNhap!#REF!,"AAAAADJn+40=")</f>
        <v>#REF!</v>
      </c>
      <c r="EM146" t="e">
        <f>AND(NhatkyNhap!#REF!,"AAAAADJn+44=")</f>
        <v>#REF!</v>
      </c>
      <c r="EN146" t="e">
        <f>AND(NhatkyNhap!#REF!,"AAAAADJn+48=")</f>
        <v>#REF!</v>
      </c>
      <c r="EO146" t="e">
        <f>AND(NhatkyNhap!#REF!,"AAAAADJn+5A=")</f>
        <v>#REF!</v>
      </c>
      <c r="EP146" t="e">
        <f>AND(NhatkyNhap!#REF!,"AAAAADJn+5E=")</f>
        <v>#REF!</v>
      </c>
      <c r="EQ146" t="e">
        <f>AND(NhatkyNhap!#REF!,"AAAAADJn+5I=")</f>
        <v>#REF!</v>
      </c>
      <c r="ER146" t="e">
        <f>AND(NhatkyNhap!#REF!,"AAAAADJn+5M=")</f>
        <v>#REF!</v>
      </c>
      <c r="ES146" t="e">
        <f>AND(NhatkyNhap!#REF!,"AAAAADJn+5Q=")</f>
        <v>#REF!</v>
      </c>
      <c r="ET146" t="e">
        <f>AND(NhatkyNhap!#REF!,"AAAAADJn+5U=")</f>
        <v>#REF!</v>
      </c>
      <c r="EU146" t="e">
        <f>AND(NhatkyNhap!#REF!,"AAAAADJn+5Y=")</f>
        <v>#REF!</v>
      </c>
      <c r="EV146" t="e">
        <f>AND(NhatkyNhap!#REF!,"AAAAADJn+5c=")</f>
        <v>#REF!</v>
      </c>
      <c r="EW146" t="e">
        <f>AND(NhatkyNhap!#REF!,"AAAAADJn+5g=")</f>
        <v>#REF!</v>
      </c>
      <c r="EX146" t="e">
        <f>AND(NhatkyNhap!#REF!,"AAAAADJn+5k=")</f>
        <v>#REF!</v>
      </c>
      <c r="EY146" t="e">
        <f>AND(NhatkyNhap!#REF!,"AAAAADJn+5o=")</f>
        <v>#REF!</v>
      </c>
      <c r="EZ146" t="e">
        <f>AND(NhatkyNhap!#REF!,"AAAAADJn+5s=")</f>
        <v>#REF!</v>
      </c>
      <c r="FA146" t="e">
        <f>AND(NhatkyNhap!#REF!,"AAAAADJn+5w=")</f>
        <v>#REF!</v>
      </c>
      <c r="FB146" t="e">
        <f>AND(NhatkyNhap!#REF!,"AAAAADJn+50=")</f>
        <v>#REF!</v>
      </c>
      <c r="FC146" t="e">
        <f>AND(NhatkyNhap!#REF!,"AAAAADJn+54=")</f>
        <v>#REF!</v>
      </c>
      <c r="FD146" t="e">
        <f>AND(NhatkyNhap!#REF!,"AAAAADJn+58=")</f>
        <v>#REF!</v>
      </c>
      <c r="FE146" t="e">
        <f>AND(NhatkyNhap!#REF!,"AAAAADJn+6A=")</f>
        <v>#REF!</v>
      </c>
      <c r="FF146" t="e">
        <f>AND(NhatkyNhap!#REF!,"AAAAADJn+6E=")</f>
        <v>#REF!</v>
      </c>
      <c r="FG146" t="e">
        <f>AND(NhatkyNhap!#REF!,"AAAAADJn+6I=")</f>
        <v>#REF!</v>
      </c>
      <c r="FH146" t="e">
        <f>AND(NhatkyNhap!#REF!,"AAAAADJn+6M=")</f>
        <v>#REF!</v>
      </c>
      <c r="FI146" t="e">
        <f>AND(NhatkyNhap!#REF!,"AAAAADJn+6Q=")</f>
        <v>#REF!</v>
      </c>
      <c r="FJ146" t="e">
        <f>AND(NhatkyNhap!#REF!,"AAAAADJn+6U=")</f>
        <v>#REF!</v>
      </c>
      <c r="FK146" t="e">
        <f>AND(NhatkyNhap!#REF!,"AAAAADJn+6Y=")</f>
        <v>#REF!</v>
      </c>
      <c r="FL146" t="e">
        <f>AND(NhatkyNhap!#REF!,"AAAAADJn+6c=")</f>
        <v>#REF!</v>
      </c>
      <c r="FM146" t="e">
        <f>AND(NhatkyNhap!#REF!,"AAAAADJn+6g=")</f>
        <v>#REF!</v>
      </c>
      <c r="FN146" t="e">
        <f>AND(NhatkyNhap!#REF!,"AAAAADJn+6k=")</f>
        <v>#REF!</v>
      </c>
      <c r="FO146" t="e">
        <f>IF(NhatkyNhap!#REF!,"AAAAADJn+6o=",0)</f>
        <v>#REF!</v>
      </c>
      <c r="FP146" t="e">
        <f>AND(NhatkyNhap!#REF!,"AAAAADJn+6s=")</f>
        <v>#REF!</v>
      </c>
      <c r="FQ146" t="e">
        <f>AND(NhatkyNhap!#REF!,"AAAAADJn+6w=")</f>
        <v>#REF!</v>
      </c>
      <c r="FR146" t="e">
        <f>AND(NhatkyNhap!#REF!,"AAAAADJn+60=")</f>
        <v>#REF!</v>
      </c>
      <c r="FS146" t="e">
        <f>AND(NhatkyNhap!#REF!,"AAAAADJn+64=")</f>
        <v>#REF!</v>
      </c>
      <c r="FT146" t="e">
        <f>AND(NhatkyNhap!#REF!,"AAAAADJn+68=")</f>
        <v>#REF!</v>
      </c>
      <c r="FU146" t="e">
        <f>AND(NhatkyNhap!#REF!,"AAAAADJn+7A=")</f>
        <v>#REF!</v>
      </c>
      <c r="FV146" t="e">
        <f>AND(NhatkyNhap!#REF!,"AAAAADJn+7E=")</f>
        <v>#REF!</v>
      </c>
      <c r="FW146" t="e">
        <f>AND(NhatkyNhap!#REF!,"AAAAADJn+7I=")</f>
        <v>#REF!</v>
      </c>
      <c r="FX146" t="e">
        <f>AND(NhatkyNhap!#REF!,"AAAAADJn+7M=")</f>
        <v>#REF!</v>
      </c>
      <c r="FY146" t="e">
        <f>AND(NhatkyNhap!#REF!,"AAAAADJn+7Q=")</f>
        <v>#REF!</v>
      </c>
      <c r="FZ146" t="e">
        <f>AND(NhatkyNhap!#REF!,"AAAAADJn+7U=")</f>
        <v>#REF!</v>
      </c>
      <c r="GA146" t="e">
        <f>AND(NhatkyNhap!#REF!,"AAAAADJn+7Y=")</f>
        <v>#REF!</v>
      </c>
      <c r="GB146" t="e">
        <f>AND(NhatkyNhap!#REF!,"AAAAADJn+7c=")</f>
        <v>#REF!</v>
      </c>
      <c r="GC146" t="e">
        <f>AND(NhatkyNhap!#REF!,"AAAAADJn+7g=")</f>
        <v>#REF!</v>
      </c>
      <c r="GD146" t="e">
        <f>AND(NhatkyNhap!#REF!,"AAAAADJn+7k=")</f>
        <v>#REF!</v>
      </c>
      <c r="GE146" t="e">
        <f>AND(NhatkyNhap!#REF!,"AAAAADJn+7o=")</f>
        <v>#REF!</v>
      </c>
      <c r="GF146" t="e">
        <f>AND(NhatkyNhap!#REF!,"AAAAADJn+7s=")</f>
        <v>#REF!</v>
      </c>
      <c r="GG146" t="e">
        <f>AND(NhatkyNhap!#REF!,"AAAAADJn+7w=")</f>
        <v>#REF!</v>
      </c>
      <c r="GH146" t="e">
        <f>AND(NhatkyNhap!#REF!,"AAAAADJn+70=")</f>
        <v>#REF!</v>
      </c>
      <c r="GI146" t="e">
        <f>AND(NhatkyNhap!#REF!,"AAAAADJn+74=")</f>
        <v>#REF!</v>
      </c>
      <c r="GJ146" t="e">
        <f>AND(NhatkyNhap!#REF!,"AAAAADJn+78=")</f>
        <v>#REF!</v>
      </c>
      <c r="GK146" t="e">
        <f>AND(NhatkyNhap!#REF!,"AAAAADJn+8A=")</f>
        <v>#REF!</v>
      </c>
      <c r="GL146" t="e">
        <f>AND(NhatkyNhap!#REF!,"AAAAADJn+8E=")</f>
        <v>#REF!</v>
      </c>
      <c r="GM146" t="e">
        <f>AND(NhatkyNhap!#REF!,"AAAAADJn+8I=")</f>
        <v>#REF!</v>
      </c>
      <c r="GN146" t="e">
        <f>AND(NhatkyNhap!#REF!,"AAAAADJn+8M=")</f>
        <v>#REF!</v>
      </c>
      <c r="GO146" t="e">
        <f>AND(NhatkyNhap!#REF!,"AAAAADJn+8Q=")</f>
        <v>#REF!</v>
      </c>
      <c r="GP146" t="e">
        <f>AND(NhatkyNhap!#REF!,"AAAAADJn+8U=")</f>
        <v>#REF!</v>
      </c>
      <c r="GQ146" t="e">
        <f>AND(NhatkyNhap!#REF!,"AAAAADJn+8Y=")</f>
        <v>#REF!</v>
      </c>
      <c r="GR146" t="e">
        <f>AND(NhatkyNhap!#REF!,"AAAAADJn+8c=")</f>
        <v>#REF!</v>
      </c>
      <c r="GS146" t="e">
        <f>AND(NhatkyNhap!#REF!,"AAAAADJn+8g=")</f>
        <v>#REF!</v>
      </c>
      <c r="GT146" t="e">
        <f>AND(NhatkyNhap!#REF!,"AAAAADJn+8k=")</f>
        <v>#REF!</v>
      </c>
      <c r="GU146" t="e">
        <f>AND(NhatkyNhap!#REF!,"AAAAADJn+8o=")</f>
        <v>#REF!</v>
      </c>
      <c r="GV146" t="e">
        <f>AND(NhatkyNhap!#REF!,"AAAAADJn+8s=")</f>
        <v>#REF!</v>
      </c>
      <c r="GW146" t="e">
        <f>AND(NhatkyNhap!#REF!,"AAAAADJn+8w=")</f>
        <v>#REF!</v>
      </c>
      <c r="GX146" t="e">
        <f>IF(NhatkyNhap!#REF!,"AAAAADJn+80=",0)</f>
        <v>#REF!</v>
      </c>
      <c r="GY146" t="e">
        <f>AND(NhatkyNhap!#REF!,"AAAAADJn+84=")</f>
        <v>#REF!</v>
      </c>
      <c r="GZ146" t="e">
        <f>AND(NhatkyNhap!#REF!,"AAAAADJn+88=")</f>
        <v>#REF!</v>
      </c>
      <c r="HA146" t="e">
        <f>AND(NhatkyNhap!#REF!,"AAAAADJn+9A=")</f>
        <v>#REF!</v>
      </c>
      <c r="HB146" t="e">
        <f>AND(NhatkyNhap!#REF!,"AAAAADJn+9E=")</f>
        <v>#REF!</v>
      </c>
      <c r="HC146" t="e">
        <f>AND(NhatkyNhap!#REF!,"AAAAADJn+9I=")</f>
        <v>#REF!</v>
      </c>
      <c r="HD146" t="e">
        <f>AND(NhatkyNhap!#REF!,"AAAAADJn+9M=")</f>
        <v>#REF!</v>
      </c>
      <c r="HE146" t="e">
        <f>AND(NhatkyNhap!#REF!,"AAAAADJn+9Q=")</f>
        <v>#REF!</v>
      </c>
      <c r="HF146" t="e">
        <f>AND(NhatkyNhap!#REF!,"AAAAADJn+9U=")</f>
        <v>#REF!</v>
      </c>
      <c r="HG146" t="e">
        <f>AND(NhatkyNhap!#REF!,"AAAAADJn+9Y=")</f>
        <v>#REF!</v>
      </c>
      <c r="HH146" t="e">
        <f>AND(NhatkyNhap!#REF!,"AAAAADJn+9c=")</f>
        <v>#REF!</v>
      </c>
      <c r="HI146" t="e">
        <f>AND(NhatkyNhap!#REF!,"AAAAADJn+9g=")</f>
        <v>#REF!</v>
      </c>
      <c r="HJ146" t="e">
        <f>AND(NhatkyNhap!#REF!,"AAAAADJn+9k=")</f>
        <v>#REF!</v>
      </c>
      <c r="HK146" t="e">
        <f>AND(NhatkyNhap!#REF!,"AAAAADJn+9o=")</f>
        <v>#REF!</v>
      </c>
      <c r="HL146" t="e">
        <f>AND(NhatkyNhap!#REF!,"AAAAADJn+9s=")</f>
        <v>#REF!</v>
      </c>
      <c r="HM146" t="e">
        <f>AND(NhatkyNhap!#REF!,"AAAAADJn+9w=")</f>
        <v>#REF!</v>
      </c>
      <c r="HN146" t="e">
        <f>AND(NhatkyNhap!#REF!,"AAAAADJn+90=")</f>
        <v>#REF!</v>
      </c>
      <c r="HO146" t="e">
        <f>AND(NhatkyNhap!#REF!,"AAAAADJn+94=")</f>
        <v>#REF!</v>
      </c>
      <c r="HP146" t="e">
        <f>AND(NhatkyNhap!#REF!,"AAAAADJn+98=")</f>
        <v>#REF!</v>
      </c>
      <c r="HQ146" t="e">
        <f>AND(NhatkyNhap!#REF!,"AAAAADJn++A=")</f>
        <v>#REF!</v>
      </c>
      <c r="HR146" t="e">
        <f>AND(NhatkyNhap!#REF!,"AAAAADJn++E=")</f>
        <v>#REF!</v>
      </c>
      <c r="HS146" t="e">
        <f>AND(NhatkyNhap!#REF!,"AAAAADJn++I=")</f>
        <v>#REF!</v>
      </c>
      <c r="HT146" t="e">
        <f>AND(NhatkyNhap!#REF!,"AAAAADJn++M=")</f>
        <v>#REF!</v>
      </c>
      <c r="HU146" t="e">
        <f>AND(NhatkyNhap!#REF!,"AAAAADJn++Q=")</f>
        <v>#REF!</v>
      </c>
      <c r="HV146" t="e">
        <f>AND(NhatkyNhap!#REF!,"AAAAADJn++U=")</f>
        <v>#REF!</v>
      </c>
      <c r="HW146" t="e">
        <f>AND(NhatkyNhap!#REF!,"AAAAADJn++Y=")</f>
        <v>#REF!</v>
      </c>
      <c r="HX146" t="e">
        <f>AND(NhatkyNhap!#REF!,"AAAAADJn++c=")</f>
        <v>#REF!</v>
      </c>
      <c r="HY146" t="e">
        <f>AND(NhatkyNhap!#REF!,"AAAAADJn++g=")</f>
        <v>#REF!</v>
      </c>
      <c r="HZ146" t="e">
        <f>AND(NhatkyNhap!#REF!,"AAAAADJn++k=")</f>
        <v>#REF!</v>
      </c>
      <c r="IA146" t="e">
        <f>AND(NhatkyNhap!#REF!,"AAAAADJn++o=")</f>
        <v>#REF!</v>
      </c>
      <c r="IB146" t="e">
        <f>AND(NhatkyNhap!#REF!,"AAAAADJn++s=")</f>
        <v>#REF!</v>
      </c>
      <c r="IC146" t="e">
        <f>AND(NhatkyNhap!#REF!,"AAAAADJn++w=")</f>
        <v>#REF!</v>
      </c>
      <c r="ID146" t="e">
        <f>AND(NhatkyNhap!#REF!,"AAAAADJn++0=")</f>
        <v>#REF!</v>
      </c>
      <c r="IE146" t="e">
        <f>AND(NhatkyNhap!#REF!,"AAAAADJn++4=")</f>
        <v>#REF!</v>
      </c>
      <c r="IF146" t="e">
        <f>AND(NhatkyNhap!#REF!,"AAAAADJn++8=")</f>
        <v>#REF!</v>
      </c>
      <c r="IG146" t="e">
        <f>IF(NhatkyNhap!#REF!,"AAAAADJn+/A=",0)</f>
        <v>#REF!</v>
      </c>
      <c r="IH146" t="e">
        <f>AND(NhatkyNhap!#REF!,"AAAAADJn+/E=")</f>
        <v>#REF!</v>
      </c>
      <c r="II146" t="e">
        <f>AND(NhatkyNhap!#REF!,"AAAAADJn+/I=")</f>
        <v>#REF!</v>
      </c>
      <c r="IJ146" t="e">
        <f>AND(NhatkyNhap!#REF!,"AAAAADJn+/M=")</f>
        <v>#REF!</v>
      </c>
      <c r="IK146" t="e">
        <f>AND(NhatkyNhap!#REF!,"AAAAADJn+/Q=")</f>
        <v>#REF!</v>
      </c>
      <c r="IL146" t="e">
        <f>AND(NhatkyNhap!#REF!,"AAAAADJn+/U=")</f>
        <v>#REF!</v>
      </c>
      <c r="IM146" t="e">
        <f>AND(NhatkyNhap!#REF!,"AAAAADJn+/Y=")</f>
        <v>#REF!</v>
      </c>
      <c r="IN146" t="e">
        <f>AND(NhatkyNhap!#REF!,"AAAAADJn+/c=")</f>
        <v>#REF!</v>
      </c>
      <c r="IO146" t="e">
        <f>AND(NhatkyNhap!#REF!,"AAAAADJn+/g=")</f>
        <v>#REF!</v>
      </c>
      <c r="IP146" t="e">
        <f>AND(NhatkyNhap!#REF!,"AAAAADJn+/k=")</f>
        <v>#REF!</v>
      </c>
      <c r="IQ146" t="e">
        <f>AND(NhatkyNhap!#REF!,"AAAAADJn+/o=")</f>
        <v>#REF!</v>
      </c>
      <c r="IR146" t="e">
        <f>AND(NhatkyNhap!#REF!,"AAAAADJn+/s=")</f>
        <v>#REF!</v>
      </c>
      <c r="IS146" t="e">
        <f>AND(NhatkyNhap!#REF!,"AAAAADJn+/w=")</f>
        <v>#REF!</v>
      </c>
      <c r="IT146" t="e">
        <f>AND(NhatkyNhap!#REF!,"AAAAADJn+/0=")</f>
        <v>#REF!</v>
      </c>
      <c r="IU146" t="e">
        <f>AND(NhatkyNhap!#REF!,"AAAAADJn+/4=")</f>
        <v>#REF!</v>
      </c>
      <c r="IV146" t="e">
        <f>AND(NhatkyNhap!#REF!,"AAAAADJn+/8=")</f>
        <v>#REF!</v>
      </c>
    </row>
    <row r="147" spans="1:256">
      <c r="A147" t="e">
        <f>AND(NhatkyNhap!#REF!,"AAAAAB+v/wA=")</f>
        <v>#REF!</v>
      </c>
      <c r="B147" t="e">
        <f>AND(NhatkyNhap!#REF!,"AAAAAB+v/wE=")</f>
        <v>#REF!</v>
      </c>
      <c r="C147" t="e">
        <f>AND(NhatkyNhap!#REF!,"AAAAAB+v/wI=")</f>
        <v>#REF!</v>
      </c>
      <c r="D147" t="e">
        <f>AND(NhatkyNhap!#REF!,"AAAAAB+v/wM=")</f>
        <v>#REF!</v>
      </c>
      <c r="E147" t="e">
        <f>AND(NhatkyNhap!#REF!,"AAAAAB+v/wQ=")</f>
        <v>#REF!</v>
      </c>
      <c r="F147" t="e">
        <f>AND(NhatkyNhap!#REF!,"AAAAAB+v/wU=")</f>
        <v>#REF!</v>
      </c>
      <c r="G147" t="e">
        <f>AND(NhatkyNhap!#REF!,"AAAAAB+v/wY=")</f>
        <v>#REF!</v>
      </c>
      <c r="H147" t="e">
        <f>AND(NhatkyNhap!#REF!,"AAAAAB+v/wc=")</f>
        <v>#REF!</v>
      </c>
      <c r="I147" t="e">
        <f>AND(NhatkyNhap!#REF!,"AAAAAB+v/wg=")</f>
        <v>#REF!</v>
      </c>
      <c r="J147" t="e">
        <f>AND(NhatkyNhap!#REF!,"AAAAAB+v/wk=")</f>
        <v>#REF!</v>
      </c>
      <c r="K147" t="e">
        <f>AND(NhatkyNhap!#REF!,"AAAAAB+v/wo=")</f>
        <v>#REF!</v>
      </c>
      <c r="L147" t="e">
        <f>AND(NhatkyNhap!#REF!,"AAAAAB+v/ws=")</f>
        <v>#REF!</v>
      </c>
      <c r="M147" t="e">
        <f>AND(NhatkyNhap!#REF!,"AAAAAB+v/ww=")</f>
        <v>#REF!</v>
      </c>
      <c r="N147" t="e">
        <f>AND(NhatkyNhap!#REF!,"AAAAAB+v/w0=")</f>
        <v>#REF!</v>
      </c>
      <c r="O147" t="e">
        <f>AND(NhatkyNhap!#REF!,"AAAAAB+v/w4=")</f>
        <v>#REF!</v>
      </c>
      <c r="P147" t="e">
        <f>AND(NhatkyNhap!#REF!,"AAAAAB+v/w8=")</f>
        <v>#REF!</v>
      </c>
      <c r="Q147" t="e">
        <f>AND(NhatkyNhap!#REF!,"AAAAAB+v/xA=")</f>
        <v>#REF!</v>
      </c>
      <c r="R147" t="e">
        <f>AND(NhatkyNhap!#REF!,"AAAAAB+v/xE=")</f>
        <v>#REF!</v>
      </c>
      <c r="S147" t="e">
        <f>AND(NhatkyNhap!#REF!,"AAAAAB+v/xI=")</f>
        <v>#REF!</v>
      </c>
      <c r="T147" t="e">
        <f>IF(NhatkyNhap!#REF!,"AAAAAB+v/xM=",0)</f>
        <v>#REF!</v>
      </c>
      <c r="U147" t="e">
        <f>AND(NhatkyNhap!#REF!,"AAAAAB+v/xQ=")</f>
        <v>#REF!</v>
      </c>
      <c r="V147" t="e">
        <f>AND(NhatkyNhap!#REF!,"AAAAAB+v/xU=")</f>
        <v>#REF!</v>
      </c>
      <c r="W147" t="e">
        <f>AND(NhatkyNhap!#REF!,"AAAAAB+v/xY=")</f>
        <v>#REF!</v>
      </c>
      <c r="X147" t="e">
        <f>AND(NhatkyNhap!#REF!,"AAAAAB+v/xc=")</f>
        <v>#REF!</v>
      </c>
      <c r="Y147" t="e">
        <f>AND(NhatkyNhap!#REF!,"AAAAAB+v/xg=")</f>
        <v>#REF!</v>
      </c>
      <c r="Z147" t="e">
        <f>AND(NhatkyNhap!#REF!,"AAAAAB+v/xk=")</f>
        <v>#REF!</v>
      </c>
      <c r="AA147" t="e">
        <f>AND(NhatkyNhap!#REF!,"AAAAAB+v/xo=")</f>
        <v>#REF!</v>
      </c>
      <c r="AB147" t="e">
        <f>AND(NhatkyNhap!#REF!,"AAAAAB+v/xs=")</f>
        <v>#REF!</v>
      </c>
      <c r="AC147" t="e">
        <f>AND(NhatkyNhap!#REF!,"AAAAAB+v/xw=")</f>
        <v>#REF!</v>
      </c>
      <c r="AD147" t="e">
        <f>AND(NhatkyNhap!#REF!,"AAAAAB+v/x0=")</f>
        <v>#REF!</v>
      </c>
      <c r="AE147" t="e">
        <f>AND(NhatkyNhap!#REF!,"AAAAAB+v/x4=")</f>
        <v>#REF!</v>
      </c>
      <c r="AF147" t="e">
        <f>AND(NhatkyNhap!#REF!,"AAAAAB+v/x8=")</f>
        <v>#REF!</v>
      </c>
      <c r="AG147" t="e">
        <f>AND(NhatkyNhap!#REF!,"AAAAAB+v/yA=")</f>
        <v>#REF!</v>
      </c>
      <c r="AH147" t="e">
        <f>AND(NhatkyNhap!#REF!,"AAAAAB+v/yE=")</f>
        <v>#REF!</v>
      </c>
      <c r="AI147" t="e">
        <f>AND(NhatkyNhap!#REF!,"AAAAAB+v/yI=")</f>
        <v>#REF!</v>
      </c>
      <c r="AJ147" t="e">
        <f>AND(NhatkyNhap!#REF!,"AAAAAB+v/yM=")</f>
        <v>#REF!</v>
      </c>
      <c r="AK147" t="e">
        <f>AND(NhatkyNhap!#REF!,"AAAAAB+v/yQ=")</f>
        <v>#REF!</v>
      </c>
      <c r="AL147" t="e">
        <f>AND(NhatkyNhap!#REF!,"AAAAAB+v/yU=")</f>
        <v>#REF!</v>
      </c>
      <c r="AM147" t="e">
        <f>AND(NhatkyNhap!#REF!,"AAAAAB+v/yY=")</f>
        <v>#REF!</v>
      </c>
      <c r="AN147" t="e">
        <f>AND(NhatkyNhap!#REF!,"AAAAAB+v/yc=")</f>
        <v>#REF!</v>
      </c>
      <c r="AO147" t="e">
        <f>AND(NhatkyNhap!#REF!,"AAAAAB+v/yg=")</f>
        <v>#REF!</v>
      </c>
      <c r="AP147" t="e">
        <f>AND(NhatkyNhap!#REF!,"AAAAAB+v/yk=")</f>
        <v>#REF!</v>
      </c>
      <c r="AQ147" t="e">
        <f>AND(NhatkyNhap!#REF!,"AAAAAB+v/yo=")</f>
        <v>#REF!</v>
      </c>
      <c r="AR147" t="e">
        <f>AND(NhatkyNhap!#REF!,"AAAAAB+v/ys=")</f>
        <v>#REF!</v>
      </c>
      <c r="AS147" t="e">
        <f>AND(NhatkyNhap!#REF!,"AAAAAB+v/yw=")</f>
        <v>#REF!</v>
      </c>
      <c r="AT147" t="e">
        <f>AND(NhatkyNhap!#REF!,"AAAAAB+v/y0=")</f>
        <v>#REF!</v>
      </c>
      <c r="AU147" t="e">
        <f>AND(NhatkyNhap!#REF!,"AAAAAB+v/y4=")</f>
        <v>#REF!</v>
      </c>
      <c r="AV147" t="e">
        <f>AND(NhatkyNhap!#REF!,"AAAAAB+v/y8=")</f>
        <v>#REF!</v>
      </c>
      <c r="AW147" t="e">
        <f>AND(NhatkyNhap!#REF!,"AAAAAB+v/zA=")</f>
        <v>#REF!</v>
      </c>
      <c r="AX147" t="e">
        <f>AND(NhatkyNhap!#REF!,"AAAAAB+v/zE=")</f>
        <v>#REF!</v>
      </c>
      <c r="AY147" t="e">
        <f>AND(NhatkyNhap!#REF!,"AAAAAB+v/zI=")</f>
        <v>#REF!</v>
      </c>
      <c r="AZ147" t="e">
        <f>AND(NhatkyNhap!#REF!,"AAAAAB+v/zM=")</f>
        <v>#REF!</v>
      </c>
      <c r="BA147" t="e">
        <f>AND(NhatkyNhap!#REF!,"AAAAAB+v/zQ=")</f>
        <v>#REF!</v>
      </c>
      <c r="BB147" t="e">
        <f>AND(NhatkyNhap!#REF!,"AAAAAB+v/zU=")</f>
        <v>#REF!</v>
      </c>
      <c r="BC147" t="e">
        <f>IF(NhatkyNhap!#REF!,"AAAAAB+v/zY=",0)</f>
        <v>#REF!</v>
      </c>
      <c r="BD147" t="e">
        <f>AND(NhatkyNhap!#REF!,"AAAAAB+v/zc=")</f>
        <v>#REF!</v>
      </c>
      <c r="BE147" t="e">
        <f>AND(NhatkyNhap!#REF!,"AAAAAB+v/zg=")</f>
        <v>#REF!</v>
      </c>
      <c r="BF147" t="e">
        <f>AND(NhatkyNhap!#REF!,"AAAAAB+v/zk=")</f>
        <v>#REF!</v>
      </c>
      <c r="BG147" t="e">
        <f>AND(NhatkyNhap!#REF!,"AAAAAB+v/zo=")</f>
        <v>#REF!</v>
      </c>
      <c r="BH147" t="e">
        <f>AND(NhatkyNhap!#REF!,"AAAAAB+v/zs=")</f>
        <v>#REF!</v>
      </c>
      <c r="BI147" t="e">
        <f>AND(NhatkyNhap!#REF!,"AAAAAB+v/zw=")</f>
        <v>#REF!</v>
      </c>
      <c r="BJ147" t="e">
        <f>AND(NhatkyNhap!#REF!,"AAAAAB+v/z0=")</f>
        <v>#REF!</v>
      </c>
      <c r="BK147" t="e">
        <f>AND(NhatkyNhap!#REF!,"AAAAAB+v/z4=")</f>
        <v>#REF!</v>
      </c>
      <c r="BL147" t="e">
        <f>AND(NhatkyNhap!#REF!,"AAAAAB+v/z8=")</f>
        <v>#REF!</v>
      </c>
      <c r="BM147" t="e">
        <f>AND(NhatkyNhap!#REF!,"AAAAAB+v/0A=")</f>
        <v>#REF!</v>
      </c>
      <c r="BN147" t="e">
        <f>AND(NhatkyNhap!#REF!,"AAAAAB+v/0E=")</f>
        <v>#REF!</v>
      </c>
      <c r="BO147" t="e">
        <f>AND(NhatkyNhap!#REF!,"AAAAAB+v/0I=")</f>
        <v>#REF!</v>
      </c>
      <c r="BP147" t="e">
        <f>AND(NhatkyNhap!#REF!,"AAAAAB+v/0M=")</f>
        <v>#REF!</v>
      </c>
      <c r="BQ147" t="e">
        <f>AND(NhatkyNhap!#REF!,"AAAAAB+v/0Q=")</f>
        <v>#REF!</v>
      </c>
      <c r="BR147" t="e">
        <f>AND(NhatkyNhap!#REF!,"AAAAAB+v/0U=")</f>
        <v>#REF!</v>
      </c>
      <c r="BS147" t="e">
        <f>AND(NhatkyNhap!#REF!,"AAAAAB+v/0Y=")</f>
        <v>#REF!</v>
      </c>
      <c r="BT147" t="e">
        <f>AND(NhatkyNhap!#REF!,"AAAAAB+v/0c=")</f>
        <v>#REF!</v>
      </c>
      <c r="BU147" t="e">
        <f>AND(NhatkyNhap!#REF!,"AAAAAB+v/0g=")</f>
        <v>#REF!</v>
      </c>
      <c r="BV147" t="e">
        <f>AND(NhatkyNhap!#REF!,"AAAAAB+v/0k=")</f>
        <v>#REF!</v>
      </c>
      <c r="BW147" t="e">
        <f>AND(NhatkyNhap!#REF!,"AAAAAB+v/0o=")</f>
        <v>#REF!</v>
      </c>
      <c r="BX147" t="e">
        <f>AND(NhatkyNhap!#REF!,"AAAAAB+v/0s=")</f>
        <v>#REF!</v>
      </c>
      <c r="BY147" t="e">
        <f>AND(NhatkyNhap!#REF!,"AAAAAB+v/0w=")</f>
        <v>#REF!</v>
      </c>
      <c r="BZ147" t="e">
        <f>AND(NhatkyNhap!#REF!,"AAAAAB+v/00=")</f>
        <v>#REF!</v>
      </c>
      <c r="CA147" t="e">
        <f>AND(NhatkyNhap!#REF!,"AAAAAB+v/04=")</f>
        <v>#REF!</v>
      </c>
      <c r="CB147" t="e">
        <f>AND(NhatkyNhap!#REF!,"AAAAAB+v/08=")</f>
        <v>#REF!</v>
      </c>
      <c r="CC147" t="e">
        <f>AND(NhatkyNhap!#REF!,"AAAAAB+v/1A=")</f>
        <v>#REF!</v>
      </c>
      <c r="CD147" t="e">
        <f>AND(NhatkyNhap!#REF!,"AAAAAB+v/1E=")</f>
        <v>#REF!</v>
      </c>
      <c r="CE147" t="e">
        <f>AND(NhatkyNhap!#REF!,"AAAAAB+v/1I=")</f>
        <v>#REF!</v>
      </c>
      <c r="CF147" t="e">
        <f>AND(NhatkyNhap!#REF!,"AAAAAB+v/1M=")</f>
        <v>#REF!</v>
      </c>
      <c r="CG147" t="e">
        <f>AND(NhatkyNhap!#REF!,"AAAAAB+v/1Q=")</f>
        <v>#REF!</v>
      </c>
      <c r="CH147" t="e">
        <f>AND(NhatkyNhap!#REF!,"AAAAAB+v/1U=")</f>
        <v>#REF!</v>
      </c>
      <c r="CI147" t="e">
        <f>AND(NhatkyNhap!#REF!,"AAAAAB+v/1Y=")</f>
        <v>#REF!</v>
      </c>
      <c r="CJ147" t="e">
        <f>AND(NhatkyNhap!#REF!,"AAAAAB+v/1c=")</f>
        <v>#REF!</v>
      </c>
      <c r="CK147" t="e">
        <f>AND(NhatkyNhap!#REF!,"AAAAAB+v/1g=")</f>
        <v>#REF!</v>
      </c>
      <c r="CL147" t="e">
        <f>IF(NhatkyNhap!#REF!,"AAAAAB+v/1k=",0)</f>
        <v>#REF!</v>
      </c>
      <c r="CM147" t="e">
        <f>AND(NhatkyNhap!#REF!,"AAAAAB+v/1o=")</f>
        <v>#REF!</v>
      </c>
      <c r="CN147" t="e">
        <f>AND(NhatkyNhap!#REF!,"AAAAAB+v/1s=")</f>
        <v>#REF!</v>
      </c>
      <c r="CO147" t="e">
        <f>AND(NhatkyNhap!#REF!,"AAAAAB+v/1w=")</f>
        <v>#REF!</v>
      </c>
      <c r="CP147" t="e">
        <f>AND(NhatkyNhap!#REF!,"AAAAAB+v/10=")</f>
        <v>#REF!</v>
      </c>
      <c r="CQ147" t="e">
        <f>AND(NhatkyNhap!#REF!,"AAAAAB+v/14=")</f>
        <v>#REF!</v>
      </c>
      <c r="CR147" t="e">
        <f>AND(NhatkyNhap!#REF!,"AAAAAB+v/18=")</f>
        <v>#REF!</v>
      </c>
      <c r="CS147" t="e">
        <f>AND(NhatkyNhap!#REF!,"AAAAAB+v/2A=")</f>
        <v>#REF!</v>
      </c>
      <c r="CT147" t="e">
        <f>AND(NhatkyNhap!#REF!,"AAAAAB+v/2E=")</f>
        <v>#REF!</v>
      </c>
      <c r="CU147" t="e">
        <f>AND(NhatkyNhap!#REF!,"AAAAAB+v/2I=")</f>
        <v>#REF!</v>
      </c>
      <c r="CV147" t="e">
        <f>AND(NhatkyNhap!#REF!,"AAAAAB+v/2M=")</f>
        <v>#REF!</v>
      </c>
      <c r="CW147" t="e">
        <f>AND(NhatkyNhap!#REF!,"AAAAAB+v/2Q=")</f>
        <v>#REF!</v>
      </c>
      <c r="CX147" t="e">
        <f>AND(NhatkyNhap!#REF!,"AAAAAB+v/2U=")</f>
        <v>#REF!</v>
      </c>
      <c r="CY147" t="e">
        <f>AND(NhatkyNhap!#REF!,"AAAAAB+v/2Y=")</f>
        <v>#REF!</v>
      </c>
      <c r="CZ147" t="e">
        <f>AND(NhatkyNhap!#REF!,"AAAAAB+v/2c=")</f>
        <v>#REF!</v>
      </c>
      <c r="DA147" t="e">
        <f>AND(NhatkyNhap!#REF!,"AAAAAB+v/2g=")</f>
        <v>#REF!</v>
      </c>
      <c r="DB147" t="e">
        <f>AND(NhatkyNhap!#REF!,"AAAAAB+v/2k=")</f>
        <v>#REF!</v>
      </c>
      <c r="DC147" t="e">
        <f>AND(NhatkyNhap!#REF!,"AAAAAB+v/2o=")</f>
        <v>#REF!</v>
      </c>
      <c r="DD147" t="e">
        <f>AND(NhatkyNhap!#REF!,"AAAAAB+v/2s=")</f>
        <v>#REF!</v>
      </c>
      <c r="DE147" t="e">
        <f>AND(NhatkyNhap!#REF!,"AAAAAB+v/2w=")</f>
        <v>#REF!</v>
      </c>
      <c r="DF147" t="e">
        <f>AND(NhatkyNhap!#REF!,"AAAAAB+v/20=")</f>
        <v>#REF!</v>
      </c>
      <c r="DG147" t="e">
        <f>AND(NhatkyNhap!#REF!,"AAAAAB+v/24=")</f>
        <v>#REF!</v>
      </c>
      <c r="DH147" t="e">
        <f>AND(NhatkyNhap!#REF!,"AAAAAB+v/28=")</f>
        <v>#REF!</v>
      </c>
      <c r="DI147" t="e">
        <f>AND(NhatkyNhap!#REF!,"AAAAAB+v/3A=")</f>
        <v>#REF!</v>
      </c>
      <c r="DJ147" t="e">
        <f>AND(NhatkyNhap!#REF!,"AAAAAB+v/3E=")</f>
        <v>#REF!</v>
      </c>
      <c r="DK147" t="e">
        <f>AND(NhatkyNhap!#REF!,"AAAAAB+v/3I=")</f>
        <v>#REF!</v>
      </c>
      <c r="DL147" t="e">
        <f>AND(NhatkyNhap!#REF!,"AAAAAB+v/3M=")</f>
        <v>#REF!</v>
      </c>
      <c r="DM147" t="e">
        <f>AND(NhatkyNhap!#REF!,"AAAAAB+v/3Q=")</f>
        <v>#REF!</v>
      </c>
      <c r="DN147" t="e">
        <f>AND(NhatkyNhap!#REF!,"AAAAAB+v/3U=")</f>
        <v>#REF!</v>
      </c>
      <c r="DO147" t="e">
        <f>AND(NhatkyNhap!#REF!,"AAAAAB+v/3Y=")</f>
        <v>#REF!</v>
      </c>
      <c r="DP147" t="e">
        <f>AND(NhatkyNhap!#REF!,"AAAAAB+v/3c=")</f>
        <v>#REF!</v>
      </c>
      <c r="DQ147" t="e">
        <f>AND(NhatkyNhap!#REF!,"AAAAAB+v/3g=")</f>
        <v>#REF!</v>
      </c>
      <c r="DR147" t="e">
        <f>AND(NhatkyNhap!#REF!,"AAAAAB+v/3k=")</f>
        <v>#REF!</v>
      </c>
      <c r="DS147" t="e">
        <f>AND(NhatkyNhap!#REF!,"AAAAAB+v/3o=")</f>
        <v>#REF!</v>
      </c>
      <c r="DT147" t="e">
        <f>AND(NhatkyNhap!#REF!,"AAAAAB+v/3s=")</f>
        <v>#REF!</v>
      </c>
      <c r="DU147" t="e">
        <f>IF(NhatkyNhap!#REF!,"AAAAAB+v/3w=",0)</f>
        <v>#REF!</v>
      </c>
      <c r="DV147" t="e">
        <f>AND(NhatkyNhap!#REF!,"AAAAAB+v/30=")</f>
        <v>#REF!</v>
      </c>
      <c r="DW147" t="e">
        <f>AND(NhatkyNhap!#REF!,"AAAAAB+v/34=")</f>
        <v>#REF!</v>
      </c>
      <c r="DX147" t="e">
        <f>AND(NhatkyNhap!#REF!,"AAAAAB+v/38=")</f>
        <v>#REF!</v>
      </c>
      <c r="DY147" t="e">
        <f>AND(NhatkyNhap!#REF!,"AAAAAB+v/4A=")</f>
        <v>#REF!</v>
      </c>
      <c r="DZ147" t="e">
        <f>AND(NhatkyNhap!#REF!,"AAAAAB+v/4E=")</f>
        <v>#REF!</v>
      </c>
      <c r="EA147" t="e">
        <f>AND(NhatkyNhap!#REF!,"AAAAAB+v/4I=")</f>
        <v>#REF!</v>
      </c>
      <c r="EB147" t="e">
        <f>AND(NhatkyNhap!#REF!,"AAAAAB+v/4M=")</f>
        <v>#REF!</v>
      </c>
      <c r="EC147" t="e">
        <f>AND(NhatkyNhap!#REF!,"AAAAAB+v/4Q=")</f>
        <v>#REF!</v>
      </c>
      <c r="ED147" t="e">
        <f>AND(NhatkyNhap!#REF!,"AAAAAB+v/4U=")</f>
        <v>#REF!</v>
      </c>
      <c r="EE147" t="e">
        <f>AND(NhatkyNhap!#REF!,"AAAAAB+v/4Y=")</f>
        <v>#REF!</v>
      </c>
      <c r="EF147" t="e">
        <f>AND(NhatkyNhap!#REF!,"AAAAAB+v/4c=")</f>
        <v>#REF!</v>
      </c>
      <c r="EG147" t="e">
        <f>AND(NhatkyNhap!#REF!,"AAAAAB+v/4g=")</f>
        <v>#REF!</v>
      </c>
      <c r="EH147" t="e">
        <f>AND(NhatkyNhap!#REF!,"AAAAAB+v/4k=")</f>
        <v>#REF!</v>
      </c>
      <c r="EI147" t="e">
        <f>AND(NhatkyNhap!#REF!,"AAAAAB+v/4o=")</f>
        <v>#REF!</v>
      </c>
      <c r="EJ147" t="e">
        <f>AND(NhatkyNhap!#REF!,"AAAAAB+v/4s=")</f>
        <v>#REF!</v>
      </c>
      <c r="EK147" t="e">
        <f>AND(NhatkyNhap!#REF!,"AAAAAB+v/4w=")</f>
        <v>#REF!</v>
      </c>
      <c r="EL147" t="e">
        <f>AND(NhatkyNhap!#REF!,"AAAAAB+v/40=")</f>
        <v>#REF!</v>
      </c>
      <c r="EM147" t="e">
        <f>AND(NhatkyNhap!#REF!,"AAAAAB+v/44=")</f>
        <v>#REF!</v>
      </c>
      <c r="EN147" t="e">
        <f>AND(NhatkyNhap!#REF!,"AAAAAB+v/48=")</f>
        <v>#REF!</v>
      </c>
      <c r="EO147" t="e">
        <f>AND(NhatkyNhap!#REF!,"AAAAAB+v/5A=")</f>
        <v>#REF!</v>
      </c>
      <c r="EP147" t="e">
        <f>AND(NhatkyNhap!#REF!,"AAAAAB+v/5E=")</f>
        <v>#REF!</v>
      </c>
      <c r="EQ147" t="e">
        <f>AND(NhatkyNhap!#REF!,"AAAAAB+v/5I=")</f>
        <v>#REF!</v>
      </c>
      <c r="ER147" t="e">
        <f>AND(NhatkyNhap!#REF!,"AAAAAB+v/5M=")</f>
        <v>#REF!</v>
      </c>
      <c r="ES147" t="e">
        <f>AND(NhatkyNhap!#REF!,"AAAAAB+v/5Q=")</f>
        <v>#REF!</v>
      </c>
      <c r="ET147" t="e">
        <f>AND(NhatkyNhap!#REF!,"AAAAAB+v/5U=")</f>
        <v>#REF!</v>
      </c>
      <c r="EU147" t="e">
        <f>AND(NhatkyNhap!#REF!,"AAAAAB+v/5Y=")</f>
        <v>#REF!</v>
      </c>
      <c r="EV147" t="e">
        <f>AND(NhatkyNhap!#REF!,"AAAAAB+v/5c=")</f>
        <v>#REF!</v>
      </c>
      <c r="EW147" t="e">
        <f>AND(NhatkyNhap!#REF!,"AAAAAB+v/5g=")</f>
        <v>#REF!</v>
      </c>
      <c r="EX147" t="e">
        <f>AND(NhatkyNhap!#REF!,"AAAAAB+v/5k=")</f>
        <v>#REF!</v>
      </c>
      <c r="EY147" t="e">
        <f>AND(NhatkyNhap!#REF!,"AAAAAB+v/5o=")</f>
        <v>#REF!</v>
      </c>
      <c r="EZ147" t="e">
        <f>AND(NhatkyNhap!#REF!,"AAAAAB+v/5s=")</f>
        <v>#REF!</v>
      </c>
      <c r="FA147" t="e">
        <f>AND(NhatkyNhap!#REF!,"AAAAAB+v/5w=")</f>
        <v>#REF!</v>
      </c>
      <c r="FB147" t="e">
        <f>AND(NhatkyNhap!#REF!,"AAAAAB+v/50=")</f>
        <v>#REF!</v>
      </c>
      <c r="FC147" t="e">
        <f>AND(NhatkyNhap!#REF!,"AAAAAB+v/54=")</f>
        <v>#REF!</v>
      </c>
      <c r="FD147" t="e">
        <f>IF(NhatkyNhap!#REF!,"AAAAAB+v/58=",0)</f>
        <v>#REF!</v>
      </c>
      <c r="FE147" t="e">
        <f>AND(NhatkyNhap!#REF!,"AAAAAB+v/6A=")</f>
        <v>#REF!</v>
      </c>
      <c r="FF147" t="e">
        <f>AND(NhatkyNhap!#REF!,"AAAAAB+v/6E=")</f>
        <v>#REF!</v>
      </c>
      <c r="FG147" t="e">
        <f>AND(NhatkyNhap!#REF!,"AAAAAB+v/6I=")</f>
        <v>#REF!</v>
      </c>
      <c r="FH147" t="e">
        <f>AND(NhatkyNhap!#REF!,"AAAAAB+v/6M=")</f>
        <v>#REF!</v>
      </c>
      <c r="FI147" t="e">
        <f>AND(NhatkyNhap!#REF!,"AAAAAB+v/6Q=")</f>
        <v>#REF!</v>
      </c>
      <c r="FJ147" t="e">
        <f>AND(NhatkyNhap!#REF!,"AAAAAB+v/6U=")</f>
        <v>#REF!</v>
      </c>
      <c r="FK147" t="e">
        <f>AND(NhatkyNhap!#REF!,"AAAAAB+v/6Y=")</f>
        <v>#REF!</v>
      </c>
      <c r="FL147" t="e">
        <f>AND(NhatkyNhap!#REF!,"AAAAAB+v/6c=")</f>
        <v>#REF!</v>
      </c>
      <c r="FM147" t="e">
        <f>AND(NhatkyNhap!#REF!,"AAAAAB+v/6g=")</f>
        <v>#REF!</v>
      </c>
      <c r="FN147" t="e">
        <f>AND(NhatkyNhap!#REF!,"AAAAAB+v/6k=")</f>
        <v>#REF!</v>
      </c>
      <c r="FO147" t="e">
        <f>AND(NhatkyNhap!#REF!,"AAAAAB+v/6o=")</f>
        <v>#REF!</v>
      </c>
      <c r="FP147" t="e">
        <f>AND(NhatkyNhap!#REF!,"AAAAAB+v/6s=")</f>
        <v>#REF!</v>
      </c>
      <c r="FQ147" t="e">
        <f>AND(NhatkyNhap!#REF!,"AAAAAB+v/6w=")</f>
        <v>#REF!</v>
      </c>
      <c r="FR147" t="e">
        <f>AND(NhatkyNhap!#REF!,"AAAAAB+v/60=")</f>
        <v>#REF!</v>
      </c>
      <c r="FS147" t="e">
        <f>AND(NhatkyNhap!#REF!,"AAAAAB+v/64=")</f>
        <v>#REF!</v>
      </c>
      <c r="FT147" t="e">
        <f>AND(NhatkyNhap!#REF!,"AAAAAB+v/68=")</f>
        <v>#REF!</v>
      </c>
      <c r="FU147" t="e">
        <f>AND(NhatkyNhap!#REF!,"AAAAAB+v/7A=")</f>
        <v>#REF!</v>
      </c>
      <c r="FV147" t="e">
        <f>AND(NhatkyNhap!#REF!,"AAAAAB+v/7E=")</f>
        <v>#REF!</v>
      </c>
      <c r="FW147" t="e">
        <f>AND(NhatkyNhap!#REF!,"AAAAAB+v/7I=")</f>
        <v>#REF!</v>
      </c>
      <c r="FX147" t="e">
        <f>AND(NhatkyNhap!#REF!,"AAAAAB+v/7M=")</f>
        <v>#REF!</v>
      </c>
      <c r="FY147" t="e">
        <f>AND(NhatkyNhap!#REF!,"AAAAAB+v/7Q=")</f>
        <v>#REF!</v>
      </c>
      <c r="FZ147" t="e">
        <f>AND(NhatkyNhap!#REF!,"AAAAAB+v/7U=")</f>
        <v>#REF!</v>
      </c>
      <c r="GA147" t="e">
        <f>AND(NhatkyNhap!#REF!,"AAAAAB+v/7Y=")</f>
        <v>#REF!</v>
      </c>
      <c r="GB147" t="e">
        <f>AND(NhatkyNhap!#REF!,"AAAAAB+v/7c=")</f>
        <v>#REF!</v>
      </c>
      <c r="GC147" t="e">
        <f>AND(NhatkyNhap!#REF!,"AAAAAB+v/7g=")</f>
        <v>#REF!</v>
      </c>
      <c r="GD147" t="e">
        <f>AND(NhatkyNhap!#REF!,"AAAAAB+v/7k=")</f>
        <v>#REF!</v>
      </c>
      <c r="GE147" t="e">
        <f>AND(NhatkyNhap!#REF!,"AAAAAB+v/7o=")</f>
        <v>#REF!</v>
      </c>
      <c r="GF147" t="e">
        <f>AND(NhatkyNhap!#REF!,"AAAAAB+v/7s=")</f>
        <v>#REF!</v>
      </c>
      <c r="GG147" t="e">
        <f>AND(NhatkyNhap!#REF!,"AAAAAB+v/7w=")</f>
        <v>#REF!</v>
      </c>
      <c r="GH147" t="e">
        <f>AND(NhatkyNhap!#REF!,"AAAAAB+v/70=")</f>
        <v>#REF!</v>
      </c>
      <c r="GI147" t="e">
        <f>AND(NhatkyNhap!#REF!,"AAAAAB+v/74=")</f>
        <v>#REF!</v>
      </c>
      <c r="GJ147" t="e">
        <f>AND(NhatkyNhap!#REF!,"AAAAAB+v/78=")</f>
        <v>#REF!</v>
      </c>
      <c r="GK147" t="e">
        <f>AND(NhatkyNhap!#REF!,"AAAAAB+v/8A=")</f>
        <v>#REF!</v>
      </c>
      <c r="GL147" t="e">
        <f>AND(NhatkyNhap!#REF!,"AAAAAB+v/8E=")</f>
        <v>#REF!</v>
      </c>
      <c r="GM147" t="e">
        <f>IF(NhatkyNhap!#REF!,"AAAAAB+v/8I=",0)</f>
        <v>#REF!</v>
      </c>
      <c r="GN147" t="e">
        <f>AND(NhatkyNhap!#REF!,"AAAAAB+v/8M=")</f>
        <v>#REF!</v>
      </c>
      <c r="GO147" t="e">
        <f>AND(NhatkyNhap!#REF!,"AAAAAB+v/8Q=")</f>
        <v>#REF!</v>
      </c>
      <c r="GP147" t="e">
        <f>AND(NhatkyNhap!#REF!,"AAAAAB+v/8U=")</f>
        <v>#REF!</v>
      </c>
      <c r="GQ147" t="e">
        <f>AND(NhatkyNhap!#REF!,"AAAAAB+v/8Y=")</f>
        <v>#REF!</v>
      </c>
      <c r="GR147" t="e">
        <f>AND(NhatkyNhap!#REF!,"AAAAAB+v/8c=")</f>
        <v>#REF!</v>
      </c>
      <c r="GS147" t="e">
        <f>AND(NhatkyNhap!#REF!,"AAAAAB+v/8g=")</f>
        <v>#REF!</v>
      </c>
      <c r="GT147" t="e">
        <f>AND(NhatkyNhap!#REF!,"AAAAAB+v/8k=")</f>
        <v>#REF!</v>
      </c>
      <c r="GU147" t="e">
        <f>AND(NhatkyNhap!#REF!,"AAAAAB+v/8o=")</f>
        <v>#REF!</v>
      </c>
      <c r="GV147" t="e">
        <f>AND(NhatkyNhap!#REF!,"AAAAAB+v/8s=")</f>
        <v>#REF!</v>
      </c>
      <c r="GW147" t="e">
        <f>AND(NhatkyNhap!#REF!,"AAAAAB+v/8w=")</f>
        <v>#REF!</v>
      </c>
      <c r="GX147" t="e">
        <f>AND(NhatkyNhap!#REF!,"AAAAAB+v/80=")</f>
        <v>#REF!</v>
      </c>
      <c r="GY147" t="e">
        <f>AND(NhatkyNhap!#REF!,"AAAAAB+v/84=")</f>
        <v>#REF!</v>
      </c>
      <c r="GZ147" t="e">
        <f>AND(NhatkyNhap!#REF!,"AAAAAB+v/88=")</f>
        <v>#REF!</v>
      </c>
      <c r="HA147" t="e">
        <f>AND(NhatkyNhap!#REF!,"AAAAAB+v/9A=")</f>
        <v>#REF!</v>
      </c>
      <c r="HB147" t="e">
        <f>AND(NhatkyNhap!#REF!,"AAAAAB+v/9E=")</f>
        <v>#REF!</v>
      </c>
      <c r="HC147" t="e">
        <f>AND(NhatkyNhap!#REF!,"AAAAAB+v/9I=")</f>
        <v>#REF!</v>
      </c>
      <c r="HD147" t="e">
        <f>AND(NhatkyNhap!#REF!,"AAAAAB+v/9M=")</f>
        <v>#REF!</v>
      </c>
      <c r="HE147" t="e">
        <f>AND(NhatkyNhap!#REF!,"AAAAAB+v/9Q=")</f>
        <v>#REF!</v>
      </c>
      <c r="HF147" t="e">
        <f>AND(NhatkyNhap!#REF!,"AAAAAB+v/9U=")</f>
        <v>#REF!</v>
      </c>
      <c r="HG147" t="e">
        <f>AND(NhatkyNhap!#REF!,"AAAAAB+v/9Y=")</f>
        <v>#REF!</v>
      </c>
      <c r="HH147" t="e">
        <f>AND(NhatkyNhap!#REF!,"AAAAAB+v/9c=")</f>
        <v>#REF!</v>
      </c>
      <c r="HI147" t="e">
        <f>AND(NhatkyNhap!#REF!,"AAAAAB+v/9g=")</f>
        <v>#REF!</v>
      </c>
      <c r="HJ147" t="e">
        <f>AND(NhatkyNhap!#REF!,"AAAAAB+v/9k=")</f>
        <v>#REF!</v>
      </c>
      <c r="HK147" t="e">
        <f>AND(NhatkyNhap!#REF!,"AAAAAB+v/9o=")</f>
        <v>#REF!</v>
      </c>
      <c r="HL147" t="e">
        <f>AND(NhatkyNhap!#REF!,"AAAAAB+v/9s=")</f>
        <v>#REF!</v>
      </c>
      <c r="HM147" t="e">
        <f>AND(NhatkyNhap!#REF!,"AAAAAB+v/9w=")</f>
        <v>#REF!</v>
      </c>
      <c r="HN147" t="e">
        <f>AND(NhatkyNhap!#REF!,"AAAAAB+v/90=")</f>
        <v>#REF!</v>
      </c>
      <c r="HO147" t="e">
        <f>AND(NhatkyNhap!#REF!,"AAAAAB+v/94=")</f>
        <v>#REF!</v>
      </c>
      <c r="HP147" t="e">
        <f>AND(NhatkyNhap!#REF!,"AAAAAB+v/98=")</f>
        <v>#REF!</v>
      </c>
      <c r="HQ147" t="e">
        <f>AND(NhatkyNhap!#REF!,"AAAAAB+v/+A=")</f>
        <v>#REF!</v>
      </c>
      <c r="HR147" t="e">
        <f>AND(NhatkyNhap!#REF!,"AAAAAB+v/+E=")</f>
        <v>#REF!</v>
      </c>
      <c r="HS147" t="e">
        <f>AND(NhatkyNhap!#REF!,"AAAAAB+v/+I=")</f>
        <v>#REF!</v>
      </c>
      <c r="HT147" t="e">
        <f>AND(NhatkyNhap!#REF!,"AAAAAB+v/+M=")</f>
        <v>#REF!</v>
      </c>
      <c r="HU147" t="e">
        <f>AND(NhatkyNhap!#REF!,"AAAAAB+v/+Q=")</f>
        <v>#REF!</v>
      </c>
      <c r="HV147" t="e">
        <f>IF(NhatkyNhap!#REF!,"AAAAAB+v/+U=",0)</f>
        <v>#REF!</v>
      </c>
      <c r="HW147" t="e">
        <f>AND(NhatkyNhap!#REF!,"AAAAAB+v/+Y=")</f>
        <v>#REF!</v>
      </c>
      <c r="HX147" t="e">
        <f>AND(NhatkyNhap!#REF!,"AAAAAB+v/+c=")</f>
        <v>#REF!</v>
      </c>
      <c r="HY147" t="e">
        <f>AND(NhatkyNhap!#REF!,"AAAAAB+v/+g=")</f>
        <v>#REF!</v>
      </c>
      <c r="HZ147" t="e">
        <f>AND(NhatkyNhap!#REF!,"AAAAAB+v/+k=")</f>
        <v>#REF!</v>
      </c>
      <c r="IA147" t="e">
        <f>AND(NhatkyNhap!#REF!,"AAAAAB+v/+o=")</f>
        <v>#REF!</v>
      </c>
      <c r="IB147" t="e">
        <f>AND(NhatkyNhap!#REF!,"AAAAAB+v/+s=")</f>
        <v>#REF!</v>
      </c>
      <c r="IC147" t="e">
        <f>AND(NhatkyNhap!#REF!,"AAAAAB+v/+w=")</f>
        <v>#REF!</v>
      </c>
      <c r="ID147" t="e">
        <f>AND(NhatkyNhap!#REF!,"AAAAAB+v/+0=")</f>
        <v>#REF!</v>
      </c>
      <c r="IE147" t="e">
        <f>AND(NhatkyNhap!#REF!,"AAAAAB+v/+4=")</f>
        <v>#REF!</v>
      </c>
      <c r="IF147" t="e">
        <f>AND(NhatkyNhap!#REF!,"AAAAAB+v/+8=")</f>
        <v>#REF!</v>
      </c>
      <c r="IG147" t="e">
        <f>AND(NhatkyNhap!#REF!,"AAAAAB+v//A=")</f>
        <v>#REF!</v>
      </c>
      <c r="IH147" t="e">
        <f>AND(NhatkyNhap!#REF!,"AAAAAB+v//E=")</f>
        <v>#REF!</v>
      </c>
      <c r="II147" t="e">
        <f>AND(NhatkyNhap!#REF!,"AAAAAB+v//I=")</f>
        <v>#REF!</v>
      </c>
      <c r="IJ147" t="e">
        <f>AND(NhatkyNhap!#REF!,"AAAAAB+v//M=")</f>
        <v>#REF!</v>
      </c>
      <c r="IK147" t="e">
        <f>AND(NhatkyNhap!#REF!,"AAAAAB+v//Q=")</f>
        <v>#REF!</v>
      </c>
      <c r="IL147" t="e">
        <f>AND(NhatkyNhap!#REF!,"AAAAAB+v//U=")</f>
        <v>#REF!</v>
      </c>
      <c r="IM147" t="e">
        <f>AND(NhatkyNhap!#REF!,"AAAAAB+v//Y=")</f>
        <v>#REF!</v>
      </c>
      <c r="IN147" t="e">
        <f>AND(NhatkyNhap!#REF!,"AAAAAB+v//c=")</f>
        <v>#REF!</v>
      </c>
      <c r="IO147" t="e">
        <f>AND(NhatkyNhap!#REF!,"AAAAAB+v//g=")</f>
        <v>#REF!</v>
      </c>
      <c r="IP147" t="e">
        <f>AND(NhatkyNhap!#REF!,"AAAAAB+v//k=")</f>
        <v>#REF!</v>
      </c>
      <c r="IQ147" t="e">
        <f>AND(NhatkyNhap!#REF!,"AAAAAB+v//o=")</f>
        <v>#REF!</v>
      </c>
      <c r="IR147" t="e">
        <f>AND(NhatkyNhap!#REF!,"AAAAAB+v//s=")</f>
        <v>#REF!</v>
      </c>
      <c r="IS147" t="e">
        <f>AND(NhatkyNhap!#REF!,"AAAAAB+v//w=")</f>
        <v>#REF!</v>
      </c>
      <c r="IT147" t="e">
        <f>AND(NhatkyNhap!#REF!,"AAAAAB+v//0=")</f>
        <v>#REF!</v>
      </c>
      <c r="IU147" t="e">
        <f>AND(NhatkyNhap!#REF!,"AAAAAB+v//4=")</f>
        <v>#REF!</v>
      </c>
      <c r="IV147" t="e">
        <f>AND(NhatkyNhap!#REF!,"AAAAAB+v//8=")</f>
        <v>#REF!</v>
      </c>
    </row>
    <row r="148" spans="1:256">
      <c r="A148" t="e">
        <f>AND(NhatkyNhap!#REF!,"AAAAAHN/ZgA=")</f>
        <v>#REF!</v>
      </c>
      <c r="B148" t="e">
        <f>AND(NhatkyNhap!#REF!,"AAAAAHN/ZgE=")</f>
        <v>#REF!</v>
      </c>
      <c r="C148" t="e">
        <f>AND(NhatkyNhap!#REF!,"AAAAAHN/ZgI=")</f>
        <v>#REF!</v>
      </c>
      <c r="D148" t="e">
        <f>AND(NhatkyNhap!#REF!,"AAAAAHN/ZgM=")</f>
        <v>#REF!</v>
      </c>
      <c r="E148" t="e">
        <f>AND(NhatkyNhap!#REF!,"AAAAAHN/ZgQ=")</f>
        <v>#REF!</v>
      </c>
      <c r="F148" t="e">
        <f>AND(NhatkyNhap!#REF!,"AAAAAHN/ZgU=")</f>
        <v>#REF!</v>
      </c>
      <c r="G148" t="e">
        <f>AND(NhatkyNhap!#REF!,"AAAAAHN/ZgY=")</f>
        <v>#REF!</v>
      </c>
      <c r="H148" t="e">
        <f>AND(NhatkyNhap!#REF!,"AAAAAHN/Zgc=")</f>
        <v>#REF!</v>
      </c>
      <c r="I148" t="e">
        <f>IF(NhatkyNhap!#REF!,"AAAAAHN/Zgg=",0)</f>
        <v>#REF!</v>
      </c>
      <c r="J148" t="e">
        <f>AND(NhatkyNhap!#REF!,"AAAAAHN/Zgk=")</f>
        <v>#REF!</v>
      </c>
      <c r="K148" t="e">
        <f>AND(NhatkyNhap!#REF!,"AAAAAHN/Zgo=")</f>
        <v>#REF!</v>
      </c>
      <c r="L148" t="e">
        <f>AND(NhatkyNhap!#REF!,"AAAAAHN/Zgs=")</f>
        <v>#REF!</v>
      </c>
      <c r="M148" t="e">
        <f>AND(NhatkyNhap!#REF!,"AAAAAHN/Zgw=")</f>
        <v>#REF!</v>
      </c>
      <c r="N148" t="e">
        <f>AND(NhatkyNhap!#REF!,"AAAAAHN/Zg0=")</f>
        <v>#REF!</v>
      </c>
      <c r="O148" t="e">
        <f>AND(NhatkyNhap!#REF!,"AAAAAHN/Zg4=")</f>
        <v>#REF!</v>
      </c>
      <c r="P148" t="e">
        <f>AND(NhatkyNhap!#REF!,"AAAAAHN/Zg8=")</f>
        <v>#REF!</v>
      </c>
      <c r="Q148" t="e">
        <f>AND(NhatkyNhap!#REF!,"AAAAAHN/ZhA=")</f>
        <v>#REF!</v>
      </c>
      <c r="R148" t="e">
        <f>AND(NhatkyNhap!#REF!,"AAAAAHN/ZhE=")</f>
        <v>#REF!</v>
      </c>
      <c r="S148" t="e">
        <f>AND(NhatkyNhap!#REF!,"AAAAAHN/ZhI=")</f>
        <v>#REF!</v>
      </c>
      <c r="T148" t="e">
        <f>AND(NhatkyNhap!#REF!,"AAAAAHN/ZhM=")</f>
        <v>#REF!</v>
      </c>
      <c r="U148" t="e">
        <f>AND(NhatkyNhap!#REF!,"AAAAAHN/ZhQ=")</f>
        <v>#REF!</v>
      </c>
      <c r="V148" t="e">
        <f>AND(NhatkyNhap!#REF!,"AAAAAHN/ZhU=")</f>
        <v>#REF!</v>
      </c>
      <c r="W148" t="e">
        <f>AND(NhatkyNhap!#REF!,"AAAAAHN/ZhY=")</f>
        <v>#REF!</v>
      </c>
      <c r="X148" t="e">
        <f>AND(NhatkyNhap!#REF!,"AAAAAHN/Zhc=")</f>
        <v>#REF!</v>
      </c>
      <c r="Y148" t="e">
        <f>AND(NhatkyNhap!#REF!,"AAAAAHN/Zhg=")</f>
        <v>#REF!</v>
      </c>
      <c r="Z148" t="e">
        <f>AND(NhatkyNhap!#REF!,"AAAAAHN/Zhk=")</f>
        <v>#REF!</v>
      </c>
      <c r="AA148" t="e">
        <f>AND(NhatkyNhap!#REF!,"AAAAAHN/Zho=")</f>
        <v>#REF!</v>
      </c>
      <c r="AB148" t="e">
        <f>AND(NhatkyNhap!#REF!,"AAAAAHN/Zhs=")</f>
        <v>#REF!</v>
      </c>
      <c r="AC148" t="e">
        <f>AND(NhatkyNhap!#REF!,"AAAAAHN/Zhw=")</f>
        <v>#REF!</v>
      </c>
      <c r="AD148" t="e">
        <f>AND(NhatkyNhap!#REF!,"AAAAAHN/Zh0=")</f>
        <v>#REF!</v>
      </c>
      <c r="AE148" t="e">
        <f>AND(NhatkyNhap!#REF!,"AAAAAHN/Zh4=")</f>
        <v>#REF!</v>
      </c>
      <c r="AF148" t="e">
        <f>AND(NhatkyNhap!#REF!,"AAAAAHN/Zh8=")</f>
        <v>#REF!</v>
      </c>
      <c r="AG148" t="e">
        <f>AND(NhatkyNhap!#REF!,"AAAAAHN/ZiA=")</f>
        <v>#REF!</v>
      </c>
      <c r="AH148" t="e">
        <f>AND(NhatkyNhap!#REF!,"AAAAAHN/ZiE=")</f>
        <v>#REF!</v>
      </c>
      <c r="AI148" t="e">
        <f>AND(NhatkyNhap!#REF!,"AAAAAHN/ZiI=")</f>
        <v>#REF!</v>
      </c>
      <c r="AJ148" t="e">
        <f>AND(NhatkyNhap!#REF!,"AAAAAHN/ZiM=")</f>
        <v>#REF!</v>
      </c>
      <c r="AK148" t="e">
        <f>AND(NhatkyNhap!#REF!,"AAAAAHN/ZiQ=")</f>
        <v>#REF!</v>
      </c>
      <c r="AL148" t="e">
        <f>AND(NhatkyNhap!#REF!,"AAAAAHN/ZiU=")</f>
        <v>#REF!</v>
      </c>
      <c r="AM148" t="e">
        <f>AND(NhatkyNhap!#REF!,"AAAAAHN/ZiY=")</f>
        <v>#REF!</v>
      </c>
      <c r="AN148" t="e">
        <f>AND(NhatkyNhap!#REF!,"AAAAAHN/Zic=")</f>
        <v>#REF!</v>
      </c>
      <c r="AO148" t="e">
        <f>AND(NhatkyNhap!#REF!,"AAAAAHN/Zig=")</f>
        <v>#REF!</v>
      </c>
      <c r="AP148" t="e">
        <f>AND(NhatkyNhap!#REF!,"AAAAAHN/Zik=")</f>
        <v>#REF!</v>
      </c>
      <c r="AQ148" t="e">
        <f>AND(NhatkyNhap!#REF!,"AAAAAHN/Zio=")</f>
        <v>#REF!</v>
      </c>
      <c r="AR148" t="e">
        <f>IF(NhatkyNhap!#REF!,"AAAAAHN/Zis=",0)</f>
        <v>#REF!</v>
      </c>
      <c r="AS148" t="e">
        <f>AND(NhatkyNhap!#REF!,"AAAAAHN/Ziw=")</f>
        <v>#REF!</v>
      </c>
      <c r="AT148" t="e">
        <f>AND(NhatkyNhap!#REF!,"AAAAAHN/Zi0=")</f>
        <v>#REF!</v>
      </c>
      <c r="AU148" t="e">
        <f>AND(NhatkyNhap!#REF!,"AAAAAHN/Zi4=")</f>
        <v>#REF!</v>
      </c>
      <c r="AV148" t="e">
        <f>AND(NhatkyNhap!#REF!,"AAAAAHN/Zi8=")</f>
        <v>#REF!</v>
      </c>
      <c r="AW148" t="e">
        <f>AND(NhatkyNhap!#REF!,"AAAAAHN/ZjA=")</f>
        <v>#REF!</v>
      </c>
      <c r="AX148" t="e">
        <f>AND(NhatkyNhap!#REF!,"AAAAAHN/ZjE=")</f>
        <v>#REF!</v>
      </c>
      <c r="AY148" t="e">
        <f>AND(NhatkyNhap!#REF!,"AAAAAHN/ZjI=")</f>
        <v>#REF!</v>
      </c>
      <c r="AZ148" t="e">
        <f>AND(NhatkyNhap!#REF!,"AAAAAHN/ZjM=")</f>
        <v>#REF!</v>
      </c>
      <c r="BA148" t="e">
        <f>AND(NhatkyNhap!#REF!,"AAAAAHN/ZjQ=")</f>
        <v>#REF!</v>
      </c>
      <c r="BB148" t="e">
        <f>AND(NhatkyNhap!#REF!,"AAAAAHN/ZjU=")</f>
        <v>#REF!</v>
      </c>
      <c r="BC148" t="e">
        <f>AND(NhatkyNhap!#REF!,"AAAAAHN/ZjY=")</f>
        <v>#REF!</v>
      </c>
      <c r="BD148" t="e">
        <f>AND(NhatkyNhap!#REF!,"AAAAAHN/Zjc=")</f>
        <v>#REF!</v>
      </c>
      <c r="BE148" t="e">
        <f>AND(NhatkyNhap!#REF!,"AAAAAHN/Zjg=")</f>
        <v>#REF!</v>
      </c>
      <c r="BF148" t="e">
        <f>AND(NhatkyNhap!#REF!,"AAAAAHN/Zjk=")</f>
        <v>#REF!</v>
      </c>
      <c r="BG148" t="e">
        <f>AND(NhatkyNhap!#REF!,"AAAAAHN/Zjo=")</f>
        <v>#REF!</v>
      </c>
      <c r="BH148" t="e">
        <f>AND(NhatkyNhap!#REF!,"AAAAAHN/Zjs=")</f>
        <v>#REF!</v>
      </c>
      <c r="BI148" t="e">
        <f>AND(NhatkyNhap!#REF!,"AAAAAHN/Zjw=")</f>
        <v>#REF!</v>
      </c>
      <c r="BJ148" t="e">
        <f>AND(NhatkyNhap!#REF!,"AAAAAHN/Zj0=")</f>
        <v>#REF!</v>
      </c>
      <c r="BK148" t="e">
        <f>AND(NhatkyNhap!#REF!,"AAAAAHN/Zj4=")</f>
        <v>#REF!</v>
      </c>
      <c r="BL148" t="e">
        <f>AND(NhatkyNhap!#REF!,"AAAAAHN/Zj8=")</f>
        <v>#REF!</v>
      </c>
      <c r="BM148" t="e">
        <f>AND(NhatkyNhap!#REF!,"AAAAAHN/ZkA=")</f>
        <v>#REF!</v>
      </c>
      <c r="BN148" t="e">
        <f>AND(NhatkyNhap!#REF!,"AAAAAHN/ZkE=")</f>
        <v>#REF!</v>
      </c>
      <c r="BO148" t="e">
        <f>AND(NhatkyNhap!#REF!,"AAAAAHN/ZkI=")</f>
        <v>#REF!</v>
      </c>
      <c r="BP148" t="e">
        <f>AND(NhatkyNhap!#REF!,"AAAAAHN/ZkM=")</f>
        <v>#REF!</v>
      </c>
      <c r="BQ148" t="e">
        <f>AND(NhatkyNhap!#REF!,"AAAAAHN/ZkQ=")</f>
        <v>#REF!</v>
      </c>
      <c r="BR148" t="e">
        <f>AND(NhatkyNhap!#REF!,"AAAAAHN/ZkU=")</f>
        <v>#REF!</v>
      </c>
      <c r="BS148" t="e">
        <f>AND(NhatkyNhap!#REF!,"AAAAAHN/ZkY=")</f>
        <v>#REF!</v>
      </c>
      <c r="BT148" t="e">
        <f>AND(NhatkyNhap!#REF!,"AAAAAHN/Zkc=")</f>
        <v>#REF!</v>
      </c>
      <c r="BU148" t="e">
        <f>AND(NhatkyNhap!#REF!,"AAAAAHN/Zkg=")</f>
        <v>#REF!</v>
      </c>
      <c r="BV148" t="e">
        <f>AND(NhatkyNhap!#REF!,"AAAAAHN/Zkk=")</f>
        <v>#REF!</v>
      </c>
      <c r="BW148" t="e">
        <f>AND(NhatkyNhap!#REF!,"AAAAAHN/Zko=")</f>
        <v>#REF!</v>
      </c>
      <c r="BX148" t="e">
        <f>AND(NhatkyNhap!#REF!,"AAAAAHN/Zks=")</f>
        <v>#REF!</v>
      </c>
      <c r="BY148" t="e">
        <f>AND(NhatkyNhap!#REF!,"AAAAAHN/Zkw=")</f>
        <v>#REF!</v>
      </c>
      <c r="BZ148" t="e">
        <f>AND(NhatkyNhap!#REF!,"AAAAAHN/Zk0=")</f>
        <v>#REF!</v>
      </c>
      <c r="CA148" t="e">
        <f>IF(NhatkyNhap!#REF!,"AAAAAHN/Zk4=",0)</f>
        <v>#REF!</v>
      </c>
      <c r="CB148" t="e">
        <f>AND(NhatkyNhap!#REF!,"AAAAAHN/Zk8=")</f>
        <v>#REF!</v>
      </c>
      <c r="CC148" t="e">
        <f>AND(NhatkyNhap!#REF!,"AAAAAHN/ZlA=")</f>
        <v>#REF!</v>
      </c>
      <c r="CD148" t="e">
        <f>AND(NhatkyNhap!#REF!,"AAAAAHN/ZlE=")</f>
        <v>#REF!</v>
      </c>
      <c r="CE148" t="e">
        <f>AND(NhatkyNhap!#REF!,"AAAAAHN/ZlI=")</f>
        <v>#REF!</v>
      </c>
      <c r="CF148" t="e">
        <f>AND(NhatkyNhap!#REF!,"AAAAAHN/ZlM=")</f>
        <v>#REF!</v>
      </c>
      <c r="CG148" t="e">
        <f>AND(NhatkyNhap!#REF!,"AAAAAHN/ZlQ=")</f>
        <v>#REF!</v>
      </c>
      <c r="CH148" t="e">
        <f>AND(NhatkyNhap!#REF!,"AAAAAHN/ZlU=")</f>
        <v>#REF!</v>
      </c>
      <c r="CI148" t="e">
        <f>AND(NhatkyNhap!#REF!,"AAAAAHN/ZlY=")</f>
        <v>#REF!</v>
      </c>
      <c r="CJ148" t="e">
        <f>AND(NhatkyNhap!#REF!,"AAAAAHN/Zlc=")</f>
        <v>#REF!</v>
      </c>
      <c r="CK148" t="e">
        <f>AND(NhatkyNhap!#REF!,"AAAAAHN/Zlg=")</f>
        <v>#REF!</v>
      </c>
      <c r="CL148" t="e">
        <f>AND(NhatkyNhap!#REF!,"AAAAAHN/Zlk=")</f>
        <v>#REF!</v>
      </c>
      <c r="CM148" t="e">
        <f>AND(NhatkyNhap!#REF!,"AAAAAHN/Zlo=")</f>
        <v>#REF!</v>
      </c>
      <c r="CN148" t="e">
        <f>AND(NhatkyNhap!#REF!,"AAAAAHN/Zls=")</f>
        <v>#REF!</v>
      </c>
      <c r="CO148" t="e">
        <f>AND(NhatkyNhap!#REF!,"AAAAAHN/Zlw=")</f>
        <v>#REF!</v>
      </c>
      <c r="CP148" t="e">
        <f>AND(NhatkyNhap!#REF!,"AAAAAHN/Zl0=")</f>
        <v>#REF!</v>
      </c>
      <c r="CQ148" t="e">
        <f>AND(NhatkyNhap!#REF!,"AAAAAHN/Zl4=")</f>
        <v>#REF!</v>
      </c>
      <c r="CR148" t="e">
        <f>AND(NhatkyNhap!#REF!,"AAAAAHN/Zl8=")</f>
        <v>#REF!</v>
      </c>
      <c r="CS148" t="e">
        <f>AND(NhatkyNhap!#REF!,"AAAAAHN/ZmA=")</f>
        <v>#REF!</v>
      </c>
      <c r="CT148" t="e">
        <f>AND(NhatkyNhap!#REF!,"AAAAAHN/ZmE=")</f>
        <v>#REF!</v>
      </c>
      <c r="CU148" t="e">
        <f>AND(NhatkyNhap!#REF!,"AAAAAHN/ZmI=")</f>
        <v>#REF!</v>
      </c>
      <c r="CV148" t="e">
        <f>AND(NhatkyNhap!#REF!,"AAAAAHN/ZmM=")</f>
        <v>#REF!</v>
      </c>
      <c r="CW148" t="e">
        <f>AND(NhatkyNhap!#REF!,"AAAAAHN/ZmQ=")</f>
        <v>#REF!</v>
      </c>
      <c r="CX148" t="e">
        <f>AND(NhatkyNhap!#REF!,"AAAAAHN/ZmU=")</f>
        <v>#REF!</v>
      </c>
      <c r="CY148" t="e">
        <f>AND(NhatkyNhap!#REF!,"AAAAAHN/ZmY=")</f>
        <v>#REF!</v>
      </c>
      <c r="CZ148" t="e">
        <f>AND(NhatkyNhap!#REF!,"AAAAAHN/Zmc=")</f>
        <v>#REF!</v>
      </c>
      <c r="DA148" t="e">
        <f>AND(NhatkyNhap!#REF!,"AAAAAHN/Zmg=")</f>
        <v>#REF!</v>
      </c>
      <c r="DB148" t="e">
        <f>AND(NhatkyNhap!#REF!,"AAAAAHN/Zmk=")</f>
        <v>#REF!</v>
      </c>
      <c r="DC148" t="e">
        <f>AND(NhatkyNhap!#REF!,"AAAAAHN/Zmo=")</f>
        <v>#REF!</v>
      </c>
      <c r="DD148" t="e">
        <f>AND(NhatkyNhap!#REF!,"AAAAAHN/Zms=")</f>
        <v>#REF!</v>
      </c>
      <c r="DE148" t="e">
        <f>AND(NhatkyNhap!#REF!,"AAAAAHN/Zmw=")</f>
        <v>#REF!</v>
      </c>
      <c r="DF148" t="e">
        <f>AND(NhatkyNhap!#REF!,"AAAAAHN/Zm0=")</f>
        <v>#REF!</v>
      </c>
      <c r="DG148" t="e">
        <f>AND(NhatkyNhap!#REF!,"AAAAAHN/Zm4=")</f>
        <v>#REF!</v>
      </c>
      <c r="DH148" t="e">
        <f>AND(NhatkyNhap!#REF!,"AAAAAHN/Zm8=")</f>
        <v>#REF!</v>
      </c>
      <c r="DI148" t="e">
        <f>AND(NhatkyNhap!#REF!,"AAAAAHN/ZnA=")</f>
        <v>#REF!</v>
      </c>
      <c r="DJ148" t="e">
        <f>IF(NhatkyNhap!#REF!,"AAAAAHN/ZnE=",0)</f>
        <v>#REF!</v>
      </c>
      <c r="DK148" t="e">
        <f>AND(NhatkyNhap!#REF!,"AAAAAHN/ZnI=")</f>
        <v>#REF!</v>
      </c>
      <c r="DL148" t="e">
        <f>AND(NhatkyNhap!#REF!,"AAAAAHN/ZnM=")</f>
        <v>#REF!</v>
      </c>
      <c r="DM148" t="e">
        <f>AND(NhatkyNhap!#REF!,"AAAAAHN/ZnQ=")</f>
        <v>#REF!</v>
      </c>
      <c r="DN148" t="e">
        <f>AND(NhatkyNhap!#REF!,"AAAAAHN/ZnU=")</f>
        <v>#REF!</v>
      </c>
      <c r="DO148" t="e">
        <f>AND(NhatkyNhap!#REF!,"AAAAAHN/ZnY=")</f>
        <v>#REF!</v>
      </c>
      <c r="DP148" t="e">
        <f>AND(NhatkyNhap!#REF!,"AAAAAHN/Znc=")</f>
        <v>#REF!</v>
      </c>
      <c r="DQ148" t="e">
        <f>AND(NhatkyNhap!#REF!,"AAAAAHN/Zng=")</f>
        <v>#REF!</v>
      </c>
      <c r="DR148" t="e">
        <f>AND(NhatkyNhap!#REF!,"AAAAAHN/Znk=")</f>
        <v>#REF!</v>
      </c>
      <c r="DS148" t="e">
        <f>AND(NhatkyNhap!#REF!,"AAAAAHN/Zno=")</f>
        <v>#REF!</v>
      </c>
      <c r="DT148" t="e">
        <f>AND(NhatkyNhap!#REF!,"AAAAAHN/Zns=")</f>
        <v>#REF!</v>
      </c>
      <c r="DU148" t="e">
        <f>AND(NhatkyNhap!#REF!,"AAAAAHN/Znw=")</f>
        <v>#REF!</v>
      </c>
      <c r="DV148" t="e">
        <f>AND(NhatkyNhap!#REF!,"AAAAAHN/Zn0=")</f>
        <v>#REF!</v>
      </c>
      <c r="DW148" t="e">
        <f>AND(NhatkyNhap!#REF!,"AAAAAHN/Zn4=")</f>
        <v>#REF!</v>
      </c>
      <c r="DX148" t="e">
        <f>AND(NhatkyNhap!#REF!,"AAAAAHN/Zn8=")</f>
        <v>#REF!</v>
      </c>
      <c r="DY148" t="e">
        <f>AND(NhatkyNhap!#REF!,"AAAAAHN/ZoA=")</f>
        <v>#REF!</v>
      </c>
      <c r="DZ148" t="e">
        <f>AND(NhatkyNhap!#REF!,"AAAAAHN/ZoE=")</f>
        <v>#REF!</v>
      </c>
      <c r="EA148" t="e">
        <f>AND(NhatkyNhap!#REF!,"AAAAAHN/ZoI=")</f>
        <v>#REF!</v>
      </c>
      <c r="EB148" t="e">
        <f>AND(NhatkyNhap!#REF!,"AAAAAHN/ZoM=")</f>
        <v>#REF!</v>
      </c>
      <c r="EC148" t="e">
        <f>AND(NhatkyNhap!#REF!,"AAAAAHN/ZoQ=")</f>
        <v>#REF!</v>
      </c>
      <c r="ED148" t="e">
        <f>AND(NhatkyNhap!#REF!,"AAAAAHN/ZoU=")</f>
        <v>#REF!</v>
      </c>
      <c r="EE148" t="e">
        <f>AND(NhatkyNhap!#REF!,"AAAAAHN/ZoY=")</f>
        <v>#REF!</v>
      </c>
      <c r="EF148" t="e">
        <f>AND(NhatkyNhap!#REF!,"AAAAAHN/Zoc=")</f>
        <v>#REF!</v>
      </c>
      <c r="EG148" t="e">
        <f>AND(NhatkyNhap!#REF!,"AAAAAHN/Zog=")</f>
        <v>#REF!</v>
      </c>
      <c r="EH148" t="e">
        <f>AND(NhatkyNhap!#REF!,"AAAAAHN/Zok=")</f>
        <v>#REF!</v>
      </c>
      <c r="EI148" t="e">
        <f>AND(NhatkyNhap!#REF!,"AAAAAHN/Zoo=")</f>
        <v>#REF!</v>
      </c>
      <c r="EJ148" t="e">
        <f>AND(NhatkyNhap!#REF!,"AAAAAHN/Zos=")</f>
        <v>#REF!</v>
      </c>
      <c r="EK148" t="e">
        <f>AND(NhatkyNhap!#REF!,"AAAAAHN/Zow=")</f>
        <v>#REF!</v>
      </c>
      <c r="EL148" t="e">
        <f>AND(NhatkyNhap!#REF!,"AAAAAHN/Zo0=")</f>
        <v>#REF!</v>
      </c>
      <c r="EM148" t="e">
        <f>AND(NhatkyNhap!#REF!,"AAAAAHN/Zo4=")</f>
        <v>#REF!</v>
      </c>
      <c r="EN148" t="e">
        <f>AND(NhatkyNhap!#REF!,"AAAAAHN/Zo8=")</f>
        <v>#REF!</v>
      </c>
      <c r="EO148" t="e">
        <f>AND(NhatkyNhap!#REF!,"AAAAAHN/ZpA=")</f>
        <v>#REF!</v>
      </c>
      <c r="EP148" t="e">
        <f>AND(NhatkyNhap!#REF!,"AAAAAHN/ZpE=")</f>
        <v>#REF!</v>
      </c>
      <c r="EQ148" t="e">
        <f>AND(NhatkyNhap!#REF!,"AAAAAHN/ZpI=")</f>
        <v>#REF!</v>
      </c>
      <c r="ER148" t="e">
        <f>AND(NhatkyNhap!#REF!,"AAAAAHN/ZpM=")</f>
        <v>#REF!</v>
      </c>
      <c r="ES148" t="e">
        <f>IF(NhatkyNhap!#REF!,"AAAAAHN/ZpQ=",0)</f>
        <v>#REF!</v>
      </c>
      <c r="ET148" t="e">
        <f>AND(NhatkyNhap!#REF!,"AAAAAHN/ZpU=")</f>
        <v>#REF!</v>
      </c>
      <c r="EU148" t="e">
        <f>AND(NhatkyNhap!#REF!,"AAAAAHN/ZpY=")</f>
        <v>#REF!</v>
      </c>
      <c r="EV148" t="e">
        <f>AND(NhatkyNhap!#REF!,"AAAAAHN/Zpc=")</f>
        <v>#REF!</v>
      </c>
      <c r="EW148" t="e">
        <f>AND(NhatkyNhap!#REF!,"AAAAAHN/Zpg=")</f>
        <v>#REF!</v>
      </c>
      <c r="EX148" t="e">
        <f>AND(NhatkyNhap!#REF!,"AAAAAHN/Zpk=")</f>
        <v>#REF!</v>
      </c>
      <c r="EY148" t="e">
        <f>AND(NhatkyNhap!#REF!,"AAAAAHN/Zpo=")</f>
        <v>#REF!</v>
      </c>
      <c r="EZ148" t="e">
        <f>AND(NhatkyNhap!#REF!,"AAAAAHN/Zps=")</f>
        <v>#REF!</v>
      </c>
      <c r="FA148" t="e">
        <f>AND(NhatkyNhap!#REF!,"AAAAAHN/Zpw=")</f>
        <v>#REF!</v>
      </c>
      <c r="FB148" t="e">
        <f>AND(NhatkyNhap!#REF!,"AAAAAHN/Zp0=")</f>
        <v>#REF!</v>
      </c>
      <c r="FC148" t="e">
        <f>AND(NhatkyNhap!#REF!,"AAAAAHN/Zp4=")</f>
        <v>#REF!</v>
      </c>
      <c r="FD148" t="e">
        <f>AND(NhatkyNhap!#REF!,"AAAAAHN/Zp8=")</f>
        <v>#REF!</v>
      </c>
      <c r="FE148" t="e">
        <f>AND(NhatkyNhap!#REF!,"AAAAAHN/ZqA=")</f>
        <v>#REF!</v>
      </c>
      <c r="FF148" t="e">
        <f>AND(NhatkyNhap!#REF!,"AAAAAHN/ZqE=")</f>
        <v>#REF!</v>
      </c>
      <c r="FG148" t="e">
        <f>AND(NhatkyNhap!#REF!,"AAAAAHN/ZqI=")</f>
        <v>#REF!</v>
      </c>
      <c r="FH148" t="e">
        <f>AND(NhatkyNhap!#REF!,"AAAAAHN/ZqM=")</f>
        <v>#REF!</v>
      </c>
      <c r="FI148" t="e">
        <f>AND(NhatkyNhap!#REF!,"AAAAAHN/ZqQ=")</f>
        <v>#REF!</v>
      </c>
      <c r="FJ148" t="e">
        <f>AND(NhatkyNhap!#REF!,"AAAAAHN/ZqU=")</f>
        <v>#REF!</v>
      </c>
      <c r="FK148" t="e">
        <f>AND(NhatkyNhap!#REF!,"AAAAAHN/ZqY=")</f>
        <v>#REF!</v>
      </c>
      <c r="FL148" t="e">
        <f>AND(NhatkyNhap!#REF!,"AAAAAHN/Zqc=")</f>
        <v>#REF!</v>
      </c>
      <c r="FM148" t="e">
        <f>AND(NhatkyNhap!#REF!,"AAAAAHN/Zqg=")</f>
        <v>#REF!</v>
      </c>
      <c r="FN148" t="e">
        <f>AND(NhatkyNhap!#REF!,"AAAAAHN/Zqk=")</f>
        <v>#REF!</v>
      </c>
      <c r="FO148" t="e">
        <f>AND(NhatkyNhap!#REF!,"AAAAAHN/Zqo=")</f>
        <v>#REF!</v>
      </c>
      <c r="FP148" t="e">
        <f>AND(NhatkyNhap!#REF!,"AAAAAHN/Zqs=")</f>
        <v>#REF!</v>
      </c>
      <c r="FQ148" t="e">
        <f>AND(NhatkyNhap!#REF!,"AAAAAHN/Zqw=")</f>
        <v>#REF!</v>
      </c>
      <c r="FR148" t="e">
        <f>AND(NhatkyNhap!#REF!,"AAAAAHN/Zq0=")</f>
        <v>#REF!</v>
      </c>
      <c r="FS148" t="e">
        <f>AND(NhatkyNhap!#REF!,"AAAAAHN/Zq4=")</f>
        <v>#REF!</v>
      </c>
      <c r="FT148" t="e">
        <f>AND(NhatkyNhap!#REF!,"AAAAAHN/Zq8=")</f>
        <v>#REF!</v>
      </c>
      <c r="FU148" t="e">
        <f>AND(NhatkyNhap!#REF!,"AAAAAHN/ZrA=")</f>
        <v>#REF!</v>
      </c>
      <c r="FV148" t="e">
        <f>AND(NhatkyNhap!#REF!,"AAAAAHN/ZrE=")</f>
        <v>#REF!</v>
      </c>
      <c r="FW148" t="e">
        <f>AND(NhatkyNhap!#REF!,"AAAAAHN/ZrI=")</f>
        <v>#REF!</v>
      </c>
      <c r="FX148" t="e">
        <f>AND(NhatkyNhap!#REF!,"AAAAAHN/ZrM=")</f>
        <v>#REF!</v>
      </c>
      <c r="FY148" t="e">
        <f>AND(NhatkyNhap!#REF!,"AAAAAHN/ZrQ=")</f>
        <v>#REF!</v>
      </c>
      <c r="FZ148" t="e">
        <f>AND(NhatkyNhap!#REF!,"AAAAAHN/ZrU=")</f>
        <v>#REF!</v>
      </c>
      <c r="GA148" t="e">
        <f>AND(NhatkyNhap!#REF!,"AAAAAHN/ZrY=")</f>
        <v>#REF!</v>
      </c>
      <c r="GB148" t="e">
        <f>IF(NhatkyNhap!#REF!,"AAAAAHN/Zrc=",0)</f>
        <v>#REF!</v>
      </c>
      <c r="GC148" t="e">
        <f>AND(NhatkyNhap!#REF!,"AAAAAHN/Zrg=")</f>
        <v>#REF!</v>
      </c>
      <c r="GD148" t="e">
        <f>AND(NhatkyNhap!#REF!,"AAAAAHN/Zrk=")</f>
        <v>#REF!</v>
      </c>
      <c r="GE148" t="e">
        <f>AND(NhatkyNhap!#REF!,"AAAAAHN/Zro=")</f>
        <v>#REF!</v>
      </c>
      <c r="GF148" t="e">
        <f>AND(NhatkyNhap!#REF!,"AAAAAHN/Zrs=")</f>
        <v>#REF!</v>
      </c>
      <c r="GG148" t="e">
        <f>AND(NhatkyNhap!#REF!,"AAAAAHN/Zrw=")</f>
        <v>#REF!</v>
      </c>
      <c r="GH148" t="e">
        <f>AND(NhatkyNhap!#REF!,"AAAAAHN/Zr0=")</f>
        <v>#REF!</v>
      </c>
      <c r="GI148" t="e">
        <f>AND(NhatkyNhap!#REF!,"AAAAAHN/Zr4=")</f>
        <v>#REF!</v>
      </c>
      <c r="GJ148" t="e">
        <f>AND(NhatkyNhap!#REF!,"AAAAAHN/Zr8=")</f>
        <v>#REF!</v>
      </c>
      <c r="GK148" t="e">
        <f>AND(NhatkyNhap!#REF!,"AAAAAHN/ZsA=")</f>
        <v>#REF!</v>
      </c>
      <c r="GL148" t="e">
        <f>AND(NhatkyNhap!#REF!,"AAAAAHN/ZsE=")</f>
        <v>#REF!</v>
      </c>
      <c r="GM148" t="e">
        <f>AND(NhatkyNhap!#REF!,"AAAAAHN/ZsI=")</f>
        <v>#REF!</v>
      </c>
      <c r="GN148" t="e">
        <f>AND(NhatkyNhap!#REF!,"AAAAAHN/ZsM=")</f>
        <v>#REF!</v>
      </c>
      <c r="GO148" t="e">
        <f>AND(NhatkyNhap!#REF!,"AAAAAHN/ZsQ=")</f>
        <v>#REF!</v>
      </c>
      <c r="GP148" t="e">
        <f>AND(NhatkyNhap!#REF!,"AAAAAHN/ZsU=")</f>
        <v>#REF!</v>
      </c>
      <c r="GQ148" t="e">
        <f>AND(NhatkyNhap!#REF!,"AAAAAHN/ZsY=")</f>
        <v>#REF!</v>
      </c>
      <c r="GR148" t="e">
        <f>AND(NhatkyNhap!#REF!,"AAAAAHN/Zsc=")</f>
        <v>#REF!</v>
      </c>
      <c r="GS148" t="e">
        <f>AND(NhatkyNhap!#REF!,"AAAAAHN/Zsg=")</f>
        <v>#REF!</v>
      </c>
      <c r="GT148" t="e">
        <f>AND(NhatkyNhap!#REF!,"AAAAAHN/Zsk=")</f>
        <v>#REF!</v>
      </c>
      <c r="GU148" t="e">
        <f>AND(NhatkyNhap!#REF!,"AAAAAHN/Zso=")</f>
        <v>#REF!</v>
      </c>
      <c r="GV148" t="e">
        <f>AND(NhatkyNhap!#REF!,"AAAAAHN/Zss=")</f>
        <v>#REF!</v>
      </c>
      <c r="GW148" t="e">
        <f>AND(NhatkyNhap!#REF!,"AAAAAHN/Zsw=")</f>
        <v>#REF!</v>
      </c>
      <c r="GX148" t="e">
        <f>AND(NhatkyNhap!#REF!,"AAAAAHN/Zs0=")</f>
        <v>#REF!</v>
      </c>
      <c r="GY148" t="e">
        <f>AND(NhatkyNhap!#REF!,"AAAAAHN/Zs4=")</f>
        <v>#REF!</v>
      </c>
      <c r="GZ148" t="e">
        <f>AND(NhatkyNhap!#REF!,"AAAAAHN/Zs8=")</f>
        <v>#REF!</v>
      </c>
      <c r="HA148" t="e">
        <f>AND(NhatkyNhap!#REF!,"AAAAAHN/ZtA=")</f>
        <v>#REF!</v>
      </c>
      <c r="HB148" t="e">
        <f>AND(NhatkyNhap!#REF!,"AAAAAHN/ZtE=")</f>
        <v>#REF!</v>
      </c>
      <c r="HC148" t="e">
        <f>AND(NhatkyNhap!#REF!,"AAAAAHN/ZtI=")</f>
        <v>#REF!</v>
      </c>
      <c r="HD148" t="e">
        <f>AND(NhatkyNhap!#REF!,"AAAAAHN/ZtM=")</f>
        <v>#REF!</v>
      </c>
      <c r="HE148" t="e">
        <f>AND(NhatkyNhap!#REF!,"AAAAAHN/ZtQ=")</f>
        <v>#REF!</v>
      </c>
      <c r="HF148" t="e">
        <f>AND(NhatkyNhap!#REF!,"AAAAAHN/ZtU=")</f>
        <v>#REF!</v>
      </c>
      <c r="HG148" t="e">
        <f>AND(NhatkyNhap!#REF!,"AAAAAHN/ZtY=")</f>
        <v>#REF!</v>
      </c>
      <c r="HH148" t="e">
        <f>AND(NhatkyNhap!#REF!,"AAAAAHN/Ztc=")</f>
        <v>#REF!</v>
      </c>
      <c r="HI148" t="e">
        <f>AND(NhatkyNhap!#REF!,"AAAAAHN/Ztg=")</f>
        <v>#REF!</v>
      </c>
      <c r="HJ148" t="e">
        <f>AND(NhatkyNhap!#REF!,"AAAAAHN/Ztk=")</f>
        <v>#REF!</v>
      </c>
      <c r="HK148" t="e">
        <f>IF(NhatkyNhap!#REF!,"AAAAAHN/Zto=",0)</f>
        <v>#REF!</v>
      </c>
      <c r="HL148" t="e">
        <f>AND(NhatkyNhap!#REF!,"AAAAAHN/Zts=")</f>
        <v>#REF!</v>
      </c>
      <c r="HM148" t="e">
        <f>AND(NhatkyNhap!#REF!,"AAAAAHN/Ztw=")</f>
        <v>#REF!</v>
      </c>
      <c r="HN148" t="e">
        <f>AND(NhatkyNhap!#REF!,"AAAAAHN/Zt0=")</f>
        <v>#REF!</v>
      </c>
      <c r="HO148" t="e">
        <f>AND(NhatkyNhap!#REF!,"AAAAAHN/Zt4=")</f>
        <v>#REF!</v>
      </c>
      <c r="HP148" t="e">
        <f>AND(NhatkyNhap!#REF!,"AAAAAHN/Zt8=")</f>
        <v>#REF!</v>
      </c>
      <c r="HQ148" t="e">
        <f>AND(NhatkyNhap!#REF!,"AAAAAHN/ZuA=")</f>
        <v>#REF!</v>
      </c>
      <c r="HR148" t="e">
        <f>AND(NhatkyNhap!#REF!,"AAAAAHN/ZuE=")</f>
        <v>#REF!</v>
      </c>
      <c r="HS148" t="e">
        <f>AND(NhatkyNhap!#REF!,"AAAAAHN/ZuI=")</f>
        <v>#REF!</v>
      </c>
      <c r="HT148" t="e">
        <f>AND(NhatkyNhap!#REF!,"AAAAAHN/ZuM=")</f>
        <v>#REF!</v>
      </c>
      <c r="HU148" t="e">
        <f>AND(NhatkyNhap!#REF!,"AAAAAHN/ZuQ=")</f>
        <v>#REF!</v>
      </c>
      <c r="HV148" t="e">
        <f>AND(NhatkyNhap!#REF!,"AAAAAHN/ZuU=")</f>
        <v>#REF!</v>
      </c>
      <c r="HW148" t="e">
        <f>AND(NhatkyNhap!#REF!,"AAAAAHN/ZuY=")</f>
        <v>#REF!</v>
      </c>
      <c r="HX148" t="e">
        <f>AND(NhatkyNhap!#REF!,"AAAAAHN/Zuc=")</f>
        <v>#REF!</v>
      </c>
      <c r="HY148" t="e">
        <f>AND(NhatkyNhap!#REF!,"AAAAAHN/Zug=")</f>
        <v>#REF!</v>
      </c>
      <c r="HZ148" t="e">
        <f>AND(NhatkyNhap!#REF!,"AAAAAHN/Zuk=")</f>
        <v>#REF!</v>
      </c>
      <c r="IA148" t="e">
        <f>AND(NhatkyNhap!#REF!,"AAAAAHN/Zuo=")</f>
        <v>#REF!</v>
      </c>
      <c r="IB148" t="e">
        <f>AND(NhatkyNhap!#REF!,"AAAAAHN/Zus=")</f>
        <v>#REF!</v>
      </c>
      <c r="IC148" t="e">
        <f>AND(NhatkyNhap!#REF!,"AAAAAHN/Zuw=")</f>
        <v>#REF!</v>
      </c>
      <c r="ID148" t="e">
        <f>AND(NhatkyNhap!#REF!,"AAAAAHN/Zu0=")</f>
        <v>#REF!</v>
      </c>
      <c r="IE148" t="e">
        <f>AND(NhatkyNhap!#REF!,"AAAAAHN/Zu4=")</f>
        <v>#REF!</v>
      </c>
      <c r="IF148" t="e">
        <f>AND(NhatkyNhap!#REF!,"AAAAAHN/Zu8=")</f>
        <v>#REF!</v>
      </c>
      <c r="IG148" t="e">
        <f>AND(NhatkyNhap!#REF!,"AAAAAHN/ZvA=")</f>
        <v>#REF!</v>
      </c>
      <c r="IH148" t="e">
        <f>AND(NhatkyNhap!#REF!,"AAAAAHN/ZvE=")</f>
        <v>#REF!</v>
      </c>
      <c r="II148" t="e">
        <f>AND(NhatkyNhap!#REF!,"AAAAAHN/ZvI=")</f>
        <v>#REF!</v>
      </c>
      <c r="IJ148" t="e">
        <f>AND(NhatkyNhap!#REF!,"AAAAAHN/ZvM=")</f>
        <v>#REF!</v>
      </c>
      <c r="IK148" t="e">
        <f>AND(NhatkyNhap!#REF!,"AAAAAHN/ZvQ=")</f>
        <v>#REF!</v>
      </c>
      <c r="IL148" t="e">
        <f>AND(NhatkyNhap!#REF!,"AAAAAHN/ZvU=")</f>
        <v>#REF!</v>
      </c>
      <c r="IM148" t="e">
        <f>AND(NhatkyNhap!#REF!,"AAAAAHN/ZvY=")</f>
        <v>#REF!</v>
      </c>
      <c r="IN148" t="e">
        <f>AND(NhatkyNhap!#REF!,"AAAAAHN/Zvc=")</f>
        <v>#REF!</v>
      </c>
      <c r="IO148" t="e">
        <f>AND(NhatkyNhap!#REF!,"AAAAAHN/Zvg=")</f>
        <v>#REF!</v>
      </c>
      <c r="IP148" t="e">
        <f>AND(NhatkyNhap!#REF!,"AAAAAHN/Zvk=")</f>
        <v>#REF!</v>
      </c>
      <c r="IQ148" t="e">
        <f>AND(NhatkyNhap!#REF!,"AAAAAHN/Zvo=")</f>
        <v>#REF!</v>
      </c>
      <c r="IR148" t="e">
        <f>AND(NhatkyNhap!#REF!,"AAAAAHN/Zvs=")</f>
        <v>#REF!</v>
      </c>
      <c r="IS148" t="e">
        <f>AND(NhatkyNhap!#REF!,"AAAAAHN/Zvw=")</f>
        <v>#REF!</v>
      </c>
      <c r="IT148" t="e">
        <f>IF(NhatkyNhap!#REF!,"AAAAAHN/Zv0=",0)</f>
        <v>#REF!</v>
      </c>
      <c r="IU148" t="e">
        <f>AND(NhatkyNhap!#REF!,"AAAAAHN/Zv4=")</f>
        <v>#REF!</v>
      </c>
      <c r="IV148" t="e">
        <f>AND(NhatkyNhap!#REF!,"AAAAAHN/Zv8=")</f>
        <v>#REF!</v>
      </c>
    </row>
    <row r="149" spans="1:256">
      <c r="A149" t="e">
        <f>AND(NhatkyNhap!#REF!,"AAAAACZ6/wA=")</f>
        <v>#REF!</v>
      </c>
      <c r="B149" t="e">
        <f>AND(NhatkyNhap!#REF!,"AAAAACZ6/wE=")</f>
        <v>#REF!</v>
      </c>
      <c r="C149" t="e">
        <f>AND(NhatkyNhap!#REF!,"AAAAACZ6/wI=")</f>
        <v>#REF!</v>
      </c>
      <c r="D149" t="e">
        <f>AND(NhatkyNhap!#REF!,"AAAAACZ6/wM=")</f>
        <v>#REF!</v>
      </c>
      <c r="E149" t="e">
        <f>AND(NhatkyNhap!#REF!,"AAAAACZ6/wQ=")</f>
        <v>#REF!</v>
      </c>
      <c r="F149" t="e">
        <f>AND(NhatkyNhap!#REF!,"AAAAACZ6/wU=")</f>
        <v>#REF!</v>
      </c>
      <c r="G149" t="e">
        <f>AND(NhatkyNhap!#REF!,"AAAAACZ6/wY=")</f>
        <v>#REF!</v>
      </c>
      <c r="H149" t="e">
        <f>AND(NhatkyNhap!#REF!,"AAAAACZ6/wc=")</f>
        <v>#REF!</v>
      </c>
      <c r="I149" t="e">
        <f>AND(NhatkyNhap!#REF!,"AAAAACZ6/wg=")</f>
        <v>#REF!</v>
      </c>
      <c r="J149" t="e">
        <f>AND(NhatkyNhap!#REF!,"AAAAACZ6/wk=")</f>
        <v>#REF!</v>
      </c>
      <c r="K149" t="e">
        <f>AND(NhatkyNhap!#REF!,"AAAAACZ6/wo=")</f>
        <v>#REF!</v>
      </c>
      <c r="L149" t="e">
        <f>AND(NhatkyNhap!#REF!,"AAAAACZ6/ws=")</f>
        <v>#REF!</v>
      </c>
      <c r="M149" t="e">
        <f>AND(NhatkyNhap!#REF!,"AAAAACZ6/ww=")</f>
        <v>#REF!</v>
      </c>
      <c r="N149" t="e">
        <f>AND(NhatkyNhap!#REF!,"AAAAACZ6/w0=")</f>
        <v>#REF!</v>
      </c>
      <c r="O149" t="e">
        <f>AND(NhatkyNhap!#REF!,"AAAAACZ6/w4=")</f>
        <v>#REF!</v>
      </c>
      <c r="P149" t="e">
        <f>AND(NhatkyNhap!#REF!,"AAAAACZ6/w8=")</f>
        <v>#REF!</v>
      </c>
      <c r="Q149" t="e">
        <f>AND(NhatkyNhap!#REF!,"AAAAACZ6/xA=")</f>
        <v>#REF!</v>
      </c>
      <c r="R149" t="e">
        <f>AND(NhatkyNhap!#REF!,"AAAAACZ6/xE=")</f>
        <v>#REF!</v>
      </c>
      <c r="S149" t="e">
        <f>AND(NhatkyNhap!#REF!,"AAAAACZ6/xI=")</f>
        <v>#REF!</v>
      </c>
      <c r="T149" t="e">
        <f>AND(NhatkyNhap!#REF!,"AAAAACZ6/xM=")</f>
        <v>#REF!</v>
      </c>
      <c r="U149" t="e">
        <f>AND(NhatkyNhap!#REF!,"AAAAACZ6/xQ=")</f>
        <v>#REF!</v>
      </c>
      <c r="V149" t="e">
        <f>AND(NhatkyNhap!#REF!,"AAAAACZ6/xU=")</f>
        <v>#REF!</v>
      </c>
      <c r="W149" t="e">
        <f>AND(NhatkyNhap!#REF!,"AAAAACZ6/xY=")</f>
        <v>#REF!</v>
      </c>
      <c r="X149" t="e">
        <f>AND(NhatkyNhap!#REF!,"AAAAACZ6/xc=")</f>
        <v>#REF!</v>
      </c>
      <c r="Y149" t="e">
        <f>AND(NhatkyNhap!#REF!,"AAAAACZ6/xg=")</f>
        <v>#REF!</v>
      </c>
      <c r="Z149" t="e">
        <f>AND(NhatkyNhap!#REF!,"AAAAACZ6/xk=")</f>
        <v>#REF!</v>
      </c>
      <c r="AA149" t="e">
        <f>AND(NhatkyNhap!#REF!,"AAAAACZ6/xo=")</f>
        <v>#REF!</v>
      </c>
      <c r="AB149" t="e">
        <f>AND(NhatkyNhap!#REF!,"AAAAACZ6/xs=")</f>
        <v>#REF!</v>
      </c>
      <c r="AC149" t="e">
        <f>AND(NhatkyNhap!#REF!,"AAAAACZ6/xw=")</f>
        <v>#REF!</v>
      </c>
      <c r="AD149" t="e">
        <f>AND(NhatkyNhap!#REF!,"AAAAACZ6/x0=")</f>
        <v>#REF!</v>
      </c>
      <c r="AE149" t="e">
        <f>AND(NhatkyNhap!#REF!,"AAAAACZ6/x4=")</f>
        <v>#REF!</v>
      </c>
      <c r="AF149" t="e">
        <f>AND(NhatkyNhap!#REF!,"AAAAACZ6/x8=")</f>
        <v>#REF!</v>
      </c>
      <c r="AG149" t="e">
        <f>IF(NhatkyNhap!#REF!,"AAAAACZ6/yA=",0)</f>
        <v>#REF!</v>
      </c>
      <c r="AH149" t="e">
        <f>AND(NhatkyNhap!#REF!,"AAAAACZ6/yE=")</f>
        <v>#REF!</v>
      </c>
      <c r="AI149" t="e">
        <f>AND(NhatkyNhap!#REF!,"AAAAACZ6/yI=")</f>
        <v>#REF!</v>
      </c>
      <c r="AJ149" t="e">
        <f>AND(NhatkyNhap!#REF!,"AAAAACZ6/yM=")</f>
        <v>#REF!</v>
      </c>
      <c r="AK149" t="e">
        <f>AND(NhatkyNhap!#REF!,"AAAAACZ6/yQ=")</f>
        <v>#REF!</v>
      </c>
      <c r="AL149" t="e">
        <f>AND(NhatkyNhap!#REF!,"AAAAACZ6/yU=")</f>
        <v>#REF!</v>
      </c>
      <c r="AM149" t="e">
        <f>AND(NhatkyNhap!#REF!,"AAAAACZ6/yY=")</f>
        <v>#REF!</v>
      </c>
      <c r="AN149" t="e">
        <f>AND(NhatkyNhap!#REF!,"AAAAACZ6/yc=")</f>
        <v>#REF!</v>
      </c>
      <c r="AO149" t="e">
        <f>AND(NhatkyNhap!#REF!,"AAAAACZ6/yg=")</f>
        <v>#REF!</v>
      </c>
      <c r="AP149" t="e">
        <f>AND(NhatkyNhap!#REF!,"AAAAACZ6/yk=")</f>
        <v>#REF!</v>
      </c>
      <c r="AQ149" t="e">
        <f>AND(NhatkyNhap!#REF!,"AAAAACZ6/yo=")</f>
        <v>#REF!</v>
      </c>
      <c r="AR149" t="e">
        <f>AND(NhatkyNhap!#REF!,"AAAAACZ6/ys=")</f>
        <v>#REF!</v>
      </c>
      <c r="AS149" t="e">
        <f>AND(NhatkyNhap!#REF!,"AAAAACZ6/yw=")</f>
        <v>#REF!</v>
      </c>
      <c r="AT149" t="e">
        <f>AND(NhatkyNhap!#REF!,"AAAAACZ6/y0=")</f>
        <v>#REF!</v>
      </c>
      <c r="AU149" t="e">
        <f>AND(NhatkyNhap!#REF!,"AAAAACZ6/y4=")</f>
        <v>#REF!</v>
      </c>
      <c r="AV149" t="e">
        <f>AND(NhatkyNhap!#REF!,"AAAAACZ6/y8=")</f>
        <v>#REF!</v>
      </c>
      <c r="AW149" t="e">
        <f>AND(NhatkyNhap!#REF!,"AAAAACZ6/zA=")</f>
        <v>#REF!</v>
      </c>
      <c r="AX149" t="e">
        <f>AND(NhatkyNhap!#REF!,"AAAAACZ6/zE=")</f>
        <v>#REF!</v>
      </c>
      <c r="AY149" t="e">
        <f>AND(NhatkyNhap!#REF!,"AAAAACZ6/zI=")</f>
        <v>#REF!</v>
      </c>
      <c r="AZ149" t="e">
        <f>AND(NhatkyNhap!#REF!,"AAAAACZ6/zM=")</f>
        <v>#REF!</v>
      </c>
      <c r="BA149" t="e">
        <f>AND(NhatkyNhap!#REF!,"AAAAACZ6/zQ=")</f>
        <v>#REF!</v>
      </c>
      <c r="BB149" t="e">
        <f>AND(NhatkyNhap!#REF!,"AAAAACZ6/zU=")</f>
        <v>#REF!</v>
      </c>
      <c r="BC149" t="e">
        <f>AND(NhatkyNhap!#REF!,"AAAAACZ6/zY=")</f>
        <v>#REF!</v>
      </c>
      <c r="BD149" t="e">
        <f>AND(NhatkyNhap!#REF!,"AAAAACZ6/zc=")</f>
        <v>#REF!</v>
      </c>
      <c r="BE149" t="e">
        <f>AND(NhatkyNhap!#REF!,"AAAAACZ6/zg=")</f>
        <v>#REF!</v>
      </c>
      <c r="BF149" t="e">
        <f>AND(NhatkyNhap!#REF!,"AAAAACZ6/zk=")</f>
        <v>#REF!</v>
      </c>
      <c r="BG149" t="e">
        <f>AND(NhatkyNhap!#REF!,"AAAAACZ6/zo=")</f>
        <v>#REF!</v>
      </c>
      <c r="BH149" t="e">
        <f>AND(NhatkyNhap!#REF!,"AAAAACZ6/zs=")</f>
        <v>#REF!</v>
      </c>
      <c r="BI149" t="e">
        <f>AND(NhatkyNhap!#REF!,"AAAAACZ6/zw=")</f>
        <v>#REF!</v>
      </c>
      <c r="BJ149" t="e">
        <f>AND(NhatkyNhap!#REF!,"AAAAACZ6/z0=")</f>
        <v>#REF!</v>
      </c>
      <c r="BK149" t="e">
        <f>AND(NhatkyNhap!#REF!,"AAAAACZ6/z4=")</f>
        <v>#REF!</v>
      </c>
      <c r="BL149" t="e">
        <f>AND(NhatkyNhap!#REF!,"AAAAACZ6/z8=")</f>
        <v>#REF!</v>
      </c>
      <c r="BM149" t="e">
        <f>AND(NhatkyNhap!#REF!,"AAAAACZ6/0A=")</f>
        <v>#REF!</v>
      </c>
      <c r="BN149" t="e">
        <f>AND(NhatkyNhap!#REF!,"AAAAACZ6/0E=")</f>
        <v>#REF!</v>
      </c>
      <c r="BO149" t="e">
        <f>AND(NhatkyNhap!#REF!,"AAAAACZ6/0I=")</f>
        <v>#REF!</v>
      </c>
      <c r="BP149" t="e">
        <f>IF(NhatkyNhap!#REF!,"AAAAACZ6/0M=",0)</f>
        <v>#REF!</v>
      </c>
      <c r="BQ149" t="e">
        <f>AND(NhatkyNhap!#REF!,"AAAAACZ6/0Q=")</f>
        <v>#REF!</v>
      </c>
      <c r="BR149" t="e">
        <f>AND(NhatkyNhap!#REF!,"AAAAACZ6/0U=")</f>
        <v>#REF!</v>
      </c>
      <c r="BS149" t="e">
        <f>AND(NhatkyNhap!#REF!,"AAAAACZ6/0Y=")</f>
        <v>#REF!</v>
      </c>
      <c r="BT149" t="e">
        <f>AND(NhatkyNhap!#REF!,"AAAAACZ6/0c=")</f>
        <v>#REF!</v>
      </c>
      <c r="BU149" t="e">
        <f>AND(NhatkyNhap!#REF!,"AAAAACZ6/0g=")</f>
        <v>#REF!</v>
      </c>
      <c r="BV149" t="e">
        <f>AND(NhatkyNhap!#REF!,"AAAAACZ6/0k=")</f>
        <v>#REF!</v>
      </c>
      <c r="BW149" t="e">
        <f>AND(NhatkyNhap!#REF!,"AAAAACZ6/0o=")</f>
        <v>#REF!</v>
      </c>
      <c r="BX149" t="e">
        <f>AND(NhatkyNhap!#REF!,"AAAAACZ6/0s=")</f>
        <v>#REF!</v>
      </c>
      <c r="BY149" t="e">
        <f>AND(NhatkyNhap!#REF!,"AAAAACZ6/0w=")</f>
        <v>#REF!</v>
      </c>
      <c r="BZ149" t="e">
        <f>AND(NhatkyNhap!#REF!,"AAAAACZ6/00=")</f>
        <v>#REF!</v>
      </c>
      <c r="CA149" t="e">
        <f>AND(NhatkyNhap!#REF!,"AAAAACZ6/04=")</f>
        <v>#REF!</v>
      </c>
      <c r="CB149" t="e">
        <f>AND(NhatkyNhap!#REF!,"AAAAACZ6/08=")</f>
        <v>#REF!</v>
      </c>
      <c r="CC149" t="e">
        <f>AND(NhatkyNhap!#REF!,"AAAAACZ6/1A=")</f>
        <v>#REF!</v>
      </c>
      <c r="CD149" t="e">
        <f>AND(NhatkyNhap!#REF!,"AAAAACZ6/1E=")</f>
        <v>#REF!</v>
      </c>
      <c r="CE149" t="e">
        <f>AND(NhatkyNhap!#REF!,"AAAAACZ6/1I=")</f>
        <v>#REF!</v>
      </c>
      <c r="CF149" t="e">
        <f>AND(NhatkyNhap!#REF!,"AAAAACZ6/1M=")</f>
        <v>#REF!</v>
      </c>
      <c r="CG149" t="e">
        <f>AND(NhatkyNhap!#REF!,"AAAAACZ6/1Q=")</f>
        <v>#REF!</v>
      </c>
      <c r="CH149" t="e">
        <f>AND(NhatkyNhap!#REF!,"AAAAACZ6/1U=")</f>
        <v>#REF!</v>
      </c>
      <c r="CI149" t="e">
        <f>AND(NhatkyNhap!#REF!,"AAAAACZ6/1Y=")</f>
        <v>#REF!</v>
      </c>
      <c r="CJ149" t="e">
        <f>AND(NhatkyNhap!#REF!,"AAAAACZ6/1c=")</f>
        <v>#REF!</v>
      </c>
      <c r="CK149" t="e">
        <f>AND(NhatkyNhap!#REF!,"AAAAACZ6/1g=")</f>
        <v>#REF!</v>
      </c>
      <c r="CL149" t="e">
        <f>AND(NhatkyNhap!#REF!,"AAAAACZ6/1k=")</f>
        <v>#REF!</v>
      </c>
      <c r="CM149" t="e">
        <f>AND(NhatkyNhap!#REF!,"AAAAACZ6/1o=")</f>
        <v>#REF!</v>
      </c>
      <c r="CN149" t="e">
        <f>AND(NhatkyNhap!#REF!,"AAAAACZ6/1s=")</f>
        <v>#REF!</v>
      </c>
      <c r="CO149" t="e">
        <f>AND(NhatkyNhap!#REF!,"AAAAACZ6/1w=")</f>
        <v>#REF!</v>
      </c>
      <c r="CP149" t="e">
        <f>AND(NhatkyNhap!#REF!,"AAAAACZ6/10=")</f>
        <v>#REF!</v>
      </c>
      <c r="CQ149" t="e">
        <f>AND(NhatkyNhap!#REF!,"AAAAACZ6/14=")</f>
        <v>#REF!</v>
      </c>
      <c r="CR149" t="e">
        <f>AND(NhatkyNhap!#REF!,"AAAAACZ6/18=")</f>
        <v>#REF!</v>
      </c>
      <c r="CS149" t="e">
        <f>AND(NhatkyNhap!#REF!,"AAAAACZ6/2A=")</f>
        <v>#REF!</v>
      </c>
      <c r="CT149" t="e">
        <f>AND(NhatkyNhap!#REF!,"AAAAACZ6/2E=")</f>
        <v>#REF!</v>
      </c>
      <c r="CU149" t="e">
        <f>AND(NhatkyNhap!#REF!,"AAAAACZ6/2I=")</f>
        <v>#REF!</v>
      </c>
      <c r="CV149" t="e">
        <f>AND(NhatkyNhap!#REF!,"AAAAACZ6/2M=")</f>
        <v>#REF!</v>
      </c>
      <c r="CW149" t="e">
        <f>AND(NhatkyNhap!#REF!,"AAAAACZ6/2Q=")</f>
        <v>#REF!</v>
      </c>
      <c r="CX149" t="e">
        <f>AND(NhatkyNhap!#REF!,"AAAAACZ6/2U=")</f>
        <v>#REF!</v>
      </c>
      <c r="CY149" t="e">
        <f>IF(NhatkyNhap!#REF!,"AAAAACZ6/2Y=",0)</f>
        <v>#REF!</v>
      </c>
      <c r="CZ149" t="e">
        <f>AND(NhatkyNhap!#REF!,"AAAAACZ6/2c=")</f>
        <v>#REF!</v>
      </c>
      <c r="DA149" t="e">
        <f>AND(NhatkyNhap!#REF!,"AAAAACZ6/2g=")</f>
        <v>#REF!</v>
      </c>
      <c r="DB149" t="e">
        <f>AND(NhatkyNhap!#REF!,"AAAAACZ6/2k=")</f>
        <v>#REF!</v>
      </c>
      <c r="DC149" t="e">
        <f>AND(NhatkyNhap!#REF!,"AAAAACZ6/2o=")</f>
        <v>#REF!</v>
      </c>
      <c r="DD149" t="e">
        <f>AND(NhatkyNhap!#REF!,"AAAAACZ6/2s=")</f>
        <v>#REF!</v>
      </c>
      <c r="DE149" t="e">
        <f>AND(NhatkyNhap!#REF!,"AAAAACZ6/2w=")</f>
        <v>#REF!</v>
      </c>
      <c r="DF149" t="e">
        <f>AND(NhatkyNhap!#REF!,"AAAAACZ6/20=")</f>
        <v>#REF!</v>
      </c>
      <c r="DG149" t="e">
        <f>AND(NhatkyNhap!#REF!,"AAAAACZ6/24=")</f>
        <v>#REF!</v>
      </c>
      <c r="DH149" t="e">
        <f>AND(NhatkyNhap!#REF!,"AAAAACZ6/28=")</f>
        <v>#REF!</v>
      </c>
      <c r="DI149" t="e">
        <f>AND(NhatkyNhap!#REF!,"AAAAACZ6/3A=")</f>
        <v>#REF!</v>
      </c>
      <c r="DJ149" t="e">
        <f>AND(NhatkyNhap!#REF!,"AAAAACZ6/3E=")</f>
        <v>#REF!</v>
      </c>
      <c r="DK149" t="e">
        <f>AND(NhatkyNhap!#REF!,"AAAAACZ6/3I=")</f>
        <v>#REF!</v>
      </c>
      <c r="DL149" t="e">
        <f>AND(NhatkyNhap!#REF!,"AAAAACZ6/3M=")</f>
        <v>#REF!</v>
      </c>
      <c r="DM149" t="e">
        <f>AND(NhatkyNhap!#REF!,"AAAAACZ6/3Q=")</f>
        <v>#REF!</v>
      </c>
      <c r="DN149" t="e">
        <f>AND(NhatkyNhap!#REF!,"AAAAACZ6/3U=")</f>
        <v>#REF!</v>
      </c>
      <c r="DO149" t="e">
        <f>AND(NhatkyNhap!#REF!,"AAAAACZ6/3Y=")</f>
        <v>#REF!</v>
      </c>
      <c r="DP149" t="e">
        <f>AND(NhatkyNhap!#REF!,"AAAAACZ6/3c=")</f>
        <v>#REF!</v>
      </c>
      <c r="DQ149" t="e">
        <f>AND(NhatkyNhap!#REF!,"AAAAACZ6/3g=")</f>
        <v>#REF!</v>
      </c>
      <c r="DR149" t="e">
        <f>AND(NhatkyNhap!#REF!,"AAAAACZ6/3k=")</f>
        <v>#REF!</v>
      </c>
      <c r="DS149" t="e">
        <f>AND(NhatkyNhap!#REF!,"AAAAACZ6/3o=")</f>
        <v>#REF!</v>
      </c>
      <c r="DT149" t="e">
        <f>AND(NhatkyNhap!#REF!,"AAAAACZ6/3s=")</f>
        <v>#REF!</v>
      </c>
      <c r="DU149" t="e">
        <f>AND(NhatkyNhap!#REF!,"AAAAACZ6/3w=")</f>
        <v>#REF!</v>
      </c>
      <c r="DV149" t="e">
        <f>AND(NhatkyNhap!#REF!,"AAAAACZ6/30=")</f>
        <v>#REF!</v>
      </c>
      <c r="DW149" t="e">
        <f>AND(NhatkyNhap!#REF!,"AAAAACZ6/34=")</f>
        <v>#REF!</v>
      </c>
      <c r="DX149" t="e">
        <f>AND(NhatkyNhap!#REF!,"AAAAACZ6/38=")</f>
        <v>#REF!</v>
      </c>
      <c r="DY149" t="e">
        <f>AND(NhatkyNhap!#REF!,"AAAAACZ6/4A=")</f>
        <v>#REF!</v>
      </c>
      <c r="DZ149" t="e">
        <f>AND(NhatkyNhap!#REF!,"AAAAACZ6/4E=")</f>
        <v>#REF!</v>
      </c>
      <c r="EA149" t="e">
        <f>AND(NhatkyNhap!#REF!,"AAAAACZ6/4I=")</f>
        <v>#REF!</v>
      </c>
      <c r="EB149" t="e">
        <f>AND(NhatkyNhap!#REF!,"AAAAACZ6/4M=")</f>
        <v>#REF!</v>
      </c>
      <c r="EC149" t="e">
        <f>AND(NhatkyNhap!#REF!,"AAAAACZ6/4Q=")</f>
        <v>#REF!</v>
      </c>
      <c r="ED149" t="e">
        <f>AND(NhatkyNhap!#REF!,"AAAAACZ6/4U=")</f>
        <v>#REF!</v>
      </c>
      <c r="EE149" t="e">
        <f>AND(NhatkyNhap!#REF!,"AAAAACZ6/4Y=")</f>
        <v>#REF!</v>
      </c>
      <c r="EF149" t="e">
        <f>AND(NhatkyNhap!#REF!,"AAAAACZ6/4c=")</f>
        <v>#REF!</v>
      </c>
      <c r="EG149" t="e">
        <f>AND(NhatkyNhap!#REF!,"AAAAACZ6/4g=")</f>
        <v>#REF!</v>
      </c>
      <c r="EH149" t="e">
        <f>IF(NhatkyNhap!#REF!,"AAAAACZ6/4k=",0)</f>
        <v>#REF!</v>
      </c>
      <c r="EI149" t="e">
        <f>AND(NhatkyNhap!#REF!,"AAAAACZ6/4o=")</f>
        <v>#REF!</v>
      </c>
      <c r="EJ149" t="e">
        <f>AND(NhatkyNhap!#REF!,"AAAAACZ6/4s=")</f>
        <v>#REF!</v>
      </c>
      <c r="EK149" t="e">
        <f>AND(NhatkyNhap!#REF!,"AAAAACZ6/4w=")</f>
        <v>#REF!</v>
      </c>
      <c r="EL149" t="e">
        <f>AND(NhatkyNhap!#REF!,"AAAAACZ6/40=")</f>
        <v>#REF!</v>
      </c>
      <c r="EM149" t="e">
        <f>AND(NhatkyNhap!#REF!,"AAAAACZ6/44=")</f>
        <v>#REF!</v>
      </c>
      <c r="EN149" t="e">
        <f>AND(NhatkyNhap!#REF!,"AAAAACZ6/48=")</f>
        <v>#REF!</v>
      </c>
      <c r="EO149" t="e">
        <f>AND(NhatkyNhap!#REF!,"AAAAACZ6/5A=")</f>
        <v>#REF!</v>
      </c>
      <c r="EP149" t="e">
        <f>AND(NhatkyNhap!#REF!,"AAAAACZ6/5E=")</f>
        <v>#REF!</v>
      </c>
      <c r="EQ149" t="e">
        <f>AND(NhatkyNhap!#REF!,"AAAAACZ6/5I=")</f>
        <v>#REF!</v>
      </c>
      <c r="ER149" t="e">
        <f>AND(NhatkyNhap!#REF!,"AAAAACZ6/5M=")</f>
        <v>#REF!</v>
      </c>
      <c r="ES149" t="e">
        <f>AND(NhatkyNhap!#REF!,"AAAAACZ6/5Q=")</f>
        <v>#REF!</v>
      </c>
      <c r="ET149" t="e">
        <f>AND(NhatkyNhap!#REF!,"AAAAACZ6/5U=")</f>
        <v>#REF!</v>
      </c>
      <c r="EU149" t="e">
        <f>AND(NhatkyNhap!#REF!,"AAAAACZ6/5Y=")</f>
        <v>#REF!</v>
      </c>
      <c r="EV149" t="e">
        <f>AND(NhatkyNhap!#REF!,"AAAAACZ6/5c=")</f>
        <v>#REF!</v>
      </c>
      <c r="EW149" t="e">
        <f>AND(NhatkyNhap!#REF!,"AAAAACZ6/5g=")</f>
        <v>#REF!</v>
      </c>
      <c r="EX149" t="e">
        <f>AND(NhatkyNhap!#REF!,"AAAAACZ6/5k=")</f>
        <v>#REF!</v>
      </c>
      <c r="EY149" t="e">
        <f>AND(NhatkyNhap!#REF!,"AAAAACZ6/5o=")</f>
        <v>#REF!</v>
      </c>
      <c r="EZ149" t="e">
        <f>AND(NhatkyNhap!#REF!,"AAAAACZ6/5s=")</f>
        <v>#REF!</v>
      </c>
      <c r="FA149" t="e">
        <f>AND(NhatkyNhap!#REF!,"AAAAACZ6/5w=")</f>
        <v>#REF!</v>
      </c>
      <c r="FB149" t="e">
        <f>AND(NhatkyNhap!#REF!,"AAAAACZ6/50=")</f>
        <v>#REF!</v>
      </c>
      <c r="FC149" t="e">
        <f>AND(NhatkyNhap!#REF!,"AAAAACZ6/54=")</f>
        <v>#REF!</v>
      </c>
      <c r="FD149" t="e">
        <f>AND(NhatkyNhap!#REF!,"AAAAACZ6/58=")</f>
        <v>#REF!</v>
      </c>
      <c r="FE149" t="e">
        <f>AND(NhatkyNhap!#REF!,"AAAAACZ6/6A=")</f>
        <v>#REF!</v>
      </c>
      <c r="FF149" t="e">
        <f>AND(NhatkyNhap!#REF!,"AAAAACZ6/6E=")</f>
        <v>#REF!</v>
      </c>
      <c r="FG149" t="e">
        <f>AND(NhatkyNhap!#REF!,"AAAAACZ6/6I=")</f>
        <v>#REF!</v>
      </c>
      <c r="FH149" t="e">
        <f>AND(NhatkyNhap!#REF!,"AAAAACZ6/6M=")</f>
        <v>#REF!</v>
      </c>
      <c r="FI149" t="e">
        <f>AND(NhatkyNhap!#REF!,"AAAAACZ6/6Q=")</f>
        <v>#REF!</v>
      </c>
      <c r="FJ149" t="e">
        <f>AND(NhatkyNhap!#REF!,"AAAAACZ6/6U=")</f>
        <v>#REF!</v>
      </c>
      <c r="FK149" t="e">
        <f>AND(NhatkyNhap!#REF!,"AAAAACZ6/6Y=")</f>
        <v>#REF!</v>
      </c>
      <c r="FL149" t="e">
        <f>AND(NhatkyNhap!#REF!,"AAAAACZ6/6c=")</f>
        <v>#REF!</v>
      </c>
      <c r="FM149" t="e">
        <f>AND(NhatkyNhap!#REF!,"AAAAACZ6/6g=")</f>
        <v>#REF!</v>
      </c>
      <c r="FN149" t="e">
        <f>AND(NhatkyNhap!#REF!,"AAAAACZ6/6k=")</f>
        <v>#REF!</v>
      </c>
      <c r="FO149" t="e">
        <f>AND(NhatkyNhap!#REF!,"AAAAACZ6/6o=")</f>
        <v>#REF!</v>
      </c>
      <c r="FP149" t="e">
        <f>AND(NhatkyNhap!#REF!,"AAAAACZ6/6s=")</f>
        <v>#REF!</v>
      </c>
      <c r="FQ149" t="e">
        <f>IF(NhatkyNhap!#REF!,"AAAAACZ6/6w=",0)</f>
        <v>#REF!</v>
      </c>
      <c r="FR149" t="e">
        <f>AND(NhatkyNhap!#REF!,"AAAAACZ6/60=")</f>
        <v>#REF!</v>
      </c>
      <c r="FS149" t="e">
        <f>AND(NhatkyNhap!#REF!,"AAAAACZ6/64=")</f>
        <v>#REF!</v>
      </c>
      <c r="FT149" t="e">
        <f>AND(NhatkyNhap!#REF!,"AAAAACZ6/68=")</f>
        <v>#REF!</v>
      </c>
      <c r="FU149" t="e">
        <f>AND(NhatkyNhap!#REF!,"AAAAACZ6/7A=")</f>
        <v>#REF!</v>
      </c>
      <c r="FV149" t="e">
        <f>AND(NhatkyNhap!#REF!,"AAAAACZ6/7E=")</f>
        <v>#REF!</v>
      </c>
      <c r="FW149" t="e">
        <f>AND(NhatkyNhap!#REF!,"AAAAACZ6/7I=")</f>
        <v>#REF!</v>
      </c>
      <c r="FX149" t="e">
        <f>AND(NhatkyNhap!#REF!,"AAAAACZ6/7M=")</f>
        <v>#REF!</v>
      </c>
      <c r="FY149" t="e">
        <f>AND(NhatkyNhap!#REF!,"AAAAACZ6/7Q=")</f>
        <v>#REF!</v>
      </c>
      <c r="FZ149" t="e">
        <f>AND(NhatkyNhap!#REF!,"AAAAACZ6/7U=")</f>
        <v>#REF!</v>
      </c>
      <c r="GA149" t="e">
        <f>AND(NhatkyNhap!#REF!,"AAAAACZ6/7Y=")</f>
        <v>#REF!</v>
      </c>
      <c r="GB149" t="e">
        <f>AND(NhatkyNhap!#REF!,"AAAAACZ6/7c=")</f>
        <v>#REF!</v>
      </c>
      <c r="GC149" t="e">
        <f>AND(NhatkyNhap!#REF!,"AAAAACZ6/7g=")</f>
        <v>#REF!</v>
      </c>
      <c r="GD149" t="e">
        <f>AND(NhatkyNhap!#REF!,"AAAAACZ6/7k=")</f>
        <v>#REF!</v>
      </c>
      <c r="GE149" t="e">
        <f>AND(NhatkyNhap!#REF!,"AAAAACZ6/7o=")</f>
        <v>#REF!</v>
      </c>
      <c r="GF149" t="e">
        <f>AND(NhatkyNhap!#REF!,"AAAAACZ6/7s=")</f>
        <v>#REF!</v>
      </c>
      <c r="GG149" t="e">
        <f>AND(NhatkyNhap!#REF!,"AAAAACZ6/7w=")</f>
        <v>#REF!</v>
      </c>
      <c r="GH149" t="e">
        <f>AND(NhatkyNhap!#REF!,"AAAAACZ6/70=")</f>
        <v>#REF!</v>
      </c>
      <c r="GI149" t="e">
        <f>AND(NhatkyNhap!#REF!,"AAAAACZ6/74=")</f>
        <v>#REF!</v>
      </c>
      <c r="GJ149" t="e">
        <f>AND(NhatkyNhap!#REF!,"AAAAACZ6/78=")</f>
        <v>#REF!</v>
      </c>
      <c r="GK149" t="e">
        <f>AND(NhatkyNhap!#REF!,"AAAAACZ6/8A=")</f>
        <v>#REF!</v>
      </c>
      <c r="GL149" t="e">
        <f>AND(NhatkyNhap!#REF!,"AAAAACZ6/8E=")</f>
        <v>#REF!</v>
      </c>
      <c r="GM149" t="e">
        <f>AND(NhatkyNhap!#REF!,"AAAAACZ6/8I=")</f>
        <v>#REF!</v>
      </c>
      <c r="GN149" t="e">
        <f>AND(NhatkyNhap!#REF!,"AAAAACZ6/8M=")</f>
        <v>#REF!</v>
      </c>
      <c r="GO149" t="e">
        <f>AND(NhatkyNhap!#REF!,"AAAAACZ6/8Q=")</f>
        <v>#REF!</v>
      </c>
      <c r="GP149" t="e">
        <f>AND(NhatkyNhap!#REF!,"AAAAACZ6/8U=")</f>
        <v>#REF!</v>
      </c>
      <c r="GQ149" t="e">
        <f>AND(NhatkyNhap!#REF!,"AAAAACZ6/8Y=")</f>
        <v>#REF!</v>
      </c>
      <c r="GR149" t="e">
        <f>AND(NhatkyNhap!#REF!,"AAAAACZ6/8c=")</f>
        <v>#REF!</v>
      </c>
      <c r="GS149" t="e">
        <f>AND(NhatkyNhap!#REF!,"AAAAACZ6/8g=")</f>
        <v>#REF!</v>
      </c>
      <c r="GT149" t="e">
        <f>AND(NhatkyNhap!#REF!,"AAAAACZ6/8k=")</f>
        <v>#REF!</v>
      </c>
      <c r="GU149" t="e">
        <f>AND(NhatkyNhap!#REF!,"AAAAACZ6/8o=")</f>
        <v>#REF!</v>
      </c>
      <c r="GV149" t="e">
        <f>AND(NhatkyNhap!#REF!,"AAAAACZ6/8s=")</f>
        <v>#REF!</v>
      </c>
      <c r="GW149" t="e">
        <f>AND(NhatkyNhap!#REF!,"AAAAACZ6/8w=")</f>
        <v>#REF!</v>
      </c>
      <c r="GX149" t="e">
        <f>AND(NhatkyNhap!#REF!,"AAAAACZ6/80=")</f>
        <v>#REF!</v>
      </c>
      <c r="GY149" t="e">
        <f>AND(NhatkyNhap!#REF!,"AAAAACZ6/84=")</f>
        <v>#REF!</v>
      </c>
      <c r="GZ149" t="e">
        <f>IF(NhatkyNhap!#REF!,"AAAAACZ6/88=",0)</f>
        <v>#REF!</v>
      </c>
      <c r="HA149" t="e">
        <f>AND(NhatkyNhap!#REF!,"AAAAACZ6/9A=")</f>
        <v>#REF!</v>
      </c>
      <c r="HB149" t="e">
        <f>AND(NhatkyNhap!#REF!,"AAAAACZ6/9E=")</f>
        <v>#REF!</v>
      </c>
      <c r="HC149" t="e">
        <f>AND(NhatkyNhap!#REF!,"AAAAACZ6/9I=")</f>
        <v>#REF!</v>
      </c>
      <c r="HD149" t="e">
        <f>AND(NhatkyNhap!#REF!,"AAAAACZ6/9M=")</f>
        <v>#REF!</v>
      </c>
      <c r="HE149" t="e">
        <f>AND(NhatkyNhap!#REF!,"AAAAACZ6/9Q=")</f>
        <v>#REF!</v>
      </c>
      <c r="HF149" t="e">
        <f>AND(NhatkyNhap!#REF!,"AAAAACZ6/9U=")</f>
        <v>#REF!</v>
      </c>
      <c r="HG149" t="e">
        <f>AND(NhatkyNhap!#REF!,"AAAAACZ6/9Y=")</f>
        <v>#REF!</v>
      </c>
      <c r="HH149" t="e">
        <f>AND(NhatkyNhap!#REF!,"AAAAACZ6/9c=")</f>
        <v>#REF!</v>
      </c>
      <c r="HI149" t="e">
        <f>AND(NhatkyNhap!#REF!,"AAAAACZ6/9g=")</f>
        <v>#REF!</v>
      </c>
      <c r="HJ149" t="e">
        <f>AND(NhatkyNhap!#REF!,"AAAAACZ6/9k=")</f>
        <v>#REF!</v>
      </c>
      <c r="HK149" t="e">
        <f>AND(NhatkyNhap!#REF!,"AAAAACZ6/9o=")</f>
        <v>#REF!</v>
      </c>
      <c r="HL149" t="e">
        <f>AND(NhatkyNhap!#REF!,"AAAAACZ6/9s=")</f>
        <v>#REF!</v>
      </c>
      <c r="HM149" t="e">
        <f>AND(NhatkyNhap!#REF!,"AAAAACZ6/9w=")</f>
        <v>#REF!</v>
      </c>
      <c r="HN149" t="e">
        <f>AND(NhatkyNhap!#REF!,"AAAAACZ6/90=")</f>
        <v>#REF!</v>
      </c>
      <c r="HO149" t="e">
        <f>AND(NhatkyNhap!#REF!,"AAAAACZ6/94=")</f>
        <v>#REF!</v>
      </c>
      <c r="HP149" t="e">
        <f>AND(NhatkyNhap!#REF!,"AAAAACZ6/98=")</f>
        <v>#REF!</v>
      </c>
      <c r="HQ149" t="e">
        <f>AND(NhatkyNhap!#REF!,"AAAAACZ6/+A=")</f>
        <v>#REF!</v>
      </c>
      <c r="HR149" t="e">
        <f>AND(NhatkyNhap!#REF!,"AAAAACZ6/+E=")</f>
        <v>#REF!</v>
      </c>
      <c r="HS149" t="e">
        <f>AND(NhatkyNhap!#REF!,"AAAAACZ6/+I=")</f>
        <v>#REF!</v>
      </c>
      <c r="HT149" t="e">
        <f>AND(NhatkyNhap!#REF!,"AAAAACZ6/+M=")</f>
        <v>#REF!</v>
      </c>
      <c r="HU149" t="e">
        <f>AND(NhatkyNhap!#REF!,"AAAAACZ6/+Q=")</f>
        <v>#REF!</v>
      </c>
      <c r="HV149" t="e">
        <f>AND(NhatkyNhap!#REF!,"AAAAACZ6/+U=")</f>
        <v>#REF!</v>
      </c>
      <c r="HW149" t="e">
        <f>AND(NhatkyNhap!#REF!,"AAAAACZ6/+Y=")</f>
        <v>#REF!</v>
      </c>
      <c r="HX149" t="e">
        <f>AND(NhatkyNhap!#REF!,"AAAAACZ6/+c=")</f>
        <v>#REF!</v>
      </c>
      <c r="HY149" t="e">
        <f>AND(NhatkyNhap!#REF!,"AAAAACZ6/+g=")</f>
        <v>#REF!</v>
      </c>
      <c r="HZ149" t="e">
        <f>AND(NhatkyNhap!#REF!,"AAAAACZ6/+k=")</f>
        <v>#REF!</v>
      </c>
      <c r="IA149" t="e">
        <f>AND(NhatkyNhap!#REF!,"AAAAACZ6/+o=")</f>
        <v>#REF!</v>
      </c>
      <c r="IB149" t="e">
        <f>AND(NhatkyNhap!#REF!,"AAAAACZ6/+s=")</f>
        <v>#REF!</v>
      </c>
      <c r="IC149" t="e">
        <f>AND(NhatkyNhap!#REF!,"AAAAACZ6/+w=")</f>
        <v>#REF!</v>
      </c>
      <c r="ID149" t="e">
        <f>AND(NhatkyNhap!#REF!,"AAAAACZ6/+0=")</f>
        <v>#REF!</v>
      </c>
      <c r="IE149" t="e">
        <f>AND(NhatkyNhap!#REF!,"AAAAACZ6/+4=")</f>
        <v>#REF!</v>
      </c>
      <c r="IF149" t="e">
        <f>AND(NhatkyNhap!#REF!,"AAAAACZ6/+8=")</f>
        <v>#REF!</v>
      </c>
      <c r="IG149" t="e">
        <f>AND(NhatkyNhap!#REF!,"AAAAACZ6//A=")</f>
        <v>#REF!</v>
      </c>
      <c r="IH149" t="e">
        <f>AND(NhatkyNhap!#REF!,"AAAAACZ6//E=")</f>
        <v>#REF!</v>
      </c>
      <c r="II149" t="e">
        <f>IF(NhatkyNhap!#REF!,"AAAAACZ6//I=",0)</f>
        <v>#REF!</v>
      </c>
      <c r="IJ149" t="e">
        <f>AND(NhatkyNhap!#REF!,"AAAAACZ6//M=")</f>
        <v>#REF!</v>
      </c>
      <c r="IK149" t="e">
        <f>AND(NhatkyNhap!#REF!,"AAAAACZ6//Q=")</f>
        <v>#REF!</v>
      </c>
      <c r="IL149" t="e">
        <f>AND(NhatkyNhap!#REF!,"AAAAACZ6//U=")</f>
        <v>#REF!</v>
      </c>
      <c r="IM149" t="e">
        <f>AND(NhatkyNhap!#REF!,"AAAAACZ6//Y=")</f>
        <v>#REF!</v>
      </c>
      <c r="IN149" t="e">
        <f>AND(NhatkyNhap!#REF!,"AAAAACZ6//c=")</f>
        <v>#REF!</v>
      </c>
      <c r="IO149" t="e">
        <f>AND(NhatkyNhap!#REF!,"AAAAACZ6//g=")</f>
        <v>#REF!</v>
      </c>
      <c r="IP149" t="e">
        <f>AND(NhatkyNhap!#REF!,"AAAAACZ6//k=")</f>
        <v>#REF!</v>
      </c>
      <c r="IQ149" t="e">
        <f>AND(NhatkyNhap!#REF!,"AAAAACZ6//o=")</f>
        <v>#REF!</v>
      </c>
      <c r="IR149" t="e">
        <f>AND(NhatkyNhap!#REF!,"AAAAACZ6//s=")</f>
        <v>#REF!</v>
      </c>
      <c r="IS149" t="e">
        <f>AND(NhatkyNhap!#REF!,"AAAAACZ6//w=")</f>
        <v>#REF!</v>
      </c>
      <c r="IT149" t="e">
        <f>AND(NhatkyNhap!#REF!,"AAAAACZ6//0=")</f>
        <v>#REF!</v>
      </c>
      <c r="IU149" t="e">
        <f>AND(NhatkyNhap!#REF!,"AAAAACZ6//4=")</f>
        <v>#REF!</v>
      </c>
      <c r="IV149" t="e">
        <f>AND(NhatkyNhap!#REF!,"AAAAACZ6//8=")</f>
        <v>#REF!</v>
      </c>
    </row>
    <row r="150" spans="1:256">
      <c r="A150" t="e">
        <f>AND(NhatkyNhap!#REF!,"AAAAAG/9/gA=")</f>
        <v>#REF!</v>
      </c>
      <c r="B150" t="e">
        <f>AND(NhatkyNhap!#REF!,"AAAAAG/9/gE=")</f>
        <v>#REF!</v>
      </c>
      <c r="C150" t="e">
        <f>AND(NhatkyNhap!#REF!,"AAAAAG/9/gI=")</f>
        <v>#REF!</v>
      </c>
      <c r="D150" t="e">
        <f>AND(NhatkyNhap!#REF!,"AAAAAG/9/gM=")</f>
        <v>#REF!</v>
      </c>
      <c r="E150" t="e">
        <f>AND(NhatkyNhap!#REF!,"AAAAAG/9/gQ=")</f>
        <v>#REF!</v>
      </c>
      <c r="F150" t="e">
        <f>AND(NhatkyNhap!#REF!,"AAAAAG/9/gU=")</f>
        <v>#REF!</v>
      </c>
      <c r="G150" t="e">
        <f>AND(NhatkyNhap!#REF!,"AAAAAG/9/gY=")</f>
        <v>#REF!</v>
      </c>
      <c r="H150" t="e">
        <f>AND(NhatkyNhap!#REF!,"AAAAAG/9/gc=")</f>
        <v>#REF!</v>
      </c>
      <c r="I150" t="e">
        <f>AND(NhatkyNhap!#REF!,"AAAAAG/9/gg=")</f>
        <v>#REF!</v>
      </c>
      <c r="J150" t="e">
        <f>AND(NhatkyNhap!#REF!,"AAAAAG/9/gk=")</f>
        <v>#REF!</v>
      </c>
      <c r="K150" t="e">
        <f>AND(NhatkyNhap!#REF!,"AAAAAG/9/go=")</f>
        <v>#REF!</v>
      </c>
      <c r="L150" t="e">
        <f>AND(NhatkyNhap!#REF!,"AAAAAG/9/gs=")</f>
        <v>#REF!</v>
      </c>
      <c r="M150" t="e">
        <f>AND(NhatkyNhap!#REF!,"AAAAAG/9/gw=")</f>
        <v>#REF!</v>
      </c>
      <c r="N150" t="e">
        <f>AND(NhatkyNhap!#REF!,"AAAAAG/9/g0=")</f>
        <v>#REF!</v>
      </c>
      <c r="O150" t="e">
        <f>AND(NhatkyNhap!#REF!,"AAAAAG/9/g4=")</f>
        <v>#REF!</v>
      </c>
      <c r="P150" t="e">
        <f>AND(NhatkyNhap!#REF!,"AAAAAG/9/g8=")</f>
        <v>#REF!</v>
      </c>
      <c r="Q150" t="e">
        <f>AND(NhatkyNhap!#REF!,"AAAAAG/9/hA=")</f>
        <v>#REF!</v>
      </c>
      <c r="R150" t="e">
        <f>AND(NhatkyNhap!#REF!,"AAAAAG/9/hE=")</f>
        <v>#REF!</v>
      </c>
      <c r="S150" t="e">
        <f>AND(NhatkyNhap!#REF!,"AAAAAG/9/hI=")</f>
        <v>#REF!</v>
      </c>
      <c r="T150" t="e">
        <f>AND(NhatkyNhap!#REF!,"AAAAAG/9/hM=")</f>
        <v>#REF!</v>
      </c>
      <c r="U150" t="e">
        <f>AND(NhatkyNhap!#REF!,"AAAAAG/9/hQ=")</f>
        <v>#REF!</v>
      </c>
      <c r="V150" t="e">
        <f>IF(NhatkyNhap!#REF!,"AAAAAG/9/hU=",0)</f>
        <v>#REF!</v>
      </c>
      <c r="W150" t="e">
        <f>AND(NhatkyNhap!#REF!,"AAAAAG/9/hY=")</f>
        <v>#REF!</v>
      </c>
      <c r="X150" t="e">
        <f>AND(NhatkyNhap!#REF!,"AAAAAG/9/hc=")</f>
        <v>#REF!</v>
      </c>
      <c r="Y150" t="e">
        <f>AND(NhatkyNhap!#REF!,"AAAAAG/9/hg=")</f>
        <v>#REF!</v>
      </c>
      <c r="Z150" t="e">
        <f>AND(NhatkyNhap!#REF!,"AAAAAG/9/hk=")</f>
        <v>#REF!</v>
      </c>
      <c r="AA150" t="e">
        <f>AND(NhatkyNhap!#REF!,"AAAAAG/9/ho=")</f>
        <v>#REF!</v>
      </c>
      <c r="AB150" t="e">
        <f>AND(NhatkyNhap!#REF!,"AAAAAG/9/hs=")</f>
        <v>#REF!</v>
      </c>
      <c r="AC150" t="e">
        <f>AND(NhatkyNhap!#REF!,"AAAAAG/9/hw=")</f>
        <v>#REF!</v>
      </c>
      <c r="AD150" t="e">
        <f>AND(NhatkyNhap!#REF!,"AAAAAG/9/h0=")</f>
        <v>#REF!</v>
      </c>
      <c r="AE150" t="e">
        <f>AND(NhatkyNhap!#REF!,"AAAAAG/9/h4=")</f>
        <v>#REF!</v>
      </c>
      <c r="AF150" t="e">
        <f>AND(NhatkyNhap!#REF!,"AAAAAG/9/h8=")</f>
        <v>#REF!</v>
      </c>
      <c r="AG150" t="e">
        <f>AND(NhatkyNhap!#REF!,"AAAAAG/9/iA=")</f>
        <v>#REF!</v>
      </c>
      <c r="AH150" t="e">
        <f>AND(NhatkyNhap!#REF!,"AAAAAG/9/iE=")</f>
        <v>#REF!</v>
      </c>
      <c r="AI150" t="e">
        <f>AND(NhatkyNhap!#REF!,"AAAAAG/9/iI=")</f>
        <v>#REF!</v>
      </c>
      <c r="AJ150" t="e">
        <f>AND(NhatkyNhap!#REF!,"AAAAAG/9/iM=")</f>
        <v>#REF!</v>
      </c>
      <c r="AK150" t="e">
        <f>AND(NhatkyNhap!#REF!,"AAAAAG/9/iQ=")</f>
        <v>#REF!</v>
      </c>
      <c r="AL150" t="e">
        <f>AND(NhatkyNhap!#REF!,"AAAAAG/9/iU=")</f>
        <v>#REF!</v>
      </c>
      <c r="AM150" t="e">
        <f>AND(NhatkyNhap!#REF!,"AAAAAG/9/iY=")</f>
        <v>#REF!</v>
      </c>
      <c r="AN150" t="e">
        <f>AND(NhatkyNhap!#REF!,"AAAAAG/9/ic=")</f>
        <v>#REF!</v>
      </c>
      <c r="AO150" t="e">
        <f>AND(NhatkyNhap!#REF!,"AAAAAG/9/ig=")</f>
        <v>#REF!</v>
      </c>
      <c r="AP150" t="e">
        <f>AND(NhatkyNhap!#REF!,"AAAAAG/9/ik=")</f>
        <v>#REF!</v>
      </c>
      <c r="AQ150" t="e">
        <f>AND(NhatkyNhap!#REF!,"AAAAAG/9/io=")</f>
        <v>#REF!</v>
      </c>
      <c r="AR150" t="e">
        <f>AND(NhatkyNhap!#REF!,"AAAAAG/9/is=")</f>
        <v>#REF!</v>
      </c>
      <c r="AS150" t="e">
        <f>AND(NhatkyNhap!#REF!,"AAAAAG/9/iw=")</f>
        <v>#REF!</v>
      </c>
      <c r="AT150" t="e">
        <f>AND(NhatkyNhap!#REF!,"AAAAAG/9/i0=")</f>
        <v>#REF!</v>
      </c>
      <c r="AU150" t="e">
        <f>AND(NhatkyNhap!#REF!,"AAAAAG/9/i4=")</f>
        <v>#REF!</v>
      </c>
      <c r="AV150" t="e">
        <f>AND(NhatkyNhap!#REF!,"AAAAAG/9/i8=")</f>
        <v>#REF!</v>
      </c>
      <c r="AW150" t="e">
        <f>AND(NhatkyNhap!#REF!,"AAAAAG/9/jA=")</f>
        <v>#REF!</v>
      </c>
      <c r="AX150" t="e">
        <f>AND(NhatkyNhap!#REF!,"AAAAAG/9/jE=")</f>
        <v>#REF!</v>
      </c>
      <c r="AY150" t="e">
        <f>AND(NhatkyNhap!#REF!,"AAAAAG/9/jI=")</f>
        <v>#REF!</v>
      </c>
      <c r="AZ150" t="e">
        <f>AND(NhatkyNhap!#REF!,"AAAAAG/9/jM=")</f>
        <v>#REF!</v>
      </c>
      <c r="BA150" t="e">
        <f>AND(NhatkyNhap!#REF!,"AAAAAG/9/jQ=")</f>
        <v>#REF!</v>
      </c>
      <c r="BB150" t="e">
        <f>AND(NhatkyNhap!#REF!,"AAAAAG/9/jU=")</f>
        <v>#REF!</v>
      </c>
      <c r="BC150" t="e">
        <f>AND(NhatkyNhap!#REF!,"AAAAAG/9/jY=")</f>
        <v>#REF!</v>
      </c>
      <c r="BD150" t="e">
        <f>AND(NhatkyNhap!#REF!,"AAAAAG/9/jc=")</f>
        <v>#REF!</v>
      </c>
      <c r="BE150" t="e">
        <f>IF(NhatkyNhap!#REF!,"AAAAAG/9/jg=",0)</f>
        <v>#REF!</v>
      </c>
      <c r="BF150" t="e">
        <f>AND(NhatkyNhap!#REF!,"AAAAAG/9/jk=")</f>
        <v>#REF!</v>
      </c>
      <c r="BG150" t="e">
        <f>AND(NhatkyNhap!#REF!,"AAAAAG/9/jo=")</f>
        <v>#REF!</v>
      </c>
      <c r="BH150" t="e">
        <f>AND(NhatkyNhap!#REF!,"AAAAAG/9/js=")</f>
        <v>#REF!</v>
      </c>
      <c r="BI150" t="e">
        <f>AND(NhatkyNhap!#REF!,"AAAAAG/9/jw=")</f>
        <v>#REF!</v>
      </c>
      <c r="BJ150" t="e">
        <f>AND(NhatkyNhap!#REF!,"AAAAAG/9/j0=")</f>
        <v>#REF!</v>
      </c>
      <c r="BK150" t="e">
        <f>AND(NhatkyNhap!#REF!,"AAAAAG/9/j4=")</f>
        <v>#REF!</v>
      </c>
      <c r="BL150" t="e">
        <f>AND(NhatkyNhap!#REF!,"AAAAAG/9/j8=")</f>
        <v>#REF!</v>
      </c>
      <c r="BM150" t="e">
        <f>AND(NhatkyNhap!#REF!,"AAAAAG/9/kA=")</f>
        <v>#REF!</v>
      </c>
      <c r="BN150" t="e">
        <f>AND(NhatkyNhap!#REF!,"AAAAAG/9/kE=")</f>
        <v>#REF!</v>
      </c>
      <c r="BO150" t="e">
        <f>AND(NhatkyNhap!#REF!,"AAAAAG/9/kI=")</f>
        <v>#REF!</v>
      </c>
      <c r="BP150" t="e">
        <f>AND(NhatkyNhap!#REF!,"AAAAAG/9/kM=")</f>
        <v>#REF!</v>
      </c>
      <c r="BQ150" t="e">
        <f>AND(NhatkyNhap!#REF!,"AAAAAG/9/kQ=")</f>
        <v>#REF!</v>
      </c>
      <c r="BR150" t="e">
        <f>AND(NhatkyNhap!#REF!,"AAAAAG/9/kU=")</f>
        <v>#REF!</v>
      </c>
      <c r="BS150" t="e">
        <f>AND(NhatkyNhap!#REF!,"AAAAAG/9/kY=")</f>
        <v>#REF!</v>
      </c>
      <c r="BT150" t="e">
        <f>AND(NhatkyNhap!#REF!,"AAAAAG/9/kc=")</f>
        <v>#REF!</v>
      </c>
      <c r="BU150" t="e">
        <f>AND(NhatkyNhap!#REF!,"AAAAAG/9/kg=")</f>
        <v>#REF!</v>
      </c>
      <c r="BV150" t="e">
        <f>AND(NhatkyNhap!#REF!,"AAAAAG/9/kk=")</f>
        <v>#REF!</v>
      </c>
      <c r="BW150" t="e">
        <f>AND(NhatkyNhap!#REF!,"AAAAAG/9/ko=")</f>
        <v>#REF!</v>
      </c>
      <c r="BX150" t="e">
        <f>AND(NhatkyNhap!#REF!,"AAAAAG/9/ks=")</f>
        <v>#REF!</v>
      </c>
      <c r="BY150" t="e">
        <f>AND(NhatkyNhap!#REF!,"AAAAAG/9/kw=")</f>
        <v>#REF!</v>
      </c>
      <c r="BZ150" t="e">
        <f>AND(NhatkyNhap!#REF!,"AAAAAG/9/k0=")</f>
        <v>#REF!</v>
      </c>
      <c r="CA150" t="e">
        <f>AND(NhatkyNhap!#REF!,"AAAAAG/9/k4=")</f>
        <v>#REF!</v>
      </c>
      <c r="CB150" t="e">
        <f>AND(NhatkyNhap!#REF!,"AAAAAG/9/k8=")</f>
        <v>#REF!</v>
      </c>
      <c r="CC150" t="e">
        <f>AND(NhatkyNhap!#REF!,"AAAAAG/9/lA=")</f>
        <v>#REF!</v>
      </c>
      <c r="CD150" t="e">
        <f>AND(NhatkyNhap!#REF!,"AAAAAG/9/lE=")</f>
        <v>#REF!</v>
      </c>
      <c r="CE150" t="e">
        <f>AND(NhatkyNhap!#REF!,"AAAAAG/9/lI=")</f>
        <v>#REF!</v>
      </c>
      <c r="CF150" t="e">
        <f>AND(NhatkyNhap!#REF!,"AAAAAG/9/lM=")</f>
        <v>#REF!</v>
      </c>
      <c r="CG150" t="e">
        <f>AND(NhatkyNhap!#REF!,"AAAAAG/9/lQ=")</f>
        <v>#REF!</v>
      </c>
      <c r="CH150" t="e">
        <f>AND(NhatkyNhap!#REF!,"AAAAAG/9/lU=")</f>
        <v>#REF!</v>
      </c>
      <c r="CI150" t="e">
        <f>AND(NhatkyNhap!#REF!,"AAAAAG/9/lY=")</f>
        <v>#REF!</v>
      </c>
      <c r="CJ150" t="e">
        <f>AND(NhatkyNhap!#REF!,"AAAAAG/9/lc=")</f>
        <v>#REF!</v>
      </c>
      <c r="CK150" t="e">
        <f>AND(NhatkyNhap!#REF!,"AAAAAG/9/lg=")</f>
        <v>#REF!</v>
      </c>
      <c r="CL150" t="e">
        <f>AND(NhatkyNhap!#REF!,"AAAAAG/9/lk=")</f>
        <v>#REF!</v>
      </c>
      <c r="CM150" t="e">
        <f>AND(NhatkyNhap!#REF!,"AAAAAG/9/lo=")</f>
        <v>#REF!</v>
      </c>
      <c r="CN150" t="e">
        <f>IF(NhatkyNhap!#REF!,"AAAAAG/9/ls=",0)</f>
        <v>#REF!</v>
      </c>
      <c r="CO150" t="e">
        <f>AND(NhatkyNhap!#REF!,"AAAAAG/9/lw=")</f>
        <v>#REF!</v>
      </c>
      <c r="CP150" t="e">
        <f>AND(NhatkyNhap!#REF!,"AAAAAG/9/l0=")</f>
        <v>#REF!</v>
      </c>
      <c r="CQ150" t="e">
        <f>AND(NhatkyNhap!#REF!,"AAAAAG/9/l4=")</f>
        <v>#REF!</v>
      </c>
      <c r="CR150" t="e">
        <f>AND(NhatkyNhap!#REF!,"AAAAAG/9/l8=")</f>
        <v>#REF!</v>
      </c>
      <c r="CS150" t="e">
        <f>AND(NhatkyNhap!#REF!,"AAAAAG/9/mA=")</f>
        <v>#REF!</v>
      </c>
      <c r="CT150" t="e">
        <f>AND(NhatkyNhap!#REF!,"AAAAAG/9/mE=")</f>
        <v>#REF!</v>
      </c>
      <c r="CU150" t="e">
        <f>AND(NhatkyNhap!#REF!,"AAAAAG/9/mI=")</f>
        <v>#REF!</v>
      </c>
      <c r="CV150" t="e">
        <f>AND(NhatkyNhap!#REF!,"AAAAAG/9/mM=")</f>
        <v>#REF!</v>
      </c>
      <c r="CW150" t="e">
        <f>AND(NhatkyNhap!#REF!,"AAAAAG/9/mQ=")</f>
        <v>#REF!</v>
      </c>
      <c r="CX150" t="e">
        <f>AND(NhatkyNhap!#REF!,"AAAAAG/9/mU=")</f>
        <v>#REF!</v>
      </c>
      <c r="CY150" t="e">
        <f>AND(NhatkyNhap!#REF!,"AAAAAG/9/mY=")</f>
        <v>#REF!</v>
      </c>
      <c r="CZ150" t="e">
        <f>AND(NhatkyNhap!#REF!,"AAAAAG/9/mc=")</f>
        <v>#REF!</v>
      </c>
      <c r="DA150" t="e">
        <f>AND(NhatkyNhap!#REF!,"AAAAAG/9/mg=")</f>
        <v>#REF!</v>
      </c>
      <c r="DB150" t="e">
        <f>AND(NhatkyNhap!#REF!,"AAAAAG/9/mk=")</f>
        <v>#REF!</v>
      </c>
      <c r="DC150" t="e">
        <f>AND(NhatkyNhap!#REF!,"AAAAAG/9/mo=")</f>
        <v>#REF!</v>
      </c>
      <c r="DD150" t="e">
        <f>AND(NhatkyNhap!#REF!,"AAAAAG/9/ms=")</f>
        <v>#REF!</v>
      </c>
      <c r="DE150" t="e">
        <f>AND(NhatkyNhap!#REF!,"AAAAAG/9/mw=")</f>
        <v>#REF!</v>
      </c>
      <c r="DF150" t="e">
        <f>AND(NhatkyNhap!#REF!,"AAAAAG/9/m0=")</f>
        <v>#REF!</v>
      </c>
      <c r="DG150" t="e">
        <f>AND(NhatkyNhap!#REF!,"AAAAAG/9/m4=")</f>
        <v>#REF!</v>
      </c>
      <c r="DH150" t="e">
        <f>AND(NhatkyNhap!#REF!,"AAAAAG/9/m8=")</f>
        <v>#REF!</v>
      </c>
      <c r="DI150" t="e">
        <f>AND(NhatkyNhap!#REF!,"AAAAAG/9/nA=")</f>
        <v>#REF!</v>
      </c>
      <c r="DJ150" t="e">
        <f>AND(NhatkyNhap!#REF!,"AAAAAG/9/nE=")</f>
        <v>#REF!</v>
      </c>
      <c r="DK150" t="e">
        <f>AND(NhatkyNhap!#REF!,"AAAAAG/9/nI=")</f>
        <v>#REF!</v>
      </c>
      <c r="DL150" t="e">
        <f>AND(NhatkyNhap!#REF!,"AAAAAG/9/nM=")</f>
        <v>#REF!</v>
      </c>
      <c r="DM150" t="e">
        <f>AND(NhatkyNhap!#REF!,"AAAAAG/9/nQ=")</f>
        <v>#REF!</v>
      </c>
      <c r="DN150" t="e">
        <f>AND(NhatkyNhap!#REF!,"AAAAAG/9/nU=")</f>
        <v>#REF!</v>
      </c>
      <c r="DO150" t="e">
        <f>AND(NhatkyNhap!#REF!,"AAAAAG/9/nY=")</f>
        <v>#REF!</v>
      </c>
      <c r="DP150" t="e">
        <f>AND(NhatkyNhap!#REF!,"AAAAAG/9/nc=")</f>
        <v>#REF!</v>
      </c>
      <c r="DQ150" t="e">
        <f>AND(NhatkyNhap!#REF!,"AAAAAG/9/ng=")</f>
        <v>#REF!</v>
      </c>
      <c r="DR150" t="e">
        <f>AND(NhatkyNhap!#REF!,"AAAAAG/9/nk=")</f>
        <v>#REF!</v>
      </c>
      <c r="DS150" t="e">
        <f>AND(NhatkyNhap!#REF!,"AAAAAG/9/no=")</f>
        <v>#REF!</v>
      </c>
      <c r="DT150" t="e">
        <f>AND(NhatkyNhap!#REF!,"AAAAAG/9/ns=")</f>
        <v>#REF!</v>
      </c>
      <c r="DU150" t="e">
        <f>AND(NhatkyNhap!#REF!,"AAAAAG/9/nw=")</f>
        <v>#REF!</v>
      </c>
      <c r="DV150" t="e">
        <f>AND(NhatkyNhap!#REF!,"AAAAAG/9/n0=")</f>
        <v>#REF!</v>
      </c>
      <c r="DW150" t="e">
        <f>IF(NhatkyNhap!#REF!,"AAAAAG/9/n4=",0)</f>
        <v>#REF!</v>
      </c>
      <c r="DX150" t="e">
        <f>AND(NhatkyNhap!#REF!,"AAAAAG/9/n8=")</f>
        <v>#REF!</v>
      </c>
      <c r="DY150" t="e">
        <f>AND(NhatkyNhap!#REF!,"AAAAAG/9/oA=")</f>
        <v>#REF!</v>
      </c>
      <c r="DZ150" t="e">
        <f>AND(NhatkyNhap!#REF!,"AAAAAG/9/oE=")</f>
        <v>#REF!</v>
      </c>
      <c r="EA150" t="e">
        <f>AND(NhatkyNhap!#REF!,"AAAAAG/9/oI=")</f>
        <v>#REF!</v>
      </c>
      <c r="EB150" t="e">
        <f>AND(NhatkyNhap!#REF!,"AAAAAG/9/oM=")</f>
        <v>#REF!</v>
      </c>
      <c r="EC150" t="e">
        <f>AND(NhatkyNhap!#REF!,"AAAAAG/9/oQ=")</f>
        <v>#REF!</v>
      </c>
      <c r="ED150" t="e">
        <f>AND(NhatkyNhap!#REF!,"AAAAAG/9/oU=")</f>
        <v>#REF!</v>
      </c>
      <c r="EE150" t="e">
        <f>AND(NhatkyNhap!#REF!,"AAAAAG/9/oY=")</f>
        <v>#REF!</v>
      </c>
      <c r="EF150" t="e">
        <f>AND(NhatkyNhap!#REF!,"AAAAAG/9/oc=")</f>
        <v>#REF!</v>
      </c>
      <c r="EG150" t="e">
        <f>AND(NhatkyNhap!#REF!,"AAAAAG/9/og=")</f>
        <v>#REF!</v>
      </c>
      <c r="EH150" t="e">
        <f>AND(NhatkyNhap!#REF!,"AAAAAG/9/ok=")</f>
        <v>#REF!</v>
      </c>
      <c r="EI150" t="e">
        <f>AND(NhatkyNhap!#REF!,"AAAAAG/9/oo=")</f>
        <v>#REF!</v>
      </c>
      <c r="EJ150" t="e">
        <f>AND(NhatkyNhap!#REF!,"AAAAAG/9/os=")</f>
        <v>#REF!</v>
      </c>
      <c r="EK150" t="e">
        <f>AND(NhatkyNhap!#REF!,"AAAAAG/9/ow=")</f>
        <v>#REF!</v>
      </c>
      <c r="EL150" t="e">
        <f>AND(NhatkyNhap!#REF!,"AAAAAG/9/o0=")</f>
        <v>#REF!</v>
      </c>
      <c r="EM150" t="e">
        <f>AND(NhatkyNhap!#REF!,"AAAAAG/9/o4=")</f>
        <v>#REF!</v>
      </c>
      <c r="EN150" t="e">
        <f>AND(NhatkyNhap!#REF!,"AAAAAG/9/o8=")</f>
        <v>#REF!</v>
      </c>
      <c r="EO150" t="e">
        <f>AND(NhatkyNhap!#REF!,"AAAAAG/9/pA=")</f>
        <v>#REF!</v>
      </c>
      <c r="EP150" t="e">
        <f>AND(NhatkyNhap!#REF!,"AAAAAG/9/pE=")</f>
        <v>#REF!</v>
      </c>
      <c r="EQ150" t="e">
        <f>AND(NhatkyNhap!#REF!,"AAAAAG/9/pI=")</f>
        <v>#REF!</v>
      </c>
      <c r="ER150" t="e">
        <f>AND(NhatkyNhap!#REF!,"AAAAAG/9/pM=")</f>
        <v>#REF!</v>
      </c>
      <c r="ES150" t="e">
        <f>AND(NhatkyNhap!#REF!,"AAAAAG/9/pQ=")</f>
        <v>#REF!</v>
      </c>
      <c r="ET150" t="e">
        <f>AND(NhatkyNhap!#REF!,"AAAAAG/9/pU=")</f>
        <v>#REF!</v>
      </c>
      <c r="EU150" t="e">
        <f>AND(NhatkyNhap!#REF!,"AAAAAG/9/pY=")</f>
        <v>#REF!</v>
      </c>
      <c r="EV150" t="e">
        <f>AND(NhatkyNhap!#REF!,"AAAAAG/9/pc=")</f>
        <v>#REF!</v>
      </c>
      <c r="EW150" t="e">
        <f>AND(NhatkyNhap!#REF!,"AAAAAG/9/pg=")</f>
        <v>#REF!</v>
      </c>
      <c r="EX150" t="e">
        <f>AND(NhatkyNhap!#REF!,"AAAAAG/9/pk=")</f>
        <v>#REF!</v>
      </c>
      <c r="EY150" t="e">
        <f>AND(NhatkyNhap!#REF!,"AAAAAG/9/po=")</f>
        <v>#REF!</v>
      </c>
      <c r="EZ150" t="e">
        <f>AND(NhatkyNhap!#REF!,"AAAAAG/9/ps=")</f>
        <v>#REF!</v>
      </c>
      <c r="FA150" t="e">
        <f>AND(NhatkyNhap!#REF!,"AAAAAG/9/pw=")</f>
        <v>#REF!</v>
      </c>
      <c r="FB150" t="e">
        <f>AND(NhatkyNhap!#REF!,"AAAAAG/9/p0=")</f>
        <v>#REF!</v>
      </c>
      <c r="FC150" t="e">
        <f>AND(NhatkyNhap!#REF!,"AAAAAG/9/p4=")</f>
        <v>#REF!</v>
      </c>
      <c r="FD150" t="e">
        <f>AND(NhatkyNhap!#REF!,"AAAAAG/9/p8=")</f>
        <v>#REF!</v>
      </c>
      <c r="FE150" t="e">
        <f>AND(NhatkyNhap!#REF!,"AAAAAG/9/qA=")</f>
        <v>#REF!</v>
      </c>
      <c r="FF150" t="e">
        <f>IF(NhatkyNhap!#REF!,"AAAAAG/9/qE=",0)</f>
        <v>#REF!</v>
      </c>
      <c r="FG150" t="e">
        <f>AND(NhatkyNhap!#REF!,"AAAAAG/9/qI=")</f>
        <v>#REF!</v>
      </c>
      <c r="FH150" t="e">
        <f>AND(NhatkyNhap!#REF!,"AAAAAG/9/qM=")</f>
        <v>#REF!</v>
      </c>
      <c r="FI150" t="e">
        <f>AND(NhatkyNhap!#REF!,"AAAAAG/9/qQ=")</f>
        <v>#REF!</v>
      </c>
      <c r="FJ150" t="e">
        <f>AND(NhatkyNhap!#REF!,"AAAAAG/9/qU=")</f>
        <v>#REF!</v>
      </c>
      <c r="FK150" t="e">
        <f>AND(NhatkyNhap!#REF!,"AAAAAG/9/qY=")</f>
        <v>#REF!</v>
      </c>
      <c r="FL150" t="e">
        <f>AND(NhatkyNhap!#REF!,"AAAAAG/9/qc=")</f>
        <v>#REF!</v>
      </c>
      <c r="FM150" t="e">
        <f>AND(NhatkyNhap!#REF!,"AAAAAG/9/qg=")</f>
        <v>#REF!</v>
      </c>
      <c r="FN150" t="e">
        <f>AND(NhatkyNhap!#REF!,"AAAAAG/9/qk=")</f>
        <v>#REF!</v>
      </c>
      <c r="FO150" t="e">
        <f>AND(NhatkyNhap!#REF!,"AAAAAG/9/qo=")</f>
        <v>#REF!</v>
      </c>
      <c r="FP150" t="e">
        <f>AND(NhatkyNhap!#REF!,"AAAAAG/9/qs=")</f>
        <v>#REF!</v>
      </c>
      <c r="FQ150" t="e">
        <f>AND(NhatkyNhap!#REF!,"AAAAAG/9/qw=")</f>
        <v>#REF!</v>
      </c>
      <c r="FR150" t="e">
        <f>AND(NhatkyNhap!#REF!,"AAAAAG/9/q0=")</f>
        <v>#REF!</v>
      </c>
      <c r="FS150" t="e">
        <f>AND(NhatkyNhap!#REF!,"AAAAAG/9/q4=")</f>
        <v>#REF!</v>
      </c>
      <c r="FT150" t="e">
        <f>AND(NhatkyNhap!#REF!,"AAAAAG/9/q8=")</f>
        <v>#REF!</v>
      </c>
      <c r="FU150" t="e">
        <f>AND(NhatkyNhap!#REF!,"AAAAAG/9/rA=")</f>
        <v>#REF!</v>
      </c>
      <c r="FV150" t="e">
        <f>AND(NhatkyNhap!#REF!,"AAAAAG/9/rE=")</f>
        <v>#REF!</v>
      </c>
      <c r="FW150" t="e">
        <f>AND(NhatkyNhap!#REF!,"AAAAAG/9/rI=")</f>
        <v>#REF!</v>
      </c>
      <c r="FX150" t="e">
        <f>AND(NhatkyNhap!#REF!,"AAAAAG/9/rM=")</f>
        <v>#REF!</v>
      </c>
      <c r="FY150" t="e">
        <f>AND(NhatkyNhap!#REF!,"AAAAAG/9/rQ=")</f>
        <v>#REF!</v>
      </c>
      <c r="FZ150" t="e">
        <f>AND(NhatkyNhap!#REF!,"AAAAAG/9/rU=")</f>
        <v>#REF!</v>
      </c>
      <c r="GA150" t="e">
        <f>AND(NhatkyNhap!#REF!,"AAAAAG/9/rY=")</f>
        <v>#REF!</v>
      </c>
      <c r="GB150" t="e">
        <f>AND(NhatkyNhap!#REF!,"AAAAAG/9/rc=")</f>
        <v>#REF!</v>
      </c>
      <c r="GC150" t="e">
        <f>AND(NhatkyNhap!#REF!,"AAAAAG/9/rg=")</f>
        <v>#REF!</v>
      </c>
      <c r="GD150" t="e">
        <f>AND(NhatkyNhap!#REF!,"AAAAAG/9/rk=")</f>
        <v>#REF!</v>
      </c>
      <c r="GE150" t="e">
        <f>AND(NhatkyNhap!#REF!,"AAAAAG/9/ro=")</f>
        <v>#REF!</v>
      </c>
      <c r="GF150" t="e">
        <f>AND(NhatkyNhap!#REF!,"AAAAAG/9/rs=")</f>
        <v>#REF!</v>
      </c>
      <c r="GG150" t="e">
        <f>AND(NhatkyNhap!#REF!,"AAAAAG/9/rw=")</f>
        <v>#REF!</v>
      </c>
      <c r="GH150" t="e">
        <f>AND(NhatkyNhap!#REF!,"AAAAAG/9/r0=")</f>
        <v>#REF!</v>
      </c>
      <c r="GI150" t="e">
        <f>AND(NhatkyNhap!#REF!,"AAAAAG/9/r4=")</f>
        <v>#REF!</v>
      </c>
      <c r="GJ150" t="e">
        <f>AND(NhatkyNhap!#REF!,"AAAAAG/9/r8=")</f>
        <v>#REF!</v>
      </c>
      <c r="GK150" t="e">
        <f>AND(NhatkyNhap!#REF!,"AAAAAG/9/sA=")</f>
        <v>#REF!</v>
      </c>
      <c r="GL150" t="e">
        <f>AND(NhatkyNhap!#REF!,"AAAAAG/9/sE=")</f>
        <v>#REF!</v>
      </c>
      <c r="GM150" t="e">
        <f>AND(NhatkyNhap!#REF!,"AAAAAG/9/sI=")</f>
        <v>#REF!</v>
      </c>
      <c r="GN150" t="e">
        <f>AND(NhatkyNhap!#REF!,"AAAAAG/9/sM=")</f>
        <v>#REF!</v>
      </c>
      <c r="GO150" t="e">
        <f>IF(NhatkyNhap!#REF!,"AAAAAG/9/sQ=",0)</f>
        <v>#REF!</v>
      </c>
      <c r="GP150" t="e">
        <f>AND(NhatkyNhap!#REF!,"AAAAAG/9/sU=")</f>
        <v>#REF!</v>
      </c>
      <c r="GQ150" t="e">
        <f>AND(NhatkyNhap!#REF!,"AAAAAG/9/sY=")</f>
        <v>#REF!</v>
      </c>
      <c r="GR150" t="e">
        <f>AND(NhatkyNhap!#REF!,"AAAAAG/9/sc=")</f>
        <v>#REF!</v>
      </c>
      <c r="GS150" t="e">
        <f>AND(NhatkyNhap!#REF!,"AAAAAG/9/sg=")</f>
        <v>#REF!</v>
      </c>
      <c r="GT150" t="e">
        <f>AND(NhatkyNhap!#REF!,"AAAAAG/9/sk=")</f>
        <v>#REF!</v>
      </c>
      <c r="GU150" t="e">
        <f>AND(NhatkyNhap!#REF!,"AAAAAG/9/so=")</f>
        <v>#REF!</v>
      </c>
      <c r="GV150" t="e">
        <f>AND(NhatkyNhap!#REF!,"AAAAAG/9/ss=")</f>
        <v>#REF!</v>
      </c>
      <c r="GW150" t="e">
        <f>AND(NhatkyNhap!#REF!,"AAAAAG/9/sw=")</f>
        <v>#REF!</v>
      </c>
      <c r="GX150" t="e">
        <f>AND(NhatkyNhap!#REF!,"AAAAAG/9/s0=")</f>
        <v>#REF!</v>
      </c>
      <c r="GY150" t="e">
        <f>AND(NhatkyNhap!#REF!,"AAAAAG/9/s4=")</f>
        <v>#REF!</v>
      </c>
      <c r="GZ150" t="e">
        <f>AND(NhatkyNhap!#REF!,"AAAAAG/9/s8=")</f>
        <v>#REF!</v>
      </c>
      <c r="HA150" t="e">
        <f>AND(NhatkyNhap!#REF!,"AAAAAG/9/tA=")</f>
        <v>#REF!</v>
      </c>
      <c r="HB150" t="e">
        <f>AND(NhatkyNhap!#REF!,"AAAAAG/9/tE=")</f>
        <v>#REF!</v>
      </c>
      <c r="HC150" t="e">
        <f>AND(NhatkyNhap!#REF!,"AAAAAG/9/tI=")</f>
        <v>#REF!</v>
      </c>
      <c r="HD150" t="e">
        <f>AND(NhatkyNhap!#REF!,"AAAAAG/9/tM=")</f>
        <v>#REF!</v>
      </c>
      <c r="HE150" t="e">
        <f>AND(NhatkyNhap!#REF!,"AAAAAG/9/tQ=")</f>
        <v>#REF!</v>
      </c>
      <c r="HF150" t="e">
        <f>AND(NhatkyNhap!#REF!,"AAAAAG/9/tU=")</f>
        <v>#REF!</v>
      </c>
      <c r="HG150" t="e">
        <f>AND(NhatkyNhap!#REF!,"AAAAAG/9/tY=")</f>
        <v>#REF!</v>
      </c>
      <c r="HH150" t="e">
        <f>AND(NhatkyNhap!#REF!,"AAAAAG/9/tc=")</f>
        <v>#REF!</v>
      </c>
      <c r="HI150" t="e">
        <f>AND(NhatkyNhap!#REF!,"AAAAAG/9/tg=")</f>
        <v>#REF!</v>
      </c>
      <c r="HJ150" t="e">
        <f>AND(NhatkyNhap!#REF!,"AAAAAG/9/tk=")</f>
        <v>#REF!</v>
      </c>
      <c r="HK150" t="e">
        <f>AND(NhatkyNhap!#REF!,"AAAAAG/9/to=")</f>
        <v>#REF!</v>
      </c>
      <c r="HL150" t="e">
        <f>AND(NhatkyNhap!#REF!,"AAAAAG/9/ts=")</f>
        <v>#REF!</v>
      </c>
      <c r="HM150" t="e">
        <f>AND(NhatkyNhap!#REF!,"AAAAAG/9/tw=")</f>
        <v>#REF!</v>
      </c>
      <c r="HN150" t="e">
        <f>AND(NhatkyNhap!#REF!,"AAAAAG/9/t0=")</f>
        <v>#REF!</v>
      </c>
      <c r="HO150" t="e">
        <f>AND(NhatkyNhap!#REF!,"AAAAAG/9/t4=")</f>
        <v>#REF!</v>
      </c>
      <c r="HP150" t="e">
        <f>AND(NhatkyNhap!#REF!,"AAAAAG/9/t8=")</f>
        <v>#REF!</v>
      </c>
      <c r="HQ150" t="e">
        <f>AND(NhatkyNhap!#REF!,"AAAAAG/9/uA=")</f>
        <v>#REF!</v>
      </c>
      <c r="HR150" t="e">
        <f>AND(NhatkyNhap!#REF!,"AAAAAG/9/uE=")</f>
        <v>#REF!</v>
      </c>
      <c r="HS150" t="e">
        <f>AND(NhatkyNhap!#REF!,"AAAAAG/9/uI=")</f>
        <v>#REF!</v>
      </c>
      <c r="HT150" t="e">
        <f>AND(NhatkyNhap!#REF!,"AAAAAG/9/uM=")</f>
        <v>#REF!</v>
      </c>
      <c r="HU150" t="e">
        <f>AND(NhatkyNhap!#REF!,"AAAAAG/9/uQ=")</f>
        <v>#REF!</v>
      </c>
      <c r="HV150" t="e">
        <f>AND(NhatkyNhap!#REF!,"AAAAAG/9/uU=")</f>
        <v>#REF!</v>
      </c>
      <c r="HW150" t="e">
        <f>AND(NhatkyNhap!#REF!,"AAAAAG/9/uY=")</f>
        <v>#REF!</v>
      </c>
      <c r="HX150" t="e">
        <f>IF(NhatkyNhap!#REF!,"AAAAAG/9/uc=",0)</f>
        <v>#REF!</v>
      </c>
      <c r="HY150" t="e">
        <f>AND(NhatkyNhap!#REF!,"AAAAAG/9/ug=")</f>
        <v>#REF!</v>
      </c>
      <c r="HZ150" t="e">
        <f>AND(NhatkyNhap!#REF!,"AAAAAG/9/uk=")</f>
        <v>#REF!</v>
      </c>
      <c r="IA150" t="e">
        <f>AND(NhatkyNhap!#REF!,"AAAAAG/9/uo=")</f>
        <v>#REF!</v>
      </c>
      <c r="IB150" t="e">
        <f>AND(NhatkyNhap!#REF!,"AAAAAG/9/us=")</f>
        <v>#REF!</v>
      </c>
      <c r="IC150" t="e">
        <f>AND(NhatkyNhap!#REF!,"AAAAAG/9/uw=")</f>
        <v>#REF!</v>
      </c>
      <c r="ID150" t="e">
        <f>AND(NhatkyNhap!#REF!,"AAAAAG/9/u0=")</f>
        <v>#REF!</v>
      </c>
      <c r="IE150" t="e">
        <f>AND(NhatkyNhap!#REF!,"AAAAAG/9/u4=")</f>
        <v>#REF!</v>
      </c>
      <c r="IF150" t="e">
        <f>AND(NhatkyNhap!#REF!,"AAAAAG/9/u8=")</f>
        <v>#REF!</v>
      </c>
      <c r="IG150" t="e">
        <f>AND(NhatkyNhap!#REF!,"AAAAAG/9/vA=")</f>
        <v>#REF!</v>
      </c>
      <c r="IH150" t="e">
        <f>AND(NhatkyNhap!#REF!,"AAAAAG/9/vE=")</f>
        <v>#REF!</v>
      </c>
      <c r="II150" t="e">
        <f>AND(NhatkyNhap!#REF!,"AAAAAG/9/vI=")</f>
        <v>#REF!</v>
      </c>
      <c r="IJ150" t="e">
        <f>AND(NhatkyNhap!#REF!,"AAAAAG/9/vM=")</f>
        <v>#REF!</v>
      </c>
      <c r="IK150" t="e">
        <f>AND(NhatkyNhap!#REF!,"AAAAAG/9/vQ=")</f>
        <v>#REF!</v>
      </c>
      <c r="IL150" t="e">
        <f>AND(NhatkyNhap!#REF!,"AAAAAG/9/vU=")</f>
        <v>#REF!</v>
      </c>
      <c r="IM150" t="e">
        <f>AND(NhatkyNhap!#REF!,"AAAAAG/9/vY=")</f>
        <v>#REF!</v>
      </c>
      <c r="IN150" t="e">
        <f>AND(NhatkyNhap!#REF!,"AAAAAG/9/vc=")</f>
        <v>#REF!</v>
      </c>
      <c r="IO150" t="e">
        <f>AND(NhatkyNhap!#REF!,"AAAAAG/9/vg=")</f>
        <v>#REF!</v>
      </c>
      <c r="IP150" t="e">
        <f>AND(NhatkyNhap!#REF!,"AAAAAG/9/vk=")</f>
        <v>#REF!</v>
      </c>
      <c r="IQ150" t="e">
        <f>AND(NhatkyNhap!#REF!,"AAAAAG/9/vo=")</f>
        <v>#REF!</v>
      </c>
      <c r="IR150" t="e">
        <f>AND(NhatkyNhap!#REF!,"AAAAAG/9/vs=")</f>
        <v>#REF!</v>
      </c>
      <c r="IS150" t="e">
        <f>AND(NhatkyNhap!#REF!,"AAAAAG/9/vw=")</f>
        <v>#REF!</v>
      </c>
      <c r="IT150" t="e">
        <f>AND(NhatkyNhap!#REF!,"AAAAAG/9/v0=")</f>
        <v>#REF!</v>
      </c>
      <c r="IU150" t="e">
        <f>AND(NhatkyNhap!#REF!,"AAAAAG/9/v4=")</f>
        <v>#REF!</v>
      </c>
      <c r="IV150" t="e">
        <f>AND(NhatkyNhap!#REF!,"AAAAAG/9/v8=")</f>
        <v>#REF!</v>
      </c>
    </row>
    <row r="151" spans="1:256">
      <c r="A151" t="e">
        <f>AND(NhatkyNhap!#REF!,"AAAAAHbx/wA=")</f>
        <v>#REF!</v>
      </c>
      <c r="B151" t="e">
        <f>AND(NhatkyNhap!#REF!,"AAAAAHbx/wE=")</f>
        <v>#REF!</v>
      </c>
      <c r="C151" t="e">
        <f>AND(NhatkyNhap!#REF!,"AAAAAHbx/wI=")</f>
        <v>#REF!</v>
      </c>
      <c r="D151" t="e">
        <f>AND(NhatkyNhap!#REF!,"AAAAAHbx/wM=")</f>
        <v>#REF!</v>
      </c>
      <c r="E151" t="e">
        <f>AND(NhatkyNhap!#REF!,"AAAAAHbx/wQ=")</f>
        <v>#REF!</v>
      </c>
      <c r="F151" t="e">
        <f>AND(NhatkyNhap!#REF!,"AAAAAHbx/wU=")</f>
        <v>#REF!</v>
      </c>
      <c r="G151" t="e">
        <f>AND(NhatkyNhap!#REF!,"AAAAAHbx/wY=")</f>
        <v>#REF!</v>
      </c>
      <c r="H151" t="e">
        <f>AND(NhatkyNhap!#REF!,"AAAAAHbx/wc=")</f>
        <v>#REF!</v>
      </c>
      <c r="I151" t="e">
        <f>AND(NhatkyNhap!#REF!,"AAAAAHbx/wg=")</f>
        <v>#REF!</v>
      </c>
      <c r="J151" t="e">
        <f>AND(NhatkyNhap!#REF!,"AAAAAHbx/wk=")</f>
        <v>#REF!</v>
      </c>
      <c r="K151" t="e">
        <f>IF(NhatkyNhap!#REF!,"AAAAAHbx/wo=",0)</f>
        <v>#REF!</v>
      </c>
      <c r="L151" t="e">
        <f>AND(NhatkyNhap!#REF!,"AAAAAHbx/ws=")</f>
        <v>#REF!</v>
      </c>
      <c r="M151" t="e">
        <f>AND(NhatkyNhap!#REF!,"AAAAAHbx/ww=")</f>
        <v>#REF!</v>
      </c>
      <c r="N151" t="e">
        <f>AND(NhatkyNhap!#REF!,"AAAAAHbx/w0=")</f>
        <v>#REF!</v>
      </c>
      <c r="O151" t="e">
        <f>AND(NhatkyNhap!#REF!,"AAAAAHbx/w4=")</f>
        <v>#REF!</v>
      </c>
      <c r="P151" t="e">
        <f>AND(NhatkyNhap!#REF!,"AAAAAHbx/w8=")</f>
        <v>#REF!</v>
      </c>
      <c r="Q151" t="e">
        <f>AND(NhatkyNhap!#REF!,"AAAAAHbx/xA=")</f>
        <v>#REF!</v>
      </c>
      <c r="R151" t="e">
        <f>AND(NhatkyNhap!#REF!,"AAAAAHbx/xE=")</f>
        <v>#REF!</v>
      </c>
      <c r="S151" t="e">
        <f>AND(NhatkyNhap!#REF!,"AAAAAHbx/xI=")</f>
        <v>#REF!</v>
      </c>
      <c r="T151" t="e">
        <f>AND(NhatkyNhap!#REF!,"AAAAAHbx/xM=")</f>
        <v>#REF!</v>
      </c>
      <c r="U151" t="e">
        <f>AND(NhatkyNhap!#REF!,"AAAAAHbx/xQ=")</f>
        <v>#REF!</v>
      </c>
      <c r="V151" t="e">
        <f>AND(NhatkyNhap!#REF!,"AAAAAHbx/xU=")</f>
        <v>#REF!</v>
      </c>
      <c r="W151" t="e">
        <f>AND(NhatkyNhap!#REF!,"AAAAAHbx/xY=")</f>
        <v>#REF!</v>
      </c>
      <c r="X151" t="e">
        <f>AND(NhatkyNhap!#REF!,"AAAAAHbx/xc=")</f>
        <v>#REF!</v>
      </c>
      <c r="Y151" t="e">
        <f>AND(NhatkyNhap!#REF!,"AAAAAHbx/xg=")</f>
        <v>#REF!</v>
      </c>
      <c r="Z151" t="e">
        <f>AND(NhatkyNhap!#REF!,"AAAAAHbx/xk=")</f>
        <v>#REF!</v>
      </c>
      <c r="AA151" t="e">
        <f>AND(NhatkyNhap!#REF!,"AAAAAHbx/xo=")</f>
        <v>#REF!</v>
      </c>
      <c r="AB151" t="e">
        <f>AND(NhatkyNhap!#REF!,"AAAAAHbx/xs=")</f>
        <v>#REF!</v>
      </c>
      <c r="AC151" t="e">
        <f>AND(NhatkyNhap!#REF!,"AAAAAHbx/xw=")</f>
        <v>#REF!</v>
      </c>
      <c r="AD151" t="e">
        <f>AND(NhatkyNhap!#REF!,"AAAAAHbx/x0=")</f>
        <v>#REF!</v>
      </c>
      <c r="AE151" t="e">
        <f>AND(NhatkyNhap!#REF!,"AAAAAHbx/x4=")</f>
        <v>#REF!</v>
      </c>
      <c r="AF151" t="e">
        <f>AND(NhatkyNhap!#REF!,"AAAAAHbx/x8=")</f>
        <v>#REF!</v>
      </c>
      <c r="AG151" t="e">
        <f>AND(NhatkyNhap!#REF!,"AAAAAHbx/yA=")</f>
        <v>#REF!</v>
      </c>
      <c r="AH151" t="e">
        <f>AND(NhatkyNhap!#REF!,"AAAAAHbx/yE=")</f>
        <v>#REF!</v>
      </c>
      <c r="AI151" t="e">
        <f>AND(NhatkyNhap!#REF!,"AAAAAHbx/yI=")</f>
        <v>#REF!</v>
      </c>
      <c r="AJ151" t="e">
        <f>AND(NhatkyNhap!#REF!,"AAAAAHbx/yM=")</f>
        <v>#REF!</v>
      </c>
      <c r="AK151" t="e">
        <f>AND(NhatkyNhap!#REF!,"AAAAAHbx/yQ=")</f>
        <v>#REF!</v>
      </c>
      <c r="AL151" t="e">
        <f>AND(NhatkyNhap!#REF!,"AAAAAHbx/yU=")</f>
        <v>#REF!</v>
      </c>
      <c r="AM151" t="e">
        <f>AND(NhatkyNhap!#REF!,"AAAAAHbx/yY=")</f>
        <v>#REF!</v>
      </c>
      <c r="AN151" t="e">
        <f>AND(NhatkyNhap!#REF!,"AAAAAHbx/yc=")</f>
        <v>#REF!</v>
      </c>
      <c r="AO151" t="e">
        <f>AND(NhatkyNhap!#REF!,"AAAAAHbx/yg=")</f>
        <v>#REF!</v>
      </c>
      <c r="AP151" t="e">
        <f>AND(NhatkyNhap!#REF!,"AAAAAHbx/yk=")</f>
        <v>#REF!</v>
      </c>
      <c r="AQ151" t="e">
        <f>AND(NhatkyNhap!#REF!,"AAAAAHbx/yo=")</f>
        <v>#REF!</v>
      </c>
      <c r="AR151" t="e">
        <f>AND(NhatkyNhap!#REF!,"AAAAAHbx/ys=")</f>
        <v>#REF!</v>
      </c>
      <c r="AS151" t="e">
        <f>AND(NhatkyNhap!#REF!,"AAAAAHbx/yw=")</f>
        <v>#REF!</v>
      </c>
      <c r="AT151" t="e">
        <f>IF(NhatkyNhap!#REF!,"AAAAAHbx/y0=",0)</f>
        <v>#REF!</v>
      </c>
      <c r="AU151" t="e">
        <f>AND(NhatkyNhap!#REF!,"AAAAAHbx/y4=")</f>
        <v>#REF!</v>
      </c>
      <c r="AV151" t="e">
        <f>AND(NhatkyNhap!#REF!,"AAAAAHbx/y8=")</f>
        <v>#REF!</v>
      </c>
      <c r="AW151" t="e">
        <f>AND(NhatkyNhap!#REF!,"AAAAAHbx/zA=")</f>
        <v>#REF!</v>
      </c>
      <c r="AX151" t="e">
        <f>AND(NhatkyNhap!#REF!,"AAAAAHbx/zE=")</f>
        <v>#REF!</v>
      </c>
      <c r="AY151" t="e">
        <f>AND(NhatkyNhap!#REF!,"AAAAAHbx/zI=")</f>
        <v>#REF!</v>
      </c>
      <c r="AZ151" t="e">
        <f>AND(NhatkyNhap!#REF!,"AAAAAHbx/zM=")</f>
        <v>#REF!</v>
      </c>
      <c r="BA151" t="e">
        <f>AND(NhatkyNhap!#REF!,"AAAAAHbx/zQ=")</f>
        <v>#REF!</v>
      </c>
      <c r="BB151" t="e">
        <f>AND(NhatkyNhap!#REF!,"AAAAAHbx/zU=")</f>
        <v>#REF!</v>
      </c>
      <c r="BC151" t="e">
        <f>AND(NhatkyNhap!#REF!,"AAAAAHbx/zY=")</f>
        <v>#REF!</v>
      </c>
      <c r="BD151" t="e">
        <f>AND(NhatkyNhap!#REF!,"AAAAAHbx/zc=")</f>
        <v>#REF!</v>
      </c>
      <c r="BE151" t="e">
        <f>AND(NhatkyNhap!#REF!,"AAAAAHbx/zg=")</f>
        <v>#REF!</v>
      </c>
      <c r="BF151" t="e">
        <f>AND(NhatkyNhap!#REF!,"AAAAAHbx/zk=")</f>
        <v>#REF!</v>
      </c>
      <c r="BG151" t="e">
        <f>AND(NhatkyNhap!#REF!,"AAAAAHbx/zo=")</f>
        <v>#REF!</v>
      </c>
      <c r="BH151" t="e">
        <f>AND(NhatkyNhap!#REF!,"AAAAAHbx/zs=")</f>
        <v>#REF!</v>
      </c>
      <c r="BI151" t="e">
        <f>AND(NhatkyNhap!#REF!,"AAAAAHbx/zw=")</f>
        <v>#REF!</v>
      </c>
      <c r="BJ151" t="e">
        <f>AND(NhatkyNhap!#REF!,"AAAAAHbx/z0=")</f>
        <v>#REF!</v>
      </c>
      <c r="BK151" t="e">
        <f>AND(NhatkyNhap!#REF!,"AAAAAHbx/z4=")</f>
        <v>#REF!</v>
      </c>
      <c r="BL151" t="e">
        <f>AND(NhatkyNhap!#REF!,"AAAAAHbx/z8=")</f>
        <v>#REF!</v>
      </c>
      <c r="BM151" t="e">
        <f>AND(NhatkyNhap!#REF!,"AAAAAHbx/0A=")</f>
        <v>#REF!</v>
      </c>
      <c r="BN151" t="e">
        <f>AND(NhatkyNhap!#REF!,"AAAAAHbx/0E=")</f>
        <v>#REF!</v>
      </c>
      <c r="BO151" t="e">
        <f>AND(NhatkyNhap!#REF!,"AAAAAHbx/0I=")</f>
        <v>#REF!</v>
      </c>
      <c r="BP151" t="e">
        <f>AND(NhatkyNhap!#REF!,"AAAAAHbx/0M=")</f>
        <v>#REF!</v>
      </c>
      <c r="BQ151" t="e">
        <f>AND(NhatkyNhap!#REF!,"AAAAAHbx/0Q=")</f>
        <v>#REF!</v>
      </c>
      <c r="BR151" t="e">
        <f>AND(NhatkyNhap!#REF!,"AAAAAHbx/0U=")</f>
        <v>#REF!</v>
      </c>
      <c r="BS151" t="e">
        <f>AND(NhatkyNhap!#REF!,"AAAAAHbx/0Y=")</f>
        <v>#REF!</v>
      </c>
      <c r="BT151" t="e">
        <f>AND(NhatkyNhap!#REF!,"AAAAAHbx/0c=")</f>
        <v>#REF!</v>
      </c>
      <c r="BU151" t="e">
        <f>AND(NhatkyNhap!#REF!,"AAAAAHbx/0g=")</f>
        <v>#REF!</v>
      </c>
      <c r="BV151" t="e">
        <f>AND(NhatkyNhap!#REF!,"AAAAAHbx/0k=")</f>
        <v>#REF!</v>
      </c>
      <c r="BW151" t="e">
        <f>AND(NhatkyNhap!#REF!,"AAAAAHbx/0o=")</f>
        <v>#REF!</v>
      </c>
      <c r="BX151" t="e">
        <f>AND(NhatkyNhap!#REF!,"AAAAAHbx/0s=")</f>
        <v>#REF!</v>
      </c>
      <c r="BY151" t="e">
        <f>AND(NhatkyNhap!#REF!,"AAAAAHbx/0w=")</f>
        <v>#REF!</v>
      </c>
      <c r="BZ151" t="e">
        <f>AND(NhatkyNhap!#REF!,"AAAAAHbx/00=")</f>
        <v>#REF!</v>
      </c>
      <c r="CA151" t="e">
        <f>AND(NhatkyNhap!#REF!,"AAAAAHbx/04=")</f>
        <v>#REF!</v>
      </c>
      <c r="CB151" t="e">
        <f>AND(NhatkyNhap!#REF!,"AAAAAHbx/08=")</f>
        <v>#REF!</v>
      </c>
      <c r="CC151" t="e">
        <f>IF(NhatkyNhap!#REF!,"AAAAAHbx/1A=",0)</f>
        <v>#REF!</v>
      </c>
      <c r="CD151" t="e">
        <f>AND(NhatkyNhap!#REF!,"AAAAAHbx/1E=")</f>
        <v>#REF!</v>
      </c>
      <c r="CE151" t="e">
        <f>AND(NhatkyNhap!#REF!,"AAAAAHbx/1I=")</f>
        <v>#REF!</v>
      </c>
      <c r="CF151" t="e">
        <f>AND(NhatkyNhap!#REF!,"AAAAAHbx/1M=")</f>
        <v>#REF!</v>
      </c>
      <c r="CG151" t="e">
        <f>AND(NhatkyNhap!#REF!,"AAAAAHbx/1Q=")</f>
        <v>#REF!</v>
      </c>
      <c r="CH151" t="e">
        <f>AND(NhatkyNhap!#REF!,"AAAAAHbx/1U=")</f>
        <v>#REF!</v>
      </c>
      <c r="CI151" t="e">
        <f>AND(NhatkyNhap!#REF!,"AAAAAHbx/1Y=")</f>
        <v>#REF!</v>
      </c>
      <c r="CJ151" t="e">
        <f>AND(NhatkyNhap!#REF!,"AAAAAHbx/1c=")</f>
        <v>#REF!</v>
      </c>
      <c r="CK151" t="e">
        <f>AND(NhatkyNhap!#REF!,"AAAAAHbx/1g=")</f>
        <v>#REF!</v>
      </c>
      <c r="CL151" t="e">
        <f>AND(NhatkyNhap!#REF!,"AAAAAHbx/1k=")</f>
        <v>#REF!</v>
      </c>
      <c r="CM151" t="e">
        <f>AND(NhatkyNhap!#REF!,"AAAAAHbx/1o=")</f>
        <v>#REF!</v>
      </c>
      <c r="CN151" t="e">
        <f>AND(NhatkyNhap!#REF!,"AAAAAHbx/1s=")</f>
        <v>#REF!</v>
      </c>
      <c r="CO151" t="e">
        <f>AND(NhatkyNhap!#REF!,"AAAAAHbx/1w=")</f>
        <v>#REF!</v>
      </c>
      <c r="CP151" t="e">
        <f>AND(NhatkyNhap!#REF!,"AAAAAHbx/10=")</f>
        <v>#REF!</v>
      </c>
      <c r="CQ151" t="e">
        <f>AND(NhatkyNhap!#REF!,"AAAAAHbx/14=")</f>
        <v>#REF!</v>
      </c>
      <c r="CR151" t="e">
        <f>AND(NhatkyNhap!#REF!,"AAAAAHbx/18=")</f>
        <v>#REF!</v>
      </c>
      <c r="CS151" t="e">
        <f>AND(NhatkyNhap!#REF!,"AAAAAHbx/2A=")</f>
        <v>#REF!</v>
      </c>
      <c r="CT151" t="e">
        <f>AND(NhatkyNhap!#REF!,"AAAAAHbx/2E=")</f>
        <v>#REF!</v>
      </c>
      <c r="CU151" t="e">
        <f>AND(NhatkyNhap!#REF!,"AAAAAHbx/2I=")</f>
        <v>#REF!</v>
      </c>
      <c r="CV151" t="e">
        <f>AND(NhatkyNhap!#REF!,"AAAAAHbx/2M=")</f>
        <v>#REF!</v>
      </c>
      <c r="CW151" t="e">
        <f>AND(NhatkyNhap!#REF!,"AAAAAHbx/2Q=")</f>
        <v>#REF!</v>
      </c>
      <c r="CX151" t="e">
        <f>AND(NhatkyNhap!#REF!,"AAAAAHbx/2U=")</f>
        <v>#REF!</v>
      </c>
      <c r="CY151" t="e">
        <f>AND(NhatkyNhap!#REF!,"AAAAAHbx/2Y=")</f>
        <v>#REF!</v>
      </c>
      <c r="CZ151" t="e">
        <f>AND(NhatkyNhap!#REF!,"AAAAAHbx/2c=")</f>
        <v>#REF!</v>
      </c>
      <c r="DA151" t="e">
        <f>AND(NhatkyNhap!#REF!,"AAAAAHbx/2g=")</f>
        <v>#REF!</v>
      </c>
      <c r="DB151" t="e">
        <f>AND(NhatkyNhap!#REF!,"AAAAAHbx/2k=")</f>
        <v>#REF!</v>
      </c>
      <c r="DC151" t="e">
        <f>AND(NhatkyNhap!#REF!,"AAAAAHbx/2o=")</f>
        <v>#REF!</v>
      </c>
      <c r="DD151" t="e">
        <f>AND(NhatkyNhap!#REF!,"AAAAAHbx/2s=")</f>
        <v>#REF!</v>
      </c>
      <c r="DE151" t="e">
        <f>AND(NhatkyNhap!#REF!,"AAAAAHbx/2w=")</f>
        <v>#REF!</v>
      </c>
      <c r="DF151" t="e">
        <f>AND(NhatkyNhap!#REF!,"AAAAAHbx/20=")</f>
        <v>#REF!</v>
      </c>
      <c r="DG151" t="e">
        <f>AND(NhatkyNhap!#REF!,"AAAAAHbx/24=")</f>
        <v>#REF!</v>
      </c>
      <c r="DH151" t="e">
        <f>AND(NhatkyNhap!#REF!,"AAAAAHbx/28=")</f>
        <v>#REF!</v>
      </c>
      <c r="DI151" t="e">
        <f>AND(NhatkyNhap!#REF!,"AAAAAHbx/3A=")</f>
        <v>#REF!</v>
      </c>
      <c r="DJ151" t="e">
        <f>AND(NhatkyNhap!#REF!,"AAAAAHbx/3E=")</f>
        <v>#REF!</v>
      </c>
      <c r="DK151" t="e">
        <f>AND(NhatkyNhap!#REF!,"AAAAAHbx/3I=")</f>
        <v>#REF!</v>
      </c>
      <c r="DL151" t="e">
        <f>IF(NhatkyNhap!#REF!,"AAAAAHbx/3M=",0)</f>
        <v>#REF!</v>
      </c>
      <c r="DM151" t="e">
        <f>AND(NhatkyNhap!#REF!,"AAAAAHbx/3Q=")</f>
        <v>#REF!</v>
      </c>
      <c r="DN151" t="e">
        <f>AND(NhatkyNhap!#REF!,"AAAAAHbx/3U=")</f>
        <v>#REF!</v>
      </c>
      <c r="DO151" t="e">
        <f>AND(NhatkyNhap!#REF!,"AAAAAHbx/3Y=")</f>
        <v>#REF!</v>
      </c>
      <c r="DP151" t="e">
        <f>AND(NhatkyNhap!#REF!,"AAAAAHbx/3c=")</f>
        <v>#REF!</v>
      </c>
      <c r="DQ151" t="e">
        <f>AND(NhatkyNhap!#REF!,"AAAAAHbx/3g=")</f>
        <v>#REF!</v>
      </c>
      <c r="DR151" t="e">
        <f>AND(NhatkyNhap!#REF!,"AAAAAHbx/3k=")</f>
        <v>#REF!</v>
      </c>
      <c r="DS151" t="e">
        <f>AND(NhatkyNhap!#REF!,"AAAAAHbx/3o=")</f>
        <v>#REF!</v>
      </c>
      <c r="DT151" t="e">
        <f>AND(NhatkyNhap!#REF!,"AAAAAHbx/3s=")</f>
        <v>#REF!</v>
      </c>
      <c r="DU151" t="e">
        <f>AND(NhatkyNhap!#REF!,"AAAAAHbx/3w=")</f>
        <v>#REF!</v>
      </c>
      <c r="DV151" t="e">
        <f>AND(NhatkyNhap!#REF!,"AAAAAHbx/30=")</f>
        <v>#REF!</v>
      </c>
      <c r="DW151" t="e">
        <f>AND(NhatkyNhap!#REF!,"AAAAAHbx/34=")</f>
        <v>#REF!</v>
      </c>
      <c r="DX151" t="e">
        <f>AND(NhatkyNhap!#REF!,"AAAAAHbx/38=")</f>
        <v>#REF!</v>
      </c>
      <c r="DY151" t="e">
        <f>AND(NhatkyNhap!#REF!,"AAAAAHbx/4A=")</f>
        <v>#REF!</v>
      </c>
      <c r="DZ151" t="e">
        <f>AND(NhatkyNhap!#REF!,"AAAAAHbx/4E=")</f>
        <v>#REF!</v>
      </c>
      <c r="EA151" t="e">
        <f>AND(NhatkyNhap!#REF!,"AAAAAHbx/4I=")</f>
        <v>#REF!</v>
      </c>
      <c r="EB151" t="e">
        <f>AND(NhatkyNhap!#REF!,"AAAAAHbx/4M=")</f>
        <v>#REF!</v>
      </c>
      <c r="EC151" t="e">
        <f>AND(NhatkyNhap!#REF!,"AAAAAHbx/4Q=")</f>
        <v>#REF!</v>
      </c>
      <c r="ED151" t="e">
        <f>AND(NhatkyNhap!#REF!,"AAAAAHbx/4U=")</f>
        <v>#REF!</v>
      </c>
      <c r="EE151" t="e">
        <f>AND(NhatkyNhap!#REF!,"AAAAAHbx/4Y=")</f>
        <v>#REF!</v>
      </c>
      <c r="EF151" t="e">
        <f>AND(NhatkyNhap!#REF!,"AAAAAHbx/4c=")</f>
        <v>#REF!</v>
      </c>
      <c r="EG151" t="e">
        <f>AND(NhatkyNhap!#REF!,"AAAAAHbx/4g=")</f>
        <v>#REF!</v>
      </c>
      <c r="EH151" t="e">
        <f>AND(NhatkyNhap!#REF!,"AAAAAHbx/4k=")</f>
        <v>#REF!</v>
      </c>
      <c r="EI151" t="e">
        <f>AND(NhatkyNhap!#REF!,"AAAAAHbx/4o=")</f>
        <v>#REF!</v>
      </c>
      <c r="EJ151" t="e">
        <f>AND(NhatkyNhap!#REF!,"AAAAAHbx/4s=")</f>
        <v>#REF!</v>
      </c>
      <c r="EK151" t="e">
        <f>AND(NhatkyNhap!#REF!,"AAAAAHbx/4w=")</f>
        <v>#REF!</v>
      </c>
      <c r="EL151" t="e">
        <f>AND(NhatkyNhap!#REF!,"AAAAAHbx/40=")</f>
        <v>#REF!</v>
      </c>
      <c r="EM151" t="e">
        <f>AND(NhatkyNhap!#REF!,"AAAAAHbx/44=")</f>
        <v>#REF!</v>
      </c>
      <c r="EN151" t="e">
        <f>AND(NhatkyNhap!#REF!,"AAAAAHbx/48=")</f>
        <v>#REF!</v>
      </c>
      <c r="EO151" t="e">
        <f>AND(NhatkyNhap!#REF!,"AAAAAHbx/5A=")</f>
        <v>#REF!</v>
      </c>
      <c r="EP151" t="e">
        <f>AND(NhatkyNhap!#REF!,"AAAAAHbx/5E=")</f>
        <v>#REF!</v>
      </c>
      <c r="EQ151" t="e">
        <f>AND(NhatkyNhap!#REF!,"AAAAAHbx/5I=")</f>
        <v>#REF!</v>
      </c>
      <c r="ER151" t="e">
        <f>AND(NhatkyNhap!#REF!,"AAAAAHbx/5M=")</f>
        <v>#REF!</v>
      </c>
      <c r="ES151" t="e">
        <f>AND(NhatkyNhap!#REF!,"AAAAAHbx/5Q=")</f>
        <v>#REF!</v>
      </c>
      <c r="ET151" t="e">
        <f>AND(NhatkyNhap!#REF!,"AAAAAHbx/5U=")</f>
        <v>#REF!</v>
      </c>
      <c r="EU151" t="e">
        <f>IF(NhatkyNhap!#REF!,"AAAAAHbx/5Y=",0)</f>
        <v>#REF!</v>
      </c>
      <c r="EV151" t="e">
        <f>AND(NhatkyNhap!#REF!,"AAAAAHbx/5c=")</f>
        <v>#REF!</v>
      </c>
      <c r="EW151" t="e">
        <f>AND(NhatkyNhap!#REF!,"AAAAAHbx/5g=")</f>
        <v>#REF!</v>
      </c>
      <c r="EX151" t="e">
        <f>AND(NhatkyNhap!#REF!,"AAAAAHbx/5k=")</f>
        <v>#REF!</v>
      </c>
      <c r="EY151" t="e">
        <f>AND(NhatkyNhap!#REF!,"AAAAAHbx/5o=")</f>
        <v>#REF!</v>
      </c>
      <c r="EZ151" t="e">
        <f>AND(NhatkyNhap!#REF!,"AAAAAHbx/5s=")</f>
        <v>#REF!</v>
      </c>
      <c r="FA151" t="e">
        <f>AND(NhatkyNhap!#REF!,"AAAAAHbx/5w=")</f>
        <v>#REF!</v>
      </c>
      <c r="FB151" t="e">
        <f>AND(NhatkyNhap!#REF!,"AAAAAHbx/50=")</f>
        <v>#REF!</v>
      </c>
      <c r="FC151" t="e">
        <f>AND(NhatkyNhap!#REF!,"AAAAAHbx/54=")</f>
        <v>#REF!</v>
      </c>
      <c r="FD151" t="e">
        <f>AND(NhatkyNhap!#REF!,"AAAAAHbx/58=")</f>
        <v>#REF!</v>
      </c>
      <c r="FE151" t="e">
        <f>AND(NhatkyNhap!#REF!,"AAAAAHbx/6A=")</f>
        <v>#REF!</v>
      </c>
      <c r="FF151" t="e">
        <f>AND(NhatkyNhap!#REF!,"AAAAAHbx/6E=")</f>
        <v>#REF!</v>
      </c>
      <c r="FG151" t="e">
        <f>AND(NhatkyNhap!#REF!,"AAAAAHbx/6I=")</f>
        <v>#REF!</v>
      </c>
      <c r="FH151" t="e">
        <f>AND(NhatkyNhap!#REF!,"AAAAAHbx/6M=")</f>
        <v>#REF!</v>
      </c>
      <c r="FI151" t="e">
        <f>AND(NhatkyNhap!#REF!,"AAAAAHbx/6Q=")</f>
        <v>#REF!</v>
      </c>
      <c r="FJ151" t="e">
        <f>AND(NhatkyNhap!#REF!,"AAAAAHbx/6U=")</f>
        <v>#REF!</v>
      </c>
      <c r="FK151" t="e">
        <f>AND(NhatkyNhap!#REF!,"AAAAAHbx/6Y=")</f>
        <v>#REF!</v>
      </c>
      <c r="FL151" t="e">
        <f>AND(NhatkyNhap!#REF!,"AAAAAHbx/6c=")</f>
        <v>#REF!</v>
      </c>
      <c r="FM151" t="e">
        <f>AND(NhatkyNhap!#REF!,"AAAAAHbx/6g=")</f>
        <v>#REF!</v>
      </c>
      <c r="FN151" t="e">
        <f>AND(NhatkyNhap!#REF!,"AAAAAHbx/6k=")</f>
        <v>#REF!</v>
      </c>
      <c r="FO151" t="e">
        <f>AND(NhatkyNhap!#REF!,"AAAAAHbx/6o=")</f>
        <v>#REF!</v>
      </c>
      <c r="FP151" t="e">
        <f>AND(NhatkyNhap!#REF!,"AAAAAHbx/6s=")</f>
        <v>#REF!</v>
      </c>
      <c r="FQ151" t="e">
        <f>AND(NhatkyNhap!#REF!,"AAAAAHbx/6w=")</f>
        <v>#REF!</v>
      </c>
      <c r="FR151" t="e">
        <f>AND(NhatkyNhap!#REF!,"AAAAAHbx/60=")</f>
        <v>#REF!</v>
      </c>
      <c r="FS151" t="e">
        <f>AND(NhatkyNhap!#REF!,"AAAAAHbx/64=")</f>
        <v>#REF!</v>
      </c>
      <c r="FT151" t="e">
        <f>AND(NhatkyNhap!#REF!,"AAAAAHbx/68=")</f>
        <v>#REF!</v>
      </c>
      <c r="FU151" t="e">
        <f>AND(NhatkyNhap!#REF!,"AAAAAHbx/7A=")</f>
        <v>#REF!</v>
      </c>
      <c r="FV151" t="e">
        <f>AND(NhatkyNhap!#REF!,"AAAAAHbx/7E=")</f>
        <v>#REF!</v>
      </c>
      <c r="FW151" t="e">
        <f>AND(NhatkyNhap!#REF!,"AAAAAHbx/7I=")</f>
        <v>#REF!</v>
      </c>
      <c r="FX151" t="e">
        <f>AND(NhatkyNhap!#REF!,"AAAAAHbx/7M=")</f>
        <v>#REF!</v>
      </c>
      <c r="FY151" t="e">
        <f>AND(NhatkyNhap!#REF!,"AAAAAHbx/7Q=")</f>
        <v>#REF!</v>
      </c>
      <c r="FZ151" t="e">
        <f>AND(NhatkyNhap!#REF!,"AAAAAHbx/7U=")</f>
        <v>#REF!</v>
      </c>
      <c r="GA151" t="e">
        <f>AND(NhatkyNhap!#REF!,"AAAAAHbx/7Y=")</f>
        <v>#REF!</v>
      </c>
      <c r="GB151" t="e">
        <f>AND(NhatkyNhap!#REF!,"AAAAAHbx/7c=")</f>
        <v>#REF!</v>
      </c>
      <c r="GC151" t="e">
        <f>AND(NhatkyNhap!#REF!,"AAAAAHbx/7g=")</f>
        <v>#REF!</v>
      </c>
      <c r="GD151" t="e">
        <f>IF(NhatkyNhap!#REF!,"AAAAAHbx/7k=",0)</f>
        <v>#REF!</v>
      </c>
      <c r="GE151" t="e">
        <f>AND(NhatkyNhap!#REF!,"AAAAAHbx/7o=")</f>
        <v>#REF!</v>
      </c>
      <c r="GF151" t="e">
        <f>AND(NhatkyNhap!#REF!,"AAAAAHbx/7s=")</f>
        <v>#REF!</v>
      </c>
      <c r="GG151" t="e">
        <f>AND(NhatkyNhap!#REF!,"AAAAAHbx/7w=")</f>
        <v>#REF!</v>
      </c>
      <c r="GH151" t="e">
        <f>AND(NhatkyNhap!#REF!,"AAAAAHbx/70=")</f>
        <v>#REF!</v>
      </c>
      <c r="GI151" t="e">
        <f>AND(NhatkyNhap!#REF!,"AAAAAHbx/74=")</f>
        <v>#REF!</v>
      </c>
      <c r="GJ151" t="e">
        <f>AND(NhatkyNhap!#REF!,"AAAAAHbx/78=")</f>
        <v>#REF!</v>
      </c>
      <c r="GK151" t="e">
        <f>AND(NhatkyNhap!#REF!,"AAAAAHbx/8A=")</f>
        <v>#REF!</v>
      </c>
      <c r="GL151" t="e">
        <f>AND(NhatkyNhap!#REF!,"AAAAAHbx/8E=")</f>
        <v>#REF!</v>
      </c>
      <c r="GM151" t="e">
        <f>AND(NhatkyNhap!#REF!,"AAAAAHbx/8I=")</f>
        <v>#REF!</v>
      </c>
      <c r="GN151" t="e">
        <f>AND(NhatkyNhap!#REF!,"AAAAAHbx/8M=")</f>
        <v>#REF!</v>
      </c>
      <c r="GO151" t="e">
        <f>AND(NhatkyNhap!#REF!,"AAAAAHbx/8Q=")</f>
        <v>#REF!</v>
      </c>
      <c r="GP151" t="e">
        <f>AND(NhatkyNhap!#REF!,"AAAAAHbx/8U=")</f>
        <v>#REF!</v>
      </c>
      <c r="GQ151" t="e">
        <f>AND(NhatkyNhap!#REF!,"AAAAAHbx/8Y=")</f>
        <v>#REF!</v>
      </c>
      <c r="GR151" t="e">
        <f>AND(NhatkyNhap!#REF!,"AAAAAHbx/8c=")</f>
        <v>#REF!</v>
      </c>
      <c r="GS151" t="e">
        <f>AND(NhatkyNhap!#REF!,"AAAAAHbx/8g=")</f>
        <v>#REF!</v>
      </c>
      <c r="GT151" t="e">
        <f>AND(NhatkyNhap!#REF!,"AAAAAHbx/8k=")</f>
        <v>#REF!</v>
      </c>
      <c r="GU151" t="e">
        <f>AND(NhatkyNhap!#REF!,"AAAAAHbx/8o=")</f>
        <v>#REF!</v>
      </c>
      <c r="GV151" t="e">
        <f>AND(NhatkyNhap!#REF!,"AAAAAHbx/8s=")</f>
        <v>#REF!</v>
      </c>
      <c r="GW151" t="e">
        <f>AND(NhatkyNhap!#REF!,"AAAAAHbx/8w=")</f>
        <v>#REF!</v>
      </c>
      <c r="GX151" t="e">
        <f>AND(NhatkyNhap!#REF!,"AAAAAHbx/80=")</f>
        <v>#REF!</v>
      </c>
      <c r="GY151" t="e">
        <f>AND(NhatkyNhap!#REF!,"AAAAAHbx/84=")</f>
        <v>#REF!</v>
      </c>
      <c r="GZ151" t="e">
        <f>AND(NhatkyNhap!#REF!,"AAAAAHbx/88=")</f>
        <v>#REF!</v>
      </c>
      <c r="HA151" t="e">
        <f>AND(NhatkyNhap!#REF!,"AAAAAHbx/9A=")</f>
        <v>#REF!</v>
      </c>
      <c r="HB151" t="e">
        <f>AND(NhatkyNhap!#REF!,"AAAAAHbx/9E=")</f>
        <v>#REF!</v>
      </c>
      <c r="HC151" t="e">
        <f>AND(NhatkyNhap!#REF!,"AAAAAHbx/9I=")</f>
        <v>#REF!</v>
      </c>
      <c r="HD151" t="e">
        <f>AND(NhatkyNhap!#REF!,"AAAAAHbx/9M=")</f>
        <v>#REF!</v>
      </c>
      <c r="HE151" t="e">
        <f>AND(NhatkyNhap!#REF!,"AAAAAHbx/9Q=")</f>
        <v>#REF!</v>
      </c>
      <c r="HF151" t="e">
        <f>AND(NhatkyNhap!#REF!,"AAAAAHbx/9U=")</f>
        <v>#REF!</v>
      </c>
      <c r="HG151" t="e">
        <f>AND(NhatkyNhap!#REF!,"AAAAAHbx/9Y=")</f>
        <v>#REF!</v>
      </c>
      <c r="HH151" t="e">
        <f>AND(NhatkyNhap!#REF!,"AAAAAHbx/9c=")</f>
        <v>#REF!</v>
      </c>
      <c r="HI151" t="e">
        <f>AND(NhatkyNhap!#REF!,"AAAAAHbx/9g=")</f>
        <v>#REF!</v>
      </c>
      <c r="HJ151" t="e">
        <f>AND(NhatkyNhap!#REF!,"AAAAAHbx/9k=")</f>
        <v>#REF!</v>
      </c>
      <c r="HK151" t="e">
        <f>AND(NhatkyNhap!#REF!,"AAAAAHbx/9o=")</f>
        <v>#REF!</v>
      </c>
      <c r="HL151" t="e">
        <f>AND(NhatkyNhap!#REF!,"AAAAAHbx/9s=")</f>
        <v>#REF!</v>
      </c>
      <c r="HM151" t="e">
        <f>IF(NhatkyNhap!#REF!,"AAAAAHbx/9w=",0)</f>
        <v>#REF!</v>
      </c>
      <c r="HN151" t="e">
        <f>AND(NhatkyNhap!#REF!,"AAAAAHbx/90=")</f>
        <v>#REF!</v>
      </c>
      <c r="HO151" t="e">
        <f>AND(NhatkyNhap!#REF!,"AAAAAHbx/94=")</f>
        <v>#REF!</v>
      </c>
      <c r="HP151" t="e">
        <f>AND(NhatkyNhap!#REF!,"AAAAAHbx/98=")</f>
        <v>#REF!</v>
      </c>
      <c r="HQ151" t="e">
        <f>AND(NhatkyNhap!#REF!,"AAAAAHbx/+A=")</f>
        <v>#REF!</v>
      </c>
      <c r="HR151" t="e">
        <f>AND(NhatkyNhap!#REF!,"AAAAAHbx/+E=")</f>
        <v>#REF!</v>
      </c>
      <c r="HS151" t="e">
        <f>AND(NhatkyNhap!#REF!,"AAAAAHbx/+I=")</f>
        <v>#REF!</v>
      </c>
      <c r="HT151" t="e">
        <f>AND(NhatkyNhap!#REF!,"AAAAAHbx/+M=")</f>
        <v>#REF!</v>
      </c>
      <c r="HU151" t="e">
        <f>AND(NhatkyNhap!#REF!,"AAAAAHbx/+Q=")</f>
        <v>#REF!</v>
      </c>
      <c r="HV151" t="e">
        <f>AND(NhatkyNhap!#REF!,"AAAAAHbx/+U=")</f>
        <v>#REF!</v>
      </c>
      <c r="HW151" t="e">
        <f>AND(NhatkyNhap!#REF!,"AAAAAHbx/+Y=")</f>
        <v>#REF!</v>
      </c>
      <c r="HX151" t="e">
        <f>AND(NhatkyNhap!#REF!,"AAAAAHbx/+c=")</f>
        <v>#REF!</v>
      </c>
      <c r="HY151" t="e">
        <f>AND(NhatkyNhap!#REF!,"AAAAAHbx/+g=")</f>
        <v>#REF!</v>
      </c>
      <c r="HZ151" t="e">
        <f>AND(NhatkyNhap!#REF!,"AAAAAHbx/+k=")</f>
        <v>#REF!</v>
      </c>
      <c r="IA151" t="e">
        <f>AND(NhatkyNhap!#REF!,"AAAAAHbx/+o=")</f>
        <v>#REF!</v>
      </c>
      <c r="IB151" t="e">
        <f>AND(NhatkyNhap!#REF!,"AAAAAHbx/+s=")</f>
        <v>#REF!</v>
      </c>
      <c r="IC151" t="e">
        <f>AND(NhatkyNhap!#REF!,"AAAAAHbx/+w=")</f>
        <v>#REF!</v>
      </c>
      <c r="ID151" t="e">
        <f>AND(NhatkyNhap!#REF!,"AAAAAHbx/+0=")</f>
        <v>#REF!</v>
      </c>
      <c r="IE151" t="e">
        <f>AND(NhatkyNhap!#REF!,"AAAAAHbx/+4=")</f>
        <v>#REF!</v>
      </c>
      <c r="IF151" t="e">
        <f>AND(NhatkyNhap!#REF!,"AAAAAHbx/+8=")</f>
        <v>#REF!</v>
      </c>
      <c r="IG151" t="e">
        <f>AND(NhatkyNhap!#REF!,"AAAAAHbx//A=")</f>
        <v>#REF!</v>
      </c>
      <c r="IH151" t="e">
        <f>AND(NhatkyNhap!#REF!,"AAAAAHbx//E=")</f>
        <v>#REF!</v>
      </c>
      <c r="II151" t="e">
        <f>AND(NhatkyNhap!#REF!,"AAAAAHbx//I=")</f>
        <v>#REF!</v>
      </c>
      <c r="IJ151" t="e">
        <f>AND(NhatkyNhap!#REF!,"AAAAAHbx//M=")</f>
        <v>#REF!</v>
      </c>
      <c r="IK151" t="e">
        <f>AND(NhatkyNhap!#REF!,"AAAAAHbx//Q=")</f>
        <v>#REF!</v>
      </c>
      <c r="IL151" t="e">
        <f>AND(NhatkyNhap!#REF!,"AAAAAHbx//U=")</f>
        <v>#REF!</v>
      </c>
      <c r="IM151" t="e">
        <f>AND(NhatkyNhap!#REF!,"AAAAAHbx//Y=")</f>
        <v>#REF!</v>
      </c>
      <c r="IN151" t="e">
        <f>AND(NhatkyNhap!#REF!,"AAAAAHbx//c=")</f>
        <v>#REF!</v>
      </c>
      <c r="IO151" t="e">
        <f>AND(NhatkyNhap!#REF!,"AAAAAHbx//g=")</f>
        <v>#REF!</v>
      </c>
      <c r="IP151" t="e">
        <f>AND(NhatkyNhap!#REF!,"AAAAAHbx//k=")</f>
        <v>#REF!</v>
      </c>
      <c r="IQ151" t="e">
        <f>AND(NhatkyNhap!#REF!,"AAAAAHbx//o=")</f>
        <v>#REF!</v>
      </c>
      <c r="IR151" t="e">
        <f>AND(NhatkyNhap!#REF!,"AAAAAHbx//s=")</f>
        <v>#REF!</v>
      </c>
      <c r="IS151" t="e">
        <f>AND(NhatkyNhap!#REF!,"AAAAAHbx//w=")</f>
        <v>#REF!</v>
      </c>
      <c r="IT151" t="e">
        <f>AND(NhatkyNhap!#REF!,"AAAAAHbx//0=")</f>
        <v>#REF!</v>
      </c>
      <c r="IU151" t="e">
        <f>AND(NhatkyNhap!#REF!,"AAAAAHbx//4=")</f>
        <v>#REF!</v>
      </c>
      <c r="IV151" t="e">
        <f>IF(NhatkyNhap!#REF!,"AAAAAHbx//8=",0)</f>
        <v>#REF!</v>
      </c>
    </row>
    <row r="152" spans="1:256">
      <c r="A152" t="e">
        <f>AND(NhatkyNhap!#REF!,"AAAAAEOu3QA=")</f>
        <v>#REF!</v>
      </c>
      <c r="B152" t="e">
        <f>AND(NhatkyNhap!#REF!,"AAAAAEOu3QE=")</f>
        <v>#REF!</v>
      </c>
      <c r="C152" t="e">
        <f>AND(NhatkyNhap!#REF!,"AAAAAEOu3QI=")</f>
        <v>#REF!</v>
      </c>
      <c r="D152" t="e">
        <f>AND(NhatkyNhap!#REF!,"AAAAAEOu3QM=")</f>
        <v>#REF!</v>
      </c>
      <c r="E152" t="e">
        <f>AND(NhatkyNhap!#REF!,"AAAAAEOu3QQ=")</f>
        <v>#REF!</v>
      </c>
      <c r="F152" t="e">
        <f>AND(NhatkyNhap!#REF!,"AAAAAEOu3QU=")</f>
        <v>#REF!</v>
      </c>
      <c r="G152" t="e">
        <f>AND(NhatkyNhap!#REF!,"AAAAAEOu3QY=")</f>
        <v>#REF!</v>
      </c>
      <c r="H152" t="e">
        <f>AND(NhatkyNhap!#REF!,"AAAAAEOu3Qc=")</f>
        <v>#REF!</v>
      </c>
      <c r="I152" t="e">
        <f>AND(NhatkyNhap!#REF!,"AAAAAEOu3Qg=")</f>
        <v>#REF!</v>
      </c>
      <c r="J152" t="e">
        <f>AND(NhatkyNhap!#REF!,"AAAAAEOu3Qk=")</f>
        <v>#REF!</v>
      </c>
      <c r="K152" t="e">
        <f>AND(NhatkyNhap!#REF!,"AAAAAEOu3Qo=")</f>
        <v>#REF!</v>
      </c>
      <c r="L152" t="e">
        <f>AND(NhatkyNhap!#REF!,"AAAAAEOu3Qs=")</f>
        <v>#REF!</v>
      </c>
      <c r="M152" t="e">
        <f>AND(NhatkyNhap!#REF!,"AAAAAEOu3Qw=")</f>
        <v>#REF!</v>
      </c>
      <c r="N152" t="e">
        <f>AND(NhatkyNhap!#REF!,"AAAAAEOu3Q0=")</f>
        <v>#REF!</v>
      </c>
      <c r="O152" t="e">
        <f>AND(NhatkyNhap!#REF!,"AAAAAEOu3Q4=")</f>
        <v>#REF!</v>
      </c>
      <c r="P152" t="e">
        <f>AND(NhatkyNhap!#REF!,"AAAAAEOu3Q8=")</f>
        <v>#REF!</v>
      </c>
      <c r="Q152" t="e">
        <f>AND(NhatkyNhap!#REF!,"AAAAAEOu3RA=")</f>
        <v>#REF!</v>
      </c>
      <c r="R152" t="e">
        <f>AND(NhatkyNhap!#REF!,"AAAAAEOu3RE=")</f>
        <v>#REF!</v>
      </c>
      <c r="S152" t="e">
        <f>AND(NhatkyNhap!#REF!,"AAAAAEOu3RI=")</f>
        <v>#REF!</v>
      </c>
      <c r="T152" t="e">
        <f>AND(NhatkyNhap!#REF!,"AAAAAEOu3RM=")</f>
        <v>#REF!</v>
      </c>
      <c r="U152" t="e">
        <f>AND(NhatkyNhap!#REF!,"AAAAAEOu3RQ=")</f>
        <v>#REF!</v>
      </c>
      <c r="V152" t="e">
        <f>AND(NhatkyNhap!#REF!,"AAAAAEOu3RU=")</f>
        <v>#REF!</v>
      </c>
      <c r="W152" t="e">
        <f>AND(NhatkyNhap!#REF!,"AAAAAEOu3RY=")</f>
        <v>#REF!</v>
      </c>
      <c r="X152" t="e">
        <f>AND(NhatkyNhap!#REF!,"AAAAAEOu3Rc=")</f>
        <v>#REF!</v>
      </c>
      <c r="Y152" t="e">
        <f>AND(NhatkyNhap!#REF!,"AAAAAEOu3Rg=")</f>
        <v>#REF!</v>
      </c>
      <c r="Z152" t="e">
        <f>AND(NhatkyNhap!#REF!,"AAAAAEOu3Rk=")</f>
        <v>#REF!</v>
      </c>
      <c r="AA152" t="e">
        <f>AND(NhatkyNhap!#REF!,"AAAAAEOu3Ro=")</f>
        <v>#REF!</v>
      </c>
      <c r="AB152" t="e">
        <f>AND(NhatkyNhap!#REF!,"AAAAAEOu3Rs=")</f>
        <v>#REF!</v>
      </c>
      <c r="AC152" t="e">
        <f>AND(NhatkyNhap!#REF!,"AAAAAEOu3Rw=")</f>
        <v>#REF!</v>
      </c>
      <c r="AD152" t="e">
        <f>AND(NhatkyNhap!#REF!,"AAAAAEOu3R0=")</f>
        <v>#REF!</v>
      </c>
      <c r="AE152" t="e">
        <f>AND(NhatkyNhap!#REF!,"AAAAAEOu3R4=")</f>
        <v>#REF!</v>
      </c>
      <c r="AF152" t="e">
        <f>AND(NhatkyNhap!#REF!,"AAAAAEOu3R8=")</f>
        <v>#REF!</v>
      </c>
      <c r="AG152" t="e">
        <f>AND(NhatkyNhap!#REF!,"AAAAAEOu3SA=")</f>
        <v>#REF!</v>
      </c>
      <c r="AH152" t="e">
        <f>AND(NhatkyNhap!#REF!,"AAAAAEOu3SE=")</f>
        <v>#REF!</v>
      </c>
      <c r="AI152" t="e">
        <f>IF(NhatkyNhap!#REF!,"AAAAAEOu3SI=",0)</f>
        <v>#REF!</v>
      </c>
      <c r="AJ152" t="e">
        <f>AND(NhatkyNhap!#REF!,"AAAAAEOu3SM=")</f>
        <v>#REF!</v>
      </c>
      <c r="AK152" t="e">
        <f>AND(NhatkyNhap!#REF!,"AAAAAEOu3SQ=")</f>
        <v>#REF!</v>
      </c>
      <c r="AL152" t="e">
        <f>AND(NhatkyNhap!#REF!,"AAAAAEOu3SU=")</f>
        <v>#REF!</v>
      </c>
      <c r="AM152" t="e">
        <f>AND(NhatkyNhap!#REF!,"AAAAAEOu3SY=")</f>
        <v>#REF!</v>
      </c>
      <c r="AN152" t="e">
        <f>AND(NhatkyNhap!#REF!,"AAAAAEOu3Sc=")</f>
        <v>#REF!</v>
      </c>
      <c r="AO152" t="e">
        <f>AND(NhatkyNhap!#REF!,"AAAAAEOu3Sg=")</f>
        <v>#REF!</v>
      </c>
      <c r="AP152" t="e">
        <f>AND(NhatkyNhap!#REF!,"AAAAAEOu3Sk=")</f>
        <v>#REF!</v>
      </c>
      <c r="AQ152" t="e">
        <f>AND(NhatkyNhap!#REF!,"AAAAAEOu3So=")</f>
        <v>#REF!</v>
      </c>
      <c r="AR152" t="e">
        <f>AND(NhatkyNhap!#REF!,"AAAAAEOu3Ss=")</f>
        <v>#REF!</v>
      </c>
      <c r="AS152" t="e">
        <f>AND(NhatkyNhap!#REF!,"AAAAAEOu3Sw=")</f>
        <v>#REF!</v>
      </c>
      <c r="AT152" t="e">
        <f>AND(NhatkyNhap!#REF!,"AAAAAEOu3S0=")</f>
        <v>#REF!</v>
      </c>
      <c r="AU152" t="e">
        <f>AND(NhatkyNhap!#REF!,"AAAAAEOu3S4=")</f>
        <v>#REF!</v>
      </c>
      <c r="AV152" t="e">
        <f>AND(NhatkyNhap!#REF!,"AAAAAEOu3S8=")</f>
        <v>#REF!</v>
      </c>
      <c r="AW152" t="e">
        <f>AND(NhatkyNhap!#REF!,"AAAAAEOu3TA=")</f>
        <v>#REF!</v>
      </c>
      <c r="AX152" t="e">
        <f>AND(NhatkyNhap!#REF!,"AAAAAEOu3TE=")</f>
        <v>#REF!</v>
      </c>
      <c r="AY152" t="e">
        <f>AND(NhatkyNhap!#REF!,"AAAAAEOu3TI=")</f>
        <v>#REF!</v>
      </c>
      <c r="AZ152" t="e">
        <f>AND(NhatkyNhap!#REF!,"AAAAAEOu3TM=")</f>
        <v>#REF!</v>
      </c>
      <c r="BA152" t="e">
        <f>AND(NhatkyNhap!#REF!,"AAAAAEOu3TQ=")</f>
        <v>#REF!</v>
      </c>
      <c r="BB152" t="e">
        <f>AND(NhatkyNhap!#REF!,"AAAAAEOu3TU=")</f>
        <v>#REF!</v>
      </c>
      <c r="BC152" t="e">
        <f>AND(NhatkyNhap!#REF!,"AAAAAEOu3TY=")</f>
        <v>#REF!</v>
      </c>
      <c r="BD152" t="e">
        <f>AND(NhatkyNhap!#REF!,"AAAAAEOu3Tc=")</f>
        <v>#REF!</v>
      </c>
      <c r="BE152" t="e">
        <f>AND(NhatkyNhap!#REF!,"AAAAAEOu3Tg=")</f>
        <v>#REF!</v>
      </c>
      <c r="BF152" t="e">
        <f>AND(NhatkyNhap!#REF!,"AAAAAEOu3Tk=")</f>
        <v>#REF!</v>
      </c>
      <c r="BG152" t="e">
        <f>AND(NhatkyNhap!#REF!,"AAAAAEOu3To=")</f>
        <v>#REF!</v>
      </c>
      <c r="BH152" t="e">
        <f>AND(NhatkyNhap!#REF!,"AAAAAEOu3Ts=")</f>
        <v>#REF!</v>
      </c>
      <c r="BI152" t="e">
        <f>AND(NhatkyNhap!#REF!,"AAAAAEOu3Tw=")</f>
        <v>#REF!</v>
      </c>
      <c r="BJ152" t="e">
        <f>AND(NhatkyNhap!#REF!,"AAAAAEOu3T0=")</f>
        <v>#REF!</v>
      </c>
      <c r="BK152" t="e">
        <f>AND(NhatkyNhap!#REF!,"AAAAAEOu3T4=")</f>
        <v>#REF!</v>
      </c>
      <c r="BL152" t="e">
        <f>AND(NhatkyNhap!#REF!,"AAAAAEOu3T8=")</f>
        <v>#REF!</v>
      </c>
      <c r="BM152" t="e">
        <f>AND(NhatkyNhap!#REF!,"AAAAAEOu3UA=")</f>
        <v>#REF!</v>
      </c>
      <c r="BN152" t="e">
        <f>AND(NhatkyNhap!#REF!,"AAAAAEOu3UE=")</f>
        <v>#REF!</v>
      </c>
      <c r="BO152" t="e">
        <f>AND(NhatkyNhap!#REF!,"AAAAAEOu3UI=")</f>
        <v>#REF!</v>
      </c>
      <c r="BP152" t="e">
        <f>AND(NhatkyNhap!#REF!,"AAAAAEOu3UM=")</f>
        <v>#REF!</v>
      </c>
      <c r="BQ152" t="e">
        <f>AND(NhatkyNhap!#REF!,"AAAAAEOu3UQ=")</f>
        <v>#REF!</v>
      </c>
      <c r="BR152" t="e">
        <f>IF(NhatkyNhap!#REF!,"AAAAAEOu3UU=",0)</f>
        <v>#REF!</v>
      </c>
      <c r="BS152" t="e">
        <f>AND(NhatkyNhap!#REF!,"AAAAAEOu3UY=")</f>
        <v>#REF!</v>
      </c>
      <c r="BT152" t="e">
        <f>AND(NhatkyNhap!#REF!,"AAAAAEOu3Uc=")</f>
        <v>#REF!</v>
      </c>
      <c r="BU152" t="e">
        <f>AND(NhatkyNhap!#REF!,"AAAAAEOu3Ug=")</f>
        <v>#REF!</v>
      </c>
      <c r="BV152" t="e">
        <f>AND(NhatkyNhap!#REF!,"AAAAAEOu3Uk=")</f>
        <v>#REF!</v>
      </c>
      <c r="BW152" t="e">
        <f>AND(NhatkyNhap!#REF!,"AAAAAEOu3Uo=")</f>
        <v>#REF!</v>
      </c>
      <c r="BX152" t="e">
        <f>AND(NhatkyNhap!#REF!,"AAAAAEOu3Us=")</f>
        <v>#REF!</v>
      </c>
      <c r="BY152" t="e">
        <f>AND(NhatkyNhap!#REF!,"AAAAAEOu3Uw=")</f>
        <v>#REF!</v>
      </c>
      <c r="BZ152" t="e">
        <f>AND(NhatkyNhap!#REF!,"AAAAAEOu3U0=")</f>
        <v>#REF!</v>
      </c>
      <c r="CA152" t="e">
        <f>AND(NhatkyNhap!#REF!,"AAAAAEOu3U4=")</f>
        <v>#REF!</v>
      </c>
      <c r="CB152" t="e">
        <f>AND(NhatkyNhap!#REF!,"AAAAAEOu3U8=")</f>
        <v>#REF!</v>
      </c>
      <c r="CC152" t="e">
        <f>AND(NhatkyNhap!#REF!,"AAAAAEOu3VA=")</f>
        <v>#REF!</v>
      </c>
      <c r="CD152" t="e">
        <f>AND(NhatkyNhap!#REF!,"AAAAAEOu3VE=")</f>
        <v>#REF!</v>
      </c>
      <c r="CE152" t="e">
        <f>AND(NhatkyNhap!#REF!,"AAAAAEOu3VI=")</f>
        <v>#REF!</v>
      </c>
      <c r="CF152" t="e">
        <f>AND(NhatkyNhap!#REF!,"AAAAAEOu3VM=")</f>
        <v>#REF!</v>
      </c>
      <c r="CG152" t="e">
        <f>AND(NhatkyNhap!#REF!,"AAAAAEOu3VQ=")</f>
        <v>#REF!</v>
      </c>
      <c r="CH152" t="e">
        <f>AND(NhatkyNhap!#REF!,"AAAAAEOu3VU=")</f>
        <v>#REF!</v>
      </c>
      <c r="CI152" t="e">
        <f>AND(NhatkyNhap!#REF!,"AAAAAEOu3VY=")</f>
        <v>#REF!</v>
      </c>
      <c r="CJ152" t="e">
        <f>AND(NhatkyNhap!#REF!,"AAAAAEOu3Vc=")</f>
        <v>#REF!</v>
      </c>
      <c r="CK152" t="e">
        <f>AND(NhatkyNhap!#REF!,"AAAAAEOu3Vg=")</f>
        <v>#REF!</v>
      </c>
      <c r="CL152" t="e">
        <f>AND(NhatkyNhap!#REF!,"AAAAAEOu3Vk=")</f>
        <v>#REF!</v>
      </c>
      <c r="CM152" t="e">
        <f>AND(NhatkyNhap!#REF!,"AAAAAEOu3Vo=")</f>
        <v>#REF!</v>
      </c>
      <c r="CN152" t="e">
        <f>AND(NhatkyNhap!#REF!,"AAAAAEOu3Vs=")</f>
        <v>#REF!</v>
      </c>
      <c r="CO152" t="e">
        <f>AND(NhatkyNhap!#REF!,"AAAAAEOu3Vw=")</f>
        <v>#REF!</v>
      </c>
      <c r="CP152" t="e">
        <f>AND(NhatkyNhap!#REF!,"AAAAAEOu3V0=")</f>
        <v>#REF!</v>
      </c>
      <c r="CQ152" t="e">
        <f>AND(NhatkyNhap!#REF!,"AAAAAEOu3V4=")</f>
        <v>#REF!</v>
      </c>
      <c r="CR152" t="e">
        <f>AND(NhatkyNhap!#REF!,"AAAAAEOu3V8=")</f>
        <v>#REF!</v>
      </c>
      <c r="CS152" t="e">
        <f>AND(NhatkyNhap!#REF!,"AAAAAEOu3WA=")</f>
        <v>#REF!</v>
      </c>
      <c r="CT152" t="e">
        <f>AND(NhatkyNhap!#REF!,"AAAAAEOu3WE=")</f>
        <v>#REF!</v>
      </c>
      <c r="CU152" t="e">
        <f>AND(NhatkyNhap!#REF!,"AAAAAEOu3WI=")</f>
        <v>#REF!</v>
      </c>
      <c r="CV152" t="e">
        <f>AND(NhatkyNhap!#REF!,"AAAAAEOu3WM=")</f>
        <v>#REF!</v>
      </c>
      <c r="CW152" t="e">
        <f>AND(NhatkyNhap!#REF!,"AAAAAEOu3WQ=")</f>
        <v>#REF!</v>
      </c>
      <c r="CX152" t="e">
        <f>AND(NhatkyNhap!#REF!,"AAAAAEOu3WU=")</f>
        <v>#REF!</v>
      </c>
      <c r="CY152" t="e">
        <f>AND(NhatkyNhap!#REF!,"AAAAAEOu3WY=")</f>
        <v>#REF!</v>
      </c>
      <c r="CZ152" t="e">
        <f>AND(NhatkyNhap!#REF!,"AAAAAEOu3Wc=")</f>
        <v>#REF!</v>
      </c>
      <c r="DA152" t="e">
        <f>IF(NhatkyNhap!#REF!,"AAAAAEOu3Wg=",0)</f>
        <v>#REF!</v>
      </c>
      <c r="DB152" t="e">
        <f>AND(NhatkyNhap!#REF!,"AAAAAEOu3Wk=")</f>
        <v>#REF!</v>
      </c>
      <c r="DC152" t="e">
        <f>AND(NhatkyNhap!#REF!,"AAAAAEOu3Wo=")</f>
        <v>#REF!</v>
      </c>
      <c r="DD152" t="e">
        <f>AND(NhatkyNhap!#REF!,"AAAAAEOu3Ws=")</f>
        <v>#REF!</v>
      </c>
      <c r="DE152" t="e">
        <f>AND(NhatkyNhap!#REF!,"AAAAAEOu3Ww=")</f>
        <v>#REF!</v>
      </c>
      <c r="DF152" t="e">
        <f>AND(NhatkyNhap!#REF!,"AAAAAEOu3W0=")</f>
        <v>#REF!</v>
      </c>
      <c r="DG152" t="e">
        <f>AND(NhatkyNhap!#REF!,"AAAAAEOu3W4=")</f>
        <v>#REF!</v>
      </c>
      <c r="DH152" t="e">
        <f>AND(NhatkyNhap!#REF!,"AAAAAEOu3W8=")</f>
        <v>#REF!</v>
      </c>
      <c r="DI152" t="e">
        <f>AND(NhatkyNhap!#REF!,"AAAAAEOu3XA=")</f>
        <v>#REF!</v>
      </c>
      <c r="DJ152" t="e">
        <f>AND(NhatkyNhap!#REF!,"AAAAAEOu3XE=")</f>
        <v>#REF!</v>
      </c>
      <c r="DK152" t="e">
        <f>AND(NhatkyNhap!#REF!,"AAAAAEOu3XI=")</f>
        <v>#REF!</v>
      </c>
      <c r="DL152" t="e">
        <f>AND(NhatkyNhap!#REF!,"AAAAAEOu3XM=")</f>
        <v>#REF!</v>
      </c>
      <c r="DM152" t="e">
        <f>AND(NhatkyNhap!#REF!,"AAAAAEOu3XQ=")</f>
        <v>#REF!</v>
      </c>
      <c r="DN152" t="e">
        <f>AND(NhatkyNhap!#REF!,"AAAAAEOu3XU=")</f>
        <v>#REF!</v>
      </c>
      <c r="DO152" t="e">
        <f>AND(NhatkyNhap!#REF!,"AAAAAEOu3XY=")</f>
        <v>#REF!</v>
      </c>
      <c r="DP152" t="e">
        <f>AND(NhatkyNhap!#REF!,"AAAAAEOu3Xc=")</f>
        <v>#REF!</v>
      </c>
      <c r="DQ152" t="e">
        <f>AND(NhatkyNhap!#REF!,"AAAAAEOu3Xg=")</f>
        <v>#REF!</v>
      </c>
      <c r="DR152" t="e">
        <f>AND(NhatkyNhap!#REF!,"AAAAAEOu3Xk=")</f>
        <v>#REF!</v>
      </c>
      <c r="DS152" t="e">
        <f>AND(NhatkyNhap!#REF!,"AAAAAEOu3Xo=")</f>
        <v>#REF!</v>
      </c>
      <c r="DT152" t="e">
        <f>AND(NhatkyNhap!#REF!,"AAAAAEOu3Xs=")</f>
        <v>#REF!</v>
      </c>
      <c r="DU152" t="e">
        <f>AND(NhatkyNhap!#REF!,"AAAAAEOu3Xw=")</f>
        <v>#REF!</v>
      </c>
      <c r="DV152" t="e">
        <f>AND(NhatkyNhap!#REF!,"AAAAAEOu3X0=")</f>
        <v>#REF!</v>
      </c>
      <c r="DW152" t="e">
        <f>AND(NhatkyNhap!#REF!,"AAAAAEOu3X4=")</f>
        <v>#REF!</v>
      </c>
      <c r="DX152" t="e">
        <f>AND(NhatkyNhap!#REF!,"AAAAAEOu3X8=")</f>
        <v>#REF!</v>
      </c>
      <c r="DY152" t="e">
        <f>AND(NhatkyNhap!#REF!,"AAAAAEOu3YA=")</f>
        <v>#REF!</v>
      </c>
      <c r="DZ152" t="e">
        <f>AND(NhatkyNhap!#REF!,"AAAAAEOu3YE=")</f>
        <v>#REF!</v>
      </c>
      <c r="EA152" t="e">
        <f>AND(NhatkyNhap!#REF!,"AAAAAEOu3YI=")</f>
        <v>#REF!</v>
      </c>
      <c r="EB152" t="e">
        <f>AND(NhatkyNhap!#REF!,"AAAAAEOu3YM=")</f>
        <v>#REF!</v>
      </c>
      <c r="EC152" t="e">
        <f>AND(NhatkyNhap!#REF!,"AAAAAEOu3YQ=")</f>
        <v>#REF!</v>
      </c>
      <c r="ED152" t="e">
        <f>AND(NhatkyNhap!#REF!,"AAAAAEOu3YU=")</f>
        <v>#REF!</v>
      </c>
      <c r="EE152" t="e">
        <f>AND(NhatkyNhap!#REF!,"AAAAAEOu3YY=")</f>
        <v>#REF!</v>
      </c>
      <c r="EF152" t="e">
        <f>AND(NhatkyNhap!#REF!,"AAAAAEOu3Yc=")</f>
        <v>#REF!</v>
      </c>
      <c r="EG152" t="e">
        <f>AND(NhatkyNhap!#REF!,"AAAAAEOu3Yg=")</f>
        <v>#REF!</v>
      </c>
      <c r="EH152" t="e">
        <f>AND(NhatkyNhap!#REF!,"AAAAAEOu3Yk=")</f>
        <v>#REF!</v>
      </c>
      <c r="EI152" t="e">
        <f>AND(NhatkyNhap!#REF!,"AAAAAEOu3Yo=")</f>
        <v>#REF!</v>
      </c>
      <c r="EJ152" t="e">
        <f>IF(NhatkyNhap!#REF!,"AAAAAEOu3Ys=",0)</f>
        <v>#REF!</v>
      </c>
      <c r="EK152" t="e">
        <f>AND(NhatkyNhap!#REF!,"AAAAAEOu3Yw=")</f>
        <v>#REF!</v>
      </c>
      <c r="EL152" t="e">
        <f>AND(NhatkyNhap!#REF!,"AAAAAEOu3Y0=")</f>
        <v>#REF!</v>
      </c>
      <c r="EM152" t="e">
        <f>AND(NhatkyNhap!#REF!,"AAAAAEOu3Y4=")</f>
        <v>#REF!</v>
      </c>
      <c r="EN152" t="e">
        <f>AND(NhatkyNhap!#REF!,"AAAAAEOu3Y8=")</f>
        <v>#REF!</v>
      </c>
      <c r="EO152" t="e">
        <f>AND(NhatkyNhap!#REF!,"AAAAAEOu3ZA=")</f>
        <v>#REF!</v>
      </c>
      <c r="EP152" t="e">
        <f>AND(NhatkyNhap!#REF!,"AAAAAEOu3ZE=")</f>
        <v>#REF!</v>
      </c>
      <c r="EQ152" t="e">
        <f>AND(NhatkyNhap!#REF!,"AAAAAEOu3ZI=")</f>
        <v>#REF!</v>
      </c>
      <c r="ER152" t="e">
        <f>AND(NhatkyNhap!#REF!,"AAAAAEOu3ZM=")</f>
        <v>#REF!</v>
      </c>
      <c r="ES152" t="e">
        <f>AND(NhatkyNhap!#REF!,"AAAAAEOu3ZQ=")</f>
        <v>#REF!</v>
      </c>
      <c r="ET152" t="e">
        <f>AND(NhatkyNhap!#REF!,"AAAAAEOu3ZU=")</f>
        <v>#REF!</v>
      </c>
      <c r="EU152" t="e">
        <f>AND(NhatkyNhap!#REF!,"AAAAAEOu3ZY=")</f>
        <v>#REF!</v>
      </c>
      <c r="EV152" t="e">
        <f>AND(NhatkyNhap!#REF!,"AAAAAEOu3Zc=")</f>
        <v>#REF!</v>
      </c>
      <c r="EW152" t="e">
        <f>AND(NhatkyNhap!#REF!,"AAAAAEOu3Zg=")</f>
        <v>#REF!</v>
      </c>
      <c r="EX152" t="e">
        <f>AND(NhatkyNhap!#REF!,"AAAAAEOu3Zk=")</f>
        <v>#REF!</v>
      </c>
      <c r="EY152" t="e">
        <f>AND(NhatkyNhap!#REF!,"AAAAAEOu3Zo=")</f>
        <v>#REF!</v>
      </c>
      <c r="EZ152" t="e">
        <f>AND(NhatkyNhap!#REF!,"AAAAAEOu3Zs=")</f>
        <v>#REF!</v>
      </c>
      <c r="FA152" t="e">
        <f>AND(NhatkyNhap!#REF!,"AAAAAEOu3Zw=")</f>
        <v>#REF!</v>
      </c>
      <c r="FB152" t="e">
        <f>AND(NhatkyNhap!#REF!,"AAAAAEOu3Z0=")</f>
        <v>#REF!</v>
      </c>
      <c r="FC152" t="e">
        <f>AND(NhatkyNhap!#REF!,"AAAAAEOu3Z4=")</f>
        <v>#REF!</v>
      </c>
      <c r="FD152" t="e">
        <f>AND(NhatkyNhap!#REF!,"AAAAAEOu3Z8=")</f>
        <v>#REF!</v>
      </c>
      <c r="FE152" t="e">
        <f>AND(NhatkyNhap!#REF!,"AAAAAEOu3aA=")</f>
        <v>#REF!</v>
      </c>
      <c r="FF152" t="e">
        <f>AND(NhatkyNhap!#REF!,"AAAAAEOu3aE=")</f>
        <v>#REF!</v>
      </c>
      <c r="FG152" t="e">
        <f>AND(NhatkyNhap!#REF!,"AAAAAEOu3aI=")</f>
        <v>#REF!</v>
      </c>
      <c r="FH152" t="e">
        <f>AND(NhatkyNhap!#REF!,"AAAAAEOu3aM=")</f>
        <v>#REF!</v>
      </c>
      <c r="FI152" t="e">
        <f>AND(NhatkyNhap!#REF!,"AAAAAEOu3aQ=")</f>
        <v>#REF!</v>
      </c>
      <c r="FJ152" t="e">
        <f>AND(NhatkyNhap!#REF!,"AAAAAEOu3aU=")</f>
        <v>#REF!</v>
      </c>
      <c r="FK152" t="e">
        <f>AND(NhatkyNhap!#REF!,"AAAAAEOu3aY=")</f>
        <v>#REF!</v>
      </c>
      <c r="FL152" t="e">
        <f>AND(NhatkyNhap!#REF!,"AAAAAEOu3ac=")</f>
        <v>#REF!</v>
      </c>
      <c r="FM152" t="e">
        <f>AND(NhatkyNhap!#REF!,"AAAAAEOu3ag=")</f>
        <v>#REF!</v>
      </c>
      <c r="FN152" t="e">
        <f>AND(NhatkyNhap!#REF!,"AAAAAEOu3ak=")</f>
        <v>#REF!</v>
      </c>
      <c r="FO152" t="e">
        <f>AND(NhatkyNhap!#REF!,"AAAAAEOu3ao=")</f>
        <v>#REF!</v>
      </c>
      <c r="FP152" t="e">
        <f>AND(NhatkyNhap!#REF!,"AAAAAEOu3as=")</f>
        <v>#REF!</v>
      </c>
      <c r="FQ152" t="e">
        <f>AND(NhatkyNhap!#REF!,"AAAAAEOu3aw=")</f>
        <v>#REF!</v>
      </c>
      <c r="FR152" t="e">
        <f>AND(NhatkyNhap!#REF!,"AAAAAEOu3a0=")</f>
        <v>#REF!</v>
      </c>
      <c r="FS152" t="e">
        <f>IF(NhatkyNhap!#REF!,"AAAAAEOu3a4=",0)</f>
        <v>#REF!</v>
      </c>
      <c r="FT152" t="e">
        <f>AND(NhatkyNhap!#REF!,"AAAAAEOu3a8=")</f>
        <v>#REF!</v>
      </c>
      <c r="FU152" t="e">
        <f>AND(NhatkyNhap!#REF!,"AAAAAEOu3bA=")</f>
        <v>#REF!</v>
      </c>
      <c r="FV152" t="e">
        <f>AND(NhatkyNhap!#REF!,"AAAAAEOu3bE=")</f>
        <v>#REF!</v>
      </c>
      <c r="FW152" t="e">
        <f>AND(NhatkyNhap!#REF!,"AAAAAEOu3bI=")</f>
        <v>#REF!</v>
      </c>
      <c r="FX152" t="e">
        <f>AND(NhatkyNhap!#REF!,"AAAAAEOu3bM=")</f>
        <v>#REF!</v>
      </c>
      <c r="FY152" t="e">
        <f>AND(NhatkyNhap!#REF!,"AAAAAEOu3bQ=")</f>
        <v>#REF!</v>
      </c>
      <c r="FZ152" t="e">
        <f>AND(NhatkyNhap!#REF!,"AAAAAEOu3bU=")</f>
        <v>#REF!</v>
      </c>
      <c r="GA152" t="e">
        <f>AND(NhatkyNhap!#REF!,"AAAAAEOu3bY=")</f>
        <v>#REF!</v>
      </c>
      <c r="GB152" t="e">
        <f>AND(NhatkyNhap!#REF!,"AAAAAEOu3bc=")</f>
        <v>#REF!</v>
      </c>
      <c r="GC152" t="e">
        <f>AND(NhatkyNhap!#REF!,"AAAAAEOu3bg=")</f>
        <v>#REF!</v>
      </c>
      <c r="GD152" t="e">
        <f>AND(NhatkyNhap!#REF!,"AAAAAEOu3bk=")</f>
        <v>#REF!</v>
      </c>
      <c r="GE152" t="e">
        <f>AND(NhatkyNhap!#REF!,"AAAAAEOu3bo=")</f>
        <v>#REF!</v>
      </c>
      <c r="GF152" t="e">
        <f>AND(NhatkyNhap!#REF!,"AAAAAEOu3bs=")</f>
        <v>#REF!</v>
      </c>
      <c r="GG152" t="e">
        <f>AND(NhatkyNhap!#REF!,"AAAAAEOu3bw=")</f>
        <v>#REF!</v>
      </c>
      <c r="GH152" t="e">
        <f>AND(NhatkyNhap!#REF!,"AAAAAEOu3b0=")</f>
        <v>#REF!</v>
      </c>
      <c r="GI152" t="e">
        <f>AND(NhatkyNhap!#REF!,"AAAAAEOu3b4=")</f>
        <v>#REF!</v>
      </c>
      <c r="GJ152" t="e">
        <f>AND(NhatkyNhap!#REF!,"AAAAAEOu3b8=")</f>
        <v>#REF!</v>
      </c>
      <c r="GK152" t="e">
        <f>AND(NhatkyNhap!#REF!,"AAAAAEOu3cA=")</f>
        <v>#REF!</v>
      </c>
      <c r="GL152" t="e">
        <f>AND(NhatkyNhap!#REF!,"AAAAAEOu3cE=")</f>
        <v>#REF!</v>
      </c>
      <c r="GM152" t="e">
        <f>AND(NhatkyNhap!#REF!,"AAAAAEOu3cI=")</f>
        <v>#REF!</v>
      </c>
      <c r="GN152" t="e">
        <f>AND(NhatkyNhap!#REF!,"AAAAAEOu3cM=")</f>
        <v>#REF!</v>
      </c>
      <c r="GO152" t="e">
        <f>AND(NhatkyNhap!#REF!,"AAAAAEOu3cQ=")</f>
        <v>#REF!</v>
      </c>
      <c r="GP152" t="e">
        <f>AND(NhatkyNhap!#REF!,"AAAAAEOu3cU=")</f>
        <v>#REF!</v>
      </c>
      <c r="GQ152" t="e">
        <f>AND(NhatkyNhap!#REF!,"AAAAAEOu3cY=")</f>
        <v>#REF!</v>
      </c>
      <c r="GR152" t="e">
        <f>AND(NhatkyNhap!#REF!,"AAAAAEOu3cc=")</f>
        <v>#REF!</v>
      </c>
      <c r="GS152" t="e">
        <f>AND(NhatkyNhap!#REF!,"AAAAAEOu3cg=")</f>
        <v>#REF!</v>
      </c>
      <c r="GT152" t="e">
        <f>AND(NhatkyNhap!#REF!,"AAAAAEOu3ck=")</f>
        <v>#REF!</v>
      </c>
      <c r="GU152" t="e">
        <f>AND(NhatkyNhap!#REF!,"AAAAAEOu3co=")</f>
        <v>#REF!</v>
      </c>
      <c r="GV152" t="e">
        <f>AND(NhatkyNhap!#REF!,"AAAAAEOu3cs=")</f>
        <v>#REF!</v>
      </c>
      <c r="GW152" t="e">
        <f>AND(NhatkyNhap!#REF!,"AAAAAEOu3cw=")</f>
        <v>#REF!</v>
      </c>
      <c r="GX152" t="e">
        <f>AND(NhatkyNhap!#REF!,"AAAAAEOu3c0=")</f>
        <v>#REF!</v>
      </c>
      <c r="GY152" t="e">
        <f>AND(NhatkyNhap!#REF!,"AAAAAEOu3c4=")</f>
        <v>#REF!</v>
      </c>
      <c r="GZ152" t="e">
        <f>AND(NhatkyNhap!#REF!,"AAAAAEOu3c8=")</f>
        <v>#REF!</v>
      </c>
      <c r="HA152" t="e">
        <f>AND(NhatkyNhap!#REF!,"AAAAAEOu3dA=")</f>
        <v>#REF!</v>
      </c>
      <c r="HB152" t="e">
        <f>IF(NhatkyNhap!#REF!,"AAAAAEOu3dE=",0)</f>
        <v>#REF!</v>
      </c>
      <c r="HC152" t="e">
        <f>AND(NhatkyNhap!#REF!,"AAAAAEOu3dI=")</f>
        <v>#REF!</v>
      </c>
      <c r="HD152" t="e">
        <f>AND(NhatkyNhap!#REF!,"AAAAAEOu3dM=")</f>
        <v>#REF!</v>
      </c>
      <c r="HE152" t="e">
        <f>AND(NhatkyNhap!#REF!,"AAAAAEOu3dQ=")</f>
        <v>#REF!</v>
      </c>
      <c r="HF152" t="e">
        <f>AND(NhatkyNhap!#REF!,"AAAAAEOu3dU=")</f>
        <v>#REF!</v>
      </c>
      <c r="HG152" t="e">
        <f>AND(NhatkyNhap!#REF!,"AAAAAEOu3dY=")</f>
        <v>#REF!</v>
      </c>
      <c r="HH152" t="e">
        <f>AND(NhatkyNhap!#REF!,"AAAAAEOu3dc=")</f>
        <v>#REF!</v>
      </c>
      <c r="HI152" t="e">
        <f>AND(NhatkyNhap!#REF!,"AAAAAEOu3dg=")</f>
        <v>#REF!</v>
      </c>
      <c r="HJ152" t="e">
        <f>AND(NhatkyNhap!#REF!,"AAAAAEOu3dk=")</f>
        <v>#REF!</v>
      </c>
      <c r="HK152" t="e">
        <f>AND(NhatkyNhap!#REF!,"AAAAAEOu3do=")</f>
        <v>#REF!</v>
      </c>
      <c r="HL152" t="e">
        <f>AND(NhatkyNhap!#REF!,"AAAAAEOu3ds=")</f>
        <v>#REF!</v>
      </c>
      <c r="HM152" t="e">
        <f>AND(NhatkyNhap!#REF!,"AAAAAEOu3dw=")</f>
        <v>#REF!</v>
      </c>
      <c r="HN152" t="e">
        <f>AND(NhatkyNhap!#REF!,"AAAAAEOu3d0=")</f>
        <v>#REF!</v>
      </c>
      <c r="HO152" t="e">
        <f>AND(NhatkyNhap!#REF!,"AAAAAEOu3d4=")</f>
        <v>#REF!</v>
      </c>
      <c r="HP152" t="e">
        <f>AND(NhatkyNhap!#REF!,"AAAAAEOu3d8=")</f>
        <v>#REF!</v>
      </c>
      <c r="HQ152" t="e">
        <f>AND(NhatkyNhap!#REF!,"AAAAAEOu3eA=")</f>
        <v>#REF!</v>
      </c>
      <c r="HR152" t="e">
        <f>AND(NhatkyNhap!#REF!,"AAAAAEOu3eE=")</f>
        <v>#REF!</v>
      </c>
      <c r="HS152" t="e">
        <f>AND(NhatkyNhap!#REF!,"AAAAAEOu3eI=")</f>
        <v>#REF!</v>
      </c>
      <c r="HT152" t="e">
        <f>AND(NhatkyNhap!#REF!,"AAAAAEOu3eM=")</f>
        <v>#REF!</v>
      </c>
      <c r="HU152" t="e">
        <f>AND(NhatkyNhap!#REF!,"AAAAAEOu3eQ=")</f>
        <v>#REF!</v>
      </c>
      <c r="HV152" t="e">
        <f>AND(NhatkyNhap!#REF!,"AAAAAEOu3eU=")</f>
        <v>#REF!</v>
      </c>
      <c r="HW152" t="e">
        <f>AND(NhatkyNhap!#REF!,"AAAAAEOu3eY=")</f>
        <v>#REF!</v>
      </c>
      <c r="HX152" t="e">
        <f>AND(NhatkyNhap!#REF!,"AAAAAEOu3ec=")</f>
        <v>#REF!</v>
      </c>
      <c r="HY152" t="e">
        <f>AND(NhatkyNhap!#REF!,"AAAAAEOu3eg=")</f>
        <v>#REF!</v>
      </c>
      <c r="HZ152" t="e">
        <f>AND(NhatkyNhap!#REF!,"AAAAAEOu3ek=")</f>
        <v>#REF!</v>
      </c>
      <c r="IA152" t="e">
        <f>AND(NhatkyNhap!#REF!,"AAAAAEOu3eo=")</f>
        <v>#REF!</v>
      </c>
      <c r="IB152" t="e">
        <f>AND(NhatkyNhap!#REF!,"AAAAAEOu3es=")</f>
        <v>#REF!</v>
      </c>
      <c r="IC152" t="e">
        <f>AND(NhatkyNhap!#REF!,"AAAAAEOu3ew=")</f>
        <v>#REF!</v>
      </c>
      <c r="ID152" t="e">
        <f>AND(NhatkyNhap!#REF!,"AAAAAEOu3e0=")</f>
        <v>#REF!</v>
      </c>
      <c r="IE152" t="e">
        <f>AND(NhatkyNhap!#REF!,"AAAAAEOu3e4=")</f>
        <v>#REF!</v>
      </c>
      <c r="IF152" t="e">
        <f>AND(NhatkyNhap!#REF!,"AAAAAEOu3e8=")</f>
        <v>#REF!</v>
      </c>
      <c r="IG152" t="e">
        <f>AND(NhatkyNhap!#REF!,"AAAAAEOu3fA=")</f>
        <v>#REF!</v>
      </c>
      <c r="IH152" t="e">
        <f>AND(NhatkyNhap!#REF!,"AAAAAEOu3fE=")</f>
        <v>#REF!</v>
      </c>
      <c r="II152" t="e">
        <f>AND(NhatkyNhap!#REF!,"AAAAAEOu3fI=")</f>
        <v>#REF!</v>
      </c>
      <c r="IJ152" t="e">
        <f>AND(NhatkyNhap!#REF!,"AAAAAEOu3fM=")</f>
        <v>#REF!</v>
      </c>
      <c r="IK152" t="e">
        <f>IF(NhatkyNhap!#REF!,"AAAAAEOu3fQ=",0)</f>
        <v>#REF!</v>
      </c>
      <c r="IL152" t="e">
        <f>AND(NhatkyNhap!#REF!,"AAAAAEOu3fU=")</f>
        <v>#REF!</v>
      </c>
      <c r="IM152" t="e">
        <f>AND(NhatkyNhap!#REF!,"AAAAAEOu3fY=")</f>
        <v>#REF!</v>
      </c>
      <c r="IN152" t="e">
        <f>AND(NhatkyNhap!#REF!,"AAAAAEOu3fc=")</f>
        <v>#REF!</v>
      </c>
      <c r="IO152" t="e">
        <f>AND(NhatkyNhap!#REF!,"AAAAAEOu3fg=")</f>
        <v>#REF!</v>
      </c>
      <c r="IP152" t="e">
        <f>AND(NhatkyNhap!#REF!,"AAAAAEOu3fk=")</f>
        <v>#REF!</v>
      </c>
      <c r="IQ152" t="e">
        <f>AND(NhatkyNhap!#REF!,"AAAAAEOu3fo=")</f>
        <v>#REF!</v>
      </c>
      <c r="IR152" t="e">
        <f>AND(NhatkyNhap!#REF!,"AAAAAEOu3fs=")</f>
        <v>#REF!</v>
      </c>
      <c r="IS152" t="e">
        <f>AND(NhatkyNhap!#REF!,"AAAAAEOu3fw=")</f>
        <v>#REF!</v>
      </c>
      <c r="IT152" t="e">
        <f>AND(NhatkyNhap!#REF!,"AAAAAEOu3f0=")</f>
        <v>#REF!</v>
      </c>
      <c r="IU152" t="e">
        <f>AND(NhatkyNhap!#REF!,"AAAAAEOu3f4=")</f>
        <v>#REF!</v>
      </c>
      <c r="IV152" t="e">
        <f>AND(NhatkyNhap!#REF!,"AAAAAEOu3f8=")</f>
        <v>#REF!</v>
      </c>
    </row>
    <row r="153" spans="1:256">
      <c r="A153" t="e">
        <f>AND(NhatkyNhap!#REF!,"AAAAAE//TAA=")</f>
        <v>#REF!</v>
      </c>
      <c r="B153" t="e">
        <f>AND(NhatkyNhap!#REF!,"AAAAAE//TAE=")</f>
        <v>#REF!</v>
      </c>
      <c r="C153" t="e">
        <f>AND(NhatkyNhap!#REF!,"AAAAAE//TAI=")</f>
        <v>#REF!</v>
      </c>
      <c r="D153" t="e">
        <f>AND(NhatkyNhap!#REF!,"AAAAAE//TAM=")</f>
        <v>#REF!</v>
      </c>
      <c r="E153" t="e">
        <f>AND(NhatkyNhap!#REF!,"AAAAAE//TAQ=")</f>
        <v>#REF!</v>
      </c>
      <c r="F153" t="e">
        <f>AND(NhatkyNhap!#REF!,"AAAAAE//TAU=")</f>
        <v>#REF!</v>
      </c>
      <c r="G153" t="e">
        <f>AND(NhatkyNhap!#REF!,"AAAAAE//TAY=")</f>
        <v>#REF!</v>
      </c>
      <c r="H153" t="e">
        <f>AND(NhatkyNhap!#REF!,"AAAAAE//TAc=")</f>
        <v>#REF!</v>
      </c>
      <c r="I153" t="e">
        <f>AND(NhatkyNhap!#REF!,"AAAAAE//TAg=")</f>
        <v>#REF!</v>
      </c>
      <c r="J153" t="e">
        <f>AND(NhatkyNhap!#REF!,"AAAAAE//TAk=")</f>
        <v>#REF!</v>
      </c>
      <c r="K153" t="e">
        <f>AND(NhatkyNhap!#REF!,"AAAAAE//TAo=")</f>
        <v>#REF!</v>
      </c>
      <c r="L153" t="e">
        <f>AND(NhatkyNhap!#REF!,"AAAAAE//TAs=")</f>
        <v>#REF!</v>
      </c>
      <c r="M153" t="e">
        <f>AND(NhatkyNhap!#REF!,"AAAAAE//TAw=")</f>
        <v>#REF!</v>
      </c>
      <c r="N153" t="e">
        <f>AND(NhatkyNhap!#REF!,"AAAAAE//TA0=")</f>
        <v>#REF!</v>
      </c>
      <c r="O153" t="e">
        <f>AND(NhatkyNhap!#REF!,"AAAAAE//TA4=")</f>
        <v>#REF!</v>
      </c>
      <c r="P153" t="e">
        <f>AND(NhatkyNhap!#REF!,"AAAAAE//TA8=")</f>
        <v>#REF!</v>
      </c>
      <c r="Q153" t="e">
        <f>AND(NhatkyNhap!#REF!,"AAAAAE//TBA=")</f>
        <v>#REF!</v>
      </c>
      <c r="R153" t="e">
        <f>AND(NhatkyNhap!#REF!,"AAAAAE//TBE=")</f>
        <v>#REF!</v>
      </c>
      <c r="S153" t="e">
        <f>AND(NhatkyNhap!#REF!,"AAAAAE//TBI=")</f>
        <v>#REF!</v>
      </c>
      <c r="T153" t="e">
        <f>AND(NhatkyNhap!#REF!,"AAAAAE//TBM=")</f>
        <v>#REF!</v>
      </c>
      <c r="U153" t="e">
        <f>AND(NhatkyNhap!#REF!,"AAAAAE//TBQ=")</f>
        <v>#REF!</v>
      </c>
      <c r="V153" t="e">
        <f>AND(NhatkyNhap!#REF!,"AAAAAE//TBU=")</f>
        <v>#REF!</v>
      </c>
      <c r="W153" t="e">
        <f>AND(NhatkyNhap!#REF!,"AAAAAE//TBY=")</f>
        <v>#REF!</v>
      </c>
      <c r="X153" t="e">
        <f>IF(NhatkyNhap!#REF!,"AAAAAE//TBc=",0)</f>
        <v>#REF!</v>
      </c>
      <c r="Y153" t="e">
        <f>AND(NhatkyNhap!#REF!,"AAAAAE//TBg=")</f>
        <v>#REF!</v>
      </c>
      <c r="Z153" t="e">
        <f>AND(NhatkyNhap!#REF!,"AAAAAE//TBk=")</f>
        <v>#REF!</v>
      </c>
      <c r="AA153" t="e">
        <f>AND(NhatkyNhap!#REF!,"AAAAAE//TBo=")</f>
        <v>#REF!</v>
      </c>
      <c r="AB153" t="e">
        <f>AND(NhatkyNhap!#REF!,"AAAAAE//TBs=")</f>
        <v>#REF!</v>
      </c>
      <c r="AC153" t="e">
        <f>AND(NhatkyNhap!#REF!,"AAAAAE//TBw=")</f>
        <v>#REF!</v>
      </c>
      <c r="AD153" t="e">
        <f>AND(NhatkyNhap!#REF!,"AAAAAE//TB0=")</f>
        <v>#REF!</v>
      </c>
      <c r="AE153" t="e">
        <f>AND(NhatkyNhap!#REF!,"AAAAAE//TB4=")</f>
        <v>#REF!</v>
      </c>
      <c r="AF153" t="e">
        <f>AND(NhatkyNhap!#REF!,"AAAAAE//TB8=")</f>
        <v>#REF!</v>
      </c>
      <c r="AG153" t="e">
        <f>AND(NhatkyNhap!#REF!,"AAAAAE//TCA=")</f>
        <v>#REF!</v>
      </c>
      <c r="AH153" t="e">
        <f>AND(NhatkyNhap!#REF!,"AAAAAE//TCE=")</f>
        <v>#REF!</v>
      </c>
      <c r="AI153" t="e">
        <f>AND(NhatkyNhap!#REF!,"AAAAAE//TCI=")</f>
        <v>#REF!</v>
      </c>
      <c r="AJ153" t="e">
        <f>AND(NhatkyNhap!#REF!,"AAAAAE//TCM=")</f>
        <v>#REF!</v>
      </c>
      <c r="AK153" t="e">
        <f>AND(NhatkyNhap!#REF!,"AAAAAE//TCQ=")</f>
        <v>#REF!</v>
      </c>
      <c r="AL153" t="e">
        <f>AND(NhatkyNhap!#REF!,"AAAAAE//TCU=")</f>
        <v>#REF!</v>
      </c>
      <c r="AM153" t="e">
        <f>AND(NhatkyNhap!#REF!,"AAAAAE//TCY=")</f>
        <v>#REF!</v>
      </c>
      <c r="AN153" t="e">
        <f>AND(NhatkyNhap!#REF!,"AAAAAE//TCc=")</f>
        <v>#REF!</v>
      </c>
      <c r="AO153" t="e">
        <f>AND(NhatkyNhap!#REF!,"AAAAAE//TCg=")</f>
        <v>#REF!</v>
      </c>
      <c r="AP153" t="e">
        <f>AND(NhatkyNhap!#REF!,"AAAAAE//TCk=")</f>
        <v>#REF!</v>
      </c>
      <c r="AQ153" t="e">
        <f>AND(NhatkyNhap!#REF!,"AAAAAE//TCo=")</f>
        <v>#REF!</v>
      </c>
      <c r="AR153" t="e">
        <f>AND(NhatkyNhap!#REF!,"AAAAAE//TCs=")</f>
        <v>#REF!</v>
      </c>
      <c r="AS153" t="e">
        <f>AND(NhatkyNhap!#REF!,"AAAAAE//TCw=")</f>
        <v>#REF!</v>
      </c>
      <c r="AT153" t="e">
        <f>AND(NhatkyNhap!#REF!,"AAAAAE//TC0=")</f>
        <v>#REF!</v>
      </c>
      <c r="AU153" t="e">
        <f>AND(NhatkyNhap!#REF!,"AAAAAE//TC4=")</f>
        <v>#REF!</v>
      </c>
      <c r="AV153" t="e">
        <f>AND(NhatkyNhap!#REF!,"AAAAAE//TC8=")</f>
        <v>#REF!</v>
      </c>
      <c r="AW153" t="e">
        <f>AND(NhatkyNhap!#REF!,"AAAAAE//TDA=")</f>
        <v>#REF!</v>
      </c>
      <c r="AX153" t="e">
        <f>AND(NhatkyNhap!#REF!,"AAAAAE//TDE=")</f>
        <v>#REF!</v>
      </c>
      <c r="AY153" t="e">
        <f>AND(NhatkyNhap!#REF!,"AAAAAE//TDI=")</f>
        <v>#REF!</v>
      </c>
      <c r="AZ153" t="e">
        <f>AND(NhatkyNhap!#REF!,"AAAAAE//TDM=")</f>
        <v>#REF!</v>
      </c>
      <c r="BA153" t="e">
        <f>AND(NhatkyNhap!#REF!,"AAAAAE//TDQ=")</f>
        <v>#REF!</v>
      </c>
      <c r="BB153" t="e">
        <f>AND(NhatkyNhap!#REF!,"AAAAAE//TDU=")</f>
        <v>#REF!</v>
      </c>
      <c r="BC153" t="e">
        <f>AND(NhatkyNhap!#REF!,"AAAAAE//TDY=")</f>
        <v>#REF!</v>
      </c>
      <c r="BD153" t="e">
        <f>AND(NhatkyNhap!#REF!,"AAAAAE//TDc=")</f>
        <v>#REF!</v>
      </c>
      <c r="BE153" t="e">
        <f>AND(NhatkyNhap!#REF!,"AAAAAE//TDg=")</f>
        <v>#REF!</v>
      </c>
      <c r="BF153" t="e">
        <f>AND(NhatkyNhap!#REF!,"AAAAAE//TDk=")</f>
        <v>#REF!</v>
      </c>
      <c r="BG153" t="e">
        <f>IF(NhatkyNhap!#REF!,"AAAAAE//TDo=",0)</f>
        <v>#REF!</v>
      </c>
      <c r="BH153" t="e">
        <f>AND(NhatkyNhap!#REF!,"AAAAAE//TDs=")</f>
        <v>#REF!</v>
      </c>
      <c r="BI153" t="e">
        <f>AND(NhatkyNhap!#REF!,"AAAAAE//TDw=")</f>
        <v>#REF!</v>
      </c>
      <c r="BJ153" t="e">
        <f>AND(NhatkyNhap!#REF!,"AAAAAE//TD0=")</f>
        <v>#REF!</v>
      </c>
      <c r="BK153" t="e">
        <f>AND(NhatkyNhap!#REF!,"AAAAAE//TD4=")</f>
        <v>#REF!</v>
      </c>
      <c r="BL153" t="e">
        <f>AND(NhatkyNhap!#REF!,"AAAAAE//TD8=")</f>
        <v>#REF!</v>
      </c>
      <c r="BM153" t="e">
        <f>AND(NhatkyNhap!#REF!,"AAAAAE//TEA=")</f>
        <v>#REF!</v>
      </c>
      <c r="BN153" t="e">
        <f>AND(NhatkyNhap!#REF!,"AAAAAE//TEE=")</f>
        <v>#REF!</v>
      </c>
      <c r="BO153" t="e">
        <f>AND(NhatkyNhap!#REF!,"AAAAAE//TEI=")</f>
        <v>#REF!</v>
      </c>
      <c r="BP153" t="e">
        <f>AND(NhatkyNhap!#REF!,"AAAAAE//TEM=")</f>
        <v>#REF!</v>
      </c>
      <c r="BQ153" t="e">
        <f>AND(NhatkyNhap!#REF!,"AAAAAE//TEQ=")</f>
        <v>#REF!</v>
      </c>
      <c r="BR153" t="e">
        <f>AND(NhatkyNhap!#REF!,"AAAAAE//TEU=")</f>
        <v>#REF!</v>
      </c>
      <c r="BS153" t="e">
        <f>AND(NhatkyNhap!#REF!,"AAAAAE//TEY=")</f>
        <v>#REF!</v>
      </c>
      <c r="BT153" t="e">
        <f>AND(NhatkyNhap!#REF!,"AAAAAE//TEc=")</f>
        <v>#REF!</v>
      </c>
      <c r="BU153" t="e">
        <f>AND(NhatkyNhap!#REF!,"AAAAAE//TEg=")</f>
        <v>#REF!</v>
      </c>
      <c r="BV153" t="e">
        <f>AND(NhatkyNhap!#REF!,"AAAAAE//TEk=")</f>
        <v>#REF!</v>
      </c>
      <c r="BW153" t="e">
        <f>AND(NhatkyNhap!#REF!,"AAAAAE//TEo=")</f>
        <v>#REF!</v>
      </c>
      <c r="BX153" t="e">
        <f>AND(NhatkyNhap!#REF!,"AAAAAE//TEs=")</f>
        <v>#REF!</v>
      </c>
      <c r="BY153" t="e">
        <f>AND(NhatkyNhap!#REF!,"AAAAAE//TEw=")</f>
        <v>#REF!</v>
      </c>
      <c r="BZ153" t="e">
        <f>AND(NhatkyNhap!#REF!,"AAAAAE//TE0=")</f>
        <v>#REF!</v>
      </c>
      <c r="CA153" t="e">
        <f>AND(NhatkyNhap!#REF!,"AAAAAE//TE4=")</f>
        <v>#REF!</v>
      </c>
      <c r="CB153" t="e">
        <f>AND(NhatkyNhap!#REF!,"AAAAAE//TE8=")</f>
        <v>#REF!</v>
      </c>
      <c r="CC153" t="e">
        <f>AND(NhatkyNhap!#REF!,"AAAAAE//TFA=")</f>
        <v>#REF!</v>
      </c>
      <c r="CD153" t="e">
        <f>AND(NhatkyNhap!#REF!,"AAAAAE//TFE=")</f>
        <v>#REF!</v>
      </c>
      <c r="CE153" t="e">
        <f>AND(NhatkyNhap!#REF!,"AAAAAE//TFI=")</f>
        <v>#REF!</v>
      </c>
      <c r="CF153" t="e">
        <f>AND(NhatkyNhap!#REF!,"AAAAAE//TFM=")</f>
        <v>#REF!</v>
      </c>
      <c r="CG153" t="e">
        <f>AND(NhatkyNhap!#REF!,"AAAAAE//TFQ=")</f>
        <v>#REF!</v>
      </c>
      <c r="CH153" t="e">
        <f>AND(NhatkyNhap!#REF!,"AAAAAE//TFU=")</f>
        <v>#REF!</v>
      </c>
      <c r="CI153" t="e">
        <f>AND(NhatkyNhap!#REF!,"AAAAAE//TFY=")</f>
        <v>#REF!</v>
      </c>
      <c r="CJ153" t="e">
        <f>AND(NhatkyNhap!#REF!,"AAAAAE//TFc=")</f>
        <v>#REF!</v>
      </c>
      <c r="CK153" t="e">
        <f>AND(NhatkyNhap!#REF!,"AAAAAE//TFg=")</f>
        <v>#REF!</v>
      </c>
      <c r="CL153" t="e">
        <f>AND(NhatkyNhap!#REF!,"AAAAAE//TFk=")</f>
        <v>#REF!</v>
      </c>
      <c r="CM153" t="e">
        <f>AND(NhatkyNhap!#REF!,"AAAAAE//TFo=")</f>
        <v>#REF!</v>
      </c>
      <c r="CN153" t="e">
        <f>AND(NhatkyNhap!#REF!,"AAAAAE//TFs=")</f>
        <v>#REF!</v>
      </c>
      <c r="CO153" t="e">
        <f>AND(NhatkyNhap!#REF!,"AAAAAE//TFw=")</f>
        <v>#REF!</v>
      </c>
      <c r="CP153" t="e">
        <f>IF(NhatkyNhap!#REF!,"AAAAAE//TF0=",0)</f>
        <v>#REF!</v>
      </c>
      <c r="CQ153" t="e">
        <f>AND(NhatkyNhap!#REF!,"AAAAAE//TF4=")</f>
        <v>#REF!</v>
      </c>
      <c r="CR153" t="e">
        <f>AND(NhatkyNhap!#REF!,"AAAAAE//TF8=")</f>
        <v>#REF!</v>
      </c>
      <c r="CS153" t="e">
        <f>AND(NhatkyNhap!#REF!,"AAAAAE//TGA=")</f>
        <v>#REF!</v>
      </c>
      <c r="CT153" t="e">
        <f>AND(NhatkyNhap!#REF!,"AAAAAE//TGE=")</f>
        <v>#REF!</v>
      </c>
      <c r="CU153" t="e">
        <f>AND(NhatkyNhap!#REF!,"AAAAAE//TGI=")</f>
        <v>#REF!</v>
      </c>
      <c r="CV153" t="e">
        <f>AND(NhatkyNhap!#REF!,"AAAAAE//TGM=")</f>
        <v>#REF!</v>
      </c>
      <c r="CW153" t="e">
        <f>AND(NhatkyNhap!#REF!,"AAAAAE//TGQ=")</f>
        <v>#REF!</v>
      </c>
      <c r="CX153" t="e">
        <f>AND(NhatkyNhap!#REF!,"AAAAAE//TGU=")</f>
        <v>#REF!</v>
      </c>
      <c r="CY153" t="e">
        <f>AND(NhatkyNhap!#REF!,"AAAAAE//TGY=")</f>
        <v>#REF!</v>
      </c>
      <c r="CZ153" t="e">
        <f>AND(NhatkyNhap!#REF!,"AAAAAE//TGc=")</f>
        <v>#REF!</v>
      </c>
      <c r="DA153" t="e">
        <f>AND(NhatkyNhap!#REF!,"AAAAAE//TGg=")</f>
        <v>#REF!</v>
      </c>
      <c r="DB153" t="e">
        <f>AND(NhatkyNhap!#REF!,"AAAAAE//TGk=")</f>
        <v>#REF!</v>
      </c>
      <c r="DC153" t="e">
        <f>AND(NhatkyNhap!#REF!,"AAAAAE//TGo=")</f>
        <v>#REF!</v>
      </c>
      <c r="DD153" t="e">
        <f>AND(NhatkyNhap!#REF!,"AAAAAE//TGs=")</f>
        <v>#REF!</v>
      </c>
      <c r="DE153" t="e">
        <f>AND(NhatkyNhap!#REF!,"AAAAAE//TGw=")</f>
        <v>#REF!</v>
      </c>
      <c r="DF153" t="e">
        <f>AND(NhatkyNhap!#REF!,"AAAAAE//TG0=")</f>
        <v>#REF!</v>
      </c>
      <c r="DG153" t="e">
        <f>AND(NhatkyNhap!#REF!,"AAAAAE//TG4=")</f>
        <v>#REF!</v>
      </c>
      <c r="DH153" t="e">
        <f>AND(NhatkyNhap!#REF!,"AAAAAE//TG8=")</f>
        <v>#REF!</v>
      </c>
      <c r="DI153" t="e">
        <f>AND(NhatkyNhap!#REF!,"AAAAAE//THA=")</f>
        <v>#REF!</v>
      </c>
      <c r="DJ153" t="e">
        <f>AND(NhatkyNhap!#REF!,"AAAAAE//THE=")</f>
        <v>#REF!</v>
      </c>
      <c r="DK153" t="e">
        <f>AND(NhatkyNhap!#REF!,"AAAAAE//THI=")</f>
        <v>#REF!</v>
      </c>
      <c r="DL153" t="e">
        <f>AND(NhatkyNhap!#REF!,"AAAAAE//THM=")</f>
        <v>#REF!</v>
      </c>
      <c r="DM153" t="e">
        <f>AND(NhatkyNhap!#REF!,"AAAAAE//THQ=")</f>
        <v>#REF!</v>
      </c>
      <c r="DN153" t="e">
        <f>AND(NhatkyNhap!#REF!,"AAAAAE//THU=")</f>
        <v>#REF!</v>
      </c>
      <c r="DO153" t="e">
        <f>AND(NhatkyNhap!#REF!,"AAAAAE//THY=")</f>
        <v>#REF!</v>
      </c>
      <c r="DP153" t="e">
        <f>AND(NhatkyNhap!#REF!,"AAAAAE//THc=")</f>
        <v>#REF!</v>
      </c>
      <c r="DQ153" t="e">
        <f>AND(NhatkyNhap!#REF!,"AAAAAE//THg=")</f>
        <v>#REF!</v>
      </c>
      <c r="DR153" t="e">
        <f>AND(NhatkyNhap!#REF!,"AAAAAE//THk=")</f>
        <v>#REF!</v>
      </c>
      <c r="DS153" t="e">
        <f>AND(NhatkyNhap!#REF!,"AAAAAE//THo=")</f>
        <v>#REF!</v>
      </c>
      <c r="DT153" t="e">
        <f>AND(NhatkyNhap!#REF!,"AAAAAE//THs=")</f>
        <v>#REF!</v>
      </c>
      <c r="DU153" t="e">
        <f>AND(NhatkyNhap!#REF!,"AAAAAE//THw=")</f>
        <v>#REF!</v>
      </c>
      <c r="DV153" t="e">
        <f>AND(NhatkyNhap!#REF!,"AAAAAE//TH0=")</f>
        <v>#REF!</v>
      </c>
      <c r="DW153" t="e">
        <f>AND(NhatkyNhap!#REF!,"AAAAAE//TH4=")</f>
        <v>#REF!</v>
      </c>
      <c r="DX153" t="e">
        <f>AND(NhatkyNhap!#REF!,"AAAAAE//TH8=")</f>
        <v>#REF!</v>
      </c>
      <c r="DY153" t="e">
        <f>IF(NhatkyNhap!#REF!,"AAAAAE//TIA=",0)</f>
        <v>#REF!</v>
      </c>
      <c r="DZ153" t="e">
        <f>AND(NhatkyNhap!#REF!,"AAAAAE//TIE=")</f>
        <v>#REF!</v>
      </c>
      <c r="EA153" t="e">
        <f>AND(NhatkyNhap!#REF!,"AAAAAE//TII=")</f>
        <v>#REF!</v>
      </c>
      <c r="EB153" t="e">
        <f>AND(NhatkyNhap!#REF!,"AAAAAE//TIM=")</f>
        <v>#REF!</v>
      </c>
      <c r="EC153" t="e">
        <f>AND(NhatkyNhap!#REF!,"AAAAAE//TIQ=")</f>
        <v>#REF!</v>
      </c>
      <c r="ED153" t="e">
        <f>AND(NhatkyNhap!#REF!,"AAAAAE//TIU=")</f>
        <v>#REF!</v>
      </c>
      <c r="EE153" t="e">
        <f>AND(NhatkyNhap!#REF!,"AAAAAE//TIY=")</f>
        <v>#REF!</v>
      </c>
      <c r="EF153" t="e">
        <f>AND(NhatkyNhap!#REF!,"AAAAAE//TIc=")</f>
        <v>#REF!</v>
      </c>
      <c r="EG153" t="e">
        <f>AND(NhatkyNhap!#REF!,"AAAAAE//TIg=")</f>
        <v>#REF!</v>
      </c>
      <c r="EH153" t="e">
        <f>AND(NhatkyNhap!#REF!,"AAAAAE//TIk=")</f>
        <v>#REF!</v>
      </c>
      <c r="EI153" t="e">
        <f>AND(NhatkyNhap!#REF!,"AAAAAE//TIo=")</f>
        <v>#REF!</v>
      </c>
      <c r="EJ153" t="e">
        <f>AND(NhatkyNhap!#REF!,"AAAAAE//TIs=")</f>
        <v>#REF!</v>
      </c>
      <c r="EK153" t="e">
        <f>AND(NhatkyNhap!#REF!,"AAAAAE//TIw=")</f>
        <v>#REF!</v>
      </c>
      <c r="EL153" t="e">
        <f>AND(NhatkyNhap!#REF!,"AAAAAE//TI0=")</f>
        <v>#REF!</v>
      </c>
      <c r="EM153" t="e">
        <f>AND(NhatkyNhap!#REF!,"AAAAAE//TI4=")</f>
        <v>#REF!</v>
      </c>
      <c r="EN153" t="e">
        <f>AND(NhatkyNhap!#REF!,"AAAAAE//TI8=")</f>
        <v>#REF!</v>
      </c>
      <c r="EO153" t="e">
        <f>AND(NhatkyNhap!#REF!,"AAAAAE//TJA=")</f>
        <v>#REF!</v>
      </c>
      <c r="EP153" t="e">
        <f>AND(NhatkyNhap!#REF!,"AAAAAE//TJE=")</f>
        <v>#REF!</v>
      </c>
      <c r="EQ153" t="e">
        <f>AND(NhatkyNhap!#REF!,"AAAAAE//TJI=")</f>
        <v>#REF!</v>
      </c>
      <c r="ER153" t="e">
        <f>AND(NhatkyNhap!#REF!,"AAAAAE//TJM=")</f>
        <v>#REF!</v>
      </c>
      <c r="ES153" t="e">
        <f>AND(NhatkyNhap!#REF!,"AAAAAE//TJQ=")</f>
        <v>#REF!</v>
      </c>
      <c r="ET153" t="e">
        <f>AND(NhatkyNhap!#REF!,"AAAAAE//TJU=")</f>
        <v>#REF!</v>
      </c>
      <c r="EU153" t="e">
        <f>AND(NhatkyNhap!#REF!,"AAAAAE//TJY=")</f>
        <v>#REF!</v>
      </c>
      <c r="EV153" t="e">
        <f>AND(NhatkyNhap!#REF!,"AAAAAE//TJc=")</f>
        <v>#REF!</v>
      </c>
      <c r="EW153" t="e">
        <f>AND(NhatkyNhap!#REF!,"AAAAAE//TJg=")</f>
        <v>#REF!</v>
      </c>
      <c r="EX153" t="e">
        <f>AND(NhatkyNhap!#REF!,"AAAAAE//TJk=")</f>
        <v>#REF!</v>
      </c>
      <c r="EY153" t="e">
        <f>AND(NhatkyNhap!#REF!,"AAAAAE//TJo=")</f>
        <v>#REF!</v>
      </c>
      <c r="EZ153" t="e">
        <f>AND(NhatkyNhap!#REF!,"AAAAAE//TJs=")</f>
        <v>#REF!</v>
      </c>
      <c r="FA153" t="e">
        <f>AND(NhatkyNhap!#REF!,"AAAAAE//TJw=")</f>
        <v>#REF!</v>
      </c>
      <c r="FB153" t="e">
        <f>AND(NhatkyNhap!#REF!,"AAAAAE//TJ0=")</f>
        <v>#REF!</v>
      </c>
      <c r="FC153" t="e">
        <f>AND(NhatkyNhap!#REF!,"AAAAAE//TJ4=")</f>
        <v>#REF!</v>
      </c>
      <c r="FD153" t="e">
        <f>AND(NhatkyNhap!#REF!,"AAAAAE//TJ8=")</f>
        <v>#REF!</v>
      </c>
      <c r="FE153" t="e">
        <f>AND(NhatkyNhap!#REF!,"AAAAAE//TKA=")</f>
        <v>#REF!</v>
      </c>
      <c r="FF153" t="e">
        <f>AND(NhatkyNhap!#REF!,"AAAAAE//TKE=")</f>
        <v>#REF!</v>
      </c>
      <c r="FG153" t="e">
        <f>AND(NhatkyNhap!#REF!,"AAAAAE//TKI=")</f>
        <v>#REF!</v>
      </c>
      <c r="FH153" t="e">
        <f>IF(NhatkyNhap!#REF!,"AAAAAE//TKM=",0)</f>
        <v>#REF!</v>
      </c>
      <c r="FI153" t="e">
        <f>AND(NhatkyNhap!#REF!,"AAAAAE//TKQ=")</f>
        <v>#REF!</v>
      </c>
      <c r="FJ153" t="e">
        <f>AND(NhatkyNhap!#REF!,"AAAAAE//TKU=")</f>
        <v>#REF!</v>
      </c>
      <c r="FK153" t="e">
        <f>AND(NhatkyNhap!#REF!,"AAAAAE//TKY=")</f>
        <v>#REF!</v>
      </c>
      <c r="FL153" t="e">
        <f>AND(NhatkyNhap!#REF!,"AAAAAE//TKc=")</f>
        <v>#REF!</v>
      </c>
      <c r="FM153" t="e">
        <f>AND(NhatkyNhap!#REF!,"AAAAAE//TKg=")</f>
        <v>#REF!</v>
      </c>
      <c r="FN153" t="e">
        <f>AND(NhatkyNhap!#REF!,"AAAAAE//TKk=")</f>
        <v>#REF!</v>
      </c>
      <c r="FO153" t="e">
        <f>AND(NhatkyNhap!#REF!,"AAAAAE//TKo=")</f>
        <v>#REF!</v>
      </c>
      <c r="FP153" t="e">
        <f>AND(NhatkyNhap!#REF!,"AAAAAE//TKs=")</f>
        <v>#REF!</v>
      </c>
      <c r="FQ153" t="e">
        <f>AND(NhatkyNhap!#REF!,"AAAAAE//TKw=")</f>
        <v>#REF!</v>
      </c>
      <c r="FR153" t="e">
        <f>AND(NhatkyNhap!#REF!,"AAAAAE//TK0=")</f>
        <v>#REF!</v>
      </c>
      <c r="FS153" t="e">
        <f>AND(NhatkyNhap!#REF!,"AAAAAE//TK4=")</f>
        <v>#REF!</v>
      </c>
      <c r="FT153" t="e">
        <f>AND(NhatkyNhap!#REF!,"AAAAAE//TK8=")</f>
        <v>#REF!</v>
      </c>
      <c r="FU153" t="e">
        <f>AND(NhatkyNhap!#REF!,"AAAAAE//TLA=")</f>
        <v>#REF!</v>
      </c>
      <c r="FV153" t="e">
        <f>AND(NhatkyNhap!#REF!,"AAAAAE//TLE=")</f>
        <v>#REF!</v>
      </c>
      <c r="FW153" t="e">
        <f>AND(NhatkyNhap!#REF!,"AAAAAE//TLI=")</f>
        <v>#REF!</v>
      </c>
      <c r="FX153" t="e">
        <f>AND(NhatkyNhap!#REF!,"AAAAAE//TLM=")</f>
        <v>#REF!</v>
      </c>
      <c r="FY153" t="e">
        <f>AND(NhatkyNhap!#REF!,"AAAAAE//TLQ=")</f>
        <v>#REF!</v>
      </c>
      <c r="FZ153" t="e">
        <f>AND(NhatkyNhap!#REF!,"AAAAAE//TLU=")</f>
        <v>#REF!</v>
      </c>
      <c r="GA153" t="e">
        <f>AND(NhatkyNhap!#REF!,"AAAAAE//TLY=")</f>
        <v>#REF!</v>
      </c>
      <c r="GB153" t="e">
        <f>AND(NhatkyNhap!#REF!,"AAAAAE//TLc=")</f>
        <v>#REF!</v>
      </c>
      <c r="GC153" t="e">
        <f>AND(NhatkyNhap!#REF!,"AAAAAE//TLg=")</f>
        <v>#REF!</v>
      </c>
      <c r="GD153" t="e">
        <f>AND(NhatkyNhap!#REF!,"AAAAAE//TLk=")</f>
        <v>#REF!</v>
      </c>
      <c r="GE153" t="e">
        <f>AND(NhatkyNhap!#REF!,"AAAAAE//TLo=")</f>
        <v>#REF!</v>
      </c>
      <c r="GF153" t="e">
        <f>AND(NhatkyNhap!#REF!,"AAAAAE//TLs=")</f>
        <v>#REF!</v>
      </c>
      <c r="GG153" t="e">
        <f>AND(NhatkyNhap!#REF!,"AAAAAE//TLw=")</f>
        <v>#REF!</v>
      </c>
      <c r="GH153" t="e">
        <f>AND(NhatkyNhap!#REF!,"AAAAAE//TL0=")</f>
        <v>#REF!</v>
      </c>
      <c r="GI153" t="e">
        <f>AND(NhatkyNhap!#REF!,"AAAAAE//TL4=")</f>
        <v>#REF!</v>
      </c>
      <c r="GJ153" t="e">
        <f>AND(NhatkyNhap!#REF!,"AAAAAE//TL8=")</f>
        <v>#REF!</v>
      </c>
      <c r="GK153" t="e">
        <f>AND(NhatkyNhap!#REF!,"AAAAAE//TMA=")</f>
        <v>#REF!</v>
      </c>
      <c r="GL153" t="e">
        <f>AND(NhatkyNhap!#REF!,"AAAAAE//TME=")</f>
        <v>#REF!</v>
      </c>
      <c r="GM153" t="e">
        <f>AND(NhatkyNhap!#REF!,"AAAAAE//TMI=")</f>
        <v>#REF!</v>
      </c>
      <c r="GN153" t="e">
        <f>AND(NhatkyNhap!#REF!,"AAAAAE//TMM=")</f>
        <v>#REF!</v>
      </c>
      <c r="GO153" t="e">
        <f>AND(NhatkyNhap!#REF!,"AAAAAE//TMQ=")</f>
        <v>#REF!</v>
      </c>
      <c r="GP153" t="e">
        <f>AND(NhatkyNhap!#REF!,"AAAAAE//TMU=")</f>
        <v>#REF!</v>
      </c>
      <c r="GQ153" t="e">
        <f>IF(NhatkyNhap!#REF!,"AAAAAE//TMY=",0)</f>
        <v>#REF!</v>
      </c>
      <c r="GR153" t="e">
        <f>AND(NhatkyNhap!#REF!,"AAAAAE//TMc=")</f>
        <v>#REF!</v>
      </c>
      <c r="GS153" t="e">
        <f>AND(NhatkyNhap!#REF!,"AAAAAE//TMg=")</f>
        <v>#REF!</v>
      </c>
      <c r="GT153" t="e">
        <f>AND(NhatkyNhap!#REF!,"AAAAAE//TMk=")</f>
        <v>#REF!</v>
      </c>
      <c r="GU153" t="e">
        <f>AND(NhatkyNhap!#REF!,"AAAAAE//TMo=")</f>
        <v>#REF!</v>
      </c>
      <c r="GV153" t="e">
        <f>AND(NhatkyNhap!#REF!,"AAAAAE//TMs=")</f>
        <v>#REF!</v>
      </c>
      <c r="GW153" t="e">
        <f>AND(NhatkyNhap!#REF!,"AAAAAE//TMw=")</f>
        <v>#REF!</v>
      </c>
      <c r="GX153" t="e">
        <f>AND(NhatkyNhap!#REF!,"AAAAAE//TM0=")</f>
        <v>#REF!</v>
      </c>
      <c r="GY153" t="e">
        <f>AND(NhatkyNhap!#REF!,"AAAAAE//TM4=")</f>
        <v>#REF!</v>
      </c>
      <c r="GZ153" t="e">
        <f>AND(NhatkyNhap!#REF!,"AAAAAE//TM8=")</f>
        <v>#REF!</v>
      </c>
      <c r="HA153" t="e">
        <f>AND(NhatkyNhap!#REF!,"AAAAAE//TNA=")</f>
        <v>#REF!</v>
      </c>
      <c r="HB153" t="e">
        <f>AND(NhatkyNhap!#REF!,"AAAAAE//TNE=")</f>
        <v>#REF!</v>
      </c>
      <c r="HC153" t="e">
        <f>AND(NhatkyNhap!#REF!,"AAAAAE//TNI=")</f>
        <v>#REF!</v>
      </c>
      <c r="HD153" t="e">
        <f>AND(NhatkyNhap!#REF!,"AAAAAE//TNM=")</f>
        <v>#REF!</v>
      </c>
      <c r="HE153" t="e">
        <f>AND(NhatkyNhap!#REF!,"AAAAAE//TNQ=")</f>
        <v>#REF!</v>
      </c>
      <c r="HF153" t="e">
        <f>AND(NhatkyNhap!#REF!,"AAAAAE//TNU=")</f>
        <v>#REF!</v>
      </c>
      <c r="HG153" t="e">
        <f>AND(NhatkyNhap!#REF!,"AAAAAE//TNY=")</f>
        <v>#REF!</v>
      </c>
      <c r="HH153" t="e">
        <f>AND(NhatkyNhap!#REF!,"AAAAAE//TNc=")</f>
        <v>#REF!</v>
      </c>
      <c r="HI153" t="e">
        <f>AND(NhatkyNhap!#REF!,"AAAAAE//TNg=")</f>
        <v>#REF!</v>
      </c>
      <c r="HJ153" t="e">
        <f>AND(NhatkyNhap!#REF!,"AAAAAE//TNk=")</f>
        <v>#REF!</v>
      </c>
      <c r="HK153" t="e">
        <f>AND(NhatkyNhap!#REF!,"AAAAAE//TNo=")</f>
        <v>#REF!</v>
      </c>
      <c r="HL153" t="e">
        <f>AND(NhatkyNhap!#REF!,"AAAAAE//TNs=")</f>
        <v>#REF!</v>
      </c>
      <c r="HM153" t="e">
        <f>AND(NhatkyNhap!#REF!,"AAAAAE//TNw=")</f>
        <v>#REF!</v>
      </c>
      <c r="HN153" t="e">
        <f>AND(NhatkyNhap!#REF!,"AAAAAE//TN0=")</f>
        <v>#REF!</v>
      </c>
      <c r="HO153" t="e">
        <f>AND(NhatkyNhap!#REF!,"AAAAAE//TN4=")</f>
        <v>#REF!</v>
      </c>
      <c r="HP153" t="e">
        <f>AND(NhatkyNhap!#REF!,"AAAAAE//TN8=")</f>
        <v>#REF!</v>
      </c>
      <c r="HQ153" t="e">
        <f>AND(NhatkyNhap!#REF!,"AAAAAE//TOA=")</f>
        <v>#REF!</v>
      </c>
      <c r="HR153" t="e">
        <f>AND(NhatkyNhap!#REF!,"AAAAAE//TOE=")</f>
        <v>#REF!</v>
      </c>
      <c r="HS153" t="e">
        <f>AND(NhatkyNhap!#REF!,"AAAAAE//TOI=")</f>
        <v>#REF!</v>
      </c>
      <c r="HT153" t="e">
        <f>AND(NhatkyNhap!#REF!,"AAAAAE//TOM=")</f>
        <v>#REF!</v>
      </c>
      <c r="HU153" t="e">
        <f>AND(NhatkyNhap!#REF!,"AAAAAE//TOQ=")</f>
        <v>#REF!</v>
      </c>
      <c r="HV153" t="e">
        <f>AND(NhatkyNhap!#REF!,"AAAAAE//TOU=")</f>
        <v>#REF!</v>
      </c>
      <c r="HW153" t="e">
        <f>AND(NhatkyNhap!#REF!,"AAAAAE//TOY=")</f>
        <v>#REF!</v>
      </c>
      <c r="HX153" t="e">
        <f>AND(NhatkyNhap!#REF!,"AAAAAE//TOc=")</f>
        <v>#REF!</v>
      </c>
      <c r="HY153" t="e">
        <f>AND(NhatkyNhap!#REF!,"AAAAAE//TOg=")</f>
        <v>#REF!</v>
      </c>
      <c r="HZ153" t="e">
        <f>IF(NhatkyNhap!#REF!,"AAAAAE//TOk=",0)</f>
        <v>#REF!</v>
      </c>
      <c r="IA153" t="e">
        <f>AND(NhatkyNhap!#REF!,"AAAAAE//TOo=")</f>
        <v>#REF!</v>
      </c>
      <c r="IB153" t="e">
        <f>AND(NhatkyNhap!#REF!,"AAAAAE//TOs=")</f>
        <v>#REF!</v>
      </c>
      <c r="IC153" t="e">
        <f>AND(NhatkyNhap!#REF!,"AAAAAE//TOw=")</f>
        <v>#REF!</v>
      </c>
      <c r="ID153" t="e">
        <f>AND(NhatkyNhap!#REF!,"AAAAAE//TO0=")</f>
        <v>#REF!</v>
      </c>
      <c r="IE153" t="e">
        <f>AND(NhatkyNhap!#REF!,"AAAAAE//TO4=")</f>
        <v>#REF!</v>
      </c>
      <c r="IF153" t="e">
        <f>AND(NhatkyNhap!#REF!,"AAAAAE//TO8=")</f>
        <v>#REF!</v>
      </c>
      <c r="IG153" t="e">
        <f>AND(NhatkyNhap!#REF!,"AAAAAE//TPA=")</f>
        <v>#REF!</v>
      </c>
      <c r="IH153" t="e">
        <f>AND(NhatkyNhap!#REF!,"AAAAAE//TPE=")</f>
        <v>#REF!</v>
      </c>
      <c r="II153" t="e">
        <f>AND(NhatkyNhap!#REF!,"AAAAAE//TPI=")</f>
        <v>#REF!</v>
      </c>
      <c r="IJ153" t="e">
        <f>AND(NhatkyNhap!#REF!,"AAAAAE//TPM=")</f>
        <v>#REF!</v>
      </c>
      <c r="IK153" t="e">
        <f>AND(NhatkyNhap!#REF!,"AAAAAE//TPQ=")</f>
        <v>#REF!</v>
      </c>
      <c r="IL153" t="e">
        <f>AND(NhatkyNhap!#REF!,"AAAAAE//TPU=")</f>
        <v>#REF!</v>
      </c>
      <c r="IM153" t="e">
        <f>AND(NhatkyNhap!#REF!,"AAAAAE//TPY=")</f>
        <v>#REF!</v>
      </c>
      <c r="IN153" t="e">
        <f>AND(NhatkyNhap!#REF!,"AAAAAE//TPc=")</f>
        <v>#REF!</v>
      </c>
      <c r="IO153" t="e">
        <f>AND(NhatkyNhap!#REF!,"AAAAAE//TPg=")</f>
        <v>#REF!</v>
      </c>
      <c r="IP153" t="e">
        <f>AND(NhatkyNhap!#REF!,"AAAAAE//TPk=")</f>
        <v>#REF!</v>
      </c>
      <c r="IQ153" t="e">
        <f>AND(NhatkyNhap!#REF!,"AAAAAE//TPo=")</f>
        <v>#REF!</v>
      </c>
      <c r="IR153" t="e">
        <f>AND(NhatkyNhap!#REF!,"AAAAAE//TPs=")</f>
        <v>#REF!</v>
      </c>
      <c r="IS153" t="e">
        <f>AND(NhatkyNhap!#REF!,"AAAAAE//TPw=")</f>
        <v>#REF!</v>
      </c>
      <c r="IT153" t="e">
        <f>AND(NhatkyNhap!#REF!,"AAAAAE//TP0=")</f>
        <v>#REF!</v>
      </c>
      <c r="IU153" t="e">
        <f>AND(NhatkyNhap!#REF!,"AAAAAE//TP4=")</f>
        <v>#REF!</v>
      </c>
      <c r="IV153" t="e">
        <f>AND(NhatkyNhap!#REF!,"AAAAAE//TP8=")</f>
        <v>#REF!</v>
      </c>
    </row>
    <row r="154" spans="1:256">
      <c r="A154" t="e">
        <f>AND(NhatkyNhap!#REF!,"AAAAAH904wA=")</f>
        <v>#REF!</v>
      </c>
      <c r="B154" t="e">
        <f>AND(NhatkyNhap!#REF!,"AAAAAH904wE=")</f>
        <v>#REF!</v>
      </c>
      <c r="C154" t="e">
        <f>AND(NhatkyNhap!#REF!,"AAAAAH904wI=")</f>
        <v>#REF!</v>
      </c>
      <c r="D154" t="e">
        <f>AND(NhatkyNhap!#REF!,"AAAAAH904wM=")</f>
        <v>#REF!</v>
      </c>
      <c r="E154" t="e">
        <f>AND(NhatkyNhap!#REF!,"AAAAAH904wQ=")</f>
        <v>#REF!</v>
      </c>
      <c r="F154" t="e">
        <f>AND(NhatkyNhap!#REF!,"AAAAAH904wU=")</f>
        <v>#REF!</v>
      </c>
      <c r="G154" t="e">
        <f>AND(NhatkyNhap!#REF!,"AAAAAH904wY=")</f>
        <v>#REF!</v>
      </c>
      <c r="H154" t="e">
        <f>AND(NhatkyNhap!#REF!,"AAAAAH904wc=")</f>
        <v>#REF!</v>
      </c>
      <c r="I154" t="e">
        <f>AND(NhatkyNhap!#REF!,"AAAAAH904wg=")</f>
        <v>#REF!</v>
      </c>
      <c r="J154" t="e">
        <f>AND(NhatkyNhap!#REF!,"AAAAAH904wk=")</f>
        <v>#REF!</v>
      </c>
      <c r="K154" t="e">
        <f>AND(NhatkyNhap!#REF!,"AAAAAH904wo=")</f>
        <v>#REF!</v>
      </c>
      <c r="L154" t="e">
        <f>AND(NhatkyNhap!#REF!,"AAAAAH904ws=")</f>
        <v>#REF!</v>
      </c>
      <c r="M154" t="e">
        <f>IF(NhatkyNhap!#REF!,"AAAAAH904ww=",0)</f>
        <v>#REF!</v>
      </c>
      <c r="N154" t="e">
        <f>AND(NhatkyNhap!#REF!,"AAAAAH904w0=")</f>
        <v>#REF!</v>
      </c>
      <c r="O154" t="e">
        <f>AND(NhatkyNhap!#REF!,"AAAAAH904w4=")</f>
        <v>#REF!</v>
      </c>
      <c r="P154" t="e">
        <f>AND(NhatkyNhap!#REF!,"AAAAAH904w8=")</f>
        <v>#REF!</v>
      </c>
      <c r="Q154" t="e">
        <f>AND(NhatkyNhap!#REF!,"AAAAAH904xA=")</f>
        <v>#REF!</v>
      </c>
      <c r="R154" t="e">
        <f>AND(NhatkyNhap!#REF!,"AAAAAH904xE=")</f>
        <v>#REF!</v>
      </c>
      <c r="S154" t="e">
        <f>AND(NhatkyNhap!#REF!,"AAAAAH904xI=")</f>
        <v>#REF!</v>
      </c>
      <c r="T154" t="e">
        <f>AND(NhatkyNhap!#REF!,"AAAAAH904xM=")</f>
        <v>#REF!</v>
      </c>
      <c r="U154" t="e">
        <f>AND(NhatkyNhap!#REF!,"AAAAAH904xQ=")</f>
        <v>#REF!</v>
      </c>
      <c r="V154" t="e">
        <f>AND(NhatkyNhap!#REF!,"AAAAAH904xU=")</f>
        <v>#REF!</v>
      </c>
      <c r="W154" t="e">
        <f>AND(NhatkyNhap!#REF!,"AAAAAH904xY=")</f>
        <v>#REF!</v>
      </c>
      <c r="X154" t="e">
        <f>AND(NhatkyNhap!#REF!,"AAAAAH904xc=")</f>
        <v>#REF!</v>
      </c>
      <c r="Y154" t="e">
        <f>AND(NhatkyNhap!#REF!,"AAAAAH904xg=")</f>
        <v>#REF!</v>
      </c>
      <c r="Z154" t="e">
        <f>AND(NhatkyNhap!#REF!,"AAAAAH904xk=")</f>
        <v>#REF!</v>
      </c>
      <c r="AA154" t="e">
        <f>AND(NhatkyNhap!#REF!,"AAAAAH904xo=")</f>
        <v>#REF!</v>
      </c>
      <c r="AB154" t="e">
        <f>AND(NhatkyNhap!#REF!,"AAAAAH904xs=")</f>
        <v>#REF!</v>
      </c>
      <c r="AC154" t="e">
        <f>AND(NhatkyNhap!#REF!,"AAAAAH904xw=")</f>
        <v>#REF!</v>
      </c>
      <c r="AD154" t="e">
        <f>AND(NhatkyNhap!#REF!,"AAAAAH904x0=")</f>
        <v>#REF!</v>
      </c>
      <c r="AE154" t="e">
        <f>AND(NhatkyNhap!#REF!,"AAAAAH904x4=")</f>
        <v>#REF!</v>
      </c>
      <c r="AF154" t="e">
        <f>AND(NhatkyNhap!#REF!,"AAAAAH904x8=")</f>
        <v>#REF!</v>
      </c>
      <c r="AG154" t="e">
        <f>AND(NhatkyNhap!#REF!,"AAAAAH904yA=")</f>
        <v>#REF!</v>
      </c>
      <c r="AH154" t="e">
        <f>AND(NhatkyNhap!#REF!,"AAAAAH904yE=")</f>
        <v>#REF!</v>
      </c>
      <c r="AI154" t="e">
        <f>AND(NhatkyNhap!#REF!,"AAAAAH904yI=")</f>
        <v>#REF!</v>
      </c>
      <c r="AJ154" t="e">
        <f>AND(NhatkyNhap!#REF!,"AAAAAH904yM=")</f>
        <v>#REF!</v>
      </c>
      <c r="AK154" t="e">
        <f>AND(NhatkyNhap!#REF!,"AAAAAH904yQ=")</f>
        <v>#REF!</v>
      </c>
      <c r="AL154" t="e">
        <f>AND(NhatkyNhap!#REF!,"AAAAAH904yU=")</f>
        <v>#REF!</v>
      </c>
      <c r="AM154" t="e">
        <f>AND(NhatkyNhap!#REF!,"AAAAAH904yY=")</f>
        <v>#REF!</v>
      </c>
      <c r="AN154" t="e">
        <f>AND(NhatkyNhap!#REF!,"AAAAAH904yc=")</f>
        <v>#REF!</v>
      </c>
      <c r="AO154" t="e">
        <f>AND(NhatkyNhap!#REF!,"AAAAAH904yg=")</f>
        <v>#REF!</v>
      </c>
      <c r="AP154" t="e">
        <f>AND(NhatkyNhap!#REF!,"AAAAAH904yk=")</f>
        <v>#REF!</v>
      </c>
      <c r="AQ154" t="e">
        <f>AND(NhatkyNhap!#REF!,"AAAAAH904yo=")</f>
        <v>#REF!</v>
      </c>
      <c r="AR154" t="e">
        <f>AND(NhatkyNhap!#REF!,"AAAAAH904ys=")</f>
        <v>#REF!</v>
      </c>
      <c r="AS154" t="e">
        <f>AND(NhatkyNhap!#REF!,"AAAAAH904yw=")</f>
        <v>#REF!</v>
      </c>
      <c r="AT154" t="e">
        <f>AND(NhatkyNhap!#REF!,"AAAAAH904y0=")</f>
        <v>#REF!</v>
      </c>
      <c r="AU154" t="e">
        <f>AND(NhatkyNhap!#REF!,"AAAAAH904y4=")</f>
        <v>#REF!</v>
      </c>
      <c r="AV154" t="e">
        <f>IF(NhatkyNhap!#REF!,"AAAAAH904y8=",0)</f>
        <v>#REF!</v>
      </c>
      <c r="AW154" t="e">
        <f>AND(NhatkyNhap!#REF!,"AAAAAH904zA=")</f>
        <v>#REF!</v>
      </c>
      <c r="AX154" t="e">
        <f>AND(NhatkyNhap!#REF!,"AAAAAH904zE=")</f>
        <v>#REF!</v>
      </c>
      <c r="AY154" t="e">
        <f>AND(NhatkyNhap!#REF!,"AAAAAH904zI=")</f>
        <v>#REF!</v>
      </c>
      <c r="AZ154" t="e">
        <f>AND(NhatkyNhap!#REF!,"AAAAAH904zM=")</f>
        <v>#REF!</v>
      </c>
      <c r="BA154" t="e">
        <f>AND(NhatkyNhap!#REF!,"AAAAAH904zQ=")</f>
        <v>#REF!</v>
      </c>
      <c r="BB154" t="e">
        <f>AND(NhatkyNhap!#REF!,"AAAAAH904zU=")</f>
        <v>#REF!</v>
      </c>
      <c r="BC154" t="e">
        <f>AND(NhatkyNhap!#REF!,"AAAAAH904zY=")</f>
        <v>#REF!</v>
      </c>
      <c r="BD154" t="e">
        <f>AND(NhatkyNhap!#REF!,"AAAAAH904zc=")</f>
        <v>#REF!</v>
      </c>
      <c r="BE154" t="e">
        <f>AND(NhatkyNhap!#REF!,"AAAAAH904zg=")</f>
        <v>#REF!</v>
      </c>
      <c r="BF154" t="e">
        <f>AND(NhatkyNhap!#REF!,"AAAAAH904zk=")</f>
        <v>#REF!</v>
      </c>
      <c r="BG154" t="e">
        <f>AND(NhatkyNhap!#REF!,"AAAAAH904zo=")</f>
        <v>#REF!</v>
      </c>
      <c r="BH154" t="e">
        <f>AND(NhatkyNhap!#REF!,"AAAAAH904zs=")</f>
        <v>#REF!</v>
      </c>
      <c r="BI154" t="e">
        <f>AND(NhatkyNhap!#REF!,"AAAAAH904zw=")</f>
        <v>#REF!</v>
      </c>
      <c r="BJ154" t="e">
        <f>AND(NhatkyNhap!#REF!,"AAAAAH904z0=")</f>
        <v>#REF!</v>
      </c>
      <c r="BK154" t="e">
        <f>AND(NhatkyNhap!#REF!,"AAAAAH904z4=")</f>
        <v>#REF!</v>
      </c>
      <c r="BL154" t="e">
        <f>AND(NhatkyNhap!#REF!,"AAAAAH904z8=")</f>
        <v>#REF!</v>
      </c>
      <c r="BM154" t="e">
        <f>AND(NhatkyNhap!#REF!,"AAAAAH9040A=")</f>
        <v>#REF!</v>
      </c>
      <c r="BN154" t="e">
        <f>AND(NhatkyNhap!#REF!,"AAAAAH9040E=")</f>
        <v>#REF!</v>
      </c>
      <c r="BO154" t="e">
        <f>AND(NhatkyNhap!#REF!,"AAAAAH9040I=")</f>
        <v>#REF!</v>
      </c>
      <c r="BP154" t="e">
        <f>AND(NhatkyNhap!#REF!,"AAAAAH9040M=")</f>
        <v>#REF!</v>
      </c>
      <c r="BQ154" t="e">
        <f>AND(NhatkyNhap!#REF!,"AAAAAH9040Q=")</f>
        <v>#REF!</v>
      </c>
      <c r="BR154" t="e">
        <f>AND(NhatkyNhap!#REF!,"AAAAAH9040U=")</f>
        <v>#REF!</v>
      </c>
      <c r="BS154" t="e">
        <f>AND(NhatkyNhap!#REF!,"AAAAAH9040Y=")</f>
        <v>#REF!</v>
      </c>
      <c r="BT154" t="e">
        <f>AND(NhatkyNhap!#REF!,"AAAAAH9040c=")</f>
        <v>#REF!</v>
      </c>
      <c r="BU154" t="e">
        <f>AND(NhatkyNhap!#REF!,"AAAAAH9040g=")</f>
        <v>#REF!</v>
      </c>
      <c r="BV154" t="e">
        <f>AND(NhatkyNhap!#REF!,"AAAAAH9040k=")</f>
        <v>#REF!</v>
      </c>
      <c r="BW154" t="e">
        <f>AND(NhatkyNhap!#REF!,"AAAAAH9040o=")</f>
        <v>#REF!</v>
      </c>
      <c r="BX154" t="e">
        <f>AND(NhatkyNhap!#REF!,"AAAAAH9040s=")</f>
        <v>#REF!</v>
      </c>
      <c r="BY154" t="e">
        <f>AND(NhatkyNhap!#REF!,"AAAAAH9040w=")</f>
        <v>#REF!</v>
      </c>
      <c r="BZ154" t="e">
        <f>AND(NhatkyNhap!#REF!,"AAAAAH90400=")</f>
        <v>#REF!</v>
      </c>
      <c r="CA154" t="e">
        <f>AND(NhatkyNhap!#REF!,"AAAAAH90404=")</f>
        <v>#REF!</v>
      </c>
      <c r="CB154" t="e">
        <f>AND(NhatkyNhap!#REF!,"AAAAAH90408=")</f>
        <v>#REF!</v>
      </c>
      <c r="CC154" t="e">
        <f>AND(NhatkyNhap!#REF!,"AAAAAH9041A=")</f>
        <v>#REF!</v>
      </c>
      <c r="CD154" t="e">
        <f>AND(NhatkyNhap!#REF!,"AAAAAH9041E=")</f>
        <v>#REF!</v>
      </c>
      <c r="CE154" t="e">
        <f>IF(NhatkyNhap!#REF!,"AAAAAH9041I=",0)</f>
        <v>#REF!</v>
      </c>
      <c r="CF154" t="e">
        <f>AND(NhatkyNhap!#REF!,"AAAAAH9041M=")</f>
        <v>#REF!</v>
      </c>
      <c r="CG154" t="e">
        <f>AND(NhatkyNhap!#REF!,"AAAAAH9041Q=")</f>
        <v>#REF!</v>
      </c>
      <c r="CH154" t="e">
        <f>AND(NhatkyNhap!#REF!,"AAAAAH9041U=")</f>
        <v>#REF!</v>
      </c>
      <c r="CI154" t="e">
        <f>AND(NhatkyNhap!#REF!,"AAAAAH9041Y=")</f>
        <v>#REF!</v>
      </c>
      <c r="CJ154" t="e">
        <f>AND(NhatkyNhap!#REF!,"AAAAAH9041c=")</f>
        <v>#REF!</v>
      </c>
      <c r="CK154" t="e">
        <f>AND(NhatkyNhap!#REF!,"AAAAAH9041g=")</f>
        <v>#REF!</v>
      </c>
      <c r="CL154" t="e">
        <f>AND(NhatkyNhap!#REF!,"AAAAAH9041k=")</f>
        <v>#REF!</v>
      </c>
      <c r="CM154" t="e">
        <f>AND(NhatkyNhap!#REF!,"AAAAAH9041o=")</f>
        <v>#REF!</v>
      </c>
      <c r="CN154" t="e">
        <f>AND(NhatkyNhap!#REF!,"AAAAAH9041s=")</f>
        <v>#REF!</v>
      </c>
      <c r="CO154" t="e">
        <f>AND(NhatkyNhap!#REF!,"AAAAAH9041w=")</f>
        <v>#REF!</v>
      </c>
      <c r="CP154" t="e">
        <f>AND(NhatkyNhap!#REF!,"AAAAAH90410=")</f>
        <v>#REF!</v>
      </c>
      <c r="CQ154" t="e">
        <f>AND(NhatkyNhap!#REF!,"AAAAAH90414=")</f>
        <v>#REF!</v>
      </c>
      <c r="CR154" t="e">
        <f>AND(NhatkyNhap!#REF!,"AAAAAH90418=")</f>
        <v>#REF!</v>
      </c>
      <c r="CS154" t="e">
        <f>AND(NhatkyNhap!#REF!,"AAAAAH9042A=")</f>
        <v>#REF!</v>
      </c>
      <c r="CT154" t="e">
        <f>AND(NhatkyNhap!#REF!,"AAAAAH9042E=")</f>
        <v>#REF!</v>
      </c>
      <c r="CU154" t="e">
        <f>AND(NhatkyNhap!#REF!,"AAAAAH9042I=")</f>
        <v>#REF!</v>
      </c>
      <c r="CV154" t="e">
        <f>AND(NhatkyNhap!#REF!,"AAAAAH9042M=")</f>
        <v>#REF!</v>
      </c>
      <c r="CW154" t="e">
        <f>AND(NhatkyNhap!#REF!,"AAAAAH9042Q=")</f>
        <v>#REF!</v>
      </c>
      <c r="CX154" t="e">
        <f>AND(NhatkyNhap!#REF!,"AAAAAH9042U=")</f>
        <v>#REF!</v>
      </c>
      <c r="CY154" t="e">
        <f>AND(NhatkyNhap!#REF!,"AAAAAH9042Y=")</f>
        <v>#REF!</v>
      </c>
      <c r="CZ154" t="e">
        <f>AND(NhatkyNhap!#REF!,"AAAAAH9042c=")</f>
        <v>#REF!</v>
      </c>
      <c r="DA154" t="e">
        <f>AND(NhatkyNhap!#REF!,"AAAAAH9042g=")</f>
        <v>#REF!</v>
      </c>
      <c r="DB154" t="e">
        <f>AND(NhatkyNhap!#REF!,"AAAAAH9042k=")</f>
        <v>#REF!</v>
      </c>
      <c r="DC154" t="e">
        <f>AND(NhatkyNhap!#REF!,"AAAAAH9042o=")</f>
        <v>#REF!</v>
      </c>
      <c r="DD154" t="e">
        <f>AND(NhatkyNhap!#REF!,"AAAAAH9042s=")</f>
        <v>#REF!</v>
      </c>
      <c r="DE154" t="e">
        <f>AND(NhatkyNhap!#REF!,"AAAAAH9042w=")</f>
        <v>#REF!</v>
      </c>
      <c r="DF154" t="e">
        <f>AND(NhatkyNhap!#REF!,"AAAAAH90420=")</f>
        <v>#REF!</v>
      </c>
      <c r="DG154" t="e">
        <f>AND(NhatkyNhap!#REF!,"AAAAAH90424=")</f>
        <v>#REF!</v>
      </c>
      <c r="DH154" t="e">
        <f>AND(NhatkyNhap!#REF!,"AAAAAH90428=")</f>
        <v>#REF!</v>
      </c>
      <c r="DI154" t="e">
        <f>AND(NhatkyNhap!#REF!,"AAAAAH9043A=")</f>
        <v>#REF!</v>
      </c>
      <c r="DJ154" t="e">
        <f>AND(NhatkyNhap!#REF!,"AAAAAH9043E=")</f>
        <v>#REF!</v>
      </c>
      <c r="DK154" t="e">
        <f>AND(NhatkyNhap!#REF!,"AAAAAH9043I=")</f>
        <v>#REF!</v>
      </c>
      <c r="DL154" t="e">
        <f>AND(NhatkyNhap!#REF!,"AAAAAH9043M=")</f>
        <v>#REF!</v>
      </c>
      <c r="DM154" t="e">
        <f>AND(NhatkyNhap!#REF!,"AAAAAH9043Q=")</f>
        <v>#REF!</v>
      </c>
      <c r="DN154" t="e">
        <f>IF(NhatkyNhap!#REF!,"AAAAAH9043U=",0)</f>
        <v>#REF!</v>
      </c>
      <c r="DO154" t="e">
        <f>AND(NhatkyNhap!#REF!,"AAAAAH9043Y=")</f>
        <v>#REF!</v>
      </c>
      <c r="DP154" t="e">
        <f>AND(NhatkyNhap!#REF!,"AAAAAH9043c=")</f>
        <v>#REF!</v>
      </c>
      <c r="DQ154" t="e">
        <f>AND(NhatkyNhap!#REF!,"AAAAAH9043g=")</f>
        <v>#REF!</v>
      </c>
      <c r="DR154" t="e">
        <f>AND(NhatkyNhap!#REF!,"AAAAAH9043k=")</f>
        <v>#REF!</v>
      </c>
      <c r="DS154" t="e">
        <f>AND(NhatkyNhap!#REF!,"AAAAAH9043o=")</f>
        <v>#REF!</v>
      </c>
      <c r="DT154" t="e">
        <f>AND(NhatkyNhap!#REF!,"AAAAAH9043s=")</f>
        <v>#REF!</v>
      </c>
      <c r="DU154" t="e">
        <f>AND(NhatkyNhap!#REF!,"AAAAAH9043w=")</f>
        <v>#REF!</v>
      </c>
      <c r="DV154" t="e">
        <f>AND(NhatkyNhap!#REF!,"AAAAAH90430=")</f>
        <v>#REF!</v>
      </c>
      <c r="DW154" t="e">
        <f>AND(NhatkyNhap!#REF!,"AAAAAH90434=")</f>
        <v>#REF!</v>
      </c>
      <c r="DX154" t="e">
        <f>AND(NhatkyNhap!#REF!,"AAAAAH90438=")</f>
        <v>#REF!</v>
      </c>
      <c r="DY154" t="e">
        <f>AND(NhatkyNhap!#REF!,"AAAAAH9044A=")</f>
        <v>#REF!</v>
      </c>
      <c r="DZ154" t="e">
        <f>AND(NhatkyNhap!#REF!,"AAAAAH9044E=")</f>
        <v>#REF!</v>
      </c>
      <c r="EA154" t="e">
        <f>AND(NhatkyNhap!#REF!,"AAAAAH9044I=")</f>
        <v>#REF!</v>
      </c>
      <c r="EB154" t="e">
        <f>AND(NhatkyNhap!#REF!,"AAAAAH9044M=")</f>
        <v>#REF!</v>
      </c>
      <c r="EC154" t="e">
        <f>AND(NhatkyNhap!#REF!,"AAAAAH9044Q=")</f>
        <v>#REF!</v>
      </c>
      <c r="ED154" t="e">
        <f>AND(NhatkyNhap!#REF!,"AAAAAH9044U=")</f>
        <v>#REF!</v>
      </c>
      <c r="EE154" t="e">
        <f>AND(NhatkyNhap!#REF!,"AAAAAH9044Y=")</f>
        <v>#REF!</v>
      </c>
      <c r="EF154" t="e">
        <f>AND(NhatkyNhap!#REF!,"AAAAAH9044c=")</f>
        <v>#REF!</v>
      </c>
      <c r="EG154" t="e">
        <f>AND(NhatkyNhap!#REF!,"AAAAAH9044g=")</f>
        <v>#REF!</v>
      </c>
      <c r="EH154" t="e">
        <f>AND(NhatkyNhap!#REF!,"AAAAAH9044k=")</f>
        <v>#REF!</v>
      </c>
      <c r="EI154" t="e">
        <f>AND(NhatkyNhap!#REF!,"AAAAAH9044o=")</f>
        <v>#REF!</v>
      </c>
      <c r="EJ154" t="e">
        <f>AND(NhatkyNhap!#REF!,"AAAAAH9044s=")</f>
        <v>#REF!</v>
      </c>
      <c r="EK154" t="e">
        <f>AND(NhatkyNhap!#REF!,"AAAAAH9044w=")</f>
        <v>#REF!</v>
      </c>
      <c r="EL154" t="e">
        <f>AND(NhatkyNhap!#REF!,"AAAAAH90440=")</f>
        <v>#REF!</v>
      </c>
      <c r="EM154" t="e">
        <f>AND(NhatkyNhap!#REF!,"AAAAAH90444=")</f>
        <v>#REF!</v>
      </c>
      <c r="EN154" t="e">
        <f>AND(NhatkyNhap!#REF!,"AAAAAH90448=")</f>
        <v>#REF!</v>
      </c>
      <c r="EO154" t="e">
        <f>AND(NhatkyNhap!#REF!,"AAAAAH9045A=")</f>
        <v>#REF!</v>
      </c>
      <c r="EP154" t="e">
        <f>AND(NhatkyNhap!#REF!,"AAAAAH9045E=")</f>
        <v>#REF!</v>
      </c>
      <c r="EQ154" t="e">
        <f>AND(NhatkyNhap!#REF!,"AAAAAH9045I=")</f>
        <v>#REF!</v>
      </c>
      <c r="ER154" t="e">
        <f>AND(NhatkyNhap!#REF!,"AAAAAH9045M=")</f>
        <v>#REF!</v>
      </c>
      <c r="ES154" t="e">
        <f>AND(NhatkyNhap!#REF!,"AAAAAH9045Q=")</f>
        <v>#REF!</v>
      </c>
      <c r="ET154" t="e">
        <f>AND(NhatkyNhap!#REF!,"AAAAAH9045U=")</f>
        <v>#REF!</v>
      </c>
      <c r="EU154" t="e">
        <f>AND(NhatkyNhap!#REF!,"AAAAAH9045Y=")</f>
        <v>#REF!</v>
      </c>
      <c r="EV154" t="e">
        <f>AND(NhatkyNhap!#REF!,"AAAAAH9045c=")</f>
        <v>#REF!</v>
      </c>
      <c r="EW154" t="e">
        <f>IF(NhatkyNhap!#REF!,"AAAAAH9045g=",0)</f>
        <v>#REF!</v>
      </c>
      <c r="EX154" t="e">
        <f>AND(NhatkyNhap!#REF!,"AAAAAH9045k=")</f>
        <v>#REF!</v>
      </c>
      <c r="EY154" t="e">
        <f>AND(NhatkyNhap!#REF!,"AAAAAH9045o=")</f>
        <v>#REF!</v>
      </c>
      <c r="EZ154" t="e">
        <f>AND(NhatkyNhap!#REF!,"AAAAAH9045s=")</f>
        <v>#REF!</v>
      </c>
      <c r="FA154" t="e">
        <f>AND(NhatkyNhap!#REF!,"AAAAAH9045w=")</f>
        <v>#REF!</v>
      </c>
      <c r="FB154" t="e">
        <f>AND(NhatkyNhap!#REF!,"AAAAAH90450=")</f>
        <v>#REF!</v>
      </c>
      <c r="FC154" t="e">
        <f>AND(NhatkyNhap!#REF!,"AAAAAH90454=")</f>
        <v>#REF!</v>
      </c>
      <c r="FD154" t="e">
        <f>AND(NhatkyNhap!#REF!,"AAAAAH90458=")</f>
        <v>#REF!</v>
      </c>
      <c r="FE154" t="e">
        <f>AND(NhatkyNhap!#REF!,"AAAAAH9046A=")</f>
        <v>#REF!</v>
      </c>
      <c r="FF154" t="e">
        <f>AND(NhatkyNhap!#REF!,"AAAAAH9046E=")</f>
        <v>#REF!</v>
      </c>
      <c r="FG154" t="e">
        <f>AND(NhatkyNhap!#REF!,"AAAAAH9046I=")</f>
        <v>#REF!</v>
      </c>
      <c r="FH154" t="e">
        <f>AND(NhatkyNhap!#REF!,"AAAAAH9046M=")</f>
        <v>#REF!</v>
      </c>
      <c r="FI154" t="e">
        <f>AND(NhatkyNhap!#REF!,"AAAAAH9046Q=")</f>
        <v>#REF!</v>
      </c>
      <c r="FJ154" t="e">
        <f>AND(NhatkyNhap!#REF!,"AAAAAH9046U=")</f>
        <v>#REF!</v>
      </c>
      <c r="FK154" t="e">
        <f>AND(NhatkyNhap!#REF!,"AAAAAH9046Y=")</f>
        <v>#REF!</v>
      </c>
      <c r="FL154" t="e">
        <f>AND(NhatkyNhap!#REF!,"AAAAAH9046c=")</f>
        <v>#REF!</v>
      </c>
      <c r="FM154" t="e">
        <f>AND(NhatkyNhap!#REF!,"AAAAAH9046g=")</f>
        <v>#REF!</v>
      </c>
      <c r="FN154" t="e">
        <f>AND(NhatkyNhap!#REF!,"AAAAAH9046k=")</f>
        <v>#REF!</v>
      </c>
      <c r="FO154" t="e">
        <f>AND(NhatkyNhap!#REF!,"AAAAAH9046o=")</f>
        <v>#REF!</v>
      </c>
      <c r="FP154" t="e">
        <f>AND(NhatkyNhap!#REF!,"AAAAAH9046s=")</f>
        <v>#REF!</v>
      </c>
      <c r="FQ154" t="e">
        <f>AND(NhatkyNhap!#REF!,"AAAAAH9046w=")</f>
        <v>#REF!</v>
      </c>
      <c r="FR154" t="e">
        <f>AND(NhatkyNhap!#REF!,"AAAAAH90460=")</f>
        <v>#REF!</v>
      </c>
      <c r="FS154" t="e">
        <f>AND(NhatkyNhap!#REF!,"AAAAAH90464=")</f>
        <v>#REF!</v>
      </c>
      <c r="FT154" t="e">
        <f>AND(NhatkyNhap!#REF!,"AAAAAH90468=")</f>
        <v>#REF!</v>
      </c>
      <c r="FU154" t="e">
        <f>AND(NhatkyNhap!#REF!,"AAAAAH9047A=")</f>
        <v>#REF!</v>
      </c>
      <c r="FV154" t="e">
        <f>AND(NhatkyNhap!#REF!,"AAAAAH9047E=")</f>
        <v>#REF!</v>
      </c>
      <c r="FW154" t="e">
        <f>AND(NhatkyNhap!#REF!,"AAAAAH9047I=")</f>
        <v>#REF!</v>
      </c>
      <c r="FX154" t="e">
        <f>AND(NhatkyNhap!#REF!,"AAAAAH9047M=")</f>
        <v>#REF!</v>
      </c>
      <c r="FY154" t="e">
        <f>AND(NhatkyNhap!#REF!,"AAAAAH9047Q=")</f>
        <v>#REF!</v>
      </c>
      <c r="FZ154" t="e">
        <f>AND(NhatkyNhap!#REF!,"AAAAAH9047U=")</f>
        <v>#REF!</v>
      </c>
      <c r="GA154" t="e">
        <f>AND(NhatkyNhap!#REF!,"AAAAAH9047Y=")</f>
        <v>#REF!</v>
      </c>
      <c r="GB154" t="e">
        <f>AND(NhatkyNhap!#REF!,"AAAAAH9047c=")</f>
        <v>#REF!</v>
      </c>
      <c r="GC154" t="e">
        <f>AND(NhatkyNhap!#REF!,"AAAAAH9047g=")</f>
        <v>#REF!</v>
      </c>
      <c r="GD154" t="e">
        <f>AND(NhatkyNhap!#REF!,"AAAAAH9047k=")</f>
        <v>#REF!</v>
      </c>
      <c r="GE154" t="e">
        <f>AND(NhatkyNhap!#REF!,"AAAAAH9047o=")</f>
        <v>#REF!</v>
      </c>
      <c r="GF154" t="e">
        <f>IF(NhatkyNhap!#REF!,"AAAAAH9047s=",0)</f>
        <v>#REF!</v>
      </c>
      <c r="GG154" t="e">
        <f>AND(NhatkyNhap!#REF!,"AAAAAH9047w=")</f>
        <v>#REF!</v>
      </c>
      <c r="GH154" t="e">
        <f>AND(NhatkyNhap!#REF!,"AAAAAH90470=")</f>
        <v>#REF!</v>
      </c>
      <c r="GI154" t="e">
        <f>AND(NhatkyNhap!#REF!,"AAAAAH90474=")</f>
        <v>#REF!</v>
      </c>
      <c r="GJ154" t="e">
        <f>AND(NhatkyNhap!#REF!,"AAAAAH90478=")</f>
        <v>#REF!</v>
      </c>
      <c r="GK154" t="e">
        <f>AND(NhatkyNhap!#REF!,"AAAAAH9048A=")</f>
        <v>#REF!</v>
      </c>
      <c r="GL154" t="e">
        <f>AND(NhatkyNhap!#REF!,"AAAAAH9048E=")</f>
        <v>#REF!</v>
      </c>
      <c r="GM154" t="e">
        <f>AND(NhatkyNhap!#REF!,"AAAAAH9048I=")</f>
        <v>#REF!</v>
      </c>
      <c r="GN154" t="e">
        <f>AND(NhatkyNhap!#REF!,"AAAAAH9048M=")</f>
        <v>#REF!</v>
      </c>
      <c r="GO154" t="e">
        <f>AND(NhatkyNhap!#REF!,"AAAAAH9048Q=")</f>
        <v>#REF!</v>
      </c>
      <c r="GP154" t="e">
        <f>AND(NhatkyNhap!#REF!,"AAAAAH9048U=")</f>
        <v>#REF!</v>
      </c>
      <c r="GQ154" t="e">
        <f>AND(NhatkyNhap!#REF!,"AAAAAH9048Y=")</f>
        <v>#REF!</v>
      </c>
      <c r="GR154" t="e">
        <f>AND(NhatkyNhap!#REF!,"AAAAAH9048c=")</f>
        <v>#REF!</v>
      </c>
      <c r="GS154" t="e">
        <f>AND(NhatkyNhap!#REF!,"AAAAAH9048g=")</f>
        <v>#REF!</v>
      </c>
      <c r="GT154" t="e">
        <f>AND(NhatkyNhap!#REF!,"AAAAAH9048k=")</f>
        <v>#REF!</v>
      </c>
      <c r="GU154" t="e">
        <f>AND(NhatkyNhap!#REF!,"AAAAAH9048o=")</f>
        <v>#REF!</v>
      </c>
      <c r="GV154" t="e">
        <f>AND(NhatkyNhap!#REF!,"AAAAAH9048s=")</f>
        <v>#REF!</v>
      </c>
      <c r="GW154" t="e">
        <f>AND(NhatkyNhap!#REF!,"AAAAAH9048w=")</f>
        <v>#REF!</v>
      </c>
      <c r="GX154" t="e">
        <f>AND(NhatkyNhap!#REF!,"AAAAAH90480=")</f>
        <v>#REF!</v>
      </c>
      <c r="GY154" t="e">
        <f>AND(NhatkyNhap!#REF!,"AAAAAH90484=")</f>
        <v>#REF!</v>
      </c>
      <c r="GZ154" t="e">
        <f>AND(NhatkyNhap!#REF!,"AAAAAH90488=")</f>
        <v>#REF!</v>
      </c>
      <c r="HA154" t="e">
        <f>AND(NhatkyNhap!#REF!,"AAAAAH9049A=")</f>
        <v>#REF!</v>
      </c>
      <c r="HB154" t="e">
        <f>AND(NhatkyNhap!#REF!,"AAAAAH9049E=")</f>
        <v>#REF!</v>
      </c>
      <c r="HC154" t="e">
        <f>AND(NhatkyNhap!#REF!,"AAAAAH9049I=")</f>
        <v>#REF!</v>
      </c>
      <c r="HD154" t="e">
        <f>AND(NhatkyNhap!#REF!,"AAAAAH9049M=")</f>
        <v>#REF!</v>
      </c>
      <c r="HE154" t="e">
        <f>AND(NhatkyNhap!#REF!,"AAAAAH9049Q=")</f>
        <v>#REF!</v>
      </c>
      <c r="HF154" t="e">
        <f>AND(NhatkyNhap!#REF!,"AAAAAH9049U=")</f>
        <v>#REF!</v>
      </c>
      <c r="HG154" t="e">
        <f>AND(NhatkyNhap!#REF!,"AAAAAH9049Y=")</f>
        <v>#REF!</v>
      </c>
      <c r="HH154" t="e">
        <f>AND(NhatkyNhap!#REF!,"AAAAAH9049c=")</f>
        <v>#REF!</v>
      </c>
      <c r="HI154" t="e">
        <f>AND(NhatkyNhap!#REF!,"AAAAAH9049g=")</f>
        <v>#REF!</v>
      </c>
      <c r="HJ154" t="e">
        <f>AND(NhatkyNhap!#REF!,"AAAAAH9049k=")</f>
        <v>#REF!</v>
      </c>
      <c r="HK154" t="e">
        <f>AND(NhatkyNhap!#REF!,"AAAAAH9049o=")</f>
        <v>#REF!</v>
      </c>
      <c r="HL154" t="e">
        <f>AND(NhatkyNhap!#REF!,"AAAAAH9049s=")</f>
        <v>#REF!</v>
      </c>
      <c r="HM154" t="e">
        <f>AND(NhatkyNhap!#REF!,"AAAAAH9049w=")</f>
        <v>#REF!</v>
      </c>
      <c r="HN154" t="e">
        <f>AND(NhatkyNhap!#REF!,"AAAAAH90490=")</f>
        <v>#REF!</v>
      </c>
      <c r="HO154" t="e">
        <f>IF(NhatkyNhap!#REF!,"AAAAAH90494=",0)</f>
        <v>#REF!</v>
      </c>
      <c r="HP154" t="e">
        <f>AND(NhatkyNhap!#REF!,"AAAAAH90498=")</f>
        <v>#REF!</v>
      </c>
      <c r="HQ154" t="e">
        <f>AND(NhatkyNhap!#REF!,"AAAAAH904+A=")</f>
        <v>#REF!</v>
      </c>
      <c r="HR154" t="e">
        <f>AND(NhatkyNhap!#REF!,"AAAAAH904+E=")</f>
        <v>#REF!</v>
      </c>
      <c r="HS154" t="e">
        <f>AND(NhatkyNhap!#REF!,"AAAAAH904+I=")</f>
        <v>#REF!</v>
      </c>
      <c r="HT154" t="e">
        <f>AND(NhatkyNhap!#REF!,"AAAAAH904+M=")</f>
        <v>#REF!</v>
      </c>
      <c r="HU154" t="e">
        <f>AND(NhatkyNhap!#REF!,"AAAAAH904+Q=")</f>
        <v>#REF!</v>
      </c>
      <c r="HV154" t="e">
        <f>AND(NhatkyNhap!#REF!,"AAAAAH904+U=")</f>
        <v>#REF!</v>
      </c>
      <c r="HW154" t="e">
        <f>AND(NhatkyNhap!#REF!,"AAAAAH904+Y=")</f>
        <v>#REF!</v>
      </c>
      <c r="HX154" t="e">
        <f>AND(NhatkyNhap!#REF!,"AAAAAH904+c=")</f>
        <v>#REF!</v>
      </c>
      <c r="HY154" t="e">
        <f>AND(NhatkyNhap!#REF!,"AAAAAH904+g=")</f>
        <v>#REF!</v>
      </c>
      <c r="HZ154" t="e">
        <f>AND(NhatkyNhap!#REF!,"AAAAAH904+k=")</f>
        <v>#REF!</v>
      </c>
      <c r="IA154" t="e">
        <f>AND(NhatkyNhap!#REF!,"AAAAAH904+o=")</f>
        <v>#REF!</v>
      </c>
      <c r="IB154" t="e">
        <f>AND(NhatkyNhap!#REF!,"AAAAAH904+s=")</f>
        <v>#REF!</v>
      </c>
      <c r="IC154" t="e">
        <f>AND(NhatkyNhap!#REF!,"AAAAAH904+w=")</f>
        <v>#REF!</v>
      </c>
      <c r="ID154" t="e">
        <f>AND(NhatkyNhap!#REF!,"AAAAAH904+0=")</f>
        <v>#REF!</v>
      </c>
      <c r="IE154" t="e">
        <f>AND(NhatkyNhap!#REF!,"AAAAAH904+4=")</f>
        <v>#REF!</v>
      </c>
      <c r="IF154" t="e">
        <f>AND(NhatkyNhap!#REF!,"AAAAAH904+8=")</f>
        <v>#REF!</v>
      </c>
      <c r="IG154" t="e">
        <f>AND(NhatkyNhap!#REF!,"AAAAAH904/A=")</f>
        <v>#REF!</v>
      </c>
      <c r="IH154" t="e">
        <f>AND(NhatkyNhap!#REF!,"AAAAAH904/E=")</f>
        <v>#REF!</v>
      </c>
      <c r="II154" t="e">
        <f>AND(NhatkyNhap!#REF!,"AAAAAH904/I=")</f>
        <v>#REF!</v>
      </c>
      <c r="IJ154" t="e">
        <f>AND(NhatkyNhap!#REF!,"AAAAAH904/M=")</f>
        <v>#REF!</v>
      </c>
      <c r="IK154" t="e">
        <f>AND(NhatkyNhap!#REF!,"AAAAAH904/Q=")</f>
        <v>#REF!</v>
      </c>
      <c r="IL154" t="e">
        <f>AND(NhatkyNhap!#REF!,"AAAAAH904/U=")</f>
        <v>#REF!</v>
      </c>
      <c r="IM154" t="e">
        <f>AND(NhatkyNhap!#REF!,"AAAAAH904/Y=")</f>
        <v>#REF!</v>
      </c>
      <c r="IN154" t="e">
        <f>AND(NhatkyNhap!#REF!,"AAAAAH904/c=")</f>
        <v>#REF!</v>
      </c>
      <c r="IO154" t="e">
        <f>AND(NhatkyNhap!#REF!,"AAAAAH904/g=")</f>
        <v>#REF!</v>
      </c>
      <c r="IP154" t="e">
        <f>AND(NhatkyNhap!#REF!,"AAAAAH904/k=")</f>
        <v>#REF!</v>
      </c>
      <c r="IQ154" t="e">
        <f>AND(NhatkyNhap!#REF!,"AAAAAH904/o=")</f>
        <v>#REF!</v>
      </c>
      <c r="IR154" t="e">
        <f>AND(NhatkyNhap!#REF!,"AAAAAH904/s=")</f>
        <v>#REF!</v>
      </c>
      <c r="IS154" t="e">
        <f>AND(NhatkyNhap!#REF!,"AAAAAH904/w=")</f>
        <v>#REF!</v>
      </c>
      <c r="IT154" t="e">
        <f>AND(NhatkyNhap!#REF!,"AAAAAH904/0=")</f>
        <v>#REF!</v>
      </c>
      <c r="IU154" t="e">
        <f>AND(NhatkyNhap!#REF!,"AAAAAH904/4=")</f>
        <v>#REF!</v>
      </c>
      <c r="IV154" t="e">
        <f>AND(NhatkyNhap!#REF!,"AAAAAH904/8=")</f>
        <v>#REF!</v>
      </c>
    </row>
    <row r="155" spans="1:256">
      <c r="A155" t="e">
        <f>AND(NhatkyNhap!#REF!,"AAAAAF+/vQA=")</f>
        <v>#REF!</v>
      </c>
      <c r="B155" t="e">
        <f>IF(NhatkyNhap!#REF!,"AAAAAF+/vQE=",0)</f>
        <v>#REF!</v>
      </c>
      <c r="C155" t="e">
        <f>AND(NhatkyNhap!#REF!,"AAAAAF+/vQI=")</f>
        <v>#REF!</v>
      </c>
      <c r="D155" t="e">
        <f>AND(NhatkyNhap!#REF!,"AAAAAF+/vQM=")</f>
        <v>#REF!</v>
      </c>
      <c r="E155" t="e">
        <f>AND(NhatkyNhap!#REF!,"AAAAAF+/vQQ=")</f>
        <v>#REF!</v>
      </c>
      <c r="F155" t="e">
        <f>AND(NhatkyNhap!#REF!,"AAAAAF+/vQU=")</f>
        <v>#REF!</v>
      </c>
      <c r="G155" t="e">
        <f>AND(NhatkyNhap!#REF!,"AAAAAF+/vQY=")</f>
        <v>#REF!</v>
      </c>
      <c r="H155" t="e">
        <f>AND(NhatkyNhap!#REF!,"AAAAAF+/vQc=")</f>
        <v>#REF!</v>
      </c>
      <c r="I155" t="e">
        <f>AND(NhatkyNhap!#REF!,"AAAAAF+/vQg=")</f>
        <v>#REF!</v>
      </c>
      <c r="J155" t="e">
        <f>AND(NhatkyNhap!#REF!,"AAAAAF+/vQk=")</f>
        <v>#REF!</v>
      </c>
      <c r="K155" t="e">
        <f>AND(NhatkyNhap!#REF!,"AAAAAF+/vQo=")</f>
        <v>#REF!</v>
      </c>
      <c r="L155" t="e">
        <f>AND(NhatkyNhap!#REF!,"AAAAAF+/vQs=")</f>
        <v>#REF!</v>
      </c>
      <c r="M155" t="e">
        <f>AND(NhatkyNhap!#REF!,"AAAAAF+/vQw=")</f>
        <v>#REF!</v>
      </c>
      <c r="N155" t="e">
        <f>AND(NhatkyNhap!#REF!,"AAAAAF+/vQ0=")</f>
        <v>#REF!</v>
      </c>
      <c r="O155" t="e">
        <f>AND(NhatkyNhap!#REF!,"AAAAAF+/vQ4=")</f>
        <v>#REF!</v>
      </c>
      <c r="P155" t="e">
        <f>AND(NhatkyNhap!#REF!,"AAAAAF+/vQ8=")</f>
        <v>#REF!</v>
      </c>
      <c r="Q155" t="e">
        <f>AND(NhatkyNhap!#REF!,"AAAAAF+/vRA=")</f>
        <v>#REF!</v>
      </c>
      <c r="R155" t="e">
        <f>AND(NhatkyNhap!#REF!,"AAAAAF+/vRE=")</f>
        <v>#REF!</v>
      </c>
      <c r="S155" t="e">
        <f>AND(NhatkyNhap!#REF!,"AAAAAF+/vRI=")</f>
        <v>#REF!</v>
      </c>
      <c r="T155" t="e">
        <f>AND(NhatkyNhap!#REF!,"AAAAAF+/vRM=")</f>
        <v>#REF!</v>
      </c>
      <c r="U155" t="e">
        <f>AND(NhatkyNhap!#REF!,"AAAAAF+/vRQ=")</f>
        <v>#REF!</v>
      </c>
      <c r="V155" t="e">
        <f>AND(NhatkyNhap!#REF!,"AAAAAF+/vRU=")</f>
        <v>#REF!</v>
      </c>
      <c r="W155" t="e">
        <f>AND(NhatkyNhap!#REF!,"AAAAAF+/vRY=")</f>
        <v>#REF!</v>
      </c>
      <c r="X155" t="e">
        <f>AND(NhatkyNhap!#REF!,"AAAAAF+/vRc=")</f>
        <v>#REF!</v>
      </c>
      <c r="Y155" t="e">
        <f>AND(NhatkyNhap!#REF!,"AAAAAF+/vRg=")</f>
        <v>#REF!</v>
      </c>
      <c r="Z155" t="e">
        <f>AND(NhatkyNhap!#REF!,"AAAAAF+/vRk=")</f>
        <v>#REF!</v>
      </c>
      <c r="AA155" t="e">
        <f>AND(NhatkyNhap!#REF!,"AAAAAF+/vRo=")</f>
        <v>#REF!</v>
      </c>
      <c r="AB155" t="e">
        <f>AND(NhatkyNhap!#REF!,"AAAAAF+/vRs=")</f>
        <v>#REF!</v>
      </c>
      <c r="AC155" t="e">
        <f>AND(NhatkyNhap!#REF!,"AAAAAF+/vRw=")</f>
        <v>#REF!</v>
      </c>
      <c r="AD155" t="e">
        <f>AND(NhatkyNhap!#REF!,"AAAAAF+/vR0=")</f>
        <v>#REF!</v>
      </c>
      <c r="AE155" t="e">
        <f>AND(NhatkyNhap!#REF!,"AAAAAF+/vR4=")</f>
        <v>#REF!</v>
      </c>
      <c r="AF155" t="e">
        <f>AND(NhatkyNhap!#REF!,"AAAAAF+/vR8=")</f>
        <v>#REF!</v>
      </c>
      <c r="AG155" t="e">
        <f>AND(NhatkyNhap!#REF!,"AAAAAF+/vSA=")</f>
        <v>#REF!</v>
      </c>
      <c r="AH155" t="e">
        <f>AND(NhatkyNhap!#REF!,"AAAAAF+/vSE=")</f>
        <v>#REF!</v>
      </c>
      <c r="AI155" t="e">
        <f>AND(NhatkyNhap!#REF!,"AAAAAF+/vSI=")</f>
        <v>#REF!</v>
      </c>
      <c r="AJ155" t="e">
        <f>AND(NhatkyNhap!#REF!,"AAAAAF+/vSM=")</f>
        <v>#REF!</v>
      </c>
      <c r="AK155" t="e">
        <f>IF(NhatkyNhap!#REF!,"AAAAAF+/vSQ=",0)</f>
        <v>#REF!</v>
      </c>
      <c r="AL155" t="e">
        <f>AND(NhatkyNhap!#REF!,"AAAAAF+/vSU=")</f>
        <v>#REF!</v>
      </c>
      <c r="AM155" t="e">
        <f>AND(NhatkyNhap!#REF!,"AAAAAF+/vSY=")</f>
        <v>#REF!</v>
      </c>
      <c r="AN155" t="e">
        <f>AND(NhatkyNhap!#REF!,"AAAAAF+/vSc=")</f>
        <v>#REF!</v>
      </c>
      <c r="AO155" t="e">
        <f>AND(NhatkyNhap!#REF!,"AAAAAF+/vSg=")</f>
        <v>#REF!</v>
      </c>
      <c r="AP155" t="e">
        <f>AND(NhatkyNhap!#REF!,"AAAAAF+/vSk=")</f>
        <v>#REF!</v>
      </c>
      <c r="AQ155" t="e">
        <f>AND(NhatkyNhap!#REF!,"AAAAAF+/vSo=")</f>
        <v>#REF!</v>
      </c>
      <c r="AR155" t="e">
        <f>AND(NhatkyNhap!#REF!,"AAAAAF+/vSs=")</f>
        <v>#REF!</v>
      </c>
      <c r="AS155" t="e">
        <f>AND(NhatkyNhap!#REF!,"AAAAAF+/vSw=")</f>
        <v>#REF!</v>
      </c>
      <c r="AT155" t="e">
        <f>AND(NhatkyNhap!#REF!,"AAAAAF+/vS0=")</f>
        <v>#REF!</v>
      </c>
      <c r="AU155" t="e">
        <f>AND(NhatkyNhap!#REF!,"AAAAAF+/vS4=")</f>
        <v>#REF!</v>
      </c>
      <c r="AV155" t="e">
        <f>AND(NhatkyNhap!#REF!,"AAAAAF+/vS8=")</f>
        <v>#REF!</v>
      </c>
      <c r="AW155" t="e">
        <f>AND(NhatkyNhap!#REF!,"AAAAAF+/vTA=")</f>
        <v>#REF!</v>
      </c>
      <c r="AX155" t="e">
        <f>AND(NhatkyNhap!#REF!,"AAAAAF+/vTE=")</f>
        <v>#REF!</v>
      </c>
      <c r="AY155" t="e">
        <f>AND(NhatkyNhap!#REF!,"AAAAAF+/vTI=")</f>
        <v>#REF!</v>
      </c>
      <c r="AZ155" t="e">
        <f>AND(NhatkyNhap!#REF!,"AAAAAF+/vTM=")</f>
        <v>#REF!</v>
      </c>
      <c r="BA155" t="e">
        <f>AND(NhatkyNhap!#REF!,"AAAAAF+/vTQ=")</f>
        <v>#REF!</v>
      </c>
      <c r="BB155" t="e">
        <f>AND(NhatkyNhap!#REF!,"AAAAAF+/vTU=")</f>
        <v>#REF!</v>
      </c>
      <c r="BC155" t="e">
        <f>AND(NhatkyNhap!#REF!,"AAAAAF+/vTY=")</f>
        <v>#REF!</v>
      </c>
      <c r="BD155" t="e">
        <f>AND(NhatkyNhap!#REF!,"AAAAAF+/vTc=")</f>
        <v>#REF!</v>
      </c>
      <c r="BE155" t="e">
        <f>AND(NhatkyNhap!#REF!,"AAAAAF+/vTg=")</f>
        <v>#REF!</v>
      </c>
      <c r="BF155" t="e">
        <f>AND(NhatkyNhap!#REF!,"AAAAAF+/vTk=")</f>
        <v>#REF!</v>
      </c>
      <c r="BG155" t="e">
        <f>AND(NhatkyNhap!#REF!,"AAAAAF+/vTo=")</f>
        <v>#REF!</v>
      </c>
      <c r="BH155" t="e">
        <f>AND(NhatkyNhap!#REF!,"AAAAAF+/vTs=")</f>
        <v>#REF!</v>
      </c>
      <c r="BI155" t="e">
        <f>AND(NhatkyNhap!#REF!,"AAAAAF+/vTw=")</f>
        <v>#REF!</v>
      </c>
      <c r="BJ155" t="e">
        <f>AND(NhatkyNhap!#REF!,"AAAAAF+/vT0=")</f>
        <v>#REF!</v>
      </c>
      <c r="BK155" t="e">
        <f>AND(NhatkyNhap!#REF!,"AAAAAF+/vT4=")</f>
        <v>#REF!</v>
      </c>
      <c r="BL155" t="e">
        <f>AND(NhatkyNhap!#REF!,"AAAAAF+/vT8=")</f>
        <v>#REF!</v>
      </c>
      <c r="BM155" t="e">
        <f>AND(NhatkyNhap!#REF!,"AAAAAF+/vUA=")</f>
        <v>#REF!</v>
      </c>
      <c r="BN155" t="e">
        <f>AND(NhatkyNhap!#REF!,"AAAAAF+/vUE=")</f>
        <v>#REF!</v>
      </c>
      <c r="BO155" t="e">
        <f>AND(NhatkyNhap!#REF!,"AAAAAF+/vUI=")</f>
        <v>#REF!</v>
      </c>
      <c r="BP155" t="e">
        <f>AND(NhatkyNhap!#REF!,"AAAAAF+/vUM=")</f>
        <v>#REF!</v>
      </c>
      <c r="BQ155" t="e">
        <f>AND(NhatkyNhap!#REF!,"AAAAAF+/vUQ=")</f>
        <v>#REF!</v>
      </c>
      <c r="BR155" t="e">
        <f>AND(NhatkyNhap!#REF!,"AAAAAF+/vUU=")</f>
        <v>#REF!</v>
      </c>
      <c r="BS155" t="e">
        <f>AND(NhatkyNhap!#REF!,"AAAAAF+/vUY=")</f>
        <v>#REF!</v>
      </c>
      <c r="BT155" t="e">
        <f>IF(NhatkyNhap!#REF!,"AAAAAF+/vUc=",0)</f>
        <v>#REF!</v>
      </c>
      <c r="BU155" t="e">
        <f>AND(NhatkyNhap!#REF!,"AAAAAF+/vUg=")</f>
        <v>#REF!</v>
      </c>
      <c r="BV155" t="e">
        <f>AND(NhatkyNhap!#REF!,"AAAAAF+/vUk=")</f>
        <v>#REF!</v>
      </c>
      <c r="BW155" t="e">
        <f>AND(NhatkyNhap!#REF!,"AAAAAF+/vUo=")</f>
        <v>#REF!</v>
      </c>
      <c r="BX155" t="e">
        <f>AND(NhatkyNhap!#REF!,"AAAAAF+/vUs=")</f>
        <v>#REF!</v>
      </c>
      <c r="BY155" t="e">
        <f>AND(NhatkyNhap!#REF!,"AAAAAF+/vUw=")</f>
        <v>#REF!</v>
      </c>
      <c r="BZ155" t="e">
        <f>AND(NhatkyNhap!#REF!,"AAAAAF+/vU0=")</f>
        <v>#REF!</v>
      </c>
      <c r="CA155" t="e">
        <f>AND(NhatkyNhap!#REF!,"AAAAAF+/vU4=")</f>
        <v>#REF!</v>
      </c>
      <c r="CB155" t="e">
        <f>AND(NhatkyNhap!#REF!,"AAAAAF+/vU8=")</f>
        <v>#REF!</v>
      </c>
      <c r="CC155" t="e">
        <f>AND(NhatkyNhap!#REF!,"AAAAAF+/vVA=")</f>
        <v>#REF!</v>
      </c>
      <c r="CD155" t="e">
        <f>AND(NhatkyNhap!#REF!,"AAAAAF+/vVE=")</f>
        <v>#REF!</v>
      </c>
      <c r="CE155" t="e">
        <f>AND(NhatkyNhap!#REF!,"AAAAAF+/vVI=")</f>
        <v>#REF!</v>
      </c>
      <c r="CF155" t="e">
        <f>AND(NhatkyNhap!#REF!,"AAAAAF+/vVM=")</f>
        <v>#REF!</v>
      </c>
      <c r="CG155" t="e">
        <f>AND(NhatkyNhap!#REF!,"AAAAAF+/vVQ=")</f>
        <v>#REF!</v>
      </c>
      <c r="CH155" t="e">
        <f>AND(NhatkyNhap!#REF!,"AAAAAF+/vVU=")</f>
        <v>#REF!</v>
      </c>
      <c r="CI155" t="e">
        <f>AND(NhatkyNhap!#REF!,"AAAAAF+/vVY=")</f>
        <v>#REF!</v>
      </c>
      <c r="CJ155" t="e">
        <f>AND(NhatkyNhap!#REF!,"AAAAAF+/vVc=")</f>
        <v>#REF!</v>
      </c>
      <c r="CK155" t="e">
        <f>AND(NhatkyNhap!#REF!,"AAAAAF+/vVg=")</f>
        <v>#REF!</v>
      </c>
      <c r="CL155" t="e">
        <f>AND(NhatkyNhap!#REF!,"AAAAAF+/vVk=")</f>
        <v>#REF!</v>
      </c>
      <c r="CM155" t="e">
        <f>AND(NhatkyNhap!#REF!,"AAAAAF+/vVo=")</f>
        <v>#REF!</v>
      </c>
      <c r="CN155" t="e">
        <f>AND(NhatkyNhap!#REF!,"AAAAAF+/vVs=")</f>
        <v>#REF!</v>
      </c>
      <c r="CO155" t="e">
        <f>AND(NhatkyNhap!#REF!,"AAAAAF+/vVw=")</f>
        <v>#REF!</v>
      </c>
      <c r="CP155" t="e">
        <f>AND(NhatkyNhap!#REF!,"AAAAAF+/vV0=")</f>
        <v>#REF!</v>
      </c>
      <c r="CQ155" t="e">
        <f>AND(NhatkyNhap!#REF!,"AAAAAF+/vV4=")</f>
        <v>#REF!</v>
      </c>
      <c r="CR155" t="e">
        <f>AND(NhatkyNhap!#REF!,"AAAAAF+/vV8=")</f>
        <v>#REF!</v>
      </c>
      <c r="CS155" t="e">
        <f>AND(NhatkyNhap!#REF!,"AAAAAF+/vWA=")</f>
        <v>#REF!</v>
      </c>
      <c r="CT155" t="e">
        <f>AND(NhatkyNhap!#REF!,"AAAAAF+/vWE=")</f>
        <v>#REF!</v>
      </c>
      <c r="CU155" t="e">
        <f>AND(NhatkyNhap!#REF!,"AAAAAF+/vWI=")</f>
        <v>#REF!</v>
      </c>
      <c r="CV155" t="e">
        <f>AND(NhatkyNhap!#REF!,"AAAAAF+/vWM=")</f>
        <v>#REF!</v>
      </c>
      <c r="CW155" t="e">
        <f>AND(NhatkyNhap!#REF!,"AAAAAF+/vWQ=")</f>
        <v>#REF!</v>
      </c>
      <c r="CX155" t="e">
        <f>AND(NhatkyNhap!#REF!,"AAAAAF+/vWU=")</f>
        <v>#REF!</v>
      </c>
      <c r="CY155" t="e">
        <f>AND(NhatkyNhap!#REF!,"AAAAAF+/vWY=")</f>
        <v>#REF!</v>
      </c>
      <c r="CZ155" t="e">
        <f>AND(NhatkyNhap!#REF!,"AAAAAF+/vWc=")</f>
        <v>#REF!</v>
      </c>
      <c r="DA155" t="e">
        <f>AND(NhatkyNhap!#REF!,"AAAAAF+/vWg=")</f>
        <v>#REF!</v>
      </c>
      <c r="DB155" t="e">
        <f>AND(NhatkyNhap!#REF!,"AAAAAF+/vWk=")</f>
        <v>#REF!</v>
      </c>
      <c r="DC155" t="e">
        <f>IF(NhatkyNhap!#REF!,"AAAAAF+/vWo=",0)</f>
        <v>#REF!</v>
      </c>
      <c r="DD155" t="e">
        <f>AND(NhatkyNhap!#REF!,"AAAAAF+/vWs=")</f>
        <v>#REF!</v>
      </c>
      <c r="DE155" t="e">
        <f>AND(NhatkyNhap!#REF!,"AAAAAF+/vWw=")</f>
        <v>#REF!</v>
      </c>
      <c r="DF155" t="e">
        <f>AND(NhatkyNhap!#REF!,"AAAAAF+/vW0=")</f>
        <v>#REF!</v>
      </c>
      <c r="DG155" t="e">
        <f>AND(NhatkyNhap!#REF!,"AAAAAF+/vW4=")</f>
        <v>#REF!</v>
      </c>
      <c r="DH155" t="e">
        <f>AND(NhatkyNhap!#REF!,"AAAAAF+/vW8=")</f>
        <v>#REF!</v>
      </c>
      <c r="DI155" t="e">
        <f>AND(NhatkyNhap!#REF!,"AAAAAF+/vXA=")</f>
        <v>#REF!</v>
      </c>
      <c r="DJ155" t="e">
        <f>AND(NhatkyNhap!#REF!,"AAAAAF+/vXE=")</f>
        <v>#REF!</v>
      </c>
      <c r="DK155" t="e">
        <f>AND(NhatkyNhap!#REF!,"AAAAAF+/vXI=")</f>
        <v>#REF!</v>
      </c>
      <c r="DL155" t="e">
        <f>AND(NhatkyNhap!#REF!,"AAAAAF+/vXM=")</f>
        <v>#REF!</v>
      </c>
      <c r="DM155" t="e">
        <f>AND(NhatkyNhap!#REF!,"AAAAAF+/vXQ=")</f>
        <v>#REF!</v>
      </c>
      <c r="DN155" t="e">
        <f>AND(NhatkyNhap!#REF!,"AAAAAF+/vXU=")</f>
        <v>#REF!</v>
      </c>
      <c r="DO155" t="e">
        <f>AND(NhatkyNhap!#REF!,"AAAAAF+/vXY=")</f>
        <v>#REF!</v>
      </c>
      <c r="DP155" t="e">
        <f>AND(NhatkyNhap!#REF!,"AAAAAF+/vXc=")</f>
        <v>#REF!</v>
      </c>
      <c r="DQ155" t="e">
        <f>AND(NhatkyNhap!#REF!,"AAAAAF+/vXg=")</f>
        <v>#REF!</v>
      </c>
      <c r="DR155" t="e">
        <f>AND(NhatkyNhap!#REF!,"AAAAAF+/vXk=")</f>
        <v>#REF!</v>
      </c>
      <c r="DS155" t="e">
        <f>AND(NhatkyNhap!#REF!,"AAAAAF+/vXo=")</f>
        <v>#REF!</v>
      </c>
      <c r="DT155" t="e">
        <f>AND(NhatkyNhap!#REF!,"AAAAAF+/vXs=")</f>
        <v>#REF!</v>
      </c>
      <c r="DU155" t="e">
        <f>AND(NhatkyNhap!#REF!,"AAAAAF+/vXw=")</f>
        <v>#REF!</v>
      </c>
      <c r="DV155" t="e">
        <f>AND(NhatkyNhap!#REF!,"AAAAAF+/vX0=")</f>
        <v>#REF!</v>
      </c>
      <c r="DW155" t="e">
        <f>AND(NhatkyNhap!#REF!,"AAAAAF+/vX4=")</f>
        <v>#REF!</v>
      </c>
      <c r="DX155" t="e">
        <f>AND(NhatkyNhap!#REF!,"AAAAAF+/vX8=")</f>
        <v>#REF!</v>
      </c>
      <c r="DY155" t="e">
        <f>AND(NhatkyNhap!#REF!,"AAAAAF+/vYA=")</f>
        <v>#REF!</v>
      </c>
      <c r="DZ155" t="e">
        <f>AND(NhatkyNhap!#REF!,"AAAAAF+/vYE=")</f>
        <v>#REF!</v>
      </c>
      <c r="EA155" t="e">
        <f>AND(NhatkyNhap!#REF!,"AAAAAF+/vYI=")</f>
        <v>#REF!</v>
      </c>
      <c r="EB155" t="e">
        <f>AND(NhatkyNhap!#REF!,"AAAAAF+/vYM=")</f>
        <v>#REF!</v>
      </c>
      <c r="EC155" t="e">
        <f>AND(NhatkyNhap!#REF!,"AAAAAF+/vYQ=")</f>
        <v>#REF!</v>
      </c>
      <c r="ED155" t="e">
        <f>AND(NhatkyNhap!#REF!,"AAAAAF+/vYU=")</f>
        <v>#REF!</v>
      </c>
      <c r="EE155" t="e">
        <f>AND(NhatkyNhap!#REF!,"AAAAAF+/vYY=")</f>
        <v>#REF!</v>
      </c>
      <c r="EF155" t="e">
        <f>AND(NhatkyNhap!#REF!,"AAAAAF+/vYc=")</f>
        <v>#REF!</v>
      </c>
      <c r="EG155" t="e">
        <f>AND(NhatkyNhap!#REF!,"AAAAAF+/vYg=")</f>
        <v>#REF!</v>
      </c>
      <c r="EH155" t="e">
        <f>AND(NhatkyNhap!#REF!,"AAAAAF+/vYk=")</f>
        <v>#REF!</v>
      </c>
      <c r="EI155" t="e">
        <f>AND(NhatkyNhap!#REF!,"AAAAAF+/vYo=")</f>
        <v>#REF!</v>
      </c>
      <c r="EJ155" t="e">
        <f>AND(NhatkyNhap!#REF!,"AAAAAF+/vYs=")</f>
        <v>#REF!</v>
      </c>
      <c r="EK155" t="e">
        <f>AND(NhatkyNhap!#REF!,"AAAAAF+/vYw=")</f>
        <v>#REF!</v>
      </c>
      <c r="EL155" t="e">
        <f>IF(NhatkyNhap!#REF!,"AAAAAF+/vY0=",0)</f>
        <v>#REF!</v>
      </c>
      <c r="EM155" t="e">
        <f>AND(NhatkyNhap!#REF!,"AAAAAF+/vY4=")</f>
        <v>#REF!</v>
      </c>
      <c r="EN155" t="e">
        <f>AND(NhatkyNhap!#REF!,"AAAAAF+/vY8=")</f>
        <v>#REF!</v>
      </c>
      <c r="EO155" t="e">
        <f>AND(NhatkyNhap!#REF!,"AAAAAF+/vZA=")</f>
        <v>#REF!</v>
      </c>
      <c r="EP155" t="e">
        <f>AND(NhatkyNhap!#REF!,"AAAAAF+/vZE=")</f>
        <v>#REF!</v>
      </c>
      <c r="EQ155" t="e">
        <f>AND(NhatkyNhap!#REF!,"AAAAAF+/vZI=")</f>
        <v>#REF!</v>
      </c>
      <c r="ER155" t="e">
        <f>AND(NhatkyNhap!#REF!,"AAAAAF+/vZM=")</f>
        <v>#REF!</v>
      </c>
      <c r="ES155" t="e">
        <f>AND(NhatkyNhap!#REF!,"AAAAAF+/vZQ=")</f>
        <v>#REF!</v>
      </c>
      <c r="ET155" t="e">
        <f>AND(NhatkyNhap!#REF!,"AAAAAF+/vZU=")</f>
        <v>#REF!</v>
      </c>
      <c r="EU155" t="e">
        <f>AND(NhatkyNhap!#REF!,"AAAAAF+/vZY=")</f>
        <v>#REF!</v>
      </c>
      <c r="EV155" t="e">
        <f>AND(NhatkyNhap!#REF!,"AAAAAF+/vZc=")</f>
        <v>#REF!</v>
      </c>
      <c r="EW155" t="e">
        <f>AND(NhatkyNhap!#REF!,"AAAAAF+/vZg=")</f>
        <v>#REF!</v>
      </c>
      <c r="EX155" t="e">
        <f>AND(NhatkyNhap!#REF!,"AAAAAF+/vZk=")</f>
        <v>#REF!</v>
      </c>
      <c r="EY155" t="e">
        <f>AND(NhatkyNhap!#REF!,"AAAAAF+/vZo=")</f>
        <v>#REF!</v>
      </c>
      <c r="EZ155" t="e">
        <f>AND(NhatkyNhap!#REF!,"AAAAAF+/vZs=")</f>
        <v>#REF!</v>
      </c>
      <c r="FA155" t="e">
        <f>AND(NhatkyNhap!#REF!,"AAAAAF+/vZw=")</f>
        <v>#REF!</v>
      </c>
      <c r="FB155" t="e">
        <f>AND(NhatkyNhap!#REF!,"AAAAAF+/vZ0=")</f>
        <v>#REF!</v>
      </c>
      <c r="FC155" t="e">
        <f>AND(NhatkyNhap!#REF!,"AAAAAF+/vZ4=")</f>
        <v>#REF!</v>
      </c>
      <c r="FD155" t="e">
        <f>AND(NhatkyNhap!#REF!,"AAAAAF+/vZ8=")</f>
        <v>#REF!</v>
      </c>
      <c r="FE155" t="e">
        <f>AND(NhatkyNhap!#REF!,"AAAAAF+/vaA=")</f>
        <v>#REF!</v>
      </c>
      <c r="FF155" t="e">
        <f>AND(NhatkyNhap!#REF!,"AAAAAF+/vaE=")</f>
        <v>#REF!</v>
      </c>
      <c r="FG155" t="e">
        <f>AND(NhatkyNhap!#REF!,"AAAAAF+/vaI=")</f>
        <v>#REF!</v>
      </c>
      <c r="FH155" t="e">
        <f>AND(NhatkyNhap!#REF!,"AAAAAF+/vaM=")</f>
        <v>#REF!</v>
      </c>
      <c r="FI155" t="e">
        <f>AND(NhatkyNhap!#REF!,"AAAAAF+/vaQ=")</f>
        <v>#REF!</v>
      </c>
      <c r="FJ155" t="e">
        <f>AND(NhatkyNhap!#REF!,"AAAAAF+/vaU=")</f>
        <v>#REF!</v>
      </c>
      <c r="FK155" t="e">
        <f>AND(NhatkyNhap!#REF!,"AAAAAF+/vaY=")</f>
        <v>#REF!</v>
      </c>
      <c r="FL155" t="e">
        <f>AND(NhatkyNhap!#REF!,"AAAAAF+/vac=")</f>
        <v>#REF!</v>
      </c>
      <c r="FM155" t="e">
        <f>AND(NhatkyNhap!#REF!,"AAAAAF+/vag=")</f>
        <v>#REF!</v>
      </c>
      <c r="FN155" t="e">
        <f>AND(NhatkyNhap!#REF!,"AAAAAF+/vak=")</f>
        <v>#REF!</v>
      </c>
      <c r="FO155" t="e">
        <f>AND(NhatkyNhap!#REF!,"AAAAAF+/vao=")</f>
        <v>#REF!</v>
      </c>
      <c r="FP155" t="e">
        <f>AND(NhatkyNhap!#REF!,"AAAAAF+/vas=")</f>
        <v>#REF!</v>
      </c>
      <c r="FQ155" t="e">
        <f>AND(NhatkyNhap!#REF!,"AAAAAF+/vaw=")</f>
        <v>#REF!</v>
      </c>
      <c r="FR155" t="e">
        <f>AND(NhatkyNhap!#REF!,"AAAAAF+/va0=")</f>
        <v>#REF!</v>
      </c>
      <c r="FS155" t="e">
        <f>AND(NhatkyNhap!#REF!,"AAAAAF+/va4=")</f>
        <v>#REF!</v>
      </c>
      <c r="FT155" t="e">
        <f>AND(NhatkyNhap!#REF!,"AAAAAF+/va8=")</f>
        <v>#REF!</v>
      </c>
      <c r="FU155" t="e">
        <f>IF(NhatkyNhap!#REF!,"AAAAAF+/vbA=",0)</f>
        <v>#REF!</v>
      </c>
      <c r="FV155" t="e">
        <f>AND(NhatkyNhap!#REF!,"AAAAAF+/vbE=")</f>
        <v>#REF!</v>
      </c>
      <c r="FW155" t="e">
        <f>AND(NhatkyNhap!#REF!,"AAAAAF+/vbI=")</f>
        <v>#REF!</v>
      </c>
      <c r="FX155" t="e">
        <f>AND(NhatkyNhap!#REF!,"AAAAAF+/vbM=")</f>
        <v>#REF!</v>
      </c>
      <c r="FY155" t="e">
        <f>AND(NhatkyNhap!#REF!,"AAAAAF+/vbQ=")</f>
        <v>#REF!</v>
      </c>
      <c r="FZ155" t="e">
        <f>AND(NhatkyNhap!#REF!,"AAAAAF+/vbU=")</f>
        <v>#REF!</v>
      </c>
      <c r="GA155" t="e">
        <f>AND(NhatkyNhap!#REF!,"AAAAAF+/vbY=")</f>
        <v>#REF!</v>
      </c>
      <c r="GB155" t="e">
        <f>AND(NhatkyNhap!#REF!,"AAAAAF+/vbc=")</f>
        <v>#REF!</v>
      </c>
      <c r="GC155" t="e">
        <f>AND(NhatkyNhap!#REF!,"AAAAAF+/vbg=")</f>
        <v>#REF!</v>
      </c>
      <c r="GD155" t="e">
        <f>AND(NhatkyNhap!#REF!,"AAAAAF+/vbk=")</f>
        <v>#REF!</v>
      </c>
      <c r="GE155" t="e">
        <f>AND(NhatkyNhap!#REF!,"AAAAAF+/vbo=")</f>
        <v>#REF!</v>
      </c>
      <c r="GF155" t="e">
        <f>AND(NhatkyNhap!#REF!,"AAAAAF+/vbs=")</f>
        <v>#REF!</v>
      </c>
      <c r="GG155" t="e">
        <f>AND(NhatkyNhap!#REF!,"AAAAAF+/vbw=")</f>
        <v>#REF!</v>
      </c>
      <c r="GH155" t="e">
        <f>AND(NhatkyNhap!#REF!,"AAAAAF+/vb0=")</f>
        <v>#REF!</v>
      </c>
      <c r="GI155" t="e">
        <f>AND(NhatkyNhap!#REF!,"AAAAAF+/vb4=")</f>
        <v>#REF!</v>
      </c>
      <c r="GJ155" t="e">
        <f>AND(NhatkyNhap!#REF!,"AAAAAF+/vb8=")</f>
        <v>#REF!</v>
      </c>
      <c r="GK155" t="e">
        <f>AND(NhatkyNhap!#REF!,"AAAAAF+/vcA=")</f>
        <v>#REF!</v>
      </c>
      <c r="GL155" t="e">
        <f>AND(NhatkyNhap!#REF!,"AAAAAF+/vcE=")</f>
        <v>#REF!</v>
      </c>
      <c r="GM155" t="e">
        <f>AND(NhatkyNhap!#REF!,"AAAAAF+/vcI=")</f>
        <v>#REF!</v>
      </c>
      <c r="GN155" t="e">
        <f>AND(NhatkyNhap!#REF!,"AAAAAF+/vcM=")</f>
        <v>#REF!</v>
      </c>
      <c r="GO155" t="e">
        <f>AND(NhatkyNhap!#REF!,"AAAAAF+/vcQ=")</f>
        <v>#REF!</v>
      </c>
      <c r="GP155" t="e">
        <f>AND(NhatkyNhap!#REF!,"AAAAAF+/vcU=")</f>
        <v>#REF!</v>
      </c>
      <c r="GQ155" t="e">
        <f>AND(NhatkyNhap!#REF!,"AAAAAF+/vcY=")</f>
        <v>#REF!</v>
      </c>
      <c r="GR155" t="e">
        <f>AND(NhatkyNhap!#REF!,"AAAAAF+/vcc=")</f>
        <v>#REF!</v>
      </c>
      <c r="GS155" t="e">
        <f>AND(NhatkyNhap!#REF!,"AAAAAF+/vcg=")</f>
        <v>#REF!</v>
      </c>
      <c r="GT155" t="e">
        <f>AND(NhatkyNhap!#REF!,"AAAAAF+/vck=")</f>
        <v>#REF!</v>
      </c>
      <c r="GU155" t="e">
        <f>AND(NhatkyNhap!#REF!,"AAAAAF+/vco=")</f>
        <v>#REF!</v>
      </c>
      <c r="GV155" t="e">
        <f>AND(NhatkyNhap!#REF!,"AAAAAF+/vcs=")</f>
        <v>#REF!</v>
      </c>
      <c r="GW155" t="e">
        <f>AND(NhatkyNhap!#REF!,"AAAAAF+/vcw=")</f>
        <v>#REF!</v>
      </c>
      <c r="GX155" t="e">
        <f>AND(NhatkyNhap!#REF!,"AAAAAF+/vc0=")</f>
        <v>#REF!</v>
      </c>
      <c r="GY155" t="e">
        <f>AND(NhatkyNhap!#REF!,"AAAAAF+/vc4=")</f>
        <v>#REF!</v>
      </c>
      <c r="GZ155" t="e">
        <f>AND(NhatkyNhap!#REF!,"AAAAAF+/vc8=")</f>
        <v>#REF!</v>
      </c>
      <c r="HA155" t="e">
        <f>AND(NhatkyNhap!#REF!,"AAAAAF+/vdA=")</f>
        <v>#REF!</v>
      </c>
      <c r="HB155" t="e">
        <f>AND(NhatkyNhap!#REF!,"AAAAAF+/vdE=")</f>
        <v>#REF!</v>
      </c>
      <c r="HC155" t="e">
        <f>AND(NhatkyNhap!#REF!,"AAAAAF+/vdI=")</f>
        <v>#REF!</v>
      </c>
      <c r="HD155" t="e">
        <f>IF(NhatkyNhap!#REF!,"AAAAAF+/vdM=",0)</f>
        <v>#REF!</v>
      </c>
      <c r="HE155" t="e">
        <f>AND(NhatkyNhap!#REF!,"AAAAAF+/vdQ=")</f>
        <v>#REF!</v>
      </c>
      <c r="HF155" t="e">
        <f>AND(NhatkyNhap!#REF!,"AAAAAF+/vdU=")</f>
        <v>#REF!</v>
      </c>
      <c r="HG155" t="e">
        <f>AND(NhatkyNhap!#REF!,"AAAAAF+/vdY=")</f>
        <v>#REF!</v>
      </c>
      <c r="HH155" t="e">
        <f>AND(NhatkyNhap!#REF!,"AAAAAF+/vdc=")</f>
        <v>#REF!</v>
      </c>
      <c r="HI155" t="e">
        <f>AND(NhatkyNhap!#REF!,"AAAAAF+/vdg=")</f>
        <v>#REF!</v>
      </c>
      <c r="HJ155" t="e">
        <f>AND(NhatkyNhap!#REF!,"AAAAAF+/vdk=")</f>
        <v>#REF!</v>
      </c>
      <c r="HK155" t="e">
        <f>AND(NhatkyNhap!#REF!,"AAAAAF+/vdo=")</f>
        <v>#REF!</v>
      </c>
      <c r="HL155" t="e">
        <f>AND(NhatkyNhap!#REF!,"AAAAAF+/vds=")</f>
        <v>#REF!</v>
      </c>
      <c r="HM155" t="e">
        <f>AND(NhatkyNhap!#REF!,"AAAAAF+/vdw=")</f>
        <v>#REF!</v>
      </c>
      <c r="HN155" t="e">
        <f>AND(NhatkyNhap!#REF!,"AAAAAF+/vd0=")</f>
        <v>#REF!</v>
      </c>
      <c r="HO155" t="e">
        <f>AND(NhatkyNhap!#REF!,"AAAAAF+/vd4=")</f>
        <v>#REF!</v>
      </c>
      <c r="HP155" t="e">
        <f>AND(NhatkyNhap!#REF!,"AAAAAF+/vd8=")</f>
        <v>#REF!</v>
      </c>
      <c r="HQ155" t="e">
        <f>AND(NhatkyNhap!#REF!,"AAAAAF+/veA=")</f>
        <v>#REF!</v>
      </c>
      <c r="HR155" t="e">
        <f>AND(NhatkyNhap!#REF!,"AAAAAF+/veE=")</f>
        <v>#REF!</v>
      </c>
      <c r="HS155" t="e">
        <f>AND(NhatkyNhap!#REF!,"AAAAAF+/veI=")</f>
        <v>#REF!</v>
      </c>
      <c r="HT155" t="e">
        <f>AND(NhatkyNhap!#REF!,"AAAAAF+/veM=")</f>
        <v>#REF!</v>
      </c>
      <c r="HU155" t="e">
        <f>AND(NhatkyNhap!#REF!,"AAAAAF+/veQ=")</f>
        <v>#REF!</v>
      </c>
      <c r="HV155" t="e">
        <f>AND(NhatkyNhap!#REF!,"AAAAAF+/veU=")</f>
        <v>#REF!</v>
      </c>
      <c r="HW155" t="e">
        <f>AND(NhatkyNhap!#REF!,"AAAAAF+/veY=")</f>
        <v>#REF!</v>
      </c>
      <c r="HX155" t="e">
        <f>AND(NhatkyNhap!#REF!,"AAAAAF+/vec=")</f>
        <v>#REF!</v>
      </c>
      <c r="HY155" t="e">
        <f>AND(NhatkyNhap!#REF!,"AAAAAF+/veg=")</f>
        <v>#REF!</v>
      </c>
      <c r="HZ155" t="e">
        <f>AND(NhatkyNhap!#REF!,"AAAAAF+/vek=")</f>
        <v>#REF!</v>
      </c>
      <c r="IA155" t="e">
        <f>AND(NhatkyNhap!#REF!,"AAAAAF+/veo=")</f>
        <v>#REF!</v>
      </c>
      <c r="IB155" t="e">
        <f>AND(NhatkyNhap!#REF!,"AAAAAF+/ves=")</f>
        <v>#REF!</v>
      </c>
      <c r="IC155" t="e">
        <f>AND(NhatkyNhap!#REF!,"AAAAAF+/vew=")</f>
        <v>#REF!</v>
      </c>
      <c r="ID155" t="e">
        <f>AND(NhatkyNhap!#REF!,"AAAAAF+/ve0=")</f>
        <v>#REF!</v>
      </c>
      <c r="IE155" t="e">
        <f>AND(NhatkyNhap!#REF!,"AAAAAF+/ve4=")</f>
        <v>#REF!</v>
      </c>
      <c r="IF155" t="e">
        <f>AND(NhatkyNhap!#REF!,"AAAAAF+/ve8=")</f>
        <v>#REF!</v>
      </c>
      <c r="IG155" t="e">
        <f>AND(NhatkyNhap!#REF!,"AAAAAF+/vfA=")</f>
        <v>#REF!</v>
      </c>
      <c r="IH155" t="e">
        <f>AND(NhatkyNhap!#REF!,"AAAAAF+/vfE=")</f>
        <v>#REF!</v>
      </c>
      <c r="II155" t="e">
        <f>AND(NhatkyNhap!#REF!,"AAAAAF+/vfI=")</f>
        <v>#REF!</v>
      </c>
      <c r="IJ155" t="e">
        <f>AND(NhatkyNhap!#REF!,"AAAAAF+/vfM=")</f>
        <v>#REF!</v>
      </c>
      <c r="IK155" t="e">
        <f>AND(NhatkyNhap!#REF!,"AAAAAF+/vfQ=")</f>
        <v>#REF!</v>
      </c>
      <c r="IL155" t="e">
        <f>AND(NhatkyNhap!#REF!,"AAAAAF+/vfU=")</f>
        <v>#REF!</v>
      </c>
      <c r="IM155" t="e">
        <f>IF(NhatkyNhap!#REF!,"AAAAAF+/vfY=",0)</f>
        <v>#REF!</v>
      </c>
      <c r="IN155" t="e">
        <f>AND(NhatkyNhap!#REF!,"AAAAAF+/vfc=")</f>
        <v>#REF!</v>
      </c>
      <c r="IO155" t="e">
        <f>AND(NhatkyNhap!#REF!,"AAAAAF+/vfg=")</f>
        <v>#REF!</v>
      </c>
      <c r="IP155" t="e">
        <f>AND(NhatkyNhap!#REF!,"AAAAAF+/vfk=")</f>
        <v>#REF!</v>
      </c>
      <c r="IQ155" t="e">
        <f>AND(NhatkyNhap!#REF!,"AAAAAF+/vfo=")</f>
        <v>#REF!</v>
      </c>
      <c r="IR155" t="e">
        <f>AND(NhatkyNhap!#REF!,"AAAAAF+/vfs=")</f>
        <v>#REF!</v>
      </c>
      <c r="IS155" t="e">
        <f>AND(NhatkyNhap!#REF!,"AAAAAF+/vfw=")</f>
        <v>#REF!</v>
      </c>
      <c r="IT155" t="e">
        <f>AND(NhatkyNhap!#REF!,"AAAAAF+/vf0=")</f>
        <v>#REF!</v>
      </c>
      <c r="IU155" t="e">
        <f>AND(NhatkyNhap!#REF!,"AAAAAF+/vf4=")</f>
        <v>#REF!</v>
      </c>
      <c r="IV155" t="e">
        <f>AND(NhatkyNhap!#REF!,"AAAAAF+/vf8=")</f>
        <v>#REF!</v>
      </c>
    </row>
    <row r="156" spans="1:256">
      <c r="A156" t="e">
        <f>AND(NhatkyNhap!#REF!,"AAAAAFtd+wA=")</f>
        <v>#REF!</v>
      </c>
      <c r="B156" t="e">
        <f>AND(NhatkyNhap!#REF!,"AAAAAFtd+wE=")</f>
        <v>#REF!</v>
      </c>
      <c r="C156" t="e">
        <f>AND(NhatkyNhap!#REF!,"AAAAAFtd+wI=")</f>
        <v>#REF!</v>
      </c>
      <c r="D156" t="e">
        <f>AND(NhatkyNhap!#REF!,"AAAAAFtd+wM=")</f>
        <v>#REF!</v>
      </c>
      <c r="E156" t="e">
        <f>AND(NhatkyNhap!#REF!,"AAAAAFtd+wQ=")</f>
        <v>#REF!</v>
      </c>
      <c r="F156" t="e">
        <f>AND(NhatkyNhap!#REF!,"AAAAAFtd+wU=")</f>
        <v>#REF!</v>
      </c>
      <c r="G156" t="e">
        <f>AND(NhatkyNhap!#REF!,"AAAAAFtd+wY=")</f>
        <v>#REF!</v>
      </c>
      <c r="H156" t="e">
        <f>AND(NhatkyNhap!#REF!,"AAAAAFtd+wc=")</f>
        <v>#REF!</v>
      </c>
      <c r="I156" t="e">
        <f>AND(NhatkyNhap!#REF!,"AAAAAFtd+wg=")</f>
        <v>#REF!</v>
      </c>
      <c r="J156" t="e">
        <f>AND(NhatkyNhap!#REF!,"AAAAAFtd+wk=")</f>
        <v>#REF!</v>
      </c>
      <c r="K156" t="e">
        <f>AND(NhatkyNhap!#REF!,"AAAAAFtd+wo=")</f>
        <v>#REF!</v>
      </c>
      <c r="L156" t="e">
        <f>AND(NhatkyNhap!#REF!,"AAAAAFtd+ws=")</f>
        <v>#REF!</v>
      </c>
      <c r="M156" t="e">
        <f>AND(NhatkyNhap!#REF!,"AAAAAFtd+ww=")</f>
        <v>#REF!</v>
      </c>
      <c r="N156" t="e">
        <f>AND(NhatkyNhap!#REF!,"AAAAAFtd+w0=")</f>
        <v>#REF!</v>
      </c>
      <c r="O156" t="e">
        <f>AND(NhatkyNhap!#REF!,"AAAAAFtd+w4=")</f>
        <v>#REF!</v>
      </c>
      <c r="P156" t="e">
        <f>AND(NhatkyNhap!#REF!,"AAAAAFtd+w8=")</f>
        <v>#REF!</v>
      </c>
      <c r="Q156" t="e">
        <f>AND(NhatkyNhap!#REF!,"AAAAAFtd+xA=")</f>
        <v>#REF!</v>
      </c>
      <c r="R156" t="e">
        <f>AND(NhatkyNhap!#REF!,"AAAAAFtd+xE=")</f>
        <v>#REF!</v>
      </c>
      <c r="S156" t="e">
        <f>AND(NhatkyNhap!#REF!,"AAAAAFtd+xI=")</f>
        <v>#REF!</v>
      </c>
      <c r="T156" t="e">
        <f>AND(NhatkyNhap!#REF!,"AAAAAFtd+xM=")</f>
        <v>#REF!</v>
      </c>
      <c r="U156" t="e">
        <f>AND(NhatkyNhap!#REF!,"AAAAAFtd+xQ=")</f>
        <v>#REF!</v>
      </c>
      <c r="V156" t="e">
        <f>AND(NhatkyNhap!#REF!,"AAAAAFtd+xU=")</f>
        <v>#REF!</v>
      </c>
      <c r="W156" t="e">
        <f>AND(NhatkyNhap!#REF!,"AAAAAFtd+xY=")</f>
        <v>#REF!</v>
      </c>
      <c r="X156" t="e">
        <f>AND(NhatkyNhap!#REF!,"AAAAAFtd+xc=")</f>
        <v>#REF!</v>
      </c>
      <c r="Y156" t="e">
        <f>AND(NhatkyNhap!#REF!,"AAAAAFtd+xg=")</f>
        <v>#REF!</v>
      </c>
      <c r="Z156" t="e">
        <f>IF(NhatkyNhap!#REF!,"AAAAAFtd+xk=",0)</f>
        <v>#REF!</v>
      </c>
      <c r="AA156" t="e">
        <f>AND(NhatkyNhap!#REF!,"AAAAAFtd+xo=")</f>
        <v>#REF!</v>
      </c>
      <c r="AB156" t="e">
        <f>AND(NhatkyNhap!#REF!,"AAAAAFtd+xs=")</f>
        <v>#REF!</v>
      </c>
      <c r="AC156" t="e">
        <f>AND(NhatkyNhap!#REF!,"AAAAAFtd+xw=")</f>
        <v>#REF!</v>
      </c>
      <c r="AD156" t="e">
        <f>AND(NhatkyNhap!#REF!,"AAAAAFtd+x0=")</f>
        <v>#REF!</v>
      </c>
      <c r="AE156" t="e">
        <f>AND(NhatkyNhap!#REF!,"AAAAAFtd+x4=")</f>
        <v>#REF!</v>
      </c>
      <c r="AF156" t="e">
        <f>AND(NhatkyNhap!#REF!,"AAAAAFtd+x8=")</f>
        <v>#REF!</v>
      </c>
      <c r="AG156" t="e">
        <f>AND(NhatkyNhap!#REF!,"AAAAAFtd+yA=")</f>
        <v>#REF!</v>
      </c>
      <c r="AH156" t="e">
        <f>AND(NhatkyNhap!#REF!,"AAAAAFtd+yE=")</f>
        <v>#REF!</v>
      </c>
      <c r="AI156" t="e">
        <f>AND(NhatkyNhap!#REF!,"AAAAAFtd+yI=")</f>
        <v>#REF!</v>
      </c>
      <c r="AJ156" t="e">
        <f>AND(NhatkyNhap!#REF!,"AAAAAFtd+yM=")</f>
        <v>#REF!</v>
      </c>
      <c r="AK156" t="e">
        <f>AND(NhatkyNhap!#REF!,"AAAAAFtd+yQ=")</f>
        <v>#REF!</v>
      </c>
      <c r="AL156" t="e">
        <f>AND(NhatkyNhap!#REF!,"AAAAAFtd+yU=")</f>
        <v>#REF!</v>
      </c>
      <c r="AM156" t="e">
        <f>AND(NhatkyNhap!#REF!,"AAAAAFtd+yY=")</f>
        <v>#REF!</v>
      </c>
      <c r="AN156" t="e">
        <f>AND(NhatkyNhap!#REF!,"AAAAAFtd+yc=")</f>
        <v>#REF!</v>
      </c>
      <c r="AO156" t="e">
        <f>AND(NhatkyNhap!#REF!,"AAAAAFtd+yg=")</f>
        <v>#REF!</v>
      </c>
      <c r="AP156" t="e">
        <f>AND(NhatkyNhap!#REF!,"AAAAAFtd+yk=")</f>
        <v>#REF!</v>
      </c>
      <c r="AQ156" t="e">
        <f>AND(NhatkyNhap!#REF!,"AAAAAFtd+yo=")</f>
        <v>#REF!</v>
      </c>
      <c r="AR156" t="e">
        <f>AND(NhatkyNhap!#REF!,"AAAAAFtd+ys=")</f>
        <v>#REF!</v>
      </c>
      <c r="AS156" t="e">
        <f>AND(NhatkyNhap!#REF!,"AAAAAFtd+yw=")</f>
        <v>#REF!</v>
      </c>
      <c r="AT156" t="e">
        <f>AND(NhatkyNhap!#REF!,"AAAAAFtd+y0=")</f>
        <v>#REF!</v>
      </c>
      <c r="AU156" t="e">
        <f>AND(NhatkyNhap!#REF!,"AAAAAFtd+y4=")</f>
        <v>#REF!</v>
      </c>
      <c r="AV156" t="e">
        <f>AND(NhatkyNhap!#REF!,"AAAAAFtd+y8=")</f>
        <v>#REF!</v>
      </c>
      <c r="AW156" t="e">
        <f>AND(NhatkyNhap!#REF!,"AAAAAFtd+zA=")</f>
        <v>#REF!</v>
      </c>
      <c r="AX156" t="e">
        <f>AND(NhatkyNhap!#REF!,"AAAAAFtd+zE=")</f>
        <v>#REF!</v>
      </c>
      <c r="AY156" t="e">
        <f>AND(NhatkyNhap!#REF!,"AAAAAFtd+zI=")</f>
        <v>#REF!</v>
      </c>
      <c r="AZ156" t="e">
        <f>AND(NhatkyNhap!#REF!,"AAAAAFtd+zM=")</f>
        <v>#REF!</v>
      </c>
      <c r="BA156" t="e">
        <f>AND(NhatkyNhap!#REF!,"AAAAAFtd+zQ=")</f>
        <v>#REF!</v>
      </c>
      <c r="BB156" t="e">
        <f>AND(NhatkyNhap!#REF!,"AAAAAFtd+zU=")</f>
        <v>#REF!</v>
      </c>
      <c r="BC156" t="e">
        <f>AND(NhatkyNhap!#REF!,"AAAAAFtd+zY=")</f>
        <v>#REF!</v>
      </c>
      <c r="BD156" t="e">
        <f>AND(NhatkyNhap!#REF!,"AAAAAFtd+zc=")</f>
        <v>#REF!</v>
      </c>
      <c r="BE156" t="e">
        <f>AND(NhatkyNhap!#REF!,"AAAAAFtd+zg=")</f>
        <v>#REF!</v>
      </c>
      <c r="BF156" t="e">
        <f>AND(NhatkyNhap!#REF!,"AAAAAFtd+zk=")</f>
        <v>#REF!</v>
      </c>
      <c r="BG156" t="e">
        <f>AND(NhatkyNhap!#REF!,"AAAAAFtd+zo=")</f>
        <v>#REF!</v>
      </c>
      <c r="BH156" t="e">
        <f>AND(NhatkyNhap!#REF!,"AAAAAFtd+zs=")</f>
        <v>#REF!</v>
      </c>
      <c r="BI156" t="e">
        <f>IF(NhatkyNhap!#REF!,"AAAAAFtd+zw=",0)</f>
        <v>#REF!</v>
      </c>
      <c r="BJ156" t="e">
        <f>AND(NhatkyNhap!#REF!,"AAAAAFtd+z0=")</f>
        <v>#REF!</v>
      </c>
      <c r="BK156" t="e">
        <f>AND(NhatkyNhap!#REF!,"AAAAAFtd+z4=")</f>
        <v>#REF!</v>
      </c>
      <c r="BL156" t="e">
        <f>AND(NhatkyNhap!#REF!,"AAAAAFtd+z8=")</f>
        <v>#REF!</v>
      </c>
      <c r="BM156" t="e">
        <f>AND(NhatkyNhap!#REF!,"AAAAAFtd+0A=")</f>
        <v>#REF!</v>
      </c>
      <c r="BN156" t="e">
        <f>AND(NhatkyNhap!#REF!,"AAAAAFtd+0E=")</f>
        <v>#REF!</v>
      </c>
      <c r="BO156" t="e">
        <f>AND(NhatkyNhap!#REF!,"AAAAAFtd+0I=")</f>
        <v>#REF!</v>
      </c>
      <c r="BP156" t="e">
        <f>AND(NhatkyNhap!#REF!,"AAAAAFtd+0M=")</f>
        <v>#REF!</v>
      </c>
      <c r="BQ156" t="e">
        <f>AND(NhatkyNhap!#REF!,"AAAAAFtd+0Q=")</f>
        <v>#REF!</v>
      </c>
      <c r="BR156" t="e">
        <f>AND(NhatkyNhap!#REF!,"AAAAAFtd+0U=")</f>
        <v>#REF!</v>
      </c>
      <c r="BS156" t="e">
        <f>AND(NhatkyNhap!#REF!,"AAAAAFtd+0Y=")</f>
        <v>#REF!</v>
      </c>
      <c r="BT156" t="e">
        <f>AND(NhatkyNhap!#REF!,"AAAAAFtd+0c=")</f>
        <v>#REF!</v>
      </c>
      <c r="BU156" t="e">
        <f>AND(NhatkyNhap!#REF!,"AAAAAFtd+0g=")</f>
        <v>#REF!</v>
      </c>
      <c r="BV156" t="e">
        <f>AND(NhatkyNhap!#REF!,"AAAAAFtd+0k=")</f>
        <v>#REF!</v>
      </c>
      <c r="BW156" t="e">
        <f>AND(NhatkyNhap!#REF!,"AAAAAFtd+0o=")</f>
        <v>#REF!</v>
      </c>
      <c r="BX156" t="e">
        <f>AND(NhatkyNhap!#REF!,"AAAAAFtd+0s=")</f>
        <v>#REF!</v>
      </c>
      <c r="BY156" t="e">
        <f>AND(NhatkyNhap!#REF!,"AAAAAFtd+0w=")</f>
        <v>#REF!</v>
      </c>
      <c r="BZ156" t="e">
        <f>AND(NhatkyNhap!#REF!,"AAAAAFtd+00=")</f>
        <v>#REF!</v>
      </c>
      <c r="CA156" t="e">
        <f>AND(NhatkyNhap!#REF!,"AAAAAFtd+04=")</f>
        <v>#REF!</v>
      </c>
      <c r="CB156" t="e">
        <f>AND(NhatkyNhap!#REF!,"AAAAAFtd+08=")</f>
        <v>#REF!</v>
      </c>
      <c r="CC156" t="e">
        <f>AND(NhatkyNhap!#REF!,"AAAAAFtd+1A=")</f>
        <v>#REF!</v>
      </c>
      <c r="CD156" t="e">
        <f>AND(NhatkyNhap!#REF!,"AAAAAFtd+1E=")</f>
        <v>#REF!</v>
      </c>
      <c r="CE156" t="e">
        <f>AND(NhatkyNhap!#REF!,"AAAAAFtd+1I=")</f>
        <v>#REF!</v>
      </c>
      <c r="CF156" t="e">
        <f>AND(NhatkyNhap!#REF!,"AAAAAFtd+1M=")</f>
        <v>#REF!</v>
      </c>
      <c r="CG156" t="e">
        <f>AND(NhatkyNhap!#REF!,"AAAAAFtd+1Q=")</f>
        <v>#REF!</v>
      </c>
      <c r="CH156" t="e">
        <f>AND(NhatkyNhap!#REF!,"AAAAAFtd+1U=")</f>
        <v>#REF!</v>
      </c>
      <c r="CI156" t="e">
        <f>AND(NhatkyNhap!#REF!,"AAAAAFtd+1Y=")</f>
        <v>#REF!</v>
      </c>
      <c r="CJ156" t="e">
        <f>AND(NhatkyNhap!#REF!,"AAAAAFtd+1c=")</f>
        <v>#REF!</v>
      </c>
      <c r="CK156" t="e">
        <f>AND(NhatkyNhap!#REF!,"AAAAAFtd+1g=")</f>
        <v>#REF!</v>
      </c>
      <c r="CL156" t="e">
        <f>AND(NhatkyNhap!#REF!,"AAAAAFtd+1k=")</f>
        <v>#REF!</v>
      </c>
      <c r="CM156" t="e">
        <f>AND(NhatkyNhap!#REF!,"AAAAAFtd+1o=")</f>
        <v>#REF!</v>
      </c>
      <c r="CN156" t="e">
        <f>AND(NhatkyNhap!#REF!,"AAAAAFtd+1s=")</f>
        <v>#REF!</v>
      </c>
      <c r="CO156" t="e">
        <f>AND(NhatkyNhap!#REF!,"AAAAAFtd+1w=")</f>
        <v>#REF!</v>
      </c>
      <c r="CP156" t="e">
        <f>AND(NhatkyNhap!#REF!,"AAAAAFtd+10=")</f>
        <v>#REF!</v>
      </c>
      <c r="CQ156" t="e">
        <f>AND(NhatkyNhap!#REF!,"AAAAAFtd+14=")</f>
        <v>#REF!</v>
      </c>
      <c r="CR156" t="e">
        <f>IF(NhatkyNhap!#REF!,"AAAAAFtd+18=",0)</f>
        <v>#REF!</v>
      </c>
      <c r="CS156" t="e">
        <f>AND(NhatkyNhap!#REF!,"AAAAAFtd+2A=")</f>
        <v>#REF!</v>
      </c>
      <c r="CT156" t="e">
        <f>AND(NhatkyNhap!#REF!,"AAAAAFtd+2E=")</f>
        <v>#REF!</v>
      </c>
      <c r="CU156" t="e">
        <f>AND(NhatkyNhap!#REF!,"AAAAAFtd+2I=")</f>
        <v>#REF!</v>
      </c>
      <c r="CV156" t="e">
        <f>AND(NhatkyNhap!#REF!,"AAAAAFtd+2M=")</f>
        <v>#REF!</v>
      </c>
      <c r="CW156" t="e">
        <f>AND(NhatkyNhap!#REF!,"AAAAAFtd+2Q=")</f>
        <v>#REF!</v>
      </c>
      <c r="CX156" t="e">
        <f>AND(NhatkyNhap!#REF!,"AAAAAFtd+2U=")</f>
        <v>#REF!</v>
      </c>
      <c r="CY156" t="e">
        <f>AND(NhatkyNhap!#REF!,"AAAAAFtd+2Y=")</f>
        <v>#REF!</v>
      </c>
      <c r="CZ156" t="e">
        <f>AND(NhatkyNhap!#REF!,"AAAAAFtd+2c=")</f>
        <v>#REF!</v>
      </c>
      <c r="DA156" t="e">
        <f>AND(NhatkyNhap!#REF!,"AAAAAFtd+2g=")</f>
        <v>#REF!</v>
      </c>
      <c r="DB156" t="e">
        <f>AND(NhatkyNhap!#REF!,"AAAAAFtd+2k=")</f>
        <v>#REF!</v>
      </c>
      <c r="DC156" t="e">
        <f>AND(NhatkyNhap!#REF!,"AAAAAFtd+2o=")</f>
        <v>#REF!</v>
      </c>
      <c r="DD156" t="e">
        <f>AND(NhatkyNhap!#REF!,"AAAAAFtd+2s=")</f>
        <v>#REF!</v>
      </c>
      <c r="DE156" t="e">
        <f>AND(NhatkyNhap!#REF!,"AAAAAFtd+2w=")</f>
        <v>#REF!</v>
      </c>
      <c r="DF156" t="e">
        <f>AND(NhatkyNhap!#REF!,"AAAAAFtd+20=")</f>
        <v>#REF!</v>
      </c>
      <c r="DG156" t="e">
        <f>AND(NhatkyNhap!#REF!,"AAAAAFtd+24=")</f>
        <v>#REF!</v>
      </c>
      <c r="DH156" t="e">
        <f>AND(NhatkyNhap!#REF!,"AAAAAFtd+28=")</f>
        <v>#REF!</v>
      </c>
      <c r="DI156" t="e">
        <f>AND(NhatkyNhap!#REF!,"AAAAAFtd+3A=")</f>
        <v>#REF!</v>
      </c>
      <c r="DJ156" t="e">
        <f>AND(NhatkyNhap!#REF!,"AAAAAFtd+3E=")</f>
        <v>#REF!</v>
      </c>
      <c r="DK156" t="e">
        <f>AND(NhatkyNhap!#REF!,"AAAAAFtd+3I=")</f>
        <v>#REF!</v>
      </c>
      <c r="DL156" t="e">
        <f>AND(NhatkyNhap!#REF!,"AAAAAFtd+3M=")</f>
        <v>#REF!</v>
      </c>
      <c r="DM156" t="e">
        <f>AND(NhatkyNhap!#REF!,"AAAAAFtd+3Q=")</f>
        <v>#REF!</v>
      </c>
      <c r="DN156" t="e">
        <f>AND(NhatkyNhap!#REF!,"AAAAAFtd+3U=")</f>
        <v>#REF!</v>
      </c>
      <c r="DO156" t="e">
        <f>AND(NhatkyNhap!#REF!,"AAAAAFtd+3Y=")</f>
        <v>#REF!</v>
      </c>
      <c r="DP156" t="e">
        <f>AND(NhatkyNhap!#REF!,"AAAAAFtd+3c=")</f>
        <v>#REF!</v>
      </c>
      <c r="DQ156" t="e">
        <f>AND(NhatkyNhap!#REF!,"AAAAAFtd+3g=")</f>
        <v>#REF!</v>
      </c>
      <c r="DR156" t="e">
        <f>AND(NhatkyNhap!#REF!,"AAAAAFtd+3k=")</f>
        <v>#REF!</v>
      </c>
      <c r="DS156" t="e">
        <f>AND(NhatkyNhap!#REF!,"AAAAAFtd+3o=")</f>
        <v>#REF!</v>
      </c>
      <c r="DT156" t="e">
        <f>AND(NhatkyNhap!#REF!,"AAAAAFtd+3s=")</f>
        <v>#REF!</v>
      </c>
      <c r="DU156" t="e">
        <f>AND(NhatkyNhap!#REF!,"AAAAAFtd+3w=")</f>
        <v>#REF!</v>
      </c>
      <c r="DV156" t="e">
        <f>AND(NhatkyNhap!#REF!,"AAAAAFtd+30=")</f>
        <v>#REF!</v>
      </c>
      <c r="DW156" t="e">
        <f>AND(NhatkyNhap!#REF!,"AAAAAFtd+34=")</f>
        <v>#REF!</v>
      </c>
      <c r="DX156" t="e">
        <f>AND(NhatkyNhap!#REF!,"AAAAAFtd+38=")</f>
        <v>#REF!</v>
      </c>
      <c r="DY156" t="e">
        <f>AND(NhatkyNhap!#REF!,"AAAAAFtd+4A=")</f>
        <v>#REF!</v>
      </c>
      <c r="DZ156" t="e">
        <f>AND(NhatkyNhap!#REF!,"AAAAAFtd+4E=")</f>
        <v>#REF!</v>
      </c>
      <c r="EA156" t="e">
        <f>IF(NhatkyNhap!#REF!,"AAAAAFtd+4I=",0)</f>
        <v>#REF!</v>
      </c>
      <c r="EB156" t="e">
        <f>AND(NhatkyNhap!#REF!,"AAAAAFtd+4M=")</f>
        <v>#REF!</v>
      </c>
      <c r="EC156" t="e">
        <f>AND(NhatkyNhap!#REF!,"AAAAAFtd+4Q=")</f>
        <v>#REF!</v>
      </c>
      <c r="ED156" t="e">
        <f>AND(NhatkyNhap!#REF!,"AAAAAFtd+4U=")</f>
        <v>#REF!</v>
      </c>
      <c r="EE156" t="e">
        <f>AND(NhatkyNhap!#REF!,"AAAAAFtd+4Y=")</f>
        <v>#REF!</v>
      </c>
      <c r="EF156" t="e">
        <f>AND(NhatkyNhap!#REF!,"AAAAAFtd+4c=")</f>
        <v>#REF!</v>
      </c>
      <c r="EG156" t="e">
        <f>AND(NhatkyNhap!#REF!,"AAAAAFtd+4g=")</f>
        <v>#REF!</v>
      </c>
      <c r="EH156" t="e">
        <f>AND(NhatkyNhap!#REF!,"AAAAAFtd+4k=")</f>
        <v>#REF!</v>
      </c>
      <c r="EI156" t="e">
        <f>AND(NhatkyNhap!#REF!,"AAAAAFtd+4o=")</f>
        <v>#REF!</v>
      </c>
      <c r="EJ156" t="e">
        <f>AND(NhatkyNhap!#REF!,"AAAAAFtd+4s=")</f>
        <v>#REF!</v>
      </c>
      <c r="EK156" t="e">
        <f>AND(NhatkyNhap!#REF!,"AAAAAFtd+4w=")</f>
        <v>#REF!</v>
      </c>
      <c r="EL156" t="e">
        <f>AND(NhatkyNhap!#REF!,"AAAAAFtd+40=")</f>
        <v>#REF!</v>
      </c>
      <c r="EM156" t="e">
        <f>AND(NhatkyNhap!#REF!,"AAAAAFtd+44=")</f>
        <v>#REF!</v>
      </c>
      <c r="EN156" t="e">
        <f>AND(NhatkyNhap!#REF!,"AAAAAFtd+48=")</f>
        <v>#REF!</v>
      </c>
      <c r="EO156" t="e">
        <f>AND(NhatkyNhap!#REF!,"AAAAAFtd+5A=")</f>
        <v>#REF!</v>
      </c>
      <c r="EP156" t="e">
        <f>AND(NhatkyNhap!#REF!,"AAAAAFtd+5E=")</f>
        <v>#REF!</v>
      </c>
      <c r="EQ156" t="e">
        <f>AND(NhatkyNhap!#REF!,"AAAAAFtd+5I=")</f>
        <v>#REF!</v>
      </c>
      <c r="ER156" t="e">
        <f>AND(NhatkyNhap!#REF!,"AAAAAFtd+5M=")</f>
        <v>#REF!</v>
      </c>
      <c r="ES156" t="e">
        <f>AND(NhatkyNhap!#REF!,"AAAAAFtd+5Q=")</f>
        <v>#REF!</v>
      </c>
      <c r="ET156" t="e">
        <f>AND(NhatkyNhap!#REF!,"AAAAAFtd+5U=")</f>
        <v>#REF!</v>
      </c>
      <c r="EU156" t="e">
        <f>AND(NhatkyNhap!#REF!,"AAAAAFtd+5Y=")</f>
        <v>#REF!</v>
      </c>
      <c r="EV156" t="e">
        <f>AND(NhatkyNhap!#REF!,"AAAAAFtd+5c=")</f>
        <v>#REF!</v>
      </c>
      <c r="EW156" t="e">
        <f>AND(NhatkyNhap!#REF!,"AAAAAFtd+5g=")</f>
        <v>#REF!</v>
      </c>
      <c r="EX156" t="e">
        <f>AND(NhatkyNhap!#REF!,"AAAAAFtd+5k=")</f>
        <v>#REF!</v>
      </c>
      <c r="EY156" t="e">
        <f>AND(NhatkyNhap!#REF!,"AAAAAFtd+5o=")</f>
        <v>#REF!</v>
      </c>
      <c r="EZ156" t="e">
        <f>AND(NhatkyNhap!#REF!,"AAAAAFtd+5s=")</f>
        <v>#REF!</v>
      </c>
      <c r="FA156" t="e">
        <f>AND(NhatkyNhap!#REF!,"AAAAAFtd+5w=")</f>
        <v>#REF!</v>
      </c>
      <c r="FB156" t="e">
        <f>AND(NhatkyNhap!#REF!,"AAAAAFtd+50=")</f>
        <v>#REF!</v>
      </c>
      <c r="FC156" t="e">
        <f>AND(NhatkyNhap!#REF!,"AAAAAFtd+54=")</f>
        <v>#REF!</v>
      </c>
      <c r="FD156" t="e">
        <f>AND(NhatkyNhap!#REF!,"AAAAAFtd+58=")</f>
        <v>#REF!</v>
      </c>
      <c r="FE156" t="e">
        <f>AND(NhatkyNhap!#REF!,"AAAAAFtd+6A=")</f>
        <v>#REF!</v>
      </c>
      <c r="FF156" t="e">
        <f>AND(NhatkyNhap!#REF!,"AAAAAFtd+6E=")</f>
        <v>#REF!</v>
      </c>
      <c r="FG156" t="e">
        <f>AND(NhatkyNhap!#REF!,"AAAAAFtd+6I=")</f>
        <v>#REF!</v>
      </c>
      <c r="FH156" t="e">
        <f>AND(NhatkyNhap!#REF!,"AAAAAFtd+6M=")</f>
        <v>#REF!</v>
      </c>
      <c r="FI156" t="e">
        <f>AND(NhatkyNhap!#REF!,"AAAAAFtd+6Q=")</f>
        <v>#REF!</v>
      </c>
      <c r="FJ156" t="e">
        <f>IF(NhatkyNhap!#REF!,"AAAAAFtd+6U=",0)</f>
        <v>#REF!</v>
      </c>
      <c r="FK156" t="e">
        <f>AND(NhatkyNhap!#REF!,"AAAAAFtd+6Y=")</f>
        <v>#REF!</v>
      </c>
      <c r="FL156" t="e">
        <f>AND(NhatkyNhap!#REF!,"AAAAAFtd+6c=")</f>
        <v>#REF!</v>
      </c>
      <c r="FM156" t="e">
        <f>AND(NhatkyNhap!#REF!,"AAAAAFtd+6g=")</f>
        <v>#REF!</v>
      </c>
      <c r="FN156" t="e">
        <f>AND(NhatkyNhap!#REF!,"AAAAAFtd+6k=")</f>
        <v>#REF!</v>
      </c>
      <c r="FO156" t="e">
        <f>AND(NhatkyNhap!#REF!,"AAAAAFtd+6o=")</f>
        <v>#REF!</v>
      </c>
      <c r="FP156" t="e">
        <f>AND(NhatkyNhap!#REF!,"AAAAAFtd+6s=")</f>
        <v>#REF!</v>
      </c>
      <c r="FQ156" t="e">
        <f>AND(NhatkyNhap!#REF!,"AAAAAFtd+6w=")</f>
        <v>#REF!</v>
      </c>
      <c r="FR156" t="e">
        <f>AND(NhatkyNhap!#REF!,"AAAAAFtd+60=")</f>
        <v>#REF!</v>
      </c>
      <c r="FS156" t="e">
        <f>AND(NhatkyNhap!#REF!,"AAAAAFtd+64=")</f>
        <v>#REF!</v>
      </c>
      <c r="FT156" t="e">
        <f>AND(NhatkyNhap!#REF!,"AAAAAFtd+68=")</f>
        <v>#REF!</v>
      </c>
      <c r="FU156" t="e">
        <f>AND(NhatkyNhap!#REF!,"AAAAAFtd+7A=")</f>
        <v>#REF!</v>
      </c>
      <c r="FV156" t="e">
        <f>AND(NhatkyNhap!#REF!,"AAAAAFtd+7E=")</f>
        <v>#REF!</v>
      </c>
      <c r="FW156" t="e">
        <f>AND(NhatkyNhap!#REF!,"AAAAAFtd+7I=")</f>
        <v>#REF!</v>
      </c>
      <c r="FX156" t="e">
        <f>AND(NhatkyNhap!#REF!,"AAAAAFtd+7M=")</f>
        <v>#REF!</v>
      </c>
      <c r="FY156" t="e">
        <f>AND(NhatkyNhap!#REF!,"AAAAAFtd+7Q=")</f>
        <v>#REF!</v>
      </c>
      <c r="FZ156" t="e">
        <f>AND(NhatkyNhap!#REF!,"AAAAAFtd+7U=")</f>
        <v>#REF!</v>
      </c>
      <c r="GA156" t="e">
        <f>AND(NhatkyNhap!#REF!,"AAAAAFtd+7Y=")</f>
        <v>#REF!</v>
      </c>
      <c r="GB156" t="e">
        <f>AND(NhatkyNhap!#REF!,"AAAAAFtd+7c=")</f>
        <v>#REF!</v>
      </c>
      <c r="GC156" t="e">
        <f>AND(NhatkyNhap!#REF!,"AAAAAFtd+7g=")</f>
        <v>#REF!</v>
      </c>
      <c r="GD156" t="e">
        <f>AND(NhatkyNhap!#REF!,"AAAAAFtd+7k=")</f>
        <v>#REF!</v>
      </c>
      <c r="GE156" t="e">
        <f>AND(NhatkyNhap!#REF!,"AAAAAFtd+7o=")</f>
        <v>#REF!</v>
      </c>
      <c r="GF156" t="e">
        <f>AND(NhatkyNhap!#REF!,"AAAAAFtd+7s=")</f>
        <v>#REF!</v>
      </c>
      <c r="GG156" t="e">
        <f>AND(NhatkyNhap!#REF!,"AAAAAFtd+7w=")</f>
        <v>#REF!</v>
      </c>
      <c r="GH156" t="e">
        <f>AND(NhatkyNhap!#REF!,"AAAAAFtd+70=")</f>
        <v>#REF!</v>
      </c>
      <c r="GI156" t="e">
        <f>AND(NhatkyNhap!#REF!,"AAAAAFtd+74=")</f>
        <v>#REF!</v>
      </c>
      <c r="GJ156" t="e">
        <f>AND(NhatkyNhap!#REF!,"AAAAAFtd+78=")</f>
        <v>#REF!</v>
      </c>
      <c r="GK156" t="e">
        <f>AND(NhatkyNhap!#REF!,"AAAAAFtd+8A=")</f>
        <v>#REF!</v>
      </c>
      <c r="GL156" t="e">
        <f>AND(NhatkyNhap!#REF!,"AAAAAFtd+8E=")</f>
        <v>#REF!</v>
      </c>
      <c r="GM156" t="e">
        <f>AND(NhatkyNhap!#REF!,"AAAAAFtd+8I=")</f>
        <v>#REF!</v>
      </c>
      <c r="GN156" t="e">
        <f>AND(NhatkyNhap!#REF!,"AAAAAFtd+8M=")</f>
        <v>#REF!</v>
      </c>
      <c r="GO156" t="e">
        <f>AND(NhatkyNhap!#REF!,"AAAAAFtd+8Q=")</f>
        <v>#REF!</v>
      </c>
      <c r="GP156" t="e">
        <f>AND(NhatkyNhap!#REF!,"AAAAAFtd+8U=")</f>
        <v>#REF!</v>
      </c>
      <c r="GQ156" t="e">
        <f>AND(NhatkyNhap!#REF!,"AAAAAFtd+8Y=")</f>
        <v>#REF!</v>
      </c>
      <c r="GR156" t="e">
        <f>AND(NhatkyNhap!#REF!,"AAAAAFtd+8c=")</f>
        <v>#REF!</v>
      </c>
      <c r="GS156" t="e">
        <f>IF(NhatkyNhap!#REF!,"AAAAAFtd+8g=",0)</f>
        <v>#REF!</v>
      </c>
      <c r="GT156" t="e">
        <f>AND(NhatkyNhap!#REF!,"AAAAAFtd+8k=")</f>
        <v>#REF!</v>
      </c>
      <c r="GU156" t="e">
        <f>AND(NhatkyNhap!#REF!,"AAAAAFtd+8o=")</f>
        <v>#REF!</v>
      </c>
      <c r="GV156" t="e">
        <f>AND(NhatkyNhap!#REF!,"AAAAAFtd+8s=")</f>
        <v>#REF!</v>
      </c>
      <c r="GW156" t="e">
        <f>AND(NhatkyNhap!#REF!,"AAAAAFtd+8w=")</f>
        <v>#REF!</v>
      </c>
      <c r="GX156" t="e">
        <f>AND(NhatkyNhap!#REF!,"AAAAAFtd+80=")</f>
        <v>#REF!</v>
      </c>
      <c r="GY156" t="e">
        <f>AND(NhatkyNhap!#REF!,"AAAAAFtd+84=")</f>
        <v>#REF!</v>
      </c>
      <c r="GZ156" t="e">
        <f>AND(NhatkyNhap!#REF!,"AAAAAFtd+88=")</f>
        <v>#REF!</v>
      </c>
      <c r="HA156" t="e">
        <f>AND(NhatkyNhap!#REF!,"AAAAAFtd+9A=")</f>
        <v>#REF!</v>
      </c>
      <c r="HB156" t="e">
        <f>AND(NhatkyNhap!#REF!,"AAAAAFtd+9E=")</f>
        <v>#REF!</v>
      </c>
      <c r="HC156" t="e">
        <f>AND(NhatkyNhap!#REF!,"AAAAAFtd+9I=")</f>
        <v>#REF!</v>
      </c>
      <c r="HD156" t="e">
        <f>AND(NhatkyNhap!#REF!,"AAAAAFtd+9M=")</f>
        <v>#REF!</v>
      </c>
      <c r="HE156" t="e">
        <f>AND(NhatkyNhap!#REF!,"AAAAAFtd+9Q=")</f>
        <v>#REF!</v>
      </c>
      <c r="HF156" t="e">
        <f>AND(NhatkyNhap!#REF!,"AAAAAFtd+9U=")</f>
        <v>#REF!</v>
      </c>
      <c r="HG156" t="e">
        <f>AND(NhatkyNhap!#REF!,"AAAAAFtd+9Y=")</f>
        <v>#REF!</v>
      </c>
      <c r="HH156" t="e">
        <f>AND(NhatkyNhap!#REF!,"AAAAAFtd+9c=")</f>
        <v>#REF!</v>
      </c>
      <c r="HI156" t="e">
        <f>AND(NhatkyNhap!#REF!,"AAAAAFtd+9g=")</f>
        <v>#REF!</v>
      </c>
      <c r="HJ156" t="e">
        <f>AND(NhatkyNhap!#REF!,"AAAAAFtd+9k=")</f>
        <v>#REF!</v>
      </c>
      <c r="HK156" t="e">
        <f>AND(NhatkyNhap!#REF!,"AAAAAFtd+9o=")</f>
        <v>#REF!</v>
      </c>
      <c r="HL156" t="e">
        <f>AND(NhatkyNhap!#REF!,"AAAAAFtd+9s=")</f>
        <v>#REF!</v>
      </c>
      <c r="HM156" t="e">
        <f>AND(NhatkyNhap!#REF!,"AAAAAFtd+9w=")</f>
        <v>#REF!</v>
      </c>
      <c r="HN156" t="e">
        <f>AND(NhatkyNhap!#REF!,"AAAAAFtd+90=")</f>
        <v>#REF!</v>
      </c>
      <c r="HO156" t="e">
        <f>AND(NhatkyNhap!#REF!,"AAAAAFtd+94=")</f>
        <v>#REF!</v>
      </c>
      <c r="HP156" t="e">
        <f>AND(NhatkyNhap!#REF!,"AAAAAFtd+98=")</f>
        <v>#REF!</v>
      </c>
      <c r="HQ156" t="e">
        <f>AND(NhatkyNhap!#REF!,"AAAAAFtd++A=")</f>
        <v>#REF!</v>
      </c>
      <c r="HR156" t="e">
        <f>AND(NhatkyNhap!#REF!,"AAAAAFtd++E=")</f>
        <v>#REF!</v>
      </c>
      <c r="HS156" t="e">
        <f>AND(NhatkyNhap!#REF!,"AAAAAFtd++I=")</f>
        <v>#REF!</v>
      </c>
      <c r="HT156" t="e">
        <f>AND(NhatkyNhap!#REF!,"AAAAAFtd++M=")</f>
        <v>#REF!</v>
      </c>
      <c r="HU156" t="e">
        <f>AND(NhatkyNhap!#REF!,"AAAAAFtd++Q=")</f>
        <v>#REF!</v>
      </c>
      <c r="HV156" t="e">
        <f>AND(NhatkyNhap!#REF!,"AAAAAFtd++U=")</f>
        <v>#REF!</v>
      </c>
      <c r="HW156" t="e">
        <f>AND(NhatkyNhap!#REF!,"AAAAAFtd++Y=")</f>
        <v>#REF!</v>
      </c>
      <c r="HX156" t="e">
        <f>AND(NhatkyNhap!#REF!,"AAAAAFtd++c=")</f>
        <v>#REF!</v>
      </c>
      <c r="HY156" t="e">
        <f>AND(NhatkyNhap!#REF!,"AAAAAFtd++g=")</f>
        <v>#REF!</v>
      </c>
      <c r="HZ156" t="e">
        <f>AND(NhatkyNhap!#REF!,"AAAAAFtd++k=")</f>
        <v>#REF!</v>
      </c>
      <c r="IA156" t="e">
        <f>AND(NhatkyNhap!#REF!,"AAAAAFtd++o=")</f>
        <v>#REF!</v>
      </c>
      <c r="IB156" t="e">
        <f>IF(NhatkyNhap!#REF!,"AAAAAFtd++s=",0)</f>
        <v>#REF!</v>
      </c>
      <c r="IC156" t="e">
        <f>AND(NhatkyNhap!#REF!,"AAAAAFtd++w=")</f>
        <v>#REF!</v>
      </c>
      <c r="ID156" t="e">
        <f>AND(NhatkyNhap!#REF!,"AAAAAFtd++0=")</f>
        <v>#REF!</v>
      </c>
      <c r="IE156" t="e">
        <f>AND(NhatkyNhap!#REF!,"AAAAAFtd++4=")</f>
        <v>#REF!</v>
      </c>
      <c r="IF156" t="e">
        <f>AND(NhatkyNhap!#REF!,"AAAAAFtd++8=")</f>
        <v>#REF!</v>
      </c>
      <c r="IG156" t="e">
        <f>AND(NhatkyNhap!#REF!,"AAAAAFtd+/A=")</f>
        <v>#REF!</v>
      </c>
      <c r="IH156" t="e">
        <f>AND(NhatkyNhap!#REF!,"AAAAAFtd+/E=")</f>
        <v>#REF!</v>
      </c>
      <c r="II156" t="e">
        <f>AND(NhatkyNhap!#REF!,"AAAAAFtd+/I=")</f>
        <v>#REF!</v>
      </c>
      <c r="IJ156" t="e">
        <f>AND(NhatkyNhap!#REF!,"AAAAAFtd+/M=")</f>
        <v>#REF!</v>
      </c>
      <c r="IK156" t="e">
        <f>AND(NhatkyNhap!#REF!,"AAAAAFtd+/Q=")</f>
        <v>#REF!</v>
      </c>
      <c r="IL156" t="e">
        <f>AND(NhatkyNhap!#REF!,"AAAAAFtd+/U=")</f>
        <v>#REF!</v>
      </c>
      <c r="IM156" t="e">
        <f>AND(NhatkyNhap!#REF!,"AAAAAFtd+/Y=")</f>
        <v>#REF!</v>
      </c>
      <c r="IN156" t="e">
        <f>AND(NhatkyNhap!#REF!,"AAAAAFtd+/c=")</f>
        <v>#REF!</v>
      </c>
      <c r="IO156" t="e">
        <f>AND(NhatkyNhap!#REF!,"AAAAAFtd+/g=")</f>
        <v>#REF!</v>
      </c>
      <c r="IP156" t="e">
        <f>AND(NhatkyNhap!#REF!,"AAAAAFtd+/k=")</f>
        <v>#REF!</v>
      </c>
      <c r="IQ156" t="e">
        <f>AND(NhatkyNhap!#REF!,"AAAAAFtd+/o=")</f>
        <v>#REF!</v>
      </c>
      <c r="IR156" t="e">
        <f>AND(NhatkyNhap!#REF!,"AAAAAFtd+/s=")</f>
        <v>#REF!</v>
      </c>
      <c r="IS156" t="e">
        <f>AND(NhatkyNhap!#REF!,"AAAAAFtd+/w=")</f>
        <v>#REF!</v>
      </c>
      <c r="IT156" t="e">
        <f>AND(NhatkyNhap!#REF!,"AAAAAFtd+/0=")</f>
        <v>#REF!</v>
      </c>
      <c r="IU156" t="e">
        <f>AND(NhatkyNhap!#REF!,"AAAAAFtd+/4=")</f>
        <v>#REF!</v>
      </c>
      <c r="IV156" t="e">
        <f>AND(NhatkyNhap!#REF!,"AAAAAFtd+/8=")</f>
        <v>#REF!</v>
      </c>
    </row>
    <row r="157" spans="1:256">
      <c r="A157" t="e">
        <f>AND(NhatkyNhap!#REF!,"AAAAAGzffwA=")</f>
        <v>#REF!</v>
      </c>
      <c r="B157" t="e">
        <f>AND(NhatkyNhap!#REF!,"AAAAAGzffwE=")</f>
        <v>#REF!</v>
      </c>
      <c r="C157" t="e">
        <f>AND(NhatkyNhap!#REF!,"AAAAAGzffwI=")</f>
        <v>#REF!</v>
      </c>
      <c r="D157" t="e">
        <f>AND(NhatkyNhap!#REF!,"AAAAAGzffwM=")</f>
        <v>#REF!</v>
      </c>
      <c r="E157" t="e">
        <f>AND(NhatkyNhap!#REF!,"AAAAAGzffwQ=")</f>
        <v>#REF!</v>
      </c>
      <c r="F157" t="e">
        <f>AND(NhatkyNhap!#REF!,"AAAAAGzffwU=")</f>
        <v>#REF!</v>
      </c>
      <c r="G157" t="e">
        <f>AND(NhatkyNhap!#REF!,"AAAAAGzffwY=")</f>
        <v>#REF!</v>
      </c>
      <c r="H157" t="e">
        <f>AND(NhatkyNhap!#REF!,"AAAAAGzffwc=")</f>
        <v>#REF!</v>
      </c>
      <c r="I157" t="e">
        <f>AND(NhatkyNhap!#REF!,"AAAAAGzffwg=")</f>
        <v>#REF!</v>
      </c>
      <c r="J157" t="e">
        <f>AND(NhatkyNhap!#REF!,"AAAAAGzffwk=")</f>
        <v>#REF!</v>
      </c>
      <c r="K157" t="e">
        <f>AND(NhatkyNhap!#REF!,"AAAAAGzffwo=")</f>
        <v>#REF!</v>
      </c>
      <c r="L157" t="e">
        <f>AND(NhatkyNhap!#REF!,"AAAAAGzffws=")</f>
        <v>#REF!</v>
      </c>
      <c r="M157" t="e">
        <f>AND(NhatkyNhap!#REF!,"AAAAAGzffww=")</f>
        <v>#REF!</v>
      </c>
      <c r="N157" t="e">
        <f>AND(NhatkyNhap!#REF!,"AAAAAGzffw0=")</f>
        <v>#REF!</v>
      </c>
      <c r="O157" t="e">
        <f>IF(NhatkyNhap!#REF!,"AAAAAGzffw4=",0)</f>
        <v>#REF!</v>
      </c>
      <c r="P157" t="e">
        <f>AND(NhatkyNhap!#REF!,"AAAAAGzffw8=")</f>
        <v>#REF!</v>
      </c>
      <c r="Q157" t="e">
        <f>AND(NhatkyNhap!#REF!,"AAAAAGzffxA=")</f>
        <v>#REF!</v>
      </c>
      <c r="R157" t="e">
        <f>AND(NhatkyNhap!#REF!,"AAAAAGzffxE=")</f>
        <v>#REF!</v>
      </c>
      <c r="S157" t="e">
        <f>AND(NhatkyNhap!#REF!,"AAAAAGzffxI=")</f>
        <v>#REF!</v>
      </c>
      <c r="T157" t="e">
        <f>AND(NhatkyNhap!#REF!,"AAAAAGzffxM=")</f>
        <v>#REF!</v>
      </c>
      <c r="U157" t="e">
        <f>AND(NhatkyNhap!#REF!,"AAAAAGzffxQ=")</f>
        <v>#REF!</v>
      </c>
      <c r="V157" t="e">
        <f>AND(NhatkyNhap!#REF!,"AAAAAGzffxU=")</f>
        <v>#REF!</v>
      </c>
      <c r="W157" t="e">
        <f>AND(NhatkyNhap!#REF!,"AAAAAGzffxY=")</f>
        <v>#REF!</v>
      </c>
      <c r="X157" t="e">
        <f>AND(NhatkyNhap!#REF!,"AAAAAGzffxc=")</f>
        <v>#REF!</v>
      </c>
      <c r="Y157" t="e">
        <f>AND(NhatkyNhap!#REF!,"AAAAAGzffxg=")</f>
        <v>#REF!</v>
      </c>
      <c r="Z157" t="e">
        <f>AND(NhatkyNhap!#REF!,"AAAAAGzffxk=")</f>
        <v>#REF!</v>
      </c>
      <c r="AA157" t="e">
        <f>AND(NhatkyNhap!#REF!,"AAAAAGzffxo=")</f>
        <v>#REF!</v>
      </c>
      <c r="AB157" t="e">
        <f>AND(NhatkyNhap!#REF!,"AAAAAGzffxs=")</f>
        <v>#REF!</v>
      </c>
      <c r="AC157" t="e">
        <f>AND(NhatkyNhap!#REF!,"AAAAAGzffxw=")</f>
        <v>#REF!</v>
      </c>
      <c r="AD157" t="e">
        <f>AND(NhatkyNhap!#REF!,"AAAAAGzffx0=")</f>
        <v>#REF!</v>
      </c>
      <c r="AE157" t="e">
        <f>AND(NhatkyNhap!#REF!,"AAAAAGzffx4=")</f>
        <v>#REF!</v>
      </c>
      <c r="AF157" t="e">
        <f>AND(NhatkyNhap!#REF!,"AAAAAGzffx8=")</f>
        <v>#REF!</v>
      </c>
      <c r="AG157" t="e">
        <f>AND(NhatkyNhap!#REF!,"AAAAAGzffyA=")</f>
        <v>#REF!</v>
      </c>
      <c r="AH157" t="e">
        <f>AND(NhatkyNhap!#REF!,"AAAAAGzffyE=")</f>
        <v>#REF!</v>
      </c>
      <c r="AI157" t="e">
        <f>AND(NhatkyNhap!#REF!,"AAAAAGzffyI=")</f>
        <v>#REF!</v>
      </c>
      <c r="AJ157" t="e">
        <f>AND(NhatkyNhap!#REF!,"AAAAAGzffyM=")</f>
        <v>#REF!</v>
      </c>
      <c r="AK157" t="e">
        <f>AND(NhatkyNhap!#REF!,"AAAAAGzffyQ=")</f>
        <v>#REF!</v>
      </c>
      <c r="AL157" t="e">
        <f>AND(NhatkyNhap!#REF!,"AAAAAGzffyU=")</f>
        <v>#REF!</v>
      </c>
      <c r="AM157" t="e">
        <f>AND(NhatkyNhap!#REF!,"AAAAAGzffyY=")</f>
        <v>#REF!</v>
      </c>
      <c r="AN157" t="e">
        <f>AND(NhatkyNhap!#REF!,"AAAAAGzffyc=")</f>
        <v>#REF!</v>
      </c>
      <c r="AO157" t="e">
        <f>AND(NhatkyNhap!#REF!,"AAAAAGzffyg=")</f>
        <v>#REF!</v>
      </c>
      <c r="AP157" t="e">
        <f>AND(NhatkyNhap!#REF!,"AAAAAGzffyk=")</f>
        <v>#REF!</v>
      </c>
      <c r="AQ157" t="e">
        <f>AND(NhatkyNhap!#REF!,"AAAAAGzffyo=")</f>
        <v>#REF!</v>
      </c>
      <c r="AR157" t="e">
        <f>AND(NhatkyNhap!#REF!,"AAAAAGzffys=")</f>
        <v>#REF!</v>
      </c>
      <c r="AS157" t="e">
        <f>AND(NhatkyNhap!#REF!,"AAAAAGzffyw=")</f>
        <v>#REF!</v>
      </c>
      <c r="AT157" t="e">
        <f>AND(NhatkyNhap!#REF!,"AAAAAGzffy0=")</f>
        <v>#REF!</v>
      </c>
      <c r="AU157" t="e">
        <f>AND(NhatkyNhap!#REF!,"AAAAAGzffy4=")</f>
        <v>#REF!</v>
      </c>
      <c r="AV157" t="e">
        <f>AND(NhatkyNhap!#REF!,"AAAAAGzffy8=")</f>
        <v>#REF!</v>
      </c>
      <c r="AW157" t="e">
        <f>AND(NhatkyNhap!#REF!,"AAAAAGzffzA=")</f>
        <v>#REF!</v>
      </c>
      <c r="AX157" t="e">
        <f>IF(NhatkyNhap!#REF!,"AAAAAGzffzE=",0)</f>
        <v>#REF!</v>
      </c>
      <c r="AY157" t="e">
        <f>AND(NhatkyNhap!#REF!,"AAAAAGzffzI=")</f>
        <v>#REF!</v>
      </c>
      <c r="AZ157" t="e">
        <f>AND(NhatkyNhap!#REF!,"AAAAAGzffzM=")</f>
        <v>#REF!</v>
      </c>
      <c r="BA157" t="e">
        <f>AND(NhatkyNhap!#REF!,"AAAAAGzffzQ=")</f>
        <v>#REF!</v>
      </c>
      <c r="BB157" t="e">
        <f>AND(NhatkyNhap!#REF!,"AAAAAGzffzU=")</f>
        <v>#REF!</v>
      </c>
      <c r="BC157" t="e">
        <f>AND(NhatkyNhap!#REF!,"AAAAAGzffzY=")</f>
        <v>#REF!</v>
      </c>
      <c r="BD157" t="e">
        <f>AND(NhatkyNhap!#REF!,"AAAAAGzffzc=")</f>
        <v>#REF!</v>
      </c>
      <c r="BE157" t="e">
        <f>AND(NhatkyNhap!#REF!,"AAAAAGzffzg=")</f>
        <v>#REF!</v>
      </c>
      <c r="BF157" t="e">
        <f>AND(NhatkyNhap!#REF!,"AAAAAGzffzk=")</f>
        <v>#REF!</v>
      </c>
      <c r="BG157" t="e">
        <f>AND(NhatkyNhap!#REF!,"AAAAAGzffzo=")</f>
        <v>#REF!</v>
      </c>
      <c r="BH157" t="e">
        <f>AND(NhatkyNhap!#REF!,"AAAAAGzffzs=")</f>
        <v>#REF!</v>
      </c>
      <c r="BI157" t="e">
        <f>AND(NhatkyNhap!#REF!,"AAAAAGzffzw=")</f>
        <v>#REF!</v>
      </c>
      <c r="BJ157" t="e">
        <f>AND(NhatkyNhap!#REF!,"AAAAAGzffz0=")</f>
        <v>#REF!</v>
      </c>
      <c r="BK157" t="e">
        <f>AND(NhatkyNhap!#REF!,"AAAAAGzffz4=")</f>
        <v>#REF!</v>
      </c>
      <c r="BL157" t="e">
        <f>AND(NhatkyNhap!#REF!,"AAAAAGzffz8=")</f>
        <v>#REF!</v>
      </c>
      <c r="BM157" t="e">
        <f>AND(NhatkyNhap!#REF!,"AAAAAGzff0A=")</f>
        <v>#REF!</v>
      </c>
      <c r="BN157" t="e">
        <f>AND(NhatkyNhap!#REF!,"AAAAAGzff0E=")</f>
        <v>#REF!</v>
      </c>
      <c r="BO157" t="e">
        <f>AND(NhatkyNhap!#REF!,"AAAAAGzff0I=")</f>
        <v>#REF!</v>
      </c>
      <c r="BP157" t="e">
        <f>AND(NhatkyNhap!#REF!,"AAAAAGzff0M=")</f>
        <v>#REF!</v>
      </c>
      <c r="BQ157" t="e">
        <f>AND(NhatkyNhap!#REF!,"AAAAAGzff0Q=")</f>
        <v>#REF!</v>
      </c>
      <c r="BR157" t="e">
        <f>AND(NhatkyNhap!#REF!,"AAAAAGzff0U=")</f>
        <v>#REF!</v>
      </c>
      <c r="BS157" t="e">
        <f>AND(NhatkyNhap!#REF!,"AAAAAGzff0Y=")</f>
        <v>#REF!</v>
      </c>
      <c r="BT157" t="e">
        <f>AND(NhatkyNhap!#REF!,"AAAAAGzff0c=")</f>
        <v>#REF!</v>
      </c>
      <c r="BU157" t="e">
        <f>AND(NhatkyNhap!#REF!,"AAAAAGzff0g=")</f>
        <v>#REF!</v>
      </c>
      <c r="BV157" t="e">
        <f>AND(NhatkyNhap!#REF!,"AAAAAGzff0k=")</f>
        <v>#REF!</v>
      </c>
      <c r="BW157" t="e">
        <f>AND(NhatkyNhap!#REF!,"AAAAAGzff0o=")</f>
        <v>#REF!</v>
      </c>
      <c r="BX157" t="e">
        <f>AND(NhatkyNhap!#REF!,"AAAAAGzff0s=")</f>
        <v>#REF!</v>
      </c>
      <c r="BY157" t="e">
        <f>AND(NhatkyNhap!#REF!,"AAAAAGzff0w=")</f>
        <v>#REF!</v>
      </c>
      <c r="BZ157" t="e">
        <f>AND(NhatkyNhap!#REF!,"AAAAAGzff00=")</f>
        <v>#REF!</v>
      </c>
      <c r="CA157" t="e">
        <f>AND(NhatkyNhap!#REF!,"AAAAAGzff04=")</f>
        <v>#REF!</v>
      </c>
      <c r="CB157" t="e">
        <f>AND(NhatkyNhap!#REF!,"AAAAAGzff08=")</f>
        <v>#REF!</v>
      </c>
      <c r="CC157" t="e">
        <f>AND(NhatkyNhap!#REF!,"AAAAAGzff1A=")</f>
        <v>#REF!</v>
      </c>
      <c r="CD157" t="e">
        <f>AND(NhatkyNhap!#REF!,"AAAAAGzff1E=")</f>
        <v>#REF!</v>
      </c>
      <c r="CE157" t="e">
        <f>AND(NhatkyNhap!#REF!,"AAAAAGzff1I=")</f>
        <v>#REF!</v>
      </c>
      <c r="CF157" t="e">
        <f>AND(NhatkyNhap!#REF!,"AAAAAGzff1M=")</f>
        <v>#REF!</v>
      </c>
      <c r="CG157" t="e">
        <f>IF(NhatkyNhap!#REF!,"AAAAAGzff1Q=",0)</f>
        <v>#REF!</v>
      </c>
      <c r="CH157" t="e">
        <f>AND(NhatkyNhap!#REF!,"AAAAAGzff1U=")</f>
        <v>#REF!</v>
      </c>
      <c r="CI157" t="e">
        <f>AND(NhatkyNhap!#REF!,"AAAAAGzff1Y=")</f>
        <v>#REF!</v>
      </c>
      <c r="CJ157" t="e">
        <f>AND(NhatkyNhap!#REF!,"AAAAAGzff1c=")</f>
        <v>#REF!</v>
      </c>
      <c r="CK157" t="e">
        <f>AND(NhatkyNhap!#REF!,"AAAAAGzff1g=")</f>
        <v>#REF!</v>
      </c>
      <c r="CL157" t="e">
        <f>AND(NhatkyNhap!#REF!,"AAAAAGzff1k=")</f>
        <v>#REF!</v>
      </c>
      <c r="CM157" t="e">
        <f>AND(NhatkyNhap!#REF!,"AAAAAGzff1o=")</f>
        <v>#REF!</v>
      </c>
      <c r="CN157" t="e">
        <f>AND(NhatkyNhap!#REF!,"AAAAAGzff1s=")</f>
        <v>#REF!</v>
      </c>
      <c r="CO157" t="e">
        <f>AND(NhatkyNhap!#REF!,"AAAAAGzff1w=")</f>
        <v>#REF!</v>
      </c>
      <c r="CP157" t="e">
        <f>AND(NhatkyNhap!#REF!,"AAAAAGzff10=")</f>
        <v>#REF!</v>
      </c>
      <c r="CQ157" t="e">
        <f>AND(NhatkyNhap!#REF!,"AAAAAGzff14=")</f>
        <v>#REF!</v>
      </c>
      <c r="CR157" t="e">
        <f>AND(NhatkyNhap!#REF!,"AAAAAGzff18=")</f>
        <v>#REF!</v>
      </c>
      <c r="CS157" t="e">
        <f>AND(NhatkyNhap!#REF!,"AAAAAGzff2A=")</f>
        <v>#REF!</v>
      </c>
      <c r="CT157" t="e">
        <f>AND(NhatkyNhap!#REF!,"AAAAAGzff2E=")</f>
        <v>#REF!</v>
      </c>
      <c r="CU157" t="e">
        <f>AND(NhatkyNhap!#REF!,"AAAAAGzff2I=")</f>
        <v>#REF!</v>
      </c>
      <c r="CV157" t="e">
        <f>AND(NhatkyNhap!#REF!,"AAAAAGzff2M=")</f>
        <v>#REF!</v>
      </c>
      <c r="CW157" t="e">
        <f>AND(NhatkyNhap!#REF!,"AAAAAGzff2Q=")</f>
        <v>#REF!</v>
      </c>
      <c r="CX157" t="e">
        <f>AND(NhatkyNhap!#REF!,"AAAAAGzff2U=")</f>
        <v>#REF!</v>
      </c>
      <c r="CY157" t="e">
        <f>AND(NhatkyNhap!#REF!,"AAAAAGzff2Y=")</f>
        <v>#REF!</v>
      </c>
      <c r="CZ157" t="e">
        <f>AND(NhatkyNhap!#REF!,"AAAAAGzff2c=")</f>
        <v>#REF!</v>
      </c>
      <c r="DA157" t="e">
        <f>AND(NhatkyNhap!#REF!,"AAAAAGzff2g=")</f>
        <v>#REF!</v>
      </c>
      <c r="DB157" t="e">
        <f>AND(NhatkyNhap!#REF!,"AAAAAGzff2k=")</f>
        <v>#REF!</v>
      </c>
      <c r="DC157" t="e">
        <f>AND(NhatkyNhap!#REF!,"AAAAAGzff2o=")</f>
        <v>#REF!</v>
      </c>
      <c r="DD157" t="e">
        <f>AND(NhatkyNhap!#REF!,"AAAAAGzff2s=")</f>
        <v>#REF!</v>
      </c>
      <c r="DE157" t="e">
        <f>AND(NhatkyNhap!#REF!,"AAAAAGzff2w=")</f>
        <v>#REF!</v>
      </c>
      <c r="DF157" t="e">
        <f>AND(NhatkyNhap!#REF!,"AAAAAGzff20=")</f>
        <v>#REF!</v>
      </c>
      <c r="DG157" t="e">
        <f>AND(NhatkyNhap!#REF!,"AAAAAGzff24=")</f>
        <v>#REF!</v>
      </c>
      <c r="DH157" t="e">
        <f>AND(NhatkyNhap!#REF!,"AAAAAGzff28=")</f>
        <v>#REF!</v>
      </c>
      <c r="DI157" t="e">
        <f>AND(NhatkyNhap!#REF!,"AAAAAGzff3A=")</f>
        <v>#REF!</v>
      </c>
      <c r="DJ157" t="e">
        <f>AND(NhatkyNhap!#REF!,"AAAAAGzff3E=")</f>
        <v>#REF!</v>
      </c>
      <c r="DK157" t="e">
        <f>AND(NhatkyNhap!#REF!,"AAAAAGzff3I=")</f>
        <v>#REF!</v>
      </c>
      <c r="DL157" t="e">
        <f>AND(NhatkyNhap!#REF!,"AAAAAGzff3M=")</f>
        <v>#REF!</v>
      </c>
      <c r="DM157" t="e">
        <f>AND(NhatkyNhap!#REF!,"AAAAAGzff3Q=")</f>
        <v>#REF!</v>
      </c>
      <c r="DN157" t="e">
        <f>AND(NhatkyNhap!#REF!,"AAAAAGzff3U=")</f>
        <v>#REF!</v>
      </c>
      <c r="DO157" t="e">
        <f>AND(NhatkyNhap!#REF!,"AAAAAGzff3Y=")</f>
        <v>#REF!</v>
      </c>
      <c r="DP157" t="e">
        <f>IF(NhatkyNhap!#REF!,"AAAAAGzff3c=",0)</f>
        <v>#REF!</v>
      </c>
      <c r="DQ157" t="e">
        <f>AND(NhatkyNhap!#REF!,"AAAAAGzff3g=")</f>
        <v>#REF!</v>
      </c>
      <c r="DR157" t="e">
        <f>AND(NhatkyNhap!#REF!,"AAAAAGzff3k=")</f>
        <v>#REF!</v>
      </c>
      <c r="DS157" t="e">
        <f>AND(NhatkyNhap!#REF!,"AAAAAGzff3o=")</f>
        <v>#REF!</v>
      </c>
      <c r="DT157" t="e">
        <f>AND(NhatkyNhap!#REF!,"AAAAAGzff3s=")</f>
        <v>#REF!</v>
      </c>
      <c r="DU157" t="e">
        <f>AND(NhatkyNhap!#REF!,"AAAAAGzff3w=")</f>
        <v>#REF!</v>
      </c>
      <c r="DV157" t="e">
        <f>AND(NhatkyNhap!#REF!,"AAAAAGzff30=")</f>
        <v>#REF!</v>
      </c>
      <c r="DW157" t="e">
        <f>AND(NhatkyNhap!#REF!,"AAAAAGzff34=")</f>
        <v>#REF!</v>
      </c>
      <c r="DX157" t="e">
        <f>AND(NhatkyNhap!#REF!,"AAAAAGzff38=")</f>
        <v>#REF!</v>
      </c>
      <c r="DY157" t="e">
        <f>AND(NhatkyNhap!#REF!,"AAAAAGzff4A=")</f>
        <v>#REF!</v>
      </c>
      <c r="DZ157" t="e">
        <f>AND(NhatkyNhap!#REF!,"AAAAAGzff4E=")</f>
        <v>#REF!</v>
      </c>
      <c r="EA157" t="e">
        <f>AND(NhatkyNhap!#REF!,"AAAAAGzff4I=")</f>
        <v>#REF!</v>
      </c>
      <c r="EB157" t="e">
        <f>AND(NhatkyNhap!#REF!,"AAAAAGzff4M=")</f>
        <v>#REF!</v>
      </c>
      <c r="EC157" t="e">
        <f>AND(NhatkyNhap!#REF!,"AAAAAGzff4Q=")</f>
        <v>#REF!</v>
      </c>
      <c r="ED157" t="e">
        <f>AND(NhatkyNhap!#REF!,"AAAAAGzff4U=")</f>
        <v>#REF!</v>
      </c>
      <c r="EE157" t="e">
        <f>AND(NhatkyNhap!#REF!,"AAAAAGzff4Y=")</f>
        <v>#REF!</v>
      </c>
      <c r="EF157" t="e">
        <f>AND(NhatkyNhap!#REF!,"AAAAAGzff4c=")</f>
        <v>#REF!</v>
      </c>
      <c r="EG157" t="e">
        <f>AND(NhatkyNhap!#REF!,"AAAAAGzff4g=")</f>
        <v>#REF!</v>
      </c>
      <c r="EH157" t="e">
        <f>AND(NhatkyNhap!#REF!,"AAAAAGzff4k=")</f>
        <v>#REF!</v>
      </c>
      <c r="EI157" t="e">
        <f>AND(NhatkyNhap!#REF!,"AAAAAGzff4o=")</f>
        <v>#REF!</v>
      </c>
      <c r="EJ157" t="e">
        <f>AND(NhatkyNhap!#REF!,"AAAAAGzff4s=")</f>
        <v>#REF!</v>
      </c>
      <c r="EK157" t="e">
        <f>AND(NhatkyNhap!#REF!,"AAAAAGzff4w=")</f>
        <v>#REF!</v>
      </c>
      <c r="EL157" t="e">
        <f>AND(NhatkyNhap!#REF!,"AAAAAGzff40=")</f>
        <v>#REF!</v>
      </c>
      <c r="EM157" t="e">
        <f>AND(NhatkyNhap!#REF!,"AAAAAGzff44=")</f>
        <v>#REF!</v>
      </c>
      <c r="EN157" t="e">
        <f>AND(NhatkyNhap!#REF!,"AAAAAGzff48=")</f>
        <v>#REF!</v>
      </c>
      <c r="EO157" t="e">
        <f>AND(NhatkyNhap!#REF!,"AAAAAGzff5A=")</f>
        <v>#REF!</v>
      </c>
      <c r="EP157" t="e">
        <f>AND(NhatkyNhap!#REF!,"AAAAAGzff5E=")</f>
        <v>#REF!</v>
      </c>
      <c r="EQ157" t="e">
        <f>AND(NhatkyNhap!#REF!,"AAAAAGzff5I=")</f>
        <v>#REF!</v>
      </c>
      <c r="ER157" t="e">
        <f>AND(NhatkyNhap!#REF!,"AAAAAGzff5M=")</f>
        <v>#REF!</v>
      </c>
      <c r="ES157" t="e">
        <f>AND(NhatkyNhap!#REF!,"AAAAAGzff5Q=")</f>
        <v>#REF!</v>
      </c>
      <c r="ET157" t="e">
        <f>AND(NhatkyNhap!#REF!,"AAAAAGzff5U=")</f>
        <v>#REF!</v>
      </c>
      <c r="EU157" t="e">
        <f>AND(NhatkyNhap!#REF!,"AAAAAGzff5Y=")</f>
        <v>#REF!</v>
      </c>
      <c r="EV157" t="e">
        <f>AND(NhatkyNhap!#REF!,"AAAAAGzff5c=")</f>
        <v>#REF!</v>
      </c>
      <c r="EW157" t="e">
        <f>AND(NhatkyNhap!#REF!,"AAAAAGzff5g=")</f>
        <v>#REF!</v>
      </c>
      <c r="EX157" t="e">
        <f>AND(NhatkyNhap!#REF!,"AAAAAGzff5k=")</f>
        <v>#REF!</v>
      </c>
      <c r="EY157" t="e">
        <f>IF(NhatkyNhap!#REF!,"AAAAAGzff5o=",0)</f>
        <v>#REF!</v>
      </c>
      <c r="EZ157" t="e">
        <f>AND(NhatkyNhap!#REF!,"AAAAAGzff5s=")</f>
        <v>#REF!</v>
      </c>
      <c r="FA157" t="e">
        <f>AND(NhatkyNhap!#REF!,"AAAAAGzff5w=")</f>
        <v>#REF!</v>
      </c>
      <c r="FB157" t="e">
        <f>AND(NhatkyNhap!#REF!,"AAAAAGzff50=")</f>
        <v>#REF!</v>
      </c>
      <c r="FC157" t="e">
        <f>AND(NhatkyNhap!#REF!,"AAAAAGzff54=")</f>
        <v>#REF!</v>
      </c>
      <c r="FD157" t="e">
        <f>AND(NhatkyNhap!#REF!,"AAAAAGzff58=")</f>
        <v>#REF!</v>
      </c>
      <c r="FE157" t="e">
        <f>AND(NhatkyNhap!#REF!,"AAAAAGzff6A=")</f>
        <v>#REF!</v>
      </c>
      <c r="FF157" t="e">
        <f>AND(NhatkyNhap!#REF!,"AAAAAGzff6E=")</f>
        <v>#REF!</v>
      </c>
      <c r="FG157" t="e">
        <f>AND(NhatkyNhap!#REF!,"AAAAAGzff6I=")</f>
        <v>#REF!</v>
      </c>
      <c r="FH157" t="e">
        <f>AND(NhatkyNhap!#REF!,"AAAAAGzff6M=")</f>
        <v>#REF!</v>
      </c>
      <c r="FI157" t="e">
        <f>AND(NhatkyNhap!#REF!,"AAAAAGzff6Q=")</f>
        <v>#REF!</v>
      </c>
      <c r="FJ157" t="e">
        <f>AND(NhatkyNhap!#REF!,"AAAAAGzff6U=")</f>
        <v>#REF!</v>
      </c>
      <c r="FK157" t="e">
        <f>AND(NhatkyNhap!#REF!,"AAAAAGzff6Y=")</f>
        <v>#REF!</v>
      </c>
      <c r="FL157" t="e">
        <f>AND(NhatkyNhap!#REF!,"AAAAAGzff6c=")</f>
        <v>#REF!</v>
      </c>
      <c r="FM157" t="e">
        <f>AND(NhatkyNhap!#REF!,"AAAAAGzff6g=")</f>
        <v>#REF!</v>
      </c>
      <c r="FN157" t="e">
        <f>AND(NhatkyNhap!#REF!,"AAAAAGzff6k=")</f>
        <v>#REF!</v>
      </c>
      <c r="FO157" t="e">
        <f>AND(NhatkyNhap!#REF!,"AAAAAGzff6o=")</f>
        <v>#REF!</v>
      </c>
      <c r="FP157" t="e">
        <f>AND(NhatkyNhap!#REF!,"AAAAAGzff6s=")</f>
        <v>#REF!</v>
      </c>
      <c r="FQ157" t="e">
        <f>AND(NhatkyNhap!#REF!,"AAAAAGzff6w=")</f>
        <v>#REF!</v>
      </c>
      <c r="FR157" t="e">
        <f>AND(NhatkyNhap!#REF!,"AAAAAGzff60=")</f>
        <v>#REF!</v>
      </c>
      <c r="FS157" t="e">
        <f>AND(NhatkyNhap!#REF!,"AAAAAGzff64=")</f>
        <v>#REF!</v>
      </c>
      <c r="FT157" t="e">
        <f>AND(NhatkyNhap!#REF!,"AAAAAGzff68=")</f>
        <v>#REF!</v>
      </c>
      <c r="FU157" t="e">
        <f>AND(NhatkyNhap!#REF!,"AAAAAGzff7A=")</f>
        <v>#REF!</v>
      </c>
      <c r="FV157" t="e">
        <f>AND(NhatkyNhap!#REF!,"AAAAAGzff7E=")</f>
        <v>#REF!</v>
      </c>
      <c r="FW157" t="e">
        <f>AND(NhatkyNhap!#REF!,"AAAAAGzff7I=")</f>
        <v>#REF!</v>
      </c>
      <c r="FX157" t="e">
        <f>AND(NhatkyNhap!#REF!,"AAAAAGzff7M=")</f>
        <v>#REF!</v>
      </c>
      <c r="FY157" t="e">
        <f>AND(NhatkyNhap!#REF!,"AAAAAGzff7Q=")</f>
        <v>#REF!</v>
      </c>
      <c r="FZ157" t="e">
        <f>AND(NhatkyNhap!#REF!,"AAAAAGzff7U=")</f>
        <v>#REF!</v>
      </c>
      <c r="GA157" t="e">
        <f>AND(NhatkyNhap!#REF!,"AAAAAGzff7Y=")</f>
        <v>#REF!</v>
      </c>
      <c r="GB157" t="e">
        <f>AND(NhatkyNhap!#REF!,"AAAAAGzff7c=")</f>
        <v>#REF!</v>
      </c>
      <c r="GC157" t="e">
        <f>AND(NhatkyNhap!#REF!,"AAAAAGzff7g=")</f>
        <v>#REF!</v>
      </c>
      <c r="GD157" t="e">
        <f>AND(NhatkyNhap!#REF!,"AAAAAGzff7k=")</f>
        <v>#REF!</v>
      </c>
      <c r="GE157" t="e">
        <f>AND(NhatkyNhap!#REF!,"AAAAAGzff7o=")</f>
        <v>#REF!</v>
      </c>
      <c r="GF157" t="e">
        <f>AND(NhatkyNhap!#REF!,"AAAAAGzff7s=")</f>
        <v>#REF!</v>
      </c>
      <c r="GG157" t="e">
        <f>AND(NhatkyNhap!#REF!,"AAAAAGzff7w=")</f>
        <v>#REF!</v>
      </c>
      <c r="GH157" t="e">
        <f>IF(NhatkyNhap!#REF!,"AAAAAGzff70=",0)</f>
        <v>#REF!</v>
      </c>
      <c r="GI157" t="e">
        <f>AND(NhatkyNhap!#REF!,"AAAAAGzff74=")</f>
        <v>#REF!</v>
      </c>
      <c r="GJ157" t="e">
        <f>AND(NhatkyNhap!#REF!,"AAAAAGzff78=")</f>
        <v>#REF!</v>
      </c>
      <c r="GK157" t="e">
        <f>AND(NhatkyNhap!#REF!,"AAAAAGzff8A=")</f>
        <v>#REF!</v>
      </c>
      <c r="GL157" t="e">
        <f>AND(NhatkyNhap!#REF!,"AAAAAGzff8E=")</f>
        <v>#REF!</v>
      </c>
      <c r="GM157" t="e">
        <f>AND(NhatkyNhap!#REF!,"AAAAAGzff8I=")</f>
        <v>#REF!</v>
      </c>
      <c r="GN157" t="e">
        <f>AND(NhatkyNhap!#REF!,"AAAAAGzff8M=")</f>
        <v>#REF!</v>
      </c>
      <c r="GO157" t="e">
        <f>AND(NhatkyNhap!#REF!,"AAAAAGzff8Q=")</f>
        <v>#REF!</v>
      </c>
      <c r="GP157" t="e">
        <f>AND(NhatkyNhap!#REF!,"AAAAAGzff8U=")</f>
        <v>#REF!</v>
      </c>
      <c r="GQ157" t="e">
        <f>AND(NhatkyNhap!#REF!,"AAAAAGzff8Y=")</f>
        <v>#REF!</v>
      </c>
      <c r="GR157" t="e">
        <f>AND(NhatkyNhap!#REF!,"AAAAAGzff8c=")</f>
        <v>#REF!</v>
      </c>
      <c r="GS157" t="e">
        <f>AND(NhatkyNhap!#REF!,"AAAAAGzff8g=")</f>
        <v>#REF!</v>
      </c>
      <c r="GT157" t="e">
        <f>AND(NhatkyNhap!#REF!,"AAAAAGzff8k=")</f>
        <v>#REF!</v>
      </c>
      <c r="GU157" t="e">
        <f>AND(NhatkyNhap!#REF!,"AAAAAGzff8o=")</f>
        <v>#REF!</v>
      </c>
      <c r="GV157" t="e">
        <f>AND(NhatkyNhap!#REF!,"AAAAAGzff8s=")</f>
        <v>#REF!</v>
      </c>
      <c r="GW157" t="e">
        <f>AND(NhatkyNhap!#REF!,"AAAAAGzff8w=")</f>
        <v>#REF!</v>
      </c>
      <c r="GX157" t="e">
        <f>AND(NhatkyNhap!#REF!,"AAAAAGzff80=")</f>
        <v>#REF!</v>
      </c>
      <c r="GY157" t="e">
        <f>AND(NhatkyNhap!#REF!,"AAAAAGzff84=")</f>
        <v>#REF!</v>
      </c>
      <c r="GZ157" t="e">
        <f>AND(NhatkyNhap!#REF!,"AAAAAGzff88=")</f>
        <v>#REF!</v>
      </c>
      <c r="HA157" t="e">
        <f>AND(NhatkyNhap!#REF!,"AAAAAGzff9A=")</f>
        <v>#REF!</v>
      </c>
      <c r="HB157" t="e">
        <f>AND(NhatkyNhap!#REF!,"AAAAAGzff9E=")</f>
        <v>#REF!</v>
      </c>
      <c r="HC157" t="e">
        <f>AND(NhatkyNhap!#REF!,"AAAAAGzff9I=")</f>
        <v>#REF!</v>
      </c>
      <c r="HD157" t="e">
        <f>AND(NhatkyNhap!#REF!,"AAAAAGzff9M=")</f>
        <v>#REF!</v>
      </c>
      <c r="HE157" t="e">
        <f>AND(NhatkyNhap!#REF!,"AAAAAGzff9Q=")</f>
        <v>#REF!</v>
      </c>
      <c r="HF157" t="e">
        <f>AND(NhatkyNhap!#REF!,"AAAAAGzff9U=")</f>
        <v>#REF!</v>
      </c>
      <c r="HG157" t="e">
        <f>AND(NhatkyNhap!#REF!,"AAAAAGzff9Y=")</f>
        <v>#REF!</v>
      </c>
      <c r="HH157" t="e">
        <f>AND(NhatkyNhap!#REF!,"AAAAAGzff9c=")</f>
        <v>#REF!</v>
      </c>
      <c r="HI157" t="e">
        <f>AND(NhatkyNhap!#REF!,"AAAAAGzff9g=")</f>
        <v>#REF!</v>
      </c>
      <c r="HJ157" t="e">
        <f>AND(NhatkyNhap!#REF!,"AAAAAGzff9k=")</f>
        <v>#REF!</v>
      </c>
      <c r="HK157" t="e">
        <f>AND(NhatkyNhap!#REF!,"AAAAAGzff9o=")</f>
        <v>#REF!</v>
      </c>
      <c r="HL157" t="e">
        <f>AND(NhatkyNhap!#REF!,"AAAAAGzff9s=")</f>
        <v>#REF!</v>
      </c>
      <c r="HM157" t="e">
        <f>AND(NhatkyNhap!#REF!,"AAAAAGzff9w=")</f>
        <v>#REF!</v>
      </c>
      <c r="HN157" t="e">
        <f>AND(NhatkyNhap!#REF!,"AAAAAGzff90=")</f>
        <v>#REF!</v>
      </c>
      <c r="HO157" t="e">
        <f>AND(NhatkyNhap!#REF!,"AAAAAGzff94=")</f>
        <v>#REF!</v>
      </c>
      <c r="HP157" t="e">
        <f>AND(NhatkyNhap!#REF!,"AAAAAGzff98=")</f>
        <v>#REF!</v>
      </c>
      <c r="HQ157">
        <f>IF(DSSP!255:255,"AAAAAGzff+A=",0)</f>
        <v>0</v>
      </c>
      <c r="HR157" t="e">
        <f>AND(DSSP!A255,"AAAAAGzff+E=")</f>
        <v>#VALUE!</v>
      </c>
      <c r="HS157" t="e">
        <f>AND(DSSP!B255,"AAAAAGzff+I=")</f>
        <v>#VALUE!</v>
      </c>
      <c r="HT157" t="e">
        <f>AND(DSSP!C255,"AAAAAGzff+M=")</f>
        <v>#VALUE!</v>
      </c>
      <c r="HU157" t="e">
        <f>AND(DSSP!D255,"AAAAAGzff+Q=")</f>
        <v>#VALUE!</v>
      </c>
      <c r="HV157">
        <f>IF(DSSP!256:256,"AAAAAGzff+U=",0)</f>
        <v>0</v>
      </c>
      <c r="HW157" t="e">
        <f>AND(DSSP!A256,"AAAAAGzff+Y=")</f>
        <v>#VALUE!</v>
      </c>
      <c r="HX157" t="e">
        <f>AND(DSSP!B256,"AAAAAGzff+c=")</f>
        <v>#VALUE!</v>
      </c>
      <c r="HY157" t="e">
        <f>AND(DSSP!C256,"AAAAAGzff+g=")</f>
        <v>#VALUE!</v>
      </c>
      <c r="HZ157" t="e">
        <f>AND(DSSP!D256,"AAAAAGzff+k=")</f>
        <v>#VALUE!</v>
      </c>
      <c r="IA157">
        <f>IF(DSSP!257:257,"AAAAAGzff+o=",0)</f>
        <v>0</v>
      </c>
      <c r="IB157" t="e">
        <f>AND(DSSP!A257,"AAAAAGzff+s=")</f>
        <v>#VALUE!</v>
      </c>
      <c r="IC157" t="e">
        <f>AND(DSSP!B257,"AAAAAGzff+w=")</f>
        <v>#VALUE!</v>
      </c>
      <c r="ID157" t="e">
        <f>AND(DSSP!C257,"AAAAAGzff+0=")</f>
        <v>#VALUE!</v>
      </c>
      <c r="IE157" t="e">
        <f>AND(DSSP!D257,"AAAAAGzff+4=")</f>
        <v>#VALUE!</v>
      </c>
      <c r="IF157">
        <f>IF(DSSP!258:258,"AAAAAGzff+8=",0)</f>
        <v>0</v>
      </c>
      <c r="IG157" t="e">
        <f>AND(DSSP!A258,"AAAAAGzff/A=")</f>
        <v>#VALUE!</v>
      </c>
      <c r="IH157" t="e">
        <f>AND(DSSP!B258,"AAAAAGzff/E=")</f>
        <v>#VALUE!</v>
      </c>
      <c r="II157" t="e">
        <f>AND(DSSP!C258,"AAAAAGzff/I=")</f>
        <v>#VALUE!</v>
      </c>
      <c r="IJ157" t="e">
        <f>AND(DSSP!D258,"AAAAAGzff/M=")</f>
        <v>#VALUE!</v>
      </c>
      <c r="IK157">
        <f>IF(DSSP!259:259,"AAAAAGzff/Q=",0)</f>
        <v>0</v>
      </c>
      <c r="IL157" t="e">
        <f>AND(DSSP!A259,"AAAAAGzff/U=")</f>
        <v>#VALUE!</v>
      </c>
      <c r="IM157" t="e">
        <f>AND(DSSP!B259,"AAAAAGzff/Y=")</f>
        <v>#VALUE!</v>
      </c>
      <c r="IN157" t="e">
        <f>AND(DSSP!C259,"AAAAAGzff/c=")</f>
        <v>#VALUE!</v>
      </c>
      <c r="IO157" t="e">
        <f>AND(DSSP!D259,"AAAAAGzff/g=")</f>
        <v>#VALUE!</v>
      </c>
      <c r="IP157">
        <f>IF(DSSP!260:260,"AAAAAGzff/k=",0)</f>
        <v>0</v>
      </c>
      <c r="IQ157" t="e">
        <f>AND(DSSP!A260,"AAAAAGzff/o=")</f>
        <v>#VALUE!</v>
      </c>
      <c r="IR157" t="e">
        <f>AND(DSSP!B260,"AAAAAGzff/s=")</f>
        <v>#VALUE!</v>
      </c>
      <c r="IS157" t="e">
        <f>AND(DSSP!C260,"AAAAAGzff/w=")</f>
        <v>#VALUE!</v>
      </c>
      <c r="IT157" t="e">
        <f>AND(DSSP!D260,"AAAAAGzff/0=")</f>
        <v>#VALUE!</v>
      </c>
      <c r="IU157">
        <f>IF(DSSP!261:261,"AAAAAGzff/4=",0)</f>
        <v>0</v>
      </c>
      <c r="IV157" t="e">
        <f>AND(DSSP!A261,"AAAAAGzff/8=")</f>
        <v>#VALUE!</v>
      </c>
    </row>
    <row r="158" spans="1:256" ht="25.5">
      <c r="A158" t="e">
        <f>AND(DSSP!B261,"AAAAAF+6vwA=")</f>
        <v>#VALUE!</v>
      </c>
      <c r="B158" t="e">
        <f>AND(DSSP!C261,"AAAAAF+6vwE=")</f>
        <v>#VALUE!</v>
      </c>
      <c r="C158" t="e">
        <f>AND(DSSP!D261,"AAAAAF+6vwI=")</f>
        <v>#VALUE!</v>
      </c>
      <c r="D158" t="str">
        <f>IF(DSSP!262:262,"AAAAAF+6vwM=",0)</f>
        <v>AAAAAF+6vwM=</v>
      </c>
      <c r="E158" t="e">
        <f>AND(DSSP!A262,"AAAAAF+6vwQ=")</f>
        <v>#VALUE!</v>
      </c>
      <c r="F158" t="e">
        <f>AND(DSSP!B262,"AAAAAF+6vwU=")</f>
        <v>#VALUE!</v>
      </c>
      <c r="G158" t="e">
        <f>AND(DSSP!C262,"AAAAAF+6vwY=")</f>
        <v>#VALUE!</v>
      </c>
      <c r="H158" t="e">
        <f>AND(DSSP!D262,"AAAAAF+6vwc=")</f>
        <v>#VALUE!</v>
      </c>
      <c r="I158">
        <f>IF(DSSP!263:263,"AAAAAF+6vwg=",0)</f>
        <v>0</v>
      </c>
      <c r="J158" t="e">
        <f>AND(DSSP!A263,"AAAAAF+6vwk=")</f>
        <v>#VALUE!</v>
      </c>
      <c r="K158" t="e">
        <f>AND(DSSP!B263,"AAAAAF+6vwo=")</f>
        <v>#VALUE!</v>
      </c>
      <c r="L158" t="e">
        <f>AND(DSSP!C263,"AAAAAF+6vws=")</f>
        <v>#VALUE!</v>
      </c>
      <c r="M158" t="e">
        <f>AND(DSSP!D263,"AAAAAF+6vww=")</f>
        <v>#VALUE!</v>
      </c>
      <c r="N158">
        <f>IF(DSSP!264:264,"AAAAAF+6vw0=",0)</f>
        <v>0</v>
      </c>
      <c r="O158" t="e">
        <f>AND(DSSP!A264,"AAAAAF+6vw4=")</f>
        <v>#VALUE!</v>
      </c>
      <c r="P158" t="e">
        <f>AND(DSSP!B264,"AAAAAF+6vw8=")</f>
        <v>#VALUE!</v>
      </c>
      <c r="Q158" t="e">
        <f>AND(DSSP!C264,"AAAAAF+6vxA=")</f>
        <v>#VALUE!</v>
      </c>
      <c r="R158" t="e">
        <f>AND(DSSP!D264,"AAAAAF+6vxE=")</f>
        <v>#VALUE!</v>
      </c>
      <c r="S158">
        <f>IF(DSSP!265:265,"AAAAAF+6vxI=",0)</f>
        <v>0</v>
      </c>
      <c r="T158" t="e">
        <f>AND(DSSP!A265,"AAAAAF+6vxM=")</f>
        <v>#VALUE!</v>
      </c>
      <c r="U158" t="e">
        <f>AND(DSSP!B265,"AAAAAF+6vxQ=")</f>
        <v>#VALUE!</v>
      </c>
      <c r="V158" t="e">
        <f>AND(DSSP!C265,"AAAAAF+6vxU=")</f>
        <v>#VALUE!</v>
      </c>
      <c r="W158" t="e">
        <f>AND(DSSP!D265,"AAAAAF+6vxY=")</f>
        <v>#VALUE!</v>
      </c>
      <c r="X158">
        <f>IF(DSSP!266:266,"AAAAAF+6vxc=",0)</f>
        <v>0</v>
      </c>
      <c r="Y158" t="e">
        <f>AND(DSSP!A266,"AAAAAF+6vxg=")</f>
        <v>#VALUE!</v>
      </c>
      <c r="Z158" t="e">
        <f>AND(DSSP!B266,"AAAAAF+6vxk=")</f>
        <v>#VALUE!</v>
      </c>
      <c r="AA158" t="e">
        <f>AND(DSSP!C266,"AAAAAF+6vxo=")</f>
        <v>#VALUE!</v>
      </c>
      <c r="AB158" t="e">
        <f>AND(DSSP!D266,"AAAAAF+6vxs=")</f>
        <v>#VALUE!</v>
      </c>
      <c r="AC158">
        <f>IF(DSSP!267:267,"AAAAAF+6vxw=",0)</f>
        <v>0</v>
      </c>
      <c r="AD158" t="e">
        <f>AND(DSSP!A267,"AAAAAF+6vx0=")</f>
        <v>#VALUE!</v>
      </c>
      <c r="AE158" t="e">
        <f>AND(DSSP!B267,"AAAAAF+6vx4=")</f>
        <v>#VALUE!</v>
      </c>
      <c r="AF158" t="e">
        <f>AND(DSSP!C267,"AAAAAF+6vx8=")</f>
        <v>#VALUE!</v>
      </c>
      <c r="AG158" t="e">
        <f>AND(DSSP!D267,"AAAAAF+6vyA=")</f>
        <v>#VALUE!</v>
      </c>
      <c r="AH158">
        <f>IF(DSSP!268:268,"AAAAAF+6vyE=",0)</f>
        <v>0</v>
      </c>
      <c r="AI158" t="e">
        <f>AND(DSSP!A268,"AAAAAF+6vyI=")</f>
        <v>#VALUE!</v>
      </c>
      <c r="AJ158" t="e">
        <f>AND(DSSP!B268,"AAAAAF+6vyM=")</f>
        <v>#VALUE!</v>
      </c>
      <c r="AK158" t="e">
        <f>AND(DSSP!C268,"AAAAAF+6vyQ=")</f>
        <v>#VALUE!</v>
      </c>
      <c r="AL158" t="e">
        <f>AND(DSSP!D268,"AAAAAF+6vyU=")</f>
        <v>#VALUE!</v>
      </c>
      <c r="AM158">
        <f>IF(DSSP!269:269,"AAAAAF+6vyY=",0)</f>
        <v>0</v>
      </c>
      <c r="AN158" t="e">
        <f>AND(DSSP!A269,"AAAAAF+6vyc=")</f>
        <v>#VALUE!</v>
      </c>
      <c r="AO158" t="e">
        <f>AND(DSSP!B269,"AAAAAF+6vyg=")</f>
        <v>#VALUE!</v>
      </c>
      <c r="AP158" t="e">
        <f>AND(DSSP!C269,"AAAAAF+6vyk=")</f>
        <v>#VALUE!</v>
      </c>
      <c r="AQ158" t="e">
        <f>AND(DSSP!D269,"AAAAAF+6vyo=")</f>
        <v>#VALUE!</v>
      </c>
      <c r="AR158">
        <f>IF(DSSP!270:270,"AAAAAF+6vys=",0)</f>
        <v>0</v>
      </c>
      <c r="AS158" t="e">
        <f>AND(DSSP!A270,"AAAAAF+6vyw=")</f>
        <v>#VALUE!</v>
      </c>
      <c r="AT158" t="e">
        <f>AND(DSSP!B270,"AAAAAF+6vy0=")</f>
        <v>#VALUE!</v>
      </c>
      <c r="AU158" t="e">
        <f>AND(DSSP!C270,"AAAAAF+6vy4=")</f>
        <v>#VALUE!</v>
      </c>
      <c r="AV158" t="e">
        <f>AND(DSSP!D270,"AAAAAF+6vy8=")</f>
        <v>#VALUE!</v>
      </c>
      <c r="AW158">
        <f>IF(DSSP!271:271,"AAAAAF+6vzA=",0)</f>
        <v>0</v>
      </c>
      <c r="AX158" t="e">
        <f>AND(DSSP!A271,"AAAAAF+6vzE=")</f>
        <v>#VALUE!</v>
      </c>
      <c r="AY158" t="e">
        <f>AND(DSSP!B271,"AAAAAF+6vzI=")</f>
        <v>#VALUE!</v>
      </c>
      <c r="AZ158" t="e">
        <f>AND(DSSP!C271,"AAAAAF+6vzM=")</f>
        <v>#VALUE!</v>
      </c>
      <c r="BA158" t="e">
        <f>AND(DSSP!D271,"AAAAAF+6vzQ=")</f>
        <v>#VALUE!</v>
      </c>
      <c r="BB158">
        <f>IF(DSSP!272:272,"AAAAAF+6vzU=",0)</f>
        <v>0</v>
      </c>
      <c r="BC158" t="e">
        <f>AND(DSSP!A272,"AAAAAF+6vzY=")</f>
        <v>#VALUE!</v>
      </c>
      <c r="BD158" t="e">
        <f>AND(DSSP!B272,"AAAAAF+6vzc=")</f>
        <v>#VALUE!</v>
      </c>
      <c r="BE158" t="e">
        <f>AND(DSSP!C272,"AAAAAF+6vzg=")</f>
        <v>#VALUE!</v>
      </c>
      <c r="BF158" t="e">
        <f>AND(DSSP!D272,"AAAAAF+6vzk=")</f>
        <v>#VALUE!</v>
      </c>
      <c r="BG158">
        <f>IF(DSSP!273:273,"AAAAAF+6vzo=",0)</f>
        <v>0</v>
      </c>
      <c r="BH158" t="e">
        <f>AND(DSSP!A273,"AAAAAF+6vzs=")</f>
        <v>#VALUE!</v>
      </c>
      <c r="BI158" t="e">
        <f>AND(DSSP!B273,"AAAAAF+6vzw=")</f>
        <v>#VALUE!</v>
      </c>
      <c r="BJ158" t="e">
        <f>AND(DSSP!C273,"AAAAAF+6vz0=")</f>
        <v>#VALUE!</v>
      </c>
      <c r="BK158" t="e">
        <f>AND(DSSP!D273,"AAAAAF+6vz4=")</f>
        <v>#VALUE!</v>
      </c>
      <c r="BL158">
        <f>IF(DSSP!274:274,"AAAAAF+6vz8=",0)</f>
        <v>0</v>
      </c>
      <c r="BM158" t="e">
        <f>AND(DSSP!A274,"AAAAAF+6v0A=")</f>
        <v>#VALUE!</v>
      </c>
      <c r="BN158" t="e">
        <f>AND(DSSP!B274,"AAAAAF+6v0E=")</f>
        <v>#VALUE!</v>
      </c>
      <c r="BO158" t="e">
        <f>AND(DSSP!C274,"AAAAAF+6v0I=")</f>
        <v>#VALUE!</v>
      </c>
      <c r="BP158" t="e">
        <f>AND(DSSP!D274,"AAAAAF+6v0M=")</f>
        <v>#VALUE!</v>
      </c>
      <c r="BQ158">
        <f>IF(DSSP!275:275,"AAAAAF+6v0Q=",0)</f>
        <v>0</v>
      </c>
      <c r="BR158" t="e">
        <f>AND(DSSP!A275,"AAAAAF+6v0U=")</f>
        <v>#VALUE!</v>
      </c>
      <c r="BS158" t="e">
        <f>AND(DSSP!B275,"AAAAAF+6v0Y=")</f>
        <v>#VALUE!</v>
      </c>
      <c r="BT158" t="e">
        <f>AND(DSSP!C275,"AAAAAF+6v0c=")</f>
        <v>#VALUE!</v>
      </c>
      <c r="BU158" t="e">
        <f>AND(DSSP!D275,"AAAAAF+6v0g=")</f>
        <v>#VALUE!</v>
      </c>
    </row>
  </sheetData>
  <pageMargins left="0.7" right="0.7" top="0.75" bottom="0.75" header="0.3" footer="0.3"/>
  <customProperties>
    <customPr name="DVSECTION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04"/>
  <sheetViews>
    <sheetView workbookViewId="0">
      <selection activeCell="H12" sqref="H12"/>
    </sheetView>
  </sheetViews>
  <sheetFormatPr defaultRowHeight="12.75"/>
  <cols>
    <col min="4" max="4" width="18.42578125" customWidth="1"/>
    <col min="5" max="5" width="16.140625" customWidth="1"/>
    <col min="6" max="6" width="15.28515625" customWidth="1"/>
    <col min="7" max="7" width="18.28515625" customWidth="1"/>
    <col min="8" max="8" width="14.7109375" customWidth="1"/>
  </cols>
  <sheetData>
    <row r="1" spans="1:8">
      <c r="A1" t="str">
        <f>[1]NhapHang!A1</f>
        <v>Ngày</v>
      </c>
      <c r="B1" t="str">
        <f>[1]NhapHang!B1</f>
        <v>STT</v>
      </c>
      <c r="C1" t="str">
        <f>[1]NhapHang!C1</f>
        <v>Mã SP</v>
      </c>
      <c r="D1" t="str">
        <f>[1]NhapHang!D1</f>
        <v>Tên sản phẩm</v>
      </c>
      <c r="E1" t="str">
        <f>[1]NhapHang!E1</f>
        <v>Số lượng</v>
      </c>
      <c r="F1" t="str">
        <f>[1]NhapHang!F1</f>
        <v>Người nhập</v>
      </c>
      <c r="G1" t="str">
        <f>[1]NhapHang!G1</f>
        <v>Lý do nhập</v>
      </c>
      <c r="H1" t="str">
        <f>[1]NhapHang!H1</f>
        <v>Người nhận</v>
      </c>
    </row>
    <row r="2" spans="1:8">
      <c r="A2">
        <f>[1]NhapHang!A2</f>
        <v>1</v>
      </c>
      <c r="B2">
        <f>[1]NhapHang!B2</f>
        <v>0</v>
      </c>
      <c r="C2">
        <f>[1]NhapHang!C2</f>
        <v>0</v>
      </c>
      <c r="D2">
        <f>[1]NhapHang!D2</f>
        <v>0</v>
      </c>
      <c r="E2">
        <f>[1]NhapHang!E2</f>
        <v>0</v>
      </c>
      <c r="F2" t="str">
        <f>[1]NhapHang!F2</f>
        <v>Hiệp</v>
      </c>
      <c r="G2" t="str">
        <f>[1]NhapHang!G2</f>
        <v>Nhập kho đầu tháng</v>
      </c>
      <c r="H2">
        <f>[1]NhapHang!H2</f>
        <v>0</v>
      </c>
    </row>
    <row r="3" spans="1:8" ht="25.5">
      <c r="A3">
        <f>[1]NhapHang!A3</f>
        <v>1</v>
      </c>
      <c r="B3">
        <f>[1]NhapHang!B3</f>
        <v>1</v>
      </c>
      <c r="C3" t="str">
        <f>[1]NhapHang!C3</f>
        <v>A025</v>
      </c>
      <c r="D3" t="str">
        <f>[1]NhapHang!D3</f>
        <v>Gà bông</v>
      </c>
      <c r="E3">
        <f>[1]NhapHang!E3</f>
        <v>22</v>
      </c>
      <c r="F3">
        <f>[1]NhapHang!F3</f>
        <v>0</v>
      </c>
      <c r="G3" t="str">
        <f>[1]NhapHang!G3</f>
        <v>Số liệu từ cuối tháng 12</v>
      </c>
      <c r="H3">
        <f>[1]NhapHang!H3</f>
        <v>0</v>
      </c>
    </row>
    <row r="4" spans="1:8">
      <c r="A4">
        <f>[1]NhapHang!A4</f>
        <v>1</v>
      </c>
      <c r="B4">
        <f>[1]NhapHang!B4</f>
        <v>2</v>
      </c>
      <c r="C4" t="str">
        <f>[1]NhapHang!C4</f>
        <v>A026</v>
      </c>
      <c r="D4" t="str">
        <f>[1]NhapHang!D4</f>
        <v>Dép bốn lá</v>
      </c>
      <c r="E4">
        <f>[1]NhapHang!E4</f>
        <v>53</v>
      </c>
      <c r="F4">
        <f>[1]NhapHang!F4</f>
        <v>0</v>
      </c>
      <c r="G4">
        <f>[1]NhapHang!G4</f>
        <v>0</v>
      </c>
      <c r="H4">
        <f>[1]NhapHang!H4</f>
        <v>0</v>
      </c>
    </row>
    <row r="5" spans="1:8">
      <c r="A5">
        <f>[1]NhapHang!A5</f>
        <v>1</v>
      </c>
      <c r="B5">
        <f>[1]NhapHang!B5</f>
        <v>3</v>
      </c>
      <c r="C5" t="str">
        <f>[1]NhapHang!C5</f>
        <v>A028</v>
      </c>
      <c r="D5" t="str">
        <f>[1]NhapHang!D5</f>
        <v>Cá voi</v>
      </c>
      <c r="E5">
        <f>[1]NhapHang!E5</f>
        <v>34</v>
      </c>
      <c r="F5">
        <f>[1]NhapHang!F5</f>
        <v>0</v>
      </c>
      <c r="G5">
        <f>[1]NhapHang!G5</f>
        <v>0</v>
      </c>
      <c r="H5">
        <f>[1]NhapHang!H5</f>
        <v>0</v>
      </c>
    </row>
    <row r="6" spans="1:8">
      <c r="A6">
        <f>[1]NhapHang!A6</f>
        <v>1</v>
      </c>
      <c r="B6">
        <f>[1]NhapHang!B6</f>
        <v>4</v>
      </c>
      <c r="C6" t="str">
        <f>[1]NhapHang!C6</f>
        <v>A031</v>
      </c>
      <c r="D6" t="str">
        <f>[1]NhapHang!D6</f>
        <v>Angry Bird</v>
      </c>
      <c r="E6">
        <f>[1]NhapHang!E6</f>
        <v>8</v>
      </c>
      <c r="F6">
        <f>[1]NhapHang!F6</f>
        <v>0</v>
      </c>
      <c r="G6">
        <f>[1]NhapHang!G6</f>
        <v>0</v>
      </c>
      <c r="H6">
        <f>[1]NhapHang!H6</f>
        <v>0</v>
      </c>
    </row>
    <row r="7" spans="1:8">
      <c r="A7">
        <f>[1]NhapHang!A7</f>
        <v>1</v>
      </c>
      <c r="B7">
        <f>[1]NhapHang!B7</f>
        <v>5</v>
      </c>
      <c r="C7" t="str">
        <f>[1]NhapHang!C7</f>
        <v>A041</v>
      </c>
      <c r="D7" t="str">
        <f>[1]NhapHang!D7</f>
        <v>Cup cake</v>
      </c>
      <c r="E7">
        <f>[1]NhapHang!E7</f>
        <v>16</v>
      </c>
      <c r="F7">
        <f>[1]NhapHang!F7</f>
        <v>0</v>
      </c>
      <c r="G7">
        <f>[1]NhapHang!G7</f>
        <v>0</v>
      </c>
      <c r="H7">
        <f>[1]NhapHang!H7</f>
        <v>0</v>
      </c>
    </row>
    <row r="8" spans="1:8">
      <c r="A8">
        <f>[1]NhapHang!A8</f>
        <v>1</v>
      </c>
      <c r="B8">
        <f>[1]NhapHang!B8</f>
        <v>6</v>
      </c>
      <c r="C8" t="str">
        <f>[1]NhapHang!C8</f>
        <v>A042</v>
      </c>
      <c r="D8" t="str">
        <f>[1]NhapHang!D8</f>
        <v>Dino</v>
      </c>
      <c r="E8">
        <f>[1]NhapHang!E8</f>
        <v>12</v>
      </c>
      <c r="F8">
        <f>[1]NhapHang!F8</f>
        <v>0</v>
      </c>
      <c r="G8">
        <f>[1]NhapHang!G8</f>
        <v>0</v>
      </c>
      <c r="H8">
        <f>[1]NhapHang!H8</f>
        <v>0</v>
      </c>
    </row>
    <row r="9" spans="1:8">
      <c r="A9">
        <f>[1]NhapHang!A9</f>
        <v>1</v>
      </c>
      <c r="B9">
        <f>[1]NhapHang!B9</f>
        <v>7</v>
      </c>
      <c r="C9" t="str">
        <f>[1]NhapHang!C9</f>
        <v>A049</v>
      </c>
      <c r="D9" t="str">
        <f>[1]NhapHang!D9</f>
        <v xml:space="preserve">Key - lock </v>
      </c>
      <c r="E9">
        <f>[1]NhapHang!E9</f>
        <v>1</v>
      </c>
      <c r="F9">
        <f>[1]NhapHang!F9</f>
        <v>0</v>
      </c>
      <c r="G9">
        <f>[1]NhapHang!G9</f>
        <v>0</v>
      </c>
      <c r="H9">
        <f>[1]NhapHang!H9</f>
        <v>0</v>
      </c>
    </row>
    <row r="10" spans="1:8">
      <c r="A10">
        <f>[1]NhapHang!A10</f>
        <v>1</v>
      </c>
      <c r="B10">
        <f>[1]NhapHang!B10</f>
        <v>8</v>
      </c>
      <c r="C10" t="str">
        <f>[1]NhapHang!C10</f>
        <v>A050</v>
      </c>
      <c r="D10" t="str">
        <f>[1]NhapHang!D10</f>
        <v>XX and XY</v>
      </c>
      <c r="E10">
        <f>[1]NhapHang!E10</f>
        <v>5</v>
      </c>
      <c r="F10">
        <f>[1]NhapHang!F10</f>
        <v>0</v>
      </c>
      <c r="G10">
        <f>[1]NhapHang!G10</f>
        <v>0</v>
      </c>
      <c r="H10">
        <f>[1]NhapHang!H10</f>
        <v>0</v>
      </c>
    </row>
    <row r="11" spans="1:8">
      <c r="A11">
        <f>[1]NhapHang!A11</f>
        <v>1</v>
      </c>
      <c r="B11">
        <f>[1]NhapHang!B11</f>
        <v>9</v>
      </c>
      <c r="C11" t="str">
        <f>[1]NhapHang!C11</f>
        <v>A051</v>
      </c>
      <c r="D11" t="str">
        <f>[1]NhapHang!D11</f>
        <v>Kem đôi</v>
      </c>
      <c r="E11">
        <f>[1]NhapHang!E11</f>
        <v>34</v>
      </c>
      <c r="F11">
        <f>[1]NhapHang!F11</f>
        <v>0</v>
      </c>
      <c r="G11">
        <f>[1]NhapHang!G11</f>
        <v>0</v>
      </c>
      <c r="H11">
        <f>[1]NhapHang!H11</f>
        <v>0</v>
      </c>
    </row>
    <row r="12" spans="1:8">
      <c r="A12">
        <f>[1]NhapHang!A12</f>
        <v>1</v>
      </c>
      <c r="B12">
        <f>[1]NhapHang!B12</f>
        <v>10</v>
      </c>
      <c r="C12" t="str">
        <f>[1]NhapHang!C12</f>
        <v>A052</v>
      </c>
      <c r="D12" t="str">
        <f>[1]NhapHang!D12</f>
        <v>Nấm đôi</v>
      </c>
      <c r="E12">
        <f>[1]NhapHang!E12</f>
        <v>30</v>
      </c>
      <c r="F12">
        <f>[1]NhapHang!F12</f>
        <v>0</v>
      </c>
      <c r="G12">
        <f>[1]NhapHang!G12</f>
        <v>0</v>
      </c>
      <c r="H12">
        <f>[1]NhapHang!H12</f>
        <v>0</v>
      </c>
    </row>
    <row r="13" spans="1:8">
      <c r="A13">
        <f>[1]NhapHang!A13</f>
        <v>1</v>
      </c>
      <c r="B13">
        <f>[1]NhapHang!B13</f>
        <v>11</v>
      </c>
      <c r="C13" t="str">
        <f>[1]NhapHang!C13</f>
        <v>A054</v>
      </c>
      <c r="D13" t="str">
        <f>[1]NhapHang!D13</f>
        <v>Cáo đôi</v>
      </c>
      <c r="E13">
        <f>[1]NhapHang!E13</f>
        <v>9</v>
      </c>
      <c r="F13">
        <f>[1]NhapHang!F13</f>
        <v>0</v>
      </c>
      <c r="G13">
        <f>[1]NhapHang!G13</f>
        <v>0</v>
      </c>
      <c r="H13">
        <f>[1]NhapHang!H13</f>
        <v>0</v>
      </c>
    </row>
    <row r="14" spans="1:8">
      <c r="A14">
        <f>[1]NhapHang!A14</f>
        <v>1</v>
      </c>
      <c r="B14">
        <f>[1]NhapHang!B14</f>
        <v>12</v>
      </c>
      <c r="C14" t="str">
        <f>[1]NhapHang!C14</f>
        <v>A055</v>
      </c>
      <c r="D14" t="str">
        <f>[1]NhapHang!D14</f>
        <v>Cơm nắm</v>
      </c>
      <c r="E14">
        <f>[1]NhapHang!E14</f>
        <v>45</v>
      </c>
      <c r="F14">
        <f>[1]NhapHang!F14</f>
        <v>0</v>
      </c>
      <c r="G14">
        <f>[1]NhapHang!G14</f>
        <v>0</v>
      </c>
      <c r="H14">
        <f>[1]NhapHang!H14</f>
        <v>0</v>
      </c>
    </row>
    <row r="15" spans="1:8">
      <c r="A15">
        <f>[1]NhapHang!A15</f>
        <v>1</v>
      </c>
      <c r="B15">
        <f>[1]NhapHang!B15</f>
        <v>13</v>
      </c>
      <c r="C15" t="str">
        <f>[1]NhapHang!C15</f>
        <v>A056</v>
      </c>
      <c r="D15" t="str">
        <f>[1]NhapHang!D15</f>
        <v>Ong</v>
      </c>
      <c r="E15">
        <f>[1]NhapHang!E15</f>
        <v>0</v>
      </c>
      <c r="F15">
        <f>[1]NhapHang!F15</f>
        <v>0</v>
      </c>
      <c r="G15">
        <f>[1]NhapHang!G15</f>
        <v>0</v>
      </c>
      <c r="H15">
        <f>[1]NhapHang!H15</f>
        <v>0</v>
      </c>
    </row>
    <row r="16" spans="1:8">
      <c r="A16">
        <f>[1]NhapHang!A16</f>
        <v>1</v>
      </c>
      <c r="B16">
        <f>[1]NhapHang!B16</f>
        <v>14</v>
      </c>
      <c r="C16" t="str">
        <f>[1]NhapHang!C16</f>
        <v>A057</v>
      </c>
      <c r="D16" t="str">
        <f>[1]NhapHang!D16</f>
        <v>Cỏ 4 lá</v>
      </c>
      <c r="E16">
        <f>[1]NhapHang!E16</f>
        <v>58</v>
      </c>
      <c r="F16">
        <f>[1]NhapHang!F16</f>
        <v>0</v>
      </c>
      <c r="G16">
        <f>[1]NhapHang!G16</f>
        <v>0</v>
      </c>
      <c r="H16">
        <f>[1]NhapHang!H16</f>
        <v>0</v>
      </c>
    </row>
    <row r="17" spans="1:8">
      <c r="A17">
        <f>[1]NhapHang!A17</f>
        <v>1</v>
      </c>
      <c r="B17">
        <f>[1]NhapHang!B17</f>
        <v>15</v>
      </c>
      <c r="C17" t="str">
        <f>[1]NhapHang!C17</f>
        <v>A058</v>
      </c>
      <c r="D17" t="str">
        <f>[1]NhapHang!D17</f>
        <v>Ếch</v>
      </c>
      <c r="E17">
        <f>[1]NhapHang!E17</f>
        <v>47</v>
      </c>
      <c r="F17">
        <f>[1]NhapHang!F17</f>
        <v>0</v>
      </c>
      <c r="G17">
        <f>[1]NhapHang!G17</f>
        <v>0</v>
      </c>
      <c r="H17">
        <f>[1]NhapHang!H17</f>
        <v>0</v>
      </c>
    </row>
    <row r="18" spans="1:8">
      <c r="A18">
        <f>[1]NhapHang!A18</f>
        <v>1</v>
      </c>
      <c r="B18">
        <f>[1]NhapHang!B18</f>
        <v>16</v>
      </c>
      <c r="C18" t="str">
        <f>[1]NhapHang!C18</f>
        <v>A059</v>
      </c>
      <c r="D18" t="str">
        <f>[1]NhapHang!D18</f>
        <v>Bọ dừa</v>
      </c>
      <c r="E18">
        <f>[1]NhapHang!E18</f>
        <v>18</v>
      </c>
      <c r="F18">
        <f>[1]NhapHang!F18</f>
        <v>0</v>
      </c>
      <c r="G18">
        <f>[1]NhapHang!G18</f>
        <v>0</v>
      </c>
      <c r="H18">
        <f>[1]NhapHang!H18</f>
        <v>0</v>
      </c>
    </row>
    <row r="19" spans="1:8">
      <c r="A19">
        <f>[1]NhapHang!A19</f>
        <v>1</v>
      </c>
      <c r="B19">
        <f>[1]NhapHang!B19</f>
        <v>17</v>
      </c>
      <c r="C19" t="str">
        <f>[1]NhapHang!C19</f>
        <v>A060</v>
      </c>
      <c r="D19" t="str">
        <f>[1]NhapHang!D19</f>
        <v>Cánh cụt</v>
      </c>
      <c r="E19">
        <f>[1]NhapHang!E19</f>
        <v>32</v>
      </c>
      <c r="F19">
        <f>[1]NhapHang!F19</f>
        <v>0</v>
      </c>
      <c r="G19">
        <f>[1]NhapHang!G19</f>
        <v>0</v>
      </c>
      <c r="H19">
        <f>[1]NhapHang!H19</f>
        <v>0</v>
      </c>
    </row>
    <row r="20" spans="1:8">
      <c r="A20">
        <f>[1]NhapHang!A20</f>
        <v>1</v>
      </c>
      <c r="B20">
        <f>[1]NhapHang!B20</f>
        <v>18</v>
      </c>
      <c r="C20" t="str">
        <f>[1]NhapHang!C20</f>
        <v>A061</v>
      </c>
      <c r="D20" t="str">
        <f>[1]NhapHang!D20</f>
        <v>Gấu trúc</v>
      </c>
      <c r="E20">
        <f>[1]NhapHang!E20</f>
        <v>54</v>
      </c>
      <c r="F20">
        <f>[1]NhapHang!F20</f>
        <v>0</v>
      </c>
      <c r="G20">
        <f>[1]NhapHang!G20</f>
        <v>0</v>
      </c>
      <c r="H20">
        <f>[1]NhapHang!H20</f>
        <v>0</v>
      </c>
    </row>
    <row r="21" spans="1:8">
      <c r="A21">
        <f>[1]NhapHang!A21</f>
        <v>1</v>
      </c>
      <c r="B21">
        <f>[1]NhapHang!B21</f>
        <v>19</v>
      </c>
      <c r="C21" t="str">
        <f>[1]NhapHang!C21</f>
        <v>A062</v>
      </c>
      <c r="D21" t="str">
        <f>[1]NhapHang!D21</f>
        <v>Hươu</v>
      </c>
      <c r="E21">
        <f>[1]NhapHang!E21</f>
        <v>30</v>
      </c>
      <c r="F21">
        <f>[1]NhapHang!F21</f>
        <v>0</v>
      </c>
      <c r="G21">
        <f>[1]NhapHang!G21</f>
        <v>0</v>
      </c>
      <c r="H21">
        <f>[1]NhapHang!H21</f>
        <v>0</v>
      </c>
    </row>
    <row r="22" spans="1:8">
      <c r="A22">
        <f>[1]NhapHang!A22</f>
        <v>1</v>
      </c>
      <c r="B22">
        <f>[1]NhapHang!B22</f>
        <v>20</v>
      </c>
      <c r="C22" t="str">
        <f>[1]NhapHang!C22</f>
        <v>A063</v>
      </c>
      <c r="D22" t="str">
        <f>[1]NhapHang!D22</f>
        <v>Lừa</v>
      </c>
      <c r="E22">
        <f>[1]NhapHang!E22</f>
        <v>21</v>
      </c>
      <c r="F22">
        <f>[1]NhapHang!F22</f>
        <v>0</v>
      </c>
      <c r="G22">
        <f>[1]NhapHang!G22</f>
        <v>0</v>
      </c>
      <c r="H22">
        <f>[1]NhapHang!H22</f>
        <v>0</v>
      </c>
    </row>
    <row r="23" spans="1:8">
      <c r="A23">
        <f>[1]NhapHang!A23</f>
        <v>1</v>
      </c>
      <c r="B23">
        <f>[1]NhapHang!B23</f>
        <v>21</v>
      </c>
      <c r="C23" t="str">
        <f>[1]NhapHang!C23</f>
        <v>A064</v>
      </c>
      <c r="D23" t="str">
        <f>[1]NhapHang!D23</f>
        <v>Bánh sữa</v>
      </c>
      <c r="E23">
        <f>[1]NhapHang!E23</f>
        <v>36</v>
      </c>
      <c r="F23">
        <f>[1]NhapHang!F23</f>
        <v>0</v>
      </c>
      <c r="G23">
        <f>[1]NhapHang!G23</f>
        <v>0</v>
      </c>
      <c r="H23">
        <f>[1]NhapHang!H23</f>
        <v>0</v>
      </c>
    </row>
    <row r="24" spans="1:8">
      <c r="A24">
        <f>[1]NhapHang!A24</f>
        <v>1</v>
      </c>
      <c r="B24">
        <f>[1]NhapHang!B24</f>
        <v>22</v>
      </c>
      <c r="C24" t="str">
        <f>[1]NhapHang!C24</f>
        <v>A069</v>
      </c>
      <c r="D24" t="str">
        <f>[1]NhapHang!D24</f>
        <v>Bánh kem</v>
      </c>
      <c r="E24">
        <f>[1]NhapHang!E24</f>
        <v>-1</v>
      </c>
      <c r="F24">
        <f>[1]NhapHang!F24</f>
        <v>0</v>
      </c>
      <c r="G24">
        <f>[1]NhapHang!G24</f>
        <v>0</v>
      </c>
      <c r="H24">
        <f>[1]NhapHang!H24</f>
        <v>0</v>
      </c>
    </row>
    <row r="25" spans="1:8">
      <c r="A25">
        <f>[1]NhapHang!A25</f>
        <v>1</v>
      </c>
      <c r="B25">
        <f>[1]NhapHang!B25</f>
        <v>23</v>
      </c>
      <c r="C25" t="str">
        <f>[1]NhapHang!C25</f>
        <v>A071</v>
      </c>
      <c r="D25" t="str">
        <f>[1]NhapHang!D25</f>
        <v>Bao tay</v>
      </c>
      <c r="E25">
        <f>[1]NhapHang!E25</f>
        <v>34</v>
      </c>
      <c r="F25">
        <f>[1]NhapHang!F25</f>
        <v>0</v>
      </c>
      <c r="G25">
        <f>[1]NhapHang!G25</f>
        <v>0</v>
      </c>
      <c r="H25">
        <f>[1]NhapHang!H25</f>
        <v>0</v>
      </c>
    </row>
    <row r="26" spans="1:8">
      <c r="A26">
        <f>[1]NhapHang!A26</f>
        <v>1</v>
      </c>
      <c r="B26">
        <f>[1]NhapHang!B26</f>
        <v>24</v>
      </c>
      <c r="C26" t="str">
        <f>[1]NhapHang!C26</f>
        <v>A073</v>
      </c>
      <c r="D26" t="str">
        <f>[1]NhapHang!D26</f>
        <v>Cá heo</v>
      </c>
      <c r="E26">
        <f>[1]NhapHang!E26</f>
        <v>0</v>
      </c>
      <c r="F26">
        <f>[1]NhapHang!F26</f>
        <v>0</v>
      </c>
      <c r="G26">
        <f>[1]NhapHang!G26</f>
        <v>0</v>
      </c>
      <c r="H26">
        <f>[1]NhapHang!H26</f>
        <v>0</v>
      </c>
    </row>
    <row r="27" spans="1:8">
      <c r="A27">
        <f>[1]NhapHang!A27</f>
        <v>1</v>
      </c>
      <c r="B27">
        <f>[1]NhapHang!B27</f>
        <v>25</v>
      </c>
      <c r="C27" t="str">
        <f>[1]NhapHang!C27</f>
        <v>A075</v>
      </c>
      <c r="D27" t="str">
        <f>[1]NhapHang!D27</f>
        <v>Bánh kẹp trứng</v>
      </c>
      <c r="E27">
        <f>[1]NhapHang!E27</f>
        <v>20</v>
      </c>
      <c r="F27">
        <f>[1]NhapHang!F27</f>
        <v>0</v>
      </c>
      <c r="G27">
        <f>[1]NhapHang!G27</f>
        <v>0</v>
      </c>
      <c r="H27">
        <f>[1]NhapHang!H27</f>
        <v>0</v>
      </c>
    </row>
    <row r="28" spans="1:8">
      <c r="A28">
        <f>[1]NhapHang!A28</f>
        <v>1</v>
      </c>
      <c r="B28">
        <f>[1]NhapHang!B28</f>
        <v>26</v>
      </c>
      <c r="C28" t="str">
        <f>[1]NhapHang!C28</f>
        <v>A076</v>
      </c>
      <c r="D28" t="str">
        <f>[1]NhapHang!D28</f>
        <v>Búp bê Nga</v>
      </c>
      <c r="E28">
        <f>[1]NhapHang!E28</f>
        <v>25</v>
      </c>
      <c r="F28">
        <f>[1]NhapHang!F28</f>
        <v>0</v>
      </c>
      <c r="G28">
        <f>[1]NhapHang!G28</f>
        <v>0</v>
      </c>
      <c r="H28">
        <f>[1]NhapHang!H28</f>
        <v>0</v>
      </c>
    </row>
    <row r="29" spans="1:8">
      <c r="A29">
        <f>[1]NhapHang!A29</f>
        <v>1</v>
      </c>
      <c r="B29">
        <f>[1]NhapHang!B29</f>
        <v>27</v>
      </c>
      <c r="C29" t="str">
        <f>[1]NhapHang!C29</f>
        <v>A077</v>
      </c>
      <c r="D29" t="str">
        <f>[1]NhapHang!D29</f>
        <v>Chim</v>
      </c>
      <c r="E29">
        <f>[1]NhapHang!E29</f>
        <v>34</v>
      </c>
      <c r="F29">
        <f>[1]NhapHang!F29</f>
        <v>0</v>
      </c>
      <c r="G29">
        <f>[1]NhapHang!G29</f>
        <v>0</v>
      </c>
      <c r="H29">
        <f>[1]NhapHang!H29</f>
        <v>0</v>
      </c>
    </row>
    <row r="30" spans="1:8">
      <c r="A30">
        <f>[1]NhapHang!A30</f>
        <v>1</v>
      </c>
      <c r="B30">
        <f>[1]NhapHang!B30</f>
        <v>28</v>
      </c>
      <c r="C30" t="str">
        <f>[1]NhapHang!C30</f>
        <v>A078</v>
      </c>
      <c r="D30" t="str">
        <f>[1]NhapHang!D30</f>
        <v>Trà sữa</v>
      </c>
      <c r="E30">
        <f>[1]NhapHang!E30</f>
        <v>22</v>
      </c>
      <c r="F30">
        <f>[1]NhapHang!F30</f>
        <v>0</v>
      </c>
      <c r="G30">
        <f>[1]NhapHang!G30</f>
        <v>0</v>
      </c>
      <c r="H30">
        <f>[1]NhapHang!H30</f>
        <v>0</v>
      </c>
    </row>
    <row r="31" spans="1:8">
      <c r="A31">
        <f>[1]NhapHang!A31</f>
        <v>1</v>
      </c>
      <c r="B31">
        <f>[1]NhapHang!B31</f>
        <v>29</v>
      </c>
      <c r="C31" t="str">
        <f>[1]NhapHang!C31</f>
        <v>A079</v>
      </c>
      <c r="D31" t="str">
        <f>[1]NhapHang!D31</f>
        <v>Trăng sao</v>
      </c>
      <c r="E31">
        <f>[1]NhapHang!E31</f>
        <v>32</v>
      </c>
      <c r="F31">
        <f>[1]NhapHang!F31</f>
        <v>0</v>
      </c>
      <c r="G31">
        <f>[1]NhapHang!G31</f>
        <v>0</v>
      </c>
      <c r="H31">
        <f>[1]NhapHang!H31</f>
        <v>0</v>
      </c>
    </row>
    <row r="32" spans="1:8">
      <c r="A32">
        <f>[1]NhapHang!A32</f>
        <v>1</v>
      </c>
      <c r="B32">
        <f>[1]NhapHang!B32</f>
        <v>30</v>
      </c>
      <c r="C32" t="str">
        <f>[1]NhapHang!C32</f>
        <v>A080</v>
      </c>
      <c r="D32" t="str">
        <f>[1]NhapHang!D32</f>
        <v>Chuột cheese</v>
      </c>
      <c r="E32">
        <f>[1]NhapHang!E32</f>
        <v>60</v>
      </c>
      <c r="F32">
        <f>[1]NhapHang!F32</f>
        <v>0</v>
      </c>
      <c r="G32">
        <f>[1]NhapHang!G32</f>
        <v>0</v>
      </c>
      <c r="H32">
        <f>[1]NhapHang!H32</f>
        <v>0</v>
      </c>
    </row>
    <row r="33" spans="1:8">
      <c r="A33">
        <f>[1]NhapHang!A33</f>
        <v>1</v>
      </c>
      <c r="B33">
        <f>[1]NhapHang!B33</f>
        <v>31</v>
      </c>
      <c r="C33" t="str">
        <f>[1]NhapHang!C33</f>
        <v>A085</v>
      </c>
      <c r="D33" t="str">
        <f>[1]NhapHang!D33</f>
        <v>Trà sữa</v>
      </c>
      <c r="E33">
        <f>[1]NhapHang!E33</f>
        <v>0</v>
      </c>
      <c r="F33">
        <f>[1]NhapHang!F33</f>
        <v>0</v>
      </c>
      <c r="G33">
        <f>[1]NhapHang!G33</f>
        <v>0</v>
      </c>
      <c r="H33">
        <f>[1]NhapHang!H33</f>
        <v>0</v>
      </c>
    </row>
    <row r="34" spans="1:8">
      <c r="A34">
        <f>[1]NhapHang!A34</f>
        <v>1</v>
      </c>
      <c r="B34">
        <f>[1]NhapHang!B34</f>
        <v>32</v>
      </c>
      <c r="C34" t="str">
        <f>[1]NhapHang!C34</f>
        <v>A090</v>
      </c>
      <c r="D34" t="str">
        <f>[1]NhapHang!D34</f>
        <v>Hamster</v>
      </c>
      <c r="E34">
        <f>[1]NhapHang!E34</f>
        <v>0</v>
      </c>
      <c r="F34">
        <f>[1]NhapHang!F34</f>
        <v>0</v>
      </c>
      <c r="G34">
        <f>[1]NhapHang!G34</f>
        <v>0</v>
      </c>
      <c r="H34">
        <f>[1]NhapHang!H34</f>
        <v>0</v>
      </c>
    </row>
    <row r="35" spans="1:8">
      <c r="A35">
        <f>[1]NhapHang!A35</f>
        <v>1</v>
      </c>
      <c r="B35">
        <f>[1]NhapHang!B35</f>
        <v>33</v>
      </c>
      <c r="C35" t="str">
        <f>[1]NhapHang!C35</f>
        <v>A091</v>
      </c>
      <c r="D35" t="str">
        <f>[1]NhapHang!D35</f>
        <v>Cánh cụt bơi</v>
      </c>
      <c r="E35">
        <f>[1]NhapHang!E35</f>
        <v>0</v>
      </c>
      <c r="F35">
        <f>[1]NhapHang!F35</f>
        <v>0</v>
      </c>
      <c r="G35">
        <f>[1]NhapHang!G35</f>
        <v>0</v>
      </c>
      <c r="H35">
        <f>[1]NhapHang!H35</f>
        <v>0</v>
      </c>
    </row>
    <row r="36" spans="1:8">
      <c r="A36">
        <f>[1]NhapHang!A36</f>
        <v>1</v>
      </c>
      <c r="B36">
        <f>[1]NhapHang!B36</f>
        <v>34</v>
      </c>
      <c r="C36" t="str">
        <f>[1]NhapHang!C36</f>
        <v>A092</v>
      </c>
      <c r="D36" t="str">
        <f>[1]NhapHang!D36</f>
        <v>Heo đất</v>
      </c>
      <c r="E36">
        <f>[1]NhapHang!E36</f>
        <v>32</v>
      </c>
      <c r="F36">
        <f>[1]NhapHang!F36</f>
        <v>0</v>
      </c>
      <c r="G36">
        <f>[1]NhapHang!G36</f>
        <v>0</v>
      </c>
      <c r="H36">
        <f>[1]NhapHang!H36</f>
        <v>0</v>
      </c>
    </row>
    <row r="37" spans="1:8">
      <c r="A37">
        <f>[1]NhapHang!A37</f>
        <v>1</v>
      </c>
      <c r="B37">
        <f>[1]NhapHang!B37</f>
        <v>35</v>
      </c>
      <c r="C37" t="str">
        <f>[1]NhapHang!C37</f>
        <v>A121</v>
      </c>
      <c r="D37" t="str">
        <f>[1]NhapHang!D37</f>
        <v>Gà mẹ con</v>
      </c>
      <c r="E37">
        <f>[1]NhapHang!E37</f>
        <v>0</v>
      </c>
      <c r="F37">
        <f>[1]NhapHang!F37</f>
        <v>0</v>
      </c>
      <c r="G37">
        <f>[1]NhapHang!G37</f>
        <v>0</v>
      </c>
      <c r="H37">
        <f>[1]NhapHang!H37</f>
        <v>0</v>
      </c>
    </row>
    <row r="38" spans="1:8">
      <c r="A38">
        <f>[1]NhapHang!A38</f>
        <v>1</v>
      </c>
      <c r="B38">
        <f>[1]NhapHang!B38</f>
        <v>36</v>
      </c>
      <c r="C38" t="str">
        <f>[1]NhapHang!C38</f>
        <v>A122</v>
      </c>
      <c r="D38" t="str">
        <f>[1]NhapHang!D38</f>
        <v>Ếch kêu mưa</v>
      </c>
      <c r="E38">
        <f>[1]NhapHang!E38</f>
        <v>18</v>
      </c>
      <c r="F38">
        <f>[1]NhapHang!F38</f>
        <v>0</v>
      </c>
      <c r="G38">
        <f>[1]NhapHang!G38</f>
        <v>0</v>
      </c>
      <c r="H38">
        <f>[1]NhapHang!H38</f>
        <v>0</v>
      </c>
    </row>
    <row r="39" spans="1:8">
      <c r="A39">
        <f>[1]NhapHang!A39</f>
        <v>1</v>
      </c>
      <c r="B39">
        <f>[1]NhapHang!B39</f>
        <v>37</v>
      </c>
      <c r="C39" t="str">
        <f>[1]NhapHang!C39</f>
        <v>A123</v>
      </c>
      <c r="D39" t="str">
        <f>[1]NhapHang!D39</f>
        <v>Tê giác tắm</v>
      </c>
      <c r="E39">
        <f>[1]NhapHang!E39</f>
        <v>0</v>
      </c>
      <c r="F39">
        <f>[1]NhapHang!F39</f>
        <v>0</v>
      </c>
      <c r="G39">
        <f>[1]NhapHang!G39</f>
        <v>0</v>
      </c>
      <c r="H39">
        <f>[1]NhapHang!H39</f>
        <v>0</v>
      </c>
    </row>
    <row r="40" spans="1:8">
      <c r="A40">
        <f>[1]NhapHang!A40</f>
        <v>1</v>
      </c>
      <c r="B40">
        <f>[1]NhapHang!B40</f>
        <v>38</v>
      </c>
      <c r="C40" t="str">
        <f>[1]NhapHang!C40</f>
        <v>A124</v>
      </c>
      <c r="D40" t="str">
        <f>[1]NhapHang!D40</f>
        <v>Cá mú</v>
      </c>
      <c r="E40">
        <f>[1]NhapHang!E40</f>
        <v>0</v>
      </c>
      <c r="F40">
        <f>[1]NhapHang!F40</f>
        <v>0</v>
      </c>
      <c r="G40">
        <f>[1]NhapHang!G40</f>
        <v>0</v>
      </c>
      <c r="H40">
        <f>[1]NhapHang!H40</f>
        <v>0</v>
      </c>
    </row>
    <row r="41" spans="1:8">
      <c r="A41">
        <f>[1]NhapHang!A41</f>
        <v>1</v>
      </c>
      <c r="B41">
        <f>[1]NhapHang!B41</f>
        <v>39</v>
      </c>
      <c r="C41" t="str">
        <f>[1]NhapHang!C41</f>
        <v>A125</v>
      </c>
      <c r="D41" t="str">
        <f>[1]NhapHang!D41</f>
        <v>Ỉn hồng</v>
      </c>
      <c r="E41">
        <f>[1]NhapHang!E41</f>
        <v>0</v>
      </c>
      <c r="F41">
        <f>[1]NhapHang!F41</f>
        <v>0</v>
      </c>
      <c r="G41">
        <f>[1]NhapHang!G41</f>
        <v>0</v>
      </c>
      <c r="H41">
        <f>[1]NhapHang!H41</f>
        <v>0</v>
      </c>
    </row>
    <row r="42" spans="1:8">
      <c r="A42">
        <f>[1]NhapHang!A42</f>
        <v>1</v>
      </c>
      <c r="B42">
        <f>[1]NhapHang!B42</f>
        <v>40</v>
      </c>
      <c r="C42" t="str">
        <f>[1]NhapHang!C42</f>
        <v>A126</v>
      </c>
      <c r="D42" t="str">
        <f>[1]NhapHang!D42</f>
        <v>Cá voi</v>
      </c>
      <c r="E42">
        <f>[1]NhapHang!E42</f>
        <v>0</v>
      </c>
      <c r="F42">
        <f>[1]NhapHang!F42</f>
        <v>0</v>
      </c>
      <c r="G42">
        <f>[1]NhapHang!G42</f>
        <v>0</v>
      </c>
      <c r="H42">
        <f>[1]NhapHang!H42</f>
        <v>0</v>
      </c>
    </row>
    <row r="43" spans="1:8">
      <c r="A43">
        <f>[1]NhapHang!A43</f>
        <v>1</v>
      </c>
      <c r="B43">
        <f>[1]NhapHang!B43</f>
        <v>41</v>
      </c>
      <c r="C43" t="str">
        <f>[1]NhapHang!C43</f>
        <v>A127</v>
      </c>
      <c r="D43" t="str">
        <f>[1]NhapHang!D43</f>
        <v>Gối bốn lá</v>
      </c>
      <c r="E43">
        <f>[1]NhapHang!E43</f>
        <v>35</v>
      </c>
      <c r="F43">
        <f>[1]NhapHang!F43</f>
        <v>0</v>
      </c>
      <c r="G43">
        <f>[1]NhapHang!G43</f>
        <v>0</v>
      </c>
      <c r="H43">
        <f>[1]NhapHang!H43</f>
        <v>0</v>
      </c>
    </row>
    <row r="44" spans="1:8">
      <c r="A44">
        <f>[1]NhapHang!A44</f>
        <v>1</v>
      </c>
      <c r="B44">
        <f>[1]NhapHang!B44</f>
        <v>42</v>
      </c>
      <c r="C44" t="str">
        <f>[1]NhapHang!C44</f>
        <v>A128</v>
      </c>
      <c r="D44" t="str">
        <f>[1]NhapHang!D44</f>
        <v>Ếch</v>
      </c>
      <c r="E44">
        <f>[1]NhapHang!E44</f>
        <v>9</v>
      </c>
      <c r="F44">
        <f>[1]NhapHang!F44</f>
        <v>0</v>
      </c>
      <c r="G44">
        <f>[1]NhapHang!G44</f>
        <v>0</v>
      </c>
      <c r="H44">
        <f>[1]NhapHang!H44</f>
        <v>0</v>
      </c>
    </row>
    <row r="45" spans="1:8">
      <c r="A45">
        <f>[1]NhapHang!A45</f>
        <v>1</v>
      </c>
      <c r="B45">
        <f>[1]NhapHang!B45</f>
        <v>43</v>
      </c>
      <c r="C45" t="str">
        <f>[1]NhapHang!C45</f>
        <v>A129</v>
      </c>
      <c r="D45" t="str">
        <f>[1]NhapHang!D45</f>
        <v>Chó</v>
      </c>
      <c r="E45">
        <f>[1]NhapHang!E45</f>
        <v>32</v>
      </c>
      <c r="F45">
        <f>[1]NhapHang!F45</f>
        <v>0</v>
      </c>
      <c r="G45">
        <f>[1]NhapHang!G45</f>
        <v>0</v>
      </c>
      <c r="H45">
        <f>[1]NhapHang!H45</f>
        <v>0</v>
      </c>
    </row>
    <row r="46" spans="1:8">
      <c r="A46">
        <f>[1]NhapHang!A46</f>
        <v>1</v>
      </c>
      <c r="B46">
        <f>[1]NhapHang!B46</f>
        <v>44</v>
      </c>
      <c r="C46" t="str">
        <f>[1]NhapHang!C46</f>
        <v>A130</v>
      </c>
      <c r="D46" t="str">
        <f>[1]NhapHang!D46</f>
        <v>Cơm nắm</v>
      </c>
      <c r="E46">
        <f>[1]NhapHang!E46</f>
        <v>28</v>
      </c>
      <c r="F46">
        <f>[1]NhapHang!F46</f>
        <v>0</v>
      </c>
      <c r="G46">
        <f>[1]NhapHang!G46</f>
        <v>0</v>
      </c>
      <c r="H46">
        <f>[1]NhapHang!H46</f>
        <v>0</v>
      </c>
    </row>
    <row r="47" spans="1:8">
      <c r="A47">
        <f>[1]NhapHang!A47</f>
        <v>1</v>
      </c>
      <c r="B47">
        <f>[1]NhapHang!B47</f>
        <v>45</v>
      </c>
      <c r="C47" t="str">
        <f>[1]NhapHang!C47</f>
        <v>A131</v>
      </c>
      <c r="D47" t="str">
        <f>[1]NhapHang!D47</f>
        <v>Bánh kem</v>
      </c>
      <c r="E47">
        <f>[1]NhapHang!E47</f>
        <v>0</v>
      </c>
      <c r="F47">
        <f>[1]NhapHang!F47</f>
        <v>0</v>
      </c>
      <c r="G47">
        <f>[1]NhapHang!G47</f>
        <v>0</v>
      </c>
      <c r="H47">
        <f>[1]NhapHang!H47</f>
        <v>0</v>
      </c>
    </row>
    <row r="48" spans="1:8">
      <c r="A48">
        <f>[1]NhapHang!A48</f>
        <v>1</v>
      </c>
      <c r="B48">
        <f>[1]NhapHang!B48</f>
        <v>46</v>
      </c>
      <c r="C48" t="str">
        <f>[1]NhapHang!C48</f>
        <v>A132</v>
      </c>
      <c r="D48" t="str">
        <f>[1]NhapHang!D48</f>
        <v>Bánh cuộn</v>
      </c>
      <c r="E48">
        <f>[1]NhapHang!E48</f>
        <v>0</v>
      </c>
      <c r="F48">
        <f>[1]NhapHang!F48</f>
        <v>0</v>
      </c>
      <c r="G48">
        <f>[1]NhapHang!G48</f>
        <v>0</v>
      </c>
      <c r="H48">
        <f>[1]NhapHang!H48</f>
        <v>0</v>
      </c>
    </row>
    <row r="49" spans="1:8">
      <c r="A49">
        <f>[1]NhapHang!A49</f>
        <v>1</v>
      </c>
      <c r="B49">
        <f>[1]NhapHang!B49</f>
        <v>47</v>
      </c>
      <c r="C49" t="str">
        <f>[1]NhapHang!C49</f>
        <v>A133</v>
      </c>
      <c r="D49" t="str">
        <f>[1]NhapHang!D49</f>
        <v>Sushi</v>
      </c>
      <c r="E49">
        <f>[1]NhapHang!E49</f>
        <v>30</v>
      </c>
      <c r="F49">
        <f>[1]NhapHang!F49</f>
        <v>0</v>
      </c>
      <c r="G49">
        <f>[1]NhapHang!G49</f>
        <v>0</v>
      </c>
      <c r="H49">
        <f>[1]NhapHang!H49</f>
        <v>0</v>
      </c>
    </row>
    <row r="50" spans="1:8">
      <c r="A50">
        <f>[1]NhapHang!A50</f>
        <v>1</v>
      </c>
      <c r="B50">
        <f>[1]NhapHang!B50</f>
        <v>48</v>
      </c>
      <c r="C50" t="str">
        <f>[1]NhapHang!C50</f>
        <v>A134</v>
      </c>
      <c r="D50" t="str">
        <f>[1]NhapHang!D50</f>
        <v>Caramen</v>
      </c>
      <c r="E50">
        <f>[1]NhapHang!E50</f>
        <v>18</v>
      </c>
      <c r="F50">
        <f>[1]NhapHang!F50</f>
        <v>0</v>
      </c>
      <c r="G50">
        <f>[1]NhapHang!G50</f>
        <v>0</v>
      </c>
      <c r="H50">
        <f>[1]NhapHang!H50</f>
        <v>0</v>
      </c>
    </row>
    <row r="51" spans="1:8">
      <c r="A51">
        <f>[1]NhapHang!A51</f>
        <v>1</v>
      </c>
      <c r="B51">
        <f>[1]NhapHang!B51</f>
        <v>49</v>
      </c>
      <c r="C51" t="str">
        <f>[1]NhapHang!C51</f>
        <v>A135</v>
      </c>
      <c r="D51" t="str">
        <f>[1]NhapHang!D51</f>
        <v>Bánh quy</v>
      </c>
      <c r="E51">
        <f>[1]NhapHang!E51</f>
        <v>0</v>
      </c>
      <c r="F51">
        <f>[1]NhapHang!F51</f>
        <v>0</v>
      </c>
      <c r="G51">
        <f>[1]NhapHang!G51</f>
        <v>0</v>
      </c>
      <c r="H51">
        <f>[1]NhapHang!H51</f>
        <v>0</v>
      </c>
    </row>
    <row r="52" spans="1:8">
      <c r="A52">
        <f>[1]NhapHang!A52</f>
        <v>1</v>
      </c>
      <c r="B52">
        <f>[1]NhapHang!B52</f>
        <v>50</v>
      </c>
      <c r="C52" t="str">
        <f>[1]NhapHang!C52</f>
        <v>A136</v>
      </c>
      <c r="D52" t="str">
        <f>[1]NhapHang!D52</f>
        <v>Chuột</v>
      </c>
      <c r="E52">
        <f>[1]NhapHang!E52</f>
        <v>0</v>
      </c>
      <c r="F52">
        <f>[1]NhapHang!F52</f>
        <v>0</v>
      </c>
      <c r="G52">
        <f>[1]NhapHang!G52</f>
        <v>0</v>
      </c>
      <c r="H52">
        <f>[1]NhapHang!H52</f>
        <v>0</v>
      </c>
    </row>
    <row r="53" spans="1:8">
      <c r="A53">
        <f>[1]NhapHang!A53</f>
        <v>1</v>
      </c>
      <c r="B53">
        <f>[1]NhapHang!B53</f>
        <v>51</v>
      </c>
      <c r="C53" t="str">
        <f>[1]NhapHang!C53</f>
        <v>A137</v>
      </c>
      <c r="D53" t="str">
        <f>[1]NhapHang!D53</f>
        <v>Cánh cụt</v>
      </c>
      <c r="E53">
        <f>[1]NhapHang!E53</f>
        <v>23</v>
      </c>
      <c r="F53">
        <f>[1]NhapHang!F53</f>
        <v>0</v>
      </c>
      <c r="G53">
        <f>[1]NhapHang!G53</f>
        <v>0</v>
      </c>
      <c r="H53">
        <f>[1]NhapHang!H53</f>
        <v>0</v>
      </c>
    </row>
    <row r="54" spans="1:8">
      <c r="A54">
        <f>[1]NhapHang!A54</f>
        <v>1</v>
      </c>
      <c r="B54">
        <f>[1]NhapHang!B54</f>
        <v>52</v>
      </c>
      <c r="C54" t="str">
        <f>[1]NhapHang!C54</f>
        <v>A138</v>
      </c>
      <c r="D54" t="str">
        <f>[1]NhapHang!D54</f>
        <v>Khỉ yoyo cici</v>
      </c>
      <c r="E54">
        <f>[1]NhapHang!E54</f>
        <v>32</v>
      </c>
      <c r="F54">
        <f>[1]NhapHang!F54</f>
        <v>0</v>
      </c>
      <c r="G54">
        <f>[1]NhapHang!G54</f>
        <v>0</v>
      </c>
      <c r="H54">
        <f>[1]NhapHang!H54</f>
        <v>0</v>
      </c>
    </row>
    <row r="55" spans="1:8">
      <c r="A55">
        <f>[1]NhapHang!A55</f>
        <v>1</v>
      </c>
      <c r="B55">
        <f>[1]NhapHang!B55</f>
        <v>53</v>
      </c>
      <c r="C55" t="str">
        <f>[1]NhapHang!C55</f>
        <v>A139</v>
      </c>
      <c r="D55" t="str">
        <f>[1]NhapHang!D55</f>
        <v>Cú</v>
      </c>
      <c r="E55">
        <f>[1]NhapHang!E55</f>
        <v>20</v>
      </c>
      <c r="F55">
        <f>[1]NhapHang!F55</f>
        <v>0</v>
      </c>
      <c r="G55">
        <f>[1]NhapHang!G55</f>
        <v>0</v>
      </c>
      <c r="H55">
        <f>[1]NhapHang!H55</f>
        <v>0</v>
      </c>
    </row>
    <row r="56" spans="1:8">
      <c r="A56">
        <f>[1]NhapHang!A56</f>
        <v>1</v>
      </c>
      <c r="B56">
        <f>[1]NhapHang!B56</f>
        <v>54</v>
      </c>
      <c r="C56" t="str">
        <f>[1]NhapHang!C56</f>
        <v>A140</v>
      </c>
      <c r="D56" t="str">
        <f>[1]NhapHang!D56</f>
        <v>Domokun</v>
      </c>
      <c r="E56">
        <f>[1]NhapHang!E56</f>
        <v>26</v>
      </c>
      <c r="F56">
        <f>[1]NhapHang!F56</f>
        <v>0</v>
      </c>
      <c r="G56">
        <f>[1]NhapHang!G56</f>
        <v>0</v>
      </c>
      <c r="H56">
        <f>[1]NhapHang!H56</f>
        <v>0</v>
      </c>
    </row>
    <row r="57" spans="1:8">
      <c r="A57">
        <f>[1]NhapHang!A57</f>
        <v>1</v>
      </c>
      <c r="B57">
        <f>[1]NhapHang!B57</f>
        <v>55</v>
      </c>
      <c r="C57" t="str">
        <f>[1]NhapHang!C57</f>
        <v>A141</v>
      </c>
      <c r="D57" t="str">
        <f>[1]NhapHang!D57</f>
        <v>Mèo</v>
      </c>
      <c r="E57">
        <f>[1]NhapHang!E57</f>
        <v>52</v>
      </c>
      <c r="F57">
        <f>[1]NhapHang!F57</f>
        <v>0</v>
      </c>
      <c r="G57">
        <f>[1]NhapHang!G57</f>
        <v>0</v>
      </c>
      <c r="H57">
        <f>[1]NhapHang!H57</f>
        <v>0</v>
      </c>
    </row>
    <row r="58" spans="1:8">
      <c r="A58">
        <f>[1]NhapHang!A58</f>
        <v>1</v>
      </c>
      <c r="B58">
        <f>[1]NhapHang!B58</f>
        <v>56</v>
      </c>
      <c r="C58" t="str">
        <f>[1]NhapHang!C58</f>
        <v>A142</v>
      </c>
      <c r="D58" t="str">
        <f>[1]NhapHang!D58</f>
        <v>Bọt biển</v>
      </c>
      <c r="E58">
        <f>[1]NhapHang!E58</f>
        <v>21</v>
      </c>
      <c r="F58">
        <f>[1]NhapHang!F58</f>
        <v>0</v>
      </c>
      <c r="G58">
        <f>[1]NhapHang!G58</f>
        <v>0</v>
      </c>
      <c r="H58">
        <f>[1]NhapHang!H58</f>
        <v>0</v>
      </c>
    </row>
    <row r="59" spans="1:8">
      <c r="A59">
        <f>[1]NhapHang!A59</f>
        <v>1</v>
      </c>
      <c r="B59">
        <f>[1]NhapHang!B59</f>
        <v>57</v>
      </c>
      <c r="C59" t="str">
        <f>[1]NhapHang!C59</f>
        <v>A143</v>
      </c>
      <c r="D59" t="str">
        <f>[1]NhapHang!D59</f>
        <v>Bạch Dương</v>
      </c>
      <c r="E59">
        <f>[1]NhapHang!E59</f>
        <v>0</v>
      </c>
      <c r="F59">
        <f>[1]NhapHang!F59</f>
        <v>0</v>
      </c>
      <c r="G59">
        <f>[1]NhapHang!G59</f>
        <v>0</v>
      </c>
      <c r="H59">
        <f>[1]NhapHang!H59</f>
        <v>0</v>
      </c>
    </row>
    <row r="60" spans="1:8">
      <c r="A60">
        <f>[1]NhapHang!A60</f>
        <v>1</v>
      </c>
      <c r="B60">
        <f>[1]NhapHang!B60</f>
        <v>58</v>
      </c>
      <c r="C60" t="str">
        <f>[1]NhapHang!C60</f>
        <v>A144</v>
      </c>
      <c r="D60" t="str">
        <f>[1]NhapHang!D60</f>
        <v>Kim Ngưu</v>
      </c>
      <c r="E60">
        <f>[1]NhapHang!E60</f>
        <v>0</v>
      </c>
      <c r="F60">
        <f>[1]NhapHang!F60</f>
        <v>0</v>
      </c>
      <c r="G60">
        <f>[1]NhapHang!G60</f>
        <v>0</v>
      </c>
      <c r="H60">
        <f>[1]NhapHang!H60</f>
        <v>0</v>
      </c>
    </row>
    <row r="61" spans="1:8">
      <c r="A61">
        <f>[1]NhapHang!A61</f>
        <v>1</v>
      </c>
      <c r="B61">
        <f>[1]NhapHang!B61</f>
        <v>59</v>
      </c>
      <c r="C61" t="str">
        <f>[1]NhapHang!C61</f>
        <v>A145</v>
      </c>
      <c r="D61" t="str">
        <f>[1]NhapHang!D61</f>
        <v>Song Tử</v>
      </c>
      <c r="E61">
        <f>[1]NhapHang!E61</f>
        <v>0</v>
      </c>
      <c r="F61">
        <f>[1]NhapHang!F61</f>
        <v>0</v>
      </c>
      <c r="G61">
        <f>[1]NhapHang!G61</f>
        <v>0</v>
      </c>
      <c r="H61">
        <f>[1]NhapHang!H61</f>
        <v>0</v>
      </c>
    </row>
    <row r="62" spans="1:8">
      <c r="A62">
        <f>[1]NhapHang!A62</f>
        <v>1</v>
      </c>
      <c r="B62">
        <f>[1]NhapHang!B62</f>
        <v>60</v>
      </c>
      <c r="C62" t="str">
        <f>[1]NhapHang!C62</f>
        <v>A146</v>
      </c>
      <c r="D62" t="str">
        <f>[1]NhapHang!D62</f>
        <v>Cự Giải</v>
      </c>
      <c r="E62">
        <f>[1]NhapHang!E62</f>
        <v>0</v>
      </c>
      <c r="F62">
        <f>[1]NhapHang!F62</f>
        <v>0</v>
      </c>
      <c r="G62">
        <f>[1]NhapHang!G62</f>
        <v>0</v>
      </c>
      <c r="H62">
        <f>[1]NhapHang!H62</f>
        <v>0</v>
      </c>
    </row>
    <row r="63" spans="1:8">
      <c r="A63">
        <f>[1]NhapHang!A63</f>
        <v>1</v>
      </c>
      <c r="B63">
        <f>[1]NhapHang!B63</f>
        <v>61</v>
      </c>
      <c r="C63" t="str">
        <f>[1]NhapHang!C63</f>
        <v>A147</v>
      </c>
      <c r="D63" t="str">
        <f>[1]NhapHang!D63</f>
        <v>Sư Tử</v>
      </c>
      <c r="E63">
        <f>[1]NhapHang!E63</f>
        <v>0</v>
      </c>
      <c r="F63">
        <f>[1]NhapHang!F63</f>
        <v>0</v>
      </c>
      <c r="G63">
        <f>[1]NhapHang!G63</f>
        <v>0</v>
      </c>
      <c r="H63">
        <f>[1]NhapHang!H63</f>
        <v>0</v>
      </c>
    </row>
    <row r="64" spans="1:8">
      <c r="A64">
        <f>[1]NhapHang!A64</f>
        <v>1</v>
      </c>
      <c r="B64">
        <f>[1]NhapHang!B64</f>
        <v>62</v>
      </c>
      <c r="C64" t="str">
        <f>[1]NhapHang!C64</f>
        <v>A148</v>
      </c>
      <c r="D64" t="str">
        <f>[1]NhapHang!D64</f>
        <v xml:space="preserve">Xử Nữ </v>
      </c>
      <c r="E64">
        <f>[1]NhapHang!E64</f>
        <v>0</v>
      </c>
      <c r="F64">
        <f>[1]NhapHang!F64</f>
        <v>0</v>
      </c>
      <c r="G64">
        <f>[1]NhapHang!G64</f>
        <v>0</v>
      </c>
      <c r="H64">
        <f>[1]NhapHang!H64</f>
        <v>0</v>
      </c>
    </row>
    <row r="65" spans="1:8">
      <c r="A65">
        <f>[1]NhapHang!A65</f>
        <v>1</v>
      </c>
      <c r="B65">
        <f>[1]NhapHang!B65</f>
        <v>63</v>
      </c>
      <c r="C65" t="str">
        <f>[1]NhapHang!C65</f>
        <v>A149</v>
      </c>
      <c r="D65" t="str">
        <f>[1]NhapHang!D65</f>
        <v>Thiên Bình</v>
      </c>
      <c r="E65">
        <f>[1]NhapHang!E65</f>
        <v>0</v>
      </c>
      <c r="F65">
        <f>[1]NhapHang!F65</f>
        <v>0</v>
      </c>
      <c r="G65">
        <f>[1]NhapHang!G65</f>
        <v>0</v>
      </c>
      <c r="H65">
        <f>[1]NhapHang!H65</f>
        <v>0</v>
      </c>
    </row>
    <row r="66" spans="1:8">
      <c r="A66">
        <f>[1]NhapHang!A66</f>
        <v>1</v>
      </c>
      <c r="B66">
        <f>[1]NhapHang!B66</f>
        <v>64</v>
      </c>
      <c r="C66" t="str">
        <f>[1]NhapHang!C66</f>
        <v>A150</v>
      </c>
      <c r="D66" t="str">
        <f>[1]NhapHang!D66</f>
        <v>Bọ Cạp</v>
      </c>
      <c r="E66">
        <f>[1]NhapHang!E66</f>
        <v>1</v>
      </c>
      <c r="F66">
        <f>[1]NhapHang!F66</f>
        <v>0</v>
      </c>
      <c r="G66">
        <f>[1]NhapHang!G66</f>
        <v>0</v>
      </c>
      <c r="H66">
        <f>[1]NhapHang!H66</f>
        <v>0</v>
      </c>
    </row>
    <row r="67" spans="1:8">
      <c r="A67">
        <f>[1]NhapHang!A67</f>
        <v>1</v>
      </c>
      <c r="B67">
        <f>[1]NhapHang!B67</f>
        <v>65</v>
      </c>
      <c r="C67" t="str">
        <f>[1]NhapHang!C67</f>
        <v>A151</v>
      </c>
      <c r="D67" t="str">
        <f>[1]NhapHang!D67</f>
        <v>Nhân Mã</v>
      </c>
      <c r="E67">
        <f>[1]NhapHang!E67</f>
        <v>0</v>
      </c>
      <c r="F67">
        <f>[1]NhapHang!F67</f>
        <v>0</v>
      </c>
      <c r="G67">
        <f>[1]NhapHang!G67</f>
        <v>0</v>
      </c>
      <c r="H67">
        <f>[1]NhapHang!H67</f>
        <v>0</v>
      </c>
    </row>
    <row r="68" spans="1:8">
      <c r="A68">
        <f>[1]NhapHang!A68</f>
        <v>1</v>
      </c>
      <c r="B68">
        <f>[1]NhapHang!B68</f>
        <v>66</v>
      </c>
      <c r="C68" t="str">
        <f>[1]NhapHang!C68</f>
        <v>A152</v>
      </c>
      <c r="D68" t="str">
        <f>[1]NhapHang!D68</f>
        <v>Ma Kết</v>
      </c>
      <c r="E68">
        <f>[1]NhapHang!E68</f>
        <v>0</v>
      </c>
      <c r="F68">
        <f>[1]NhapHang!F68</f>
        <v>0</v>
      </c>
      <c r="G68">
        <f>[1]NhapHang!G68</f>
        <v>0</v>
      </c>
      <c r="H68">
        <f>[1]NhapHang!H68</f>
        <v>0</v>
      </c>
    </row>
    <row r="69" spans="1:8">
      <c r="A69">
        <f>[1]NhapHang!A69</f>
        <v>1</v>
      </c>
      <c r="B69">
        <f>[1]NhapHang!B69</f>
        <v>67</v>
      </c>
      <c r="C69" t="str">
        <f>[1]NhapHang!C69</f>
        <v>A153</v>
      </c>
      <c r="D69" t="str">
        <f>[1]NhapHang!D69</f>
        <v>Bảo Bình</v>
      </c>
      <c r="E69">
        <f>[1]NhapHang!E69</f>
        <v>0</v>
      </c>
      <c r="F69">
        <f>[1]NhapHang!F69</f>
        <v>0</v>
      </c>
      <c r="G69">
        <f>[1]NhapHang!G69</f>
        <v>0</v>
      </c>
      <c r="H69">
        <f>[1]NhapHang!H69</f>
        <v>0</v>
      </c>
    </row>
    <row r="70" spans="1:8">
      <c r="A70">
        <f>[1]NhapHang!A70</f>
        <v>1</v>
      </c>
      <c r="B70">
        <f>[1]NhapHang!B70</f>
        <v>68</v>
      </c>
      <c r="C70" t="str">
        <f>[1]NhapHang!C70</f>
        <v>A154</v>
      </c>
      <c r="D70" t="str">
        <f>[1]NhapHang!D70</f>
        <v>Song Ngư</v>
      </c>
      <c r="E70">
        <f>[1]NhapHang!E70</f>
        <v>0</v>
      </c>
      <c r="F70">
        <f>[1]NhapHang!F70</f>
        <v>0</v>
      </c>
      <c r="G70">
        <f>[1]NhapHang!G70</f>
        <v>0</v>
      </c>
      <c r="H70">
        <f>[1]NhapHang!H70</f>
        <v>0</v>
      </c>
    </row>
    <row r="71" spans="1:8">
      <c r="A71">
        <f>[1]NhapHang!A71</f>
        <v>1</v>
      </c>
      <c r="B71">
        <f>[1]NhapHang!B71</f>
        <v>69</v>
      </c>
      <c r="C71" t="str">
        <f>[1]NhapHang!C71</f>
        <v>A155</v>
      </c>
      <c r="D71" t="str">
        <f>[1]NhapHang!D71</f>
        <v>Phao bơi và mỏ neo</v>
      </c>
      <c r="E71">
        <f>[1]NhapHang!E71</f>
        <v>15</v>
      </c>
      <c r="F71">
        <f>[1]NhapHang!F71</f>
        <v>0</v>
      </c>
      <c r="G71">
        <f>[1]NhapHang!G71</f>
        <v>0</v>
      </c>
      <c r="H71">
        <f>[1]NhapHang!H71</f>
        <v>0</v>
      </c>
    </row>
    <row r="72" spans="1:8">
      <c r="A72">
        <f>[1]NhapHang!A72</f>
        <v>1</v>
      </c>
      <c r="B72">
        <f>[1]NhapHang!B72</f>
        <v>70</v>
      </c>
      <c r="C72" t="str">
        <f>[1]NhapHang!C72</f>
        <v>A156</v>
      </c>
      <c r="D72" t="str">
        <f>[1]NhapHang!D72</f>
        <v>Hải cẩu</v>
      </c>
      <c r="E72">
        <f>[1]NhapHang!E72</f>
        <v>19</v>
      </c>
      <c r="F72">
        <f>[1]NhapHang!F72</f>
        <v>0</v>
      </c>
      <c r="G72">
        <f>[1]NhapHang!G72</f>
        <v>0</v>
      </c>
      <c r="H72">
        <f>[1]NhapHang!H72</f>
        <v>0</v>
      </c>
    </row>
    <row r="73" spans="1:8">
      <c r="A73">
        <f>[1]NhapHang!A73</f>
        <v>1</v>
      </c>
      <c r="B73">
        <f>[1]NhapHang!B73</f>
        <v>71</v>
      </c>
      <c r="C73" t="str">
        <f>[1]NhapHang!C73</f>
        <v>A157</v>
      </c>
      <c r="D73" t="str">
        <f>[1]NhapHang!D73</f>
        <v>Cá vàng</v>
      </c>
      <c r="E73">
        <f>[1]NhapHang!E73</f>
        <v>8</v>
      </c>
      <c r="F73">
        <f>[1]NhapHang!F73</f>
        <v>0</v>
      </c>
      <c r="G73">
        <f>[1]NhapHang!G73</f>
        <v>0</v>
      </c>
      <c r="H73">
        <f>[1]NhapHang!H73</f>
        <v>0</v>
      </c>
    </row>
    <row r="74" spans="1:8">
      <c r="A74">
        <f>[1]NhapHang!A74</f>
        <v>1</v>
      </c>
      <c r="B74">
        <f>[1]NhapHang!B74</f>
        <v>72</v>
      </c>
      <c r="C74" t="str">
        <f>[1]NhapHang!C74</f>
        <v>A158</v>
      </c>
      <c r="D74" t="str">
        <f>[1]NhapHang!D74</f>
        <v>Dâu Tây</v>
      </c>
      <c r="E74">
        <f>[1]NhapHang!E74</f>
        <v>14</v>
      </c>
      <c r="F74">
        <f>[1]NhapHang!F74</f>
        <v>0</v>
      </c>
      <c r="G74">
        <f>[1]NhapHang!G74</f>
        <v>0</v>
      </c>
      <c r="H74">
        <f>[1]NhapHang!H74</f>
        <v>0</v>
      </c>
    </row>
    <row r="75" spans="1:8">
      <c r="A75">
        <f>[1]NhapHang!A75</f>
        <v>1</v>
      </c>
      <c r="B75">
        <f>[1]NhapHang!B75</f>
        <v>73</v>
      </c>
      <c r="C75" t="str">
        <f>[1]NhapHang!C75</f>
        <v>A159</v>
      </c>
      <c r="D75" t="str">
        <f>[1]NhapHang!D75</f>
        <v>Nấm rừng</v>
      </c>
      <c r="E75">
        <f>[1]NhapHang!E75</f>
        <v>17</v>
      </c>
      <c r="F75">
        <f>[1]NhapHang!F75</f>
        <v>0</v>
      </c>
      <c r="G75">
        <f>[1]NhapHang!G75</f>
        <v>0</v>
      </c>
      <c r="H75">
        <f>[1]NhapHang!H75</f>
        <v>0</v>
      </c>
    </row>
    <row r="76" spans="1:8">
      <c r="A76">
        <f>[1]NhapHang!A76</f>
        <v>1</v>
      </c>
      <c r="B76">
        <f>[1]NhapHang!B76</f>
        <v>74</v>
      </c>
      <c r="C76" t="str">
        <f>[1]NhapHang!C76</f>
        <v>A160</v>
      </c>
      <c r="D76" t="str">
        <f>[1]NhapHang!D76</f>
        <v>Đầu lâu</v>
      </c>
      <c r="E76">
        <f>[1]NhapHang!E76</f>
        <v>15</v>
      </c>
      <c r="F76">
        <f>[1]NhapHang!F76</f>
        <v>0</v>
      </c>
      <c r="G76">
        <f>[1]NhapHang!G76</f>
        <v>0</v>
      </c>
      <c r="H76">
        <f>[1]NhapHang!H76</f>
        <v>0</v>
      </c>
    </row>
    <row r="77" spans="1:8">
      <c r="A77">
        <f>[1]NhapHang!A77</f>
        <v>1</v>
      </c>
      <c r="B77">
        <f>[1]NhapHang!B77</f>
        <v>75</v>
      </c>
      <c r="C77" t="str">
        <f>[1]NhapHang!C77</f>
        <v>A161</v>
      </c>
      <c r="D77" t="str">
        <f>[1]NhapHang!D77</f>
        <v>Tuần lộc kute</v>
      </c>
      <c r="E77">
        <f>[1]NhapHang!E77</f>
        <v>5</v>
      </c>
      <c r="F77">
        <f>[1]NhapHang!F77</f>
        <v>0</v>
      </c>
      <c r="G77">
        <f>[1]NhapHang!G77</f>
        <v>0</v>
      </c>
      <c r="H77">
        <f>[1]NhapHang!H77</f>
        <v>0</v>
      </c>
    </row>
    <row r="78" spans="1:8">
      <c r="A78">
        <f>[1]NhapHang!A78</f>
        <v>1</v>
      </c>
      <c r="B78">
        <f>[1]NhapHang!B78</f>
        <v>76</v>
      </c>
      <c r="C78" t="str">
        <f>[1]NhapHang!C78</f>
        <v>A162</v>
      </c>
      <c r="D78" t="str">
        <f>[1]NhapHang!D78</f>
        <v>Bóng Noel</v>
      </c>
      <c r="E78">
        <f>[1]NhapHang!E78</f>
        <v>7</v>
      </c>
      <c r="F78">
        <f>[1]NhapHang!F78</f>
        <v>0</v>
      </c>
      <c r="G78">
        <f>[1]NhapHang!G78</f>
        <v>0</v>
      </c>
      <c r="H78">
        <f>[1]NhapHang!H78</f>
        <v>0</v>
      </c>
    </row>
    <row r="79" spans="1:8">
      <c r="A79">
        <f>[1]NhapHang!A79</f>
        <v>1</v>
      </c>
      <c r="B79">
        <f>[1]NhapHang!B79</f>
        <v>77</v>
      </c>
      <c r="C79" t="str">
        <f>[1]NhapHang!C79</f>
        <v>A163</v>
      </c>
      <c r="D79" t="str">
        <f>[1]NhapHang!D79</f>
        <v>Tuần lộc đỏ</v>
      </c>
      <c r="E79">
        <f>[1]NhapHang!E79</f>
        <v>2</v>
      </c>
      <c r="F79">
        <f>[1]NhapHang!F79</f>
        <v>0</v>
      </c>
      <c r="G79">
        <f>[1]NhapHang!G79</f>
        <v>0</v>
      </c>
      <c r="H79">
        <f>[1]NhapHang!H79</f>
        <v>0</v>
      </c>
    </row>
    <row r="80" spans="1:8">
      <c r="A80">
        <f>[1]NhapHang!A80</f>
        <v>1</v>
      </c>
      <c r="B80">
        <f>[1]NhapHang!B80</f>
        <v>78</v>
      </c>
      <c r="C80" t="str">
        <f>[1]NhapHang!C80</f>
        <v>A164</v>
      </c>
      <c r="D80" t="str">
        <f>[1]NhapHang!D80</f>
        <v>Quả cầu Noel</v>
      </c>
      <c r="E80">
        <f>[1]NhapHang!E80</f>
        <v>5</v>
      </c>
      <c r="F80">
        <f>[1]NhapHang!F80</f>
        <v>0</v>
      </c>
      <c r="G80">
        <f>[1]NhapHang!G80</f>
        <v>0</v>
      </c>
      <c r="H80">
        <f>[1]NhapHang!H80</f>
        <v>0</v>
      </c>
    </row>
    <row r="81" spans="1:8">
      <c r="A81">
        <f>[1]NhapHang!A81</f>
        <v>1</v>
      </c>
      <c r="B81">
        <f>[1]NhapHang!B81</f>
        <v>79</v>
      </c>
      <c r="C81" t="str">
        <f>[1]NhapHang!C81</f>
        <v>A165</v>
      </c>
      <c r="D81" t="str">
        <f>[1]NhapHang!D81</f>
        <v>Găng tất Noel</v>
      </c>
      <c r="E81">
        <f>[1]NhapHang!E81</f>
        <v>0</v>
      </c>
      <c r="F81">
        <f>[1]NhapHang!F81</f>
        <v>0</v>
      </c>
      <c r="G81">
        <f>[1]NhapHang!G81</f>
        <v>0</v>
      </c>
      <c r="H81">
        <f>[1]NhapHang!H81</f>
        <v>0</v>
      </c>
    </row>
    <row r="82" spans="1:8">
      <c r="A82">
        <f>[1]NhapHang!A82</f>
        <v>1</v>
      </c>
      <c r="B82">
        <f>[1]NhapHang!B82</f>
        <v>80</v>
      </c>
      <c r="C82" t="str">
        <f>[1]NhapHang!C82</f>
        <v>A093</v>
      </c>
      <c r="D82" t="str">
        <f>[1]NhapHang!D82</f>
        <v>Cây thông</v>
      </c>
      <c r="E82">
        <f>[1]NhapHang!E82</f>
        <v>0</v>
      </c>
      <c r="F82">
        <f>[1]NhapHang!F82</f>
        <v>0</v>
      </c>
      <c r="G82">
        <f>[1]NhapHang!G82</f>
        <v>0</v>
      </c>
      <c r="H82">
        <f>[1]NhapHang!H82</f>
        <v>0</v>
      </c>
    </row>
    <row r="83" spans="1:8">
      <c r="A83">
        <f>[1]NhapHang!A83</f>
        <v>1</v>
      </c>
      <c r="B83">
        <f>[1]NhapHang!B83</f>
        <v>81</v>
      </c>
      <c r="C83" t="str">
        <f>[1]NhapHang!C83</f>
        <v>A094</v>
      </c>
      <c r="D83" t="str">
        <f>[1]NhapHang!D83</f>
        <v>Người bánh gừng</v>
      </c>
      <c r="E83">
        <f>[1]NhapHang!E83</f>
        <v>5</v>
      </c>
      <c r="F83">
        <f>[1]NhapHang!F83</f>
        <v>0</v>
      </c>
      <c r="G83">
        <f>[1]NhapHang!G83</f>
        <v>0</v>
      </c>
      <c r="H83">
        <f>[1]NhapHang!H83</f>
        <v>0</v>
      </c>
    </row>
    <row r="84" spans="1:8">
      <c r="A84">
        <f>[1]NhapHang!A84</f>
        <v>1</v>
      </c>
      <c r="B84">
        <f>[1]NhapHang!B84</f>
        <v>82</v>
      </c>
      <c r="C84" t="str">
        <f>[1]NhapHang!C84</f>
        <v>A095</v>
      </c>
      <c r="D84" t="str">
        <f>[1]NhapHang!D84</f>
        <v>Người tuyết</v>
      </c>
      <c r="E84">
        <f>[1]NhapHang!E84</f>
        <v>2</v>
      </c>
      <c r="F84">
        <f>[1]NhapHang!F84</f>
        <v>0</v>
      </c>
      <c r="G84">
        <f>[1]NhapHang!G84</f>
        <v>0</v>
      </c>
      <c r="H84">
        <f>[1]NhapHang!H84</f>
        <v>0</v>
      </c>
    </row>
    <row r="85" spans="1:8">
      <c r="A85">
        <f>[1]NhapHang!A85</f>
        <v>1</v>
      </c>
      <c r="B85">
        <f>[1]NhapHang!B85</f>
        <v>83</v>
      </c>
      <c r="C85" t="str">
        <f>[1]NhapHang!C85</f>
        <v>A098</v>
      </c>
      <c r="D85" t="str">
        <f>[1]NhapHang!D85</f>
        <v>Kẹo que</v>
      </c>
      <c r="E85">
        <f>[1]NhapHang!E85</f>
        <v>10</v>
      </c>
      <c r="F85">
        <f>[1]NhapHang!F85</f>
        <v>0</v>
      </c>
      <c r="G85">
        <f>[1]NhapHang!G85</f>
        <v>0</v>
      </c>
      <c r="H85">
        <f>[1]NhapHang!H85</f>
        <v>0</v>
      </c>
    </row>
    <row r="86" spans="1:8">
      <c r="A86">
        <f>[1]NhapHang!A86</f>
        <v>1</v>
      </c>
      <c r="B86">
        <f>[1]NhapHang!B86</f>
        <v>84</v>
      </c>
      <c r="C86" t="str">
        <f>[1]NhapHang!C86</f>
        <v>A101</v>
      </c>
      <c r="D86" t="str">
        <f>[1]NhapHang!D86</f>
        <v>Ông già Noel</v>
      </c>
      <c r="E86">
        <f>[1]NhapHang!E86</f>
        <v>5</v>
      </c>
      <c r="F86">
        <f>[1]NhapHang!F86</f>
        <v>0</v>
      </c>
      <c r="G86">
        <f>[1]NhapHang!G86</f>
        <v>0</v>
      </c>
      <c r="H86">
        <f>[1]NhapHang!H86</f>
        <v>0</v>
      </c>
    </row>
    <row r="87" spans="1:8">
      <c r="A87">
        <f>[1]NhapHang!A87</f>
        <v>1</v>
      </c>
      <c r="B87">
        <f>[1]NhapHang!B87</f>
        <v>85</v>
      </c>
      <c r="C87" t="str">
        <f>[1]NhapHang!C87</f>
        <v>B01</v>
      </c>
      <c r="D87" t="str">
        <f>[1]NhapHang!D87</f>
        <v>Ấm trà tình yêu</v>
      </c>
      <c r="E87">
        <f>[1]NhapHang!E87</f>
        <v>12</v>
      </c>
      <c r="F87">
        <f>[1]NhapHang!F87</f>
        <v>0</v>
      </c>
      <c r="G87">
        <f>[1]NhapHang!G87</f>
        <v>0</v>
      </c>
      <c r="H87">
        <f>[1]NhapHang!H87</f>
        <v>0</v>
      </c>
    </row>
    <row r="88" spans="1:8">
      <c r="A88">
        <f>[1]NhapHang!A88</f>
        <v>1</v>
      </c>
      <c r="B88">
        <f>[1]NhapHang!B88</f>
        <v>86</v>
      </c>
      <c r="C88" t="str">
        <f>[1]NhapHang!C88</f>
        <v>B02</v>
      </c>
      <c r="D88" t="str">
        <f>[1]NhapHang!D88</f>
        <v>Lò nướng kitty</v>
      </c>
      <c r="E88">
        <f>[1]NhapHang!E88</f>
        <v>0</v>
      </c>
      <c r="F88">
        <f>[1]NhapHang!F88</f>
        <v>0</v>
      </c>
      <c r="G88">
        <f>[1]NhapHang!G88</f>
        <v>0</v>
      </c>
      <c r="H88">
        <f>[1]NhapHang!H88</f>
        <v>0</v>
      </c>
    </row>
    <row r="89" spans="1:8">
      <c r="A89">
        <f>[1]NhapHang!A89</f>
        <v>1</v>
      </c>
      <c r="B89">
        <f>[1]NhapHang!B89</f>
        <v>87</v>
      </c>
      <c r="C89" t="str">
        <f>[1]NhapHang!C89</f>
        <v>B03</v>
      </c>
      <c r="D89" t="str">
        <f>[1]NhapHang!D89</f>
        <v>Cafe hoa quả</v>
      </c>
      <c r="E89">
        <f>[1]NhapHang!E89</f>
        <v>0</v>
      </c>
      <c r="F89">
        <f>[1]NhapHang!F89</f>
        <v>0</v>
      </c>
      <c r="G89">
        <f>[1]NhapHang!G89</f>
        <v>0</v>
      </c>
      <c r="H89">
        <f>[1]NhapHang!H89</f>
        <v>0</v>
      </c>
    </row>
    <row r="90" spans="1:8">
      <c r="A90">
        <f>[1]NhapHang!A90</f>
        <v>1</v>
      </c>
      <c r="B90">
        <f>[1]NhapHang!B90</f>
        <v>88</v>
      </c>
      <c r="C90" t="str">
        <f>[1]NhapHang!C90</f>
        <v>B04</v>
      </c>
      <c r="D90" t="str">
        <f>[1]NhapHang!D90</f>
        <v>Fastfood</v>
      </c>
      <c r="E90">
        <f>[1]NhapHang!E90</f>
        <v>12</v>
      </c>
      <c r="F90">
        <f>[1]NhapHang!F90</f>
        <v>0</v>
      </c>
      <c r="G90">
        <f>[1]NhapHang!G90</f>
        <v>0</v>
      </c>
      <c r="H90">
        <f>[1]NhapHang!H90</f>
        <v>0</v>
      </c>
    </row>
    <row r="91" spans="1:8">
      <c r="A91">
        <f>[1]NhapHang!A91</f>
        <v>1</v>
      </c>
      <c r="B91">
        <f>[1]NhapHang!B91</f>
        <v>89</v>
      </c>
      <c r="C91" t="str">
        <f>[1]NhapHang!C91</f>
        <v>B06</v>
      </c>
      <c r="D91" t="str">
        <f>[1]NhapHang!D91</f>
        <v>Bàn cờ caro</v>
      </c>
      <c r="E91">
        <f>[1]NhapHang!E91</f>
        <v>0</v>
      </c>
      <c r="F91">
        <f>[1]NhapHang!F91</f>
        <v>0</v>
      </c>
      <c r="G91">
        <f>[1]NhapHang!G91</f>
        <v>0</v>
      </c>
      <c r="H91">
        <f>[1]NhapHang!H91</f>
        <v>0</v>
      </c>
    </row>
    <row r="92" spans="1:8">
      <c r="A92">
        <f>[1]NhapHang!A92</f>
        <v>1</v>
      </c>
      <c r="B92">
        <f>[1]NhapHang!B92</f>
        <v>90</v>
      </c>
      <c r="C92" t="str">
        <f>[1]NhapHang!C92</f>
        <v>B07</v>
      </c>
      <c r="D92" t="str">
        <f>[1]NhapHang!D92</f>
        <v>Bánh dâu</v>
      </c>
      <c r="E92">
        <f>[1]NhapHang!E92</f>
        <v>18</v>
      </c>
      <c r="F92">
        <f>[1]NhapHang!F92</f>
        <v>0</v>
      </c>
      <c r="G92">
        <f>[1]NhapHang!G92</f>
        <v>0</v>
      </c>
      <c r="H92">
        <f>[1]NhapHang!H92</f>
        <v>0</v>
      </c>
    </row>
    <row r="93" spans="1:8">
      <c r="A93">
        <f>[1]NhapHang!A93</f>
        <v>1</v>
      </c>
      <c r="B93">
        <f>[1]NhapHang!B93</f>
        <v>91</v>
      </c>
      <c r="C93" t="str">
        <f>[1]NhapHang!C93</f>
        <v>B08</v>
      </c>
      <c r="D93" t="str">
        <f>[1]NhapHang!D93</f>
        <v>Cơm Nhật</v>
      </c>
      <c r="E93">
        <f>[1]NhapHang!E93</f>
        <v>7</v>
      </c>
      <c r="F93">
        <f>[1]NhapHang!F93</f>
        <v>0</v>
      </c>
      <c r="G93">
        <f>[1]NhapHang!G93</f>
        <v>0</v>
      </c>
      <c r="H93">
        <f>[1]NhapHang!H93</f>
        <v>0</v>
      </c>
    </row>
    <row r="94" spans="1:8">
      <c r="A94">
        <f>[1]NhapHang!A94</f>
        <v>1</v>
      </c>
      <c r="B94">
        <f>[1]NhapHang!B94</f>
        <v>92</v>
      </c>
      <c r="C94" t="str">
        <f>[1]NhapHang!C94</f>
        <v>B09</v>
      </c>
      <c r="D94" t="str">
        <f>[1]NhapHang!D94</f>
        <v>Pizza hoa quả</v>
      </c>
      <c r="E94">
        <f>[1]NhapHang!E94</f>
        <v>3</v>
      </c>
      <c r="F94">
        <f>[1]NhapHang!F94</f>
        <v>0</v>
      </c>
      <c r="G94">
        <f>[1]NhapHang!G94</f>
        <v>0</v>
      </c>
      <c r="H94">
        <f>[1]NhapHang!H94</f>
        <v>0</v>
      </c>
    </row>
    <row r="95" spans="1:8">
      <c r="A95">
        <f>[1]NhapHang!A95</f>
        <v>1</v>
      </c>
      <c r="B95">
        <f>[1]NhapHang!B95</f>
        <v>93</v>
      </c>
      <c r="C95" t="str">
        <f>[1]NhapHang!C95</f>
        <v>B10</v>
      </c>
      <c r="D95" t="str">
        <f>[1]NhapHang!D95</f>
        <v>Bánh trái cây</v>
      </c>
      <c r="E95">
        <f>[1]NhapHang!E95</f>
        <v>5</v>
      </c>
      <c r="F95">
        <f>[1]NhapHang!F95</f>
        <v>0</v>
      </c>
      <c r="G95">
        <f>[1]NhapHang!G95</f>
        <v>0</v>
      </c>
      <c r="H95">
        <f>[1]NhapHang!H95</f>
        <v>0</v>
      </c>
    </row>
    <row r="96" spans="1:8">
      <c r="A96">
        <f>[1]NhapHang!A96</f>
        <v>1</v>
      </c>
      <c r="B96">
        <f>[1]NhapHang!B96</f>
        <v>94</v>
      </c>
      <c r="C96" t="str">
        <f>[1]NhapHang!C96</f>
        <v>B11</v>
      </c>
      <c r="D96" t="str">
        <f>[1]NhapHang!D96</f>
        <v>Bánh quy</v>
      </c>
      <c r="E96">
        <f>[1]NhapHang!E96</f>
        <v>16</v>
      </c>
      <c r="F96">
        <f>[1]NhapHang!F96</f>
        <v>0</v>
      </c>
      <c r="G96">
        <f>[1]NhapHang!G96</f>
        <v>0</v>
      </c>
      <c r="H96">
        <f>[1]NhapHang!H96</f>
        <v>0</v>
      </c>
    </row>
    <row r="97" spans="1:8">
      <c r="A97">
        <f>[1]NhapHang!A97</f>
        <v>1</v>
      </c>
      <c r="B97">
        <f>[1]NhapHang!B97</f>
        <v>95</v>
      </c>
      <c r="C97" t="str">
        <f>[1]NhapHang!C97</f>
        <v>B12</v>
      </c>
      <c r="D97" t="str">
        <f>[1]NhapHang!D97</f>
        <v>Bánh chocolate</v>
      </c>
      <c r="E97">
        <f>[1]NhapHang!E97</f>
        <v>0</v>
      </c>
      <c r="F97">
        <f>[1]NhapHang!F97</f>
        <v>0</v>
      </c>
      <c r="G97">
        <f>[1]NhapHang!G97</f>
        <v>0</v>
      </c>
      <c r="H97">
        <f>[1]NhapHang!H97</f>
        <v>0</v>
      </c>
    </row>
    <row r="98" spans="1:8">
      <c r="A98">
        <f>[1]NhapHang!A98</f>
        <v>1</v>
      </c>
      <c r="B98">
        <f>[1]NhapHang!B98</f>
        <v>96</v>
      </c>
      <c r="C98" t="str">
        <f>[1]NhapHang!C98</f>
        <v>B13</v>
      </c>
      <c r="D98" t="str">
        <f>[1]NhapHang!D98</f>
        <v>Cheese cake</v>
      </c>
      <c r="E98">
        <f>[1]NhapHang!E98</f>
        <v>18</v>
      </c>
      <c r="F98">
        <f>[1]NhapHang!F98</f>
        <v>0</v>
      </c>
      <c r="G98">
        <f>[1]NhapHang!G98</f>
        <v>0</v>
      </c>
      <c r="H98">
        <f>[1]NhapHang!H98</f>
        <v>0</v>
      </c>
    </row>
    <row r="99" spans="1:8">
      <c r="A99">
        <f>[1]NhapHang!A99</f>
        <v>1</v>
      </c>
      <c r="B99">
        <f>[1]NhapHang!B99</f>
        <v>97</v>
      </c>
      <c r="C99" t="str">
        <f>[1]NhapHang!C99</f>
        <v>B14</v>
      </c>
      <c r="D99" t="str">
        <f>[1]NhapHang!D99</f>
        <v>Tiramisu</v>
      </c>
      <c r="E99">
        <f>[1]NhapHang!E99</f>
        <v>21</v>
      </c>
      <c r="F99">
        <f>[1]NhapHang!F99</f>
        <v>0</v>
      </c>
      <c r="G99">
        <f>[1]NhapHang!G99</f>
        <v>0</v>
      </c>
      <c r="H99">
        <f>[1]NhapHang!H99</f>
        <v>0</v>
      </c>
    </row>
    <row r="100" spans="1:8">
      <c r="A100">
        <f>[1]NhapHang!A100</f>
        <v>1</v>
      </c>
      <c r="B100">
        <f>[1]NhapHang!B100</f>
        <v>98</v>
      </c>
      <c r="C100" t="str">
        <f>[1]NhapHang!C100</f>
        <v>B15</v>
      </c>
      <c r="D100" t="str">
        <f>[1]NhapHang!D100</f>
        <v>Hộp chocolate</v>
      </c>
      <c r="E100">
        <f>[1]NhapHang!E100</f>
        <v>0</v>
      </c>
      <c r="F100">
        <f>[1]NhapHang!F100</f>
        <v>0</v>
      </c>
      <c r="G100">
        <f>[1]NhapHang!G100</f>
        <v>0</v>
      </c>
      <c r="H100">
        <f>[1]NhapHang!H100</f>
        <v>0</v>
      </c>
    </row>
    <row r="101" spans="1:8">
      <c r="A101">
        <f>[1]NhapHang!A101</f>
        <v>1</v>
      </c>
      <c r="B101">
        <f>[1]NhapHang!B101</f>
        <v>99</v>
      </c>
      <c r="C101" t="str">
        <f>[1]NhapHang!C101</f>
        <v>C01</v>
      </c>
      <c r="D101" t="str">
        <f>[1]NhapHang!D101</f>
        <v>Thiệp</v>
      </c>
      <c r="E101">
        <f>[1]NhapHang!E101</f>
        <v>-2</v>
      </c>
      <c r="F101">
        <f>[1]NhapHang!F101</f>
        <v>0</v>
      </c>
      <c r="G101">
        <f>[1]NhapHang!G101</f>
        <v>0</v>
      </c>
      <c r="H101">
        <f>[1]NhapHang!H101</f>
        <v>0</v>
      </c>
    </row>
    <row r="102" spans="1:8">
      <c r="A102">
        <f>[1]NhapHang!A102</f>
        <v>1</v>
      </c>
      <c r="B102">
        <f>[1]NhapHang!B102</f>
        <v>100</v>
      </c>
      <c r="C102" t="str">
        <f>[1]NhapHang!C102</f>
        <v>D01</v>
      </c>
      <c r="D102" t="str">
        <f>[1]NhapHang!D102</f>
        <v>Bánh kem dâu tây</v>
      </c>
      <c r="E102">
        <f>[1]NhapHang!E102</f>
        <v>9</v>
      </c>
      <c r="F102">
        <f>[1]NhapHang!F102</f>
        <v>0</v>
      </c>
      <c r="G102">
        <f>[1]NhapHang!G102</f>
        <v>0</v>
      </c>
      <c r="H102">
        <f>[1]NhapHang!H102</f>
        <v>0</v>
      </c>
    </row>
    <row r="103" spans="1:8">
      <c r="A103">
        <f>[1]NhapHang!A103</f>
        <v>1</v>
      </c>
      <c r="B103">
        <f>[1]NhapHang!B103</f>
        <v>101</v>
      </c>
      <c r="C103" t="str">
        <f>[1]NhapHang!C103</f>
        <v>D03</v>
      </c>
      <c r="D103" t="str">
        <f>[1]NhapHang!D103</f>
        <v>Cupcake dâu tây</v>
      </c>
      <c r="E103">
        <f>[1]NhapHang!E103</f>
        <v>6</v>
      </c>
      <c r="F103">
        <f>[1]NhapHang!F103</f>
        <v>0</v>
      </c>
      <c r="G103">
        <f>[1]NhapHang!G103</f>
        <v>0</v>
      </c>
      <c r="H103">
        <f>[1]NhapHang!H103</f>
        <v>0</v>
      </c>
    </row>
    <row r="104" spans="1:8">
      <c r="A104">
        <f>[1]NhapHang!A104</f>
        <v>1</v>
      </c>
      <c r="B104">
        <f>[1]NhapHang!B104</f>
        <v>102</v>
      </c>
      <c r="C104" t="str">
        <f>[1]NhapHang!C104</f>
        <v>D04</v>
      </c>
      <c r="D104" t="str">
        <f>[1]NhapHang!D104</f>
        <v>Bánh kem chocolate</v>
      </c>
      <c r="E104">
        <f>[1]NhapHang!E104</f>
        <v>7</v>
      </c>
      <c r="F104">
        <f>[1]NhapHang!F104</f>
        <v>0</v>
      </c>
      <c r="G104">
        <f>[1]NhapHang!G104</f>
        <v>0</v>
      </c>
      <c r="H104">
        <f>[1]NhapHang!H104</f>
        <v>0</v>
      </c>
    </row>
    <row r="105" spans="1:8">
      <c r="A105">
        <f>[1]NhapHang!A105</f>
        <v>1</v>
      </c>
      <c r="B105">
        <f>[1]NhapHang!B105</f>
        <v>103</v>
      </c>
      <c r="C105" t="str">
        <f>[1]NhapHang!C105</f>
        <v>D05</v>
      </c>
      <c r="D105" t="str">
        <f>[1]NhapHang!D105</f>
        <v>Bánh kem trà xanh</v>
      </c>
      <c r="E105">
        <f>[1]NhapHang!E105</f>
        <v>11</v>
      </c>
      <c r="F105">
        <f>[1]NhapHang!F105</f>
        <v>0</v>
      </c>
      <c r="G105">
        <f>[1]NhapHang!G105</f>
        <v>0</v>
      </c>
      <c r="H105">
        <f>[1]NhapHang!H105</f>
        <v>0</v>
      </c>
    </row>
    <row r="106" spans="1:8">
      <c r="A106">
        <f>[1]NhapHang!A106</f>
        <v>1</v>
      </c>
      <c r="B106">
        <f>[1]NhapHang!B106</f>
        <v>104</v>
      </c>
      <c r="C106" t="str">
        <f>[1]NhapHang!C106</f>
        <v>D06</v>
      </c>
      <c r="D106" t="str">
        <f>[1]NhapHang!D106</f>
        <v>Bánh hoa quả</v>
      </c>
      <c r="E106">
        <f>[1]NhapHang!E106</f>
        <v>12</v>
      </c>
      <c r="F106">
        <f>[1]NhapHang!F106</f>
        <v>0</v>
      </c>
      <c r="G106">
        <f>[1]NhapHang!G106</f>
        <v>0</v>
      </c>
      <c r="H106">
        <f>[1]NhapHang!H106</f>
        <v>0</v>
      </c>
    </row>
    <row r="107" spans="1:8">
      <c r="A107">
        <f>[1]NhapHang!A107</f>
        <v>1</v>
      </c>
      <c r="B107">
        <f>[1]NhapHang!B107</f>
        <v>105</v>
      </c>
      <c r="C107" t="str">
        <f>[1]NhapHang!C107</f>
        <v>R000</v>
      </c>
      <c r="D107" t="str">
        <f>[1]NhapHang!D107</f>
        <v>Rollygami làm sẵn</v>
      </c>
      <c r="E107">
        <f>[1]NhapHang!E107</f>
        <v>44</v>
      </c>
      <c r="F107">
        <f>[1]NhapHang!F107</f>
        <v>0</v>
      </c>
      <c r="G107">
        <f>[1]NhapHang!G107</f>
        <v>0</v>
      </c>
      <c r="H107">
        <f>[1]NhapHang!H107</f>
        <v>0</v>
      </c>
    </row>
    <row r="108" spans="1:8">
      <c r="A108">
        <f>[1]NhapHang!A108</f>
        <v>1</v>
      </c>
      <c r="B108">
        <f>[1]NhapHang!B108</f>
        <v>106</v>
      </c>
      <c r="C108" t="str">
        <f>[1]NhapHang!C108</f>
        <v>R001</v>
      </c>
      <c r="D108" t="str">
        <f>[1]NhapHang!D108</f>
        <v>Gà bông</v>
      </c>
      <c r="E108">
        <f>[1]NhapHang!E108</f>
        <v>0</v>
      </c>
      <c r="F108">
        <f>[1]NhapHang!F108</f>
        <v>0</v>
      </c>
      <c r="G108">
        <f>[1]NhapHang!G108</f>
        <v>0</v>
      </c>
      <c r="H108">
        <f>[1]NhapHang!H108</f>
        <v>0</v>
      </c>
    </row>
    <row r="109" spans="1:8">
      <c r="A109">
        <f>[1]NhapHang!A109</f>
        <v>1</v>
      </c>
      <c r="B109">
        <f>[1]NhapHang!B109</f>
        <v>107</v>
      </c>
      <c r="C109" t="str">
        <f>[1]NhapHang!C109</f>
        <v>R002</v>
      </c>
      <c r="D109" t="str">
        <f>[1]NhapHang!D109</f>
        <v>Ỉn hồng</v>
      </c>
      <c r="E109">
        <f>[1]NhapHang!E109</f>
        <v>0</v>
      </c>
      <c r="F109">
        <f>[1]NhapHang!F109</f>
        <v>0</v>
      </c>
      <c r="G109">
        <f>[1]NhapHang!G109</f>
        <v>0</v>
      </c>
      <c r="H109">
        <f>[1]NhapHang!H109</f>
        <v>0</v>
      </c>
    </row>
    <row r="110" spans="1:8">
      <c r="A110">
        <f>[1]NhapHang!A110</f>
        <v>1</v>
      </c>
      <c r="B110">
        <f>[1]NhapHang!B110</f>
        <v>108</v>
      </c>
      <c r="C110" t="str">
        <f>[1]NhapHang!C110</f>
        <v>R003</v>
      </c>
      <c r="D110" t="str">
        <f>[1]NhapHang!D110</f>
        <v>Gấu Panda</v>
      </c>
      <c r="E110">
        <f>[1]NhapHang!E110</f>
        <v>2</v>
      </c>
      <c r="F110">
        <f>[1]NhapHang!F110</f>
        <v>0</v>
      </c>
      <c r="G110">
        <f>[1]NhapHang!G110</f>
        <v>0</v>
      </c>
      <c r="H110">
        <f>[1]NhapHang!H110</f>
        <v>0</v>
      </c>
    </row>
    <row r="111" spans="1:8">
      <c r="A111">
        <f>[1]NhapHang!A111</f>
        <v>1</v>
      </c>
      <c r="B111">
        <f>[1]NhapHang!B111</f>
        <v>109</v>
      </c>
      <c r="C111" t="str">
        <f>[1]NhapHang!C111</f>
        <v>R004</v>
      </c>
      <c r="D111" t="str">
        <f>[1]NhapHang!D111</f>
        <v>Angry bird đen</v>
      </c>
      <c r="E111">
        <f>[1]NhapHang!E111</f>
        <v>0</v>
      </c>
      <c r="F111">
        <f>[1]NhapHang!F111</f>
        <v>0</v>
      </c>
      <c r="G111">
        <f>[1]NhapHang!G111</f>
        <v>0</v>
      </c>
      <c r="H111">
        <f>[1]NhapHang!H111</f>
        <v>0</v>
      </c>
    </row>
    <row r="112" spans="1:8">
      <c r="A112">
        <f>[1]NhapHang!A112</f>
        <v>1</v>
      </c>
      <c r="B112">
        <f>[1]NhapHang!B112</f>
        <v>110</v>
      </c>
      <c r="C112" t="str">
        <f>[1]NhapHang!C112</f>
        <v>R005</v>
      </c>
      <c r="D112" t="str">
        <f>[1]NhapHang!D112</f>
        <v>Angry bird đỏ</v>
      </c>
      <c r="E112">
        <f>[1]NhapHang!E112</f>
        <v>0</v>
      </c>
      <c r="F112">
        <f>[1]NhapHang!F112</f>
        <v>0</v>
      </c>
      <c r="G112">
        <f>[1]NhapHang!G112</f>
        <v>0</v>
      </c>
      <c r="H112">
        <f>[1]NhapHang!H112</f>
        <v>0</v>
      </c>
    </row>
    <row r="113" spans="1:8">
      <c r="A113">
        <f>[1]NhapHang!A113</f>
        <v>1</v>
      </c>
      <c r="B113">
        <f>[1]NhapHang!B113</f>
        <v>111</v>
      </c>
      <c r="C113" t="str">
        <f>[1]NhapHang!C113</f>
        <v>R006</v>
      </c>
      <c r="D113" t="str">
        <f>[1]NhapHang!D113</f>
        <v>Angry bird trắng</v>
      </c>
      <c r="E113">
        <f>[1]NhapHang!E113</f>
        <v>1</v>
      </c>
      <c r="F113">
        <f>[1]NhapHang!F113</f>
        <v>0</v>
      </c>
      <c r="G113">
        <f>[1]NhapHang!G113</f>
        <v>0</v>
      </c>
      <c r="H113">
        <f>[1]NhapHang!H113</f>
        <v>0</v>
      </c>
    </row>
    <row r="114" spans="1:8">
      <c r="A114">
        <f>[1]NhapHang!A114</f>
        <v>1</v>
      </c>
      <c r="B114">
        <f>[1]NhapHang!B114</f>
        <v>112</v>
      </c>
      <c r="C114" t="str">
        <f>[1]NhapHang!C114</f>
        <v>R007</v>
      </c>
      <c r="D114" t="str">
        <f>[1]NhapHang!D114</f>
        <v>Angry bird vàng</v>
      </c>
      <c r="E114">
        <f>[1]NhapHang!E114</f>
        <v>2</v>
      </c>
      <c r="F114">
        <f>[1]NhapHang!F114</f>
        <v>0</v>
      </c>
      <c r="G114">
        <f>[1]NhapHang!G114</f>
        <v>0</v>
      </c>
      <c r="H114">
        <f>[1]NhapHang!H114</f>
        <v>0</v>
      </c>
    </row>
    <row r="115" spans="1:8">
      <c r="A115">
        <f>[1]NhapHang!A115</f>
        <v>1</v>
      </c>
      <c r="B115">
        <f>[1]NhapHang!B115</f>
        <v>113</v>
      </c>
      <c r="C115" t="str">
        <f>[1]NhapHang!C115</f>
        <v>R008</v>
      </c>
      <c r="D115" t="str">
        <f>[1]NhapHang!D115</f>
        <v>Rùa</v>
      </c>
      <c r="E115">
        <f>[1]NhapHang!E115</f>
        <v>0</v>
      </c>
      <c r="F115">
        <f>[1]NhapHang!F115</f>
        <v>0</v>
      </c>
      <c r="G115">
        <f>[1]NhapHang!G115</f>
        <v>0</v>
      </c>
      <c r="H115">
        <f>[1]NhapHang!H115</f>
        <v>0</v>
      </c>
    </row>
    <row r="116" spans="1:8">
      <c r="A116">
        <f>[1]NhapHang!A116</f>
        <v>1</v>
      </c>
      <c r="B116">
        <f>[1]NhapHang!B116</f>
        <v>114</v>
      </c>
      <c r="C116" t="str">
        <f>[1]NhapHang!C116</f>
        <v>VD1</v>
      </c>
      <c r="D116" t="str">
        <f>[1]NhapHang!D116</f>
        <v>Vải dạ 10x10</v>
      </c>
      <c r="E116">
        <f>[1]NhapHang!E116</f>
        <v>736</v>
      </c>
      <c r="F116">
        <f>[1]NhapHang!F116</f>
        <v>0</v>
      </c>
      <c r="G116">
        <f>[1]NhapHang!G116</f>
        <v>0</v>
      </c>
      <c r="H116">
        <f>[1]NhapHang!H116</f>
        <v>0</v>
      </c>
    </row>
    <row r="117" spans="1:8">
      <c r="A117">
        <f>[1]NhapHang!A117</f>
        <v>1</v>
      </c>
      <c r="B117">
        <f>[1]NhapHang!B117</f>
        <v>115</v>
      </c>
      <c r="C117" t="str">
        <f>[1]NhapHang!C117</f>
        <v>VD2</v>
      </c>
      <c r="D117" t="str">
        <f>[1]NhapHang!D117</f>
        <v>Vải dạ 18x18</v>
      </c>
      <c r="E117">
        <f>[1]NhapHang!E117</f>
        <v>422</v>
      </c>
      <c r="F117">
        <f>[1]NhapHang!F117</f>
        <v>0</v>
      </c>
      <c r="G117">
        <f>[1]NhapHang!G117</f>
        <v>0</v>
      </c>
      <c r="H117">
        <f>[1]NhapHang!H117</f>
        <v>0</v>
      </c>
    </row>
    <row r="118" spans="1:8">
      <c r="A118">
        <f>[1]NhapHang!A118</f>
        <v>1</v>
      </c>
      <c r="B118">
        <f>[1]NhapHang!B118</f>
        <v>116</v>
      </c>
      <c r="C118" t="str">
        <f>[1]NhapHang!C118</f>
        <v>VD3</v>
      </c>
      <c r="D118" t="str">
        <f>[1]NhapHang!D118</f>
        <v>Vải dạ 30x30</v>
      </c>
      <c r="E118">
        <f>[1]NhapHang!E118</f>
        <v>199</v>
      </c>
      <c r="F118">
        <f>[1]NhapHang!F118</f>
        <v>0</v>
      </c>
      <c r="G118">
        <f>[1]NhapHang!G118</f>
        <v>0</v>
      </c>
      <c r="H118">
        <f>[1]NhapHang!H118</f>
        <v>0</v>
      </c>
    </row>
    <row r="119" spans="1:8">
      <c r="A119">
        <f>[1]NhapHang!A119</f>
        <v>1</v>
      </c>
      <c r="B119">
        <f>[1]NhapHang!B119</f>
        <v>117</v>
      </c>
      <c r="C119" t="str">
        <f>[1]NhapHang!C119</f>
        <v>VD4</v>
      </c>
      <c r="D119" t="str">
        <f>[1]NhapHang!D119</f>
        <v>Vải dạ 45x45</v>
      </c>
      <c r="E119">
        <f>[1]NhapHang!E119</f>
        <v>123</v>
      </c>
      <c r="F119">
        <f>[1]NhapHang!F119</f>
        <v>0</v>
      </c>
      <c r="G119">
        <f>[1]NhapHang!G119</f>
        <v>0</v>
      </c>
      <c r="H119">
        <f>[1]NhapHang!H119</f>
        <v>0</v>
      </c>
    </row>
    <row r="120" spans="1:8">
      <c r="A120">
        <f>[1]NhapHang!A120</f>
        <v>1</v>
      </c>
      <c r="B120">
        <f>[1]NhapHang!B120</f>
        <v>118</v>
      </c>
      <c r="C120" t="str">
        <f>[1]NhapHang!C120</f>
        <v>VD5</v>
      </c>
      <c r="D120" t="str">
        <f>[1]NhapHang!D120</f>
        <v>Vải dạ 90x90</v>
      </c>
      <c r="E120" t="str">
        <f>[1]NhapHang!E120</f>
        <v>N/A</v>
      </c>
      <c r="F120">
        <f>[1]NhapHang!F120</f>
        <v>0</v>
      </c>
      <c r="G120">
        <f>[1]NhapHang!G120</f>
        <v>0</v>
      </c>
      <c r="H120">
        <f>[1]NhapHang!H120</f>
        <v>0</v>
      </c>
    </row>
    <row r="121" spans="1:8">
      <c r="A121">
        <f>[1]NhapHang!A121</f>
        <v>1</v>
      </c>
      <c r="B121">
        <f>[1]NhapHang!B121</f>
        <v>119</v>
      </c>
      <c r="C121" t="str">
        <f>[1]NhapHang!C121</f>
        <v>VD6</v>
      </c>
      <c r="D121" t="str">
        <f>[1]NhapHang!D121</f>
        <v>Móc điện thoại</v>
      </c>
      <c r="E121">
        <f>[1]NhapHang!E121</f>
        <v>937</v>
      </c>
      <c r="F121">
        <f>[1]NhapHang!F121</f>
        <v>0</v>
      </c>
      <c r="G121">
        <f>[1]NhapHang!G121</f>
        <v>0</v>
      </c>
      <c r="H121">
        <f>[1]NhapHang!H121</f>
        <v>0</v>
      </c>
    </row>
    <row r="122" spans="1:8">
      <c r="A122">
        <f>[1]NhapHang!A122</f>
        <v>1</v>
      </c>
      <c r="B122">
        <f>[1]NhapHang!B122</f>
        <v>120</v>
      </c>
      <c r="C122" t="str">
        <f>[1]NhapHang!C122</f>
        <v>VD7</v>
      </c>
      <c r="D122" t="str">
        <f>[1]NhapHang!D122</f>
        <v>Móc khóa</v>
      </c>
      <c r="E122">
        <f>[1]NhapHang!E122</f>
        <v>241</v>
      </c>
      <c r="F122">
        <f>[1]NhapHang!F122</f>
        <v>0</v>
      </c>
      <c r="G122">
        <f>[1]NhapHang!G122</f>
        <v>0</v>
      </c>
      <c r="H122">
        <f>[1]NhapHang!H122</f>
        <v>0</v>
      </c>
    </row>
    <row r="123" spans="1:8">
      <c r="A123">
        <f>[1]NhapHang!A123</f>
        <v>1</v>
      </c>
      <c r="B123">
        <f>[1]NhapHang!B123</f>
        <v>121</v>
      </c>
      <c r="C123" t="str">
        <f>[1]NhapHang!C123</f>
        <v>VD8</v>
      </c>
      <c r="D123" t="str">
        <f>[1]NhapHang!D123</f>
        <v>Keo nến</v>
      </c>
      <c r="E123">
        <f>[1]NhapHang!E123</f>
        <v>305</v>
      </c>
      <c r="F123">
        <f>[1]NhapHang!F123</f>
        <v>0</v>
      </c>
      <c r="G123">
        <f>[1]NhapHang!G123</f>
        <v>0</v>
      </c>
      <c r="H123">
        <f>[1]NhapHang!H123</f>
        <v>0</v>
      </c>
    </row>
    <row r="124" spans="1:8">
      <c r="A124">
        <f>[1]NhapHang!A124</f>
        <v>1</v>
      </c>
      <c r="B124">
        <f>[1]NhapHang!B124</f>
        <v>122</v>
      </c>
      <c r="C124" t="str">
        <f>[1]NhapHang!C124</f>
        <v>VD9</v>
      </c>
      <c r="D124" t="str">
        <f>[1]NhapHang!D124</f>
        <v>Set chỉ</v>
      </c>
      <c r="E124">
        <f>[1]NhapHang!E124</f>
        <v>99</v>
      </c>
      <c r="F124">
        <f>[1]NhapHang!F124</f>
        <v>0</v>
      </c>
      <c r="G124">
        <f>[1]NhapHang!G124</f>
        <v>0</v>
      </c>
      <c r="H124">
        <f>[1]NhapHang!H124</f>
        <v>0</v>
      </c>
    </row>
    <row r="125" spans="1:8">
      <c r="A125">
        <f>[1]NhapHang!A125</f>
        <v>1</v>
      </c>
      <c r="B125">
        <f>[1]NhapHang!B125</f>
        <v>123</v>
      </c>
      <c r="C125" t="str">
        <f>[1]NhapHang!C125</f>
        <v>VD10</v>
      </c>
      <c r="D125" t="str">
        <f>[1]NhapHang!D125</f>
        <v>Chỉ đơn</v>
      </c>
      <c r="E125">
        <f>[1]NhapHang!E125</f>
        <v>88</v>
      </c>
      <c r="F125">
        <f>[1]NhapHang!F125</f>
        <v>0</v>
      </c>
      <c r="G125">
        <f>[1]NhapHang!G125</f>
        <v>0</v>
      </c>
      <c r="H125">
        <f>[1]NhapHang!H125</f>
        <v>0</v>
      </c>
    </row>
    <row r="126" spans="1:8">
      <c r="A126">
        <f>[1]NhapHang!A126</f>
        <v>1</v>
      </c>
      <c r="B126">
        <f>[1]NhapHang!B126</f>
        <v>124</v>
      </c>
      <c r="C126" t="str">
        <f>[1]NhapHang!C126</f>
        <v>VD11</v>
      </c>
      <c r="D126" t="str">
        <f>[1]NhapHang!D126</f>
        <v>Bông túi</v>
      </c>
      <c r="E126">
        <f>[1]NhapHang!E126</f>
        <v>83</v>
      </c>
      <c r="F126">
        <f>[1]NhapHang!F126</f>
        <v>0</v>
      </c>
      <c r="G126">
        <f>[1]NhapHang!G126</f>
        <v>0</v>
      </c>
      <c r="H126">
        <f>[1]NhapHang!H126</f>
        <v>0</v>
      </c>
    </row>
    <row r="127" spans="1:8">
      <c r="A127">
        <f>[1]NhapHang!A127</f>
        <v>1</v>
      </c>
      <c r="B127">
        <f>[1]NhapHang!B127</f>
        <v>125</v>
      </c>
      <c r="C127" t="str">
        <f>[1]NhapHang!C127</f>
        <v>VD12</v>
      </c>
      <c r="D127" t="str">
        <f>[1]NhapHang!D127</f>
        <v>Bông nửa cân</v>
      </c>
      <c r="E127" t="str">
        <f>[1]NhapHang!E127</f>
        <v>N/A</v>
      </c>
      <c r="F127">
        <f>[1]NhapHang!F127</f>
        <v>0</v>
      </c>
      <c r="G127">
        <f>[1]NhapHang!G127</f>
        <v>0</v>
      </c>
      <c r="H127">
        <f>[1]NhapHang!H127</f>
        <v>0</v>
      </c>
    </row>
    <row r="128" spans="1:8">
      <c r="A128">
        <f>[1]NhapHang!A128</f>
        <v>1</v>
      </c>
      <c r="B128">
        <f>[1]NhapHang!B128</f>
        <v>126</v>
      </c>
      <c r="C128" t="str">
        <f>[1]NhapHang!C128</f>
        <v>VD13</v>
      </c>
      <c r="D128" t="str">
        <f>[1]NhapHang!D128</f>
        <v>Bông cân</v>
      </c>
      <c r="E128">
        <f>[1]NhapHang!E128</f>
        <v>-28</v>
      </c>
      <c r="F128">
        <f>[1]NhapHang!F128</f>
        <v>0</v>
      </c>
      <c r="G128">
        <f>[1]NhapHang!G128</f>
        <v>0</v>
      </c>
      <c r="H128">
        <f>[1]NhapHang!H128</f>
        <v>0</v>
      </c>
    </row>
    <row r="129" spans="1:8">
      <c r="A129">
        <f>[1]NhapHang!A129</f>
        <v>1</v>
      </c>
      <c r="B129">
        <f>[1]NhapHang!B129</f>
        <v>127</v>
      </c>
      <c r="C129" t="str">
        <f>[1]NhapHang!C129</f>
        <v>VD14</v>
      </c>
      <c r="D129" t="str">
        <f>[1]NhapHang!D129</f>
        <v>Mắt nhựa</v>
      </c>
      <c r="E129">
        <f>[1]NhapHang!E129</f>
        <v>0</v>
      </c>
      <c r="F129">
        <f>[1]NhapHang!F129</f>
        <v>0</v>
      </c>
      <c r="G129">
        <f>[1]NhapHang!G129</f>
        <v>0</v>
      </c>
      <c r="H129">
        <f>[1]NhapHang!H129</f>
        <v>0</v>
      </c>
    </row>
    <row r="130" spans="1:8">
      <c r="A130">
        <f>[1]NhapHang!A130</f>
        <v>1</v>
      </c>
      <c r="B130">
        <f>[1]NhapHang!B130</f>
        <v>128</v>
      </c>
      <c r="C130" t="str">
        <f>[1]NhapHang!C130</f>
        <v>VD15</v>
      </c>
      <c r="D130" t="str">
        <f>[1]NhapHang!D130</f>
        <v>Hoa tai móc ĐÔI</v>
      </c>
      <c r="E130">
        <f>[1]NhapHang!E130</f>
        <v>0</v>
      </c>
      <c r="F130">
        <f>[1]NhapHang!F130</f>
        <v>0</v>
      </c>
      <c r="G130">
        <f>[1]NhapHang!G130</f>
        <v>0</v>
      </c>
      <c r="H130">
        <f>[1]NhapHang!H130</f>
        <v>0</v>
      </c>
    </row>
    <row r="131" spans="1:8">
      <c r="A131">
        <f>[1]NhapHang!A131</f>
        <v>1</v>
      </c>
      <c r="B131">
        <f>[1]NhapHang!B131</f>
        <v>129</v>
      </c>
      <c r="C131" t="str">
        <f>[1]NhapHang!C131</f>
        <v>VD16</v>
      </c>
      <c r="D131" t="str">
        <f>[1]NhapHang!D131</f>
        <v>Đế huy hiệu</v>
      </c>
      <c r="E131">
        <f>[1]NhapHang!E131</f>
        <v>0</v>
      </c>
      <c r="F131">
        <f>[1]NhapHang!F131</f>
        <v>0</v>
      </c>
      <c r="G131">
        <f>[1]NhapHang!G131</f>
        <v>0</v>
      </c>
      <c r="H131">
        <f>[1]NhapHang!H131</f>
        <v>0</v>
      </c>
    </row>
    <row r="132" spans="1:8">
      <c r="A132">
        <f>[1]NhapHang!A132</f>
        <v>1</v>
      </c>
      <c r="B132">
        <f>[1]NhapHang!B132</f>
        <v>130</v>
      </c>
      <c r="C132" t="str">
        <f>[1]NhapHang!C132</f>
        <v>DS01</v>
      </c>
      <c r="D132" t="str">
        <f>[1]NhapHang!D132</f>
        <v>Đất sét Malay</v>
      </c>
      <c r="E132">
        <f>[1]NhapHang!E132</f>
        <v>3</v>
      </c>
      <c r="F132">
        <f>[1]NhapHang!F132</f>
        <v>0</v>
      </c>
      <c r="G132">
        <f>[1]NhapHang!G132</f>
        <v>0</v>
      </c>
      <c r="H132">
        <f>[1]NhapHang!H132</f>
        <v>0</v>
      </c>
    </row>
    <row r="133" spans="1:8">
      <c r="A133">
        <f>[1]NhapHang!A133</f>
        <v>1</v>
      </c>
      <c r="B133">
        <f>[1]NhapHang!B133</f>
        <v>131</v>
      </c>
      <c r="C133" t="str">
        <f>[1]NhapHang!C133</f>
        <v>DS02</v>
      </c>
      <c r="D133" t="str">
        <f>[1]NhapHang!D133</f>
        <v>Đất sét Thái</v>
      </c>
      <c r="E133">
        <f>[1]NhapHang!E133</f>
        <v>-1</v>
      </c>
      <c r="F133">
        <f>[1]NhapHang!F133</f>
        <v>0</v>
      </c>
      <c r="G133">
        <f>[1]NhapHang!G133</f>
        <v>0</v>
      </c>
      <c r="H133">
        <f>[1]NhapHang!H133</f>
        <v>0</v>
      </c>
    </row>
    <row r="134" spans="1:8">
      <c r="A134">
        <f>[1]NhapHang!A134</f>
        <v>1</v>
      </c>
      <c r="B134">
        <f>[1]NhapHang!B134</f>
        <v>132</v>
      </c>
      <c r="C134" t="str">
        <f>[1]NhapHang!C134</f>
        <v>DS03</v>
      </c>
      <c r="D134" t="str">
        <f>[1]NhapHang!D134</f>
        <v>Đất sét Hàn Quốc</v>
      </c>
      <c r="E134">
        <f>[1]NhapHang!E134</f>
        <v>8</v>
      </c>
      <c r="F134">
        <f>[1]NhapHang!F134</f>
        <v>0</v>
      </c>
      <c r="G134">
        <f>[1]NhapHang!G134</f>
        <v>0</v>
      </c>
      <c r="H134">
        <f>[1]NhapHang!H134</f>
        <v>0</v>
      </c>
    </row>
    <row r="135" spans="1:8">
      <c r="A135">
        <f>[1]NhapHang!A135</f>
        <v>1</v>
      </c>
      <c r="B135">
        <f>[1]NhapHang!B135</f>
        <v>133</v>
      </c>
      <c r="C135" t="str">
        <f>[1]NhapHang!C135</f>
        <v>DS04</v>
      </c>
      <c r="D135" t="str">
        <f>[1]NhapHang!D135</f>
        <v>Túi khoen 10</v>
      </c>
      <c r="E135">
        <f>[1]NhapHang!E135</f>
        <v>19</v>
      </c>
      <c r="F135">
        <f>[1]NhapHang!F135</f>
        <v>0</v>
      </c>
      <c r="G135">
        <f>[1]NhapHang!G135</f>
        <v>0</v>
      </c>
      <c r="H135">
        <f>[1]NhapHang!H135</f>
        <v>0</v>
      </c>
    </row>
    <row r="136" spans="1:8">
      <c r="A136">
        <f>[1]NhapHang!A136</f>
        <v>1</v>
      </c>
      <c r="B136">
        <f>[1]NhapHang!B136</f>
        <v>134</v>
      </c>
      <c r="C136" t="str">
        <f>[1]NhapHang!C136</f>
        <v>DS05</v>
      </c>
      <c r="D136" t="str">
        <f>[1]NhapHang!D136</f>
        <v>Kem ủ</v>
      </c>
      <c r="E136">
        <f>[1]NhapHang!E136</f>
        <v>71</v>
      </c>
      <c r="F136">
        <f>[1]NhapHang!F136</f>
        <v>0</v>
      </c>
      <c r="G136">
        <f>[1]NhapHang!G136</f>
        <v>0</v>
      </c>
      <c r="H136">
        <f>[1]NhapHang!H136</f>
        <v>0</v>
      </c>
    </row>
    <row r="137" spans="1:8">
      <c r="A137">
        <f>[1]NhapHang!A137</f>
        <v>1</v>
      </c>
      <c r="B137">
        <f>[1]NhapHang!B137</f>
        <v>135</v>
      </c>
      <c r="C137" t="str">
        <f>[1]NhapHang!C137</f>
        <v>DS06</v>
      </c>
      <c r="D137" t="str">
        <f>[1]NhapHang!D137</f>
        <v>Kem mềm</v>
      </c>
      <c r="E137">
        <f>[1]NhapHang!E137</f>
        <v>-1</v>
      </c>
      <c r="F137">
        <f>[1]NhapHang!F137</f>
        <v>0</v>
      </c>
      <c r="G137">
        <f>[1]NhapHang!G137</f>
        <v>0</v>
      </c>
      <c r="H137">
        <f>[1]NhapHang!H137</f>
        <v>0</v>
      </c>
    </row>
    <row r="138" spans="1:8">
      <c r="A138">
        <f>[1]NhapHang!A138</f>
        <v>1</v>
      </c>
      <c r="B138">
        <f>[1]NhapHang!B138</f>
        <v>136</v>
      </c>
      <c r="C138" t="str">
        <f>[1]NhapHang!C138</f>
        <v>DS07</v>
      </c>
      <c r="D138" t="str">
        <f>[1]NhapHang!D138</f>
        <v>Keo sữa</v>
      </c>
      <c r="E138">
        <f>[1]NhapHang!E138</f>
        <v>31</v>
      </c>
      <c r="F138">
        <f>[1]NhapHang!F138</f>
        <v>0</v>
      </c>
      <c r="G138">
        <f>[1]NhapHang!G138</f>
        <v>0</v>
      </c>
      <c r="H138">
        <f>[1]NhapHang!H138</f>
        <v>0</v>
      </c>
    </row>
    <row r="139" spans="1:8">
      <c r="A139">
        <f>[1]NhapHang!A139</f>
        <v>1</v>
      </c>
      <c r="B139">
        <f>[1]NhapHang!B139</f>
        <v>137</v>
      </c>
      <c r="C139" t="str">
        <f>[1]NhapHang!C139</f>
        <v>DS08</v>
      </c>
      <c r="D139" t="str">
        <f>[1]NhapHang!D139</f>
        <v>Dung dịch đất sét</v>
      </c>
      <c r="E139">
        <f>[1]NhapHang!E139</f>
        <v>26</v>
      </c>
      <c r="F139">
        <f>[1]NhapHang!F139</f>
        <v>0</v>
      </c>
      <c r="G139">
        <f>[1]NhapHang!G139</f>
        <v>0</v>
      </c>
      <c r="H139">
        <f>[1]NhapHang!H139</f>
        <v>0</v>
      </c>
    </row>
    <row r="140" spans="1:8">
      <c r="A140">
        <f>[1]NhapHang!A140</f>
        <v>1</v>
      </c>
      <c r="B140">
        <f>[1]NhapHang!B140</f>
        <v>138</v>
      </c>
      <c r="C140" t="str">
        <f>[1]NhapHang!C140</f>
        <v>DS09</v>
      </c>
      <c r="D140" t="str">
        <f>[1]NhapHang!D140</f>
        <v>Đầu tạo hình</v>
      </c>
      <c r="E140">
        <f>[1]NhapHang!E140</f>
        <v>27</v>
      </c>
      <c r="F140">
        <f>[1]NhapHang!F140</f>
        <v>0</v>
      </c>
      <c r="G140">
        <f>[1]NhapHang!G140</f>
        <v>0</v>
      </c>
      <c r="H140">
        <f>[1]NhapHang!H140</f>
        <v>0</v>
      </c>
    </row>
    <row r="141" spans="1:8">
      <c r="A141">
        <f>[1]NhapHang!A141</f>
        <v>1</v>
      </c>
      <c r="B141">
        <f>[1]NhapHang!B141</f>
        <v>139</v>
      </c>
      <c r="C141" t="str">
        <f>[1]NhapHang!C141</f>
        <v>DS10</v>
      </c>
      <c r="D141" t="str">
        <f>[1]NhapHang!D141</f>
        <v>Sơn bóng</v>
      </c>
      <c r="E141">
        <f>[1]NhapHang!E141</f>
        <v>13</v>
      </c>
      <c r="F141">
        <f>[1]NhapHang!F141</f>
        <v>0</v>
      </c>
      <c r="G141">
        <f>[1]NhapHang!G141</f>
        <v>0</v>
      </c>
      <c r="H141">
        <f>[1]NhapHang!H141</f>
        <v>0</v>
      </c>
    </row>
    <row r="142" spans="1:8">
      <c r="A142">
        <f>[1]NhapHang!A142</f>
        <v>1</v>
      </c>
      <c r="B142">
        <f>[1]NhapHang!B142</f>
        <v>140</v>
      </c>
      <c r="C142" t="str">
        <f>[1]NhapHang!C142</f>
        <v>DS11</v>
      </c>
      <c r="D142" t="str">
        <f>[1]NhapHang!D142</f>
        <v>Set màu</v>
      </c>
      <c r="E142">
        <f>[1]NhapHang!E142</f>
        <v>22</v>
      </c>
      <c r="F142">
        <f>[1]NhapHang!F142</f>
        <v>0</v>
      </c>
      <c r="G142">
        <f>[1]NhapHang!G142</f>
        <v>0</v>
      </c>
      <c r="H142">
        <f>[1]NhapHang!H142</f>
        <v>0</v>
      </c>
    </row>
    <row r="143" spans="1:8">
      <c r="A143">
        <f>[1]NhapHang!A143</f>
        <v>1</v>
      </c>
      <c r="B143">
        <f>[1]NhapHang!B143</f>
        <v>141</v>
      </c>
      <c r="C143" t="str">
        <f>[1]NhapHang!C143</f>
        <v>DS12</v>
      </c>
      <c r="D143" t="str">
        <f>[1]NhapHang!D143</f>
        <v>Bút vẽ</v>
      </c>
      <c r="E143">
        <f>[1]NhapHang!E143</f>
        <v>11</v>
      </c>
      <c r="F143">
        <f>[1]NhapHang!F143</f>
        <v>0</v>
      </c>
      <c r="G143">
        <f>[1]NhapHang!G143</f>
        <v>0</v>
      </c>
      <c r="H143">
        <f>[1]NhapHang!H143</f>
        <v>0</v>
      </c>
    </row>
    <row r="144" spans="1:8">
      <c r="A144">
        <f>[1]NhapHang!A144</f>
        <v>1</v>
      </c>
      <c r="B144">
        <f>[1]NhapHang!B144</f>
        <v>142</v>
      </c>
      <c r="C144" t="str">
        <f>[1]NhapHang!C144</f>
        <v>DS13</v>
      </c>
      <c r="D144" t="str">
        <f>[1]NhapHang!D144</f>
        <v>Đất sét hoa quả</v>
      </c>
      <c r="E144">
        <f>[1]NhapHang!E144</f>
        <v>0</v>
      </c>
      <c r="F144">
        <f>[1]NhapHang!F144</f>
        <v>0</v>
      </c>
      <c r="G144">
        <f>[1]NhapHang!G144</f>
        <v>0</v>
      </c>
      <c r="H144">
        <f>[1]NhapHang!H144</f>
        <v>0</v>
      </c>
    </row>
    <row r="145" spans="1:8" ht="25.5">
      <c r="A145">
        <f>[1]NhapHang!A145</f>
        <v>1</v>
      </c>
      <c r="B145">
        <f>[1]NhapHang!B145</f>
        <v>143</v>
      </c>
      <c r="C145" t="str">
        <f>[1]NhapHang!C145</f>
        <v>DS14</v>
      </c>
      <c r="D145" t="str">
        <f>[1]NhapHang!D145</f>
        <v>Đất sét hoa quả thanh</v>
      </c>
      <c r="E145">
        <f>[1]NhapHang!E145</f>
        <v>1</v>
      </c>
      <c r="F145">
        <f>[1]NhapHang!F145</f>
        <v>0</v>
      </c>
      <c r="G145">
        <f>[1]NhapHang!G145</f>
        <v>0</v>
      </c>
      <c r="H145">
        <f>[1]NhapHang!H145</f>
        <v>0</v>
      </c>
    </row>
    <row r="146" spans="1:8">
      <c r="A146">
        <f>[1]NhapHang!A146</f>
        <v>1</v>
      </c>
      <c r="B146">
        <f>[1]NhapHang!B146</f>
        <v>144</v>
      </c>
      <c r="C146" t="str">
        <f>[1]NhapHang!C146</f>
        <v>DS15</v>
      </c>
      <c r="D146" t="str">
        <f>[1]NhapHang!D146</f>
        <v>Lọ thủy tinh</v>
      </c>
      <c r="E146">
        <f>[1]NhapHang!E146</f>
        <v>-1</v>
      </c>
      <c r="F146">
        <f>[1]NhapHang!F146</f>
        <v>0</v>
      </c>
      <c r="G146">
        <f>[1]NhapHang!G146</f>
        <v>0</v>
      </c>
      <c r="H146">
        <f>[1]NhapHang!H146</f>
        <v>0</v>
      </c>
    </row>
    <row r="147" spans="1:8">
      <c r="A147">
        <f>[1]NhapHang!A147</f>
        <v>1</v>
      </c>
      <c r="B147">
        <f>[1]NhapHang!B147</f>
        <v>145</v>
      </c>
      <c r="C147" t="str">
        <f>[1]NhapHang!C147</f>
        <v>DS16</v>
      </c>
      <c r="D147" t="str">
        <f>[1]NhapHang!D147</f>
        <v>Combo classic</v>
      </c>
      <c r="E147" t="str">
        <f>[1]NhapHang!E147</f>
        <v>N/A</v>
      </c>
      <c r="F147">
        <f>[1]NhapHang!F147</f>
        <v>0</v>
      </c>
      <c r="G147">
        <f>[1]NhapHang!G147</f>
        <v>0</v>
      </c>
      <c r="H147">
        <f>[1]NhapHang!H147</f>
        <v>0</v>
      </c>
    </row>
    <row r="148" spans="1:8">
      <c r="A148">
        <f>[1]NhapHang!A148</f>
        <v>1</v>
      </c>
      <c r="B148">
        <f>[1]NhapHang!B148</f>
        <v>146</v>
      </c>
      <c r="C148" t="str">
        <f>[1]NhapHang!C148</f>
        <v>DS17</v>
      </c>
      <c r="D148" t="str">
        <f>[1]NhapHang!D148</f>
        <v>Combo bánh</v>
      </c>
      <c r="E148" t="str">
        <f>[1]NhapHang!E148</f>
        <v>N/A</v>
      </c>
      <c r="F148">
        <f>[1]NhapHang!F148</f>
        <v>0</v>
      </c>
      <c r="G148">
        <f>[1]NhapHang!G148</f>
        <v>0</v>
      </c>
      <c r="H148">
        <f>[1]NhapHang!H148</f>
        <v>0</v>
      </c>
    </row>
    <row r="149" spans="1:8">
      <c r="A149">
        <f>[1]NhapHang!A149</f>
        <v>1</v>
      </c>
      <c r="B149">
        <f>[1]NhapHang!B149</f>
        <v>147</v>
      </c>
      <c r="C149" t="str">
        <f>[1]NhapHang!C149</f>
        <v>DS18</v>
      </c>
      <c r="D149" t="str">
        <f>[1]NhapHang!D149</f>
        <v>Tấm phơi</v>
      </c>
      <c r="E149">
        <f>[1]NhapHang!E149</f>
        <v>86</v>
      </c>
      <c r="F149">
        <f>[1]NhapHang!F149</f>
        <v>0</v>
      </c>
      <c r="G149">
        <f>[1]NhapHang!G149</f>
        <v>0</v>
      </c>
      <c r="H149">
        <f>[1]NhapHang!H149</f>
        <v>0</v>
      </c>
    </row>
    <row r="150" spans="1:8">
      <c r="A150">
        <f>[1]NhapHang!A150</f>
        <v>1</v>
      </c>
      <c r="B150">
        <f>[1]NhapHang!B150</f>
        <v>148</v>
      </c>
      <c r="C150" t="str">
        <f>[1]NhapHang!C150</f>
        <v>DS19</v>
      </c>
      <c r="D150" t="str">
        <f>[1]NhapHang!D150</f>
        <v>Khuôn dập chữ số</v>
      </c>
      <c r="E150">
        <f>[1]NhapHang!E150</f>
        <v>0</v>
      </c>
      <c r="F150">
        <f>[1]NhapHang!F150</f>
        <v>0</v>
      </c>
      <c r="G150">
        <f>[1]NhapHang!G150</f>
        <v>0</v>
      </c>
      <c r="H150">
        <f>[1]NhapHang!H150</f>
        <v>0</v>
      </c>
    </row>
    <row r="151" spans="1:8">
      <c r="A151">
        <f>[1]NhapHang!A151</f>
        <v>1</v>
      </c>
      <c r="B151">
        <f>[1]NhapHang!B151</f>
        <v>149</v>
      </c>
      <c r="C151" t="str">
        <f>[1]NhapHang!C151</f>
        <v>DS20</v>
      </c>
      <c r="D151" t="str">
        <f>[1]NhapHang!D151</f>
        <v>Cây lăn</v>
      </c>
      <c r="E151">
        <f>[1]NhapHang!E151</f>
        <v>3</v>
      </c>
      <c r="F151">
        <f>[1]NhapHang!F151</f>
        <v>0</v>
      </c>
      <c r="G151">
        <f>[1]NhapHang!G151</f>
        <v>0</v>
      </c>
      <c r="H151">
        <f>[1]NhapHang!H151</f>
        <v>0</v>
      </c>
    </row>
    <row r="152" spans="1:8">
      <c r="A152">
        <f>[1]NhapHang!A152</f>
        <v>1</v>
      </c>
      <c r="B152">
        <f>[1]NhapHang!B152</f>
        <v>150</v>
      </c>
      <c r="C152" t="str">
        <f>[1]NhapHang!C152</f>
        <v>GC01</v>
      </c>
      <c r="D152" t="str">
        <f>[1]NhapHang!D152</f>
        <v>Dây cói</v>
      </c>
      <c r="E152">
        <f>[1]NhapHang!E152</f>
        <v>180</v>
      </c>
      <c r="F152">
        <f>[1]NhapHang!F152</f>
        <v>0</v>
      </c>
      <c r="G152">
        <f>[1]NhapHang!G152</f>
        <v>0</v>
      </c>
      <c r="H152">
        <f>[1]NhapHang!H152</f>
        <v>0</v>
      </c>
    </row>
    <row r="153" spans="1:8">
      <c r="A153">
        <f>[1]NhapHang!A153</f>
        <v>1</v>
      </c>
      <c r="B153">
        <f>[1]NhapHang!B153</f>
        <v>151</v>
      </c>
      <c r="C153" t="str">
        <f>[1]NhapHang!C153</f>
        <v>GC02</v>
      </c>
      <c r="D153" t="str">
        <f>[1]NhapHang!D153</f>
        <v>Dây da lộn</v>
      </c>
      <c r="E153">
        <f>[1]NhapHang!E153</f>
        <v>-198</v>
      </c>
      <c r="F153">
        <f>[1]NhapHang!F153</f>
        <v>0</v>
      </c>
      <c r="G153">
        <f>[1]NhapHang!G153</f>
        <v>0</v>
      </c>
      <c r="H153">
        <f>[1]NhapHang!H153</f>
        <v>0</v>
      </c>
    </row>
    <row r="154" spans="1:8">
      <c r="A154">
        <f>[1]NhapHang!A154</f>
        <v>1</v>
      </c>
      <c r="B154">
        <f>[1]NhapHang!B154</f>
        <v>152</v>
      </c>
      <c r="C154" t="str">
        <f>[1]NhapHang!C154</f>
        <v>GC03</v>
      </c>
      <c r="D154" t="str">
        <f>[1]NhapHang!D154</f>
        <v>Dây xích</v>
      </c>
      <c r="E154" t="str">
        <f>[1]NhapHang!E154</f>
        <v>N/A</v>
      </c>
      <c r="F154">
        <f>[1]NhapHang!F154</f>
        <v>0</v>
      </c>
      <c r="G154">
        <f>[1]NhapHang!G154</f>
        <v>0</v>
      </c>
      <c r="H154">
        <f>[1]NhapHang!H154</f>
        <v>0</v>
      </c>
    </row>
    <row r="155" spans="1:8">
      <c r="A155">
        <f>[1]NhapHang!A155</f>
        <v>1</v>
      </c>
      <c r="B155">
        <f>[1]NhapHang!B155</f>
        <v>153</v>
      </c>
      <c r="C155" t="str">
        <f>[1]NhapHang!C155</f>
        <v>GC04</v>
      </c>
      <c r="D155" t="str">
        <f>[1]NhapHang!D155</f>
        <v>Dây xích vàng</v>
      </c>
      <c r="E155" t="str">
        <f>[1]NhapHang!E155</f>
        <v>N/A</v>
      </c>
      <c r="F155">
        <f>[1]NhapHang!F155</f>
        <v>0</v>
      </c>
      <c r="G155">
        <f>[1]NhapHang!G155</f>
        <v>0</v>
      </c>
      <c r="H155">
        <f>[1]NhapHang!H155</f>
        <v>0</v>
      </c>
    </row>
    <row r="156" spans="1:8">
      <c r="A156">
        <f>[1]NhapHang!A156</f>
        <v>1</v>
      </c>
      <c r="B156">
        <f>[1]NhapHang!B156</f>
        <v>154</v>
      </c>
      <c r="C156" t="str">
        <f>[1]NhapHang!C156</f>
        <v>GC05</v>
      </c>
      <c r="D156" t="str">
        <f>[1]NhapHang!D156</f>
        <v>Khoen tròn (lạng)</v>
      </c>
      <c r="E156">
        <f>[1]NhapHang!E156</f>
        <v>8.1999999999999993</v>
      </c>
      <c r="F156">
        <f>[1]NhapHang!F156</f>
        <v>0</v>
      </c>
      <c r="G156">
        <f>[1]NhapHang!G156</f>
        <v>0</v>
      </c>
      <c r="H156">
        <f>[1]NhapHang!H156</f>
        <v>0</v>
      </c>
    </row>
    <row r="157" spans="1:8">
      <c r="A157">
        <f>[1]NhapHang!A157</f>
        <v>1</v>
      </c>
      <c r="B157">
        <f>[1]NhapHang!B157</f>
        <v>155</v>
      </c>
      <c r="C157" t="str">
        <f>[1]NhapHang!C157</f>
        <v>GC06</v>
      </c>
      <c r="D157" t="str">
        <f>[1]NhapHang!D157</f>
        <v>Mặt lớn</v>
      </c>
      <c r="E157">
        <f>[1]NhapHang!E157</f>
        <v>0</v>
      </c>
      <c r="F157">
        <f>[1]NhapHang!F157</f>
        <v>0</v>
      </c>
      <c r="G157">
        <f>[1]NhapHang!G157</f>
        <v>0</v>
      </c>
      <c r="H157">
        <f>[1]NhapHang!H157</f>
        <v>0</v>
      </c>
    </row>
    <row r="158" spans="1:8">
      <c r="A158">
        <f>[1]NhapHang!A158</f>
        <v>1</v>
      </c>
      <c r="B158">
        <f>[1]NhapHang!B158</f>
        <v>156</v>
      </c>
      <c r="C158" t="str">
        <f>[1]NhapHang!C158</f>
        <v>GC07</v>
      </c>
      <c r="D158" t="str">
        <f>[1]NhapHang!D158</f>
        <v>Mặt vừa</v>
      </c>
      <c r="E158">
        <f>[1]NhapHang!E158</f>
        <v>-5</v>
      </c>
      <c r="F158">
        <f>[1]NhapHang!F158</f>
        <v>0</v>
      </c>
      <c r="G158">
        <f>[1]NhapHang!G158</f>
        <v>0</v>
      </c>
      <c r="H158">
        <f>[1]NhapHang!H158</f>
        <v>0</v>
      </c>
    </row>
    <row r="159" spans="1:8">
      <c r="A159">
        <f>[1]NhapHang!A159</f>
        <v>1</v>
      </c>
      <c r="B159">
        <f>[1]NhapHang!B159</f>
        <v>157</v>
      </c>
      <c r="C159" t="str">
        <f>[1]NhapHang!C159</f>
        <v>GC08</v>
      </c>
      <c r="D159" t="str">
        <f>[1]NhapHang!D159</f>
        <v>Mặt nhỏ</v>
      </c>
      <c r="E159">
        <f>[1]NhapHang!E159</f>
        <v>-1</v>
      </c>
      <c r="F159">
        <f>[1]NhapHang!F159</f>
        <v>0</v>
      </c>
      <c r="G159">
        <f>[1]NhapHang!G159</f>
        <v>0</v>
      </c>
      <c r="H159">
        <f>[1]NhapHang!H159</f>
        <v>0</v>
      </c>
    </row>
    <row r="160" spans="1:8">
      <c r="A160">
        <f>[1]NhapHang!A160</f>
        <v>1</v>
      </c>
      <c r="B160">
        <f>[1]NhapHang!B160</f>
        <v>158</v>
      </c>
      <c r="C160" t="str">
        <f>[1]NhapHang!C160</f>
        <v>GC09</v>
      </c>
      <c r="D160" t="str">
        <f>[1]NhapHang!D160</f>
        <v>Mặt cung</v>
      </c>
      <c r="E160">
        <f>[1]NhapHang!E160</f>
        <v>217</v>
      </c>
      <c r="F160">
        <f>[1]NhapHang!F160</f>
        <v>0</v>
      </c>
      <c r="G160">
        <f>[1]NhapHang!G160</f>
        <v>0</v>
      </c>
      <c r="H160">
        <f>[1]NhapHang!H160</f>
        <v>0</v>
      </c>
    </row>
    <row r="161" spans="1:8">
      <c r="A161">
        <f>[1]NhapHang!A161</f>
        <v>1</v>
      </c>
      <c r="B161">
        <f>[1]NhapHang!B161</f>
        <v>159</v>
      </c>
      <c r="C161" t="str">
        <f>[1]NhapHang!C161</f>
        <v>GC10</v>
      </c>
      <c r="D161" t="str">
        <f>[1]NhapHang!D161</f>
        <v>Bộ 12 cung</v>
      </c>
      <c r="E161" t="str">
        <f>[1]NhapHang!E161</f>
        <v>N/A</v>
      </c>
      <c r="F161">
        <f>[1]NhapHang!F161</f>
        <v>0</v>
      </c>
      <c r="G161">
        <f>[1]NhapHang!G161</f>
        <v>0</v>
      </c>
      <c r="H161">
        <f>[1]NhapHang!H161</f>
        <v>0</v>
      </c>
    </row>
    <row r="162" spans="1:8">
      <c r="A162">
        <f>[1]NhapHang!A162</f>
        <v>1</v>
      </c>
      <c r="B162">
        <f>[1]NhapHang!B162</f>
        <v>160</v>
      </c>
      <c r="C162" t="str">
        <f>[1]NhapHang!C162</f>
        <v>GC11</v>
      </c>
      <c r="D162" t="str">
        <f>[1]NhapHang!D162</f>
        <v>Kẹp ngang to (số 4)</v>
      </c>
      <c r="E162" t="str">
        <f>[1]NhapHang!E162</f>
        <v>N/A</v>
      </c>
      <c r="F162">
        <f>[1]NhapHang!F162</f>
        <v>0</v>
      </c>
      <c r="G162">
        <f>[1]NhapHang!G162</f>
        <v>0</v>
      </c>
      <c r="H162">
        <f>[1]NhapHang!H162</f>
        <v>0</v>
      </c>
    </row>
    <row r="163" spans="1:8">
      <c r="A163">
        <f>[1]NhapHang!A163</f>
        <v>1</v>
      </c>
      <c r="B163">
        <f>[1]NhapHang!B163</f>
        <v>161</v>
      </c>
      <c r="C163" t="str">
        <f>[1]NhapHang!C163</f>
        <v>GC12</v>
      </c>
      <c r="D163" t="str">
        <f>[1]NhapHang!D163</f>
        <v>Kẹp ngang nhỏ(số 3)</v>
      </c>
      <c r="E163" t="str">
        <f>[1]NhapHang!E163</f>
        <v>N/A</v>
      </c>
      <c r="F163">
        <f>[1]NhapHang!F163</f>
        <v>0</v>
      </c>
      <c r="G163">
        <f>[1]NhapHang!G163</f>
        <v>0</v>
      </c>
      <c r="H163">
        <f>[1]NhapHang!H163</f>
        <v>0</v>
      </c>
    </row>
    <row r="164" spans="1:8" ht="25.5">
      <c r="A164">
        <f>[1]NhapHang!A164</f>
        <v>1</v>
      </c>
      <c r="B164">
        <f>[1]NhapHang!B164</f>
        <v>162</v>
      </c>
      <c r="C164" t="str">
        <f>[1]NhapHang!C164</f>
        <v>GC21</v>
      </c>
      <c r="D164" t="str">
        <f>[1]NhapHang!D164</f>
        <v>Kem ngang vừa (số 2)</v>
      </c>
      <c r="E164" t="str">
        <f>[1]NhapHang!E164</f>
        <v>N/A</v>
      </c>
      <c r="F164">
        <f>[1]NhapHang!F164</f>
        <v>0</v>
      </c>
      <c r="G164">
        <f>[1]NhapHang!G164</f>
        <v>0</v>
      </c>
      <c r="H164">
        <f>[1]NhapHang!H164</f>
        <v>0</v>
      </c>
    </row>
    <row r="165" spans="1:8">
      <c r="A165">
        <f>[1]NhapHang!A165</f>
        <v>1</v>
      </c>
      <c r="B165">
        <f>[1]NhapHang!B165</f>
        <v>163</v>
      </c>
      <c r="C165" t="str">
        <f>[1]NhapHang!C165</f>
        <v>GC13</v>
      </c>
      <c r="D165" t="str">
        <f>[1]NhapHang!D165</f>
        <v>Kẹp dọc (số 1)</v>
      </c>
      <c r="E165" t="str">
        <f>[1]NhapHang!E165</f>
        <v>N/A</v>
      </c>
      <c r="F165">
        <f>[1]NhapHang!F165</f>
        <v>0</v>
      </c>
      <c r="G165">
        <f>[1]NhapHang!G165</f>
        <v>0</v>
      </c>
      <c r="H165">
        <f>[1]NhapHang!H165</f>
        <v>0</v>
      </c>
    </row>
    <row r="166" spans="1:8">
      <c r="A166">
        <f>[1]NhapHang!A166</f>
        <v>1</v>
      </c>
      <c r="B166">
        <f>[1]NhapHang!B166</f>
        <v>164</v>
      </c>
      <c r="C166" t="str">
        <f>[1]NhapHang!C166</f>
        <v>GC22</v>
      </c>
      <c r="D166" t="str">
        <f>[1]NhapHang!D166</f>
        <v>Kẹp số 5</v>
      </c>
      <c r="E166">
        <f>[1]NhapHang!E166</f>
        <v>72</v>
      </c>
      <c r="F166">
        <f>[1]NhapHang!F166</f>
        <v>0</v>
      </c>
      <c r="G166">
        <f>[1]NhapHang!G166</f>
        <v>0</v>
      </c>
      <c r="H166">
        <f>[1]NhapHang!H166</f>
        <v>0</v>
      </c>
    </row>
    <row r="167" spans="1:8">
      <c r="A167">
        <f>[1]NhapHang!A167</f>
        <v>1</v>
      </c>
      <c r="B167">
        <f>[1]NhapHang!B167</f>
        <v>165</v>
      </c>
      <c r="C167" t="str">
        <f>[1]NhapHang!C167</f>
        <v>GC14</v>
      </c>
      <c r="D167" t="str">
        <f>[1]NhapHang!D167</f>
        <v>Càng cua</v>
      </c>
      <c r="E167">
        <f>[1]NhapHang!E167</f>
        <v>1533</v>
      </c>
      <c r="F167">
        <f>[1]NhapHang!F167</f>
        <v>0</v>
      </c>
      <c r="G167">
        <f>[1]NhapHang!G167</f>
        <v>0</v>
      </c>
      <c r="H167">
        <f>[1]NhapHang!H167</f>
        <v>0</v>
      </c>
    </row>
    <row r="168" spans="1:8">
      <c r="A168">
        <f>[1]NhapHang!A168</f>
        <v>1</v>
      </c>
      <c r="B168">
        <f>[1]NhapHang!B168</f>
        <v>166</v>
      </c>
      <c r="C168" t="str">
        <f>[1]NhapHang!C168</f>
        <v>GC15</v>
      </c>
      <c r="D168" t="str">
        <f>[1]NhapHang!D168</f>
        <v xml:space="preserve">Chuông bạc </v>
      </c>
      <c r="E168" t="str">
        <f>[1]NhapHang!E168</f>
        <v>N/A</v>
      </c>
      <c r="F168">
        <f>[1]NhapHang!F168</f>
        <v>0</v>
      </c>
      <c r="G168">
        <f>[1]NhapHang!G168</f>
        <v>0</v>
      </c>
      <c r="H168">
        <f>[1]NhapHang!H168</f>
        <v>0</v>
      </c>
    </row>
    <row r="169" spans="1:8">
      <c r="A169">
        <f>[1]NhapHang!A169</f>
        <v>1</v>
      </c>
      <c r="B169">
        <f>[1]NhapHang!B169</f>
        <v>167</v>
      </c>
      <c r="C169" t="str">
        <f>[1]NhapHang!C169</f>
        <v>GC16</v>
      </c>
      <c r="D169" t="str">
        <f>[1]NhapHang!D169</f>
        <v>Chuông giả cổ</v>
      </c>
      <c r="E169" t="str">
        <f>[1]NhapHang!E169</f>
        <v>N/A</v>
      </c>
      <c r="F169">
        <f>[1]NhapHang!F169</f>
        <v>0</v>
      </c>
      <c r="G169">
        <f>[1]NhapHang!G169</f>
        <v>0</v>
      </c>
      <c r="H169">
        <f>[1]NhapHang!H169</f>
        <v>0</v>
      </c>
    </row>
    <row r="170" spans="1:8" ht="25.5">
      <c r="A170">
        <f>[1]NhapHang!A170</f>
        <v>1</v>
      </c>
      <c r="B170">
        <f>[1]NhapHang!B170</f>
        <v>168</v>
      </c>
      <c r="C170" t="str">
        <f>[1]NhapHang!C170</f>
        <v>GC17</v>
      </c>
      <c r="D170" t="str">
        <f>[1]NhapHang!D170</f>
        <v>Móc điện thoại giả cổ</v>
      </c>
      <c r="E170">
        <f>[1]NhapHang!E170</f>
        <v>0</v>
      </c>
      <c r="F170">
        <f>[1]NhapHang!F170</f>
        <v>0</v>
      </c>
      <c r="G170">
        <f>[1]NhapHang!G170</f>
        <v>0</v>
      </c>
      <c r="H170">
        <f>[1]NhapHang!H170</f>
        <v>0</v>
      </c>
    </row>
    <row r="171" spans="1:8">
      <c r="A171">
        <f>[1]NhapHang!A171</f>
        <v>1</v>
      </c>
      <c r="B171">
        <f>[1]NhapHang!B171</f>
        <v>169</v>
      </c>
      <c r="C171" t="str">
        <f>[1]NhapHang!C171</f>
        <v>GC18</v>
      </c>
      <c r="D171" t="str">
        <f>[1]NhapHang!D171</f>
        <v>Đinh tán</v>
      </c>
      <c r="E171">
        <f>[1]NhapHang!E171</f>
        <v>0</v>
      </c>
      <c r="F171">
        <f>[1]NhapHang!F171</f>
        <v>0</v>
      </c>
      <c r="G171">
        <f>[1]NhapHang!G171</f>
        <v>0</v>
      </c>
      <c r="H171">
        <f>[1]NhapHang!H171</f>
        <v>0</v>
      </c>
    </row>
    <row r="172" spans="1:8">
      <c r="A172">
        <f>[1]NhapHang!A172</f>
        <v>1</v>
      </c>
      <c r="B172">
        <f>[1]NhapHang!B172</f>
        <v>170</v>
      </c>
      <c r="C172" t="str">
        <f>[1]NhapHang!C172</f>
        <v>GC19</v>
      </c>
      <c r="D172" t="str">
        <f>[1]NhapHang!D172</f>
        <v>Mặt chữ</v>
      </c>
      <c r="E172">
        <f>[1]NhapHang!E172</f>
        <v>1242</v>
      </c>
      <c r="F172">
        <f>[1]NhapHang!F172</f>
        <v>0</v>
      </c>
      <c r="G172">
        <f>[1]NhapHang!G172</f>
        <v>0</v>
      </c>
      <c r="H172">
        <f>[1]NhapHang!H172</f>
        <v>0</v>
      </c>
    </row>
    <row r="173" spans="1:8">
      <c r="A173">
        <f>[1]NhapHang!A173</f>
        <v>1</v>
      </c>
      <c r="B173">
        <f>[1]NhapHang!B173</f>
        <v>171</v>
      </c>
      <c r="C173" t="str">
        <f>[1]NhapHang!C173</f>
        <v>GC20</v>
      </c>
      <c r="D173" t="str">
        <f>[1]NhapHang!D173</f>
        <v>Mặt số</v>
      </c>
      <c r="E173">
        <f>[1]NhapHang!E173</f>
        <v>325</v>
      </c>
      <c r="F173">
        <f>[1]NhapHang!F173</f>
        <v>0</v>
      </c>
      <c r="G173">
        <f>[1]NhapHang!G173</f>
        <v>0</v>
      </c>
      <c r="H173">
        <f>[1]NhapHang!H173</f>
        <v>0</v>
      </c>
    </row>
    <row r="174" spans="1:8">
      <c r="A174">
        <f>[1]NhapHang!A174</f>
        <v>1</v>
      </c>
      <c r="B174">
        <f>[1]NhapHang!B174</f>
        <v>172</v>
      </c>
      <c r="C174" t="str">
        <f>[1]NhapHang!C174</f>
        <v>GC23</v>
      </c>
      <c r="D174" t="str">
        <f>[1]NhapHang!D174</f>
        <v>Bộ 26 chữ</v>
      </c>
      <c r="E174" t="str">
        <f>[1]NhapHang!E174</f>
        <v>N/A</v>
      </c>
      <c r="F174">
        <f>[1]NhapHang!F174</f>
        <v>0</v>
      </c>
      <c r="G174">
        <f>[1]NhapHang!G174</f>
        <v>0</v>
      </c>
      <c r="H174">
        <f>[1]NhapHang!H174</f>
        <v>0</v>
      </c>
    </row>
    <row r="175" spans="1:8">
      <c r="A175">
        <f>[1]NhapHang!A175</f>
        <v>1</v>
      </c>
      <c r="B175">
        <f>[1]NhapHang!B175</f>
        <v>173</v>
      </c>
      <c r="C175" t="str">
        <f>[1]NhapHang!C175</f>
        <v>GC24</v>
      </c>
      <c r="D175" t="str">
        <f>[1]NhapHang!D175</f>
        <v>Bộ 10 số</v>
      </c>
      <c r="E175" t="str">
        <f>[1]NhapHang!E175</f>
        <v>N/A</v>
      </c>
      <c r="F175">
        <f>[1]NhapHang!F175</f>
        <v>0</v>
      </c>
      <c r="G175">
        <f>[1]NhapHang!G175</f>
        <v>0</v>
      </c>
      <c r="H175">
        <f>[1]NhapHang!H175</f>
        <v>0</v>
      </c>
    </row>
    <row r="176" spans="1:8">
      <c r="A176">
        <f>[1]NhapHang!A176</f>
        <v>1</v>
      </c>
      <c r="B176">
        <f>[1]NhapHang!B176</f>
        <v>174</v>
      </c>
      <c r="C176" t="str">
        <f>[1]NhapHang!C176</f>
        <v>GC25</v>
      </c>
      <c r="D176" t="str">
        <f>[1]NhapHang!D176</f>
        <v>Mặt BCS</v>
      </c>
      <c r="E176">
        <f>[1]NhapHang!E176</f>
        <v>161</v>
      </c>
      <c r="F176">
        <f>[1]NhapHang!F176</f>
        <v>0</v>
      </c>
      <c r="G176">
        <f>[1]NhapHang!G176</f>
        <v>0</v>
      </c>
      <c r="H176">
        <f>[1]NhapHang!H176</f>
        <v>0</v>
      </c>
    </row>
    <row r="177" spans="1:8">
      <c r="A177">
        <f>[1]NhapHang!A177</f>
        <v>1</v>
      </c>
      <c r="B177">
        <f>[1]NhapHang!B177</f>
        <v>175</v>
      </c>
      <c r="C177" t="str">
        <f>[1]NhapHang!C177</f>
        <v>GC101</v>
      </c>
      <c r="D177" t="str">
        <f>[1]NhapHang!D177</f>
        <v>Bông tuyết</v>
      </c>
      <c r="E177">
        <f>[1]NhapHang!E177</f>
        <v>0</v>
      </c>
      <c r="F177">
        <f>[1]NhapHang!F177</f>
        <v>0</v>
      </c>
      <c r="G177">
        <f>[1]NhapHang!G177</f>
        <v>0</v>
      </c>
      <c r="H177">
        <f>[1]NhapHang!H177</f>
        <v>0</v>
      </c>
    </row>
    <row r="178" spans="1:8">
      <c r="A178">
        <f>[1]NhapHang!A178</f>
        <v>1</v>
      </c>
      <c r="B178">
        <f>[1]NhapHang!B178</f>
        <v>176</v>
      </c>
      <c r="C178" t="str">
        <f>[1]NhapHang!C178</f>
        <v>GC102</v>
      </c>
      <c r="D178" t="str">
        <f>[1]NhapHang!D178</f>
        <v>Chùm chìa khoá</v>
      </c>
      <c r="E178">
        <f>[1]NhapHang!E178</f>
        <v>0</v>
      </c>
      <c r="F178">
        <f>[1]NhapHang!F178</f>
        <v>0</v>
      </c>
      <c r="G178">
        <f>[1]NhapHang!G178</f>
        <v>0</v>
      </c>
      <c r="H178">
        <f>[1]NhapHang!H178</f>
        <v>0</v>
      </c>
    </row>
    <row r="179" spans="1:8">
      <c r="A179">
        <f>[1]NhapHang!A179</f>
        <v>1</v>
      </c>
      <c r="B179">
        <f>[1]NhapHang!B179</f>
        <v>177</v>
      </c>
      <c r="C179" t="str">
        <f>[1]NhapHang!C179</f>
        <v>GC103</v>
      </c>
      <c r="D179" t="str">
        <f>[1]NhapHang!D179</f>
        <v>Chìa khoá</v>
      </c>
      <c r="E179">
        <f>[1]NhapHang!E179</f>
        <v>2</v>
      </c>
      <c r="F179">
        <f>[1]NhapHang!F179</f>
        <v>0</v>
      </c>
      <c r="G179">
        <f>[1]NhapHang!G179</f>
        <v>0</v>
      </c>
      <c r="H179">
        <f>[1]NhapHang!H179</f>
        <v>0</v>
      </c>
    </row>
    <row r="180" spans="1:8">
      <c r="A180">
        <f>[1]NhapHang!A180</f>
        <v>1</v>
      </c>
      <c r="B180">
        <f>[1]NhapHang!B180</f>
        <v>178</v>
      </c>
      <c r="C180" t="str">
        <f>[1]NhapHang!C180</f>
        <v>GC104</v>
      </c>
      <c r="D180" t="str">
        <f>[1]NhapHang!D180</f>
        <v>Ổ khoá</v>
      </c>
      <c r="E180">
        <f>[1]NhapHang!E180</f>
        <v>0</v>
      </c>
      <c r="F180">
        <f>[1]NhapHang!F180</f>
        <v>0</v>
      </c>
      <c r="G180">
        <f>[1]NhapHang!G180</f>
        <v>0</v>
      </c>
      <c r="H180">
        <f>[1]NhapHang!H180</f>
        <v>0</v>
      </c>
    </row>
    <row r="181" spans="1:8">
      <c r="A181">
        <f>[1]NhapHang!A181</f>
        <v>1</v>
      </c>
      <c r="B181">
        <f>[1]NhapHang!B181</f>
        <v>179</v>
      </c>
      <c r="C181" t="str">
        <f>[1]NhapHang!C181</f>
        <v>GC105</v>
      </c>
      <c r="D181" t="str">
        <f>[1]NhapHang!D181</f>
        <v>Nhẫn cú</v>
      </c>
      <c r="E181">
        <f>[1]NhapHang!E181</f>
        <v>0</v>
      </c>
      <c r="F181">
        <f>[1]NhapHang!F181</f>
        <v>0</v>
      </c>
      <c r="G181">
        <f>[1]NhapHang!G181</f>
        <v>0</v>
      </c>
      <c r="H181">
        <f>[1]NhapHang!H181</f>
        <v>0</v>
      </c>
    </row>
    <row r="182" spans="1:8">
      <c r="A182">
        <f>[1]NhapHang!A182</f>
        <v>1</v>
      </c>
      <c r="B182">
        <f>[1]NhapHang!B182</f>
        <v>180</v>
      </c>
      <c r="C182" t="str">
        <f>[1]NhapHang!C182</f>
        <v>GC106</v>
      </c>
      <c r="D182" t="str">
        <f>[1]NhapHang!D182</f>
        <v>Đôi cú trái tim</v>
      </c>
      <c r="E182">
        <f>[1]NhapHang!E182</f>
        <v>0</v>
      </c>
      <c r="F182">
        <f>[1]NhapHang!F182</f>
        <v>0</v>
      </c>
      <c r="G182">
        <f>[1]NhapHang!G182</f>
        <v>0</v>
      </c>
      <c r="H182">
        <f>[1]NhapHang!H182</f>
        <v>0</v>
      </c>
    </row>
    <row r="183" spans="1:8">
      <c r="A183">
        <f>[1]NhapHang!A183</f>
        <v>1</v>
      </c>
      <c r="B183">
        <f>[1]NhapHang!B183</f>
        <v>181</v>
      </c>
      <c r="C183" t="str">
        <f>[1]NhapHang!C183</f>
        <v>GC107</v>
      </c>
      <c r="D183" t="str">
        <f>[1]NhapHang!D183</f>
        <v>Mặt giả cổ mỏ neo</v>
      </c>
      <c r="E183">
        <f>[1]NhapHang!E183</f>
        <v>0</v>
      </c>
      <c r="F183">
        <f>[1]NhapHang!F183</f>
        <v>0</v>
      </c>
      <c r="G183">
        <f>[1]NhapHang!G183</f>
        <v>0</v>
      </c>
      <c r="H183">
        <f>[1]NhapHang!H183</f>
        <v>0</v>
      </c>
    </row>
    <row r="184" spans="1:8">
      <c r="A184">
        <f>[1]NhapHang!A184</f>
        <v>1</v>
      </c>
      <c r="B184">
        <f>[1]NhapHang!B184</f>
        <v>182</v>
      </c>
      <c r="C184" t="str">
        <f>[1]NhapHang!C184</f>
        <v>GC108</v>
      </c>
      <c r="D184" t="str">
        <f>[1]NhapHang!D184</f>
        <v>Mặt giả cổ mèo</v>
      </c>
      <c r="E184">
        <f>[1]NhapHang!E184</f>
        <v>0</v>
      </c>
      <c r="F184">
        <f>[1]NhapHang!F184</f>
        <v>0</v>
      </c>
      <c r="G184">
        <f>[1]NhapHang!G184</f>
        <v>0</v>
      </c>
      <c r="H184">
        <f>[1]NhapHang!H184</f>
        <v>0</v>
      </c>
    </row>
    <row r="185" spans="1:8">
      <c r="A185">
        <f>[1]NhapHang!A185</f>
        <v>1</v>
      </c>
      <c r="B185">
        <f>[1]NhapHang!B185</f>
        <v>183</v>
      </c>
      <c r="C185" t="str">
        <f>[1]NhapHang!C185</f>
        <v>GC109</v>
      </c>
      <c r="D185" t="str">
        <f>[1]NhapHang!D185</f>
        <v>Đèn dầu thần</v>
      </c>
      <c r="E185">
        <f>[1]NhapHang!E185</f>
        <v>14</v>
      </c>
      <c r="F185">
        <f>[1]NhapHang!F185</f>
        <v>0</v>
      </c>
      <c r="G185">
        <f>[1]NhapHang!G185</f>
        <v>0</v>
      </c>
      <c r="H185">
        <f>[1]NhapHang!H185</f>
        <v>0</v>
      </c>
    </row>
    <row r="186" spans="1:8">
      <c r="A186">
        <f>[1]NhapHang!A186</f>
        <v>1</v>
      </c>
      <c r="B186">
        <f>[1]NhapHang!B186</f>
        <v>184</v>
      </c>
      <c r="C186" t="str">
        <f>[1]NhapHang!C186</f>
        <v>GC110</v>
      </c>
      <c r="D186" t="str">
        <f>[1]NhapHang!D186</f>
        <v>Máy ảnh cổ</v>
      </c>
      <c r="E186">
        <f>[1]NhapHang!E186</f>
        <v>93</v>
      </c>
      <c r="F186">
        <f>[1]NhapHang!F186</f>
        <v>0</v>
      </c>
      <c r="G186">
        <f>[1]NhapHang!G186</f>
        <v>0</v>
      </c>
      <c r="H186">
        <f>[1]NhapHang!H186</f>
        <v>0</v>
      </c>
    </row>
    <row r="187" spans="1:8">
      <c r="A187">
        <f>[1]NhapHang!A187</f>
        <v>1</v>
      </c>
      <c r="B187">
        <f>[1]NhapHang!B187</f>
        <v>185</v>
      </c>
      <c r="C187" t="str">
        <f>[1]NhapHang!C187</f>
        <v>GC111</v>
      </c>
      <c r="D187" t="str">
        <f>[1]NhapHang!D187</f>
        <v>Máy ảnh hiện đại</v>
      </c>
      <c r="E187">
        <f>[1]NhapHang!E187</f>
        <v>0</v>
      </c>
      <c r="F187">
        <f>[1]NhapHang!F187</f>
        <v>0</v>
      </c>
      <c r="G187">
        <f>[1]NhapHang!G187</f>
        <v>0</v>
      </c>
      <c r="H187">
        <f>[1]NhapHang!H187</f>
        <v>0</v>
      </c>
    </row>
    <row r="188" spans="1:8">
      <c r="A188">
        <f>[1]NhapHang!A188</f>
        <v>1</v>
      </c>
      <c r="B188">
        <f>[1]NhapHang!B188</f>
        <v>186</v>
      </c>
      <c r="C188" t="str">
        <f>[1]NhapHang!C188</f>
        <v>GC112</v>
      </c>
      <c r="D188" t="str">
        <f>[1]NhapHang!D188</f>
        <v>Giày Converse</v>
      </c>
      <c r="E188">
        <f>[1]NhapHang!E188</f>
        <v>0</v>
      </c>
      <c r="F188">
        <f>[1]NhapHang!F188</f>
        <v>0</v>
      </c>
      <c r="G188">
        <f>[1]NhapHang!G188</f>
        <v>0</v>
      </c>
      <c r="H188">
        <f>[1]NhapHang!H188</f>
        <v>0</v>
      </c>
    </row>
    <row r="189" spans="1:8" ht="25.5">
      <c r="A189">
        <f>[1]NhapHang!A189</f>
        <v>1</v>
      </c>
      <c r="B189">
        <f>[1]NhapHang!B189</f>
        <v>187</v>
      </c>
      <c r="C189" t="str">
        <f>[1]NhapHang!C189</f>
        <v>GC113</v>
      </c>
      <c r="D189" t="str">
        <f>[1]NhapHang!D189</f>
        <v>Bánh Happy Birthday</v>
      </c>
      <c r="E189">
        <f>[1]NhapHang!E189</f>
        <v>0</v>
      </c>
      <c r="F189">
        <f>[1]NhapHang!F189</f>
        <v>0</v>
      </c>
      <c r="G189">
        <f>[1]NhapHang!G189</f>
        <v>0</v>
      </c>
      <c r="H189">
        <f>[1]NhapHang!H189</f>
        <v>0</v>
      </c>
    </row>
    <row r="190" spans="1:8">
      <c r="A190">
        <f>[1]NhapHang!A190</f>
        <v>1</v>
      </c>
      <c r="B190">
        <f>[1]NhapHang!B190</f>
        <v>188</v>
      </c>
      <c r="C190" t="str">
        <f>[1]NhapHang!C190</f>
        <v>GC114</v>
      </c>
      <c r="D190" t="str">
        <f>[1]NhapHang!D190</f>
        <v>Chữ Love</v>
      </c>
      <c r="E190">
        <f>[1]NhapHang!E190</f>
        <v>0</v>
      </c>
      <c r="F190">
        <f>[1]NhapHang!F190</f>
        <v>0</v>
      </c>
      <c r="G190">
        <f>[1]NhapHang!G190</f>
        <v>0</v>
      </c>
      <c r="H190">
        <f>[1]NhapHang!H190</f>
        <v>0</v>
      </c>
    </row>
    <row r="191" spans="1:8">
      <c r="A191">
        <f>[1]NhapHang!A191</f>
        <v>1</v>
      </c>
      <c r="B191">
        <f>[1]NhapHang!B191</f>
        <v>189</v>
      </c>
      <c r="C191" t="str">
        <f>[1]NhapHang!C191</f>
        <v>GC115</v>
      </c>
      <c r="D191" t="str">
        <f>[1]NhapHang!D191</f>
        <v>Chó con</v>
      </c>
      <c r="E191">
        <f>[1]NhapHang!E191</f>
        <v>0</v>
      </c>
      <c r="F191">
        <f>[1]NhapHang!F191</f>
        <v>0</v>
      </c>
      <c r="G191">
        <f>[1]NhapHang!G191</f>
        <v>0</v>
      </c>
      <c r="H191">
        <f>[1]NhapHang!H191</f>
        <v>0</v>
      </c>
    </row>
    <row r="192" spans="1:8">
      <c r="A192">
        <f>[1]NhapHang!A192</f>
        <v>1</v>
      </c>
      <c r="B192">
        <f>[1]NhapHang!B192</f>
        <v>190</v>
      </c>
      <c r="C192" t="str">
        <f>[1]NhapHang!C192</f>
        <v>GC116</v>
      </c>
      <c r="D192" t="str">
        <f>[1]NhapHang!D192</f>
        <v>Cỏ bốn lá nhỏ</v>
      </c>
      <c r="E192">
        <f>[1]NhapHang!E192</f>
        <v>0</v>
      </c>
      <c r="F192">
        <f>[1]NhapHang!F192</f>
        <v>0</v>
      </c>
      <c r="G192">
        <f>[1]NhapHang!G192</f>
        <v>0</v>
      </c>
      <c r="H192">
        <f>[1]NhapHang!H192</f>
        <v>0</v>
      </c>
    </row>
    <row r="193" spans="1:8">
      <c r="A193">
        <f>[1]NhapHang!A193</f>
        <v>1</v>
      </c>
      <c r="B193">
        <f>[1]NhapHang!B193</f>
        <v>191</v>
      </c>
      <c r="C193" t="str">
        <f>[1]NhapHang!C193</f>
        <v>GC117</v>
      </c>
      <c r="D193" t="str">
        <f>[1]NhapHang!D193</f>
        <v>Cây nhiều lá</v>
      </c>
      <c r="E193">
        <f>[1]NhapHang!E193</f>
        <v>0</v>
      </c>
      <c r="F193">
        <f>[1]NhapHang!F193</f>
        <v>0</v>
      </c>
      <c r="G193">
        <f>[1]NhapHang!G193</f>
        <v>0</v>
      </c>
      <c r="H193">
        <f>[1]NhapHang!H193</f>
        <v>0</v>
      </c>
    </row>
    <row r="194" spans="1:8">
      <c r="A194">
        <f>[1]NhapHang!A194</f>
        <v>1</v>
      </c>
      <c r="B194">
        <f>[1]NhapHang!B194</f>
        <v>192</v>
      </c>
      <c r="C194" t="str">
        <f>[1]NhapHang!C194</f>
        <v>GC118</v>
      </c>
      <c r="D194" t="str">
        <f>[1]NhapHang!D194</f>
        <v>Cánh bướm</v>
      </c>
      <c r="E194">
        <f>[1]NhapHang!E194</f>
        <v>0</v>
      </c>
      <c r="F194">
        <f>[1]NhapHang!F194</f>
        <v>0</v>
      </c>
      <c r="G194">
        <f>[1]NhapHang!G194</f>
        <v>0</v>
      </c>
      <c r="H194">
        <f>[1]NhapHang!H194</f>
        <v>0</v>
      </c>
    </row>
    <row r="195" spans="1:8">
      <c r="A195">
        <f>[1]NhapHang!A195</f>
        <v>1</v>
      </c>
      <c r="B195">
        <f>[1]NhapHang!B195</f>
        <v>193</v>
      </c>
      <c r="C195" t="str">
        <f>[1]NhapHang!C195</f>
        <v>GC119</v>
      </c>
      <c r="D195" t="str">
        <f>[1]NhapHang!D195</f>
        <v>Ngôi sao nhỏ</v>
      </c>
      <c r="E195">
        <f>[1]NhapHang!E195</f>
        <v>0</v>
      </c>
      <c r="F195">
        <f>[1]NhapHang!F195</f>
        <v>0</v>
      </c>
      <c r="G195">
        <f>[1]NhapHang!G195</f>
        <v>0</v>
      </c>
      <c r="H195">
        <f>[1]NhapHang!H195</f>
        <v>0</v>
      </c>
    </row>
    <row r="196" spans="1:8">
      <c r="A196">
        <f>[1]NhapHang!A196</f>
        <v>1</v>
      </c>
      <c r="B196">
        <f>[1]NhapHang!B196</f>
        <v>194</v>
      </c>
      <c r="C196" t="str">
        <f>[1]NhapHang!C196</f>
        <v>GC120</v>
      </c>
      <c r="D196" t="str">
        <f>[1]NhapHang!D196</f>
        <v>Ngôi sao nổi</v>
      </c>
      <c r="E196">
        <f>[1]NhapHang!E196</f>
        <v>103</v>
      </c>
      <c r="F196">
        <f>[1]NhapHang!F196</f>
        <v>0</v>
      </c>
      <c r="G196">
        <f>[1]NhapHang!G196</f>
        <v>0</v>
      </c>
      <c r="H196">
        <f>[1]NhapHang!H196</f>
        <v>0</v>
      </c>
    </row>
    <row r="197" spans="1:8">
      <c r="A197">
        <f>[1]NhapHang!A197</f>
        <v>1</v>
      </c>
      <c r="B197">
        <f>[1]NhapHang!B197</f>
        <v>195</v>
      </c>
      <c r="C197" t="str">
        <f>[1]NhapHang!C197</f>
        <v>GC121</v>
      </c>
      <c r="D197" t="str">
        <f>[1]NhapHang!D197</f>
        <v>Cánh thiên thần</v>
      </c>
      <c r="E197">
        <f>[1]NhapHang!E197</f>
        <v>0</v>
      </c>
      <c r="F197">
        <f>[1]NhapHang!F197</f>
        <v>0</v>
      </c>
      <c r="G197">
        <f>[1]NhapHang!G197</f>
        <v>0</v>
      </c>
      <c r="H197">
        <f>[1]NhapHang!H197</f>
        <v>0</v>
      </c>
    </row>
    <row r="198" spans="1:8">
      <c r="A198">
        <f>[1]NhapHang!A198</f>
        <v>1</v>
      </c>
      <c r="B198">
        <f>[1]NhapHang!B198</f>
        <v>196</v>
      </c>
      <c r="C198" t="str">
        <f>[1]NhapHang!C198</f>
        <v>GC122</v>
      </c>
      <c r="D198" t="str">
        <f>[1]NhapHang!D198</f>
        <v>Thư trái tim</v>
      </c>
      <c r="E198">
        <f>[1]NhapHang!E198</f>
        <v>43</v>
      </c>
      <c r="F198">
        <f>[1]NhapHang!F198</f>
        <v>0</v>
      </c>
      <c r="G198">
        <f>[1]NhapHang!G198</f>
        <v>0</v>
      </c>
      <c r="H198">
        <f>[1]NhapHang!H198</f>
        <v>0</v>
      </c>
    </row>
    <row r="199" spans="1:8">
      <c r="A199">
        <f>[1]NhapHang!A199</f>
        <v>1</v>
      </c>
      <c r="B199">
        <f>[1]NhapHang!B199</f>
        <v>197</v>
      </c>
      <c r="C199" t="str">
        <f>[1]NhapHang!C199</f>
        <v>GC123</v>
      </c>
      <c r="D199" t="str">
        <f>[1]NhapHang!D199</f>
        <v>Hai chú chim</v>
      </c>
      <c r="E199">
        <f>[1]NhapHang!E199</f>
        <v>0</v>
      </c>
      <c r="F199">
        <f>[1]NhapHang!F199</f>
        <v>0</v>
      </c>
      <c r="G199">
        <f>[1]NhapHang!G199</f>
        <v>0</v>
      </c>
      <c r="H199">
        <f>[1]NhapHang!H199</f>
        <v>0</v>
      </c>
    </row>
    <row r="200" spans="1:8">
      <c r="A200">
        <f>[1]NhapHang!A200</f>
        <v>1</v>
      </c>
      <c r="B200">
        <f>[1]NhapHang!B200</f>
        <v>198</v>
      </c>
      <c r="C200" t="str">
        <f>[1]NhapHang!C200</f>
        <v>GC124</v>
      </c>
      <c r="D200" t="str">
        <f>[1]NhapHang!D200</f>
        <v>Tháp Eiffel mini</v>
      </c>
      <c r="E200">
        <f>[1]NhapHang!E200</f>
        <v>0</v>
      </c>
      <c r="F200">
        <f>[1]NhapHang!F200</f>
        <v>0</v>
      </c>
      <c r="G200">
        <f>[1]NhapHang!G200</f>
        <v>0</v>
      </c>
      <c r="H200">
        <f>[1]NhapHang!H200</f>
        <v>0</v>
      </c>
    </row>
    <row r="201" spans="1:8">
      <c r="A201">
        <f>[1]NhapHang!A201</f>
        <v>1</v>
      </c>
      <c r="B201">
        <f>[1]NhapHang!B201</f>
        <v>199</v>
      </c>
      <c r="C201" t="str">
        <f>[1]NhapHang!C201</f>
        <v>GC125</v>
      </c>
      <c r="D201" t="str">
        <f>[1]NhapHang!D201</f>
        <v>Thỏ con tai dài</v>
      </c>
      <c r="E201">
        <f>[1]NhapHang!E201</f>
        <v>22</v>
      </c>
      <c r="F201">
        <f>[1]NhapHang!F201</f>
        <v>0</v>
      </c>
      <c r="G201">
        <f>[1]NhapHang!G201</f>
        <v>0</v>
      </c>
      <c r="H201">
        <f>[1]NhapHang!H201</f>
        <v>0</v>
      </c>
    </row>
    <row r="202" spans="1:8">
      <c r="A202">
        <f>[1]NhapHang!A202</f>
        <v>1</v>
      </c>
      <c r="B202">
        <f>[1]NhapHang!B202</f>
        <v>200</v>
      </c>
      <c r="C202" t="str">
        <f>[1]NhapHang!C202</f>
        <v>GC126</v>
      </c>
      <c r="D202" t="str">
        <f>[1]NhapHang!D202</f>
        <v>Móc có hoa văn</v>
      </c>
      <c r="E202">
        <f>[1]NhapHang!E202</f>
        <v>0</v>
      </c>
      <c r="F202">
        <f>[1]NhapHang!F202</f>
        <v>0</v>
      </c>
      <c r="G202">
        <f>[1]NhapHang!G202</f>
        <v>0</v>
      </c>
      <c r="H202">
        <f>[1]NhapHang!H202</f>
        <v>0</v>
      </c>
    </row>
    <row r="203" spans="1:8">
      <c r="A203">
        <f>[1]NhapHang!A203</f>
        <v>1</v>
      </c>
      <c r="B203">
        <f>[1]NhapHang!B203</f>
        <v>201</v>
      </c>
      <c r="C203" t="str">
        <f>[1]NhapHang!C203</f>
        <v>GC127</v>
      </c>
      <c r="D203" t="str">
        <f>[1]NhapHang!D203</f>
        <v>Ghế tiểu thư mini</v>
      </c>
      <c r="E203">
        <f>[1]NhapHang!E203</f>
        <v>28</v>
      </c>
      <c r="F203">
        <f>[1]NhapHang!F203</f>
        <v>0</v>
      </c>
      <c r="G203">
        <f>[1]NhapHang!G203</f>
        <v>0</v>
      </c>
      <c r="H203">
        <f>[1]NhapHang!H203</f>
        <v>0</v>
      </c>
    </row>
    <row r="204" spans="1:8">
      <c r="A204">
        <f>[1]NhapHang!A204</f>
        <v>1</v>
      </c>
      <c r="B204">
        <f>[1]NhapHang!B204</f>
        <v>202</v>
      </c>
      <c r="C204" t="str">
        <f>[1]NhapHang!C204</f>
        <v>GC128</v>
      </c>
      <c r="D204" t="str">
        <f>[1]NhapHang!D204</f>
        <v>Love heart</v>
      </c>
      <c r="E204">
        <f>[1]NhapHang!E204</f>
        <v>0</v>
      </c>
      <c r="F204">
        <f>[1]NhapHang!F204</f>
        <v>0</v>
      </c>
      <c r="G204">
        <f>[1]NhapHang!G204</f>
        <v>0</v>
      </c>
      <c r="H204">
        <f>[1]NhapHang!H204</f>
        <v>0</v>
      </c>
    </row>
    <row r="205" spans="1:8">
      <c r="A205">
        <f>[1]NhapHang!A205</f>
        <v>1</v>
      </c>
      <c r="B205">
        <f>[1]NhapHang!B205</f>
        <v>203</v>
      </c>
      <c r="C205" t="str">
        <f>[1]NhapHang!C205</f>
        <v>GC129</v>
      </c>
      <c r="D205" t="str">
        <f>[1]NhapHang!D205</f>
        <v>Vespa mini</v>
      </c>
      <c r="E205">
        <f>[1]NhapHang!E205</f>
        <v>84</v>
      </c>
      <c r="F205">
        <f>[1]NhapHang!F205</f>
        <v>0</v>
      </c>
      <c r="G205">
        <f>[1]NhapHang!G205</f>
        <v>0</v>
      </c>
      <c r="H205">
        <f>[1]NhapHang!H205</f>
        <v>0</v>
      </c>
    </row>
    <row r="206" spans="1:8">
      <c r="A206">
        <f>[1]NhapHang!A206</f>
        <v>1</v>
      </c>
      <c r="B206">
        <f>[1]NhapHang!B206</f>
        <v>204</v>
      </c>
      <c r="C206" t="str">
        <f>[1]NhapHang!C206</f>
        <v>GC130</v>
      </c>
      <c r="D206" t="str">
        <f>[1]NhapHang!D206</f>
        <v>Trái tim có cánh</v>
      </c>
      <c r="E206">
        <f>[1]NhapHang!E206</f>
        <v>0</v>
      </c>
      <c r="F206">
        <f>[1]NhapHang!F206</f>
        <v>0</v>
      </c>
      <c r="G206">
        <f>[1]NhapHang!G206</f>
        <v>0</v>
      </c>
      <c r="H206">
        <f>[1]NhapHang!H206</f>
        <v>0</v>
      </c>
    </row>
    <row r="207" spans="1:8">
      <c r="A207">
        <f>[1]NhapHang!A207</f>
        <v>1</v>
      </c>
      <c r="B207">
        <f>[1]NhapHang!B207</f>
        <v>205</v>
      </c>
      <c r="C207" t="str">
        <f>[1]NhapHang!C207</f>
        <v>GC131</v>
      </c>
      <c r="D207" t="str">
        <f>[1]NhapHang!D207</f>
        <v>Mề đay chữ ovan</v>
      </c>
      <c r="E207">
        <f>[1]NhapHang!E207</f>
        <v>9</v>
      </c>
      <c r="F207">
        <f>[1]NhapHang!F207</f>
        <v>0</v>
      </c>
      <c r="G207">
        <f>[1]NhapHang!G207</f>
        <v>0</v>
      </c>
      <c r="H207">
        <f>[1]NhapHang!H207</f>
        <v>0</v>
      </c>
    </row>
    <row r="208" spans="1:8">
      <c r="A208">
        <f>[1]NhapHang!A208</f>
        <v>1</v>
      </c>
      <c r="B208">
        <f>[1]NhapHang!B208</f>
        <v>206</v>
      </c>
      <c r="C208" t="str">
        <f>[1]NhapHang!C208</f>
        <v>GC132</v>
      </c>
      <c r="D208" t="str">
        <f>[1]NhapHang!D208</f>
        <v>Trái tim cách điệu</v>
      </c>
      <c r="E208">
        <f>[1]NhapHang!E208</f>
        <v>8</v>
      </c>
      <c r="F208">
        <f>[1]NhapHang!F208</f>
        <v>0</v>
      </c>
      <c r="G208">
        <f>[1]NhapHang!G208</f>
        <v>0</v>
      </c>
      <c r="H208">
        <f>[1]NhapHang!H208</f>
        <v>0</v>
      </c>
    </row>
    <row r="209" spans="1:8">
      <c r="A209">
        <f>[1]NhapHang!A209</f>
        <v>1</v>
      </c>
      <c r="B209">
        <f>[1]NhapHang!B209</f>
        <v>207</v>
      </c>
      <c r="C209" t="str">
        <f>[1]NhapHang!C209</f>
        <v>GC133</v>
      </c>
      <c r="D209" t="str">
        <f>[1]NhapHang!D209</f>
        <v>Chìa khóa hoa</v>
      </c>
      <c r="E209">
        <f>[1]NhapHang!E209</f>
        <v>10</v>
      </c>
      <c r="F209">
        <f>[1]NhapHang!F209</f>
        <v>0</v>
      </c>
      <c r="G209">
        <f>[1]NhapHang!G209</f>
        <v>0</v>
      </c>
      <c r="H209">
        <f>[1]NhapHang!H209</f>
        <v>0</v>
      </c>
    </row>
    <row r="210" spans="1:8">
      <c r="A210">
        <f>[1]NhapHang!A210</f>
        <v>1</v>
      </c>
      <c r="B210">
        <f>[1]NhapHang!B210</f>
        <v>208</v>
      </c>
      <c r="C210" t="str">
        <f>[1]NhapHang!C210</f>
        <v>GC134</v>
      </c>
      <c r="D210" t="str">
        <f>[1]NhapHang!D210</f>
        <v>Cỏ 4 lá</v>
      </c>
      <c r="E210">
        <f>[1]NhapHang!E210</f>
        <v>1</v>
      </c>
      <c r="F210">
        <f>[1]NhapHang!F210</f>
        <v>0</v>
      </c>
      <c r="G210">
        <f>[1]NhapHang!G210</f>
        <v>0</v>
      </c>
      <c r="H210">
        <f>[1]NhapHang!H210</f>
        <v>0</v>
      </c>
    </row>
    <row r="211" spans="1:8">
      <c r="A211">
        <f>[1]NhapHang!A211</f>
        <v>1</v>
      </c>
      <c r="B211">
        <f>[1]NhapHang!B211</f>
        <v>209</v>
      </c>
      <c r="C211" t="str">
        <f>[1]NhapHang!C211</f>
        <v>GC135</v>
      </c>
      <c r="D211" t="str">
        <f>[1]NhapHang!D211</f>
        <v>Đôi cánh</v>
      </c>
      <c r="E211">
        <f>[1]NhapHang!E211</f>
        <v>3</v>
      </c>
      <c r="F211">
        <f>[1]NhapHang!F211</f>
        <v>0</v>
      </c>
      <c r="G211">
        <f>[1]NhapHang!G211</f>
        <v>0</v>
      </c>
      <c r="H211">
        <f>[1]NhapHang!H211</f>
        <v>0</v>
      </c>
    </row>
    <row r="212" spans="1:8">
      <c r="A212">
        <f>[1]NhapHang!A212</f>
        <v>1</v>
      </c>
      <c r="B212">
        <f>[1]NhapHang!B212</f>
        <v>210</v>
      </c>
      <c r="C212" t="str">
        <f>[1]NhapHang!C212</f>
        <v>GC136</v>
      </c>
      <c r="D212" t="str">
        <f>[1]NhapHang!D212</f>
        <v>Ấm trà</v>
      </c>
      <c r="E212">
        <f>[1]NhapHang!E212</f>
        <v>38</v>
      </c>
      <c r="F212">
        <f>[1]NhapHang!F212</f>
        <v>0</v>
      </c>
      <c r="G212">
        <f>[1]NhapHang!G212</f>
        <v>0</v>
      </c>
      <c r="H212">
        <f>[1]NhapHang!H212</f>
        <v>0</v>
      </c>
    </row>
    <row r="213" spans="1:8">
      <c r="A213">
        <f>[1]NhapHang!A213</f>
        <v>1</v>
      </c>
      <c r="B213">
        <f>[1]NhapHang!B213</f>
        <v>211</v>
      </c>
      <c r="C213" t="str">
        <f>[1]NhapHang!C213</f>
        <v>GC137</v>
      </c>
      <c r="D213" t="str">
        <f>[1]NhapHang!D213</f>
        <v>Chìa khoá đôi</v>
      </c>
      <c r="E213">
        <f>[1]NhapHang!E213</f>
        <v>71</v>
      </c>
      <c r="F213">
        <f>[1]NhapHang!F213</f>
        <v>0</v>
      </c>
      <c r="G213">
        <f>[1]NhapHang!G213</f>
        <v>0</v>
      </c>
      <c r="H213">
        <f>[1]NhapHang!H213</f>
        <v>0</v>
      </c>
    </row>
    <row r="214" spans="1:8">
      <c r="A214">
        <f>[1]NhapHang!A214</f>
        <v>1</v>
      </c>
      <c r="B214">
        <f>[1]NhapHang!B214</f>
        <v>212</v>
      </c>
      <c r="C214" t="str">
        <f>[1]NhapHang!C214</f>
        <v>GC138</v>
      </c>
      <c r="D214" t="str">
        <f>[1]NhapHang!D214</f>
        <v>Vòng tròn peace</v>
      </c>
      <c r="E214">
        <f>[1]NhapHang!E214</f>
        <v>10</v>
      </c>
      <c r="F214">
        <f>[1]NhapHang!F214</f>
        <v>0</v>
      </c>
      <c r="G214">
        <f>[1]NhapHang!G214</f>
        <v>0</v>
      </c>
      <c r="H214">
        <f>[1]NhapHang!H214</f>
        <v>0</v>
      </c>
    </row>
    <row r="215" spans="1:8">
      <c r="A215">
        <f>[1]NhapHang!A215</f>
        <v>1</v>
      </c>
      <c r="B215">
        <f>[1]NhapHang!B215</f>
        <v>213</v>
      </c>
      <c r="C215" t="str">
        <f>[1]NhapHang!C215</f>
        <v>GC139</v>
      </c>
      <c r="D215" t="str">
        <f>[1]NhapHang!D215</f>
        <v>Be proud</v>
      </c>
      <c r="E215">
        <f>[1]NhapHang!E215</f>
        <v>0</v>
      </c>
      <c r="F215">
        <f>[1]NhapHang!F215</f>
        <v>0</v>
      </c>
      <c r="G215">
        <f>[1]NhapHang!G215</f>
        <v>0</v>
      </c>
      <c r="H215">
        <f>[1]NhapHang!H215</f>
        <v>0</v>
      </c>
    </row>
    <row r="216" spans="1:8" ht="25.5">
      <c r="A216">
        <f>[1]NhapHang!A216</f>
        <v>1</v>
      </c>
      <c r="B216">
        <f>[1]NhapHang!B216</f>
        <v>214</v>
      </c>
      <c r="C216" t="str">
        <f>[1]NhapHang!C216</f>
        <v>GC140</v>
      </c>
      <c r="D216" t="str">
        <f>[1]NhapHang!D216</f>
        <v>Vòng tròn 3 lá đeo cổ</v>
      </c>
      <c r="E216">
        <f>[1]NhapHang!E216</f>
        <v>20</v>
      </c>
      <c r="F216">
        <f>[1]NhapHang!F216</f>
        <v>0</v>
      </c>
      <c r="G216">
        <f>[1]NhapHang!G216</f>
        <v>0</v>
      </c>
      <c r="H216">
        <f>[1]NhapHang!H216</f>
        <v>0</v>
      </c>
    </row>
    <row r="217" spans="1:8">
      <c r="A217">
        <f>[1]NhapHang!A217</f>
        <v>1</v>
      </c>
      <c r="B217">
        <f>[1]NhapHang!B217</f>
        <v>215</v>
      </c>
      <c r="C217" t="str">
        <f>[1]NhapHang!C217</f>
        <v>GC141</v>
      </c>
      <c r="D217" t="str">
        <f>[1]NhapHang!D217</f>
        <v>Tháp eiffel 1 mặt</v>
      </c>
      <c r="E217">
        <f>[1]NhapHang!E217</f>
        <v>0</v>
      </c>
      <c r="F217">
        <f>[1]NhapHang!F217</f>
        <v>0</v>
      </c>
      <c r="G217">
        <f>[1]NhapHang!G217</f>
        <v>0</v>
      </c>
      <c r="H217">
        <f>[1]NhapHang!H217</f>
        <v>0</v>
      </c>
    </row>
    <row r="218" spans="1:8">
      <c r="A218">
        <f>[1]NhapHang!A218</f>
        <v>1</v>
      </c>
      <c r="B218">
        <f>[1]NhapHang!B218</f>
        <v>216</v>
      </c>
      <c r="C218" t="str">
        <f>[1]NhapHang!C218</f>
        <v>GC142</v>
      </c>
      <c r="D218" t="str">
        <f>[1]NhapHang!D218</f>
        <v>Bánh lái</v>
      </c>
      <c r="E218">
        <f>[1]NhapHang!E218</f>
        <v>26</v>
      </c>
      <c r="F218">
        <f>[1]NhapHang!F218</f>
        <v>0</v>
      </c>
      <c r="G218">
        <f>[1]NhapHang!G218</f>
        <v>0</v>
      </c>
      <c r="H218">
        <f>[1]NhapHang!H218</f>
        <v>0</v>
      </c>
    </row>
    <row r="219" spans="1:8">
      <c r="A219">
        <f>[1]NhapHang!A219</f>
        <v>1</v>
      </c>
      <c r="B219">
        <f>[1]NhapHang!B219</f>
        <v>217</v>
      </c>
      <c r="C219" t="str">
        <f>[1]NhapHang!C219</f>
        <v>GC143</v>
      </c>
      <c r="D219" t="str">
        <f>[1]NhapHang!D219</f>
        <v>Mỏ neo cách điệu</v>
      </c>
      <c r="E219">
        <f>[1]NhapHang!E219</f>
        <v>41</v>
      </c>
      <c r="F219">
        <f>[1]NhapHang!F219</f>
        <v>0</v>
      </c>
      <c r="G219">
        <f>[1]NhapHang!G219</f>
        <v>0</v>
      </c>
      <c r="H219">
        <f>[1]NhapHang!H219</f>
        <v>0</v>
      </c>
    </row>
    <row r="220" spans="1:8">
      <c r="A220">
        <f>[1]NhapHang!A220</f>
        <v>1</v>
      </c>
      <c r="B220">
        <f>[1]NhapHang!B220</f>
        <v>218</v>
      </c>
      <c r="C220" t="str">
        <f>[1]NhapHang!C220</f>
        <v>GC144</v>
      </c>
      <c r="D220" t="str">
        <f>[1]NhapHang!D220</f>
        <v>Vương miện</v>
      </c>
      <c r="E220">
        <f>[1]NhapHang!E220</f>
        <v>0</v>
      </c>
      <c r="F220">
        <f>[1]NhapHang!F220</f>
        <v>0</v>
      </c>
      <c r="G220">
        <f>[1]NhapHang!G220</f>
        <v>0</v>
      </c>
      <c r="H220">
        <f>[1]NhapHang!H220</f>
        <v>0</v>
      </c>
    </row>
    <row r="221" spans="1:8">
      <c r="A221">
        <f>[1]NhapHang!A221</f>
        <v>1</v>
      </c>
      <c r="B221">
        <f>[1]NhapHang!B221</f>
        <v>219</v>
      </c>
      <c r="C221" t="str">
        <f>[1]NhapHang!C221</f>
        <v>GC145</v>
      </c>
      <c r="D221" t="str">
        <f>[1]NhapHang!D221</f>
        <v>Cú đặc có cành cây</v>
      </c>
      <c r="E221">
        <f>[1]NhapHang!E221</f>
        <v>65</v>
      </c>
      <c r="F221">
        <f>[1]NhapHang!F221</f>
        <v>0</v>
      </c>
      <c r="G221">
        <f>[1]NhapHang!G221</f>
        <v>0</v>
      </c>
      <c r="H221">
        <f>[1]NhapHang!H221</f>
        <v>0</v>
      </c>
    </row>
    <row r="222" spans="1:8">
      <c r="A222">
        <f>[1]NhapHang!A222</f>
        <v>1</v>
      </c>
      <c r="B222">
        <f>[1]NhapHang!B222</f>
        <v>220</v>
      </c>
      <c r="C222" t="str">
        <f>[1]NhapHang!C222</f>
        <v>GC146</v>
      </c>
      <c r="D222" t="str">
        <f>[1]NhapHang!D222</f>
        <v>Cú đặc xòe cánh</v>
      </c>
      <c r="E222">
        <f>[1]NhapHang!E222</f>
        <v>56</v>
      </c>
      <c r="F222">
        <f>[1]NhapHang!F222</f>
        <v>0</v>
      </c>
      <c r="G222">
        <f>[1]NhapHang!G222</f>
        <v>0</v>
      </c>
      <c r="H222">
        <f>[1]NhapHang!H222</f>
        <v>0</v>
      </c>
    </row>
    <row r="223" spans="1:8">
      <c r="A223">
        <f>[1]NhapHang!A223</f>
        <v>1</v>
      </c>
      <c r="B223">
        <f>[1]NhapHang!B223</f>
        <v>221</v>
      </c>
      <c r="C223" t="str">
        <f>[1]NhapHang!C223</f>
        <v>GC147</v>
      </c>
      <c r="D223" t="str">
        <f>[1]NhapHang!D223</f>
        <v>Cú đặc mắt tròn</v>
      </c>
      <c r="E223">
        <f>[1]NhapHang!E223</f>
        <v>63</v>
      </c>
      <c r="F223">
        <f>[1]NhapHang!F223</f>
        <v>0</v>
      </c>
      <c r="G223">
        <f>[1]NhapHang!G223</f>
        <v>0</v>
      </c>
      <c r="H223">
        <f>[1]NhapHang!H223</f>
        <v>0</v>
      </c>
    </row>
    <row r="224" spans="1:8">
      <c r="A224">
        <f>[1]NhapHang!A224</f>
        <v>1</v>
      </c>
      <c r="B224">
        <f>[1]NhapHang!B224</f>
        <v>222</v>
      </c>
      <c r="C224" t="str">
        <f>[1]NhapHang!C224</f>
        <v>GC148</v>
      </c>
      <c r="D224" t="str">
        <f>[1]NhapHang!D224</f>
        <v>Ô dài 1 mặt</v>
      </c>
      <c r="E224">
        <f>[1]NhapHang!E224</f>
        <v>32</v>
      </c>
      <c r="F224">
        <f>[1]NhapHang!F224</f>
        <v>0</v>
      </c>
      <c r="G224">
        <f>[1]NhapHang!G224</f>
        <v>0</v>
      </c>
      <c r="H224">
        <f>[1]NhapHang!H224</f>
        <v>0</v>
      </c>
    </row>
    <row r="225" spans="1:8">
      <c r="A225">
        <f>[1]NhapHang!A225</f>
        <v>1</v>
      </c>
      <c r="B225">
        <f>[1]NhapHang!B225</f>
        <v>223</v>
      </c>
      <c r="C225" t="str">
        <f>[1]NhapHang!C225</f>
        <v>GC149</v>
      </c>
      <c r="D225" t="str">
        <f>[1]NhapHang!D225</f>
        <v>Ô ngắn</v>
      </c>
      <c r="E225">
        <f>[1]NhapHang!E225</f>
        <v>35</v>
      </c>
      <c r="F225">
        <f>[1]NhapHang!F225</f>
        <v>0</v>
      </c>
      <c r="G225">
        <f>[1]NhapHang!G225</f>
        <v>0</v>
      </c>
      <c r="H225">
        <f>[1]NhapHang!H225</f>
        <v>0</v>
      </c>
    </row>
    <row r="226" spans="1:8">
      <c r="A226">
        <f>[1]NhapHang!A226</f>
        <v>1</v>
      </c>
      <c r="B226">
        <f>[1]NhapHang!B226</f>
        <v>224</v>
      </c>
      <c r="C226" t="str">
        <f>[1]NhapHang!C226</f>
        <v>GC150</v>
      </c>
      <c r="D226" t="str">
        <f>[1]NhapHang!D226</f>
        <v>Lược</v>
      </c>
      <c r="E226">
        <f>[1]NhapHang!E226</f>
        <v>17</v>
      </c>
      <c r="F226">
        <f>[1]NhapHang!F226</f>
        <v>0</v>
      </c>
      <c r="G226">
        <f>[1]NhapHang!G226</f>
        <v>0</v>
      </c>
      <c r="H226">
        <f>[1]NhapHang!H226</f>
        <v>0</v>
      </c>
    </row>
    <row r="227" spans="1:8">
      <c r="A227">
        <f>[1]NhapHang!A227</f>
        <v>1</v>
      </c>
      <c r="B227">
        <f>[1]NhapHang!B227</f>
        <v>225</v>
      </c>
      <c r="C227" t="str">
        <f>[1]NhapHang!C227</f>
        <v>GC151</v>
      </c>
      <c r="D227" t="str">
        <f>[1]NhapHang!D227</f>
        <v>Quạt</v>
      </c>
      <c r="E227">
        <f>[1]NhapHang!E227</f>
        <v>9</v>
      </c>
      <c r="F227">
        <f>[1]NhapHang!F227</f>
        <v>0</v>
      </c>
      <c r="G227">
        <f>[1]NhapHang!G227</f>
        <v>0</v>
      </c>
      <c r="H227">
        <f>[1]NhapHang!H227</f>
        <v>0</v>
      </c>
    </row>
    <row r="228" spans="1:8">
      <c r="A228">
        <f>[1]NhapHang!A228</f>
        <v>1</v>
      </c>
      <c r="B228">
        <f>[1]NhapHang!B228</f>
        <v>226</v>
      </c>
      <c r="C228" t="str">
        <f>[1]NhapHang!C228</f>
        <v>GC152</v>
      </c>
      <c r="D228" t="str">
        <f>[1]NhapHang!D228</f>
        <v>Điện thoại bàn</v>
      </c>
      <c r="E228">
        <f>[1]NhapHang!E228</f>
        <v>56</v>
      </c>
      <c r="F228">
        <f>[1]NhapHang!F228</f>
        <v>0</v>
      </c>
      <c r="G228">
        <f>[1]NhapHang!G228</f>
        <v>0</v>
      </c>
      <c r="H228">
        <f>[1]NhapHang!H228</f>
        <v>0</v>
      </c>
    </row>
    <row r="229" spans="1:8">
      <c r="A229">
        <f>[1]NhapHang!A229</f>
        <v>1</v>
      </c>
      <c r="B229">
        <f>[1]NhapHang!B229</f>
        <v>227</v>
      </c>
      <c r="C229" t="str">
        <f>[1]NhapHang!C229</f>
        <v>GC153</v>
      </c>
      <c r="D229" t="str">
        <f>[1]NhapHang!D229</f>
        <v>Nấm</v>
      </c>
      <c r="E229">
        <f>[1]NhapHang!E229</f>
        <v>26</v>
      </c>
      <c r="F229">
        <f>[1]NhapHang!F229</f>
        <v>0</v>
      </c>
      <c r="G229">
        <f>[1]NhapHang!G229</f>
        <v>0</v>
      </c>
      <c r="H229">
        <f>[1]NhapHang!H229</f>
        <v>0</v>
      </c>
    </row>
    <row r="230" spans="1:8" ht="25.5">
      <c r="A230">
        <f>[1]NhapHang!A230</f>
        <v>1</v>
      </c>
      <c r="B230">
        <f>[1]NhapHang!B230</f>
        <v>228</v>
      </c>
      <c r="C230" t="str">
        <f>[1]NhapHang!C230</f>
        <v>GC154</v>
      </c>
      <c r="D230" t="str">
        <f>[1]NhapHang!D230</f>
        <v>Mặt người tròn mắt sao mắt tròn</v>
      </c>
      <c r="E230">
        <f>[1]NhapHang!E230</f>
        <v>5</v>
      </c>
      <c r="F230">
        <f>[1]NhapHang!F230</f>
        <v>0</v>
      </c>
      <c r="G230">
        <f>[1]NhapHang!G230</f>
        <v>0</v>
      </c>
      <c r="H230">
        <f>[1]NhapHang!H230</f>
        <v>0</v>
      </c>
    </row>
    <row r="231" spans="1:8">
      <c r="A231">
        <f>[1]NhapHang!A231</f>
        <v>1</v>
      </c>
      <c r="B231">
        <f>[1]NhapHang!B231</f>
        <v>229</v>
      </c>
      <c r="C231" t="str">
        <f>[1]NhapHang!C231</f>
        <v>GC155</v>
      </c>
      <c r="D231" t="str">
        <f>[1]NhapHang!D231</f>
        <v>Thỏ nhắm mắt</v>
      </c>
      <c r="E231">
        <f>[1]NhapHang!E231</f>
        <v>6</v>
      </c>
      <c r="F231">
        <f>[1]NhapHang!F231</f>
        <v>0</v>
      </c>
      <c r="G231">
        <f>[1]NhapHang!G231</f>
        <v>0</v>
      </c>
      <c r="H231">
        <f>[1]NhapHang!H231</f>
        <v>0</v>
      </c>
    </row>
    <row r="232" spans="1:8">
      <c r="A232">
        <f>[1]NhapHang!A232</f>
        <v>1</v>
      </c>
      <c r="B232">
        <f>[1]NhapHang!B232</f>
        <v>230</v>
      </c>
      <c r="C232" t="str">
        <f>[1]NhapHang!C232</f>
        <v>GC156</v>
      </c>
      <c r="D232" t="str">
        <f>[1]NhapHang!D232</f>
        <v>Tàu hỏa</v>
      </c>
      <c r="E232">
        <f>[1]NhapHang!E232</f>
        <v>19</v>
      </c>
      <c r="F232">
        <f>[1]NhapHang!F232</f>
        <v>0</v>
      </c>
      <c r="G232">
        <f>[1]NhapHang!G232</f>
        <v>0</v>
      </c>
      <c r="H232">
        <f>[1]NhapHang!H232</f>
        <v>0</v>
      </c>
    </row>
    <row r="233" spans="1:8">
      <c r="A233">
        <f>[1]NhapHang!A233</f>
        <v>1</v>
      </c>
      <c r="B233">
        <f>[1]NhapHang!B233</f>
        <v>231</v>
      </c>
      <c r="C233" t="str">
        <f>[1]NhapHang!C233</f>
        <v>GC157</v>
      </c>
      <c r="D233" t="str">
        <f>[1]NhapHang!D233</f>
        <v>Cánh chim</v>
      </c>
      <c r="E233">
        <f>[1]NhapHang!E233</f>
        <v>52</v>
      </c>
      <c r="F233">
        <f>[1]NhapHang!F233</f>
        <v>0</v>
      </c>
      <c r="G233">
        <f>[1]NhapHang!G233</f>
        <v>0</v>
      </c>
      <c r="H233">
        <f>[1]NhapHang!H233</f>
        <v>0</v>
      </c>
    </row>
    <row r="234" spans="1:8">
      <c r="A234">
        <f>[1]NhapHang!A234</f>
        <v>1</v>
      </c>
      <c r="B234">
        <f>[1]NhapHang!B234</f>
        <v>232</v>
      </c>
      <c r="C234" t="str">
        <f>[1]NhapHang!C234</f>
        <v>GC158</v>
      </c>
      <c r="D234" t="str">
        <f>[1]NhapHang!D234</f>
        <v>Sao 1 mặt có vân</v>
      </c>
      <c r="E234">
        <f>[1]NhapHang!E234</f>
        <v>3</v>
      </c>
      <c r="F234">
        <f>[1]NhapHang!F234</f>
        <v>0</v>
      </c>
      <c r="G234">
        <f>[1]NhapHang!G234</f>
        <v>0</v>
      </c>
      <c r="H234">
        <f>[1]NhapHang!H234</f>
        <v>0</v>
      </c>
    </row>
    <row r="235" spans="1:8">
      <c r="A235">
        <f>[1]NhapHang!A235</f>
        <v>1</v>
      </c>
      <c r="B235">
        <f>[1]NhapHang!B235</f>
        <v>233</v>
      </c>
      <c r="C235" t="str">
        <f>[1]NhapHang!C235</f>
        <v>GC159</v>
      </c>
      <c r="D235" t="str">
        <f>[1]NhapHang!D235</f>
        <v>Trái tim Thank u nhỏ</v>
      </c>
      <c r="E235">
        <f>[1]NhapHang!E235</f>
        <v>2</v>
      </c>
      <c r="F235">
        <f>[1]NhapHang!F235</f>
        <v>0</v>
      </c>
      <c r="G235">
        <f>[1]NhapHang!G235</f>
        <v>0</v>
      </c>
      <c r="H235">
        <f>[1]NhapHang!H235</f>
        <v>0</v>
      </c>
    </row>
    <row r="236" spans="1:8">
      <c r="A236">
        <f>[1]NhapHang!A236</f>
        <v>1</v>
      </c>
      <c r="B236">
        <f>[1]NhapHang!B236</f>
        <v>234</v>
      </c>
      <c r="C236" t="str">
        <f>[1]NhapHang!C236</f>
        <v>GC160</v>
      </c>
      <c r="D236" t="str">
        <f>[1]NhapHang!D236</f>
        <v>Ovan made with love</v>
      </c>
      <c r="E236">
        <f>[1]NhapHang!E236</f>
        <v>1</v>
      </c>
      <c r="F236">
        <f>[1]NhapHang!F236</f>
        <v>0</v>
      </c>
      <c r="G236">
        <f>[1]NhapHang!G236</f>
        <v>0</v>
      </c>
      <c r="H236">
        <f>[1]NhapHang!H236</f>
        <v>0</v>
      </c>
    </row>
    <row r="237" spans="1:8">
      <c r="A237">
        <f>[1]NhapHang!A237</f>
        <v>1</v>
      </c>
      <c r="B237">
        <f>[1]NhapHang!B237</f>
        <v>235</v>
      </c>
      <c r="C237" t="str">
        <f>[1]NhapHang!C237</f>
        <v>GC161</v>
      </c>
      <c r="D237" t="str">
        <f>[1]NhapHang!D237</f>
        <v>Sao mặt cười nhỏ</v>
      </c>
      <c r="E237">
        <f>[1]NhapHang!E237</f>
        <v>0</v>
      </c>
      <c r="F237">
        <f>[1]NhapHang!F237</f>
        <v>0</v>
      </c>
      <c r="G237">
        <f>[1]NhapHang!G237</f>
        <v>0</v>
      </c>
      <c r="H237">
        <f>[1]NhapHang!H237</f>
        <v>0</v>
      </c>
    </row>
    <row r="238" spans="1:8" ht="25.5">
      <c r="A238">
        <f>[1]NhapHang!A238</f>
        <v>1</v>
      </c>
      <c r="B238">
        <f>[1]NhapHang!B238</f>
        <v>236</v>
      </c>
      <c r="C238" t="str">
        <f>[1]NhapHang!C238</f>
        <v>GC162</v>
      </c>
      <c r="D238" t="str">
        <f>[1]NhapHang!D238</f>
        <v>Tháp Eiffel trong tranh</v>
      </c>
      <c r="E238">
        <f>[1]NhapHang!E238</f>
        <v>32</v>
      </c>
      <c r="F238">
        <f>[1]NhapHang!F238</f>
        <v>0</v>
      </c>
      <c r="G238">
        <f>[1]NhapHang!G238</f>
        <v>0</v>
      </c>
      <c r="H238">
        <f>[1]NhapHang!H238</f>
        <v>0</v>
      </c>
    </row>
    <row r="239" spans="1:8" ht="25.5">
      <c r="A239">
        <f>[1]NhapHang!A239</f>
        <v>1</v>
      </c>
      <c r="B239">
        <f>[1]NhapHang!B239</f>
        <v>237</v>
      </c>
      <c r="C239" t="str">
        <f>[1]NhapHang!C239</f>
        <v>GC163</v>
      </c>
      <c r="D239" t="str">
        <f>[1]NhapHang!D239</f>
        <v>Cỏ bốn lá viền nhỏ xinh</v>
      </c>
      <c r="E239">
        <f>[1]NhapHang!E239</f>
        <v>82</v>
      </c>
      <c r="F239">
        <f>[1]NhapHang!F239</f>
        <v>0</v>
      </c>
      <c r="G239">
        <f>[1]NhapHang!G239</f>
        <v>0</v>
      </c>
      <c r="H239">
        <f>[1]NhapHang!H239</f>
        <v>0</v>
      </c>
    </row>
    <row r="240" spans="1:8">
      <c r="A240">
        <f>[1]NhapHang!A240</f>
        <v>1</v>
      </c>
      <c r="B240">
        <f>[1]NhapHang!B240</f>
        <v>238</v>
      </c>
      <c r="C240" t="str">
        <f>[1]NhapHang!C240</f>
        <v>GC164</v>
      </c>
      <c r="D240" t="str">
        <f>[1]NhapHang!D240</f>
        <v>Đồng hồ báo thức</v>
      </c>
      <c r="E240">
        <f>[1]NhapHang!E240</f>
        <v>36</v>
      </c>
      <c r="F240">
        <f>[1]NhapHang!F240</f>
        <v>0</v>
      </c>
      <c r="G240">
        <f>[1]NhapHang!G240</f>
        <v>0</v>
      </c>
      <c r="H240">
        <f>[1]NhapHang!H240</f>
        <v>0</v>
      </c>
    </row>
    <row r="241" spans="1:8">
      <c r="A241">
        <f>[1]NhapHang!A241</f>
        <v>1</v>
      </c>
      <c r="B241">
        <f>[1]NhapHang!B241</f>
        <v>239</v>
      </c>
      <c r="C241" t="str">
        <f>[1]NhapHang!C241</f>
        <v>GC165</v>
      </c>
      <c r="D241" t="str">
        <f>[1]NhapHang!D241</f>
        <v>Đồng hồ quả lắc</v>
      </c>
      <c r="E241">
        <f>[1]NhapHang!E241</f>
        <v>2</v>
      </c>
      <c r="F241">
        <f>[1]NhapHang!F241</f>
        <v>0</v>
      </c>
      <c r="G241">
        <f>[1]NhapHang!G241</f>
        <v>0</v>
      </c>
      <c r="H241">
        <f>[1]NhapHang!H241</f>
        <v>0</v>
      </c>
    </row>
    <row r="242" spans="1:8" ht="25.5">
      <c r="A242">
        <f>[1]NhapHang!A242</f>
        <v>1</v>
      </c>
      <c r="B242">
        <f>[1]NhapHang!B242</f>
        <v>240</v>
      </c>
      <c r="C242" t="str">
        <f>[1]NhapHang!C242</f>
        <v>GC166</v>
      </c>
      <c r="D242" t="str">
        <f>[1]NhapHang!D242</f>
        <v>Trái tim có cánh chim</v>
      </c>
      <c r="E242">
        <f>[1]NhapHang!E242</f>
        <v>0</v>
      </c>
      <c r="F242">
        <f>[1]NhapHang!F242</f>
        <v>0</v>
      </c>
      <c r="G242">
        <f>[1]NhapHang!G242</f>
        <v>0</v>
      </c>
      <c r="H242">
        <f>[1]NhapHang!H242</f>
        <v>0</v>
      </c>
    </row>
    <row r="243" spans="1:8">
      <c r="A243">
        <f>[1]NhapHang!A243</f>
        <v>1</v>
      </c>
      <c r="B243">
        <f>[1]NhapHang!B243</f>
        <v>241</v>
      </c>
      <c r="C243" t="str">
        <f>[1]NhapHang!C243</f>
        <v>GC167</v>
      </c>
      <c r="D243" t="str">
        <f>[1]NhapHang!D243</f>
        <v>Cánh chim rỗng</v>
      </c>
      <c r="E243">
        <f>[1]NhapHang!E243</f>
        <v>80</v>
      </c>
      <c r="F243">
        <f>[1]NhapHang!F243</f>
        <v>0</v>
      </c>
      <c r="G243">
        <f>[1]NhapHang!G243</f>
        <v>0</v>
      </c>
      <c r="H243">
        <f>[1]NhapHang!H243</f>
        <v>0</v>
      </c>
    </row>
    <row r="244" spans="1:8">
      <c r="A244">
        <f>[1]NhapHang!A244</f>
        <v>1</v>
      </c>
      <c r="B244">
        <f>[1]NhapHang!B244</f>
        <v>242</v>
      </c>
      <c r="C244" t="str">
        <f>[1]NhapHang!C244</f>
        <v>GC168</v>
      </c>
      <c r="D244" t="str">
        <f>[1]NhapHang!D244</f>
        <v>Bàn tay Handmade</v>
      </c>
      <c r="E244">
        <f>[1]NhapHang!E244</f>
        <v>31</v>
      </c>
      <c r="F244">
        <f>[1]NhapHang!F244</f>
        <v>0</v>
      </c>
      <c r="G244">
        <f>[1]NhapHang!G244</f>
        <v>0</v>
      </c>
      <c r="H244">
        <f>[1]NhapHang!H244</f>
        <v>0</v>
      </c>
    </row>
    <row r="245" spans="1:8" ht="25.5">
      <c r="A245">
        <f>[1]NhapHang!A245</f>
        <v>1</v>
      </c>
      <c r="B245">
        <f>[1]NhapHang!B245</f>
        <v>243</v>
      </c>
      <c r="C245" t="str">
        <f>[1]NhapHang!C245</f>
        <v>GC169</v>
      </c>
      <c r="D245" t="str">
        <f>[1]NhapHang!D245</f>
        <v>Hộp nhẫn kim cương</v>
      </c>
      <c r="E245">
        <f>[1]NhapHang!E245</f>
        <v>99</v>
      </c>
      <c r="F245">
        <f>[1]NhapHang!F245</f>
        <v>0</v>
      </c>
      <c r="G245">
        <f>[1]NhapHang!G245</f>
        <v>0</v>
      </c>
      <c r="H245">
        <f>[1]NhapHang!H245</f>
        <v>0</v>
      </c>
    </row>
    <row r="246" spans="1:8">
      <c r="A246">
        <f>[1]NhapHang!A246</f>
        <v>1</v>
      </c>
      <c r="B246">
        <f>[1]NhapHang!B246</f>
        <v>244</v>
      </c>
      <c r="C246" t="str">
        <f>[1]NhapHang!C246</f>
        <v>GC170</v>
      </c>
      <c r="D246" t="str">
        <f>[1]NhapHang!D246</f>
        <v>Thuyền buồm</v>
      </c>
      <c r="E246">
        <f>[1]NhapHang!E246</f>
        <v>40</v>
      </c>
      <c r="F246">
        <f>[1]NhapHang!F246</f>
        <v>0</v>
      </c>
      <c r="G246">
        <f>[1]NhapHang!G246</f>
        <v>0</v>
      </c>
      <c r="H246">
        <f>[1]NhapHang!H246</f>
        <v>0</v>
      </c>
    </row>
    <row r="247" spans="1:8">
      <c r="A247">
        <f>[1]NhapHang!A247</f>
        <v>1</v>
      </c>
      <c r="B247">
        <f>[1]NhapHang!B247</f>
        <v>245</v>
      </c>
      <c r="C247" t="str">
        <f>[1]NhapHang!C247</f>
        <v>GC171</v>
      </c>
      <c r="D247" t="str">
        <f>[1]NhapHang!D247</f>
        <v>Súng</v>
      </c>
      <c r="E247">
        <f>[1]NhapHang!E247</f>
        <v>45</v>
      </c>
      <c r="F247">
        <f>[1]NhapHang!F247</f>
        <v>0</v>
      </c>
      <c r="G247">
        <f>[1]NhapHang!G247</f>
        <v>0</v>
      </c>
      <c r="H247">
        <f>[1]NhapHang!H247</f>
        <v>0</v>
      </c>
    </row>
    <row r="248" spans="1:8">
      <c r="A248">
        <f>[1]NhapHang!A248</f>
        <v>1</v>
      </c>
      <c r="B248">
        <f>[1]NhapHang!B248</f>
        <v>246</v>
      </c>
      <c r="C248" t="str">
        <f>[1]NhapHang!C248</f>
        <v>GC172</v>
      </c>
      <c r="D248" t="str">
        <f>[1]NhapHang!D248</f>
        <v>Tháp Effeil Trăng</v>
      </c>
      <c r="E248">
        <f>[1]NhapHang!E248</f>
        <v>39</v>
      </c>
      <c r="F248">
        <f>[1]NhapHang!F248</f>
        <v>0</v>
      </c>
      <c r="G248">
        <f>[1]NhapHang!G248</f>
        <v>0</v>
      </c>
      <c r="H248">
        <f>[1]NhapHang!H248</f>
        <v>0</v>
      </c>
    </row>
    <row r="249" spans="1:8">
      <c r="A249">
        <f>[1]NhapHang!A249</f>
        <v>1</v>
      </c>
      <c r="B249">
        <f>[1]NhapHang!B249</f>
        <v>247</v>
      </c>
      <c r="C249" t="str">
        <f>[1]NhapHang!C249</f>
        <v>GC173</v>
      </c>
      <c r="D249" t="str">
        <f>[1]NhapHang!D249</f>
        <v>Nốt nhạc</v>
      </c>
      <c r="E249">
        <f>[1]NhapHang!E249</f>
        <v>41</v>
      </c>
      <c r="F249">
        <f>[1]NhapHang!F249</f>
        <v>0</v>
      </c>
      <c r="G249">
        <f>[1]NhapHang!G249</f>
        <v>0</v>
      </c>
      <c r="H249">
        <f>[1]NhapHang!H249</f>
        <v>0</v>
      </c>
    </row>
    <row r="250" spans="1:8">
      <c r="A250">
        <f>[1]NhapHang!A250</f>
        <v>1</v>
      </c>
      <c r="B250">
        <f>[1]NhapHang!B250</f>
        <v>248</v>
      </c>
      <c r="C250" t="str">
        <f>[1]NhapHang!C250</f>
        <v>GC174</v>
      </c>
      <c r="D250" t="str">
        <f>[1]NhapHang!D250</f>
        <v>Bông tuyết mới</v>
      </c>
      <c r="E250">
        <f>[1]NhapHang!E250</f>
        <v>77</v>
      </c>
      <c r="F250">
        <f>[1]NhapHang!F250</f>
        <v>0</v>
      </c>
      <c r="G250">
        <f>[1]NhapHang!G250</f>
        <v>0</v>
      </c>
      <c r="H250">
        <f>[1]NhapHang!H250</f>
        <v>0</v>
      </c>
    </row>
    <row r="251" spans="1:8">
      <c r="A251">
        <f>[1]NhapHang!A251</f>
        <v>1</v>
      </c>
      <c r="B251">
        <f>[1]NhapHang!B251</f>
        <v>249</v>
      </c>
      <c r="C251" t="str">
        <f>[1]NhapHang!C251</f>
        <v>CT01</v>
      </c>
      <c r="D251" t="str">
        <f>[1]NhapHang!D251</f>
        <v>Chỉ DC</v>
      </c>
      <c r="E251">
        <f>[1]NhapHang!E251</f>
        <v>9</v>
      </c>
      <c r="F251">
        <f>[1]NhapHang!F251</f>
        <v>0</v>
      </c>
      <c r="G251">
        <f>[1]NhapHang!G251</f>
        <v>0</v>
      </c>
      <c r="H251">
        <f>[1]NhapHang!H251</f>
        <v>0</v>
      </c>
    </row>
    <row r="252" spans="1:8">
      <c r="A252">
        <f>[1]NhapHang!A252</f>
        <v>1</v>
      </c>
      <c r="B252">
        <f>[1]NhapHang!B252</f>
        <v>250</v>
      </c>
      <c r="C252" t="str">
        <f>[1]NhapHang!C252</f>
        <v>VN01</v>
      </c>
      <c r="D252" t="str">
        <f>[1]NhapHang!D252</f>
        <v>Vải mét</v>
      </c>
      <c r="E252" t="str">
        <f>[1]NhapHang!E252</f>
        <v>N/A</v>
      </c>
      <c r="F252">
        <f>[1]NhapHang!F252</f>
        <v>0</v>
      </c>
      <c r="G252">
        <f>[1]NhapHang!G252</f>
        <v>0</v>
      </c>
      <c r="H252">
        <f>[1]NhapHang!H252</f>
        <v>0</v>
      </c>
    </row>
    <row r="253" spans="1:8" ht="25.5">
      <c r="A253">
        <f>[1]NhapHang!A253</f>
        <v>1</v>
      </c>
      <c r="B253">
        <f>[1]NhapHang!B253</f>
        <v>251</v>
      </c>
      <c r="C253" t="str">
        <f>[1]NhapHang!C253</f>
        <v>VN02</v>
      </c>
      <c r="D253" t="str">
        <f>[1]NhapHang!D253</f>
        <v>Vải nỉ làm gối 1.6 x 0.5m</v>
      </c>
      <c r="E253" t="str">
        <f>[1]NhapHang!E253</f>
        <v>N/A</v>
      </c>
      <c r="F253">
        <f>[1]NhapHang!F253</f>
        <v>0</v>
      </c>
      <c r="G253">
        <f>[1]NhapHang!G253</f>
        <v>0</v>
      </c>
      <c r="H253">
        <f>[1]NhapHang!H253</f>
        <v>0</v>
      </c>
    </row>
    <row r="254" spans="1:8" ht="25.5">
      <c r="A254">
        <f>[1]NhapHang!A254</f>
        <v>1</v>
      </c>
      <c r="B254">
        <f>[1]NhapHang!B254</f>
        <v>252</v>
      </c>
      <c r="C254" t="str">
        <f>[1]NhapHang!C254</f>
        <v>VN03</v>
      </c>
      <c r="D254" t="str">
        <f>[1]NhapHang!D254</f>
        <v>Vải nỉ làm gối 1.6 x 1m</v>
      </c>
      <c r="E254" t="str">
        <f>[1]NhapHang!E254</f>
        <v>N/A</v>
      </c>
      <c r="F254">
        <f>[1]NhapHang!F254</f>
        <v>0</v>
      </c>
      <c r="G254">
        <f>[1]NhapHang!G254</f>
        <v>0</v>
      </c>
      <c r="H254">
        <f>[1]NhapHang!H254</f>
        <v>0</v>
      </c>
    </row>
    <row r="255" spans="1:8">
      <c r="A255">
        <f>[1]NhapHang!A255</f>
        <v>1</v>
      </c>
      <c r="B255">
        <f>[1]NhapHang!B255</f>
        <v>253</v>
      </c>
      <c r="C255" t="str">
        <f>[1]NhapHang!C255</f>
        <v>VN04</v>
      </c>
      <c r="D255" t="str">
        <f>[1]NhapHang!D255</f>
        <v>Vải 40x40</v>
      </c>
      <c r="E255" t="str">
        <f>[1]NhapHang!E255</f>
        <v>N/A</v>
      </c>
      <c r="F255">
        <f>[1]NhapHang!F255</f>
        <v>0</v>
      </c>
      <c r="G255">
        <f>[1]NhapHang!G255</f>
        <v>0</v>
      </c>
      <c r="H255">
        <f>[1]NhapHang!H255</f>
        <v>0</v>
      </c>
    </row>
    <row r="256" spans="1:8">
      <c r="A256">
        <f>[1]NhapHang!A256</f>
        <v>1</v>
      </c>
      <c r="B256">
        <f>[1]NhapHang!B256</f>
        <v>254</v>
      </c>
      <c r="C256" t="str">
        <f>[1]NhapHang!C256</f>
        <v>VN05</v>
      </c>
      <c r="D256" t="str">
        <f>[1]NhapHang!D256</f>
        <v>Vải vụn 1 LẠNG</v>
      </c>
      <c r="E256" t="str">
        <f>[1]NhapHang!E256</f>
        <v>N/A</v>
      </c>
      <c r="F256">
        <f>[1]NhapHang!F256</f>
        <v>0</v>
      </c>
      <c r="G256">
        <f>[1]NhapHang!G256</f>
        <v>0</v>
      </c>
      <c r="H256">
        <f>[1]NhapHang!H256</f>
        <v>0</v>
      </c>
    </row>
    <row r="257" spans="1:8">
      <c r="A257">
        <f>[1]NhapHang!A257</f>
        <v>1</v>
      </c>
      <c r="B257">
        <f>[1]NhapHang!B257</f>
        <v>255</v>
      </c>
      <c r="C257" t="str">
        <f>[1]NhapHang!C257</f>
        <v>VN06</v>
      </c>
      <c r="D257" t="str">
        <f>[1]NhapHang!D257</f>
        <v>Khóa trắng</v>
      </c>
      <c r="E257">
        <f>[1]NhapHang!E257</f>
        <v>6</v>
      </c>
      <c r="F257">
        <f>[1]NhapHang!F257</f>
        <v>0</v>
      </c>
      <c r="G257">
        <f>[1]NhapHang!G257</f>
        <v>0</v>
      </c>
      <c r="H257">
        <f>[1]NhapHang!H257</f>
        <v>0</v>
      </c>
    </row>
    <row r="258" spans="1:8">
      <c r="A258">
        <f>[1]NhapHang!A258</f>
        <v>1</v>
      </c>
      <c r="B258">
        <f>[1]NhapHang!B258</f>
        <v>256</v>
      </c>
      <c r="C258" t="str">
        <f>[1]NhapHang!C258</f>
        <v>VN07</v>
      </c>
      <c r="D258" t="str">
        <f>[1]NhapHang!D258</f>
        <v>Khóa 40cm nổi</v>
      </c>
      <c r="E258" t="str">
        <f>[1]NhapHang!E258</f>
        <v>N/A</v>
      </c>
      <c r="F258">
        <f>[1]NhapHang!F258</f>
        <v>0</v>
      </c>
      <c r="G258">
        <f>[1]NhapHang!G258</f>
        <v>0</v>
      </c>
      <c r="H258">
        <f>[1]NhapHang!H258</f>
        <v>0</v>
      </c>
    </row>
    <row r="259" spans="1:8">
      <c r="A259">
        <f>[1]NhapHang!A259</f>
        <v>1</v>
      </c>
      <c r="B259">
        <f>[1]NhapHang!B259</f>
        <v>257</v>
      </c>
      <c r="C259" t="str">
        <f>[1]NhapHang!C259</f>
        <v>VN08</v>
      </c>
      <c r="D259" t="str">
        <f>[1]NhapHang!D259</f>
        <v>Khóa màu</v>
      </c>
      <c r="E259">
        <f>[1]NhapHang!E259</f>
        <v>25</v>
      </c>
      <c r="F259">
        <f>[1]NhapHang!F259</f>
        <v>0</v>
      </c>
      <c r="G259">
        <f>[1]NhapHang!G259</f>
        <v>0</v>
      </c>
      <c r="H259">
        <f>[1]NhapHang!H259</f>
        <v>0</v>
      </c>
    </row>
    <row r="260" spans="1:8" ht="25.5">
      <c r="A260">
        <f>[1]NhapHang!A260</f>
        <v>1</v>
      </c>
      <c r="B260">
        <f>[1]NhapHang!B260</f>
        <v>258</v>
      </c>
      <c r="C260" t="str">
        <f>[1]NhapHang!C260</f>
        <v>VN09</v>
      </c>
      <c r="D260" t="str">
        <f>[1]NhapHang!D260</f>
        <v>Khóa 25cm chìm trắng</v>
      </c>
      <c r="E260" t="str">
        <f>[1]NhapHang!E260</f>
        <v>N/A</v>
      </c>
      <c r="F260">
        <f>[1]NhapHang!F260</f>
        <v>0</v>
      </c>
      <c r="G260">
        <f>[1]NhapHang!G260</f>
        <v>0</v>
      </c>
      <c r="H260">
        <f>[1]NhapHang!H260</f>
        <v>0</v>
      </c>
    </row>
    <row r="261" spans="1:8" ht="25.5">
      <c r="A261">
        <f>[1]NhapHang!A261</f>
        <v>1</v>
      </c>
      <c r="B261">
        <f>[1]NhapHang!B261</f>
        <v>259</v>
      </c>
      <c r="C261" t="str">
        <f>[1]NhapHang!C261</f>
        <v>VN10</v>
      </c>
      <c r="D261" t="str">
        <f>[1]NhapHang!D261</f>
        <v>Khóa 25cm chìm màu</v>
      </c>
      <c r="E261">
        <f>[1]NhapHang!E261</f>
        <v>1</v>
      </c>
      <c r="F261">
        <f>[1]NhapHang!F261</f>
        <v>0</v>
      </c>
      <c r="G261">
        <f>[1]NhapHang!G261</f>
        <v>0</v>
      </c>
      <c r="H261">
        <f>[1]NhapHang!H261</f>
        <v>0</v>
      </c>
    </row>
    <row r="262" spans="1:8">
      <c r="A262">
        <f>[1]NhapHang!A262</f>
        <v>1</v>
      </c>
      <c r="B262">
        <f>[1]NhapHang!B262</f>
        <v>260</v>
      </c>
      <c r="C262" t="str">
        <f>[1]NhapHang!C262</f>
        <v>VN11</v>
      </c>
      <c r="D262" t="str">
        <f>[1]NhapHang!D262</f>
        <v>Chun 1m</v>
      </c>
      <c r="E262" t="str">
        <f>[1]NhapHang!E262</f>
        <v>N/A</v>
      </c>
      <c r="F262">
        <f>[1]NhapHang!F262</f>
        <v>0</v>
      </c>
      <c r="G262">
        <f>[1]NhapHang!G262</f>
        <v>0</v>
      </c>
      <c r="H262">
        <f>[1]NhapHang!H262</f>
        <v>0</v>
      </c>
    </row>
    <row r="263" spans="1:8">
      <c r="A263">
        <f>[1]NhapHang!A263</f>
        <v>1</v>
      </c>
      <c r="B263">
        <f>[1]NhapHang!B263</f>
        <v>261</v>
      </c>
      <c r="C263" t="str">
        <f>[1]NhapHang!C263</f>
        <v>VN12</v>
      </c>
      <c r="D263" t="str">
        <f>[1]NhapHang!D263</f>
        <v>Vải lót 1m</v>
      </c>
      <c r="E263">
        <f>[1]NhapHang!E263</f>
        <v>7</v>
      </c>
      <c r="F263">
        <f>[1]NhapHang!F263</f>
        <v>0</v>
      </c>
      <c r="G263">
        <f>[1]NhapHang!G263</f>
        <v>0</v>
      </c>
      <c r="H263">
        <f>[1]NhapHang!H263</f>
        <v>0</v>
      </c>
    </row>
    <row r="264" spans="1:8">
      <c r="A264">
        <f>[1]NhapHang!A264</f>
        <v>1</v>
      </c>
      <c r="B264">
        <f>[1]NhapHang!B264</f>
        <v>262</v>
      </c>
      <c r="C264" t="str">
        <f>[1]NhapHang!C264</f>
        <v>VN13</v>
      </c>
      <c r="D264" t="str">
        <f>[1]NhapHang!D264</f>
        <v>Vải lót 0.5m</v>
      </c>
      <c r="E264" t="str">
        <f>[1]NhapHang!E264</f>
        <v>N/A</v>
      </c>
      <c r="F264">
        <f>[1]NhapHang!F264</f>
        <v>0</v>
      </c>
      <c r="G264">
        <f>[1]NhapHang!G264</f>
        <v>0</v>
      </c>
      <c r="H264">
        <f>[1]NhapHang!H264</f>
        <v>0</v>
      </c>
    </row>
    <row r="265" spans="1:8">
      <c r="A265">
        <f>[1]NhapHang!A265</f>
        <v>1</v>
      </c>
      <c r="B265">
        <f>[1]NhapHang!B265</f>
        <v>263</v>
      </c>
      <c r="C265" t="str">
        <f>[1]NhapHang!C265</f>
        <v>CB01</v>
      </c>
      <c r="D265" t="str">
        <f>[1]NhapHang!D265</f>
        <v>20' basic</v>
      </c>
      <c r="E265" t="str">
        <f>[1]NhapHang!E265</f>
        <v>N/A</v>
      </c>
      <c r="F265">
        <f>[1]NhapHang!F265</f>
        <v>0</v>
      </c>
      <c r="G265">
        <f>[1]NhapHang!G265</f>
        <v>0</v>
      </c>
      <c r="H265">
        <f>[1]NhapHang!H265</f>
        <v>0</v>
      </c>
    </row>
    <row r="266" spans="1:8">
      <c r="A266">
        <f>[1]NhapHang!A266</f>
        <v>1</v>
      </c>
      <c r="B266">
        <f>[1]NhapHang!B266</f>
        <v>264</v>
      </c>
      <c r="C266" t="str">
        <f>[1]NhapHang!C266</f>
        <v>CB02</v>
      </c>
      <c r="D266" t="str">
        <f>[1]NhapHang!D266</f>
        <v>20' advanced</v>
      </c>
      <c r="E266" t="str">
        <f>[1]NhapHang!E266</f>
        <v>N/A</v>
      </c>
      <c r="F266">
        <f>[1]NhapHang!F266</f>
        <v>0</v>
      </c>
      <c r="G266">
        <f>[1]NhapHang!G266</f>
        <v>0</v>
      </c>
      <c r="H266">
        <f>[1]NhapHang!H266</f>
        <v>0</v>
      </c>
    </row>
    <row r="267" spans="1:8">
      <c r="A267">
        <f>[1]NhapHang!A267</f>
        <v>1</v>
      </c>
      <c r="B267">
        <f>[1]NhapHang!B267</f>
        <v>265</v>
      </c>
      <c r="C267" t="str">
        <f>[1]NhapHang!C267</f>
        <v>CB03</v>
      </c>
      <c r="D267" t="str">
        <f>[1]NhapHang!D267</f>
        <v>3D basic</v>
      </c>
      <c r="E267" t="str">
        <f>[1]NhapHang!E267</f>
        <v>N/A</v>
      </c>
      <c r="F267">
        <f>[1]NhapHang!F267</f>
        <v>0</v>
      </c>
      <c r="G267">
        <f>[1]NhapHang!G267</f>
        <v>0</v>
      </c>
      <c r="H267">
        <f>[1]NhapHang!H267</f>
        <v>0</v>
      </c>
    </row>
    <row r="268" spans="1:8">
      <c r="A268">
        <f>[1]NhapHang!A268</f>
        <v>1</v>
      </c>
      <c r="B268">
        <f>[1]NhapHang!B268</f>
        <v>266</v>
      </c>
      <c r="C268" t="str">
        <f>[1]NhapHang!C268</f>
        <v>CB04</v>
      </c>
      <c r="D268" t="str">
        <f>[1]NhapHang!D268</f>
        <v>3D advanced</v>
      </c>
      <c r="E268" t="str">
        <f>[1]NhapHang!E268</f>
        <v>N/A</v>
      </c>
      <c r="F268">
        <f>[1]NhapHang!F268</f>
        <v>0</v>
      </c>
      <c r="G268">
        <f>[1]NhapHang!G268</f>
        <v>0</v>
      </c>
      <c r="H268">
        <f>[1]NhapHang!H268</f>
        <v>0</v>
      </c>
    </row>
    <row r="269" spans="1:8">
      <c r="A269">
        <f>[1]NhapHang!A269</f>
        <v>1</v>
      </c>
      <c r="B269">
        <f>[1]NhapHang!B269</f>
        <v>267</v>
      </c>
      <c r="C269" t="str">
        <f>[1]NhapHang!C269</f>
        <v>CB05</v>
      </c>
      <c r="D269" t="str">
        <f>[1]NhapHang!D269</f>
        <v>Vải dạ nỉ basic</v>
      </c>
      <c r="E269" t="str">
        <f>[1]NhapHang!E269</f>
        <v>N/A</v>
      </c>
      <c r="F269">
        <f>[1]NhapHang!F269</f>
        <v>0</v>
      </c>
      <c r="G269">
        <f>[1]NhapHang!G269</f>
        <v>0</v>
      </c>
      <c r="H269">
        <f>[1]NhapHang!H269</f>
        <v>0</v>
      </c>
    </row>
    <row r="270" spans="1:8">
      <c r="A270">
        <f>[1]NhapHang!A270</f>
        <v>1</v>
      </c>
      <c r="B270">
        <f>[1]NhapHang!B270</f>
        <v>268</v>
      </c>
      <c r="C270" t="str">
        <f>[1]NhapHang!C270</f>
        <v>CB06</v>
      </c>
      <c r="D270" t="str">
        <f>[1]NhapHang!D270</f>
        <v>Vải dạ nỉ plus</v>
      </c>
      <c r="E270" t="str">
        <f>[1]NhapHang!E270</f>
        <v>N/A</v>
      </c>
      <c r="F270">
        <f>[1]NhapHang!F270</f>
        <v>0</v>
      </c>
      <c r="G270">
        <f>[1]NhapHang!G270</f>
        <v>0</v>
      </c>
      <c r="H270">
        <f>[1]NhapHang!H270</f>
        <v>0</v>
      </c>
    </row>
    <row r="271" spans="1:8">
      <c r="A271">
        <f>[1]NhapHang!A271</f>
        <v>1</v>
      </c>
      <c r="B271">
        <f>[1]NhapHang!B271</f>
        <v>269</v>
      </c>
      <c r="C271" t="str">
        <f>[1]NhapHang!C271</f>
        <v>CB07</v>
      </c>
      <c r="D271" t="str">
        <f>[1]NhapHang!D271</f>
        <v>Vải dạ nỉ advanced</v>
      </c>
      <c r="E271" t="str">
        <f>[1]NhapHang!E271</f>
        <v>N/A</v>
      </c>
      <c r="F271">
        <f>[1]NhapHang!F271</f>
        <v>0</v>
      </c>
      <c r="G271">
        <f>[1]NhapHang!G271</f>
        <v>0</v>
      </c>
      <c r="H271">
        <f>[1]NhapHang!H271</f>
        <v>0</v>
      </c>
    </row>
    <row r="272" spans="1:8">
      <c r="A272">
        <f>[1]NhapHang!A272</f>
        <v>1</v>
      </c>
      <c r="B272">
        <f>[1]NhapHang!B272</f>
        <v>270</v>
      </c>
      <c r="C272" t="str">
        <f>[1]NhapHang!C272</f>
        <v>CB08</v>
      </c>
      <c r="D272" t="str">
        <f>[1]NhapHang!D272</f>
        <v>Vải nỉ HQ basic</v>
      </c>
      <c r="E272" t="str">
        <f>[1]NhapHang!E272</f>
        <v>N/A</v>
      </c>
      <c r="F272">
        <f>[1]NhapHang!F272</f>
        <v>0</v>
      </c>
      <c r="G272">
        <f>[1]NhapHang!G272</f>
        <v>0</v>
      </c>
      <c r="H272">
        <f>[1]NhapHang!H272</f>
        <v>0</v>
      </c>
    </row>
    <row r="273" spans="1:8">
      <c r="A273">
        <f>[1]NhapHang!A273</f>
        <v>1</v>
      </c>
      <c r="B273">
        <f>[1]NhapHang!B273</f>
        <v>271</v>
      </c>
      <c r="C273" t="str">
        <f>[1]NhapHang!C273</f>
        <v>CB09</v>
      </c>
      <c r="D273" t="str">
        <f>[1]NhapHang!D273</f>
        <v>Vải nỉ HQ advanced</v>
      </c>
      <c r="E273" t="str">
        <f>[1]NhapHang!E273</f>
        <v>N/A</v>
      </c>
      <c r="F273">
        <f>[1]NhapHang!F273</f>
        <v>0</v>
      </c>
      <c r="G273">
        <f>[1]NhapHang!G273</f>
        <v>0</v>
      </c>
      <c r="H273">
        <f>[1]NhapHang!H273</f>
        <v>0</v>
      </c>
    </row>
    <row r="274" spans="1:8" ht="25.5">
      <c r="A274">
        <f>[1]NhapHang!A274</f>
        <v>1</v>
      </c>
      <c r="B274">
        <f>[1]NhapHang!B274</f>
        <v>272</v>
      </c>
      <c r="C274" t="str">
        <f>[1]NhapHang!C274</f>
        <v>CB10</v>
      </c>
      <c r="D274" t="str">
        <f>[1]NhapHang!D274</f>
        <v>Mặt giả cổ hoàng đạo</v>
      </c>
      <c r="E274" t="str">
        <f>[1]NhapHang!E274</f>
        <v>N/A</v>
      </c>
      <c r="F274">
        <f>[1]NhapHang!F274</f>
        <v>0</v>
      </c>
      <c r="G274">
        <f>[1]NhapHang!G274</f>
        <v>0</v>
      </c>
      <c r="H274">
        <f>[1]NhapHang!H274</f>
        <v>0</v>
      </c>
    </row>
    <row r="275" spans="1:8">
      <c r="A275">
        <f>[1]NhapHang!A275</f>
        <v>1</v>
      </c>
      <c r="B275">
        <f>[1]NhapHang!B275</f>
        <v>273</v>
      </c>
      <c r="C275" t="str">
        <f>[1]NhapHang!C275</f>
        <v>CB11</v>
      </c>
      <c r="D275" t="str">
        <f>[1]NhapHang!D275</f>
        <v>Mặt giả cổ chữ</v>
      </c>
      <c r="E275" t="str">
        <f>[1]NhapHang!E275</f>
        <v>N/A</v>
      </c>
      <c r="F275">
        <f>[1]NhapHang!F275</f>
        <v>0</v>
      </c>
      <c r="G275">
        <f>[1]NhapHang!G275</f>
        <v>0</v>
      </c>
      <c r="H275">
        <f>[1]NhapHang!H275</f>
        <v>0</v>
      </c>
    </row>
    <row r="276" spans="1:8">
      <c r="A276">
        <f>[1]NhapHang!A276</f>
        <v>1</v>
      </c>
      <c r="B276">
        <f>[1]NhapHang!B276</f>
        <v>274</v>
      </c>
      <c r="C276" t="str">
        <f>[1]NhapHang!C276</f>
        <v>CB12</v>
      </c>
      <c r="D276" t="str">
        <f>[1]NhapHang!D276</f>
        <v>Mặt giả cổ số</v>
      </c>
      <c r="E276" t="str">
        <f>[1]NhapHang!E276</f>
        <v>N/A</v>
      </c>
      <c r="F276">
        <f>[1]NhapHang!F276</f>
        <v>0</v>
      </c>
      <c r="G276">
        <f>[1]NhapHang!G276</f>
        <v>0</v>
      </c>
      <c r="H276">
        <f>[1]NhapHang!H276</f>
        <v>0</v>
      </c>
    </row>
    <row r="277" spans="1:8">
      <c r="A277">
        <f>[1]NhapHang!A277</f>
        <v>1</v>
      </c>
      <c r="B277">
        <f>[1]NhapHang!B277</f>
        <v>275</v>
      </c>
      <c r="C277" t="str">
        <f>[1]NhapHang!C277</f>
        <v>TR01</v>
      </c>
      <c r="D277" t="str">
        <f>[1]NhapHang!D277</f>
        <v>Tranh tô màu cỡ đại</v>
      </c>
      <c r="E277">
        <f>[1]NhapHang!E277</f>
        <v>6</v>
      </c>
      <c r="F277">
        <f>[1]NhapHang!F277</f>
        <v>0</v>
      </c>
      <c r="G277">
        <f>[1]NhapHang!G277</f>
        <v>0</v>
      </c>
      <c r="H277">
        <f>[1]NhapHang!H277</f>
        <v>0</v>
      </c>
    </row>
    <row r="278" spans="1:8" ht="25.5">
      <c r="A278">
        <f>[1]NhapHang!A278</f>
        <v>1</v>
      </c>
      <c r="B278">
        <f>[1]NhapHang!B278</f>
        <v>276</v>
      </c>
      <c r="C278" t="str">
        <f>[1]NhapHang!C278</f>
        <v>TR02</v>
      </c>
      <c r="D278" t="str">
        <f>[1]NhapHang!D278</f>
        <v>Tranh tô màu cỡ nhỏ</v>
      </c>
      <c r="E278">
        <f>[1]NhapHang!E278</f>
        <v>3</v>
      </c>
      <c r="F278">
        <f>[1]NhapHang!F278</f>
        <v>0</v>
      </c>
      <c r="G278">
        <f>[1]NhapHang!G278</f>
        <v>0</v>
      </c>
      <c r="H278">
        <f>[1]NhapHang!H278</f>
        <v>0</v>
      </c>
    </row>
    <row r="279" spans="1:8">
      <c r="A279">
        <f>[1]NhapHang!A279</f>
        <v>0</v>
      </c>
      <c r="B279">
        <f>[1]NhapHang!B279</f>
        <v>0</v>
      </c>
      <c r="C279">
        <f>[1]NhapHang!C279</f>
        <v>0</v>
      </c>
      <c r="D279">
        <f>[1]NhapHang!D279</f>
        <v>0</v>
      </c>
      <c r="E279">
        <f>[1]NhapHang!E279</f>
        <v>0</v>
      </c>
      <c r="F279">
        <f>[1]NhapHang!F279</f>
        <v>0</v>
      </c>
      <c r="G279">
        <f>[1]NhapHang!G279</f>
        <v>0</v>
      </c>
      <c r="H279">
        <f>[1]NhapHang!H279</f>
        <v>0</v>
      </c>
    </row>
    <row r="280" spans="1:8">
      <c r="A280">
        <f>[1]NhapHang!A280</f>
        <v>0</v>
      </c>
      <c r="B280">
        <f>[1]NhapHang!B280</f>
        <v>0</v>
      </c>
      <c r="C280">
        <f>[1]NhapHang!C280</f>
        <v>0</v>
      </c>
      <c r="D280">
        <f>[1]NhapHang!D280</f>
        <v>0</v>
      </c>
      <c r="E280">
        <f>[1]NhapHang!E280</f>
        <v>0</v>
      </c>
      <c r="F280">
        <f>[1]NhapHang!F280</f>
        <v>0</v>
      </c>
      <c r="G280">
        <f>[1]NhapHang!G280</f>
        <v>0</v>
      </c>
      <c r="H280">
        <f>[1]NhapHang!H280</f>
        <v>0</v>
      </c>
    </row>
    <row r="281" spans="1:8">
      <c r="A281">
        <f>[1]NhapHang!A281</f>
        <v>0</v>
      </c>
      <c r="B281">
        <f>[1]NhapHang!B281</f>
        <v>0</v>
      </c>
      <c r="C281">
        <f>[1]NhapHang!C281</f>
        <v>0</v>
      </c>
      <c r="D281">
        <f>[1]NhapHang!D281</f>
        <v>0</v>
      </c>
      <c r="E281">
        <f>[1]NhapHang!E281</f>
        <v>0</v>
      </c>
      <c r="F281">
        <f>[1]NhapHang!F281</f>
        <v>0</v>
      </c>
      <c r="G281">
        <f>[1]NhapHang!G281</f>
        <v>0</v>
      </c>
      <c r="H281">
        <f>[1]NhapHang!H281</f>
        <v>0</v>
      </c>
    </row>
    <row r="282" spans="1:8">
      <c r="A282">
        <f>[1]NhapHang!A282</f>
        <v>0</v>
      </c>
      <c r="B282">
        <f>[1]NhapHang!B282</f>
        <v>0</v>
      </c>
      <c r="C282">
        <f>[1]NhapHang!C282</f>
        <v>0</v>
      </c>
      <c r="D282">
        <f>[1]NhapHang!D282</f>
        <v>0</v>
      </c>
      <c r="E282">
        <f>[1]NhapHang!E282</f>
        <v>0</v>
      </c>
      <c r="F282">
        <f>[1]NhapHang!F282</f>
        <v>0</v>
      </c>
      <c r="G282">
        <f>[1]NhapHang!G282</f>
        <v>0</v>
      </c>
      <c r="H282">
        <f>[1]NhapHang!H282</f>
        <v>0</v>
      </c>
    </row>
    <row r="283" spans="1:8">
      <c r="A283">
        <f>[1]NhapHang!A283</f>
        <v>0</v>
      </c>
      <c r="B283">
        <f>[1]NhapHang!B283</f>
        <v>0</v>
      </c>
      <c r="C283">
        <f>[1]NhapHang!C283</f>
        <v>0</v>
      </c>
      <c r="D283">
        <f>[1]NhapHang!D283</f>
        <v>0</v>
      </c>
      <c r="E283">
        <f>[1]NhapHang!E283</f>
        <v>0</v>
      </c>
      <c r="F283">
        <f>[1]NhapHang!F283</f>
        <v>0</v>
      </c>
      <c r="G283">
        <f>[1]NhapHang!G283</f>
        <v>0</v>
      </c>
      <c r="H283">
        <f>[1]NhapHang!H283</f>
        <v>0</v>
      </c>
    </row>
    <row r="284" spans="1:8">
      <c r="A284">
        <f>[1]NhapHang!A284</f>
        <v>0</v>
      </c>
      <c r="B284">
        <f>[1]NhapHang!B284</f>
        <v>0</v>
      </c>
      <c r="C284">
        <f>[1]NhapHang!C284</f>
        <v>0</v>
      </c>
      <c r="D284">
        <f>[1]NhapHang!D284</f>
        <v>0</v>
      </c>
      <c r="E284">
        <f>[1]NhapHang!E284</f>
        <v>0</v>
      </c>
      <c r="F284">
        <f>[1]NhapHang!F284</f>
        <v>0</v>
      </c>
      <c r="G284">
        <f>[1]NhapHang!G284</f>
        <v>0</v>
      </c>
      <c r="H284">
        <f>[1]NhapHang!H284</f>
        <v>0</v>
      </c>
    </row>
    <row r="285" spans="1:8">
      <c r="A285">
        <f>[1]NhapHang!A285</f>
        <v>0</v>
      </c>
      <c r="B285">
        <f>[1]NhapHang!B285</f>
        <v>0</v>
      </c>
      <c r="C285">
        <f>[1]NhapHang!C285</f>
        <v>0</v>
      </c>
      <c r="D285">
        <f>[1]NhapHang!D285</f>
        <v>0</v>
      </c>
      <c r="E285">
        <f>[1]NhapHang!E285</f>
        <v>0</v>
      </c>
      <c r="F285">
        <f>[1]NhapHang!F285</f>
        <v>0</v>
      </c>
      <c r="G285">
        <f>[1]NhapHang!G285</f>
        <v>0</v>
      </c>
      <c r="H285">
        <f>[1]NhapHang!H285</f>
        <v>0</v>
      </c>
    </row>
    <row r="286" spans="1:8">
      <c r="A286">
        <f>[1]NhapHang!A286</f>
        <v>0</v>
      </c>
      <c r="B286">
        <f>[1]NhapHang!B286</f>
        <v>0</v>
      </c>
      <c r="C286">
        <f>[1]NhapHang!C286</f>
        <v>0</v>
      </c>
      <c r="D286">
        <f>[1]NhapHang!D286</f>
        <v>0</v>
      </c>
      <c r="E286">
        <f>[1]NhapHang!E286</f>
        <v>0</v>
      </c>
      <c r="F286">
        <f>[1]NhapHang!F286</f>
        <v>0</v>
      </c>
      <c r="G286">
        <f>[1]NhapHang!G286</f>
        <v>0</v>
      </c>
      <c r="H286">
        <f>[1]NhapHang!H286</f>
        <v>0</v>
      </c>
    </row>
    <row r="287" spans="1:8">
      <c r="A287">
        <f>[1]NhapHang!A287</f>
        <v>0</v>
      </c>
      <c r="B287">
        <f>[1]NhapHang!B287</f>
        <v>0</v>
      </c>
      <c r="C287">
        <f>[1]NhapHang!C287</f>
        <v>0</v>
      </c>
      <c r="D287">
        <f>[1]NhapHang!D287</f>
        <v>0</v>
      </c>
      <c r="E287">
        <f>[1]NhapHang!E287</f>
        <v>0</v>
      </c>
      <c r="F287">
        <f>[1]NhapHang!F287</f>
        <v>0</v>
      </c>
      <c r="G287">
        <f>[1]NhapHang!G287</f>
        <v>0</v>
      </c>
      <c r="H287">
        <f>[1]NhapHang!H287</f>
        <v>0</v>
      </c>
    </row>
    <row r="288" spans="1:8">
      <c r="A288">
        <f>[1]NhapHang!A288</f>
        <v>0</v>
      </c>
      <c r="B288">
        <f>[1]NhapHang!B288</f>
        <v>0</v>
      </c>
      <c r="C288">
        <f>[1]NhapHang!C288</f>
        <v>0</v>
      </c>
      <c r="D288">
        <f>[1]NhapHang!D288</f>
        <v>0</v>
      </c>
      <c r="E288">
        <f>[1]NhapHang!E288</f>
        <v>0</v>
      </c>
      <c r="F288">
        <f>[1]NhapHang!F288</f>
        <v>0</v>
      </c>
      <c r="G288">
        <f>[1]NhapHang!G288</f>
        <v>0</v>
      </c>
      <c r="H288">
        <f>[1]NhapHang!H288</f>
        <v>0</v>
      </c>
    </row>
    <row r="289" spans="1:8">
      <c r="A289">
        <f>[1]NhapHang!A289</f>
        <v>0</v>
      </c>
      <c r="B289">
        <f>[1]NhapHang!B289</f>
        <v>0</v>
      </c>
      <c r="C289">
        <f>[1]NhapHang!C289</f>
        <v>0</v>
      </c>
      <c r="D289">
        <f>[1]NhapHang!D289</f>
        <v>0</v>
      </c>
      <c r="E289">
        <f>[1]NhapHang!E289</f>
        <v>0</v>
      </c>
      <c r="F289">
        <f>[1]NhapHang!F289</f>
        <v>0</v>
      </c>
      <c r="G289">
        <f>[1]NhapHang!G289</f>
        <v>0</v>
      </c>
      <c r="H289">
        <f>[1]NhapHang!H289</f>
        <v>0</v>
      </c>
    </row>
    <row r="290" spans="1:8">
      <c r="A290">
        <f>[1]NhapHang!A290</f>
        <v>0</v>
      </c>
      <c r="B290">
        <f>[1]NhapHang!B290</f>
        <v>0</v>
      </c>
      <c r="C290">
        <f>[1]NhapHang!C290</f>
        <v>0</v>
      </c>
      <c r="D290">
        <f>[1]NhapHang!D290</f>
        <v>0</v>
      </c>
      <c r="E290">
        <f>[1]NhapHang!E290</f>
        <v>0</v>
      </c>
      <c r="F290">
        <f>[1]NhapHang!F290</f>
        <v>0</v>
      </c>
      <c r="G290">
        <f>[1]NhapHang!G290</f>
        <v>0</v>
      </c>
      <c r="H290">
        <f>[1]NhapHang!H290</f>
        <v>0</v>
      </c>
    </row>
    <row r="291" spans="1:8">
      <c r="A291">
        <f>[1]NhapHang!A291</f>
        <v>0</v>
      </c>
      <c r="B291">
        <f>[1]NhapHang!B291</f>
        <v>0</v>
      </c>
      <c r="C291">
        <f>[1]NhapHang!C291</f>
        <v>0</v>
      </c>
      <c r="D291">
        <f>[1]NhapHang!D291</f>
        <v>0</v>
      </c>
      <c r="E291">
        <f>[1]NhapHang!E291</f>
        <v>0</v>
      </c>
      <c r="F291">
        <f>[1]NhapHang!F291</f>
        <v>0</v>
      </c>
      <c r="G291">
        <f>[1]NhapHang!G291</f>
        <v>0</v>
      </c>
      <c r="H291">
        <f>[1]NhapHang!H291</f>
        <v>0</v>
      </c>
    </row>
    <row r="292" spans="1:8">
      <c r="A292">
        <f>[1]NhapHang!A292</f>
        <v>0</v>
      </c>
      <c r="B292">
        <f>[1]NhapHang!B292</f>
        <v>0</v>
      </c>
      <c r="C292">
        <f>[1]NhapHang!C292</f>
        <v>0</v>
      </c>
      <c r="D292">
        <f>[1]NhapHang!D292</f>
        <v>0</v>
      </c>
      <c r="E292">
        <f>[1]NhapHang!E292</f>
        <v>0</v>
      </c>
      <c r="F292">
        <f>[1]NhapHang!F292</f>
        <v>0</v>
      </c>
      <c r="G292">
        <f>[1]NhapHang!G292</f>
        <v>0</v>
      </c>
      <c r="H292">
        <f>[1]NhapHang!H292</f>
        <v>0</v>
      </c>
    </row>
    <row r="293" spans="1:8">
      <c r="A293">
        <f>[1]NhapHang!A293</f>
        <v>0</v>
      </c>
      <c r="B293">
        <f>[1]NhapHang!B293</f>
        <v>0</v>
      </c>
      <c r="C293">
        <f>[1]NhapHang!C293</f>
        <v>0</v>
      </c>
      <c r="D293">
        <f>[1]NhapHang!D293</f>
        <v>0</v>
      </c>
      <c r="E293">
        <f>[1]NhapHang!E293</f>
        <v>0</v>
      </c>
      <c r="F293">
        <f>[1]NhapHang!F293</f>
        <v>0</v>
      </c>
      <c r="G293">
        <f>[1]NhapHang!G293</f>
        <v>0</v>
      </c>
      <c r="H293">
        <f>[1]NhapHang!H293</f>
        <v>0</v>
      </c>
    </row>
    <row r="294" spans="1:8">
      <c r="A294">
        <f>[1]NhapHang!A294</f>
        <v>0</v>
      </c>
      <c r="B294">
        <f>[1]NhapHang!B294</f>
        <v>0</v>
      </c>
      <c r="C294">
        <f>[1]NhapHang!C294</f>
        <v>0</v>
      </c>
      <c r="D294">
        <f>[1]NhapHang!D294</f>
        <v>0</v>
      </c>
      <c r="E294">
        <f>[1]NhapHang!E294</f>
        <v>0</v>
      </c>
      <c r="F294">
        <f>[1]NhapHang!F294</f>
        <v>0</v>
      </c>
      <c r="G294">
        <f>[1]NhapHang!G294</f>
        <v>0</v>
      </c>
      <c r="H294">
        <f>[1]NhapHang!H294</f>
        <v>0</v>
      </c>
    </row>
    <row r="295" spans="1:8">
      <c r="A295">
        <f>[1]NhapHang!A295</f>
        <v>0</v>
      </c>
      <c r="B295">
        <f>[1]NhapHang!B295</f>
        <v>0</v>
      </c>
      <c r="C295">
        <f>[1]NhapHang!C295</f>
        <v>0</v>
      </c>
      <c r="D295">
        <f>[1]NhapHang!D295</f>
        <v>0</v>
      </c>
      <c r="E295">
        <f>[1]NhapHang!E295</f>
        <v>0</v>
      </c>
      <c r="F295">
        <f>[1]NhapHang!F295</f>
        <v>0</v>
      </c>
      <c r="G295">
        <f>[1]NhapHang!G295</f>
        <v>0</v>
      </c>
      <c r="H295">
        <f>[1]NhapHang!H295</f>
        <v>0</v>
      </c>
    </row>
    <row r="296" spans="1:8">
      <c r="A296">
        <f>[1]NhapHang!A296</f>
        <v>0</v>
      </c>
      <c r="B296">
        <f>[1]NhapHang!B296</f>
        <v>0</v>
      </c>
      <c r="C296">
        <f>[1]NhapHang!C296</f>
        <v>0</v>
      </c>
      <c r="D296">
        <f>[1]NhapHang!D296</f>
        <v>0</v>
      </c>
      <c r="E296">
        <f>[1]NhapHang!E296</f>
        <v>0</v>
      </c>
      <c r="F296">
        <f>[1]NhapHang!F296</f>
        <v>0</v>
      </c>
      <c r="G296">
        <f>[1]NhapHang!G296</f>
        <v>0</v>
      </c>
      <c r="H296">
        <f>[1]NhapHang!H296</f>
        <v>0</v>
      </c>
    </row>
    <row r="297" spans="1:8">
      <c r="A297">
        <f>[1]NhapHang!A297</f>
        <v>0</v>
      </c>
      <c r="B297">
        <f>[1]NhapHang!B297</f>
        <v>0</v>
      </c>
      <c r="C297">
        <f>[1]NhapHang!C297</f>
        <v>0</v>
      </c>
      <c r="D297">
        <f>[1]NhapHang!D297</f>
        <v>0</v>
      </c>
      <c r="E297">
        <f>[1]NhapHang!E297</f>
        <v>0</v>
      </c>
      <c r="F297">
        <f>[1]NhapHang!F297</f>
        <v>0</v>
      </c>
      <c r="G297">
        <f>[1]NhapHang!G297</f>
        <v>0</v>
      </c>
      <c r="H297">
        <f>[1]NhapHang!H297</f>
        <v>0</v>
      </c>
    </row>
    <row r="298" spans="1:8">
      <c r="A298">
        <f>[1]NhapHang!A298</f>
        <v>0</v>
      </c>
      <c r="B298">
        <f>[1]NhapHang!B298</f>
        <v>0</v>
      </c>
      <c r="C298">
        <f>[1]NhapHang!C298</f>
        <v>0</v>
      </c>
      <c r="D298">
        <f>[1]NhapHang!D298</f>
        <v>0</v>
      </c>
      <c r="E298">
        <f>[1]NhapHang!E298</f>
        <v>0</v>
      </c>
      <c r="F298">
        <f>[1]NhapHang!F298</f>
        <v>0</v>
      </c>
      <c r="G298">
        <f>[1]NhapHang!G298</f>
        <v>0</v>
      </c>
      <c r="H298">
        <f>[1]NhapHang!H298</f>
        <v>0</v>
      </c>
    </row>
    <row r="299" spans="1:8">
      <c r="A299">
        <f>[1]NhapHang!A299</f>
        <v>0</v>
      </c>
      <c r="B299">
        <f>[1]NhapHang!B299</f>
        <v>0</v>
      </c>
      <c r="C299">
        <f>[1]NhapHang!C299</f>
        <v>0</v>
      </c>
      <c r="D299">
        <f>[1]NhapHang!D299</f>
        <v>0</v>
      </c>
      <c r="E299">
        <f>[1]NhapHang!E299</f>
        <v>0</v>
      </c>
      <c r="F299">
        <f>[1]NhapHang!F299</f>
        <v>0</v>
      </c>
      <c r="G299">
        <f>[1]NhapHang!G299</f>
        <v>0</v>
      </c>
      <c r="H299">
        <f>[1]NhapHang!H299</f>
        <v>0</v>
      </c>
    </row>
    <row r="300" spans="1:8">
      <c r="A300">
        <f>[1]NhapHang!A300</f>
        <v>0</v>
      </c>
      <c r="B300">
        <f>[1]NhapHang!B300</f>
        <v>0</v>
      </c>
      <c r="C300">
        <f>[1]NhapHang!C300</f>
        <v>0</v>
      </c>
      <c r="D300">
        <f>[1]NhapHang!D300</f>
        <v>0</v>
      </c>
      <c r="E300">
        <f>[1]NhapHang!E300</f>
        <v>0</v>
      </c>
      <c r="F300">
        <f>[1]NhapHang!F300</f>
        <v>0</v>
      </c>
      <c r="G300">
        <f>[1]NhapHang!G300</f>
        <v>0</v>
      </c>
      <c r="H300">
        <f>[1]NhapHang!H300</f>
        <v>0</v>
      </c>
    </row>
    <row r="301" spans="1:8">
      <c r="A301">
        <f>[1]NhapHang!A301</f>
        <v>0</v>
      </c>
      <c r="B301">
        <f>[1]NhapHang!B301</f>
        <v>0</v>
      </c>
      <c r="C301">
        <f>[1]NhapHang!C301</f>
        <v>0</v>
      </c>
      <c r="D301">
        <f>[1]NhapHang!D301</f>
        <v>0</v>
      </c>
      <c r="E301">
        <f>[1]NhapHang!E301</f>
        <v>0</v>
      </c>
      <c r="F301">
        <f>[1]NhapHang!F301</f>
        <v>0</v>
      </c>
      <c r="G301">
        <f>[1]NhapHang!G301</f>
        <v>0</v>
      </c>
      <c r="H301">
        <f>[1]NhapHang!H301</f>
        <v>0</v>
      </c>
    </row>
    <row r="302" spans="1:8">
      <c r="A302">
        <f>[1]NhapHang!A302</f>
        <v>0</v>
      </c>
      <c r="B302">
        <f>[1]NhapHang!B302</f>
        <v>0</v>
      </c>
      <c r="C302">
        <f>[1]NhapHang!C302</f>
        <v>0</v>
      </c>
      <c r="D302">
        <f>[1]NhapHang!D302</f>
        <v>0</v>
      </c>
      <c r="E302">
        <f>[1]NhapHang!E302</f>
        <v>0</v>
      </c>
      <c r="F302">
        <f>[1]NhapHang!F302</f>
        <v>0</v>
      </c>
      <c r="G302">
        <f>[1]NhapHang!G302</f>
        <v>0</v>
      </c>
      <c r="H302">
        <f>[1]NhapHang!H302</f>
        <v>0</v>
      </c>
    </row>
    <row r="303" spans="1:8">
      <c r="A303">
        <f>[1]NhapHang!A303</f>
        <v>0</v>
      </c>
      <c r="B303">
        <f>[1]NhapHang!B303</f>
        <v>0</v>
      </c>
      <c r="C303">
        <f>[1]NhapHang!C303</f>
        <v>0</v>
      </c>
      <c r="D303">
        <f>[1]NhapHang!D303</f>
        <v>0</v>
      </c>
      <c r="E303">
        <f>[1]NhapHang!E303</f>
        <v>0</v>
      </c>
      <c r="F303">
        <f>[1]NhapHang!F303</f>
        <v>0</v>
      </c>
      <c r="G303">
        <f>[1]NhapHang!G303</f>
        <v>0</v>
      </c>
      <c r="H303">
        <f>[1]NhapHang!H303</f>
        <v>0</v>
      </c>
    </row>
    <row r="304" spans="1:8">
      <c r="A304">
        <f>[1]NhapHang!A304</f>
        <v>0</v>
      </c>
      <c r="B304">
        <f>[1]NhapHang!B304</f>
        <v>0</v>
      </c>
      <c r="C304">
        <f>[1]NhapHang!C304</f>
        <v>0</v>
      </c>
      <c r="D304">
        <f>[1]NhapHang!D304</f>
        <v>0</v>
      </c>
      <c r="E304">
        <f>[1]NhapHang!E304</f>
        <v>0</v>
      </c>
      <c r="F304">
        <f>[1]NhapHang!F304</f>
        <v>0</v>
      </c>
      <c r="G304">
        <f>[1]NhapHang!G304</f>
        <v>0</v>
      </c>
      <c r="H304">
        <f>[1]NhapHang!H304</f>
        <v>0</v>
      </c>
    </row>
    <row r="305" spans="1:8">
      <c r="A305">
        <f>[1]NhapHang!A305</f>
        <v>0</v>
      </c>
      <c r="B305">
        <f>[1]NhapHang!B305</f>
        <v>0</v>
      </c>
      <c r="C305">
        <f>[1]NhapHang!C305</f>
        <v>0</v>
      </c>
      <c r="D305">
        <f>[1]NhapHang!D305</f>
        <v>0</v>
      </c>
      <c r="E305">
        <f>[1]NhapHang!E305</f>
        <v>0</v>
      </c>
      <c r="F305">
        <f>[1]NhapHang!F305</f>
        <v>0</v>
      </c>
      <c r="G305">
        <f>[1]NhapHang!G305</f>
        <v>0</v>
      </c>
      <c r="H305">
        <f>[1]NhapHang!H305</f>
        <v>0</v>
      </c>
    </row>
    <row r="306" spans="1:8">
      <c r="A306">
        <f>[1]NhapHang!A306</f>
        <v>0</v>
      </c>
      <c r="B306">
        <f>[1]NhapHang!B306</f>
        <v>0</v>
      </c>
      <c r="C306">
        <f>[1]NhapHang!C306</f>
        <v>0</v>
      </c>
      <c r="D306">
        <f>[1]NhapHang!D306</f>
        <v>0</v>
      </c>
      <c r="E306">
        <f>[1]NhapHang!E306</f>
        <v>0</v>
      </c>
      <c r="F306">
        <f>[1]NhapHang!F306</f>
        <v>0</v>
      </c>
      <c r="G306">
        <f>[1]NhapHang!G306</f>
        <v>0</v>
      </c>
      <c r="H306">
        <f>[1]NhapHang!H306</f>
        <v>0</v>
      </c>
    </row>
    <row r="307" spans="1:8">
      <c r="A307">
        <f>[1]NhapHang!A307</f>
        <v>0</v>
      </c>
      <c r="B307">
        <f>[1]NhapHang!B307</f>
        <v>0</v>
      </c>
      <c r="C307">
        <f>[1]NhapHang!C307</f>
        <v>0</v>
      </c>
      <c r="D307">
        <f>[1]NhapHang!D307</f>
        <v>0</v>
      </c>
      <c r="E307">
        <f>[1]NhapHang!E307</f>
        <v>0</v>
      </c>
      <c r="F307">
        <f>[1]NhapHang!F307</f>
        <v>0</v>
      </c>
      <c r="G307">
        <f>[1]NhapHang!G307</f>
        <v>0</v>
      </c>
      <c r="H307">
        <f>[1]NhapHang!H307</f>
        <v>0</v>
      </c>
    </row>
    <row r="308" spans="1:8">
      <c r="A308">
        <f>[1]NhapHang!A308</f>
        <v>0</v>
      </c>
      <c r="B308">
        <f>[1]NhapHang!B308</f>
        <v>0</v>
      </c>
      <c r="C308">
        <f>[1]NhapHang!C308</f>
        <v>0</v>
      </c>
      <c r="D308">
        <f>[1]NhapHang!D308</f>
        <v>0</v>
      </c>
      <c r="E308">
        <f>[1]NhapHang!E308</f>
        <v>0</v>
      </c>
      <c r="F308">
        <f>[1]NhapHang!F308</f>
        <v>0</v>
      </c>
      <c r="G308">
        <f>[1]NhapHang!G308</f>
        <v>0</v>
      </c>
      <c r="H308">
        <f>[1]NhapHang!H308</f>
        <v>0</v>
      </c>
    </row>
    <row r="309" spans="1:8">
      <c r="A309">
        <f>[1]NhapHang!A309</f>
        <v>0</v>
      </c>
      <c r="B309">
        <f>[1]NhapHang!B309</f>
        <v>0</v>
      </c>
      <c r="C309">
        <f>[1]NhapHang!C309</f>
        <v>0</v>
      </c>
      <c r="D309">
        <f>[1]NhapHang!D309</f>
        <v>0</v>
      </c>
      <c r="E309">
        <f>[1]NhapHang!E309</f>
        <v>0</v>
      </c>
      <c r="F309">
        <f>[1]NhapHang!F309</f>
        <v>0</v>
      </c>
      <c r="G309">
        <f>[1]NhapHang!G309</f>
        <v>0</v>
      </c>
      <c r="H309">
        <f>[1]NhapHang!H309</f>
        <v>0</v>
      </c>
    </row>
    <row r="310" spans="1:8">
      <c r="A310">
        <f>[1]NhapHang!A310</f>
        <v>0</v>
      </c>
      <c r="B310">
        <f>[1]NhapHang!B310</f>
        <v>0</v>
      </c>
      <c r="C310">
        <f>[1]NhapHang!C310</f>
        <v>0</v>
      </c>
      <c r="D310">
        <f>[1]NhapHang!D310</f>
        <v>0</v>
      </c>
      <c r="E310">
        <f>[1]NhapHang!E310</f>
        <v>0</v>
      </c>
      <c r="F310">
        <f>[1]NhapHang!F310</f>
        <v>0</v>
      </c>
      <c r="G310">
        <f>[1]NhapHang!G310</f>
        <v>0</v>
      </c>
      <c r="H310">
        <f>[1]NhapHang!H310</f>
        <v>0</v>
      </c>
    </row>
    <row r="311" spans="1:8">
      <c r="A311">
        <f>[1]NhapHang!A311</f>
        <v>0</v>
      </c>
      <c r="B311">
        <f>[1]NhapHang!B311</f>
        <v>0</v>
      </c>
      <c r="C311">
        <f>[1]NhapHang!C311</f>
        <v>0</v>
      </c>
      <c r="D311">
        <f>[1]NhapHang!D311</f>
        <v>0</v>
      </c>
      <c r="E311">
        <f>[1]NhapHang!E311</f>
        <v>0</v>
      </c>
      <c r="F311">
        <f>[1]NhapHang!F311</f>
        <v>0</v>
      </c>
      <c r="G311">
        <f>[1]NhapHang!G311</f>
        <v>0</v>
      </c>
      <c r="H311">
        <f>[1]NhapHang!H311</f>
        <v>0</v>
      </c>
    </row>
    <row r="312" spans="1:8">
      <c r="A312">
        <f>[1]NhapHang!A312</f>
        <v>0</v>
      </c>
      <c r="B312">
        <f>[1]NhapHang!B312</f>
        <v>0</v>
      </c>
      <c r="C312">
        <f>[1]NhapHang!C312</f>
        <v>0</v>
      </c>
      <c r="D312">
        <f>[1]NhapHang!D312</f>
        <v>0</v>
      </c>
      <c r="E312">
        <f>[1]NhapHang!E312</f>
        <v>0</v>
      </c>
      <c r="F312">
        <f>[1]NhapHang!F312</f>
        <v>0</v>
      </c>
      <c r="G312">
        <f>[1]NhapHang!G312</f>
        <v>0</v>
      </c>
      <c r="H312">
        <f>[1]NhapHang!H312</f>
        <v>0</v>
      </c>
    </row>
    <row r="313" spans="1:8">
      <c r="A313">
        <f>[1]NhapHang!A313</f>
        <v>0</v>
      </c>
      <c r="B313">
        <f>[1]NhapHang!B313</f>
        <v>0</v>
      </c>
      <c r="C313">
        <f>[1]NhapHang!C313</f>
        <v>0</v>
      </c>
      <c r="D313">
        <f>[1]NhapHang!D313</f>
        <v>0</v>
      </c>
      <c r="E313">
        <f>[1]NhapHang!E313</f>
        <v>0</v>
      </c>
      <c r="F313">
        <f>[1]NhapHang!F313</f>
        <v>0</v>
      </c>
      <c r="G313">
        <f>[1]NhapHang!G313</f>
        <v>0</v>
      </c>
      <c r="H313">
        <f>[1]NhapHang!H313</f>
        <v>0</v>
      </c>
    </row>
    <row r="314" spans="1:8">
      <c r="A314">
        <f>[1]NhapHang!A314</f>
        <v>0</v>
      </c>
      <c r="B314">
        <f>[1]NhapHang!B314</f>
        <v>0</v>
      </c>
      <c r="C314">
        <f>[1]NhapHang!C314</f>
        <v>0</v>
      </c>
      <c r="D314">
        <f>[1]NhapHang!D314</f>
        <v>0</v>
      </c>
      <c r="E314">
        <f>[1]NhapHang!E314</f>
        <v>0</v>
      </c>
      <c r="F314">
        <f>[1]NhapHang!F314</f>
        <v>0</v>
      </c>
      <c r="G314">
        <f>[1]NhapHang!G314</f>
        <v>0</v>
      </c>
      <c r="H314">
        <f>[1]NhapHang!H314</f>
        <v>0</v>
      </c>
    </row>
    <row r="315" spans="1:8">
      <c r="A315">
        <f>[1]NhapHang!A315</f>
        <v>0</v>
      </c>
      <c r="B315">
        <f>[1]NhapHang!B315</f>
        <v>0</v>
      </c>
      <c r="C315">
        <f>[1]NhapHang!C315</f>
        <v>0</v>
      </c>
      <c r="D315">
        <f>[1]NhapHang!D315</f>
        <v>0</v>
      </c>
      <c r="E315">
        <f>[1]NhapHang!E315</f>
        <v>0</v>
      </c>
      <c r="F315">
        <f>[1]NhapHang!F315</f>
        <v>0</v>
      </c>
      <c r="G315">
        <f>[1]NhapHang!G315</f>
        <v>0</v>
      </c>
      <c r="H315">
        <f>[1]NhapHang!H315</f>
        <v>0</v>
      </c>
    </row>
    <row r="316" spans="1:8">
      <c r="A316">
        <f>[1]NhapHang!A316</f>
        <v>0</v>
      </c>
      <c r="B316">
        <f>[1]NhapHang!B316</f>
        <v>0</v>
      </c>
      <c r="C316">
        <f>[1]NhapHang!C316</f>
        <v>0</v>
      </c>
      <c r="D316">
        <f>[1]NhapHang!D316</f>
        <v>0</v>
      </c>
      <c r="E316">
        <f>[1]NhapHang!E316</f>
        <v>0</v>
      </c>
      <c r="F316">
        <f>[1]NhapHang!F316</f>
        <v>0</v>
      </c>
      <c r="G316">
        <f>[1]NhapHang!G316</f>
        <v>0</v>
      </c>
      <c r="H316">
        <f>[1]NhapHang!H316</f>
        <v>0</v>
      </c>
    </row>
    <row r="317" spans="1:8">
      <c r="A317">
        <f>[1]NhapHang!A317</f>
        <v>0</v>
      </c>
      <c r="B317">
        <f>[1]NhapHang!B317</f>
        <v>0</v>
      </c>
      <c r="C317">
        <f>[1]NhapHang!C317</f>
        <v>0</v>
      </c>
      <c r="D317">
        <f>[1]NhapHang!D317</f>
        <v>0</v>
      </c>
      <c r="E317">
        <f>[1]NhapHang!E317</f>
        <v>0</v>
      </c>
      <c r="F317">
        <f>[1]NhapHang!F317</f>
        <v>0</v>
      </c>
      <c r="G317">
        <f>[1]NhapHang!G317</f>
        <v>0</v>
      </c>
      <c r="H317">
        <f>[1]NhapHang!H317</f>
        <v>0</v>
      </c>
    </row>
    <row r="318" spans="1:8">
      <c r="A318">
        <f>[1]NhapHang!A318</f>
        <v>0</v>
      </c>
      <c r="B318">
        <f>[1]NhapHang!B318</f>
        <v>0</v>
      </c>
      <c r="C318">
        <f>[1]NhapHang!C318</f>
        <v>0</v>
      </c>
      <c r="D318">
        <f>[1]NhapHang!D318</f>
        <v>0</v>
      </c>
      <c r="E318">
        <f>[1]NhapHang!E318</f>
        <v>0</v>
      </c>
      <c r="F318">
        <f>[1]NhapHang!F318</f>
        <v>0</v>
      </c>
      <c r="G318">
        <f>[1]NhapHang!G318</f>
        <v>0</v>
      </c>
      <c r="H318">
        <f>[1]NhapHang!H318</f>
        <v>0</v>
      </c>
    </row>
    <row r="319" spans="1:8">
      <c r="A319">
        <f>[1]NhapHang!A319</f>
        <v>0</v>
      </c>
      <c r="B319">
        <f>[1]NhapHang!B319</f>
        <v>0</v>
      </c>
      <c r="C319">
        <f>[1]NhapHang!C319</f>
        <v>0</v>
      </c>
      <c r="D319">
        <f>[1]NhapHang!D319</f>
        <v>0</v>
      </c>
      <c r="E319">
        <f>[1]NhapHang!E319</f>
        <v>0</v>
      </c>
      <c r="F319">
        <f>[1]NhapHang!F319</f>
        <v>0</v>
      </c>
      <c r="G319">
        <f>[1]NhapHang!G319</f>
        <v>0</v>
      </c>
      <c r="H319">
        <f>[1]NhapHang!H319</f>
        <v>0</v>
      </c>
    </row>
    <row r="320" spans="1:8">
      <c r="A320">
        <f>[1]NhapHang!A320</f>
        <v>0</v>
      </c>
      <c r="B320">
        <f>[1]NhapHang!B320</f>
        <v>0</v>
      </c>
      <c r="C320">
        <f>[1]NhapHang!C320</f>
        <v>0</v>
      </c>
      <c r="D320">
        <f>[1]NhapHang!D320</f>
        <v>0</v>
      </c>
      <c r="E320">
        <f>[1]NhapHang!E320</f>
        <v>0</v>
      </c>
      <c r="F320">
        <f>[1]NhapHang!F320</f>
        <v>0</v>
      </c>
      <c r="G320">
        <f>[1]NhapHang!G320</f>
        <v>0</v>
      </c>
      <c r="H320">
        <f>[1]NhapHang!H320</f>
        <v>0</v>
      </c>
    </row>
    <row r="321" spans="1:8">
      <c r="A321">
        <f>[1]NhapHang!A321</f>
        <v>0</v>
      </c>
      <c r="B321">
        <f>[1]NhapHang!B321</f>
        <v>0</v>
      </c>
      <c r="C321">
        <f>[1]NhapHang!C321</f>
        <v>0</v>
      </c>
      <c r="D321">
        <f>[1]NhapHang!D321</f>
        <v>0</v>
      </c>
      <c r="E321">
        <f>[1]NhapHang!E321</f>
        <v>0</v>
      </c>
      <c r="F321">
        <f>[1]NhapHang!F321</f>
        <v>0</v>
      </c>
      <c r="G321">
        <f>[1]NhapHang!G321</f>
        <v>0</v>
      </c>
      <c r="H321">
        <f>[1]NhapHang!H321</f>
        <v>0</v>
      </c>
    </row>
    <row r="322" spans="1:8">
      <c r="A322">
        <f>[1]NhapHang!A322</f>
        <v>0</v>
      </c>
      <c r="B322">
        <f>[1]NhapHang!B322</f>
        <v>0</v>
      </c>
      <c r="C322">
        <f>[1]NhapHang!C322</f>
        <v>0</v>
      </c>
      <c r="D322">
        <f>[1]NhapHang!D322</f>
        <v>0</v>
      </c>
      <c r="E322">
        <f>[1]NhapHang!E322</f>
        <v>0</v>
      </c>
      <c r="F322">
        <f>[1]NhapHang!F322</f>
        <v>0</v>
      </c>
      <c r="G322">
        <f>[1]NhapHang!G322</f>
        <v>0</v>
      </c>
      <c r="H322">
        <f>[1]NhapHang!H322</f>
        <v>0</v>
      </c>
    </row>
    <row r="323" spans="1:8">
      <c r="A323">
        <f>[1]NhapHang!A323</f>
        <v>0</v>
      </c>
      <c r="B323">
        <f>[1]NhapHang!B323</f>
        <v>0</v>
      </c>
      <c r="C323">
        <f>[1]NhapHang!C323</f>
        <v>0</v>
      </c>
      <c r="D323">
        <f>[1]NhapHang!D323</f>
        <v>0</v>
      </c>
      <c r="E323">
        <f>[1]NhapHang!E323</f>
        <v>0</v>
      </c>
      <c r="F323">
        <f>[1]NhapHang!F323</f>
        <v>0</v>
      </c>
      <c r="G323">
        <f>[1]NhapHang!G323</f>
        <v>0</v>
      </c>
      <c r="H323">
        <f>[1]NhapHang!H323</f>
        <v>0</v>
      </c>
    </row>
    <row r="324" spans="1:8">
      <c r="A324">
        <f>[1]NhapHang!A324</f>
        <v>0</v>
      </c>
      <c r="B324">
        <f>[1]NhapHang!B324</f>
        <v>0</v>
      </c>
      <c r="C324">
        <f>[1]NhapHang!C324</f>
        <v>0</v>
      </c>
      <c r="D324">
        <f>[1]NhapHang!D324</f>
        <v>0</v>
      </c>
      <c r="E324">
        <f>[1]NhapHang!E324</f>
        <v>0</v>
      </c>
      <c r="F324">
        <f>[1]NhapHang!F324</f>
        <v>0</v>
      </c>
      <c r="G324">
        <f>[1]NhapHang!G324</f>
        <v>0</v>
      </c>
      <c r="H324">
        <f>[1]NhapHang!H324</f>
        <v>0</v>
      </c>
    </row>
    <row r="325" spans="1:8">
      <c r="A325">
        <f>[1]NhapHang!A325</f>
        <v>0</v>
      </c>
      <c r="B325">
        <f>[1]NhapHang!B325</f>
        <v>0</v>
      </c>
      <c r="C325">
        <f>[1]NhapHang!C325</f>
        <v>0</v>
      </c>
      <c r="D325">
        <f>[1]NhapHang!D325</f>
        <v>0</v>
      </c>
      <c r="E325">
        <f>[1]NhapHang!E325</f>
        <v>0</v>
      </c>
      <c r="F325">
        <f>[1]NhapHang!F325</f>
        <v>0</v>
      </c>
      <c r="G325">
        <f>[1]NhapHang!G325</f>
        <v>0</v>
      </c>
      <c r="H325">
        <f>[1]NhapHang!H325</f>
        <v>0</v>
      </c>
    </row>
    <row r="326" spans="1:8">
      <c r="A326">
        <f>[1]NhapHang!A326</f>
        <v>0</v>
      </c>
      <c r="B326">
        <f>[1]NhapHang!B326</f>
        <v>0</v>
      </c>
      <c r="C326">
        <f>[1]NhapHang!C326</f>
        <v>0</v>
      </c>
      <c r="D326">
        <f>[1]NhapHang!D326</f>
        <v>0</v>
      </c>
      <c r="E326">
        <f>[1]NhapHang!E326</f>
        <v>0</v>
      </c>
      <c r="F326">
        <f>[1]NhapHang!F326</f>
        <v>0</v>
      </c>
      <c r="G326">
        <f>[1]NhapHang!G326</f>
        <v>0</v>
      </c>
      <c r="H326">
        <f>[1]NhapHang!H326</f>
        <v>0</v>
      </c>
    </row>
    <row r="327" spans="1:8">
      <c r="A327">
        <f>[1]NhapHang!A327</f>
        <v>0</v>
      </c>
      <c r="B327">
        <f>[1]NhapHang!B327</f>
        <v>0</v>
      </c>
      <c r="C327">
        <f>[1]NhapHang!C327</f>
        <v>0</v>
      </c>
      <c r="D327">
        <f>[1]NhapHang!D327</f>
        <v>0</v>
      </c>
      <c r="E327">
        <f>[1]NhapHang!E327</f>
        <v>0</v>
      </c>
      <c r="F327">
        <f>[1]NhapHang!F327</f>
        <v>0</v>
      </c>
      <c r="G327">
        <f>[1]NhapHang!G327</f>
        <v>0</v>
      </c>
      <c r="H327">
        <f>[1]NhapHang!H327</f>
        <v>0</v>
      </c>
    </row>
    <row r="328" spans="1:8">
      <c r="A328">
        <f>[1]NhapHang!A328</f>
        <v>0</v>
      </c>
      <c r="B328">
        <f>[1]NhapHang!B328</f>
        <v>0</v>
      </c>
      <c r="C328">
        <f>[1]NhapHang!C328</f>
        <v>0</v>
      </c>
      <c r="D328">
        <f>[1]NhapHang!D328</f>
        <v>0</v>
      </c>
      <c r="E328">
        <f>[1]NhapHang!E328</f>
        <v>0</v>
      </c>
      <c r="F328">
        <f>[1]NhapHang!F328</f>
        <v>0</v>
      </c>
      <c r="G328">
        <f>[1]NhapHang!G328</f>
        <v>0</v>
      </c>
      <c r="H328">
        <f>[1]NhapHang!H328</f>
        <v>0</v>
      </c>
    </row>
    <row r="329" spans="1:8">
      <c r="A329">
        <f>[1]NhapHang!A329</f>
        <v>0</v>
      </c>
      <c r="B329">
        <f>[1]NhapHang!B329</f>
        <v>0</v>
      </c>
      <c r="C329">
        <f>[1]NhapHang!C329</f>
        <v>0</v>
      </c>
      <c r="D329">
        <f>[1]NhapHang!D329</f>
        <v>0</v>
      </c>
      <c r="E329">
        <f>[1]NhapHang!E329</f>
        <v>0</v>
      </c>
      <c r="F329">
        <f>[1]NhapHang!F329</f>
        <v>0</v>
      </c>
      <c r="G329">
        <f>[1]NhapHang!G329</f>
        <v>0</v>
      </c>
      <c r="H329">
        <f>[1]NhapHang!H329</f>
        <v>0</v>
      </c>
    </row>
    <row r="330" spans="1:8">
      <c r="A330">
        <f>[1]NhapHang!A330</f>
        <v>0</v>
      </c>
      <c r="B330">
        <f>[1]NhapHang!B330</f>
        <v>0</v>
      </c>
      <c r="C330">
        <f>[1]NhapHang!C330</f>
        <v>0</v>
      </c>
      <c r="D330">
        <f>[1]NhapHang!D330</f>
        <v>0</v>
      </c>
      <c r="E330">
        <f>[1]NhapHang!E330</f>
        <v>0</v>
      </c>
      <c r="F330">
        <f>[1]NhapHang!F330</f>
        <v>0</v>
      </c>
      <c r="G330">
        <f>[1]NhapHang!G330</f>
        <v>0</v>
      </c>
      <c r="H330">
        <f>[1]NhapHang!H330</f>
        <v>0</v>
      </c>
    </row>
    <row r="331" spans="1:8">
      <c r="A331">
        <f>[1]NhapHang!A331</f>
        <v>0</v>
      </c>
      <c r="B331">
        <f>[1]NhapHang!B331</f>
        <v>0</v>
      </c>
      <c r="C331">
        <f>[1]NhapHang!C331</f>
        <v>0</v>
      </c>
      <c r="D331">
        <f>[1]NhapHang!D331</f>
        <v>0</v>
      </c>
      <c r="E331">
        <f>[1]NhapHang!E331</f>
        <v>0</v>
      </c>
      <c r="F331">
        <f>[1]NhapHang!F331</f>
        <v>0</v>
      </c>
      <c r="G331">
        <f>[1]NhapHang!G331</f>
        <v>0</v>
      </c>
      <c r="H331">
        <f>[1]NhapHang!H331</f>
        <v>0</v>
      </c>
    </row>
    <row r="332" spans="1:8">
      <c r="A332">
        <f>[1]NhapHang!A332</f>
        <v>0</v>
      </c>
      <c r="B332">
        <f>[1]NhapHang!B332</f>
        <v>0</v>
      </c>
      <c r="C332">
        <f>[1]NhapHang!C332</f>
        <v>0</v>
      </c>
      <c r="D332">
        <f>[1]NhapHang!D332</f>
        <v>0</v>
      </c>
      <c r="E332">
        <f>[1]NhapHang!E332</f>
        <v>0</v>
      </c>
      <c r="F332">
        <f>[1]NhapHang!F332</f>
        <v>0</v>
      </c>
      <c r="G332">
        <f>[1]NhapHang!G332</f>
        <v>0</v>
      </c>
      <c r="H332">
        <f>[1]NhapHang!H332</f>
        <v>0</v>
      </c>
    </row>
    <row r="333" spans="1:8">
      <c r="A333">
        <f>[1]NhapHang!A333</f>
        <v>0</v>
      </c>
      <c r="B333">
        <f>[1]NhapHang!B333</f>
        <v>0</v>
      </c>
      <c r="C333">
        <f>[1]NhapHang!C333</f>
        <v>0</v>
      </c>
      <c r="D333">
        <f>[1]NhapHang!D333</f>
        <v>0</v>
      </c>
      <c r="E333">
        <f>[1]NhapHang!E333</f>
        <v>0</v>
      </c>
      <c r="F333">
        <f>[1]NhapHang!F333</f>
        <v>0</v>
      </c>
      <c r="G333">
        <f>[1]NhapHang!G333</f>
        <v>0</v>
      </c>
      <c r="H333">
        <f>[1]NhapHang!H333</f>
        <v>0</v>
      </c>
    </row>
    <row r="334" spans="1:8">
      <c r="A334">
        <f>[1]NhapHang!A334</f>
        <v>0</v>
      </c>
      <c r="B334">
        <f>[1]NhapHang!B334</f>
        <v>0</v>
      </c>
      <c r="C334">
        <f>[1]NhapHang!C334</f>
        <v>0</v>
      </c>
      <c r="D334">
        <f>[1]NhapHang!D334</f>
        <v>0</v>
      </c>
      <c r="E334">
        <f>[1]NhapHang!E334</f>
        <v>0</v>
      </c>
      <c r="F334">
        <f>[1]NhapHang!F334</f>
        <v>0</v>
      </c>
      <c r="G334">
        <f>[1]NhapHang!G334</f>
        <v>0</v>
      </c>
      <c r="H334">
        <f>[1]NhapHang!H334</f>
        <v>0</v>
      </c>
    </row>
    <row r="335" spans="1:8">
      <c r="A335">
        <f>[1]NhapHang!A335</f>
        <v>0</v>
      </c>
      <c r="B335">
        <f>[1]NhapHang!B335</f>
        <v>0</v>
      </c>
      <c r="C335">
        <f>[1]NhapHang!C335</f>
        <v>0</v>
      </c>
      <c r="D335">
        <f>[1]NhapHang!D335</f>
        <v>0</v>
      </c>
      <c r="E335">
        <f>[1]NhapHang!E335</f>
        <v>0</v>
      </c>
      <c r="F335">
        <f>[1]NhapHang!F335</f>
        <v>0</v>
      </c>
      <c r="G335">
        <f>[1]NhapHang!G335</f>
        <v>0</v>
      </c>
      <c r="H335">
        <f>[1]NhapHang!H335</f>
        <v>0</v>
      </c>
    </row>
    <row r="336" spans="1:8">
      <c r="A336">
        <f>[1]NhapHang!A336</f>
        <v>0</v>
      </c>
      <c r="B336">
        <f>[1]NhapHang!B336</f>
        <v>0</v>
      </c>
      <c r="C336">
        <f>[1]NhapHang!C336</f>
        <v>0</v>
      </c>
      <c r="D336">
        <f>[1]NhapHang!D336</f>
        <v>0</v>
      </c>
      <c r="E336">
        <f>[1]NhapHang!E336</f>
        <v>0</v>
      </c>
      <c r="F336">
        <f>[1]NhapHang!F336</f>
        <v>0</v>
      </c>
      <c r="G336">
        <f>[1]NhapHang!G336</f>
        <v>0</v>
      </c>
      <c r="H336">
        <f>[1]NhapHang!H336</f>
        <v>0</v>
      </c>
    </row>
    <row r="337" spans="1:8">
      <c r="A337">
        <f>[1]NhapHang!A337</f>
        <v>0</v>
      </c>
      <c r="B337">
        <f>[1]NhapHang!B337</f>
        <v>0</v>
      </c>
      <c r="C337">
        <f>[1]NhapHang!C337</f>
        <v>0</v>
      </c>
      <c r="D337">
        <f>[1]NhapHang!D337</f>
        <v>0</v>
      </c>
      <c r="E337">
        <f>[1]NhapHang!E337</f>
        <v>0</v>
      </c>
      <c r="F337">
        <f>[1]NhapHang!F337</f>
        <v>0</v>
      </c>
      <c r="G337">
        <f>[1]NhapHang!G337</f>
        <v>0</v>
      </c>
      <c r="H337">
        <f>[1]NhapHang!H337</f>
        <v>0</v>
      </c>
    </row>
    <row r="338" spans="1:8">
      <c r="A338">
        <f>[1]NhapHang!A338</f>
        <v>0</v>
      </c>
      <c r="B338">
        <f>[1]NhapHang!B338</f>
        <v>0</v>
      </c>
      <c r="C338">
        <f>[1]NhapHang!C338</f>
        <v>0</v>
      </c>
      <c r="D338">
        <f>[1]NhapHang!D338</f>
        <v>0</v>
      </c>
      <c r="E338">
        <f>[1]NhapHang!E338</f>
        <v>0</v>
      </c>
      <c r="F338">
        <f>[1]NhapHang!F338</f>
        <v>0</v>
      </c>
      <c r="G338">
        <f>[1]NhapHang!G338</f>
        <v>0</v>
      </c>
      <c r="H338">
        <f>[1]NhapHang!H338</f>
        <v>0</v>
      </c>
    </row>
    <row r="339" spans="1:8">
      <c r="A339">
        <f>[1]NhapHang!A339</f>
        <v>0</v>
      </c>
      <c r="B339">
        <f>[1]NhapHang!B339</f>
        <v>0</v>
      </c>
      <c r="C339">
        <f>[1]NhapHang!C339</f>
        <v>0</v>
      </c>
      <c r="D339">
        <f>[1]NhapHang!D339</f>
        <v>0</v>
      </c>
      <c r="E339">
        <f>[1]NhapHang!E339</f>
        <v>0</v>
      </c>
      <c r="F339">
        <f>[1]NhapHang!F339</f>
        <v>0</v>
      </c>
      <c r="G339">
        <f>[1]NhapHang!G339</f>
        <v>0</v>
      </c>
      <c r="H339">
        <f>[1]NhapHang!H339</f>
        <v>0</v>
      </c>
    </row>
    <row r="340" spans="1:8">
      <c r="A340">
        <f>[1]NhapHang!A340</f>
        <v>0</v>
      </c>
      <c r="B340">
        <f>[1]NhapHang!B340</f>
        <v>0</v>
      </c>
      <c r="C340">
        <f>[1]NhapHang!C340</f>
        <v>0</v>
      </c>
      <c r="D340">
        <f>[1]NhapHang!D340</f>
        <v>0</v>
      </c>
      <c r="E340">
        <f>[1]NhapHang!E340</f>
        <v>0</v>
      </c>
      <c r="F340">
        <f>[1]NhapHang!F340</f>
        <v>0</v>
      </c>
      <c r="G340">
        <f>[1]NhapHang!G340</f>
        <v>0</v>
      </c>
      <c r="H340">
        <f>[1]NhapHang!H340</f>
        <v>0</v>
      </c>
    </row>
    <row r="341" spans="1:8">
      <c r="A341">
        <f>[1]NhapHang!A341</f>
        <v>0</v>
      </c>
      <c r="B341">
        <f>[1]NhapHang!B341</f>
        <v>0</v>
      </c>
      <c r="C341">
        <f>[1]NhapHang!C341</f>
        <v>0</v>
      </c>
      <c r="D341">
        <f>[1]NhapHang!D341</f>
        <v>0</v>
      </c>
      <c r="E341">
        <f>[1]NhapHang!E341</f>
        <v>0</v>
      </c>
      <c r="F341">
        <f>[1]NhapHang!F341</f>
        <v>0</v>
      </c>
      <c r="G341">
        <f>[1]NhapHang!G341</f>
        <v>0</v>
      </c>
      <c r="H341">
        <f>[1]NhapHang!H341</f>
        <v>0</v>
      </c>
    </row>
    <row r="342" spans="1:8">
      <c r="A342">
        <f>[1]NhapHang!A342</f>
        <v>0</v>
      </c>
      <c r="B342">
        <f>[1]NhapHang!B342</f>
        <v>0</v>
      </c>
      <c r="C342">
        <f>[1]NhapHang!C342</f>
        <v>0</v>
      </c>
      <c r="D342">
        <f>[1]NhapHang!D342</f>
        <v>0</v>
      </c>
      <c r="E342">
        <f>[1]NhapHang!E342</f>
        <v>0</v>
      </c>
      <c r="F342">
        <f>[1]NhapHang!F342</f>
        <v>0</v>
      </c>
      <c r="G342">
        <f>[1]NhapHang!G342</f>
        <v>0</v>
      </c>
      <c r="H342">
        <f>[1]NhapHang!H342</f>
        <v>0</v>
      </c>
    </row>
    <row r="343" spans="1:8">
      <c r="A343">
        <f>[1]NhapHang!A343</f>
        <v>0</v>
      </c>
      <c r="B343">
        <f>[1]NhapHang!B343</f>
        <v>0</v>
      </c>
      <c r="C343">
        <f>[1]NhapHang!C343</f>
        <v>0</v>
      </c>
      <c r="D343">
        <f>[1]NhapHang!D343</f>
        <v>0</v>
      </c>
      <c r="E343">
        <f>[1]NhapHang!E343</f>
        <v>0</v>
      </c>
      <c r="F343">
        <f>[1]NhapHang!F343</f>
        <v>0</v>
      </c>
      <c r="G343">
        <f>[1]NhapHang!G343</f>
        <v>0</v>
      </c>
      <c r="H343">
        <f>[1]NhapHang!H343</f>
        <v>0</v>
      </c>
    </row>
    <row r="344" spans="1:8">
      <c r="A344">
        <f>[1]NhapHang!A344</f>
        <v>0</v>
      </c>
      <c r="B344">
        <f>[1]NhapHang!B344</f>
        <v>0</v>
      </c>
      <c r="C344">
        <f>[1]NhapHang!C344</f>
        <v>0</v>
      </c>
      <c r="D344">
        <f>[1]NhapHang!D344</f>
        <v>0</v>
      </c>
      <c r="E344">
        <f>[1]NhapHang!E344</f>
        <v>0</v>
      </c>
      <c r="F344">
        <f>[1]NhapHang!F344</f>
        <v>0</v>
      </c>
      <c r="G344">
        <f>[1]NhapHang!G344</f>
        <v>0</v>
      </c>
      <c r="H344">
        <f>[1]NhapHang!H344</f>
        <v>0</v>
      </c>
    </row>
    <row r="345" spans="1:8">
      <c r="A345">
        <f>[1]NhapHang!A345</f>
        <v>0</v>
      </c>
      <c r="B345">
        <f>[1]NhapHang!B345</f>
        <v>0</v>
      </c>
      <c r="C345">
        <f>[1]NhapHang!C345</f>
        <v>0</v>
      </c>
      <c r="D345">
        <f>[1]NhapHang!D345</f>
        <v>0</v>
      </c>
      <c r="E345">
        <f>[1]NhapHang!E345</f>
        <v>0</v>
      </c>
      <c r="F345">
        <f>[1]NhapHang!F345</f>
        <v>0</v>
      </c>
      <c r="G345">
        <f>[1]NhapHang!G345</f>
        <v>0</v>
      </c>
      <c r="H345">
        <f>[1]NhapHang!H345</f>
        <v>0</v>
      </c>
    </row>
    <row r="346" spans="1:8">
      <c r="A346">
        <f>[1]NhapHang!A346</f>
        <v>0</v>
      </c>
      <c r="B346">
        <f>[1]NhapHang!B346</f>
        <v>0</v>
      </c>
      <c r="C346">
        <f>[1]NhapHang!C346</f>
        <v>0</v>
      </c>
      <c r="D346">
        <f>[1]NhapHang!D346</f>
        <v>0</v>
      </c>
      <c r="E346">
        <f>[1]NhapHang!E346</f>
        <v>0</v>
      </c>
      <c r="F346">
        <f>[1]NhapHang!F346</f>
        <v>0</v>
      </c>
      <c r="G346">
        <f>[1]NhapHang!G346</f>
        <v>0</v>
      </c>
      <c r="H346">
        <f>[1]NhapHang!H346</f>
        <v>0</v>
      </c>
    </row>
    <row r="347" spans="1:8">
      <c r="A347">
        <f>[1]NhapHang!A347</f>
        <v>0</v>
      </c>
      <c r="B347">
        <f>[1]NhapHang!B347</f>
        <v>0</v>
      </c>
      <c r="C347">
        <f>[1]NhapHang!C347</f>
        <v>0</v>
      </c>
      <c r="D347">
        <f>[1]NhapHang!D347</f>
        <v>0</v>
      </c>
      <c r="E347">
        <f>[1]NhapHang!E347</f>
        <v>0</v>
      </c>
      <c r="F347">
        <f>[1]NhapHang!F347</f>
        <v>0</v>
      </c>
      <c r="G347">
        <f>[1]NhapHang!G347</f>
        <v>0</v>
      </c>
      <c r="H347">
        <f>[1]NhapHang!H347</f>
        <v>0</v>
      </c>
    </row>
    <row r="348" spans="1:8">
      <c r="A348">
        <f>[1]NhapHang!A348</f>
        <v>0</v>
      </c>
      <c r="B348">
        <f>[1]NhapHang!B348</f>
        <v>0</v>
      </c>
      <c r="C348">
        <f>[1]NhapHang!C348</f>
        <v>0</v>
      </c>
      <c r="D348">
        <f>[1]NhapHang!D348</f>
        <v>0</v>
      </c>
      <c r="E348">
        <f>[1]NhapHang!E348</f>
        <v>0</v>
      </c>
      <c r="F348">
        <f>[1]NhapHang!F348</f>
        <v>0</v>
      </c>
      <c r="G348">
        <f>[1]NhapHang!G348</f>
        <v>0</v>
      </c>
      <c r="H348">
        <f>[1]NhapHang!H348</f>
        <v>0</v>
      </c>
    </row>
    <row r="349" spans="1:8">
      <c r="A349">
        <f>[1]NhapHang!A349</f>
        <v>0</v>
      </c>
      <c r="B349">
        <f>[1]NhapHang!B349</f>
        <v>0</v>
      </c>
      <c r="C349">
        <f>[1]NhapHang!C349</f>
        <v>0</v>
      </c>
      <c r="D349">
        <f>[1]NhapHang!D349</f>
        <v>0</v>
      </c>
      <c r="E349">
        <f>[1]NhapHang!E349</f>
        <v>0</v>
      </c>
      <c r="F349">
        <f>[1]NhapHang!F349</f>
        <v>0</v>
      </c>
      <c r="G349">
        <f>[1]NhapHang!G349</f>
        <v>0</v>
      </c>
      <c r="H349">
        <f>[1]NhapHang!H349</f>
        <v>0</v>
      </c>
    </row>
    <row r="350" spans="1:8">
      <c r="A350">
        <f>[1]NhapHang!A350</f>
        <v>0</v>
      </c>
      <c r="B350">
        <f>[1]NhapHang!B350</f>
        <v>0</v>
      </c>
      <c r="C350">
        <f>[1]NhapHang!C350</f>
        <v>0</v>
      </c>
      <c r="D350">
        <f>[1]NhapHang!D350</f>
        <v>0</v>
      </c>
      <c r="E350">
        <f>[1]NhapHang!E350</f>
        <v>0</v>
      </c>
      <c r="F350">
        <f>[1]NhapHang!F350</f>
        <v>0</v>
      </c>
      <c r="G350">
        <f>[1]NhapHang!G350</f>
        <v>0</v>
      </c>
      <c r="H350">
        <f>[1]NhapHang!H350</f>
        <v>0</v>
      </c>
    </row>
    <row r="351" spans="1:8">
      <c r="A351">
        <f>[1]NhapHang!A351</f>
        <v>0</v>
      </c>
      <c r="B351">
        <f>[1]NhapHang!B351</f>
        <v>0</v>
      </c>
      <c r="C351">
        <f>[1]NhapHang!C351</f>
        <v>0</v>
      </c>
      <c r="D351">
        <f>[1]NhapHang!D351</f>
        <v>0</v>
      </c>
      <c r="E351">
        <f>[1]NhapHang!E351</f>
        <v>0</v>
      </c>
      <c r="F351">
        <f>[1]NhapHang!F351</f>
        <v>0</v>
      </c>
      <c r="G351">
        <f>[1]NhapHang!G351</f>
        <v>0</v>
      </c>
      <c r="H351">
        <f>[1]NhapHang!H351</f>
        <v>0</v>
      </c>
    </row>
    <row r="352" spans="1:8">
      <c r="A352">
        <f>[1]NhapHang!A352</f>
        <v>0</v>
      </c>
      <c r="B352">
        <f>[1]NhapHang!B352</f>
        <v>0</v>
      </c>
      <c r="C352">
        <f>[1]NhapHang!C352</f>
        <v>0</v>
      </c>
      <c r="D352">
        <f>[1]NhapHang!D352</f>
        <v>0</v>
      </c>
      <c r="E352">
        <f>[1]NhapHang!E352</f>
        <v>0</v>
      </c>
      <c r="F352">
        <f>[1]NhapHang!F352</f>
        <v>0</v>
      </c>
      <c r="G352">
        <f>[1]NhapHang!G352</f>
        <v>0</v>
      </c>
      <c r="H352">
        <f>[1]NhapHang!H352</f>
        <v>0</v>
      </c>
    </row>
    <row r="353" spans="1:8">
      <c r="A353">
        <f>[1]NhapHang!A353</f>
        <v>0</v>
      </c>
      <c r="B353">
        <f>[1]NhapHang!B353</f>
        <v>0</v>
      </c>
      <c r="C353">
        <f>[1]NhapHang!C353</f>
        <v>0</v>
      </c>
      <c r="D353">
        <f>[1]NhapHang!D353</f>
        <v>0</v>
      </c>
      <c r="E353">
        <f>[1]NhapHang!E353</f>
        <v>0</v>
      </c>
      <c r="F353">
        <f>[1]NhapHang!F353</f>
        <v>0</v>
      </c>
      <c r="G353">
        <f>[1]NhapHang!G353</f>
        <v>0</v>
      </c>
      <c r="H353">
        <f>[1]NhapHang!H353</f>
        <v>0</v>
      </c>
    </row>
    <row r="354" spans="1:8">
      <c r="A354">
        <f>[1]NhapHang!A354</f>
        <v>0</v>
      </c>
      <c r="B354">
        <f>[1]NhapHang!B354</f>
        <v>0</v>
      </c>
      <c r="C354">
        <f>[1]NhapHang!C354</f>
        <v>0</v>
      </c>
      <c r="D354">
        <f>[1]NhapHang!D354</f>
        <v>0</v>
      </c>
      <c r="E354">
        <f>[1]NhapHang!E354</f>
        <v>0</v>
      </c>
      <c r="F354">
        <f>[1]NhapHang!F354</f>
        <v>0</v>
      </c>
      <c r="G354">
        <f>[1]NhapHang!G354</f>
        <v>0</v>
      </c>
      <c r="H354">
        <f>[1]NhapHang!H354</f>
        <v>0</v>
      </c>
    </row>
    <row r="355" spans="1:8">
      <c r="A355">
        <f>[1]NhapHang!A355</f>
        <v>0</v>
      </c>
      <c r="B355">
        <f>[1]NhapHang!B355</f>
        <v>0</v>
      </c>
      <c r="C355">
        <f>[1]NhapHang!C355</f>
        <v>0</v>
      </c>
      <c r="D355">
        <f>[1]NhapHang!D355</f>
        <v>0</v>
      </c>
      <c r="E355">
        <f>[1]NhapHang!E355</f>
        <v>0</v>
      </c>
      <c r="F355">
        <f>[1]NhapHang!F355</f>
        <v>0</v>
      </c>
      <c r="G355">
        <f>[1]NhapHang!G355</f>
        <v>0</v>
      </c>
      <c r="H355">
        <f>[1]NhapHang!H355</f>
        <v>0</v>
      </c>
    </row>
    <row r="356" spans="1:8">
      <c r="A356">
        <f>[1]NhapHang!A356</f>
        <v>0</v>
      </c>
      <c r="B356">
        <f>[1]NhapHang!B356</f>
        <v>0</v>
      </c>
      <c r="C356">
        <f>[1]NhapHang!C356</f>
        <v>0</v>
      </c>
      <c r="D356">
        <f>[1]NhapHang!D356</f>
        <v>0</v>
      </c>
      <c r="E356">
        <f>[1]NhapHang!E356</f>
        <v>0</v>
      </c>
      <c r="F356">
        <f>[1]NhapHang!F356</f>
        <v>0</v>
      </c>
      <c r="G356">
        <f>[1]NhapHang!G356</f>
        <v>0</v>
      </c>
      <c r="H356">
        <f>[1]NhapHang!H356</f>
        <v>0</v>
      </c>
    </row>
    <row r="357" spans="1:8">
      <c r="A357">
        <f>[1]NhapHang!A357</f>
        <v>0</v>
      </c>
      <c r="B357">
        <f>[1]NhapHang!B357</f>
        <v>0</v>
      </c>
      <c r="C357">
        <f>[1]NhapHang!C357</f>
        <v>0</v>
      </c>
      <c r="D357">
        <f>[1]NhapHang!D357</f>
        <v>0</v>
      </c>
      <c r="E357">
        <f>[1]NhapHang!E357</f>
        <v>0</v>
      </c>
      <c r="F357">
        <f>[1]NhapHang!F357</f>
        <v>0</v>
      </c>
      <c r="G357">
        <f>[1]NhapHang!G357</f>
        <v>0</v>
      </c>
      <c r="H357">
        <f>[1]NhapHang!H357</f>
        <v>0</v>
      </c>
    </row>
    <row r="358" spans="1:8">
      <c r="A358">
        <f>[1]NhapHang!A358</f>
        <v>0</v>
      </c>
      <c r="B358">
        <f>[1]NhapHang!B358</f>
        <v>0</v>
      </c>
      <c r="C358">
        <f>[1]NhapHang!C358</f>
        <v>0</v>
      </c>
      <c r="D358">
        <f>[1]NhapHang!D358</f>
        <v>0</v>
      </c>
      <c r="E358">
        <f>[1]NhapHang!E358</f>
        <v>0</v>
      </c>
      <c r="F358">
        <f>[1]NhapHang!F358</f>
        <v>0</v>
      </c>
      <c r="G358">
        <f>[1]NhapHang!G358</f>
        <v>0</v>
      </c>
      <c r="H358">
        <f>[1]NhapHang!H358</f>
        <v>0</v>
      </c>
    </row>
    <row r="359" spans="1:8">
      <c r="A359">
        <f>[1]NhapHang!A359</f>
        <v>0</v>
      </c>
      <c r="B359">
        <f>[1]NhapHang!B359</f>
        <v>0</v>
      </c>
      <c r="C359">
        <f>[1]NhapHang!C359</f>
        <v>0</v>
      </c>
      <c r="D359">
        <f>[1]NhapHang!D359</f>
        <v>0</v>
      </c>
      <c r="E359">
        <f>[1]NhapHang!E359</f>
        <v>0</v>
      </c>
      <c r="F359">
        <f>[1]NhapHang!F359</f>
        <v>0</v>
      </c>
      <c r="G359">
        <f>[1]NhapHang!G359</f>
        <v>0</v>
      </c>
      <c r="H359">
        <f>[1]NhapHang!H359</f>
        <v>0</v>
      </c>
    </row>
    <row r="360" spans="1:8">
      <c r="A360">
        <f>[1]NhapHang!A360</f>
        <v>0</v>
      </c>
      <c r="B360">
        <f>[1]NhapHang!B360</f>
        <v>0</v>
      </c>
      <c r="C360">
        <f>[1]NhapHang!C360</f>
        <v>0</v>
      </c>
      <c r="D360">
        <f>[1]NhapHang!D360</f>
        <v>0</v>
      </c>
      <c r="E360">
        <f>[1]NhapHang!E360</f>
        <v>0</v>
      </c>
      <c r="F360">
        <f>[1]NhapHang!F360</f>
        <v>0</v>
      </c>
      <c r="G360">
        <f>[1]NhapHang!G360</f>
        <v>0</v>
      </c>
      <c r="H360">
        <f>[1]NhapHang!H360</f>
        <v>0</v>
      </c>
    </row>
    <row r="361" spans="1:8">
      <c r="A361">
        <f>[1]NhapHang!A361</f>
        <v>0</v>
      </c>
      <c r="B361">
        <f>[1]NhapHang!B361</f>
        <v>0</v>
      </c>
      <c r="C361">
        <f>[1]NhapHang!C361</f>
        <v>0</v>
      </c>
      <c r="D361">
        <f>[1]NhapHang!D361</f>
        <v>0</v>
      </c>
      <c r="E361">
        <f>[1]NhapHang!E361</f>
        <v>0</v>
      </c>
      <c r="F361">
        <f>[1]NhapHang!F361</f>
        <v>0</v>
      </c>
      <c r="G361">
        <f>[1]NhapHang!G361</f>
        <v>0</v>
      </c>
      <c r="H361">
        <f>[1]NhapHang!H361</f>
        <v>0</v>
      </c>
    </row>
    <row r="362" spans="1:8">
      <c r="A362">
        <f>[1]NhapHang!A362</f>
        <v>0</v>
      </c>
      <c r="B362">
        <f>[1]NhapHang!B362</f>
        <v>0</v>
      </c>
      <c r="C362">
        <f>[1]NhapHang!C362</f>
        <v>0</v>
      </c>
      <c r="D362">
        <f>[1]NhapHang!D362</f>
        <v>0</v>
      </c>
      <c r="E362">
        <f>[1]NhapHang!E362</f>
        <v>0</v>
      </c>
      <c r="F362">
        <f>[1]NhapHang!F362</f>
        <v>0</v>
      </c>
      <c r="G362">
        <f>[1]NhapHang!G362</f>
        <v>0</v>
      </c>
      <c r="H362">
        <f>[1]NhapHang!H362</f>
        <v>0</v>
      </c>
    </row>
    <row r="363" spans="1:8">
      <c r="A363">
        <f>[1]NhapHang!A363</f>
        <v>0</v>
      </c>
      <c r="B363">
        <f>[1]NhapHang!B363</f>
        <v>0</v>
      </c>
      <c r="C363">
        <f>[1]NhapHang!C363</f>
        <v>0</v>
      </c>
      <c r="D363">
        <f>[1]NhapHang!D363</f>
        <v>0</v>
      </c>
      <c r="E363">
        <f>[1]NhapHang!E363</f>
        <v>0</v>
      </c>
      <c r="F363">
        <f>[1]NhapHang!F363</f>
        <v>0</v>
      </c>
      <c r="G363">
        <f>[1]NhapHang!G363</f>
        <v>0</v>
      </c>
      <c r="H363">
        <f>[1]NhapHang!H363</f>
        <v>0</v>
      </c>
    </row>
    <row r="364" spans="1:8">
      <c r="A364">
        <f>[1]NhapHang!A364</f>
        <v>0</v>
      </c>
      <c r="B364">
        <f>[1]NhapHang!B364</f>
        <v>0</v>
      </c>
      <c r="C364">
        <f>[1]NhapHang!C364</f>
        <v>0</v>
      </c>
      <c r="D364">
        <f>[1]NhapHang!D364</f>
        <v>0</v>
      </c>
      <c r="E364">
        <f>[1]NhapHang!E364</f>
        <v>0</v>
      </c>
      <c r="F364">
        <f>[1]NhapHang!F364</f>
        <v>0</v>
      </c>
      <c r="G364">
        <f>[1]NhapHang!G364</f>
        <v>0</v>
      </c>
      <c r="H364">
        <f>[1]NhapHang!H364</f>
        <v>0</v>
      </c>
    </row>
    <row r="365" spans="1:8">
      <c r="A365">
        <f>[1]NhapHang!A365</f>
        <v>0</v>
      </c>
      <c r="B365">
        <f>[1]NhapHang!B365</f>
        <v>0</v>
      </c>
      <c r="C365">
        <f>[1]NhapHang!C365</f>
        <v>0</v>
      </c>
      <c r="D365">
        <f>[1]NhapHang!D365</f>
        <v>0</v>
      </c>
      <c r="E365">
        <f>[1]NhapHang!E365</f>
        <v>0</v>
      </c>
      <c r="F365">
        <f>[1]NhapHang!F365</f>
        <v>0</v>
      </c>
      <c r="G365">
        <f>[1]NhapHang!G365</f>
        <v>0</v>
      </c>
      <c r="H365">
        <f>[1]NhapHang!H365</f>
        <v>0</v>
      </c>
    </row>
    <row r="366" spans="1:8">
      <c r="A366">
        <f>[1]NhapHang!A366</f>
        <v>0</v>
      </c>
      <c r="B366">
        <f>[1]NhapHang!B366</f>
        <v>0</v>
      </c>
      <c r="C366">
        <f>[1]NhapHang!C366</f>
        <v>0</v>
      </c>
      <c r="D366">
        <f>[1]NhapHang!D366</f>
        <v>0</v>
      </c>
      <c r="E366">
        <f>[1]NhapHang!E366</f>
        <v>0</v>
      </c>
      <c r="F366">
        <f>[1]NhapHang!F366</f>
        <v>0</v>
      </c>
      <c r="G366">
        <f>[1]NhapHang!G366</f>
        <v>0</v>
      </c>
      <c r="H366">
        <f>[1]NhapHang!H366</f>
        <v>0</v>
      </c>
    </row>
    <row r="367" spans="1:8">
      <c r="A367">
        <f>[1]NhapHang!A367</f>
        <v>0</v>
      </c>
      <c r="B367">
        <f>[1]NhapHang!B367</f>
        <v>0</v>
      </c>
      <c r="C367">
        <f>[1]NhapHang!C367</f>
        <v>0</v>
      </c>
      <c r="D367">
        <f>[1]NhapHang!D367</f>
        <v>0</v>
      </c>
      <c r="E367">
        <f>[1]NhapHang!E367</f>
        <v>0</v>
      </c>
      <c r="F367">
        <f>[1]NhapHang!F367</f>
        <v>0</v>
      </c>
      <c r="G367">
        <f>[1]NhapHang!G367</f>
        <v>0</v>
      </c>
      <c r="H367">
        <f>[1]NhapHang!H367</f>
        <v>0</v>
      </c>
    </row>
    <row r="368" spans="1:8">
      <c r="A368">
        <f>[1]NhapHang!A368</f>
        <v>0</v>
      </c>
      <c r="B368">
        <f>[1]NhapHang!B368</f>
        <v>0</v>
      </c>
      <c r="C368">
        <f>[1]NhapHang!C368</f>
        <v>0</v>
      </c>
      <c r="D368">
        <f>[1]NhapHang!D368</f>
        <v>0</v>
      </c>
      <c r="E368">
        <f>[1]NhapHang!E368</f>
        <v>0</v>
      </c>
      <c r="F368">
        <f>[1]NhapHang!F368</f>
        <v>0</v>
      </c>
      <c r="G368">
        <f>[1]NhapHang!G368</f>
        <v>0</v>
      </c>
      <c r="H368">
        <f>[1]NhapHang!H368</f>
        <v>0</v>
      </c>
    </row>
    <row r="369" spans="1:8">
      <c r="A369">
        <f>[1]NhapHang!A369</f>
        <v>0</v>
      </c>
      <c r="B369">
        <f>[1]NhapHang!B369</f>
        <v>0</v>
      </c>
      <c r="C369">
        <f>[1]NhapHang!C369</f>
        <v>0</v>
      </c>
      <c r="D369">
        <f>[1]NhapHang!D369</f>
        <v>0</v>
      </c>
      <c r="E369">
        <f>[1]NhapHang!E369</f>
        <v>0</v>
      </c>
      <c r="F369">
        <f>[1]NhapHang!F369</f>
        <v>0</v>
      </c>
      <c r="G369">
        <f>[1]NhapHang!G369</f>
        <v>0</v>
      </c>
      <c r="H369">
        <f>[1]NhapHang!H369</f>
        <v>0</v>
      </c>
    </row>
    <row r="370" spans="1:8">
      <c r="A370">
        <f>[1]NhapHang!A370</f>
        <v>0</v>
      </c>
      <c r="B370">
        <f>[1]NhapHang!B370</f>
        <v>0</v>
      </c>
      <c r="C370">
        <f>[1]NhapHang!C370</f>
        <v>0</v>
      </c>
      <c r="D370">
        <f>[1]NhapHang!D370</f>
        <v>0</v>
      </c>
      <c r="E370">
        <f>[1]NhapHang!E370</f>
        <v>0</v>
      </c>
      <c r="F370">
        <f>[1]NhapHang!F370</f>
        <v>0</v>
      </c>
      <c r="G370">
        <f>[1]NhapHang!G370</f>
        <v>0</v>
      </c>
      <c r="H370">
        <f>[1]NhapHang!H370</f>
        <v>0</v>
      </c>
    </row>
    <row r="371" spans="1:8">
      <c r="A371">
        <f>[1]NhapHang!A371</f>
        <v>0</v>
      </c>
      <c r="B371">
        <f>[1]NhapHang!B371</f>
        <v>0</v>
      </c>
      <c r="C371">
        <f>[1]NhapHang!C371</f>
        <v>0</v>
      </c>
      <c r="D371">
        <f>[1]NhapHang!D371</f>
        <v>0</v>
      </c>
      <c r="E371">
        <f>[1]NhapHang!E371</f>
        <v>0</v>
      </c>
      <c r="F371">
        <f>[1]NhapHang!F371</f>
        <v>0</v>
      </c>
      <c r="G371">
        <f>[1]NhapHang!G371</f>
        <v>0</v>
      </c>
      <c r="H371">
        <f>[1]NhapHang!H371</f>
        <v>0</v>
      </c>
    </row>
    <row r="372" spans="1:8">
      <c r="A372">
        <f>[1]NhapHang!A372</f>
        <v>0</v>
      </c>
      <c r="B372">
        <f>[1]NhapHang!B372</f>
        <v>0</v>
      </c>
      <c r="C372">
        <f>[1]NhapHang!C372</f>
        <v>0</v>
      </c>
      <c r="D372">
        <f>[1]NhapHang!D372</f>
        <v>0</v>
      </c>
      <c r="E372">
        <f>[1]NhapHang!E372</f>
        <v>0</v>
      </c>
      <c r="F372">
        <f>[1]NhapHang!F372</f>
        <v>0</v>
      </c>
      <c r="G372">
        <f>[1]NhapHang!G372</f>
        <v>0</v>
      </c>
      <c r="H372">
        <f>[1]NhapHang!H372</f>
        <v>0</v>
      </c>
    </row>
    <row r="373" spans="1:8">
      <c r="A373">
        <f>[1]NhapHang!A373</f>
        <v>0</v>
      </c>
      <c r="B373">
        <f>[1]NhapHang!B373</f>
        <v>0</v>
      </c>
      <c r="C373">
        <f>[1]NhapHang!C373</f>
        <v>0</v>
      </c>
      <c r="D373">
        <f>[1]NhapHang!D373</f>
        <v>0</v>
      </c>
      <c r="E373">
        <f>[1]NhapHang!E373</f>
        <v>0</v>
      </c>
      <c r="F373">
        <f>[1]NhapHang!F373</f>
        <v>0</v>
      </c>
      <c r="G373">
        <f>[1]NhapHang!G373</f>
        <v>0</v>
      </c>
      <c r="H373">
        <f>[1]NhapHang!H373</f>
        <v>0</v>
      </c>
    </row>
    <row r="374" spans="1:8">
      <c r="A374">
        <f>[1]NhapHang!A374</f>
        <v>0</v>
      </c>
      <c r="B374">
        <f>[1]NhapHang!B374</f>
        <v>0</v>
      </c>
      <c r="C374">
        <f>[1]NhapHang!C374</f>
        <v>0</v>
      </c>
      <c r="D374">
        <f>[1]NhapHang!D374</f>
        <v>0</v>
      </c>
      <c r="E374">
        <f>[1]NhapHang!E374</f>
        <v>0</v>
      </c>
      <c r="F374">
        <f>[1]NhapHang!F374</f>
        <v>0</v>
      </c>
      <c r="G374">
        <f>[1]NhapHang!G374</f>
        <v>0</v>
      </c>
      <c r="H374">
        <f>[1]NhapHang!H374</f>
        <v>0</v>
      </c>
    </row>
    <row r="375" spans="1:8">
      <c r="A375">
        <f>[1]NhapHang!A375</f>
        <v>0</v>
      </c>
      <c r="B375">
        <f>[1]NhapHang!B375</f>
        <v>0</v>
      </c>
      <c r="C375">
        <f>[1]NhapHang!C375</f>
        <v>0</v>
      </c>
      <c r="D375">
        <f>[1]NhapHang!D375</f>
        <v>0</v>
      </c>
      <c r="E375">
        <f>[1]NhapHang!E375</f>
        <v>0</v>
      </c>
      <c r="F375">
        <f>[1]NhapHang!F375</f>
        <v>0</v>
      </c>
      <c r="G375">
        <f>[1]NhapHang!G375</f>
        <v>0</v>
      </c>
      <c r="H375">
        <f>[1]NhapHang!H375</f>
        <v>0</v>
      </c>
    </row>
    <row r="376" spans="1:8">
      <c r="A376">
        <f>[1]NhapHang!A376</f>
        <v>0</v>
      </c>
      <c r="B376">
        <f>[1]NhapHang!B376</f>
        <v>0</v>
      </c>
      <c r="C376">
        <f>[1]NhapHang!C376</f>
        <v>0</v>
      </c>
      <c r="D376">
        <f>[1]NhapHang!D376</f>
        <v>0</v>
      </c>
      <c r="E376">
        <f>[1]NhapHang!E376</f>
        <v>0</v>
      </c>
      <c r="F376">
        <f>[1]NhapHang!F376</f>
        <v>0</v>
      </c>
      <c r="G376">
        <f>[1]NhapHang!G376</f>
        <v>0</v>
      </c>
      <c r="H376">
        <f>[1]NhapHang!H376</f>
        <v>0</v>
      </c>
    </row>
    <row r="377" spans="1:8">
      <c r="A377">
        <f>[1]NhapHang!A377</f>
        <v>0</v>
      </c>
      <c r="B377">
        <f>[1]NhapHang!B377</f>
        <v>0</v>
      </c>
      <c r="C377">
        <f>[1]NhapHang!C377</f>
        <v>0</v>
      </c>
      <c r="D377">
        <f>[1]NhapHang!D377</f>
        <v>0</v>
      </c>
      <c r="E377">
        <f>[1]NhapHang!E377</f>
        <v>0</v>
      </c>
      <c r="F377">
        <f>[1]NhapHang!F377</f>
        <v>0</v>
      </c>
      <c r="G377">
        <f>[1]NhapHang!G377</f>
        <v>0</v>
      </c>
      <c r="H377">
        <f>[1]NhapHang!H377</f>
        <v>0</v>
      </c>
    </row>
    <row r="378" spans="1:8">
      <c r="A378">
        <f>[1]NhapHang!A378</f>
        <v>0</v>
      </c>
      <c r="B378">
        <f>[1]NhapHang!B378</f>
        <v>0</v>
      </c>
      <c r="C378">
        <f>[1]NhapHang!C378</f>
        <v>0</v>
      </c>
      <c r="D378">
        <f>[1]NhapHang!D378</f>
        <v>0</v>
      </c>
      <c r="E378">
        <f>[1]NhapHang!E378</f>
        <v>0</v>
      </c>
      <c r="F378">
        <f>[1]NhapHang!F378</f>
        <v>0</v>
      </c>
      <c r="G378">
        <f>[1]NhapHang!G378</f>
        <v>0</v>
      </c>
      <c r="H378">
        <f>[1]NhapHang!H378</f>
        <v>0</v>
      </c>
    </row>
    <row r="379" spans="1:8">
      <c r="A379">
        <f>[1]NhapHang!A379</f>
        <v>0</v>
      </c>
      <c r="B379">
        <f>[1]NhapHang!B379</f>
        <v>0</v>
      </c>
      <c r="C379">
        <f>[1]NhapHang!C379</f>
        <v>0</v>
      </c>
      <c r="D379">
        <f>[1]NhapHang!D379</f>
        <v>0</v>
      </c>
      <c r="E379">
        <f>[1]NhapHang!E379</f>
        <v>0</v>
      </c>
      <c r="F379">
        <f>[1]NhapHang!F379</f>
        <v>0</v>
      </c>
      <c r="G379">
        <f>[1]NhapHang!G379</f>
        <v>0</v>
      </c>
      <c r="H379">
        <f>[1]NhapHang!H379</f>
        <v>0</v>
      </c>
    </row>
    <row r="380" spans="1:8">
      <c r="A380">
        <f>[1]NhapHang!A380</f>
        <v>0</v>
      </c>
      <c r="B380">
        <f>[1]NhapHang!B380</f>
        <v>0</v>
      </c>
      <c r="C380">
        <f>[1]NhapHang!C380</f>
        <v>0</v>
      </c>
      <c r="D380">
        <f>[1]NhapHang!D380</f>
        <v>0</v>
      </c>
      <c r="E380">
        <f>[1]NhapHang!E380</f>
        <v>0</v>
      </c>
      <c r="F380">
        <f>[1]NhapHang!F380</f>
        <v>0</v>
      </c>
      <c r="G380">
        <f>[1]NhapHang!G380</f>
        <v>0</v>
      </c>
      <c r="H380">
        <f>[1]NhapHang!H380</f>
        <v>0</v>
      </c>
    </row>
    <row r="381" spans="1:8">
      <c r="A381">
        <f>[1]NhapHang!A381</f>
        <v>0</v>
      </c>
      <c r="B381">
        <f>[1]NhapHang!B381</f>
        <v>0</v>
      </c>
      <c r="C381">
        <f>[1]NhapHang!C381</f>
        <v>0</v>
      </c>
      <c r="D381">
        <f>[1]NhapHang!D381</f>
        <v>0</v>
      </c>
      <c r="E381">
        <f>[1]NhapHang!E381</f>
        <v>0</v>
      </c>
      <c r="F381">
        <f>[1]NhapHang!F381</f>
        <v>0</v>
      </c>
      <c r="G381">
        <f>[1]NhapHang!G381</f>
        <v>0</v>
      </c>
      <c r="H381">
        <f>[1]NhapHang!H381</f>
        <v>0</v>
      </c>
    </row>
    <row r="382" spans="1:8">
      <c r="A382">
        <f>[1]NhapHang!A382</f>
        <v>0</v>
      </c>
      <c r="B382">
        <f>[1]NhapHang!B382</f>
        <v>0</v>
      </c>
      <c r="C382">
        <f>[1]NhapHang!C382</f>
        <v>0</v>
      </c>
      <c r="D382">
        <f>[1]NhapHang!D382</f>
        <v>0</v>
      </c>
      <c r="E382">
        <f>[1]NhapHang!E382</f>
        <v>0</v>
      </c>
      <c r="F382">
        <f>[1]NhapHang!F382</f>
        <v>0</v>
      </c>
      <c r="G382">
        <f>[1]NhapHang!G382</f>
        <v>0</v>
      </c>
      <c r="H382">
        <f>[1]NhapHang!H382</f>
        <v>0</v>
      </c>
    </row>
    <row r="383" spans="1:8">
      <c r="A383">
        <f>[1]NhapHang!A383</f>
        <v>0</v>
      </c>
      <c r="B383">
        <f>[1]NhapHang!B383</f>
        <v>0</v>
      </c>
      <c r="C383">
        <f>[1]NhapHang!C383</f>
        <v>0</v>
      </c>
      <c r="D383">
        <f>[1]NhapHang!D383</f>
        <v>0</v>
      </c>
      <c r="E383">
        <f>[1]NhapHang!E383</f>
        <v>0</v>
      </c>
      <c r="F383">
        <f>[1]NhapHang!F383</f>
        <v>0</v>
      </c>
      <c r="G383">
        <f>[1]NhapHang!G383</f>
        <v>0</v>
      </c>
      <c r="H383">
        <f>[1]NhapHang!H383</f>
        <v>0</v>
      </c>
    </row>
    <row r="384" spans="1:8">
      <c r="A384">
        <f>[1]NhapHang!A384</f>
        <v>0</v>
      </c>
      <c r="B384">
        <f>[1]NhapHang!B384</f>
        <v>0</v>
      </c>
      <c r="C384">
        <f>[1]NhapHang!C384</f>
        <v>0</v>
      </c>
      <c r="D384">
        <f>[1]NhapHang!D384</f>
        <v>0</v>
      </c>
      <c r="E384">
        <f>[1]NhapHang!E384</f>
        <v>0</v>
      </c>
      <c r="F384">
        <f>[1]NhapHang!F384</f>
        <v>0</v>
      </c>
      <c r="G384">
        <f>[1]NhapHang!G384</f>
        <v>0</v>
      </c>
      <c r="H384">
        <f>[1]NhapHang!H384</f>
        <v>0</v>
      </c>
    </row>
    <row r="385" spans="1:8">
      <c r="A385">
        <f>[1]NhapHang!A385</f>
        <v>0</v>
      </c>
      <c r="B385">
        <f>[1]NhapHang!B385</f>
        <v>0</v>
      </c>
      <c r="C385">
        <f>[1]NhapHang!C385</f>
        <v>0</v>
      </c>
      <c r="D385">
        <f>[1]NhapHang!D385</f>
        <v>0</v>
      </c>
      <c r="E385">
        <f>[1]NhapHang!E385</f>
        <v>0</v>
      </c>
      <c r="F385">
        <f>[1]NhapHang!F385</f>
        <v>0</v>
      </c>
      <c r="G385">
        <f>[1]NhapHang!G385</f>
        <v>0</v>
      </c>
      <c r="H385">
        <f>[1]NhapHang!H385</f>
        <v>0</v>
      </c>
    </row>
    <row r="386" spans="1:8">
      <c r="A386">
        <f>[1]NhapHang!A386</f>
        <v>0</v>
      </c>
      <c r="B386">
        <f>[1]NhapHang!B386</f>
        <v>0</v>
      </c>
      <c r="C386">
        <f>[1]NhapHang!C386</f>
        <v>0</v>
      </c>
      <c r="D386">
        <f>[1]NhapHang!D386</f>
        <v>0</v>
      </c>
      <c r="E386">
        <f>[1]NhapHang!E386</f>
        <v>0</v>
      </c>
      <c r="F386">
        <f>[1]NhapHang!F386</f>
        <v>0</v>
      </c>
      <c r="G386">
        <f>[1]NhapHang!G386</f>
        <v>0</v>
      </c>
      <c r="H386">
        <f>[1]NhapHang!H386</f>
        <v>0</v>
      </c>
    </row>
    <row r="387" spans="1:8">
      <c r="A387">
        <f>[1]NhapHang!A387</f>
        <v>0</v>
      </c>
      <c r="B387">
        <f>[1]NhapHang!B387</f>
        <v>0</v>
      </c>
      <c r="C387">
        <f>[1]NhapHang!C387</f>
        <v>0</v>
      </c>
      <c r="D387">
        <f>[1]NhapHang!D387</f>
        <v>0</v>
      </c>
      <c r="E387">
        <f>[1]NhapHang!E387</f>
        <v>0</v>
      </c>
      <c r="F387">
        <f>[1]NhapHang!F387</f>
        <v>0</v>
      </c>
      <c r="G387">
        <f>[1]NhapHang!G387</f>
        <v>0</v>
      </c>
      <c r="H387">
        <f>[1]NhapHang!H387</f>
        <v>0</v>
      </c>
    </row>
    <row r="388" spans="1:8">
      <c r="A388">
        <f>[1]NhapHang!A388</f>
        <v>0</v>
      </c>
      <c r="B388">
        <f>[1]NhapHang!B388</f>
        <v>0</v>
      </c>
      <c r="C388">
        <f>[1]NhapHang!C388</f>
        <v>0</v>
      </c>
      <c r="D388">
        <f>[1]NhapHang!D388</f>
        <v>0</v>
      </c>
      <c r="E388">
        <f>[1]NhapHang!E388</f>
        <v>0</v>
      </c>
      <c r="F388">
        <f>[1]NhapHang!F388</f>
        <v>0</v>
      </c>
      <c r="G388">
        <f>[1]NhapHang!G388</f>
        <v>0</v>
      </c>
      <c r="H388">
        <f>[1]NhapHang!H388</f>
        <v>0</v>
      </c>
    </row>
    <row r="389" spans="1:8">
      <c r="A389">
        <f>[1]NhapHang!A389</f>
        <v>0</v>
      </c>
      <c r="B389">
        <f>[1]NhapHang!B389</f>
        <v>0</v>
      </c>
      <c r="C389">
        <f>[1]NhapHang!C389</f>
        <v>0</v>
      </c>
      <c r="D389">
        <f>[1]NhapHang!D389</f>
        <v>0</v>
      </c>
      <c r="E389">
        <f>[1]NhapHang!E389</f>
        <v>0</v>
      </c>
      <c r="F389">
        <f>[1]NhapHang!F389</f>
        <v>0</v>
      </c>
      <c r="G389">
        <f>[1]NhapHang!G389</f>
        <v>0</v>
      </c>
      <c r="H389">
        <f>[1]NhapHang!H389</f>
        <v>0</v>
      </c>
    </row>
    <row r="390" spans="1:8">
      <c r="A390">
        <f>[1]NhapHang!A390</f>
        <v>0</v>
      </c>
      <c r="B390">
        <f>[1]NhapHang!B390</f>
        <v>0</v>
      </c>
      <c r="C390">
        <f>[1]NhapHang!C390</f>
        <v>0</v>
      </c>
      <c r="D390">
        <f>[1]NhapHang!D390</f>
        <v>0</v>
      </c>
      <c r="E390">
        <f>[1]NhapHang!E390</f>
        <v>0</v>
      </c>
      <c r="F390">
        <f>[1]NhapHang!F390</f>
        <v>0</v>
      </c>
      <c r="G390">
        <f>[1]NhapHang!G390</f>
        <v>0</v>
      </c>
      <c r="H390">
        <f>[1]NhapHang!H390</f>
        <v>0</v>
      </c>
    </row>
    <row r="391" spans="1:8">
      <c r="A391">
        <f>[1]NhapHang!A391</f>
        <v>0</v>
      </c>
      <c r="B391">
        <f>[1]NhapHang!B391</f>
        <v>0</v>
      </c>
      <c r="C391">
        <f>[1]NhapHang!C391</f>
        <v>0</v>
      </c>
      <c r="D391">
        <f>[1]NhapHang!D391</f>
        <v>0</v>
      </c>
      <c r="E391">
        <f>[1]NhapHang!E391</f>
        <v>0</v>
      </c>
      <c r="F391">
        <f>[1]NhapHang!F391</f>
        <v>0</v>
      </c>
      <c r="G391">
        <f>[1]NhapHang!G391</f>
        <v>0</v>
      </c>
      <c r="H391">
        <f>[1]NhapHang!H391</f>
        <v>0</v>
      </c>
    </row>
    <row r="392" spans="1:8">
      <c r="A392">
        <f>[1]NhapHang!A392</f>
        <v>0</v>
      </c>
      <c r="B392">
        <f>[1]NhapHang!B392</f>
        <v>0</v>
      </c>
      <c r="C392">
        <f>[1]NhapHang!C392</f>
        <v>0</v>
      </c>
      <c r="D392">
        <f>[1]NhapHang!D392</f>
        <v>0</v>
      </c>
      <c r="E392">
        <f>[1]NhapHang!E392</f>
        <v>0</v>
      </c>
      <c r="F392">
        <f>[1]NhapHang!F392</f>
        <v>0</v>
      </c>
      <c r="G392">
        <f>[1]NhapHang!G392</f>
        <v>0</v>
      </c>
      <c r="H392">
        <f>[1]NhapHang!H392</f>
        <v>0</v>
      </c>
    </row>
    <row r="393" spans="1:8">
      <c r="A393">
        <f>[1]NhapHang!A393</f>
        <v>0</v>
      </c>
      <c r="B393">
        <f>[1]NhapHang!B393</f>
        <v>0</v>
      </c>
      <c r="C393">
        <f>[1]NhapHang!C393</f>
        <v>0</v>
      </c>
      <c r="D393">
        <f>[1]NhapHang!D393</f>
        <v>0</v>
      </c>
      <c r="E393">
        <f>[1]NhapHang!E393</f>
        <v>0</v>
      </c>
      <c r="F393">
        <f>[1]NhapHang!F393</f>
        <v>0</v>
      </c>
      <c r="G393">
        <f>[1]NhapHang!G393</f>
        <v>0</v>
      </c>
      <c r="H393">
        <f>[1]NhapHang!H393</f>
        <v>0</v>
      </c>
    </row>
    <row r="394" spans="1:8">
      <c r="A394">
        <f>[1]NhapHang!A394</f>
        <v>0</v>
      </c>
      <c r="B394">
        <f>[1]NhapHang!B394</f>
        <v>0</v>
      </c>
      <c r="C394">
        <f>[1]NhapHang!C394</f>
        <v>0</v>
      </c>
      <c r="D394">
        <f>[1]NhapHang!D394</f>
        <v>0</v>
      </c>
      <c r="E394">
        <f>[1]NhapHang!E394</f>
        <v>0</v>
      </c>
      <c r="F394">
        <f>[1]NhapHang!F394</f>
        <v>0</v>
      </c>
      <c r="G394">
        <f>[1]NhapHang!G394</f>
        <v>0</v>
      </c>
      <c r="H394">
        <f>[1]NhapHang!H394</f>
        <v>0</v>
      </c>
    </row>
    <row r="395" spans="1:8">
      <c r="A395">
        <f>[1]NhapHang!A395</f>
        <v>0</v>
      </c>
      <c r="B395">
        <f>[1]NhapHang!B395</f>
        <v>0</v>
      </c>
      <c r="C395">
        <f>[1]NhapHang!C395</f>
        <v>0</v>
      </c>
      <c r="D395">
        <f>[1]NhapHang!D395</f>
        <v>0</v>
      </c>
      <c r="E395">
        <f>[1]NhapHang!E395</f>
        <v>0</v>
      </c>
      <c r="F395">
        <f>[1]NhapHang!F395</f>
        <v>0</v>
      </c>
      <c r="G395">
        <f>[1]NhapHang!G395</f>
        <v>0</v>
      </c>
      <c r="H395">
        <f>[1]NhapHang!H395</f>
        <v>0</v>
      </c>
    </row>
    <row r="396" spans="1:8">
      <c r="A396">
        <f>[1]NhapHang!A396</f>
        <v>0</v>
      </c>
      <c r="B396">
        <f>[1]NhapHang!B396</f>
        <v>0</v>
      </c>
      <c r="C396">
        <f>[1]NhapHang!C396</f>
        <v>0</v>
      </c>
      <c r="D396">
        <f>[1]NhapHang!D396</f>
        <v>0</v>
      </c>
      <c r="E396">
        <f>[1]NhapHang!E396</f>
        <v>0</v>
      </c>
      <c r="F396">
        <f>[1]NhapHang!F396</f>
        <v>0</v>
      </c>
      <c r="G396">
        <f>[1]NhapHang!G396</f>
        <v>0</v>
      </c>
      <c r="H396">
        <f>[1]NhapHang!H396</f>
        <v>0</v>
      </c>
    </row>
    <row r="397" spans="1:8">
      <c r="A397">
        <f>[1]NhapHang!A397</f>
        <v>0</v>
      </c>
      <c r="B397">
        <f>[1]NhapHang!B397</f>
        <v>0</v>
      </c>
      <c r="C397">
        <f>[1]NhapHang!C397</f>
        <v>0</v>
      </c>
      <c r="D397">
        <f>[1]NhapHang!D397</f>
        <v>0</v>
      </c>
      <c r="E397">
        <f>[1]NhapHang!E397</f>
        <v>0</v>
      </c>
      <c r="F397">
        <f>[1]NhapHang!F397</f>
        <v>0</v>
      </c>
      <c r="G397">
        <f>[1]NhapHang!G397</f>
        <v>0</v>
      </c>
      <c r="H397">
        <f>[1]NhapHang!H397</f>
        <v>0</v>
      </c>
    </row>
    <row r="398" spans="1:8">
      <c r="A398">
        <f>[1]NhapHang!A398</f>
        <v>0</v>
      </c>
      <c r="B398">
        <f>[1]NhapHang!B398</f>
        <v>0</v>
      </c>
      <c r="C398">
        <f>[1]NhapHang!C398</f>
        <v>0</v>
      </c>
      <c r="D398">
        <f>[1]NhapHang!D398</f>
        <v>0</v>
      </c>
      <c r="E398">
        <f>[1]NhapHang!E398</f>
        <v>0</v>
      </c>
      <c r="F398">
        <f>[1]NhapHang!F398</f>
        <v>0</v>
      </c>
      <c r="G398">
        <f>[1]NhapHang!G398</f>
        <v>0</v>
      </c>
      <c r="H398">
        <f>[1]NhapHang!H398</f>
        <v>0</v>
      </c>
    </row>
    <row r="399" spans="1:8">
      <c r="A399">
        <f>[1]NhapHang!A399</f>
        <v>0</v>
      </c>
      <c r="B399">
        <f>[1]NhapHang!B399</f>
        <v>0</v>
      </c>
      <c r="C399">
        <f>[1]NhapHang!C399</f>
        <v>0</v>
      </c>
      <c r="D399">
        <f>[1]NhapHang!D399</f>
        <v>0</v>
      </c>
      <c r="E399">
        <f>[1]NhapHang!E399</f>
        <v>0</v>
      </c>
      <c r="F399">
        <f>[1]NhapHang!F399</f>
        <v>0</v>
      </c>
      <c r="G399">
        <f>[1]NhapHang!G399</f>
        <v>0</v>
      </c>
      <c r="H399">
        <f>[1]NhapHang!H399</f>
        <v>0</v>
      </c>
    </row>
    <row r="400" spans="1:8">
      <c r="A400">
        <f>[1]NhapHang!A400</f>
        <v>0</v>
      </c>
      <c r="B400">
        <f>[1]NhapHang!B400</f>
        <v>0</v>
      </c>
      <c r="C400">
        <f>[1]NhapHang!C400</f>
        <v>0</v>
      </c>
      <c r="D400">
        <f>[1]NhapHang!D400</f>
        <v>0</v>
      </c>
      <c r="E400">
        <f>[1]NhapHang!E400</f>
        <v>0</v>
      </c>
      <c r="F400">
        <f>[1]NhapHang!F400</f>
        <v>0</v>
      </c>
      <c r="G400">
        <f>[1]NhapHang!G400</f>
        <v>0</v>
      </c>
      <c r="H400">
        <f>[1]NhapHang!H400</f>
        <v>0</v>
      </c>
    </row>
    <row r="401" spans="1:8">
      <c r="A401">
        <f>[1]NhapHang!A401</f>
        <v>0</v>
      </c>
      <c r="B401">
        <f>[1]NhapHang!B401</f>
        <v>0</v>
      </c>
      <c r="C401">
        <f>[1]NhapHang!C401</f>
        <v>0</v>
      </c>
      <c r="D401">
        <f>[1]NhapHang!D401</f>
        <v>0</v>
      </c>
      <c r="E401">
        <f>[1]NhapHang!E401</f>
        <v>0</v>
      </c>
      <c r="F401">
        <f>[1]NhapHang!F401</f>
        <v>0</v>
      </c>
      <c r="G401">
        <f>[1]NhapHang!G401</f>
        <v>0</v>
      </c>
      <c r="H401">
        <f>[1]NhapHang!H401</f>
        <v>0</v>
      </c>
    </row>
    <row r="402" spans="1:8">
      <c r="A402">
        <f>[1]NhapHang!A402</f>
        <v>0</v>
      </c>
      <c r="B402">
        <f>[1]NhapHang!B402</f>
        <v>0</v>
      </c>
      <c r="C402">
        <f>[1]NhapHang!C402</f>
        <v>0</v>
      </c>
      <c r="D402">
        <f>[1]NhapHang!D402</f>
        <v>0</v>
      </c>
      <c r="E402">
        <f>[1]NhapHang!E402</f>
        <v>0</v>
      </c>
      <c r="F402">
        <f>[1]NhapHang!F402</f>
        <v>0</v>
      </c>
      <c r="G402">
        <f>[1]NhapHang!G402</f>
        <v>0</v>
      </c>
      <c r="H402">
        <f>[1]NhapHang!H402</f>
        <v>0</v>
      </c>
    </row>
    <row r="403" spans="1:8">
      <c r="A403">
        <f>[1]NhapHang!A403</f>
        <v>0</v>
      </c>
      <c r="B403">
        <f>[1]NhapHang!B403</f>
        <v>0</v>
      </c>
      <c r="C403">
        <f>[1]NhapHang!C403</f>
        <v>0</v>
      </c>
      <c r="D403">
        <f>[1]NhapHang!D403</f>
        <v>0</v>
      </c>
      <c r="E403">
        <f>[1]NhapHang!E403</f>
        <v>0</v>
      </c>
      <c r="F403">
        <f>[1]NhapHang!F403</f>
        <v>0</v>
      </c>
      <c r="G403">
        <f>[1]NhapHang!G403</f>
        <v>0</v>
      </c>
      <c r="H403">
        <f>[1]NhapHang!H403</f>
        <v>0</v>
      </c>
    </row>
    <row r="404" spans="1:8">
      <c r="A404">
        <f>[1]NhapHang!A404</f>
        <v>0</v>
      </c>
      <c r="B404">
        <f>[1]NhapHang!B404</f>
        <v>0</v>
      </c>
      <c r="C404">
        <f>[1]NhapHang!C404</f>
        <v>0</v>
      </c>
      <c r="D404">
        <f>[1]NhapHang!D404</f>
        <v>0</v>
      </c>
      <c r="E404">
        <f>[1]NhapHang!E404</f>
        <v>0</v>
      </c>
      <c r="F404">
        <f>[1]NhapHang!F404</f>
        <v>0</v>
      </c>
      <c r="G404">
        <f>[1]NhapHang!G404</f>
        <v>0</v>
      </c>
      <c r="H404">
        <f>[1]NhapHang!H404</f>
        <v>0</v>
      </c>
    </row>
    <row r="405" spans="1:8">
      <c r="A405">
        <f>[1]NhapHang!A405</f>
        <v>0</v>
      </c>
      <c r="B405">
        <f>[1]NhapHang!B405</f>
        <v>0</v>
      </c>
      <c r="C405">
        <f>[1]NhapHang!C405</f>
        <v>0</v>
      </c>
      <c r="D405">
        <f>[1]NhapHang!D405</f>
        <v>0</v>
      </c>
      <c r="E405">
        <f>[1]NhapHang!E405</f>
        <v>0</v>
      </c>
      <c r="F405">
        <f>[1]NhapHang!F405</f>
        <v>0</v>
      </c>
      <c r="G405">
        <f>[1]NhapHang!G405</f>
        <v>0</v>
      </c>
      <c r="H405">
        <f>[1]NhapHang!H405</f>
        <v>0</v>
      </c>
    </row>
    <row r="406" spans="1:8">
      <c r="A406">
        <f>[1]NhapHang!A406</f>
        <v>0</v>
      </c>
      <c r="B406">
        <f>[1]NhapHang!B406</f>
        <v>0</v>
      </c>
      <c r="C406">
        <f>[1]NhapHang!C406</f>
        <v>0</v>
      </c>
      <c r="D406">
        <f>[1]NhapHang!D406</f>
        <v>0</v>
      </c>
      <c r="E406">
        <f>[1]NhapHang!E406</f>
        <v>0</v>
      </c>
      <c r="F406">
        <f>[1]NhapHang!F406</f>
        <v>0</v>
      </c>
      <c r="G406">
        <f>[1]NhapHang!G406</f>
        <v>0</v>
      </c>
      <c r="H406">
        <f>[1]NhapHang!H406</f>
        <v>0</v>
      </c>
    </row>
    <row r="407" spans="1:8">
      <c r="A407">
        <f>[1]NhapHang!A407</f>
        <v>0</v>
      </c>
      <c r="B407">
        <f>[1]NhapHang!B407</f>
        <v>0</v>
      </c>
      <c r="C407">
        <f>[1]NhapHang!C407</f>
        <v>0</v>
      </c>
      <c r="D407">
        <f>[1]NhapHang!D407</f>
        <v>0</v>
      </c>
      <c r="E407">
        <f>[1]NhapHang!E407</f>
        <v>0</v>
      </c>
      <c r="F407">
        <f>[1]NhapHang!F407</f>
        <v>0</v>
      </c>
      <c r="G407">
        <f>[1]NhapHang!G407</f>
        <v>0</v>
      </c>
      <c r="H407">
        <f>[1]NhapHang!H407</f>
        <v>0</v>
      </c>
    </row>
    <row r="408" spans="1:8">
      <c r="A408">
        <f>[1]NhapHang!A408</f>
        <v>0</v>
      </c>
      <c r="B408">
        <f>[1]NhapHang!B408</f>
        <v>0</v>
      </c>
      <c r="C408">
        <f>[1]NhapHang!C408</f>
        <v>0</v>
      </c>
      <c r="D408">
        <f>[1]NhapHang!D408</f>
        <v>0</v>
      </c>
      <c r="E408">
        <f>[1]NhapHang!E408</f>
        <v>0</v>
      </c>
      <c r="F408">
        <f>[1]NhapHang!F408</f>
        <v>0</v>
      </c>
      <c r="G408">
        <f>[1]NhapHang!G408</f>
        <v>0</v>
      </c>
      <c r="H408">
        <f>[1]NhapHang!H408</f>
        <v>0</v>
      </c>
    </row>
    <row r="409" spans="1:8">
      <c r="A409">
        <f>[1]NhapHang!A409</f>
        <v>0</v>
      </c>
      <c r="B409">
        <f>[1]NhapHang!B409</f>
        <v>0</v>
      </c>
      <c r="C409">
        <f>[1]NhapHang!C409</f>
        <v>0</v>
      </c>
      <c r="D409">
        <f>[1]NhapHang!D409</f>
        <v>0</v>
      </c>
      <c r="E409">
        <f>[1]NhapHang!E409</f>
        <v>0</v>
      </c>
      <c r="F409">
        <f>[1]NhapHang!F409</f>
        <v>0</v>
      </c>
      <c r="G409">
        <f>[1]NhapHang!G409</f>
        <v>0</v>
      </c>
      <c r="H409">
        <f>[1]NhapHang!H409</f>
        <v>0</v>
      </c>
    </row>
    <row r="410" spans="1:8">
      <c r="A410">
        <f>[1]NhapHang!A410</f>
        <v>0</v>
      </c>
      <c r="B410">
        <f>[1]NhapHang!B410</f>
        <v>0</v>
      </c>
      <c r="C410">
        <f>[1]NhapHang!C410</f>
        <v>0</v>
      </c>
      <c r="D410">
        <f>[1]NhapHang!D410</f>
        <v>0</v>
      </c>
      <c r="E410">
        <f>[1]NhapHang!E410</f>
        <v>0</v>
      </c>
      <c r="F410">
        <f>[1]NhapHang!F410</f>
        <v>0</v>
      </c>
      <c r="G410">
        <f>[1]NhapHang!G410</f>
        <v>0</v>
      </c>
      <c r="H410">
        <f>[1]NhapHang!H410</f>
        <v>0</v>
      </c>
    </row>
    <row r="411" spans="1:8">
      <c r="A411">
        <f>[1]NhapHang!A411</f>
        <v>0</v>
      </c>
      <c r="B411">
        <f>[1]NhapHang!B411</f>
        <v>0</v>
      </c>
      <c r="C411">
        <f>[1]NhapHang!C411</f>
        <v>0</v>
      </c>
      <c r="D411">
        <f>[1]NhapHang!D411</f>
        <v>0</v>
      </c>
      <c r="E411">
        <f>[1]NhapHang!E411</f>
        <v>0</v>
      </c>
      <c r="F411">
        <f>[1]NhapHang!F411</f>
        <v>0</v>
      </c>
      <c r="G411">
        <f>[1]NhapHang!G411</f>
        <v>0</v>
      </c>
      <c r="H411">
        <f>[1]NhapHang!H411</f>
        <v>0</v>
      </c>
    </row>
    <row r="412" spans="1:8">
      <c r="A412">
        <f>[1]NhapHang!A412</f>
        <v>0</v>
      </c>
      <c r="B412">
        <f>[1]NhapHang!B412</f>
        <v>0</v>
      </c>
      <c r="C412">
        <f>[1]NhapHang!C412</f>
        <v>0</v>
      </c>
      <c r="D412">
        <f>[1]NhapHang!D412</f>
        <v>0</v>
      </c>
      <c r="E412">
        <f>[1]NhapHang!E412</f>
        <v>0</v>
      </c>
      <c r="F412">
        <f>[1]NhapHang!F412</f>
        <v>0</v>
      </c>
      <c r="G412">
        <f>[1]NhapHang!G412</f>
        <v>0</v>
      </c>
      <c r="H412">
        <f>[1]NhapHang!H412</f>
        <v>0</v>
      </c>
    </row>
    <row r="413" spans="1:8">
      <c r="A413">
        <f>[1]NhapHang!A413</f>
        <v>0</v>
      </c>
      <c r="B413">
        <f>[1]NhapHang!B413</f>
        <v>0</v>
      </c>
      <c r="C413">
        <f>[1]NhapHang!C413</f>
        <v>0</v>
      </c>
      <c r="D413">
        <f>[1]NhapHang!D413</f>
        <v>0</v>
      </c>
      <c r="E413">
        <f>[1]NhapHang!E413</f>
        <v>0</v>
      </c>
      <c r="F413">
        <f>[1]NhapHang!F413</f>
        <v>0</v>
      </c>
      <c r="G413">
        <f>[1]NhapHang!G413</f>
        <v>0</v>
      </c>
      <c r="H413">
        <f>[1]NhapHang!H413</f>
        <v>0</v>
      </c>
    </row>
    <row r="414" spans="1:8">
      <c r="A414">
        <f>[1]NhapHang!A414</f>
        <v>0</v>
      </c>
      <c r="B414">
        <f>[1]NhapHang!B414</f>
        <v>0</v>
      </c>
      <c r="C414">
        <f>[1]NhapHang!C414</f>
        <v>0</v>
      </c>
      <c r="D414">
        <f>[1]NhapHang!D414</f>
        <v>0</v>
      </c>
      <c r="E414">
        <f>[1]NhapHang!E414</f>
        <v>0</v>
      </c>
      <c r="F414">
        <f>[1]NhapHang!F414</f>
        <v>0</v>
      </c>
      <c r="G414">
        <f>[1]NhapHang!G414</f>
        <v>0</v>
      </c>
      <c r="H414">
        <f>[1]NhapHang!H414</f>
        <v>0</v>
      </c>
    </row>
    <row r="415" spans="1:8">
      <c r="A415">
        <f>[1]NhapHang!A415</f>
        <v>0</v>
      </c>
      <c r="B415">
        <f>[1]NhapHang!B415</f>
        <v>0</v>
      </c>
      <c r="C415">
        <f>[1]NhapHang!C415</f>
        <v>0</v>
      </c>
      <c r="D415">
        <f>[1]NhapHang!D415</f>
        <v>0</v>
      </c>
      <c r="E415">
        <f>[1]NhapHang!E415</f>
        <v>0</v>
      </c>
      <c r="F415">
        <f>[1]NhapHang!F415</f>
        <v>0</v>
      </c>
      <c r="G415">
        <f>[1]NhapHang!G415</f>
        <v>0</v>
      </c>
      <c r="H415">
        <f>[1]NhapHang!H415</f>
        <v>0</v>
      </c>
    </row>
    <row r="416" spans="1:8">
      <c r="A416">
        <f>[1]NhapHang!A416</f>
        <v>0</v>
      </c>
      <c r="B416">
        <f>[1]NhapHang!B416</f>
        <v>0</v>
      </c>
      <c r="C416">
        <f>[1]NhapHang!C416</f>
        <v>0</v>
      </c>
      <c r="D416">
        <f>[1]NhapHang!D416</f>
        <v>0</v>
      </c>
      <c r="E416">
        <f>[1]NhapHang!E416</f>
        <v>0</v>
      </c>
      <c r="F416">
        <f>[1]NhapHang!F416</f>
        <v>0</v>
      </c>
      <c r="G416">
        <f>[1]NhapHang!G416</f>
        <v>0</v>
      </c>
      <c r="H416">
        <f>[1]NhapHang!H416</f>
        <v>0</v>
      </c>
    </row>
    <row r="417" spans="1:8">
      <c r="A417">
        <f>[1]NhapHang!A417</f>
        <v>0</v>
      </c>
      <c r="B417">
        <f>[1]NhapHang!B417</f>
        <v>0</v>
      </c>
      <c r="C417">
        <f>[1]NhapHang!C417</f>
        <v>0</v>
      </c>
      <c r="D417">
        <f>[1]NhapHang!D417</f>
        <v>0</v>
      </c>
      <c r="E417">
        <f>[1]NhapHang!E417</f>
        <v>0</v>
      </c>
      <c r="F417">
        <f>[1]NhapHang!F417</f>
        <v>0</v>
      </c>
      <c r="G417">
        <f>[1]NhapHang!G417</f>
        <v>0</v>
      </c>
      <c r="H417">
        <f>[1]NhapHang!H417</f>
        <v>0</v>
      </c>
    </row>
    <row r="418" spans="1:8">
      <c r="A418">
        <f>[1]NhapHang!A418</f>
        <v>0</v>
      </c>
      <c r="B418">
        <f>[1]NhapHang!B418</f>
        <v>0</v>
      </c>
      <c r="C418">
        <f>[1]NhapHang!C418</f>
        <v>0</v>
      </c>
      <c r="D418">
        <f>[1]NhapHang!D418</f>
        <v>0</v>
      </c>
      <c r="E418">
        <f>[1]NhapHang!E418</f>
        <v>0</v>
      </c>
      <c r="F418">
        <f>[1]NhapHang!F418</f>
        <v>0</v>
      </c>
      <c r="G418">
        <f>[1]NhapHang!G418</f>
        <v>0</v>
      </c>
      <c r="H418">
        <f>[1]NhapHang!H418</f>
        <v>0</v>
      </c>
    </row>
    <row r="419" spans="1:8">
      <c r="A419">
        <f>[1]NhapHang!A419</f>
        <v>0</v>
      </c>
      <c r="B419">
        <f>[1]NhapHang!B419</f>
        <v>0</v>
      </c>
      <c r="C419">
        <f>[1]NhapHang!C419</f>
        <v>0</v>
      </c>
      <c r="D419">
        <f>[1]NhapHang!D419</f>
        <v>0</v>
      </c>
      <c r="E419">
        <f>[1]NhapHang!E419</f>
        <v>0</v>
      </c>
      <c r="F419">
        <f>[1]NhapHang!F419</f>
        <v>0</v>
      </c>
      <c r="G419">
        <f>[1]NhapHang!G419</f>
        <v>0</v>
      </c>
      <c r="H419">
        <f>[1]NhapHang!H419</f>
        <v>0</v>
      </c>
    </row>
    <row r="420" spans="1:8">
      <c r="A420">
        <f>[1]NhapHang!A420</f>
        <v>0</v>
      </c>
      <c r="B420">
        <f>[1]NhapHang!B420</f>
        <v>0</v>
      </c>
      <c r="C420">
        <f>[1]NhapHang!C420</f>
        <v>0</v>
      </c>
      <c r="D420">
        <f>[1]NhapHang!D420</f>
        <v>0</v>
      </c>
      <c r="E420">
        <f>[1]NhapHang!E420</f>
        <v>0</v>
      </c>
      <c r="F420">
        <f>[1]NhapHang!F420</f>
        <v>0</v>
      </c>
      <c r="G420">
        <f>[1]NhapHang!G420</f>
        <v>0</v>
      </c>
      <c r="H420">
        <f>[1]NhapHang!H420</f>
        <v>0</v>
      </c>
    </row>
    <row r="421" spans="1:8">
      <c r="A421">
        <f>[1]NhapHang!A421</f>
        <v>0</v>
      </c>
      <c r="B421">
        <f>[1]NhapHang!B421</f>
        <v>0</v>
      </c>
      <c r="C421">
        <f>[1]NhapHang!C421</f>
        <v>0</v>
      </c>
      <c r="D421">
        <f>[1]NhapHang!D421</f>
        <v>0</v>
      </c>
      <c r="E421">
        <f>[1]NhapHang!E421</f>
        <v>0</v>
      </c>
      <c r="F421">
        <f>[1]NhapHang!F421</f>
        <v>0</v>
      </c>
      <c r="G421">
        <f>[1]NhapHang!G421</f>
        <v>0</v>
      </c>
      <c r="H421">
        <f>[1]NhapHang!H421</f>
        <v>0</v>
      </c>
    </row>
    <row r="422" spans="1:8">
      <c r="A422">
        <f>[1]NhapHang!A422</f>
        <v>0</v>
      </c>
      <c r="B422">
        <f>[1]NhapHang!B422</f>
        <v>0</v>
      </c>
      <c r="C422">
        <f>[1]NhapHang!C422</f>
        <v>0</v>
      </c>
      <c r="D422">
        <f>[1]NhapHang!D422</f>
        <v>0</v>
      </c>
      <c r="E422">
        <f>[1]NhapHang!E422</f>
        <v>0</v>
      </c>
      <c r="F422">
        <f>[1]NhapHang!F422</f>
        <v>0</v>
      </c>
      <c r="G422">
        <f>[1]NhapHang!G422</f>
        <v>0</v>
      </c>
      <c r="H422">
        <f>[1]NhapHang!H422</f>
        <v>0</v>
      </c>
    </row>
    <row r="423" spans="1:8">
      <c r="A423">
        <f>[1]NhapHang!A423</f>
        <v>0</v>
      </c>
      <c r="B423">
        <f>[1]NhapHang!B423</f>
        <v>0</v>
      </c>
      <c r="C423">
        <f>[1]NhapHang!C423</f>
        <v>0</v>
      </c>
      <c r="D423">
        <f>[1]NhapHang!D423</f>
        <v>0</v>
      </c>
      <c r="E423">
        <f>[1]NhapHang!E423</f>
        <v>0</v>
      </c>
      <c r="F423">
        <f>[1]NhapHang!F423</f>
        <v>0</v>
      </c>
      <c r="G423">
        <f>[1]NhapHang!G423</f>
        <v>0</v>
      </c>
      <c r="H423">
        <f>[1]NhapHang!H423</f>
        <v>0</v>
      </c>
    </row>
    <row r="424" spans="1:8">
      <c r="A424">
        <f>[1]NhapHang!A424</f>
        <v>0</v>
      </c>
      <c r="B424">
        <f>[1]NhapHang!B424</f>
        <v>0</v>
      </c>
      <c r="C424">
        <f>[1]NhapHang!C424</f>
        <v>0</v>
      </c>
      <c r="D424">
        <f>[1]NhapHang!D424</f>
        <v>0</v>
      </c>
      <c r="E424">
        <f>[1]NhapHang!E424</f>
        <v>0</v>
      </c>
      <c r="F424">
        <f>[1]NhapHang!F424</f>
        <v>0</v>
      </c>
      <c r="G424">
        <f>[1]NhapHang!G424</f>
        <v>0</v>
      </c>
      <c r="H424">
        <f>[1]NhapHang!H424</f>
        <v>0</v>
      </c>
    </row>
    <row r="425" spans="1:8">
      <c r="A425">
        <f>[1]NhapHang!A425</f>
        <v>0</v>
      </c>
      <c r="B425">
        <f>[1]NhapHang!B425</f>
        <v>0</v>
      </c>
      <c r="C425">
        <f>[1]NhapHang!C425</f>
        <v>0</v>
      </c>
      <c r="D425">
        <f>[1]NhapHang!D425</f>
        <v>0</v>
      </c>
      <c r="E425">
        <f>[1]NhapHang!E425</f>
        <v>0</v>
      </c>
      <c r="F425">
        <f>[1]NhapHang!F425</f>
        <v>0</v>
      </c>
      <c r="G425">
        <f>[1]NhapHang!G425</f>
        <v>0</v>
      </c>
      <c r="H425">
        <f>[1]NhapHang!H425</f>
        <v>0</v>
      </c>
    </row>
    <row r="426" spans="1:8">
      <c r="A426">
        <f>[1]NhapHang!A426</f>
        <v>0</v>
      </c>
      <c r="B426">
        <f>[1]NhapHang!B426</f>
        <v>0</v>
      </c>
      <c r="C426">
        <f>[1]NhapHang!C426</f>
        <v>0</v>
      </c>
      <c r="D426">
        <f>[1]NhapHang!D426</f>
        <v>0</v>
      </c>
      <c r="E426">
        <f>[1]NhapHang!E426</f>
        <v>0</v>
      </c>
      <c r="F426">
        <f>[1]NhapHang!F426</f>
        <v>0</v>
      </c>
      <c r="G426">
        <f>[1]NhapHang!G426</f>
        <v>0</v>
      </c>
      <c r="H426">
        <f>[1]NhapHang!H426</f>
        <v>0</v>
      </c>
    </row>
    <row r="427" spans="1:8">
      <c r="A427">
        <f>[1]NhapHang!A427</f>
        <v>0</v>
      </c>
      <c r="B427">
        <f>[1]NhapHang!B427</f>
        <v>0</v>
      </c>
      <c r="C427">
        <f>[1]NhapHang!C427</f>
        <v>0</v>
      </c>
      <c r="D427">
        <f>[1]NhapHang!D427</f>
        <v>0</v>
      </c>
      <c r="E427">
        <f>[1]NhapHang!E427</f>
        <v>0</v>
      </c>
      <c r="F427">
        <f>[1]NhapHang!F427</f>
        <v>0</v>
      </c>
      <c r="G427">
        <f>[1]NhapHang!G427</f>
        <v>0</v>
      </c>
      <c r="H427">
        <f>[1]NhapHang!H427</f>
        <v>0</v>
      </c>
    </row>
    <row r="428" spans="1:8">
      <c r="A428">
        <f>[1]NhapHang!A428</f>
        <v>0</v>
      </c>
      <c r="B428">
        <f>[1]NhapHang!B428</f>
        <v>0</v>
      </c>
      <c r="C428">
        <f>[1]NhapHang!C428</f>
        <v>0</v>
      </c>
      <c r="D428">
        <f>[1]NhapHang!D428</f>
        <v>0</v>
      </c>
      <c r="E428">
        <f>[1]NhapHang!E428</f>
        <v>0</v>
      </c>
      <c r="F428">
        <f>[1]NhapHang!F428</f>
        <v>0</v>
      </c>
      <c r="G428">
        <f>[1]NhapHang!G428</f>
        <v>0</v>
      </c>
      <c r="H428">
        <f>[1]NhapHang!H428</f>
        <v>0</v>
      </c>
    </row>
    <row r="429" spans="1:8">
      <c r="A429">
        <f>[1]NhapHang!A429</f>
        <v>0</v>
      </c>
      <c r="B429">
        <f>[1]NhapHang!B429</f>
        <v>0</v>
      </c>
      <c r="C429">
        <f>[1]NhapHang!C429</f>
        <v>0</v>
      </c>
      <c r="D429">
        <f>[1]NhapHang!D429</f>
        <v>0</v>
      </c>
      <c r="E429">
        <f>[1]NhapHang!E429</f>
        <v>0</v>
      </c>
      <c r="F429">
        <f>[1]NhapHang!F429</f>
        <v>0</v>
      </c>
      <c r="G429">
        <f>[1]NhapHang!G429</f>
        <v>0</v>
      </c>
      <c r="H429">
        <f>[1]NhapHang!H429</f>
        <v>0</v>
      </c>
    </row>
    <row r="430" spans="1:8">
      <c r="A430">
        <f>[1]NhapHang!A430</f>
        <v>0</v>
      </c>
      <c r="B430">
        <f>[1]NhapHang!B430</f>
        <v>0</v>
      </c>
      <c r="C430">
        <f>[1]NhapHang!C430</f>
        <v>0</v>
      </c>
      <c r="D430">
        <f>[1]NhapHang!D430</f>
        <v>0</v>
      </c>
      <c r="E430">
        <f>[1]NhapHang!E430</f>
        <v>0</v>
      </c>
      <c r="F430">
        <f>[1]NhapHang!F430</f>
        <v>0</v>
      </c>
      <c r="G430">
        <f>[1]NhapHang!G430</f>
        <v>0</v>
      </c>
      <c r="H430">
        <f>[1]NhapHang!H430</f>
        <v>0</v>
      </c>
    </row>
    <row r="431" spans="1:8">
      <c r="A431">
        <f>[1]NhapHang!A431</f>
        <v>0</v>
      </c>
      <c r="B431">
        <f>[1]NhapHang!B431</f>
        <v>0</v>
      </c>
      <c r="C431">
        <f>[1]NhapHang!C431</f>
        <v>0</v>
      </c>
      <c r="D431">
        <f>[1]NhapHang!D431</f>
        <v>0</v>
      </c>
      <c r="E431">
        <f>[1]NhapHang!E431</f>
        <v>0</v>
      </c>
      <c r="F431">
        <f>[1]NhapHang!F431</f>
        <v>0</v>
      </c>
      <c r="G431">
        <f>[1]NhapHang!G431</f>
        <v>0</v>
      </c>
      <c r="H431">
        <f>[1]NhapHang!H431</f>
        <v>0</v>
      </c>
    </row>
    <row r="432" spans="1:8">
      <c r="A432">
        <f>[1]NhapHang!A432</f>
        <v>0</v>
      </c>
      <c r="B432">
        <f>[1]NhapHang!B432</f>
        <v>0</v>
      </c>
      <c r="C432">
        <f>[1]NhapHang!C432</f>
        <v>0</v>
      </c>
      <c r="D432">
        <f>[1]NhapHang!D432</f>
        <v>0</v>
      </c>
      <c r="E432">
        <f>[1]NhapHang!E432</f>
        <v>0</v>
      </c>
      <c r="F432">
        <f>[1]NhapHang!F432</f>
        <v>0</v>
      </c>
      <c r="G432">
        <f>[1]NhapHang!G432</f>
        <v>0</v>
      </c>
      <c r="H432">
        <f>[1]NhapHang!H432</f>
        <v>0</v>
      </c>
    </row>
    <row r="433" spans="1:8">
      <c r="A433">
        <f>[1]NhapHang!A433</f>
        <v>0</v>
      </c>
      <c r="B433">
        <f>[1]NhapHang!B433</f>
        <v>0</v>
      </c>
      <c r="C433">
        <f>[1]NhapHang!C433</f>
        <v>0</v>
      </c>
      <c r="D433">
        <f>[1]NhapHang!D433</f>
        <v>0</v>
      </c>
      <c r="E433">
        <f>[1]NhapHang!E433</f>
        <v>0</v>
      </c>
      <c r="F433">
        <f>[1]NhapHang!F433</f>
        <v>0</v>
      </c>
      <c r="G433">
        <f>[1]NhapHang!G433</f>
        <v>0</v>
      </c>
      <c r="H433">
        <f>[1]NhapHang!H433</f>
        <v>0</v>
      </c>
    </row>
    <row r="434" spans="1:8">
      <c r="A434">
        <f>[1]NhapHang!A434</f>
        <v>0</v>
      </c>
      <c r="B434">
        <f>[1]NhapHang!B434</f>
        <v>0</v>
      </c>
      <c r="C434">
        <f>[1]NhapHang!C434</f>
        <v>0</v>
      </c>
      <c r="D434">
        <f>[1]NhapHang!D434</f>
        <v>0</v>
      </c>
      <c r="E434">
        <f>[1]NhapHang!E434</f>
        <v>0</v>
      </c>
      <c r="F434">
        <f>[1]NhapHang!F434</f>
        <v>0</v>
      </c>
      <c r="G434">
        <f>[1]NhapHang!G434</f>
        <v>0</v>
      </c>
      <c r="H434">
        <f>[1]NhapHang!H434</f>
        <v>0</v>
      </c>
    </row>
    <row r="435" spans="1:8">
      <c r="A435">
        <f>[1]NhapHang!A435</f>
        <v>0</v>
      </c>
      <c r="B435">
        <f>[1]NhapHang!B435</f>
        <v>0</v>
      </c>
      <c r="C435">
        <f>[1]NhapHang!C435</f>
        <v>0</v>
      </c>
      <c r="D435">
        <f>[1]NhapHang!D435</f>
        <v>0</v>
      </c>
      <c r="E435">
        <f>[1]NhapHang!E435</f>
        <v>0</v>
      </c>
      <c r="F435">
        <f>[1]NhapHang!F435</f>
        <v>0</v>
      </c>
      <c r="G435">
        <f>[1]NhapHang!G435</f>
        <v>0</v>
      </c>
      <c r="H435">
        <f>[1]NhapHang!H435</f>
        <v>0</v>
      </c>
    </row>
    <row r="436" spans="1:8">
      <c r="A436">
        <f>[1]NhapHang!A436</f>
        <v>0</v>
      </c>
      <c r="B436">
        <f>[1]NhapHang!B436</f>
        <v>0</v>
      </c>
      <c r="C436">
        <f>[1]NhapHang!C436</f>
        <v>0</v>
      </c>
      <c r="D436">
        <f>[1]NhapHang!D436</f>
        <v>0</v>
      </c>
      <c r="E436">
        <f>[1]NhapHang!E436</f>
        <v>0</v>
      </c>
      <c r="F436">
        <f>[1]NhapHang!F436</f>
        <v>0</v>
      </c>
      <c r="G436">
        <f>[1]NhapHang!G436</f>
        <v>0</v>
      </c>
      <c r="H436">
        <f>[1]NhapHang!H436</f>
        <v>0</v>
      </c>
    </row>
    <row r="437" spans="1:8">
      <c r="A437">
        <f>[1]NhapHang!A437</f>
        <v>0</v>
      </c>
      <c r="B437">
        <f>[1]NhapHang!B437</f>
        <v>0</v>
      </c>
      <c r="C437">
        <f>[1]NhapHang!C437</f>
        <v>0</v>
      </c>
      <c r="D437">
        <f>[1]NhapHang!D437</f>
        <v>0</v>
      </c>
      <c r="E437">
        <f>[1]NhapHang!E437</f>
        <v>0</v>
      </c>
      <c r="F437">
        <f>[1]NhapHang!F437</f>
        <v>0</v>
      </c>
      <c r="G437">
        <f>[1]NhapHang!G437</f>
        <v>0</v>
      </c>
      <c r="H437">
        <f>[1]NhapHang!H437</f>
        <v>0</v>
      </c>
    </row>
    <row r="438" spans="1:8">
      <c r="A438">
        <f>[1]NhapHang!A438</f>
        <v>0</v>
      </c>
      <c r="B438">
        <f>[1]NhapHang!B438</f>
        <v>0</v>
      </c>
      <c r="C438">
        <f>[1]NhapHang!C438</f>
        <v>0</v>
      </c>
      <c r="D438">
        <f>[1]NhapHang!D438</f>
        <v>0</v>
      </c>
      <c r="E438">
        <f>[1]NhapHang!E438</f>
        <v>0</v>
      </c>
      <c r="F438">
        <f>[1]NhapHang!F438</f>
        <v>0</v>
      </c>
      <c r="G438">
        <f>[1]NhapHang!G438</f>
        <v>0</v>
      </c>
      <c r="H438">
        <f>[1]NhapHang!H438</f>
        <v>0</v>
      </c>
    </row>
    <row r="439" spans="1:8">
      <c r="A439">
        <f>[1]NhapHang!A439</f>
        <v>0</v>
      </c>
      <c r="B439">
        <f>[1]NhapHang!B439</f>
        <v>0</v>
      </c>
      <c r="C439">
        <f>[1]NhapHang!C439</f>
        <v>0</v>
      </c>
      <c r="D439">
        <f>[1]NhapHang!D439</f>
        <v>0</v>
      </c>
      <c r="E439">
        <f>[1]NhapHang!E439</f>
        <v>0</v>
      </c>
      <c r="F439">
        <f>[1]NhapHang!F439</f>
        <v>0</v>
      </c>
      <c r="G439">
        <f>[1]NhapHang!G439</f>
        <v>0</v>
      </c>
      <c r="H439">
        <f>[1]NhapHang!H439</f>
        <v>0</v>
      </c>
    </row>
    <row r="440" spans="1:8">
      <c r="A440">
        <f>[1]NhapHang!A440</f>
        <v>0</v>
      </c>
      <c r="B440">
        <f>[1]NhapHang!B440</f>
        <v>0</v>
      </c>
      <c r="C440">
        <f>[1]NhapHang!C440</f>
        <v>0</v>
      </c>
      <c r="D440">
        <f>[1]NhapHang!D440</f>
        <v>0</v>
      </c>
      <c r="E440">
        <f>[1]NhapHang!E440</f>
        <v>0</v>
      </c>
      <c r="F440">
        <f>[1]NhapHang!F440</f>
        <v>0</v>
      </c>
      <c r="G440">
        <f>[1]NhapHang!G440</f>
        <v>0</v>
      </c>
      <c r="H440">
        <f>[1]NhapHang!H440</f>
        <v>0</v>
      </c>
    </row>
    <row r="441" spans="1:8">
      <c r="A441">
        <f>[1]NhapHang!A441</f>
        <v>0</v>
      </c>
      <c r="B441">
        <f>[1]NhapHang!B441</f>
        <v>0</v>
      </c>
      <c r="C441">
        <f>[1]NhapHang!C441</f>
        <v>0</v>
      </c>
      <c r="D441">
        <f>[1]NhapHang!D441</f>
        <v>0</v>
      </c>
      <c r="E441">
        <f>[1]NhapHang!E441</f>
        <v>0</v>
      </c>
      <c r="F441">
        <f>[1]NhapHang!F441</f>
        <v>0</v>
      </c>
      <c r="G441">
        <f>[1]NhapHang!G441</f>
        <v>0</v>
      </c>
      <c r="H441">
        <f>[1]NhapHang!H441</f>
        <v>0</v>
      </c>
    </row>
    <row r="442" spans="1:8">
      <c r="A442">
        <f>[1]NhapHang!A442</f>
        <v>0</v>
      </c>
      <c r="B442">
        <f>[1]NhapHang!B442</f>
        <v>0</v>
      </c>
      <c r="C442">
        <f>[1]NhapHang!C442</f>
        <v>0</v>
      </c>
      <c r="D442">
        <f>[1]NhapHang!D442</f>
        <v>0</v>
      </c>
      <c r="E442">
        <f>[1]NhapHang!E442</f>
        <v>0</v>
      </c>
      <c r="F442">
        <f>[1]NhapHang!F442</f>
        <v>0</v>
      </c>
      <c r="G442">
        <f>[1]NhapHang!G442</f>
        <v>0</v>
      </c>
      <c r="H442">
        <f>[1]NhapHang!H442</f>
        <v>0</v>
      </c>
    </row>
    <row r="443" spans="1:8">
      <c r="A443">
        <f>[1]NhapHang!A443</f>
        <v>0</v>
      </c>
      <c r="B443">
        <f>[1]NhapHang!B443</f>
        <v>0</v>
      </c>
      <c r="C443">
        <f>[1]NhapHang!C443</f>
        <v>0</v>
      </c>
      <c r="D443">
        <f>[1]NhapHang!D443</f>
        <v>0</v>
      </c>
      <c r="E443">
        <f>[1]NhapHang!E443</f>
        <v>0</v>
      </c>
      <c r="F443">
        <f>[1]NhapHang!F443</f>
        <v>0</v>
      </c>
      <c r="G443">
        <f>[1]NhapHang!G443</f>
        <v>0</v>
      </c>
      <c r="H443">
        <f>[1]NhapHang!H443</f>
        <v>0</v>
      </c>
    </row>
    <row r="444" spans="1:8">
      <c r="A444">
        <f>[1]NhapHang!A444</f>
        <v>0</v>
      </c>
      <c r="B444">
        <f>[1]NhapHang!B444</f>
        <v>0</v>
      </c>
      <c r="C444">
        <f>[1]NhapHang!C444</f>
        <v>0</v>
      </c>
      <c r="D444">
        <f>[1]NhapHang!D444</f>
        <v>0</v>
      </c>
      <c r="E444">
        <f>[1]NhapHang!E444</f>
        <v>0</v>
      </c>
      <c r="F444">
        <f>[1]NhapHang!F444</f>
        <v>0</v>
      </c>
      <c r="G444">
        <f>[1]NhapHang!G444</f>
        <v>0</v>
      </c>
      <c r="H444">
        <f>[1]NhapHang!H444</f>
        <v>0</v>
      </c>
    </row>
    <row r="445" spans="1:8">
      <c r="A445">
        <f>[1]NhapHang!A445</f>
        <v>0</v>
      </c>
      <c r="B445">
        <f>[1]NhapHang!B445</f>
        <v>0</v>
      </c>
      <c r="C445">
        <f>[1]NhapHang!C445</f>
        <v>0</v>
      </c>
      <c r="D445">
        <f>[1]NhapHang!D445</f>
        <v>0</v>
      </c>
      <c r="E445">
        <f>[1]NhapHang!E445</f>
        <v>0</v>
      </c>
      <c r="F445">
        <f>[1]NhapHang!F445</f>
        <v>0</v>
      </c>
      <c r="G445">
        <f>[1]NhapHang!G445</f>
        <v>0</v>
      </c>
      <c r="H445">
        <f>[1]NhapHang!H445</f>
        <v>0</v>
      </c>
    </row>
    <row r="446" spans="1:8">
      <c r="A446">
        <f>[1]NhapHang!A446</f>
        <v>0</v>
      </c>
      <c r="B446">
        <f>[1]NhapHang!B446</f>
        <v>0</v>
      </c>
      <c r="C446">
        <f>[1]NhapHang!C446</f>
        <v>0</v>
      </c>
      <c r="D446">
        <f>[1]NhapHang!D446</f>
        <v>0</v>
      </c>
      <c r="E446">
        <f>[1]NhapHang!E446</f>
        <v>0</v>
      </c>
      <c r="F446">
        <f>[1]NhapHang!F446</f>
        <v>0</v>
      </c>
      <c r="G446">
        <f>[1]NhapHang!G446</f>
        <v>0</v>
      </c>
      <c r="H446">
        <f>[1]NhapHang!H446</f>
        <v>0</v>
      </c>
    </row>
    <row r="447" spans="1:8">
      <c r="A447">
        <f>[1]NhapHang!A447</f>
        <v>0</v>
      </c>
      <c r="B447">
        <f>[1]NhapHang!B447</f>
        <v>0</v>
      </c>
      <c r="C447">
        <f>[1]NhapHang!C447</f>
        <v>0</v>
      </c>
      <c r="D447">
        <f>[1]NhapHang!D447</f>
        <v>0</v>
      </c>
      <c r="E447">
        <f>[1]NhapHang!E447</f>
        <v>0</v>
      </c>
      <c r="F447">
        <f>[1]NhapHang!F447</f>
        <v>0</v>
      </c>
      <c r="G447">
        <f>[1]NhapHang!G447</f>
        <v>0</v>
      </c>
      <c r="H447">
        <f>[1]NhapHang!H447</f>
        <v>0</v>
      </c>
    </row>
    <row r="448" spans="1:8">
      <c r="A448">
        <f>[1]NhapHang!A448</f>
        <v>0</v>
      </c>
      <c r="B448">
        <f>[1]NhapHang!B448</f>
        <v>0</v>
      </c>
      <c r="C448">
        <f>[1]NhapHang!C448</f>
        <v>0</v>
      </c>
      <c r="D448">
        <f>[1]NhapHang!D448</f>
        <v>0</v>
      </c>
      <c r="E448">
        <f>[1]NhapHang!E448</f>
        <v>0</v>
      </c>
      <c r="F448">
        <f>[1]NhapHang!F448</f>
        <v>0</v>
      </c>
      <c r="G448">
        <f>[1]NhapHang!G448</f>
        <v>0</v>
      </c>
      <c r="H448">
        <f>[1]NhapHang!H448</f>
        <v>0</v>
      </c>
    </row>
    <row r="449" spans="1:8">
      <c r="A449">
        <f>[1]NhapHang!A449</f>
        <v>0</v>
      </c>
      <c r="B449">
        <f>[1]NhapHang!B449</f>
        <v>0</v>
      </c>
      <c r="C449">
        <f>[1]NhapHang!C449</f>
        <v>0</v>
      </c>
      <c r="D449">
        <f>[1]NhapHang!D449</f>
        <v>0</v>
      </c>
      <c r="E449">
        <f>[1]NhapHang!E449</f>
        <v>0</v>
      </c>
      <c r="F449">
        <f>[1]NhapHang!F449</f>
        <v>0</v>
      </c>
      <c r="G449">
        <f>[1]NhapHang!G449</f>
        <v>0</v>
      </c>
      <c r="H449">
        <f>[1]NhapHang!H449</f>
        <v>0</v>
      </c>
    </row>
    <row r="450" spans="1:8">
      <c r="A450">
        <f>[1]NhapHang!A450</f>
        <v>0</v>
      </c>
      <c r="B450">
        <f>[1]NhapHang!B450</f>
        <v>0</v>
      </c>
      <c r="C450">
        <f>[1]NhapHang!C450</f>
        <v>0</v>
      </c>
      <c r="D450">
        <f>[1]NhapHang!D450</f>
        <v>0</v>
      </c>
      <c r="E450">
        <f>[1]NhapHang!E450</f>
        <v>0</v>
      </c>
      <c r="F450">
        <f>[1]NhapHang!F450</f>
        <v>0</v>
      </c>
      <c r="G450">
        <f>[1]NhapHang!G450</f>
        <v>0</v>
      </c>
      <c r="H450">
        <f>[1]NhapHang!H450</f>
        <v>0</v>
      </c>
    </row>
    <row r="451" spans="1:8">
      <c r="A451">
        <f>[1]NhapHang!A451</f>
        <v>0</v>
      </c>
      <c r="B451">
        <f>[1]NhapHang!B451</f>
        <v>0</v>
      </c>
      <c r="C451">
        <f>[1]NhapHang!C451</f>
        <v>0</v>
      </c>
      <c r="D451">
        <f>[1]NhapHang!D451</f>
        <v>0</v>
      </c>
      <c r="E451">
        <f>[1]NhapHang!E451</f>
        <v>0</v>
      </c>
      <c r="F451">
        <f>[1]NhapHang!F451</f>
        <v>0</v>
      </c>
      <c r="G451">
        <f>[1]NhapHang!G451</f>
        <v>0</v>
      </c>
      <c r="H451">
        <f>[1]NhapHang!H451</f>
        <v>0</v>
      </c>
    </row>
    <row r="452" spans="1:8">
      <c r="A452">
        <f>[1]NhapHang!A452</f>
        <v>0</v>
      </c>
      <c r="B452">
        <f>[1]NhapHang!B452</f>
        <v>0</v>
      </c>
      <c r="C452">
        <f>[1]NhapHang!C452</f>
        <v>0</v>
      </c>
      <c r="D452">
        <f>[1]NhapHang!D452</f>
        <v>0</v>
      </c>
      <c r="E452">
        <f>[1]NhapHang!E452</f>
        <v>0</v>
      </c>
      <c r="F452">
        <f>[1]NhapHang!F452</f>
        <v>0</v>
      </c>
      <c r="G452">
        <f>[1]NhapHang!G452</f>
        <v>0</v>
      </c>
      <c r="H452">
        <f>[1]NhapHang!H452</f>
        <v>0</v>
      </c>
    </row>
    <row r="453" spans="1:8">
      <c r="A453">
        <f>[1]NhapHang!A453</f>
        <v>0</v>
      </c>
      <c r="B453">
        <f>[1]NhapHang!B453</f>
        <v>0</v>
      </c>
      <c r="C453">
        <f>[1]NhapHang!C453</f>
        <v>0</v>
      </c>
      <c r="D453">
        <f>[1]NhapHang!D453</f>
        <v>0</v>
      </c>
      <c r="E453">
        <f>[1]NhapHang!E453</f>
        <v>0</v>
      </c>
      <c r="F453">
        <f>[1]NhapHang!F453</f>
        <v>0</v>
      </c>
      <c r="G453">
        <f>[1]NhapHang!G453</f>
        <v>0</v>
      </c>
      <c r="H453">
        <f>[1]NhapHang!H453</f>
        <v>0</v>
      </c>
    </row>
    <row r="454" spans="1:8">
      <c r="A454">
        <f>[1]NhapHang!A454</f>
        <v>0</v>
      </c>
      <c r="B454">
        <f>[1]NhapHang!B454</f>
        <v>0</v>
      </c>
      <c r="C454">
        <f>[1]NhapHang!C454</f>
        <v>0</v>
      </c>
      <c r="D454">
        <f>[1]NhapHang!D454</f>
        <v>0</v>
      </c>
      <c r="E454">
        <f>[1]NhapHang!E454</f>
        <v>0</v>
      </c>
      <c r="F454">
        <f>[1]NhapHang!F454</f>
        <v>0</v>
      </c>
      <c r="G454">
        <f>[1]NhapHang!G454</f>
        <v>0</v>
      </c>
      <c r="H454">
        <f>[1]NhapHang!H454</f>
        <v>0</v>
      </c>
    </row>
    <row r="455" spans="1:8">
      <c r="A455">
        <f>[1]NhapHang!A455</f>
        <v>0</v>
      </c>
      <c r="B455">
        <f>[1]NhapHang!B455</f>
        <v>0</v>
      </c>
      <c r="C455">
        <f>[1]NhapHang!C455</f>
        <v>0</v>
      </c>
      <c r="D455">
        <f>[1]NhapHang!D455</f>
        <v>0</v>
      </c>
      <c r="E455">
        <f>[1]NhapHang!E455</f>
        <v>0</v>
      </c>
      <c r="F455">
        <f>[1]NhapHang!F455</f>
        <v>0</v>
      </c>
      <c r="G455">
        <f>[1]NhapHang!G455</f>
        <v>0</v>
      </c>
      <c r="H455">
        <f>[1]NhapHang!H455</f>
        <v>0</v>
      </c>
    </row>
    <row r="456" spans="1:8">
      <c r="A456">
        <f>[1]NhapHang!A456</f>
        <v>0</v>
      </c>
      <c r="B456">
        <f>[1]NhapHang!B456</f>
        <v>0</v>
      </c>
      <c r="C456">
        <f>[1]NhapHang!C456</f>
        <v>0</v>
      </c>
      <c r="D456">
        <f>[1]NhapHang!D456</f>
        <v>0</v>
      </c>
      <c r="E456">
        <f>[1]NhapHang!E456</f>
        <v>0</v>
      </c>
      <c r="F456">
        <f>[1]NhapHang!F456</f>
        <v>0</v>
      </c>
      <c r="G456">
        <f>[1]NhapHang!G456</f>
        <v>0</v>
      </c>
      <c r="H456">
        <f>[1]NhapHang!H456</f>
        <v>0</v>
      </c>
    </row>
    <row r="457" spans="1:8">
      <c r="A457">
        <f>[1]NhapHang!A457</f>
        <v>0</v>
      </c>
      <c r="B457">
        <f>[1]NhapHang!B457</f>
        <v>0</v>
      </c>
      <c r="C457">
        <f>[1]NhapHang!C457</f>
        <v>0</v>
      </c>
      <c r="D457">
        <f>[1]NhapHang!D457</f>
        <v>0</v>
      </c>
      <c r="E457">
        <f>[1]NhapHang!E457</f>
        <v>0</v>
      </c>
      <c r="F457">
        <f>[1]NhapHang!F457</f>
        <v>0</v>
      </c>
      <c r="G457">
        <f>[1]NhapHang!G457</f>
        <v>0</v>
      </c>
      <c r="H457">
        <f>[1]NhapHang!H457</f>
        <v>0</v>
      </c>
    </row>
    <row r="458" spans="1:8">
      <c r="A458">
        <f>[1]NhapHang!A458</f>
        <v>0</v>
      </c>
      <c r="B458">
        <f>[1]NhapHang!B458</f>
        <v>0</v>
      </c>
      <c r="C458">
        <f>[1]NhapHang!C458</f>
        <v>0</v>
      </c>
      <c r="D458">
        <f>[1]NhapHang!D458</f>
        <v>0</v>
      </c>
      <c r="E458">
        <f>[1]NhapHang!E458</f>
        <v>0</v>
      </c>
      <c r="F458">
        <f>[1]NhapHang!F458</f>
        <v>0</v>
      </c>
      <c r="G458">
        <f>[1]NhapHang!G458</f>
        <v>0</v>
      </c>
      <c r="H458">
        <f>[1]NhapHang!H458</f>
        <v>0</v>
      </c>
    </row>
    <row r="459" spans="1:8">
      <c r="A459">
        <f>[1]NhapHang!A459</f>
        <v>0</v>
      </c>
      <c r="B459">
        <f>[1]NhapHang!B459</f>
        <v>0</v>
      </c>
      <c r="C459">
        <f>[1]NhapHang!C459</f>
        <v>0</v>
      </c>
      <c r="D459">
        <f>[1]NhapHang!D459</f>
        <v>0</v>
      </c>
      <c r="E459">
        <f>[1]NhapHang!E459</f>
        <v>0</v>
      </c>
      <c r="F459">
        <f>[1]NhapHang!F459</f>
        <v>0</v>
      </c>
      <c r="G459">
        <f>[1]NhapHang!G459</f>
        <v>0</v>
      </c>
      <c r="H459">
        <f>[1]NhapHang!H459</f>
        <v>0</v>
      </c>
    </row>
    <row r="460" spans="1:8">
      <c r="A460">
        <f>[1]NhapHang!A460</f>
        <v>0</v>
      </c>
      <c r="B460">
        <f>[1]NhapHang!B460</f>
        <v>0</v>
      </c>
      <c r="C460">
        <f>[1]NhapHang!C460</f>
        <v>0</v>
      </c>
      <c r="D460">
        <f>[1]NhapHang!D460</f>
        <v>0</v>
      </c>
      <c r="E460">
        <f>[1]NhapHang!E460</f>
        <v>0</v>
      </c>
      <c r="F460">
        <f>[1]NhapHang!F460</f>
        <v>0</v>
      </c>
      <c r="G460">
        <f>[1]NhapHang!G460</f>
        <v>0</v>
      </c>
      <c r="H460">
        <f>[1]NhapHang!H460</f>
        <v>0</v>
      </c>
    </row>
    <row r="461" spans="1:8">
      <c r="A461">
        <f>[1]NhapHang!A461</f>
        <v>0</v>
      </c>
      <c r="B461">
        <f>[1]NhapHang!B461</f>
        <v>0</v>
      </c>
      <c r="C461">
        <f>[1]NhapHang!C461</f>
        <v>0</v>
      </c>
      <c r="D461">
        <f>[1]NhapHang!D461</f>
        <v>0</v>
      </c>
      <c r="E461">
        <f>[1]NhapHang!E461</f>
        <v>0</v>
      </c>
      <c r="F461">
        <f>[1]NhapHang!F461</f>
        <v>0</v>
      </c>
      <c r="G461">
        <f>[1]NhapHang!G461</f>
        <v>0</v>
      </c>
      <c r="H461">
        <f>[1]NhapHang!H461</f>
        <v>0</v>
      </c>
    </row>
    <row r="462" spans="1:8">
      <c r="A462">
        <f>[1]NhapHang!A462</f>
        <v>0</v>
      </c>
      <c r="B462">
        <f>[1]NhapHang!B462</f>
        <v>0</v>
      </c>
      <c r="C462">
        <f>[1]NhapHang!C462</f>
        <v>0</v>
      </c>
      <c r="D462">
        <f>[1]NhapHang!D462</f>
        <v>0</v>
      </c>
      <c r="E462">
        <f>[1]NhapHang!E462</f>
        <v>0</v>
      </c>
      <c r="F462">
        <f>[1]NhapHang!F462</f>
        <v>0</v>
      </c>
      <c r="G462">
        <f>[1]NhapHang!G462</f>
        <v>0</v>
      </c>
      <c r="H462">
        <f>[1]NhapHang!H462</f>
        <v>0</v>
      </c>
    </row>
    <row r="463" spans="1:8">
      <c r="A463">
        <f>[1]NhapHang!A463</f>
        <v>0</v>
      </c>
      <c r="B463">
        <f>[1]NhapHang!B463</f>
        <v>0</v>
      </c>
      <c r="C463">
        <f>[1]NhapHang!C463</f>
        <v>0</v>
      </c>
      <c r="D463">
        <f>[1]NhapHang!D463</f>
        <v>0</v>
      </c>
      <c r="E463">
        <f>[1]NhapHang!E463</f>
        <v>0</v>
      </c>
      <c r="F463">
        <f>[1]NhapHang!F463</f>
        <v>0</v>
      </c>
      <c r="G463">
        <f>[1]NhapHang!G463</f>
        <v>0</v>
      </c>
      <c r="H463">
        <f>[1]NhapHang!H463</f>
        <v>0</v>
      </c>
    </row>
    <row r="464" spans="1:8">
      <c r="A464">
        <f>[1]NhapHang!A464</f>
        <v>0</v>
      </c>
      <c r="B464">
        <f>[1]NhapHang!B464</f>
        <v>0</v>
      </c>
      <c r="C464">
        <f>[1]NhapHang!C464</f>
        <v>0</v>
      </c>
      <c r="D464">
        <f>[1]NhapHang!D464</f>
        <v>0</v>
      </c>
      <c r="E464">
        <f>[1]NhapHang!E464</f>
        <v>0</v>
      </c>
      <c r="F464">
        <f>[1]NhapHang!F464</f>
        <v>0</v>
      </c>
      <c r="G464">
        <f>[1]NhapHang!G464</f>
        <v>0</v>
      </c>
      <c r="H464">
        <f>[1]NhapHang!H464</f>
        <v>0</v>
      </c>
    </row>
    <row r="465" spans="1:8">
      <c r="A465">
        <f>[1]NhapHang!A465</f>
        <v>0</v>
      </c>
      <c r="B465">
        <f>[1]NhapHang!B465</f>
        <v>0</v>
      </c>
      <c r="C465">
        <f>[1]NhapHang!C465</f>
        <v>0</v>
      </c>
      <c r="D465">
        <f>[1]NhapHang!D465</f>
        <v>0</v>
      </c>
      <c r="E465">
        <f>[1]NhapHang!E465</f>
        <v>0</v>
      </c>
      <c r="F465">
        <f>[1]NhapHang!F465</f>
        <v>0</v>
      </c>
      <c r="G465">
        <f>[1]NhapHang!G465</f>
        <v>0</v>
      </c>
      <c r="H465">
        <f>[1]NhapHang!H465</f>
        <v>0</v>
      </c>
    </row>
    <row r="466" spans="1:8">
      <c r="A466">
        <f>[1]NhapHang!A466</f>
        <v>0</v>
      </c>
      <c r="B466">
        <f>[1]NhapHang!B466</f>
        <v>0</v>
      </c>
      <c r="C466">
        <f>[1]NhapHang!C466</f>
        <v>0</v>
      </c>
      <c r="D466">
        <f>[1]NhapHang!D466</f>
        <v>0</v>
      </c>
      <c r="E466">
        <f>[1]NhapHang!E466</f>
        <v>0</v>
      </c>
      <c r="F466">
        <f>[1]NhapHang!F466</f>
        <v>0</v>
      </c>
      <c r="G466">
        <f>[1]NhapHang!G466</f>
        <v>0</v>
      </c>
      <c r="H466">
        <f>[1]NhapHang!H466</f>
        <v>0</v>
      </c>
    </row>
    <row r="467" spans="1:8">
      <c r="A467">
        <f>[1]NhapHang!A467</f>
        <v>0</v>
      </c>
      <c r="B467">
        <f>[1]NhapHang!B467</f>
        <v>0</v>
      </c>
      <c r="C467">
        <f>[1]NhapHang!C467</f>
        <v>0</v>
      </c>
      <c r="D467">
        <f>[1]NhapHang!D467</f>
        <v>0</v>
      </c>
      <c r="E467">
        <f>[1]NhapHang!E467</f>
        <v>0</v>
      </c>
      <c r="F467">
        <f>[1]NhapHang!F467</f>
        <v>0</v>
      </c>
      <c r="G467">
        <f>[1]NhapHang!G467</f>
        <v>0</v>
      </c>
      <c r="H467">
        <f>[1]NhapHang!H467</f>
        <v>0</v>
      </c>
    </row>
    <row r="468" spans="1:8">
      <c r="A468">
        <f>[1]NhapHang!A468</f>
        <v>0</v>
      </c>
      <c r="B468">
        <f>[1]NhapHang!B468</f>
        <v>0</v>
      </c>
      <c r="C468">
        <f>[1]NhapHang!C468</f>
        <v>0</v>
      </c>
      <c r="D468">
        <f>[1]NhapHang!D468</f>
        <v>0</v>
      </c>
      <c r="E468">
        <f>[1]NhapHang!E468</f>
        <v>0</v>
      </c>
      <c r="F468">
        <f>[1]NhapHang!F468</f>
        <v>0</v>
      </c>
      <c r="G468">
        <f>[1]NhapHang!G468</f>
        <v>0</v>
      </c>
      <c r="H468">
        <f>[1]NhapHang!H468</f>
        <v>0</v>
      </c>
    </row>
    <row r="469" spans="1:8">
      <c r="A469">
        <f>[1]NhapHang!A469</f>
        <v>0</v>
      </c>
      <c r="B469">
        <f>[1]NhapHang!B469</f>
        <v>0</v>
      </c>
      <c r="C469">
        <f>[1]NhapHang!C469</f>
        <v>0</v>
      </c>
      <c r="D469">
        <f>[1]NhapHang!D469</f>
        <v>0</v>
      </c>
      <c r="E469">
        <f>[1]NhapHang!E469</f>
        <v>0</v>
      </c>
      <c r="F469">
        <f>[1]NhapHang!F469</f>
        <v>0</v>
      </c>
      <c r="G469">
        <f>[1]NhapHang!G469</f>
        <v>0</v>
      </c>
      <c r="H469">
        <f>[1]NhapHang!H469</f>
        <v>0</v>
      </c>
    </row>
    <row r="470" spans="1:8">
      <c r="A470">
        <f>[1]NhapHang!A470</f>
        <v>0</v>
      </c>
      <c r="B470">
        <f>[1]NhapHang!B470</f>
        <v>0</v>
      </c>
      <c r="C470">
        <f>[1]NhapHang!C470</f>
        <v>0</v>
      </c>
      <c r="D470">
        <f>[1]NhapHang!D470</f>
        <v>0</v>
      </c>
      <c r="E470">
        <f>[1]NhapHang!E470</f>
        <v>0</v>
      </c>
      <c r="F470">
        <f>[1]NhapHang!F470</f>
        <v>0</v>
      </c>
      <c r="G470">
        <f>[1]NhapHang!G470</f>
        <v>0</v>
      </c>
      <c r="H470">
        <f>[1]NhapHang!H470</f>
        <v>0</v>
      </c>
    </row>
    <row r="471" spans="1:8">
      <c r="A471">
        <f>[1]NhapHang!A471</f>
        <v>0</v>
      </c>
      <c r="B471">
        <f>[1]NhapHang!B471</f>
        <v>0</v>
      </c>
      <c r="C471">
        <f>[1]NhapHang!C471</f>
        <v>0</v>
      </c>
      <c r="D471">
        <f>[1]NhapHang!D471</f>
        <v>0</v>
      </c>
      <c r="E471">
        <f>[1]NhapHang!E471</f>
        <v>0</v>
      </c>
      <c r="F471">
        <f>[1]NhapHang!F471</f>
        <v>0</v>
      </c>
      <c r="G471">
        <f>[1]NhapHang!G471</f>
        <v>0</v>
      </c>
      <c r="H471">
        <f>[1]NhapHang!H471</f>
        <v>0</v>
      </c>
    </row>
    <row r="472" spans="1:8">
      <c r="A472">
        <f>[1]NhapHang!A472</f>
        <v>0</v>
      </c>
      <c r="B472">
        <f>[1]NhapHang!B472</f>
        <v>0</v>
      </c>
      <c r="C472">
        <f>[1]NhapHang!C472</f>
        <v>0</v>
      </c>
      <c r="D472">
        <f>[1]NhapHang!D472</f>
        <v>0</v>
      </c>
      <c r="E472">
        <f>[1]NhapHang!E472</f>
        <v>0</v>
      </c>
      <c r="F472">
        <f>[1]NhapHang!F472</f>
        <v>0</v>
      </c>
      <c r="G472">
        <f>[1]NhapHang!G472</f>
        <v>0</v>
      </c>
      <c r="H472">
        <f>[1]NhapHang!H472</f>
        <v>0</v>
      </c>
    </row>
    <row r="473" spans="1:8">
      <c r="A473">
        <f>[1]NhapHang!A473</f>
        <v>0</v>
      </c>
      <c r="B473">
        <f>[1]NhapHang!B473</f>
        <v>0</v>
      </c>
      <c r="C473">
        <f>[1]NhapHang!C473</f>
        <v>0</v>
      </c>
      <c r="D473">
        <f>[1]NhapHang!D473</f>
        <v>0</v>
      </c>
      <c r="E473">
        <f>[1]NhapHang!E473</f>
        <v>0</v>
      </c>
      <c r="F473">
        <f>[1]NhapHang!F473</f>
        <v>0</v>
      </c>
      <c r="G473">
        <f>[1]NhapHang!G473</f>
        <v>0</v>
      </c>
      <c r="H473">
        <f>[1]NhapHang!H473</f>
        <v>0</v>
      </c>
    </row>
    <row r="474" spans="1:8">
      <c r="A474">
        <f>[1]NhapHang!A474</f>
        <v>0</v>
      </c>
      <c r="B474">
        <f>[1]NhapHang!B474</f>
        <v>0</v>
      </c>
      <c r="C474">
        <f>[1]NhapHang!C474</f>
        <v>0</v>
      </c>
      <c r="D474">
        <f>[1]NhapHang!D474</f>
        <v>0</v>
      </c>
      <c r="E474">
        <f>[1]NhapHang!E474</f>
        <v>0</v>
      </c>
      <c r="F474">
        <f>[1]NhapHang!F474</f>
        <v>0</v>
      </c>
      <c r="G474">
        <f>[1]NhapHang!G474</f>
        <v>0</v>
      </c>
      <c r="H474">
        <f>[1]NhapHang!H474</f>
        <v>0</v>
      </c>
    </row>
    <row r="475" spans="1:8">
      <c r="A475">
        <f>[1]NhapHang!A475</f>
        <v>0</v>
      </c>
      <c r="B475">
        <f>[1]NhapHang!B475</f>
        <v>0</v>
      </c>
      <c r="C475">
        <f>[1]NhapHang!C475</f>
        <v>0</v>
      </c>
      <c r="D475">
        <f>[1]NhapHang!D475</f>
        <v>0</v>
      </c>
      <c r="E475">
        <f>[1]NhapHang!E475</f>
        <v>0</v>
      </c>
      <c r="F475">
        <f>[1]NhapHang!F475</f>
        <v>0</v>
      </c>
      <c r="G475">
        <f>[1]NhapHang!G475</f>
        <v>0</v>
      </c>
      <c r="H475">
        <f>[1]NhapHang!H475</f>
        <v>0</v>
      </c>
    </row>
    <row r="476" spans="1:8">
      <c r="A476">
        <f>[1]NhapHang!A476</f>
        <v>0</v>
      </c>
      <c r="B476">
        <f>[1]NhapHang!B476</f>
        <v>0</v>
      </c>
      <c r="C476">
        <f>[1]NhapHang!C476</f>
        <v>0</v>
      </c>
      <c r="D476">
        <f>[1]NhapHang!D476</f>
        <v>0</v>
      </c>
      <c r="E476">
        <f>[1]NhapHang!E476</f>
        <v>0</v>
      </c>
      <c r="F476">
        <f>[1]NhapHang!F476</f>
        <v>0</v>
      </c>
      <c r="G476">
        <f>[1]NhapHang!G476</f>
        <v>0</v>
      </c>
      <c r="H476">
        <f>[1]NhapHang!H476</f>
        <v>0</v>
      </c>
    </row>
    <row r="477" spans="1:8">
      <c r="A477">
        <f>[1]NhapHang!A477</f>
        <v>0</v>
      </c>
      <c r="B477">
        <f>[1]NhapHang!B477</f>
        <v>0</v>
      </c>
      <c r="C477">
        <f>[1]NhapHang!C477</f>
        <v>0</v>
      </c>
      <c r="D477">
        <f>[1]NhapHang!D477</f>
        <v>0</v>
      </c>
      <c r="E477">
        <f>[1]NhapHang!E477</f>
        <v>0</v>
      </c>
      <c r="F477">
        <f>[1]NhapHang!F477</f>
        <v>0</v>
      </c>
      <c r="G477">
        <f>[1]NhapHang!G477</f>
        <v>0</v>
      </c>
      <c r="H477">
        <f>[1]NhapHang!H477</f>
        <v>0</v>
      </c>
    </row>
    <row r="478" spans="1:8">
      <c r="A478">
        <f>[1]NhapHang!A478</f>
        <v>0</v>
      </c>
      <c r="B478">
        <f>[1]NhapHang!B478</f>
        <v>0</v>
      </c>
      <c r="C478">
        <f>[1]NhapHang!C478</f>
        <v>0</v>
      </c>
      <c r="D478">
        <f>[1]NhapHang!D478</f>
        <v>0</v>
      </c>
      <c r="E478">
        <f>[1]NhapHang!E478</f>
        <v>0</v>
      </c>
      <c r="F478">
        <f>[1]NhapHang!F478</f>
        <v>0</v>
      </c>
      <c r="G478">
        <f>[1]NhapHang!G478</f>
        <v>0</v>
      </c>
      <c r="H478">
        <f>[1]NhapHang!H478</f>
        <v>0</v>
      </c>
    </row>
    <row r="479" spans="1:8">
      <c r="A479">
        <f>[1]NhapHang!A479</f>
        <v>0</v>
      </c>
      <c r="B479">
        <f>[1]NhapHang!B479</f>
        <v>0</v>
      </c>
      <c r="C479">
        <f>[1]NhapHang!C479</f>
        <v>0</v>
      </c>
      <c r="D479">
        <f>[1]NhapHang!D479</f>
        <v>0</v>
      </c>
      <c r="E479">
        <f>[1]NhapHang!E479</f>
        <v>0</v>
      </c>
      <c r="F479">
        <f>[1]NhapHang!F479</f>
        <v>0</v>
      </c>
      <c r="G479">
        <f>[1]NhapHang!G479</f>
        <v>0</v>
      </c>
      <c r="H479">
        <f>[1]NhapHang!H479</f>
        <v>0</v>
      </c>
    </row>
    <row r="480" spans="1:8">
      <c r="A480">
        <f>[1]NhapHang!A480</f>
        <v>0</v>
      </c>
      <c r="B480">
        <f>[1]NhapHang!B480</f>
        <v>0</v>
      </c>
      <c r="C480">
        <f>[1]NhapHang!C480</f>
        <v>0</v>
      </c>
      <c r="D480">
        <f>[1]NhapHang!D480</f>
        <v>0</v>
      </c>
      <c r="E480">
        <f>[1]NhapHang!E480</f>
        <v>0</v>
      </c>
      <c r="F480">
        <f>[1]NhapHang!F480</f>
        <v>0</v>
      </c>
      <c r="G480">
        <f>[1]NhapHang!G480</f>
        <v>0</v>
      </c>
      <c r="H480">
        <f>[1]NhapHang!H480</f>
        <v>0</v>
      </c>
    </row>
    <row r="481" spans="1:8">
      <c r="A481">
        <f>[1]NhapHang!A481</f>
        <v>0</v>
      </c>
      <c r="B481">
        <f>[1]NhapHang!B481</f>
        <v>0</v>
      </c>
      <c r="C481">
        <f>[1]NhapHang!C481</f>
        <v>0</v>
      </c>
      <c r="D481">
        <f>[1]NhapHang!D481</f>
        <v>0</v>
      </c>
      <c r="E481">
        <f>[1]NhapHang!E481</f>
        <v>0</v>
      </c>
      <c r="F481">
        <f>[1]NhapHang!F481</f>
        <v>0</v>
      </c>
      <c r="G481">
        <f>[1]NhapHang!G481</f>
        <v>0</v>
      </c>
      <c r="H481">
        <f>[1]NhapHang!H481</f>
        <v>0</v>
      </c>
    </row>
    <row r="482" spans="1:8">
      <c r="A482">
        <f>[1]NhapHang!A482</f>
        <v>0</v>
      </c>
      <c r="B482">
        <f>[1]NhapHang!B482</f>
        <v>0</v>
      </c>
      <c r="C482">
        <f>[1]NhapHang!C482</f>
        <v>0</v>
      </c>
      <c r="D482">
        <f>[1]NhapHang!D482</f>
        <v>0</v>
      </c>
      <c r="E482">
        <f>[1]NhapHang!E482</f>
        <v>0</v>
      </c>
      <c r="F482">
        <f>[1]NhapHang!F482</f>
        <v>0</v>
      </c>
      <c r="G482">
        <f>[1]NhapHang!G482</f>
        <v>0</v>
      </c>
      <c r="H482">
        <f>[1]NhapHang!H482</f>
        <v>0</v>
      </c>
    </row>
    <row r="483" spans="1:8">
      <c r="A483">
        <f>[1]NhapHang!A483</f>
        <v>0</v>
      </c>
      <c r="B483">
        <f>[1]NhapHang!B483</f>
        <v>0</v>
      </c>
      <c r="C483">
        <f>[1]NhapHang!C483</f>
        <v>0</v>
      </c>
      <c r="D483">
        <f>[1]NhapHang!D483</f>
        <v>0</v>
      </c>
      <c r="E483">
        <f>[1]NhapHang!E483</f>
        <v>0</v>
      </c>
      <c r="F483">
        <f>[1]NhapHang!F483</f>
        <v>0</v>
      </c>
      <c r="G483">
        <f>[1]NhapHang!G483</f>
        <v>0</v>
      </c>
      <c r="H483">
        <f>[1]NhapHang!H483</f>
        <v>0</v>
      </c>
    </row>
    <row r="484" spans="1:8">
      <c r="A484">
        <f>[1]NhapHang!A484</f>
        <v>0</v>
      </c>
      <c r="B484">
        <f>[1]NhapHang!B484</f>
        <v>0</v>
      </c>
      <c r="C484">
        <f>[1]NhapHang!C484</f>
        <v>0</v>
      </c>
      <c r="D484">
        <f>[1]NhapHang!D484</f>
        <v>0</v>
      </c>
      <c r="E484">
        <f>[1]NhapHang!E484</f>
        <v>0</v>
      </c>
      <c r="F484">
        <f>[1]NhapHang!F484</f>
        <v>0</v>
      </c>
      <c r="G484">
        <f>[1]NhapHang!G484</f>
        <v>0</v>
      </c>
      <c r="H484">
        <f>[1]NhapHang!H484</f>
        <v>0</v>
      </c>
    </row>
    <row r="485" spans="1:8">
      <c r="A485">
        <f>[1]NhapHang!A485</f>
        <v>0</v>
      </c>
      <c r="B485">
        <f>[1]NhapHang!B485</f>
        <v>0</v>
      </c>
      <c r="C485">
        <f>[1]NhapHang!C485</f>
        <v>0</v>
      </c>
      <c r="D485">
        <f>[1]NhapHang!D485</f>
        <v>0</v>
      </c>
      <c r="E485">
        <f>[1]NhapHang!E485</f>
        <v>0</v>
      </c>
      <c r="F485">
        <f>[1]NhapHang!F485</f>
        <v>0</v>
      </c>
      <c r="G485">
        <f>[1]NhapHang!G485</f>
        <v>0</v>
      </c>
      <c r="H485">
        <f>[1]NhapHang!H485</f>
        <v>0</v>
      </c>
    </row>
    <row r="486" spans="1:8">
      <c r="A486">
        <f>[1]NhapHang!A486</f>
        <v>0</v>
      </c>
      <c r="B486">
        <f>[1]NhapHang!B486</f>
        <v>0</v>
      </c>
      <c r="C486">
        <f>[1]NhapHang!C486</f>
        <v>0</v>
      </c>
      <c r="D486">
        <f>[1]NhapHang!D486</f>
        <v>0</v>
      </c>
      <c r="E486">
        <f>[1]NhapHang!E486</f>
        <v>0</v>
      </c>
      <c r="F486">
        <f>[1]NhapHang!F486</f>
        <v>0</v>
      </c>
      <c r="G486">
        <f>[1]NhapHang!G486</f>
        <v>0</v>
      </c>
      <c r="H486">
        <f>[1]NhapHang!H486</f>
        <v>0</v>
      </c>
    </row>
    <row r="487" spans="1:8">
      <c r="A487">
        <f>[1]NhapHang!A487</f>
        <v>0</v>
      </c>
      <c r="B487">
        <f>[1]NhapHang!B487</f>
        <v>0</v>
      </c>
      <c r="C487">
        <f>[1]NhapHang!C487</f>
        <v>0</v>
      </c>
      <c r="D487">
        <f>[1]NhapHang!D487</f>
        <v>0</v>
      </c>
      <c r="E487">
        <f>[1]NhapHang!E487</f>
        <v>0</v>
      </c>
      <c r="F487">
        <f>[1]NhapHang!F487</f>
        <v>0</v>
      </c>
      <c r="G487">
        <f>[1]NhapHang!G487</f>
        <v>0</v>
      </c>
      <c r="H487">
        <f>[1]NhapHang!H487</f>
        <v>0</v>
      </c>
    </row>
    <row r="488" spans="1:8">
      <c r="A488">
        <f>[1]NhapHang!A488</f>
        <v>0</v>
      </c>
      <c r="B488">
        <f>[1]NhapHang!B488</f>
        <v>0</v>
      </c>
      <c r="C488">
        <f>[1]NhapHang!C488</f>
        <v>0</v>
      </c>
      <c r="D488">
        <f>[1]NhapHang!D488</f>
        <v>0</v>
      </c>
      <c r="E488">
        <f>[1]NhapHang!E488</f>
        <v>0</v>
      </c>
      <c r="F488">
        <f>[1]NhapHang!F488</f>
        <v>0</v>
      </c>
      <c r="G488">
        <f>[1]NhapHang!G488</f>
        <v>0</v>
      </c>
      <c r="H488">
        <f>[1]NhapHang!H488</f>
        <v>0</v>
      </c>
    </row>
    <row r="489" spans="1:8">
      <c r="A489">
        <f>[1]NhapHang!A489</f>
        <v>0</v>
      </c>
      <c r="B489">
        <f>[1]NhapHang!B489</f>
        <v>0</v>
      </c>
      <c r="C489">
        <f>[1]NhapHang!C489</f>
        <v>0</v>
      </c>
      <c r="D489">
        <f>[1]NhapHang!D489</f>
        <v>0</v>
      </c>
      <c r="E489">
        <f>[1]NhapHang!E489</f>
        <v>0</v>
      </c>
      <c r="F489">
        <f>[1]NhapHang!F489</f>
        <v>0</v>
      </c>
      <c r="G489">
        <f>[1]NhapHang!G489</f>
        <v>0</v>
      </c>
      <c r="H489">
        <f>[1]NhapHang!H489</f>
        <v>0</v>
      </c>
    </row>
    <row r="490" spans="1:8">
      <c r="A490">
        <f>[1]NhapHang!A490</f>
        <v>0</v>
      </c>
      <c r="B490">
        <f>[1]NhapHang!B490</f>
        <v>0</v>
      </c>
      <c r="C490">
        <f>[1]NhapHang!C490</f>
        <v>0</v>
      </c>
      <c r="D490">
        <f>[1]NhapHang!D490</f>
        <v>0</v>
      </c>
      <c r="E490">
        <f>[1]NhapHang!E490</f>
        <v>0</v>
      </c>
      <c r="F490">
        <f>[1]NhapHang!F490</f>
        <v>0</v>
      </c>
      <c r="G490">
        <f>[1]NhapHang!G490</f>
        <v>0</v>
      </c>
      <c r="H490">
        <f>[1]NhapHang!H490</f>
        <v>0</v>
      </c>
    </row>
    <row r="491" spans="1:8">
      <c r="A491">
        <f>[1]NhapHang!A491</f>
        <v>0</v>
      </c>
      <c r="B491">
        <f>[1]NhapHang!B491</f>
        <v>0</v>
      </c>
      <c r="C491">
        <f>[1]NhapHang!C491</f>
        <v>0</v>
      </c>
      <c r="D491">
        <f>[1]NhapHang!D491</f>
        <v>0</v>
      </c>
      <c r="E491">
        <f>[1]NhapHang!E491</f>
        <v>0</v>
      </c>
      <c r="F491">
        <f>[1]NhapHang!F491</f>
        <v>0</v>
      </c>
      <c r="G491">
        <f>[1]NhapHang!G491</f>
        <v>0</v>
      </c>
      <c r="H491">
        <f>[1]NhapHang!H491</f>
        <v>0</v>
      </c>
    </row>
    <row r="492" spans="1:8">
      <c r="A492">
        <f>[1]NhapHang!A492</f>
        <v>0</v>
      </c>
      <c r="B492">
        <f>[1]NhapHang!B492</f>
        <v>0</v>
      </c>
      <c r="C492">
        <f>[1]NhapHang!C492</f>
        <v>0</v>
      </c>
      <c r="D492">
        <f>[1]NhapHang!D492</f>
        <v>0</v>
      </c>
      <c r="E492">
        <f>[1]NhapHang!E492</f>
        <v>0</v>
      </c>
      <c r="F492">
        <f>[1]NhapHang!F492</f>
        <v>0</v>
      </c>
      <c r="G492">
        <f>[1]NhapHang!G492</f>
        <v>0</v>
      </c>
      <c r="H492">
        <f>[1]NhapHang!H492</f>
        <v>0</v>
      </c>
    </row>
    <row r="493" spans="1:8">
      <c r="A493">
        <f>[1]NhapHang!A493</f>
        <v>0</v>
      </c>
      <c r="B493">
        <f>[1]NhapHang!B493</f>
        <v>0</v>
      </c>
      <c r="C493">
        <f>[1]NhapHang!C493</f>
        <v>0</v>
      </c>
      <c r="D493">
        <f>[1]NhapHang!D493</f>
        <v>0</v>
      </c>
      <c r="E493">
        <f>[1]NhapHang!E493</f>
        <v>0</v>
      </c>
      <c r="F493">
        <f>[1]NhapHang!F493</f>
        <v>0</v>
      </c>
      <c r="G493">
        <f>[1]NhapHang!G493</f>
        <v>0</v>
      </c>
      <c r="H493">
        <f>[1]NhapHang!H493</f>
        <v>0</v>
      </c>
    </row>
    <row r="494" spans="1:8">
      <c r="A494">
        <f>[1]NhapHang!A494</f>
        <v>0</v>
      </c>
      <c r="B494">
        <f>[1]NhapHang!B494</f>
        <v>0</v>
      </c>
      <c r="C494">
        <f>[1]NhapHang!C494</f>
        <v>0</v>
      </c>
      <c r="D494">
        <f>[1]NhapHang!D494</f>
        <v>0</v>
      </c>
      <c r="E494">
        <f>[1]NhapHang!E494</f>
        <v>0</v>
      </c>
      <c r="F494">
        <f>[1]NhapHang!F494</f>
        <v>0</v>
      </c>
      <c r="G494">
        <f>[1]NhapHang!G494</f>
        <v>0</v>
      </c>
      <c r="H494">
        <f>[1]NhapHang!H494</f>
        <v>0</v>
      </c>
    </row>
    <row r="495" spans="1:8">
      <c r="A495">
        <f>[1]NhapHang!A495</f>
        <v>0</v>
      </c>
      <c r="B495">
        <f>[1]NhapHang!B495</f>
        <v>0</v>
      </c>
      <c r="C495">
        <f>[1]NhapHang!C495</f>
        <v>0</v>
      </c>
      <c r="D495">
        <f>[1]NhapHang!D495</f>
        <v>0</v>
      </c>
      <c r="E495">
        <f>[1]NhapHang!E495</f>
        <v>0</v>
      </c>
      <c r="F495">
        <f>[1]NhapHang!F495</f>
        <v>0</v>
      </c>
      <c r="G495">
        <f>[1]NhapHang!G495</f>
        <v>0</v>
      </c>
      <c r="H495">
        <f>[1]NhapHang!H495</f>
        <v>0</v>
      </c>
    </row>
    <row r="496" spans="1:8">
      <c r="A496">
        <f>[1]NhapHang!A496</f>
        <v>0</v>
      </c>
      <c r="B496">
        <f>[1]NhapHang!B496</f>
        <v>0</v>
      </c>
      <c r="C496">
        <f>[1]NhapHang!C496</f>
        <v>0</v>
      </c>
      <c r="D496">
        <f>[1]NhapHang!D496</f>
        <v>0</v>
      </c>
      <c r="E496">
        <f>[1]NhapHang!E496</f>
        <v>0</v>
      </c>
      <c r="F496">
        <f>[1]NhapHang!F496</f>
        <v>0</v>
      </c>
      <c r="G496">
        <f>[1]NhapHang!G496</f>
        <v>0</v>
      </c>
      <c r="H496">
        <f>[1]NhapHang!H496</f>
        <v>0</v>
      </c>
    </row>
    <row r="497" spans="1:8">
      <c r="A497">
        <f>[1]NhapHang!A497</f>
        <v>0</v>
      </c>
      <c r="B497">
        <f>[1]NhapHang!B497</f>
        <v>0</v>
      </c>
      <c r="C497">
        <f>[1]NhapHang!C497</f>
        <v>0</v>
      </c>
      <c r="D497">
        <f>[1]NhapHang!D497</f>
        <v>0</v>
      </c>
      <c r="E497">
        <f>[1]NhapHang!E497</f>
        <v>0</v>
      </c>
      <c r="F497">
        <f>[1]NhapHang!F497</f>
        <v>0</v>
      </c>
      <c r="G497">
        <f>[1]NhapHang!G497</f>
        <v>0</v>
      </c>
      <c r="H497">
        <f>[1]NhapHang!H497</f>
        <v>0</v>
      </c>
    </row>
    <row r="498" spans="1:8">
      <c r="A498">
        <f>[1]NhapHang!A498</f>
        <v>0</v>
      </c>
      <c r="B498">
        <f>[1]NhapHang!B498</f>
        <v>0</v>
      </c>
      <c r="C498">
        <f>[1]NhapHang!C498</f>
        <v>0</v>
      </c>
      <c r="D498">
        <f>[1]NhapHang!D498</f>
        <v>0</v>
      </c>
      <c r="E498">
        <f>[1]NhapHang!E498</f>
        <v>0</v>
      </c>
      <c r="F498">
        <f>[1]NhapHang!F498</f>
        <v>0</v>
      </c>
      <c r="G498">
        <f>[1]NhapHang!G498</f>
        <v>0</v>
      </c>
      <c r="H498">
        <f>[1]NhapHang!H498</f>
        <v>0</v>
      </c>
    </row>
    <row r="499" spans="1:8">
      <c r="A499">
        <f>[1]NhapHang!A499</f>
        <v>0</v>
      </c>
      <c r="B499">
        <f>[1]NhapHang!B499</f>
        <v>0</v>
      </c>
      <c r="C499">
        <f>[1]NhapHang!C499</f>
        <v>0</v>
      </c>
      <c r="D499">
        <f>[1]NhapHang!D499</f>
        <v>0</v>
      </c>
      <c r="E499">
        <f>[1]NhapHang!E499</f>
        <v>0</v>
      </c>
      <c r="F499">
        <f>[1]NhapHang!F499</f>
        <v>0</v>
      </c>
      <c r="G499">
        <f>[1]NhapHang!G499</f>
        <v>0</v>
      </c>
      <c r="H499">
        <f>[1]NhapHang!H499</f>
        <v>0</v>
      </c>
    </row>
    <row r="500" spans="1:8">
      <c r="A500">
        <f>[1]NhapHang!A500</f>
        <v>0</v>
      </c>
      <c r="B500">
        <f>[1]NhapHang!B500</f>
        <v>0</v>
      </c>
      <c r="C500">
        <f>[1]NhapHang!C500</f>
        <v>0</v>
      </c>
      <c r="D500">
        <f>[1]NhapHang!D500</f>
        <v>0</v>
      </c>
      <c r="E500">
        <f>[1]NhapHang!E500</f>
        <v>0</v>
      </c>
      <c r="F500">
        <f>[1]NhapHang!F500</f>
        <v>0</v>
      </c>
      <c r="G500">
        <f>[1]NhapHang!G500</f>
        <v>0</v>
      </c>
      <c r="H500">
        <f>[1]NhapHang!H500</f>
        <v>0</v>
      </c>
    </row>
    <row r="501" spans="1:8">
      <c r="A501">
        <f>[1]NhapHang!A501</f>
        <v>0</v>
      </c>
      <c r="B501">
        <f>[1]NhapHang!B501</f>
        <v>0</v>
      </c>
      <c r="C501">
        <f>[1]NhapHang!C501</f>
        <v>0</v>
      </c>
      <c r="D501">
        <f>[1]NhapHang!D501</f>
        <v>0</v>
      </c>
      <c r="E501">
        <f>[1]NhapHang!E501</f>
        <v>0</v>
      </c>
      <c r="F501">
        <f>[1]NhapHang!F501</f>
        <v>0</v>
      </c>
      <c r="G501">
        <f>[1]NhapHang!G501</f>
        <v>0</v>
      </c>
      <c r="H501">
        <f>[1]NhapHang!H501</f>
        <v>0</v>
      </c>
    </row>
    <row r="502" spans="1:8">
      <c r="A502">
        <f>[1]NhapHang!A502</f>
        <v>0</v>
      </c>
      <c r="B502">
        <f>[1]NhapHang!B502</f>
        <v>0</v>
      </c>
      <c r="C502">
        <f>[1]NhapHang!C502</f>
        <v>0</v>
      </c>
      <c r="D502">
        <f>[1]NhapHang!D502</f>
        <v>0</v>
      </c>
      <c r="E502">
        <f>[1]NhapHang!E502</f>
        <v>0</v>
      </c>
      <c r="F502">
        <f>[1]NhapHang!F502</f>
        <v>0</v>
      </c>
      <c r="G502">
        <f>[1]NhapHang!G502</f>
        <v>0</v>
      </c>
      <c r="H502">
        <f>[1]NhapHang!H502</f>
        <v>0</v>
      </c>
    </row>
    <row r="503" spans="1:8">
      <c r="A503">
        <f>[1]NhapHang!A503</f>
        <v>0</v>
      </c>
      <c r="B503">
        <f>[1]NhapHang!B503</f>
        <v>0</v>
      </c>
      <c r="C503">
        <f>[1]NhapHang!C503</f>
        <v>0</v>
      </c>
      <c r="D503">
        <f>[1]NhapHang!D503</f>
        <v>0</v>
      </c>
      <c r="E503">
        <f>[1]NhapHang!E503</f>
        <v>0</v>
      </c>
      <c r="F503">
        <f>[1]NhapHang!F503</f>
        <v>0</v>
      </c>
      <c r="G503">
        <f>[1]NhapHang!G503</f>
        <v>0</v>
      </c>
      <c r="H503">
        <f>[1]NhapHang!H503</f>
        <v>0</v>
      </c>
    </row>
    <row r="504" spans="1:8">
      <c r="A504">
        <f>[1]NhapHang!A504</f>
        <v>0</v>
      </c>
      <c r="B504">
        <f>[1]NhapHang!B504</f>
        <v>0</v>
      </c>
      <c r="C504">
        <f>[1]NhapHang!C504</f>
        <v>0</v>
      </c>
      <c r="D504">
        <f>[1]NhapHang!D504</f>
        <v>0</v>
      </c>
      <c r="E504">
        <f>[1]NhapHang!E504</f>
        <v>0</v>
      </c>
      <c r="F504">
        <f>[1]NhapHang!F504</f>
        <v>0</v>
      </c>
      <c r="G504">
        <f>[1]NhapHang!G504</f>
        <v>0</v>
      </c>
      <c r="H504">
        <f>[1]NhapHang!H504</f>
        <v>0</v>
      </c>
    </row>
    <row r="505" spans="1:8">
      <c r="A505">
        <f>[1]NhapHang!A505</f>
        <v>0</v>
      </c>
      <c r="B505">
        <f>[1]NhapHang!B505</f>
        <v>0</v>
      </c>
      <c r="C505">
        <f>[1]NhapHang!C505</f>
        <v>0</v>
      </c>
      <c r="D505">
        <f>[1]NhapHang!D505</f>
        <v>0</v>
      </c>
      <c r="E505">
        <f>[1]NhapHang!E505</f>
        <v>0</v>
      </c>
      <c r="F505">
        <f>[1]NhapHang!F505</f>
        <v>0</v>
      </c>
      <c r="G505">
        <f>[1]NhapHang!G505</f>
        <v>0</v>
      </c>
      <c r="H505">
        <f>[1]NhapHang!H505</f>
        <v>0</v>
      </c>
    </row>
    <row r="506" spans="1:8">
      <c r="A506">
        <f>[1]NhapHang!A506</f>
        <v>0</v>
      </c>
      <c r="B506">
        <f>[1]NhapHang!B506</f>
        <v>0</v>
      </c>
      <c r="C506">
        <f>[1]NhapHang!C506</f>
        <v>0</v>
      </c>
      <c r="D506">
        <f>[1]NhapHang!D506</f>
        <v>0</v>
      </c>
      <c r="E506">
        <f>[1]NhapHang!E506</f>
        <v>0</v>
      </c>
      <c r="F506">
        <f>[1]NhapHang!F506</f>
        <v>0</v>
      </c>
      <c r="G506">
        <f>[1]NhapHang!G506</f>
        <v>0</v>
      </c>
      <c r="H506">
        <f>[1]NhapHang!H506</f>
        <v>0</v>
      </c>
    </row>
    <row r="507" spans="1:8">
      <c r="A507">
        <f>[1]NhapHang!A507</f>
        <v>0</v>
      </c>
      <c r="B507">
        <f>[1]NhapHang!B507</f>
        <v>0</v>
      </c>
      <c r="C507">
        <f>[1]NhapHang!C507</f>
        <v>0</v>
      </c>
      <c r="D507">
        <f>[1]NhapHang!D507</f>
        <v>0</v>
      </c>
      <c r="E507">
        <f>[1]NhapHang!E507</f>
        <v>0</v>
      </c>
      <c r="F507">
        <f>[1]NhapHang!F507</f>
        <v>0</v>
      </c>
      <c r="G507">
        <f>[1]NhapHang!G507</f>
        <v>0</v>
      </c>
      <c r="H507">
        <f>[1]NhapHang!H507</f>
        <v>0</v>
      </c>
    </row>
    <row r="508" spans="1:8">
      <c r="A508">
        <f>[1]NhapHang!A508</f>
        <v>0</v>
      </c>
      <c r="B508">
        <f>[1]NhapHang!B508</f>
        <v>0</v>
      </c>
      <c r="C508">
        <f>[1]NhapHang!C508</f>
        <v>0</v>
      </c>
      <c r="D508">
        <f>[1]NhapHang!D508</f>
        <v>0</v>
      </c>
      <c r="E508">
        <f>[1]NhapHang!E508</f>
        <v>0</v>
      </c>
      <c r="F508">
        <f>[1]NhapHang!F508</f>
        <v>0</v>
      </c>
      <c r="G508">
        <f>[1]NhapHang!G508</f>
        <v>0</v>
      </c>
      <c r="H508">
        <f>[1]NhapHang!H508</f>
        <v>0</v>
      </c>
    </row>
    <row r="509" spans="1:8">
      <c r="A509">
        <f>[1]NhapHang!A509</f>
        <v>0</v>
      </c>
      <c r="B509">
        <f>[1]NhapHang!B509</f>
        <v>0</v>
      </c>
      <c r="C509">
        <f>[1]NhapHang!C509</f>
        <v>0</v>
      </c>
      <c r="D509">
        <f>[1]NhapHang!D509</f>
        <v>0</v>
      </c>
      <c r="E509">
        <f>[1]NhapHang!E509</f>
        <v>0</v>
      </c>
      <c r="F509">
        <f>[1]NhapHang!F509</f>
        <v>0</v>
      </c>
      <c r="G509">
        <f>[1]NhapHang!G509</f>
        <v>0</v>
      </c>
      <c r="H509">
        <f>[1]NhapHang!H509</f>
        <v>0</v>
      </c>
    </row>
    <row r="510" spans="1:8">
      <c r="A510">
        <f>[1]NhapHang!A510</f>
        <v>0</v>
      </c>
      <c r="B510">
        <f>[1]NhapHang!B510</f>
        <v>0</v>
      </c>
      <c r="C510">
        <f>[1]NhapHang!C510</f>
        <v>0</v>
      </c>
      <c r="D510">
        <f>[1]NhapHang!D510</f>
        <v>0</v>
      </c>
      <c r="E510">
        <f>[1]NhapHang!E510</f>
        <v>0</v>
      </c>
      <c r="F510">
        <f>[1]NhapHang!F510</f>
        <v>0</v>
      </c>
      <c r="G510">
        <f>[1]NhapHang!G510</f>
        <v>0</v>
      </c>
      <c r="H510">
        <f>[1]NhapHang!H510</f>
        <v>0</v>
      </c>
    </row>
    <row r="511" spans="1:8">
      <c r="A511">
        <f>[1]NhapHang!A511</f>
        <v>0</v>
      </c>
      <c r="B511">
        <f>[1]NhapHang!B511</f>
        <v>0</v>
      </c>
      <c r="C511">
        <f>[1]NhapHang!C511</f>
        <v>0</v>
      </c>
      <c r="D511">
        <f>[1]NhapHang!D511</f>
        <v>0</v>
      </c>
      <c r="E511">
        <f>[1]NhapHang!E511</f>
        <v>0</v>
      </c>
      <c r="F511">
        <f>[1]NhapHang!F511</f>
        <v>0</v>
      </c>
      <c r="G511">
        <f>[1]NhapHang!G511</f>
        <v>0</v>
      </c>
      <c r="H511">
        <f>[1]NhapHang!H511</f>
        <v>0</v>
      </c>
    </row>
    <row r="512" spans="1:8">
      <c r="A512">
        <f>[1]NhapHang!A512</f>
        <v>0</v>
      </c>
      <c r="B512">
        <f>[1]NhapHang!B512</f>
        <v>0</v>
      </c>
      <c r="C512">
        <f>[1]NhapHang!C512</f>
        <v>0</v>
      </c>
      <c r="D512">
        <f>[1]NhapHang!D512</f>
        <v>0</v>
      </c>
      <c r="E512">
        <f>[1]NhapHang!E512</f>
        <v>0</v>
      </c>
      <c r="F512">
        <f>[1]NhapHang!F512</f>
        <v>0</v>
      </c>
      <c r="G512">
        <f>[1]NhapHang!G512</f>
        <v>0</v>
      </c>
      <c r="H512">
        <f>[1]NhapHang!H512</f>
        <v>0</v>
      </c>
    </row>
    <row r="513" spans="1:8">
      <c r="A513">
        <f>[1]NhapHang!A513</f>
        <v>0</v>
      </c>
      <c r="B513">
        <f>[1]NhapHang!B513</f>
        <v>0</v>
      </c>
      <c r="C513">
        <f>[1]NhapHang!C513</f>
        <v>0</v>
      </c>
      <c r="D513">
        <f>[1]NhapHang!D513</f>
        <v>0</v>
      </c>
      <c r="E513">
        <f>[1]NhapHang!E513</f>
        <v>0</v>
      </c>
      <c r="F513">
        <f>[1]NhapHang!F513</f>
        <v>0</v>
      </c>
      <c r="G513">
        <f>[1]NhapHang!G513</f>
        <v>0</v>
      </c>
      <c r="H513">
        <f>[1]NhapHang!H513</f>
        <v>0</v>
      </c>
    </row>
    <row r="514" spans="1:8">
      <c r="A514">
        <f>[1]NhapHang!A514</f>
        <v>0</v>
      </c>
      <c r="B514">
        <f>[1]NhapHang!B514</f>
        <v>0</v>
      </c>
      <c r="C514">
        <f>[1]NhapHang!C514</f>
        <v>0</v>
      </c>
      <c r="D514">
        <f>[1]NhapHang!D514</f>
        <v>0</v>
      </c>
      <c r="E514">
        <f>[1]NhapHang!E514</f>
        <v>0</v>
      </c>
      <c r="F514">
        <f>[1]NhapHang!F514</f>
        <v>0</v>
      </c>
      <c r="G514">
        <f>[1]NhapHang!G514</f>
        <v>0</v>
      </c>
      <c r="H514">
        <f>[1]NhapHang!H514</f>
        <v>0</v>
      </c>
    </row>
    <row r="515" spans="1:8">
      <c r="A515">
        <f>[1]NhapHang!A515</f>
        <v>0</v>
      </c>
      <c r="B515">
        <f>[1]NhapHang!B515</f>
        <v>0</v>
      </c>
      <c r="C515">
        <f>[1]NhapHang!C515</f>
        <v>0</v>
      </c>
      <c r="D515">
        <f>[1]NhapHang!D515</f>
        <v>0</v>
      </c>
      <c r="E515">
        <f>[1]NhapHang!E515</f>
        <v>0</v>
      </c>
      <c r="F515">
        <f>[1]NhapHang!F515</f>
        <v>0</v>
      </c>
      <c r="G515">
        <f>[1]NhapHang!G515</f>
        <v>0</v>
      </c>
      <c r="H515">
        <f>[1]NhapHang!H515</f>
        <v>0</v>
      </c>
    </row>
    <row r="516" spans="1:8">
      <c r="A516">
        <f>[1]NhapHang!A516</f>
        <v>0</v>
      </c>
      <c r="B516">
        <f>[1]NhapHang!B516</f>
        <v>0</v>
      </c>
      <c r="C516">
        <f>[1]NhapHang!C516</f>
        <v>0</v>
      </c>
      <c r="D516">
        <f>[1]NhapHang!D516</f>
        <v>0</v>
      </c>
      <c r="E516">
        <f>[1]NhapHang!E516</f>
        <v>0</v>
      </c>
      <c r="F516">
        <f>[1]NhapHang!F516</f>
        <v>0</v>
      </c>
      <c r="G516">
        <f>[1]NhapHang!G516</f>
        <v>0</v>
      </c>
      <c r="H516">
        <f>[1]NhapHang!H516</f>
        <v>0</v>
      </c>
    </row>
    <row r="517" spans="1:8">
      <c r="A517">
        <f>[1]NhapHang!A517</f>
        <v>0</v>
      </c>
      <c r="B517">
        <f>[1]NhapHang!B517</f>
        <v>0</v>
      </c>
      <c r="C517">
        <f>[1]NhapHang!C517</f>
        <v>0</v>
      </c>
      <c r="D517">
        <f>[1]NhapHang!D517</f>
        <v>0</v>
      </c>
      <c r="E517">
        <f>[1]NhapHang!E517</f>
        <v>0</v>
      </c>
      <c r="F517">
        <f>[1]NhapHang!F517</f>
        <v>0</v>
      </c>
      <c r="G517">
        <f>[1]NhapHang!G517</f>
        <v>0</v>
      </c>
      <c r="H517">
        <f>[1]NhapHang!H517</f>
        <v>0</v>
      </c>
    </row>
    <row r="518" spans="1:8">
      <c r="A518">
        <f>[1]NhapHang!A518</f>
        <v>0</v>
      </c>
      <c r="B518">
        <f>[1]NhapHang!B518</f>
        <v>0</v>
      </c>
      <c r="C518">
        <f>[1]NhapHang!C518</f>
        <v>0</v>
      </c>
      <c r="D518">
        <f>[1]NhapHang!D518</f>
        <v>0</v>
      </c>
      <c r="E518">
        <f>[1]NhapHang!E518</f>
        <v>0</v>
      </c>
      <c r="F518">
        <f>[1]NhapHang!F518</f>
        <v>0</v>
      </c>
      <c r="G518">
        <f>[1]NhapHang!G518</f>
        <v>0</v>
      </c>
      <c r="H518">
        <f>[1]NhapHang!H518</f>
        <v>0</v>
      </c>
    </row>
    <row r="519" spans="1:8">
      <c r="A519">
        <f>[1]NhapHang!A519</f>
        <v>0</v>
      </c>
      <c r="B519">
        <f>[1]NhapHang!B519</f>
        <v>0</v>
      </c>
      <c r="C519">
        <f>[1]NhapHang!C519</f>
        <v>0</v>
      </c>
      <c r="D519">
        <f>[1]NhapHang!D519</f>
        <v>0</v>
      </c>
      <c r="E519">
        <f>[1]NhapHang!E519</f>
        <v>0</v>
      </c>
      <c r="F519">
        <f>[1]NhapHang!F519</f>
        <v>0</v>
      </c>
      <c r="G519">
        <f>[1]NhapHang!G519</f>
        <v>0</v>
      </c>
      <c r="H519">
        <f>[1]NhapHang!H519</f>
        <v>0</v>
      </c>
    </row>
    <row r="520" spans="1:8">
      <c r="A520">
        <f>[1]NhapHang!A520</f>
        <v>0</v>
      </c>
      <c r="B520">
        <f>[1]NhapHang!B520</f>
        <v>0</v>
      </c>
      <c r="C520">
        <f>[1]NhapHang!C520</f>
        <v>0</v>
      </c>
      <c r="D520">
        <f>[1]NhapHang!D520</f>
        <v>0</v>
      </c>
      <c r="E520">
        <f>[1]NhapHang!E520</f>
        <v>0</v>
      </c>
      <c r="F520">
        <f>[1]NhapHang!F520</f>
        <v>0</v>
      </c>
      <c r="G520">
        <f>[1]NhapHang!G520</f>
        <v>0</v>
      </c>
      <c r="H520">
        <f>[1]NhapHang!H520</f>
        <v>0</v>
      </c>
    </row>
    <row r="521" spans="1:8">
      <c r="A521">
        <f>[1]NhapHang!A521</f>
        <v>0</v>
      </c>
      <c r="B521">
        <f>[1]NhapHang!B521</f>
        <v>0</v>
      </c>
      <c r="C521">
        <f>[1]NhapHang!C521</f>
        <v>0</v>
      </c>
      <c r="D521">
        <f>[1]NhapHang!D521</f>
        <v>0</v>
      </c>
      <c r="E521">
        <f>[1]NhapHang!E521</f>
        <v>0</v>
      </c>
      <c r="F521">
        <f>[1]NhapHang!F521</f>
        <v>0</v>
      </c>
      <c r="G521">
        <f>[1]NhapHang!G521</f>
        <v>0</v>
      </c>
      <c r="H521">
        <f>[1]NhapHang!H521</f>
        <v>0</v>
      </c>
    </row>
    <row r="522" spans="1:8">
      <c r="A522">
        <f>[1]NhapHang!A522</f>
        <v>0</v>
      </c>
      <c r="B522">
        <f>[1]NhapHang!B522</f>
        <v>0</v>
      </c>
      <c r="C522">
        <f>[1]NhapHang!C522</f>
        <v>0</v>
      </c>
      <c r="D522">
        <f>[1]NhapHang!D522</f>
        <v>0</v>
      </c>
      <c r="E522">
        <f>[1]NhapHang!E522</f>
        <v>0</v>
      </c>
      <c r="F522">
        <f>[1]NhapHang!F522</f>
        <v>0</v>
      </c>
      <c r="G522">
        <f>[1]NhapHang!G522</f>
        <v>0</v>
      </c>
      <c r="H522">
        <f>[1]NhapHang!H522</f>
        <v>0</v>
      </c>
    </row>
    <row r="523" spans="1:8">
      <c r="A523">
        <f>[1]NhapHang!A523</f>
        <v>0</v>
      </c>
      <c r="B523">
        <f>[1]NhapHang!B523</f>
        <v>0</v>
      </c>
      <c r="C523">
        <f>[1]NhapHang!C523</f>
        <v>0</v>
      </c>
      <c r="D523">
        <f>[1]NhapHang!D523</f>
        <v>0</v>
      </c>
      <c r="E523">
        <f>[1]NhapHang!E523</f>
        <v>0</v>
      </c>
      <c r="F523">
        <f>[1]NhapHang!F523</f>
        <v>0</v>
      </c>
      <c r="G523">
        <f>[1]NhapHang!G523</f>
        <v>0</v>
      </c>
      <c r="H523">
        <f>[1]NhapHang!H523</f>
        <v>0</v>
      </c>
    </row>
    <row r="524" spans="1:8">
      <c r="A524">
        <f>[1]NhapHang!A524</f>
        <v>0</v>
      </c>
      <c r="B524">
        <f>[1]NhapHang!B524</f>
        <v>0</v>
      </c>
      <c r="C524">
        <f>[1]NhapHang!C524</f>
        <v>0</v>
      </c>
      <c r="D524">
        <f>[1]NhapHang!D524</f>
        <v>0</v>
      </c>
      <c r="E524">
        <f>[1]NhapHang!E524</f>
        <v>0</v>
      </c>
      <c r="F524">
        <f>[1]NhapHang!F524</f>
        <v>0</v>
      </c>
      <c r="G524">
        <f>[1]NhapHang!G524</f>
        <v>0</v>
      </c>
      <c r="H524">
        <f>[1]NhapHang!H524</f>
        <v>0</v>
      </c>
    </row>
    <row r="525" spans="1:8">
      <c r="A525">
        <f>[1]NhapHang!A525</f>
        <v>0</v>
      </c>
      <c r="B525">
        <f>[1]NhapHang!B525</f>
        <v>0</v>
      </c>
      <c r="C525">
        <f>[1]NhapHang!C525</f>
        <v>0</v>
      </c>
      <c r="D525">
        <f>[1]NhapHang!D525</f>
        <v>0</v>
      </c>
      <c r="E525">
        <f>[1]NhapHang!E525</f>
        <v>0</v>
      </c>
      <c r="F525">
        <f>[1]NhapHang!F525</f>
        <v>0</v>
      </c>
      <c r="G525">
        <f>[1]NhapHang!G525</f>
        <v>0</v>
      </c>
      <c r="H525">
        <f>[1]NhapHang!H525</f>
        <v>0</v>
      </c>
    </row>
    <row r="526" spans="1:8">
      <c r="A526">
        <f>[1]NhapHang!A526</f>
        <v>0</v>
      </c>
      <c r="B526">
        <f>[1]NhapHang!B526</f>
        <v>0</v>
      </c>
      <c r="C526">
        <f>[1]NhapHang!C526</f>
        <v>0</v>
      </c>
      <c r="D526">
        <f>[1]NhapHang!D526</f>
        <v>0</v>
      </c>
      <c r="E526">
        <f>[1]NhapHang!E526</f>
        <v>0</v>
      </c>
      <c r="F526">
        <f>[1]NhapHang!F526</f>
        <v>0</v>
      </c>
      <c r="G526">
        <f>[1]NhapHang!G526</f>
        <v>0</v>
      </c>
      <c r="H526">
        <f>[1]NhapHang!H526</f>
        <v>0</v>
      </c>
    </row>
    <row r="527" spans="1:8">
      <c r="A527">
        <f>[1]NhapHang!A527</f>
        <v>0</v>
      </c>
      <c r="B527">
        <f>[1]NhapHang!B527</f>
        <v>0</v>
      </c>
      <c r="C527">
        <f>[1]NhapHang!C527</f>
        <v>0</v>
      </c>
      <c r="D527">
        <f>[1]NhapHang!D527</f>
        <v>0</v>
      </c>
      <c r="E527">
        <f>[1]NhapHang!E527</f>
        <v>0</v>
      </c>
      <c r="F527">
        <f>[1]NhapHang!F527</f>
        <v>0</v>
      </c>
      <c r="G527">
        <f>[1]NhapHang!G527</f>
        <v>0</v>
      </c>
      <c r="H527">
        <f>[1]NhapHang!H527</f>
        <v>0</v>
      </c>
    </row>
    <row r="528" spans="1:8">
      <c r="A528">
        <f>[1]NhapHang!A528</f>
        <v>0</v>
      </c>
      <c r="B528">
        <f>[1]NhapHang!B528</f>
        <v>0</v>
      </c>
      <c r="C528">
        <f>[1]NhapHang!C528</f>
        <v>0</v>
      </c>
      <c r="D528">
        <f>[1]NhapHang!D528</f>
        <v>0</v>
      </c>
      <c r="E528">
        <f>[1]NhapHang!E528</f>
        <v>0</v>
      </c>
      <c r="F528">
        <f>[1]NhapHang!F528</f>
        <v>0</v>
      </c>
      <c r="G528">
        <f>[1]NhapHang!G528</f>
        <v>0</v>
      </c>
      <c r="H528">
        <f>[1]NhapHang!H528</f>
        <v>0</v>
      </c>
    </row>
    <row r="529" spans="1:8">
      <c r="A529">
        <f>[1]NhapHang!A529</f>
        <v>0</v>
      </c>
      <c r="B529">
        <f>[1]NhapHang!B529</f>
        <v>0</v>
      </c>
      <c r="C529">
        <f>[1]NhapHang!C529</f>
        <v>0</v>
      </c>
      <c r="D529">
        <f>[1]NhapHang!D529</f>
        <v>0</v>
      </c>
      <c r="E529">
        <f>[1]NhapHang!E529</f>
        <v>0</v>
      </c>
      <c r="F529">
        <f>[1]NhapHang!F529</f>
        <v>0</v>
      </c>
      <c r="G529">
        <f>[1]NhapHang!G529</f>
        <v>0</v>
      </c>
      <c r="H529">
        <f>[1]NhapHang!H529</f>
        <v>0</v>
      </c>
    </row>
    <row r="530" spans="1:8">
      <c r="A530">
        <f>[1]NhapHang!A530</f>
        <v>0</v>
      </c>
      <c r="B530">
        <f>[1]NhapHang!B530</f>
        <v>0</v>
      </c>
      <c r="C530">
        <f>[1]NhapHang!C530</f>
        <v>0</v>
      </c>
      <c r="D530">
        <f>[1]NhapHang!D530</f>
        <v>0</v>
      </c>
      <c r="E530">
        <f>[1]NhapHang!E530</f>
        <v>0</v>
      </c>
      <c r="F530">
        <f>[1]NhapHang!F530</f>
        <v>0</v>
      </c>
      <c r="G530">
        <f>[1]NhapHang!G530</f>
        <v>0</v>
      </c>
      <c r="H530">
        <f>[1]NhapHang!H530</f>
        <v>0</v>
      </c>
    </row>
    <row r="531" spans="1:8">
      <c r="A531">
        <f>[1]NhapHang!A531</f>
        <v>0</v>
      </c>
      <c r="B531">
        <f>[1]NhapHang!B531</f>
        <v>0</v>
      </c>
      <c r="C531">
        <f>[1]NhapHang!C531</f>
        <v>0</v>
      </c>
      <c r="D531">
        <f>[1]NhapHang!D531</f>
        <v>0</v>
      </c>
      <c r="E531">
        <f>[1]NhapHang!E531</f>
        <v>0</v>
      </c>
      <c r="F531">
        <f>[1]NhapHang!F531</f>
        <v>0</v>
      </c>
      <c r="G531">
        <f>[1]NhapHang!G531</f>
        <v>0</v>
      </c>
      <c r="H531">
        <f>[1]NhapHang!H531</f>
        <v>0</v>
      </c>
    </row>
    <row r="532" spans="1:8">
      <c r="A532">
        <f>[1]NhapHang!A532</f>
        <v>0</v>
      </c>
      <c r="B532">
        <f>[1]NhapHang!B532</f>
        <v>0</v>
      </c>
      <c r="C532">
        <f>[1]NhapHang!C532</f>
        <v>0</v>
      </c>
      <c r="D532">
        <f>[1]NhapHang!D532</f>
        <v>0</v>
      </c>
      <c r="E532">
        <f>[1]NhapHang!E532</f>
        <v>0</v>
      </c>
      <c r="F532">
        <f>[1]NhapHang!F532</f>
        <v>0</v>
      </c>
      <c r="G532">
        <f>[1]NhapHang!G532</f>
        <v>0</v>
      </c>
      <c r="H532">
        <f>[1]NhapHang!H532</f>
        <v>0</v>
      </c>
    </row>
    <row r="533" spans="1:8">
      <c r="A533">
        <f>[1]NhapHang!A533</f>
        <v>0</v>
      </c>
      <c r="B533">
        <f>[1]NhapHang!B533</f>
        <v>0</v>
      </c>
      <c r="C533">
        <f>[1]NhapHang!C533</f>
        <v>0</v>
      </c>
      <c r="D533">
        <f>[1]NhapHang!D533</f>
        <v>0</v>
      </c>
      <c r="E533">
        <f>[1]NhapHang!E533</f>
        <v>0</v>
      </c>
      <c r="F533">
        <f>[1]NhapHang!F533</f>
        <v>0</v>
      </c>
      <c r="G533">
        <f>[1]NhapHang!G533</f>
        <v>0</v>
      </c>
      <c r="H533">
        <f>[1]NhapHang!H533</f>
        <v>0</v>
      </c>
    </row>
    <row r="534" spans="1:8">
      <c r="A534">
        <f>[1]NhapHang!A534</f>
        <v>0</v>
      </c>
      <c r="B534">
        <f>[1]NhapHang!B534</f>
        <v>0</v>
      </c>
      <c r="C534">
        <f>[1]NhapHang!C534</f>
        <v>0</v>
      </c>
      <c r="D534">
        <f>[1]NhapHang!D534</f>
        <v>0</v>
      </c>
      <c r="E534">
        <f>[1]NhapHang!E534</f>
        <v>0</v>
      </c>
      <c r="F534">
        <f>[1]NhapHang!F534</f>
        <v>0</v>
      </c>
      <c r="G534">
        <f>[1]NhapHang!G534</f>
        <v>0</v>
      </c>
      <c r="H534">
        <f>[1]NhapHang!H534</f>
        <v>0</v>
      </c>
    </row>
    <row r="535" spans="1:8">
      <c r="A535">
        <f>[1]NhapHang!A535</f>
        <v>0</v>
      </c>
      <c r="B535">
        <f>[1]NhapHang!B535</f>
        <v>0</v>
      </c>
      <c r="C535">
        <f>[1]NhapHang!C535</f>
        <v>0</v>
      </c>
      <c r="D535">
        <f>[1]NhapHang!D535</f>
        <v>0</v>
      </c>
      <c r="E535">
        <f>[1]NhapHang!E535</f>
        <v>0</v>
      </c>
      <c r="F535">
        <f>[1]NhapHang!F535</f>
        <v>0</v>
      </c>
      <c r="G535">
        <f>[1]NhapHang!G535</f>
        <v>0</v>
      </c>
      <c r="H535">
        <f>[1]NhapHang!H535</f>
        <v>0</v>
      </c>
    </row>
    <row r="536" spans="1:8">
      <c r="A536">
        <f>[1]NhapHang!A536</f>
        <v>0</v>
      </c>
      <c r="B536">
        <f>[1]NhapHang!B536</f>
        <v>0</v>
      </c>
      <c r="C536">
        <f>[1]NhapHang!C536</f>
        <v>0</v>
      </c>
      <c r="D536">
        <f>[1]NhapHang!D536</f>
        <v>0</v>
      </c>
      <c r="E536">
        <f>[1]NhapHang!E536</f>
        <v>0</v>
      </c>
      <c r="F536">
        <f>[1]NhapHang!F536</f>
        <v>0</v>
      </c>
      <c r="G536">
        <f>[1]NhapHang!G536</f>
        <v>0</v>
      </c>
      <c r="H536">
        <f>[1]NhapHang!H536</f>
        <v>0</v>
      </c>
    </row>
    <row r="537" spans="1:8">
      <c r="A537">
        <f>[1]NhapHang!A537</f>
        <v>0</v>
      </c>
      <c r="B537">
        <f>[1]NhapHang!B537</f>
        <v>0</v>
      </c>
      <c r="C537">
        <f>[1]NhapHang!C537</f>
        <v>0</v>
      </c>
      <c r="D537">
        <f>[1]NhapHang!D537</f>
        <v>0</v>
      </c>
      <c r="E537">
        <f>[1]NhapHang!E537</f>
        <v>0</v>
      </c>
      <c r="F537">
        <f>[1]NhapHang!F537</f>
        <v>0</v>
      </c>
      <c r="G537">
        <f>[1]NhapHang!G537</f>
        <v>0</v>
      </c>
      <c r="H537">
        <f>[1]NhapHang!H537</f>
        <v>0</v>
      </c>
    </row>
    <row r="538" spans="1:8">
      <c r="A538">
        <f>[1]NhapHang!A538</f>
        <v>0</v>
      </c>
      <c r="B538">
        <f>[1]NhapHang!B538</f>
        <v>0</v>
      </c>
      <c r="C538">
        <f>[1]NhapHang!C538</f>
        <v>0</v>
      </c>
      <c r="D538">
        <f>[1]NhapHang!D538</f>
        <v>0</v>
      </c>
      <c r="E538">
        <f>[1]NhapHang!E538</f>
        <v>0</v>
      </c>
      <c r="F538">
        <f>[1]NhapHang!F538</f>
        <v>0</v>
      </c>
      <c r="G538">
        <f>[1]NhapHang!G538</f>
        <v>0</v>
      </c>
      <c r="H538">
        <f>[1]NhapHang!H538</f>
        <v>0</v>
      </c>
    </row>
    <row r="539" spans="1:8">
      <c r="A539">
        <f>[1]NhapHang!A539</f>
        <v>0</v>
      </c>
      <c r="B539">
        <f>[1]NhapHang!B539</f>
        <v>0</v>
      </c>
      <c r="C539">
        <f>[1]NhapHang!C539</f>
        <v>0</v>
      </c>
      <c r="D539">
        <f>[1]NhapHang!D539</f>
        <v>0</v>
      </c>
      <c r="E539">
        <f>[1]NhapHang!E539</f>
        <v>0</v>
      </c>
      <c r="F539">
        <f>[1]NhapHang!F539</f>
        <v>0</v>
      </c>
      <c r="G539">
        <f>[1]NhapHang!G539</f>
        <v>0</v>
      </c>
      <c r="H539">
        <f>[1]NhapHang!H539</f>
        <v>0</v>
      </c>
    </row>
    <row r="540" spans="1:8">
      <c r="A540">
        <f>[1]NhapHang!A540</f>
        <v>0</v>
      </c>
      <c r="B540">
        <f>[1]NhapHang!B540</f>
        <v>0</v>
      </c>
      <c r="C540">
        <f>[1]NhapHang!C540</f>
        <v>0</v>
      </c>
      <c r="D540">
        <f>[1]NhapHang!D540</f>
        <v>0</v>
      </c>
      <c r="E540">
        <f>[1]NhapHang!E540</f>
        <v>0</v>
      </c>
      <c r="F540">
        <f>[1]NhapHang!F540</f>
        <v>0</v>
      </c>
      <c r="G540">
        <f>[1]NhapHang!G540</f>
        <v>0</v>
      </c>
      <c r="H540">
        <f>[1]NhapHang!H540</f>
        <v>0</v>
      </c>
    </row>
    <row r="541" spans="1:8">
      <c r="A541">
        <f>[1]NhapHang!A541</f>
        <v>0</v>
      </c>
      <c r="B541">
        <f>[1]NhapHang!B541</f>
        <v>0</v>
      </c>
      <c r="C541">
        <f>[1]NhapHang!C541</f>
        <v>0</v>
      </c>
      <c r="D541">
        <f>[1]NhapHang!D541</f>
        <v>0</v>
      </c>
      <c r="E541">
        <f>[1]NhapHang!E541</f>
        <v>0</v>
      </c>
      <c r="F541">
        <f>[1]NhapHang!F541</f>
        <v>0</v>
      </c>
      <c r="G541">
        <f>[1]NhapHang!G541</f>
        <v>0</v>
      </c>
      <c r="H541">
        <f>[1]NhapHang!H541</f>
        <v>0</v>
      </c>
    </row>
    <row r="542" spans="1:8">
      <c r="A542">
        <f>[1]NhapHang!A542</f>
        <v>0</v>
      </c>
      <c r="B542">
        <f>[1]NhapHang!B542</f>
        <v>0</v>
      </c>
      <c r="C542">
        <f>[1]NhapHang!C542</f>
        <v>0</v>
      </c>
      <c r="D542">
        <f>[1]NhapHang!D542</f>
        <v>0</v>
      </c>
      <c r="E542">
        <f>[1]NhapHang!E542</f>
        <v>0</v>
      </c>
      <c r="F542">
        <f>[1]NhapHang!F542</f>
        <v>0</v>
      </c>
      <c r="G542">
        <f>[1]NhapHang!G542</f>
        <v>0</v>
      </c>
      <c r="H542">
        <f>[1]NhapHang!H542</f>
        <v>0</v>
      </c>
    </row>
    <row r="543" spans="1:8">
      <c r="A543">
        <f>[1]NhapHang!A543</f>
        <v>0</v>
      </c>
      <c r="B543">
        <f>[1]NhapHang!B543</f>
        <v>0</v>
      </c>
      <c r="C543">
        <f>[1]NhapHang!C543</f>
        <v>0</v>
      </c>
      <c r="D543">
        <f>[1]NhapHang!D543</f>
        <v>0</v>
      </c>
      <c r="E543">
        <f>[1]NhapHang!E543</f>
        <v>0</v>
      </c>
      <c r="F543">
        <f>[1]NhapHang!F543</f>
        <v>0</v>
      </c>
      <c r="G543">
        <f>[1]NhapHang!G543</f>
        <v>0</v>
      </c>
      <c r="H543">
        <f>[1]NhapHang!H543</f>
        <v>0</v>
      </c>
    </row>
    <row r="544" spans="1:8">
      <c r="A544">
        <f>[1]NhapHang!A544</f>
        <v>0</v>
      </c>
      <c r="B544">
        <f>[1]NhapHang!B544</f>
        <v>0</v>
      </c>
      <c r="C544">
        <f>[1]NhapHang!C544</f>
        <v>0</v>
      </c>
      <c r="D544">
        <f>[1]NhapHang!D544</f>
        <v>0</v>
      </c>
      <c r="E544">
        <f>[1]NhapHang!E544</f>
        <v>0</v>
      </c>
      <c r="F544">
        <f>[1]NhapHang!F544</f>
        <v>0</v>
      </c>
      <c r="G544">
        <f>[1]NhapHang!G544</f>
        <v>0</v>
      </c>
      <c r="H544">
        <f>[1]NhapHang!H544</f>
        <v>0</v>
      </c>
    </row>
    <row r="545" spans="1:8">
      <c r="A545">
        <f>[1]NhapHang!A545</f>
        <v>0</v>
      </c>
      <c r="B545">
        <f>[1]NhapHang!B545</f>
        <v>0</v>
      </c>
      <c r="C545">
        <f>[1]NhapHang!C545</f>
        <v>0</v>
      </c>
      <c r="D545">
        <f>[1]NhapHang!D545</f>
        <v>0</v>
      </c>
      <c r="E545">
        <f>[1]NhapHang!E545</f>
        <v>0</v>
      </c>
      <c r="F545">
        <f>[1]NhapHang!F545</f>
        <v>0</v>
      </c>
      <c r="G545">
        <f>[1]NhapHang!G545</f>
        <v>0</v>
      </c>
      <c r="H545">
        <f>[1]NhapHang!H545</f>
        <v>0</v>
      </c>
    </row>
    <row r="546" spans="1:8">
      <c r="A546">
        <f>[1]NhapHang!A546</f>
        <v>0</v>
      </c>
      <c r="B546">
        <f>[1]NhapHang!B546</f>
        <v>0</v>
      </c>
      <c r="C546">
        <f>[1]NhapHang!C546</f>
        <v>0</v>
      </c>
      <c r="D546">
        <f>[1]NhapHang!D546</f>
        <v>0</v>
      </c>
      <c r="E546">
        <f>[1]NhapHang!E546</f>
        <v>0</v>
      </c>
      <c r="F546">
        <f>[1]NhapHang!F546</f>
        <v>0</v>
      </c>
      <c r="G546">
        <f>[1]NhapHang!G546</f>
        <v>0</v>
      </c>
      <c r="H546">
        <f>[1]NhapHang!H546</f>
        <v>0</v>
      </c>
    </row>
    <row r="547" spans="1:8">
      <c r="A547">
        <f>[1]NhapHang!A547</f>
        <v>0</v>
      </c>
      <c r="B547">
        <f>[1]NhapHang!B547</f>
        <v>0</v>
      </c>
      <c r="C547">
        <f>[1]NhapHang!C547</f>
        <v>0</v>
      </c>
      <c r="D547">
        <f>[1]NhapHang!D547</f>
        <v>0</v>
      </c>
      <c r="E547">
        <f>[1]NhapHang!E547</f>
        <v>0</v>
      </c>
      <c r="F547">
        <f>[1]NhapHang!F547</f>
        <v>0</v>
      </c>
      <c r="G547">
        <f>[1]NhapHang!G547</f>
        <v>0</v>
      </c>
      <c r="H547">
        <f>[1]NhapHang!H547</f>
        <v>0</v>
      </c>
    </row>
    <row r="548" spans="1:8">
      <c r="A548">
        <f>[1]NhapHang!A548</f>
        <v>0</v>
      </c>
      <c r="B548">
        <f>[1]NhapHang!B548</f>
        <v>0</v>
      </c>
      <c r="C548">
        <f>[1]NhapHang!C548</f>
        <v>0</v>
      </c>
      <c r="D548">
        <f>[1]NhapHang!D548</f>
        <v>0</v>
      </c>
      <c r="E548">
        <f>[1]NhapHang!E548</f>
        <v>0</v>
      </c>
      <c r="F548">
        <f>[1]NhapHang!F548</f>
        <v>0</v>
      </c>
      <c r="G548">
        <f>[1]NhapHang!G548</f>
        <v>0</v>
      </c>
      <c r="H548">
        <f>[1]NhapHang!H548</f>
        <v>0</v>
      </c>
    </row>
    <row r="549" spans="1:8">
      <c r="A549">
        <f>[1]NhapHang!A549</f>
        <v>0</v>
      </c>
      <c r="B549">
        <f>[1]NhapHang!B549</f>
        <v>0</v>
      </c>
      <c r="C549">
        <f>[1]NhapHang!C549</f>
        <v>0</v>
      </c>
      <c r="D549">
        <f>[1]NhapHang!D549</f>
        <v>0</v>
      </c>
      <c r="E549">
        <f>[1]NhapHang!E549</f>
        <v>0</v>
      </c>
      <c r="F549">
        <f>[1]NhapHang!F549</f>
        <v>0</v>
      </c>
      <c r="G549">
        <f>[1]NhapHang!G549</f>
        <v>0</v>
      </c>
      <c r="H549">
        <f>[1]NhapHang!H549</f>
        <v>0</v>
      </c>
    </row>
    <row r="550" spans="1:8">
      <c r="A550">
        <f>[1]NhapHang!A550</f>
        <v>0</v>
      </c>
      <c r="B550">
        <f>[1]NhapHang!B550</f>
        <v>0</v>
      </c>
      <c r="C550">
        <f>[1]NhapHang!C550</f>
        <v>0</v>
      </c>
      <c r="D550">
        <f>[1]NhapHang!D550</f>
        <v>0</v>
      </c>
      <c r="E550">
        <f>[1]NhapHang!E550</f>
        <v>0</v>
      </c>
      <c r="F550">
        <f>[1]NhapHang!F550</f>
        <v>0</v>
      </c>
      <c r="G550">
        <f>[1]NhapHang!G550</f>
        <v>0</v>
      </c>
      <c r="H550">
        <f>[1]NhapHang!H550</f>
        <v>0</v>
      </c>
    </row>
    <row r="551" spans="1:8">
      <c r="A551">
        <f>[1]NhapHang!A551</f>
        <v>0</v>
      </c>
      <c r="B551">
        <f>[1]NhapHang!B551</f>
        <v>0</v>
      </c>
      <c r="C551">
        <f>[1]NhapHang!C551</f>
        <v>0</v>
      </c>
      <c r="D551">
        <f>[1]NhapHang!D551</f>
        <v>0</v>
      </c>
      <c r="E551">
        <f>[1]NhapHang!E551</f>
        <v>0</v>
      </c>
      <c r="F551">
        <f>[1]NhapHang!F551</f>
        <v>0</v>
      </c>
      <c r="G551">
        <f>[1]NhapHang!G551</f>
        <v>0</v>
      </c>
      <c r="H551">
        <f>[1]NhapHang!H551</f>
        <v>0</v>
      </c>
    </row>
    <row r="552" spans="1:8">
      <c r="A552">
        <f>[1]NhapHang!A552</f>
        <v>0</v>
      </c>
      <c r="B552">
        <f>[1]NhapHang!B552</f>
        <v>0</v>
      </c>
      <c r="C552">
        <f>[1]NhapHang!C552</f>
        <v>0</v>
      </c>
      <c r="D552">
        <f>[1]NhapHang!D552</f>
        <v>0</v>
      </c>
      <c r="E552">
        <f>[1]NhapHang!E552</f>
        <v>0</v>
      </c>
      <c r="F552">
        <f>[1]NhapHang!F552</f>
        <v>0</v>
      </c>
      <c r="G552">
        <f>[1]NhapHang!G552</f>
        <v>0</v>
      </c>
      <c r="H552">
        <f>[1]NhapHang!H552</f>
        <v>0</v>
      </c>
    </row>
    <row r="553" spans="1:8">
      <c r="A553">
        <f>[1]NhapHang!A553</f>
        <v>0</v>
      </c>
      <c r="B553">
        <f>[1]NhapHang!B553</f>
        <v>0</v>
      </c>
      <c r="C553">
        <f>[1]NhapHang!C553</f>
        <v>0</v>
      </c>
      <c r="D553">
        <f>[1]NhapHang!D553</f>
        <v>0</v>
      </c>
      <c r="E553">
        <f>[1]NhapHang!E553</f>
        <v>0</v>
      </c>
      <c r="F553">
        <f>[1]NhapHang!F553</f>
        <v>0</v>
      </c>
      <c r="G553">
        <f>[1]NhapHang!G553</f>
        <v>0</v>
      </c>
      <c r="H553">
        <f>[1]NhapHang!H553</f>
        <v>0</v>
      </c>
    </row>
    <row r="554" spans="1:8">
      <c r="A554">
        <f>[1]NhapHang!A554</f>
        <v>0</v>
      </c>
      <c r="B554">
        <f>[1]NhapHang!B554</f>
        <v>0</v>
      </c>
      <c r="C554">
        <f>[1]NhapHang!C554</f>
        <v>0</v>
      </c>
      <c r="D554">
        <f>[1]NhapHang!D554</f>
        <v>0</v>
      </c>
      <c r="E554">
        <f>[1]NhapHang!E554</f>
        <v>0</v>
      </c>
      <c r="F554">
        <f>[1]NhapHang!F554</f>
        <v>0</v>
      </c>
      <c r="G554">
        <f>[1]NhapHang!G554</f>
        <v>0</v>
      </c>
      <c r="H554">
        <f>[1]NhapHang!H554</f>
        <v>0</v>
      </c>
    </row>
    <row r="555" spans="1:8">
      <c r="A555">
        <f>[1]NhapHang!A555</f>
        <v>0</v>
      </c>
      <c r="B555">
        <f>[1]NhapHang!B555</f>
        <v>0</v>
      </c>
      <c r="C555">
        <f>[1]NhapHang!C555</f>
        <v>0</v>
      </c>
      <c r="D555">
        <f>[1]NhapHang!D555</f>
        <v>0</v>
      </c>
      <c r="E555">
        <f>[1]NhapHang!E555</f>
        <v>0</v>
      </c>
      <c r="F555">
        <f>[1]NhapHang!F555</f>
        <v>0</v>
      </c>
      <c r="G555">
        <f>[1]NhapHang!G555</f>
        <v>0</v>
      </c>
      <c r="H555">
        <f>[1]NhapHang!H555</f>
        <v>0</v>
      </c>
    </row>
    <row r="556" spans="1:8">
      <c r="A556">
        <f>[1]NhapHang!A556</f>
        <v>0</v>
      </c>
      <c r="B556">
        <f>[1]NhapHang!B556</f>
        <v>0</v>
      </c>
      <c r="C556">
        <f>[1]NhapHang!C556</f>
        <v>0</v>
      </c>
      <c r="D556">
        <f>[1]NhapHang!D556</f>
        <v>0</v>
      </c>
      <c r="E556">
        <f>[1]NhapHang!E556</f>
        <v>0</v>
      </c>
      <c r="F556">
        <f>[1]NhapHang!F556</f>
        <v>0</v>
      </c>
      <c r="G556">
        <f>[1]NhapHang!G556</f>
        <v>0</v>
      </c>
      <c r="H556">
        <f>[1]NhapHang!H556</f>
        <v>0</v>
      </c>
    </row>
    <row r="557" spans="1:8">
      <c r="A557">
        <f>[1]NhapHang!A557</f>
        <v>0</v>
      </c>
      <c r="B557">
        <f>[1]NhapHang!B557</f>
        <v>0</v>
      </c>
      <c r="C557">
        <f>[1]NhapHang!C557</f>
        <v>0</v>
      </c>
      <c r="D557">
        <f>[1]NhapHang!D557</f>
        <v>0</v>
      </c>
      <c r="E557">
        <f>[1]NhapHang!E557</f>
        <v>0</v>
      </c>
      <c r="F557">
        <f>[1]NhapHang!F557</f>
        <v>0</v>
      </c>
      <c r="G557">
        <f>[1]NhapHang!G557</f>
        <v>0</v>
      </c>
      <c r="H557">
        <f>[1]NhapHang!H557</f>
        <v>0</v>
      </c>
    </row>
    <row r="558" spans="1:8">
      <c r="A558">
        <f>[1]NhapHang!A558</f>
        <v>0</v>
      </c>
      <c r="B558">
        <f>[1]NhapHang!B558</f>
        <v>0</v>
      </c>
      <c r="C558">
        <f>[1]NhapHang!C558</f>
        <v>0</v>
      </c>
      <c r="D558">
        <f>[1]NhapHang!D558</f>
        <v>0</v>
      </c>
      <c r="E558">
        <f>[1]NhapHang!E558</f>
        <v>0</v>
      </c>
      <c r="F558">
        <f>[1]NhapHang!F558</f>
        <v>0</v>
      </c>
      <c r="G558">
        <f>[1]NhapHang!G558</f>
        <v>0</v>
      </c>
      <c r="H558">
        <f>[1]NhapHang!H558</f>
        <v>0</v>
      </c>
    </row>
    <row r="559" spans="1:8">
      <c r="A559">
        <f>[1]NhapHang!A559</f>
        <v>0</v>
      </c>
      <c r="B559">
        <f>[1]NhapHang!B559</f>
        <v>0</v>
      </c>
      <c r="C559">
        <f>[1]NhapHang!C559</f>
        <v>0</v>
      </c>
      <c r="D559">
        <f>[1]NhapHang!D559</f>
        <v>0</v>
      </c>
      <c r="E559">
        <f>[1]NhapHang!E559</f>
        <v>0</v>
      </c>
      <c r="F559">
        <f>[1]NhapHang!F559</f>
        <v>0</v>
      </c>
      <c r="G559">
        <f>[1]NhapHang!G559</f>
        <v>0</v>
      </c>
      <c r="H559">
        <f>[1]NhapHang!H559</f>
        <v>0</v>
      </c>
    </row>
    <row r="560" spans="1:8">
      <c r="A560">
        <f>[1]NhapHang!A560</f>
        <v>0</v>
      </c>
      <c r="B560">
        <f>[1]NhapHang!B560</f>
        <v>0</v>
      </c>
      <c r="C560">
        <f>[1]NhapHang!C560</f>
        <v>0</v>
      </c>
      <c r="D560">
        <f>[1]NhapHang!D560</f>
        <v>0</v>
      </c>
      <c r="E560">
        <f>[1]NhapHang!E560</f>
        <v>0</v>
      </c>
      <c r="F560">
        <f>[1]NhapHang!F560</f>
        <v>0</v>
      </c>
      <c r="G560">
        <f>[1]NhapHang!G560</f>
        <v>0</v>
      </c>
      <c r="H560">
        <f>[1]NhapHang!H560</f>
        <v>0</v>
      </c>
    </row>
    <row r="561" spans="1:8">
      <c r="A561">
        <f>[1]NhapHang!A561</f>
        <v>0</v>
      </c>
      <c r="B561">
        <f>[1]NhapHang!B561</f>
        <v>0</v>
      </c>
      <c r="C561">
        <f>[1]NhapHang!C561</f>
        <v>0</v>
      </c>
      <c r="D561">
        <f>[1]NhapHang!D561</f>
        <v>0</v>
      </c>
      <c r="E561">
        <f>[1]NhapHang!E561</f>
        <v>0</v>
      </c>
      <c r="F561">
        <f>[1]NhapHang!F561</f>
        <v>0</v>
      </c>
      <c r="G561">
        <f>[1]NhapHang!G561</f>
        <v>0</v>
      </c>
      <c r="H561">
        <f>[1]NhapHang!H561</f>
        <v>0</v>
      </c>
    </row>
    <row r="562" spans="1:8">
      <c r="A562">
        <f>[1]NhapHang!A562</f>
        <v>0</v>
      </c>
      <c r="B562">
        <f>[1]NhapHang!B562</f>
        <v>0</v>
      </c>
      <c r="C562">
        <f>[1]NhapHang!C562</f>
        <v>0</v>
      </c>
      <c r="D562">
        <f>[1]NhapHang!D562</f>
        <v>0</v>
      </c>
      <c r="E562">
        <f>[1]NhapHang!E562</f>
        <v>0</v>
      </c>
      <c r="F562">
        <f>[1]NhapHang!F562</f>
        <v>0</v>
      </c>
      <c r="G562">
        <f>[1]NhapHang!G562</f>
        <v>0</v>
      </c>
      <c r="H562">
        <f>[1]NhapHang!H562</f>
        <v>0</v>
      </c>
    </row>
    <row r="563" spans="1:8">
      <c r="A563">
        <f>[1]NhapHang!A563</f>
        <v>0</v>
      </c>
      <c r="B563">
        <f>[1]NhapHang!B563</f>
        <v>0</v>
      </c>
      <c r="C563">
        <f>[1]NhapHang!C563</f>
        <v>0</v>
      </c>
      <c r="D563">
        <f>[1]NhapHang!D563</f>
        <v>0</v>
      </c>
      <c r="E563">
        <f>[1]NhapHang!E563</f>
        <v>0</v>
      </c>
      <c r="F563">
        <f>[1]NhapHang!F563</f>
        <v>0</v>
      </c>
      <c r="G563">
        <f>[1]NhapHang!G563</f>
        <v>0</v>
      </c>
      <c r="H563">
        <f>[1]NhapHang!H563</f>
        <v>0</v>
      </c>
    </row>
    <row r="564" spans="1:8">
      <c r="A564">
        <f>[1]NhapHang!A564</f>
        <v>0</v>
      </c>
      <c r="B564">
        <f>[1]NhapHang!B564</f>
        <v>0</v>
      </c>
      <c r="C564">
        <f>[1]NhapHang!C564</f>
        <v>0</v>
      </c>
      <c r="D564">
        <f>[1]NhapHang!D564</f>
        <v>0</v>
      </c>
      <c r="E564">
        <f>[1]NhapHang!E564</f>
        <v>0</v>
      </c>
      <c r="F564">
        <f>[1]NhapHang!F564</f>
        <v>0</v>
      </c>
      <c r="G564">
        <f>[1]NhapHang!G564</f>
        <v>0</v>
      </c>
      <c r="H564">
        <f>[1]NhapHang!H564</f>
        <v>0</v>
      </c>
    </row>
    <row r="565" spans="1:8">
      <c r="A565">
        <f>[1]NhapHang!A565</f>
        <v>0</v>
      </c>
      <c r="B565">
        <f>[1]NhapHang!B565</f>
        <v>0</v>
      </c>
      <c r="C565">
        <f>[1]NhapHang!C565</f>
        <v>0</v>
      </c>
      <c r="D565">
        <f>[1]NhapHang!D565</f>
        <v>0</v>
      </c>
      <c r="E565">
        <f>[1]NhapHang!E565</f>
        <v>0</v>
      </c>
      <c r="F565">
        <f>[1]NhapHang!F565</f>
        <v>0</v>
      </c>
      <c r="G565">
        <f>[1]NhapHang!G565</f>
        <v>0</v>
      </c>
      <c r="H565">
        <f>[1]NhapHang!H565</f>
        <v>0</v>
      </c>
    </row>
    <row r="566" spans="1:8">
      <c r="A566">
        <f>[1]NhapHang!A566</f>
        <v>0</v>
      </c>
      <c r="B566">
        <f>[1]NhapHang!B566</f>
        <v>0</v>
      </c>
      <c r="C566">
        <f>[1]NhapHang!C566</f>
        <v>0</v>
      </c>
      <c r="D566">
        <f>[1]NhapHang!D566</f>
        <v>0</v>
      </c>
      <c r="E566">
        <f>[1]NhapHang!E566</f>
        <v>0</v>
      </c>
      <c r="F566">
        <f>[1]NhapHang!F566</f>
        <v>0</v>
      </c>
      <c r="G566">
        <f>[1]NhapHang!G566</f>
        <v>0</v>
      </c>
      <c r="H566">
        <f>[1]NhapHang!H566</f>
        <v>0</v>
      </c>
    </row>
    <row r="567" spans="1:8">
      <c r="A567">
        <f>[1]NhapHang!A567</f>
        <v>0</v>
      </c>
      <c r="B567">
        <f>[1]NhapHang!B567</f>
        <v>0</v>
      </c>
      <c r="C567">
        <f>[1]NhapHang!C567</f>
        <v>0</v>
      </c>
      <c r="D567">
        <f>[1]NhapHang!D567</f>
        <v>0</v>
      </c>
      <c r="E567">
        <f>[1]NhapHang!E567</f>
        <v>0</v>
      </c>
      <c r="F567">
        <f>[1]NhapHang!F567</f>
        <v>0</v>
      </c>
      <c r="G567">
        <f>[1]NhapHang!G567</f>
        <v>0</v>
      </c>
      <c r="H567">
        <f>[1]NhapHang!H567</f>
        <v>0</v>
      </c>
    </row>
    <row r="568" spans="1:8">
      <c r="A568">
        <f>[1]NhapHang!A568</f>
        <v>0</v>
      </c>
      <c r="B568">
        <f>[1]NhapHang!B568</f>
        <v>0</v>
      </c>
      <c r="C568">
        <f>[1]NhapHang!C568</f>
        <v>0</v>
      </c>
      <c r="D568">
        <f>[1]NhapHang!D568</f>
        <v>0</v>
      </c>
      <c r="E568">
        <f>[1]NhapHang!E568</f>
        <v>0</v>
      </c>
      <c r="F568">
        <f>[1]NhapHang!F568</f>
        <v>0</v>
      </c>
      <c r="G568">
        <f>[1]NhapHang!G568</f>
        <v>0</v>
      </c>
      <c r="H568">
        <f>[1]NhapHang!H568</f>
        <v>0</v>
      </c>
    </row>
    <row r="569" spans="1:8">
      <c r="A569">
        <f>[1]NhapHang!A569</f>
        <v>0</v>
      </c>
      <c r="B569">
        <f>[1]NhapHang!B569</f>
        <v>0</v>
      </c>
      <c r="C569">
        <f>[1]NhapHang!C569</f>
        <v>0</v>
      </c>
      <c r="D569">
        <f>[1]NhapHang!D569</f>
        <v>0</v>
      </c>
      <c r="E569">
        <f>[1]NhapHang!E569</f>
        <v>0</v>
      </c>
      <c r="F569">
        <f>[1]NhapHang!F569</f>
        <v>0</v>
      </c>
      <c r="G569">
        <f>[1]NhapHang!G569</f>
        <v>0</v>
      </c>
      <c r="H569">
        <f>[1]NhapHang!H569</f>
        <v>0</v>
      </c>
    </row>
    <row r="570" spans="1:8">
      <c r="A570">
        <f>[1]NhapHang!A570</f>
        <v>0</v>
      </c>
      <c r="B570">
        <f>[1]NhapHang!B570</f>
        <v>0</v>
      </c>
      <c r="C570">
        <f>[1]NhapHang!C570</f>
        <v>0</v>
      </c>
      <c r="D570">
        <f>[1]NhapHang!D570</f>
        <v>0</v>
      </c>
      <c r="E570">
        <f>[1]NhapHang!E570</f>
        <v>0</v>
      </c>
      <c r="F570">
        <f>[1]NhapHang!F570</f>
        <v>0</v>
      </c>
      <c r="G570">
        <f>[1]NhapHang!G570</f>
        <v>0</v>
      </c>
      <c r="H570">
        <f>[1]NhapHang!H570</f>
        <v>0</v>
      </c>
    </row>
    <row r="571" spans="1:8">
      <c r="A571">
        <f>[1]NhapHang!A571</f>
        <v>0</v>
      </c>
      <c r="B571">
        <f>[1]NhapHang!B571</f>
        <v>0</v>
      </c>
      <c r="C571">
        <f>[1]NhapHang!C571</f>
        <v>0</v>
      </c>
      <c r="D571">
        <f>[1]NhapHang!D571</f>
        <v>0</v>
      </c>
      <c r="E571">
        <f>[1]NhapHang!E571</f>
        <v>0</v>
      </c>
      <c r="F571">
        <f>[1]NhapHang!F571</f>
        <v>0</v>
      </c>
      <c r="G571">
        <f>[1]NhapHang!G571</f>
        <v>0</v>
      </c>
      <c r="H571">
        <f>[1]NhapHang!H571</f>
        <v>0</v>
      </c>
    </row>
    <row r="572" spans="1:8">
      <c r="A572">
        <f>[1]NhapHang!A572</f>
        <v>0</v>
      </c>
      <c r="B572">
        <f>[1]NhapHang!B572</f>
        <v>0</v>
      </c>
      <c r="C572">
        <f>[1]NhapHang!C572</f>
        <v>0</v>
      </c>
      <c r="D572">
        <f>[1]NhapHang!D572</f>
        <v>0</v>
      </c>
      <c r="E572">
        <f>[1]NhapHang!E572</f>
        <v>0</v>
      </c>
      <c r="F572">
        <f>[1]NhapHang!F572</f>
        <v>0</v>
      </c>
      <c r="G572">
        <f>[1]NhapHang!G572</f>
        <v>0</v>
      </c>
      <c r="H572">
        <f>[1]NhapHang!H572</f>
        <v>0</v>
      </c>
    </row>
    <row r="573" spans="1:8">
      <c r="A573">
        <f>[1]NhapHang!A573</f>
        <v>0</v>
      </c>
      <c r="B573">
        <f>[1]NhapHang!B573</f>
        <v>0</v>
      </c>
      <c r="C573">
        <f>[1]NhapHang!C573</f>
        <v>0</v>
      </c>
      <c r="D573">
        <f>[1]NhapHang!D573</f>
        <v>0</v>
      </c>
      <c r="E573">
        <f>[1]NhapHang!E573</f>
        <v>0</v>
      </c>
      <c r="F573">
        <f>[1]NhapHang!F573</f>
        <v>0</v>
      </c>
      <c r="G573">
        <f>[1]NhapHang!G573</f>
        <v>0</v>
      </c>
      <c r="H573">
        <f>[1]NhapHang!H573</f>
        <v>0</v>
      </c>
    </row>
    <row r="574" spans="1:8">
      <c r="A574">
        <f>[1]NhapHang!A574</f>
        <v>0</v>
      </c>
      <c r="B574">
        <f>[1]NhapHang!B574</f>
        <v>0</v>
      </c>
      <c r="C574">
        <f>[1]NhapHang!C574</f>
        <v>0</v>
      </c>
      <c r="D574">
        <f>[1]NhapHang!D574</f>
        <v>0</v>
      </c>
      <c r="E574">
        <f>[1]NhapHang!E574</f>
        <v>0</v>
      </c>
      <c r="F574">
        <f>[1]NhapHang!F574</f>
        <v>0</v>
      </c>
      <c r="G574">
        <f>[1]NhapHang!G574</f>
        <v>0</v>
      </c>
      <c r="H574">
        <f>[1]NhapHang!H574</f>
        <v>0</v>
      </c>
    </row>
    <row r="575" spans="1:8">
      <c r="A575">
        <f>[1]NhapHang!A575</f>
        <v>0</v>
      </c>
      <c r="B575">
        <f>[1]NhapHang!B575</f>
        <v>0</v>
      </c>
      <c r="C575">
        <f>[1]NhapHang!C575</f>
        <v>0</v>
      </c>
      <c r="D575">
        <f>[1]NhapHang!D575</f>
        <v>0</v>
      </c>
      <c r="E575">
        <f>[1]NhapHang!E575</f>
        <v>0</v>
      </c>
      <c r="F575">
        <f>[1]NhapHang!F575</f>
        <v>0</v>
      </c>
      <c r="G575">
        <f>[1]NhapHang!G575</f>
        <v>0</v>
      </c>
      <c r="H575">
        <f>[1]NhapHang!H575</f>
        <v>0</v>
      </c>
    </row>
    <row r="576" spans="1:8">
      <c r="A576">
        <f>[1]NhapHang!A576</f>
        <v>0</v>
      </c>
      <c r="B576">
        <f>[1]NhapHang!B576</f>
        <v>0</v>
      </c>
      <c r="C576">
        <f>[1]NhapHang!C576</f>
        <v>0</v>
      </c>
      <c r="D576">
        <f>[1]NhapHang!D576</f>
        <v>0</v>
      </c>
      <c r="E576">
        <f>[1]NhapHang!E576</f>
        <v>0</v>
      </c>
      <c r="F576">
        <f>[1]NhapHang!F576</f>
        <v>0</v>
      </c>
      <c r="G576">
        <f>[1]NhapHang!G576</f>
        <v>0</v>
      </c>
      <c r="H576">
        <f>[1]NhapHang!H576</f>
        <v>0</v>
      </c>
    </row>
    <row r="577" spans="1:8">
      <c r="A577">
        <f>[1]NhapHang!A577</f>
        <v>0</v>
      </c>
      <c r="B577">
        <f>[1]NhapHang!B577</f>
        <v>0</v>
      </c>
      <c r="C577">
        <f>[1]NhapHang!C577</f>
        <v>0</v>
      </c>
      <c r="D577">
        <f>[1]NhapHang!D577</f>
        <v>0</v>
      </c>
      <c r="E577">
        <f>[1]NhapHang!E577</f>
        <v>0</v>
      </c>
      <c r="F577">
        <f>[1]NhapHang!F577</f>
        <v>0</v>
      </c>
      <c r="G577">
        <f>[1]NhapHang!G577</f>
        <v>0</v>
      </c>
      <c r="H577">
        <f>[1]NhapHang!H577</f>
        <v>0</v>
      </c>
    </row>
    <row r="578" spans="1:8">
      <c r="A578">
        <f>[1]NhapHang!A578</f>
        <v>0</v>
      </c>
      <c r="B578">
        <f>[1]NhapHang!B578</f>
        <v>0</v>
      </c>
      <c r="C578">
        <f>[1]NhapHang!C578</f>
        <v>0</v>
      </c>
      <c r="D578">
        <f>[1]NhapHang!D578</f>
        <v>0</v>
      </c>
      <c r="E578">
        <f>[1]NhapHang!E578</f>
        <v>0</v>
      </c>
      <c r="F578">
        <f>[1]NhapHang!F578</f>
        <v>0</v>
      </c>
      <c r="G578">
        <f>[1]NhapHang!G578</f>
        <v>0</v>
      </c>
      <c r="H578">
        <f>[1]NhapHang!H578</f>
        <v>0</v>
      </c>
    </row>
    <row r="579" spans="1:8">
      <c r="A579">
        <f>[1]NhapHang!A579</f>
        <v>0</v>
      </c>
      <c r="B579">
        <f>[1]NhapHang!B579</f>
        <v>0</v>
      </c>
      <c r="C579">
        <f>[1]NhapHang!C579</f>
        <v>0</v>
      </c>
      <c r="D579">
        <f>[1]NhapHang!D579</f>
        <v>0</v>
      </c>
      <c r="E579">
        <f>[1]NhapHang!E579</f>
        <v>0</v>
      </c>
      <c r="F579">
        <f>[1]NhapHang!F579</f>
        <v>0</v>
      </c>
      <c r="G579">
        <f>[1]NhapHang!G579</f>
        <v>0</v>
      </c>
      <c r="H579">
        <f>[1]NhapHang!H579</f>
        <v>0</v>
      </c>
    </row>
    <row r="580" spans="1:8">
      <c r="A580">
        <f>[1]NhapHang!A580</f>
        <v>0</v>
      </c>
      <c r="B580">
        <f>[1]NhapHang!B580</f>
        <v>0</v>
      </c>
      <c r="C580">
        <f>[1]NhapHang!C580</f>
        <v>0</v>
      </c>
      <c r="D580">
        <f>[1]NhapHang!D580</f>
        <v>0</v>
      </c>
      <c r="E580">
        <f>[1]NhapHang!E580</f>
        <v>0</v>
      </c>
      <c r="F580">
        <f>[1]NhapHang!F580</f>
        <v>0</v>
      </c>
      <c r="G580">
        <f>[1]NhapHang!G580</f>
        <v>0</v>
      </c>
      <c r="H580">
        <f>[1]NhapHang!H580</f>
        <v>0</v>
      </c>
    </row>
    <row r="581" spans="1:8">
      <c r="A581">
        <f>[1]NhapHang!A581</f>
        <v>0</v>
      </c>
      <c r="B581">
        <f>[1]NhapHang!B581</f>
        <v>0</v>
      </c>
      <c r="C581">
        <f>[1]NhapHang!C581</f>
        <v>0</v>
      </c>
      <c r="D581">
        <f>[1]NhapHang!D581</f>
        <v>0</v>
      </c>
      <c r="E581">
        <f>[1]NhapHang!E581</f>
        <v>0</v>
      </c>
      <c r="F581">
        <f>[1]NhapHang!F581</f>
        <v>0</v>
      </c>
      <c r="G581">
        <f>[1]NhapHang!G581</f>
        <v>0</v>
      </c>
      <c r="H581">
        <f>[1]NhapHang!H581</f>
        <v>0</v>
      </c>
    </row>
    <row r="582" spans="1:8">
      <c r="A582">
        <f>[1]NhapHang!A582</f>
        <v>0</v>
      </c>
      <c r="B582">
        <f>[1]NhapHang!B582</f>
        <v>0</v>
      </c>
      <c r="C582">
        <f>[1]NhapHang!C582</f>
        <v>0</v>
      </c>
      <c r="D582">
        <f>[1]NhapHang!D582</f>
        <v>0</v>
      </c>
      <c r="E582">
        <f>[1]NhapHang!E582</f>
        <v>0</v>
      </c>
      <c r="F582">
        <f>[1]NhapHang!F582</f>
        <v>0</v>
      </c>
      <c r="G582">
        <f>[1]NhapHang!G582</f>
        <v>0</v>
      </c>
      <c r="H582">
        <f>[1]NhapHang!H582</f>
        <v>0</v>
      </c>
    </row>
    <row r="583" spans="1:8">
      <c r="A583">
        <f>[1]NhapHang!A583</f>
        <v>0</v>
      </c>
      <c r="B583">
        <f>[1]NhapHang!B583</f>
        <v>0</v>
      </c>
      <c r="C583">
        <f>[1]NhapHang!C583</f>
        <v>0</v>
      </c>
      <c r="D583">
        <f>[1]NhapHang!D583</f>
        <v>0</v>
      </c>
      <c r="E583">
        <f>[1]NhapHang!E583</f>
        <v>0</v>
      </c>
      <c r="F583">
        <f>[1]NhapHang!F583</f>
        <v>0</v>
      </c>
      <c r="G583">
        <f>[1]NhapHang!G583</f>
        <v>0</v>
      </c>
      <c r="H583">
        <f>[1]NhapHang!H583</f>
        <v>0</v>
      </c>
    </row>
    <row r="584" spans="1:8">
      <c r="A584">
        <f>[1]NhapHang!A584</f>
        <v>0</v>
      </c>
      <c r="B584">
        <f>[1]NhapHang!B584</f>
        <v>0</v>
      </c>
      <c r="C584">
        <f>[1]NhapHang!C584</f>
        <v>0</v>
      </c>
      <c r="D584">
        <f>[1]NhapHang!D584</f>
        <v>0</v>
      </c>
      <c r="E584">
        <f>[1]NhapHang!E584</f>
        <v>0</v>
      </c>
      <c r="F584">
        <f>[1]NhapHang!F584</f>
        <v>0</v>
      </c>
      <c r="G584">
        <f>[1]NhapHang!G584</f>
        <v>0</v>
      </c>
      <c r="H584">
        <f>[1]NhapHang!H584</f>
        <v>0</v>
      </c>
    </row>
    <row r="585" spans="1:8">
      <c r="A585">
        <f>[1]NhapHang!A585</f>
        <v>0</v>
      </c>
      <c r="B585">
        <f>[1]NhapHang!B585</f>
        <v>0</v>
      </c>
      <c r="C585">
        <f>[1]NhapHang!C585</f>
        <v>0</v>
      </c>
      <c r="D585">
        <f>[1]NhapHang!D585</f>
        <v>0</v>
      </c>
      <c r="E585">
        <f>[1]NhapHang!E585</f>
        <v>0</v>
      </c>
      <c r="F585">
        <f>[1]NhapHang!F585</f>
        <v>0</v>
      </c>
      <c r="G585">
        <f>[1]NhapHang!G585</f>
        <v>0</v>
      </c>
      <c r="H585">
        <f>[1]NhapHang!H585</f>
        <v>0</v>
      </c>
    </row>
    <row r="586" spans="1:8">
      <c r="A586">
        <f>[1]NhapHang!A586</f>
        <v>0</v>
      </c>
      <c r="B586">
        <f>[1]NhapHang!B586</f>
        <v>0</v>
      </c>
      <c r="C586">
        <f>[1]NhapHang!C586</f>
        <v>0</v>
      </c>
      <c r="D586">
        <f>[1]NhapHang!D586</f>
        <v>0</v>
      </c>
      <c r="E586">
        <f>[1]NhapHang!E586</f>
        <v>0</v>
      </c>
      <c r="F586">
        <f>[1]NhapHang!F586</f>
        <v>0</v>
      </c>
      <c r="G586">
        <f>[1]NhapHang!G586</f>
        <v>0</v>
      </c>
      <c r="H586">
        <f>[1]NhapHang!H586</f>
        <v>0</v>
      </c>
    </row>
    <row r="587" spans="1:8">
      <c r="A587">
        <f>[1]NhapHang!A587</f>
        <v>0</v>
      </c>
      <c r="B587">
        <f>[1]NhapHang!B587</f>
        <v>0</v>
      </c>
      <c r="C587">
        <f>[1]NhapHang!C587</f>
        <v>0</v>
      </c>
      <c r="D587">
        <f>[1]NhapHang!D587</f>
        <v>0</v>
      </c>
      <c r="E587">
        <f>[1]NhapHang!E587</f>
        <v>0</v>
      </c>
      <c r="F587">
        <f>[1]NhapHang!F587</f>
        <v>0</v>
      </c>
      <c r="G587">
        <f>[1]NhapHang!G587</f>
        <v>0</v>
      </c>
      <c r="H587">
        <f>[1]NhapHang!H587</f>
        <v>0</v>
      </c>
    </row>
    <row r="588" spans="1:8">
      <c r="A588">
        <f>[1]NhapHang!A588</f>
        <v>0</v>
      </c>
      <c r="B588">
        <f>[1]NhapHang!B588</f>
        <v>0</v>
      </c>
      <c r="C588">
        <f>[1]NhapHang!C588</f>
        <v>0</v>
      </c>
      <c r="D588">
        <f>[1]NhapHang!D588</f>
        <v>0</v>
      </c>
      <c r="E588">
        <f>[1]NhapHang!E588</f>
        <v>0</v>
      </c>
      <c r="F588">
        <f>[1]NhapHang!F588</f>
        <v>0</v>
      </c>
      <c r="G588">
        <f>[1]NhapHang!G588</f>
        <v>0</v>
      </c>
      <c r="H588">
        <f>[1]NhapHang!H588</f>
        <v>0</v>
      </c>
    </row>
    <row r="589" spans="1:8">
      <c r="A589">
        <f>[1]NhapHang!A589</f>
        <v>0</v>
      </c>
      <c r="B589">
        <f>[1]NhapHang!B589</f>
        <v>0</v>
      </c>
      <c r="C589">
        <f>[1]NhapHang!C589</f>
        <v>0</v>
      </c>
      <c r="D589">
        <f>[1]NhapHang!D589</f>
        <v>0</v>
      </c>
      <c r="E589">
        <f>[1]NhapHang!E589</f>
        <v>0</v>
      </c>
      <c r="F589">
        <f>[1]NhapHang!F589</f>
        <v>0</v>
      </c>
      <c r="G589">
        <f>[1]NhapHang!G589</f>
        <v>0</v>
      </c>
      <c r="H589">
        <f>[1]NhapHang!H589</f>
        <v>0</v>
      </c>
    </row>
    <row r="590" spans="1:8">
      <c r="A590">
        <f>[1]NhapHang!A590</f>
        <v>0</v>
      </c>
      <c r="B590">
        <f>[1]NhapHang!B590</f>
        <v>0</v>
      </c>
      <c r="C590">
        <f>[1]NhapHang!C590</f>
        <v>0</v>
      </c>
      <c r="D590">
        <f>[1]NhapHang!D590</f>
        <v>0</v>
      </c>
      <c r="E590">
        <f>[1]NhapHang!E590</f>
        <v>0</v>
      </c>
      <c r="F590">
        <f>[1]NhapHang!F590</f>
        <v>0</v>
      </c>
      <c r="G590">
        <f>[1]NhapHang!G590</f>
        <v>0</v>
      </c>
      <c r="H590">
        <f>[1]NhapHang!H590</f>
        <v>0</v>
      </c>
    </row>
    <row r="591" spans="1:8">
      <c r="A591">
        <f>[1]NhapHang!A591</f>
        <v>0</v>
      </c>
      <c r="B591">
        <f>[1]NhapHang!B591</f>
        <v>0</v>
      </c>
      <c r="C591">
        <f>[1]NhapHang!C591</f>
        <v>0</v>
      </c>
      <c r="D591">
        <f>[1]NhapHang!D591</f>
        <v>0</v>
      </c>
      <c r="E591">
        <f>[1]NhapHang!E591</f>
        <v>0</v>
      </c>
      <c r="F591">
        <f>[1]NhapHang!F591</f>
        <v>0</v>
      </c>
      <c r="G591">
        <f>[1]NhapHang!G591</f>
        <v>0</v>
      </c>
      <c r="H591">
        <f>[1]NhapHang!H591</f>
        <v>0</v>
      </c>
    </row>
    <row r="592" spans="1:8">
      <c r="A592">
        <f>[1]NhapHang!A592</f>
        <v>0</v>
      </c>
      <c r="B592">
        <f>[1]NhapHang!B592</f>
        <v>0</v>
      </c>
      <c r="C592">
        <f>[1]NhapHang!C592</f>
        <v>0</v>
      </c>
      <c r="D592">
        <f>[1]NhapHang!D592</f>
        <v>0</v>
      </c>
      <c r="E592">
        <f>[1]NhapHang!E592</f>
        <v>0</v>
      </c>
      <c r="F592">
        <f>[1]NhapHang!F592</f>
        <v>0</v>
      </c>
      <c r="G592">
        <f>[1]NhapHang!G592</f>
        <v>0</v>
      </c>
      <c r="H592">
        <f>[1]NhapHang!H592</f>
        <v>0</v>
      </c>
    </row>
    <row r="593" spans="1:8">
      <c r="A593">
        <f>[1]NhapHang!A593</f>
        <v>0</v>
      </c>
      <c r="B593">
        <f>[1]NhapHang!B593</f>
        <v>0</v>
      </c>
      <c r="C593">
        <f>[1]NhapHang!C593</f>
        <v>0</v>
      </c>
      <c r="D593">
        <f>[1]NhapHang!D593</f>
        <v>0</v>
      </c>
      <c r="E593">
        <f>[1]NhapHang!E593</f>
        <v>0</v>
      </c>
      <c r="F593">
        <f>[1]NhapHang!F593</f>
        <v>0</v>
      </c>
      <c r="G593">
        <f>[1]NhapHang!G593</f>
        <v>0</v>
      </c>
      <c r="H593">
        <f>[1]NhapHang!H593</f>
        <v>0</v>
      </c>
    </row>
    <row r="594" spans="1:8">
      <c r="A594">
        <f>[1]NhapHang!A594</f>
        <v>0</v>
      </c>
      <c r="B594">
        <f>[1]NhapHang!B594</f>
        <v>0</v>
      </c>
      <c r="C594">
        <f>[1]NhapHang!C594</f>
        <v>0</v>
      </c>
      <c r="D594">
        <f>[1]NhapHang!D594</f>
        <v>0</v>
      </c>
      <c r="E594">
        <f>[1]NhapHang!E594</f>
        <v>0</v>
      </c>
      <c r="F594">
        <f>[1]NhapHang!F594</f>
        <v>0</v>
      </c>
      <c r="G594">
        <f>[1]NhapHang!G594</f>
        <v>0</v>
      </c>
      <c r="H594">
        <f>[1]NhapHang!H594</f>
        <v>0</v>
      </c>
    </row>
    <row r="595" spans="1:8">
      <c r="A595">
        <f>[1]NhapHang!A595</f>
        <v>0</v>
      </c>
      <c r="B595">
        <f>[1]NhapHang!B595</f>
        <v>0</v>
      </c>
      <c r="C595">
        <f>[1]NhapHang!C595</f>
        <v>0</v>
      </c>
      <c r="D595">
        <f>[1]NhapHang!D595</f>
        <v>0</v>
      </c>
      <c r="E595">
        <f>[1]NhapHang!E595</f>
        <v>0</v>
      </c>
      <c r="F595">
        <f>[1]NhapHang!F595</f>
        <v>0</v>
      </c>
      <c r="G595">
        <f>[1]NhapHang!G595</f>
        <v>0</v>
      </c>
      <c r="H595">
        <f>[1]NhapHang!H595</f>
        <v>0</v>
      </c>
    </row>
    <row r="596" spans="1:8">
      <c r="A596">
        <f>[1]NhapHang!A596</f>
        <v>0</v>
      </c>
      <c r="B596">
        <f>[1]NhapHang!B596</f>
        <v>0</v>
      </c>
      <c r="C596">
        <f>[1]NhapHang!C596</f>
        <v>0</v>
      </c>
      <c r="D596">
        <f>[1]NhapHang!D596</f>
        <v>0</v>
      </c>
      <c r="E596">
        <f>[1]NhapHang!E596</f>
        <v>0</v>
      </c>
      <c r="F596">
        <f>[1]NhapHang!F596</f>
        <v>0</v>
      </c>
      <c r="G596">
        <f>[1]NhapHang!G596</f>
        <v>0</v>
      </c>
      <c r="H596">
        <f>[1]NhapHang!H596</f>
        <v>0</v>
      </c>
    </row>
    <row r="597" spans="1:8">
      <c r="A597">
        <f>[1]NhapHang!A597</f>
        <v>0</v>
      </c>
      <c r="B597">
        <f>[1]NhapHang!B597</f>
        <v>0</v>
      </c>
      <c r="C597">
        <f>[1]NhapHang!C597</f>
        <v>0</v>
      </c>
      <c r="D597">
        <f>[1]NhapHang!D597</f>
        <v>0</v>
      </c>
      <c r="E597">
        <f>[1]NhapHang!E597</f>
        <v>0</v>
      </c>
      <c r="F597">
        <f>[1]NhapHang!F597</f>
        <v>0</v>
      </c>
      <c r="G597">
        <f>[1]NhapHang!G597</f>
        <v>0</v>
      </c>
      <c r="H597">
        <f>[1]NhapHang!H597</f>
        <v>0</v>
      </c>
    </row>
    <row r="598" spans="1:8">
      <c r="A598">
        <f>[1]NhapHang!A598</f>
        <v>0</v>
      </c>
      <c r="B598">
        <f>[1]NhapHang!B598</f>
        <v>0</v>
      </c>
      <c r="C598">
        <f>[1]NhapHang!C598</f>
        <v>0</v>
      </c>
      <c r="D598">
        <f>[1]NhapHang!D598</f>
        <v>0</v>
      </c>
      <c r="E598">
        <f>[1]NhapHang!E598</f>
        <v>0</v>
      </c>
      <c r="F598">
        <f>[1]NhapHang!F598</f>
        <v>0</v>
      </c>
      <c r="G598">
        <f>[1]NhapHang!G598</f>
        <v>0</v>
      </c>
      <c r="H598">
        <f>[1]NhapHang!H598</f>
        <v>0</v>
      </c>
    </row>
    <row r="599" spans="1:8">
      <c r="A599">
        <f>[1]NhapHang!A599</f>
        <v>0</v>
      </c>
      <c r="B599">
        <f>[1]NhapHang!B599</f>
        <v>0</v>
      </c>
      <c r="C599">
        <f>[1]NhapHang!C599</f>
        <v>0</v>
      </c>
      <c r="D599">
        <f>[1]NhapHang!D599</f>
        <v>0</v>
      </c>
      <c r="E599">
        <f>[1]NhapHang!E599</f>
        <v>0</v>
      </c>
      <c r="F599">
        <f>[1]NhapHang!F599</f>
        <v>0</v>
      </c>
      <c r="G599">
        <f>[1]NhapHang!G599</f>
        <v>0</v>
      </c>
      <c r="H599">
        <f>[1]NhapHang!H599</f>
        <v>0</v>
      </c>
    </row>
    <row r="600" spans="1:8">
      <c r="A600">
        <f>[1]NhapHang!A600</f>
        <v>0</v>
      </c>
      <c r="B600">
        <f>[1]NhapHang!B600</f>
        <v>0</v>
      </c>
      <c r="C600">
        <f>[1]NhapHang!C600</f>
        <v>0</v>
      </c>
      <c r="D600">
        <f>[1]NhapHang!D600</f>
        <v>0</v>
      </c>
      <c r="E600">
        <f>[1]NhapHang!E600</f>
        <v>0</v>
      </c>
      <c r="F600">
        <f>[1]NhapHang!F600</f>
        <v>0</v>
      </c>
      <c r="G600">
        <f>[1]NhapHang!G600</f>
        <v>0</v>
      </c>
      <c r="H600">
        <f>[1]NhapHang!H600</f>
        <v>0</v>
      </c>
    </row>
    <row r="601" spans="1:8">
      <c r="A601">
        <f>[1]NhapHang!A601</f>
        <v>0</v>
      </c>
      <c r="B601">
        <f>[1]NhapHang!B601</f>
        <v>0</v>
      </c>
      <c r="C601">
        <f>[1]NhapHang!C601</f>
        <v>0</v>
      </c>
      <c r="D601">
        <f>[1]NhapHang!D601</f>
        <v>0</v>
      </c>
      <c r="E601">
        <f>[1]NhapHang!E601</f>
        <v>0</v>
      </c>
      <c r="F601">
        <f>[1]NhapHang!F601</f>
        <v>0</v>
      </c>
      <c r="G601">
        <f>[1]NhapHang!G601</f>
        <v>0</v>
      </c>
      <c r="H601">
        <f>[1]NhapHang!H601</f>
        <v>0</v>
      </c>
    </row>
    <row r="602" spans="1:8">
      <c r="A602">
        <f>[1]NhapHang!A602</f>
        <v>0</v>
      </c>
      <c r="B602">
        <f>[1]NhapHang!B602</f>
        <v>0</v>
      </c>
      <c r="C602">
        <f>[1]NhapHang!C602</f>
        <v>0</v>
      </c>
      <c r="D602">
        <f>[1]NhapHang!D602</f>
        <v>0</v>
      </c>
      <c r="E602">
        <f>[1]NhapHang!E602</f>
        <v>0</v>
      </c>
      <c r="F602">
        <f>[1]NhapHang!F602</f>
        <v>0</v>
      </c>
      <c r="G602">
        <f>[1]NhapHang!G602</f>
        <v>0</v>
      </c>
      <c r="H602">
        <f>[1]NhapHang!H602</f>
        <v>0</v>
      </c>
    </row>
    <row r="603" spans="1:8">
      <c r="A603">
        <f>[1]NhapHang!A603</f>
        <v>0</v>
      </c>
      <c r="B603">
        <f>[1]NhapHang!B603</f>
        <v>0</v>
      </c>
      <c r="C603">
        <f>[1]NhapHang!C603</f>
        <v>0</v>
      </c>
      <c r="D603">
        <f>[1]NhapHang!D603</f>
        <v>0</v>
      </c>
      <c r="E603">
        <f>[1]NhapHang!E603</f>
        <v>0</v>
      </c>
      <c r="F603">
        <f>[1]NhapHang!F603</f>
        <v>0</v>
      </c>
      <c r="G603">
        <f>[1]NhapHang!G603</f>
        <v>0</v>
      </c>
      <c r="H603">
        <f>[1]NhapHang!H603</f>
        <v>0</v>
      </c>
    </row>
    <row r="604" spans="1:8">
      <c r="A604">
        <f>[1]NhapHang!A604</f>
        <v>0</v>
      </c>
      <c r="B604">
        <f>[1]NhapHang!B604</f>
        <v>0</v>
      </c>
      <c r="C604">
        <f>[1]NhapHang!C604</f>
        <v>0</v>
      </c>
      <c r="D604">
        <f>[1]NhapHang!D604</f>
        <v>0</v>
      </c>
      <c r="E604">
        <f>[1]NhapHang!E604</f>
        <v>0</v>
      </c>
      <c r="F604">
        <f>[1]NhapHang!F604</f>
        <v>0</v>
      </c>
      <c r="G604">
        <f>[1]NhapHang!G604</f>
        <v>0</v>
      </c>
      <c r="H604">
        <f>[1]NhapHang!H604</f>
        <v>0</v>
      </c>
    </row>
    <row r="605" spans="1:8">
      <c r="A605">
        <f>[1]NhapHang!A605</f>
        <v>0</v>
      </c>
      <c r="B605">
        <f>[1]NhapHang!B605</f>
        <v>0</v>
      </c>
      <c r="C605">
        <f>[1]NhapHang!C605</f>
        <v>0</v>
      </c>
      <c r="D605">
        <f>[1]NhapHang!D605</f>
        <v>0</v>
      </c>
      <c r="E605">
        <f>[1]NhapHang!E605</f>
        <v>0</v>
      </c>
      <c r="F605">
        <f>[1]NhapHang!F605</f>
        <v>0</v>
      </c>
      <c r="G605">
        <f>[1]NhapHang!G605</f>
        <v>0</v>
      </c>
      <c r="H605">
        <f>[1]NhapHang!H605</f>
        <v>0</v>
      </c>
    </row>
    <row r="606" spans="1:8">
      <c r="A606">
        <f>[1]NhapHang!A606</f>
        <v>0</v>
      </c>
      <c r="B606">
        <f>[1]NhapHang!B606</f>
        <v>0</v>
      </c>
      <c r="C606">
        <f>[1]NhapHang!C606</f>
        <v>0</v>
      </c>
      <c r="D606">
        <f>[1]NhapHang!D606</f>
        <v>0</v>
      </c>
      <c r="E606">
        <f>[1]NhapHang!E606</f>
        <v>0</v>
      </c>
      <c r="F606">
        <f>[1]NhapHang!F606</f>
        <v>0</v>
      </c>
      <c r="G606">
        <f>[1]NhapHang!G606</f>
        <v>0</v>
      </c>
      <c r="H606">
        <f>[1]NhapHang!H606</f>
        <v>0</v>
      </c>
    </row>
    <row r="607" spans="1:8">
      <c r="A607">
        <f>[1]NhapHang!A607</f>
        <v>0</v>
      </c>
      <c r="B607">
        <f>[1]NhapHang!B607</f>
        <v>0</v>
      </c>
      <c r="C607">
        <f>[1]NhapHang!C607</f>
        <v>0</v>
      </c>
      <c r="D607">
        <f>[1]NhapHang!D607</f>
        <v>0</v>
      </c>
      <c r="E607">
        <f>[1]NhapHang!E607</f>
        <v>0</v>
      </c>
      <c r="F607">
        <f>[1]NhapHang!F607</f>
        <v>0</v>
      </c>
      <c r="G607">
        <f>[1]NhapHang!G607</f>
        <v>0</v>
      </c>
      <c r="H607">
        <f>[1]NhapHang!H607</f>
        <v>0</v>
      </c>
    </row>
    <row r="608" spans="1:8">
      <c r="A608">
        <f>[1]NhapHang!A608</f>
        <v>0</v>
      </c>
      <c r="B608">
        <f>[1]NhapHang!B608</f>
        <v>0</v>
      </c>
      <c r="C608">
        <f>[1]NhapHang!C608</f>
        <v>0</v>
      </c>
      <c r="D608">
        <f>[1]NhapHang!D608</f>
        <v>0</v>
      </c>
      <c r="E608">
        <f>[1]NhapHang!E608</f>
        <v>0</v>
      </c>
      <c r="F608">
        <f>[1]NhapHang!F608</f>
        <v>0</v>
      </c>
      <c r="G608">
        <f>[1]NhapHang!G608</f>
        <v>0</v>
      </c>
      <c r="H608">
        <f>[1]NhapHang!H608</f>
        <v>0</v>
      </c>
    </row>
    <row r="609" spans="1:8">
      <c r="A609">
        <f>[1]NhapHang!A609</f>
        <v>0</v>
      </c>
      <c r="B609">
        <f>[1]NhapHang!B609</f>
        <v>0</v>
      </c>
      <c r="C609">
        <f>[1]NhapHang!C609</f>
        <v>0</v>
      </c>
      <c r="D609">
        <f>[1]NhapHang!D609</f>
        <v>0</v>
      </c>
      <c r="E609">
        <f>[1]NhapHang!E609</f>
        <v>0</v>
      </c>
      <c r="F609">
        <f>[1]NhapHang!F609</f>
        <v>0</v>
      </c>
      <c r="G609">
        <f>[1]NhapHang!G609</f>
        <v>0</v>
      </c>
      <c r="H609">
        <f>[1]NhapHang!H609</f>
        <v>0</v>
      </c>
    </row>
    <row r="610" spans="1:8">
      <c r="A610">
        <f>[1]NhapHang!A610</f>
        <v>0</v>
      </c>
      <c r="B610">
        <f>[1]NhapHang!B610</f>
        <v>0</v>
      </c>
      <c r="C610">
        <f>[1]NhapHang!C610</f>
        <v>0</v>
      </c>
      <c r="D610">
        <f>[1]NhapHang!D610</f>
        <v>0</v>
      </c>
      <c r="E610">
        <f>[1]NhapHang!E610</f>
        <v>0</v>
      </c>
      <c r="F610">
        <f>[1]NhapHang!F610</f>
        <v>0</v>
      </c>
      <c r="G610">
        <f>[1]NhapHang!G610</f>
        <v>0</v>
      </c>
      <c r="H610">
        <f>[1]NhapHang!H610</f>
        <v>0</v>
      </c>
    </row>
    <row r="611" spans="1:8">
      <c r="A611">
        <f>[1]NhapHang!A611</f>
        <v>0</v>
      </c>
      <c r="B611">
        <f>[1]NhapHang!B611</f>
        <v>0</v>
      </c>
      <c r="C611">
        <f>[1]NhapHang!C611</f>
        <v>0</v>
      </c>
      <c r="D611">
        <f>[1]NhapHang!D611</f>
        <v>0</v>
      </c>
      <c r="E611">
        <f>[1]NhapHang!E611</f>
        <v>0</v>
      </c>
      <c r="F611">
        <f>[1]NhapHang!F611</f>
        <v>0</v>
      </c>
      <c r="G611">
        <f>[1]NhapHang!G611</f>
        <v>0</v>
      </c>
      <c r="H611">
        <f>[1]NhapHang!H611</f>
        <v>0</v>
      </c>
    </row>
    <row r="612" spans="1:8">
      <c r="A612">
        <f>[1]NhapHang!A612</f>
        <v>0</v>
      </c>
      <c r="B612">
        <f>[1]NhapHang!B612</f>
        <v>0</v>
      </c>
      <c r="C612">
        <f>[1]NhapHang!C612</f>
        <v>0</v>
      </c>
      <c r="D612">
        <f>[1]NhapHang!D612</f>
        <v>0</v>
      </c>
      <c r="E612">
        <f>[1]NhapHang!E612</f>
        <v>0</v>
      </c>
      <c r="F612">
        <f>[1]NhapHang!F612</f>
        <v>0</v>
      </c>
      <c r="G612">
        <f>[1]NhapHang!G612</f>
        <v>0</v>
      </c>
      <c r="H612">
        <f>[1]NhapHang!H612</f>
        <v>0</v>
      </c>
    </row>
    <row r="613" spans="1:8">
      <c r="A613">
        <f>[1]NhapHang!A613</f>
        <v>0</v>
      </c>
      <c r="B613">
        <f>[1]NhapHang!B613</f>
        <v>0</v>
      </c>
      <c r="C613">
        <f>[1]NhapHang!C613</f>
        <v>0</v>
      </c>
      <c r="D613">
        <f>[1]NhapHang!D613</f>
        <v>0</v>
      </c>
      <c r="E613">
        <f>[1]NhapHang!E613</f>
        <v>0</v>
      </c>
      <c r="F613">
        <f>[1]NhapHang!F613</f>
        <v>0</v>
      </c>
      <c r="G613">
        <f>[1]NhapHang!G613</f>
        <v>0</v>
      </c>
      <c r="H613">
        <f>[1]NhapHang!H613</f>
        <v>0</v>
      </c>
    </row>
    <row r="614" spans="1:8">
      <c r="A614">
        <f>[1]NhapHang!A614</f>
        <v>0</v>
      </c>
      <c r="B614">
        <f>[1]NhapHang!B614</f>
        <v>0</v>
      </c>
      <c r="C614">
        <f>[1]NhapHang!C614</f>
        <v>0</v>
      </c>
      <c r="D614">
        <f>[1]NhapHang!D614</f>
        <v>0</v>
      </c>
      <c r="E614">
        <f>[1]NhapHang!E614</f>
        <v>0</v>
      </c>
      <c r="F614">
        <f>[1]NhapHang!F614</f>
        <v>0</v>
      </c>
      <c r="G614">
        <f>[1]NhapHang!G614</f>
        <v>0</v>
      </c>
      <c r="H614">
        <f>[1]NhapHang!H614</f>
        <v>0</v>
      </c>
    </row>
    <row r="615" spans="1:8">
      <c r="A615">
        <f>[1]NhapHang!A615</f>
        <v>0</v>
      </c>
      <c r="B615">
        <f>[1]NhapHang!B615</f>
        <v>0</v>
      </c>
      <c r="C615">
        <f>[1]NhapHang!C615</f>
        <v>0</v>
      </c>
      <c r="D615">
        <f>[1]NhapHang!D615</f>
        <v>0</v>
      </c>
      <c r="E615">
        <f>[1]NhapHang!E615</f>
        <v>0</v>
      </c>
      <c r="F615">
        <f>[1]NhapHang!F615</f>
        <v>0</v>
      </c>
      <c r="G615">
        <f>[1]NhapHang!G615</f>
        <v>0</v>
      </c>
      <c r="H615">
        <f>[1]NhapHang!H615</f>
        <v>0</v>
      </c>
    </row>
    <row r="616" spans="1:8">
      <c r="A616">
        <f>[1]NhapHang!A616</f>
        <v>0</v>
      </c>
      <c r="B616">
        <f>[1]NhapHang!B616</f>
        <v>0</v>
      </c>
      <c r="C616">
        <f>[1]NhapHang!C616</f>
        <v>0</v>
      </c>
      <c r="D616">
        <f>[1]NhapHang!D616</f>
        <v>0</v>
      </c>
      <c r="E616">
        <f>[1]NhapHang!E616</f>
        <v>0</v>
      </c>
      <c r="F616">
        <f>[1]NhapHang!F616</f>
        <v>0</v>
      </c>
      <c r="G616">
        <f>[1]NhapHang!G616</f>
        <v>0</v>
      </c>
      <c r="H616">
        <f>[1]NhapHang!H616</f>
        <v>0</v>
      </c>
    </row>
    <row r="617" spans="1:8">
      <c r="A617">
        <f>[1]NhapHang!A617</f>
        <v>0</v>
      </c>
      <c r="B617">
        <f>[1]NhapHang!B617</f>
        <v>0</v>
      </c>
      <c r="C617">
        <f>[1]NhapHang!C617</f>
        <v>0</v>
      </c>
      <c r="D617">
        <f>[1]NhapHang!D617</f>
        <v>0</v>
      </c>
      <c r="E617">
        <f>[1]NhapHang!E617</f>
        <v>0</v>
      </c>
      <c r="F617">
        <f>[1]NhapHang!F617</f>
        <v>0</v>
      </c>
      <c r="G617">
        <f>[1]NhapHang!G617</f>
        <v>0</v>
      </c>
      <c r="H617">
        <f>[1]NhapHang!H617</f>
        <v>0</v>
      </c>
    </row>
    <row r="618" spans="1:8">
      <c r="A618">
        <f>[1]NhapHang!A618</f>
        <v>0</v>
      </c>
      <c r="B618">
        <f>[1]NhapHang!B618</f>
        <v>0</v>
      </c>
      <c r="C618">
        <f>[1]NhapHang!C618</f>
        <v>0</v>
      </c>
      <c r="D618">
        <f>[1]NhapHang!D618</f>
        <v>0</v>
      </c>
      <c r="E618">
        <f>[1]NhapHang!E618</f>
        <v>0</v>
      </c>
      <c r="F618">
        <f>[1]NhapHang!F618</f>
        <v>0</v>
      </c>
      <c r="G618">
        <f>[1]NhapHang!G618</f>
        <v>0</v>
      </c>
      <c r="H618">
        <f>[1]NhapHang!H618</f>
        <v>0</v>
      </c>
    </row>
    <row r="619" spans="1:8">
      <c r="A619">
        <f>[1]NhapHang!A619</f>
        <v>0</v>
      </c>
      <c r="B619">
        <f>[1]NhapHang!B619</f>
        <v>0</v>
      </c>
      <c r="C619">
        <f>[1]NhapHang!C619</f>
        <v>0</v>
      </c>
      <c r="D619">
        <f>[1]NhapHang!D619</f>
        <v>0</v>
      </c>
      <c r="E619">
        <f>[1]NhapHang!E619</f>
        <v>0</v>
      </c>
      <c r="F619">
        <f>[1]NhapHang!F619</f>
        <v>0</v>
      </c>
      <c r="G619">
        <f>[1]NhapHang!G619</f>
        <v>0</v>
      </c>
      <c r="H619">
        <f>[1]NhapHang!H619</f>
        <v>0</v>
      </c>
    </row>
    <row r="620" spans="1:8">
      <c r="A620">
        <f>[1]NhapHang!A620</f>
        <v>0</v>
      </c>
      <c r="B620">
        <f>[1]NhapHang!B620</f>
        <v>0</v>
      </c>
      <c r="C620">
        <f>[1]NhapHang!C620</f>
        <v>0</v>
      </c>
      <c r="D620">
        <f>[1]NhapHang!D620</f>
        <v>0</v>
      </c>
      <c r="E620">
        <f>[1]NhapHang!E620</f>
        <v>0</v>
      </c>
      <c r="F620">
        <f>[1]NhapHang!F620</f>
        <v>0</v>
      </c>
      <c r="G620">
        <f>[1]NhapHang!G620</f>
        <v>0</v>
      </c>
      <c r="H620">
        <f>[1]NhapHang!H620</f>
        <v>0</v>
      </c>
    </row>
    <row r="621" spans="1:8">
      <c r="A621">
        <f>[1]NhapHang!A621</f>
        <v>0</v>
      </c>
      <c r="B621">
        <f>[1]NhapHang!B621</f>
        <v>0</v>
      </c>
      <c r="C621">
        <f>[1]NhapHang!C621</f>
        <v>0</v>
      </c>
      <c r="D621">
        <f>[1]NhapHang!D621</f>
        <v>0</v>
      </c>
      <c r="E621">
        <f>[1]NhapHang!E621</f>
        <v>0</v>
      </c>
      <c r="F621">
        <f>[1]NhapHang!F621</f>
        <v>0</v>
      </c>
      <c r="G621">
        <f>[1]NhapHang!G621</f>
        <v>0</v>
      </c>
      <c r="H621">
        <f>[1]NhapHang!H621</f>
        <v>0</v>
      </c>
    </row>
    <row r="622" spans="1:8">
      <c r="A622">
        <f>[1]NhapHang!A622</f>
        <v>0</v>
      </c>
      <c r="B622">
        <f>[1]NhapHang!B622</f>
        <v>0</v>
      </c>
      <c r="C622">
        <f>[1]NhapHang!C622</f>
        <v>0</v>
      </c>
      <c r="D622">
        <f>[1]NhapHang!D622</f>
        <v>0</v>
      </c>
      <c r="E622">
        <f>[1]NhapHang!E622</f>
        <v>0</v>
      </c>
      <c r="F622">
        <f>[1]NhapHang!F622</f>
        <v>0</v>
      </c>
      <c r="G622">
        <f>[1]NhapHang!G622</f>
        <v>0</v>
      </c>
      <c r="H622">
        <f>[1]NhapHang!H622</f>
        <v>0</v>
      </c>
    </row>
    <row r="623" spans="1:8">
      <c r="A623">
        <f>[1]NhapHang!A623</f>
        <v>0</v>
      </c>
      <c r="B623">
        <f>[1]NhapHang!B623</f>
        <v>0</v>
      </c>
      <c r="C623">
        <f>[1]NhapHang!C623</f>
        <v>0</v>
      </c>
      <c r="D623">
        <f>[1]NhapHang!D623</f>
        <v>0</v>
      </c>
      <c r="E623">
        <f>[1]NhapHang!E623</f>
        <v>0</v>
      </c>
      <c r="F623">
        <f>[1]NhapHang!F623</f>
        <v>0</v>
      </c>
      <c r="G623">
        <f>[1]NhapHang!G623</f>
        <v>0</v>
      </c>
      <c r="H623">
        <f>[1]NhapHang!H623</f>
        <v>0</v>
      </c>
    </row>
    <row r="624" spans="1:8">
      <c r="A624">
        <f>[1]NhapHang!A624</f>
        <v>0</v>
      </c>
      <c r="B624">
        <f>[1]NhapHang!B624</f>
        <v>0</v>
      </c>
      <c r="C624">
        <f>[1]NhapHang!C624</f>
        <v>0</v>
      </c>
      <c r="D624">
        <f>[1]NhapHang!D624</f>
        <v>0</v>
      </c>
      <c r="E624">
        <f>[1]NhapHang!E624</f>
        <v>0</v>
      </c>
      <c r="F624">
        <f>[1]NhapHang!F624</f>
        <v>0</v>
      </c>
      <c r="G624">
        <f>[1]NhapHang!G624</f>
        <v>0</v>
      </c>
      <c r="H624">
        <f>[1]NhapHang!H624</f>
        <v>0</v>
      </c>
    </row>
    <row r="625" spans="1:8">
      <c r="A625">
        <f>[1]NhapHang!A625</f>
        <v>0</v>
      </c>
      <c r="B625">
        <f>[1]NhapHang!B625</f>
        <v>0</v>
      </c>
      <c r="C625">
        <f>[1]NhapHang!C625</f>
        <v>0</v>
      </c>
      <c r="D625">
        <f>[1]NhapHang!D625</f>
        <v>0</v>
      </c>
      <c r="E625">
        <f>[1]NhapHang!E625</f>
        <v>0</v>
      </c>
      <c r="F625">
        <f>[1]NhapHang!F625</f>
        <v>0</v>
      </c>
      <c r="G625">
        <f>[1]NhapHang!G625</f>
        <v>0</v>
      </c>
      <c r="H625">
        <f>[1]NhapHang!H625</f>
        <v>0</v>
      </c>
    </row>
    <row r="626" spans="1:8">
      <c r="A626">
        <f>[1]NhapHang!A626</f>
        <v>0</v>
      </c>
      <c r="B626">
        <f>[1]NhapHang!B626</f>
        <v>0</v>
      </c>
      <c r="C626">
        <f>[1]NhapHang!C626</f>
        <v>0</v>
      </c>
      <c r="D626">
        <f>[1]NhapHang!D626</f>
        <v>0</v>
      </c>
      <c r="E626">
        <f>[1]NhapHang!E626</f>
        <v>0</v>
      </c>
      <c r="F626">
        <f>[1]NhapHang!F626</f>
        <v>0</v>
      </c>
      <c r="G626">
        <f>[1]NhapHang!G626</f>
        <v>0</v>
      </c>
      <c r="H626">
        <f>[1]NhapHang!H626</f>
        <v>0</v>
      </c>
    </row>
    <row r="627" spans="1:8">
      <c r="A627">
        <f>[1]NhapHang!A627</f>
        <v>0</v>
      </c>
      <c r="B627">
        <f>[1]NhapHang!B627</f>
        <v>0</v>
      </c>
      <c r="C627">
        <f>[1]NhapHang!C627</f>
        <v>0</v>
      </c>
      <c r="D627">
        <f>[1]NhapHang!D627</f>
        <v>0</v>
      </c>
      <c r="E627">
        <f>[1]NhapHang!E627</f>
        <v>0</v>
      </c>
      <c r="F627">
        <f>[1]NhapHang!F627</f>
        <v>0</v>
      </c>
      <c r="G627">
        <f>[1]NhapHang!G627</f>
        <v>0</v>
      </c>
      <c r="H627">
        <f>[1]NhapHang!H627</f>
        <v>0</v>
      </c>
    </row>
    <row r="628" spans="1:8">
      <c r="A628">
        <f>[1]NhapHang!A628</f>
        <v>0</v>
      </c>
      <c r="B628">
        <f>[1]NhapHang!B628</f>
        <v>0</v>
      </c>
      <c r="C628">
        <f>[1]NhapHang!C628</f>
        <v>0</v>
      </c>
      <c r="D628">
        <f>[1]NhapHang!D628</f>
        <v>0</v>
      </c>
      <c r="E628">
        <f>[1]NhapHang!E628</f>
        <v>0</v>
      </c>
      <c r="F628">
        <f>[1]NhapHang!F628</f>
        <v>0</v>
      </c>
      <c r="G628">
        <f>[1]NhapHang!G628</f>
        <v>0</v>
      </c>
      <c r="H628">
        <f>[1]NhapHang!H628</f>
        <v>0</v>
      </c>
    </row>
    <row r="629" spans="1:8">
      <c r="A629">
        <f>[1]NhapHang!A629</f>
        <v>0</v>
      </c>
      <c r="B629">
        <f>[1]NhapHang!B629</f>
        <v>0</v>
      </c>
      <c r="C629">
        <f>[1]NhapHang!C629</f>
        <v>0</v>
      </c>
      <c r="D629">
        <f>[1]NhapHang!D629</f>
        <v>0</v>
      </c>
      <c r="E629">
        <f>[1]NhapHang!E629</f>
        <v>0</v>
      </c>
      <c r="F629">
        <f>[1]NhapHang!F629</f>
        <v>0</v>
      </c>
      <c r="G629">
        <f>[1]NhapHang!G629</f>
        <v>0</v>
      </c>
      <c r="H629">
        <f>[1]NhapHang!H629</f>
        <v>0</v>
      </c>
    </row>
    <row r="630" spans="1:8">
      <c r="A630">
        <f>[1]NhapHang!A630</f>
        <v>0</v>
      </c>
      <c r="B630">
        <f>[1]NhapHang!B630</f>
        <v>0</v>
      </c>
      <c r="C630">
        <f>[1]NhapHang!C630</f>
        <v>0</v>
      </c>
      <c r="D630">
        <f>[1]NhapHang!D630</f>
        <v>0</v>
      </c>
      <c r="E630">
        <f>[1]NhapHang!E630</f>
        <v>0</v>
      </c>
      <c r="F630">
        <f>[1]NhapHang!F630</f>
        <v>0</v>
      </c>
      <c r="G630">
        <f>[1]NhapHang!G630</f>
        <v>0</v>
      </c>
      <c r="H630">
        <f>[1]NhapHang!H630</f>
        <v>0</v>
      </c>
    </row>
    <row r="631" spans="1:8">
      <c r="A631">
        <f>[1]NhapHang!A631</f>
        <v>0</v>
      </c>
      <c r="B631">
        <f>[1]NhapHang!B631</f>
        <v>0</v>
      </c>
      <c r="C631">
        <f>[1]NhapHang!C631</f>
        <v>0</v>
      </c>
      <c r="D631">
        <f>[1]NhapHang!D631</f>
        <v>0</v>
      </c>
      <c r="E631">
        <f>[1]NhapHang!E631</f>
        <v>0</v>
      </c>
      <c r="F631">
        <f>[1]NhapHang!F631</f>
        <v>0</v>
      </c>
      <c r="G631">
        <f>[1]NhapHang!G631</f>
        <v>0</v>
      </c>
      <c r="H631">
        <f>[1]NhapHang!H631</f>
        <v>0</v>
      </c>
    </row>
    <row r="632" spans="1:8">
      <c r="A632">
        <f>[1]NhapHang!A632</f>
        <v>0</v>
      </c>
      <c r="B632">
        <f>[1]NhapHang!B632</f>
        <v>0</v>
      </c>
      <c r="C632">
        <f>[1]NhapHang!C632</f>
        <v>0</v>
      </c>
      <c r="D632">
        <f>[1]NhapHang!D632</f>
        <v>0</v>
      </c>
      <c r="E632">
        <f>[1]NhapHang!E632</f>
        <v>0</v>
      </c>
      <c r="F632">
        <f>[1]NhapHang!F632</f>
        <v>0</v>
      </c>
      <c r="G632">
        <f>[1]NhapHang!G632</f>
        <v>0</v>
      </c>
      <c r="H632">
        <f>[1]NhapHang!H632</f>
        <v>0</v>
      </c>
    </row>
    <row r="633" spans="1:8">
      <c r="A633">
        <f>[1]NhapHang!A633</f>
        <v>0</v>
      </c>
      <c r="B633">
        <f>[1]NhapHang!B633</f>
        <v>0</v>
      </c>
      <c r="C633">
        <f>[1]NhapHang!C633</f>
        <v>0</v>
      </c>
      <c r="D633">
        <f>[1]NhapHang!D633</f>
        <v>0</v>
      </c>
      <c r="E633">
        <f>[1]NhapHang!E633</f>
        <v>0</v>
      </c>
      <c r="F633">
        <f>[1]NhapHang!F633</f>
        <v>0</v>
      </c>
      <c r="G633">
        <f>[1]NhapHang!G633</f>
        <v>0</v>
      </c>
      <c r="H633">
        <f>[1]NhapHang!H633</f>
        <v>0</v>
      </c>
    </row>
    <row r="634" spans="1:8">
      <c r="A634">
        <f>[1]NhapHang!A634</f>
        <v>0</v>
      </c>
      <c r="B634">
        <f>[1]NhapHang!B634</f>
        <v>0</v>
      </c>
      <c r="C634">
        <f>[1]NhapHang!C634</f>
        <v>0</v>
      </c>
      <c r="D634">
        <f>[1]NhapHang!D634</f>
        <v>0</v>
      </c>
      <c r="E634">
        <f>[1]NhapHang!E634</f>
        <v>0</v>
      </c>
      <c r="F634">
        <f>[1]NhapHang!F634</f>
        <v>0</v>
      </c>
      <c r="G634">
        <f>[1]NhapHang!G634</f>
        <v>0</v>
      </c>
      <c r="H634">
        <f>[1]NhapHang!H634</f>
        <v>0</v>
      </c>
    </row>
    <row r="635" spans="1:8">
      <c r="A635">
        <f>[1]NhapHang!A635</f>
        <v>0</v>
      </c>
      <c r="B635">
        <f>[1]NhapHang!B635</f>
        <v>0</v>
      </c>
      <c r="C635">
        <f>[1]NhapHang!C635</f>
        <v>0</v>
      </c>
      <c r="D635">
        <f>[1]NhapHang!D635</f>
        <v>0</v>
      </c>
      <c r="E635">
        <f>[1]NhapHang!E635</f>
        <v>0</v>
      </c>
      <c r="F635">
        <f>[1]NhapHang!F635</f>
        <v>0</v>
      </c>
      <c r="G635">
        <f>[1]NhapHang!G635</f>
        <v>0</v>
      </c>
      <c r="H635">
        <f>[1]NhapHang!H635</f>
        <v>0</v>
      </c>
    </row>
    <row r="636" spans="1:8">
      <c r="A636">
        <f>[1]NhapHang!A636</f>
        <v>0</v>
      </c>
      <c r="B636">
        <f>[1]NhapHang!B636</f>
        <v>0</v>
      </c>
      <c r="C636">
        <f>[1]NhapHang!C636</f>
        <v>0</v>
      </c>
      <c r="D636">
        <f>[1]NhapHang!D636</f>
        <v>0</v>
      </c>
      <c r="E636">
        <f>[1]NhapHang!E636</f>
        <v>0</v>
      </c>
      <c r="F636">
        <f>[1]NhapHang!F636</f>
        <v>0</v>
      </c>
      <c r="G636">
        <f>[1]NhapHang!G636</f>
        <v>0</v>
      </c>
      <c r="H636">
        <f>[1]NhapHang!H636</f>
        <v>0</v>
      </c>
    </row>
    <row r="637" spans="1:8">
      <c r="A637">
        <f>[1]NhapHang!A637</f>
        <v>0</v>
      </c>
      <c r="B637">
        <f>[1]NhapHang!B637</f>
        <v>0</v>
      </c>
      <c r="C637">
        <f>[1]NhapHang!C637</f>
        <v>0</v>
      </c>
      <c r="D637">
        <f>[1]NhapHang!D637</f>
        <v>0</v>
      </c>
      <c r="E637">
        <f>[1]NhapHang!E637</f>
        <v>0</v>
      </c>
      <c r="F637">
        <f>[1]NhapHang!F637</f>
        <v>0</v>
      </c>
      <c r="G637">
        <f>[1]NhapHang!G637</f>
        <v>0</v>
      </c>
      <c r="H637">
        <f>[1]NhapHang!H637</f>
        <v>0</v>
      </c>
    </row>
    <row r="638" spans="1:8">
      <c r="A638">
        <f>[1]NhapHang!A638</f>
        <v>0</v>
      </c>
      <c r="B638">
        <f>[1]NhapHang!B638</f>
        <v>0</v>
      </c>
      <c r="C638">
        <f>[1]NhapHang!C638</f>
        <v>0</v>
      </c>
      <c r="D638">
        <f>[1]NhapHang!D638</f>
        <v>0</v>
      </c>
      <c r="E638">
        <f>[1]NhapHang!E638</f>
        <v>0</v>
      </c>
      <c r="F638">
        <f>[1]NhapHang!F638</f>
        <v>0</v>
      </c>
      <c r="G638">
        <f>[1]NhapHang!G638</f>
        <v>0</v>
      </c>
      <c r="H638">
        <f>[1]NhapHang!H638</f>
        <v>0</v>
      </c>
    </row>
    <row r="639" spans="1:8">
      <c r="A639">
        <f>[1]NhapHang!A639</f>
        <v>0</v>
      </c>
      <c r="B639">
        <f>[1]NhapHang!B639</f>
        <v>0</v>
      </c>
      <c r="C639">
        <f>[1]NhapHang!C639</f>
        <v>0</v>
      </c>
      <c r="D639">
        <f>[1]NhapHang!D639</f>
        <v>0</v>
      </c>
      <c r="E639">
        <f>[1]NhapHang!E639</f>
        <v>0</v>
      </c>
      <c r="F639">
        <f>[1]NhapHang!F639</f>
        <v>0</v>
      </c>
      <c r="G639">
        <f>[1]NhapHang!G639</f>
        <v>0</v>
      </c>
      <c r="H639">
        <f>[1]NhapHang!H639</f>
        <v>0</v>
      </c>
    </row>
    <row r="640" spans="1:8">
      <c r="A640">
        <f>[1]NhapHang!A640</f>
        <v>0</v>
      </c>
      <c r="B640">
        <f>[1]NhapHang!B640</f>
        <v>0</v>
      </c>
      <c r="C640">
        <f>[1]NhapHang!C640</f>
        <v>0</v>
      </c>
      <c r="D640">
        <f>[1]NhapHang!D640</f>
        <v>0</v>
      </c>
      <c r="E640">
        <f>[1]NhapHang!E640</f>
        <v>0</v>
      </c>
      <c r="F640">
        <f>[1]NhapHang!F640</f>
        <v>0</v>
      </c>
      <c r="G640">
        <f>[1]NhapHang!G640</f>
        <v>0</v>
      </c>
      <c r="H640">
        <f>[1]NhapHang!H640</f>
        <v>0</v>
      </c>
    </row>
    <row r="641" spans="1:8">
      <c r="A641">
        <f>[1]NhapHang!A641</f>
        <v>0</v>
      </c>
      <c r="B641">
        <f>[1]NhapHang!B641</f>
        <v>0</v>
      </c>
      <c r="C641">
        <f>[1]NhapHang!C641</f>
        <v>0</v>
      </c>
      <c r="D641">
        <f>[1]NhapHang!D641</f>
        <v>0</v>
      </c>
      <c r="E641">
        <f>[1]NhapHang!E641</f>
        <v>0</v>
      </c>
      <c r="F641">
        <f>[1]NhapHang!F641</f>
        <v>0</v>
      </c>
      <c r="G641">
        <f>[1]NhapHang!G641</f>
        <v>0</v>
      </c>
      <c r="H641">
        <f>[1]NhapHang!H641</f>
        <v>0</v>
      </c>
    </row>
    <row r="642" spans="1:8">
      <c r="A642">
        <f>[1]NhapHang!A642</f>
        <v>0</v>
      </c>
      <c r="B642">
        <f>[1]NhapHang!B642</f>
        <v>0</v>
      </c>
      <c r="C642">
        <f>[1]NhapHang!C642</f>
        <v>0</v>
      </c>
      <c r="D642">
        <f>[1]NhapHang!D642</f>
        <v>0</v>
      </c>
      <c r="E642">
        <f>[1]NhapHang!E642</f>
        <v>0</v>
      </c>
      <c r="F642">
        <f>[1]NhapHang!F642</f>
        <v>0</v>
      </c>
      <c r="G642">
        <f>[1]NhapHang!G642</f>
        <v>0</v>
      </c>
      <c r="H642">
        <f>[1]NhapHang!H642</f>
        <v>0</v>
      </c>
    </row>
    <row r="643" spans="1:8">
      <c r="A643">
        <f>[1]NhapHang!A643</f>
        <v>0</v>
      </c>
      <c r="B643">
        <f>[1]NhapHang!B643</f>
        <v>0</v>
      </c>
      <c r="C643">
        <f>[1]NhapHang!C643</f>
        <v>0</v>
      </c>
      <c r="D643">
        <f>[1]NhapHang!D643</f>
        <v>0</v>
      </c>
      <c r="E643">
        <f>[1]NhapHang!E643</f>
        <v>0</v>
      </c>
      <c r="F643">
        <f>[1]NhapHang!F643</f>
        <v>0</v>
      </c>
      <c r="G643">
        <f>[1]NhapHang!G643</f>
        <v>0</v>
      </c>
      <c r="H643">
        <f>[1]NhapHang!H643</f>
        <v>0</v>
      </c>
    </row>
    <row r="644" spans="1:8">
      <c r="A644">
        <f>[1]NhapHang!A644</f>
        <v>0</v>
      </c>
      <c r="B644">
        <f>[1]NhapHang!B644</f>
        <v>0</v>
      </c>
      <c r="C644">
        <f>[1]NhapHang!C644</f>
        <v>0</v>
      </c>
      <c r="D644">
        <f>[1]NhapHang!D644</f>
        <v>0</v>
      </c>
      <c r="E644">
        <f>[1]NhapHang!E644</f>
        <v>0</v>
      </c>
      <c r="F644">
        <f>[1]NhapHang!F644</f>
        <v>0</v>
      </c>
      <c r="G644">
        <f>[1]NhapHang!G644</f>
        <v>0</v>
      </c>
      <c r="H644">
        <f>[1]NhapHang!H644</f>
        <v>0</v>
      </c>
    </row>
    <row r="645" spans="1:8">
      <c r="A645">
        <f>[1]NhapHang!A645</f>
        <v>0</v>
      </c>
      <c r="B645">
        <f>[1]NhapHang!B645</f>
        <v>0</v>
      </c>
      <c r="C645">
        <f>[1]NhapHang!C645</f>
        <v>0</v>
      </c>
      <c r="D645">
        <f>[1]NhapHang!D645</f>
        <v>0</v>
      </c>
      <c r="E645">
        <f>[1]NhapHang!E645</f>
        <v>0</v>
      </c>
      <c r="F645">
        <f>[1]NhapHang!F645</f>
        <v>0</v>
      </c>
      <c r="G645">
        <f>[1]NhapHang!G645</f>
        <v>0</v>
      </c>
      <c r="H645">
        <f>[1]NhapHang!H645</f>
        <v>0</v>
      </c>
    </row>
    <row r="646" spans="1:8">
      <c r="A646">
        <f>[1]NhapHang!A646</f>
        <v>0</v>
      </c>
      <c r="B646">
        <f>[1]NhapHang!B646</f>
        <v>0</v>
      </c>
      <c r="C646">
        <f>[1]NhapHang!C646</f>
        <v>0</v>
      </c>
      <c r="D646">
        <f>[1]NhapHang!D646</f>
        <v>0</v>
      </c>
      <c r="E646">
        <f>[1]NhapHang!E646</f>
        <v>0</v>
      </c>
      <c r="F646">
        <f>[1]NhapHang!F646</f>
        <v>0</v>
      </c>
      <c r="G646">
        <f>[1]NhapHang!G646</f>
        <v>0</v>
      </c>
      <c r="H646">
        <f>[1]NhapHang!H646</f>
        <v>0</v>
      </c>
    </row>
    <row r="647" spans="1:8">
      <c r="A647">
        <f>[1]NhapHang!A647</f>
        <v>0</v>
      </c>
      <c r="B647">
        <f>[1]NhapHang!B647</f>
        <v>0</v>
      </c>
      <c r="C647">
        <f>[1]NhapHang!C647</f>
        <v>0</v>
      </c>
      <c r="D647">
        <f>[1]NhapHang!D647</f>
        <v>0</v>
      </c>
      <c r="E647">
        <f>[1]NhapHang!E647</f>
        <v>0</v>
      </c>
      <c r="F647">
        <f>[1]NhapHang!F647</f>
        <v>0</v>
      </c>
      <c r="G647">
        <f>[1]NhapHang!G647</f>
        <v>0</v>
      </c>
      <c r="H647">
        <f>[1]NhapHang!H647</f>
        <v>0</v>
      </c>
    </row>
    <row r="648" spans="1:8">
      <c r="A648">
        <f>[1]NhapHang!A648</f>
        <v>0</v>
      </c>
      <c r="B648">
        <f>[1]NhapHang!B648</f>
        <v>0</v>
      </c>
      <c r="C648">
        <f>[1]NhapHang!C648</f>
        <v>0</v>
      </c>
      <c r="D648">
        <f>[1]NhapHang!D648</f>
        <v>0</v>
      </c>
      <c r="E648">
        <f>[1]NhapHang!E648</f>
        <v>0</v>
      </c>
      <c r="F648">
        <f>[1]NhapHang!F648</f>
        <v>0</v>
      </c>
      <c r="G648">
        <f>[1]NhapHang!G648</f>
        <v>0</v>
      </c>
      <c r="H648">
        <f>[1]NhapHang!H648</f>
        <v>0</v>
      </c>
    </row>
    <row r="649" spans="1:8">
      <c r="A649">
        <f>[1]NhapHang!A649</f>
        <v>0</v>
      </c>
      <c r="B649">
        <f>[1]NhapHang!B649</f>
        <v>0</v>
      </c>
      <c r="C649">
        <f>[1]NhapHang!C649</f>
        <v>0</v>
      </c>
      <c r="D649">
        <f>[1]NhapHang!D649</f>
        <v>0</v>
      </c>
      <c r="E649">
        <f>[1]NhapHang!E649</f>
        <v>0</v>
      </c>
      <c r="F649">
        <f>[1]NhapHang!F649</f>
        <v>0</v>
      </c>
      <c r="G649">
        <f>[1]NhapHang!G649</f>
        <v>0</v>
      </c>
      <c r="H649">
        <f>[1]NhapHang!H649</f>
        <v>0</v>
      </c>
    </row>
    <row r="650" spans="1:8">
      <c r="A650">
        <f>[1]NhapHang!A650</f>
        <v>0</v>
      </c>
      <c r="B650">
        <f>[1]NhapHang!B650</f>
        <v>0</v>
      </c>
      <c r="C650">
        <f>[1]NhapHang!C650</f>
        <v>0</v>
      </c>
      <c r="D650">
        <f>[1]NhapHang!D650</f>
        <v>0</v>
      </c>
      <c r="E650">
        <f>[1]NhapHang!E650</f>
        <v>0</v>
      </c>
      <c r="F650">
        <f>[1]NhapHang!F650</f>
        <v>0</v>
      </c>
      <c r="G650">
        <f>[1]NhapHang!G650</f>
        <v>0</v>
      </c>
      <c r="H650">
        <f>[1]NhapHang!H650</f>
        <v>0</v>
      </c>
    </row>
    <row r="651" spans="1:8">
      <c r="A651">
        <f>[1]NhapHang!A651</f>
        <v>0</v>
      </c>
      <c r="B651">
        <f>[1]NhapHang!B651</f>
        <v>0</v>
      </c>
      <c r="C651">
        <f>[1]NhapHang!C651</f>
        <v>0</v>
      </c>
      <c r="D651">
        <f>[1]NhapHang!D651</f>
        <v>0</v>
      </c>
      <c r="E651">
        <f>[1]NhapHang!E651</f>
        <v>0</v>
      </c>
      <c r="F651">
        <f>[1]NhapHang!F651</f>
        <v>0</v>
      </c>
      <c r="G651">
        <f>[1]NhapHang!G651</f>
        <v>0</v>
      </c>
      <c r="H651">
        <f>[1]NhapHang!H651</f>
        <v>0</v>
      </c>
    </row>
    <row r="652" spans="1:8">
      <c r="A652">
        <f>[1]NhapHang!A652</f>
        <v>0</v>
      </c>
      <c r="B652">
        <f>[1]NhapHang!B652</f>
        <v>0</v>
      </c>
      <c r="C652">
        <f>[1]NhapHang!C652</f>
        <v>0</v>
      </c>
      <c r="D652">
        <f>[1]NhapHang!D652</f>
        <v>0</v>
      </c>
      <c r="E652">
        <f>[1]NhapHang!E652</f>
        <v>0</v>
      </c>
      <c r="F652">
        <f>[1]NhapHang!F652</f>
        <v>0</v>
      </c>
      <c r="G652">
        <f>[1]NhapHang!G652</f>
        <v>0</v>
      </c>
      <c r="H652">
        <f>[1]NhapHang!H652</f>
        <v>0</v>
      </c>
    </row>
    <row r="653" spans="1:8">
      <c r="A653">
        <f>[1]NhapHang!A653</f>
        <v>0</v>
      </c>
      <c r="B653">
        <f>[1]NhapHang!B653</f>
        <v>0</v>
      </c>
      <c r="C653">
        <f>[1]NhapHang!C653</f>
        <v>0</v>
      </c>
      <c r="D653">
        <f>[1]NhapHang!D653</f>
        <v>0</v>
      </c>
      <c r="E653">
        <f>[1]NhapHang!E653</f>
        <v>0</v>
      </c>
      <c r="F653">
        <f>[1]NhapHang!F653</f>
        <v>0</v>
      </c>
      <c r="G653">
        <f>[1]NhapHang!G653</f>
        <v>0</v>
      </c>
      <c r="H653">
        <f>[1]NhapHang!H653</f>
        <v>0</v>
      </c>
    </row>
    <row r="654" spans="1:8">
      <c r="A654">
        <f>[1]NhapHang!A654</f>
        <v>0</v>
      </c>
      <c r="B654">
        <f>[1]NhapHang!B654</f>
        <v>0</v>
      </c>
      <c r="C654">
        <f>[1]NhapHang!C654</f>
        <v>0</v>
      </c>
      <c r="D654">
        <f>[1]NhapHang!D654</f>
        <v>0</v>
      </c>
      <c r="E654">
        <f>[1]NhapHang!E654</f>
        <v>0</v>
      </c>
      <c r="F654">
        <f>[1]NhapHang!F654</f>
        <v>0</v>
      </c>
      <c r="G654">
        <f>[1]NhapHang!G654</f>
        <v>0</v>
      </c>
      <c r="H654">
        <f>[1]NhapHang!H654</f>
        <v>0</v>
      </c>
    </row>
    <row r="655" spans="1:8">
      <c r="A655">
        <f>[1]NhapHang!A655</f>
        <v>0</v>
      </c>
      <c r="B655">
        <f>[1]NhapHang!B655</f>
        <v>0</v>
      </c>
      <c r="C655">
        <f>[1]NhapHang!C655</f>
        <v>0</v>
      </c>
      <c r="D655">
        <f>[1]NhapHang!D655</f>
        <v>0</v>
      </c>
      <c r="E655">
        <f>[1]NhapHang!E655</f>
        <v>0</v>
      </c>
      <c r="F655">
        <f>[1]NhapHang!F655</f>
        <v>0</v>
      </c>
      <c r="G655">
        <f>[1]NhapHang!G655</f>
        <v>0</v>
      </c>
      <c r="H655">
        <f>[1]NhapHang!H655</f>
        <v>0</v>
      </c>
    </row>
    <row r="656" spans="1:8">
      <c r="A656">
        <f>[1]NhapHang!A656</f>
        <v>0</v>
      </c>
      <c r="B656">
        <f>[1]NhapHang!B656</f>
        <v>0</v>
      </c>
      <c r="C656">
        <f>[1]NhapHang!C656</f>
        <v>0</v>
      </c>
      <c r="D656">
        <f>[1]NhapHang!D656</f>
        <v>0</v>
      </c>
      <c r="E656">
        <f>[1]NhapHang!E656</f>
        <v>0</v>
      </c>
      <c r="F656">
        <f>[1]NhapHang!F656</f>
        <v>0</v>
      </c>
      <c r="G656">
        <f>[1]NhapHang!G656</f>
        <v>0</v>
      </c>
      <c r="H656">
        <f>[1]NhapHang!H656</f>
        <v>0</v>
      </c>
    </row>
    <row r="657" spans="1:8">
      <c r="A657">
        <f>[1]NhapHang!A657</f>
        <v>0</v>
      </c>
      <c r="B657">
        <f>[1]NhapHang!B657</f>
        <v>0</v>
      </c>
      <c r="C657">
        <f>[1]NhapHang!C657</f>
        <v>0</v>
      </c>
      <c r="D657">
        <f>[1]NhapHang!D657</f>
        <v>0</v>
      </c>
      <c r="E657">
        <f>[1]NhapHang!E657</f>
        <v>0</v>
      </c>
      <c r="F657">
        <f>[1]NhapHang!F657</f>
        <v>0</v>
      </c>
      <c r="G657">
        <f>[1]NhapHang!G657</f>
        <v>0</v>
      </c>
      <c r="H657">
        <f>[1]NhapHang!H657</f>
        <v>0</v>
      </c>
    </row>
    <row r="658" spans="1:8">
      <c r="A658">
        <f>[1]NhapHang!A658</f>
        <v>0</v>
      </c>
      <c r="B658">
        <f>[1]NhapHang!B658</f>
        <v>0</v>
      </c>
      <c r="C658">
        <f>[1]NhapHang!C658</f>
        <v>0</v>
      </c>
      <c r="D658">
        <f>[1]NhapHang!D658</f>
        <v>0</v>
      </c>
      <c r="E658">
        <f>[1]NhapHang!E658</f>
        <v>0</v>
      </c>
      <c r="F658">
        <f>[1]NhapHang!F658</f>
        <v>0</v>
      </c>
      <c r="G658">
        <f>[1]NhapHang!G658</f>
        <v>0</v>
      </c>
      <c r="H658">
        <f>[1]NhapHang!H658</f>
        <v>0</v>
      </c>
    </row>
    <row r="659" spans="1:8">
      <c r="A659">
        <f>[1]NhapHang!A659</f>
        <v>0</v>
      </c>
      <c r="B659">
        <f>[1]NhapHang!B659</f>
        <v>0</v>
      </c>
      <c r="C659">
        <f>[1]NhapHang!C659</f>
        <v>0</v>
      </c>
      <c r="D659">
        <f>[1]NhapHang!D659</f>
        <v>0</v>
      </c>
      <c r="E659">
        <f>[1]NhapHang!E659</f>
        <v>0</v>
      </c>
      <c r="F659">
        <f>[1]NhapHang!F659</f>
        <v>0</v>
      </c>
      <c r="G659">
        <f>[1]NhapHang!G659</f>
        <v>0</v>
      </c>
      <c r="H659">
        <f>[1]NhapHang!H659</f>
        <v>0</v>
      </c>
    </row>
    <row r="660" spans="1:8">
      <c r="A660">
        <f>[1]NhapHang!A660</f>
        <v>0</v>
      </c>
      <c r="B660">
        <f>[1]NhapHang!B660</f>
        <v>0</v>
      </c>
      <c r="C660">
        <f>[1]NhapHang!C660</f>
        <v>0</v>
      </c>
      <c r="D660">
        <f>[1]NhapHang!D660</f>
        <v>0</v>
      </c>
      <c r="E660">
        <f>[1]NhapHang!E660</f>
        <v>0</v>
      </c>
      <c r="F660">
        <f>[1]NhapHang!F660</f>
        <v>0</v>
      </c>
      <c r="G660">
        <f>[1]NhapHang!G660</f>
        <v>0</v>
      </c>
      <c r="H660">
        <f>[1]NhapHang!H660</f>
        <v>0</v>
      </c>
    </row>
    <row r="661" spans="1:8">
      <c r="A661">
        <f>[1]NhapHang!A661</f>
        <v>0</v>
      </c>
      <c r="B661">
        <f>[1]NhapHang!B661</f>
        <v>0</v>
      </c>
      <c r="C661">
        <f>[1]NhapHang!C661</f>
        <v>0</v>
      </c>
      <c r="D661">
        <f>[1]NhapHang!D661</f>
        <v>0</v>
      </c>
      <c r="E661">
        <f>[1]NhapHang!E661</f>
        <v>0</v>
      </c>
      <c r="F661">
        <f>[1]NhapHang!F661</f>
        <v>0</v>
      </c>
      <c r="G661">
        <f>[1]NhapHang!G661</f>
        <v>0</v>
      </c>
      <c r="H661">
        <f>[1]NhapHang!H661</f>
        <v>0</v>
      </c>
    </row>
    <row r="662" spans="1:8">
      <c r="A662">
        <f>[1]NhapHang!A662</f>
        <v>0</v>
      </c>
      <c r="B662">
        <f>[1]NhapHang!B662</f>
        <v>0</v>
      </c>
      <c r="C662">
        <f>[1]NhapHang!C662</f>
        <v>0</v>
      </c>
      <c r="D662">
        <f>[1]NhapHang!D662</f>
        <v>0</v>
      </c>
      <c r="E662">
        <f>[1]NhapHang!E662</f>
        <v>0</v>
      </c>
      <c r="F662">
        <f>[1]NhapHang!F662</f>
        <v>0</v>
      </c>
      <c r="G662">
        <f>[1]NhapHang!G662</f>
        <v>0</v>
      </c>
      <c r="H662">
        <f>[1]NhapHang!H662</f>
        <v>0</v>
      </c>
    </row>
    <row r="663" spans="1:8">
      <c r="A663">
        <f>[1]NhapHang!A663</f>
        <v>0</v>
      </c>
      <c r="B663">
        <f>[1]NhapHang!B663</f>
        <v>0</v>
      </c>
      <c r="C663">
        <f>[1]NhapHang!C663</f>
        <v>0</v>
      </c>
      <c r="D663">
        <f>[1]NhapHang!D663</f>
        <v>0</v>
      </c>
      <c r="E663">
        <f>[1]NhapHang!E663</f>
        <v>0</v>
      </c>
      <c r="F663">
        <f>[1]NhapHang!F663</f>
        <v>0</v>
      </c>
      <c r="G663">
        <f>[1]NhapHang!G663</f>
        <v>0</v>
      </c>
      <c r="H663">
        <f>[1]NhapHang!H663</f>
        <v>0</v>
      </c>
    </row>
    <row r="664" spans="1:8">
      <c r="A664">
        <f>[1]NhapHang!A664</f>
        <v>0</v>
      </c>
      <c r="B664">
        <f>[1]NhapHang!B664</f>
        <v>0</v>
      </c>
      <c r="C664">
        <f>[1]NhapHang!C664</f>
        <v>0</v>
      </c>
      <c r="D664">
        <f>[1]NhapHang!D664</f>
        <v>0</v>
      </c>
      <c r="E664">
        <f>[1]NhapHang!E664</f>
        <v>0</v>
      </c>
      <c r="F664">
        <f>[1]NhapHang!F664</f>
        <v>0</v>
      </c>
      <c r="G664">
        <f>[1]NhapHang!G664</f>
        <v>0</v>
      </c>
      <c r="H664">
        <f>[1]NhapHang!H664</f>
        <v>0</v>
      </c>
    </row>
    <row r="665" spans="1:8">
      <c r="A665">
        <f>[1]NhapHang!A665</f>
        <v>0</v>
      </c>
      <c r="B665">
        <f>[1]NhapHang!B665</f>
        <v>0</v>
      </c>
      <c r="C665">
        <f>[1]NhapHang!C665</f>
        <v>0</v>
      </c>
      <c r="D665">
        <f>[1]NhapHang!D665</f>
        <v>0</v>
      </c>
      <c r="E665">
        <f>[1]NhapHang!E665</f>
        <v>0</v>
      </c>
      <c r="F665">
        <f>[1]NhapHang!F665</f>
        <v>0</v>
      </c>
      <c r="G665">
        <f>[1]NhapHang!G665</f>
        <v>0</v>
      </c>
      <c r="H665">
        <f>[1]NhapHang!H665</f>
        <v>0</v>
      </c>
    </row>
    <row r="666" spans="1:8">
      <c r="A666">
        <f>[1]NhapHang!A666</f>
        <v>0</v>
      </c>
      <c r="B666">
        <f>[1]NhapHang!B666</f>
        <v>0</v>
      </c>
      <c r="C666">
        <f>[1]NhapHang!C666</f>
        <v>0</v>
      </c>
      <c r="D666">
        <f>[1]NhapHang!D666</f>
        <v>0</v>
      </c>
      <c r="E666">
        <f>[1]NhapHang!E666</f>
        <v>0</v>
      </c>
      <c r="F666">
        <f>[1]NhapHang!F666</f>
        <v>0</v>
      </c>
      <c r="G666">
        <f>[1]NhapHang!G666</f>
        <v>0</v>
      </c>
      <c r="H666">
        <f>[1]NhapHang!H666</f>
        <v>0</v>
      </c>
    </row>
    <row r="667" spans="1:8">
      <c r="A667">
        <f>[1]NhapHang!A667</f>
        <v>0</v>
      </c>
      <c r="B667">
        <f>[1]NhapHang!B667</f>
        <v>0</v>
      </c>
      <c r="C667">
        <f>[1]NhapHang!C667</f>
        <v>0</v>
      </c>
      <c r="D667">
        <f>[1]NhapHang!D667</f>
        <v>0</v>
      </c>
      <c r="E667">
        <f>[1]NhapHang!E667</f>
        <v>0</v>
      </c>
      <c r="F667">
        <f>[1]NhapHang!F667</f>
        <v>0</v>
      </c>
      <c r="G667">
        <f>[1]NhapHang!G667</f>
        <v>0</v>
      </c>
      <c r="H667">
        <f>[1]NhapHang!H667</f>
        <v>0</v>
      </c>
    </row>
    <row r="668" spans="1:8">
      <c r="A668">
        <f>[1]NhapHang!A668</f>
        <v>0</v>
      </c>
      <c r="B668">
        <f>[1]NhapHang!B668</f>
        <v>0</v>
      </c>
      <c r="C668">
        <f>[1]NhapHang!C668</f>
        <v>0</v>
      </c>
      <c r="D668">
        <f>[1]NhapHang!D668</f>
        <v>0</v>
      </c>
      <c r="E668">
        <f>[1]NhapHang!E668</f>
        <v>0</v>
      </c>
      <c r="F668">
        <f>[1]NhapHang!F668</f>
        <v>0</v>
      </c>
      <c r="G668">
        <f>[1]NhapHang!G668</f>
        <v>0</v>
      </c>
      <c r="H668">
        <f>[1]NhapHang!H668</f>
        <v>0</v>
      </c>
    </row>
    <row r="669" spans="1:8">
      <c r="A669">
        <f>[1]NhapHang!A669</f>
        <v>0</v>
      </c>
      <c r="B669">
        <f>[1]NhapHang!B669</f>
        <v>0</v>
      </c>
      <c r="C669">
        <f>[1]NhapHang!C669</f>
        <v>0</v>
      </c>
      <c r="D669">
        <f>[1]NhapHang!D669</f>
        <v>0</v>
      </c>
      <c r="E669">
        <f>[1]NhapHang!E669</f>
        <v>0</v>
      </c>
      <c r="F669">
        <f>[1]NhapHang!F669</f>
        <v>0</v>
      </c>
      <c r="G669">
        <f>[1]NhapHang!G669</f>
        <v>0</v>
      </c>
      <c r="H669">
        <f>[1]NhapHang!H669</f>
        <v>0</v>
      </c>
    </row>
    <row r="670" spans="1:8">
      <c r="A670">
        <f>[1]NhapHang!A670</f>
        <v>0</v>
      </c>
      <c r="B670">
        <f>[1]NhapHang!B670</f>
        <v>0</v>
      </c>
      <c r="C670">
        <f>[1]NhapHang!C670</f>
        <v>0</v>
      </c>
      <c r="D670">
        <f>[1]NhapHang!D670</f>
        <v>0</v>
      </c>
      <c r="E670">
        <f>[1]NhapHang!E670</f>
        <v>0</v>
      </c>
      <c r="F670">
        <f>[1]NhapHang!F670</f>
        <v>0</v>
      </c>
      <c r="G670">
        <f>[1]NhapHang!G670</f>
        <v>0</v>
      </c>
      <c r="H670">
        <f>[1]NhapHang!H670</f>
        <v>0</v>
      </c>
    </row>
    <row r="671" spans="1:8">
      <c r="A671">
        <f>[1]NhapHang!A671</f>
        <v>0</v>
      </c>
      <c r="B671">
        <f>[1]NhapHang!B671</f>
        <v>0</v>
      </c>
      <c r="C671">
        <f>[1]NhapHang!C671</f>
        <v>0</v>
      </c>
      <c r="D671">
        <f>[1]NhapHang!D671</f>
        <v>0</v>
      </c>
      <c r="E671">
        <f>[1]NhapHang!E671</f>
        <v>0</v>
      </c>
      <c r="F671">
        <f>[1]NhapHang!F671</f>
        <v>0</v>
      </c>
      <c r="G671">
        <f>[1]NhapHang!G671</f>
        <v>0</v>
      </c>
      <c r="H671">
        <f>[1]NhapHang!H671</f>
        <v>0</v>
      </c>
    </row>
    <row r="672" spans="1:8">
      <c r="A672">
        <f>[1]NhapHang!A672</f>
        <v>0</v>
      </c>
      <c r="B672">
        <f>[1]NhapHang!B672</f>
        <v>0</v>
      </c>
      <c r="C672">
        <f>[1]NhapHang!C672</f>
        <v>0</v>
      </c>
      <c r="D672">
        <f>[1]NhapHang!D672</f>
        <v>0</v>
      </c>
      <c r="E672">
        <f>[1]NhapHang!E672</f>
        <v>0</v>
      </c>
      <c r="F672">
        <f>[1]NhapHang!F672</f>
        <v>0</v>
      </c>
      <c r="G672">
        <f>[1]NhapHang!G672</f>
        <v>0</v>
      </c>
      <c r="H672">
        <f>[1]NhapHang!H672</f>
        <v>0</v>
      </c>
    </row>
    <row r="673" spans="1:8">
      <c r="A673">
        <f>[1]NhapHang!A673</f>
        <v>0</v>
      </c>
      <c r="B673">
        <f>[1]NhapHang!B673</f>
        <v>0</v>
      </c>
      <c r="C673">
        <f>[1]NhapHang!C673</f>
        <v>0</v>
      </c>
      <c r="D673">
        <f>[1]NhapHang!D673</f>
        <v>0</v>
      </c>
      <c r="E673">
        <f>[1]NhapHang!E673</f>
        <v>0</v>
      </c>
      <c r="F673">
        <f>[1]NhapHang!F673</f>
        <v>0</v>
      </c>
      <c r="G673">
        <f>[1]NhapHang!G673</f>
        <v>0</v>
      </c>
      <c r="H673">
        <f>[1]NhapHang!H673</f>
        <v>0</v>
      </c>
    </row>
    <row r="674" spans="1:8">
      <c r="A674">
        <f>[1]NhapHang!A674</f>
        <v>0</v>
      </c>
      <c r="B674">
        <f>[1]NhapHang!B674</f>
        <v>0</v>
      </c>
      <c r="C674">
        <f>[1]NhapHang!C674</f>
        <v>0</v>
      </c>
      <c r="D674">
        <f>[1]NhapHang!D674</f>
        <v>0</v>
      </c>
      <c r="E674">
        <f>[1]NhapHang!E674</f>
        <v>0</v>
      </c>
      <c r="F674">
        <f>[1]NhapHang!F674</f>
        <v>0</v>
      </c>
      <c r="G674">
        <f>[1]NhapHang!G674</f>
        <v>0</v>
      </c>
      <c r="H674">
        <f>[1]NhapHang!H674</f>
        <v>0</v>
      </c>
    </row>
    <row r="675" spans="1:8">
      <c r="A675">
        <f>[1]NhapHang!A675</f>
        <v>0</v>
      </c>
      <c r="B675">
        <f>[1]NhapHang!B675</f>
        <v>0</v>
      </c>
      <c r="C675">
        <f>[1]NhapHang!C675</f>
        <v>0</v>
      </c>
      <c r="D675">
        <f>[1]NhapHang!D675</f>
        <v>0</v>
      </c>
      <c r="E675">
        <f>[1]NhapHang!E675</f>
        <v>0</v>
      </c>
      <c r="F675">
        <f>[1]NhapHang!F675</f>
        <v>0</v>
      </c>
      <c r="G675">
        <f>[1]NhapHang!G675</f>
        <v>0</v>
      </c>
      <c r="H675">
        <f>[1]NhapHang!H675</f>
        <v>0</v>
      </c>
    </row>
    <row r="676" spans="1:8">
      <c r="A676">
        <f>[1]NhapHang!A676</f>
        <v>0</v>
      </c>
      <c r="B676">
        <f>[1]NhapHang!B676</f>
        <v>0</v>
      </c>
      <c r="C676">
        <f>[1]NhapHang!C676</f>
        <v>0</v>
      </c>
      <c r="D676">
        <f>[1]NhapHang!D676</f>
        <v>0</v>
      </c>
      <c r="E676">
        <f>[1]NhapHang!E676</f>
        <v>0</v>
      </c>
      <c r="F676">
        <f>[1]NhapHang!F676</f>
        <v>0</v>
      </c>
      <c r="G676">
        <f>[1]NhapHang!G676</f>
        <v>0</v>
      </c>
      <c r="H676">
        <f>[1]NhapHang!H676</f>
        <v>0</v>
      </c>
    </row>
    <row r="677" spans="1:8">
      <c r="A677">
        <f>[1]NhapHang!A677</f>
        <v>0</v>
      </c>
      <c r="B677">
        <f>[1]NhapHang!B677</f>
        <v>0</v>
      </c>
      <c r="C677">
        <f>[1]NhapHang!C677</f>
        <v>0</v>
      </c>
      <c r="D677">
        <f>[1]NhapHang!D677</f>
        <v>0</v>
      </c>
      <c r="E677">
        <f>[1]NhapHang!E677</f>
        <v>0</v>
      </c>
      <c r="F677">
        <f>[1]NhapHang!F677</f>
        <v>0</v>
      </c>
      <c r="G677">
        <f>[1]NhapHang!G677</f>
        <v>0</v>
      </c>
      <c r="H677">
        <f>[1]NhapHang!H677</f>
        <v>0</v>
      </c>
    </row>
    <row r="678" spans="1:8">
      <c r="A678">
        <f>[1]NhapHang!A678</f>
        <v>0</v>
      </c>
      <c r="B678">
        <f>[1]NhapHang!B678</f>
        <v>0</v>
      </c>
      <c r="C678">
        <f>[1]NhapHang!C678</f>
        <v>0</v>
      </c>
      <c r="D678">
        <f>[1]NhapHang!D678</f>
        <v>0</v>
      </c>
      <c r="E678">
        <f>[1]NhapHang!E678</f>
        <v>0</v>
      </c>
      <c r="F678">
        <f>[1]NhapHang!F678</f>
        <v>0</v>
      </c>
      <c r="G678">
        <f>[1]NhapHang!G678</f>
        <v>0</v>
      </c>
      <c r="H678">
        <f>[1]NhapHang!H678</f>
        <v>0</v>
      </c>
    </row>
    <row r="679" spans="1:8">
      <c r="A679">
        <f>[1]NhapHang!A679</f>
        <v>0</v>
      </c>
      <c r="B679">
        <f>[1]NhapHang!B679</f>
        <v>0</v>
      </c>
      <c r="C679">
        <f>[1]NhapHang!C679</f>
        <v>0</v>
      </c>
      <c r="D679">
        <f>[1]NhapHang!D679</f>
        <v>0</v>
      </c>
      <c r="E679">
        <f>[1]NhapHang!E679</f>
        <v>0</v>
      </c>
      <c r="F679">
        <f>[1]NhapHang!F679</f>
        <v>0</v>
      </c>
      <c r="G679">
        <f>[1]NhapHang!G679</f>
        <v>0</v>
      </c>
      <c r="H679">
        <f>[1]NhapHang!H679</f>
        <v>0</v>
      </c>
    </row>
    <row r="680" spans="1:8">
      <c r="A680">
        <f>[1]NhapHang!A680</f>
        <v>0</v>
      </c>
      <c r="B680">
        <f>[1]NhapHang!B680</f>
        <v>0</v>
      </c>
      <c r="C680">
        <f>[1]NhapHang!C680</f>
        <v>0</v>
      </c>
      <c r="D680">
        <f>[1]NhapHang!D680</f>
        <v>0</v>
      </c>
      <c r="E680">
        <f>[1]NhapHang!E680</f>
        <v>0</v>
      </c>
      <c r="F680">
        <f>[1]NhapHang!F680</f>
        <v>0</v>
      </c>
      <c r="G680">
        <f>[1]NhapHang!G680</f>
        <v>0</v>
      </c>
      <c r="H680">
        <f>[1]NhapHang!H680</f>
        <v>0</v>
      </c>
    </row>
    <row r="681" spans="1:8">
      <c r="A681">
        <f>[1]NhapHang!A681</f>
        <v>0</v>
      </c>
      <c r="B681">
        <f>[1]NhapHang!B681</f>
        <v>0</v>
      </c>
      <c r="C681">
        <f>[1]NhapHang!C681</f>
        <v>0</v>
      </c>
      <c r="D681">
        <f>[1]NhapHang!D681</f>
        <v>0</v>
      </c>
      <c r="E681">
        <f>[1]NhapHang!E681</f>
        <v>0</v>
      </c>
      <c r="F681">
        <f>[1]NhapHang!F681</f>
        <v>0</v>
      </c>
      <c r="G681">
        <f>[1]NhapHang!G681</f>
        <v>0</v>
      </c>
      <c r="H681">
        <f>[1]NhapHang!H681</f>
        <v>0</v>
      </c>
    </row>
    <row r="682" spans="1:8">
      <c r="A682">
        <f>[1]NhapHang!A682</f>
        <v>0</v>
      </c>
      <c r="B682">
        <f>[1]NhapHang!B682</f>
        <v>0</v>
      </c>
      <c r="C682">
        <f>[1]NhapHang!C682</f>
        <v>0</v>
      </c>
      <c r="D682">
        <f>[1]NhapHang!D682</f>
        <v>0</v>
      </c>
      <c r="E682">
        <f>[1]NhapHang!E682</f>
        <v>0</v>
      </c>
      <c r="F682">
        <f>[1]NhapHang!F682</f>
        <v>0</v>
      </c>
      <c r="G682">
        <f>[1]NhapHang!G682</f>
        <v>0</v>
      </c>
      <c r="H682">
        <f>[1]NhapHang!H682</f>
        <v>0</v>
      </c>
    </row>
    <row r="683" spans="1:8">
      <c r="A683">
        <f>[1]NhapHang!A683</f>
        <v>0</v>
      </c>
      <c r="B683">
        <f>[1]NhapHang!B683</f>
        <v>0</v>
      </c>
      <c r="C683">
        <f>[1]NhapHang!C683</f>
        <v>0</v>
      </c>
      <c r="D683">
        <f>[1]NhapHang!D683</f>
        <v>0</v>
      </c>
      <c r="E683">
        <f>[1]NhapHang!E683</f>
        <v>0</v>
      </c>
      <c r="F683">
        <f>[1]NhapHang!F683</f>
        <v>0</v>
      </c>
      <c r="G683">
        <f>[1]NhapHang!G683</f>
        <v>0</v>
      </c>
      <c r="H683">
        <f>[1]NhapHang!H683</f>
        <v>0</v>
      </c>
    </row>
    <row r="684" spans="1:8">
      <c r="A684">
        <f>[1]NhapHang!A684</f>
        <v>0</v>
      </c>
      <c r="B684">
        <f>[1]NhapHang!B684</f>
        <v>0</v>
      </c>
      <c r="C684">
        <f>[1]NhapHang!C684</f>
        <v>0</v>
      </c>
      <c r="D684">
        <f>[1]NhapHang!D684</f>
        <v>0</v>
      </c>
      <c r="E684">
        <f>[1]NhapHang!E684</f>
        <v>0</v>
      </c>
      <c r="F684">
        <f>[1]NhapHang!F684</f>
        <v>0</v>
      </c>
      <c r="G684">
        <f>[1]NhapHang!G684</f>
        <v>0</v>
      </c>
      <c r="H684">
        <f>[1]NhapHang!H684</f>
        <v>0</v>
      </c>
    </row>
    <row r="685" spans="1:8">
      <c r="A685">
        <f>[1]NhapHang!A685</f>
        <v>0</v>
      </c>
      <c r="B685">
        <f>[1]NhapHang!B685</f>
        <v>0</v>
      </c>
      <c r="C685">
        <f>[1]NhapHang!C685</f>
        <v>0</v>
      </c>
      <c r="D685">
        <f>[1]NhapHang!D685</f>
        <v>0</v>
      </c>
      <c r="E685">
        <f>[1]NhapHang!E685</f>
        <v>0</v>
      </c>
      <c r="F685">
        <f>[1]NhapHang!F685</f>
        <v>0</v>
      </c>
      <c r="G685">
        <f>[1]NhapHang!G685</f>
        <v>0</v>
      </c>
      <c r="H685">
        <f>[1]NhapHang!H685</f>
        <v>0</v>
      </c>
    </row>
    <row r="686" spans="1:8">
      <c r="A686">
        <f>[1]NhapHang!A686</f>
        <v>0</v>
      </c>
      <c r="B686">
        <f>[1]NhapHang!B686</f>
        <v>0</v>
      </c>
      <c r="C686">
        <f>[1]NhapHang!C686</f>
        <v>0</v>
      </c>
      <c r="D686">
        <f>[1]NhapHang!D686</f>
        <v>0</v>
      </c>
      <c r="E686">
        <f>[1]NhapHang!E686</f>
        <v>0</v>
      </c>
      <c r="F686">
        <f>[1]NhapHang!F686</f>
        <v>0</v>
      </c>
      <c r="G686">
        <f>[1]NhapHang!G686</f>
        <v>0</v>
      </c>
      <c r="H686">
        <f>[1]NhapHang!H686</f>
        <v>0</v>
      </c>
    </row>
    <row r="687" spans="1:8">
      <c r="A687">
        <f>[1]NhapHang!A687</f>
        <v>0</v>
      </c>
      <c r="B687">
        <f>[1]NhapHang!B687</f>
        <v>0</v>
      </c>
      <c r="C687">
        <f>[1]NhapHang!C687</f>
        <v>0</v>
      </c>
      <c r="D687">
        <f>[1]NhapHang!D687</f>
        <v>0</v>
      </c>
      <c r="E687">
        <f>[1]NhapHang!E687</f>
        <v>0</v>
      </c>
      <c r="F687">
        <f>[1]NhapHang!F687</f>
        <v>0</v>
      </c>
      <c r="G687">
        <f>[1]NhapHang!G687</f>
        <v>0</v>
      </c>
      <c r="H687">
        <f>[1]NhapHang!H687</f>
        <v>0</v>
      </c>
    </row>
    <row r="688" spans="1:8">
      <c r="A688">
        <f>[1]NhapHang!A688</f>
        <v>0</v>
      </c>
      <c r="B688">
        <f>[1]NhapHang!B688</f>
        <v>0</v>
      </c>
      <c r="C688">
        <f>[1]NhapHang!C688</f>
        <v>0</v>
      </c>
      <c r="D688">
        <f>[1]NhapHang!D688</f>
        <v>0</v>
      </c>
      <c r="E688">
        <f>[1]NhapHang!E688</f>
        <v>0</v>
      </c>
      <c r="F688">
        <f>[1]NhapHang!F688</f>
        <v>0</v>
      </c>
      <c r="G688">
        <f>[1]NhapHang!G688</f>
        <v>0</v>
      </c>
      <c r="H688">
        <f>[1]NhapHang!H688</f>
        <v>0</v>
      </c>
    </row>
    <row r="689" spans="1:8">
      <c r="A689">
        <f>[1]NhapHang!A689</f>
        <v>0</v>
      </c>
      <c r="B689">
        <f>[1]NhapHang!B689</f>
        <v>0</v>
      </c>
      <c r="C689">
        <f>[1]NhapHang!C689</f>
        <v>0</v>
      </c>
      <c r="D689">
        <f>[1]NhapHang!D689</f>
        <v>0</v>
      </c>
      <c r="E689">
        <f>[1]NhapHang!E689</f>
        <v>0</v>
      </c>
      <c r="F689">
        <f>[1]NhapHang!F689</f>
        <v>0</v>
      </c>
      <c r="G689">
        <f>[1]NhapHang!G689</f>
        <v>0</v>
      </c>
      <c r="H689">
        <f>[1]NhapHang!H689</f>
        <v>0</v>
      </c>
    </row>
    <row r="690" spans="1:8">
      <c r="A690">
        <f>[1]NhapHang!A690</f>
        <v>0</v>
      </c>
      <c r="B690">
        <f>[1]NhapHang!B690</f>
        <v>0</v>
      </c>
      <c r="C690">
        <f>[1]NhapHang!C690</f>
        <v>0</v>
      </c>
      <c r="D690">
        <f>[1]NhapHang!D690</f>
        <v>0</v>
      </c>
      <c r="E690">
        <f>[1]NhapHang!E690</f>
        <v>0</v>
      </c>
      <c r="F690">
        <f>[1]NhapHang!F690</f>
        <v>0</v>
      </c>
      <c r="G690">
        <f>[1]NhapHang!G690</f>
        <v>0</v>
      </c>
      <c r="H690">
        <f>[1]NhapHang!H690</f>
        <v>0</v>
      </c>
    </row>
    <row r="691" spans="1:8">
      <c r="A691">
        <f>[1]NhapHang!A691</f>
        <v>0</v>
      </c>
      <c r="B691">
        <f>[1]NhapHang!B691</f>
        <v>0</v>
      </c>
      <c r="C691">
        <f>[1]NhapHang!C691</f>
        <v>0</v>
      </c>
      <c r="D691">
        <f>[1]NhapHang!D691</f>
        <v>0</v>
      </c>
      <c r="E691">
        <f>[1]NhapHang!E691</f>
        <v>0</v>
      </c>
      <c r="F691">
        <f>[1]NhapHang!F691</f>
        <v>0</v>
      </c>
      <c r="G691">
        <f>[1]NhapHang!G691</f>
        <v>0</v>
      </c>
      <c r="H691">
        <f>[1]NhapHang!H691</f>
        <v>0</v>
      </c>
    </row>
    <row r="692" spans="1:8">
      <c r="A692">
        <f>[1]NhapHang!A692</f>
        <v>0</v>
      </c>
      <c r="B692">
        <f>[1]NhapHang!B692</f>
        <v>0</v>
      </c>
      <c r="C692">
        <f>[1]NhapHang!C692</f>
        <v>0</v>
      </c>
      <c r="D692">
        <f>[1]NhapHang!D692</f>
        <v>0</v>
      </c>
      <c r="E692">
        <f>[1]NhapHang!E692</f>
        <v>0</v>
      </c>
      <c r="F692">
        <f>[1]NhapHang!F692</f>
        <v>0</v>
      </c>
      <c r="G692">
        <f>[1]NhapHang!G692</f>
        <v>0</v>
      </c>
      <c r="H692">
        <f>[1]NhapHang!H692</f>
        <v>0</v>
      </c>
    </row>
    <row r="693" spans="1:8">
      <c r="A693">
        <f>[1]NhapHang!A693</f>
        <v>0</v>
      </c>
      <c r="B693">
        <f>[1]NhapHang!B693</f>
        <v>0</v>
      </c>
      <c r="C693">
        <f>[1]NhapHang!C693</f>
        <v>0</v>
      </c>
      <c r="D693">
        <f>[1]NhapHang!D693</f>
        <v>0</v>
      </c>
      <c r="E693">
        <f>[1]NhapHang!E693</f>
        <v>0</v>
      </c>
      <c r="F693">
        <f>[1]NhapHang!F693</f>
        <v>0</v>
      </c>
      <c r="G693">
        <f>[1]NhapHang!G693</f>
        <v>0</v>
      </c>
      <c r="H693">
        <f>[1]NhapHang!H693</f>
        <v>0</v>
      </c>
    </row>
    <row r="694" spans="1:8">
      <c r="A694">
        <f>[1]NhapHang!A694</f>
        <v>0</v>
      </c>
      <c r="B694">
        <f>[1]NhapHang!B694</f>
        <v>0</v>
      </c>
      <c r="C694">
        <f>[1]NhapHang!C694</f>
        <v>0</v>
      </c>
      <c r="D694">
        <f>[1]NhapHang!D694</f>
        <v>0</v>
      </c>
      <c r="E694">
        <f>[1]NhapHang!E694</f>
        <v>0</v>
      </c>
      <c r="F694">
        <f>[1]NhapHang!F694</f>
        <v>0</v>
      </c>
      <c r="G694">
        <f>[1]NhapHang!G694</f>
        <v>0</v>
      </c>
      <c r="H694">
        <f>[1]NhapHang!H694</f>
        <v>0</v>
      </c>
    </row>
    <row r="695" spans="1:8">
      <c r="A695">
        <f>[1]NhapHang!A695</f>
        <v>0</v>
      </c>
      <c r="B695">
        <f>[1]NhapHang!B695</f>
        <v>0</v>
      </c>
      <c r="C695">
        <f>[1]NhapHang!C695</f>
        <v>0</v>
      </c>
      <c r="D695">
        <f>[1]NhapHang!D695</f>
        <v>0</v>
      </c>
      <c r="E695">
        <f>[1]NhapHang!E695</f>
        <v>0</v>
      </c>
      <c r="F695">
        <f>[1]NhapHang!F695</f>
        <v>0</v>
      </c>
      <c r="G695">
        <f>[1]NhapHang!G695</f>
        <v>0</v>
      </c>
      <c r="H695">
        <f>[1]NhapHang!H695</f>
        <v>0</v>
      </c>
    </row>
    <row r="696" spans="1:8">
      <c r="A696">
        <f>[1]NhapHang!A696</f>
        <v>0</v>
      </c>
      <c r="B696">
        <f>[1]NhapHang!B696</f>
        <v>0</v>
      </c>
      <c r="C696">
        <f>[1]NhapHang!C696</f>
        <v>0</v>
      </c>
      <c r="D696">
        <f>[1]NhapHang!D696</f>
        <v>0</v>
      </c>
      <c r="E696">
        <f>[1]NhapHang!E696</f>
        <v>0</v>
      </c>
      <c r="F696">
        <f>[1]NhapHang!F696</f>
        <v>0</v>
      </c>
      <c r="G696">
        <f>[1]NhapHang!G696</f>
        <v>0</v>
      </c>
      <c r="H696">
        <f>[1]NhapHang!H696</f>
        <v>0</v>
      </c>
    </row>
    <row r="697" spans="1:8">
      <c r="A697">
        <f>[1]NhapHang!A697</f>
        <v>0</v>
      </c>
      <c r="B697">
        <f>[1]NhapHang!B697</f>
        <v>0</v>
      </c>
      <c r="C697">
        <f>[1]NhapHang!C697</f>
        <v>0</v>
      </c>
      <c r="D697">
        <f>[1]NhapHang!D697</f>
        <v>0</v>
      </c>
      <c r="E697">
        <f>[1]NhapHang!E697</f>
        <v>0</v>
      </c>
      <c r="F697">
        <f>[1]NhapHang!F697</f>
        <v>0</v>
      </c>
      <c r="G697">
        <f>[1]NhapHang!G697</f>
        <v>0</v>
      </c>
      <c r="H697">
        <f>[1]NhapHang!H697</f>
        <v>0</v>
      </c>
    </row>
    <row r="698" spans="1:8">
      <c r="A698">
        <f>[1]NhapHang!A698</f>
        <v>0</v>
      </c>
      <c r="B698">
        <f>[1]NhapHang!B698</f>
        <v>0</v>
      </c>
      <c r="C698">
        <f>[1]NhapHang!C698</f>
        <v>0</v>
      </c>
      <c r="D698">
        <f>[1]NhapHang!D698</f>
        <v>0</v>
      </c>
      <c r="E698">
        <f>[1]NhapHang!E698</f>
        <v>0</v>
      </c>
      <c r="F698">
        <f>[1]NhapHang!F698</f>
        <v>0</v>
      </c>
      <c r="G698">
        <f>[1]NhapHang!G698</f>
        <v>0</v>
      </c>
      <c r="H698">
        <f>[1]NhapHang!H698</f>
        <v>0</v>
      </c>
    </row>
    <row r="699" spans="1:8">
      <c r="A699">
        <f>[1]NhapHang!A699</f>
        <v>0</v>
      </c>
      <c r="B699">
        <f>[1]NhapHang!B699</f>
        <v>0</v>
      </c>
      <c r="C699">
        <f>[1]NhapHang!C699</f>
        <v>0</v>
      </c>
      <c r="D699">
        <f>[1]NhapHang!D699</f>
        <v>0</v>
      </c>
      <c r="E699">
        <f>[1]NhapHang!E699</f>
        <v>0</v>
      </c>
      <c r="F699">
        <f>[1]NhapHang!F699</f>
        <v>0</v>
      </c>
      <c r="G699">
        <f>[1]NhapHang!G699</f>
        <v>0</v>
      </c>
      <c r="H699">
        <f>[1]NhapHang!H699</f>
        <v>0</v>
      </c>
    </row>
    <row r="700" spans="1:8">
      <c r="A700">
        <f>[1]NhapHang!A700</f>
        <v>0</v>
      </c>
      <c r="B700">
        <f>[1]NhapHang!B700</f>
        <v>0</v>
      </c>
      <c r="C700">
        <f>[1]NhapHang!C700</f>
        <v>0</v>
      </c>
      <c r="D700">
        <f>[1]NhapHang!D700</f>
        <v>0</v>
      </c>
      <c r="E700">
        <f>[1]NhapHang!E700</f>
        <v>0</v>
      </c>
      <c r="F700">
        <f>[1]NhapHang!F700</f>
        <v>0</v>
      </c>
      <c r="G700">
        <f>[1]NhapHang!G700</f>
        <v>0</v>
      </c>
      <c r="H700">
        <f>[1]NhapHang!H700</f>
        <v>0</v>
      </c>
    </row>
    <row r="701" spans="1:8">
      <c r="A701">
        <f>[1]NhapHang!A701</f>
        <v>0</v>
      </c>
      <c r="B701">
        <f>[1]NhapHang!B701</f>
        <v>0</v>
      </c>
      <c r="C701">
        <f>[1]NhapHang!C701</f>
        <v>0</v>
      </c>
      <c r="D701">
        <f>[1]NhapHang!D701</f>
        <v>0</v>
      </c>
      <c r="E701">
        <f>[1]NhapHang!E701</f>
        <v>0</v>
      </c>
      <c r="F701">
        <f>[1]NhapHang!F701</f>
        <v>0</v>
      </c>
      <c r="G701">
        <f>[1]NhapHang!G701</f>
        <v>0</v>
      </c>
      <c r="H701">
        <f>[1]NhapHang!H701</f>
        <v>0</v>
      </c>
    </row>
    <row r="702" spans="1:8">
      <c r="A702">
        <f>[1]NhapHang!A702</f>
        <v>0</v>
      </c>
      <c r="B702">
        <f>[1]NhapHang!B702</f>
        <v>0</v>
      </c>
      <c r="C702">
        <f>[1]NhapHang!C702</f>
        <v>0</v>
      </c>
      <c r="D702">
        <f>[1]NhapHang!D702</f>
        <v>0</v>
      </c>
      <c r="E702">
        <f>[1]NhapHang!E702</f>
        <v>0</v>
      </c>
      <c r="F702">
        <f>[1]NhapHang!F702</f>
        <v>0</v>
      </c>
      <c r="G702">
        <f>[1]NhapHang!G702</f>
        <v>0</v>
      </c>
      <c r="H702">
        <f>[1]NhapHang!H702</f>
        <v>0</v>
      </c>
    </row>
    <row r="703" spans="1:8">
      <c r="A703">
        <f>[1]NhapHang!A703</f>
        <v>0</v>
      </c>
      <c r="B703">
        <f>[1]NhapHang!B703</f>
        <v>0</v>
      </c>
      <c r="C703">
        <f>[1]NhapHang!C703</f>
        <v>0</v>
      </c>
      <c r="D703">
        <f>[1]NhapHang!D703</f>
        <v>0</v>
      </c>
      <c r="E703">
        <f>[1]NhapHang!E703</f>
        <v>0</v>
      </c>
      <c r="F703">
        <f>[1]NhapHang!F703</f>
        <v>0</v>
      </c>
      <c r="G703">
        <f>[1]NhapHang!G703</f>
        <v>0</v>
      </c>
      <c r="H703">
        <f>[1]NhapHang!H703</f>
        <v>0</v>
      </c>
    </row>
    <row r="704" spans="1:8">
      <c r="A704">
        <f>[1]NhapHang!A704</f>
        <v>0</v>
      </c>
      <c r="B704">
        <f>[1]NhapHang!B704</f>
        <v>0</v>
      </c>
      <c r="C704">
        <f>[1]NhapHang!C704</f>
        <v>0</v>
      </c>
      <c r="D704">
        <f>[1]NhapHang!D704</f>
        <v>0</v>
      </c>
      <c r="E704">
        <f>[1]NhapHang!E704</f>
        <v>0</v>
      </c>
      <c r="F704">
        <f>[1]NhapHang!F704</f>
        <v>0</v>
      </c>
      <c r="G704">
        <f>[1]NhapHang!G704</f>
        <v>0</v>
      </c>
      <c r="H704">
        <f>[1]NhapHang!H704</f>
        <v>0</v>
      </c>
    </row>
    <row r="705" spans="1:8">
      <c r="A705">
        <f>[1]NhapHang!A705</f>
        <v>0</v>
      </c>
      <c r="B705">
        <f>[1]NhapHang!B705</f>
        <v>0</v>
      </c>
      <c r="C705">
        <f>[1]NhapHang!C705</f>
        <v>0</v>
      </c>
      <c r="D705">
        <f>[1]NhapHang!D705</f>
        <v>0</v>
      </c>
      <c r="E705">
        <f>[1]NhapHang!E705</f>
        <v>0</v>
      </c>
      <c r="F705">
        <f>[1]NhapHang!F705</f>
        <v>0</v>
      </c>
      <c r="G705">
        <f>[1]NhapHang!G705</f>
        <v>0</v>
      </c>
      <c r="H705">
        <f>[1]NhapHang!H705</f>
        <v>0</v>
      </c>
    </row>
    <row r="706" spans="1:8">
      <c r="A706">
        <f>[1]NhapHang!A706</f>
        <v>0</v>
      </c>
      <c r="B706">
        <f>[1]NhapHang!B706</f>
        <v>0</v>
      </c>
      <c r="C706">
        <f>[1]NhapHang!C706</f>
        <v>0</v>
      </c>
      <c r="D706">
        <f>[1]NhapHang!D706</f>
        <v>0</v>
      </c>
      <c r="E706">
        <f>[1]NhapHang!E706</f>
        <v>0</v>
      </c>
      <c r="F706">
        <f>[1]NhapHang!F706</f>
        <v>0</v>
      </c>
      <c r="G706">
        <f>[1]NhapHang!G706</f>
        <v>0</v>
      </c>
      <c r="H706">
        <f>[1]NhapHang!H706</f>
        <v>0</v>
      </c>
    </row>
    <row r="707" spans="1:8">
      <c r="A707">
        <f>[1]NhapHang!A707</f>
        <v>0</v>
      </c>
      <c r="B707">
        <f>[1]NhapHang!B707</f>
        <v>0</v>
      </c>
      <c r="C707">
        <f>[1]NhapHang!C707</f>
        <v>0</v>
      </c>
      <c r="D707">
        <f>[1]NhapHang!D707</f>
        <v>0</v>
      </c>
      <c r="E707">
        <f>[1]NhapHang!E707</f>
        <v>0</v>
      </c>
      <c r="F707">
        <f>[1]NhapHang!F707</f>
        <v>0</v>
      </c>
      <c r="G707">
        <f>[1]NhapHang!G707</f>
        <v>0</v>
      </c>
      <c r="H707">
        <f>[1]NhapHang!H707</f>
        <v>0</v>
      </c>
    </row>
    <row r="708" spans="1:8">
      <c r="A708">
        <f>[1]NhapHang!A708</f>
        <v>0</v>
      </c>
      <c r="B708">
        <f>[1]NhapHang!B708</f>
        <v>0</v>
      </c>
      <c r="C708">
        <f>[1]NhapHang!C708</f>
        <v>0</v>
      </c>
      <c r="D708">
        <f>[1]NhapHang!D708</f>
        <v>0</v>
      </c>
      <c r="E708">
        <f>[1]NhapHang!E708</f>
        <v>0</v>
      </c>
      <c r="F708">
        <f>[1]NhapHang!F708</f>
        <v>0</v>
      </c>
      <c r="G708">
        <f>[1]NhapHang!G708</f>
        <v>0</v>
      </c>
      <c r="H708">
        <f>[1]NhapHang!H708</f>
        <v>0</v>
      </c>
    </row>
    <row r="709" spans="1:8">
      <c r="A709">
        <f>[1]NhapHang!A709</f>
        <v>0</v>
      </c>
      <c r="B709">
        <f>[1]NhapHang!B709</f>
        <v>0</v>
      </c>
      <c r="C709">
        <f>[1]NhapHang!C709</f>
        <v>0</v>
      </c>
      <c r="D709">
        <f>[1]NhapHang!D709</f>
        <v>0</v>
      </c>
      <c r="E709">
        <f>[1]NhapHang!E709</f>
        <v>0</v>
      </c>
      <c r="F709">
        <f>[1]NhapHang!F709</f>
        <v>0</v>
      </c>
      <c r="G709">
        <f>[1]NhapHang!G709</f>
        <v>0</v>
      </c>
      <c r="H709">
        <f>[1]NhapHang!H709</f>
        <v>0</v>
      </c>
    </row>
    <row r="710" spans="1:8">
      <c r="A710">
        <f>[1]NhapHang!A710</f>
        <v>0</v>
      </c>
      <c r="B710">
        <f>[1]NhapHang!B710</f>
        <v>0</v>
      </c>
      <c r="C710">
        <f>[1]NhapHang!C710</f>
        <v>0</v>
      </c>
      <c r="D710">
        <f>[1]NhapHang!D710</f>
        <v>0</v>
      </c>
      <c r="E710">
        <f>[1]NhapHang!E710</f>
        <v>0</v>
      </c>
      <c r="F710">
        <f>[1]NhapHang!F710</f>
        <v>0</v>
      </c>
      <c r="G710">
        <f>[1]NhapHang!G710</f>
        <v>0</v>
      </c>
      <c r="H710">
        <f>[1]NhapHang!H710</f>
        <v>0</v>
      </c>
    </row>
    <row r="711" spans="1:8">
      <c r="A711">
        <f>[1]NhapHang!A711</f>
        <v>0</v>
      </c>
      <c r="B711">
        <f>[1]NhapHang!B711</f>
        <v>0</v>
      </c>
      <c r="C711">
        <f>[1]NhapHang!C711</f>
        <v>0</v>
      </c>
      <c r="D711">
        <f>[1]NhapHang!D711</f>
        <v>0</v>
      </c>
      <c r="E711">
        <f>[1]NhapHang!E711</f>
        <v>0</v>
      </c>
      <c r="F711">
        <f>[1]NhapHang!F711</f>
        <v>0</v>
      </c>
      <c r="G711">
        <f>[1]NhapHang!G711</f>
        <v>0</v>
      </c>
      <c r="H711">
        <f>[1]NhapHang!H711</f>
        <v>0</v>
      </c>
    </row>
    <row r="712" spans="1:8">
      <c r="A712">
        <f>[1]NhapHang!A712</f>
        <v>0</v>
      </c>
      <c r="B712">
        <f>[1]NhapHang!B712</f>
        <v>0</v>
      </c>
      <c r="C712">
        <f>[1]NhapHang!C712</f>
        <v>0</v>
      </c>
      <c r="D712">
        <f>[1]NhapHang!D712</f>
        <v>0</v>
      </c>
      <c r="E712">
        <f>[1]NhapHang!E712</f>
        <v>0</v>
      </c>
      <c r="F712">
        <f>[1]NhapHang!F712</f>
        <v>0</v>
      </c>
      <c r="G712">
        <f>[1]NhapHang!G712</f>
        <v>0</v>
      </c>
      <c r="H712">
        <f>[1]NhapHang!H712</f>
        <v>0</v>
      </c>
    </row>
    <row r="713" spans="1:8">
      <c r="A713">
        <f>[1]NhapHang!A713</f>
        <v>0</v>
      </c>
      <c r="B713">
        <f>[1]NhapHang!B713</f>
        <v>0</v>
      </c>
      <c r="C713">
        <f>[1]NhapHang!C713</f>
        <v>0</v>
      </c>
      <c r="D713">
        <f>[1]NhapHang!D713</f>
        <v>0</v>
      </c>
      <c r="E713">
        <f>[1]NhapHang!E713</f>
        <v>0</v>
      </c>
      <c r="F713">
        <f>[1]NhapHang!F713</f>
        <v>0</v>
      </c>
      <c r="G713">
        <f>[1]NhapHang!G713</f>
        <v>0</v>
      </c>
      <c r="H713">
        <f>[1]NhapHang!H713</f>
        <v>0</v>
      </c>
    </row>
    <row r="714" spans="1:8">
      <c r="A714">
        <f>[1]NhapHang!A714</f>
        <v>0</v>
      </c>
      <c r="B714">
        <f>[1]NhapHang!B714</f>
        <v>0</v>
      </c>
      <c r="C714">
        <f>[1]NhapHang!C714</f>
        <v>0</v>
      </c>
      <c r="D714">
        <f>[1]NhapHang!D714</f>
        <v>0</v>
      </c>
      <c r="E714">
        <f>[1]NhapHang!E714</f>
        <v>0</v>
      </c>
      <c r="F714">
        <f>[1]NhapHang!F714</f>
        <v>0</v>
      </c>
      <c r="G714">
        <f>[1]NhapHang!G714</f>
        <v>0</v>
      </c>
      <c r="H714">
        <f>[1]NhapHang!H714</f>
        <v>0</v>
      </c>
    </row>
    <row r="715" spans="1:8">
      <c r="A715">
        <f>[1]NhapHang!A715</f>
        <v>0</v>
      </c>
      <c r="B715">
        <f>[1]NhapHang!B715</f>
        <v>0</v>
      </c>
      <c r="C715">
        <f>[1]NhapHang!C715</f>
        <v>0</v>
      </c>
      <c r="D715">
        <f>[1]NhapHang!D715</f>
        <v>0</v>
      </c>
      <c r="E715">
        <f>[1]NhapHang!E715</f>
        <v>0</v>
      </c>
      <c r="F715">
        <f>[1]NhapHang!F715</f>
        <v>0</v>
      </c>
      <c r="G715">
        <f>[1]NhapHang!G715</f>
        <v>0</v>
      </c>
      <c r="H715">
        <f>[1]NhapHang!H715</f>
        <v>0</v>
      </c>
    </row>
    <row r="716" spans="1:8">
      <c r="A716">
        <f>[1]NhapHang!A716</f>
        <v>0</v>
      </c>
      <c r="B716">
        <f>[1]NhapHang!B716</f>
        <v>0</v>
      </c>
      <c r="C716">
        <f>[1]NhapHang!C716</f>
        <v>0</v>
      </c>
      <c r="D716">
        <f>[1]NhapHang!D716</f>
        <v>0</v>
      </c>
      <c r="E716">
        <f>[1]NhapHang!E716</f>
        <v>0</v>
      </c>
      <c r="F716">
        <f>[1]NhapHang!F716</f>
        <v>0</v>
      </c>
      <c r="G716">
        <f>[1]NhapHang!G716</f>
        <v>0</v>
      </c>
      <c r="H716">
        <f>[1]NhapHang!H716</f>
        <v>0</v>
      </c>
    </row>
    <row r="717" spans="1:8">
      <c r="A717">
        <f>[1]NhapHang!A717</f>
        <v>0</v>
      </c>
      <c r="B717">
        <f>[1]NhapHang!B717</f>
        <v>0</v>
      </c>
      <c r="C717">
        <f>[1]NhapHang!C717</f>
        <v>0</v>
      </c>
      <c r="D717">
        <f>[1]NhapHang!D717</f>
        <v>0</v>
      </c>
      <c r="E717">
        <f>[1]NhapHang!E717</f>
        <v>0</v>
      </c>
      <c r="F717">
        <f>[1]NhapHang!F717</f>
        <v>0</v>
      </c>
      <c r="G717">
        <f>[1]NhapHang!G717</f>
        <v>0</v>
      </c>
      <c r="H717">
        <f>[1]NhapHang!H717</f>
        <v>0</v>
      </c>
    </row>
    <row r="718" spans="1:8">
      <c r="A718">
        <f>[1]NhapHang!A718</f>
        <v>0</v>
      </c>
      <c r="B718">
        <f>[1]NhapHang!B718</f>
        <v>0</v>
      </c>
      <c r="C718">
        <f>[1]NhapHang!C718</f>
        <v>0</v>
      </c>
      <c r="D718">
        <f>[1]NhapHang!D718</f>
        <v>0</v>
      </c>
      <c r="E718">
        <f>[1]NhapHang!E718</f>
        <v>0</v>
      </c>
      <c r="F718">
        <f>[1]NhapHang!F718</f>
        <v>0</v>
      </c>
      <c r="G718">
        <f>[1]NhapHang!G718</f>
        <v>0</v>
      </c>
      <c r="H718">
        <f>[1]NhapHang!H718</f>
        <v>0</v>
      </c>
    </row>
    <row r="719" spans="1:8">
      <c r="A719">
        <f>[1]NhapHang!A719</f>
        <v>0</v>
      </c>
      <c r="B719">
        <f>[1]NhapHang!B719</f>
        <v>0</v>
      </c>
      <c r="C719">
        <f>[1]NhapHang!C719</f>
        <v>0</v>
      </c>
      <c r="D719">
        <f>[1]NhapHang!D719</f>
        <v>0</v>
      </c>
      <c r="E719">
        <f>[1]NhapHang!E719</f>
        <v>0</v>
      </c>
      <c r="F719">
        <f>[1]NhapHang!F719</f>
        <v>0</v>
      </c>
      <c r="G719">
        <f>[1]NhapHang!G719</f>
        <v>0</v>
      </c>
      <c r="H719">
        <f>[1]NhapHang!H719</f>
        <v>0</v>
      </c>
    </row>
    <row r="720" spans="1:8">
      <c r="A720">
        <f>[1]NhapHang!A720</f>
        <v>0</v>
      </c>
      <c r="B720">
        <f>[1]NhapHang!B720</f>
        <v>0</v>
      </c>
      <c r="C720">
        <f>[1]NhapHang!C720</f>
        <v>0</v>
      </c>
      <c r="D720">
        <f>[1]NhapHang!D720</f>
        <v>0</v>
      </c>
      <c r="E720">
        <f>[1]NhapHang!E720</f>
        <v>0</v>
      </c>
      <c r="F720">
        <f>[1]NhapHang!F720</f>
        <v>0</v>
      </c>
      <c r="G720">
        <f>[1]NhapHang!G720</f>
        <v>0</v>
      </c>
      <c r="H720">
        <f>[1]NhapHang!H720</f>
        <v>0</v>
      </c>
    </row>
    <row r="721" spans="1:8">
      <c r="A721">
        <f>[1]NhapHang!A721</f>
        <v>0</v>
      </c>
      <c r="B721">
        <f>[1]NhapHang!B721</f>
        <v>0</v>
      </c>
      <c r="C721">
        <f>[1]NhapHang!C721</f>
        <v>0</v>
      </c>
      <c r="D721">
        <f>[1]NhapHang!D721</f>
        <v>0</v>
      </c>
      <c r="E721">
        <f>[1]NhapHang!E721</f>
        <v>0</v>
      </c>
      <c r="F721">
        <f>[1]NhapHang!F721</f>
        <v>0</v>
      </c>
      <c r="G721">
        <f>[1]NhapHang!G721</f>
        <v>0</v>
      </c>
      <c r="H721">
        <f>[1]NhapHang!H721</f>
        <v>0</v>
      </c>
    </row>
    <row r="722" spans="1:8">
      <c r="A722">
        <f>[1]NhapHang!A722</f>
        <v>0</v>
      </c>
      <c r="B722">
        <f>[1]NhapHang!B722</f>
        <v>0</v>
      </c>
      <c r="C722">
        <f>[1]NhapHang!C722</f>
        <v>0</v>
      </c>
      <c r="D722">
        <f>[1]NhapHang!D722</f>
        <v>0</v>
      </c>
      <c r="E722">
        <f>[1]NhapHang!E722</f>
        <v>0</v>
      </c>
      <c r="F722">
        <f>[1]NhapHang!F722</f>
        <v>0</v>
      </c>
      <c r="G722">
        <f>[1]NhapHang!G722</f>
        <v>0</v>
      </c>
      <c r="H722">
        <f>[1]NhapHang!H722</f>
        <v>0</v>
      </c>
    </row>
    <row r="723" spans="1:8">
      <c r="A723">
        <f>[1]NhapHang!A723</f>
        <v>0</v>
      </c>
      <c r="B723">
        <f>[1]NhapHang!B723</f>
        <v>0</v>
      </c>
      <c r="C723">
        <f>[1]NhapHang!C723</f>
        <v>0</v>
      </c>
      <c r="D723">
        <f>[1]NhapHang!D723</f>
        <v>0</v>
      </c>
      <c r="E723">
        <f>[1]NhapHang!E723</f>
        <v>0</v>
      </c>
      <c r="F723">
        <f>[1]NhapHang!F723</f>
        <v>0</v>
      </c>
      <c r="G723">
        <f>[1]NhapHang!G723</f>
        <v>0</v>
      </c>
      <c r="H723">
        <f>[1]NhapHang!H723</f>
        <v>0</v>
      </c>
    </row>
    <row r="724" spans="1:8">
      <c r="A724">
        <f>[1]NhapHang!A724</f>
        <v>0</v>
      </c>
      <c r="B724">
        <f>[1]NhapHang!B724</f>
        <v>0</v>
      </c>
      <c r="C724">
        <f>[1]NhapHang!C724</f>
        <v>0</v>
      </c>
      <c r="D724">
        <f>[1]NhapHang!D724</f>
        <v>0</v>
      </c>
      <c r="E724">
        <f>[1]NhapHang!E724</f>
        <v>0</v>
      </c>
      <c r="F724">
        <f>[1]NhapHang!F724</f>
        <v>0</v>
      </c>
      <c r="G724">
        <f>[1]NhapHang!G724</f>
        <v>0</v>
      </c>
      <c r="H724">
        <f>[1]NhapHang!H724</f>
        <v>0</v>
      </c>
    </row>
    <row r="725" spans="1:8">
      <c r="A725">
        <f>[1]NhapHang!A725</f>
        <v>0</v>
      </c>
      <c r="B725">
        <f>[1]NhapHang!B725</f>
        <v>0</v>
      </c>
      <c r="C725">
        <f>[1]NhapHang!C725</f>
        <v>0</v>
      </c>
      <c r="D725">
        <f>[1]NhapHang!D725</f>
        <v>0</v>
      </c>
      <c r="E725">
        <f>[1]NhapHang!E725</f>
        <v>0</v>
      </c>
      <c r="F725">
        <f>[1]NhapHang!F725</f>
        <v>0</v>
      </c>
      <c r="G725">
        <f>[1]NhapHang!G725</f>
        <v>0</v>
      </c>
      <c r="H725">
        <f>[1]NhapHang!H725</f>
        <v>0</v>
      </c>
    </row>
    <row r="726" spans="1:8">
      <c r="A726">
        <f>[1]NhapHang!A726</f>
        <v>0</v>
      </c>
      <c r="B726">
        <f>[1]NhapHang!B726</f>
        <v>0</v>
      </c>
      <c r="C726">
        <f>[1]NhapHang!C726</f>
        <v>0</v>
      </c>
      <c r="D726">
        <f>[1]NhapHang!D726</f>
        <v>0</v>
      </c>
      <c r="E726">
        <f>[1]NhapHang!E726</f>
        <v>0</v>
      </c>
      <c r="F726">
        <f>[1]NhapHang!F726</f>
        <v>0</v>
      </c>
      <c r="G726">
        <f>[1]NhapHang!G726</f>
        <v>0</v>
      </c>
      <c r="H726">
        <f>[1]NhapHang!H726</f>
        <v>0</v>
      </c>
    </row>
    <row r="727" spans="1:8">
      <c r="A727">
        <f>[1]NhapHang!A727</f>
        <v>0</v>
      </c>
      <c r="B727">
        <f>[1]NhapHang!B727</f>
        <v>0</v>
      </c>
      <c r="C727">
        <f>[1]NhapHang!C727</f>
        <v>0</v>
      </c>
      <c r="D727">
        <f>[1]NhapHang!D727</f>
        <v>0</v>
      </c>
      <c r="E727">
        <f>[1]NhapHang!E727</f>
        <v>0</v>
      </c>
      <c r="F727">
        <f>[1]NhapHang!F727</f>
        <v>0</v>
      </c>
      <c r="G727">
        <f>[1]NhapHang!G727</f>
        <v>0</v>
      </c>
      <c r="H727">
        <f>[1]NhapHang!H727</f>
        <v>0</v>
      </c>
    </row>
    <row r="728" spans="1:8">
      <c r="A728">
        <f>[1]NhapHang!A728</f>
        <v>0</v>
      </c>
      <c r="B728">
        <f>[1]NhapHang!B728</f>
        <v>0</v>
      </c>
      <c r="C728">
        <f>[1]NhapHang!C728</f>
        <v>0</v>
      </c>
      <c r="D728">
        <f>[1]NhapHang!D728</f>
        <v>0</v>
      </c>
      <c r="E728">
        <f>[1]NhapHang!E728</f>
        <v>0</v>
      </c>
      <c r="F728">
        <f>[1]NhapHang!F728</f>
        <v>0</v>
      </c>
      <c r="G728">
        <f>[1]NhapHang!G728</f>
        <v>0</v>
      </c>
      <c r="H728">
        <f>[1]NhapHang!H728</f>
        <v>0</v>
      </c>
    </row>
    <row r="729" spans="1:8">
      <c r="A729">
        <f>[1]NhapHang!A729</f>
        <v>0</v>
      </c>
      <c r="B729">
        <f>[1]NhapHang!B729</f>
        <v>0</v>
      </c>
      <c r="C729">
        <f>[1]NhapHang!C729</f>
        <v>0</v>
      </c>
      <c r="D729">
        <f>[1]NhapHang!D729</f>
        <v>0</v>
      </c>
      <c r="E729">
        <f>[1]NhapHang!E729</f>
        <v>0</v>
      </c>
      <c r="F729">
        <f>[1]NhapHang!F729</f>
        <v>0</v>
      </c>
      <c r="G729">
        <f>[1]NhapHang!G729</f>
        <v>0</v>
      </c>
      <c r="H729">
        <f>[1]NhapHang!H729</f>
        <v>0</v>
      </c>
    </row>
    <row r="730" spans="1:8">
      <c r="A730">
        <f>[1]NhapHang!A730</f>
        <v>0</v>
      </c>
      <c r="B730">
        <f>[1]NhapHang!B730</f>
        <v>0</v>
      </c>
      <c r="C730">
        <f>[1]NhapHang!C730</f>
        <v>0</v>
      </c>
      <c r="D730">
        <f>[1]NhapHang!D730</f>
        <v>0</v>
      </c>
      <c r="E730">
        <f>[1]NhapHang!E730</f>
        <v>0</v>
      </c>
      <c r="F730">
        <f>[1]NhapHang!F730</f>
        <v>0</v>
      </c>
      <c r="G730">
        <f>[1]NhapHang!G730</f>
        <v>0</v>
      </c>
      <c r="H730">
        <f>[1]NhapHang!H730</f>
        <v>0</v>
      </c>
    </row>
    <row r="731" spans="1:8">
      <c r="A731">
        <f>[1]NhapHang!A731</f>
        <v>0</v>
      </c>
      <c r="B731">
        <f>[1]NhapHang!B731</f>
        <v>0</v>
      </c>
      <c r="C731">
        <f>[1]NhapHang!C731</f>
        <v>0</v>
      </c>
      <c r="D731">
        <f>[1]NhapHang!D731</f>
        <v>0</v>
      </c>
      <c r="E731">
        <f>[1]NhapHang!E731</f>
        <v>0</v>
      </c>
      <c r="F731">
        <f>[1]NhapHang!F731</f>
        <v>0</v>
      </c>
      <c r="G731">
        <f>[1]NhapHang!G731</f>
        <v>0</v>
      </c>
      <c r="H731">
        <f>[1]NhapHang!H731</f>
        <v>0</v>
      </c>
    </row>
    <row r="732" spans="1:8">
      <c r="A732">
        <f>[1]NhapHang!A732</f>
        <v>0</v>
      </c>
      <c r="B732">
        <f>[1]NhapHang!B732</f>
        <v>0</v>
      </c>
      <c r="C732">
        <f>[1]NhapHang!C732</f>
        <v>0</v>
      </c>
      <c r="D732">
        <f>[1]NhapHang!D732</f>
        <v>0</v>
      </c>
      <c r="E732">
        <f>[1]NhapHang!E732</f>
        <v>0</v>
      </c>
      <c r="F732">
        <f>[1]NhapHang!F732</f>
        <v>0</v>
      </c>
      <c r="G732">
        <f>[1]NhapHang!G732</f>
        <v>0</v>
      </c>
      <c r="H732">
        <f>[1]NhapHang!H732</f>
        <v>0</v>
      </c>
    </row>
    <row r="733" spans="1:8">
      <c r="A733">
        <f>[1]NhapHang!A733</f>
        <v>0</v>
      </c>
      <c r="B733">
        <f>[1]NhapHang!B733</f>
        <v>0</v>
      </c>
      <c r="C733">
        <f>[1]NhapHang!C733</f>
        <v>0</v>
      </c>
      <c r="D733">
        <f>[1]NhapHang!D733</f>
        <v>0</v>
      </c>
      <c r="E733">
        <f>[1]NhapHang!E733</f>
        <v>0</v>
      </c>
      <c r="F733">
        <f>[1]NhapHang!F733</f>
        <v>0</v>
      </c>
      <c r="G733">
        <f>[1]NhapHang!G733</f>
        <v>0</v>
      </c>
      <c r="H733">
        <f>[1]NhapHang!H733</f>
        <v>0</v>
      </c>
    </row>
    <row r="734" spans="1:8">
      <c r="A734">
        <f>[1]NhapHang!A734</f>
        <v>0</v>
      </c>
      <c r="B734">
        <f>[1]NhapHang!B734</f>
        <v>0</v>
      </c>
      <c r="C734">
        <f>[1]NhapHang!C734</f>
        <v>0</v>
      </c>
      <c r="D734">
        <f>[1]NhapHang!D734</f>
        <v>0</v>
      </c>
      <c r="E734">
        <f>[1]NhapHang!E734</f>
        <v>0</v>
      </c>
      <c r="F734">
        <f>[1]NhapHang!F734</f>
        <v>0</v>
      </c>
      <c r="G734">
        <f>[1]NhapHang!G734</f>
        <v>0</v>
      </c>
      <c r="H734">
        <f>[1]NhapHang!H734</f>
        <v>0</v>
      </c>
    </row>
    <row r="735" spans="1:8">
      <c r="A735">
        <f>[1]NhapHang!A735</f>
        <v>0</v>
      </c>
      <c r="B735">
        <f>[1]NhapHang!B735</f>
        <v>0</v>
      </c>
      <c r="C735">
        <f>[1]NhapHang!C735</f>
        <v>0</v>
      </c>
      <c r="D735">
        <f>[1]NhapHang!D735</f>
        <v>0</v>
      </c>
      <c r="E735">
        <f>[1]NhapHang!E735</f>
        <v>0</v>
      </c>
      <c r="F735">
        <f>[1]NhapHang!F735</f>
        <v>0</v>
      </c>
      <c r="G735">
        <f>[1]NhapHang!G735</f>
        <v>0</v>
      </c>
      <c r="H735">
        <f>[1]NhapHang!H735</f>
        <v>0</v>
      </c>
    </row>
    <row r="736" spans="1:8">
      <c r="A736">
        <f>[1]NhapHang!A736</f>
        <v>0</v>
      </c>
      <c r="B736">
        <f>[1]NhapHang!B736</f>
        <v>0</v>
      </c>
      <c r="C736">
        <f>[1]NhapHang!C736</f>
        <v>0</v>
      </c>
      <c r="D736">
        <f>[1]NhapHang!D736</f>
        <v>0</v>
      </c>
      <c r="E736">
        <f>[1]NhapHang!E736</f>
        <v>0</v>
      </c>
      <c r="F736">
        <f>[1]NhapHang!F736</f>
        <v>0</v>
      </c>
      <c r="G736">
        <f>[1]NhapHang!G736</f>
        <v>0</v>
      </c>
      <c r="H736">
        <f>[1]NhapHang!H736</f>
        <v>0</v>
      </c>
    </row>
    <row r="737" spans="1:8">
      <c r="A737">
        <f>[1]NhapHang!A737</f>
        <v>0</v>
      </c>
      <c r="B737">
        <f>[1]NhapHang!B737</f>
        <v>0</v>
      </c>
      <c r="C737">
        <f>[1]NhapHang!C737</f>
        <v>0</v>
      </c>
      <c r="D737">
        <f>[1]NhapHang!D737</f>
        <v>0</v>
      </c>
      <c r="E737">
        <f>[1]NhapHang!E737</f>
        <v>0</v>
      </c>
      <c r="F737">
        <f>[1]NhapHang!F737</f>
        <v>0</v>
      </c>
      <c r="G737">
        <f>[1]NhapHang!G737</f>
        <v>0</v>
      </c>
      <c r="H737">
        <f>[1]NhapHang!H737</f>
        <v>0</v>
      </c>
    </row>
    <row r="738" spans="1:8">
      <c r="A738">
        <f>[1]NhapHang!A738</f>
        <v>0</v>
      </c>
      <c r="B738">
        <f>[1]NhapHang!B738</f>
        <v>0</v>
      </c>
      <c r="C738">
        <f>[1]NhapHang!C738</f>
        <v>0</v>
      </c>
      <c r="D738">
        <f>[1]NhapHang!D738</f>
        <v>0</v>
      </c>
      <c r="E738">
        <f>[1]NhapHang!E738</f>
        <v>0</v>
      </c>
      <c r="F738">
        <f>[1]NhapHang!F738</f>
        <v>0</v>
      </c>
      <c r="G738">
        <f>[1]NhapHang!G738</f>
        <v>0</v>
      </c>
      <c r="H738">
        <f>[1]NhapHang!H738</f>
        <v>0</v>
      </c>
    </row>
    <row r="739" spans="1:8">
      <c r="A739">
        <f>[1]NhapHang!A739</f>
        <v>0</v>
      </c>
      <c r="B739">
        <f>[1]NhapHang!B739</f>
        <v>0</v>
      </c>
      <c r="C739">
        <f>[1]NhapHang!C739</f>
        <v>0</v>
      </c>
      <c r="D739">
        <f>[1]NhapHang!D739</f>
        <v>0</v>
      </c>
      <c r="E739">
        <f>[1]NhapHang!E739</f>
        <v>0</v>
      </c>
      <c r="F739">
        <f>[1]NhapHang!F739</f>
        <v>0</v>
      </c>
      <c r="G739">
        <f>[1]NhapHang!G739</f>
        <v>0</v>
      </c>
      <c r="H739">
        <f>[1]NhapHang!H739</f>
        <v>0</v>
      </c>
    </row>
    <row r="740" spans="1:8">
      <c r="A740">
        <f>[1]NhapHang!A740</f>
        <v>0</v>
      </c>
      <c r="B740">
        <f>[1]NhapHang!B740</f>
        <v>0</v>
      </c>
      <c r="C740">
        <f>[1]NhapHang!C740</f>
        <v>0</v>
      </c>
      <c r="D740">
        <f>[1]NhapHang!D740</f>
        <v>0</v>
      </c>
      <c r="E740">
        <f>[1]NhapHang!E740</f>
        <v>0</v>
      </c>
      <c r="F740">
        <f>[1]NhapHang!F740</f>
        <v>0</v>
      </c>
      <c r="G740">
        <f>[1]NhapHang!G740</f>
        <v>0</v>
      </c>
      <c r="H740">
        <f>[1]NhapHang!H740</f>
        <v>0</v>
      </c>
    </row>
    <row r="741" spans="1:8">
      <c r="A741">
        <f>[1]NhapHang!A741</f>
        <v>0</v>
      </c>
      <c r="B741">
        <f>[1]NhapHang!B741</f>
        <v>0</v>
      </c>
      <c r="C741">
        <f>[1]NhapHang!C741</f>
        <v>0</v>
      </c>
      <c r="D741">
        <f>[1]NhapHang!D741</f>
        <v>0</v>
      </c>
      <c r="E741">
        <f>[1]NhapHang!E741</f>
        <v>0</v>
      </c>
      <c r="F741">
        <f>[1]NhapHang!F741</f>
        <v>0</v>
      </c>
      <c r="G741">
        <f>[1]NhapHang!G741</f>
        <v>0</v>
      </c>
      <c r="H741">
        <f>[1]NhapHang!H741</f>
        <v>0</v>
      </c>
    </row>
    <row r="742" spans="1:8">
      <c r="A742">
        <f>[1]NhapHang!A742</f>
        <v>0</v>
      </c>
      <c r="B742">
        <f>[1]NhapHang!B742</f>
        <v>0</v>
      </c>
      <c r="C742">
        <f>[1]NhapHang!C742</f>
        <v>0</v>
      </c>
      <c r="D742">
        <f>[1]NhapHang!D742</f>
        <v>0</v>
      </c>
      <c r="E742">
        <f>[1]NhapHang!E742</f>
        <v>0</v>
      </c>
      <c r="F742">
        <f>[1]NhapHang!F742</f>
        <v>0</v>
      </c>
      <c r="G742">
        <f>[1]NhapHang!G742</f>
        <v>0</v>
      </c>
      <c r="H742">
        <f>[1]NhapHang!H742</f>
        <v>0</v>
      </c>
    </row>
    <row r="743" spans="1:8">
      <c r="A743">
        <f>[1]NhapHang!A743</f>
        <v>0</v>
      </c>
      <c r="B743">
        <f>[1]NhapHang!B743</f>
        <v>0</v>
      </c>
      <c r="C743">
        <f>[1]NhapHang!C743</f>
        <v>0</v>
      </c>
      <c r="D743">
        <f>[1]NhapHang!D743</f>
        <v>0</v>
      </c>
      <c r="E743">
        <f>[1]NhapHang!E743</f>
        <v>0</v>
      </c>
      <c r="F743">
        <f>[1]NhapHang!F743</f>
        <v>0</v>
      </c>
      <c r="G743">
        <f>[1]NhapHang!G743</f>
        <v>0</v>
      </c>
      <c r="H743">
        <f>[1]NhapHang!H743</f>
        <v>0</v>
      </c>
    </row>
    <row r="744" spans="1:8">
      <c r="A744">
        <f>[1]NhapHang!A744</f>
        <v>0</v>
      </c>
      <c r="B744">
        <f>[1]NhapHang!B744</f>
        <v>0</v>
      </c>
      <c r="C744">
        <f>[1]NhapHang!C744</f>
        <v>0</v>
      </c>
      <c r="D744">
        <f>[1]NhapHang!D744</f>
        <v>0</v>
      </c>
      <c r="E744">
        <f>[1]NhapHang!E744</f>
        <v>0</v>
      </c>
      <c r="F744">
        <f>[1]NhapHang!F744</f>
        <v>0</v>
      </c>
      <c r="G744">
        <f>[1]NhapHang!G744</f>
        <v>0</v>
      </c>
      <c r="H744">
        <f>[1]NhapHang!H744</f>
        <v>0</v>
      </c>
    </row>
    <row r="745" spans="1:8">
      <c r="A745">
        <f>[1]NhapHang!A745</f>
        <v>0</v>
      </c>
      <c r="B745">
        <f>[1]NhapHang!B745</f>
        <v>0</v>
      </c>
      <c r="C745">
        <f>[1]NhapHang!C745</f>
        <v>0</v>
      </c>
      <c r="D745">
        <f>[1]NhapHang!D745</f>
        <v>0</v>
      </c>
      <c r="E745">
        <f>[1]NhapHang!E745</f>
        <v>0</v>
      </c>
      <c r="F745">
        <f>[1]NhapHang!F745</f>
        <v>0</v>
      </c>
      <c r="G745">
        <f>[1]NhapHang!G745</f>
        <v>0</v>
      </c>
      <c r="H745">
        <f>[1]NhapHang!H745</f>
        <v>0</v>
      </c>
    </row>
    <row r="746" spans="1:8">
      <c r="A746">
        <f>[1]NhapHang!A746</f>
        <v>0</v>
      </c>
      <c r="B746">
        <f>[1]NhapHang!B746</f>
        <v>0</v>
      </c>
      <c r="C746">
        <f>[1]NhapHang!C746</f>
        <v>0</v>
      </c>
      <c r="D746">
        <f>[1]NhapHang!D746</f>
        <v>0</v>
      </c>
      <c r="E746">
        <f>[1]NhapHang!E746</f>
        <v>0</v>
      </c>
      <c r="F746">
        <f>[1]NhapHang!F746</f>
        <v>0</v>
      </c>
      <c r="G746">
        <f>[1]NhapHang!G746</f>
        <v>0</v>
      </c>
      <c r="H746">
        <f>[1]NhapHang!H746</f>
        <v>0</v>
      </c>
    </row>
    <row r="747" spans="1:8">
      <c r="A747">
        <f>[1]NhapHang!A747</f>
        <v>0</v>
      </c>
      <c r="B747">
        <f>[1]NhapHang!B747</f>
        <v>0</v>
      </c>
      <c r="C747">
        <f>[1]NhapHang!C747</f>
        <v>0</v>
      </c>
      <c r="D747">
        <f>[1]NhapHang!D747</f>
        <v>0</v>
      </c>
      <c r="E747">
        <f>[1]NhapHang!E747</f>
        <v>0</v>
      </c>
      <c r="F747">
        <f>[1]NhapHang!F747</f>
        <v>0</v>
      </c>
      <c r="G747">
        <f>[1]NhapHang!G747</f>
        <v>0</v>
      </c>
      <c r="H747">
        <f>[1]NhapHang!H747</f>
        <v>0</v>
      </c>
    </row>
    <row r="748" spans="1:8">
      <c r="A748">
        <f>[1]NhapHang!A748</f>
        <v>0</v>
      </c>
      <c r="B748">
        <f>[1]NhapHang!B748</f>
        <v>0</v>
      </c>
      <c r="C748">
        <f>[1]NhapHang!C748</f>
        <v>0</v>
      </c>
      <c r="D748">
        <f>[1]NhapHang!D748</f>
        <v>0</v>
      </c>
      <c r="E748">
        <f>[1]NhapHang!E748</f>
        <v>0</v>
      </c>
      <c r="F748">
        <f>[1]NhapHang!F748</f>
        <v>0</v>
      </c>
      <c r="G748">
        <f>[1]NhapHang!G748</f>
        <v>0</v>
      </c>
      <c r="H748">
        <f>[1]NhapHang!H748</f>
        <v>0</v>
      </c>
    </row>
    <row r="749" spans="1:8">
      <c r="A749">
        <f>[1]NhapHang!A749</f>
        <v>0</v>
      </c>
      <c r="B749">
        <f>[1]NhapHang!B749</f>
        <v>0</v>
      </c>
      <c r="C749">
        <f>[1]NhapHang!C749</f>
        <v>0</v>
      </c>
      <c r="D749">
        <f>[1]NhapHang!D749</f>
        <v>0</v>
      </c>
      <c r="E749">
        <f>[1]NhapHang!E749</f>
        <v>0</v>
      </c>
      <c r="F749">
        <f>[1]NhapHang!F749</f>
        <v>0</v>
      </c>
      <c r="G749">
        <f>[1]NhapHang!G749</f>
        <v>0</v>
      </c>
      <c r="H749">
        <f>[1]NhapHang!H749</f>
        <v>0</v>
      </c>
    </row>
    <row r="750" spans="1:8">
      <c r="A750">
        <f>[1]NhapHang!A750</f>
        <v>0</v>
      </c>
      <c r="B750">
        <f>[1]NhapHang!B750</f>
        <v>0</v>
      </c>
      <c r="C750">
        <f>[1]NhapHang!C750</f>
        <v>0</v>
      </c>
      <c r="D750">
        <f>[1]NhapHang!D750</f>
        <v>0</v>
      </c>
      <c r="E750">
        <f>[1]NhapHang!E750</f>
        <v>0</v>
      </c>
      <c r="F750">
        <f>[1]NhapHang!F750</f>
        <v>0</v>
      </c>
      <c r="G750">
        <f>[1]NhapHang!G750</f>
        <v>0</v>
      </c>
      <c r="H750">
        <f>[1]NhapHang!H750</f>
        <v>0</v>
      </c>
    </row>
    <row r="751" spans="1:8">
      <c r="A751">
        <f>[1]NhapHang!A751</f>
        <v>0</v>
      </c>
      <c r="B751">
        <f>[1]NhapHang!B751</f>
        <v>0</v>
      </c>
      <c r="C751">
        <f>[1]NhapHang!C751</f>
        <v>0</v>
      </c>
      <c r="D751">
        <f>[1]NhapHang!D751</f>
        <v>0</v>
      </c>
      <c r="E751">
        <f>[1]NhapHang!E751</f>
        <v>0</v>
      </c>
      <c r="F751">
        <f>[1]NhapHang!F751</f>
        <v>0</v>
      </c>
      <c r="G751">
        <f>[1]NhapHang!G751</f>
        <v>0</v>
      </c>
      <c r="H751">
        <f>[1]NhapHang!H751</f>
        <v>0</v>
      </c>
    </row>
    <row r="752" spans="1:8">
      <c r="A752">
        <f>[1]NhapHang!A752</f>
        <v>0</v>
      </c>
      <c r="B752">
        <f>[1]NhapHang!B752</f>
        <v>0</v>
      </c>
      <c r="C752">
        <f>[1]NhapHang!C752</f>
        <v>0</v>
      </c>
      <c r="D752">
        <f>[1]NhapHang!D752</f>
        <v>0</v>
      </c>
      <c r="E752">
        <f>[1]NhapHang!E752</f>
        <v>0</v>
      </c>
      <c r="F752">
        <f>[1]NhapHang!F752</f>
        <v>0</v>
      </c>
      <c r="G752">
        <f>[1]NhapHang!G752</f>
        <v>0</v>
      </c>
      <c r="H752">
        <f>[1]NhapHang!H752</f>
        <v>0</v>
      </c>
    </row>
    <row r="753" spans="1:8">
      <c r="A753">
        <f>[1]NhapHang!A753</f>
        <v>0</v>
      </c>
      <c r="B753">
        <f>[1]NhapHang!B753</f>
        <v>0</v>
      </c>
      <c r="C753">
        <f>[1]NhapHang!C753</f>
        <v>0</v>
      </c>
      <c r="D753">
        <f>[1]NhapHang!D753</f>
        <v>0</v>
      </c>
      <c r="E753">
        <f>[1]NhapHang!E753</f>
        <v>0</v>
      </c>
      <c r="F753">
        <f>[1]NhapHang!F753</f>
        <v>0</v>
      </c>
      <c r="G753">
        <f>[1]NhapHang!G753</f>
        <v>0</v>
      </c>
      <c r="H753">
        <f>[1]NhapHang!H753</f>
        <v>0</v>
      </c>
    </row>
    <row r="754" spans="1:8">
      <c r="A754">
        <f>[1]NhapHang!A754</f>
        <v>0</v>
      </c>
      <c r="B754">
        <f>[1]NhapHang!B754</f>
        <v>0</v>
      </c>
      <c r="C754">
        <f>[1]NhapHang!C754</f>
        <v>0</v>
      </c>
      <c r="D754">
        <f>[1]NhapHang!D754</f>
        <v>0</v>
      </c>
      <c r="E754">
        <f>[1]NhapHang!E754</f>
        <v>0</v>
      </c>
      <c r="F754">
        <f>[1]NhapHang!F754</f>
        <v>0</v>
      </c>
      <c r="G754">
        <f>[1]NhapHang!G754</f>
        <v>0</v>
      </c>
      <c r="H754">
        <f>[1]NhapHang!H754</f>
        <v>0</v>
      </c>
    </row>
    <row r="755" spans="1:8">
      <c r="A755">
        <f>[1]NhapHang!A755</f>
        <v>0</v>
      </c>
      <c r="B755">
        <f>[1]NhapHang!B755</f>
        <v>0</v>
      </c>
      <c r="C755">
        <f>[1]NhapHang!C755</f>
        <v>0</v>
      </c>
      <c r="D755">
        <f>[1]NhapHang!D755</f>
        <v>0</v>
      </c>
      <c r="E755">
        <f>[1]NhapHang!E755</f>
        <v>0</v>
      </c>
      <c r="F755">
        <f>[1]NhapHang!F755</f>
        <v>0</v>
      </c>
      <c r="G755">
        <f>[1]NhapHang!G755</f>
        <v>0</v>
      </c>
      <c r="H755">
        <f>[1]NhapHang!H755</f>
        <v>0</v>
      </c>
    </row>
    <row r="756" spans="1:8">
      <c r="A756">
        <f>[1]NhapHang!A756</f>
        <v>0</v>
      </c>
      <c r="B756">
        <f>[1]NhapHang!B756</f>
        <v>0</v>
      </c>
      <c r="C756">
        <f>[1]NhapHang!C756</f>
        <v>0</v>
      </c>
      <c r="D756">
        <f>[1]NhapHang!D756</f>
        <v>0</v>
      </c>
      <c r="E756">
        <f>[1]NhapHang!E756</f>
        <v>0</v>
      </c>
      <c r="F756">
        <f>[1]NhapHang!F756</f>
        <v>0</v>
      </c>
      <c r="G756">
        <f>[1]NhapHang!G756</f>
        <v>0</v>
      </c>
      <c r="H756">
        <f>[1]NhapHang!H756</f>
        <v>0</v>
      </c>
    </row>
    <row r="757" spans="1:8">
      <c r="A757">
        <f>[1]NhapHang!A757</f>
        <v>0</v>
      </c>
      <c r="B757">
        <f>[1]NhapHang!B757</f>
        <v>0</v>
      </c>
      <c r="C757">
        <f>[1]NhapHang!C757</f>
        <v>0</v>
      </c>
      <c r="D757">
        <f>[1]NhapHang!D757</f>
        <v>0</v>
      </c>
      <c r="E757">
        <f>[1]NhapHang!E757</f>
        <v>0</v>
      </c>
      <c r="F757">
        <f>[1]NhapHang!F757</f>
        <v>0</v>
      </c>
      <c r="G757">
        <f>[1]NhapHang!G757</f>
        <v>0</v>
      </c>
      <c r="H757">
        <f>[1]NhapHang!H757</f>
        <v>0</v>
      </c>
    </row>
    <row r="758" spans="1:8">
      <c r="A758">
        <f>[1]NhapHang!A758</f>
        <v>0</v>
      </c>
      <c r="B758">
        <f>[1]NhapHang!B758</f>
        <v>0</v>
      </c>
      <c r="C758">
        <f>[1]NhapHang!C758</f>
        <v>0</v>
      </c>
      <c r="D758">
        <f>[1]NhapHang!D758</f>
        <v>0</v>
      </c>
      <c r="E758">
        <f>[1]NhapHang!E758</f>
        <v>0</v>
      </c>
      <c r="F758">
        <f>[1]NhapHang!F758</f>
        <v>0</v>
      </c>
      <c r="G758">
        <f>[1]NhapHang!G758</f>
        <v>0</v>
      </c>
      <c r="H758">
        <f>[1]NhapHang!H758</f>
        <v>0</v>
      </c>
    </row>
    <row r="759" spans="1:8">
      <c r="A759">
        <f>[1]NhapHang!A759</f>
        <v>0</v>
      </c>
      <c r="B759">
        <f>[1]NhapHang!B759</f>
        <v>0</v>
      </c>
      <c r="C759">
        <f>[1]NhapHang!C759</f>
        <v>0</v>
      </c>
      <c r="D759">
        <f>[1]NhapHang!D759</f>
        <v>0</v>
      </c>
      <c r="E759">
        <f>[1]NhapHang!E759</f>
        <v>0</v>
      </c>
      <c r="F759">
        <f>[1]NhapHang!F759</f>
        <v>0</v>
      </c>
      <c r="G759">
        <f>[1]NhapHang!G759</f>
        <v>0</v>
      </c>
      <c r="H759">
        <f>[1]NhapHang!H759</f>
        <v>0</v>
      </c>
    </row>
    <row r="760" spans="1:8">
      <c r="A760">
        <f>[1]NhapHang!A760</f>
        <v>0</v>
      </c>
      <c r="B760">
        <f>[1]NhapHang!B760</f>
        <v>0</v>
      </c>
      <c r="C760">
        <f>[1]NhapHang!C760</f>
        <v>0</v>
      </c>
      <c r="D760">
        <f>[1]NhapHang!D760</f>
        <v>0</v>
      </c>
      <c r="E760">
        <f>[1]NhapHang!E760</f>
        <v>0</v>
      </c>
      <c r="F760">
        <f>[1]NhapHang!F760</f>
        <v>0</v>
      </c>
      <c r="G760">
        <f>[1]NhapHang!G760</f>
        <v>0</v>
      </c>
      <c r="H760">
        <f>[1]NhapHang!H760</f>
        <v>0</v>
      </c>
    </row>
    <row r="761" spans="1:8">
      <c r="A761">
        <f>[1]NhapHang!A761</f>
        <v>0</v>
      </c>
      <c r="B761">
        <f>[1]NhapHang!B761</f>
        <v>0</v>
      </c>
      <c r="C761">
        <f>[1]NhapHang!C761</f>
        <v>0</v>
      </c>
      <c r="D761">
        <f>[1]NhapHang!D761</f>
        <v>0</v>
      </c>
      <c r="E761">
        <f>[1]NhapHang!E761</f>
        <v>0</v>
      </c>
      <c r="F761">
        <f>[1]NhapHang!F761</f>
        <v>0</v>
      </c>
      <c r="G761">
        <f>[1]NhapHang!G761</f>
        <v>0</v>
      </c>
      <c r="H761">
        <f>[1]NhapHang!H761</f>
        <v>0</v>
      </c>
    </row>
    <row r="762" spans="1:8">
      <c r="A762">
        <f>[1]NhapHang!A762</f>
        <v>0</v>
      </c>
      <c r="B762">
        <f>[1]NhapHang!B762</f>
        <v>0</v>
      </c>
      <c r="C762">
        <f>[1]NhapHang!C762</f>
        <v>0</v>
      </c>
      <c r="D762">
        <f>[1]NhapHang!D762</f>
        <v>0</v>
      </c>
      <c r="E762">
        <f>[1]NhapHang!E762</f>
        <v>0</v>
      </c>
      <c r="F762">
        <f>[1]NhapHang!F762</f>
        <v>0</v>
      </c>
      <c r="G762">
        <f>[1]NhapHang!G762</f>
        <v>0</v>
      </c>
      <c r="H762">
        <f>[1]NhapHang!H762</f>
        <v>0</v>
      </c>
    </row>
    <row r="763" spans="1:8">
      <c r="A763">
        <f>[1]NhapHang!A763</f>
        <v>0</v>
      </c>
      <c r="B763">
        <f>[1]NhapHang!B763</f>
        <v>0</v>
      </c>
      <c r="C763">
        <f>[1]NhapHang!C763</f>
        <v>0</v>
      </c>
      <c r="D763">
        <f>[1]NhapHang!D763</f>
        <v>0</v>
      </c>
      <c r="E763">
        <f>[1]NhapHang!E763</f>
        <v>0</v>
      </c>
      <c r="F763">
        <f>[1]NhapHang!F763</f>
        <v>0</v>
      </c>
      <c r="G763">
        <f>[1]NhapHang!G763</f>
        <v>0</v>
      </c>
      <c r="H763">
        <f>[1]NhapHang!H763</f>
        <v>0</v>
      </c>
    </row>
    <row r="764" spans="1:8">
      <c r="A764">
        <f>[1]NhapHang!A764</f>
        <v>0</v>
      </c>
      <c r="B764">
        <f>[1]NhapHang!B764</f>
        <v>0</v>
      </c>
      <c r="C764">
        <f>[1]NhapHang!C764</f>
        <v>0</v>
      </c>
      <c r="D764">
        <f>[1]NhapHang!D764</f>
        <v>0</v>
      </c>
      <c r="E764">
        <f>[1]NhapHang!E764</f>
        <v>0</v>
      </c>
      <c r="F764">
        <f>[1]NhapHang!F764</f>
        <v>0</v>
      </c>
      <c r="G764">
        <f>[1]NhapHang!G764</f>
        <v>0</v>
      </c>
      <c r="H764">
        <f>[1]NhapHang!H764</f>
        <v>0</v>
      </c>
    </row>
    <row r="765" spans="1:8">
      <c r="A765">
        <f>[1]NhapHang!A765</f>
        <v>0</v>
      </c>
      <c r="B765">
        <f>[1]NhapHang!B765</f>
        <v>0</v>
      </c>
      <c r="C765">
        <f>[1]NhapHang!C765</f>
        <v>0</v>
      </c>
      <c r="D765">
        <f>[1]NhapHang!D765</f>
        <v>0</v>
      </c>
      <c r="E765">
        <f>[1]NhapHang!E765</f>
        <v>0</v>
      </c>
      <c r="F765">
        <f>[1]NhapHang!F765</f>
        <v>0</v>
      </c>
      <c r="G765">
        <f>[1]NhapHang!G765</f>
        <v>0</v>
      </c>
      <c r="H765">
        <f>[1]NhapHang!H765</f>
        <v>0</v>
      </c>
    </row>
    <row r="766" spans="1:8">
      <c r="A766">
        <f>[1]NhapHang!A766</f>
        <v>0</v>
      </c>
      <c r="B766">
        <f>[1]NhapHang!B766</f>
        <v>0</v>
      </c>
      <c r="C766">
        <f>[1]NhapHang!C766</f>
        <v>0</v>
      </c>
      <c r="D766">
        <f>[1]NhapHang!D766</f>
        <v>0</v>
      </c>
      <c r="E766">
        <f>[1]NhapHang!E766</f>
        <v>0</v>
      </c>
      <c r="F766">
        <f>[1]NhapHang!F766</f>
        <v>0</v>
      </c>
      <c r="G766">
        <f>[1]NhapHang!G766</f>
        <v>0</v>
      </c>
      <c r="H766">
        <f>[1]NhapHang!H766</f>
        <v>0</v>
      </c>
    </row>
    <row r="767" spans="1:8">
      <c r="A767">
        <f>[1]NhapHang!A767</f>
        <v>0</v>
      </c>
      <c r="B767">
        <f>[1]NhapHang!B767</f>
        <v>0</v>
      </c>
      <c r="C767">
        <f>[1]NhapHang!C767</f>
        <v>0</v>
      </c>
      <c r="D767">
        <f>[1]NhapHang!D767</f>
        <v>0</v>
      </c>
      <c r="E767">
        <f>[1]NhapHang!E767</f>
        <v>0</v>
      </c>
      <c r="F767">
        <f>[1]NhapHang!F767</f>
        <v>0</v>
      </c>
      <c r="G767">
        <f>[1]NhapHang!G767</f>
        <v>0</v>
      </c>
      <c r="H767">
        <f>[1]NhapHang!H767</f>
        <v>0</v>
      </c>
    </row>
    <row r="768" spans="1:8">
      <c r="A768">
        <f>[1]NhapHang!A768</f>
        <v>0</v>
      </c>
      <c r="B768">
        <f>[1]NhapHang!B768</f>
        <v>0</v>
      </c>
      <c r="C768">
        <f>[1]NhapHang!C768</f>
        <v>0</v>
      </c>
      <c r="D768">
        <f>[1]NhapHang!D768</f>
        <v>0</v>
      </c>
      <c r="E768">
        <f>[1]NhapHang!E768</f>
        <v>0</v>
      </c>
      <c r="F768">
        <f>[1]NhapHang!F768</f>
        <v>0</v>
      </c>
      <c r="G768">
        <f>[1]NhapHang!G768</f>
        <v>0</v>
      </c>
      <c r="H768">
        <f>[1]NhapHang!H768</f>
        <v>0</v>
      </c>
    </row>
    <row r="769" spans="1:8">
      <c r="A769">
        <f>[1]NhapHang!A769</f>
        <v>0</v>
      </c>
      <c r="B769">
        <f>[1]NhapHang!B769</f>
        <v>0</v>
      </c>
      <c r="C769">
        <f>[1]NhapHang!C769</f>
        <v>0</v>
      </c>
      <c r="D769">
        <f>[1]NhapHang!D769</f>
        <v>0</v>
      </c>
      <c r="E769">
        <f>[1]NhapHang!E769</f>
        <v>0</v>
      </c>
      <c r="F769">
        <f>[1]NhapHang!F769</f>
        <v>0</v>
      </c>
      <c r="G769">
        <f>[1]NhapHang!G769</f>
        <v>0</v>
      </c>
      <c r="H769">
        <f>[1]NhapHang!H769</f>
        <v>0</v>
      </c>
    </row>
    <row r="770" spans="1:8">
      <c r="A770">
        <f>[1]NhapHang!A770</f>
        <v>0</v>
      </c>
      <c r="B770">
        <f>[1]NhapHang!B770</f>
        <v>0</v>
      </c>
      <c r="C770">
        <f>[1]NhapHang!C770</f>
        <v>0</v>
      </c>
      <c r="D770">
        <f>[1]NhapHang!D770</f>
        <v>0</v>
      </c>
      <c r="E770">
        <f>[1]NhapHang!E770</f>
        <v>0</v>
      </c>
      <c r="F770">
        <f>[1]NhapHang!F770</f>
        <v>0</v>
      </c>
      <c r="G770">
        <f>[1]NhapHang!G770</f>
        <v>0</v>
      </c>
      <c r="H770">
        <f>[1]NhapHang!H770</f>
        <v>0</v>
      </c>
    </row>
    <row r="771" spans="1:8">
      <c r="A771">
        <f>[1]NhapHang!A771</f>
        <v>0</v>
      </c>
      <c r="B771">
        <f>[1]NhapHang!B771</f>
        <v>0</v>
      </c>
      <c r="C771">
        <f>[1]NhapHang!C771</f>
        <v>0</v>
      </c>
      <c r="D771">
        <f>[1]NhapHang!D771</f>
        <v>0</v>
      </c>
      <c r="E771">
        <f>[1]NhapHang!E771</f>
        <v>0</v>
      </c>
      <c r="F771">
        <f>[1]NhapHang!F771</f>
        <v>0</v>
      </c>
      <c r="G771">
        <f>[1]NhapHang!G771</f>
        <v>0</v>
      </c>
      <c r="H771">
        <f>[1]NhapHang!H771</f>
        <v>0</v>
      </c>
    </row>
    <row r="772" spans="1:8">
      <c r="A772">
        <f>[1]NhapHang!A772</f>
        <v>0</v>
      </c>
      <c r="B772">
        <f>[1]NhapHang!B772</f>
        <v>0</v>
      </c>
      <c r="C772">
        <f>[1]NhapHang!C772</f>
        <v>0</v>
      </c>
      <c r="D772">
        <f>[1]NhapHang!D772</f>
        <v>0</v>
      </c>
      <c r="E772">
        <f>[1]NhapHang!E772</f>
        <v>0</v>
      </c>
      <c r="F772">
        <f>[1]NhapHang!F772</f>
        <v>0</v>
      </c>
      <c r="G772">
        <f>[1]NhapHang!G772</f>
        <v>0</v>
      </c>
      <c r="H772">
        <f>[1]NhapHang!H772</f>
        <v>0</v>
      </c>
    </row>
    <row r="773" spans="1:8">
      <c r="A773">
        <f>[1]NhapHang!A773</f>
        <v>0</v>
      </c>
      <c r="B773">
        <f>[1]NhapHang!B773</f>
        <v>0</v>
      </c>
      <c r="C773">
        <f>[1]NhapHang!C773</f>
        <v>0</v>
      </c>
      <c r="D773">
        <f>[1]NhapHang!D773</f>
        <v>0</v>
      </c>
      <c r="E773">
        <f>[1]NhapHang!E773</f>
        <v>0</v>
      </c>
      <c r="F773">
        <f>[1]NhapHang!F773</f>
        <v>0</v>
      </c>
      <c r="G773">
        <f>[1]NhapHang!G773</f>
        <v>0</v>
      </c>
      <c r="H773">
        <f>[1]NhapHang!H773</f>
        <v>0</v>
      </c>
    </row>
    <row r="774" spans="1:8">
      <c r="A774">
        <f>[1]NhapHang!A774</f>
        <v>0</v>
      </c>
      <c r="B774">
        <f>[1]NhapHang!B774</f>
        <v>0</v>
      </c>
      <c r="C774">
        <f>[1]NhapHang!C774</f>
        <v>0</v>
      </c>
      <c r="D774">
        <f>[1]NhapHang!D774</f>
        <v>0</v>
      </c>
      <c r="E774">
        <f>[1]NhapHang!E774</f>
        <v>0</v>
      </c>
      <c r="F774">
        <f>[1]NhapHang!F774</f>
        <v>0</v>
      </c>
      <c r="G774">
        <f>[1]NhapHang!G774</f>
        <v>0</v>
      </c>
      <c r="H774">
        <f>[1]NhapHang!H774</f>
        <v>0</v>
      </c>
    </row>
    <row r="775" spans="1:8">
      <c r="A775">
        <f>[1]NhapHang!A775</f>
        <v>0</v>
      </c>
      <c r="B775">
        <f>[1]NhapHang!B775</f>
        <v>0</v>
      </c>
      <c r="C775">
        <f>[1]NhapHang!C775</f>
        <v>0</v>
      </c>
      <c r="D775">
        <f>[1]NhapHang!D775</f>
        <v>0</v>
      </c>
      <c r="E775">
        <f>[1]NhapHang!E775</f>
        <v>0</v>
      </c>
      <c r="F775">
        <f>[1]NhapHang!F775</f>
        <v>0</v>
      </c>
      <c r="G775">
        <f>[1]NhapHang!G775</f>
        <v>0</v>
      </c>
      <c r="H775">
        <f>[1]NhapHang!H775</f>
        <v>0</v>
      </c>
    </row>
    <row r="776" spans="1:8">
      <c r="A776">
        <f>[1]NhapHang!A776</f>
        <v>0</v>
      </c>
      <c r="B776">
        <f>[1]NhapHang!B776</f>
        <v>0</v>
      </c>
      <c r="C776">
        <f>[1]NhapHang!C776</f>
        <v>0</v>
      </c>
      <c r="D776">
        <f>[1]NhapHang!D776</f>
        <v>0</v>
      </c>
      <c r="E776">
        <f>[1]NhapHang!E776</f>
        <v>0</v>
      </c>
      <c r="F776">
        <f>[1]NhapHang!F776</f>
        <v>0</v>
      </c>
      <c r="G776">
        <f>[1]NhapHang!G776</f>
        <v>0</v>
      </c>
      <c r="H776">
        <f>[1]NhapHang!H776</f>
        <v>0</v>
      </c>
    </row>
    <row r="777" spans="1:8">
      <c r="A777">
        <f>[1]NhapHang!A777</f>
        <v>0</v>
      </c>
      <c r="B777">
        <f>[1]NhapHang!B777</f>
        <v>0</v>
      </c>
      <c r="C777">
        <f>[1]NhapHang!C777</f>
        <v>0</v>
      </c>
      <c r="D777">
        <f>[1]NhapHang!D777</f>
        <v>0</v>
      </c>
      <c r="E777">
        <f>[1]NhapHang!E777</f>
        <v>0</v>
      </c>
      <c r="F777">
        <f>[1]NhapHang!F777</f>
        <v>0</v>
      </c>
      <c r="G777">
        <f>[1]NhapHang!G777</f>
        <v>0</v>
      </c>
      <c r="H777">
        <f>[1]NhapHang!H777</f>
        <v>0</v>
      </c>
    </row>
    <row r="778" spans="1:8">
      <c r="A778">
        <f>[1]NhapHang!A778</f>
        <v>0</v>
      </c>
      <c r="B778">
        <f>[1]NhapHang!B778</f>
        <v>0</v>
      </c>
      <c r="C778">
        <f>[1]NhapHang!C778</f>
        <v>0</v>
      </c>
      <c r="D778">
        <f>[1]NhapHang!D778</f>
        <v>0</v>
      </c>
      <c r="E778">
        <f>[1]NhapHang!E778</f>
        <v>0</v>
      </c>
      <c r="F778">
        <f>[1]NhapHang!F778</f>
        <v>0</v>
      </c>
      <c r="G778">
        <f>[1]NhapHang!G778</f>
        <v>0</v>
      </c>
      <c r="H778">
        <f>[1]NhapHang!H778</f>
        <v>0</v>
      </c>
    </row>
    <row r="779" spans="1:8">
      <c r="A779">
        <f>[1]NhapHang!A779</f>
        <v>0</v>
      </c>
      <c r="B779">
        <f>[1]NhapHang!B779</f>
        <v>0</v>
      </c>
      <c r="C779">
        <f>[1]NhapHang!C779</f>
        <v>0</v>
      </c>
      <c r="D779">
        <f>[1]NhapHang!D779</f>
        <v>0</v>
      </c>
      <c r="E779">
        <f>[1]NhapHang!E779</f>
        <v>0</v>
      </c>
      <c r="F779">
        <f>[1]NhapHang!F779</f>
        <v>0</v>
      </c>
      <c r="G779">
        <f>[1]NhapHang!G779</f>
        <v>0</v>
      </c>
      <c r="H779">
        <f>[1]NhapHang!H779</f>
        <v>0</v>
      </c>
    </row>
    <row r="780" spans="1:8">
      <c r="A780">
        <f>[1]NhapHang!A780</f>
        <v>0</v>
      </c>
      <c r="B780">
        <f>[1]NhapHang!B780</f>
        <v>0</v>
      </c>
      <c r="C780">
        <f>[1]NhapHang!C780</f>
        <v>0</v>
      </c>
      <c r="D780">
        <f>[1]NhapHang!D780</f>
        <v>0</v>
      </c>
      <c r="E780">
        <f>[1]NhapHang!E780</f>
        <v>0</v>
      </c>
      <c r="F780">
        <f>[1]NhapHang!F780</f>
        <v>0</v>
      </c>
      <c r="G780">
        <f>[1]NhapHang!G780</f>
        <v>0</v>
      </c>
      <c r="H780">
        <f>[1]NhapHang!H780</f>
        <v>0</v>
      </c>
    </row>
    <row r="781" spans="1:8">
      <c r="A781">
        <f>[1]NhapHang!A781</f>
        <v>0</v>
      </c>
      <c r="B781">
        <f>[1]NhapHang!B781</f>
        <v>0</v>
      </c>
      <c r="C781">
        <f>[1]NhapHang!C781</f>
        <v>0</v>
      </c>
      <c r="D781">
        <f>[1]NhapHang!D781</f>
        <v>0</v>
      </c>
      <c r="E781">
        <f>[1]NhapHang!E781</f>
        <v>0</v>
      </c>
      <c r="F781">
        <f>[1]NhapHang!F781</f>
        <v>0</v>
      </c>
      <c r="G781">
        <f>[1]NhapHang!G781</f>
        <v>0</v>
      </c>
      <c r="H781">
        <f>[1]NhapHang!H781</f>
        <v>0</v>
      </c>
    </row>
    <row r="782" spans="1:8">
      <c r="A782">
        <f>[1]NhapHang!A782</f>
        <v>0</v>
      </c>
      <c r="B782">
        <f>[1]NhapHang!B782</f>
        <v>0</v>
      </c>
      <c r="C782">
        <f>[1]NhapHang!C782</f>
        <v>0</v>
      </c>
      <c r="D782">
        <f>[1]NhapHang!D782</f>
        <v>0</v>
      </c>
      <c r="E782">
        <f>[1]NhapHang!E782</f>
        <v>0</v>
      </c>
      <c r="F782">
        <f>[1]NhapHang!F782</f>
        <v>0</v>
      </c>
      <c r="G782">
        <f>[1]NhapHang!G782</f>
        <v>0</v>
      </c>
      <c r="H782">
        <f>[1]NhapHang!H782</f>
        <v>0</v>
      </c>
    </row>
    <row r="783" spans="1:8">
      <c r="A783">
        <f>[1]NhapHang!A783</f>
        <v>0</v>
      </c>
      <c r="B783">
        <f>[1]NhapHang!B783</f>
        <v>0</v>
      </c>
      <c r="C783">
        <f>[1]NhapHang!C783</f>
        <v>0</v>
      </c>
      <c r="D783">
        <f>[1]NhapHang!D783</f>
        <v>0</v>
      </c>
      <c r="E783">
        <f>[1]NhapHang!E783</f>
        <v>0</v>
      </c>
      <c r="F783">
        <f>[1]NhapHang!F783</f>
        <v>0</v>
      </c>
      <c r="G783">
        <f>[1]NhapHang!G783</f>
        <v>0</v>
      </c>
      <c r="H783">
        <f>[1]NhapHang!H783</f>
        <v>0</v>
      </c>
    </row>
    <row r="784" spans="1:8">
      <c r="A784">
        <f>[1]NhapHang!A784</f>
        <v>0</v>
      </c>
      <c r="B784">
        <f>[1]NhapHang!B784</f>
        <v>0</v>
      </c>
      <c r="C784">
        <f>[1]NhapHang!C784</f>
        <v>0</v>
      </c>
      <c r="D784">
        <f>[1]NhapHang!D784</f>
        <v>0</v>
      </c>
      <c r="E784">
        <f>[1]NhapHang!E784</f>
        <v>0</v>
      </c>
      <c r="F784">
        <f>[1]NhapHang!F784</f>
        <v>0</v>
      </c>
      <c r="G784">
        <f>[1]NhapHang!G784</f>
        <v>0</v>
      </c>
      <c r="H784">
        <f>[1]NhapHang!H784</f>
        <v>0</v>
      </c>
    </row>
    <row r="785" spans="1:8">
      <c r="A785">
        <f>[1]NhapHang!A785</f>
        <v>0</v>
      </c>
      <c r="B785">
        <f>[1]NhapHang!B785</f>
        <v>0</v>
      </c>
      <c r="C785">
        <f>[1]NhapHang!C785</f>
        <v>0</v>
      </c>
      <c r="D785">
        <f>[1]NhapHang!D785</f>
        <v>0</v>
      </c>
      <c r="E785">
        <f>[1]NhapHang!E785</f>
        <v>0</v>
      </c>
      <c r="F785">
        <f>[1]NhapHang!F785</f>
        <v>0</v>
      </c>
      <c r="G785">
        <f>[1]NhapHang!G785</f>
        <v>0</v>
      </c>
      <c r="H785">
        <f>[1]NhapHang!H785</f>
        <v>0</v>
      </c>
    </row>
    <row r="786" spans="1:8">
      <c r="A786">
        <f>[1]NhapHang!A786</f>
        <v>0</v>
      </c>
      <c r="B786">
        <f>[1]NhapHang!B786</f>
        <v>0</v>
      </c>
      <c r="C786">
        <f>[1]NhapHang!C786</f>
        <v>0</v>
      </c>
      <c r="D786">
        <f>[1]NhapHang!D786</f>
        <v>0</v>
      </c>
      <c r="E786">
        <f>[1]NhapHang!E786</f>
        <v>0</v>
      </c>
      <c r="F786">
        <f>[1]NhapHang!F786</f>
        <v>0</v>
      </c>
      <c r="G786">
        <f>[1]NhapHang!G786</f>
        <v>0</v>
      </c>
      <c r="H786">
        <f>[1]NhapHang!H786</f>
        <v>0</v>
      </c>
    </row>
    <row r="787" spans="1:8">
      <c r="A787">
        <f>[1]NhapHang!A787</f>
        <v>0</v>
      </c>
      <c r="B787">
        <f>[1]NhapHang!B787</f>
        <v>0</v>
      </c>
      <c r="C787">
        <f>[1]NhapHang!C787</f>
        <v>0</v>
      </c>
      <c r="D787">
        <f>[1]NhapHang!D787</f>
        <v>0</v>
      </c>
      <c r="E787">
        <f>[1]NhapHang!E787</f>
        <v>0</v>
      </c>
      <c r="F787">
        <f>[1]NhapHang!F787</f>
        <v>0</v>
      </c>
      <c r="G787">
        <f>[1]NhapHang!G787</f>
        <v>0</v>
      </c>
      <c r="H787">
        <f>[1]NhapHang!H787</f>
        <v>0</v>
      </c>
    </row>
    <row r="788" spans="1:8">
      <c r="A788">
        <f>[1]NhapHang!A788</f>
        <v>0</v>
      </c>
      <c r="B788">
        <f>[1]NhapHang!B788</f>
        <v>0</v>
      </c>
      <c r="C788">
        <f>[1]NhapHang!C788</f>
        <v>0</v>
      </c>
      <c r="D788">
        <f>[1]NhapHang!D788</f>
        <v>0</v>
      </c>
      <c r="E788">
        <f>[1]NhapHang!E788</f>
        <v>0</v>
      </c>
      <c r="F788">
        <f>[1]NhapHang!F788</f>
        <v>0</v>
      </c>
      <c r="G788">
        <f>[1]NhapHang!G788</f>
        <v>0</v>
      </c>
      <c r="H788">
        <f>[1]NhapHang!H788</f>
        <v>0</v>
      </c>
    </row>
    <row r="789" spans="1:8">
      <c r="A789">
        <f>[1]NhapHang!A789</f>
        <v>0</v>
      </c>
      <c r="B789">
        <f>[1]NhapHang!B789</f>
        <v>0</v>
      </c>
      <c r="C789">
        <f>[1]NhapHang!C789</f>
        <v>0</v>
      </c>
      <c r="D789">
        <f>[1]NhapHang!D789</f>
        <v>0</v>
      </c>
      <c r="E789">
        <f>[1]NhapHang!E789</f>
        <v>0</v>
      </c>
      <c r="F789">
        <f>[1]NhapHang!F789</f>
        <v>0</v>
      </c>
      <c r="G789">
        <f>[1]NhapHang!G789</f>
        <v>0</v>
      </c>
      <c r="H789">
        <f>[1]NhapHang!H789</f>
        <v>0</v>
      </c>
    </row>
    <row r="790" spans="1:8">
      <c r="A790">
        <f>[1]NhapHang!A790</f>
        <v>0</v>
      </c>
      <c r="B790">
        <f>[1]NhapHang!B790</f>
        <v>0</v>
      </c>
      <c r="C790">
        <f>[1]NhapHang!C790</f>
        <v>0</v>
      </c>
      <c r="D790">
        <f>[1]NhapHang!D790</f>
        <v>0</v>
      </c>
      <c r="E790">
        <f>[1]NhapHang!E790</f>
        <v>0</v>
      </c>
      <c r="F790">
        <f>[1]NhapHang!F790</f>
        <v>0</v>
      </c>
      <c r="G790">
        <f>[1]NhapHang!G790</f>
        <v>0</v>
      </c>
      <c r="H790">
        <f>[1]NhapHang!H790</f>
        <v>0</v>
      </c>
    </row>
    <row r="791" spans="1:8">
      <c r="A791">
        <f>[1]NhapHang!A791</f>
        <v>0</v>
      </c>
      <c r="B791">
        <f>[1]NhapHang!B791</f>
        <v>0</v>
      </c>
      <c r="C791">
        <f>[1]NhapHang!C791</f>
        <v>0</v>
      </c>
      <c r="D791">
        <f>[1]NhapHang!D791</f>
        <v>0</v>
      </c>
      <c r="E791">
        <f>[1]NhapHang!E791</f>
        <v>0</v>
      </c>
      <c r="F791">
        <f>[1]NhapHang!F791</f>
        <v>0</v>
      </c>
      <c r="G791">
        <f>[1]NhapHang!G791</f>
        <v>0</v>
      </c>
      <c r="H791">
        <f>[1]NhapHang!H791</f>
        <v>0</v>
      </c>
    </row>
    <row r="792" spans="1:8">
      <c r="A792">
        <f>[1]NhapHang!A792</f>
        <v>0</v>
      </c>
      <c r="B792">
        <f>[1]NhapHang!B792</f>
        <v>0</v>
      </c>
      <c r="C792">
        <f>[1]NhapHang!C792</f>
        <v>0</v>
      </c>
      <c r="D792">
        <f>[1]NhapHang!D792</f>
        <v>0</v>
      </c>
      <c r="E792">
        <f>[1]NhapHang!E792</f>
        <v>0</v>
      </c>
      <c r="F792">
        <f>[1]NhapHang!F792</f>
        <v>0</v>
      </c>
      <c r="G792">
        <f>[1]NhapHang!G792</f>
        <v>0</v>
      </c>
      <c r="H792">
        <f>[1]NhapHang!H792</f>
        <v>0</v>
      </c>
    </row>
    <row r="793" spans="1:8">
      <c r="A793">
        <f>[1]NhapHang!A793</f>
        <v>0</v>
      </c>
      <c r="B793">
        <f>[1]NhapHang!B793</f>
        <v>0</v>
      </c>
      <c r="C793">
        <f>[1]NhapHang!C793</f>
        <v>0</v>
      </c>
      <c r="D793">
        <f>[1]NhapHang!D793</f>
        <v>0</v>
      </c>
      <c r="E793">
        <f>[1]NhapHang!E793</f>
        <v>0</v>
      </c>
      <c r="F793">
        <f>[1]NhapHang!F793</f>
        <v>0</v>
      </c>
      <c r="G793">
        <f>[1]NhapHang!G793</f>
        <v>0</v>
      </c>
      <c r="H793">
        <f>[1]NhapHang!H793</f>
        <v>0</v>
      </c>
    </row>
    <row r="794" spans="1:8">
      <c r="A794">
        <f>[1]NhapHang!A794</f>
        <v>0</v>
      </c>
      <c r="B794">
        <f>[1]NhapHang!B794</f>
        <v>0</v>
      </c>
      <c r="C794">
        <f>[1]NhapHang!C794</f>
        <v>0</v>
      </c>
      <c r="D794">
        <f>[1]NhapHang!D794</f>
        <v>0</v>
      </c>
      <c r="E794">
        <f>[1]NhapHang!E794</f>
        <v>0</v>
      </c>
      <c r="F794">
        <f>[1]NhapHang!F794</f>
        <v>0</v>
      </c>
      <c r="G794">
        <f>[1]NhapHang!G794</f>
        <v>0</v>
      </c>
      <c r="H794">
        <f>[1]NhapHang!H794</f>
        <v>0</v>
      </c>
    </row>
    <row r="795" spans="1:8">
      <c r="A795">
        <f>[1]NhapHang!A795</f>
        <v>0</v>
      </c>
      <c r="B795">
        <f>[1]NhapHang!B795</f>
        <v>0</v>
      </c>
      <c r="C795">
        <f>[1]NhapHang!C795</f>
        <v>0</v>
      </c>
      <c r="D795">
        <f>[1]NhapHang!D795</f>
        <v>0</v>
      </c>
      <c r="E795">
        <f>[1]NhapHang!E795</f>
        <v>0</v>
      </c>
      <c r="F795">
        <f>[1]NhapHang!F795</f>
        <v>0</v>
      </c>
      <c r="G795">
        <f>[1]NhapHang!G795</f>
        <v>0</v>
      </c>
      <c r="H795">
        <f>[1]NhapHang!H795</f>
        <v>0</v>
      </c>
    </row>
    <row r="796" spans="1:8">
      <c r="A796">
        <f>[1]NhapHang!A796</f>
        <v>0</v>
      </c>
      <c r="B796">
        <f>[1]NhapHang!B796</f>
        <v>0</v>
      </c>
      <c r="C796">
        <f>[1]NhapHang!C796</f>
        <v>0</v>
      </c>
      <c r="D796">
        <f>[1]NhapHang!D796</f>
        <v>0</v>
      </c>
      <c r="E796">
        <f>[1]NhapHang!E796</f>
        <v>0</v>
      </c>
      <c r="F796">
        <f>[1]NhapHang!F796</f>
        <v>0</v>
      </c>
      <c r="G796">
        <f>[1]NhapHang!G796</f>
        <v>0</v>
      </c>
      <c r="H796">
        <f>[1]NhapHang!H796</f>
        <v>0</v>
      </c>
    </row>
    <row r="797" spans="1:8">
      <c r="A797">
        <f>[1]NhapHang!A797</f>
        <v>0</v>
      </c>
      <c r="B797">
        <f>[1]NhapHang!B797</f>
        <v>0</v>
      </c>
      <c r="C797">
        <f>[1]NhapHang!C797</f>
        <v>0</v>
      </c>
      <c r="D797">
        <f>[1]NhapHang!D797</f>
        <v>0</v>
      </c>
      <c r="E797">
        <f>[1]NhapHang!E797</f>
        <v>0</v>
      </c>
      <c r="F797">
        <f>[1]NhapHang!F797</f>
        <v>0</v>
      </c>
      <c r="G797">
        <f>[1]NhapHang!G797</f>
        <v>0</v>
      </c>
      <c r="H797">
        <f>[1]NhapHang!H797</f>
        <v>0</v>
      </c>
    </row>
    <row r="798" spans="1:8">
      <c r="A798">
        <f>[1]NhapHang!A798</f>
        <v>0</v>
      </c>
      <c r="B798">
        <f>[1]NhapHang!B798</f>
        <v>0</v>
      </c>
      <c r="C798">
        <f>[1]NhapHang!C798</f>
        <v>0</v>
      </c>
      <c r="D798">
        <f>[1]NhapHang!D798</f>
        <v>0</v>
      </c>
      <c r="E798">
        <f>[1]NhapHang!E798</f>
        <v>0</v>
      </c>
      <c r="F798">
        <f>[1]NhapHang!F798</f>
        <v>0</v>
      </c>
      <c r="G798">
        <f>[1]NhapHang!G798</f>
        <v>0</v>
      </c>
      <c r="H798">
        <f>[1]NhapHang!H798</f>
        <v>0</v>
      </c>
    </row>
    <row r="799" spans="1:8">
      <c r="A799">
        <f>[1]NhapHang!A799</f>
        <v>0</v>
      </c>
      <c r="B799">
        <f>[1]NhapHang!B799</f>
        <v>0</v>
      </c>
      <c r="C799">
        <f>[1]NhapHang!C799</f>
        <v>0</v>
      </c>
      <c r="D799">
        <f>[1]NhapHang!D799</f>
        <v>0</v>
      </c>
      <c r="E799">
        <f>[1]NhapHang!E799</f>
        <v>0</v>
      </c>
      <c r="F799">
        <f>[1]NhapHang!F799</f>
        <v>0</v>
      </c>
      <c r="G799">
        <f>[1]NhapHang!G799</f>
        <v>0</v>
      </c>
      <c r="H799">
        <f>[1]NhapHang!H799</f>
        <v>0</v>
      </c>
    </row>
    <row r="800" spans="1:8">
      <c r="A800">
        <f>[1]NhapHang!A800</f>
        <v>0</v>
      </c>
      <c r="B800">
        <f>[1]NhapHang!B800</f>
        <v>0</v>
      </c>
      <c r="C800">
        <f>[1]NhapHang!C800</f>
        <v>0</v>
      </c>
      <c r="D800">
        <f>[1]NhapHang!D800</f>
        <v>0</v>
      </c>
      <c r="E800">
        <f>[1]NhapHang!E800</f>
        <v>0</v>
      </c>
      <c r="F800">
        <f>[1]NhapHang!F800</f>
        <v>0</v>
      </c>
      <c r="G800">
        <f>[1]NhapHang!G800</f>
        <v>0</v>
      </c>
      <c r="H800">
        <f>[1]NhapHang!H800</f>
        <v>0</v>
      </c>
    </row>
    <row r="801" spans="1:8">
      <c r="A801">
        <f>[1]NhapHang!A801</f>
        <v>0</v>
      </c>
      <c r="B801">
        <f>[1]NhapHang!B801</f>
        <v>0</v>
      </c>
      <c r="C801">
        <f>[1]NhapHang!C801</f>
        <v>0</v>
      </c>
      <c r="D801">
        <f>[1]NhapHang!D801</f>
        <v>0</v>
      </c>
      <c r="E801">
        <f>[1]NhapHang!E801</f>
        <v>0</v>
      </c>
      <c r="F801">
        <f>[1]NhapHang!F801</f>
        <v>0</v>
      </c>
      <c r="G801">
        <f>[1]NhapHang!G801</f>
        <v>0</v>
      </c>
      <c r="H801">
        <f>[1]NhapHang!H801</f>
        <v>0</v>
      </c>
    </row>
    <row r="802" spans="1:8">
      <c r="A802">
        <f>[1]NhapHang!A802</f>
        <v>0</v>
      </c>
      <c r="B802">
        <f>[1]NhapHang!B802</f>
        <v>0</v>
      </c>
      <c r="C802">
        <f>[1]NhapHang!C802</f>
        <v>0</v>
      </c>
      <c r="D802">
        <f>[1]NhapHang!D802</f>
        <v>0</v>
      </c>
      <c r="E802">
        <f>[1]NhapHang!E802</f>
        <v>0</v>
      </c>
      <c r="F802">
        <f>[1]NhapHang!F802</f>
        <v>0</v>
      </c>
      <c r="G802">
        <f>[1]NhapHang!G802</f>
        <v>0</v>
      </c>
      <c r="H802">
        <f>[1]NhapHang!H802</f>
        <v>0</v>
      </c>
    </row>
    <row r="803" spans="1:8">
      <c r="A803">
        <f>[1]NhapHang!A803</f>
        <v>0</v>
      </c>
      <c r="B803">
        <f>[1]NhapHang!B803</f>
        <v>0</v>
      </c>
      <c r="C803">
        <f>[1]NhapHang!C803</f>
        <v>0</v>
      </c>
      <c r="D803">
        <f>[1]NhapHang!D803</f>
        <v>0</v>
      </c>
      <c r="E803">
        <f>[1]NhapHang!E803</f>
        <v>0</v>
      </c>
      <c r="F803">
        <f>[1]NhapHang!F803</f>
        <v>0</v>
      </c>
      <c r="G803">
        <f>[1]NhapHang!G803</f>
        <v>0</v>
      </c>
      <c r="H803">
        <f>[1]NhapHang!H803</f>
        <v>0</v>
      </c>
    </row>
    <row r="804" spans="1:8">
      <c r="A804">
        <f>[1]NhapHang!A804</f>
        <v>0</v>
      </c>
      <c r="B804">
        <f>[1]NhapHang!B804</f>
        <v>0</v>
      </c>
      <c r="C804">
        <f>[1]NhapHang!C804</f>
        <v>0</v>
      </c>
      <c r="D804">
        <f>[1]NhapHang!D804</f>
        <v>0</v>
      </c>
      <c r="E804">
        <f>[1]NhapHang!E804</f>
        <v>0</v>
      </c>
      <c r="F804">
        <f>[1]NhapHang!F804</f>
        <v>0</v>
      </c>
      <c r="G804">
        <f>[1]NhapHang!G804</f>
        <v>0</v>
      </c>
      <c r="H804">
        <f>[1]NhapHang!H804</f>
        <v>0</v>
      </c>
    </row>
    <row r="805" spans="1:8">
      <c r="A805">
        <f>[1]NhapHang!A805</f>
        <v>0</v>
      </c>
      <c r="B805">
        <f>[1]NhapHang!B805</f>
        <v>0</v>
      </c>
      <c r="C805">
        <f>[1]NhapHang!C805</f>
        <v>0</v>
      </c>
      <c r="D805">
        <f>[1]NhapHang!D805</f>
        <v>0</v>
      </c>
      <c r="E805">
        <f>[1]NhapHang!E805</f>
        <v>0</v>
      </c>
      <c r="F805">
        <f>[1]NhapHang!F805</f>
        <v>0</v>
      </c>
      <c r="G805">
        <f>[1]NhapHang!G805</f>
        <v>0</v>
      </c>
      <c r="H805">
        <f>[1]NhapHang!H805</f>
        <v>0</v>
      </c>
    </row>
    <row r="806" spans="1:8">
      <c r="A806">
        <f>[1]NhapHang!A806</f>
        <v>0</v>
      </c>
      <c r="B806">
        <f>[1]NhapHang!B806</f>
        <v>0</v>
      </c>
      <c r="C806">
        <f>[1]NhapHang!C806</f>
        <v>0</v>
      </c>
      <c r="D806">
        <f>[1]NhapHang!D806</f>
        <v>0</v>
      </c>
      <c r="E806">
        <f>[1]NhapHang!E806</f>
        <v>0</v>
      </c>
      <c r="F806">
        <f>[1]NhapHang!F806</f>
        <v>0</v>
      </c>
      <c r="G806">
        <f>[1]NhapHang!G806</f>
        <v>0</v>
      </c>
      <c r="H806">
        <f>[1]NhapHang!H806</f>
        <v>0</v>
      </c>
    </row>
    <row r="807" spans="1:8">
      <c r="A807">
        <f>[1]NhapHang!A807</f>
        <v>0</v>
      </c>
      <c r="B807">
        <f>[1]NhapHang!B807</f>
        <v>0</v>
      </c>
      <c r="C807">
        <f>[1]NhapHang!C807</f>
        <v>0</v>
      </c>
      <c r="D807">
        <f>[1]NhapHang!D807</f>
        <v>0</v>
      </c>
      <c r="E807">
        <f>[1]NhapHang!E807</f>
        <v>0</v>
      </c>
      <c r="F807">
        <f>[1]NhapHang!F807</f>
        <v>0</v>
      </c>
      <c r="G807">
        <f>[1]NhapHang!G807</f>
        <v>0</v>
      </c>
      <c r="H807">
        <f>[1]NhapHang!H807</f>
        <v>0</v>
      </c>
    </row>
    <row r="808" spans="1:8">
      <c r="A808">
        <f>[1]NhapHang!A808</f>
        <v>0</v>
      </c>
      <c r="B808">
        <f>[1]NhapHang!B808</f>
        <v>0</v>
      </c>
      <c r="C808">
        <f>[1]NhapHang!C808</f>
        <v>0</v>
      </c>
      <c r="D808">
        <f>[1]NhapHang!D808</f>
        <v>0</v>
      </c>
      <c r="E808">
        <f>[1]NhapHang!E808</f>
        <v>0</v>
      </c>
      <c r="F808">
        <f>[1]NhapHang!F808</f>
        <v>0</v>
      </c>
      <c r="G808">
        <f>[1]NhapHang!G808</f>
        <v>0</v>
      </c>
      <c r="H808">
        <f>[1]NhapHang!H808</f>
        <v>0</v>
      </c>
    </row>
    <row r="809" spans="1:8">
      <c r="A809">
        <f>[1]NhapHang!A809</f>
        <v>0</v>
      </c>
      <c r="B809">
        <f>[1]NhapHang!B809</f>
        <v>0</v>
      </c>
      <c r="C809">
        <f>[1]NhapHang!C809</f>
        <v>0</v>
      </c>
      <c r="D809">
        <f>[1]NhapHang!D809</f>
        <v>0</v>
      </c>
      <c r="E809">
        <f>[1]NhapHang!E809</f>
        <v>0</v>
      </c>
      <c r="F809">
        <f>[1]NhapHang!F809</f>
        <v>0</v>
      </c>
      <c r="G809">
        <f>[1]NhapHang!G809</f>
        <v>0</v>
      </c>
      <c r="H809">
        <f>[1]NhapHang!H809</f>
        <v>0</v>
      </c>
    </row>
    <row r="810" spans="1:8">
      <c r="A810">
        <f>[1]NhapHang!A810</f>
        <v>0</v>
      </c>
      <c r="B810">
        <f>[1]NhapHang!B810</f>
        <v>0</v>
      </c>
      <c r="C810">
        <f>[1]NhapHang!C810</f>
        <v>0</v>
      </c>
      <c r="D810">
        <f>[1]NhapHang!D810</f>
        <v>0</v>
      </c>
      <c r="E810">
        <f>[1]NhapHang!E810</f>
        <v>0</v>
      </c>
      <c r="F810">
        <f>[1]NhapHang!F810</f>
        <v>0</v>
      </c>
      <c r="G810">
        <f>[1]NhapHang!G810</f>
        <v>0</v>
      </c>
      <c r="H810">
        <f>[1]NhapHang!H810</f>
        <v>0</v>
      </c>
    </row>
    <row r="811" spans="1:8">
      <c r="A811">
        <f>[1]NhapHang!A811</f>
        <v>0</v>
      </c>
      <c r="B811">
        <f>[1]NhapHang!B811</f>
        <v>0</v>
      </c>
      <c r="C811">
        <f>[1]NhapHang!C811</f>
        <v>0</v>
      </c>
      <c r="D811">
        <f>[1]NhapHang!D811</f>
        <v>0</v>
      </c>
      <c r="E811">
        <f>[1]NhapHang!E811</f>
        <v>0</v>
      </c>
      <c r="F811">
        <f>[1]NhapHang!F811</f>
        <v>0</v>
      </c>
      <c r="G811">
        <f>[1]NhapHang!G811</f>
        <v>0</v>
      </c>
      <c r="H811">
        <f>[1]NhapHang!H811</f>
        <v>0</v>
      </c>
    </row>
    <row r="812" spans="1:8">
      <c r="A812">
        <f>[1]NhapHang!A812</f>
        <v>0</v>
      </c>
      <c r="B812">
        <f>[1]NhapHang!B812</f>
        <v>0</v>
      </c>
      <c r="C812">
        <f>[1]NhapHang!C812</f>
        <v>0</v>
      </c>
      <c r="D812">
        <f>[1]NhapHang!D812</f>
        <v>0</v>
      </c>
      <c r="E812">
        <f>[1]NhapHang!E812</f>
        <v>0</v>
      </c>
      <c r="F812">
        <f>[1]NhapHang!F812</f>
        <v>0</v>
      </c>
      <c r="G812">
        <f>[1]NhapHang!G812</f>
        <v>0</v>
      </c>
      <c r="H812">
        <f>[1]NhapHang!H812</f>
        <v>0</v>
      </c>
    </row>
    <row r="813" spans="1:8">
      <c r="A813">
        <f>[1]NhapHang!A813</f>
        <v>0</v>
      </c>
      <c r="B813">
        <f>[1]NhapHang!B813</f>
        <v>0</v>
      </c>
      <c r="C813">
        <f>[1]NhapHang!C813</f>
        <v>0</v>
      </c>
      <c r="D813">
        <f>[1]NhapHang!D813</f>
        <v>0</v>
      </c>
      <c r="E813">
        <f>[1]NhapHang!E813</f>
        <v>0</v>
      </c>
      <c r="F813">
        <f>[1]NhapHang!F813</f>
        <v>0</v>
      </c>
      <c r="G813">
        <f>[1]NhapHang!G813</f>
        <v>0</v>
      </c>
      <c r="H813">
        <f>[1]NhapHang!H813</f>
        <v>0</v>
      </c>
    </row>
    <row r="814" spans="1:8">
      <c r="A814">
        <f>[1]NhapHang!A814</f>
        <v>0</v>
      </c>
      <c r="B814">
        <f>[1]NhapHang!B814</f>
        <v>0</v>
      </c>
      <c r="C814">
        <f>[1]NhapHang!C814</f>
        <v>0</v>
      </c>
      <c r="D814">
        <f>[1]NhapHang!D814</f>
        <v>0</v>
      </c>
      <c r="E814">
        <f>[1]NhapHang!E814</f>
        <v>0</v>
      </c>
      <c r="F814">
        <f>[1]NhapHang!F814</f>
        <v>0</v>
      </c>
      <c r="G814">
        <f>[1]NhapHang!G814</f>
        <v>0</v>
      </c>
      <c r="H814">
        <f>[1]NhapHang!H814</f>
        <v>0</v>
      </c>
    </row>
    <row r="815" spans="1:8">
      <c r="A815">
        <f>[1]NhapHang!A815</f>
        <v>0</v>
      </c>
      <c r="B815">
        <f>[1]NhapHang!B815</f>
        <v>0</v>
      </c>
      <c r="C815">
        <f>[1]NhapHang!C815</f>
        <v>0</v>
      </c>
      <c r="D815">
        <f>[1]NhapHang!D815</f>
        <v>0</v>
      </c>
      <c r="E815">
        <f>[1]NhapHang!E815</f>
        <v>0</v>
      </c>
      <c r="F815">
        <f>[1]NhapHang!F815</f>
        <v>0</v>
      </c>
      <c r="G815">
        <f>[1]NhapHang!G815</f>
        <v>0</v>
      </c>
      <c r="H815">
        <f>[1]NhapHang!H815</f>
        <v>0</v>
      </c>
    </row>
    <row r="816" spans="1:8">
      <c r="A816">
        <f>[1]NhapHang!A816</f>
        <v>0</v>
      </c>
      <c r="B816">
        <f>[1]NhapHang!B816</f>
        <v>0</v>
      </c>
      <c r="C816">
        <f>[1]NhapHang!C816</f>
        <v>0</v>
      </c>
      <c r="D816">
        <f>[1]NhapHang!D816</f>
        <v>0</v>
      </c>
      <c r="E816">
        <f>[1]NhapHang!E816</f>
        <v>0</v>
      </c>
      <c r="F816">
        <f>[1]NhapHang!F816</f>
        <v>0</v>
      </c>
      <c r="G816">
        <f>[1]NhapHang!G816</f>
        <v>0</v>
      </c>
      <c r="H816">
        <f>[1]NhapHang!H816</f>
        <v>0</v>
      </c>
    </row>
    <row r="817" spans="1:8">
      <c r="A817">
        <f>[1]NhapHang!A817</f>
        <v>0</v>
      </c>
      <c r="B817">
        <f>[1]NhapHang!B817</f>
        <v>0</v>
      </c>
      <c r="C817">
        <f>[1]NhapHang!C817</f>
        <v>0</v>
      </c>
      <c r="D817">
        <f>[1]NhapHang!D817</f>
        <v>0</v>
      </c>
      <c r="E817">
        <f>[1]NhapHang!E817</f>
        <v>0</v>
      </c>
      <c r="F817">
        <f>[1]NhapHang!F817</f>
        <v>0</v>
      </c>
      <c r="G817">
        <f>[1]NhapHang!G817</f>
        <v>0</v>
      </c>
      <c r="H817">
        <f>[1]NhapHang!H817</f>
        <v>0</v>
      </c>
    </row>
    <row r="818" spans="1:8">
      <c r="A818">
        <f>[1]NhapHang!A818</f>
        <v>0</v>
      </c>
      <c r="B818">
        <f>[1]NhapHang!B818</f>
        <v>0</v>
      </c>
      <c r="C818">
        <f>[1]NhapHang!C818</f>
        <v>0</v>
      </c>
      <c r="D818">
        <f>[1]NhapHang!D818</f>
        <v>0</v>
      </c>
      <c r="E818">
        <f>[1]NhapHang!E818</f>
        <v>0</v>
      </c>
      <c r="F818">
        <f>[1]NhapHang!F818</f>
        <v>0</v>
      </c>
      <c r="G818">
        <f>[1]NhapHang!G818</f>
        <v>0</v>
      </c>
      <c r="H818">
        <f>[1]NhapHang!H818</f>
        <v>0</v>
      </c>
    </row>
    <row r="819" spans="1:8">
      <c r="A819">
        <f>[1]NhapHang!A819</f>
        <v>0</v>
      </c>
      <c r="B819">
        <f>[1]NhapHang!B819</f>
        <v>0</v>
      </c>
      <c r="C819">
        <f>[1]NhapHang!C819</f>
        <v>0</v>
      </c>
      <c r="D819">
        <f>[1]NhapHang!D819</f>
        <v>0</v>
      </c>
      <c r="E819">
        <f>[1]NhapHang!E819</f>
        <v>0</v>
      </c>
      <c r="F819">
        <f>[1]NhapHang!F819</f>
        <v>0</v>
      </c>
      <c r="G819">
        <f>[1]NhapHang!G819</f>
        <v>0</v>
      </c>
      <c r="H819">
        <f>[1]NhapHang!H819</f>
        <v>0</v>
      </c>
    </row>
    <row r="820" spans="1:8">
      <c r="A820">
        <f>[1]NhapHang!A820</f>
        <v>0</v>
      </c>
      <c r="B820">
        <f>[1]NhapHang!B820</f>
        <v>0</v>
      </c>
      <c r="C820">
        <f>[1]NhapHang!C820</f>
        <v>0</v>
      </c>
      <c r="D820">
        <f>[1]NhapHang!D820</f>
        <v>0</v>
      </c>
      <c r="E820">
        <f>[1]NhapHang!E820</f>
        <v>0</v>
      </c>
      <c r="F820">
        <f>[1]NhapHang!F820</f>
        <v>0</v>
      </c>
      <c r="G820">
        <f>[1]NhapHang!G820</f>
        <v>0</v>
      </c>
      <c r="H820">
        <f>[1]NhapHang!H820</f>
        <v>0</v>
      </c>
    </row>
    <row r="821" spans="1:8">
      <c r="A821">
        <f>[1]NhapHang!A821</f>
        <v>0</v>
      </c>
      <c r="B821">
        <f>[1]NhapHang!B821</f>
        <v>0</v>
      </c>
      <c r="C821">
        <f>[1]NhapHang!C821</f>
        <v>0</v>
      </c>
      <c r="D821">
        <f>[1]NhapHang!D821</f>
        <v>0</v>
      </c>
      <c r="E821">
        <f>[1]NhapHang!E821</f>
        <v>0</v>
      </c>
      <c r="F821">
        <f>[1]NhapHang!F821</f>
        <v>0</v>
      </c>
      <c r="G821">
        <f>[1]NhapHang!G821</f>
        <v>0</v>
      </c>
      <c r="H821">
        <f>[1]NhapHang!H821</f>
        <v>0</v>
      </c>
    </row>
    <row r="822" spans="1:8">
      <c r="A822">
        <f>[1]NhapHang!A822</f>
        <v>0</v>
      </c>
      <c r="B822">
        <f>[1]NhapHang!B822</f>
        <v>0</v>
      </c>
      <c r="C822">
        <f>[1]NhapHang!C822</f>
        <v>0</v>
      </c>
      <c r="D822">
        <f>[1]NhapHang!D822</f>
        <v>0</v>
      </c>
      <c r="E822">
        <f>[1]NhapHang!E822</f>
        <v>0</v>
      </c>
      <c r="F822">
        <f>[1]NhapHang!F822</f>
        <v>0</v>
      </c>
      <c r="G822">
        <f>[1]NhapHang!G822</f>
        <v>0</v>
      </c>
      <c r="H822">
        <f>[1]NhapHang!H822</f>
        <v>0</v>
      </c>
    </row>
    <row r="823" spans="1:8">
      <c r="A823">
        <f>[1]NhapHang!A823</f>
        <v>0</v>
      </c>
      <c r="B823">
        <f>[1]NhapHang!B823</f>
        <v>0</v>
      </c>
      <c r="C823">
        <f>[1]NhapHang!C823</f>
        <v>0</v>
      </c>
      <c r="D823">
        <f>[1]NhapHang!D823</f>
        <v>0</v>
      </c>
      <c r="E823">
        <f>[1]NhapHang!E823</f>
        <v>0</v>
      </c>
      <c r="F823">
        <f>[1]NhapHang!F823</f>
        <v>0</v>
      </c>
      <c r="G823">
        <f>[1]NhapHang!G823</f>
        <v>0</v>
      </c>
      <c r="H823">
        <f>[1]NhapHang!H823</f>
        <v>0</v>
      </c>
    </row>
    <row r="824" spans="1:8">
      <c r="A824">
        <f>[1]NhapHang!A824</f>
        <v>0</v>
      </c>
      <c r="B824">
        <f>[1]NhapHang!B824</f>
        <v>0</v>
      </c>
      <c r="C824">
        <f>[1]NhapHang!C824</f>
        <v>0</v>
      </c>
      <c r="D824">
        <f>[1]NhapHang!D824</f>
        <v>0</v>
      </c>
      <c r="E824">
        <f>[1]NhapHang!E824</f>
        <v>0</v>
      </c>
      <c r="F824">
        <f>[1]NhapHang!F824</f>
        <v>0</v>
      </c>
      <c r="G824">
        <f>[1]NhapHang!G824</f>
        <v>0</v>
      </c>
      <c r="H824">
        <f>[1]NhapHang!H824</f>
        <v>0</v>
      </c>
    </row>
    <row r="825" spans="1:8">
      <c r="A825">
        <f>[1]NhapHang!A825</f>
        <v>0</v>
      </c>
      <c r="B825">
        <f>[1]NhapHang!B825</f>
        <v>0</v>
      </c>
      <c r="C825">
        <f>[1]NhapHang!C825</f>
        <v>0</v>
      </c>
      <c r="D825">
        <f>[1]NhapHang!D825</f>
        <v>0</v>
      </c>
      <c r="E825">
        <f>[1]NhapHang!E825</f>
        <v>0</v>
      </c>
      <c r="F825">
        <f>[1]NhapHang!F825</f>
        <v>0</v>
      </c>
      <c r="G825">
        <f>[1]NhapHang!G825</f>
        <v>0</v>
      </c>
      <c r="H825">
        <f>[1]NhapHang!H825</f>
        <v>0</v>
      </c>
    </row>
    <row r="826" spans="1:8">
      <c r="A826">
        <f>[1]NhapHang!A826</f>
        <v>0</v>
      </c>
      <c r="B826">
        <f>[1]NhapHang!B826</f>
        <v>0</v>
      </c>
      <c r="C826">
        <f>[1]NhapHang!C826</f>
        <v>0</v>
      </c>
      <c r="D826">
        <f>[1]NhapHang!D826</f>
        <v>0</v>
      </c>
      <c r="E826">
        <f>[1]NhapHang!E826</f>
        <v>0</v>
      </c>
      <c r="F826">
        <f>[1]NhapHang!F826</f>
        <v>0</v>
      </c>
      <c r="G826">
        <f>[1]NhapHang!G826</f>
        <v>0</v>
      </c>
      <c r="H826">
        <f>[1]NhapHang!H826</f>
        <v>0</v>
      </c>
    </row>
    <row r="827" spans="1:8">
      <c r="A827">
        <f>[1]NhapHang!A827</f>
        <v>0</v>
      </c>
      <c r="B827">
        <f>[1]NhapHang!B827</f>
        <v>0</v>
      </c>
      <c r="C827">
        <f>[1]NhapHang!C827</f>
        <v>0</v>
      </c>
      <c r="D827">
        <f>[1]NhapHang!D827</f>
        <v>0</v>
      </c>
      <c r="E827">
        <f>[1]NhapHang!E827</f>
        <v>0</v>
      </c>
      <c r="F827">
        <f>[1]NhapHang!F827</f>
        <v>0</v>
      </c>
      <c r="G827">
        <f>[1]NhapHang!G827</f>
        <v>0</v>
      </c>
      <c r="H827">
        <f>[1]NhapHang!H827</f>
        <v>0</v>
      </c>
    </row>
    <row r="828" spans="1:8">
      <c r="A828">
        <f>[1]NhapHang!A828</f>
        <v>0</v>
      </c>
      <c r="B828">
        <f>[1]NhapHang!B828</f>
        <v>0</v>
      </c>
      <c r="C828">
        <f>[1]NhapHang!C828</f>
        <v>0</v>
      </c>
      <c r="D828">
        <f>[1]NhapHang!D828</f>
        <v>0</v>
      </c>
      <c r="E828">
        <f>[1]NhapHang!E828</f>
        <v>0</v>
      </c>
      <c r="F828">
        <f>[1]NhapHang!F828</f>
        <v>0</v>
      </c>
      <c r="G828">
        <f>[1]NhapHang!G828</f>
        <v>0</v>
      </c>
      <c r="H828">
        <f>[1]NhapHang!H828</f>
        <v>0</v>
      </c>
    </row>
    <row r="829" spans="1:8">
      <c r="A829">
        <f>[1]NhapHang!A829</f>
        <v>0</v>
      </c>
      <c r="B829">
        <f>[1]NhapHang!B829</f>
        <v>0</v>
      </c>
      <c r="C829">
        <f>[1]NhapHang!C829</f>
        <v>0</v>
      </c>
      <c r="D829">
        <f>[1]NhapHang!D829</f>
        <v>0</v>
      </c>
      <c r="E829">
        <f>[1]NhapHang!E829</f>
        <v>0</v>
      </c>
      <c r="F829">
        <f>[1]NhapHang!F829</f>
        <v>0</v>
      </c>
      <c r="G829">
        <f>[1]NhapHang!G829</f>
        <v>0</v>
      </c>
      <c r="H829">
        <f>[1]NhapHang!H829</f>
        <v>0</v>
      </c>
    </row>
    <row r="830" spans="1:8">
      <c r="A830">
        <f>[1]NhapHang!A830</f>
        <v>0</v>
      </c>
      <c r="B830">
        <f>[1]NhapHang!B830</f>
        <v>0</v>
      </c>
      <c r="C830">
        <f>[1]NhapHang!C830</f>
        <v>0</v>
      </c>
      <c r="D830">
        <f>[1]NhapHang!D830</f>
        <v>0</v>
      </c>
      <c r="E830">
        <f>[1]NhapHang!E830</f>
        <v>0</v>
      </c>
      <c r="F830">
        <f>[1]NhapHang!F830</f>
        <v>0</v>
      </c>
      <c r="G830">
        <f>[1]NhapHang!G830</f>
        <v>0</v>
      </c>
      <c r="H830">
        <f>[1]NhapHang!H830</f>
        <v>0</v>
      </c>
    </row>
    <row r="831" spans="1:8">
      <c r="A831">
        <f>[1]NhapHang!A831</f>
        <v>0</v>
      </c>
      <c r="B831">
        <f>[1]NhapHang!B831</f>
        <v>0</v>
      </c>
      <c r="C831">
        <f>[1]NhapHang!C831</f>
        <v>0</v>
      </c>
      <c r="D831">
        <f>[1]NhapHang!D831</f>
        <v>0</v>
      </c>
      <c r="E831">
        <f>[1]NhapHang!E831</f>
        <v>0</v>
      </c>
      <c r="F831">
        <f>[1]NhapHang!F831</f>
        <v>0</v>
      </c>
      <c r="G831">
        <f>[1]NhapHang!G831</f>
        <v>0</v>
      </c>
      <c r="H831">
        <f>[1]NhapHang!H831</f>
        <v>0</v>
      </c>
    </row>
    <row r="832" spans="1:8">
      <c r="A832">
        <f>[1]NhapHang!A832</f>
        <v>0</v>
      </c>
      <c r="B832">
        <f>[1]NhapHang!B832</f>
        <v>0</v>
      </c>
      <c r="C832">
        <f>[1]NhapHang!C832</f>
        <v>0</v>
      </c>
      <c r="D832">
        <f>[1]NhapHang!D832</f>
        <v>0</v>
      </c>
      <c r="E832">
        <f>[1]NhapHang!E832</f>
        <v>0</v>
      </c>
      <c r="F832">
        <f>[1]NhapHang!F832</f>
        <v>0</v>
      </c>
      <c r="G832">
        <f>[1]NhapHang!G832</f>
        <v>0</v>
      </c>
      <c r="H832">
        <f>[1]NhapHang!H832</f>
        <v>0</v>
      </c>
    </row>
    <row r="833" spans="1:8">
      <c r="A833">
        <f>[1]NhapHang!A833</f>
        <v>0</v>
      </c>
      <c r="B833">
        <f>[1]NhapHang!B833</f>
        <v>0</v>
      </c>
      <c r="C833">
        <f>[1]NhapHang!C833</f>
        <v>0</v>
      </c>
      <c r="D833">
        <f>[1]NhapHang!D833</f>
        <v>0</v>
      </c>
      <c r="E833">
        <f>[1]NhapHang!E833</f>
        <v>0</v>
      </c>
      <c r="F833">
        <f>[1]NhapHang!F833</f>
        <v>0</v>
      </c>
      <c r="G833">
        <f>[1]NhapHang!G833</f>
        <v>0</v>
      </c>
      <c r="H833">
        <f>[1]NhapHang!H833</f>
        <v>0</v>
      </c>
    </row>
    <row r="834" spans="1:8">
      <c r="A834">
        <f>[1]NhapHang!A834</f>
        <v>0</v>
      </c>
      <c r="B834">
        <f>[1]NhapHang!B834</f>
        <v>0</v>
      </c>
      <c r="C834">
        <f>[1]NhapHang!C834</f>
        <v>0</v>
      </c>
      <c r="D834">
        <f>[1]NhapHang!D834</f>
        <v>0</v>
      </c>
      <c r="E834">
        <f>[1]NhapHang!E834</f>
        <v>0</v>
      </c>
      <c r="F834">
        <f>[1]NhapHang!F834</f>
        <v>0</v>
      </c>
      <c r="G834">
        <f>[1]NhapHang!G834</f>
        <v>0</v>
      </c>
      <c r="H834">
        <f>[1]NhapHang!H834</f>
        <v>0</v>
      </c>
    </row>
    <row r="835" spans="1:8">
      <c r="A835">
        <f>[1]NhapHang!A835</f>
        <v>0</v>
      </c>
      <c r="B835">
        <f>[1]NhapHang!B835</f>
        <v>0</v>
      </c>
      <c r="C835">
        <f>[1]NhapHang!C835</f>
        <v>0</v>
      </c>
      <c r="D835">
        <f>[1]NhapHang!D835</f>
        <v>0</v>
      </c>
      <c r="E835">
        <f>[1]NhapHang!E835</f>
        <v>0</v>
      </c>
      <c r="F835">
        <f>[1]NhapHang!F835</f>
        <v>0</v>
      </c>
      <c r="G835">
        <f>[1]NhapHang!G835</f>
        <v>0</v>
      </c>
      <c r="H835">
        <f>[1]NhapHang!H835</f>
        <v>0</v>
      </c>
    </row>
    <row r="836" spans="1:8">
      <c r="A836">
        <f>[1]NhapHang!A836</f>
        <v>0</v>
      </c>
      <c r="B836">
        <f>[1]NhapHang!B836</f>
        <v>0</v>
      </c>
      <c r="C836">
        <f>[1]NhapHang!C836</f>
        <v>0</v>
      </c>
      <c r="D836">
        <f>[1]NhapHang!D836</f>
        <v>0</v>
      </c>
      <c r="E836">
        <f>[1]NhapHang!E836</f>
        <v>0</v>
      </c>
      <c r="F836">
        <f>[1]NhapHang!F836</f>
        <v>0</v>
      </c>
      <c r="G836">
        <f>[1]NhapHang!G836</f>
        <v>0</v>
      </c>
      <c r="H836">
        <f>[1]NhapHang!H836</f>
        <v>0</v>
      </c>
    </row>
    <row r="837" spans="1:8">
      <c r="A837">
        <f>[1]NhapHang!A837</f>
        <v>0</v>
      </c>
      <c r="B837">
        <f>[1]NhapHang!B837</f>
        <v>0</v>
      </c>
      <c r="C837">
        <f>[1]NhapHang!C837</f>
        <v>0</v>
      </c>
      <c r="D837">
        <f>[1]NhapHang!D837</f>
        <v>0</v>
      </c>
      <c r="E837">
        <f>[1]NhapHang!E837</f>
        <v>0</v>
      </c>
      <c r="F837">
        <f>[1]NhapHang!F837</f>
        <v>0</v>
      </c>
      <c r="G837">
        <f>[1]NhapHang!G837</f>
        <v>0</v>
      </c>
      <c r="H837">
        <f>[1]NhapHang!H837</f>
        <v>0</v>
      </c>
    </row>
    <row r="838" spans="1:8">
      <c r="A838">
        <f>[1]NhapHang!A838</f>
        <v>0</v>
      </c>
      <c r="B838">
        <f>[1]NhapHang!B838</f>
        <v>0</v>
      </c>
      <c r="C838">
        <f>[1]NhapHang!C838</f>
        <v>0</v>
      </c>
      <c r="D838">
        <f>[1]NhapHang!D838</f>
        <v>0</v>
      </c>
      <c r="E838">
        <f>[1]NhapHang!E838</f>
        <v>0</v>
      </c>
      <c r="F838">
        <f>[1]NhapHang!F838</f>
        <v>0</v>
      </c>
      <c r="G838">
        <f>[1]NhapHang!G838</f>
        <v>0</v>
      </c>
      <c r="H838">
        <f>[1]NhapHang!H838</f>
        <v>0</v>
      </c>
    </row>
    <row r="839" spans="1:8">
      <c r="A839">
        <f>[1]NhapHang!A839</f>
        <v>0</v>
      </c>
      <c r="B839">
        <f>[1]NhapHang!B839</f>
        <v>0</v>
      </c>
      <c r="C839">
        <f>[1]NhapHang!C839</f>
        <v>0</v>
      </c>
      <c r="D839">
        <f>[1]NhapHang!D839</f>
        <v>0</v>
      </c>
      <c r="E839">
        <f>[1]NhapHang!E839</f>
        <v>0</v>
      </c>
      <c r="F839">
        <f>[1]NhapHang!F839</f>
        <v>0</v>
      </c>
      <c r="G839">
        <f>[1]NhapHang!G839</f>
        <v>0</v>
      </c>
      <c r="H839">
        <f>[1]NhapHang!H839</f>
        <v>0</v>
      </c>
    </row>
    <row r="840" spans="1:8">
      <c r="A840">
        <f>[1]NhapHang!A840</f>
        <v>0</v>
      </c>
      <c r="B840">
        <f>[1]NhapHang!B840</f>
        <v>0</v>
      </c>
      <c r="C840">
        <f>[1]NhapHang!C840</f>
        <v>0</v>
      </c>
      <c r="D840">
        <f>[1]NhapHang!D840</f>
        <v>0</v>
      </c>
      <c r="E840">
        <f>[1]NhapHang!E840</f>
        <v>0</v>
      </c>
      <c r="F840">
        <f>[1]NhapHang!F840</f>
        <v>0</v>
      </c>
      <c r="G840">
        <f>[1]NhapHang!G840</f>
        <v>0</v>
      </c>
      <c r="H840">
        <f>[1]NhapHang!H840</f>
        <v>0</v>
      </c>
    </row>
    <row r="841" spans="1:8">
      <c r="A841">
        <f>[1]NhapHang!A841</f>
        <v>0</v>
      </c>
      <c r="B841">
        <f>[1]NhapHang!B841</f>
        <v>0</v>
      </c>
      <c r="C841">
        <f>[1]NhapHang!C841</f>
        <v>0</v>
      </c>
      <c r="D841">
        <f>[1]NhapHang!D841</f>
        <v>0</v>
      </c>
      <c r="E841">
        <f>[1]NhapHang!E841</f>
        <v>0</v>
      </c>
      <c r="F841">
        <f>[1]NhapHang!F841</f>
        <v>0</v>
      </c>
      <c r="G841">
        <f>[1]NhapHang!G841</f>
        <v>0</v>
      </c>
      <c r="H841">
        <f>[1]NhapHang!H841</f>
        <v>0</v>
      </c>
    </row>
    <row r="842" spans="1:8">
      <c r="A842">
        <f>[1]NhapHang!A842</f>
        <v>0</v>
      </c>
      <c r="B842">
        <f>[1]NhapHang!B842</f>
        <v>0</v>
      </c>
      <c r="C842">
        <f>[1]NhapHang!C842</f>
        <v>0</v>
      </c>
      <c r="D842">
        <f>[1]NhapHang!D842</f>
        <v>0</v>
      </c>
      <c r="E842">
        <f>[1]NhapHang!E842</f>
        <v>0</v>
      </c>
      <c r="F842">
        <f>[1]NhapHang!F842</f>
        <v>0</v>
      </c>
      <c r="G842">
        <f>[1]NhapHang!G842</f>
        <v>0</v>
      </c>
      <c r="H842">
        <f>[1]NhapHang!H842</f>
        <v>0</v>
      </c>
    </row>
    <row r="843" spans="1:8">
      <c r="A843">
        <f>[1]NhapHang!A843</f>
        <v>0</v>
      </c>
      <c r="B843">
        <f>[1]NhapHang!B843</f>
        <v>0</v>
      </c>
      <c r="C843">
        <f>[1]NhapHang!C843</f>
        <v>0</v>
      </c>
      <c r="D843">
        <f>[1]NhapHang!D843</f>
        <v>0</v>
      </c>
      <c r="E843">
        <f>[1]NhapHang!E843</f>
        <v>0</v>
      </c>
      <c r="F843">
        <f>[1]NhapHang!F843</f>
        <v>0</v>
      </c>
      <c r="G843">
        <f>[1]NhapHang!G843</f>
        <v>0</v>
      </c>
      <c r="H843">
        <f>[1]NhapHang!H843</f>
        <v>0</v>
      </c>
    </row>
    <row r="844" spans="1:8">
      <c r="A844">
        <f>[1]NhapHang!A844</f>
        <v>0</v>
      </c>
      <c r="B844">
        <f>[1]NhapHang!B844</f>
        <v>0</v>
      </c>
      <c r="C844">
        <f>[1]NhapHang!C844</f>
        <v>0</v>
      </c>
      <c r="D844">
        <f>[1]NhapHang!D844</f>
        <v>0</v>
      </c>
      <c r="E844">
        <f>[1]NhapHang!E844</f>
        <v>0</v>
      </c>
      <c r="F844">
        <f>[1]NhapHang!F844</f>
        <v>0</v>
      </c>
      <c r="G844">
        <f>[1]NhapHang!G844</f>
        <v>0</v>
      </c>
      <c r="H844">
        <f>[1]NhapHang!H844</f>
        <v>0</v>
      </c>
    </row>
    <row r="845" spans="1:8">
      <c r="A845">
        <f>[1]NhapHang!A845</f>
        <v>0</v>
      </c>
      <c r="B845">
        <f>[1]NhapHang!B845</f>
        <v>0</v>
      </c>
      <c r="C845">
        <f>[1]NhapHang!C845</f>
        <v>0</v>
      </c>
      <c r="D845">
        <f>[1]NhapHang!D845</f>
        <v>0</v>
      </c>
      <c r="E845">
        <f>[1]NhapHang!E845</f>
        <v>0</v>
      </c>
      <c r="F845">
        <f>[1]NhapHang!F845</f>
        <v>0</v>
      </c>
      <c r="G845">
        <f>[1]NhapHang!G845</f>
        <v>0</v>
      </c>
      <c r="H845">
        <f>[1]NhapHang!H845</f>
        <v>0</v>
      </c>
    </row>
    <row r="846" spans="1:8">
      <c r="A846">
        <f>[1]NhapHang!A846</f>
        <v>0</v>
      </c>
      <c r="B846">
        <f>[1]NhapHang!B846</f>
        <v>0</v>
      </c>
      <c r="C846">
        <f>[1]NhapHang!C846</f>
        <v>0</v>
      </c>
      <c r="D846">
        <f>[1]NhapHang!D846</f>
        <v>0</v>
      </c>
      <c r="E846">
        <f>[1]NhapHang!E846</f>
        <v>0</v>
      </c>
      <c r="F846">
        <f>[1]NhapHang!F846</f>
        <v>0</v>
      </c>
      <c r="G846">
        <f>[1]NhapHang!G846</f>
        <v>0</v>
      </c>
      <c r="H846">
        <f>[1]NhapHang!H846</f>
        <v>0</v>
      </c>
    </row>
    <row r="847" spans="1:8">
      <c r="A847">
        <f>[1]NhapHang!A847</f>
        <v>0</v>
      </c>
      <c r="B847">
        <f>[1]NhapHang!B847</f>
        <v>0</v>
      </c>
      <c r="C847">
        <f>[1]NhapHang!C847</f>
        <v>0</v>
      </c>
      <c r="D847">
        <f>[1]NhapHang!D847</f>
        <v>0</v>
      </c>
      <c r="E847">
        <f>[1]NhapHang!E847</f>
        <v>0</v>
      </c>
      <c r="F847">
        <f>[1]NhapHang!F847</f>
        <v>0</v>
      </c>
      <c r="G847">
        <f>[1]NhapHang!G847</f>
        <v>0</v>
      </c>
      <c r="H847">
        <f>[1]NhapHang!H847</f>
        <v>0</v>
      </c>
    </row>
    <row r="848" spans="1:8">
      <c r="A848">
        <f>[1]NhapHang!A848</f>
        <v>0</v>
      </c>
      <c r="B848">
        <f>[1]NhapHang!B848</f>
        <v>0</v>
      </c>
      <c r="C848">
        <f>[1]NhapHang!C848</f>
        <v>0</v>
      </c>
      <c r="D848">
        <f>[1]NhapHang!D848</f>
        <v>0</v>
      </c>
      <c r="E848">
        <f>[1]NhapHang!E848</f>
        <v>0</v>
      </c>
      <c r="F848">
        <f>[1]NhapHang!F848</f>
        <v>0</v>
      </c>
      <c r="G848">
        <f>[1]NhapHang!G848</f>
        <v>0</v>
      </c>
      <c r="H848">
        <f>[1]NhapHang!H848</f>
        <v>0</v>
      </c>
    </row>
    <row r="849" spans="1:8">
      <c r="A849">
        <f>[1]NhapHang!A849</f>
        <v>0</v>
      </c>
      <c r="B849">
        <f>[1]NhapHang!B849</f>
        <v>0</v>
      </c>
      <c r="C849">
        <f>[1]NhapHang!C849</f>
        <v>0</v>
      </c>
      <c r="D849">
        <f>[1]NhapHang!D849</f>
        <v>0</v>
      </c>
      <c r="E849">
        <f>[1]NhapHang!E849</f>
        <v>0</v>
      </c>
      <c r="F849">
        <f>[1]NhapHang!F849</f>
        <v>0</v>
      </c>
      <c r="G849">
        <f>[1]NhapHang!G849</f>
        <v>0</v>
      </c>
      <c r="H849">
        <f>[1]NhapHang!H849</f>
        <v>0</v>
      </c>
    </row>
    <row r="850" spans="1:8">
      <c r="A850">
        <f>[1]NhapHang!A850</f>
        <v>0</v>
      </c>
      <c r="B850">
        <f>[1]NhapHang!B850</f>
        <v>0</v>
      </c>
      <c r="C850">
        <f>[1]NhapHang!C850</f>
        <v>0</v>
      </c>
      <c r="D850">
        <f>[1]NhapHang!D850</f>
        <v>0</v>
      </c>
      <c r="E850">
        <f>[1]NhapHang!E850</f>
        <v>0</v>
      </c>
      <c r="F850">
        <f>[1]NhapHang!F850</f>
        <v>0</v>
      </c>
      <c r="G850">
        <f>[1]NhapHang!G850</f>
        <v>0</v>
      </c>
      <c r="H850">
        <f>[1]NhapHang!H850</f>
        <v>0</v>
      </c>
    </row>
    <row r="851" spans="1:8">
      <c r="A851">
        <f>[1]NhapHang!A851</f>
        <v>0</v>
      </c>
      <c r="B851">
        <f>[1]NhapHang!B851</f>
        <v>0</v>
      </c>
      <c r="C851">
        <f>[1]NhapHang!C851</f>
        <v>0</v>
      </c>
      <c r="D851">
        <f>[1]NhapHang!D851</f>
        <v>0</v>
      </c>
      <c r="E851">
        <f>[1]NhapHang!E851</f>
        <v>0</v>
      </c>
      <c r="F851">
        <f>[1]NhapHang!F851</f>
        <v>0</v>
      </c>
      <c r="G851">
        <f>[1]NhapHang!G851</f>
        <v>0</v>
      </c>
      <c r="H851">
        <f>[1]NhapHang!H851</f>
        <v>0</v>
      </c>
    </row>
    <row r="852" spans="1:8">
      <c r="A852">
        <f>[1]NhapHang!A852</f>
        <v>0</v>
      </c>
      <c r="B852">
        <f>[1]NhapHang!B852</f>
        <v>0</v>
      </c>
      <c r="C852">
        <f>[1]NhapHang!C852</f>
        <v>0</v>
      </c>
      <c r="D852">
        <f>[1]NhapHang!D852</f>
        <v>0</v>
      </c>
      <c r="E852">
        <f>[1]NhapHang!E852</f>
        <v>0</v>
      </c>
      <c r="F852">
        <f>[1]NhapHang!F852</f>
        <v>0</v>
      </c>
      <c r="G852">
        <f>[1]NhapHang!G852</f>
        <v>0</v>
      </c>
      <c r="H852">
        <f>[1]NhapHang!H852</f>
        <v>0</v>
      </c>
    </row>
    <row r="853" spans="1:8">
      <c r="A853">
        <f>[1]NhapHang!A853</f>
        <v>0</v>
      </c>
      <c r="B853">
        <f>[1]NhapHang!B853</f>
        <v>0</v>
      </c>
      <c r="C853">
        <f>[1]NhapHang!C853</f>
        <v>0</v>
      </c>
      <c r="D853">
        <f>[1]NhapHang!D853</f>
        <v>0</v>
      </c>
      <c r="E853">
        <f>[1]NhapHang!E853</f>
        <v>0</v>
      </c>
      <c r="F853">
        <f>[1]NhapHang!F853</f>
        <v>0</v>
      </c>
      <c r="G853">
        <f>[1]NhapHang!G853</f>
        <v>0</v>
      </c>
      <c r="H853">
        <f>[1]NhapHang!H853</f>
        <v>0</v>
      </c>
    </row>
    <row r="854" spans="1:8">
      <c r="A854">
        <f>[1]NhapHang!A854</f>
        <v>0</v>
      </c>
      <c r="B854">
        <f>[1]NhapHang!B854</f>
        <v>0</v>
      </c>
      <c r="C854">
        <f>[1]NhapHang!C854</f>
        <v>0</v>
      </c>
      <c r="D854">
        <f>[1]NhapHang!D854</f>
        <v>0</v>
      </c>
      <c r="E854">
        <f>[1]NhapHang!E854</f>
        <v>0</v>
      </c>
      <c r="F854">
        <f>[1]NhapHang!F854</f>
        <v>0</v>
      </c>
      <c r="G854">
        <f>[1]NhapHang!G854</f>
        <v>0</v>
      </c>
      <c r="H854">
        <f>[1]NhapHang!H854</f>
        <v>0</v>
      </c>
    </row>
    <row r="855" spans="1:8">
      <c r="A855">
        <f>[1]NhapHang!A855</f>
        <v>0</v>
      </c>
      <c r="B855">
        <f>[1]NhapHang!B855</f>
        <v>0</v>
      </c>
      <c r="C855">
        <f>[1]NhapHang!C855</f>
        <v>0</v>
      </c>
      <c r="D855">
        <f>[1]NhapHang!D855</f>
        <v>0</v>
      </c>
      <c r="E855">
        <f>[1]NhapHang!E855</f>
        <v>0</v>
      </c>
      <c r="F855">
        <f>[1]NhapHang!F855</f>
        <v>0</v>
      </c>
      <c r="G855">
        <f>[1]NhapHang!G855</f>
        <v>0</v>
      </c>
      <c r="H855">
        <f>[1]NhapHang!H855</f>
        <v>0</v>
      </c>
    </row>
    <row r="856" spans="1:8">
      <c r="A856">
        <f>[1]NhapHang!A856</f>
        <v>0</v>
      </c>
      <c r="B856">
        <f>[1]NhapHang!B856</f>
        <v>0</v>
      </c>
      <c r="C856">
        <f>[1]NhapHang!C856</f>
        <v>0</v>
      </c>
      <c r="D856">
        <f>[1]NhapHang!D856</f>
        <v>0</v>
      </c>
      <c r="E856">
        <f>[1]NhapHang!E856</f>
        <v>0</v>
      </c>
      <c r="F856">
        <f>[1]NhapHang!F856</f>
        <v>0</v>
      </c>
      <c r="G856">
        <f>[1]NhapHang!G856</f>
        <v>0</v>
      </c>
      <c r="H856">
        <f>[1]NhapHang!H856</f>
        <v>0</v>
      </c>
    </row>
    <row r="857" spans="1:8">
      <c r="A857">
        <f>[1]NhapHang!A857</f>
        <v>0</v>
      </c>
      <c r="B857">
        <f>[1]NhapHang!B857</f>
        <v>0</v>
      </c>
      <c r="C857">
        <f>[1]NhapHang!C857</f>
        <v>0</v>
      </c>
      <c r="D857">
        <f>[1]NhapHang!D857</f>
        <v>0</v>
      </c>
      <c r="E857">
        <f>[1]NhapHang!E857</f>
        <v>0</v>
      </c>
      <c r="F857">
        <f>[1]NhapHang!F857</f>
        <v>0</v>
      </c>
      <c r="G857">
        <f>[1]NhapHang!G857</f>
        <v>0</v>
      </c>
      <c r="H857">
        <f>[1]NhapHang!H857</f>
        <v>0</v>
      </c>
    </row>
    <row r="858" spans="1:8">
      <c r="A858">
        <f>[1]NhapHang!A858</f>
        <v>0</v>
      </c>
      <c r="B858">
        <f>[1]NhapHang!B858</f>
        <v>0</v>
      </c>
      <c r="C858">
        <f>[1]NhapHang!C858</f>
        <v>0</v>
      </c>
      <c r="D858">
        <f>[1]NhapHang!D858</f>
        <v>0</v>
      </c>
      <c r="E858">
        <f>[1]NhapHang!E858</f>
        <v>0</v>
      </c>
      <c r="F858">
        <f>[1]NhapHang!F858</f>
        <v>0</v>
      </c>
      <c r="G858">
        <f>[1]NhapHang!G858</f>
        <v>0</v>
      </c>
      <c r="H858">
        <f>[1]NhapHang!H858</f>
        <v>0</v>
      </c>
    </row>
    <row r="859" spans="1:8">
      <c r="A859">
        <f>[1]NhapHang!A859</f>
        <v>0</v>
      </c>
      <c r="B859">
        <f>[1]NhapHang!B859</f>
        <v>0</v>
      </c>
      <c r="C859">
        <f>[1]NhapHang!C859</f>
        <v>0</v>
      </c>
      <c r="D859">
        <f>[1]NhapHang!D859</f>
        <v>0</v>
      </c>
      <c r="E859">
        <f>[1]NhapHang!E859</f>
        <v>0</v>
      </c>
      <c r="F859">
        <f>[1]NhapHang!F859</f>
        <v>0</v>
      </c>
      <c r="G859">
        <f>[1]NhapHang!G859</f>
        <v>0</v>
      </c>
      <c r="H859">
        <f>[1]NhapHang!H859</f>
        <v>0</v>
      </c>
    </row>
    <row r="860" spans="1:8">
      <c r="A860">
        <f>[1]NhapHang!A860</f>
        <v>0</v>
      </c>
      <c r="B860">
        <f>[1]NhapHang!B860</f>
        <v>0</v>
      </c>
      <c r="C860">
        <f>[1]NhapHang!C860</f>
        <v>0</v>
      </c>
      <c r="D860">
        <f>[1]NhapHang!D860</f>
        <v>0</v>
      </c>
      <c r="E860">
        <f>[1]NhapHang!E860</f>
        <v>0</v>
      </c>
      <c r="F860">
        <f>[1]NhapHang!F860</f>
        <v>0</v>
      </c>
      <c r="G860">
        <f>[1]NhapHang!G860</f>
        <v>0</v>
      </c>
      <c r="H860">
        <f>[1]NhapHang!H860</f>
        <v>0</v>
      </c>
    </row>
    <row r="861" spans="1:8">
      <c r="A861">
        <f>[1]NhapHang!A861</f>
        <v>0</v>
      </c>
      <c r="B861">
        <f>[1]NhapHang!B861</f>
        <v>0</v>
      </c>
      <c r="C861">
        <f>[1]NhapHang!C861</f>
        <v>0</v>
      </c>
      <c r="D861">
        <f>[1]NhapHang!D861</f>
        <v>0</v>
      </c>
      <c r="E861">
        <f>[1]NhapHang!E861</f>
        <v>0</v>
      </c>
      <c r="F861">
        <f>[1]NhapHang!F861</f>
        <v>0</v>
      </c>
      <c r="G861">
        <f>[1]NhapHang!G861</f>
        <v>0</v>
      </c>
      <c r="H861">
        <f>[1]NhapHang!H861</f>
        <v>0</v>
      </c>
    </row>
    <row r="862" spans="1:8">
      <c r="A862">
        <f>[1]NhapHang!A862</f>
        <v>0</v>
      </c>
      <c r="B862">
        <f>[1]NhapHang!B862</f>
        <v>0</v>
      </c>
      <c r="C862">
        <f>[1]NhapHang!C862</f>
        <v>0</v>
      </c>
      <c r="D862">
        <f>[1]NhapHang!D862</f>
        <v>0</v>
      </c>
      <c r="E862">
        <f>[1]NhapHang!E862</f>
        <v>0</v>
      </c>
      <c r="F862">
        <f>[1]NhapHang!F862</f>
        <v>0</v>
      </c>
      <c r="G862">
        <f>[1]NhapHang!G862</f>
        <v>0</v>
      </c>
      <c r="H862">
        <f>[1]NhapHang!H862</f>
        <v>0</v>
      </c>
    </row>
    <row r="863" spans="1:8">
      <c r="A863">
        <f>[1]NhapHang!A863</f>
        <v>0</v>
      </c>
      <c r="B863">
        <f>[1]NhapHang!B863</f>
        <v>0</v>
      </c>
      <c r="C863">
        <f>[1]NhapHang!C863</f>
        <v>0</v>
      </c>
      <c r="D863">
        <f>[1]NhapHang!D863</f>
        <v>0</v>
      </c>
      <c r="E863">
        <f>[1]NhapHang!E863</f>
        <v>0</v>
      </c>
      <c r="F863">
        <f>[1]NhapHang!F863</f>
        <v>0</v>
      </c>
      <c r="G863">
        <f>[1]NhapHang!G863</f>
        <v>0</v>
      </c>
      <c r="H863">
        <f>[1]NhapHang!H863</f>
        <v>0</v>
      </c>
    </row>
    <row r="864" spans="1:8">
      <c r="A864">
        <f>[1]NhapHang!A864</f>
        <v>0</v>
      </c>
      <c r="B864">
        <f>[1]NhapHang!B864</f>
        <v>0</v>
      </c>
      <c r="C864">
        <f>[1]NhapHang!C864</f>
        <v>0</v>
      </c>
      <c r="D864">
        <f>[1]NhapHang!D864</f>
        <v>0</v>
      </c>
      <c r="E864">
        <f>[1]NhapHang!E864</f>
        <v>0</v>
      </c>
      <c r="F864">
        <f>[1]NhapHang!F864</f>
        <v>0</v>
      </c>
      <c r="G864">
        <f>[1]NhapHang!G864</f>
        <v>0</v>
      </c>
      <c r="H864">
        <f>[1]NhapHang!H864</f>
        <v>0</v>
      </c>
    </row>
    <row r="865" spans="1:8">
      <c r="A865">
        <f>[1]NhapHang!A865</f>
        <v>0</v>
      </c>
      <c r="B865">
        <f>[1]NhapHang!B865</f>
        <v>0</v>
      </c>
      <c r="C865">
        <f>[1]NhapHang!C865</f>
        <v>0</v>
      </c>
      <c r="D865">
        <f>[1]NhapHang!D865</f>
        <v>0</v>
      </c>
      <c r="E865">
        <f>[1]NhapHang!E865</f>
        <v>0</v>
      </c>
      <c r="F865">
        <f>[1]NhapHang!F865</f>
        <v>0</v>
      </c>
      <c r="G865">
        <f>[1]NhapHang!G865</f>
        <v>0</v>
      </c>
      <c r="H865">
        <f>[1]NhapHang!H865</f>
        <v>0</v>
      </c>
    </row>
    <row r="866" spans="1:8">
      <c r="A866">
        <f>[1]NhapHang!A866</f>
        <v>0</v>
      </c>
      <c r="B866">
        <f>[1]NhapHang!B866</f>
        <v>0</v>
      </c>
      <c r="C866">
        <f>[1]NhapHang!C866</f>
        <v>0</v>
      </c>
      <c r="D866">
        <f>[1]NhapHang!D866</f>
        <v>0</v>
      </c>
      <c r="E866">
        <f>[1]NhapHang!E866</f>
        <v>0</v>
      </c>
      <c r="F866">
        <f>[1]NhapHang!F866</f>
        <v>0</v>
      </c>
      <c r="G866">
        <f>[1]NhapHang!G866</f>
        <v>0</v>
      </c>
      <c r="H866">
        <f>[1]NhapHang!H866</f>
        <v>0</v>
      </c>
    </row>
    <row r="867" spans="1:8">
      <c r="A867">
        <f>[1]NhapHang!A867</f>
        <v>0</v>
      </c>
      <c r="B867">
        <f>[1]NhapHang!B867</f>
        <v>0</v>
      </c>
      <c r="C867">
        <f>[1]NhapHang!C867</f>
        <v>0</v>
      </c>
      <c r="D867">
        <f>[1]NhapHang!D867</f>
        <v>0</v>
      </c>
      <c r="E867">
        <f>[1]NhapHang!E867</f>
        <v>0</v>
      </c>
      <c r="F867">
        <f>[1]NhapHang!F867</f>
        <v>0</v>
      </c>
      <c r="G867">
        <f>[1]NhapHang!G867</f>
        <v>0</v>
      </c>
      <c r="H867">
        <f>[1]NhapHang!H867</f>
        <v>0</v>
      </c>
    </row>
    <row r="868" spans="1:8">
      <c r="A868">
        <f>[1]NhapHang!A868</f>
        <v>0</v>
      </c>
      <c r="B868">
        <f>[1]NhapHang!B868</f>
        <v>0</v>
      </c>
      <c r="C868">
        <f>[1]NhapHang!C868</f>
        <v>0</v>
      </c>
      <c r="D868">
        <f>[1]NhapHang!D868</f>
        <v>0</v>
      </c>
      <c r="E868">
        <f>[1]NhapHang!E868</f>
        <v>0</v>
      </c>
      <c r="F868">
        <f>[1]NhapHang!F868</f>
        <v>0</v>
      </c>
      <c r="G868">
        <f>[1]NhapHang!G868</f>
        <v>0</v>
      </c>
      <c r="H868">
        <f>[1]NhapHang!H868</f>
        <v>0</v>
      </c>
    </row>
    <row r="869" spans="1:8">
      <c r="A869">
        <f>[1]NhapHang!A869</f>
        <v>0</v>
      </c>
      <c r="B869">
        <f>[1]NhapHang!B869</f>
        <v>0</v>
      </c>
      <c r="C869">
        <f>[1]NhapHang!C869</f>
        <v>0</v>
      </c>
      <c r="D869">
        <f>[1]NhapHang!D869</f>
        <v>0</v>
      </c>
      <c r="E869">
        <f>[1]NhapHang!E869</f>
        <v>0</v>
      </c>
      <c r="F869">
        <f>[1]NhapHang!F869</f>
        <v>0</v>
      </c>
      <c r="G869">
        <f>[1]NhapHang!G869</f>
        <v>0</v>
      </c>
      <c r="H869">
        <f>[1]NhapHang!H869</f>
        <v>0</v>
      </c>
    </row>
    <row r="870" spans="1:8">
      <c r="A870">
        <f>[1]NhapHang!A870</f>
        <v>0</v>
      </c>
      <c r="B870">
        <f>[1]NhapHang!B870</f>
        <v>0</v>
      </c>
      <c r="C870">
        <f>[1]NhapHang!C870</f>
        <v>0</v>
      </c>
      <c r="D870">
        <f>[1]NhapHang!D870</f>
        <v>0</v>
      </c>
      <c r="E870">
        <f>[1]NhapHang!E870</f>
        <v>0</v>
      </c>
      <c r="F870">
        <f>[1]NhapHang!F870</f>
        <v>0</v>
      </c>
      <c r="G870">
        <f>[1]NhapHang!G870</f>
        <v>0</v>
      </c>
      <c r="H870">
        <f>[1]NhapHang!H870</f>
        <v>0</v>
      </c>
    </row>
    <row r="871" spans="1:8">
      <c r="A871">
        <f>[1]NhapHang!A871</f>
        <v>0</v>
      </c>
      <c r="B871">
        <f>[1]NhapHang!B871</f>
        <v>0</v>
      </c>
      <c r="C871">
        <f>[1]NhapHang!C871</f>
        <v>0</v>
      </c>
      <c r="D871">
        <f>[1]NhapHang!D871</f>
        <v>0</v>
      </c>
      <c r="E871">
        <f>[1]NhapHang!E871</f>
        <v>0</v>
      </c>
      <c r="F871">
        <f>[1]NhapHang!F871</f>
        <v>0</v>
      </c>
      <c r="G871">
        <f>[1]NhapHang!G871</f>
        <v>0</v>
      </c>
      <c r="H871">
        <f>[1]NhapHang!H871</f>
        <v>0</v>
      </c>
    </row>
    <row r="872" spans="1:8">
      <c r="A872">
        <f>[1]NhapHang!A872</f>
        <v>0</v>
      </c>
      <c r="B872">
        <f>[1]NhapHang!B872</f>
        <v>0</v>
      </c>
      <c r="C872">
        <f>[1]NhapHang!C872</f>
        <v>0</v>
      </c>
      <c r="D872">
        <f>[1]NhapHang!D872</f>
        <v>0</v>
      </c>
      <c r="E872">
        <f>[1]NhapHang!E872</f>
        <v>0</v>
      </c>
      <c r="F872">
        <f>[1]NhapHang!F872</f>
        <v>0</v>
      </c>
      <c r="G872">
        <f>[1]NhapHang!G872</f>
        <v>0</v>
      </c>
      <c r="H872">
        <f>[1]NhapHang!H872</f>
        <v>0</v>
      </c>
    </row>
    <row r="873" spans="1:8">
      <c r="A873">
        <f>[1]NhapHang!A873</f>
        <v>0</v>
      </c>
      <c r="B873">
        <f>[1]NhapHang!B873</f>
        <v>0</v>
      </c>
      <c r="C873">
        <f>[1]NhapHang!C873</f>
        <v>0</v>
      </c>
      <c r="D873">
        <f>[1]NhapHang!D873</f>
        <v>0</v>
      </c>
      <c r="E873">
        <f>[1]NhapHang!E873</f>
        <v>0</v>
      </c>
      <c r="F873">
        <f>[1]NhapHang!F873</f>
        <v>0</v>
      </c>
      <c r="G873">
        <f>[1]NhapHang!G873</f>
        <v>0</v>
      </c>
      <c r="H873">
        <f>[1]NhapHang!H873</f>
        <v>0</v>
      </c>
    </row>
    <row r="874" spans="1:8">
      <c r="A874">
        <f>[1]NhapHang!A874</f>
        <v>0</v>
      </c>
      <c r="B874">
        <f>[1]NhapHang!B874</f>
        <v>0</v>
      </c>
      <c r="C874">
        <f>[1]NhapHang!C874</f>
        <v>0</v>
      </c>
      <c r="D874">
        <f>[1]NhapHang!D874</f>
        <v>0</v>
      </c>
      <c r="E874">
        <f>[1]NhapHang!E874</f>
        <v>0</v>
      </c>
      <c r="F874">
        <f>[1]NhapHang!F874</f>
        <v>0</v>
      </c>
      <c r="G874">
        <f>[1]NhapHang!G874</f>
        <v>0</v>
      </c>
      <c r="H874">
        <f>[1]NhapHang!H874</f>
        <v>0</v>
      </c>
    </row>
    <row r="875" spans="1:8">
      <c r="A875">
        <f>[1]NhapHang!A875</f>
        <v>0</v>
      </c>
      <c r="B875">
        <f>[1]NhapHang!B875</f>
        <v>0</v>
      </c>
      <c r="C875">
        <f>[1]NhapHang!C875</f>
        <v>0</v>
      </c>
      <c r="D875">
        <f>[1]NhapHang!D875</f>
        <v>0</v>
      </c>
      <c r="E875">
        <f>[1]NhapHang!E875</f>
        <v>0</v>
      </c>
      <c r="F875">
        <f>[1]NhapHang!F875</f>
        <v>0</v>
      </c>
      <c r="G875">
        <f>[1]NhapHang!G875</f>
        <v>0</v>
      </c>
      <c r="H875">
        <f>[1]NhapHang!H875</f>
        <v>0</v>
      </c>
    </row>
    <row r="876" spans="1:8">
      <c r="A876">
        <f>[1]NhapHang!A876</f>
        <v>0</v>
      </c>
      <c r="B876">
        <f>[1]NhapHang!B876</f>
        <v>0</v>
      </c>
      <c r="C876">
        <f>[1]NhapHang!C876</f>
        <v>0</v>
      </c>
      <c r="D876">
        <f>[1]NhapHang!D876</f>
        <v>0</v>
      </c>
      <c r="E876">
        <f>[1]NhapHang!E876</f>
        <v>0</v>
      </c>
      <c r="F876">
        <f>[1]NhapHang!F876</f>
        <v>0</v>
      </c>
      <c r="G876">
        <f>[1]NhapHang!G876</f>
        <v>0</v>
      </c>
      <c r="H876">
        <f>[1]NhapHang!H876</f>
        <v>0</v>
      </c>
    </row>
    <row r="877" spans="1:8">
      <c r="A877">
        <f>[1]NhapHang!A877</f>
        <v>0</v>
      </c>
      <c r="B877">
        <f>[1]NhapHang!B877</f>
        <v>0</v>
      </c>
      <c r="C877">
        <f>[1]NhapHang!C877</f>
        <v>0</v>
      </c>
      <c r="D877">
        <f>[1]NhapHang!D877</f>
        <v>0</v>
      </c>
      <c r="E877">
        <f>[1]NhapHang!E877</f>
        <v>0</v>
      </c>
      <c r="F877">
        <f>[1]NhapHang!F877</f>
        <v>0</v>
      </c>
      <c r="G877">
        <f>[1]NhapHang!G877</f>
        <v>0</v>
      </c>
      <c r="H877">
        <f>[1]NhapHang!H877</f>
        <v>0</v>
      </c>
    </row>
    <row r="878" spans="1:8">
      <c r="A878">
        <f>[1]NhapHang!A878</f>
        <v>0</v>
      </c>
      <c r="B878">
        <f>[1]NhapHang!B878</f>
        <v>0</v>
      </c>
      <c r="C878">
        <f>[1]NhapHang!C878</f>
        <v>0</v>
      </c>
      <c r="D878">
        <f>[1]NhapHang!D878</f>
        <v>0</v>
      </c>
      <c r="E878">
        <f>[1]NhapHang!E878</f>
        <v>0</v>
      </c>
      <c r="F878">
        <f>[1]NhapHang!F878</f>
        <v>0</v>
      </c>
      <c r="G878">
        <f>[1]NhapHang!G878</f>
        <v>0</v>
      </c>
      <c r="H878">
        <f>[1]NhapHang!H878</f>
        <v>0</v>
      </c>
    </row>
    <row r="879" spans="1:8">
      <c r="A879">
        <f>[1]NhapHang!A879</f>
        <v>0</v>
      </c>
      <c r="B879">
        <f>[1]NhapHang!B879</f>
        <v>0</v>
      </c>
      <c r="C879">
        <f>[1]NhapHang!C879</f>
        <v>0</v>
      </c>
      <c r="D879">
        <f>[1]NhapHang!D879</f>
        <v>0</v>
      </c>
      <c r="E879">
        <f>[1]NhapHang!E879</f>
        <v>0</v>
      </c>
      <c r="F879">
        <f>[1]NhapHang!F879</f>
        <v>0</v>
      </c>
      <c r="G879">
        <f>[1]NhapHang!G879</f>
        <v>0</v>
      </c>
      <c r="H879">
        <f>[1]NhapHang!H879</f>
        <v>0</v>
      </c>
    </row>
    <row r="880" spans="1:8">
      <c r="A880">
        <f>[1]NhapHang!A880</f>
        <v>0</v>
      </c>
      <c r="B880">
        <f>[1]NhapHang!B880</f>
        <v>0</v>
      </c>
      <c r="C880">
        <f>[1]NhapHang!C880</f>
        <v>0</v>
      </c>
      <c r="D880">
        <f>[1]NhapHang!D880</f>
        <v>0</v>
      </c>
      <c r="E880">
        <f>[1]NhapHang!E880</f>
        <v>0</v>
      </c>
      <c r="F880">
        <f>[1]NhapHang!F880</f>
        <v>0</v>
      </c>
      <c r="G880">
        <f>[1]NhapHang!G880</f>
        <v>0</v>
      </c>
      <c r="H880">
        <f>[1]NhapHang!H880</f>
        <v>0</v>
      </c>
    </row>
    <row r="881" spans="1:8">
      <c r="A881">
        <f>[1]NhapHang!A881</f>
        <v>0</v>
      </c>
      <c r="B881">
        <f>[1]NhapHang!B881</f>
        <v>0</v>
      </c>
      <c r="C881">
        <f>[1]NhapHang!C881</f>
        <v>0</v>
      </c>
      <c r="D881">
        <f>[1]NhapHang!D881</f>
        <v>0</v>
      </c>
      <c r="E881">
        <f>[1]NhapHang!E881</f>
        <v>0</v>
      </c>
      <c r="F881">
        <f>[1]NhapHang!F881</f>
        <v>0</v>
      </c>
      <c r="G881">
        <f>[1]NhapHang!G881</f>
        <v>0</v>
      </c>
      <c r="H881">
        <f>[1]NhapHang!H881</f>
        <v>0</v>
      </c>
    </row>
    <row r="882" spans="1:8">
      <c r="A882">
        <f>[1]NhapHang!A882</f>
        <v>0</v>
      </c>
      <c r="B882">
        <f>[1]NhapHang!B882</f>
        <v>0</v>
      </c>
      <c r="C882">
        <f>[1]NhapHang!C882</f>
        <v>0</v>
      </c>
      <c r="D882">
        <f>[1]NhapHang!D882</f>
        <v>0</v>
      </c>
      <c r="E882">
        <f>[1]NhapHang!E882</f>
        <v>0</v>
      </c>
      <c r="F882">
        <f>[1]NhapHang!F882</f>
        <v>0</v>
      </c>
      <c r="G882">
        <f>[1]NhapHang!G882</f>
        <v>0</v>
      </c>
      <c r="H882">
        <f>[1]NhapHang!H882</f>
        <v>0</v>
      </c>
    </row>
    <row r="883" spans="1:8">
      <c r="A883">
        <f>[1]NhapHang!A883</f>
        <v>0</v>
      </c>
      <c r="B883">
        <f>[1]NhapHang!B883</f>
        <v>0</v>
      </c>
      <c r="C883">
        <f>[1]NhapHang!C883</f>
        <v>0</v>
      </c>
      <c r="D883">
        <f>[1]NhapHang!D883</f>
        <v>0</v>
      </c>
      <c r="E883">
        <f>[1]NhapHang!E883</f>
        <v>0</v>
      </c>
      <c r="F883">
        <f>[1]NhapHang!F883</f>
        <v>0</v>
      </c>
      <c r="G883">
        <f>[1]NhapHang!G883</f>
        <v>0</v>
      </c>
      <c r="H883">
        <f>[1]NhapHang!H883</f>
        <v>0</v>
      </c>
    </row>
    <row r="884" spans="1:8">
      <c r="A884">
        <f>[1]NhapHang!A884</f>
        <v>0</v>
      </c>
      <c r="B884">
        <f>[1]NhapHang!B884</f>
        <v>0</v>
      </c>
      <c r="C884">
        <f>[1]NhapHang!C884</f>
        <v>0</v>
      </c>
      <c r="D884">
        <f>[1]NhapHang!D884</f>
        <v>0</v>
      </c>
      <c r="E884">
        <f>[1]NhapHang!E884</f>
        <v>0</v>
      </c>
      <c r="F884">
        <f>[1]NhapHang!F884</f>
        <v>0</v>
      </c>
      <c r="G884">
        <f>[1]NhapHang!G884</f>
        <v>0</v>
      </c>
      <c r="H884">
        <f>[1]NhapHang!H884</f>
        <v>0</v>
      </c>
    </row>
    <row r="885" spans="1:8">
      <c r="A885">
        <f>[1]NhapHang!A885</f>
        <v>0</v>
      </c>
      <c r="B885">
        <f>[1]NhapHang!B885</f>
        <v>0</v>
      </c>
      <c r="C885">
        <f>[1]NhapHang!C885</f>
        <v>0</v>
      </c>
      <c r="D885">
        <f>[1]NhapHang!D885</f>
        <v>0</v>
      </c>
      <c r="E885">
        <f>[1]NhapHang!E885</f>
        <v>0</v>
      </c>
      <c r="F885">
        <f>[1]NhapHang!F885</f>
        <v>0</v>
      </c>
      <c r="G885">
        <f>[1]NhapHang!G885</f>
        <v>0</v>
      </c>
      <c r="H885">
        <f>[1]NhapHang!H885</f>
        <v>0</v>
      </c>
    </row>
    <row r="886" spans="1:8">
      <c r="A886">
        <f>[1]NhapHang!A886</f>
        <v>0</v>
      </c>
      <c r="B886">
        <f>[1]NhapHang!B886</f>
        <v>0</v>
      </c>
      <c r="C886">
        <f>[1]NhapHang!C886</f>
        <v>0</v>
      </c>
      <c r="D886">
        <f>[1]NhapHang!D886</f>
        <v>0</v>
      </c>
      <c r="E886">
        <f>[1]NhapHang!E886</f>
        <v>0</v>
      </c>
      <c r="F886">
        <f>[1]NhapHang!F886</f>
        <v>0</v>
      </c>
      <c r="G886">
        <f>[1]NhapHang!G886</f>
        <v>0</v>
      </c>
      <c r="H886">
        <f>[1]NhapHang!H886</f>
        <v>0</v>
      </c>
    </row>
    <row r="887" spans="1:8">
      <c r="A887">
        <f>[1]NhapHang!A887</f>
        <v>0</v>
      </c>
      <c r="B887">
        <f>[1]NhapHang!B887</f>
        <v>0</v>
      </c>
      <c r="C887">
        <f>[1]NhapHang!C887</f>
        <v>0</v>
      </c>
      <c r="D887">
        <f>[1]NhapHang!D887</f>
        <v>0</v>
      </c>
      <c r="E887">
        <f>[1]NhapHang!E887</f>
        <v>0</v>
      </c>
      <c r="F887">
        <f>[1]NhapHang!F887</f>
        <v>0</v>
      </c>
      <c r="G887">
        <f>[1]NhapHang!G887</f>
        <v>0</v>
      </c>
      <c r="H887">
        <f>[1]NhapHang!H887</f>
        <v>0</v>
      </c>
    </row>
    <row r="888" spans="1:8">
      <c r="A888">
        <f>[1]NhapHang!A888</f>
        <v>0</v>
      </c>
      <c r="B888">
        <f>[1]NhapHang!B888</f>
        <v>0</v>
      </c>
      <c r="C888">
        <f>[1]NhapHang!C888</f>
        <v>0</v>
      </c>
      <c r="D888">
        <f>[1]NhapHang!D888</f>
        <v>0</v>
      </c>
      <c r="E888">
        <f>[1]NhapHang!E888</f>
        <v>0</v>
      </c>
      <c r="F888">
        <f>[1]NhapHang!F888</f>
        <v>0</v>
      </c>
      <c r="G888">
        <f>[1]NhapHang!G888</f>
        <v>0</v>
      </c>
      <c r="H888">
        <f>[1]NhapHang!H888</f>
        <v>0</v>
      </c>
    </row>
    <row r="889" spans="1:8">
      <c r="A889">
        <f>[1]NhapHang!A889</f>
        <v>0</v>
      </c>
      <c r="B889">
        <f>[1]NhapHang!B889</f>
        <v>0</v>
      </c>
      <c r="C889">
        <f>[1]NhapHang!C889</f>
        <v>0</v>
      </c>
      <c r="D889">
        <f>[1]NhapHang!D889</f>
        <v>0</v>
      </c>
      <c r="E889">
        <f>[1]NhapHang!E889</f>
        <v>0</v>
      </c>
      <c r="F889">
        <f>[1]NhapHang!F889</f>
        <v>0</v>
      </c>
      <c r="G889">
        <f>[1]NhapHang!G889</f>
        <v>0</v>
      </c>
      <c r="H889">
        <f>[1]NhapHang!H889</f>
        <v>0</v>
      </c>
    </row>
    <row r="890" spans="1:8">
      <c r="A890">
        <f>[1]NhapHang!A890</f>
        <v>0</v>
      </c>
      <c r="B890">
        <f>[1]NhapHang!B890</f>
        <v>0</v>
      </c>
      <c r="C890">
        <f>[1]NhapHang!C890</f>
        <v>0</v>
      </c>
      <c r="D890">
        <f>[1]NhapHang!D890</f>
        <v>0</v>
      </c>
      <c r="E890">
        <f>[1]NhapHang!E890</f>
        <v>0</v>
      </c>
      <c r="F890">
        <f>[1]NhapHang!F890</f>
        <v>0</v>
      </c>
      <c r="G890">
        <f>[1]NhapHang!G890</f>
        <v>0</v>
      </c>
      <c r="H890">
        <f>[1]NhapHang!H890</f>
        <v>0</v>
      </c>
    </row>
    <row r="891" spans="1:8">
      <c r="A891">
        <f>[1]NhapHang!A891</f>
        <v>0</v>
      </c>
      <c r="B891">
        <f>[1]NhapHang!B891</f>
        <v>0</v>
      </c>
      <c r="C891">
        <f>[1]NhapHang!C891</f>
        <v>0</v>
      </c>
      <c r="D891">
        <f>[1]NhapHang!D891</f>
        <v>0</v>
      </c>
      <c r="E891">
        <f>[1]NhapHang!E891</f>
        <v>0</v>
      </c>
      <c r="F891">
        <f>[1]NhapHang!F891</f>
        <v>0</v>
      </c>
      <c r="G891">
        <f>[1]NhapHang!G891</f>
        <v>0</v>
      </c>
      <c r="H891">
        <f>[1]NhapHang!H891</f>
        <v>0</v>
      </c>
    </row>
    <row r="892" spans="1:8">
      <c r="A892">
        <f>[1]NhapHang!A892</f>
        <v>0</v>
      </c>
      <c r="B892">
        <f>[1]NhapHang!B892</f>
        <v>0</v>
      </c>
      <c r="C892">
        <f>[1]NhapHang!C892</f>
        <v>0</v>
      </c>
      <c r="D892">
        <f>[1]NhapHang!D892</f>
        <v>0</v>
      </c>
      <c r="E892">
        <f>[1]NhapHang!E892</f>
        <v>0</v>
      </c>
      <c r="F892">
        <f>[1]NhapHang!F892</f>
        <v>0</v>
      </c>
      <c r="G892">
        <f>[1]NhapHang!G892</f>
        <v>0</v>
      </c>
      <c r="H892">
        <f>[1]NhapHang!H892</f>
        <v>0</v>
      </c>
    </row>
    <row r="893" spans="1:8">
      <c r="A893">
        <f>[1]NhapHang!A893</f>
        <v>0</v>
      </c>
      <c r="B893">
        <f>[1]NhapHang!B893</f>
        <v>0</v>
      </c>
      <c r="C893">
        <f>[1]NhapHang!C893</f>
        <v>0</v>
      </c>
      <c r="D893">
        <f>[1]NhapHang!D893</f>
        <v>0</v>
      </c>
      <c r="E893">
        <f>[1]NhapHang!E893</f>
        <v>0</v>
      </c>
      <c r="F893">
        <f>[1]NhapHang!F893</f>
        <v>0</v>
      </c>
      <c r="G893">
        <f>[1]NhapHang!G893</f>
        <v>0</v>
      </c>
      <c r="H893">
        <f>[1]NhapHang!H893</f>
        <v>0</v>
      </c>
    </row>
    <row r="894" spans="1:8">
      <c r="A894">
        <f>[1]NhapHang!A894</f>
        <v>0</v>
      </c>
      <c r="B894">
        <f>[1]NhapHang!B894</f>
        <v>0</v>
      </c>
      <c r="C894">
        <f>[1]NhapHang!C894</f>
        <v>0</v>
      </c>
      <c r="D894">
        <f>[1]NhapHang!D894</f>
        <v>0</v>
      </c>
      <c r="E894">
        <f>[1]NhapHang!E894</f>
        <v>0</v>
      </c>
      <c r="F894">
        <f>[1]NhapHang!F894</f>
        <v>0</v>
      </c>
      <c r="G894">
        <f>[1]NhapHang!G894</f>
        <v>0</v>
      </c>
      <c r="H894">
        <f>[1]NhapHang!H894</f>
        <v>0</v>
      </c>
    </row>
    <row r="895" spans="1:8">
      <c r="A895">
        <f>[1]NhapHang!A895</f>
        <v>0</v>
      </c>
      <c r="B895">
        <f>[1]NhapHang!B895</f>
        <v>0</v>
      </c>
      <c r="C895">
        <f>[1]NhapHang!C895</f>
        <v>0</v>
      </c>
      <c r="D895">
        <f>[1]NhapHang!D895</f>
        <v>0</v>
      </c>
      <c r="E895">
        <f>[1]NhapHang!E895</f>
        <v>0</v>
      </c>
      <c r="F895">
        <f>[1]NhapHang!F895</f>
        <v>0</v>
      </c>
      <c r="G895">
        <f>[1]NhapHang!G895</f>
        <v>0</v>
      </c>
      <c r="H895">
        <f>[1]NhapHang!H895</f>
        <v>0</v>
      </c>
    </row>
    <row r="896" spans="1:8">
      <c r="A896">
        <f>[1]NhapHang!A896</f>
        <v>0</v>
      </c>
      <c r="B896">
        <f>[1]NhapHang!B896</f>
        <v>0</v>
      </c>
      <c r="C896">
        <f>[1]NhapHang!C896</f>
        <v>0</v>
      </c>
      <c r="D896">
        <f>[1]NhapHang!D896</f>
        <v>0</v>
      </c>
      <c r="E896">
        <f>[1]NhapHang!E896</f>
        <v>0</v>
      </c>
      <c r="F896">
        <f>[1]NhapHang!F896</f>
        <v>0</v>
      </c>
      <c r="G896">
        <f>[1]NhapHang!G896</f>
        <v>0</v>
      </c>
      <c r="H896">
        <f>[1]NhapHang!H896</f>
        <v>0</v>
      </c>
    </row>
    <row r="897" spans="1:8">
      <c r="A897">
        <f>[1]NhapHang!A897</f>
        <v>0</v>
      </c>
      <c r="B897">
        <f>[1]NhapHang!B897</f>
        <v>0</v>
      </c>
      <c r="C897">
        <f>[1]NhapHang!C897</f>
        <v>0</v>
      </c>
      <c r="D897">
        <f>[1]NhapHang!D897</f>
        <v>0</v>
      </c>
      <c r="E897">
        <f>[1]NhapHang!E897</f>
        <v>0</v>
      </c>
      <c r="F897">
        <f>[1]NhapHang!F897</f>
        <v>0</v>
      </c>
      <c r="G897">
        <f>[1]NhapHang!G897</f>
        <v>0</v>
      </c>
      <c r="H897">
        <f>[1]NhapHang!H897</f>
        <v>0</v>
      </c>
    </row>
    <row r="898" spans="1:8">
      <c r="A898">
        <f>[1]NhapHang!A898</f>
        <v>0</v>
      </c>
      <c r="B898">
        <f>[1]NhapHang!B898</f>
        <v>0</v>
      </c>
      <c r="C898">
        <f>[1]NhapHang!C898</f>
        <v>0</v>
      </c>
      <c r="D898">
        <f>[1]NhapHang!D898</f>
        <v>0</v>
      </c>
      <c r="E898">
        <f>[1]NhapHang!E898</f>
        <v>0</v>
      </c>
      <c r="F898">
        <f>[1]NhapHang!F898</f>
        <v>0</v>
      </c>
      <c r="G898">
        <f>[1]NhapHang!G898</f>
        <v>0</v>
      </c>
      <c r="H898">
        <f>[1]NhapHang!H898</f>
        <v>0</v>
      </c>
    </row>
    <row r="899" spans="1:8">
      <c r="A899">
        <f>[1]NhapHang!A899</f>
        <v>0</v>
      </c>
      <c r="B899">
        <f>[1]NhapHang!B899</f>
        <v>0</v>
      </c>
      <c r="C899">
        <f>[1]NhapHang!C899</f>
        <v>0</v>
      </c>
      <c r="D899">
        <f>[1]NhapHang!D899</f>
        <v>0</v>
      </c>
      <c r="E899">
        <f>[1]NhapHang!E899</f>
        <v>0</v>
      </c>
      <c r="F899">
        <f>[1]NhapHang!F899</f>
        <v>0</v>
      </c>
      <c r="G899">
        <f>[1]NhapHang!G899</f>
        <v>0</v>
      </c>
      <c r="H899">
        <f>[1]NhapHang!H899</f>
        <v>0</v>
      </c>
    </row>
    <row r="900" spans="1:8">
      <c r="A900">
        <f>[1]NhapHang!A900</f>
        <v>0</v>
      </c>
      <c r="B900">
        <f>[1]NhapHang!B900</f>
        <v>0</v>
      </c>
      <c r="C900">
        <f>[1]NhapHang!C900</f>
        <v>0</v>
      </c>
      <c r="D900">
        <f>[1]NhapHang!D900</f>
        <v>0</v>
      </c>
      <c r="E900">
        <f>[1]NhapHang!E900</f>
        <v>0</v>
      </c>
      <c r="F900">
        <f>[1]NhapHang!F900</f>
        <v>0</v>
      </c>
      <c r="G900">
        <f>[1]NhapHang!G900</f>
        <v>0</v>
      </c>
      <c r="H900">
        <f>[1]NhapHang!H900</f>
        <v>0</v>
      </c>
    </row>
    <row r="901" spans="1:8">
      <c r="A901">
        <f>[1]NhapHang!A901</f>
        <v>0</v>
      </c>
      <c r="B901">
        <f>[1]NhapHang!B901</f>
        <v>0</v>
      </c>
      <c r="C901">
        <f>[1]NhapHang!C901</f>
        <v>0</v>
      </c>
      <c r="D901">
        <f>[1]NhapHang!D901</f>
        <v>0</v>
      </c>
      <c r="E901">
        <f>[1]NhapHang!E901</f>
        <v>0</v>
      </c>
      <c r="F901">
        <f>[1]NhapHang!F901</f>
        <v>0</v>
      </c>
      <c r="G901">
        <f>[1]NhapHang!G901</f>
        <v>0</v>
      </c>
      <c r="H901">
        <f>[1]NhapHang!H901</f>
        <v>0</v>
      </c>
    </row>
    <row r="902" spans="1:8">
      <c r="A902">
        <f>[1]NhapHang!A902</f>
        <v>0</v>
      </c>
      <c r="B902">
        <f>[1]NhapHang!B902</f>
        <v>0</v>
      </c>
      <c r="C902">
        <f>[1]NhapHang!C902</f>
        <v>0</v>
      </c>
      <c r="D902">
        <f>[1]NhapHang!D902</f>
        <v>0</v>
      </c>
      <c r="E902">
        <f>[1]NhapHang!E902</f>
        <v>0</v>
      </c>
      <c r="F902">
        <f>[1]NhapHang!F902</f>
        <v>0</v>
      </c>
      <c r="G902">
        <f>[1]NhapHang!G902</f>
        <v>0</v>
      </c>
      <c r="H902">
        <f>[1]NhapHang!H902</f>
        <v>0</v>
      </c>
    </row>
    <row r="903" spans="1:8">
      <c r="A903">
        <f>[1]NhapHang!A903</f>
        <v>0</v>
      </c>
      <c r="B903">
        <f>[1]NhapHang!B903</f>
        <v>0</v>
      </c>
      <c r="C903">
        <f>[1]NhapHang!C903</f>
        <v>0</v>
      </c>
      <c r="D903">
        <f>[1]NhapHang!D903</f>
        <v>0</v>
      </c>
      <c r="E903">
        <f>[1]NhapHang!E903</f>
        <v>0</v>
      </c>
      <c r="F903">
        <f>[1]NhapHang!F903</f>
        <v>0</v>
      </c>
      <c r="G903">
        <f>[1]NhapHang!G903</f>
        <v>0</v>
      </c>
      <c r="H903">
        <f>[1]NhapHang!H903</f>
        <v>0</v>
      </c>
    </row>
    <row r="904" spans="1:8">
      <c r="A904">
        <f>[1]NhapHang!A904</f>
        <v>0</v>
      </c>
      <c r="B904">
        <f>[1]NhapHang!B904</f>
        <v>0</v>
      </c>
      <c r="C904">
        <f>[1]NhapHang!C904</f>
        <v>0</v>
      </c>
      <c r="D904">
        <f>[1]NhapHang!D904</f>
        <v>0</v>
      </c>
      <c r="E904">
        <f>[1]NhapHang!E904</f>
        <v>0</v>
      </c>
      <c r="F904">
        <f>[1]NhapHang!F904</f>
        <v>0</v>
      </c>
      <c r="G904">
        <f>[1]NhapHang!G904</f>
        <v>0</v>
      </c>
      <c r="H904">
        <f>[1]NhapHang!H904</f>
        <v>0</v>
      </c>
    </row>
    <row r="905" spans="1:8">
      <c r="A905">
        <f>[1]NhapHang!A905</f>
        <v>0</v>
      </c>
      <c r="B905">
        <f>[1]NhapHang!B905</f>
        <v>0</v>
      </c>
      <c r="C905">
        <f>[1]NhapHang!C905</f>
        <v>0</v>
      </c>
      <c r="D905">
        <f>[1]NhapHang!D905</f>
        <v>0</v>
      </c>
      <c r="E905">
        <f>[1]NhapHang!E905</f>
        <v>0</v>
      </c>
      <c r="F905">
        <f>[1]NhapHang!F905</f>
        <v>0</v>
      </c>
      <c r="G905">
        <f>[1]NhapHang!G905</f>
        <v>0</v>
      </c>
      <c r="H905">
        <f>[1]NhapHang!H905</f>
        <v>0</v>
      </c>
    </row>
    <row r="906" spans="1:8">
      <c r="A906">
        <f>[1]NhapHang!A906</f>
        <v>0</v>
      </c>
      <c r="B906">
        <f>[1]NhapHang!B906</f>
        <v>0</v>
      </c>
      <c r="C906">
        <f>[1]NhapHang!C906</f>
        <v>0</v>
      </c>
      <c r="D906">
        <f>[1]NhapHang!D906</f>
        <v>0</v>
      </c>
      <c r="E906">
        <f>[1]NhapHang!E906</f>
        <v>0</v>
      </c>
      <c r="F906">
        <f>[1]NhapHang!F906</f>
        <v>0</v>
      </c>
      <c r="G906">
        <f>[1]NhapHang!G906</f>
        <v>0</v>
      </c>
      <c r="H906">
        <f>[1]NhapHang!H906</f>
        <v>0</v>
      </c>
    </row>
    <row r="907" spans="1:8">
      <c r="A907">
        <f>[1]NhapHang!A907</f>
        <v>0</v>
      </c>
      <c r="B907">
        <f>[1]NhapHang!B907</f>
        <v>0</v>
      </c>
      <c r="C907">
        <f>[1]NhapHang!C907</f>
        <v>0</v>
      </c>
      <c r="D907">
        <f>[1]NhapHang!D907</f>
        <v>0</v>
      </c>
      <c r="E907">
        <f>[1]NhapHang!E907</f>
        <v>0</v>
      </c>
      <c r="F907">
        <f>[1]NhapHang!F907</f>
        <v>0</v>
      </c>
      <c r="G907">
        <f>[1]NhapHang!G907</f>
        <v>0</v>
      </c>
      <c r="H907">
        <f>[1]NhapHang!H907</f>
        <v>0</v>
      </c>
    </row>
    <row r="908" spans="1:8">
      <c r="A908">
        <f>[1]NhapHang!A908</f>
        <v>0</v>
      </c>
      <c r="B908">
        <f>[1]NhapHang!B908</f>
        <v>0</v>
      </c>
      <c r="C908">
        <f>[1]NhapHang!C908</f>
        <v>0</v>
      </c>
      <c r="D908">
        <f>[1]NhapHang!D908</f>
        <v>0</v>
      </c>
      <c r="E908">
        <f>[1]NhapHang!E908</f>
        <v>0</v>
      </c>
      <c r="F908">
        <f>[1]NhapHang!F908</f>
        <v>0</v>
      </c>
      <c r="G908">
        <f>[1]NhapHang!G908</f>
        <v>0</v>
      </c>
      <c r="H908">
        <f>[1]NhapHang!H908</f>
        <v>0</v>
      </c>
    </row>
    <row r="909" spans="1:8">
      <c r="A909">
        <f>[1]NhapHang!A909</f>
        <v>0</v>
      </c>
      <c r="B909">
        <f>[1]NhapHang!B909</f>
        <v>0</v>
      </c>
      <c r="C909">
        <f>[1]NhapHang!C909</f>
        <v>0</v>
      </c>
      <c r="D909">
        <f>[1]NhapHang!D909</f>
        <v>0</v>
      </c>
      <c r="E909">
        <f>[1]NhapHang!E909</f>
        <v>0</v>
      </c>
      <c r="F909">
        <f>[1]NhapHang!F909</f>
        <v>0</v>
      </c>
      <c r="G909">
        <f>[1]NhapHang!G909</f>
        <v>0</v>
      </c>
      <c r="H909">
        <f>[1]NhapHang!H909</f>
        <v>0</v>
      </c>
    </row>
    <row r="910" spans="1:8">
      <c r="A910">
        <f>[1]NhapHang!A910</f>
        <v>0</v>
      </c>
      <c r="B910">
        <f>[1]NhapHang!B910</f>
        <v>0</v>
      </c>
      <c r="C910">
        <f>[1]NhapHang!C910</f>
        <v>0</v>
      </c>
      <c r="D910">
        <f>[1]NhapHang!D910</f>
        <v>0</v>
      </c>
      <c r="E910">
        <f>[1]NhapHang!E910</f>
        <v>0</v>
      </c>
      <c r="F910">
        <f>[1]NhapHang!F910</f>
        <v>0</v>
      </c>
      <c r="G910">
        <f>[1]NhapHang!G910</f>
        <v>0</v>
      </c>
      <c r="H910">
        <f>[1]NhapHang!H910</f>
        <v>0</v>
      </c>
    </row>
    <row r="911" spans="1:8">
      <c r="A911">
        <f>[1]NhapHang!A911</f>
        <v>0</v>
      </c>
      <c r="B911">
        <f>[1]NhapHang!B911</f>
        <v>0</v>
      </c>
      <c r="C911">
        <f>[1]NhapHang!C911</f>
        <v>0</v>
      </c>
      <c r="D911">
        <f>[1]NhapHang!D911</f>
        <v>0</v>
      </c>
      <c r="E911">
        <f>[1]NhapHang!E911</f>
        <v>0</v>
      </c>
      <c r="F911">
        <f>[1]NhapHang!F911</f>
        <v>0</v>
      </c>
      <c r="G911">
        <f>[1]NhapHang!G911</f>
        <v>0</v>
      </c>
      <c r="H911">
        <f>[1]NhapHang!H911</f>
        <v>0</v>
      </c>
    </row>
    <row r="912" spans="1:8">
      <c r="A912">
        <f>[1]NhapHang!A912</f>
        <v>0</v>
      </c>
      <c r="B912">
        <f>[1]NhapHang!B912</f>
        <v>0</v>
      </c>
      <c r="C912">
        <f>[1]NhapHang!C912</f>
        <v>0</v>
      </c>
      <c r="D912">
        <f>[1]NhapHang!D912</f>
        <v>0</v>
      </c>
      <c r="E912">
        <f>[1]NhapHang!E912</f>
        <v>0</v>
      </c>
      <c r="F912">
        <f>[1]NhapHang!F912</f>
        <v>0</v>
      </c>
      <c r="G912">
        <f>[1]NhapHang!G912</f>
        <v>0</v>
      </c>
      <c r="H912">
        <f>[1]NhapHang!H912</f>
        <v>0</v>
      </c>
    </row>
    <row r="913" spans="1:8">
      <c r="A913">
        <f>[1]NhapHang!A913</f>
        <v>0</v>
      </c>
      <c r="B913">
        <f>[1]NhapHang!B913</f>
        <v>0</v>
      </c>
      <c r="C913">
        <f>[1]NhapHang!C913</f>
        <v>0</v>
      </c>
      <c r="D913">
        <f>[1]NhapHang!D913</f>
        <v>0</v>
      </c>
      <c r="E913">
        <f>[1]NhapHang!E913</f>
        <v>0</v>
      </c>
      <c r="F913">
        <f>[1]NhapHang!F913</f>
        <v>0</v>
      </c>
      <c r="G913">
        <f>[1]NhapHang!G913</f>
        <v>0</v>
      </c>
      <c r="H913">
        <f>[1]NhapHang!H913</f>
        <v>0</v>
      </c>
    </row>
    <row r="914" spans="1:8">
      <c r="A914">
        <f>[1]NhapHang!A914</f>
        <v>0</v>
      </c>
      <c r="B914">
        <f>[1]NhapHang!B914</f>
        <v>0</v>
      </c>
      <c r="C914">
        <f>[1]NhapHang!C914</f>
        <v>0</v>
      </c>
      <c r="D914">
        <f>[1]NhapHang!D914</f>
        <v>0</v>
      </c>
      <c r="E914">
        <f>[1]NhapHang!E914</f>
        <v>0</v>
      </c>
      <c r="F914">
        <f>[1]NhapHang!F914</f>
        <v>0</v>
      </c>
      <c r="G914">
        <f>[1]NhapHang!G914</f>
        <v>0</v>
      </c>
      <c r="H914">
        <f>[1]NhapHang!H914</f>
        <v>0</v>
      </c>
    </row>
    <row r="915" spans="1:8">
      <c r="A915">
        <f>[1]NhapHang!A915</f>
        <v>0</v>
      </c>
      <c r="B915">
        <f>[1]NhapHang!B915</f>
        <v>0</v>
      </c>
      <c r="C915">
        <f>[1]NhapHang!C915</f>
        <v>0</v>
      </c>
      <c r="D915">
        <f>[1]NhapHang!D915</f>
        <v>0</v>
      </c>
      <c r="E915">
        <f>[1]NhapHang!E915</f>
        <v>0</v>
      </c>
      <c r="F915">
        <f>[1]NhapHang!F915</f>
        <v>0</v>
      </c>
      <c r="G915">
        <f>[1]NhapHang!G915</f>
        <v>0</v>
      </c>
      <c r="H915">
        <f>[1]NhapHang!H915</f>
        <v>0</v>
      </c>
    </row>
    <row r="916" spans="1:8">
      <c r="A916">
        <f>[1]NhapHang!A916</f>
        <v>0</v>
      </c>
      <c r="B916">
        <f>[1]NhapHang!B916</f>
        <v>0</v>
      </c>
      <c r="C916">
        <f>[1]NhapHang!C916</f>
        <v>0</v>
      </c>
      <c r="D916">
        <f>[1]NhapHang!D916</f>
        <v>0</v>
      </c>
      <c r="E916">
        <f>[1]NhapHang!E916</f>
        <v>0</v>
      </c>
      <c r="F916">
        <f>[1]NhapHang!F916</f>
        <v>0</v>
      </c>
      <c r="G916">
        <f>[1]NhapHang!G916</f>
        <v>0</v>
      </c>
      <c r="H916">
        <f>[1]NhapHang!H916</f>
        <v>0</v>
      </c>
    </row>
    <row r="917" spans="1:8">
      <c r="A917">
        <f>[1]NhapHang!A917</f>
        <v>0</v>
      </c>
      <c r="B917">
        <f>[1]NhapHang!B917</f>
        <v>0</v>
      </c>
      <c r="C917">
        <f>[1]NhapHang!C917</f>
        <v>0</v>
      </c>
      <c r="D917">
        <f>[1]NhapHang!D917</f>
        <v>0</v>
      </c>
      <c r="E917">
        <f>[1]NhapHang!E917</f>
        <v>0</v>
      </c>
      <c r="F917">
        <f>[1]NhapHang!F917</f>
        <v>0</v>
      </c>
      <c r="G917">
        <f>[1]NhapHang!G917</f>
        <v>0</v>
      </c>
      <c r="H917">
        <f>[1]NhapHang!H917</f>
        <v>0</v>
      </c>
    </row>
    <row r="918" spans="1:8">
      <c r="A918">
        <f>[1]NhapHang!A918</f>
        <v>0</v>
      </c>
      <c r="B918">
        <f>[1]NhapHang!B918</f>
        <v>0</v>
      </c>
      <c r="C918">
        <f>[1]NhapHang!C918</f>
        <v>0</v>
      </c>
      <c r="D918">
        <f>[1]NhapHang!D918</f>
        <v>0</v>
      </c>
      <c r="E918">
        <f>[1]NhapHang!E918</f>
        <v>0</v>
      </c>
      <c r="F918">
        <f>[1]NhapHang!F918</f>
        <v>0</v>
      </c>
      <c r="G918">
        <f>[1]NhapHang!G918</f>
        <v>0</v>
      </c>
      <c r="H918">
        <f>[1]NhapHang!H918</f>
        <v>0</v>
      </c>
    </row>
    <row r="919" spans="1:8">
      <c r="A919">
        <f>[1]NhapHang!A919</f>
        <v>0</v>
      </c>
      <c r="B919">
        <f>[1]NhapHang!B919</f>
        <v>0</v>
      </c>
      <c r="C919">
        <f>[1]NhapHang!C919</f>
        <v>0</v>
      </c>
      <c r="D919">
        <f>[1]NhapHang!D919</f>
        <v>0</v>
      </c>
      <c r="E919">
        <f>[1]NhapHang!E919</f>
        <v>0</v>
      </c>
      <c r="F919">
        <f>[1]NhapHang!F919</f>
        <v>0</v>
      </c>
      <c r="G919">
        <f>[1]NhapHang!G919</f>
        <v>0</v>
      </c>
      <c r="H919">
        <f>[1]NhapHang!H919</f>
        <v>0</v>
      </c>
    </row>
    <row r="920" spans="1:8">
      <c r="A920">
        <f>[1]NhapHang!A920</f>
        <v>0</v>
      </c>
      <c r="B920">
        <f>[1]NhapHang!B920</f>
        <v>0</v>
      </c>
      <c r="C920">
        <f>[1]NhapHang!C920</f>
        <v>0</v>
      </c>
      <c r="D920">
        <f>[1]NhapHang!D920</f>
        <v>0</v>
      </c>
      <c r="E920">
        <f>[1]NhapHang!E920</f>
        <v>0</v>
      </c>
      <c r="F920">
        <f>[1]NhapHang!F920</f>
        <v>0</v>
      </c>
      <c r="G920">
        <f>[1]NhapHang!G920</f>
        <v>0</v>
      </c>
      <c r="H920">
        <f>[1]NhapHang!H920</f>
        <v>0</v>
      </c>
    </row>
    <row r="921" spans="1:8">
      <c r="A921">
        <f>[1]NhapHang!A921</f>
        <v>0</v>
      </c>
      <c r="B921">
        <f>[1]NhapHang!B921</f>
        <v>0</v>
      </c>
      <c r="C921">
        <f>[1]NhapHang!C921</f>
        <v>0</v>
      </c>
      <c r="D921">
        <f>[1]NhapHang!D921</f>
        <v>0</v>
      </c>
      <c r="E921">
        <f>[1]NhapHang!E921</f>
        <v>0</v>
      </c>
      <c r="F921">
        <f>[1]NhapHang!F921</f>
        <v>0</v>
      </c>
      <c r="G921">
        <f>[1]NhapHang!G921</f>
        <v>0</v>
      </c>
      <c r="H921">
        <f>[1]NhapHang!H921</f>
        <v>0</v>
      </c>
    </row>
    <row r="922" spans="1:8">
      <c r="A922">
        <f>[1]NhapHang!A922</f>
        <v>0</v>
      </c>
      <c r="B922">
        <f>[1]NhapHang!B922</f>
        <v>0</v>
      </c>
      <c r="C922">
        <f>[1]NhapHang!C922</f>
        <v>0</v>
      </c>
      <c r="D922">
        <f>[1]NhapHang!D922</f>
        <v>0</v>
      </c>
      <c r="E922">
        <f>[1]NhapHang!E922</f>
        <v>0</v>
      </c>
      <c r="F922">
        <f>[1]NhapHang!F922</f>
        <v>0</v>
      </c>
      <c r="G922">
        <f>[1]NhapHang!G922</f>
        <v>0</v>
      </c>
      <c r="H922">
        <f>[1]NhapHang!H922</f>
        <v>0</v>
      </c>
    </row>
    <row r="923" spans="1:8">
      <c r="A923">
        <f>[1]NhapHang!A923</f>
        <v>0</v>
      </c>
      <c r="B923">
        <f>[1]NhapHang!B923</f>
        <v>0</v>
      </c>
      <c r="C923">
        <f>[1]NhapHang!C923</f>
        <v>0</v>
      </c>
      <c r="D923">
        <f>[1]NhapHang!D923</f>
        <v>0</v>
      </c>
      <c r="E923">
        <f>[1]NhapHang!E923</f>
        <v>0</v>
      </c>
      <c r="F923">
        <f>[1]NhapHang!F923</f>
        <v>0</v>
      </c>
      <c r="G923">
        <f>[1]NhapHang!G923</f>
        <v>0</v>
      </c>
      <c r="H923">
        <f>[1]NhapHang!H923</f>
        <v>0</v>
      </c>
    </row>
    <row r="924" spans="1:8">
      <c r="A924">
        <f>[1]NhapHang!A924</f>
        <v>0</v>
      </c>
      <c r="B924">
        <f>[1]NhapHang!B924</f>
        <v>0</v>
      </c>
      <c r="C924">
        <f>[1]NhapHang!C924</f>
        <v>0</v>
      </c>
      <c r="D924">
        <f>[1]NhapHang!D924</f>
        <v>0</v>
      </c>
      <c r="E924">
        <f>[1]NhapHang!E924</f>
        <v>0</v>
      </c>
      <c r="F924">
        <f>[1]NhapHang!F924</f>
        <v>0</v>
      </c>
      <c r="G924">
        <f>[1]NhapHang!G924</f>
        <v>0</v>
      </c>
      <c r="H924">
        <f>[1]NhapHang!H924</f>
        <v>0</v>
      </c>
    </row>
    <row r="925" spans="1:8">
      <c r="A925">
        <f>[1]NhapHang!A925</f>
        <v>0</v>
      </c>
      <c r="B925">
        <f>[1]NhapHang!B925</f>
        <v>0</v>
      </c>
      <c r="C925">
        <f>[1]NhapHang!C925</f>
        <v>0</v>
      </c>
      <c r="D925">
        <f>[1]NhapHang!D925</f>
        <v>0</v>
      </c>
      <c r="E925">
        <f>[1]NhapHang!E925</f>
        <v>0</v>
      </c>
      <c r="F925">
        <f>[1]NhapHang!F925</f>
        <v>0</v>
      </c>
      <c r="G925">
        <f>[1]NhapHang!G925</f>
        <v>0</v>
      </c>
      <c r="H925">
        <f>[1]NhapHang!H925</f>
        <v>0</v>
      </c>
    </row>
    <row r="926" spans="1:8">
      <c r="A926">
        <f>[1]NhapHang!A926</f>
        <v>0</v>
      </c>
      <c r="B926">
        <f>[1]NhapHang!B926</f>
        <v>0</v>
      </c>
      <c r="C926">
        <f>[1]NhapHang!C926</f>
        <v>0</v>
      </c>
      <c r="D926">
        <f>[1]NhapHang!D926</f>
        <v>0</v>
      </c>
      <c r="E926">
        <f>[1]NhapHang!E926</f>
        <v>0</v>
      </c>
      <c r="F926">
        <f>[1]NhapHang!F926</f>
        <v>0</v>
      </c>
      <c r="G926">
        <f>[1]NhapHang!G926</f>
        <v>0</v>
      </c>
      <c r="H926">
        <f>[1]NhapHang!H926</f>
        <v>0</v>
      </c>
    </row>
    <row r="927" spans="1:8">
      <c r="A927">
        <f>[1]NhapHang!A927</f>
        <v>0</v>
      </c>
      <c r="B927">
        <f>[1]NhapHang!B927</f>
        <v>0</v>
      </c>
      <c r="C927">
        <f>[1]NhapHang!C927</f>
        <v>0</v>
      </c>
      <c r="D927">
        <f>[1]NhapHang!D927</f>
        <v>0</v>
      </c>
      <c r="E927">
        <f>[1]NhapHang!E927</f>
        <v>0</v>
      </c>
      <c r="F927">
        <f>[1]NhapHang!F927</f>
        <v>0</v>
      </c>
      <c r="G927">
        <f>[1]NhapHang!G927</f>
        <v>0</v>
      </c>
      <c r="H927">
        <f>[1]NhapHang!H927</f>
        <v>0</v>
      </c>
    </row>
    <row r="928" spans="1:8">
      <c r="A928">
        <f>[1]NhapHang!A928</f>
        <v>0</v>
      </c>
      <c r="B928">
        <f>[1]NhapHang!B928</f>
        <v>0</v>
      </c>
      <c r="C928">
        <f>[1]NhapHang!C928</f>
        <v>0</v>
      </c>
      <c r="D928">
        <f>[1]NhapHang!D928</f>
        <v>0</v>
      </c>
      <c r="E928">
        <f>[1]NhapHang!E928</f>
        <v>0</v>
      </c>
      <c r="F928">
        <f>[1]NhapHang!F928</f>
        <v>0</v>
      </c>
      <c r="G928">
        <f>[1]NhapHang!G928</f>
        <v>0</v>
      </c>
      <c r="H928">
        <f>[1]NhapHang!H928</f>
        <v>0</v>
      </c>
    </row>
    <row r="929" spans="1:8">
      <c r="A929">
        <f>[1]NhapHang!A929</f>
        <v>0</v>
      </c>
      <c r="B929">
        <f>[1]NhapHang!B929</f>
        <v>0</v>
      </c>
      <c r="C929">
        <f>[1]NhapHang!C929</f>
        <v>0</v>
      </c>
      <c r="D929">
        <f>[1]NhapHang!D929</f>
        <v>0</v>
      </c>
      <c r="E929">
        <f>[1]NhapHang!E929</f>
        <v>0</v>
      </c>
      <c r="F929">
        <f>[1]NhapHang!F929</f>
        <v>0</v>
      </c>
      <c r="G929">
        <f>[1]NhapHang!G929</f>
        <v>0</v>
      </c>
      <c r="H929">
        <f>[1]NhapHang!H929</f>
        <v>0</v>
      </c>
    </row>
    <row r="930" spans="1:8">
      <c r="A930">
        <f>[1]NhapHang!A930</f>
        <v>0</v>
      </c>
      <c r="B930">
        <f>[1]NhapHang!B930</f>
        <v>0</v>
      </c>
      <c r="C930">
        <f>[1]NhapHang!C930</f>
        <v>0</v>
      </c>
      <c r="D930">
        <f>[1]NhapHang!D930</f>
        <v>0</v>
      </c>
      <c r="E930">
        <f>[1]NhapHang!E930</f>
        <v>0</v>
      </c>
      <c r="F930">
        <f>[1]NhapHang!F930</f>
        <v>0</v>
      </c>
      <c r="G930">
        <f>[1]NhapHang!G930</f>
        <v>0</v>
      </c>
      <c r="H930">
        <f>[1]NhapHang!H930</f>
        <v>0</v>
      </c>
    </row>
    <row r="931" spans="1:8">
      <c r="A931">
        <f>[1]NhapHang!A931</f>
        <v>0</v>
      </c>
      <c r="B931">
        <f>[1]NhapHang!B931</f>
        <v>0</v>
      </c>
      <c r="C931">
        <f>[1]NhapHang!C931</f>
        <v>0</v>
      </c>
      <c r="D931">
        <f>[1]NhapHang!D931</f>
        <v>0</v>
      </c>
      <c r="E931">
        <f>[1]NhapHang!E931</f>
        <v>0</v>
      </c>
      <c r="F931">
        <f>[1]NhapHang!F931</f>
        <v>0</v>
      </c>
      <c r="G931">
        <f>[1]NhapHang!G931</f>
        <v>0</v>
      </c>
      <c r="H931">
        <f>[1]NhapHang!H931</f>
        <v>0</v>
      </c>
    </row>
    <row r="932" spans="1:8">
      <c r="A932">
        <f>[1]NhapHang!A932</f>
        <v>0</v>
      </c>
      <c r="B932">
        <f>[1]NhapHang!B932</f>
        <v>0</v>
      </c>
      <c r="C932">
        <f>[1]NhapHang!C932</f>
        <v>0</v>
      </c>
      <c r="D932">
        <f>[1]NhapHang!D932</f>
        <v>0</v>
      </c>
      <c r="E932">
        <f>[1]NhapHang!E932</f>
        <v>0</v>
      </c>
      <c r="F932">
        <f>[1]NhapHang!F932</f>
        <v>0</v>
      </c>
      <c r="G932">
        <f>[1]NhapHang!G932</f>
        <v>0</v>
      </c>
      <c r="H932">
        <f>[1]NhapHang!H932</f>
        <v>0</v>
      </c>
    </row>
    <row r="933" spans="1:8">
      <c r="A933">
        <f>[1]NhapHang!A933</f>
        <v>0</v>
      </c>
      <c r="B933">
        <f>[1]NhapHang!B933</f>
        <v>0</v>
      </c>
      <c r="C933">
        <f>[1]NhapHang!C933</f>
        <v>0</v>
      </c>
      <c r="D933">
        <f>[1]NhapHang!D933</f>
        <v>0</v>
      </c>
      <c r="E933">
        <f>[1]NhapHang!E933</f>
        <v>0</v>
      </c>
      <c r="F933">
        <f>[1]NhapHang!F933</f>
        <v>0</v>
      </c>
      <c r="G933">
        <f>[1]NhapHang!G933</f>
        <v>0</v>
      </c>
      <c r="H933">
        <f>[1]NhapHang!H933</f>
        <v>0</v>
      </c>
    </row>
    <row r="934" spans="1:8">
      <c r="A934">
        <f>[1]NhapHang!A934</f>
        <v>0</v>
      </c>
      <c r="B934">
        <f>[1]NhapHang!B934</f>
        <v>0</v>
      </c>
      <c r="C934">
        <f>[1]NhapHang!C934</f>
        <v>0</v>
      </c>
      <c r="D934">
        <f>[1]NhapHang!D934</f>
        <v>0</v>
      </c>
      <c r="E934">
        <f>[1]NhapHang!E934</f>
        <v>0</v>
      </c>
      <c r="F934">
        <f>[1]NhapHang!F934</f>
        <v>0</v>
      </c>
      <c r="G934">
        <f>[1]NhapHang!G934</f>
        <v>0</v>
      </c>
      <c r="H934">
        <f>[1]NhapHang!H934</f>
        <v>0</v>
      </c>
    </row>
    <row r="935" spans="1:8">
      <c r="A935">
        <f>[1]NhapHang!A935</f>
        <v>0</v>
      </c>
      <c r="B935">
        <f>[1]NhapHang!B935</f>
        <v>0</v>
      </c>
      <c r="C935">
        <f>[1]NhapHang!C935</f>
        <v>0</v>
      </c>
      <c r="D935">
        <f>[1]NhapHang!D935</f>
        <v>0</v>
      </c>
      <c r="E935">
        <f>[1]NhapHang!E935</f>
        <v>0</v>
      </c>
      <c r="F935">
        <f>[1]NhapHang!F935</f>
        <v>0</v>
      </c>
      <c r="G935">
        <f>[1]NhapHang!G935</f>
        <v>0</v>
      </c>
      <c r="H935">
        <f>[1]NhapHang!H935</f>
        <v>0</v>
      </c>
    </row>
    <row r="936" spans="1:8">
      <c r="A936">
        <f>[1]NhapHang!A936</f>
        <v>0</v>
      </c>
      <c r="B936">
        <f>[1]NhapHang!B936</f>
        <v>0</v>
      </c>
      <c r="C936">
        <f>[1]NhapHang!C936</f>
        <v>0</v>
      </c>
      <c r="D936">
        <f>[1]NhapHang!D936</f>
        <v>0</v>
      </c>
      <c r="E936">
        <f>[1]NhapHang!E936</f>
        <v>0</v>
      </c>
      <c r="F936">
        <f>[1]NhapHang!F936</f>
        <v>0</v>
      </c>
      <c r="G936">
        <f>[1]NhapHang!G936</f>
        <v>0</v>
      </c>
      <c r="H936">
        <f>[1]NhapHang!H936</f>
        <v>0</v>
      </c>
    </row>
    <row r="937" spans="1:8">
      <c r="A937">
        <f>[1]NhapHang!A937</f>
        <v>0</v>
      </c>
      <c r="B937">
        <f>[1]NhapHang!B937</f>
        <v>0</v>
      </c>
      <c r="C937">
        <f>[1]NhapHang!C937</f>
        <v>0</v>
      </c>
      <c r="D937">
        <f>[1]NhapHang!D937</f>
        <v>0</v>
      </c>
      <c r="E937">
        <f>[1]NhapHang!E937</f>
        <v>0</v>
      </c>
      <c r="F937">
        <f>[1]NhapHang!F937</f>
        <v>0</v>
      </c>
      <c r="G937">
        <f>[1]NhapHang!G937</f>
        <v>0</v>
      </c>
      <c r="H937">
        <f>[1]NhapHang!H937</f>
        <v>0</v>
      </c>
    </row>
    <row r="938" spans="1:8">
      <c r="A938">
        <f>[1]NhapHang!A938</f>
        <v>0</v>
      </c>
      <c r="B938">
        <f>[1]NhapHang!B938</f>
        <v>0</v>
      </c>
      <c r="C938">
        <f>[1]NhapHang!C938</f>
        <v>0</v>
      </c>
      <c r="D938">
        <f>[1]NhapHang!D938</f>
        <v>0</v>
      </c>
      <c r="E938">
        <f>[1]NhapHang!E938</f>
        <v>0</v>
      </c>
      <c r="F938">
        <f>[1]NhapHang!F938</f>
        <v>0</v>
      </c>
      <c r="G938">
        <f>[1]NhapHang!G938</f>
        <v>0</v>
      </c>
      <c r="H938">
        <f>[1]NhapHang!H938</f>
        <v>0</v>
      </c>
    </row>
    <row r="939" spans="1:8">
      <c r="A939">
        <f>[1]NhapHang!A939</f>
        <v>0</v>
      </c>
      <c r="B939">
        <f>[1]NhapHang!B939</f>
        <v>0</v>
      </c>
      <c r="C939">
        <f>[1]NhapHang!C939</f>
        <v>0</v>
      </c>
      <c r="D939">
        <f>[1]NhapHang!D939</f>
        <v>0</v>
      </c>
      <c r="E939">
        <f>[1]NhapHang!E939</f>
        <v>0</v>
      </c>
      <c r="F939">
        <f>[1]NhapHang!F939</f>
        <v>0</v>
      </c>
      <c r="G939">
        <f>[1]NhapHang!G939</f>
        <v>0</v>
      </c>
      <c r="H939">
        <f>[1]NhapHang!H939</f>
        <v>0</v>
      </c>
    </row>
    <row r="940" spans="1:8">
      <c r="A940">
        <f>[1]NhapHang!A940</f>
        <v>0</v>
      </c>
      <c r="B940">
        <f>[1]NhapHang!B940</f>
        <v>0</v>
      </c>
      <c r="C940">
        <f>[1]NhapHang!C940</f>
        <v>0</v>
      </c>
      <c r="D940">
        <f>[1]NhapHang!D940</f>
        <v>0</v>
      </c>
      <c r="E940">
        <f>[1]NhapHang!E940</f>
        <v>0</v>
      </c>
      <c r="F940">
        <f>[1]NhapHang!F940</f>
        <v>0</v>
      </c>
      <c r="G940">
        <f>[1]NhapHang!G940</f>
        <v>0</v>
      </c>
      <c r="H940">
        <f>[1]NhapHang!H940</f>
        <v>0</v>
      </c>
    </row>
    <row r="941" spans="1:8">
      <c r="A941">
        <f>[1]NhapHang!A941</f>
        <v>0</v>
      </c>
      <c r="B941">
        <f>[1]NhapHang!B941</f>
        <v>0</v>
      </c>
      <c r="C941">
        <f>[1]NhapHang!C941</f>
        <v>0</v>
      </c>
      <c r="D941">
        <f>[1]NhapHang!D941</f>
        <v>0</v>
      </c>
      <c r="E941">
        <f>[1]NhapHang!E941</f>
        <v>0</v>
      </c>
      <c r="F941">
        <f>[1]NhapHang!F941</f>
        <v>0</v>
      </c>
      <c r="G941">
        <f>[1]NhapHang!G941</f>
        <v>0</v>
      </c>
      <c r="H941">
        <f>[1]NhapHang!H941</f>
        <v>0</v>
      </c>
    </row>
    <row r="942" spans="1:8">
      <c r="A942">
        <f>[1]NhapHang!A942</f>
        <v>0</v>
      </c>
      <c r="B942">
        <f>[1]NhapHang!B942</f>
        <v>0</v>
      </c>
      <c r="C942">
        <f>[1]NhapHang!C942</f>
        <v>0</v>
      </c>
      <c r="D942">
        <f>[1]NhapHang!D942</f>
        <v>0</v>
      </c>
      <c r="E942">
        <f>[1]NhapHang!E942</f>
        <v>0</v>
      </c>
      <c r="F942">
        <f>[1]NhapHang!F942</f>
        <v>0</v>
      </c>
      <c r="G942">
        <f>[1]NhapHang!G942</f>
        <v>0</v>
      </c>
      <c r="H942">
        <f>[1]NhapHang!H942</f>
        <v>0</v>
      </c>
    </row>
    <row r="943" spans="1:8">
      <c r="A943">
        <f>[1]NhapHang!A943</f>
        <v>0</v>
      </c>
      <c r="B943">
        <f>[1]NhapHang!B943</f>
        <v>0</v>
      </c>
      <c r="C943">
        <f>[1]NhapHang!C943</f>
        <v>0</v>
      </c>
      <c r="D943">
        <f>[1]NhapHang!D943</f>
        <v>0</v>
      </c>
      <c r="E943">
        <f>[1]NhapHang!E943</f>
        <v>0</v>
      </c>
      <c r="F943">
        <f>[1]NhapHang!F943</f>
        <v>0</v>
      </c>
      <c r="G943">
        <f>[1]NhapHang!G943</f>
        <v>0</v>
      </c>
      <c r="H943">
        <f>[1]NhapHang!H943</f>
        <v>0</v>
      </c>
    </row>
    <row r="944" spans="1:8">
      <c r="A944">
        <f>[1]NhapHang!A944</f>
        <v>0</v>
      </c>
      <c r="B944">
        <f>[1]NhapHang!B944</f>
        <v>0</v>
      </c>
      <c r="C944">
        <f>[1]NhapHang!C944</f>
        <v>0</v>
      </c>
      <c r="D944">
        <f>[1]NhapHang!D944</f>
        <v>0</v>
      </c>
      <c r="E944">
        <f>[1]NhapHang!E944</f>
        <v>0</v>
      </c>
      <c r="F944">
        <f>[1]NhapHang!F944</f>
        <v>0</v>
      </c>
      <c r="G944">
        <f>[1]NhapHang!G944</f>
        <v>0</v>
      </c>
      <c r="H944">
        <f>[1]NhapHang!H944</f>
        <v>0</v>
      </c>
    </row>
    <row r="945" spans="1:8">
      <c r="A945">
        <f>[1]NhapHang!A945</f>
        <v>0</v>
      </c>
      <c r="B945">
        <f>[1]NhapHang!B945</f>
        <v>0</v>
      </c>
      <c r="C945">
        <f>[1]NhapHang!C945</f>
        <v>0</v>
      </c>
      <c r="D945">
        <f>[1]NhapHang!D945</f>
        <v>0</v>
      </c>
      <c r="E945">
        <f>[1]NhapHang!E945</f>
        <v>0</v>
      </c>
      <c r="F945">
        <f>[1]NhapHang!F945</f>
        <v>0</v>
      </c>
      <c r="G945">
        <f>[1]NhapHang!G945</f>
        <v>0</v>
      </c>
      <c r="H945">
        <f>[1]NhapHang!H945</f>
        <v>0</v>
      </c>
    </row>
    <row r="946" spans="1:8">
      <c r="A946">
        <f>[1]NhapHang!A946</f>
        <v>0</v>
      </c>
      <c r="B946">
        <f>[1]NhapHang!B946</f>
        <v>0</v>
      </c>
      <c r="C946">
        <f>[1]NhapHang!C946</f>
        <v>0</v>
      </c>
      <c r="D946">
        <f>[1]NhapHang!D946</f>
        <v>0</v>
      </c>
      <c r="E946">
        <f>[1]NhapHang!E946</f>
        <v>0</v>
      </c>
      <c r="F946">
        <f>[1]NhapHang!F946</f>
        <v>0</v>
      </c>
      <c r="G946">
        <f>[1]NhapHang!G946</f>
        <v>0</v>
      </c>
      <c r="H946">
        <f>[1]NhapHang!H946</f>
        <v>0</v>
      </c>
    </row>
    <row r="947" spans="1:8">
      <c r="A947">
        <f>[1]NhapHang!A947</f>
        <v>0</v>
      </c>
      <c r="B947">
        <f>[1]NhapHang!B947</f>
        <v>0</v>
      </c>
      <c r="C947">
        <f>[1]NhapHang!C947</f>
        <v>0</v>
      </c>
      <c r="D947">
        <f>[1]NhapHang!D947</f>
        <v>0</v>
      </c>
      <c r="E947">
        <f>[1]NhapHang!E947</f>
        <v>0</v>
      </c>
      <c r="F947">
        <f>[1]NhapHang!F947</f>
        <v>0</v>
      </c>
      <c r="G947">
        <f>[1]NhapHang!G947</f>
        <v>0</v>
      </c>
      <c r="H947">
        <f>[1]NhapHang!H947</f>
        <v>0</v>
      </c>
    </row>
    <row r="948" spans="1:8">
      <c r="A948">
        <f>[1]NhapHang!A948</f>
        <v>0</v>
      </c>
      <c r="B948">
        <f>[1]NhapHang!B948</f>
        <v>0</v>
      </c>
      <c r="C948">
        <f>[1]NhapHang!C948</f>
        <v>0</v>
      </c>
      <c r="D948">
        <f>[1]NhapHang!D948</f>
        <v>0</v>
      </c>
      <c r="E948">
        <f>[1]NhapHang!E948</f>
        <v>0</v>
      </c>
      <c r="F948">
        <f>[1]NhapHang!F948</f>
        <v>0</v>
      </c>
      <c r="G948">
        <f>[1]NhapHang!G948</f>
        <v>0</v>
      </c>
      <c r="H948">
        <f>[1]NhapHang!H948</f>
        <v>0</v>
      </c>
    </row>
    <row r="949" spans="1:8">
      <c r="A949">
        <f>[1]NhapHang!A949</f>
        <v>0</v>
      </c>
      <c r="B949">
        <f>[1]NhapHang!B949</f>
        <v>0</v>
      </c>
      <c r="C949">
        <f>[1]NhapHang!C949</f>
        <v>0</v>
      </c>
      <c r="D949">
        <f>[1]NhapHang!D949</f>
        <v>0</v>
      </c>
      <c r="E949">
        <f>[1]NhapHang!E949</f>
        <v>0</v>
      </c>
      <c r="F949">
        <f>[1]NhapHang!F949</f>
        <v>0</v>
      </c>
      <c r="G949">
        <f>[1]NhapHang!G949</f>
        <v>0</v>
      </c>
      <c r="H949">
        <f>[1]NhapHang!H949</f>
        <v>0</v>
      </c>
    </row>
    <row r="950" spans="1:8">
      <c r="A950">
        <f>[1]NhapHang!A950</f>
        <v>0</v>
      </c>
      <c r="B950">
        <f>[1]NhapHang!B950</f>
        <v>0</v>
      </c>
      <c r="C950">
        <f>[1]NhapHang!C950</f>
        <v>0</v>
      </c>
      <c r="D950">
        <f>[1]NhapHang!D950</f>
        <v>0</v>
      </c>
      <c r="E950">
        <f>[1]NhapHang!E950</f>
        <v>0</v>
      </c>
      <c r="F950">
        <f>[1]NhapHang!F950</f>
        <v>0</v>
      </c>
      <c r="G950">
        <f>[1]NhapHang!G950</f>
        <v>0</v>
      </c>
      <c r="H950">
        <f>[1]NhapHang!H950</f>
        <v>0</v>
      </c>
    </row>
    <row r="951" spans="1:8">
      <c r="A951">
        <f>[1]NhapHang!A951</f>
        <v>0</v>
      </c>
      <c r="B951">
        <f>[1]NhapHang!B951</f>
        <v>0</v>
      </c>
      <c r="C951">
        <f>[1]NhapHang!C951</f>
        <v>0</v>
      </c>
      <c r="D951">
        <f>[1]NhapHang!D951</f>
        <v>0</v>
      </c>
      <c r="E951">
        <f>[1]NhapHang!E951</f>
        <v>0</v>
      </c>
      <c r="F951">
        <f>[1]NhapHang!F951</f>
        <v>0</v>
      </c>
      <c r="G951">
        <f>[1]NhapHang!G951</f>
        <v>0</v>
      </c>
      <c r="H951">
        <f>[1]NhapHang!H951</f>
        <v>0</v>
      </c>
    </row>
    <row r="952" spans="1:8">
      <c r="A952">
        <f>[1]NhapHang!A952</f>
        <v>0</v>
      </c>
      <c r="B952">
        <f>[1]NhapHang!B952</f>
        <v>0</v>
      </c>
      <c r="C952">
        <f>[1]NhapHang!C952</f>
        <v>0</v>
      </c>
      <c r="D952">
        <f>[1]NhapHang!D952</f>
        <v>0</v>
      </c>
      <c r="E952">
        <f>[1]NhapHang!E952</f>
        <v>0</v>
      </c>
      <c r="F952">
        <f>[1]NhapHang!F952</f>
        <v>0</v>
      </c>
      <c r="G952">
        <f>[1]NhapHang!G952</f>
        <v>0</v>
      </c>
      <c r="H952">
        <f>[1]NhapHang!H952</f>
        <v>0</v>
      </c>
    </row>
    <row r="953" spans="1:8">
      <c r="A953">
        <f>[1]NhapHang!A953</f>
        <v>0</v>
      </c>
      <c r="B953">
        <f>[1]NhapHang!B953</f>
        <v>0</v>
      </c>
      <c r="C953">
        <f>[1]NhapHang!C953</f>
        <v>0</v>
      </c>
      <c r="D953">
        <f>[1]NhapHang!D953</f>
        <v>0</v>
      </c>
      <c r="E953">
        <f>[1]NhapHang!E953</f>
        <v>0</v>
      </c>
      <c r="F953">
        <f>[1]NhapHang!F953</f>
        <v>0</v>
      </c>
      <c r="G953">
        <f>[1]NhapHang!G953</f>
        <v>0</v>
      </c>
      <c r="H953">
        <f>[1]NhapHang!H953</f>
        <v>0</v>
      </c>
    </row>
    <row r="954" spans="1:8">
      <c r="A954">
        <f>[1]NhapHang!A954</f>
        <v>0</v>
      </c>
      <c r="B954">
        <f>[1]NhapHang!B954</f>
        <v>0</v>
      </c>
      <c r="C954">
        <f>[1]NhapHang!C954</f>
        <v>0</v>
      </c>
      <c r="D954">
        <f>[1]NhapHang!D954</f>
        <v>0</v>
      </c>
      <c r="E954">
        <f>[1]NhapHang!E954</f>
        <v>0</v>
      </c>
      <c r="F954">
        <f>[1]NhapHang!F954</f>
        <v>0</v>
      </c>
      <c r="G954">
        <f>[1]NhapHang!G954</f>
        <v>0</v>
      </c>
      <c r="H954">
        <f>[1]NhapHang!H954</f>
        <v>0</v>
      </c>
    </row>
    <row r="955" spans="1:8">
      <c r="A955">
        <f>[1]NhapHang!A955</f>
        <v>0</v>
      </c>
      <c r="B955">
        <f>[1]NhapHang!B955</f>
        <v>0</v>
      </c>
      <c r="C955">
        <f>[1]NhapHang!C955</f>
        <v>0</v>
      </c>
      <c r="D955">
        <f>[1]NhapHang!D955</f>
        <v>0</v>
      </c>
      <c r="E955">
        <f>[1]NhapHang!E955</f>
        <v>0</v>
      </c>
      <c r="F955">
        <f>[1]NhapHang!F955</f>
        <v>0</v>
      </c>
      <c r="G955">
        <f>[1]NhapHang!G955</f>
        <v>0</v>
      </c>
      <c r="H955">
        <f>[1]NhapHang!H955</f>
        <v>0</v>
      </c>
    </row>
    <row r="956" spans="1:8">
      <c r="A956">
        <f>[1]NhapHang!A956</f>
        <v>0</v>
      </c>
      <c r="B956">
        <f>[1]NhapHang!B956</f>
        <v>0</v>
      </c>
      <c r="C956">
        <f>[1]NhapHang!C956</f>
        <v>0</v>
      </c>
      <c r="D956">
        <f>[1]NhapHang!D956</f>
        <v>0</v>
      </c>
      <c r="E956">
        <f>[1]NhapHang!E956</f>
        <v>0</v>
      </c>
      <c r="F956">
        <f>[1]NhapHang!F956</f>
        <v>0</v>
      </c>
      <c r="G956">
        <f>[1]NhapHang!G956</f>
        <v>0</v>
      </c>
      <c r="H956">
        <f>[1]NhapHang!H956</f>
        <v>0</v>
      </c>
    </row>
    <row r="957" spans="1:8">
      <c r="A957">
        <f>[1]NhapHang!A957</f>
        <v>0</v>
      </c>
      <c r="B957">
        <f>[1]NhapHang!B957</f>
        <v>0</v>
      </c>
      <c r="C957">
        <f>[1]NhapHang!C957</f>
        <v>0</v>
      </c>
      <c r="D957">
        <f>[1]NhapHang!D957</f>
        <v>0</v>
      </c>
      <c r="E957">
        <f>[1]NhapHang!E957</f>
        <v>0</v>
      </c>
      <c r="F957">
        <f>[1]NhapHang!F957</f>
        <v>0</v>
      </c>
      <c r="G957">
        <f>[1]NhapHang!G957</f>
        <v>0</v>
      </c>
      <c r="H957">
        <f>[1]NhapHang!H957</f>
        <v>0</v>
      </c>
    </row>
    <row r="958" spans="1:8">
      <c r="A958">
        <f>[1]NhapHang!A958</f>
        <v>0</v>
      </c>
      <c r="B958">
        <f>[1]NhapHang!B958</f>
        <v>0</v>
      </c>
      <c r="C958">
        <f>[1]NhapHang!C958</f>
        <v>0</v>
      </c>
      <c r="D958">
        <f>[1]NhapHang!D958</f>
        <v>0</v>
      </c>
      <c r="E958">
        <f>[1]NhapHang!E958</f>
        <v>0</v>
      </c>
      <c r="F958">
        <f>[1]NhapHang!F958</f>
        <v>0</v>
      </c>
      <c r="G958">
        <f>[1]NhapHang!G958</f>
        <v>0</v>
      </c>
      <c r="H958">
        <f>[1]NhapHang!H958</f>
        <v>0</v>
      </c>
    </row>
    <row r="959" spans="1:8">
      <c r="A959">
        <f>[1]NhapHang!A959</f>
        <v>0</v>
      </c>
      <c r="B959">
        <f>[1]NhapHang!B959</f>
        <v>0</v>
      </c>
      <c r="C959">
        <f>[1]NhapHang!C959</f>
        <v>0</v>
      </c>
      <c r="D959">
        <f>[1]NhapHang!D959</f>
        <v>0</v>
      </c>
      <c r="E959">
        <f>[1]NhapHang!E959</f>
        <v>0</v>
      </c>
      <c r="F959">
        <f>[1]NhapHang!F959</f>
        <v>0</v>
      </c>
      <c r="G959">
        <f>[1]NhapHang!G959</f>
        <v>0</v>
      </c>
      <c r="H959">
        <f>[1]NhapHang!H959</f>
        <v>0</v>
      </c>
    </row>
    <row r="960" spans="1:8">
      <c r="A960">
        <f>[1]NhapHang!A960</f>
        <v>0</v>
      </c>
      <c r="B960">
        <f>[1]NhapHang!B960</f>
        <v>0</v>
      </c>
      <c r="C960">
        <f>[1]NhapHang!C960</f>
        <v>0</v>
      </c>
      <c r="D960">
        <f>[1]NhapHang!D960</f>
        <v>0</v>
      </c>
      <c r="E960">
        <f>[1]NhapHang!E960</f>
        <v>0</v>
      </c>
      <c r="F960">
        <f>[1]NhapHang!F960</f>
        <v>0</v>
      </c>
      <c r="G960">
        <f>[1]NhapHang!G960</f>
        <v>0</v>
      </c>
      <c r="H960">
        <f>[1]NhapHang!H960</f>
        <v>0</v>
      </c>
    </row>
    <row r="961" spans="1:8">
      <c r="A961">
        <f>[1]NhapHang!A961</f>
        <v>0</v>
      </c>
      <c r="B961">
        <f>[1]NhapHang!B961</f>
        <v>0</v>
      </c>
      <c r="C961">
        <f>[1]NhapHang!C961</f>
        <v>0</v>
      </c>
      <c r="D961">
        <f>[1]NhapHang!D961</f>
        <v>0</v>
      </c>
      <c r="E961">
        <f>[1]NhapHang!E961</f>
        <v>0</v>
      </c>
      <c r="F961">
        <f>[1]NhapHang!F961</f>
        <v>0</v>
      </c>
      <c r="G961">
        <f>[1]NhapHang!G961</f>
        <v>0</v>
      </c>
      <c r="H961">
        <f>[1]NhapHang!H961</f>
        <v>0</v>
      </c>
    </row>
    <row r="962" spans="1:8">
      <c r="A962">
        <f>[1]NhapHang!A962</f>
        <v>0</v>
      </c>
      <c r="B962">
        <f>[1]NhapHang!B962</f>
        <v>0</v>
      </c>
      <c r="C962">
        <f>[1]NhapHang!C962</f>
        <v>0</v>
      </c>
      <c r="D962">
        <f>[1]NhapHang!D962</f>
        <v>0</v>
      </c>
      <c r="E962">
        <f>[1]NhapHang!E962</f>
        <v>0</v>
      </c>
      <c r="F962">
        <f>[1]NhapHang!F962</f>
        <v>0</v>
      </c>
      <c r="G962">
        <f>[1]NhapHang!G962</f>
        <v>0</v>
      </c>
      <c r="H962">
        <f>[1]NhapHang!H962</f>
        <v>0</v>
      </c>
    </row>
    <row r="963" spans="1:8">
      <c r="A963">
        <f>[1]NhapHang!A963</f>
        <v>0</v>
      </c>
      <c r="B963">
        <f>[1]NhapHang!B963</f>
        <v>0</v>
      </c>
      <c r="C963">
        <f>[1]NhapHang!C963</f>
        <v>0</v>
      </c>
      <c r="D963">
        <f>[1]NhapHang!D963</f>
        <v>0</v>
      </c>
      <c r="E963">
        <f>[1]NhapHang!E963</f>
        <v>0</v>
      </c>
      <c r="F963">
        <f>[1]NhapHang!F963</f>
        <v>0</v>
      </c>
      <c r="G963">
        <f>[1]NhapHang!G963</f>
        <v>0</v>
      </c>
      <c r="H963">
        <f>[1]NhapHang!H963</f>
        <v>0</v>
      </c>
    </row>
    <row r="964" spans="1:8">
      <c r="A964">
        <f>[1]NhapHang!A964</f>
        <v>0</v>
      </c>
      <c r="B964">
        <f>[1]NhapHang!B964</f>
        <v>0</v>
      </c>
      <c r="C964">
        <f>[1]NhapHang!C964</f>
        <v>0</v>
      </c>
      <c r="D964">
        <f>[1]NhapHang!D964</f>
        <v>0</v>
      </c>
      <c r="E964">
        <f>[1]NhapHang!E964</f>
        <v>0</v>
      </c>
      <c r="F964">
        <f>[1]NhapHang!F964</f>
        <v>0</v>
      </c>
      <c r="G964">
        <f>[1]NhapHang!G964</f>
        <v>0</v>
      </c>
      <c r="H964">
        <f>[1]NhapHang!H964</f>
        <v>0</v>
      </c>
    </row>
    <row r="965" spans="1:8">
      <c r="A965">
        <f>[1]NhapHang!A965</f>
        <v>0</v>
      </c>
      <c r="B965">
        <f>[1]NhapHang!B965</f>
        <v>0</v>
      </c>
      <c r="C965">
        <f>[1]NhapHang!C965</f>
        <v>0</v>
      </c>
      <c r="D965">
        <f>[1]NhapHang!D965</f>
        <v>0</v>
      </c>
      <c r="E965">
        <f>[1]NhapHang!E965</f>
        <v>0</v>
      </c>
      <c r="F965">
        <f>[1]NhapHang!F965</f>
        <v>0</v>
      </c>
      <c r="G965">
        <f>[1]NhapHang!G965</f>
        <v>0</v>
      </c>
      <c r="H965">
        <f>[1]NhapHang!H965</f>
        <v>0</v>
      </c>
    </row>
    <row r="966" spans="1:8">
      <c r="A966">
        <f>[1]NhapHang!A966</f>
        <v>0</v>
      </c>
      <c r="B966">
        <f>[1]NhapHang!B966</f>
        <v>0</v>
      </c>
      <c r="C966">
        <f>[1]NhapHang!C966</f>
        <v>0</v>
      </c>
      <c r="D966">
        <f>[1]NhapHang!D966</f>
        <v>0</v>
      </c>
      <c r="E966">
        <f>[1]NhapHang!E966</f>
        <v>0</v>
      </c>
      <c r="F966">
        <f>[1]NhapHang!F966</f>
        <v>0</v>
      </c>
      <c r="G966">
        <f>[1]NhapHang!G966</f>
        <v>0</v>
      </c>
      <c r="H966">
        <f>[1]NhapHang!H966</f>
        <v>0</v>
      </c>
    </row>
    <row r="967" spans="1:8">
      <c r="A967">
        <f>[1]NhapHang!A967</f>
        <v>0</v>
      </c>
      <c r="B967">
        <f>[1]NhapHang!B967</f>
        <v>0</v>
      </c>
      <c r="C967">
        <f>[1]NhapHang!C967</f>
        <v>0</v>
      </c>
      <c r="D967">
        <f>[1]NhapHang!D967</f>
        <v>0</v>
      </c>
      <c r="E967">
        <f>[1]NhapHang!E967</f>
        <v>0</v>
      </c>
      <c r="F967">
        <f>[1]NhapHang!F967</f>
        <v>0</v>
      </c>
      <c r="G967">
        <f>[1]NhapHang!G967</f>
        <v>0</v>
      </c>
      <c r="H967">
        <f>[1]NhapHang!H967</f>
        <v>0</v>
      </c>
    </row>
    <row r="968" spans="1:8">
      <c r="A968">
        <f>[1]NhapHang!A968</f>
        <v>0</v>
      </c>
      <c r="B968">
        <f>[1]NhapHang!B968</f>
        <v>0</v>
      </c>
      <c r="C968">
        <f>[1]NhapHang!C968</f>
        <v>0</v>
      </c>
      <c r="D968">
        <f>[1]NhapHang!D968</f>
        <v>0</v>
      </c>
      <c r="E968">
        <f>[1]NhapHang!E968</f>
        <v>0</v>
      </c>
      <c r="F968">
        <f>[1]NhapHang!F968</f>
        <v>0</v>
      </c>
      <c r="G968">
        <f>[1]NhapHang!G968</f>
        <v>0</v>
      </c>
      <c r="H968">
        <f>[1]NhapHang!H968</f>
        <v>0</v>
      </c>
    </row>
    <row r="969" spans="1:8">
      <c r="A969">
        <f>[1]NhapHang!A969</f>
        <v>0</v>
      </c>
      <c r="B969">
        <f>[1]NhapHang!B969</f>
        <v>0</v>
      </c>
      <c r="C969">
        <f>[1]NhapHang!C969</f>
        <v>0</v>
      </c>
      <c r="D969">
        <f>[1]NhapHang!D969</f>
        <v>0</v>
      </c>
      <c r="E969">
        <f>[1]NhapHang!E969</f>
        <v>0</v>
      </c>
      <c r="F969">
        <f>[1]NhapHang!F969</f>
        <v>0</v>
      </c>
      <c r="G969">
        <f>[1]NhapHang!G969</f>
        <v>0</v>
      </c>
      <c r="H969">
        <f>[1]NhapHang!H969</f>
        <v>0</v>
      </c>
    </row>
    <row r="970" spans="1:8">
      <c r="A970">
        <f>[1]NhapHang!A970</f>
        <v>0</v>
      </c>
      <c r="B970">
        <f>[1]NhapHang!B970</f>
        <v>0</v>
      </c>
      <c r="C970">
        <f>[1]NhapHang!C970</f>
        <v>0</v>
      </c>
      <c r="D970">
        <f>[1]NhapHang!D970</f>
        <v>0</v>
      </c>
      <c r="E970">
        <f>[1]NhapHang!E970</f>
        <v>0</v>
      </c>
      <c r="F970">
        <f>[1]NhapHang!F970</f>
        <v>0</v>
      </c>
      <c r="G970">
        <f>[1]NhapHang!G970</f>
        <v>0</v>
      </c>
      <c r="H970">
        <f>[1]NhapHang!H970</f>
        <v>0</v>
      </c>
    </row>
    <row r="971" spans="1:8">
      <c r="A971">
        <f>[1]NhapHang!A971</f>
        <v>0</v>
      </c>
      <c r="B971">
        <f>[1]NhapHang!B971</f>
        <v>0</v>
      </c>
      <c r="C971">
        <f>[1]NhapHang!C971</f>
        <v>0</v>
      </c>
      <c r="D971">
        <f>[1]NhapHang!D971</f>
        <v>0</v>
      </c>
      <c r="E971">
        <f>[1]NhapHang!E971</f>
        <v>0</v>
      </c>
      <c r="F971">
        <f>[1]NhapHang!F971</f>
        <v>0</v>
      </c>
      <c r="G971">
        <f>[1]NhapHang!G971</f>
        <v>0</v>
      </c>
      <c r="H971">
        <f>[1]NhapHang!H971</f>
        <v>0</v>
      </c>
    </row>
    <row r="972" spans="1:8">
      <c r="A972">
        <f>[1]NhapHang!A972</f>
        <v>0</v>
      </c>
      <c r="B972">
        <f>[1]NhapHang!B972</f>
        <v>0</v>
      </c>
      <c r="C972">
        <f>[1]NhapHang!C972</f>
        <v>0</v>
      </c>
      <c r="D972">
        <f>[1]NhapHang!D972</f>
        <v>0</v>
      </c>
      <c r="E972">
        <f>[1]NhapHang!E972</f>
        <v>0</v>
      </c>
      <c r="F972">
        <f>[1]NhapHang!F972</f>
        <v>0</v>
      </c>
      <c r="G972">
        <f>[1]NhapHang!G972</f>
        <v>0</v>
      </c>
      <c r="H972">
        <f>[1]NhapHang!H972</f>
        <v>0</v>
      </c>
    </row>
    <row r="973" spans="1:8">
      <c r="A973">
        <f>[1]NhapHang!A973</f>
        <v>0</v>
      </c>
      <c r="B973">
        <f>[1]NhapHang!B973</f>
        <v>0</v>
      </c>
      <c r="C973">
        <f>[1]NhapHang!C973</f>
        <v>0</v>
      </c>
      <c r="D973">
        <f>[1]NhapHang!D973</f>
        <v>0</v>
      </c>
      <c r="E973">
        <f>[1]NhapHang!E973</f>
        <v>0</v>
      </c>
      <c r="F973">
        <f>[1]NhapHang!F973</f>
        <v>0</v>
      </c>
      <c r="G973">
        <f>[1]NhapHang!G973</f>
        <v>0</v>
      </c>
      <c r="H973">
        <f>[1]NhapHang!H973</f>
        <v>0</v>
      </c>
    </row>
    <row r="974" spans="1:8">
      <c r="A974">
        <f>[1]NhapHang!A974</f>
        <v>0</v>
      </c>
      <c r="B974">
        <f>[1]NhapHang!B974</f>
        <v>0</v>
      </c>
      <c r="C974">
        <f>[1]NhapHang!C974</f>
        <v>0</v>
      </c>
      <c r="D974">
        <f>[1]NhapHang!D974</f>
        <v>0</v>
      </c>
      <c r="E974">
        <f>[1]NhapHang!E974</f>
        <v>0</v>
      </c>
      <c r="F974">
        <f>[1]NhapHang!F974</f>
        <v>0</v>
      </c>
      <c r="G974">
        <f>[1]NhapHang!G974</f>
        <v>0</v>
      </c>
      <c r="H974">
        <f>[1]NhapHang!H974</f>
        <v>0</v>
      </c>
    </row>
    <row r="975" spans="1:8">
      <c r="A975">
        <f>[1]NhapHang!A975</f>
        <v>0</v>
      </c>
      <c r="B975">
        <f>[1]NhapHang!B975</f>
        <v>0</v>
      </c>
      <c r="C975">
        <f>[1]NhapHang!C975</f>
        <v>0</v>
      </c>
      <c r="D975">
        <f>[1]NhapHang!D975</f>
        <v>0</v>
      </c>
      <c r="E975">
        <f>[1]NhapHang!E975</f>
        <v>0</v>
      </c>
      <c r="F975">
        <f>[1]NhapHang!F975</f>
        <v>0</v>
      </c>
      <c r="G975">
        <f>[1]NhapHang!G975</f>
        <v>0</v>
      </c>
      <c r="H975">
        <f>[1]NhapHang!H975</f>
        <v>0</v>
      </c>
    </row>
    <row r="976" spans="1:8">
      <c r="A976">
        <f>[1]NhapHang!A976</f>
        <v>0</v>
      </c>
      <c r="B976">
        <f>[1]NhapHang!B976</f>
        <v>0</v>
      </c>
      <c r="C976">
        <f>[1]NhapHang!C976</f>
        <v>0</v>
      </c>
      <c r="D976">
        <f>[1]NhapHang!D976</f>
        <v>0</v>
      </c>
      <c r="E976">
        <f>[1]NhapHang!E976</f>
        <v>0</v>
      </c>
      <c r="F976">
        <f>[1]NhapHang!F976</f>
        <v>0</v>
      </c>
      <c r="G976">
        <f>[1]NhapHang!G976</f>
        <v>0</v>
      </c>
      <c r="H976">
        <f>[1]NhapHang!H976</f>
        <v>0</v>
      </c>
    </row>
    <row r="977" spans="1:8">
      <c r="A977">
        <f>[1]NhapHang!A977</f>
        <v>0</v>
      </c>
      <c r="B977">
        <f>[1]NhapHang!B977</f>
        <v>0</v>
      </c>
      <c r="C977">
        <f>[1]NhapHang!C977</f>
        <v>0</v>
      </c>
      <c r="D977">
        <f>[1]NhapHang!D977</f>
        <v>0</v>
      </c>
      <c r="E977">
        <f>[1]NhapHang!E977</f>
        <v>0</v>
      </c>
      <c r="F977">
        <f>[1]NhapHang!F977</f>
        <v>0</v>
      </c>
      <c r="G977">
        <f>[1]NhapHang!G977</f>
        <v>0</v>
      </c>
      <c r="H977">
        <f>[1]NhapHang!H977</f>
        <v>0</v>
      </c>
    </row>
    <row r="978" spans="1:8">
      <c r="A978">
        <f>[1]NhapHang!A978</f>
        <v>0</v>
      </c>
      <c r="B978">
        <f>[1]NhapHang!B978</f>
        <v>0</v>
      </c>
      <c r="C978">
        <f>[1]NhapHang!C978</f>
        <v>0</v>
      </c>
      <c r="D978">
        <f>[1]NhapHang!D978</f>
        <v>0</v>
      </c>
      <c r="E978">
        <f>[1]NhapHang!E978</f>
        <v>0</v>
      </c>
      <c r="F978">
        <f>[1]NhapHang!F978</f>
        <v>0</v>
      </c>
      <c r="G978">
        <f>[1]NhapHang!G978</f>
        <v>0</v>
      </c>
      <c r="H978">
        <f>[1]NhapHang!H978</f>
        <v>0</v>
      </c>
    </row>
    <row r="979" spans="1:8">
      <c r="A979">
        <f>[1]NhapHang!A979</f>
        <v>0</v>
      </c>
      <c r="B979">
        <f>[1]NhapHang!B979</f>
        <v>0</v>
      </c>
      <c r="C979">
        <f>[1]NhapHang!C979</f>
        <v>0</v>
      </c>
      <c r="D979">
        <f>[1]NhapHang!D979</f>
        <v>0</v>
      </c>
      <c r="E979">
        <f>[1]NhapHang!E979</f>
        <v>0</v>
      </c>
      <c r="F979">
        <f>[1]NhapHang!F979</f>
        <v>0</v>
      </c>
      <c r="G979">
        <f>[1]NhapHang!G979</f>
        <v>0</v>
      </c>
      <c r="H979">
        <f>[1]NhapHang!H979</f>
        <v>0</v>
      </c>
    </row>
    <row r="980" spans="1:8">
      <c r="A980">
        <f>[1]NhapHang!A980</f>
        <v>0</v>
      </c>
      <c r="B980">
        <f>[1]NhapHang!B980</f>
        <v>0</v>
      </c>
      <c r="C980">
        <f>[1]NhapHang!C980</f>
        <v>0</v>
      </c>
      <c r="D980">
        <f>[1]NhapHang!D980</f>
        <v>0</v>
      </c>
      <c r="E980">
        <f>[1]NhapHang!E980</f>
        <v>0</v>
      </c>
      <c r="F980">
        <f>[1]NhapHang!F980</f>
        <v>0</v>
      </c>
      <c r="G980">
        <f>[1]NhapHang!G980</f>
        <v>0</v>
      </c>
      <c r="H980">
        <f>[1]NhapHang!H980</f>
        <v>0</v>
      </c>
    </row>
    <row r="981" spans="1:8">
      <c r="A981">
        <f>[1]NhapHang!A981</f>
        <v>0</v>
      </c>
      <c r="B981">
        <f>[1]NhapHang!B981</f>
        <v>0</v>
      </c>
      <c r="C981">
        <f>[1]NhapHang!C981</f>
        <v>0</v>
      </c>
      <c r="D981">
        <f>[1]NhapHang!D981</f>
        <v>0</v>
      </c>
      <c r="E981">
        <f>[1]NhapHang!E981</f>
        <v>0</v>
      </c>
      <c r="F981">
        <f>[1]NhapHang!F981</f>
        <v>0</v>
      </c>
      <c r="G981">
        <f>[1]NhapHang!G981</f>
        <v>0</v>
      </c>
      <c r="H981">
        <f>[1]NhapHang!H981</f>
        <v>0</v>
      </c>
    </row>
    <row r="982" spans="1:8">
      <c r="A982">
        <f>[1]NhapHang!A982</f>
        <v>0</v>
      </c>
      <c r="B982">
        <f>[1]NhapHang!B982</f>
        <v>0</v>
      </c>
      <c r="C982">
        <f>[1]NhapHang!C982</f>
        <v>0</v>
      </c>
      <c r="D982">
        <f>[1]NhapHang!D982</f>
        <v>0</v>
      </c>
      <c r="E982">
        <f>[1]NhapHang!E982</f>
        <v>0</v>
      </c>
      <c r="F982">
        <f>[1]NhapHang!F982</f>
        <v>0</v>
      </c>
      <c r="G982">
        <f>[1]NhapHang!G982</f>
        <v>0</v>
      </c>
      <c r="H982">
        <f>[1]NhapHang!H982</f>
        <v>0</v>
      </c>
    </row>
    <row r="983" spans="1:8">
      <c r="A983">
        <f>[1]NhapHang!A983</f>
        <v>0</v>
      </c>
      <c r="B983">
        <f>[1]NhapHang!B983</f>
        <v>0</v>
      </c>
      <c r="C983">
        <f>[1]NhapHang!C983</f>
        <v>0</v>
      </c>
      <c r="D983">
        <f>[1]NhapHang!D983</f>
        <v>0</v>
      </c>
      <c r="E983">
        <f>[1]NhapHang!E983</f>
        <v>0</v>
      </c>
      <c r="F983">
        <f>[1]NhapHang!F983</f>
        <v>0</v>
      </c>
      <c r="G983">
        <f>[1]NhapHang!G983</f>
        <v>0</v>
      </c>
      <c r="H983">
        <f>[1]NhapHang!H983</f>
        <v>0</v>
      </c>
    </row>
    <row r="984" spans="1:8">
      <c r="A984">
        <f>[1]NhapHang!A984</f>
        <v>0</v>
      </c>
      <c r="B984">
        <f>[1]NhapHang!B984</f>
        <v>0</v>
      </c>
      <c r="C984">
        <f>[1]NhapHang!C984</f>
        <v>0</v>
      </c>
      <c r="D984">
        <f>[1]NhapHang!D984</f>
        <v>0</v>
      </c>
      <c r="E984">
        <f>[1]NhapHang!E984</f>
        <v>0</v>
      </c>
      <c r="F984">
        <f>[1]NhapHang!F984</f>
        <v>0</v>
      </c>
      <c r="G984">
        <f>[1]NhapHang!G984</f>
        <v>0</v>
      </c>
      <c r="H984">
        <f>[1]NhapHang!H984</f>
        <v>0</v>
      </c>
    </row>
    <row r="985" spans="1:8">
      <c r="A985">
        <f>[1]NhapHang!A985</f>
        <v>0</v>
      </c>
      <c r="B985">
        <f>[1]NhapHang!B985</f>
        <v>0</v>
      </c>
      <c r="C985">
        <f>[1]NhapHang!C985</f>
        <v>0</v>
      </c>
      <c r="D985">
        <f>[1]NhapHang!D985</f>
        <v>0</v>
      </c>
      <c r="E985">
        <f>[1]NhapHang!E985</f>
        <v>0</v>
      </c>
      <c r="F985">
        <f>[1]NhapHang!F985</f>
        <v>0</v>
      </c>
      <c r="G985">
        <f>[1]NhapHang!G985</f>
        <v>0</v>
      </c>
      <c r="H985">
        <f>[1]NhapHang!H985</f>
        <v>0</v>
      </c>
    </row>
    <row r="986" spans="1:8">
      <c r="A986">
        <f>[1]NhapHang!A986</f>
        <v>0</v>
      </c>
      <c r="B986">
        <f>[1]NhapHang!B986</f>
        <v>0</v>
      </c>
      <c r="C986">
        <f>[1]NhapHang!C986</f>
        <v>0</v>
      </c>
      <c r="D986">
        <f>[1]NhapHang!D986</f>
        <v>0</v>
      </c>
      <c r="E986">
        <f>[1]NhapHang!E986</f>
        <v>0</v>
      </c>
      <c r="F986">
        <f>[1]NhapHang!F986</f>
        <v>0</v>
      </c>
      <c r="G986">
        <f>[1]NhapHang!G986</f>
        <v>0</v>
      </c>
      <c r="H986">
        <f>[1]NhapHang!H986</f>
        <v>0</v>
      </c>
    </row>
    <row r="987" spans="1:8">
      <c r="A987">
        <f>[1]NhapHang!A987</f>
        <v>0</v>
      </c>
      <c r="B987">
        <f>[1]NhapHang!B987</f>
        <v>0</v>
      </c>
      <c r="C987">
        <f>[1]NhapHang!C987</f>
        <v>0</v>
      </c>
      <c r="D987">
        <f>[1]NhapHang!D987</f>
        <v>0</v>
      </c>
      <c r="E987">
        <f>[1]NhapHang!E987</f>
        <v>0</v>
      </c>
      <c r="F987">
        <f>[1]NhapHang!F987</f>
        <v>0</v>
      </c>
      <c r="G987">
        <f>[1]NhapHang!G987</f>
        <v>0</v>
      </c>
      <c r="H987">
        <f>[1]NhapHang!H987</f>
        <v>0</v>
      </c>
    </row>
    <row r="988" spans="1:8">
      <c r="A988">
        <f>[1]NhapHang!A988</f>
        <v>0</v>
      </c>
      <c r="B988">
        <f>[1]NhapHang!B988</f>
        <v>0</v>
      </c>
      <c r="C988">
        <f>[1]NhapHang!C988</f>
        <v>0</v>
      </c>
      <c r="D988">
        <f>[1]NhapHang!D988</f>
        <v>0</v>
      </c>
      <c r="E988">
        <f>[1]NhapHang!E988</f>
        <v>0</v>
      </c>
      <c r="F988">
        <f>[1]NhapHang!F988</f>
        <v>0</v>
      </c>
      <c r="G988">
        <f>[1]NhapHang!G988</f>
        <v>0</v>
      </c>
      <c r="H988">
        <f>[1]NhapHang!H988</f>
        <v>0</v>
      </c>
    </row>
    <row r="989" spans="1:8">
      <c r="A989">
        <f>[1]NhapHang!A989</f>
        <v>0</v>
      </c>
      <c r="B989">
        <f>[1]NhapHang!B989</f>
        <v>0</v>
      </c>
      <c r="C989">
        <f>[1]NhapHang!C989</f>
        <v>0</v>
      </c>
      <c r="D989">
        <f>[1]NhapHang!D989</f>
        <v>0</v>
      </c>
      <c r="E989">
        <f>[1]NhapHang!E989</f>
        <v>0</v>
      </c>
      <c r="F989">
        <f>[1]NhapHang!F989</f>
        <v>0</v>
      </c>
      <c r="G989">
        <f>[1]NhapHang!G989</f>
        <v>0</v>
      </c>
      <c r="H989">
        <f>[1]NhapHang!H989</f>
        <v>0</v>
      </c>
    </row>
    <row r="990" spans="1:8">
      <c r="A990">
        <f>[1]NhapHang!A990</f>
        <v>0</v>
      </c>
      <c r="B990">
        <f>[1]NhapHang!B990</f>
        <v>0</v>
      </c>
      <c r="C990">
        <f>[1]NhapHang!C990</f>
        <v>0</v>
      </c>
      <c r="D990">
        <f>[1]NhapHang!D990</f>
        <v>0</v>
      </c>
      <c r="E990">
        <f>[1]NhapHang!E990</f>
        <v>0</v>
      </c>
      <c r="F990">
        <f>[1]NhapHang!F990</f>
        <v>0</v>
      </c>
      <c r="G990">
        <f>[1]NhapHang!G990</f>
        <v>0</v>
      </c>
      <c r="H990">
        <f>[1]NhapHang!H990</f>
        <v>0</v>
      </c>
    </row>
    <row r="991" spans="1:8">
      <c r="A991">
        <f>[1]NhapHang!A991</f>
        <v>0</v>
      </c>
      <c r="B991">
        <f>[1]NhapHang!B991</f>
        <v>0</v>
      </c>
      <c r="C991">
        <f>[1]NhapHang!C991</f>
        <v>0</v>
      </c>
      <c r="D991">
        <f>[1]NhapHang!D991</f>
        <v>0</v>
      </c>
      <c r="E991">
        <f>[1]NhapHang!E991</f>
        <v>0</v>
      </c>
      <c r="F991">
        <f>[1]NhapHang!F991</f>
        <v>0</v>
      </c>
      <c r="G991">
        <f>[1]NhapHang!G991</f>
        <v>0</v>
      </c>
      <c r="H991">
        <f>[1]NhapHang!H991</f>
        <v>0</v>
      </c>
    </row>
    <row r="992" spans="1:8">
      <c r="A992">
        <f>[1]NhapHang!A992</f>
        <v>0</v>
      </c>
      <c r="B992">
        <f>[1]NhapHang!B992</f>
        <v>0</v>
      </c>
      <c r="C992">
        <f>[1]NhapHang!C992</f>
        <v>0</v>
      </c>
      <c r="D992">
        <f>[1]NhapHang!D992</f>
        <v>0</v>
      </c>
      <c r="E992">
        <f>[1]NhapHang!E992</f>
        <v>0</v>
      </c>
      <c r="F992">
        <f>[1]NhapHang!F992</f>
        <v>0</v>
      </c>
      <c r="G992">
        <f>[1]NhapHang!G992</f>
        <v>0</v>
      </c>
      <c r="H992">
        <f>[1]NhapHang!H992</f>
        <v>0</v>
      </c>
    </row>
    <row r="993" spans="1:8">
      <c r="A993">
        <f>[1]NhapHang!A993</f>
        <v>0</v>
      </c>
      <c r="B993">
        <f>[1]NhapHang!B993</f>
        <v>0</v>
      </c>
      <c r="C993">
        <f>[1]NhapHang!C993</f>
        <v>0</v>
      </c>
      <c r="D993">
        <f>[1]NhapHang!D993</f>
        <v>0</v>
      </c>
      <c r="E993">
        <f>[1]NhapHang!E993</f>
        <v>0</v>
      </c>
      <c r="F993">
        <f>[1]NhapHang!F993</f>
        <v>0</v>
      </c>
      <c r="G993">
        <f>[1]NhapHang!G993</f>
        <v>0</v>
      </c>
      <c r="H993">
        <f>[1]NhapHang!H993</f>
        <v>0</v>
      </c>
    </row>
    <row r="994" spans="1:8">
      <c r="A994">
        <f>[1]NhapHang!A994</f>
        <v>0</v>
      </c>
      <c r="B994">
        <f>[1]NhapHang!B994</f>
        <v>0</v>
      </c>
      <c r="C994">
        <f>[1]NhapHang!C994</f>
        <v>0</v>
      </c>
      <c r="D994">
        <f>[1]NhapHang!D994</f>
        <v>0</v>
      </c>
      <c r="E994">
        <f>[1]NhapHang!E994</f>
        <v>0</v>
      </c>
      <c r="F994">
        <f>[1]NhapHang!F994</f>
        <v>0</v>
      </c>
      <c r="G994">
        <f>[1]NhapHang!G994</f>
        <v>0</v>
      </c>
      <c r="H994">
        <f>[1]NhapHang!H994</f>
        <v>0</v>
      </c>
    </row>
    <row r="995" spans="1:8">
      <c r="A995">
        <f>[1]NhapHang!A995</f>
        <v>0</v>
      </c>
      <c r="B995">
        <f>[1]NhapHang!B995</f>
        <v>0</v>
      </c>
      <c r="C995">
        <f>[1]NhapHang!C995</f>
        <v>0</v>
      </c>
      <c r="D995">
        <f>[1]NhapHang!D995</f>
        <v>0</v>
      </c>
      <c r="E995">
        <f>[1]NhapHang!E995</f>
        <v>0</v>
      </c>
      <c r="F995">
        <f>[1]NhapHang!F995</f>
        <v>0</v>
      </c>
      <c r="G995">
        <f>[1]NhapHang!G995</f>
        <v>0</v>
      </c>
      <c r="H995">
        <f>[1]NhapHang!H995</f>
        <v>0</v>
      </c>
    </row>
    <row r="996" spans="1:8">
      <c r="A996">
        <f>[1]NhapHang!A996</f>
        <v>0</v>
      </c>
      <c r="B996">
        <f>[1]NhapHang!B996</f>
        <v>0</v>
      </c>
      <c r="C996">
        <f>[1]NhapHang!C996</f>
        <v>0</v>
      </c>
      <c r="D996">
        <f>[1]NhapHang!D996</f>
        <v>0</v>
      </c>
      <c r="E996">
        <f>[1]NhapHang!E996</f>
        <v>0</v>
      </c>
      <c r="F996">
        <f>[1]NhapHang!F996</f>
        <v>0</v>
      </c>
      <c r="G996">
        <f>[1]NhapHang!G996</f>
        <v>0</v>
      </c>
      <c r="H996">
        <f>[1]NhapHang!H996</f>
        <v>0</v>
      </c>
    </row>
    <row r="997" spans="1:8">
      <c r="A997">
        <f>[1]NhapHang!A997</f>
        <v>0</v>
      </c>
      <c r="B997">
        <f>[1]NhapHang!B997</f>
        <v>0</v>
      </c>
      <c r="C997">
        <f>[1]NhapHang!C997</f>
        <v>0</v>
      </c>
      <c r="D997">
        <f>[1]NhapHang!D997</f>
        <v>0</v>
      </c>
      <c r="E997">
        <f>[1]NhapHang!E997</f>
        <v>0</v>
      </c>
      <c r="F997">
        <f>[1]NhapHang!F997</f>
        <v>0</v>
      </c>
      <c r="G997">
        <f>[1]NhapHang!G997</f>
        <v>0</v>
      </c>
      <c r="H997">
        <f>[1]NhapHang!H997</f>
        <v>0</v>
      </c>
    </row>
    <row r="998" spans="1:8">
      <c r="A998">
        <f>[1]NhapHang!A998</f>
        <v>0</v>
      </c>
      <c r="B998">
        <f>[1]NhapHang!B998</f>
        <v>0</v>
      </c>
      <c r="C998">
        <f>[1]NhapHang!C998</f>
        <v>0</v>
      </c>
      <c r="D998">
        <f>[1]NhapHang!D998</f>
        <v>0</v>
      </c>
      <c r="E998">
        <f>[1]NhapHang!E998</f>
        <v>0</v>
      </c>
      <c r="F998">
        <f>[1]NhapHang!F998</f>
        <v>0</v>
      </c>
      <c r="G998">
        <f>[1]NhapHang!G998</f>
        <v>0</v>
      </c>
      <c r="H998">
        <f>[1]NhapHang!H998</f>
        <v>0</v>
      </c>
    </row>
    <row r="999" spans="1:8">
      <c r="A999">
        <f>[1]NhapHang!A999</f>
        <v>0</v>
      </c>
      <c r="B999">
        <f>[1]NhapHang!B999</f>
        <v>0</v>
      </c>
      <c r="C999">
        <f>[1]NhapHang!C999</f>
        <v>0</v>
      </c>
      <c r="D999">
        <f>[1]NhapHang!D999</f>
        <v>0</v>
      </c>
      <c r="E999">
        <f>[1]NhapHang!E999</f>
        <v>0</v>
      </c>
      <c r="F999">
        <f>[1]NhapHang!F999</f>
        <v>0</v>
      </c>
      <c r="G999">
        <f>[1]NhapHang!G999</f>
        <v>0</v>
      </c>
      <c r="H999">
        <f>[1]NhapHang!H999</f>
        <v>0</v>
      </c>
    </row>
    <row r="1000" spans="1:8">
      <c r="A1000">
        <f>[1]NhapHang!A1000</f>
        <v>0</v>
      </c>
      <c r="B1000">
        <f>[1]NhapHang!B1000</f>
        <v>0</v>
      </c>
      <c r="C1000">
        <f>[1]NhapHang!C1000</f>
        <v>0</v>
      </c>
      <c r="D1000">
        <f>[1]NhapHang!D1000</f>
        <v>0</v>
      </c>
      <c r="E1000">
        <f>[1]NhapHang!E1000</f>
        <v>0</v>
      </c>
      <c r="F1000">
        <f>[1]NhapHang!F1000</f>
        <v>0</v>
      </c>
      <c r="G1000">
        <f>[1]NhapHang!G1000</f>
        <v>0</v>
      </c>
      <c r="H1000">
        <f>[1]NhapHang!H1000</f>
        <v>0</v>
      </c>
    </row>
    <row r="1001" spans="1:8">
      <c r="A1001">
        <f>[1]NhapHang!A1001</f>
        <v>0</v>
      </c>
      <c r="B1001">
        <f>[1]NhapHang!B1001</f>
        <v>0</v>
      </c>
      <c r="C1001">
        <f>[1]NhapHang!C1001</f>
        <v>0</v>
      </c>
      <c r="D1001">
        <f>[1]NhapHang!D1001</f>
        <v>0</v>
      </c>
      <c r="E1001">
        <f>[1]NhapHang!E1001</f>
        <v>0</v>
      </c>
      <c r="F1001">
        <f>[1]NhapHang!F1001</f>
        <v>0</v>
      </c>
      <c r="G1001">
        <f>[1]NhapHang!G1001</f>
        <v>0</v>
      </c>
      <c r="H1001">
        <f>[1]NhapHang!H1001</f>
        <v>0</v>
      </c>
    </row>
    <row r="1002" spans="1:8">
      <c r="A1002">
        <f>[1]NhapHang!A1002</f>
        <v>0</v>
      </c>
      <c r="B1002">
        <f>[1]NhapHang!B1002</f>
        <v>0</v>
      </c>
      <c r="C1002">
        <f>[1]NhapHang!C1002</f>
        <v>0</v>
      </c>
      <c r="D1002">
        <f>[1]NhapHang!D1002</f>
        <v>0</v>
      </c>
      <c r="E1002">
        <f>[1]NhapHang!E1002</f>
        <v>0</v>
      </c>
      <c r="F1002">
        <f>[1]NhapHang!F1002</f>
        <v>0</v>
      </c>
      <c r="G1002">
        <f>[1]NhapHang!G1002</f>
        <v>0</v>
      </c>
      <c r="H1002">
        <f>[1]NhapHang!H1002</f>
        <v>0</v>
      </c>
    </row>
    <row r="1003" spans="1:8">
      <c r="A1003">
        <f>[1]NhapHang!A1003</f>
        <v>0</v>
      </c>
      <c r="B1003">
        <f>[1]NhapHang!B1003</f>
        <v>0</v>
      </c>
      <c r="C1003">
        <f>[1]NhapHang!C1003</f>
        <v>0</v>
      </c>
      <c r="D1003">
        <f>[1]NhapHang!D1003</f>
        <v>0</v>
      </c>
      <c r="E1003">
        <f>[1]NhapHang!E1003</f>
        <v>0</v>
      </c>
      <c r="F1003">
        <f>[1]NhapHang!F1003</f>
        <v>0</v>
      </c>
      <c r="G1003">
        <f>[1]NhapHang!G1003</f>
        <v>0</v>
      </c>
      <c r="H1003">
        <f>[1]NhapHang!H1003</f>
        <v>0</v>
      </c>
    </row>
    <row r="1004" spans="1:8">
      <c r="A1004">
        <f>[1]NhapHang!A1004</f>
        <v>0</v>
      </c>
      <c r="B1004">
        <f>[1]NhapHang!B1004</f>
        <v>0</v>
      </c>
      <c r="C1004">
        <f>[1]NhapHang!C1004</f>
        <v>0</v>
      </c>
      <c r="D1004">
        <f>[1]NhapHang!D1004</f>
        <v>0</v>
      </c>
      <c r="E1004">
        <f>[1]NhapHang!E1004</f>
        <v>0</v>
      </c>
      <c r="F1004">
        <f>[1]NhapHang!F1004</f>
        <v>0</v>
      </c>
      <c r="G1004">
        <f>[1]NhapHang!G1004</f>
        <v>0</v>
      </c>
      <c r="H1004">
        <f>[1]NhapHang!H1004</f>
        <v>0</v>
      </c>
    </row>
    <row r="1005" spans="1:8">
      <c r="A1005">
        <f>[1]NhapHang!A1005</f>
        <v>0</v>
      </c>
      <c r="B1005">
        <f>[1]NhapHang!B1005</f>
        <v>0</v>
      </c>
      <c r="C1005">
        <f>[1]NhapHang!C1005</f>
        <v>0</v>
      </c>
      <c r="D1005">
        <f>[1]NhapHang!D1005</f>
        <v>0</v>
      </c>
      <c r="E1005">
        <f>[1]NhapHang!E1005</f>
        <v>0</v>
      </c>
      <c r="F1005">
        <f>[1]NhapHang!F1005</f>
        <v>0</v>
      </c>
      <c r="G1005">
        <f>[1]NhapHang!G1005</f>
        <v>0</v>
      </c>
      <c r="H1005">
        <f>[1]NhapHang!H1005</f>
        <v>0</v>
      </c>
    </row>
    <row r="1006" spans="1:8">
      <c r="A1006">
        <f>[1]NhapHang!A1006</f>
        <v>0</v>
      </c>
      <c r="B1006">
        <f>[1]NhapHang!B1006</f>
        <v>0</v>
      </c>
      <c r="C1006">
        <f>[1]NhapHang!C1006</f>
        <v>0</v>
      </c>
      <c r="D1006">
        <f>[1]NhapHang!D1006</f>
        <v>0</v>
      </c>
      <c r="E1006">
        <f>[1]NhapHang!E1006</f>
        <v>0</v>
      </c>
      <c r="F1006">
        <f>[1]NhapHang!F1006</f>
        <v>0</v>
      </c>
      <c r="G1006">
        <f>[1]NhapHang!G1006</f>
        <v>0</v>
      </c>
      <c r="H1006">
        <f>[1]NhapHang!H1006</f>
        <v>0</v>
      </c>
    </row>
    <row r="1007" spans="1:8">
      <c r="A1007">
        <f>[1]NhapHang!A1007</f>
        <v>0</v>
      </c>
      <c r="B1007">
        <f>[1]NhapHang!B1007</f>
        <v>0</v>
      </c>
      <c r="C1007">
        <f>[1]NhapHang!C1007</f>
        <v>0</v>
      </c>
      <c r="D1007">
        <f>[1]NhapHang!D1007</f>
        <v>0</v>
      </c>
      <c r="E1007">
        <f>[1]NhapHang!E1007</f>
        <v>0</v>
      </c>
      <c r="F1007">
        <f>[1]NhapHang!F1007</f>
        <v>0</v>
      </c>
      <c r="G1007">
        <f>[1]NhapHang!G1007</f>
        <v>0</v>
      </c>
      <c r="H1007">
        <f>[1]NhapHang!H1007</f>
        <v>0</v>
      </c>
    </row>
    <row r="1008" spans="1:8">
      <c r="A1008">
        <f>[1]NhapHang!A1008</f>
        <v>0</v>
      </c>
      <c r="B1008">
        <f>[1]NhapHang!B1008</f>
        <v>0</v>
      </c>
      <c r="C1008">
        <f>[1]NhapHang!C1008</f>
        <v>0</v>
      </c>
      <c r="D1008">
        <f>[1]NhapHang!D1008</f>
        <v>0</v>
      </c>
      <c r="E1008">
        <f>[1]NhapHang!E1008</f>
        <v>0</v>
      </c>
      <c r="F1008">
        <f>[1]NhapHang!F1008</f>
        <v>0</v>
      </c>
      <c r="G1008">
        <f>[1]NhapHang!G1008</f>
        <v>0</v>
      </c>
      <c r="H1008">
        <f>[1]NhapHang!H1008</f>
        <v>0</v>
      </c>
    </row>
    <row r="1009" spans="1:8">
      <c r="A1009">
        <f>[1]NhapHang!A1009</f>
        <v>0</v>
      </c>
      <c r="B1009">
        <f>[1]NhapHang!B1009</f>
        <v>0</v>
      </c>
      <c r="C1009">
        <f>[1]NhapHang!C1009</f>
        <v>0</v>
      </c>
      <c r="D1009">
        <f>[1]NhapHang!D1009</f>
        <v>0</v>
      </c>
      <c r="E1009">
        <f>[1]NhapHang!E1009</f>
        <v>0</v>
      </c>
      <c r="F1009">
        <f>[1]NhapHang!F1009</f>
        <v>0</v>
      </c>
      <c r="G1009">
        <f>[1]NhapHang!G1009</f>
        <v>0</v>
      </c>
      <c r="H1009">
        <f>[1]NhapHang!H1009</f>
        <v>0</v>
      </c>
    </row>
    <row r="1010" spans="1:8">
      <c r="A1010">
        <f>[1]NhapHang!A1010</f>
        <v>0</v>
      </c>
      <c r="B1010">
        <f>[1]NhapHang!B1010</f>
        <v>0</v>
      </c>
      <c r="C1010">
        <f>[1]NhapHang!C1010</f>
        <v>0</v>
      </c>
      <c r="D1010">
        <f>[1]NhapHang!D1010</f>
        <v>0</v>
      </c>
      <c r="E1010">
        <f>[1]NhapHang!E1010</f>
        <v>0</v>
      </c>
      <c r="F1010">
        <f>[1]NhapHang!F1010</f>
        <v>0</v>
      </c>
      <c r="G1010">
        <f>[1]NhapHang!G1010</f>
        <v>0</v>
      </c>
      <c r="H1010">
        <f>[1]NhapHang!H1010</f>
        <v>0</v>
      </c>
    </row>
    <row r="1011" spans="1:8">
      <c r="A1011">
        <f>[1]NhapHang!A1011</f>
        <v>0</v>
      </c>
      <c r="B1011">
        <f>[1]NhapHang!B1011</f>
        <v>0</v>
      </c>
      <c r="C1011">
        <f>[1]NhapHang!C1011</f>
        <v>0</v>
      </c>
      <c r="D1011">
        <f>[1]NhapHang!D1011</f>
        <v>0</v>
      </c>
      <c r="E1011">
        <f>[1]NhapHang!E1011</f>
        <v>0</v>
      </c>
      <c r="F1011">
        <f>[1]NhapHang!F1011</f>
        <v>0</v>
      </c>
      <c r="G1011">
        <f>[1]NhapHang!G1011</f>
        <v>0</v>
      </c>
      <c r="H1011">
        <f>[1]NhapHang!H1011</f>
        <v>0</v>
      </c>
    </row>
    <row r="1012" spans="1:8">
      <c r="A1012">
        <f>[1]NhapHang!A1012</f>
        <v>0</v>
      </c>
      <c r="B1012">
        <f>[1]NhapHang!B1012</f>
        <v>0</v>
      </c>
      <c r="C1012">
        <f>[1]NhapHang!C1012</f>
        <v>0</v>
      </c>
      <c r="D1012">
        <f>[1]NhapHang!D1012</f>
        <v>0</v>
      </c>
      <c r="E1012">
        <f>[1]NhapHang!E1012</f>
        <v>0</v>
      </c>
      <c r="F1012">
        <f>[1]NhapHang!F1012</f>
        <v>0</v>
      </c>
      <c r="G1012">
        <f>[1]NhapHang!G1012</f>
        <v>0</v>
      </c>
      <c r="H1012">
        <f>[1]NhapHang!H1012</f>
        <v>0</v>
      </c>
    </row>
    <row r="1013" spans="1:8">
      <c r="A1013">
        <f>[1]NhapHang!A1013</f>
        <v>0</v>
      </c>
      <c r="B1013">
        <f>[1]NhapHang!B1013</f>
        <v>0</v>
      </c>
      <c r="C1013">
        <f>[1]NhapHang!C1013</f>
        <v>0</v>
      </c>
      <c r="D1013">
        <f>[1]NhapHang!D1013</f>
        <v>0</v>
      </c>
      <c r="E1013">
        <f>[1]NhapHang!E1013</f>
        <v>0</v>
      </c>
      <c r="F1013">
        <f>[1]NhapHang!F1013</f>
        <v>0</v>
      </c>
      <c r="G1013">
        <f>[1]NhapHang!G1013</f>
        <v>0</v>
      </c>
      <c r="H1013">
        <f>[1]NhapHang!H1013</f>
        <v>0</v>
      </c>
    </row>
    <row r="1014" spans="1:8">
      <c r="A1014">
        <f>[1]NhapHang!A1014</f>
        <v>0</v>
      </c>
      <c r="B1014">
        <f>[1]NhapHang!B1014</f>
        <v>0</v>
      </c>
      <c r="C1014">
        <f>[1]NhapHang!C1014</f>
        <v>0</v>
      </c>
      <c r="D1014">
        <f>[1]NhapHang!D1014</f>
        <v>0</v>
      </c>
      <c r="E1014">
        <f>[1]NhapHang!E1014</f>
        <v>0</v>
      </c>
      <c r="F1014">
        <f>[1]NhapHang!F1014</f>
        <v>0</v>
      </c>
      <c r="G1014">
        <f>[1]NhapHang!G1014</f>
        <v>0</v>
      </c>
      <c r="H1014">
        <f>[1]NhapHang!H1014</f>
        <v>0</v>
      </c>
    </row>
    <row r="1015" spans="1:8">
      <c r="A1015">
        <f>[1]NhapHang!A1015</f>
        <v>0</v>
      </c>
      <c r="B1015">
        <f>[1]NhapHang!B1015</f>
        <v>0</v>
      </c>
      <c r="C1015">
        <f>[1]NhapHang!C1015</f>
        <v>0</v>
      </c>
      <c r="D1015">
        <f>[1]NhapHang!D1015</f>
        <v>0</v>
      </c>
      <c r="E1015">
        <f>[1]NhapHang!E1015</f>
        <v>0</v>
      </c>
      <c r="F1015">
        <f>[1]NhapHang!F1015</f>
        <v>0</v>
      </c>
      <c r="G1015">
        <f>[1]NhapHang!G1015</f>
        <v>0</v>
      </c>
      <c r="H1015">
        <f>[1]NhapHang!H1015</f>
        <v>0</v>
      </c>
    </row>
    <row r="1016" spans="1:8">
      <c r="A1016">
        <f>[1]NhapHang!A1016</f>
        <v>0</v>
      </c>
      <c r="B1016">
        <f>[1]NhapHang!B1016</f>
        <v>0</v>
      </c>
      <c r="C1016">
        <f>[1]NhapHang!C1016</f>
        <v>0</v>
      </c>
      <c r="D1016">
        <f>[1]NhapHang!D1016</f>
        <v>0</v>
      </c>
      <c r="E1016">
        <f>[1]NhapHang!E1016</f>
        <v>0</v>
      </c>
      <c r="F1016">
        <f>[1]NhapHang!F1016</f>
        <v>0</v>
      </c>
      <c r="G1016">
        <f>[1]NhapHang!G1016</f>
        <v>0</v>
      </c>
      <c r="H1016">
        <f>[1]NhapHang!H1016</f>
        <v>0</v>
      </c>
    </row>
    <row r="1017" spans="1:8">
      <c r="A1017">
        <f>[1]NhapHang!A1017</f>
        <v>0</v>
      </c>
      <c r="B1017">
        <f>[1]NhapHang!B1017</f>
        <v>0</v>
      </c>
      <c r="C1017">
        <f>[1]NhapHang!C1017</f>
        <v>0</v>
      </c>
      <c r="D1017">
        <f>[1]NhapHang!D1017</f>
        <v>0</v>
      </c>
      <c r="E1017">
        <f>[1]NhapHang!E1017</f>
        <v>0</v>
      </c>
      <c r="F1017">
        <f>[1]NhapHang!F1017</f>
        <v>0</v>
      </c>
      <c r="G1017">
        <f>[1]NhapHang!G1017</f>
        <v>0</v>
      </c>
      <c r="H1017">
        <f>[1]NhapHang!H1017</f>
        <v>0</v>
      </c>
    </row>
    <row r="1018" spans="1:8">
      <c r="A1018">
        <f>[1]NhapHang!A1018</f>
        <v>0</v>
      </c>
      <c r="B1018">
        <f>[1]NhapHang!B1018</f>
        <v>0</v>
      </c>
      <c r="C1018">
        <f>[1]NhapHang!C1018</f>
        <v>0</v>
      </c>
      <c r="D1018">
        <f>[1]NhapHang!D1018</f>
        <v>0</v>
      </c>
      <c r="E1018">
        <f>[1]NhapHang!E1018</f>
        <v>0</v>
      </c>
      <c r="F1018">
        <f>[1]NhapHang!F1018</f>
        <v>0</v>
      </c>
      <c r="G1018">
        <f>[1]NhapHang!G1018</f>
        <v>0</v>
      </c>
      <c r="H1018">
        <f>[1]NhapHang!H1018</f>
        <v>0</v>
      </c>
    </row>
    <row r="1019" spans="1:8">
      <c r="A1019">
        <f>[1]NhapHang!A1019</f>
        <v>0</v>
      </c>
      <c r="B1019">
        <f>[1]NhapHang!B1019</f>
        <v>0</v>
      </c>
      <c r="C1019">
        <f>[1]NhapHang!C1019</f>
        <v>0</v>
      </c>
      <c r="D1019">
        <f>[1]NhapHang!D1019</f>
        <v>0</v>
      </c>
      <c r="E1019">
        <f>[1]NhapHang!E1019</f>
        <v>0</v>
      </c>
      <c r="F1019">
        <f>[1]NhapHang!F1019</f>
        <v>0</v>
      </c>
      <c r="G1019">
        <f>[1]NhapHang!G1019</f>
        <v>0</v>
      </c>
      <c r="H1019">
        <f>[1]NhapHang!H1019</f>
        <v>0</v>
      </c>
    </row>
    <row r="1020" spans="1:8">
      <c r="A1020">
        <f>[1]NhapHang!A1020</f>
        <v>0</v>
      </c>
      <c r="B1020">
        <f>[1]NhapHang!B1020</f>
        <v>0</v>
      </c>
      <c r="C1020">
        <f>[1]NhapHang!C1020</f>
        <v>0</v>
      </c>
      <c r="D1020">
        <f>[1]NhapHang!D1020</f>
        <v>0</v>
      </c>
      <c r="E1020">
        <f>[1]NhapHang!E1020</f>
        <v>0</v>
      </c>
      <c r="F1020">
        <f>[1]NhapHang!F1020</f>
        <v>0</v>
      </c>
      <c r="G1020">
        <f>[1]NhapHang!G1020</f>
        <v>0</v>
      </c>
      <c r="H1020">
        <f>[1]NhapHang!H1020</f>
        <v>0</v>
      </c>
    </row>
    <row r="1021" spans="1:8">
      <c r="A1021">
        <f>[1]NhapHang!A1021</f>
        <v>0</v>
      </c>
      <c r="B1021">
        <f>[1]NhapHang!B1021</f>
        <v>0</v>
      </c>
      <c r="C1021">
        <f>[1]NhapHang!C1021</f>
        <v>0</v>
      </c>
      <c r="D1021">
        <f>[1]NhapHang!D1021</f>
        <v>0</v>
      </c>
      <c r="E1021">
        <f>[1]NhapHang!E1021</f>
        <v>0</v>
      </c>
      <c r="F1021">
        <f>[1]NhapHang!F1021</f>
        <v>0</v>
      </c>
      <c r="G1021">
        <f>[1]NhapHang!G1021</f>
        <v>0</v>
      </c>
      <c r="H1021">
        <f>[1]NhapHang!H1021</f>
        <v>0</v>
      </c>
    </row>
    <row r="1022" spans="1:8">
      <c r="A1022">
        <f>[1]NhapHang!A1022</f>
        <v>0</v>
      </c>
      <c r="B1022">
        <f>[1]NhapHang!B1022</f>
        <v>0</v>
      </c>
      <c r="C1022">
        <f>[1]NhapHang!C1022</f>
        <v>0</v>
      </c>
      <c r="D1022">
        <f>[1]NhapHang!D1022</f>
        <v>0</v>
      </c>
      <c r="E1022">
        <f>[1]NhapHang!E1022</f>
        <v>0</v>
      </c>
      <c r="F1022">
        <f>[1]NhapHang!F1022</f>
        <v>0</v>
      </c>
      <c r="G1022">
        <f>[1]NhapHang!G1022</f>
        <v>0</v>
      </c>
      <c r="H1022">
        <f>[1]NhapHang!H1022</f>
        <v>0</v>
      </c>
    </row>
    <row r="1023" spans="1:8">
      <c r="A1023">
        <f>[1]NhapHang!A1023</f>
        <v>0</v>
      </c>
      <c r="B1023">
        <f>[1]NhapHang!B1023</f>
        <v>0</v>
      </c>
      <c r="C1023">
        <f>[1]NhapHang!C1023</f>
        <v>0</v>
      </c>
      <c r="D1023">
        <f>[1]NhapHang!D1023</f>
        <v>0</v>
      </c>
      <c r="E1023">
        <f>[1]NhapHang!E1023</f>
        <v>0</v>
      </c>
      <c r="F1023">
        <f>[1]NhapHang!F1023</f>
        <v>0</v>
      </c>
      <c r="G1023">
        <f>[1]NhapHang!G1023</f>
        <v>0</v>
      </c>
      <c r="H1023">
        <f>[1]NhapHang!H1023</f>
        <v>0</v>
      </c>
    </row>
    <row r="1024" spans="1:8">
      <c r="A1024">
        <f>[1]NhapHang!A1024</f>
        <v>0</v>
      </c>
      <c r="B1024">
        <f>[1]NhapHang!B1024</f>
        <v>0</v>
      </c>
      <c r="C1024">
        <f>[1]NhapHang!C1024</f>
        <v>0</v>
      </c>
      <c r="D1024">
        <f>[1]NhapHang!D1024</f>
        <v>0</v>
      </c>
      <c r="E1024">
        <f>[1]NhapHang!E1024</f>
        <v>0</v>
      </c>
      <c r="F1024">
        <f>[1]NhapHang!F1024</f>
        <v>0</v>
      </c>
      <c r="G1024">
        <f>[1]NhapHang!G1024</f>
        <v>0</v>
      </c>
      <c r="H1024">
        <f>[1]NhapHang!H1024</f>
        <v>0</v>
      </c>
    </row>
    <row r="1025" spans="1:8">
      <c r="A1025">
        <f>[1]NhapHang!A1025</f>
        <v>0</v>
      </c>
      <c r="B1025">
        <f>[1]NhapHang!B1025</f>
        <v>0</v>
      </c>
      <c r="C1025">
        <f>[1]NhapHang!C1025</f>
        <v>0</v>
      </c>
      <c r="D1025">
        <f>[1]NhapHang!D1025</f>
        <v>0</v>
      </c>
      <c r="E1025">
        <f>[1]NhapHang!E1025</f>
        <v>0</v>
      </c>
      <c r="F1025">
        <f>[1]NhapHang!F1025</f>
        <v>0</v>
      </c>
      <c r="G1025">
        <f>[1]NhapHang!G1025</f>
        <v>0</v>
      </c>
      <c r="H1025">
        <f>[1]NhapHang!H1025</f>
        <v>0</v>
      </c>
    </row>
    <row r="1026" spans="1:8">
      <c r="A1026">
        <f>[1]NhapHang!A1026</f>
        <v>0</v>
      </c>
      <c r="B1026">
        <f>[1]NhapHang!B1026</f>
        <v>0</v>
      </c>
      <c r="C1026">
        <f>[1]NhapHang!C1026</f>
        <v>0</v>
      </c>
      <c r="D1026">
        <f>[1]NhapHang!D1026</f>
        <v>0</v>
      </c>
      <c r="E1026">
        <f>[1]NhapHang!E1026</f>
        <v>0</v>
      </c>
      <c r="F1026">
        <f>[1]NhapHang!F1026</f>
        <v>0</v>
      </c>
      <c r="G1026">
        <f>[1]NhapHang!G1026</f>
        <v>0</v>
      </c>
      <c r="H1026">
        <f>[1]NhapHang!H1026</f>
        <v>0</v>
      </c>
    </row>
    <row r="1027" spans="1:8">
      <c r="A1027">
        <f>[1]NhapHang!A1027</f>
        <v>0</v>
      </c>
      <c r="B1027">
        <f>[1]NhapHang!B1027</f>
        <v>0</v>
      </c>
      <c r="C1027">
        <f>[1]NhapHang!C1027</f>
        <v>0</v>
      </c>
      <c r="D1027">
        <f>[1]NhapHang!D1027</f>
        <v>0</v>
      </c>
      <c r="E1027">
        <f>[1]NhapHang!E1027</f>
        <v>0</v>
      </c>
      <c r="F1027">
        <f>[1]NhapHang!F1027</f>
        <v>0</v>
      </c>
      <c r="G1027">
        <f>[1]NhapHang!G1027</f>
        <v>0</v>
      </c>
      <c r="H1027">
        <f>[1]NhapHang!H1027</f>
        <v>0</v>
      </c>
    </row>
    <row r="1028" spans="1:8">
      <c r="A1028">
        <f>[1]NhapHang!A1028</f>
        <v>0</v>
      </c>
      <c r="B1028">
        <f>[1]NhapHang!B1028</f>
        <v>0</v>
      </c>
      <c r="C1028">
        <f>[1]NhapHang!C1028</f>
        <v>0</v>
      </c>
      <c r="D1028">
        <f>[1]NhapHang!D1028</f>
        <v>0</v>
      </c>
      <c r="E1028">
        <f>[1]NhapHang!E1028</f>
        <v>0</v>
      </c>
      <c r="F1028">
        <f>[1]NhapHang!F1028</f>
        <v>0</v>
      </c>
      <c r="G1028">
        <f>[1]NhapHang!G1028</f>
        <v>0</v>
      </c>
      <c r="H1028">
        <f>[1]NhapHang!H1028</f>
        <v>0</v>
      </c>
    </row>
    <row r="1029" spans="1:8">
      <c r="A1029">
        <f>[1]NhapHang!A1029</f>
        <v>0</v>
      </c>
      <c r="B1029">
        <f>[1]NhapHang!B1029</f>
        <v>0</v>
      </c>
      <c r="C1029">
        <f>[1]NhapHang!C1029</f>
        <v>0</v>
      </c>
      <c r="D1029">
        <f>[1]NhapHang!D1029</f>
        <v>0</v>
      </c>
      <c r="E1029">
        <f>[1]NhapHang!E1029</f>
        <v>0</v>
      </c>
      <c r="F1029">
        <f>[1]NhapHang!F1029</f>
        <v>0</v>
      </c>
      <c r="G1029">
        <f>[1]NhapHang!G1029</f>
        <v>0</v>
      </c>
      <c r="H1029">
        <f>[1]NhapHang!H1029</f>
        <v>0</v>
      </c>
    </row>
    <row r="1030" spans="1:8">
      <c r="A1030">
        <f>[1]NhapHang!A1030</f>
        <v>0</v>
      </c>
      <c r="B1030">
        <f>[1]NhapHang!B1030</f>
        <v>0</v>
      </c>
      <c r="C1030">
        <f>[1]NhapHang!C1030</f>
        <v>0</v>
      </c>
      <c r="D1030">
        <f>[1]NhapHang!D1030</f>
        <v>0</v>
      </c>
      <c r="E1030">
        <f>[1]NhapHang!E1030</f>
        <v>0</v>
      </c>
      <c r="F1030">
        <f>[1]NhapHang!F1030</f>
        <v>0</v>
      </c>
      <c r="G1030">
        <f>[1]NhapHang!G1030</f>
        <v>0</v>
      </c>
      <c r="H1030">
        <f>[1]NhapHang!H1030</f>
        <v>0</v>
      </c>
    </row>
    <row r="1031" spans="1:8">
      <c r="A1031">
        <f>[1]NhapHang!A1031</f>
        <v>0</v>
      </c>
      <c r="B1031">
        <f>[1]NhapHang!B1031</f>
        <v>0</v>
      </c>
      <c r="C1031">
        <f>[1]NhapHang!C1031</f>
        <v>0</v>
      </c>
      <c r="D1031">
        <f>[1]NhapHang!D1031</f>
        <v>0</v>
      </c>
      <c r="E1031">
        <f>[1]NhapHang!E1031</f>
        <v>0</v>
      </c>
      <c r="F1031">
        <f>[1]NhapHang!F1031</f>
        <v>0</v>
      </c>
      <c r="G1031">
        <f>[1]NhapHang!G1031</f>
        <v>0</v>
      </c>
      <c r="H1031">
        <f>[1]NhapHang!H1031</f>
        <v>0</v>
      </c>
    </row>
    <row r="1032" spans="1:8">
      <c r="A1032">
        <f>[1]NhapHang!A1032</f>
        <v>0</v>
      </c>
      <c r="B1032">
        <f>[1]NhapHang!B1032</f>
        <v>0</v>
      </c>
      <c r="C1032">
        <f>[1]NhapHang!C1032</f>
        <v>0</v>
      </c>
      <c r="D1032">
        <f>[1]NhapHang!D1032</f>
        <v>0</v>
      </c>
      <c r="E1032">
        <f>[1]NhapHang!E1032</f>
        <v>0</v>
      </c>
      <c r="F1032">
        <f>[1]NhapHang!F1032</f>
        <v>0</v>
      </c>
      <c r="G1032">
        <f>[1]NhapHang!G1032</f>
        <v>0</v>
      </c>
      <c r="H1032">
        <f>[1]NhapHang!H1032</f>
        <v>0</v>
      </c>
    </row>
    <row r="1033" spans="1:8">
      <c r="A1033">
        <f>[1]NhapHang!A1033</f>
        <v>0</v>
      </c>
      <c r="B1033">
        <f>[1]NhapHang!B1033</f>
        <v>0</v>
      </c>
      <c r="C1033">
        <f>[1]NhapHang!C1033</f>
        <v>0</v>
      </c>
      <c r="D1033">
        <f>[1]NhapHang!D1033</f>
        <v>0</v>
      </c>
      <c r="E1033">
        <f>[1]NhapHang!E1033</f>
        <v>0</v>
      </c>
      <c r="F1033">
        <f>[1]NhapHang!F1033</f>
        <v>0</v>
      </c>
      <c r="G1033">
        <f>[1]NhapHang!G1033</f>
        <v>0</v>
      </c>
      <c r="H1033">
        <f>[1]NhapHang!H1033</f>
        <v>0</v>
      </c>
    </row>
    <row r="1034" spans="1:8">
      <c r="A1034">
        <f>[1]NhapHang!A1034</f>
        <v>0</v>
      </c>
      <c r="B1034">
        <f>[1]NhapHang!B1034</f>
        <v>0</v>
      </c>
      <c r="C1034">
        <f>[1]NhapHang!C1034</f>
        <v>0</v>
      </c>
      <c r="D1034">
        <f>[1]NhapHang!D1034</f>
        <v>0</v>
      </c>
      <c r="E1034">
        <f>[1]NhapHang!E1034</f>
        <v>0</v>
      </c>
      <c r="F1034">
        <f>[1]NhapHang!F1034</f>
        <v>0</v>
      </c>
      <c r="G1034">
        <f>[1]NhapHang!G1034</f>
        <v>0</v>
      </c>
      <c r="H1034">
        <f>[1]NhapHang!H1034</f>
        <v>0</v>
      </c>
    </row>
    <row r="1035" spans="1:8">
      <c r="A1035">
        <f>[1]NhapHang!A1035</f>
        <v>0</v>
      </c>
      <c r="B1035">
        <f>[1]NhapHang!B1035</f>
        <v>0</v>
      </c>
      <c r="C1035">
        <f>[1]NhapHang!C1035</f>
        <v>0</v>
      </c>
      <c r="D1035">
        <f>[1]NhapHang!D1035</f>
        <v>0</v>
      </c>
      <c r="E1035">
        <f>[1]NhapHang!E1035</f>
        <v>0</v>
      </c>
      <c r="F1035">
        <f>[1]NhapHang!F1035</f>
        <v>0</v>
      </c>
      <c r="G1035">
        <f>[1]NhapHang!G1035</f>
        <v>0</v>
      </c>
      <c r="H1035">
        <f>[1]NhapHang!H1035</f>
        <v>0</v>
      </c>
    </row>
    <row r="1036" spans="1:8">
      <c r="A1036">
        <f>[1]NhapHang!A1036</f>
        <v>0</v>
      </c>
      <c r="B1036">
        <f>[1]NhapHang!B1036</f>
        <v>0</v>
      </c>
      <c r="C1036">
        <f>[1]NhapHang!C1036</f>
        <v>0</v>
      </c>
      <c r="D1036">
        <f>[1]NhapHang!D1036</f>
        <v>0</v>
      </c>
      <c r="E1036">
        <f>[1]NhapHang!E1036</f>
        <v>0</v>
      </c>
      <c r="F1036">
        <f>[1]NhapHang!F1036</f>
        <v>0</v>
      </c>
      <c r="G1036">
        <f>[1]NhapHang!G1036</f>
        <v>0</v>
      </c>
      <c r="H1036">
        <f>[1]NhapHang!H1036</f>
        <v>0</v>
      </c>
    </row>
    <row r="1037" spans="1:8">
      <c r="A1037">
        <f>[1]NhapHang!A1037</f>
        <v>0</v>
      </c>
      <c r="B1037">
        <f>[1]NhapHang!B1037</f>
        <v>0</v>
      </c>
      <c r="C1037">
        <f>[1]NhapHang!C1037</f>
        <v>0</v>
      </c>
      <c r="D1037">
        <f>[1]NhapHang!D1037</f>
        <v>0</v>
      </c>
      <c r="E1037">
        <f>[1]NhapHang!E1037</f>
        <v>0</v>
      </c>
      <c r="F1037">
        <f>[1]NhapHang!F1037</f>
        <v>0</v>
      </c>
      <c r="G1037">
        <f>[1]NhapHang!G1037</f>
        <v>0</v>
      </c>
      <c r="H1037">
        <f>[1]NhapHang!H1037</f>
        <v>0</v>
      </c>
    </row>
    <row r="1038" spans="1:8">
      <c r="A1038">
        <f>[1]NhapHang!A1038</f>
        <v>0</v>
      </c>
      <c r="B1038">
        <f>[1]NhapHang!B1038</f>
        <v>0</v>
      </c>
      <c r="C1038">
        <f>[1]NhapHang!C1038</f>
        <v>0</v>
      </c>
      <c r="D1038">
        <f>[1]NhapHang!D1038</f>
        <v>0</v>
      </c>
      <c r="E1038">
        <f>[1]NhapHang!E1038</f>
        <v>0</v>
      </c>
      <c r="F1038">
        <f>[1]NhapHang!F1038</f>
        <v>0</v>
      </c>
      <c r="G1038">
        <f>[1]NhapHang!G1038</f>
        <v>0</v>
      </c>
      <c r="H1038">
        <f>[1]NhapHang!H1038</f>
        <v>0</v>
      </c>
    </row>
    <row r="1039" spans="1:8">
      <c r="A1039">
        <f>[1]NhapHang!A1039</f>
        <v>0</v>
      </c>
      <c r="B1039">
        <f>[1]NhapHang!B1039</f>
        <v>0</v>
      </c>
      <c r="C1039">
        <f>[1]NhapHang!C1039</f>
        <v>0</v>
      </c>
      <c r="D1039">
        <f>[1]NhapHang!D1039</f>
        <v>0</v>
      </c>
      <c r="E1039">
        <f>[1]NhapHang!E1039</f>
        <v>0</v>
      </c>
      <c r="F1039">
        <f>[1]NhapHang!F1039</f>
        <v>0</v>
      </c>
      <c r="G1039">
        <f>[1]NhapHang!G1039</f>
        <v>0</v>
      </c>
      <c r="H1039">
        <f>[1]NhapHang!H1039</f>
        <v>0</v>
      </c>
    </row>
    <row r="1040" spans="1:8">
      <c r="A1040">
        <f>[1]NhapHang!A1040</f>
        <v>0</v>
      </c>
      <c r="B1040">
        <f>[1]NhapHang!B1040</f>
        <v>0</v>
      </c>
      <c r="C1040">
        <f>[1]NhapHang!C1040</f>
        <v>0</v>
      </c>
      <c r="D1040">
        <f>[1]NhapHang!D1040</f>
        <v>0</v>
      </c>
      <c r="E1040">
        <f>[1]NhapHang!E1040</f>
        <v>0</v>
      </c>
      <c r="F1040">
        <f>[1]NhapHang!F1040</f>
        <v>0</v>
      </c>
      <c r="G1040">
        <f>[1]NhapHang!G1040</f>
        <v>0</v>
      </c>
      <c r="H1040">
        <f>[1]NhapHang!H1040</f>
        <v>0</v>
      </c>
    </row>
    <row r="1041" spans="1:8">
      <c r="A1041">
        <f>[1]NhapHang!A1041</f>
        <v>0</v>
      </c>
      <c r="B1041">
        <f>[1]NhapHang!B1041</f>
        <v>0</v>
      </c>
      <c r="C1041">
        <f>[1]NhapHang!C1041</f>
        <v>0</v>
      </c>
      <c r="D1041">
        <f>[1]NhapHang!D1041</f>
        <v>0</v>
      </c>
      <c r="E1041">
        <f>[1]NhapHang!E1041</f>
        <v>0</v>
      </c>
      <c r="F1041">
        <f>[1]NhapHang!F1041</f>
        <v>0</v>
      </c>
      <c r="G1041">
        <f>[1]NhapHang!G1041</f>
        <v>0</v>
      </c>
      <c r="H1041">
        <f>[1]NhapHang!H1041</f>
        <v>0</v>
      </c>
    </row>
    <row r="1042" spans="1:8">
      <c r="A1042">
        <f>[1]NhapHang!A1042</f>
        <v>0</v>
      </c>
      <c r="B1042">
        <f>[1]NhapHang!B1042</f>
        <v>0</v>
      </c>
      <c r="C1042">
        <f>[1]NhapHang!C1042</f>
        <v>0</v>
      </c>
      <c r="D1042">
        <f>[1]NhapHang!D1042</f>
        <v>0</v>
      </c>
      <c r="E1042">
        <f>[1]NhapHang!E1042</f>
        <v>0</v>
      </c>
      <c r="F1042">
        <f>[1]NhapHang!F1042</f>
        <v>0</v>
      </c>
      <c r="G1042">
        <f>[1]NhapHang!G1042</f>
        <v>0</v>
      </c>
      <c r="H1042">
        <f>[1]NhapHang!H1042</f>
        <v>0</v>
      </c>
    </row>
    <row r="1043" spans="1:8">
      <c r="A1043">
        <f>[1]NhapHang!A1043</f>
        <v>0</v>
      </c>
      <c r="B1043">
        <f>[1]NhapHang!B1043</f>
        <v>0</v>
      </c>
      <c r="C1043">
        <f>[1]NhapHang!C1043</f>
        <v>0</v>
      </c>
      <c r="D1043">
        <f>[1]NhapHang!D1043</f>
        <v>0</v>
      </c>
      <c r="E1043">
        <f>[1]NhapHang!E1043</f>
        <v>0</v>
      </c>
      <c r="F1043">
        <f>[1]NhapHang!F1043</f>
        <v>0</v>
      </c>
      <c r="G1043">
        <f>[1]NhapHang!G1043</f>
        <v>0</v>
      </c>
      <c r="H1043">
        <f>[1]NhapHang!H1043</f>
        <v>0</v>
      </c>
    </row>
    <row r="1044" spans="1:8">
      <c r="A1044">
        <f>[1]NhapHang!A1044</f>
        <v>0</v>
      </c>
      <c r="B1044">
        <f>[1]NhapHang!B1044</f>
        <v>0</v>
      </c>
      <c r="C1044">
        <f>[1]NhapHang!C1044</f>
        <v>0</v>
      </c>
      <c r="D1044">
        <f>[1]NhapHang!D1044</f>
        <v>0</v>
      </c>
      <c r="E1044">
        <f>[1]NhapHang!E1044</f>
        <v>0</v>
      </c>
      <c r="F1044">
        <f>[1]NhapHang!F1044</f>
        <v>0</v>
      </c>
      <c r="G1044">
        <f>[1]NhapHang!G1044</f>
        <v>0</v>
      </c>
      <c r="H1044">
        <f>[1]NhapHang!H1044</f>
        <v>0</v>
      </c>
    </row>
    <row r="1045" spans="1:8">
      <c r="A1045">
        <f>[1]NhapHang!A1045</f>
        <v>0</v>
      </c>
      <c r="B1045">
        <f>[1]NhapHang!B1045</f>
        <v>0</v>
      </c>
      <c r="C1045">
        <f>[1]NhapHang!C1045</f>
        <v>0</v>
      </c>
      <c r="D1045">
        <f>[1]NhapHang!D1045</f>
        <v>0</v>
      </c>
      <c r="E1045">
        <f>[1]NhapHang!E1045</f>
        <v>0</v>
      </c>
      <c r="F1045">
        <f>[1]NhapHang!F1045</f>
        <v>0</v>
      </c>
      <c r="G1045">
        <f>[1]NhapHang!G1045</f>
        <v>0</v>
      </c>
      <c r="H1045">
        <f>[1]NhapHang!H1045</f>
        <v>0</v>
      </c>
    </row>
    <row r="1046" spans="1:8">
      <c r="A1046">
        <f>[1]NhapHang!A1046</f>
        <v>0</v>
      </c>
      <c r="B1046">
        <f>[1]NhapHang!B1046</f>
        <v>0</v>
      </c>
      <c r="C1046">
        <f>[1]NhapHang!C1046</f>
        <v>0</v>
      </c>
      <c r="D1046">
        <f>[1]NhapHang!D1046</f>
        <v>0</v>
      </c>
      <c r="E1046">
        <f>[1]NhapHang!E1046</f>
        <v>0</v>
      </c>
      <c r="F1046">
        <f>[1]NhapHang!F1046</f>
        <v>0</v>
      </c>
      <c r="G1046">
        <f>[1]NhapHang!G1046</f>
        <v>0</v>
      </c>
      <c r="H1046">
        <f>[1]NhapHang!H1046</f>
        <v>0</v>
      </c>
    </row>
    <row r="1047" spans="1:8">
      <c r="A1047">
        <f>[1]NhapHang!A1047</f>
        <v>0</v>
      </c>
      <c r="B1047">
        <f>[1]NhapHang!B1047</f>
        <v>0</v>
      </c>
      <c r="C1047">
        <f>[1]NhapHang!C1047</f>
        <v>0</v>
      </c>
      <c r="D1047">
        <f>[1]NhapHang!D1047</f>
        <v>0</v>
      </c>
      <c r="E1047">
        <f>[1]NhapHang!E1047</f>
        <v>0</v>
      </c>
      <c r="F1047">
        <f>[1]NhapHang!F1047</f>
        <v>0</v>
      </c>
      <c r="G1047">
        <f>[1]NhapHang!G1047</f>
        <v>0</v>
      </c>
      <c r="H1047">
        <f>[1]NhapHang!H1047</f>
        <v>0</v>
      </c>
    </row>
    <row r="1048" spans="1:8">
      <c r="A1048">
        <f>[1]NhapHang!A1048</f>
        <v>0</v>
      </c>
      <c r="B1048">
        <f>[1]NhapHang!B1048</f>
        <v>0</v>
      </c>
      <c r="C1048">
        <f>[1]NhapHang!C1048</f>
        <v>0</v>
      </c>
      <c r="D1048">
        <f>[1]NhapHang!D1048</f>
        <v>0</v>
      </c>
      <c r="E1048">
        <f>[1]NhapHang!E1048</f>
        <v>0</v>
      </c>
      <c r="F1048">
        <f>[1]NhapHang!F1048</f>
        <v>0</v>
      </c>
      <c r="G1048">
        <f>[1]NhapHang!G1048</f>
        <v>0</v>
      </c>
      <c r="H1048">
        <f>[1]NhapHang!H1048</f>
        <v>0</v>
      </c>
    </row>
    <row r="1049" spans="1:8">
      <c r="A1049">
        <f>[1]NhapHang!A1049</f>
        <v>0</v>
      </c>
      <c r="B1049">
        <f>[1]NhapHang!B1049</f>
        <v>0</v>
      </c>
      <c r="C1049">
        <f>[1]NhapHang!C1049</f>
        <v>0</v>
      </c>
      <c r="D1049">
        <f>[1]NhapHang!D1049</f>
        <v>0</v>
      </c>
      <c r="E1049">
        <f>[1]NhapHang!E1049</f>
        <v>0</v>
      </c>
      <c r="F1049">
        <f>[1]NhapHang!F1049</f>
        <v>0</v>
      </c>
      <c r="G1049">
        <f>[1]NhapHang!G1049</f>
        <v>0</v>
      </c>
      <c r="H1049">
        <f>[1]NhapHang!H1049</f>
        <v>0</v>
      </c>
    </row>
    <row r="1050" spans="1:8">
      <c r="A1050">
        <f>[1]NhapHang!A1050</f>
        <v>0</v>
      </c>
      <c r="B1050">
        <f>[1]NhapHang!B1050</f>
        <v>0</v>
      </c>
      <c r="C1050">
        <f>[1]NhapHang!C1050</f>
        <v>0</v>
      </c>
      <c r="D1050">
        <f>[1]NhapHang!D1050</f>
        <v>0</v>
      </c>
      <c r="E1050">
        <f>[1]NhapHang!E1050</f>
        <v>0</v>
      </c>
      <c r="F1050">
        <f>[1]NhapHang!F1050</f>
        <v>0</v>
      </c>
      <c r="G1050">
        <f>[1]NhapHang!G1050</f>
        <v>0</v>
      </c>
      <c r="H1050">
        <f>[1]NhapHang!H1050</f>
        <v>0</v>
      </c>
    </row>
    <row r="1051" spans="1:8">
      <c r="A1051">
        <f>[1]NhapHang!A1051</f>
        <v>0</v>
      </c>
      <c r="B1051">
        <f>[1]NhapHang!B1051</f>
        <v>0</v>
      </c>
      <c r="C1051">
        <f>[1]NhapHang!C1051</f>
        <v>0</v>
      </c>
      <c r="D1051">
        <f>[1]NhapHang!D1051</f>
        <v>0</v>
      </c>
      <c r="E1051">
        <f>[1]NhapHang!E1051</f>
        <v>0</v>
      </c>
      <c r="F1051">
        <f>[1]NhapHang!F1051</f>
        <v>0</v>
      </c>
      <c r="G1051">
        <f>[1]NhapHang!G1051</f>
        <v>0</v>
      </c>
      <c r="H1051">
        <f>[1]NhapHang!H1051</f>
        <v>0</v>
      </c>
    </row>
    <row r="1052" spans="1:8">
      <c r="A1052">
        <f>[1]NhapHang!A1052</f>
        <v>0</v>
      </c>
      <c r="B1052">
        <f>[1]NhapHang!B1052</f>
        <v>0</v>
      </c>
      <c r="C1052">
        <f>[1]NhapHang!C1052</f>
        <v>0</v>
      </c>
      <c r="D1052">
        <f>[1]NhapHang!D1052</f>
        <v>0</v>
      </c>
      <c r="E1052">
        <f>[1]NhapHang!E1052</f>
        <v>0</v>
      </c>
      <c r="F1052">
        <f>[1]NhapHang!F1052</f>
        <v>0</v>
      </c>
      <c r="G1052">
        <f>[1]NhapHang!G1052</f>
        <v>0</v>
      </c>
      <c r="H1052">
        <f>[1]NhapHang!H1052</f>
        <v>0</v>
      </c>
    </row>
    <row r="1053" spans="1:8">
      <c r="A1053">
        <f>[1]NhapHang!A1053</f>
        <v>0</v>
      </c>
      <c r="B1053">
        <f>[1]NhapHang!B1053</f>
        <v>0</v>
      </c>
      <c r="C1053">
        <f>[1]NhapHang!C1053</f>
        <v>0</v>
      </c>
      <c r="D1053">
        <f>[1]NhapHang!D1053</f>
        <v>0</v>
      </c>
      <c r="E1053">
        <f>[1]NhapHang!E1053</f>
        <v>0</v>
      </c>
      <c r="F1053">
        <f>[1]NhapHang!F1053</f>
        <v>0</v>
      </c>
      <c r="G1053">
        <f>[1]NhapHang!G1053</f>
        <v>0</v>
      </c>
      <c r="H1053">
        <f>[1]NhapHang!H1053</f>
        <v>0</v>
      </c>
    </row>
    <row r="1054" spans="1:8">
      <c r="A1054">
        <f>[1]NhapHang!A1054</f>
        <v>0</v>
      </c>
      <c r="B1054">
        <f>[1]NhapHang!B1054</f>
        <v>0</v>
      </c>
      <c r="C1054">
        <f>[1]NhapHang!C1054</f>
        <v>0</v>
      </c>
      <c r="D1054">
        <f>[1]NhapHang!D1054</f>
        <v>0</v>
      </c>
      <c r="E1054">
        <f>[1]NhapHang!E1054</f>
        <v>0</v>
      </c>
      <c r="F1054">
        <f>[1]NhapHang!F1054</f>
        <v>0</v>
      </c>
      <c r="G1054">
        <f>[1]NhapHang!G1054</f>
        <v>0</v>
      </c>
      <c r="H1054">
        <f>[1]NhapHang!H1054</f>
        <v>0</v>
      </c>
    </row>
    <row r="1055" spans="1:8">
      <c r="A1055">
        <f>[1]NhapHang!A1055</f>
        <v>0</v>
      </c>
      <c r="B1055">
        <f>[1]NhapHang!B1055</f>
        <v>0</v>
      </c>
      <c r="C1055">
        <f>[1]NhapHang!C1055</f>
        <v>0</v>
      </c>
      <c r="D1055">
        <f>[1]NhapHang!D1055</f>
        <v>0</v>
      </c>
      <c r="E1055">
        <f>[1]NhapHang!E1055</f>
        <v>0</v>
      </c>
      <c r="F1055">
        <f>[1]NhapHang!F1055</f>
        <v>0</v>
      </c>
      <c r="G1055">
        <f>[1]NhapHang!G1055</f>
        <v>0</v>
      </c>
      <c r="H1055">
        <f>[1]NhapHang!H1055</f>
        <v>0</v>
      </c>
    </row>
    <row r="1056" spans="1:8">
      <c r="A1056">
        <f>[1]NhapHang!A1056</f>
        <v>0</v>
      </c>
      <c r="B1056">
        <f>[1]NhapHang!B1056</f>
        <v>0</v>
      </c>
      <c r="C1056">
        <f>[1]NhapHang!C1056</f>
        <v>0</v>
      </c>
      <c r="D1056">
        <f>[1]NhapHang!D1056</f>
        <v>0</v>
      </c>
      <c r="E1056">
        <f>[1]NhapHang!E1056</f>
        <v>0</v>
      </c>
      <c r="F1056">
        <f>[1]NhapHang!F1056</f>
        <v>0</v>
      </c>
      <c r="G1056">
        <f>[1]NhapHang!G1056</f>
        <v>0</v>
      </c>
      <c r="H1056">
        <f>[1]NhapHang!H1056</f>
        <v>0</v>
      </c>
    </row>
    <row r="1057" spans="1:8">
      <c r="A1057">
        <f>[1]NhapHang!A1057</f>
        <v>0</v>
      </c>
      <c r="B1057">
        <f>[1]NhapHang!B1057</f>
        <v>0</v>
      </c>
      <c r="C1057">
        <f>[1]NhapHang!C1057</f>
        <v>0</v>
      </c>
      <c r="D1057">
        <f>[1]NhapHang!D1057</f>
        <v>0</v>
      </c>
      <c r="E1057">
        <f>[1]NhapHang!E1057</f>
        <v>0</v>
      </c>
      <c r="F1057">
        <f>[1]NhapHang!F1057</f>
        <v>0</v>
      </c>
      <c r="G1057">
        <f>[1]NhapHang!G1057</f>
        <v>0</v>
      </c>
      <c r="H1057">
        <f>[1]NhapHang!H1057</f>
        <v>0</v>
      </c>
    </row>
    <row r="1058" spans="1:8">
      <c r="A1058">
        <f>[1]NhapHang!A1058</f>
        <v>0</v>
      </c>
      <c r="B1058">
        <f>[1]NhapHang!B1058</f>
        <v>0</v>
      </c>
      <c r="C1058">
        <f>[1]NhapHang!C1058</f>
        <v>0</v>
      </c>
      <c r="D1058">
        <f>[1]NhapHang!D1058</f>
        <v>0</v>
      </c>
      <c r="E1058">
        <f>[1]NhapHang!E1058</f>
        <v>0</v>
      </c>
      <c r="F1058">
        <f>[1]NhapHang!F1058</f>
        <v>0</v>
      </c>
      <c r="G1058">
        <f>[1]NhapHang!G1058</f>
        <v>0</v>
      </c>
      <c r="H1058">
        <f>[1]NhapHang!H1058</f>
        <v>0</v>
      </c>
    </row>
    <row r="1059" spans="1:8">
      <c r="A1059">
        <f>[1]NhapHang!A1059</f>
        <v>0</v>
      </c>
      <c r="B1059">
        <f>[1]NhapHang!B1059</f>
        <v>0</v>
      </c>
      <c r="C1059">
        <f>[1]NhapHang!C1059</f>
        <v>0</v>
      </c>
      <c r="D1059">
        <f>[1]NhapHang!D1059</f>
        <v>0</v>
      </c>
      <c r="E1059">
        <f>[1]NhapHang!E1059</f>
        <v>0</v>
      </c>
      <c r="F1059">
        <f>[1]NhapHang!F1059</f>
        <v>0</v>
      </c>
      <c r="G1059">
        <f>[1]NhapHang!G1059</f>
        <v>0</v>
      </c>
      <c r="H1059">
        <f>[1]NhapHang!H1059</f>
        <v>0</v>
      </c>
    </row>
    <row r="1060" spans="1:8">
      <c r="A1060">
        <f>[1]NhapHang!A1060</f>
        <v>0</v>
      </c>
      <c r="B1060">
        <f>[1]NhapHang!B1060</f>
        <v>0</v>
      </c>
      <c r="C1060">
        <f>[1]NhapHang!C1060</f>
        <v>0</v>
      </c>
      <c r="D1060">
        <f>[1]NhapHang!D1060</f>
        <v>0</v>
      </c>
      <c r="E1060">
        <f>[1]NhapHang!E1060</f>
        <v>0</v>
      </c>
      <c r="F1060">
        <f>[1]NhapHang!F1060</f>
        <v>0</v>
      </c>
      <c r="G1060">
        <f>[1]NhapHang!G1060</f>
        <v>0</v>
      </c>
      <c r="H1060">
        <f>[1]NhapHang!H1060</f>
        <v>0</v>
      </c>
    </row>
    <row r="1061" spans="1:8">
      <c r="A1061">
        <f>[1]NhapHang!A1061</f>
        <v>0</v>
      </c>
      <c r="B1061">
        <f>[1]NhapHang!B1061</f>
        <v>0</v>
      </c>
      <c r="C1061">
        <f>[1]NhapHang!C1061</f>
        <v>0</v>
      </c>
      <c r="D1061">
        <f>[1]NhapHang!D1061</f>
        <v>0</v>
      </c>
      <c r="E1061">
        <f>[1]NhapHang!E1061</f>
        <v>0</v>
      </c>
      <c r="F1061">
        <f>[1]NhapHang!F1061</f>
        <v>0</v>
      </c>
      <c r="G1061">
        <f>[1]NhapHang!G1061</f>
        <v>0</v>
      </c>
      <c r="H1061">
        <f>[1]NhapHang!H1061</f>
        <v>0</v>
      </c>
    </row>
    <row r="1062" spans="1:8">
      <c r="A1062">
        <f>[1]NhapHang!A1062</f>
        <v>0</v>
      </c>
      <c r="B1062">
        <f>[1]NhapHang!B1062</f>
        <v>0</v>
      </c>
      <c r="C1062">
        <f>[1]NhapHang!C1062</f>
        <v>0</v>
      </c>
      <c r="D1062">
        <f>[1]NhapHang!D1062</f>
        <v>0</v>
      </c>
      <c r="E1062">
        <f>[1]NhapHang!E1062</f>
        <v>0</v>
      </c>
      <c r="F1062">
        <f>[1]NhapHang!F1062</f>
        <v>0</v>
      </c>
      <c r="G1062">
        <f>[1]NhapHang!G1062</f>
        <v>0</v>
      </c>
      <c r="H1062">
        <f>[1]NhapHang!H1062</f>
        <v>0</v>
      </c>
    </row>
    <row r="1063" spans="1:8">
      <c r="A1063">
        <f>[1]NhapHang!A1063</f>
        <v>0</v>
      </c>
      <c r="B1063">
        <f>[1]NhapHang!B1063</f>
        <v>0</v>
      </c>
      <c r="C1063">
        <f>[1]NhapHang!C1063</f>
        <v>0</v>
      </c>
      <c r="D1063">
        <f>[1]NhapHang!D1063</f>
        <v>0</v>
      </c>
      <c r="E1063">
        <f>[1]NhapHang!E1063</f>
        <v>0</v>
      </c>
      <c r="F1063">
        <f>[1]NhapHang!F1063</f>
        <v>0</v>
      </c>
      <c r="G1063">
        <f>[1]NhapHang!G1063</f>
        <v>0</v>
      </c>
      <c r="H1063">
        <f>[1]NhapHang!H1063</f>
        <v>0</v>
      </c>
    </row>
    <row r="1064" spans="1:8">
      <c r="A1064">
        <f>[1]NhapHang!A1064</f>
        <v>0</v>
      </c>
      <c r="B1064">
        <f>[1]NhapHang!B1064</f>
        <v>0</v>
      </c>
      <c r="C1064">
        <f>[1]NhapHang!C1064</f>
        <v>0</v>
      </c>
      <c r="D1064">
        <f>[1]NhapHang!D1064</f>
        <v>0</v>
      </c>
      <c r="E1064">
        <f>[1]NhapHang!E1064</f>
        <v>0</v>
      </c>
      <c r="F1064">
        <f>[1]NhapHang!F1064</f>
        <v>0</v>
      </c>
      <c r="G1064">
        <f>[1]NhapHang!G1064</f>
        <v>0</v>
      </c>
      <c r="H1064">
        <f>[1]NhapHang!H1064</f>
        <v>0</v>
      </c>
    </row>
    <row r="1065" spans="1:8">
      <c r="A1065">
        <f>[1]NhapHang!A1065</f>
        <v>0</v>
      </c>
      <c r="B1065">
        <f>[1]NhapHang!B1065</f>
        <v>0</v>
      </c>
      <c r="C1065">
        <f>[1]NhapHang!C1065</f>
        <v>0</v>
      </c>
      <c r="D1065">
        <f>[1]NhapHang!D1065</f>
        <v>0</v>
      </c>
      <c r="E1065">
        <f>[1]NhapHang!E1065</f>
        <v>0</v>
      </c>
      <c r="F1065">
        <f>[1]NhapHang!F1065</f>
        <v>0</v>
      </c>
      <c r="G1065">
        <f>[1]NhapHang!G1065</f>
        <v>0</v>
      </c>
      <c r="H1065">
        <f>[1]NhapHang!H1065</f>
        <v>0</v>
      </c>
    </row>
    <row r="1066" spans="1:8">
      <c r="A1066">
        <f>[1]NhapHang!A1066</f>
        <v>0</v>
      </c>
      <c r="B1066">
        <f>[1]NhapHang!B1066</f>
        <v>0</v>
      </c>
      <c r="C1066">
        <f>[1]NhapHang!C1066</f>
        <v>0</v>
      </c>
      <c r="D1066">
        <f>[1]NhapHang!D1066</f>
        <v>0</v>
      </c>
      <c r="E1066">
        <f>[1]NhapHang!E1066</f>
        <v>0</v>
      </c>
      <c r="F1066">
        <f>[1]NhapHang!F1066</f>
        <v>0</v>
      </c>
      <c r="G1066">
        <f>[1]NhapHang!G1066</f>
        <v>0</v>
      </c>
      <c r="H1066">
        <f>[1]NhapHang!H1066</f>
        <v>0</v>
      </c>
    </row>
    <row r="1067" spans="1:8">
      <c r="A1067">
        <f>[1]NhapHang!A1067</f>
        <v>0</v>
      </c>
      <c r="B1067">
        <f>[1]NhapHang!B1067</f>
        <v>0</v>
      </c>
      <c r="C1067">
        <f>[1]NhapHang!C1067</f>
        <v>0</v>
      </c>
      <c r="D1067">
        <f>[1]NhapHang!D1067</f>
        <v>0</v>
      </c>
      <c r="E1067">
        <f>[1]NhapHang!E1067</f>
        <v>0</v>
      </c>
      <c r="F1067">
        <f>[1]NhapHang!F1067</f>
        <v>0</v>
      </c>
      <c r="G1067">
        <f>[1]NhapHang!G1067</f>
        <v>0</v>
      </c>
      <c r="H1067">
        <f>[1]NhapHang!H1067</f>
        <v>0</v>
      </c>
    </row>
    <row r="1068" spans="1:8">
      <c r="A1068">
        <f>[1]NhapHang!A1068</f>
        <v>0</v>
      </c>
      <c r="B1068">
        <f>[1]NhapHang!B1068</f>
        <v>0</v>
      </c>
      <c r="C1068">
        <f>[1]NhapHang!C1068</f>
        <v>0</v>
      </c>
      <c r="D1068">
        <f>[1]NhapHang!D1068</f>
        <v>0</v>
      </c>
      <c r="E1068">
        <f>[1]NhapHang!E1068</f>
        <v>0</v>
      </c>
      <c r="F1068">
        <f>[1]NhapHang!F1068</f>
        <v>0</v>
      </c>
      <c r="G1068">
        <f>[1]NhapHang!G1068</f>
        <v>0</v>
      </c>
      <c r="H1068">
        <f>[1]NhapHang!H1068</f>
        <v>0</v>
      </c>
    </row>
    <row r="1069" spans="1:8">
      <c r="A1069">
        <f>[1]NhapHang!A1069</f>
        <v>0</v>
      </c>
      <c r="B1069">
        <f>[1]NhapHang!B1069</f>
        <v>0</v>
      </c>
      <c r="C1069">
        <f>[1]NhapHang!C1069</f>
        <v>0</v>
      </c>
      <c r="D1069">
        <f>[1]NhapHang!D1069</f>
        <v>0</v>
      </c>
      <c r="E1069">
        <f>[1]NhapHang!E1069</f>
        <v>0</v>
      </c>
      <c r="F1069">
        <f>[1]NhapHang!F1069</f>
        <v>0</v>
      </c>
      <c r="G1069">
        <f>[1]NhapHang!G1069</f>
        <v>0</v>
      </c>
      <c r="H1069">
        <f>[1]NhapHang!H1069</f>
        <v>0</v>
      </c>
    </row>
    <row r="1070" spans="1:8">
      <c r="A1070">
        <f>[1]NhapHang!A1070</f>
        <v>0</v>
      </c>
      <c r="B1070">
        <f>[1]NhapHang!B1070</f>
        <v>0</v>
      </c>
      <c r="C1070">
        <f>[1]NhapHang!C1070</f>
        <v>0</v>
      </c>
      <c r="D1070">
        <f>[1]NhapHang!D1070</f>
        <v>0</v>
      </c>
      <c r="E1070">
        <f>[1]NhapHang!E1070</f>
        <v>0</v>
      </c>
      <c r="F1070">
        <f>[1]NhapHang!F1070</f>
        <v>0</v>
      </c>
      <c r="G1070">
        <f>[1]NhapHang!G1070</f>
        <v>0</v>
      </c>
      <c r="H1070">
        <f>[1]NhapHang!H1070</f>
        <v>0</v>
      </c>
    </row>
    <row r="1071" spans="1:8">
      <c r="A1071">
        <f>[1]NhapHang!A1071</f>
        <v>0</v>
      </c>
      <c r="B1071">
        <f>[1]NhapHang!B1071</f>
        <v>0</v>
      </c>
      <c r="C1071">
        <f>[1]NhapHang!C1071</f>
        <v>0</v>
      </c>
      <c r="D1071">
        <f>[1]NhapHang!D1071</f>
        <v>0</v>
      </c>
      <c r="E1071">
        <f>[1]NhapHang!E1071</f>
        <v>0</v>
      </c>
      <c r="F1071">
        <f>[1]NhapHang!F1071</f>
        <v>0</v>
      </c>
      <c r="G1071">
        <f>[1]NhapHang!G1071</f>
        <v>0</v>
      </c>
      <c r="H1071">
        <f>[1]NhapHang!H1071</f>
        <v>0</v>
      </c>
    </row>
    <row r="1072" spans="1:8">
      <c r="A1072">
        <f>[1]NhapHang!A1072</f>
        <v>0</v>
      </c>
      <c r="B1072">
        <f>[1]NhapHang!B1072</f>
        <v>0</v>
      </c>
      <c r="C1072">
        <f>[1]NhapHang!C1072</f>
        <v>0</v>
      </c>
      <c r="D1072">
        <f>[1]NhapHang!D1072</f>
        <v>0</v>
      </c>
      <c r="E1072">
        <f>[1]NhapHang!E1072</f>
        <v>0</v>
      </c>
      <c r="F1072">
        <f>[1]NhapHang!F1072</f>
        <v>0</v>
      </c>
      <c r="G1072">
        <f>[1]NhapHang!G1072</f>
        <v>0</v>
      </c>
      <c r="H1072">
        <f>[1]NhapHang!H1072</f>
        <v>0</v>
      </c>
    </row>
    <row r="1073" spans="1:8">
      <c r="A1073">
        <f>[1]NhapHang!A1073</f>
        <v>0</v>
      </c>
      <c r="B1073">
        <f>[1]NhapHang!B1073</f>
        <v>0</v>
      </c>
      <c r="C1073">
        <f>[1]NhapHang!C1073</f>
        <v>0</v>
      </c>
      <c r="D1073">
        <f>[1]NhapHang!D1073</f>
        <v>0</v>
      </c>
      <c r="E1073">
        <f>[1]NhapHang!E1073</f>
        <v>0</v>
      </c>
      <c r="F1073">
        <f>[1]NhapHang!F1073</f>
        <v>0</v>
      </c>
      <c r="G1073">
        <f>[1]NhapHang!G1073</f>
        <v>0</v>
      </c>
      <c r="H1073">
        <f>[1]NhapHang!H1073</f>
        <v>0</v>
      </c>
    </row>
    <row r="1074" spans="1:8">
      <c r="A1074">
        <f>[1]NhapHang!A1074</f>
        <v>0</v>
      </c>
      <c r="B1074">
        <f>[1]NhapHang!B1074</f>
        <v>0</v>
      </c>
      <c r="C1074">
        <f>[1]NhapHang!C1074</f>
        <v>0</v>
      </c>
      <c r="D1074">
        <f>[1]NhapHang!D1074</f>
        <v>0</v>
      </c>
      <c r="E1074">
        <f>[1]NhapHang!E1074</f>
        <v>0</v>
      </c>
      <c r="F1074">
        <f>[1]NhapHang!F1074</f>
        <v>0</v>
      </c>
      <c r="G1074">
        <f>[1]NhapHang!G1074</f>
        <v>0</v>
      </c>
      <c r="H1074">
        <f>[1]NhapHang!H1074</f>
        <v>0</v>
      </c>
    </row>
    <row r="1075" spans="1:8">
      <c r="A1075">
        <f>[1]NhapHang!A1075</f>
        <v>0</v>
      </c>
      <c r="B1075">
        <f>[1]NhapHang!B1075</f>
        <v>0</v>
      </c>
      <c r="C1075">
        <f>[1]NhapHang!C1075</f>
        <v>0</v>
      </c>
      <c r="D1075">
        <f>[1]NhapHang!D1075</f>
        <v>0</v>
      </c>
      <c r="E1075">
        <f>[1]NhapHang!E1075</f>
        <v>0</v>
      </c>
      <c r="F1075">
        <f>[1]NhapHang!F1075</f>
        <v>0</v>
      </c>
      <c r="G1075">
        <f>[1]NhapHang!G1075</f>
        <v>0</v>
      </c>
      <c r="H1075">
        <f>[1]NhapHang!H1075</f>
        <v>0</v>
      </c>
    </row>
    <row r="1076" spans="1:8">
      <c r="A1076">
        <f>[1]NhapHang!A1076</f>
        <v>0</v>
      </c>
      <c r="B1076">
        <f>[1]NhapHang!B1076</f>
        <v>0</v>
      </c>
      <c r="C1076">
        <f>[1]NhapHang!C1076</f>
        <v>0</v>
      </c>
      <c r="D1076">
        <f>[1]NhapHang!D1076</f>
        <v>0</v>
      </c>
      <c r="E1076">
        <f>[1]NhapHang!E1076</f>
        <v>0</v>
      </c>
      <c r="F1076">
        <f>[1]NhapHang!F1076</f>
        <v>0</v>
      </c>
      <c r="G1076">
        <f>[1]NhapHang!G1076</f>
        <v>0</v>
      </c>
      <c r="H1076">
        <f>[1]NhapHang!H1076</f>
        <v>0</v>
      </c>
    </row>
    <row r="1077" spans="1:8">
      <c r="A1077">
        <f>[1]NhapHang!A1077</f>
        <v>0</v>
      </c>
      <c r="B1077">
        <f>[1]NhapHang!B1077</f>
        <v>0</v>
      </c>
      <c r="C1077">
        <f>[1]NhapHang!C1077</f>
        <v>0</v>
      </c>
      <c r="D1077">
        <f>[1]NhapHang!D1077</f>
        <v>0</v>
      </c>
      <c r="E1077">
        <f>[1]NhapHang!E1077</f>
        <v>0</v>
      </c>
      <c r="F1077">
        <f>[1]NhapHang!F1077</f>
        <v>0</v>
      </c>
      <c r="G1077">
        <f>[1]NhapHang!G1077</f>
        <v>0</v>
      </c>
      <c r="H1077">
        <f>[1]NhapHang!H1077</f>
        <v>0</v>
      </c>
    </row>
    <row r="1078" spans="1:8">
      <c r="A1078">
        <f>[1]NhapHang!A1078</f>
        <v>0</v>
      </c>
      <c r="B1078">
        <f>[1]NhapHang!B1078</f>
        <v>0</v>
      </c>
      <c r="C1078">
        <f>[1]NhapHang!C1078</f>
        <v>0</v>
      </c>
      <c r="D1078">
        <f>[1]NhapHang!D1078</f>
        <v>0</v>
      </c>
      <c r="E1078">
        <f>[1]NhapHang!E1078</f>
        <v>0</v>
      </c>
      <c r="F1078">
        <f>[1]NhapHang!F1078</f>
        <v>0</v>
      </c>
      <c r="G1078">
        <f>[1]NhapHang!G1078</f>
        <v>0</v>
      </c>
      <c r="H1078">
        <f>[1]NhapHang!H1078</f>
        <v>0</v>
      </c>
    </row>
    <row r="1079" spans="1:8">
      <c r="A1079">
        <f>[1]NhapHang!A1079</f>
        <v>0</v>
      </c>
      <c r="B1079">
        <f>[1]NhapHang!B1079</f>
        <v>0</v>
      </c>
      <c r="C1079">
        <f>[1]NhapHang!C1079</f>
        <v>0</v>
      </c>
      <c r="D1079">
        <f>[1]NhapHang!D1079</f>
        <v>0</v>
      </c>
      <c r="E1079">
        <f>[1]NhapHang!E1079</f>
        <v>0</v>
      </c>
      <c r="F1079">
        <f>[1]NhapHang!F1079</f>
        <v>0</v>
      </c>
      <c r="G1079">
        <f>[1]NhapHang!G1079</f>
        <v>0</v>
      </c>
      <c r="H1079">
        <f>[1]NhapHang!H1079</f>
        <v>0</v>
      </c>
    </row>
    <row r="1080" spans="1:8">
      <c r="A1080">
        <f>[1]NhapHang!A1080</f>
        <v>0</v>
      </c>
      <c r="B1080">
        <f>[1]NhapHang!B1080</f>
        <v>0</v>
      </c>
      <c r="C1080">
        <f>[1]NhapHang!C1080</f>
        <v>0</v>
      </c>
      <c r="D1080">
        <f>[1]NhapHang!D1080</f>
        <v>0</v>
      </c>
      <c r="E1080">
        <f>[1]NhapHang!E1080</f>
        <v>0</v>
      </c>
      <c r="F1080">
        <f>[1]NhapHang!F1080</f>
        <v>0</v>
      </c>
      <c r="G1080">
        <f>[1]NhapHang!G1080</f>
        <v>0</v>
      </c>
      <c r="H1080">
        <f>[1]NhapHang!H1080</f>
        <v>0</v>
      </c>
    </row>
    <row r="1081" spans="1:8">
      <c r="A1081">
        <f>[1]NhapHang!A1081</f>
        <v>0</v>
      </c>
      <c r="B1081">
        <f>[1]NhapHang!B1081</f>
        <v>0</v>
      </c>
      <c r="C1081">
        <f>[1]NhapHang!C1081</f>
        <v>0</v>
      </c>
      <c r="D1081">
        <f>[1]NhapHang!D1081</f>
        <v>0</v>
      </c>
      <c r="E1081">
        <f>[1]NhapHang!E1081</f>
        <v>0</v>
      </c>
      <c r="F1081">
        <f>[1]NhapHang!F1081</f>
        <v>0</v>
      </c>
      <c r="G1081">
        <f>[1]NhapHang!G1081</f>
        <v>0</v>
      </c>
      <c r="H1081">
        <f>[1]NhapHang!H1081</f>
        <v>0</v>
      </c>
    </row>
    <row r="1082" spans="1:8">
      <c r="A1082">
        <f>[1]NhapHang!A1082</f>
        <v>0</v>
      </c>
      <c r="B1082">
        <f>[1]NhapHang!B1082</f>
        <v>0</v>
      </c>
      <c r="C1082">
        <f>[1]NhapHang!C1082</f>
        <v>0</v>
      </c>
      <c r="D1082">
        <f>[1]NhapHang!D1082</f>
        <v>0</v>
      </c>
      <c r="E1082">
        <f>[1]NhapHang!E1082</f>
        <v>0</v>
      </c>
      <c r="F1082">
        <f>[1]NhapHang!F1082</f>
        <v>0</v>
      </c>
      <c r="G1082">
        <f>[1]NhapHang!G1082</f>
        <v>0</v>
      </c>
      <c r="H1082">
        <f>[1]NhapHang!H1082</f>
        <v>0</v>
      </c>
    </row>
    <row r="1083" spans="1:8">
      <c r="A1083">
        <f>[1]NhapHang!A1083</f>
        <v>0</v>
      </c>
      <c r="B1083">
        <f>[1]NhapHang!B1083</f>
        <v>0</v>
      </c>
      <c r="C1083">
        <f>[1]NhapHang!C1083</f>
        <v>0</v>
      </c>
      <c r="D1083">
        <f>[1]NhapHang!D1083</f>
        <v>0</v>
      </c>
      <c r="E1083">
        <f>[1]NhapHang!E1083</f>
        <v>0</v>
      </c>
      <c r="F1083">
        <f>[1]NhapHang!F1083</f>
        <v>0</v>
      </c>
      <c r="G1083">
        <f>[1]NhapHang!G1083</f>
        <v>0</v>
      </c>
      <c r="H1083">
        <f>[1]NhapHang!H1083</f>
        <v>0</v>
      </c>
    </row>
    <row r="1084" spans="1:8">
      <c r="A1084">
        <f>[1]NhapHang!A1084</f>
        <v>0</v>
      </c>
      <c r="B1084">
        <f>[1]NhapHang!B1084</f>
        <v>0</v>
      </c>
      <c r="C1084">
        <f>[1]NhapHang!C1084</f>
        <v>0</v>
      </c>
      <c r="D1084">
        <f>[1]NhapHang!D1084</f>
        <v>0</v>
      </c>
      <c r="E1084">
        <f>[1]NhapHang!E1084</f>
        <v>0</v>
      </c>
      <c r="F1084">
        <f>[1]NhapHang!F1084</f>
        <v>0</v>
      </c>
      <c r="G1084">
        <f>[1]NhapHang!G1084</f>
        <v>0</v>
      </c>
      <c r="H1084">
        <f>[1]NhapHang!H1084</f>
        <v>0</v>
      </c>
    </row>
    <row r="1085" spans="1:8">
      <c r="A1085">
        <f>[1]NhapHang!A1085</f>
        <v>0</v>
      </c>
      <c r="B1085">
        <f>[1]NhapHang!B1085</f>
        <v>0</v>
      </c>
      <c r="C1085">
        <f>[1]NhapHang!C1085</f>
        <v>0</v>
      </c>
      <c r="D1085">
        <f>[1]NhapHang!D1085</f>
        <v>0</v>
      </c>
      <c r="E1085">
        <f>[1]NhapHang!E1085</f>
        <v>0</v>
      </c>
      <c r="F1085">
        <f>[1]NhapHang!F1085</f>
        <v>0</v>
      </c>
      <c r="G1085">
        <f>[1]NhapHang!G1085</f>
        <v>0</v>
      </c>
      <c r="H1085">
        <f>[1]NhapHang!H1085</f>
        <v>0</v>
      </c>
    </row>
    <row r="1086" spans="1:8">
      <c r="A1086">
        <f>[1]NhapHang!A1086</f>
        <v>0</v>
      </c>
      <c r="B1086">
        <f>[1]NhapHang!B1086</f>
        <v>0</v>
      </c>
      <c r="C1086">
        <f>[1]NhapHang!C1086</f>
        <v>0</v>
      </c>
      <c r="D1086">
        <f>[1]NhapHang!D1086</f>
        <v>0</v>
      </c>
      <c r="E1086">
        <f>[1]NhapHang!E1086</f>
        <v>0</v>
      </c>
      <c r="F1086">
        <f>[1]NhapHang!F1086</f>
        <v>0</v>
      </c>
      <c r="G1086">
        <f>[1]NhapHang!G1086</f>
        <v>0</v>
      </c>
      <c r="H1086">
        <f>[1]NhapHang!H1086</f>
        <v>0</v>
      </c>
    </row>
    <row r="1087" spans="1:8">
      <c r="A1087">
        <f>[1]NhapHang!A1087</f>
        <v>0</v>
      </c>
      <c r="B1087">
        <f>[1]NhapHang!B1087</f>
        <v>0</v>
      </c>
      <c r="C1087">
        <f>[1]NhapHang!C1087</f>
        <v>0</v>
      </c>
      <c r="D1087">
        <f>[1]NhapHang!D1087</f>
        <v>0</v>
      </c>
      <c r="E1087">
        <f>[1]NhapHang!E1087</f>
        <v>0</v>
      </c>
      <c r="F1087">
        <f>[1]NhapHang!F1087</f>
        <v>0</v>
      </c>
      <c r="G1087">
        <f>[1]NhapHang!G1087</f>
        <v>0</v>
      </c>
      <c r="H1087">
        <f>[1]NhapHang!H1087</f>
        <v>0</v>
      </c>
    </row>
    <row r="1088" spans="1:8">
      <c r="A1088">
        <f>[1]NhapHang!A1088</f>
        <v>0</v>
      </c>
      <c r="B1088">
        <f>[1]NhapHang!B1088</f>
        <v>0</v>
      </c>
      <c r="C1088">
        <f>[1]NhapHang!C1088</f>
        <v>0</v>
      </c>
      <c r="D1088">
        <f>[1]NhapHang!D1088</f>
        <v>0</v>
      </c>
      <c r="E1088">
        <f>[1]NhapHang!E1088</f>
        <v>0</v>
      </c>
      <c r="F1088">
        <f>[1]NhapHang!F1088</f>
        <v>0</v>
      </c>
      <c r="G1088">
        <f>[1]NhapHang!G1088</f>
        <v>0</v>
      </c>
      <c r="H1088">
        <f>[1]NhapHang!H1088</f>
        <v>0</v>
      </c>
    </row>
    <row r="1089" spans="1:8">
      <c r="A1089">
        <f>[1]NhapHang!A1089</f>
        <v>0</v>
      </c>
      <c r="B1089">
        <f>[1]NhapHang!B1089</f>
        <v>0</v>
      </c>
      <c r="C1089">
        <f>[1]NhapHang!C1089</f>
        <v>0</v>
      </c>
      <c r="D1089">
        <f>[1]NhapHang!D1089</f>
        <v>0</v>
      </c>
      <c r="E1089">
        <f>[1]NhapHang!E1089</f>
        <v>0</v>
      </c>
      <c r="F1089">
        <f>[1]NhapHang!F1089</f>
        <v>0</v>
      </c>
      <c r="G1089">
        <f>[1]NhapHang!G1089</f>
        <v>0</v>
      </c>
      <c r="H1089">
        <f>[1]NhapHang!H1089</f>
        <v>0</v>
      </c>
    </row>
    <row r="1090" spans="1:8">
      <c r="A1090">
        <f>[1]NhapHang!A1090</f>
        <v>0</v>
      </c>
      <c r="B1090">
        <f>[1]NhapHang!B1090</f>
        <v>0</v>
      </c>
      <c r="C1090">
        <f>[1]NhapHang!C1090</f>
        <v>0</v>
      </c>
      <c r="D1090">
        <f>[1]NhapHang!D1090</f>
        <v>0</v>
      </c>
      <c r="E1090">
        <f>[1]NhapHang!E1090</f>
        <v>0</v>
      </c>
      <c r="F1090">
        <f>[1]NhapHang!F1090</f>
        <v>0</v>
      </c>
      <c r="G1090">
        <f>[1]NhapHang!G1090</f>
        <v>0</v>
      </c>
      <c r="H1090">
        <f>[1]NhapHang!H1090</f>
        <v>0</v>
      </c>
    </row>
    <row r="1091" spans="1:8">
      <c r="A1091">
        <f>[1]NhapHang!A1091</f>
        <v>0</v>
      </c>
      <c r="B1091">
        <f>[1]NhapHang!B1091</f>
        <v>0</v>
      </c>
      <c r="C1091">
        <f>[1]NhapHang!C1091</f>
        <v>0</v>
      </c>
      <c r="D1091">
        <f>[1]NhapHang!D1091</f>
        <v>0</v>
      </c>
      <c r="E1091">
        <f>[1]NhapHang!E1091</f>
        <v>0</v>
      </c>
      <c r="F1091">
        <f>[1]NhapHang!F1091</f>
        <v>0</v>
      </c>
      <c r="G1091">
        <f>[1]NhapHang!G1091</f>
        <v>0</v>
      </c>
      <c r="H1091">
        <f>[1]NhapHang!H1091</f>
        <v>0</v>
      </c>
    </row>
    <row r="1092" spans="1:8">
      <c r="A1092">
        <f>[1]NhapHang!A1092</f>
        <v>0</v>
      </c>
      <c r="B1092">
        <f>[1]NhapHang!B1092</f>
        <v>0</v>
      </c>
      <c r="C1092">
        <f>[1]NhapHang!C1092</f>
        <v>0</v>
      </c>
      <c r="D1092">
        <f>[1]NhapHang!D1092</f>
        <v>0</v>
      </c>
      <c r="E1092">
        <f>[1]NhapHang!E1092</f>
        <v>0</v>
      </c>
      <c r="F1092">
        <f>[1]NhapHang!F1092</f>
        <v>0</v>
      </c>
      <c r="G1092">
        <f>[1]NhapHang!G1092</f>
        <v>0</v>
      </c>
      <c r="H1092">
        <f>[1]NhapHang!H1092</f>
        <v>0</v>
      </c>
    </row>
    <row r="1093" spans="1:8">
      <c r="A1093">
        <f>[1]NhapHang!A1093</f>
        <v>0</v>
      </c>
      <c r="B1093">
        <f>[1]NhapHang!B1093</f>
        <v>0</v>
      </c>
      <c r="C1093">
        <f>[1]NhapHang!C1093</f>
        <v>0</v>
      </c>
      <c r="D1093">
        <f>[1]NhapHang!D1093</f>
        <v>0</v>
      </c>
      <c r="E1093">
        <f>[1]NhapHang!E1093</f>
        <v>0</v>
      </c>
      <c r="F1093">
        <f>[1]NhapHang!F1093</f>
        <v>0</v>
      </c>
      <c r="G1093">
        <f>[1]NhapHang!G1093</f>
        <v>0</v>
      </c>
      <c r="H1093">
        <f>[1]NhapHang!H1093</f>
        <v>0</v>
      </c>
    </row>
    <row r="1094" spans="1:8">
      <c r="A1094">
        <f>[1]NhapHang!A1094</f>
        <v>0</v>
      </c>
      <c r="B1094">
        <f>[1]NhapHang!B1094</f>
        <v>0</v>
      </c>
      <c r="C1094">
        <f>[1]NhapHang!C1094</f>
        <v>0</v>
      </c>
      <c r="D1094">
        <f>[1]NhapHang!D1094</f>
        <v>0</v>
      </c>
      <c r="E1094">
        <f>[1]NhapHang!E1094</f>
        <v>0</v>
      </c>
      <c r="F1094">
        <f>[1]NhapHang!F1094</f>
        <v>0</v>
      </c>
      <c r="G1094">
        <f>[1]NhapHang!G1094</f>
        <v>0</v>
      </c>
      <c r="H1094">
        <f>[1]NhapHang!H1094</f>
        <v>0</v>
      </c>
    </row>
    <row r="1095" spans="1:8">
      <c r="A1095">
        <f>[1]NhapHang!A1095</f>
        <v>0</v>
      </c>
      <c r="B1095">
        <f>[1]NhapHang!B1095</f>
        <v>0</v>
      </c>
      <c r="C1095">
        <f>[1]NhapHang!C1095</f>
        <v>0</v>
      </c>
      <c r="D1095">
        <f>[1]NhapHang!D1095</f>
        <v>0</v>
      </c>
      <c r="E1095">
        <f>[1]NhapHang!E1095</f>
        <v>0</v>
      </c>
      <c r="F1095">
        <f>[1]NhapHang!F1095</f>
        <v>0</v>
      </c>
      <c r="G1095">
        <f>[1]NhapHang!G1095</f>
        <v>0</v>
      </c>
      <c r="H1095">
        <f>[1]NhapHang!H1095</f>
        <v>0</v>
      </c>
    </row>
    <row r="1096" spans="1:8">
      <c r="A1096">
        <f>[1]NhapHang!A1096</f>
        <v>0</v>
      </c>
      <c r="B1096">
        <f>[1]NhapHang!B1096</f>
        <v>0</v>
      </c>
      <c r="C1096">
        <f>[1]NhapHang!C1096</f>
        <v>0</v>
      </c>
      <c r="D1096">
        <f>[1]NhapHang!D1096</f>
        <v>0</v>
      </c>
      <c r="E1096">
        <f>[1]NhapHang!E1096</f>
        <v>0</v>
      </c>
      <c r="F1096">
        <f>[1]NhapHang!F1096</f>
        <v>0</v>
      </c>
      <c r="G1096">
        <f>[1]NhapHang!G1096</f>
        <v>0</v>
      </c>
      <c r="H1096">
        <f>[1]NhapHang!H1096</f>
        <v>0</v>
      </c>
    </row>
    <row r="1097" spans="1:8">
      <c r="A1097">
        <f>[1]NhapHang!A1097</f>
        <v>0</v>
      </c>
      <c r="B1097">
        <f>[1]NhapHang!B1097</f>
        <v>0</v>
      </c>
      <c r="C1097">
        <f>[1]NhapHang!C1097</f>
        <v>0</v>
      </c>
      <c r="D1097">
        <f>[1]NhapHang!D1097</f>
        <v>0</v>
      </c>
      <c r="E1097">
        <f>[1]NhapHang!E1097</f>
        <v>0</v>
      </c>
      <c r="F1097">
        <f>[1]NhapHang!F1097</f>
        <v>0</v>
      </c>
      <c r="G1097">
        <f>[1]NhapHang!G1097</f>
        <v>0</v>
      </c>
      <c r="H1097">
        <f>[1]NhapHang!H1097</f>
        <v>0</v>
      </c>
    </row>
    <row r="1098" spans="1:8">
      <c r="A1098">
        <f>[1]NhapHang!A1098</f>
        <v>0</v>
      </c>
      <c r="B1098">
        <f>[1]NhapHang!B1098</f>
        <v>0</v>
      </c>
      <c r="C1098">
        <f>[1]NhapHang!C1098</f>
        <v>0</v>
      </c>
      <c r="D1098">
        <f>[1]NhapHang!D1098</f>
        <v>0</v>
      </c>
      <c r="E1098">
        <f>[1]NhapHang!E1098</f>
        <v>0</v>
      </c>
      <c r="F1098">
        <f>[1]NhapHang!F1098</f>
        <v>0</v>
      </c>
      <c r="G1098">
        <f>[1]NhapHang!G1098</f>
        <v>0</v>
      </c>
      <c r="H1098">
        <f>[1]NhapHang!H1098</f>
        <v>0</v>
      </c>
    </row>
    <row r="1099" spans="1:8">
      <c r="A1099">
        <f>[1]NhapHang!A1099</f>
        <v>0</v>
      </c>
      <c r="B1099">
        <f>[1]NhapHang!B1099</f>
        <v>0</v>
      </c>
      <c r="C1099">
        <f>[1]NhapHang!C1099</f>
        <v>0</v>
      </c>
      <c r="D1099">
        <f>[1]NhapHang!D1099</f>
        <v>0</v>
      </c>
      <c r="E1099">
        <f>[1]NhapHang!E1099</f>
        <v>0</v>
      </c>
      <c r="F1099">
        <f>[1]NhapHang!F1099</f>
        <v>0</v>
      </c>
      <c r="G1099">
        <f>[1]NhapHang!G1099</f>
        <v>0</v>
      </c>
      <c r="H1099">
        <f>[1]NhapHang!H1099</f>
        <v>0</v>
      </c>
    </row>
    <row r="1100" spans="1:8">
      <c r="A1100">
        <f>[1]NhapHang!A1100</f>
        <v>0</v>
      </c>
      <c r="B1100">
        <f>[1]NhapHang!B1100</f>
        <v>0</v>
      </c>
      <c r="C1100">
        <f>[1]NhapHang!C1100</f>
        <v>0</v>
      </c>
      <c r="D1100">
        <f>[1]NhapHang!D1100</f>
        <v>0</v>
      </c>
      <c r="E1100">
        <f>[1]NhapHang!E1100</f>
        <v>0</v>
      </c>
      <c r="F1100">
        <f>[1]NhapHang!F1100</f>
        <v>0</v>
      </c>
      <c r="G1100">
        <f>[1]NhapHang!G1100</f>
        <v>0</v>
      </c>
      <c r="H1100">
        <f>[1]NhapHang!H1100</f>
        <v>0</v>
      </c>
    </row>
    <row r="1101" spans="1:8">
      <c r="A1101">
        <f>[1]NhapHang!A1101</f>
        <v>0</v>
      </c>
      <c r="B1101">
        <f>[1]NhapHang!B1101</f>
        <v>0</v>
      </c>
      <c r="C1101">
        <f>[1]NhapHang!C1101</f>
        <v>0</v>
      </c>
      <c r="D1101">
        <f>[1]NhapHang!D1101</f>
        <v>0</v>
      </c>
      <c r="E1101">
        <f>[1]NhapHang!E1101</f>
        <v>0</v>
      </c>
      <c r="F1101">
        <f>[1]NhapHang!F1101</f>
        <v>0</v>
      </c>
      <c r="G1101">
        <f>[1]NhapHang!G1101</f>
        <v>0</v>
      </c>
      <c r="H1101">
        <f>[1]NhapHang!H1101</f>
        <v>0</v>
      </c>
    </row>
    <row r="1102" spans="1:8">
      <c r="A1102">
        <f>[1]NhapHang!A1102</f>
        <v>0</v>
      </c>
      <c r="B1102">
        <f>[1]NhapHang!B1102</f>
        <v>0</v>
      </c>
      <c r="C1102">
        <f>[1]NhapHang!C1102</f>
        <v>0</v>
      </c>
      <c r="D1102">
        <f>[1]NhapHang!D1102</f>
        <v>0</v>
      </c>
      <c r="E1102">
        <f>[1]NhapHang!E1102</f>
        <v>0</v>
      </c>
      <c r="F1102">
        <f>[1]NhapHang!F1102</f>
        <v>0</v>
      </c>
      <c r="G1102">
        <f>[1]NhapHang!G1102</f>
        <v>0</v>
      </c>
      <c r="H1102">
        <f>[1]NhapHang!H1102</f>
        <v>0</v>
      </c>
    </row>
    <row r="1103" spans="1:8">
      <c r="A1103">
        <f>[1]NhapHang!A1103</f>
        <v>0</v>
      </c>
      <c r="B1103">
        <f>[1]NhapHang!B1103</f>
        <v>0</v>
      </c>
      <c r="C1103">
        <f>[1]NhapHang!C1103</f>
        <v>0</v>
      </c>
      <c r="D1103">
        <f>[1]NhapHang!D1103</f>
        <v>0</v>
      </c>
      <c r="E1103">
        <f>[1]NhapHang!E1103</f>
        <v>0</v>
      </c>
      <c r="F1103">
        <f>[1]NhapHang!F1103</f>
        <v>0</v>
      </c>
      <c r="G1103">
        <f>[1]NhapHang!G1103</f>
        <v>0</v>
      </c>
      <c r="H1103">
        <f>[1]NhapHang!H1103</f>
        <v>0</v>
      </c>
    </row>
    <row r="1104" spans="1:8">
      <c r="A1104">
        <f>[1]NhapHang!A1104</f>
        <v>0</v>
      </c>
      <c r="B1104">
        <f>[1]NhapHang!B1104</f>
        <v>0</v>
      </c>
      <c r="C1104">
        <f>[1]NhapHang!C1104</f>
        <v>0</v>
      </c>
      <c r="D1104">
        <f>[1]NhapHang!D1104</f>
        <v>0</v>
      </c>
      <c r="E1104">
        <f>[1]NhapHang!E1104</f>
        <v>0</v>
      </c>
      <c r="F1104">
        <f>[1]NhapHang!F1104</f>
        <v>0</v>
      </c>
      <c r="G1104">
        <f>[1]NhapHang!G1104</f>
        <v>0</v>
      </c>
      <c r="H1104">
        <f>[1]NhapHang!H1104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5"/>
  <sheetViews>
    <sheetView workbookViewId="0">
      <selection activeCell="M2" sqref="M2"/>
    </sheetView>
  </sheetViews>
  <sheetFormatPr defaultRowHeight="12.75"/>
  <cols>
    <col min="4" max="4" width="19.42578125" customWidth="1"/>
  </cols>
  <sheetData>
    <row r="1" spans="1:14" ht="38.25">
      <c r="A1" t="str">
        <f>[2]TongHop!A1</f>
        <v>Ngày</v>
      </c>
      <c r="B1" t="str">
        <f>[2]TongHop!B1</f>
        <v>Mã đơn hàng</v>
      </c>
      <c r="C1" t="str">
        <f>[2]TongHop!C1</f>
        <v>SKU</v>
      </c>
      <c r="D1" t="str">
        <f>[2]TongHop!D1</f>
        <v>Tên mặt hàng</v>
      </c>
      <c r="E1" t="str">
        <f>[2]TongHop!E1</f>
        <v>Số lượng</v>
      </c>
      <c r="F1" t="str">
        <f>[2]TongHop!F1</f>
        <v>Đơn giá</v>
      </c>
      <c r="G1" t="str">
        <f>[2]TongHop!G1</f>
        <v>Doanh thu kế toán</v>
      </c>
      <c r="H1" t="str">
        <f>[2]TongHop!H1</f>
        <v>Chiết khấu</v>
      </c>
      <c r="I1" t="str">
        <f>[2]TongHop!I1</f>
        <v>Thực thu</v>
      </c>
      <c r="J1" t="str">
        <f>[2]TongHop!J1</f>
        <v>Ghi chú</v>
      </c>
      <c r="K1" t="str">
        <f>[2]TongHop!K1</f>
        <v>Tên khách</v>
      </c>
      <c r="L1" t="str">
        <f>[2]TongHop!L1</f>
        <v>Email</v>
      </c>
      <c r="M1" t="str">
        <f>[2]TongHop!M1</f>
        <v>ĐT</v>
      </c>
      <c r="N1" t="str">
        <f>[2]TongHop!N1</f>
        <v>Shop/HN/TI/XU</v>
      </c>
    </row>
    <row r="2" spans="1:14">
      <c r="A2">
        <f>[2]TongHop!A2</f>
        <v>0</v>
      </c>
      <c r="B2">
        <f>[2]TongHop!B2</f>
        <v>0</v>
      </c>
      <c r="C2">
        <f>[2]TongHop!C2</f>
        <v>0</v>
      </c>
      <c r="D2">
        <f>[2]TongHop!D2</f>
        <v>0</v>
      </c>
      <c r="E2">
        <f>[2]TongHop!E2</f>
        <v>0</v>
      </c>
      <c r="F2">
        <f>[2]TongHop!F2</f>
        <v>0</v>
      </c>
      <c r="G2">
        <f>[2]TongHop!G2</f>
        <v>0</v>
      </c>
      <c r="H2">
        <f>[2]TongHop!H2</f>
        <v>0</v>
      </c>
      <c r="I2">
        <f>[2]TongHop!I2</f>
        <v>0</v>
      </c>
      <c r="J2">
        <f>[2]TongHop!J2</f>
        <v>0</v>
      </c>
      <c r="K2">
        <f>[2]TongHop!K2</f>
        <v>0</v>
      </c>
      <c r="L2">
        <f>[2]TongHop!L2</f>
        <v>0</v>
      </c>
      <c r="M2">
        <f>[2]TongHop!M2</f>
        <v>0</v>
      </c>
      <c r="N2">
        <f>[2]TongHop!N2</f>
        <v>0</v>
      </c>
    </row>
    <row r="3" spans="1:14">
      <c r="A3">
        <f>[2]TongHop!A3</f>
        <v>0</v>
      </c>
      <c r="B3">
        <f>[2]TongHop!B3</f>
        <v>0</v>
      </c>
      <c r="C3">
        <f>[2]TongHop!C3</f>
        <v>0</v>
      </c>
      <c r="D3">
        <f>[2]TongHop!D3</f>
        <v>0</v>
      </c>
      <c r="E3">
        <f>[2]TongHop!E3</f>
        <v>0</v>
      </c>
      <c r="F3">
        <f>[2]TongHop!F3</f>
        <v>0</v>
      </c>
      <c r="G3">
        <f>[2]TongHop!G3</f>
        <v>0</v>
      </c>
      <c r="H3">
        <f>[2]TongHop!H3</f>
        <v>0</v>
      </c>
      <c r="I3">
        <f>[2]TongHop!I3</f>
        <v>0</v>
      </c>
      <c r="J3">
        <f>[2]TongHop!J3</f>
        <v>0</v>
      </c>
      <c r="K3">
        <f>[2]TongHop!K3</f>
        <v>0</v>
      </c>
      <c r="L3">
        <f>[2]TongHop!L3</f>
        <v>0</v>
      </c>
      <c r="M3">
        <f>[2]TongHop!M3</f>
        <v>0</v>
      </c>
      <c r="N3">
        <f>[2]TongHop!N3</f>
        <v>0</v>
      </c>
    </row>
    <row r="4" spans="1:14">
      <c r="A4">
        <f>[2]TongHop!A4</f>
        <v>0</v>
      </c>
      <c r="B4">
        <f>[2]TongHop!B4</f>
        <v>0</v>
      </c>
      <c r="C4">
        <f>[2]TongHop!C4</f>
        <v>0</v>
      </c>
      <c r="D4">
        <f>[2]TongHop!D4</f>
        <v>0</v>
      </c>
      <c r="E4">
        <f>[2]TongHop!E4</f>
        <v>0</v>
      </c>
      <c r="F4">
        <f>[2]TongHop!F4</f>
        <v>0</v>
      </c>
      <c r="G4">
        <f>[2]TongHop!G4</f>
        <v>0</v>
      </c>
      <c r="H4">
        <f>[2]TongHop!H4</f>
        <v>0</v>
      </c>
      <c r="I4">
        <f>[2]TongHop!I4</f>
        <v>0</v>
      </c>
      <c r="J4">
        <f>[2]TongHop!J4</f>
        <v>0</v>
      </c>
      <c r="K4">
        <f>[2]TongHop!K4</f>
        <v>0</v>
      </c>
      <c r="L4">
        <f>[2]TongHop!L4</f>
        <v>0</v>
      </c>
      <c r="M4">
        <f>[2]TongHop!M4</f>
        <v>0</v>
      </c>
      <c r="N4">
        <f>[2]TongHop!N4</f>
        <v>0</v>
      </c>
    </row>
    <row r="5" spans="1:14">
      <c r="A5">
        <f>[2]TongHop!A5</f>
        <v>0</v>
      </c>
      <c r="B5">
        <f>[2]TongHop!B5</f>
        <v>0</v>
      </c>
      <c r="C5">
        <f>[2]TongHop!C5</f>
        <v>0</v>
      </c>
      <c r="D5">
        <f>[2]TongHop!D5</f>
        <v>0</v>
      </c>
      <c r="E5">
        <f>[2]TongHop!E5</f>
        <v>0</v>
      </c>
      <c r="F5">
        <f>[2]TongHop!F5</f>
        <v>0</v>
      </c>
      <c r="G5">
        <f>[2]TongHop!G5</f>
        <v>0</v>
      </c>
      <c r="H5">
        <f>[2]TongHop!H5</f>
        <v>0</v>
      </c>
      <c r="I5">
        <f>[2]TongHop!I5</f>
        <v>0</v>
      </c>
      <c r="J5">
        <f>[2]TongHop!J5</f>
        <v>0</v>
      </c>
      <c r="K5">
        <f>[2]TongHop!K5</f>
        <v>0</v>
      </c>
      <c r="L5">
        <f>[2]TongHop!L5</f>
        <v>0</v>
      </c>
      <c r="M5">
        <f>[2]TongHop!M5</f>
        <v>0</v>
      </c>
      <c r="N5">
        <f>[2]TongHop!N5</f>
        <v>0</v>
      </c>
    </row>
    <row r="6" spans="1:14">
      <c r="A6">
        <f>[2]TongHop!A6</f>
        <v>0</v>
      </c>
      <c r="B6">
        <f>[2]TongHop!B6</f>
        <v>0</v>
      </c>
      <c r="C6">
        <f>[2]TongHop!C6</f>
        <v>0</v>
      </c>
      <c r="D6">
        <f>[2]TongHop!D6</f>
        <v>0</v>
      </c>
      <c r="E6">
        <f>[2]TongHop!E6</f>
        <v>0</v>
      </c>
      <c r="F6">
        <f>[2]TongHop!F6</f>
        <v>0</v>
      </c>
      <c r="G6">
        <f>[2]TongHop!G6</f>
        <v>0</v>
      </c>
      <c r="H6">
        <f>[2]TongHop!H6</f>
        <v>0</v>
      </c>
      <c r="I6">
        <f>[2]TongHop!I6</f>
        <v>0</v>
      </c>
      <c r="J6">
        <f>[2]TongHop!J6</f>
        <v>0</v>
      </c>
      <c r="K6">
        <f>[2]TongHop!K6</f>
        <v>0</v>
      </c>
      <c r="L6">
        <f>[2]TongHop!L6</f>
        <v>0</v>
      </c>
      <c r="M6">
        <f>[2]TongHop!M6</f>
        <v>0</v>
      </c>
      <c r="N6">
        <f>[2]TongHop!N6</f>
        <v>0</v>
      </c>
    </row>
    <row r="7" spans="1:14">
      <c r="A7">
        <f>[2]TongHop!A7</f>
        <v>0</v>
      </c>
      <c r="B7">
        <f>[2]TongHop!B7</f>
        <v>0</v>
      </c>
      <c r="C7">
        <f>[2]TongHop!C7</f>
        <v>0</v>
      </c>
      <c r="D7">
        <f>[2]TongHop!D7</f>
        <v>0</v>
      </c>
      <c r="E7">
        <f>[2]TongHop!E7</f>
        <v>0</v>
      </c>
      <c r="F7">
        <f>[2]TongHop!F7</f>
        <v>0</v>
      </c>
      <c r="G7">
        <f>[2]TongHop!G7</f>
        <v>0</v>
      </c>
      <c r="H7">
        <f>[2]TongHop!H7</f>
        <v>0</v>
      </c>
      <c r="I7">
        <f>[2]TongHop!I7</f>
        <v>0</v>
      </c>
      <c r="J7">
        <f>[2]TongHop!J7</f>
        <v>0</v>
      </c>
      <c r="K7">
        <f>[2]TongHop!K7</f>
        <v>0</v>
      </c>
      <c r="L7">
        <f>[2]TongHop!L7</f>
        <v>0</v>
      </c>
      <c r="M7">
        <f>[2]TongHop!M7</f>
        <v>0</v>
      </c>
      <c r="N7">
        <f>[2]TongHop!N7</f>
        <v>0</v>
      </c>
    </row>
    <row r="8" spans="1:14">
      <c r="A8">
        <f>[2]TongHop!A8</f>
        <v>0</v>
      </c>
      <c r="B8">
        <f>[2]TongHop!B8</f>
        <v>0</v>
      </c>
      <c r="C8">
        <f>[2]TongHop!C8</f>
        <v>0</v>
      </c>
      <c r="D8">
        <f>[2]TongHop!D8</f>
        <v>0</v>
      </c>
      <c r="E8">
        <f>[2]TongHop!E8</f>
        <v>0</v>
      </c>
      <c r="F8">
        <f>[2]TongHop!F8</f>
        <v>0</v>
      </c>
      <c r="G8">
        <f>[2]TongHop!G8</f>
        <v>0</v>
      </c>
      <c r="H8">
        <f>[2]TongHop!H8</f>
        <v>0</v>
      </c>
      <c r="I8">
        <f>[2]TongHop!I8</f>
        <v>0</v>
      </c>
      <c r="J8">
        <f>[2]TongHop!J8</f>
        <v>0</v>
      </c>
      <c r="K8">
        <f>[2]TongHop!K8</f>
        <v>0</v>
      </c>
      <c r="L8">
        <f>[2]TongHop!L8</f>
        <v>0</v>
      </c>
      <c r="M8">
        <f>[2]TongHop!M8</f>
        <v>0</v>
      </c>
      <c r="N8">
        <f>[2]TongHop!N8</f>
        <v>0</v>
      </c>
    </row>
    <row r="9" spans="1:14">
      <c r="A9">
        <f>[2]TongHop!A9</f>
        <v>0</v>
      </c>
      <c r="B9">
        <f>[2]TongHop!B9</f>
        <v>0</v>
      </c>
      <c r="C9">
        <f>[2]TongHop!C9</f>
        <v>0</v>
      </c>
      <c r="D9">
        <f>[2]TongHop!D9</f>
        <v>0</v>
      </c>
      <c r="E9">
        <f>[2]TongHop!E9</f>
        <v>0</v>
      </c>
      <c r="F9">
        <f>[2]TongHop!F9</f>
        <v>0</v>
      </c>
      <c r="G9">
        <f>[2]TongHop!G9</f>
        <v>0</v>
      </c>
      <c r="H9">
        <f>[2]TongHop!H9</f>
        <v>0</v>
      </c>
      <c r="I9">
        <f>[2]TongHop!I9</f>
        <v>0</v>
      </c>
      <c r="J9">
        <f>[2]TongHop!J9</f>
        <v>0</v>
      </c>
      <c r="K9">
        <f>[2]TongHop!K9</f>
        <v>0</v>
      </c>
      <c r="L9">
        <f>[2]TongHop!L9</f>
        <v>0</v>
      </c>
      <c r="M9">
        <f>[2]TongHop!M9</f>
        <v>0</v>
      </c>
      <c r="N9">
        <f>[2]TongHop!N9</f>
        <v>0</v>
      </c>
    </row>
    <row r="10" spans="1:14">
      <c r="A10">
        <f>[2]TongHop!A10</f>
        <v>0</v>
      </c>
      <c r="B10">
        <f>[2]TongHop!B10</f>
        <v>0</v>
      </c>
      <c r="C10">
        <f>[2]TongHop!C10</f>
        <v>0</v>
      </c>
      <c r="D10">
        <f>[2]TongHop!D10</f>
        <v>0</v>
      </c>
      <c r="E10">
        <f>[2]TongHop!E10</f>
        <v>0</v>
      </c>
      <c r="F10">
        <f>[2]TongHop!F10</f>
        <v>0</v>
      </c>
      <c r="G10">
        <f>[2]TongHop!G10</f>
        <v>0</v>
      </c>
      <c r="H10">
        <f>[2]TongHop!H10</f>
        <v>0</v>
      </c>
      <c r="I10">
        <f>[2]TongHop!I10</f>
        <v>0</v>
      </c>
      <c r="J10">
        <f>[2]TongHop!J10</f>
        <v>0</v>
      </c>
      <c r="K10">
        <f>[2]TongHop!K10</f>
        <v>0</v>
      </c>
      <c r="L10">
        <f>[2]TongHop!L10</f>
        <v>0</v>
      </c>
      <c r="M10">
        <f>[2]TongHop!M10</f>
        <v>0</v>
      </c>
      <c r="N10">
        <f>[2]TongHop!N10</f>
        <v>0</v>
      </c>
    </row>
    <row r="11" spans="1:14">
      <c r="A11">
        <f>[2]TongHop!A11</f>
        <v>0</v>
      </c>
      <c r="B11">
        <f>[2]TongHop!B11</f>
        <v>0</v>
      </c>
      <c r="C11">
        <f>[2]TongHop!C11</f>
        <v>0</v>
      </c>
      <c r="D11">
        <f>[2]TongHop!D11</f>
        <v>0</v>
      </c>
      <c r="E11">
        <f>[2]TongHop!E11</f>
        <v>0</v>
      </c>
      <c r="F11">
        <f>[2]TongHop!F11</f>
        <v>0</v>
      </c>
      <c r="G11">
        <f>[2]TongHop!G11</f>
        <v>0</v>
      </c>
      <c r="H11">
        <f>[2]TongHop!H11</f>
        <v>0</v>
      </c>
      <c r="I11">
        <f>[2]TongHop!I11</f>
        <v>0</v>
      </c>
      <c r="J11">
        <f>[2]TongHop!J11</f>
        <v>0</v>
      </c>
      <c r="K11">
        <f>[2]TongHop!K11</f>
        <v>0</v>
      </c>
      <c r="L11">
        <f>[2]TongHop!L11</f>
        <v>0</v>
      </c>
      <c r="M11">
        <f>[2]TongHop!M11</f>
        <v>0</v>
      </c>
      <c r="N11">
        <f>[2]TongHop!N11</f>
        <v>0</v>
      </c>
    </row>
    <row r="12" spans="1:14">
      <c r="A12">
        <f>[2]TongHop!A12</f>
        <v>0</v>
      </c>
      <c r="B12">
        <f>[2]TongHop!B12</f>
        <v>0</v>
      </c>
      <c r="C12">
        <f>[2]TongHop!C12</f>
        <v>0</v>
      </c>
      <c r="D12">
        <f>[2]TongHop!D12</f>
        <v>0</v>
      </c>
      <c r="E12">
        <f>[2]TongHop!E12</f>
        <v>0</v>
      </c>
      <c r="F12">
        <f>[2]TongHop!F12</f>
        <v>0</v>
      </c>
      <c r="G12">
        <f>[2]TongHop!G12</f>
        <v>0</v>
      </c>
      <c r="H12">
        <f>[2]TongHop!H12</f>
        <v>0</v>
      </c>
      <c r="I12">
        <f>[2]TongHop!I12</f>
        <v>0</v>
      </c>
      <c r="J12">
        <f>[2]TongHop!J12</f>
        <v>0</v>
      </c>
      <c r="K12">
        <f>[2]TongHop!K12</f>
        <v>0</v>
      </c>
      <c r="L12">
        <f>[2]TongHop!L12</f>
        <v>0</v>
      </c>
      <c r="M12">
        <f>[2]TongHop!M12</f>
        <v>0</v>
      </c>
      <c r="N12">
        <f>[2]TongHop!N12</f>
        <v>0</v>
      </c>
    </row>
    <row r="13" spans="1:14">
      <c r="A13">
        <f>[2]TongHop!A13</f>
        <v>0</v>
      </c>
      <c r="B13">
        <f>[2]TongHop!B13</f>
        <v>0</v>
      </c>
      <c r="C13">
        <f>[2]TongHop!C13</f>
        <v>0</v>
      </c>
      <c r="D13">
        <f>[2]TongHop!D13</f>
        <v>0</v>
      </c>
      <c r="E13">
        <f>[2]TongHop!E13</f>
        <v>0</v>
      </c>
      <c r="F13">
        <f>[2]TongHop!F13</f>
        <v>0</v>
      </c>
      <c r="G13">
        <f>[2]TongHop!G13</f>
        <v>0</v>
      </c>
      <c r="H13">
        <f>[2]TongHop!H13</f>
        <v>0</v>
      </c>
      <c r="I13">
        <f>[2]TongHop!I13</f>
        <v>0</v>
      </c>
      <c r="J13">
        <f>[2]TongHop!J13</f>
        <v>0</v>
      </c>
      <c r="K13">
        <f>[2]TongHop!K13</f>
        <v>0</v>
      </c>
      <c r="L13">
        <f>[2]TongHop!L13</f>
        <v>0</v>
      </c>
      <c r="M13">
        <f>[2]TongHop!M13</f>
        <v>0</v>
      </c>
      <c r="N13">
        <f>[2]TongHop!N13</f>
        <v>0</v>
      </c>
    </row>
    <row r="14" spans="1:14">
      <c r="A14">
        <f>[2]TongHop!A14</f>
        <v>0</v>
      </c>
      <c r="B14">
        <f>[2]TongHop!B14</f>
        <v>0</v>
      </c>
      <c r="C14">
        <f>[2]TongHop!C14</f>
        <v>0</v>
      </c>
      <c r="D14">
        <f>[2]TongHop!D14</f>
        <v>0</v>
      </c>
      <c r="E14">
        <f>[2]TongHop!E14</f>
        <v>0</v>
      </c>
      <c r="F14">
        <f>[2]TongHop!F14</f>
        <v>0</v>
      </c>
      <c r="G14">
        <f>[2]TongHop!G14</f>
        <v>0</v>
      </c>
      <c r="H14">
        <f>[2]TongHop!H14</f>
        <v>0</v>
      </c>
      <c r="I14">
        <f>[2]TongHop!I14</f>
        <v>0</v>
      </c>
      <c r="J14">
        <f>[2]TongHop!J14</f>
        <v>0</v>
      </c>
      <c r="K14">
        <f>[2]TongHop!K14</f>
        <v>0</v>
      </c>
      <c r="L14">
        <f>[2]TongHop!L14</f>
        <v>0</v>
      </c>
      <c r="M14">
        <f>[2]TongHop!M14</f>
        <v>0</v>
      </c>
      <c r="N14">
        <f>[2]TongHop!N14</f>
        <v>0</v>
      </c>
    </row>
    <row r="15" spans="1:14">
      <c r="A15">
        <f>[2]TongHop!A15</f>
        <v>0</v>
      </c>
      <c r="B15">
        <f>[2]TongHop!B15</f>
        <v>0</v>
      </c>
      <c r="C15">
        <f>[2]TongHop!C15</f>
        <v>0</v>
      </c>
      <c r="D15">
        <f>[2]TongHop!D15</f>
        <v>0</v>
      </c>
      <c r="E15">
        <f>[2]TongHop!E15</f>
        <v>0</v>
      </c>
      <c r="F15">
        <f>[2]TongHop!F15</f>
        <v>0</v>
      </c>
      <c r="G15">
        <f>[2]TongHop!G15</f>
        <v>0</v>
      </c>
      <c r="H15">
        <f>[2]TongHop!H15</f>
        <v>0</v>
      </c>
      <c r="I15">
        <f>[2]TongHop!I15</f>
        <v>0</v>
      </c>
      <c r="J15">
        <f>[2]TongHop!J15</f>
        <v>0</v>
      </c>
      <c r="K15">
        <f>[2]TongHop!K15</f>
        <v>0</v>
      </c>
      <c r="L15">
        <f>[2]TongHop!L15</f>
        <v>0</v>
      </c>
      <c r="M15">
        <f>[2]TongHop!M15</f>
        <v>0</v>
      </c>
      <c r="N15">
        <f>[2]TongHop!N15</f>
        <v>0</v>
      </c>
    </row>
    <row r="16" spans="1:14">
      <c r="A16">
        <f>[2]TongHop!A16</f>
        <v>0</v>
      </c>
      <c r="B16">
        <f>[2]TongHop!B16</f>
        <v>0</v>
      </c>
      <c r="C16">
        <f>[2]TongHop!C16</f>
        <v>0</v>
      </c>
      <c r="D16">
        <f>[2]TongHop!D16</f>
        <v>0</v>
      </c>
      <c r="E16">
        <f>[2]TongHop!E16</f>
        <v>0</v>
      </c>
      <c r="F16">
        <f>[2]TongHop!F16</f>
        <v>0</v>
      </c>
      <c r="G16">
        <f>[2]TongHop!G16</f>
        <v>0</v>
      </c>
      <c r="H16">
        <f>[2]TongHop!H16</f>
        <v>0</v>
      </c>
      <c r="I16">
        <f>[2]TongHop!I16</f>
        <v>0</v>
      </c>
      <c r="J16">
        <f>[2]TongHop!J16</f>
        <v>0</v>
      </c>
      <c r="K16">
        <f>[2]TongHop!K16</f>
        <v>0</v>
      </c>
      <c r="L16">
        <f>[2]TongHop!L16</f>
        <v>0</v>
      </c>
      <c r="M16">
        <f>[2]TongHop!M16</f>
        <v>0</v>
      </c>
      <c r="N16">
        <f>[2]TongHop!N16</f>
        <v>0</v>
      </c>
    </row>
    <row r="17" spans="1:14">
      <c r="A17">
        <f>[2]TongHop!A17</f>
        <v>0</v>
      </c>
      <c r="B17">
        <f>[2]TongHop!B17</f>
        <v>0</v>
      </c>
      <c r="C17">
        <f>[2]TongHop!C17</f>
        <v>0</v>
      </c>
      <c r="D17">
        <f>[2]TongHop!D17</f>
        <v>0</v>
      </c>
      <c r="E17">
        <f>[2]TongHop!E17</f>
        <v>0</v>
      </c>
      <c r="F17">
        <f>[2]TongHop!F17</f>
        <v>0</v>
      </c>
      <c r="G17">
        <f>[2]TongHop!G17</f>
        <v>0</v>
      </c>
      <c r="H17">
        <f>[2]TongHop!H17</f>
        <v>0</v>
      </c>
      <c r="I17">
        <f>[2]TongHop!I17</f>
        <v>0</v>
      </c>
      <c r="J17">
        <f>[2]TongHop!J17</f>
        <v>0</v>
      </c>
      <c r="K17">
        <f>[2]TongHop!K17</f>
        <v>0</v>
      </c>
      <c r="L17">
        <f>[2]TongHop!L17</f>
        <v>0</v>
      </c>
      <c r="M17">
        <f>[2]TongHop!M17</f>
        <v>0</v>
      </c>
      <c r="N17">
        <f>[2]TongHop!N17</f>
        <v>0</v>
      </c>
    </row>
    <row r="18" spans="1:14">
      <c r="A18">
        <f>[2]TongHop!A18</f>
        <v>0</v>
      </c>
      <c r="B18">
        <f>[2]TongHop!B18</f>
        <v>0</v>
      </c>
      <c r="C18">
        <f>[2]TongHop!C18</f>
        <v>0</v>
      </c>
      <c r="D18">
        <f>[2]TongHop!D18</f>
        <v>0</v>
      </c>
      <c r="E18">
        <f>[2]TongHop!E18</f>
        <v>0</v>
      </c>
      <c r="F18">
        <f>[2]TongHop!F18</f>
        <v>0</v>
      </c>
      <c r="G18">
        <f>[2]TongHop!G18</f>
        <v>0</v>
      </c>
      <c r="H18">
        <f>[2]TongHop!H18</f>
        <v>0</v>
      </c>
      <c r="I18">
        <f>[2]TongHop!I18</f>
        <v>0</v>
      </c>
      <c r="J18">
        <f>[2]TongHop!J18</f>
        <v>0</v>
      </c>
      <c r="K18">
        <f>[2]TongHop!K18</f>
        <v>0</v>
      </c>
      <c r="L18">
        <f>[2]TongHop!L18</f>
        <v>0</v>
      </c>
      <c r="M18">
        <f>[2]TongHop!M18</f>
        <v>0</v>
      </c>
      <c r="N18">
        <f>[2]TongHop!N18</f>
        <v>0</v>
      </c>
    </row>
    <row r="19" spans="1:14">
      <c r="A19">
        <f>[2]TongHop!A19</f>
        <v>0</v>
      </c>
      <c r="B19">
        <f>[2]TongHop!B19</f>
        <v>0</v>
      </c>
      <c r="C19">
        <f>[2]TongHop!C19</f>
        <v>0</v>
      </c>
      <c r="D19">
        <f>[2]TongHop!D19</f>
        <v>0</v>
      </c>
      <c r="E19">
        <f>[2]TongHop!E19</f>
        <v>0</v>
      </c>
      <c r="F19">
        <f>[2]TongHop!F19</f>
        <v>0</v>
      </c>
      <c r="G19">
        <f>[2]TongHop!G19</f>
        <v>0</v>
      </c>
      <c r="H19">
        <f>[2]TongHop!H19</f>
        <v>0</v>
      </c>
      <c r="I19">
        <f>[2]TongHop!I19</f>
        <v>0</v>
      </c>
      <c r="J19">
        <f>[2]TongHop!J19</f>
        <v>0</v>
      </c>
      <c r="K19">
        <f>[2]TongHop!K19</f>
        <v>0</v>
      </c>
      <c r="L19">
        <f>[2]TongHop!L19</f>
        <v>0</v>
      </c>
      <c r="M19">
        <f>[2]TongHop!M19</f>
        <v>0</v>
      </c>
      <c r="N19">
        <f>[2]TongHop!N19</f>
        <v>0</v>
      </c>
    </row>
    <row r="20" spans="1:14">
      <c r="A20">
        <f>[2]TongHop!A20</f>
        <v>0</v>
      </c>
      <c r="B20">
        <f>[2]TongHop!B20</f>
        <v>0</v>
      </c>
      <c r="C20">
        <f>[2]TongHop!C20</f>
        <v>0</v>
      </c>
      <c r="D20">
        <f>[2]TongHop!D20</f>
        <v>0</v>
      </c>
      <c r="E20">
        <f>[2]TongHop!E20</f>
        <v>0</v>
      </c>
      <c r="F20">
        <f>[2]TongHop!F20</f>
        <v>0</v>
      </c>
      <c r="G20">
        <f>[2]TongHop!G20</f>
        <v>0</v>
      </c>
      <c r="H20">
        <f>[2]TongHop!H20</f>
        <v>0</v>
      </c>
      <c r="I20">
        <f>[2]TongHop!I20</f>
        <v>0</v>
      </c>
      <c r="J20">
        <f>[2]TongHop!J20</f>
        <v>0</v>
      </c>
      <c r="K20">
        <f>[2]TongHop!K20</f>
        <v>0</v>
      </c>
      <c r="L20">
        <f>[2]TongHop!L20</f>
        <v>0</v>
      </c>
      <c r="M20">
        <f>[2]TongHop!M20</f>
        <v>0</v>
      </c>
      <c r="N20">
        <f>[2]TongHop!N20</f>
        <v>0</v>
      </c>
    </row>
    <row r="21" spans="1:14">
      <c r="A21">
        <f>[2]TongHop!A21</f>
        <v>0</v>
      </c>
      <c r="B21">
        <f>[2]TongHop!B21</f>
        <v>0</v>
      </c>
      <c r="C21">
        <f>[2]TongHop!C21</f>
        <v>0</v>
      </c>
      <c r="D21">
        <f>[2]TongHop!D21</f>
        <v>0</v>
      </c>
      <c r="E21">
        <f>[2]TongHop!E21</f>
        <v>0</v>
      </c>
      <c r="F21">
        <f>[2]TongHop!F21</f>
        <v>0</v>
      </c>
      <c r="G21">
        <f>[2]TongHop!G21</f>
        <v>0</v>
      </c>
      <c r="H21">
        <f>[2]TongHop!H21</f>
        <v>0</v>
      </c>
      <c r="I21">
        <f>[2]TongHop!I21</f>
        <v>0</v>
      </c>
      <c r="J21">
        <f>[2]TongHop!J21</f>
        <v>0</v>
      </c>
      <c r="K21">
        <f>[2]TongHop!K21</f>
        <v>0</v>
      </c>
      <c r="L21">
        <f>[2]TongHop!L21</f>
        <v>0</v>
      </c>
      <c r="M21">
        <f>[2]TongHop!M21</f>
        <v>0</v>
      </c>
      <c r="N21">
        <f>[2]TongHop!N21</f>
        <v>0</v>
      </c>
    </row>
    <row r="22" spans="1:14">
      <c r="A22">
        <f>[2]TongHop!A22</f>
        <v>0</v>
      </c>
      <c r="B22">
        <f>[2]TongHop!B22</f>
        <v>0</v>
      </c>
      <c r="C22">
        <f>[2]TongHop!C22</f>
        <v>0</v>
      </c>
      <c r="D22">
        <f>[2]TongHop!D22</f>
        <v>0</v>
      </c>
      <c r="E22">
        <f>[2]TongHop!E22</f>
        <v>0</v>
      </c>
      <c r="F22">
        <f>[2]TongHop!F22</f>
        <v>0</v>
      </c>
      <c r="G22">
        <f>[2]TongHop!G22</f>
        <v>0</v>
      </c>
      <c r="H22">
        <f>[2]TongHop!H22</f>
        <v>0</v>
      </c>
      <c r="I22">
        <f>[2]TongHop!I22</f>
        <v>0</v>
      </c>
      <c r="J22">
        <f>[2]TongHop!J22</f>
        <v>0</v>
      </c>
      <c r="K22">
        <f>[2]TongHop!K22</f>
        <v>0</v>
      </c>
      <c r="L22">
        <f>[2]TongHop!L22</f>
        <v>0</v>
      </c>
      <c r="M22">
        <f>[2]TongHop!M22</f>
        <v>0</v>
      </c>
      <c r="N22">
        <f>[2]TongHop!N22</f>
        <v>0</v>
      </c>
    </row>
    <row r="23" spans="1:14">
      <c r="A23">
        <f>[2]TongHop!A23</f>
        <v>0</v>
      </c>
      <c r="B23">
        <f>[2]TongHop!B23</f>
        <v>0</v>
      </c>
      <c r="C23">
        <f>[2]TongHop!C23</f>
        <v>0</v>
      </c>
      <c r="D23">
        <f>[2]TongHop!D23</f>
        <v>0</v>
      </c>
      <c r="E23">
        <f>[2]TongHop!E23</f>
        <v>0</v>
      </c>
      <c r="F23">
        <f>[2]TongHop!F23</f>
        <v>0</v>
      </c>
      <c r="G23">
        <f>[2]TongHop!G23</f>
        <v>0</v>
      </c>
      <c r="H23">
        <f>[2]TongHop!H23</f>
        <v>0</v>
      </c>
      <c r="I23">
        <f>[2]TongHop!I23</f>
        <v>0</v>
      </c>
      <c r="J23">
        <f>[2]TongHop!J23</f>
        <v>0</v>
      </c>
      <c r="K23">
        <f>[2]TongHop!K23</f>
        <v>0</v>
      </c>
      <c r="L23">
        <f>[2]TongHop!L23</f>
        <v>0</v>
      </c>
      <c r="M23">
        <f>[2]TongHop!M23</f>
        <v>0</v>
      </c>
      <c r="N23">
        <f>[2]TongHop!N23</f>
        <v>0</v>
      </c>
    </row>
    <row r="24" spans="1:14">
      <c r="A24">
        <f>[2]TongHop!A24</f>
        <v>0</v>
      </c>
      <c r="B24">
        <f>[2]TongHop!B24</f>
        <v>0</v>
      </c>
      <c r="C24">
        <f>[2]TongHop!C24</f>
        <v>0</v>
      </c>
      <c r="D24">
        <f>[2]TongHop!D24</f>
        <v>0</v>
      </c>
      <c r="E24">
        <f>[2]TongHop!E24</f>
        <v>0</v>
      </c>
      <c r="F24">
        <f>[2]TongHop!F24</f>
        <v>0</v>
      </c>
      <c r="G24">
        <f>[2]TongHop!G24</f>
        <v>0</v>
      </c>
      <c r="H24">
        <f>[2]TongHop!H24</f>
        <v>0</v>
      </c>
      <c r="I24">
        <f>[2]TongHop!I24</f>
        <v>0</v>
      </c>
      <c r="J24">
        <f>[2]TongHop!J24</f>
        <v>0</v>
      </c>
      <c r="K24">
        <f>[2]TongHop!K24</f>
        <v>0</v>
      </c>
      <c r="L24">
        <f>[2]TongHop!L24</f>
        <v>0</v>
      </c>
      <c r="M24">
        <f>[2]TongHop!M24</f>
        <v>0</v>
      </c>
      <c r="N24">
        <f>[2]TongHop!N24</f>
        <v>0</v>
      </c>
    </row>
    <row r="25" spans="1:14">
      <c r="A25">
        <f>[2]TongHop!A25</f>
        <v>0</v>
      </c>
      <c r="B25">
        <f>[2]TongHop!B25</f>
        <v>0</v>
      </c>
      <c r="C25">
        <f>[2]TongHop!C25</f>
        <v>0</v>
      </c>
      <c r="D25">
        <f>[2]TongHop!D25</f>
        <v>0</v>
      </c>
      <c r="E25">
        <f>[2]TongHop!E25</f>
        <v>0</v>
      </c>
      <c r="F25">
        <f>[2]TongHop!F25</f>
        <v>0</v>
      </c>
      <c r="G25">
        <f>[2]TongHop!G25</f>
        <v>0</v>
      </c>
      <c r="H25">
        <f>[2]TongHop!H25</f>
        <v>0</v>
      </c>
      <c r="I25">
        <f>[2]TongHop!I25</f>
        <v>0</v>
      </c>
      <c r="J25">
        <f>[2]TongHop!J25</f>
        <v>0</v>
      </c>
      <c r="K25">
        <f>[2]TongHop!K25</f>
        <v>0</v>
      </c>
      <c r="L25">
        <f>[2]TongHop!L25</f>
        <v>0</v>
      </c>
      <c r="M25">
        <f>[2]TongHop!M25</f>
        <v>0</v>
      </c>
      <c r="N25">
        <f>[2]TongHop!N25</f>
        <v>0</v>
      </c>
    </row>
    <row r="26" spans="1:14">
      <c r="A26">
        <f>[2]TongHop!A26</f>
        <v>0</v>
      </c>
      <c r="B26">
        <f>[2]TongHop!B26</f>
        <v>0</v>
      </c>
      <c r="C26">
        <f>[2]TongHop!C26</f>
        <v>0</v>
      </c>
      <c r="D26">
        <f>[2]TongHop!D26</f>
        <v>0</v>
      </c>
      <c r="E26">
        <f>[2]TongHop!E26</f>
        <v>0</v>
      </c>
      <c r="F26">
        <f>[2]TongHop!F26</f>
        <v>0</v>
      </c>
      <c r="G26">
        <f>[2]TongHop!G26</f>
        <v>0</v>
      </c>
      <c r="H26">
        <f>[2]TongHop!H26</f>
        <v>0</v>
      </c>
      <c r="I26">
        <f>[2]TongHop!I26</f>
        <v>0</v>
      </c>
      <c r="J26">
        <f>[2]TongHop!J26</f>
        <v>0</v>
      </c>
      <c r="K26">
        <f>[2]TongHop!K26</f>
        <v>0</v>
      </c>
      <c r="L26">
        <f>[2]TongHop!L26</f>
        <v>0</v>
      </c>
      <c r="M26">
        <f>[2]TongHop!M26</f>
        <v>0</v>
      </c>
      <c r="N26">
        <f>[2]TongHop!N26</f>
        <v>0</v>
      </c>
    </row>
    <row r="27" spans="1:14">
      <c r="A27">
        <f>[2]TongHop!A27</f>
        <v>0</v>
      </c>
      <c r="B27">
        <f>[2]TongHop!B27</f>
        <v>0</v>
      </c>
      <c r="C27">
        <f>[2]TongHop!C27</f>
        <v>0</v>
      </c>
      <c r="D27">
        <f>[2]TongHop!D27</f>
        <v>0</v>
      </c>
      <c r="E27">
        <f>[2]TongHop!E27</f>
        <v>0</v>
      </c>
      <c r="F27">
        <f>[2]TongHop!F27</f>
        <v>0</v>
      </c>
      <c r="G27">
        <f>[2]TongHop!G27</f>
        <v>0</v>
      </c>
      <c r="H27">
        <f>[2]TongHop!H27</f>
        <v>0</v>
      </c>
      <c r="I27">
        <f>[2]TongHop!I27</f>
        <v>0</v>
      </c>
      <c r="J27">
        <f>[2]TongHop!J27</f>
        <v>0</v>
      </c>
      <c r="K27">
        <f>[2]TongHop!K27</f>
        <v>0</v>
      </c>
      <c r="L27">
        <f>[2]TongHop!L27</f>
        <v>0</v>
      </c>
      <c r="M27">
        <f>[2]TongHop!M27</f>
        <v>0</v>
      </c>
      <c r="N27">
        <f>[2]TongHop!N27</f>
        <v>0</v>
      </c>
    </row>
    <row r="28" spans="1:14">
      <c r="A28">
        <f>[2]TongHop!A28</f>
        <v>0</v>
      </c>
      <c r="B28">
        <f>[2]TongHop!B28</f>
        <v>0</v>
      </c>
      <c r="C28">
        <f>[2]TongHop!C28</f>
        <v>0</v>
      </c>
      <c r="D28">
        <f>[2]TongHop!D28</f>
        <v>0</v>
      </c>
      <c r="E28">
        <f>[2]TongHop!E28</f>
        <v>0</v>
      </c>
      <c r="F28">
        <f>[2]TongHop!F28</f>
        <v>0</v>
      </c>
      <c r="G28">
        <f>[2]TongHop!G28</f>
        <v>0</v>
      </c>
      <c r="H28">
        <f>[2]TongHop!H28</f>
        <v>0</v>
      </c>
      <c r="I28">
        <f>[2]TongHop!I28</f>
        <v>0</v>
      </c>
      <c r="J28">
        <f>[2]TongHop!J28</f>
        <v>0</v>
      </c>
      <c r="K28">
        <f>[2]TongHop!K28</f>
        <v>0</v>
      </c>
      <c r="L28">
        <f>[2]TongHop!L28</f>
        <v>0</v>
      </c>
      <c r="M28">
        <f>[2]TongHop!M28</f>
        <v>0</v>
      </c>
      <c r="N28">
        <f>[2]TongHop!N28</f>
        <v>0</v>
      </c>
    </row>
    <row r="29" spans="1:14">
      <c r="A29">
        <f>[2]TongHop!A29</f>
        <v>0</v>
      </c>
      <c r="B29">
        <f>[2]TongHop!B29</f>
        <v>0</v>
      </c>
      <c r="C29">
        <f>[2]TongHop!C29</f>
        <v>0</v>
      </c>
      <c r="D29">
        <f>[2]TongHop!D29</f>
        <v>0</v>
      </c>
      <c r="E29">
        <f>[2]TongHop!E29</f>
        <v>0</v>
      </c>
      <c r="F29">
        <f>[2]TongHop!F29</f>
        <v>0</v>
      </c>
      <c r="G29">
        <f>[2]TongHop!G29</f>
        <v>0</v>
      </c>
      <c r="H29">
        <f>[2]TongHop!H29</f>
        <v>0</v>
      </c>
      <c r="I29">
        <f>[2]TongHop!I29</f>
        <v>0</v>
      </c>
      <c r="J29">
        <f>[2]TongHop!J29</f>
        <v>0</v>
      </c>
      <c r="K29">
        <f>[2]TongHop!K29</f>
        <v>0</v>
      </c>
      <c r="L29">
        <f>[2]TongHop!L29</f>
        <v>0</v>
      </c>
      <c r="M29">
        <f>[2]TongHop!M29</f>
        <v>0</v>
      </c>
      <c r="N29">
        <f>[2]TongHop!N29</f>
        <v>0</v>
      </c>
    </row>
    <row r="30" spans="1:14">
      <c r="A30">
        <f>[2]TongHop!A30</f>
        <v>0</v>
      </c>
      <c r="B30">
        <f>[2]TongHop!B30</f>
        <v>0</v>
      </c>
      <c r="C30">
        <f>[2]TongHop!C30</f>
        <v>0</v>
      </c>
      <c r="D30">
        <f>[2]TongHop!D30</f>
        <v>0</v>
      </c>
      <c r="E30">
        <f>[2]TongHop!E30</f>
        <v>0</v>
      </c>
      <c r="F30">
        <f>[2]TongHop!F30</f>
        <v>0</v>
      </c>
      <c r="G30">
        <f>[2]TongHop!G30</f>
        <v>0</v>
      </c>
      <c r="H30">
        <f>[2]TongHop!H30</f>
        <v>0</v>
      </c>
      <c r="I30">
        <f>[2]TongHop!I30</f>
        <v>0</v>
      </c>
      <c r="J30">
        <f>[2]TongHop!J30</f>
        <v>0</v>
      </c>
      <c r="K30">
        <f>[2]TongHop!K30</f>
        <v>0</v>
      </c>
      <c r="L30">
        <f>[2]TongHop!L30</f>
        <v>0</v>
      </c>
      <c r="M30">
        <f>[2]TongHop!M30</f>
        <v>0</v>
      </c>
      <c r="N30">
        <f>[2]TongHop!N30</f>
        <v>0</v>
      </c>
    </row>
    <row r="31" spans="1:14">
      <c r="A31">
        <f>[2]TongHop!A31</f>
        <v>0</v>
      </c>
      <c r="B31">
        <f>[2]TongHop!B31</f>
        <v>0</v>
      </c>
      <c r="C31">
        <f>[2]TongHop!C31</f>
        <v>0</v>
      </c>
      <c r="D31">
        <f>[2]TongHop!D31</f>
        <v>0</v>
      </c>
      <c r="E31">
        <f>[2]TongHop!E31</f>
        <v>0</v>
      </c>
      <c r="F31">
        <f>[2]TongHop!F31</f>
        <v>0</v>
      </c>
      <c r="G31">
        <f>[2]TongHop!G31</f>
        <v>0</v>
      </c>
      <c r="H31">
        <f>[2]TongHop!H31</f>
        <v>0</v>
      </c>
      <c r="I31">
        <f>[2]TongHop!I31</f>
        <v>0</v>
      </c>
      <c r="J31">
        <f>[2]TongHop!J31</f>
        <v>0</v>
      </c>
      <c r="K31">
        <f>[2]TongHop!K31</f>
        <v>0</v>
      </c>
      <c r="L31">
        <f>[2]TongHop!L31</f>
        <v>0</v>
      </c>
      <c r="M31">
        <f>[2]TongHop!M31</f>
        <v>0</v>
      </c>
      <c r="N31">
        <f>[2]TongHop!N31</f>
        <v>0</v>
      </c>
    </row>
    <row r="32" spans="1:14">
      <c r="A32">
        <f>[2]TongHop!A32</f>
        <v>0</v>
      </c>
      <c r="B32">
        <f>[2]TongHop!B32</f>
        <v>0</v>
      </c>
      <c r="C32">
        <f>[2]TongHop!C32</f>
        <v>0</v>
      </c>
      <c r="D32">
        <f>[2]TongHop!D32</f>
        <v>0</v>
      </c>
      <c r="E32">
        <f>[2]TongHop!E32</f>
        <v>0</v>
      </c>
      <c r="F32">
        <f>[2]TongHop!F32</f>
        <v>0</v>
      </c>
      <c r="G32">
        <f>[2]TongHop!G32</f>
        <v>0</v>
      </c>
      <c r="H32">
        <f>[2]TongHop!H32</f>
        <v>0</v>
      </c>
      <c r="I32">
        <f>[2]TongHop!I32</f>
        <v>0</v>
      </c>
      <c r="J32">
        <f>[2]TongHop!J32</f>
        <v>0</v>
      </c>
      <c r="K32">
        <f>[2]TongHop!K32</f>
        <v>0</v>
      </c>
      <c r="L32">
        <f>[2]TongHop!L32</f>
        <v>0</v>
      </c>
      <c r="M32">
        <f>[2]TongHop!M32</f>
        <v>0</v>
      </c>
      <c r="N32">
        <f>[2]TongHop!N32</f>
        <v>0</v>
      </c>
    </row>
    <row r="33" spans="1:14">
      <c r="A33">
        <f>[2]TongHop!A33</f>
        <v>0</v>
      </c>
      <c r="B33">
        <f>[2]TongHop!B33</f>
        <v>0</v>
      </c>
      <c r="C33">
        <f>[2]TongHop!C33</f>
        <v>0</v>
      </c>
      <c r="D33">
        <f>[2]TongHop!D33</f>
        <v>0</v>
      </c>
      <c r="E33">
        <f>[2]TongHop!E33</f>
        <v>0</v>
      </c>
      <c r="F33">
        <f>[2]TongHop!F33</f>
        <v>0</v>
      </c>
      <c r="G33">
        <f>[2]TongHop!G33</f>
        <v>0</v>
      </c>
      <c r="H33">
        <f>[2]TongHop!H33</f>
        <v>0</v>
      </c>
      <c r="I33">
        <f>[2]TongHop!I33</f>
        <v>0</v>
      </c>
      <c r="J33">
        <f>[2]TongHop!J33</f>
        <v>0</v>
      </c>
      <c r="K33">
        <f>[2]TongHop!K33</f>
        <v>0</v>
      </c>
      <c r="L33">
        <f>[2]TongHop!L33</f>
        <v>0</v>
      </c>
      <c r="M33">
        <f>[2]TongHop!M33</f>
        <v>0</v>
      </c>
      <c r="N33">
        <f>[2]TongHop!N33</f>
        <v>0</v>
      </c>
    </row>
    <row r="34" spans="1:14">
      <c r="A34">
        <f>[2]TongHop!A34</f>
        <v>0</v>
      </c>
      <c r="B34">
        <f>[2]TongHop!B34</f>
        <v>0</v>
      </c>
      <c r="C34">
        <f>[2]TongHop!C34</f>
        <v>0</v>
      </c>
      <c r="D34">
        <f>[2]TongHop!D34</f>
        <v>0</v>
      </c>
      <c r="E34">
        <f>[2]TongHop!E34</f>
        <v>0</v>
      </c>
      <c r="F34">
        <f>[2]TongHop!F34</f>
        <v>0</v>
      </c>
      <c r="G34">
        <f>[2]TongHop!G34</f>
        <v>0</v>
      </c>
      <c r="H34">
        <f>[2]TongHop!H34</f>
        <v>0</v>
      </c>
      <c r="I34">
        <f>[2]TongHop!I34</f>
        <v>0</v>
      </c>
      <c r="J34">
        <f>[2]TongHop!J34</f>
        <v>0</v>
      </c>
      <c r="K34">
        <f>[2]TongHop!K34</f>
        <v>0</v>
      </c>
      <c r="L34">
        <f>[2]TongHop!L34</f>
        <v>0</v>
      </c>
      <c r="M34">
        <f>[2]TongHop!M34</f>
        <v>0</v>
      </c>
      <c r="N34">
        <f>[2]TongHop!N34</f>
        <v>0</v>
      </c>
    </row>
    <row r="35" spans="1:14">
      <c r="A35">
        <f>[2]TongHop!A35</f>
        <v>0</v>
      </c>
      <c r="B35">
        <f>[2]TongHop!B35</f>
        <v>0</v>
      </c>
      <c r="C35">
        <f>[2]TongHop!C35</f>
        <v>0</v>
      </c>
      <c r="D35">
        <f>[2]TongHop!D35</f>
        <v>0</v>
      </c>
      <c r="E35">
        <f>[2]TongHop!E35</f>
        <v>0</v>
      </c>
      <c r="F35">
        <f>[2]TongHop!F35</f>
        <v>0</v>
      </c>
      <c r="G35">
        <f>[2]TongHop!G35</f>
        <v>0</v>
      </c>
      <c r="H35">
        <f>[2]TongHop!H35</f>
        <v>0</v>
      </c>
      <c r="I35">
        <f>[2]TongHop!I35</f>
        <v>0</v>
      </c>
      <c r="J35">
        <f>[2]TongHop!J35</f>
        <v>0</v>
      </c>
      <c r="K35">
        <f>[2]TongHop!K35</f>
        <v>0</v>
      </c>
      <c r="L35">
        <f>[2]TongHop!L35</f>
        <v>0</v>
      </c>
      <c r="M35">
        <f>[2]TongHop!M35</f>
        <v>0</v>
      </c>
      <c r="N35">
        <f>[2]TongHop!N35</f>
        <v>0</v>
      </c>
    </row>
    <row r="36" spans="1:14">
      <c r="A36">
        <f>[2]TongHop!A36</f>
        <v>0</v>
      </c>
      <c r="B36">
        <f>[2]TongHop!B36</f>
        <v>0</v>
      </c>
      <c r="C36">
        <f>[2]TongHop!C36</f>
        <v>0</v>
      </c>
      <c r="D36">
        <f>[2]TongHop!D36</f>
        <v>0</v>
      </c>
      <c r="E36">
        <f>[2]TongHop!E36</f>
        <v>0</v>
      </c>
      <c r="F36">
        <f>[2]TongHop!F36</f>
        <v>0</v>
      </c>
      <c r="G36">
        <f>[2]TongHop!G36</f>
        <v>0</v>
      </c>
      <c r="H36">
        <f>[2]TongHop!H36</f>
        <v>0</v>
      </c>
      <c r="I36">
        <f>[2]TongHop!I36</f>
        <v>0</v>
      </c>
      <c r="J36">
        <f>[2]TongHop!J36</f>
        <v>0</v>
      </c>
      <c r="K36">
        <f>[2]TongHop!K36</f>
        <v>0</v>
      </c>
      <c r="L36">
        <f>[2]TongHop!L36</f>
        <v>0</v>
      </c>
      <c r="M36">
        <f>[2]TongHop!M36</f>
        <v>0</v>
      </c>
      <c r="N36">
        <f>[2]TongHop!N36</f>
        <v>0</v>
      </c>
    </row>
    <row r="37" spans="1:14">
      <c r="A37">
        <f>[2]TongHop!A37</f>
        <v>0</v>
      </c>
      <c r="B37">
        <f>[2]TongHop!B37</f>
        <v>0</v>
      </c>
      <c r="C37">
        <f>[2]TongHop!C37</f>
        <v>0</v>
      </c>
      <c r="D37">
        <f>[2]TongHop!D37</f>
        <v>0</v>
      </c>
      <c r="E37">
        <f>[2]TongHop!E37</f>
        <v>0</v>
      </c>
      <c r="F37">
        <f>[2]TongHop!F37</f>
        <v>0</v>
      </c>
      <c r="G37">
        <f>[2]TongHop!G37</f>
        <v>0</v>
      </c>
      <c r="H37">
        <f>[2]TongHop!H37</f>
        <v>0</v>
      </c>
      <c r="I37">
        <f>[2]TongHop!I37</f>
        <v>0</v>
      </c>
      <c r="J37">
        <f>[2]TongHop!J37</f>
        <v>0</v>
      </c>
      <c r="K37">
        <f>[2]TongHop!K37</f>
        <v>0</v>
      </c>
      <c r="L37">
        <f>[2]TongHop!L37</f>
        <v>0</v>
      </c>
      <c r="M37">
        <f>[2]TongHop!M37</f>
        <v>0</v>
      </c>
      <c r="N37">
        <f>[2]TongHop!N37</f>
        <v>0</v>
      </c>
    </row>
    <row r="38" spans="1:14">
      <c r="A38">
        <f>[2]TongHop!A38</f>
        <v>0</v>
      </c>
      <c r="B38">
        <f>[2]TongHop!B38</f>
        <v>0</v>
      </c>
      <c r="C38">
        <f>[2]TongHop!C38</f>
        <v>0</v>
      </c>
      <c r="D38">
        <f>[2]TongHop!D38</f>
        <v>0</v>
      </c>
      <c r="E38">
        <f>[2]TongHop!E38</f>
        <v>0</v>
      </c>
      <c r="F38">
        <f>[2]TongHop!F38</f>
        <v>0</v>
      </c>
      <c r="G38">
        <f>[2]TongHop!G38</f>
        <v>0</v>
      </c>
      <c r="H38">
        <f>[2]TongHop!H38</f>
        <v>0</v>
      </c>
      <c r="I38">
        <f>[2]TongHop!I38</f>
        <v>0</v>
      </c>
      <c r="J38">
        <f>[2]TongHop!J38</f>
        <v>0</v>
      </c>
      <c r="K38">
        <f>[2]TongHop!K38</f>
        <v>0</v>
      </c>
      <c r="L38">
        <f>[2]TongHop!L38</f>
        <v>0</v>
      </c>
      <c r="M38">
        <f>[2]TongHop!M38</f>
        <v>0</v>
      </c>
      <c r="N38">
        <f>[2]TongHop!N38</f>
        <v>0</v>
      </c>
    </row>
    <row r="39" spans="1:14">
      <c r="A39">
        <f>[2]TongHop!A39</f>
        <v>0</v>
      </c>
      <c r="B39">
        <f>[2]TongHop!B39</f>
        <v>0</v>
      </c>
      <c r="C39">
        <f>[2]TongHop!C39</f>
        <v>0</v>
      </c>
      <c r="D39">
        <f>[2]TongHop!D39</f>
        <v>0</v>
      </c>
      <c r="E39">
        <f>[2]TongHop!E39</f>
        <v>0</v>
      </c>
      <c r="F39">
        <f>[2]TongHop!F39</f>
        <v>0</v>
      </c>
      <c r="G39">
        <f>[2]TongHop!G39</f>
        <v>0</v>
      </c>
      <c r="H39">
        <f>[2]TongHop!H39</f>
        <v>0</v>
      </c>
      <c r="I39">
        <f>[2]TongHop!I39</f>
        <v>0</v>
      </c>
      <c r="J39">
        <f>[2]TongHop!J39</f>
        <v>0</v>
      </c>
      <c r="K39">
        <f>[2]TongHop!K39</f>
        <v>0</v>
      </c>
      <c r="L39">
        <f>[2]TongHop!L39</f>
        <v>0</v>
      </c>
      <c r="M39">
        <f>[2]TongHop!M39</f>
        <v>0</v>
      </c>
      <c r="N39">
        <f>[2]TongHop!N39</f>
        <v>0</v>
      </c>
    </row>
    <row r="40" spans="1:14">
      <c r="A40">
        <f>[2]TongHop!A40</f>
        <v>0</v>
      </c>
      <c r="B40">
        <f>[2]TongHop!B40</f>
        <v>0</v>
      </c>
      <c r="C40">
        <f>[2]TongHop!C40</f>
        <v>0</v>
      </c>
      <c r="D40">
        <f>[2]TongHop!D40</f>
        <v>0</v>
      </c>
      <c r="E40">
        <f>[2]TongHop!E40</f>
        <v>0</v>
      </c>
      <c r="F40">
        <f>[2]TongHop!F40</f>
        <v>0</v>
      </c>
      <c r="G40">
        <f>[2]TongHop!G40</f>
        <v>0</v>
      </c>
      <c r="H40">
        <f>[2]TongHop!H40</f>
        <v>0</v>
      </c>
      <c r="I40">
        <f>[2]TongHop!I40</f>
        <v>0</v>
      </c>
      <c r="J40">
        <f>[2]TongHop!J40</f>
        <v>0</v>
      </c>
      <c r="K40">
        <f>[2]TongHop!K40</f>
        <v>0</v>
      </c>
      <c r="L40">
        <f>[2]TongHop!L40</f>
        <v>0</v>
      </c>
      <c r="M40">
        <f>[2]TongHop!M40</f>
        <v>0</v>
      </c>
      <c r="N40">
        <f>[2]TongHop!N40</f>
        <v>0</v>
      </c>
    </row>
    <row r="41" spans="1:14">
      <c r="A41">
        <f>[2]TongHop!A41</f>
        <v>0</v>
      </c>
      <c r="B41">
        <f>[2]TongHop!B41</f>
        <v>0</v>
      </c>
      <c r="C41">
        <f>[2]TongHop!C41</f>
        <v>0</v>
      </c>
      <c r="D41">
        <f>[2]TongHop!D41</f>
        <v>0</v>
      </c>
      <c r="E41">
        <f>[2]TongHop!E41</f>
        <v>0</v>
      </c>
      <c r="F41">
        <f>[2]TongHop!F41</f>
        <v>0</v>
      </c>
      <c r="G41">
        <f>[2]TongHop!G41</f>
        <v>0</v>
      </c>
      <c r="H41">
        <f>[2]TongHop!H41</f>
        <v>0</v>
      </c>
      <c r="I41">
        <f>[2]TongHop!I41</f>
        <v>0</v>
      </c>
      <c r="J41">
        <f>[2]TongHop!J41</f>
        <v>0</v>
      </c>
      <c r="K41">
        <f>[2]TongHop!K41</f>
        <v>0</v>
      </c>
      <c r="L41">
        <f>[2]TongHop!L41</f>
        <v>0</v>
      </c>
      <c r="M41">
        <f>[2]TongHop!M41</f>
        <v>0</v>
      </c>
      <c r="N41">
        <f>[2]TongHop!N41</f>
        <v>0</v>
      </c>
    </row>
    <row r="42" spans="1:14">
      <c r="A42">
        <f>[2]TongHop!A42</f>
        <v>0</v>
      </c>
      <c r="B42">
        <f>[2]TongHop!B42</f>
        <v>0</v>
      </c>
      <c r="C42">
        <f>[2]TongHop!C42</f>
        <v>0</v>
      </c>
      <c r="D42">
        <f>[2]TongHop!D42</f>
        <v>0</v>
      </c>
      <c r="E42">
        <f>[2]TongHop!E42</f>
        <v>0</v>
      </c>
      <c r="F42">
        <f>[2]TongHop!F42</f>
        <v>0</v>
      </c>
      <c r="G42">
        <f>[2]TongHop!G42</f>
        <v>0</v>
      </c>
      <c r="H42">
        <f>[2]TongHop!H42</f>
        <v>0</v>
      </c>
      <c r="I42">
        <f>[2]TongHop!I42</f>
        <v>0</v>
      </c>
      <c r="J42">
        <f>[2]TongHop!J42</f>
        <v>0</v>
      </c>
      <c r="K42">
        <f>[2]TongHop!K42</f>
        <v>0</v>
      </c>
      <c r="L42">
        <f>[2]TongHop!L42</f>
        <v>0</v>
      </c>
      <c r="M42">
        <f>[2]TongHop!M42</f>
        <v>0</v>
      </c>
      <c r="N42">
        <f>[2]TongHop!N42</f>
        <v>0</v>
      </c>
    </row>
    <row r="43" spans="1:14">
      <c r="A43">
        <f>[2]TongHop!A43</f>
        <v>0</v>
      </c>
      <c r="B43">
        <f>[2]TongHop!B43</f>
        <v>0</v>
      </c>
      <c r="C43">
        <f>[2]TongHop!C43</f>
        <v>0</v>
      </c>
      <c r="D43">
        <f>[2]TongHop!D43</f>
        <v>0</v>
      </c>
      <c r="E43">
        <f>[2]TongHop!E43</f>
        <v>0</v>
      </c>
      <c r="F43">
        <f>[2]TongHop!F43</f>
        <v>0</v>
      </c>
      <c r="G43">
        <f>[2]TongHop!G43</f>
        <v>0</v>
      </c>
      <c r="H43">
        <f>[2]TongHop!H43</f>
        <v>0</v>
      </c>
      <c r="I43">
        <f>[2]TongHop!I43</f>
        <v>0</v>
      </c>
      <c r="J43">
        <f>[2]TongHop!J43</f>
        <v>0</v>
      </c>
      <c r="K43">
        <f>[2]TongHop!K43</f>
        <v>0</v>
      </c>
      <c r="L43">
        <f>[2]TongHop!L43</f>
        <v>0</v>
      </c>
      <c r="M43">
        <f>[2]TongHop!M43</f>
        <v>0</v>
      </c>
      <c r="N43">
        <f>[2]TongHop!N43</f>
        <v>0</v>
      </c>
    </row>
    <row r="44" spans="1:14">
      <c r="A44">
        <f>[2]TongHop!A44</f>
        <v>0</v>
      </c>
      <c r="B44">
        <f>[2]TongHop!B44</f>
        <v>0</v>
      </c>
      <c r="C44">
        <f>[2]TongHop!C44</f>
        <v>0</v>
      </c>
      <c r="D44">
        <f>[2]TongHop!D44</f>
        <v>0</v>
      </c>
      <c r="E44">
        <f>[2]TongHop!E44</f>
        <v>0</v>
      </c>
      <c r="F44">
        <f>[2]TongHop!F44</f>
        <v>0</v>
      </c>
      <c r="G44">
        <f>[2]TongHop!G44</f>
        <v>0</v>
      </c>
      <c r="H44">
        <f>[2]TongHop!H44</f>
        <v>0</v>
      </c>
      <c r="I44">
        <f>[2]TongHop!I44</f>
        <v>0</v>
      </c>
      <c r="J44">
        <f>[2]TongHop!J44</f>
        <v>0</v>
      </c>
      <c r="K44">
        <f>[2]TongHop!K44</f>
        <v>0</v>
      </c>
      <c r="L44">
        <f>[2]TongHop!L44</f>
        <v>0</v>
      </c>
      <c r="M44">
        <f>[2]TongHop!M44</f>
        <v>0</v>
      </c>
      <c r="N44">
        <f>[2]TongHop!N44</f>
        <v>0</v>
      </c>
    </row>
    <row r="45" spans="1:14">
      <c r="A45">
        <f>[2]TongHop!A45</f>
        <v>0</v>
      </c>
      <c r="B45">
        <f>[2]TongHop!B45</f>
        <v>0</v>
      </c>
      <c r="C45">
        <f>[2]TongHop!C45</f>
        <v>0</v>
      </c>
      <c r="D45">
        <f>[2]TongHop!D45</f>
        <v>0</v>
      </c>
      <c r="E45">
        <f>[2]TongHop!E45</f>
        <v>0</v>
      </c>
      <c r="F45">
        <f>[2]TongHop!F45</f>
        <v>0</v>
      </c>
      <c r="G45">
        <f>[2]TongHop!G45</f>
        <v>0</v>
      </c>
      <c r="H45">
        <f>[2]TongHop!H45</f>
        <v>0</v>
      </c>
      <c r="I45">
        <f>[2]TongHop!I45</f>
        <v>0</v>
      </c>
      <c r="J45">
        <f>[2]TongHop!J45</f>
        <v>0</v>
      </c>
      <c r="K45">
        <f>[2]TongHop!K45</f>
        <v>0</v>
      </c>
      <c r="L45">
        <f>[2]TongHop!L45</f>
        <v>0</v>
      </c>
      <c r="M45">
        <f>[2]TongHop!M45</f>
        <v>0</v>
      </c>
      <c r="N45">
        <f>[2]TongHop!N45</f>
        <v>0</v>
      </c>
    </row>
    <row r="46" spans="1:14">
      <c r="A46">
        <f>[2]TongHop!A46</f>
        <v>0</v>
      </c>
      <c r="B46">
        <f>[2]TongHop!B46</f>
        <v>0</v>
      </c>
      <c r="C46">
        <f>[2]TongHop!C46</f>
        <v>0</v>
      </c>
      <c r="D46">
        <f>[2]TongHop!D46</f>
        <v>0</v>
      </c>
      <c r="E46">
        <f>[2]TongHop!E46</f>
        <v>0</v>
      </c>
      <c r="F46">
        <f>[2]TongHop!F46</f>
        <v>0</v>
      </c>
      <c r="G46">
        <f>[2]TongHop!G46</f>
        <v>0</v>
      </c>
      <c r="H46">
        <f>[2]TongHop!H46</f>
        <v>0</v>
      </c>
      <c r="I46">
        <f>[2]TongHop!I46</f>
        <v>0</v>
      </c>
      <c r="J46">
        <f>[2]TongHop!J46</f>
        <v>0</v>
      </c>
      <c r="K46">
        <f>[2]TongHop!K46</f>
        <v>0</v>
      </c>
      <c r="L46">
        <f>[2]TongHop!L46</f>
        <v>0</v>
      </c>
      <c r="M46">
        <f>[2]TongHop!M46</f>
        <v>0</v>
      </c>
      <c r="N46">
        <f>[2]TongHop!N46</f>
        <v>0</v>
      </c>
    </row>
    <row r="47" spans="1:14">
      <c r="A47">
        <f>[2]TongHop!A47</f>
        <v>0</v>
      </c>
      <c r="B47">
        <f>[2]TongHop!B47</f>
        <v>0</v>
      </c>
      <c r="C47">
        <f>[2]TongHop!C47</f>
        <v>0</v>
      </c>
      <c r="D47">
        <f>[2]TongHop!D47</f>
        <v>0</v>
      </c>
      <c r="E47">
        <f>[2]TongHop!E47</f>
        <v>0</v>
      </c>
      <c r="F47">
        <f>[2]TongHop!F47</f>
        <v>0</v>
      </c>
      <c r="G47">
        <f>[2]TongHop!G47</f>
        <v>0</v>
      </c>
      <c r="H47">
        <f>[2]TongHop!H47</f>
        <v>0</v>
      </c>
      <c r="I47">
        <f>[2]TongHop!I47</f>
        <v>0</v>
      </c>
      <c r="J47">
        <f>[2]TongHop!J47</f>
        <v>0</v>
      </c>
      <c r="K47">
        <f>[2]TongHop!K47</f>
        <v>0</v>
      </c>
      <c r="L47">
        <f>[2]TongHop!L47</f>
        <v>0</v>
      </c>
      <c r="M47">
        <f>[2]TongHop!M47</f>
        <v>0</v>
      </c>
      <c r="N47">
        <f>[2]TongHop!N47</f>
        <v>0</v>
      </c>
    </row>
    <row r="48" spans="1:14">
      <c r="A48">
        <f>[2]TongHop!A48</f>
        <v>0</v>
      </c>
      <c r="B48">
        <f>[2]TongHop!B48</f>
        <v>0</v>
      </c>
      <c r="C48">
        <f>[2]TongHop!C48</f>
        <v>0</v>
      </c>
      <c r="D48">
        <f>[2]TongHop!D48</f>
        <v>0</v>
      </c>
      <c r="E48">
        <f>[2]TongHop!E48</f>
        <v>0</v>
      </c>
      <c r="F48">
        <f>[2]TongHop!F48</f>
        <v>0</v>
      </c>
      <c r="G48">
        <f>[2]TongHop!G48</f>
        <v>0</v>
      </c>
      <c r="H48">
        <f>[2]TongHop!H48</f>
        <v>0</v>
      </c>
      <c r="I48">
        <f>[2]TongHop!I48</f>
        <v>0</v>
      </c>
      <c r="J48">
        <f>[2]TongHop!J48</f>
        <v>0</v>
      </c>
      <c r="K48">
        <f>[2]TongHop!K48</f>
        <v>0</v>
      </c>
      <c r="L48">
        <f>[2]TongHop!L48</f>
        <v>0</v>
      </c>
      <c r="M48">
        <f>[2]TongHop!M48</f>
        <v>0</v>
      </c>
      <c r="N48">
        <f>[2]TongHop!N48</f>
        <v>0</v>
      </c>
    </row>
    <row r="49" spans="1:14">
      <c r="A49">
        <f>[2]TongHop!A49</f>
        <v>0</v>
      </c>
      <c r="B49">
        <f>[2]TongHop!B49</f>
        <v>0</v>
      </c>
      <c r="C49">
        <f>[2]TongHop!C49</f>
        <v>0</v>
      </c>
      <c r="D49">
        <f>[2]TongHop!D49</f>
        <v>0</v>
      </c>
      <c r="E49">
        <f>[2]TongHop!E49</f>
        <v>0</v>
      </c>
      <c r="F49">
        <f>[2]TongHop!F49</f>
        <v>0</v>
      </c>
      <c r="G49">
        <f>[2]TongHop!G49</f>
        <v>0</v>
      </c>
      <c r="H49">
        <f>[2]TongHop!H49</f>
        <v>0</v>
      </c>
      <c r="I49">
        <f>[2]TongHop!I49</f>
        <v>0</v>
      </c>
      <c r="J49">
        <f>[2]TongHop!J49</f>
        <v>0</v>
      </c>
      <c r="K49">
        <f>[2]TongHop!K49</f>
        <v>0</v>
      </c>
      <c r="L49">
        <f>[2]TongHop!L49</f>
        <v>0</v>
      </c>
      <c r="M49">
        <f>[2]TongHop!M49</f>
        <v>0</v>
      </c>
      <c r="N49">
        <f>[2]TongHop!N49</f>
        <v>0</v>
      </c>
    </row>
    <row r="50" spans="1:14">
      <c r="A50">
        <f>[2]TongHop!A50</f>
        <v>0</v>
      </c>
      <c r="B50">
        <f>[2]TongHop!B50</f>
        <v>0</v>
      </c>
      <c r="C50">
        <f>[2]TongHop!C50</f>
        <v>0</v>
      </c>
      <c r="D50">
        <f>[2]TongHop!D50</f>
        <v>0</v>
      </c>
      <c r="E50">
        <f>[2]TongHop!E50</f>
        <v>0</v>
      </c>
      <c r="F50">
        <f>[2]TongHop!F50</f>
        <v>0</v>
      </c>
      <c r="G50">
        <f>[2]TongHop!G50</f>
        <v>0</v>
      </c>
      <c r="H50">
        <f>[2]TongHop!H50</f>
        <v>0</v>
      </c>
      <c r="I50">
        <f>[2]TongHop!I50</f>
        <v>0</v>
      </c>
      <c r="J50">
        <f>[2]TongHop!J50</f>
        <v>0</v>
      </c>
      <c r="K50">
        <f>[2]TongHop!K50</f>
        <v>0</v>
      </c>
      <c r="L50">
        <f>[2]TongHop!L50</f>
        <v>0</v>
      </c>
      <c r="M50">
        <f>[2]TongHop!M50</f>
        <v>0</v>
      </c>
      <c r="N50">
        <f>[2]TongHop!N50</f>
        <v>0</v>
      </c>
    </row>
    <row r="51" spans="1:14">
      <c r="A51">
        <f>[2]TongHop!A51</f>
        <v>0</v>
      </c>
      <c r="B51">
        <f>[2]TongHop!B51</f>
        <v>0</v>
      </c>
      <c r="C51">
        <f>[2]TongHop!C51</f>
        <v>0</v>
      </c>
      <c r="D51">
        <f>[2]TongHop!D51</f>
        <v>0</v>
      </c>
      <c r="E51">
        <f>[2]TongHop!E51</f>
        <v>0</v>
      </c>
      <c r="F51">
        <f>[2]TongHop!F51</f>
        <v>0</v>
      </c>
      <c r="G51">
        <f>[2]TongHop!G51</f>
        <v>0</v>
      </c>
      <c r="H51">
        <f>[2]TongHop!H51</f>
        <v>0</v>
      </c>
      <c r="I51">
        <f>[2]TongHop!I51</f>
        <v>0</v>
      </c>
      <c r="J51">
        <f>[2]TongHop!J51</f>
        <v>0</v>
      </c>
      <c r="K51">
        <f>[2]TongHop!K51</f>
        <v>0</v>
      </c>
      <c r="L51">
        <f>[2]TongHop!L51</f>
        <v>0</v>
      </c>
      <c r="M51">
        <f>[2]TongHop!M51</f>
        <v>0</v>
      </c>
      <c r="N51">
        <f>[2]TongHop!N51</f>
        <v>0</v>
      </c>
    </row>
    <row r="52" spans="1:14">
      <c r="A52">
        <f>[2]TongHop!A52</f>
        <v>0</v>
      </c>
      <c r="B52">
        <f>[2]TongHop!B52</f>
        <v>0</v>
      </c>
      <c r="C52">
        <f>[2]TongHop!C52</f>
        <v>0</v>
      </c>
      <c r="D52">
        <f>[2]TongHop!D52</f>
        <v>0</v>
      </c>
      <c r="E52">
        <f>[2]TongHop!E52</f>
        <v>0</v>
      </c>
      <c r="F52">
        <f>[2]TongHop!F52</f>
        <v>0</v>
      </c>
      <c r="G52">
        <f>[2]TongHop!G52</f>
        <v>0</v>
      </c>
      <c r="H52">
        <f>[2]TongHop!H52</f>
        <v>0</v>
      </c>
      <c r="I52">
        <f>[2]TongHop!I52</f>
        <v>0</v>
      </c>
      <c r="J52">
        <f>[2]TongHop!J52</f>
        <v>0</v>
      </c>
      <c r="K52">
        <f>[2]TongHop!K52</f>
        <v>0</v>
      </c>
      <c r="L52">
        <f>[2]TongHop!L52</f>
        <v>0</v>
      </c>
      <c r="M52">
        <f>[2]TongHop!M52</f>
        <v>0</v>
      </c>
      <c r="N52">
        <f>[2]TongHop!N52</f>
        <v>0</v>
      </c>
    </row>
    <row r="53" spans="1:14">
      <c r="A53">
        <f>[2]TongHop!A53</f>
        <v>0</v>
      </c>
      <c r="B53">
        <f>[2]TongHop!B53</f>
        <v>0</v>
      </c>
      <c r="C53">
        <f>[2]TongHop!C53</f>
        <v>0</v>
      </c>
      <c r="D53">
        <f>[2]TongHop!D53</f>
        <v>0</v>
      </c>
      <c r="E53">
        <f>[2]TongHop!E53</f>
        <v>0</v>
      </c>
      <c r="F53">
        <f>[2]TongHop!F53</f>
        <v>0</v>
      </c>
      <c r="G53">
        <f>[2]TongHop!G53</f>
        <v>0</v>
      </c>
      <c r="H53">
        <f>[2]TongHop!H53</f>
        <v>0</v>
      </c>
      <c r="I53">
        <f>[2]TongHop!I53</f>
        <v>0</v>
      </c>
      <c r="J53">
        <f>[2]TongHop!J53</f>
        <v>0</v>
      </c>
      <c r="K53">
        <f>[2]TongHop!K53</f>
        <v>0</v>
      </c>
      <c r="L53">
        <f>[2]TongHop!L53</f>
        <v>0</v>
      </c>
      <c r="M53">
        <f>[2]TongHop!M53</f>
        <v>0</v>
      </c>
      <c r="N53">
        <f>[2]TongHop!N53</f>
        <v>0</v>
      </c>
    </row>
    <row r="54" spans="1:14">
      <c r="A54">
        <f>[2]TongHop!A54</f>
        <v>0</v>
      </c>
      <c r="B54">
        <f>[2]TongHop!B54</f>
        <v>0</v>
      </c>
      <c r="C54">
        <f>[2]TongHop!C54</f>
        <v>0</v>
      </c>
      <c r="D54">
        <f>[2]TongHop!D54</f>
        <v>0</v>
      </c>
      <c r="E54">
        <f>[2]TongHop!E54</f>
        <v>0</v>
      </c>
      <c r="F54">
        <f>[2]TongHop!F54</f>
        <v>0</v>
      </c>
      <c r="G54">
        <f>[2]TongHop!G54</f>
        <v>0</v>
      </c>
      <c r="H54">
        <f>[2]TongHop!H54</f>
        <v>0</v>
      </c>
      <c r="I54">
        <f>[2]TongHop!I54</f>
        <v>0</v>
      </c>
      <c r="J54">
        <f>[2]TongHop!J54</f>
        <v>0</v>
      </c>
      <c r="K54">
        <f>[2]TongHop!K54</f>
        <v>0</v>
      </c>
      <c r="L54">
        <f>[2]TongHop!L54</f>
        <v>0</v>
      </c>
      <c r="M54">
        <f>[2]TongHop!M54</f>
        <v>0</v>
      </c>
      <c r="N54">
        <f>[2]TongHop!N54</f>
        <v>0</v>
      </c>
    </row>
    <row r="55" spans="1:14">
      <c r="A55">
        <f>[2]TongHop!A55</f>
        <v>0</v>
      </c>
      <c r="B55">
        <f>[2]TongHop!B55</f>
        <v>0</v>
      </c>
      <c r="C55">
        <f>[2]TongHop!C55</f>
        <v>0</v>
      </c>
      <c r="D55">
        <f>[2]TongHop!D55</f>
        <v>0</v>
      </c>
      <c r="E55">
        <f>[2]TongHop!E55</f>
        <v>0</v>
      </c>
      <c r="F55">
        <f>[2]TongHop!F55</f>
        <v>0</v>
      </c>
      <c r="G55">
        <f>[2]TongHop!G55</f>
        <v>0</v>
      </c>
      <c r="H55">
        <f>[2]TongHop!H55</f>
        <v>0</v>
      </c>
      <c r="I55">
        <f>[2]TongHop!I55</f>
        <v>0</v>
      </c>
      <c r="J55">
        <f>[2]TongHop!J55</f>
        <v>0</v>
      </c>
      <c r="K55">
        <f>[2]TongHop!K55</f>
        <v>0</v>
      </c>
      <c r="L55">
        <f>[2]TongHop!L55</f>
        <v>0</v>
      </c>
      <c r="M55">
        <f>[2]TongHop!M55</f>
        <v>0</v>
      </c>
      <c r="N55">
        <f>[2]TongHop!N55</f>
        <v>0</v>
      </c>
    </row>
    <row r="56" spans="1:14">
      <c r="A56">
        <f>[2]TongHop!A56</f>
        <v>0</v>
      </c>
      <c r="B56">
        <f>[2]TongHop!B56</f>
        <v>0</v>
      </c>
      <c r="C56">
        <f>[2]TongHop!C56</f>
        <v>0</v>
      </c>
      <c r="D56">
        <f>[2]TongHop!D56</f>
        <v>0</v>
      </c>
      <c r="E56">
        <f>[2]TongHop!E56</f>
        <v>0</v>
      </c>
      <c r="F56">
        <f>[2]TongHop!F56</f>
        <v>0</v>
      </c>
      <c r="G56">
        <f>[2]TongHop!G56</f>
        <v>0</v>
      </c>
      <c r="H56">
        <f>[2]TongHop!H56</f>
        <v>0</v>
      </c>
      <c r="I56">
        <f>[2]TongHop!I56</f>
        <v>0</v>
      </c>
      <c r="J56">
        <f>[2]TongHop!J56</f>
        <v>0</v>
      </c>
      <c r="K56">
        <f>[2]TongHop!K56</f>
        <v>0</v>
      </c>
      <c r="L56">
        <f>[2]TongHop!L56</f>
        <v>0</v>
      </c>
      <c r="M56">
        <f>[2]TongHop!M56</f>
        <v>0</v>
      </c>
      <c r="N56">
        <f>[2]TongHop!N56</f>
        <v>0</v>
      </c>
    </row>
    <row r="57" spans="1:14">
      <c r="A57">
        <f>[2]TongHop!A57</f>
        <v>0</v>
      </c>
      <c r="B57">
        <f>[2]TongHop!B57</f>
        <v>0</v>
      </c>
      <c r="C57">
        <f>[2]TongHop!C57</f>
        <v>0</v>
      </c>
      <c r="D57">
        <f>[2]TongHop!D57</f>
        <v>0</v>
      </c>
      <c r="E57">
        <f>[2]TongHop!E57</f>
        <v>0</v>
      </c>
      <c r="F57">
        <f>[2]TongHop!F57</f>
        <v>0</v>
      </c>
      <c r="G57">
        <f>[2]TongHop!G57</f>
        <v>0</v>
      </c>
      <c r="H57">
        <f>[2]TongHop!H57</f>
        <v>0</v>
      </c>
      <c r="I57">
        <f>[2]TongHop!I57</f>
        <v>0</v>
      </c>
      <c r="J57">
        <f>[2]TongHop!J57</f>
        <v>0</v>
      </c>
      <c r="K57">
        <f>[2]TongHop!K57</f>
        <v>0</v>
      </c>
      <c r="L57">
        <f>[2]TongHop!L57</f>
        <v>0</v>
      </c>
      <c r="M57">
        <f>[2]TongHop!M57</f>
        <v>0</v>
      </c>
      <c r="N57">
        <f>[2]TongHop!N57</f>
        <v>0</v>
      </c>
    </row>
    <row r="58" spans="1:14">
      <c r="A58">
        <f>[2]TongHop!A58</f>
        <v>0</v>
      </c>
      <c r="B58">
        <f>[2]TongHop!B58</f>
        <v>0</v>
      </c>
      <c r="C58">
        <f>[2]TongHop!C58</f>
        <v>0</v>
      </c>
      <c r="D58">
        <f>[2]TongHop!D58</f>
        <v>0</v>
      </c>
      <c r="E58">
        <f>[2]TongHop!E58</f>
        <v>0</v>
      </c>
      <c r="F58">
        <f>[2]TongHop!F58</f>
        <v>0</v>
      </c>
      <c r="G58">
        <f>[2]TongHop!G58</f>
        <v>0</v>
      </c>
      <c r="H58">
        <f>[2]TongHop!H58</f>
        <v>0</v>
      </c>
      <c r="I58">
        <f>[2]TongHop!I58</f>
        <v>0</v>
      </c>
      <c r="J58">
        <f>[2]TongHop!J58</f>
        <v>0</v>
      </c>
      <c r="K58">
        <f>[2]TongHop!K58</f>
        <v>0</v>
      </c>
      <c r="L58">
        <f>[2]TongHop!L58</f>
        <v>0</v>
      </c>
      <c r="M58">
        <f>[2]TongHop!M58</f>
        <v>0</v>
      </c>
      <c r="N58">
        <f>[2]TongHop!N58</f>
        <v>0</v>
      </c>
    </row>
    <row r="59" spans="1:14">
      <c r="A59">
        <f>[2]TongHop!A59</f>
        <v>0</v>
      </c>
      <c r="B59">
        <f>[2]TongHop!B59</f>
        <v>0</v>
      </c>
      <c r="C59">
        <f>[2]TongHop!C59</f>
        <v>0</v>
      </c>
      <c r="D59">
        <f>[2]TongHop!D59</f>
        <v>0</v>
      </c>
      <c r="E59">
        <f>[2]TongHop!E59</f>
        <v>0</v>
      </c>
      <c r="F59">
        <f>[2]TongHop!F59</f>
        <v>0</v>
      </c>
      <c r="G59">
        <f>[2]TongHop!G59</f>
        <v>0</v>
      </c>
      <c r="H59">
        <f>[2]TongHop!H59</f>
        <v>0</v>
      </c>
      <c r="I59">
        <f>[2]TongHop!I59</f>
        <v>0</v>
      </c>
      <c r="J59">
        <f>[2]TongHop!J59</f>
        <v>0</v>
      </c>
      <c r="K59">
        <f>[2]TongHop!K59</f>
        <v>0</v>
      </c>
      <c r="L59">
        <f>[2]TongHop!L59</f>
        <v>0</v>
      </c>
      <c r="M59">
        <f>[2]TongHop!M59</f>
        <v>0</v>
      </c>
      <c r="N59">
        <f>[2]TongHop!N59</f>
        <v>0</v>
      </c>
    </row>
    <row r="60" spans="1:14">
      <c r="A60">
        <f>[2]TongHop!A60</f>
        <v>0</v>
      </c>
      <c r="B60">
        <f>[2]TongHop!B60</f>
        <v>0</v>
      </c>
      <c r="C60">
        <f>[2]TongHop!C60</f>
        <v>0</v>
      </c>
      <c r="D60">
        <f>[2]TongHop!D60</f>
        <v>0</v>
      </c>
      <c r="E60">
        <f>[2]TongHop!E60</f>
        <v>0</v>
      </c>
      <c r="F60">
        <f>[2]TongHop!F60</f>
        <v>0</v>
      </c>
      <c r="G60">
        <f>[2]TongHop!G60</f>
        <v>0</v>
      </c>
      <c r="H60">
        <f>[2]TongHop!H60</f>
        <v>0</v>
      </c>
      <c r="I60">
        <f>[2]TongHop!I60</f>
        <v>0</v>
      </c>
      <c r="J60">
        <f>[2]TongHop!J60</f>
        <v>0</v>
      </c>
      <c r="K60">
        <f>[2]TongHop!K60</f>
        <v>0</v>
      </c>
      <c r="L60">
        <f>[2]TongHop!L60</f>
        <v>0</v>
      </c>
      <c r="M60">
        <f>[2]TongHop!M60</f>
        <v>0</v>
      </c>
      <c r="N60">
        <f>[2]TongHop!N60</f>
        <v>0</v>
      </c>
    </row>
    <row r="61" spans="1:14">
      <c r="A61">
        <f>[2]TongHop!A61</f>
        <v>0</v>
      </c>
      <c r="B61">
        <f>[2]TongHop!B61</f>
        <v>0</v>
      </c>
      <c r="C61">
        <f>[2]TongHop!C61</f>
        <v>0</v>
      </c>
      <c r="D61">
        <f>[2]TongHop!D61</f>
        <v>0</v>
      </c>
      <c r="E61">
        <f>[2]TongHop!E61</f>
        <v>0</v>
      </c>
      <c r="F61">
        <f>[2]TongHop!F61</f>
        <v>0</v>
      </c>
      <c r="G61">
        <f>[2]TongHop!G61</f>
        <v>0</v>
      </c>
      <c r="H61">
        <f>[2]TongHop!H61</f>
        <v>0</v>
      </c>
      <c r="I61">
        <f>[2]TongHop!I61</f>
        <v>0</v>
      </c>
      <c r="J61">
        <f>[2]TongHop!J61</f>
        <v>0</v>
      </c>
      <c r="K61">
        <f>[2]TongHop!K61</f>
        <v>0</v>
      </c>
      <c r="L61">
        <f>[2]TongHop!L61</f>
        <v>0</v>
      </c>
      <c r="M61">
        <f>[2]TongHop!M61</f>
        <v>0</v>
      </c>
      <c r="N61">
        <f>[2]TongHop!N61</f>
        <v>0</v>
      </c>
    </row>
    <row r="62" spans="1:14">
      <c r="A62">
        <f>[2]TongHop!A62</f>
        <v>0</v>
      </c>
      <c r="B62">
        <f>[2]TongHop!B62</f>
        <v>0</v>
      </c>
      <c r="C62">
        <f>[2]TongHop!C62</f>
        <v>0</v>
      </c>
      <c r="D62">
        <f>[2]TongHop!D62</f>
        <v>0</v>
      </c>
      <c r="E62">
        <f>[2]TongHop!E62</f>
        <v>0</v>
      </c>
      <c r="F62">
        <f>[2]TongHop!F62</f>
        <v>0</v>
      </c>
      <c r="G62">
        <f>[2]TongHop!G62</f>
        <v>0</v>
      </c>
      <c r="H62">
        <f>[2]TongHop!H62</f>
        <v>0</v>
      </c>
      <c r="I62">
        <f>[2]TongHop!I62</f>
        <v>0</v>
      </c>
      <c r="J62">
        <f>[2]TongHop!J62</f>
        <v>0</v>
      </c>
      <c r="K62">
        <f>[2]TongHop!K62</f>
        <v>0</v>
      </c>
      <c r="L62">
        <f>[2]TongHop!L62</f>
        <v>0</v>
      </c>
      <c r="M62">
        <f>[2]TongHop!M62</f>
        <v>0</v>
      </c>
      <c r="N62">
        <f>[2]TongHop!N62</f>
        <v>0</v>
      </c>
    </row>
    <row r="63" spans="1:14">
      <c r="A63">
        <f>[2]TongHop!A63</f>
        <v>0</v>
      </c>
      <c r="B63">
        <f>[2]TongHop!B63</f>
        <v>0</v>
      </c>
      <c r="C63">
        <f>[2]TongHop!C63</f>
        <v>0</v>
      </c>
      <c r="D63">
        <f>[2]TongHop!D63</f>
        <v>0</v>
      </c>
      <c r="E63">
        <f>[2]TongHop!E63</f>
        <v>0</v>
      </c>
      <c r="F63">
        <f>[2]TongHop!F63</f>
        <v>0</v>
      </c>
      <c r="G63">
        <f>[2]TongHop!G63</f>
        <v>0</v>
      </c>
      <c r="H63">
        <f>[2]TongHop!H63</f>
        <v>0</v>
      </c>
      <c r="I63">
        <f>[2]TongHop!I63</f>
        <v>0</v>
      </c>
      <c r="J63">
        <f>[2]TongHop!J63</f>
        <v>0</v>
      </c>
      <c r="K63">
        <f>[2]TongHop!K63</f>
        <v>0</v>
      </c>
      <c r="L63">
        <f>[2]TongHop!L63</f>
        <v>0</v>
      </c>
      <c r="M63">
        <f>[2]TongHop!M63</f>
        <v>0</v>
      </c>
      <c r="N63">
        <f>[2]TongHop!N63</f>
        <v>0</v>
      </c>
    </row>
    <row r="64" spans="1:14">
      <c r="A64">
        <f>[2]TongHop!A64</f>
        <v>0</v>
      </c>
      <c r="B64">
        <f>[2]TongHop!B64</f>
        <v>0</v>
      </c>
      <c r="C64">
        <f>[2]TongHop!C64</f>
        <v>0</v>
      </c>
      <c r="D64">
        <f>[2]TongHop!D64</f>
        <v>0</v>
      </c>
      <c r="E64">
        <f>[2]TongHop!E64</f>
        <v>0</v>
      </c>
      <c r="F64">
        <f>[2]TongHop!F64</f>
        <v>0</v>
      </c>
      <c r="G64">
        <f>[2]TongHop!G64</f>
        <v>0</v>
      </c>
      <c r="H64">
        <f>[2]TongHop!H64</f>
        <v>0</v>
      </c>
      <c r="I64">
        <f>[2]TongHop!I64</f>
        <v>0</v>
      </c>
      <c r="J64">
        <f>[2]TongHop!J64</f>
        <v>0</v>
      </c>
      <c r="K64">
        <f>[2]TongHop!K64</f>
        <v>0</v>
      </c>
      <c r="L64">
        <f>[2]TongHop!L64</f>
        <v>0</v>
      </c>
      <c r="M64">
        <f>[2]TongHop!M64</f>
        <v>0</v>
      </c>
      <c r="N64">
        <f>[2]TongHop!N64</f>
        <v>0</v>
      </c>
    </row>
    <row r="65" spans="1:14">
      <c r="A65">
        <f>[2]TongHop!A65</f>
        <v>0</v>
      </c>
      <c r="B65">
        <f>[2]TongHop!B65</f>
        <v>0</v>
      </c>
      <c r="C65">
        <f>[2]TongHop!C65</f>
        <v>0</v>
      </c>
      <c r="D65">
        <f>[2]TongHop!D65</f>
        <v>0</v>
      </c>
      <c r="E65">
        <f>[2]TongHop!E65</f>
        <v>0</v>
      </c>
      <c r="F65">
        <f>[2]TongHop!F65</f>
        <v>0</v>
      </c>
      <c r="G65">
        <f>[2]TongHop!G65</f>
        <v>0</v>
      </c>
      <c r="H65">
        <f>[2]TongHop!H65</f>
        <v>0</v>
      </c>
      <c r="I65">
        <f>[2]TongHop!I65</f>
        <v>0</v>
      </c>
      <c r="J65">
        <f>[2]TongHop!J65</f>
        <v>0</v>
      </c>
      <c r="K65">
        <f>[2]TongHop!K65</f>
        <v>0</v>
      </c>
      <c r="L65">
        <f>[2]TongHop!L65</f>
        <v>0</v>
      </c>
      <c r="M65">
        <f>[2]TongHop!M65</f>
        <v>0</v>
      </c>
      <c r="N65">
        <f>[2]TongHop!N65</f>
        <v>0</v>
      </c>
    </row>
    <row r="66" spans="1:14">
      <c r="A66">
        <f>[2]TongHop!A66</f>
        <v>0</v>
      </c>
      <c r="B66">
        <f>[2]TongHop!B66</f>
        <v>0</v>
      </c>
      <c r="C66">
        <f>[2]TongHop!C66</f>
        <v>0</v>
      </c>
      <c r="D66">
        <f>[2]TongHop!D66</f>
        <v>0</v>
      </c>
      <c r="E66">
        <f>[2]TongHop!E66</f>
        <v>0</v>
      </c>
      <c r="F66">
        <f>[2]TongHop!F66</f>
        <v>0</v>
      </c>
      <c r="G66">
        <f>[2]TongHop!G66</f>
        <v>0</v>
      </c>
      <c r="H66">
        <f>[2]TongHop!H66</f>
        <v>0</v>
      </c>
      <c r="I66">
        <f>[2]TongHop!I66</f>
        <v>0</v>
      </c>
      <c r="J66">
        <f>[2]TongHop!J66</f>
        <v>0</v>
      </c>
      <c r="K66">
        <f>[2]TongHop!K66</f>
        <v>0</v>
      </c>
      <c r="L66">
        <f>[2]TongHop!L66</f>
        <v>0</v>
      </c>
      <c r="M66">
        <f>[2]TongHop!M66</f>
        <v>0</v>
      </c>
      <c r="N66">
        <f>[2]TongHop!N66</f>
        <v>0</v>
      </c>
    </row>
    <row r="67" spans="1:14">
      <c r="A67">
        <f>[2]TongHop!A67</f>
        <v>0</v>
      </c>
      <c r="B67">
        <f>[2]TongHop!B67</f>
        <v>0</v>
      </c>
      <c r="C67">
        <f>[2]TongHop!C67</f>
        <v>0</v>
      </c>
      <c r="D67">
        <f>[2]TongHop!D67</f>
        <v>0</v>
      </c>
      <c r="E67">
        <f>[2]TongHop!E67</f>
        <v>0</v>
      </c>
      <c r="F67">
        <f>[2]TongHop!F67</f>
        <v>0</v>
      </c>
      <c r="G67">
        <f>[2]TongHop!G67</f>
        <v>0</v>
      </c>
      <c r="H67">
        <f>[2]TongHop!H67</f>
        <v>0</v>
      </c>
      <c r="I67">
        <f>[2]TongHop!I67</f>
        <v>0</v>
      </c>
      <c r="J67">
        <f>[2]TongHop!J67</f>
        <v>0</v>
      </c>
      <c r="K67">
        <f>[2]TongHop!K67</f>
        <v>0</v>
      </c>
      <c r="L67">
        <f>[2]TongHop!L67</f>
        <v>0</v>
      </c>
      <c r="M67">
        <f>[2]TongHop!M67</f>
        <v>0</v>
      </c>
      <c r="N67">
        <f>[2]TongHop!N67</f>
        <v>0</v>
      </c>
    </row>
    <row r="68" spans="1:14">
      <c r="A68">
        <f>[2]TongHop!A68</f>
        <v>0</v>
      </c>
      <c r="B68">
        <f>[2]TongHop!B68</f>
        <v>0</v>
      </c>
      <c r="C68">
        <f>[2]TongHop!C68</f>
        <v>0</v>
      </c>
      <c r="D68">
        <f>[2]TongHop!D68</f>
        <v>0</v>
      </c>
      <c r="E68">
        <f>[2]TongHop!E68</f>
        <v>0</v>
      </c>
      <c r="F68">
        <f>[2]TongHop!F68</f>
        <v>0</v>
      </c>
      <c r="G68">
        <f>[2]TongHop!G68</f>
        <v>0</v>
      </c>
      <c r="H68">
        <f>[2]TongHop!H68</f>
        <v>0</v>
      </c>
      <c r="I68">
        <f>[2]TongHop!I68</f>
        <v>0</v>
      </c>
      <c r="J68">
        <f>[2]TongHop!J68</f>
        <v>0</v>
      </c>
      <c r="K68">
        <f>[2]TongHop!K68</f>
        <v>0</v>
      </c>
      <c r="L68">
        <f>[2]TongHop!L68</f>
        <v>0</v>
      </c>
      <c r="M68">
        <f>[2]TongHop!M68</f>
        <v>0</v>
      </c>
      <c r="N68">
        <f>[2]TongHop!N68</f>
        <v>0</v>
      </c>
    </row>
    <row r="69" spans="1:14">
      <c r="A69">
        <f>[2]TongHop!A69</f>
        <v>0</v>
      </c>
      <c r="B69">
        <f>[2]TongHop!B69</f>
        <v>0</v>
      </c>
      <c r="C69">
        <f>[2]TongHop!C69</f>
        <v>0</v>
      </c>
      <c r="D69">
        <f>[2]TongHop!D69</f>
        <v>0</v>
      </c>
      <c r="E69">
        <f>[2]TongHop!E69</f>
        <v>0</v>
      </c>
      <c r="F69">
        <f>[2]TongHop!F69</f>
        <v>0</v>
      </c>
      <c r="G69">
        <f>[2]TongHop!G69</f>
        <v>0</v>
      </c>
      <c r="H69">
        <f>[2]TongHop!H69</f>
        <v>0</v>
      </c>
      <c r="I69">
        <f>[2]TongHop!I69</f>
        <v>0</v>
      </c>
      <c r="J69">
        <f>[2]TongHop!J69</f>
        <v>0</v>
      </c>
      <c r="K69">
        <f>[2]TongHop!K69</f>
        <v>0</v>
      </c>
      <c r="L69">
        <f>[2]TongHop!L69</f>
        <v>0</v>
      </c>
      <c r="M69">
        <f>[2]TongHop!M69</f>
        <v>0</v>
      </c>
      <c r="N69">
        <f>[2]TongHop!N69</f>
        <v>0</v>
      </c>
    </row>
    <row r="70" spans="1:14">
      <c r="A70">
        <f>[2]TongHop!A70</f>
        <v>0</v>
      </c>
      <c r="B70">
        <f>[2]TongHop!B70</f>
        <v>0</v>
      </c>
      <c r="C70">
        <f>[2]TongHop!C70</f>
        <v>0</v>
      </c>
      <c r="D70">
        <f>[2]TongHop!D70</f>
        <v>0</v>
      </c>
      <c r="E70">
        <f>[2]TongHop!E70</f>
        <v>0</v>
      </c>
      <c r="F70">
        <f>[2]TongHop!F70</f>
        <v>0</v>
      </c>
      <c r="G70">
        <f>[2]TongHop!G70</f>
        <v>0</v>
      </c>
      <c r="H70">
        <f>[2]TongHop!H70</f>
        <v>0</v>
      </c>
      <c r="I70">
        <f>[2]TongHop!I70</f>
        <v>0</v>
      </c>
      <c r="J70">
        <f>[2]TongHop!J70</f>
        <v>0</v>
      </c>
      <c r="K70">
        <f>[2]TongHop!K70</f>
        <v>0</v>
      </c>
      <c r="L70">
        <f>[2]TongHop!L70</f>
        <v>0</v>
      </c>
      <c r="M70">
        <f>[2]TongHop!M70</f>
        <v>0</v>
      </c>
      <c r="N70">
        <f>[2]TongHop!N70</f>
        <v>0</v>
      </c>
    </row>
    <row r="71" spans="1:14">
      <c r="A71">
        <f>[2]TongHop!A71</f>
        <v>0</v>
      </c>
      <c r="B71">
        <f>[2]TongHop!B71</f>
        <v>0</v>
      </c>
      <c r="C71">
        <f>[2]TongHop!C71</f>
        <v>0</v>
      </c>
      <c r="D71">
        <f>[2]TongHop!D71</f>
        <v>0</v>
      </c>
      <c r="E71">
        <f>[2]TongHop!E71</f>
        <v>0</v>
      </c>
      <c r="F71">
        <f>[2]TongHop!F71</f>
        <v>0</v>
      </c>
      <c r="G71">
        <f>[2]TongHop!G71</f>
        <v>0</v>
      </c>
      <c r="H71">
        <f>[2]TongHop!H71</f>
        <v>0</v>
      </c>
      <c r="I71">
        <f>[2]TongHop!I71</f>
        <v>0</v>
      </c>
      <c r="J71">
        <f>[2]TongHop!J71</f>
        <v>0</v>
      </c>
      <c r="K71">
        <f>[2]TongHop!K71</f>
        <v>0</v>
      </c>
      <c r="L71">
        <f>[2]TongHop!L71</f>
        <v>0</v>
      </c>
      <c r="M71">
        <f>[2]TongHop!M71</f>
        <v>0</v>
      </c>
      <c r="N71">
        <f>[2]TongHop!N71</f>
        <v>0</v>
      </c>
    </row>
    <row r="72" spans="1:14">
      <c r="A72">
        <f>[2]TongHop!A72</f>
        <v>0</v>
      </c>
      <c r="B72">
        <f>[2]TongHop!B72</f>
        <v>0</v>
      </c>
      <c r="C72">
        <f>[2]TongHop!C72</f>
        <v>0</v>
      </c>
      <c r="D72">
        <f>[2]TongHop!D72</f>
        <v>0</v>
      </c>
      <c r="E72">
        <f>[2]TongHop!E72</f>
        <v>0</v>
      </c>
      <c r="F72">
        <f>[2]TongHop!F72</f>
        <v>0</v>
      </c>
      <c r="G72">
        <f>[2]TongHop!G72</f>
        <v>0</v>
      </c>
      <c r="H72">
        <f>[2]TongHop!H72</f>
        <v>0</v>
      </c>
      <c r="I72">
        <f>[2]TongHop!I72</f>
        <v>0</v>
      </c>
      <c r="J72">
        <f>[2]TongHop!J72</f>
        <v>0</v>
      </c>
      <c r="K72">
        <f>[2]TongHop!K72</f>
        <v>0</v>
      </c>
      <c r="L72">
        <f>[2]TongHop!L72</f>
        <v>0</v>
      </c>
      <c r="M72">
        <f>[2]TongHop!M72</f>
        <v>0</v>
      </c>
      <c r="N72">
        <f>[2]TongHop!N72</f>
        <v>0</v>
      </c>
    </row>
    <row r="73" spans="1:14">
      <c r="A73">
        <f>[2]TongHop!A73</f>
        <v>0</v>
      </c>
      <c r="B73">
        <f>[2]TongHop!B73</f>
        <v>0</v>
      </c>
      <c r="C73">
        <f>[2]TongHop!C73</f>
        <v>0</v>
      </c>
      <c r="D73">
        <f>[2]TongHop!D73</f>
        <v>0</v>
      </c>
      <c r="E73">
        <f>[2]TongHop!E73</f>
        <v>0</v>
      </c>
      <c r="F73">
        <f>[2]TongHop!F73</f>
        <v>0</v>
      </c>
      <c r="G73">
        <f>[2]TongHop!G73</f>
        <v>0</v>
      </c>
      <c r="H73">
        <f>[2]TongHop!H73</f>
        <v>0</v>
      </c>
      <c r="I73">
        <f>[2]TongHop!I73</f>
        <v>0</v>
      </c>
      <c r="J73">
        <f>[2]TongHop!J73</f>
        <v>0</v>
      </c>
      <c r="K73">
        <f>[2]TongHop!K73</f>
        <v>0</v>
      </c>
      <c r="L73">
        <f>[2]TongHop!L73</f>
        <v>0</v>
      </c>
      <c r="M73">
        <f>[2]TongHop!M73</f>
        <v>0</v>
      </c>
      <c r="N73">
        <f>[2]TongHop!N73</f>
        <v>0</v>
      </c>
    </row>
    <row r="74" spans="1:14">
      <c r="A74">
        <f>[2]TongHop!A74</f>
        <v>0</v>
      </c>
      <c r="B74">
        <f>[2]TongHop!B74</f>
        <v>0</v>
      </c>
      <c r="C74">
        <f>[2]TongHop!C74</f>
        <v>0</v>
      </c>
      <c r="D74">
        <f>[2]TongHop!D74</f>
        <v>0</v>
      </c>
      <c r="E74">
        <f>[2]TongHop!E74</f>
        <v>0</v>
      </c>
      <c r="F74">
        <f>[2]TongHop!F74</f>
        <v>0</v>
      </c>
      <c r="G74">
        <f>[2]TongHop!G74</f>
        <v>0</v>
      </c>
      <c r="H74">
        <f>[2]TongHop!H74</f>
        <v>0</v>
      </c>
      <c r="I74">
        <f>[2]TongHop!I74</f>
        <v>0</v>
      </c>
      <c r="J74">
        <f>[2]TongHop!J74</f>
        <v>0</v>
      </c>
      <c r="K74">
        <f>[2]TongHop!K74</f>
        <v>0</v>
      </c>
      <c r="L74">
        <f>[2]TongHop!L74</f>
        <v>0</v>
      </c>
      <c r="M74">
        <f>[2]TongHop!M74</f>
        <v>0</v>
      </c>
      <c r="N74">
        <f>[2]TongHop!N74</f>
        <v>0</v>
      </c>
    </row>
    <row r="75" spans="1:14">
      <c r="A75">
        <f>[2]TongHop!A75</f>
        <v>0</v>
      </c>
      <c r="B75">
        <f>[2]TongHop!B75</f>
        <v>0</v>
      </c>
      <c r="C75">
        <f>[2]TongHop!C75</f>
        <v>0</v>
      </c>
      <c r="D75">
        <f>[2]TongHop!D75</f>
        <v>0</v>
      </c>
      <c r="E75">
        <f>[2]TongHop!E75</f>
        <v>0</v>
      </c>
      <c r="F75">
        <f>[2]TongHop!F75</f>
        <v>0</v>
      </c>
      <c r="G75">
        <f>[2]TongHop!G75</f>
        <v>0</v>
      </c>
      <c r="H75">
        <f>[2]TongHop!H75</f>
        <v>0</v>
      </c>
      <c r="I75">
        <f>[2]TongHop!I75</f>
        <v>0</v>
      </c>
      <c r="J75">
        <f>[2]TongHop!J75</f>
        <v>0</v>
      </c>
      <c r="K75">
        <f>[2]TongHop!K75</f>
        <v>0</v>
      </c>
      <c r="L75">
        <f>[2]TongHop!L75</f>
        <v>0</v>
      </c>
      <c r="M75">
        <f>[2]TongHop!M75</f>
        <v>0</v>
      </c>
      <c r="N75">
        <f>[2]TongHop!N75</f>
        <v>0</v>
      </c>
    </row>
    <row r="76" spans="1:14">
      <c r="A76">
        <f>[2]TongHop!A76</f>
        <v>0</v>
      </c>
      <c r="B76">
        <f>[2]TongHop!B76</f>
        <v>0</v>
      </c>
      <c r="C76">
        <f>[2]TongHop!C76</f>
        <v>0</v>
      </c>
      <c r="D76">
        <f>[2]TongHop!D76</f>
        <v>0</v>
      </c>
      <c r="E76">
        <f>[2]TongHop!E76</f>
        <v>0</v>
      </c>
      <c r="F76">
        <f>[2]TongHop!F76</f>
        <v>0</v>
      </c>
      <c r="G76">
        <f>[2]TongHop!G76</f>
        <v>0</v>
      </c>
      <c r="H76">
        <f>[2]TongHop!H76</f>
        <v>0</v>
      </c>
      <c r="I76">
        <f>[2]TongHop!I76</f>
        <v>0</v>
      </c>
      <c r="J76">
        <f>[2]TongHop!J76</f>
        <v>0</v>
      </c>
      <c r="K76">
        <f>[2]TongHop!K76</f>
        <v>0</v>
      </c>
      <c r="L76">
        <f>[2]TongHop!L76</f>
        <v>0</v>
      </c>
      <c r="M76">
        <f>[2]TongHop!M76</f>
        <v>0</v>
      </c>
      <c r="N76">
        <f>[2]TongHop!N76</f>
        <v>0</v>
      </c>
    </row>
    <row r="77" spans="1:14">
      <c r="A77">
        <f>[2]TongHop!A77</f>
        <v>0</v>
      </c>
      <c r="B77">
        <f>[2]TongHop!B77</f>
        <v>0</v>
      </c>
      <c r="C77">
        <f>[2]TongHop!C77</f>
        <v>0</v>
      </c>
      <c r="D77">
        <f>[2]TongHop!D77</f>
        <v>0</v>
      </c>
      <c r="E77">
        <f>[2]TongHop!E77</f>
        <v>0</v>
      </c>
      <c r="F77">
        <f>[2]TongHop!F77</f>
        <v>0</v>
      </c>
      <c r="G77">
        <f>[2]TongHop!G77</f>
        <v>0</v>
      </c>
      <c r="H77">
        <f>[2]TongHop!H77</f>
        <v>0</v>
      </c>
      <c r="I77">
        <f>[2]TongHop!I77</f>
        <v>0</v>
      </c>
      <c r="J77">
        <f>[2]TongHop!J77</f>
        <v>0</v>
      </c>
      <c r="K77">
        <f>[2]TongHop!K77</f>
        <v>0</v>
      </c>
      <c r="L77">
        <f>[2]TongHop!L77</f>
        <v>0</v>
      </c>
      <c r="M77">
        <f>[2]TongHop!M77</f>
        <v>0</v>
      </c>
      <c r="N77">
        <f>[2]TongHop!N77</f>
        <v>0</v>
      </c>
    </row>
    <row r="78" spans="1:14">
      <c r="A78">
        <f>[2]TongHop!A78</f>
        <v>0</v>
      </c>
      <c r="B78">
        <f>[2]TongHop!B78</f>
        <v>0</v>
      </c>
      <c r="C78">
        <f>[2]TongHop!C78</f>
        <v>0</v>
      </c>
      <c r="D78">
        <f>[2]TongHop!D78</f>
        <v>0</v>
      </c>
      <c r="E78">
        <f>[2]TongHop!E78</f>
        <v>0</v>
      </c>
      <c r="F78">
        <f>[2]TongHop!F78</f>
        <v>0</v>
      </c>
      <c r="G78">
        <f>[2]TongHop!G78</f>
        <v>0</v>
      </c>
      <c r="H78">
        <f>[2]TongHop!H78</f>
        <v>0</v>
      </c>
      <c r="I78">
        <f>[2]TongHop!I78</f>
        <v>0</v>
      </c>
      <c r="J78">
        <f>[2]TongHop!J78</f>
        <v>0</v>
      </c>
      <c r="K78">
        <f>[2]TongHop!K78</f>
        <v>0</v>
      </c>
      <c r="L78">
        <f>[2]TongHop!L78</f>
        <v>0</v>
      </c>
      <c r="M78">
        <f>[2]TongHop!M78</f>
        <v>0</v>
      </c>
      <c r="N78">
        <f>[2]TongHop!N78</f>
        <v>0</v>
      </c>
    </row>
    <row r="79" spans="1:14">
      <c r="A79">
        <f>[2]TongHop!A79</f>
        <v>0</v>
      </c>
      <c r="B79">
        <f>[2]TongHop!B79</f>
        <v>0</v>
      </c>
      <c r="C79">
        <f>[2]TongHop!C79</f>
        <v>0</v>
      </c>
      <c r="D79">
        <f>[2]TongHop!D79</f>
        <v>0</v>
      </c>
      <c r="E79">
        <f>[2]TongHop!E79</f>
        <v>0</v>
      </c>
      <c r="F79">
        <f>[2]TongHop!F79</f>
        <v>0</v>
      </c>
      <c r="G79">
        <f>[2]TongHop!G79</f>
        <v>0</v>
      </c>
      <c r="H79">
        <f>[2]TongHop!H79</f>
        <v>0</v>
      </c>
      <c r="I79">
        <f>[2]TongHop!I79</f>
        <v>0</v>
      </c>
      <c r="J79">
        <f>[2]TongHop!J79</f>
        <v>0</v>
      </c>
      <c r="K79">
        <f>[2]TongHop!K79</f>
        <v>0</v>
      </c>
      <c r="L79">
        <f>[2]TongHop!L79</f>
        <v>0</v>
      </c>
      <c r="M79">
        <f>[2]TongHop!M79</f>
        <v>0</v>
      </c>
      <c r="N79">
        <f>[2]TongHop!N79</f>
        <v>0</v>
      </c>
    </row>
    <row r="80" spans="1:14">
      <c r="A80">
        <f>[2]TongHop!A80</f>
        <v>0</v>
      </c>
      <c r="B80">
        <f>[2]TongHop!B80</f>
        <v>0</v>
      </c>
      <c r="C80">
        <f>[2]TongHop!C80</f>
        <v>0</v>
      </c>
      <c r="D80">
        <f>[2]TongHop!D80</f>
        <v>0</v>
      </c>
      <c r="E80">
        <f>[2]TongHop!E80</f>
        <v>0</v>
      </c>
      <c r="F80">
        <f>[2]TongHop!F80</f>
        <v>0</v>
      </c>
      <c r="G80">
        <f>[2]TongHop!G80</f>
        <v>0</v>
      </c>
      <c r="H80">
        <f>[2]TongHop!H80</f>
        <v>0</v>
      </c>
      <c r="I80">
        <f>[2]TongHop!I80</f>
        <v>0</v>
      </c>
      <c r="J80">
        <f>[2]TongHop!J80</f>
        <v>0</v>
      </c>
      <c r="K80">
        <f>[2]TongHop!K80</f>
        <v>0</v>
      </c>
      <c r="L80">
        <f>[2]TongHop!L80</f>
        <v>0</v>
      </c>
      <c r="M80">
        <f>[2]TongHop!M80</f>
        <v>0</v>
      </c>
      <c r="N80">
        <f>[2]TongHop!N80</f>
        <v>0</v>
      </c>
    </row>
    <row r="81" spans="1:14">
      <c r="A81">
        <f>[2]TongHop!A81</f>
        <v>0</v>
      </c>
      <c r="B81">
        <f>[2]TongHop!B81</f>
        <v>0</v>
      </c>
      <c r="C81">
        <f>[2]TongHop!C81</f>
        <v>0</v>
      </c>
      <c r="D81">
        <f>[2]TongHop!D81</f>
        <v>0</v>
      </c>
      <c r="E81">
        <f>[2]TongHop!E81</f>
        <v>0</v>
      </c>
      <c r="F81">
        <f>[2]TongHop!F81</f>
        <v>0</v>
      </c>
      <c r="G81">
        <f>[2]TongHop!G81</f>
        <v>0</v>
      </c>
      <c r="H81">
        <f>[2]TongHop!H81</f>
        <v>0</v>
      </c>
      <c r="I81">
        <f>[2]TongHop!I81</f>
        <v>0</v>
      </c>
      <c r="J81">
        <f>[2]TongHop!J81</f>
        <v>0</v>
      </c>
      <c r="K81">
        <f>[2]TongHop!K81</f>
        <v>0</v>
      </c>
      <c r="L81">
        <f>[2]TongHop!L81</f>
        <v>0</v>
      </c>
      <c r="M81">
        <f>[2]TongHop!M81</f>
        <v>0</v>
      </c>
      <c r="N81">
        <f>[2]TongHop!N81</f>
        <v>0</v>
      </c>
    </row>
    <row r="82" spans="1:14">
      <c r="A82">
        <f>[2]TongHop!A82</f>
        <v>0</v>
      </c>
      <c r="B82">
        <f>[2]TongHop!B82</f>
        <v>0</v>
      </c>
      <c r="C82">
        <f>[2]TongHop!C82</f>
        <v>0</v>
      </c>
      <c r="D82">
        <f>[2]TongHop!D82</f>
        <v>0</v>
      </c>
      <c r="E82">
        <f>[2]TongHop!E82</f>
        <v>0</v>
      </c>
      <c r="F82">
        <f>[2]TongHop!F82</f>
        <v>0</v>
      </c>
      <c r="G82">
        <f>[2]TongHop!G82</f>
        <v>0</v>
      </c>
      <c r="H82">
        <f>[2]TongHop!H82</f>
        <v>0</v>
      </c>
      <c r="I82">
        <f>[2]TongHop!I82</f>
        <v>0</v>
      </c>
      <c r="J82">
        <f>[2]TongHop!J82</f>
        <v>0</v>
      </c>
      <c r="K82">
        <f>[2]TongHop!K82</f>
        <v>0</v>
      </c>
      <c r="L82">
        <f>[2]TongHop!L82</f>
        <v>0</v>
      </c>
      <c r="M82">
        <f>[2]TongHop!M82</f>
        <v>0</v>
      </c>
      <c r="N82">
        <f>[2]TongHop!N82</f>
        <v>0</v>
      </c>
    </row>
    <row r="83" spans="1:14">
      <c r="A83">
        <f>[2]TongHop!A83</f>
        <v>0</v>
      </c>
      <c r="B83">
        <f>[2]TongHop!B83</f>
        <v>0</v>
      </c>
      <c r="C83">
        <f>[2]TongHop!C83</f>
        <v>0</v>
      </c>
      <c r="D83">
        <f>[2]TongHop!D83</f>
        <v>0</v>
      </c>
      <c r="E83">
        <f>[2]TongHop!E83</f>
        <v>0</v>
      </c>
      <c r="F83">
        <f>[2]TongHop!F83</f>
        <v>0</v>
      </c>
      <c r="G83">
        <f>[2]TongHop!G83</f>
        <v>0</v>
      </c>
      <c r="H83">
        <f>[2]TongHop!H83</f>
        <v>0</v>
      </c>
      <c r="I83">
        <f>[2]TongHop!I83</f>
        <v>0</v>
      </c>
      <c r="J83">
        <f>[2]TongHop!J83</f>
        <v>0</v>
      </c>
      <c r="K83">
        <f>[2]TongHop!K83</f>
        <v>0</v>
      </c>
      <c r="L83">
        <f>[2]TongHop!L83</f>
        <v>0</v>
      </c>
      <c r="M83">
        <f>[2]TongHop!M83</f>
        <v>0</v>
      </c>
      <c r="N83">
        <f>[2]TongHop!N83</f>
        <v>0</v>
      </c>
    </row>
    <row r="84" spans="1:14">
      <c r="A84">
        <f>[2]TongHop!A84</f>
        <v>0</v>
      </c>
      <c r="B84">
        <f>[2]TongHop!B84</f>
        <v>0</v>
      </c>
      <c r="C84">
        <f>[2]TongHop!C84</f>
        <v>0</v>
      </c>
      <c r="D84">
        <f>[2]TongHop!D84</f>
        <v>0</v>
      </c>
      <c r="E84">
        <f>[2]TongHop!E84</f>
        <v>0</v>
      </c>
      <c r="F84">
        <f>[2]TongHop!F84</f>
        <v>0</v>
      </c>
      <c r="G84">
        <f>[2]TongHop!G84</f>
        <v>0</v>
      </c>
      <c r="H84">
        <f>[2]TongHop!H84</f>
        <v>0</v>
      </c>
      <c r="I84">
        <f>[2]TongHop!I84</f>
        <v>0</v>
      </c>
      <c r="J84">
        <f>[2]TongHop!J84</f>
        <v>0</v>
      </c>
      <c r="K84">
        <f>[2]TongHop!K84</f>
        <v>0</v>
      </c>
      <c r="L84">
        <f>[2]TongHop!L84</f>
        <v>0</v>
      </c>
      <c r="M84">
        <f>[2]TongHop!M84</f>
        <v>0</v>
      </c>
      <c r="N84">
        <f>[2]TongHop!N84</f>
        <v>0</v>
      </c>
    </row>
    <row r="85" spans="1:14">
      <c r="A85">
        <f>[2]TongHop!A85</f>
        <v>0</v>
      </c>
      <c r="B85">
        <f>[2]TongHop!B85</f>
        <v>0</v>
      </c>
      <c r="C85">
        <f>[2]TongHop!C85</f>
        <v>0</v>
      </c>
      <c r="D85">
        <f>[2]TongHop!D85</f>
        <v>0</v>
      </c>
      <c r="E85">
        <f>[2]TongHop!E85</f>
        <v>0</v>
      </c>
      <c r="F85">
        <f>[2]TongHop!F85</f>
        <v>0</v>
      </c>
      <c r="G85">
        <f>[2]TongHop!G85</f>
        <v>0</v>
      </c>
      <c r="H85">
        <f>[2]TongHop!H85</f>
        <v>0</v>
      </c>
      <c r="I85">
        <f>[2]TongHop!I85</f>
        <v>0</v>
      </c>
      <c r="J85">
        <f>[2]TongHop!J85</f>
        <v>0</v>
      </c>
      <c r="K85">
        <f>[2]TongHop!K85</f>
        <v>0</v>
      </c>
      <c r="L85">
        <f>[2]TongHop!L85</f>
        <v>0</v>
      </c>
      <c r="M85">
        <f>[2]TongHop!M85</f>
        <v>0</v>
      </c>
      <c r="N85">
        <f>[2]TongHop!N85</f>
        <v>0</v>
      </c>
    </row>
    <row r="86" spans="1:14">
      <c r="A86">
        <f>[2]TongHop!A86</f>
        <v>0</v>
      </c>
      <c r="B86">
        <f>[2]TongHop!B86</f>
        <v>0</v>
      </c>
      <c r="C86">
        <f>[2]TongHop!C86</f>
        <v>0</v>
      </c>
      <c r="D86">
        <f>[2]TongHop!D86</f>
        <v>0</v>
      </c>
      <c r="E86">
        <f>[2]TongHop!E86</f>
        <v>0</v>
      </c>
      <c r="F86">
        <f>[2]TongHop!F86</f>
        <v>0</v>
      </c>
      <c r="G86">
        <f>[2]TongHop!G86</f>
        <v>0</v>
      </c>
      <c r="H86">
        <f>[2]TongHop!H86</f>
        <v>0</v>
      </c>
      <c r="I86">
        <f>[2]TongHop!I86</f>
        <v>0</v>
      </c>
      <c r="J86">
        <f>[2]TongHop!J86</f>
        <v>0</v>
      </c>
      <c r="K86">
        <f>[2]TongHop!K86</f>
        <v>0</v>
      </c>
      <c r="L86">
        <f>[2]TongHop!L86</f>
        <v>0</v>
      </c>
      <c r="M86">
        <f>[2]TongHop!M86</f>
        <v>0</v>
      </c>
      <c r="N86">
        <f>[2]TongHop!N86</f>
        <v>0</v>
      </c>
    </row>
    <row r="87" spans="1:14">
      <c r="A87">
        <f>[2]TongHop!A87</f>
        <v>0</v>
      </c>
      <c r="B87">
        <f>[2]TongHop!B87</f>
        <v>0</v>
      </c>
      <c r="C87">
        <f>[2]TongHop!C87</f>
        <v>0</v>
      </c>
      <c r="D87">
        <f>[2]TongHop!D87</f>
        <v>0</v>
      </c>
      <c r="E87">
        <f>[2]TongHop!E87</f>
        <v>0</v>
      </c>
      <c r="F87">
        <f>[2]TongHop!F87</f>
        <v>0</v>
      </c>
      <c r="G87">
        <f>[2]TongHop!G87</f>
        <v>0</v>
      </c>
      <c r="H87">
        <f>[2]TongHop!H87</f>
        <v>0</v>
      </c>
      <c r="I87">
        <f>[2]TongHop!I87</f>
        <v>0</v>
      </c>
      <c r="J87">
        <f>[2]TongHop!J87</f>
        <v>0</v>
      </c>
      <c r="K87">
        <f>[2]TongHop!K87</f>
        <v>0</v>
      </c>
      <c r="L87">
        <f>[2]TongHop!L87</f>
        <v>0</v>
      </c>
      <c r="M87">
        <f>[2]TongHop!M87</f>
        <v>0</v>
      </c>
      <c r="N87">
        <f>[2]TongHop!N87</f>
        <v>0</v>
      </c>
    </row>
    <row r="88" spans="1:14">
      <c r="A88">
        <f>[2]TongHop!A88</f>
        <v>0</v>
      </c>
      <c r="B88">
        <f>[2]TongHop!B88</f>
        <v>0</v>
      </c>
      <c r="C88">
        <f>[2]TongHop!C88</f>
        <v>0</v>
      </c>
      <c r="D88">
        <f>[2]TongHop!D88</f>
        <v>0</v>
      </c>
      <c r="E88">
        <f>[2]TongHop!E88</f>
        <v>0</v>
      </c>
      <c r="F88">
        <f>[2]TongHop!F88</f>
        <v>0</v>
      </c>
      <c r="G88">
        <f>[2]TongHop!G88</f>
        <v>0</v>
      </c>
      <c r="H88">
        <f>[2]TongHop!H88</f>
        <v>0</v>
      </c>
      <c r="I88">
        <f>[2]TongHop!I88</f>
        <v>0</v>
      </c>
      <c r="J88">
        <f>[2]TongHop!J88</f>
        <v>0</v>
      </c>
      <c r="K88">
        <f>[2]TongHop!K88</f>
        <v>0</v>
      </c>
      <c r="L88">
        <f>[2]TongHop!L88</f>
        <v>0</v>
      </c>
      <c r="M88">
        <f>[2]TongHop!M88</f>
        <v>0</v>
      </c>
      <c r="N88">
        <f>[2]TongHop!N88</f>
        <v>0</v>
      </c>
    </row>
    <row r="89" spans="1:14">
      <c r="A89">
        <f>[2]TongHop!A89</f>
        <v>0</v>
      </c>
      <c r="B89">
        <f>[2]TongHop!B89</f>
        <v>0</v>
      </c>
      <c r="C89">
        <f>[2]TongHop!C89</f>
        <v>0</v>
      </c>
      <c r="D89">
        <f>[2]TongHop!D89</f>
        <v>0</v>
      </c>
      <c r="E89">
        <f>[2]TongHop!E89</f>
        <v>0</v>
      </c>
      <c r="F89">
        <f>[2]TongHop!F89</f>
        <v>0</v>
      </c>
      <c r="G89">
        <f>[2]TongHop!G89</f>
        <v>0</v>
      </c>
      <c r="H89">
        <f>[2]TongHop!H89</f>
        <v>0</v>
      </c>
      <c r="I89">
        <f>[2]TongHop!I89</f>
        <v>0</v>
      </c>
      <c r="J89">
        <f>[2]TongHop!J89</f>
        <v>0</v>
      </c>
      <c r="K89">
        <f>[2]TongHop!K89</f>
        <v>0</v>
      </c>
      <c r="L89">
        <f>[2]TongHop!L89</f>
        <v>0</v>
      </c>
      <c r="M89">
        <f>[2]TongHop!M89</f>
        <v>0</v>
      </c>
      <c r="N89">
        <f>[2]TongHop!N89</f>
        <v>0</v>
      </c>
    </row>
    <row r="90" spans="1:14">
      <c r="A90">
        <f>[2]TongHop!A90</f>
        <v>0</v>
      </c>
      <c r="B90">
        <f>[2]TongHop!B90</f>
        <v>0</v>
      </c>
      <c r="C90">
        <f>[2]TongHop!C90</f>
        <v>0</v>
      </c>
      <c r="D90">
        <f>[2]TongHop!D90</f>
        <v>0</v>
      </c>
      <c r="E90">
        <f>[2]TongHop!E90</f>
        <v>0</v>
      </c>
      <c r="F90">
        <f>[2]TongHop!F90</f>
        <v>0</v>
      </c>
      <c r="G90">
        <f>[2]TongHop!G90</f>
        <v>0</v>
      </c>
      <c r="H90">
        <f>[2]TongHop!H90</f>
        <v>0</v>
      </c>
      <c r="I90">
        <f>[2]TongHop!I90</f>
        <v>0</v>
      </c>
      <c r="J90">
        <f>[2]TongHop!J90</f>
        <v>0</v>
      </c>
      <c r="K90">
        <f>[2]TongHop!K90</f>
        <v>0</v>
      </c>
      <c r="L90">
        <f>[2]TongHop!L90</f>
        <v>0</v>
      </c>
      <c r="M90">
        <f>[2]TongHop!M90</f>
        <v>0</v>
      </c>
      <c r="N90">
        <f>[2]TongHop!N90</f>
        <v>0</v>
      </c>
    </row>
    <row r="91" spans="1:14">
      <c r="A91">
        <f>[2]TongHop!A91</f>
        <v>0</v>
      </c>
      <c r="B91">
        <f>[2]TongHop!B91</f>
        <v>0</v>
      </c>
      <c r="C91">
        <f>[2]TongHop!C91</f>
        <v>0</v>
      </c>
      <c r="D91">
        <f>[2]TongHop!D91</f>
        <v>0</v>
      </c>
      <c r="E91">
        <f>[2]TongHop!E91</f>
        <v>0</v>
      </c>
      <c r="F91">
        <f>[2]TongHop!F91</f>
        <v>0</v>
      </c>
      <c r="G91">
        <f>[2]TongHop!G91</f>
        <v>0</v>
      </c>
      <c r="H91">
        <f>[2]TongHop!H91</f>
        <v>0</v>
      </c>
      <c r="I91">
        <f>[2]TongHop!I91</f>
        <v>0</v>
      </c>
      <c r="J91">
        <f>[2]TongHop!J91</f>
        <v>0</v>
      </c>
      <c r="K91">
        <f>[2]TongHop!K91</f>
        <v>0</v>
      </c>
      <c r="L91">
        <f>[2]TongHop!L91</f>
        <v>0</v>
      </c>
      <c r="M91">
        <f>[2]TongHop!M91</f>
        <v>0</v>
      </c>
      <c r="N91">
        <f>[2]TongHop!N91</f>
        <v>0</v>
      </c>
    </row>
    <row r="92" spans="1:14">
      <c r="A92">
        <f>[2]TongHop!A92</f>
        <v>0</v>
      </c>
      <c r="B92">
        <f>[2]TongHop!B92</f>
        <v>0</v>
      </c>
      <c r="C92">
        <f>[2]TongHop!C92</f>
        <v>0</v>
      </c>
      <c r="D92">
        <f>[2]TongHop!D92</f>
        <v>0</v>
      </c>
      <c r="E92">
        <f>[2]TongHop!E92</f>
        <v>0</v>
      </c>
      <c r="F92">
        <f>[2]TongHop!F92</f>
        <v>0</v>
      </c>
      <c r="G92">
        <f>[2]TongHop!G92</f>
        <v>0</v>
      </c>
      <c r="H92">
        <f>[2]TongHop!H92</f>
        <v>0</v>
      </c>
      <c r="I92">
        <f>[2]TongHop!I92</f>
        <v>0</v>
      </c>
      <c r="J92">
        <f>[2]TongHop!J92</f>
        <v>0</v>
      </c>
      <c r="K92">
        <f>[2]TongHop!K92</f>
        <v>0</v>
      </c>
      <c r="L92">
        <f>[2]TongHop!L92</f>
        <v>0</v>
      </c>
      <c r="M92">
        <f>[2]TongHop!M92</f>
        <v>0</v>
      </c>
      <c r="N92">
        <f>[2]TongHop!N92</f>
        <v>0</v>
      </c>
    </row>
    <row r="93" spans="1:14">
      <c r="A93">
        <f>[2]TongHop!A93</f>
        <v>0</v>
      </c>
      <c r="B93">
        <f>[2]TongHop!B93</f>
        <v>0</v>
      </c>
      <c r="C93">
        <f>[2]TongHop!C93</f>
        <v>0</v>
      </c>
      <c r="D93">
        <f>[2]TongHop!D93</f>
        <v>0</v>
      </c>
      <c r="E93">
        <f>[2]TongHop!E93</f>
        <v>0</v>
      </c>
      <c r="F93">
        <f>[2]TongHop!F93</f>
        <v>0</v>
      </c>
      <c r="G93">
        <f>[2]TongHop!G93</f>
        <v>0</v>
      </c>
      <c r="H93">
        <f>[2]TongHop!H93</f>
        <v>0</v>
      </c>
      <c r="I93">
        <f>[2]TongHop!I93</f>
        <v>0</v>
      </c>
      <c r="J93">
        <f>[2]TongHop!J93</f>
        <v>0</v>
      </c>
      <c r="K93">
        <f>[2]TongHop!K93</f>
        <v>0</v>
      </c>
      <c r="L93">
        <f>[2]TongHop!L93</f>
        <v>0</v>
      </c>
      <c r="M93">
        <f>[2]TongHop!M93</f>
        <v>0</v>
      </c>
      <c r="N93">
        <f>[2]TongHop!N93</f>
        <v>0</v>
      </c>
    </row>
    <row r="94" spans="1:14">
      <c r="A94">
        <f>[2]TongHop!A94</f>
        <v>0</v>
      </c>
      <c r="B94">
        <f>[2]TongHop!B94</f>
        <v>0</v>
      </c>
      <c r="C94">
        <f>[2]TongHop!C94</f>
        <v>0</v>
      </c>
      <c r="D94">
        <f>[2]TongHop!D94</f>
        <v>0</v>
      </c>
      <c r="E94">
        <f>[2]TongHop!E94</f>
        <v>0</v>
      </c>
      <c r="F94">
        <f>[2]TongHop!F94</f>
        <v>0</v>
      </c>
      <c r="G94">
        <f>[2]TongHop!G94</f>
        <v>0</v>
      </c>
      <c r="H94">
        <f>[2]TongHop!H94</f>
        <v>0</v>
      </c>
      <c r="I94">
        <f>[2]TongHop!I94</f>
        <v>0</v>
      </c>
      <c r="J94">
        <f>[2]TongHop!J94</f>
        <v>0</v>
      </c>
      <c r="K94">
        <f>[2]TongHop!K94</f>
        <v>0</v>
      </c>
      <c r="L94">
        <f>[2]TongHop!L94</f>
        <v>0</v>
      </c>
      <c r="M94">
        <f>[2]TongHop!M94</f>
        <v>0</v>
      </c>
      <c r="N94">
        <f>[2]TongHop!N94</f>
        <v>0</v>
      </c>
    </row>
    <row r="95" spans="1:14">
      <c r="A95">
        <f>[2]TongHop!A95</f>
        <v>0</v>
      </c>
      <c r="B95">
        <f>[2]TongHop!B95</f>
        <v>0</v>
      </c>
      <c r="C95">
        <f>[2]TongHop!C95</f>
        <v>0</v>
      </c>
      <c r="D95">
        <f>[2]TongHop!D95</f>
        <v>0</v>
      </c>
      <c r="E95">
        <f>[2]TongHop!E95</f>
        <v>0</v>
      </c>
      <c r="F95">
        <f>[2]TongHop!F95</f>
        <v>0</v>
      </c>
      <c r="G95">
        <f>[2]TongHop!G95</f>
        <v>0</v>
      </c>
      <c r="H95">
        <f>[2]TongHop!H95</f>
        <v>0</v>
      </c>
      <c r="I95">
        <f>[2]TongHop!I95</f>
        <v>0</v>
      </c>
      <c r="J95">
        <f>[2]TongHop!J95</f>
        <v>0</v>
      </c>
      <c r="K95">
        <f>[2]TongHop!K95</f>
        <v>0</v>
      </c>
      <c r="L95">
        <f>[2]TongHop!L95</f>
        <v>0</v>
      </c>
      <c r="M95">
        <f>[2]TongHop!M95</f>
        <v>0</v>
      </c>
      <c r="N95">
        <f>[2]TongHop!N95</f>
        <v>0</v>
      </c>
    </row>
    <row r="96" spans="1:14">
      <c r="A96">
        <f>[2]TongHop!A96</f>
        <v>0</v>
      </c>
      <c r="B96">
        <f>[2]TongHop!B96</f>
        <v>0</v>
      </c>
      <c r="C96">
        <f>[2]TongHop!C96</f>
        <v>0</v>
      </c>
      <c r="D96">
        <f>[2]TongHop!D96</f>
        <v>0</v>
      </c>
      <c r="E96">
        <f>[2]TongHop!E96</f>
        <v>0</v>
      </c>
      <c r="F96">
        <f>[2]TongHop!F96</f>
        <v>0</v>
      </c>
      <c r="G96">
        <f>[2]TongHop!G96</f>
        <v>0</v>
      </c>
      <c r="H96">
        <f>[2]TongHop!H96</f>
        <v>0</v>
      </c>
      <c r="I96">
        <f>[2]TongHop!I96</f>
        <v>0</v>
      </c>
      <c r="J96">
        <f>[2]TongHop!J96</f>
        <v>0</v>
      </c>
      <c r="K96">
        <f>[2]TongHop!K96</f>
        <v>0</v>
      </c>
      <c r="L96">
        <f>[2]TongHop!L96</f>
        <v>0</v>
      </c>
      <c r="M96">
        <f>[2]TongHop!M96</f>
        <v>0</v>
      </c>
      <c r="N96">
        <f>[2]TongHop!N96</f>
        <v>0</v>
      </c>
    </row>
    <row r="97" spans="1:14">
      <c r="A97">
        <f>[2]TongHop!A97</f>
        <v>0</v>
      </c>
      <c r="B97">
        <f>[2]TongHop!B97</f>
        <v>0</v>
      </c>
      <c r="C97">
        <f>[2]TongHop!C97</f>
        <v>0</v>
      </c>
      <c r="D97">
        <f>[2]TongHop!D97</f>
        <v>0</v>
      </c>
      <c r="E97">
        <f>[2]TongHop!E97</f>
        <v>0</v>
      </c>
      <c r="F97">
        <f>[2]TongHop!F97</f>
        <v>0</v>
      </c>
      <c r="G97">
        <f>[2]TongHop!G97</f>
        <v>0</v>
      </c>
      <c r="H97">
        <f>[2]TongHop!H97</f>
        <v>0</v>
      </c>
      <c r="I97">
        <f>[2]TongHop!I97</f>
        <v>0</v>
      </c>
      <c r="J97">
        <f>[2]TongHop!J97</f>
        <v>0</v>
      </c>
      <c r="K97">
        <f>[2]TongHop!K97</f>
        <v>0</v>
      </c>
      <c r="L97">
        <f>[2]TongHop!L97</f>
        <v>0</v>
      </c>
      <c r="M97">
        <f>[2]TongHop!M97</f>
        <v>0</v>
      </c>
      <c r="N97">
        <f>[2]TongHop!N97</f>
        <v>0</v>
      </c>
    </row>
    <row r="98" spans="1:14">
      <c r="A98">
        <f>[2]TongHop!A98</f>
        <v>0</v>
      </c>
      <c r="B98">
        <f>[2]TongHop!B98</f>
        <v>0</v>
      </c>
      <c r="C98">
        <f>[2]TongHop!C98</f>
        <v>0</v>
      </c>
      <c r="D98">
        <f>[2]TongHop!D98</f>
        <v>0</v>
      </c>
      <c r="E98">
        <f>[2]TongHop!E98</f>
        <v>0</v>
      </c>
      <c r="F98">
        <f>[2]TongHop!F98</f>
        <v>0</v>
      </c>
      <c r="G98">
        <f>[2]TongHop!G98</f>
        <v>0</v>
      </c>
      <c r="H98">
        <f>[2]TongHop!H98</f>
        <v>0</v>
      </c>
      <c r="I98">
        <f>[2]TongHop!I98</f>
        <v>0</v>
      </c>
      <c r="J98">
        <f>[2]TongHop!J98</f>
        <v>0</v>
      </c>
      <c r="K98">
        <f>[2]TongHop!K98</f>
        <v>0</v>
      </c>
      <c r="L98">
        <f>[2]TongHop!L98</f>
        <v>0</v>
      </c>
      <c r="M98">
        <f>[2]TongHop!M98</f>
        <v>0</v>
      </c>
      <c r="N98">
        <f>[2]TongHop!N98</f>
        <v>0</v>
      </c>
    </row>
    <row r="99" spans="1:14">
      <c r="A99">
        <f>[2]TongHop!A99</f>
        <v>0</v>
      </c>
      <c r="B99">
        <f>[2]TongHop!B99</f>
        <v>0</v>
      </c>
      <c r="C99">
        <f>[2]TongHop!C99</f>
        <v>0</v>
      </c>
      <c r="D99">
        <f>[2]TongHop!D99</f>
        <v>0</v>
      </c>
      <c r="E99">
        <f>[2]TongHop!E99</f>
        <v>0</v>
      </c>
      <c r="F99">
        <f>[2]TongHop!F99</f>
        <v>0</v>
      </c>
      <c r="G99">
        <f>[2]TongHop!G99</f>
        <v>0</v>
      </c>
      <c r="H99">
        <f>[2]TongHop!H99</f>
        <v>0</v>
      </c>
      <c r="I99">
        <f>[2]TongHop!I99</f>
        <v>0</v>
      </c>
      <c r="J99">
        <f>[2]TongHop!J99</f>
        <v>0</v>
      </c>
      <c r="K99">
        <f>[2]TongHop!K99</f>
        <v>0</v>
      </c>
      <c r="L99">
        <f>[2]TongHop!L99</f>
        <v>0</v>
      </c>
      <c r="M99">
        <f>[2]TongHop!M99</f>
        <v>0</v>
      </c>
      <c r="N99">
        <f>[2]TongHop!N99</f>
        <v>0</v>
      </c>
    </row>
    <row r="100" spans="1:14">
      <c r="A100">
        <f>[2]TongHop!A100</f>
        <v>0</v>
      </c>
      <c r="B100">
        <f>[2]TongHop!B100</f>
        <v>0</v>
      </c>
      <c r="C100">
        <f>[2]TongHop!C100</f>
        <v>0</v>
      </c>
      <c r="D100">
        <f>[2]TongHop!D100</f>
        <v>0</v>
      </c>
      <c r="E100">
        <f>[2]TongHop!E100</f>
        <v>0</v>
      </c>
      <c r="F100">
        <f>[2]TongHop!F100</f>
        <v>0</v>
      </c>
      <c r="G100">
        <f>[2]TongHop!G100</f>
        <v>0</v>
      </c>
      <c r="H100">
        <f>[2]TongHop!H100</f>
        <v>0</v>
      </c>
      <c r="I100">
        <f>[2]TongHop!I100</f>
        <v>0</v>
      </c>
      <c r="J100">
        <f>[2]TongHop!J100</f>
        <v>0</v>
      </c>
      <c r="K100">
        <f>[2]TongHop!K100</f>
        <v>0</v>
      </c>
      <c r="L100">
        <f>[2]TongHop!L100</f>
        <v>0</v>
      </c>
      <c r="M100">
        <f>[2]TongHop!M100</f>
        <v>0</v>
      </c>
      <c r="N100">
        <f>[2]TongHop!N100</f>
        <v>0</v>
      </c>
    </row>
    <row r="101" spans="1:14">
      <c r="A101">
        <f>[2]TongHop!A101</f>
        <v>0</v>
      </c>
      <c r="B101">
        <f>[2]TongHop!B101</f>
        <v>0</v>
      </c>
      <c r="C101">
        <f>[2]TongHop!C101</f>
        <v>0</v>
      </c>
      <c r="D101">
        <f>[2]TongHop!D101</f>
        <v>0</v>
      </c>
      <c r="E101">
        <f>[2]TongHop!E101</f>
        <v>0</v>
      </c>
      <c r="F101">
        <f>[2]TongHop!F101</f>
        <v>0</v>
      </c>
      <c r="G101">
        <f>[2]TongHop!G101</f>
        <v>0</v>
      </c>
      <c r="H101">
        <f>[2]TongHop!H101</f>
        <v>0</v>
      </c>
      <c r="I101">
        <f>[2]TongHop!I101</f>
        <v>0</v>
      </c>
      <c r="J101">
        <f>[2]TongHop!J101</f>
        <v>0</v>
      </c>
      <c r="K101">
        <f>[2]TongHop!K101</f>
        <v>0</v>
      </c>
      <c r="L101">
        <f>[2]TongHop!L101</f>
        <v>0</v>
      </c>
      <c r="M101">
        <f>[2]TongHop!M101</f>
        <v>0</v>
      </c>
      <c r="N101">
        <f>[2]TongHop!N101</f>
        <v>0</v>
      </c>
    </row>
    <row r="102" spans="1:14">
      <c r="A102">
        <f>[2]TongHop!A102</f>
        <v>0</v>
      </c>
      <c r="B102">
        <f>[2]TongHop!B102</f>
        <v>0</v>
      </c>
      <c r="C102">
        <f>[2]TongHop!C102</f>
        <v>0</v>
      </c>
      <c r="D102">
        <f>[2]TongHop!D102</f>
        <v>0</v>
      </c>
      <c r="E102">
        <f>[2]TongHop!E102</f>
        <v>0</v>
      </c>
      <c r="F102">
        <f>[2]TongHop!F102</f>
        <v>0</v>
      </c>
      <c r="G102">
        <f>[2]TongHop!G102</f>
        <v>0</v>
      </c>
      <c r="H102">
        <f>[2]TongHop!H102</f>
        <v>0</v>
      </c>
      <c r="I102">
        <f>[2]TongHop!I102</f>
        <v>0</v>
      </c>
      <c r="J102">
        <f>[2]TongHop!J102</f>
        <v>0</v>
      </c>
      <c r="K102">
        <f>[2]TongHop!K102</f>
        <v>0</v>
      </c>
      <c r="L102">
        <f>[2]TongHop!L102</f>
        <v>0</v>
      </c>
      <c r="M102">
        <f>[2]TongHop!M102</f>
        <v>0</v>
      </c>
      <c r="N102">
        <f>[2]TongHop!N102</f>
        <v>0</v>
      </c>
    </row>
    <row r="103" spans="1:14">
      <c r="A103">
        <f>[2]TongHop!A103</f>
        <v>0</v>
      </c>
      <c r="B103">
        <f>[2]TongHop!B103</f>
        <v>0</v>
      </c>
      <c r="C103">
        <f>[2]TongHop!C103</f>
        <v>0</v>
      </c>
      <c r="D103">
        <f>[2]TongHop!D103</f>
        <v>0</v>
      </c>
      <c r="E103">
        <f>[2]TongHop!E103</f>
        <v>0</v>
      </c>
      <c r="F103">
        <f>[2]TongHop!F103</f>
        <v>0</v>
      </c>
      <c r="G103">
        <f>[2]TongHop!G103</f>
        <v>0</v>
      </c>
      <c r="H103">
        <f>[2]TongHop!H103</f>
        <v>0</v>
      </c>
      <c r="I103">
        <f>[2]TongHop!I103</f>
        <v>0</v>
      </c>
      <c r="J103">
        <f>[2]TongHop!J103</f>
        <v>0</v>
      </c>
      <c r="K103">
        <f>[2]TongHop!K103</f>
        <v>0</v>
      </c>
      <c r="L103">
        <f>[2]TongHop!L103</f>
        <v>0</v>
      </c>
      <c r="M103">
        <f>[2]TongHop!M103</f>
        <v>0</v>
      </c>
      <c r="N103">
        <f>[2]TongHop!N103</f>
        <v>0</v>
      </c>
    </row>
    <row r="104" spans="1:14">
      <c r="A104">
        <f>[2]TongHop!A104</f>
        <v>0</v>
      </c>
      <c r="B104">
        <f>[2]TongHop!B104</f>
        <v>0</v>
      </c>
      <c r="C104">
        <f>[2]TongHop!C104</f>
        <v>0</v>
      </c>
      <c r="D104">
        <f>[2]TongHop!D104</f>
        <v>0</v>
      </c>
      <c r="E104">
        <f>[2]TongHop!E104</f>
        <v>0</v>
      </c>
      <c r="F104">
        <f>[2]TongHop!F104</f>
        <v>0</v>
      </c>
      <c r="G104">
        <f>[2]TongHop!G104</f>
        <v>0</v>
      </c>
      <c r="H104">
        <f>[2]TongHop!H104</f>
        <v>0</v>
      </c>
      <c r="I104">
        <f>[2]TongHop!I104</f>
        <v>0</v>
      </c>
      <c r="J104">
        <f>[2]TongHop!J104</f>
        <v>0</v>
      </c>
      <c r="K104">
        <f>[2]TongHop!K104</f>
        <v>0</v>
      </c>
      <c r="L104">
        <f>[2]TongHop!L104</f>
        <v>0</v>
      </c>
      <c r="M104">
        <f>[2]TongHop!M104</f>
        <v>0</v>
      </c>
      <c r="N104">
        <f>[2]TongHop!N104</f>
        <v>0</v>
      </c>
    </row>
    <row r="105" spans="1:14">
      <c r="A105">
        <f>[2]TongHop!A105</f>
        <v>0</v>
      </c>
      <c r="B105">
        <f>[2]TongHop!B105</f>
        <v>0</v>
      </c>
      <c r="C105">
        <f>[2]TongHop!C105</f>
        <v>0</v>
      </c>
      <c r="D105">
        <f>[2]TongHop!D105</f>
        <v>0</v>
      </c>
      <c r="E105">
        <f>[2]TongHop!E105</f>
        <v>0</v>
      </c>
      <c r="F105">
        <f>[2]TongHop!F105</f>
        <v>0</v>
      </c>
      <c r="G105">
        <f>[2]TongHop!G105</f>
        <v>0</v>
      </c>
      <c r="H105">
        <f>[2]TongHop!H105</f>
        <v>0</v>
      </c>
      <c r="I105">
        <f>[2]TongHop!I105</f>
        <v>0</v>
      </c>
      <c r="J105">
        <f>[2]TongHop!J105</f>
        <v>0</v>
      </c>
      <c r="K105">
        <f>[2]TongHop!K105</f>
        <v>0</v>
      </c>
      <c r="L105">
        <f>[2]TongHop!L105</f>
        <v>0</v>
      </c>
      <c r="M105">
        <f>[2]TongHop!M105</f>
        <v>0</v>
      </c>
      <c r="N105">
        <f>[2]TongHop!N105</f>
        <v>0</v>
      </c>
    </row>
    <row r="106" spans="1:14">
      <c r="A106">
        <f>[2]TongHop!A106</f>
        <v>0</v>
      </c>
      <c r="B106">
        <f>[2]TongHop!B106</f>
        <v>0</v>
      </c>
      <c r="C106">
        <f>[2]TongHop!C106</f>
        <v>0</v>
      </c>
      <c r="D106">
        <f>[2]TongHop!D106</f>
        <v>0</v>
      </c>
      <c r="E106">
        <f>[2]TongHop!E106</f>
        <v>0</v>
      </c>
      <c r="F106">
        <f>[2]TongHop!F106</f>
        <v>0</v>
      </c>
      <c r="G106">
        <f>[2]TongHop!G106</f>
        <v>0</v>
      </c>
      <c r="H106">
        <f>[2]TongHop!H106</f>
        <v>0</v>
      </c>
      <c r="I106">
        <f>[2]TongHop!I106</f>
        <v>0</v>
      </c>
      <c r="J106">
        <f>[2]TongHop!J106</f>
        <v>0</v>
      </c>
      <c r="K106">
        <f>[2]TongHop!K106</f>
        <v>0</v>
      </c>
      <c r="L106">
        <f>[2]TongHop!L106</f>
        <v>0</v>
      </c>
      <c r="M106">
        <f>[2]TongHop!M106</f>
        <v>0</v>
      </c>
      <c r="N106">
        <f>[2]TongHop!N106</f>
        <v>0</v>
      </c>
    </row>
    <row r="107" spans="1:14">
      <c r="A107">
        <f>[2]TongHop!A107</f>
        <v>0</v>
      </c>
      <c r="B107">
        <f>[2]TongHop!B107</f>
        <v>0</v>
      </c>
      <c r="C107">
        <f>[2]TongHop!C107</f>
        <v>0</v>
      </c>
      <c r="D107">
        <f>[2]TongHop!D107</f>
        <v>0</v>
      </c>
      <c r="E107">
        <f>[2]TongHop!E107</f>
        <v>0</v>
      </c>
      <c r="F107">
        <f>[2]TongHop!F107</f>
        <v>0</v>
      </c>
      <c r="G107">
        <f>[2]TongHop!G107</f>
        <v>0</v>
      </c>
      <c r="H107">
        <f>[2]TongHop!H107</f>
        <v>0</v>
      </c>
      <c r="I107">
        <f>[2]TongHop!I107</f>
        <v>0</v>
      </c>
      <c r="J107">
        <f>[2]TongHop!J107</f>
        <v>0</v>
      </c>
      <c r="K107">
        <f>[2]TongHop!K107</f>
        <v>0</v>
      </c>
      <c r="L107">
        <f>[2]TongHop!L107</f>
        <v>0</v>
      </c>
      <c r="M107">
        <f>[2]TongHop!M107</f>
        <v>0</v>
      </c>
      <c r="N107">
        <f>[2]TongHop!N107</f>
        <v>0</v>
      </c>
    </row>
    <row r="108" spans="1:14">
      <c r="A108">
        <f>[2]TongHop!A108</f>
        <v>0</v>
      </c>
      <c r="B108">
        <f>[2]TongHop!B108</f>
        <v>0</v>
      </c>
      <c r="C108">
        <f>[2]TongHop!C108</f>
        <v>0</v>
      </c>
      <c r="D108">
        <f>[2]TongHop!D108</f>
        <v>0</v>
      </c>
      <c r="E108">
        <f>[2]TongHop!E108</f>
        <v>0</v>
      </c>
      <c r="F108">
        <f>[2]TongHop!F108</f>
        <v>0</v>
      </c>
      <c r="G108">
        <f>[2]TongHop!G108</f>
        <v>0</v>
      </c>
      <c r="H108">
        <f>[2]TongHop!H108</f>
        <v>0</v>
      </c>
      <c r="I108">
        <f>[2]TongHop!I108</f>
        <v>0</v>
      </c>
      <c r="J108">
        <f>[2]TongHop!J108</f>
        <v>0</v>
      </c>
      <c r="K108">
        <f>[2]TongHop!K108</f>
        <v>0</v>
      </c>
      <c r="L108">
        <f>[2]TongHop!L108</f>
        <v>0</v>
      </c>
      <c r="M108">
        <f>[2]TongHop!M108</f>
        <v>0</v>
      </c>
      <c r="N108">
        <f>[2]TongHop!N108</f>
        <v>0</v>
      </c>
    </row>
    <row r="109" spans="1:14">
      <c r="A109">
        <f>[2]TongHop!A109</f>
        <v>0</v>
      </c>
      <c r="B109">
        <f>[2]TongHop!B109</f>
        <v>0</v>
      </c>
      <c r="C109">
        <f>[2]TongHop!C109</f>
        <v>0</v>
      </c>
      <c r="D109">
        <f>[2]TongHop!D109</f>
        <v>0</v>
      </c>
      <c r="E109">
        <f>[2]TongHop!E109</f>
        <v>0</v>
      </c>
      <c r="F109">
        <f>[2]TongHop!F109</f>
        <v>0</v>
      </c>
      <c r="G109">
        <f>[2]TongHop!G109</f>
        <v>0</v>
      </c>
      <c r="H109">
        <f>[2]TongHop!H109</f>
        <v>0</v>
      </c>
      <c r="I109">
        <f>[2]TongHop!I109</f>
        <v>0</v>
      </c>
      <c r="J109">
        <f>[2]TongHop!J109</f>
        <v>0</v>
      </c>
      <c r="K109">
        <f>[2]TongHop!K109</f>
        <v>0</v>
      </c>
      <c r="L109">
        <f>[2]TongHop!L109</f>
        <v>0</v>
      </c>
      <c r="M109">
        <f>[2]TongHop!M109</f>
        <v>0</v>
      </c>
      <c r="N109">
        <f>[2]TongHop!N109</f>
        <v>0</v>
      </c>
    </row>
    <row r="110" spans="1:14">
      <c r="A110">
        <f>[2]TongHop!A110</f>
        <v>0</v>
      </c>
      <c r="B110">
        <f>[2]TongHop!B110</f>
        <v>0</v>
      </c>
      <c r="C110">
        <f>[2]TongHop!C110</f>
        <v>0</v>
      </c>
      <c r="D110">
        <f>[2]TongHop!D110</f>
        <v>0</v>
      </c>
      <c r="E110">
        <f>[2]TongHop!E110</f>
        <v>0</v>
      </c>
      <c r="F110">
        <f>[2]TongHop!F110</f>
        <v>0</v>
      </c>
      <c r="G110">
        <f>[2]TongHop!G110</f>
        <v>0</v>
      </c>
      <c r="H110">
        <f>[2]TongHop!H110</f>
        <v>0</v>
      </c>
      <c r="I110">
        <f>[2]TongHop!I110</f>
        <v>0</v>
      </c>
      <c r="J110">
        <f>[2]TongHop!J110</f>
        <v>0</v>
      </c>
      <c r="K110">
        <f>[2]TongHop!K110</f>
        <v>0</v>
      </c>
      <c r="L110">
        <f>[2]TongHop!L110</f>
        <v>0</v>
      </c>
      <c r="M110">
        <f>[2]TongHop!M110</f>
        <v>0</v>
      </c>
      <c r="N110">
        <f>[2]TongHop!N110</f>
        <v>0</v>
      </c>
    </row>
    <row r="111" spans="1:14">
      <c r="A111">
        <f>[2]TongHop!A111</f>
        <v>0</v>
      </c>
      <c r="B111">
        <f>[2]TongHop!B111</f>
        <v>0</v>
      </c>
      <c r="C111">
        <f>[2]TongHop!C111</f>
        <v>0</v>
      </c>
      <c r="D111">
        <f>[2]TongHop!D111</f>
        <v>0</v>
      </c>
      <c r="E111">
        <f>[2]TongHop!E111</f>
        <v>0</v>
      </c>
      <c r="F111">
        <f>[2]TongHop!F111</f>
        <v>0</v>
      </c>
      <c r="G111">
        <f>[2]TongHop!G111</f>
        <v>0</v>
      </c>
      <c r="H111">
        <f>[2]TongHop!H111</f>
        <v>0</v>
      </c>
      <c r="I111">
        <f>[2]TongHop!I111</f>
        <v>0</v>
      </c>
      <c r="J111">
        <f>[2]TongHop!J111</f>
        <v>0</v>
      </c>
      <c r="K111">
        <f>[2]TongHop!K111</f>
        <v>0</v>
      </c>
      <c r="L111">
        <f>[2]TongHop!L111</f>
        <v>0</v>
      </c>
      <c r="M111">
        <f>[2]TongHop!M111</f>
        <v>0</v>
      </c>
      <c r="N111">
        <f>[2]TongHop!N111</f>
        <v>0</v>
      </c>
    </row>
    <row r="112" spans="1:14">
      <c r="A112">
        <f>[2]TongHop!A112</f>
        <v>0</v>
      </c>
      <c r="B112">
        <f>[2]TongHop!B112</f>
        <v>0</v>
      </c>
      <c r="C112">
        <f>[2]TongHop!C112</f>
        <v>0</v>
      </c>
      <c r="D112">
        <f>[2]TongHop!D112</f>
        <v>0</v>
      </c>
      <c r="E112">
        <f>[2]TongHop!E112</f>
        <v>0</v>
      </c>
      <c r="F112">
        <f>[2]TongHop!F112</f>
        <v>0</v>
      </c>
      <c r="G112">
        <f>[2]TongHop!G112</f>
        <v>0</v>
      </c>
      <c r="H112">
        <f>[2]TongHop!H112</f>
        <v>0</v>
      </c>
      <c r="I112">
        <f>[2]TongHop!I112</f>
        <v>0</v>
      </c>
      <c r="J112">
        <f>[2]TongHop!J112</f>
        <v>0</v>
      </c>
      <c r="K112">
        <f>[2]TongHop!K112</f>
        <v>0</v>
      </c>
      <c r="L112">
        <f>[2]TongHop!L112</f>
        <v>0</v>
      </c>
      <c r="M112">
        <f>[2]TongHop!M112</f>
        <v>0</v>
      </c>
      <c r="N112">
        <f>[2]TongHop!N112</f>
        <v>0</v>
      </c>
    </row>
    <row r="113" spans="1:14">
      <c r="A113">
        <f>[2]TongHop!A113</f>
        <v>0</v>
      </c>
      <c r="B113">
        <f>[2]TongHop!B113</f>
        <v>0</v>
      </c>
      <c r="C113">
        <f>[2]TongHop!C113</f>
        <v>0</v>
      </c>
      <c r="D113">
        <f>[2]TongHop!D113</f>
        <v>0</v>
      </c>
      <c r="E113">
        <f>[2]TongHop!E113</f>
        <v>0</v>
      </c>
      <c r="F113">
        <f>[2]TongHop!F113</f>
        <v>0</v>
      </c>
      <c r="G113">
        <f>[2]TongHop!G113</f>
        <v>0</v>
      </c>
      <c r="H113">
        <f>[2]TongHop!H113</f>
        <v>0</v>
      </c>
      <c r="I113">
        <f>[2]TongHop!I113</f>
        <v>0</v>
      </c>
      <c r="J113">
        <f>[2]TongHop!J113</f>
        <v>0</v>
      </c>
      <c r="K113">
        <f>[2]TongHop!K113</f>
        <v>0</v>
      </c>
      <c r="L113">
        <f>[2]TongHop!L113</f>
        <v>0</v>
      </c>
      <c r="M113">
        <f>[2]TongHop!M113</f>
        <v>0</v>
      </c>
      <c r="N113">
        <f>[2]TongHop!N113</f>
        <v>0</v>
      </c>
    </row>
    <row r="114" spans="1:14">
      <c r="A114">
        <f>[2]TongHop!A114</f>
        <v>0</v>
      </c>
      <c r="B114">
        <f>[2]TongHop!B114</f>
        <v>0</v>
      </c>
      <c r="C114">
        <f>[2]TongHop!C114</f>
        <v>0</v>
      </c>
      <c r="D114">
        <f>[2]TongHop!D114</f>
        <v>0</v>
      </c>
      <c r="E114">
        <f>[2]TongHop!E114</f>
        <v>0</v>
      </c>
      <c r="F114">
        <f>[2]TongHop!F114</f>
        <v>0</v>
      </c>
      <c r="G114">
        <f>[2]TongHop!G114</f>
        <v>0</v>
      </c>
      <c r="H114">
        <f>[2]TongHop!H114</f>
        <v>0</v>
      </c>
      <c r="I114">
        <f>[2]TongHop!I114</f>
        <v>0</v>
      </c>
      <c r="J114">
        <f>[2]TongHop!J114</f>
        <v>0</v>
      </c>
      <c r="K114">
        <f>[2]TongHop!K114</f>
        <v>0</v>
      </c>
      <c r="L114">
        <f>[2]TongHop!L114</f>
        <v>0</v>
      </c>
      <c r="M114">
        <f>[2]TongHop!M114</f>
        <v>0</v>
      </c>
      <c r="N114">
        <f>[2]TongHop!N114</f>
        <v>0</v>
      </c>
    </row>
    <row r="115" spans="1:14">
      <c r="A115">
        <f>[2]TongHop!A115</f>
        <v>0</v>
      </c>
      <c r="B115">
        <f>[2]TongHop!B115</f>
        <v>0</v>
      </c>
      <c r="C115">
        <f>[2]TongHop!C115</f>
        <v>0</v>
      </c>
      <c r="D115">
        <f>[2]TongHop!D115</f>
        <v>0</v>
      </c>
      <c r="E115">
        <f>[2]TongHop!E115</f>
        <v>0</v>
      </c>
      <c r="F115">
        <f>[2]TongHop!F115</f>
        <v>0</v>
      </c>
      <c r="G115">
        <f>[2]TongHop!G115</f>
        <v>0</v>
      </c>
      <c r="H115">
        <f>[2]TongHop!H115</f>
        <v>0</v>
      </c>
      <c r="I115">
        <f>[2]TongHop!I115</f>
        <v>0</v>
      </c>
      <c r="J115">
        <f>[2]TongHop!J115</f>
        <v>0</v>
      </c>
      <c r="K115">
        <f>[2]TongHop!K115</f>
        <v>0</v>
      </c>
      <c r="L115">
        <f>[2]TongHop!L115</f>
        <v>0</v>
      </c>
      <c r="M115">
        <f>[2]TongHop!M115</f>
        <v>0</v>
      </c>
      <c r="N115">
        <f>[2]TongHop!N115</f>
        <v>0</v>
      </c>
    </row>
    <row r="116" spans="1:14">
      <c r="A116">
        <f>[2]TongHop!A116</f>
        <v>0</v>
      </c>
      <c r="B116">
        <f>[2]TongHop!B116</f>
        <v>0</v>
      </c>
      <c r="C116">
        <f>[2]TongHop!C116</f>
        <v>0</v>
      </c>
      <c r="D116">
        <f>[2]TongHop!D116</f>
        <v>0</v>
      </c>
      <c r="E116">
        <f>[2]TongHop!E116</f>
        <v>0</v>
      </c>
      <c r="F116">
        <f>[2]TongHop!F116</f>
        <v>0</v>
      </c>
      <c r="G116">
        <f>[2]TongHop!G116</f>
        <v>0</v>
      </c>
      <c r="H116">
        <f>[2]TongHop!H116</f>
        <v>0</v>
      </c>
      <c r="I116">
        <f>[2]TongHop!I116</f>
        <v>0</v>
      </c>
      <c r="J116">
        <f>[2]TongHop!J116</f>
        <v>0</v>
      </c>
      <c r="K116">
        <f>[2]TongHop!K116</f>
        <v>0</v>
      </c>
      <c r="L116">
        <f>[2]TongHop!L116</f>
        <v>0</v>
      </c>
      <c r="M116">
        <f>[2]TongHop!M116</f>
        <v>0</v>
      </c>
      <c r="N116">
        <f>[2]TongHop!N116</f>
        <v>0</v>
      </c>
    </row>
    <row r="117" spans="1:14">
      <c r="A117">
        <f>[2]TongHop!A117</f>
        <v>0</v>
      </c>
      <c r="B117">
        <f>[2]TongHop!B117</f>
        <v>0</v>
      </c>
      <c r="C117">
        <f>[2]TongHop!C117</f>
        <v>0</v>
      </c>
      <c r="D117">
        <f>[2]TongHop!D117</f>
        <v>0</v>
      </c>
      <c r="E117">
        <f>[2]TongHop!E117</f>
        <v>0</v>
      </c>
      <c r="F117">
        <f>[2]TongHop!F117</f>
        <v>0</v>
      </c>
      <c r="G117">
        <f>[2]TongHop!G117</f>
        <v>0</v>
      </c>
      <c r="H117">
        <f>[2]TongHop!H117</f>
        <v>0</v>
      </c>
      <c r="I117">
        <f>[2]TongHop!I117</f>
        <v>0</v>
      </c>
      <c r="J117">
        <f>[2]TongHop!J117</f>
        <v>0</v>
      </c>
      <c r="K117">
        <f>[2]TongHop!K117</f>
        <v>0</v>
      </c>
      <c r="L117">
        <f>[2]TongHop!L117</f>
        <v>0</v>
      </c>
      <c r="M117">
        <f>[2]TongHop!M117</f>
        <v>0</v>
      </c>
      <c r="N117">
        <f>[2]TongHop!N117</f>
        <v>0</v>
      </c>
    </row>
    <row r="118" spans="1:14">
      <c r="A118">
        <f>[2]TongHop!A118</f>
        <v>0</v>
      </c>
      <c r="B118">
        <f>[2]TongHop!B118</f>
        <v>0</v>
      </c>
      <c r="C118">
        <f>[2]TongHop!C118</f>
        <v>0</v>
      </c>
      <c r="D118">
        <f>[2]TongHop!D118</f>
        <v>0</v>
      </c>
      <c r="E118">
        <f>[2]TongHop!E118</f>
        <v>0</v>
      </c>
      <c r="F118">
        <f>[2]TongHop!F118</f>
        <v>0</v>
      </c>
      <c r="G118">
        <f>[2]TongHop!G118</f>
        <v>0</v>
      </c>
      <c r="H118">
        <f>[2]TongHop!H118</f>
        <v>0</v>
      </c>
      <c r="I118">
        <f>[2]TongHop!I118</f>
        <v>0</v>
      </c>
      <c r="J118">
        <f>[2]TongHop!J118</f>
        <v>0</v>
      </c>
      <c r="K118">
        <f>[2]TongHop!K118</f>
        <v>0</v>
      </c>
      <c r="L118">
        <f>[2]TongHop!L118</f>
        <v>0</v>
      </c>
      <c r="M118">
        <f>[2]TongHop!M118</f>
        <v>0</v>
      </c>
      <c r="N118">
        <f>[2]TongHop!N118</f>
        <v>0</v>
      </c>
    </row>
    <row r="119" spans="1:14">
      <c r="A119">
        <f>[2]TongHop!A119</f>
        <v>0</v>
      </c>
      <c r="B119">
        <f>[2]TongHop!B119</f>
        <v>0</v>
      </c>
      <c r="C119">
        <f>[2]TongHop!C119</f>
        <v>0</v>
      </c>
      <c r="D119">
        <f>[2]TongHop!D119</f>
        <v>0</v>
      </c>
      <c r="E119">
        <f>[2]TongHop!E119</f>
        <v>0</v>
      </c>
      <c r="F119">
        <f>[2]TongHop!F119</f>
        <v>0</v>
      </c>
      <c r="G119">
        <f>[2]TongHop!G119</f>
        <v>0</v>
      </c>
      <c r="H119">
        <f>[2]TongHop!H119</f>
        <v>0</v>
      </c>
      <c r="I119">
        <f>[2]TongHop!I119</f>
        <v>0</v>
      </c>
      <c r="J119">
        <f>[2]TongHop!J119</f>
        <v>0</v>
      </c>
      <c r="K119">
        <f>[2]TongHop!K119</f>
        <v>0</v>
      </c>
      <c r="L119">
        <f>[2]TongHop!L119</f>
        <v>0</v>
      </c>
      <c r="M119">
        <f>[2]TongHop!M119</f>
        <v>0</v>
      </c>
      <c r="N119">
        <f>[2]TongHop!N119</f>
        <v>0</v>
      </c>
    </row>
    <row r="120" spans="1:14">
      <c r="A120">
        <f>[2]TongHop!A120</f>
        <v>0</v>
      </c>
      <c r="B120">
        <f>[2]TongHop!B120</f>
        <v>0</v>
      </c>
      <c r="C120">
        <f>[2]TongHop!C120</f>
        <v>0</v>
      </c>
      <c r="D120">
        <f>[2]TongHop!D120</f>
        <v>0</v>
      </c>
      <c r="E120">
        <f>[2]TongHop!E120</f>
        <v>0</v>
      </c>
      <c r="F120">
        <f>[2]TongHop!F120</f>
        <v>0</v>
      </c>
      <c r="G120">
        <f>[2]TongHop!G120</f>
        <v>0</v>
      </c>
      <c r="H120">
        <f>[2]TongHop!H120</f>
        <v>0</v>
      </c>
      <c r="I120">
        <f>[2]TongHop!I120</f>
        <v>0</v>
      </c>
      <c r="J120">
        <f>[2]TongHop!J120</f>
        <v>0</v>
      </c>
      <c r="K120">
        <f>[2]TongHop!K120</f>
        <v>0</v>
      </c>
      <c r="L120">
        <f>[2]TongHop!L120</f>
        <v>0</v>
      </c>
      <c r="M120">
        <f>[2]TongHop!M120</f>
        <v>0</v>
      </c>
      <c r="N120">
        <f>[2]TongHop!N120</f>
        <v>0</v>
      </c>
    </row>
    <row r="121" spans="1:14">
      <c r="A121">
        <f>[2]TongHop!A121</f>
        <v>0</v>
      </c>
      <c r="B121">
        <f>[2]TongHop!B121</f>
        <v>0</v>
      </c>
      <c r="C121">
        <f>[2]TongHop!C121</f>
        <v>0</v>
      </c>
      <c r="D121">
        <f>[2]TongHop!D121</f>
        <v>0</v>
      </c>
      <c r="E121">
        <f>[2]TongHop!E121</f>
        <v>0</v>
      </c>
      <c r="F121">
        <f>[2]TongHop!F121</f>
        <v>0</v>
      </c>
      <c r="G121">
        <f>[2]TongHop!G121</f>
        <v>0</v>
      </c>
      <c r="H121">
        <f>[2]TongHop!H121</f>
        <v>0</v>
      </c>
      <c r="I121">
        <f>[2]TongHop!I121</f>
        <v>0</v>
      </c>
      <c r="J121">
        <f>[2]TongHop!J121</f>
        <v>0</v>
      </c>
      <c r="K121">
        <f>[2]TongHop!K121</f>
        <v>0</v>
      </c>
      <c r="L121">
        <f>[2]TongHop!L121</f>
        <v>0</v>
      </c>
      <c r="M121">
        <f>[2]TongHop!M121</f>
        <v>0</v>
      </c>
      <c r="N121">
        <f>[2]TongHop!N121</f>
        <v>0</v>
      </c>
    </row>
    <row r="122" spans="1:14">
      <c r="A122">
        <f>[2]TongHop!A122</f>
        <v>0</v>
      </c>
      <c r="B122">
        <f>[2]TongHop!B122</f>
        <v>0</v>
      </c>
      <c r="C122">
        <f>[2]TongHop!C122</f>
        <v>0</v>
      </c>
      <c r="D122">
        <f>[2]TongHop!D122</f>
        <v>0</v>
      </c>
      <c r="E122">
        <f>[2]TongHop!E122</f>
        <v>0</v>
      </c>
      <c r="F122">
        <f>[2]TongHop!F122</f>
        <v>0</v>
      </c>
      <c r="G122">
        <f>[2]TongHop!G122</f>
        <v>0</v>
      </c>
      <c r="H122">
        <f>[2]TongHop!H122</f>
        <v>0</v>
      </c>
      <c r="I122">
        <f>[2]TongHop!I122</f>
        <v>0</v>
      </c>
      <c r="J122">
        <f>[2]TongHop!J122</f>
        <v>0</v>
      </c>
      <c r="K122">
        <f>[2]TongHop!K122</f>
        <v>0</v>
      </c>
      <c r="L122">
        <f>[2]TongHop!L122</f>
        <v>0</v>
      </c>
      <c r="M122">
        <f>[2]TongHop!M122</f>
        <v>0</v>
      </c>
      <c r="N122">
        <f>[2]TongHop!N122</f>
        <v>0</v>
      </c>
    </row>
    <row r="123" spans="1:14">
      <c r="A123">
        <f>[2]TongHop!A123</f>
        <v>0</v>
      </c>
      <c r="B123">
        <f>[2]TongHop!B123</f>
        <v>0</v>
      </c>
      <c r="C123">
        <f>[2]TongHop!C123</f>
        <v>0</v>
      </c>
      <c r="D123">
        <f>[2]TongHop!D123</f>
        <v>0</v>
      </c>
      <c r="E123">
        <f>[2]TongHop!E123</f>
        <v>0</v>
      </c>
      <c r="F123">
        <f>[2]TongHop!F123</f>
        <v>0</v>
      </c>
      <c r="G123">
        <f>[2]TongHop!G123</f>
        <v>0</v>
      </c>
      <c r="H123">
        <f>[2]TongHop!H123</f>
        <v>0</v>
      </c>
      <c r="I123">
        <f>[2]TongHop!I123</f>
        <v>0</v>
      </c>
      <c r="J123">
        <f>[2]TongHop!J123</f>
        <v>0</v>
      </c>
      <c r="K123">
        <f>[2]TongHop!K123</f>
        <v>0</v>
      </c>
      <c r="L123">
        <f>[2]TongHop!L123</f>
        <v>0</v>
      </c>
      <c r="M123">
        <f>[2]TongHop!M123</f>
        <v>0</v>
      </c>
      <c r="N123">
        <f>[2]TongHop!N123</f>
        <v>0</v>
      </c>
    </row>
    <row r="124" spans="1:14">
      <c r="A124">
        <f>[2]TongHop!A124</f>
        <v>0</v>
      </c>
      <c r="B124">
        <f>[2]TongHop!B124</f>
        <v>0</v>
      </c>
      <c r="C124">
        <f>[2]TongHop!C124</f>
        <v>0</v>
      </c>
      <c r="D124">
        <f>[2]TongHop!D124</f>
        <v>0</v>
      </c>
      <c r="E124">
        <f>[2]TongHop!E124</f>
        <v>0</v>
      </c>
      <c r="F124">
        <f>[2]TongHop!F124</f>
        <v>0</v>
      </c>
      <c r="G124">
        <f>[2]TongHop!G124</f>
        <v>0</v>
      </c>
      <c r="H124">
        <f>[2]TongHop!H124</f>
        <v>0</v>
      </c>
      <c r="I124">
        <f>[2]TongHop!I124</f>
        <v>0</v>
      </c>
      <c r="J124">
        <f>[2]TongHop!J124</f>
        <v>0</v>
      </c>
      <c r="K124">
        <f>[2]TongHop!K124</f>
        <v>0</v>
      </c>
      <c r="L124">
        <f>[2]TongHop!L124</f>
        <v>0</v>
      </c>
      <c r="M124">
        <f>[2]TongHop!M124</f>
        <v>0</v>
      </c>
      <c r="N124">
        <f>[2]TongHop!N124</f>
        <v>0</v>
      </c>
    </row>
    <row r="125" spans="1:14">
      <c r="A125">
        <f>[2]TongHop!A125</f>
        <v>0</v>
      </c>
      <c r="B125">
        <f>[2]TongHop!B125</f>
        <v>0</v>
      </c>
      <c r="C125">
        <f>[2]TongHop!C125</f>
        <v>0</v>
      </c>
      <c r="D125">
        <f>[2]TongHop!D125</f>
        <v>0</v>
      </c>
      <c r="E125">
        <f>[2]TongHop!E125</f>
        <v>0</v>
      </c>
      <c r="F125">
        <f>[2]TongHop!F125</f>
        <v>0</v>
      </c>
      <c r="G125">
        <f>[2]TongHop!G125</f>
        <v>0</v>
      </c>
      <c r="H125">
        <f>[2]TongHop!H125</f>
        <v>0</v>
      </c>
      <c r="I125">
        <f>[2]TongHop!I125</f>
        <v>0</v>
      </c>
      <c r="J125">
        <f>[2]TongHop!J125</f>
        <v>0</v>
      </c>
      <c r="K125">
        <f>[2]TongHop!K125</f>
        <v>0</v>
      </c>
      <c r="L125">
        <f>[2]TongHop!L125</f>
        <v>0</v>
      </c>
      <c r="M125">
        <f>[2]TongHop!M125</f>
        <v>0</v>
      </c>
      <c r="N125">
        <f>[2]TongHop!N125</f>
        <v>0</v>
      </c>
    </row>
    <row r="126" spans="1:14">
      <c r="A126">
        <f>[2]TongHop!A126</f>
        <v>0</v>
      </c>
      <c r="B126">
        <f>[2]TongHop!B126</f>
        <v>0</v>
      </c>
      <c r="C126">
        <f>[2]TongHop!C126</f>
        <v>0</v>
      </c>
      <c r="D126">
        <f>[2]TongHop!D126</f>
        <v>0</v>
      </c>
      <c r="E126">
        <f>[2]TongHop!E126</f>
        <v>0</v>
      </c>
      <c r="F126">
        <f>[2]TongHop!F126</f>
        <v>0</v>
      </c>
      <c r="G126">
        <f>[2]TongHop!G126</f>
        <v>0</v>
      </c>
      <c r="H126">
        <f>[2]TongHop!H126</f>
        <v>0</v>
      </c>
      <c r="I126">
        <f>[2]TongHop!I126</f>
        <v>0</v>
      </c>
      <c r="J126">
        <f>[2]TongHop!J126</f>
        <v>0</v>
      </c>
      <c r="K126">
        <f>[2]TongHop!K126</f>
        <v>0</v>
      </c>
      <c r="L126">
        <f>[2]TongHop!L126</f>
        <v>0</v>
      </c>
      <c r="M126">
        <f>[2]TongHop!M126</f>
        <v>0</v>
      </c>
      <c r="N126">
        <f>[2]TongHop!N126</f>
        <v>0</v>
      </c>
    </row>
    <row r="127" spans="1:14">
      <c r="A127">
        <f>[2]TongHop!A127</f>
        <v>0</v>
      </c>
      <c r="B127">
        <f>[2]TongHop!B127</f>
        <v>0</v>
      </c>
      <c r="C127">
        <f>[2]TongHop!C127</f>
        <v>0</v>
      </c>
      <c r="D127">
        <f>[2]TongHop!D127</f>
        <v>0</v>
      </c>
      <c r="E127">
        <f>[2]TongHop!E127</f>
        <v>0</v>
      </c>
      <c r="F127">
        <f>[2]TongHop!F127</f>
        <v>0</v>
      </c>
      <c r="G127">
        <f>[2]TongHop!G127</f>
        <v>0</v>
      </c>
      <c r="H127">
        <f>[2]TongHop!H127</f>
        <v>0</v>
      </c>
      <c r="I127">
        <f>[2]TongHop!I127</f>
        <v>0</v>
      </c>
      <c r="J127">
        <f>[2]TongHop!J127</f>
        <v>0</v>
      </c>
      <c r="K127">
        <f>[2]TongHop!K127</f>
        <v>0</v>
      </c>
      <c r="L127">
        <f>[2]TongHop!L127</f>
        <v>0</v>
      </c>
      <c r="M127">
        <f>[2]TongHop!M127</f>
        <v>0</v>
      </c>
      <c r="N127">
        <f>[2]TongHop!N127</f>
        <v>0</v>
      </c>
    </row>
    <row r="128" spans="1:14">
      <c r="A128">
        <f>[2]TongHop!A128</f>
        <v>0</v>
      </c>
      <c r="B128">
        <f>[2]TongHop!B128</f>
        <v>0</v>
      </c>
      <c r="C128">
        <f>[2]TongHop!C128</f>
        <v>0</v>
      </c>
      <c r="D128">
        <f>[2]TongHop!D128</f>
        <v>0</v>
      </c>
      <c r="E128">
        <f>[2]TongHop!E128</f>
        <v>0</v>
      </c>
      <c r="F128">
        <f>[2]TongHop!F128</f>
        <v>0</v>
      </c>
      <c r="G128">
        <f>[2]TongHop!G128</f>
        <v>0</v>
      </c>
      <c r="H128">
        <f>[2]TongHop!H128</f>
        <v>0</v>
      </c>
      <c r="I128">
        <f>[2]TongHop!I128</f>
        <v>0</v>
      </c>
      <c r="J128">
        <f>[2]TongHop!J128</f>
        <v>0</v>
      </c>
      <c r="K128">
        <f>[2]TongHop!K128</f>
        <v>0</v>
      </c>
      <c r="L128">
        <f>[2]TongHop!L128</f>
        <v>0</v>
      </c>
      <c r="M128">
        <f>[2]TongHop!M128</f>
        <v>0</v>
      </c>
      <c r="N128">
        <f>[2]TongHop!N128</f>
        <v>0</v>
      </c>
    </row>
    <row r="129" spans="1:14">
      <c r="A129">
        <f>[2]TongHop!A129</f>
        <v>0</v>
      </c>
      <c r="B129">
        <f>[2]TongHop!B129</f>
        <v>0</v>
      </c>
      <c r="C129">
        <f>[2]TongHop!C129</f>
        <v>0</v>
      </c>
      <c r="D129">
        <f>[2]TongHop!D129</f>
        <v>0</v>
      </c>
      <c r="E129">
        <f>[2]TongHop!E129</f>
        <v>0</v>
      </c>
      <c r="F129">
        <f>[2]TongHop!F129</f>
        <v>0</v>
      </c>
      <c r="G129">
        <f>[2]TongHop!G129</f>
        <v>0</v>
      </c>
      <c r="H129">
        <f>[2]TongHop!H129</f>
        <v>0</v>
      </c>
      <c r="I129">
        <f>[2]TongHop!I129</f>
        <v>0</v>
      </c>
      <c r="J129">
        <f>[2]TongHop!J129</f>
        <v>0</v>
      </c>
      <c r="K129">
        <f>[2]TongHop!K129</f>
        <v>0</v>
      </c>
      <c r="L129">
        <f>[2]TongHop!L129</f>
        <v>0</v>
      </c>
      <c r="M129">
        <f>[2]TongHop!M129</f>
        <v>0</v>
      </c>
      <c r="N129">
        <f>[2]TongHop!N129</f>
        <v>0</v>
      </c>
    </row>
    <row r="130" spans="1:14">
      <c r="A130">
        <f>[2]TongHop!A130</f>
        <v>0</v>
      </c>
      <c r="B130">
        <f>[2]TongHop!B130</f>
        <v>0</v>
      </c>
      <c r="C130">
        <f>[2]TongHop!C130</f>
        <v>0</v>
      </c>
      <c r="D130">
        <f>[2]TongHop!D130</f>
        <v>0</v>
      </c>
      <c r="E130">
        <f>[2]TongHop!E130</f>
        <v>0</v>
      </c>
      <c r="F130">
        <f>[2]TongHop!F130</f>
        <v>0</v>
      </c>
      <c r="G130">
        <f>[2]TongHop!G130</f>
        <v>0</v>
      </c>
      <c r="H130">
        <f>[2]TongHop!H130</f>
        <v>0</v>
      </c>
      <c r="I130">
        <f>[2]TongHop!I130</f>
        <v>0</v>
      </c>
      <c r="J130">
        <f>[2]TongHop!J130</f>
        <v>0</v>
      </c>
      <c r="K130">
        <f>[2]TongHop!K130</f>
        <v>0</v>
      </c>
      <c r="L130">
        <f>[2]TongHop!L130</f>
        <v>0</v>
      </c>
      <c r="M130">
        <f>[2]TongHop!M130</f>
        <v>0</v>
      </c>
      <c r="N130">
        <f>[2]TongHop!N130</f>
        <v>0</v>
      </c>
    </row>
    <row r="131" spans="1:14">
      <c r="A131">
        <f>[2]TongHop!A131</f>
        <v>0</v>
      </c>
      <c r="B131">
        <f>[2]TongHop!B131</f>
        <v>0</v>
      </c>
      <c r="C131">
        <f>[2]TongHop!C131</f>
        <v>0</v>
      </c>
      <c r="D131">
        <f>[2]TongHop!D131</f>
        <v>0</v>
      </c>
      <c r="E131">
        <f>[2]TongHop!E131</f>
        <v>0</v>
      </c>
      <c r="F131">
        <f>[2]TongHop!F131</f>
        <v>0</v>
      </c>
      <c r="G131">
        <f>[2]TongHop!G131</f>
        <v>0</v>
      </c>
      <c r="H131">
        <f>[2]TongHop!H131</f>
        <v>0</v>
      </c>
      <c r="I131">
        <f>[2]TongHop!I131</f>
        <v>0</v>
      </c>
      <c r="J131">
        <f>[2]TongHop!J131</f>
        <v>0</v>
      </c>
      <c r="K131">
        <f>[2]TongHop!K131</f>
        <v>0</v>
      </c>
      <c r="L131">
        <f>[2]TongHop!L131</f>
        <v>0</v>
      </c>
      <c r="M131">
        <f>[2]TongHop!M131</f>
        <v>0</v>
      </c>
      <c r="N131">
        <f>[2]TongHop!N131</f>
        <v>0</v>
      </c>
    </row>
    <row r="132" spans="1:14">
      <c r="A132">
        <f>[2]TongHop!A132</f>
        <v>0</v>
      </c>
      <c r="B132">
        <f>[2]TongHop!B132</f>
        <v>0</v>
      </c>
      <c r="C132">
        <f>[2]TongHop!C132</f>
        <v>0</v>
      </c>
      <c r="D132">
        <f>[2]TongHop!D132</f>
        <v>0</v>
      </c>
      <c r="E132">
        <f>[2]TongHop!E132</f>
        <v>0</v>
      </c>
      <c r="F132">
        <f>[2]TongHop!F132</f>
        <v>0</v>
      </c>
      <c r="G132">
        <f>[2]TongHop!G132</f>
        <v>0</v>
      </c>
      <c r="H132">
        <f>[2]TongHop!H132</f>
        <v>0</v>
      </c>
      <c r="I132">
        <f>[2]TongHop!I132</f>
        <v>0</v>
      </c>
      <c r="J132">
        <f>[2]TongHop!J132</f>
        <v>0</v>
      </c>
      <c r="K132">
        <f>[2]TongHop!K132</f>
        <v>0</v>
      </c>
      <c r="L132">
        <f>[2]TongHop!L132</f>
        <v>0</v>
      </c>
      <c r="M132">
        <f>[2]TongHop!M132</f>
        <v>0</v>
      </c>
      <c r="N132">
        <f>[2]TongHop!N132</f>
        <v>0</v>
      </c>
    </row>
    <row r="133" spans="1:14">
      <c r="A133">
        <f>[2]TongHop!A133</f>
        <v>0</v>
      </c>
      <c r="B133">
        <f>[2]TongHop!B133</f>
        <v>0</v>
      </c>
      <c r="C133">
        <f>[2]TongHop!C133</f>
        <v>0</v>
      </c>
      <c r="D133">
        <f>[2]TongHop!D133</f>
        <v>0</v>
      </c>
      <c r="E133">
        <f>[2]TongHop!E133</f>
        <v>0</v>
      </c>
      <c r="F133">
        <f>[2]TongHop!F133</f>
        <v>0</v>
      </c>
      <c r="G133">
        <f>[2]TongHop!G133</f>
        <v>0</v>
      </c>
      <c r="H133">
        <f>[2]TongHop!H133</f>
        <v>0</v>
      </c>
      <c r="I133">
        <f>[2]TongHop!I133</f>
        <v>0</v>
      </c>
      <c r="J133">
        <f>[2]TongHop!J133</f>
        <v>0</v>
      </c>
      <c r="K133">
        <f>[2]TongHop!K133</f>
        <v>0</v>
      </c>
      <c r="L133">
        <f>[2]TongHop!L133</f>
        <v>0</v>
      </c>
      <c r="M133">
        <f>[2]TongHop!M133</f>
        <v>0</v>
      </c>
      <c r="N133">
        <f>[2]TongHop!N133</f>
        <v>0</v>
      </c>
    </row>
    <row r="134" spans="1:14">
      <c r="A134">
        <f>[2]TongHop!A134</f>
        <v>0</v>
      </c>
      <c r="B134">
        <f>[2]TongHop!B134</f>
        <v>0</v>
      </c>
      <c r="C134">
        <f>[2]TongHop!C134</f>
        <v>0</v>
      </c>
      <c r="D134">
        <f>[2]TongHop!D134</f>
        <v>0</v>
      </c>
      <c r="E134">
        <f>[2]TongHop!E134</f>
        <v>0</v>
      </c>
      <c r="F134">
        <f>[2]TongHop!F134</f>
        <v>0</v>
      </c>
      <c r="G134">
        <f>[2]TongHop!G134</f>
        <v>0</v>
      </c>
      <c r="H134">
        <f>[2]TongHop!H134</f>
        <v>0</v>
      </c>
      <c r="I134">
        <f>[2]TongHop!I134</f>
        <v>0</v>
      </c>
      <c r="J134">
        <f>[2]TongHop!J134</f>
        <v>0</v>
      </c>
      <c r="K134">
        <f>[2]TongHop!K134</f>
        <v>0</v>
      </c>
      <c r="L134">
        <f>[2]TongHop!L134</f>
        <v>0</v>
      </c>
      <c r="M134">
        <f>[2]TongHop!M134</f>
        <v>0</v>
      </c>
      <c r="N134">
        <f>[2]TongHop!N134</f>
        <v>0</v>
      </c>
    </row>
    <row r="135" spans="1:14">
      <c r="A135">
        <f>[2]TongHop!A135</f>
        <v>0</v>
      </c>
      <c r="B135">
        <f>[2]TongHop!B135</f>
        <v>0</v>
      </c>
      <c r="C135">
        <f>[2]TongHop!C135</f>
        <v>0</v>
      </c>
      <c r="D135">
        <f>[2]TongHop!D135</f>
        <v>0</v>
      </c>
      <c r="E135">
        <f>[2]TongHop!E135</f>
        <v>0</v>
      </c>
      <c r="F135">
        <f>[2]TongHop!F135</f>
        <v>0</v>
      </c>
      <c r="G135">
        <f>[2]TongHop!G135</f>
        <v>0</v>
      </c>
      <c r="H135">
        <f>[2]TongHop!H135</f>
        <v>0</v>
      </c>
      <c r="I135">
        <f>[2]TongHop!I135</f>
        <v>0</v>
      </c>
      <c r="J135">
        <f>[2]TongHop!J135</f>
        <v>0</v>
      </c>
      <c r="K135">
        <f>[2]TongHop!K135</f>
        <v>0</v>
      </c>
      <c r="L135">
        <f>[2]TongHop!L135</f>
        <v>0</v>
      </c>
      <c r="M135">
        <f>[2]TongHop!M135</f>
        <v>0</v>
      </c>
      <c r="N135">
        <f>[2]TongHop!N135</f>
        <v>0</v>
      </c>
    </row>
    <row r="136" spans="1:14">
      <c r="A136">
        <f>[2]TongHop!A136</f>
        <v>0</v>
      </c>
      <c r="B136">
        <f>[2]TongHop!B136</f>
        <v>0</v>
      </c>
      <c r="C136">
        <f>[2]TongHop!C136</f>
        <v>0</v>
      </c>
      <c r="D136">
        <f>[2]TongHop!D136</f>
        <v>0</v>
      </c>
      <c r="E136">
        <f>[2]TongHop!E136</f>
        <v>0</v>
      </c>
      <c r="F136">
        <f>[2]TongHop!F136</f>
        <v>0</v>
      </c>
      <c r="G136">
        <f>[2]TongHop!G136</f>
        <v>0</v>
      </c>
      <c r="H136">
        <f>[2]TongHop!H136</f>
        <v>0</v>
      </c>
      <c r="I136">
        <f>[2]TongHop!I136</f>
        <v>0</v>
      </c>
      <c r="J136">
        <f>[2]TongHop!J136</f>
        <v>0</v>
      </c>
      <c r="K136">
        <f>[2]TongHop!K136</f>
        <v>0</v>
      </c>
      <c r="L136">
        <f>[2]TongHop!L136</f>
        <v>0</v>
      </c>
      <c r="M136">
        <f>[2]TongHop!M136</f>
        <v>0</v>
      </c>
      <c r="N136">
        <f>[2]TongHop!N136</f>
        <v>0</v>
      </c>
    </row>
    <row r="137" spans="1:14">
      <c r="A137">
        <f>[2]TongHop!A137</f>
        <v>0</v>
      </c>
      <c r="B137">
        <f>[2]TongHop!B137</f>
        <v>0</v>
      </c>
      <c r="C137">
        <f>[2]TongHop!C137</f>
        <v>0</v>
      </c>
      <c r="D137">
        <f>[2]TongHop!D137</f>
        <v>0</v>
      </c>
      <c r="E137">
        <f>[2]TongHop!E137</f>
        <v>0</v>
      </c>
      <c r="F137">
        <f>[2]TongHop!F137</f>
        <v>0</v>
      </c>
      <c r="G137">
        <f>[2]TongHop!G137</f>
        <v>0</v>
      </c>
      <c r="H137">
        <f>[2]TongHop!H137</f>
        <v>0</v>
      </c>
      <c r="I137">
        <f>[2]TongHop!I137</f>
        <v>0</v>
      </c>
      <c r="J137">
        <f>[2]TongHop!J137</f>
        <v>0</v>
      </c>
      <c r="K137">
        <f>[2]TongHop!K137</f>
        <v>0</v>
      </c>
      <c r="L137">
        <f>[2]TongHop!L137</f>
        <v>0</v>
      </c>
      <c r="M137">
        <f>[2]TongHop!M137</f>
        <v>0</v>
      </c>
      <c r="N137">
        <f>[2]TongHop!N137</f>
        <v>0</v>
      </c>
    </row>
    <row r="138" spans="1:14">
      <c r="A138">
        <f>[2]TongHop!A138</f>
        <v>0</v>
      </c>
      <c r="B138">
        <f>[2]TongHop!B138</f>
        <v>0</v>
      </c>
      <c r="C138">
        <f>[2]TongHop!C138</f>
        <v>0</v>
      </c>
      <c r="D138">
        <f>[2]TongHop!D138</f>
        <v>0</v>
      </c>
      <c r="E138">
        <f>[2]TongHop!E138</f>
        <v>0</v>
      </c>
      <c r="F138">
        <f>[2]TongHop!F138</f>
        <v>0</v>
      </c>
      <c r="G138">
        <f>[2]TongHop!G138</f>
        <v>0</v>
      </c>
      <c r="H138">
        <f>[2]TongHop!H138</f>
        <v>0</v>
      </c>
      <c r="I138">
        <f>[2]TongHop!I138</f>
        <v>0</v>
      </c>
      <c r="J138">
        <f>[2]TongHop!J138</f>
        <v>0</v>
      </c>
      <c r="K138">
        <f>[2]TongHop!K138</f>
        <v>0</v>
      </c>
      <c r="L138">
        <f>[2]TongHop!L138</f>
        <v>0</v>
      </c>
      <c r="M138">
        <f>[2]TongHop!M138</f>
        <v>0</v>
      </c>
      <c r="N138">
        <f>[2]TongHop!N138</f>
        <v>0</v>
      </c>
    </row>
    <row r="139" spans="1:14">
      <c r="A139">
        <f>[2]TongHop!A139</f>
        <v>0</v>
      </c>
      <c r="B139">
        <f>[2]TongHop!B139</f>
        <v>0</v>
      </c>
      <c r="C139">
        <f>[2]TongHop!C139</f>
        <v>0</v>
      </c>
      <c r="D139">
        <f>[2]TongHop!D139</f>
        <v>0</v>
      </c>
      <c r="E139">
        <f>[2]TongHop!E139</f>
        <v>0</v>
      </c>
      <c r="F139">
        <f>[2]TongHop!F139</f>
        <v>0</v>
      </c>
      <c r="G139">
        <f>[2]TongHop!G139</f>
        <v>0</v>
      </c>
      <c r="H139">
        <f>[2]TongHop!H139</f>
        <v>0</v>
      </c>
      <c r="I139">
        <f>[2]TongHop!I139</f>
        <v>0</v>
      </c>
      <c r="J139">
        <f>[2]TongHop!J139</f>
        <v>0</v>
      </c>
      <c r="K139">
        <f>[2]TongHop!K139</f>
        <v>0</v>
      </c>
      <c r="L139">
        <f>[2]TongHop!L139</f>
        <v>0</v>
      </c>
      <c r="M139">
        <f>[2]TongHop!M139</f>
        <v>0</v>
      </c>
      <c r="N139">
        <f>[2]TongHop!N139</f>
        <v>0</v>
      </c>
    </row>
    <row r="140" spans="1:14">
      <c r="A140">
        <f>[2]TongHop!A140</f>
        <v>0</v>
      </c>
      <c r="B140">
        <f>[2]TongHop!B140</f>
        <v>0</v>
      </c>
      <c r="C140">
        <f>[2]TongHop!C140</f>
        <v>0</v>
      </c>
      <c r="D140">
        <f>[2]TongHop!D140</f>
        <v>0</v>
      </c>
      <c r="E140">
        <f>[2]TongHop!E140</f>
        <v>0</v>
      </c>
      <c r="F140">
        <f>[2]TongHop!F140</f>
        <v>0</v>
      </c>
      <c r="G140">
        <f>[2]TongHop!G140</f>
        <v>0</v>
      </c>
      <c r="H140">
        <f>[2]TongHop!H140</f>
        <v>0</v>
      </c>
      <c r="I140">
        <f>[2]TongHop!I140</f>
        <v>0</v>
      </c>
      <c r="J140">
        <f>[2]TongHop!J140</f>
        <v>0</v>
      </c>
      <c r="K140">
        <f>[2]TongHop!K140</f>
        <v>0</v>
      </c>
      <c r="L140">
        <f>[2]TongHop!L140</f>
        <v>0</v>
      </c>
      <c r="M140">
        <f>[2]TongHop!M140</f>
        <v>0</v>
      </c>
      <c r="N140">
        <f>[2]TongHop!N140</f>
        <v>0</v>
      </c>
    </row>
    <row r="141" spans="1:14">
      <c r="A141">
        <f>[2]TongHop!A141</f>
        <v>0</v>
      </c>
      <c r="B141">
        <f>[2]TongHop!B141</f>
        <v>0</v>
      </c>
      <c r="C141">
        <f>[2]TongHop!C141</f>
        <v>0</v>
      </c>
      <c r="D141">
        <f>[2]TongHop!D141</f>
        <v>0</v>
      </c>
      <c r="E141">
        <f>[2]TongHop!E141</f>
        <v>0</v>
      </c>
      <c r="F141">
        <f>[2]TongHop!F141</f>
        <v>0</v>
      </c>
      <c r="G141">
        <f>[2]TongHop!G141</f>
        <v>0</v>
      </c>
      <c r="H141">
        <f>[2]TongHop!H141</f>
        <v>0</v>
      </c>
      <c r="I141">
        <f>[2]TongHop!I141</f>
        <v>0</v>
      </c>
      <c r="J141">
        <f>[2]TongHop!J141</f>
        <v>0</v>
      </c>
      <c r="K141">
        <f>[2]TongHop!K141</f>
        <v>0</v>
      </c>
      <c r="L141">
        <f>[2]TongHop!L141</f>
        <v>0</v>
      </c>
      <c r="M141">
        <f>[2]TongHop!M141</f>
        <v>0</v>
      </c>
      <c r="N141">
        <f>[2]TongHop!N141</f>
        <v>0</v>
      </c>
    </row>
    <row r="142" spans="1:14">
      <c r="A142">
        <f>[2]TongHop!A142</f>
        <v>0</v>
      </c>
      <c r="B142">
        <f>[2]TongHop!B142</f>
        <v>0</v>
      </c>
      <c r="C142">
        <f>[2]TongHop!C142</f>
        <v>0</v>
      </c>
      <c r="D142">
        <f>[2]TongHop!D142</f>
        <v>0</v>
      </c>
      <c r="E142">
        <f>[2]TongHop!E142</f>
        <v>0</v>
      </c>
      <c r="F142">
        <f>[2]TongHop!F142</f>
        <v>0</v>
      </c>
      <c r="G142">
        <f>[2]TongHop!G142</f>
        <v>0</v>
      </c>
      <c r="H142">
        <f>[2]TongHop!H142</f>
        <v>0</v>
      </c>
      <c r="I142">
        <f>[2]TongHop!I142</f>
        <v>0</v>
      </c>
      <c r="J142">
        <f>[2]TongHop!J142</f>
        <v>0</v>
      </c>
      <c r="K142">
        <f>[2]TongHop!K142</f>
        <v>0</v>
      </c>
      <c r="L142">
        <f>[2]TongHop!L142</f>
        <v>0</v>
      </c>
      <c r="M142">
        <f>[2]TongHop!M142</f>
        <v>0</v>
      </c>
      <c r="N142">
        <f>[2]TongHop!N142</f>
        <v>0</v>
      </c>
    </row>
    <row r="143" spans="1:14">
      <c r="A143">
        <f>[2]TongHop!A143</f>
        <v>0</v>
      </c>
      <c r="B143">
        <f>[2]TongHop!B143</f>
        <v>0</v>
      </c>
      <c r="C143">
        <f>[2]TongHop!C143</f>
        <v>0</v>
      </c>
      <c r="D143">
        <f>[2]TongHop!D143</f>
        <v>0</v>
      </c>
      <c r="E143">
        <f>[2]TongHop!E143</f>
        <v>0</v>
      </c>
      <c r="F143">
        <f>[2]TongHop!F143</f>
        <v>0</v>
      </c>
      <c r="G143">
        <f>[2]TongHop!G143</f>
        <v>0</v>
      </c>
      <c r="H143">
        <f>[2]TongHop!H143</f>
        <v>0</v>
      </c>
      <c r="I143">
        <f>[2]TongHop!I143</f>
        <v>0</v>
      </c>
      <c r="J143">
        <f>[2]TongHop!J143</f>
        <v>0</v>
      </c>
      <c r="K143">
        <f>[2]TongHop!K143</f>
        <v>0</v>
      </c>
      <c r="L143">
        <f>[2]TongHop!L143</f>
        <v>0</v>
      </c>
      <c r="M143">
        <f>[2]TongHop!M143</f>
        <v>0</v>
      </c>
      <c r="N143">
        <f>[2]TongHop!N143</f>
        <v>0</v>
      </c>
    </row>
    <row r="144" spans="1:14">
      <c r="A144">
        <f>[2]TongHop!A144</f>
        <v>0</v>
      </c>
      <c r="B144">
        <f>[2]TongHop!B144</f>
        <v>0</v>
      </c>
      <c r="C144">
        <f>[2]TongHop!C144</f>
        <v>0</v>
      </c>
      <c r="D144">
        <f>[2]TongHop!D144</f>
        <v>0</v>
      </c>
      <c r="E144">
        <f>[2]TongHop!E144</f>
        <v>0</v>
      </c>
      <c r="F144">
        <f>[2]TongHop!F144</f>
        <v>0</v>
      </c>
      <c r="G144">
        <f>[2]TongHop!G144</f>
        <v>0</v>
      </c>
      <c r="H144">
        <f>[2]TongHop!H144</f>
        <v>0</v>
      </c>
      <c r="I144">
        <f>[2]TongHop!I144</f>
        <v>0</v>
      </c>
      <c r="J144">
        <f>[2]TongHop!J144</f>
        <v>0</v>
      </c>
      <c r="K144">
        <f>[2]TongHop!K144</f>
        <v>0</v>
      </c>
      <c r="L144">
        <f>[2]TongHop!L144</f>
        <v>0</v>
      </c>
      <c r="M144">
        <f>[2]TongHop!M144</f>
        <v>0</v>
      </c>
      <c r="N144">
        <f>[2]TongHop!N144</f>
        <v>0</v>
      </c>
    </row>
    <row r="145" spans="1:14">
      <c r="A145">
        <f>[2]TongHop!A145</f>
        <v>0</v>
      </c>
      <c r="B145">
        <f>[2]TongHop!B145</f>
        <v>0</v>
      </c>
      <c r="C145">
        <f>[2]TongHop!C145</f>
        <v>0</v>
      </c>
      <c r="D145">
        <f>[2]TongHop!D145</f>
        <v>0</v>
      </c>
      <c r="E145">
        <f>[2]TongHop!E145</f>
        <v>0</v>
      </c>
      <c r="F145">
        <f>[2]TongHop!F145</f>
        <v>0</v>
      </c>
      <c r="G145">
        <f>[2]TongHop!G145</f>
        <v>0</v>
      </c>
      <c r="H145">
        <f>[2]TongHop!H145</f>
        <v>0</v>
      </c>
      <c r="I145">
        <f>[2]TongHop!I145</f>
        <v>0</v>
      </c>
      <c r="J145">
        <f>[2]TongHop!J145</f>
        <v>0</v>
      </c>
      <c r="K145">
        <f>[2]TongHop!K145</f>
        <v>0</v>
      </c>
      <c r="L145">
        <f>[2]TongHop!L145</f>
        <v>0</v>
      </c>
      <c r="M145">
        <f>[2]TongHop!M145</f>
        <v>0</v>
      </c>
      <c r="N145">
        <f>[2]TongHop!N145</f>
        <v>0</v>
      </c>
    </row>
    <row r="146" spans="1:14">
      <c r="A146">
        <f>[2]TongHop!A146</f>
        <v>0</v>
      </c>
      <c r="B146">
        <f>[2]TongHop!B146</f>
        <v>0</v>
      </c>
      <c r="C146">
        <f>[2]TongHop!C146</f>
        <v>0</v>
      </c>
      <c r="D146">
        <f>[2]TongHop!D146</f>
        <v>0</v>
      </c>
      <c r="E146">
        <f>[2]TongHop!E146</f>
        <v>0</v>
      </c>
      <c r="F146">
        <f>[2]TongHop!F146</f>
        <v>0</v>
      </c>
      <c r="G146">
        <f>[2]TongHop!G146</f>
        <v>0</v>
      </c>
      <c r="H146">
        <f>[2]TongHop!H146</f>
        <v>0</v>
      </c>
      <c r="I146">
        <f>[2]TongHop!I146</f>
        <v>0</v>
      </c>
      <c r="J146">
        <f>[2]TongHop!J146</f>
        <v>0</v>
      </c>
      <c r="K146">
        <f>[2]TongHop!K146</f>
        <v>0</v>
      </c>
      <c r="L146">
        <f>[2]TongHop!L146</f>
        <v>0</v>
      </c>
      <c r="M146">
        <f>[2]TongHop!M146</f>
        <v>0</v>
      </c>
      <c r="N146">
        <f>[2]TongHop!N146</f>
        <v>0</v>
      </c>
    </row>
    <row r="147" spans="1:14">
      <c r="A147">
        <f>[2]TongHop!A147</f>
        <v>0</v>
      </c>
      <c r="B147">
        <f>[2]TongHop!B147</f>
        <v>0</v>
      </c>
      <c r="C147">
        <f>[2]TongHop!C147</f>
        <v>0</v>
      </c>
      <c r="D147">
        <f>[2]TongHop!D147</f>
        <v>0</v>
      </c>
      <c r="E147">
        <f>[2]TongHop!E147</f>
        <v>0</v>
      </c>
      <c r="F147">
        <f>[2]TongHop!F147</f>
        <v>0</v>
      </c>
      <c r="G147">
        <f>[2]TongHop!G147</f>
        <v>0</v>
      </c>
      <c r="H147">
        <f>[2]TongHop!H147</f>
        <v>0</v>
      </c>
      <c r="I147">
        <f>[2]TongHop!I147</f>
        <v>0</v>
      </c>
      <c r="J147">
        <f>[2]TongHop!J147</f>
        <v>0</v>
      </c>
      <c r="K147">
        <f>[2]TongHop!K147</f>
        <v>0</v>
      </c>
      <c r="L147">
        <f>[2]TongHop!L147</f>
        <v>0</v>
      </c>
      <c r="M147">
        <f>[2]TongHop!M147</f>
        <v>0</v>
      </c>
      <c r="N147">
        <f>[2]TongHop!N147</f>
        <v>0</v>
      </c>
    </row>
    <row r="148" spans="1:14">
      <c r="A148">
        <f>[2]TongHop!A148</f>
        <v>0</v>
      </c>
      <c r="B148">
        <f>[2]TongHop!B148</f>
        <v>0</v>
      </c>
      <c r="C148">
        <f>[2]TongHop!C148</f>
        <v>0</v>
      </c>
      <c r="D148">
        <f>[2]TongHop!D148</f>
        <v>0</v>
      </c>
      <c r="E148">
        <f>[2]TongHop!E148</f>
        <v>0</v>
      </c>
      <c r="F148">
        <f>[2]TongHop!F148</f>
        <v>0</v>
      </c>
      <c r="G148">
        <f>[2]TongHop!G148</f>
        <v>0</v>
      </c>
      <c r="H148">
        <f>[2]TongHop!H148</f>
        <v>0</v>
      </c>
      <c r="I148">
        <f>[2]TongHop!I148</f>
        <v>0</v>
      </c>
      <c r="J148">
        <f>[2]TongHop!J148</f>
        <v>0</v>
      </c>
      <c r="K148">
        <f>[2]TongHop!K148</f>
        <v>0</v>
      </c>
      <c r="L148">
        <f>[2]TongHop!L148</f>
        <v>0</v>
      </c>
      <c r="M148">
        <f>[2]TongHop!M148</f>
        <v>0</v>
      </c>
      <c r="N148">
        <f>[2]TongHop!N148</f>
        <v>0</v>
      </c>
    </row>
    <row r="149" spans="1:14">
      <c r="A149">
        <f>[2]TongHop!A149</f>
        <v>0</v>
      </c>
      <c r="B149">
        <f>[2]TongHop!B149</f>
        <v>0</v>
      </c>
      <c r="C149">
        <f>[2]TongHop!C149</f>
        <v>0</v>
      </c>
      <c r="D149">
        <f>[2]TongHop!D149</f>
        <v>0</v>
      </c>
      <c r="E149">
        <f>[2]TongHop!E149</f>
        <v>0</v>
      </c>
      <c r="F149">
        <f>[2]TongHop!F149</f>
        <v>0</v>
      </c>
      <c r="G149">
        <f>[2]TongHop!G149</f>
        <v>0</v>
      </c>
      <c r="H149">
        <f>[2]TongHop!H149</f>
        <v>0</v>
      </c>
      <c r="I149">
        <f>[2]TongHop!I149</f>
        <v>0</v>
      </c>
      <c r="J149">
        <f>[2]TongHop!J149</f>
        <v>0</v>
      </c>
      <c r="K149">
        <f>[2]TongHop!K149</f>
        <v>0</v>
      </c>
      <c r="L149">
        <f>[2]TongHop!L149</f>
        <v>0</v>
      </c>
      <c r="M149">
        <f>[2]TongHop!M149</f>
        <v>0</v>
      </c>
      <c r="N149">
        <f>[2]TongHop!N149</f>
        <v>0</v>
      </c>
    </row>
    <row r="150" spans="1:14">
      <c r="A150">
        <f>[2]TongHop!A150</f>
        <v>0</v>
      </c>
      <c r="B150">
        <f>[2]TongHop!B150</f>
        <v>0</v>
      </c>
      <c r="C150">
        <f>[2]TongHop!C150</f>
        <v>0</v>
      </c>
      <c r="D150">
        <f>[2]TongHop!D150</f>
        <v>0</v>
      </c>
      <c r="E150">
        <f>[2]TongHop!E150</f>
        <v>0</v>
      </c>
      <c r="F150">
        <f>[2]TongHop!F150</f>
        <v>0</v>
      </c>
      <c r="G150">
        <f>[2]TongHop!G150</f>
        <v>0</v>
      </c>
      <c r="H150">
        <f>[2]TongHop!H150</f>
        <v>0</v>
      </c>
      <c r="I150">
        <f>[2]TongHop!I150</f>
        <v>0</v>
      </c>
      <c r="J150">
        <f>[2]TongHop!J150</f>
        <v>0</v>
      </c>
      <c r="K150">
        <f>[2]TongHop!K150</f>
        <v>0</v>
      </c>
      <c r="L150">
        <f>[2]TongHop!L150</f>
        <v>0</v>
      </c>
      <c r="M150">
        <f>[2]TongHop!M150</f>
        <v>0</v>
      </c>
      <c r="N150">
        <f>[2]TongHop!N150</f>
        <v>0</v>
      </c>
    </row>
    <row r="151" spans="1:14">
      <c r="A151">
        <f>[2]TongHop!A151</f>
        <v>0</v>
      </c>
      <c r="B151">
        <f>[2]TongHop!B151</f>
        <v>0</v>
      </c>
      <c r="C151">
        <f>[2]TongHop!C151</f>
        <v>0</v>
      </c>
      <c r="D151">
        <f>[2]TongHop!D151</f>
        <v>0</v>
      </c>
      <c r="E151">
        <f>[2]TongHop!E151</f>
        <v>0</v>
      </c>
      <c r="F151">
        <f>[2]TongHop!F151</f>
        <v>0</v>
      </c>
      <c r="G151">
        <f>[2]TongHop!G151</f>
        <v>0</v>
      </c>
      <c r="H151">
        <f>[2]TongHop!H151</f>
        <v>0</v>
      </c>
      <c r="I151">
        <f>[2]TongHop!I151</f>
        <v>0</v>
      </c>
      <c r="J151">
        <f>[2]TongHop!J151</f>
        <v>0</v>
      </c>
      <c r="K151">
        <f>[2]TongHop!K151</f>
        <v>0</v>
      </c>
      <c r="L151">
        <f>[2]TongHop!L151</f>
        <v>0</v>
      </c>
      <c r="M151">
        <f>[2]TongHop!M151</f>
        <v>0</v>
      </c>
      <c r="N151">
        <f>[2]TongHop!N151</f>
        <v>0</v>
      </c>
    </row>
    <row r="152" spans="1:14">
      <c r="A152">
        <f>[2]TongHop!A152</f>
        <v>0</v>
      </c>
      <c r="B152">
        <f>[2]TongHop!B152</f>
        <v>0</v>
      </c>
      <c r="C152">
        <f>[2]TongHop!C152</f>
        <v>0</v>
      </c>
      <c r="D152">
        <f>[2]TongHop!D152</f>
        <v>0</v>
      </c>
      <c r="E152">
        <f>[2]TongHop!E152</f>
        <v>0</v>
      </c>
      <c r="F152">
        <f>[2]TongHop!F152</f>
        <v>0</v>
      </c>
      <c r="G152">
        <f>[2]TongHop!G152</f>
        <v>0</v>
      </c>
      <c r="H152">
        <f>[2]TongHop!H152</f>
        <v>0</v>
      </c>
      <c r="I152">
        <f>[2]TongHop!I152</f>
        <v>0</v>
      </c>
      <c r="J152">
        <f>[2]TongHop!J152</f>
        <v>0</v>
      </c>
      <c r="K152">
        <f>[2]TongHop!K152</f>
        <v>0</v>
      </c>
      <c r="L152">
        <f>[2]TongHop!L152</f>
        <v>0</v>
      </c>
      <c r="M152">
        <f>[2]TongHop!M152</f>
        <v>0</v>
      </c>
      <c r="N152">
        <f>[2]TongHop!N152</f>
        <v>0</v>
      </c>
    </row>
    <row r="153" spans="1:14">
      <c r="A153">
        <f>[2]TongHop!A153</f>
        <v>0</v>
      </c>
      <c r="B153">
        <f>[2]TongHop!B153</f>
        <v>0</v>
      </c>
      <c r="C153">
        <f>[2]TongHop!C153</f>
        <v>0</v>
      </c>
      <c r="D153">
        <f>[2]TongHop!D153</f>
        <v>0</v>
      </c>
      <c r="E153">
        <f>[2]TongHop!E153</f>
        <v>0</v>
      </c>
      <c r="F153">
        <f>[2]TongHop!F153</f>
        <v>0</v>
      </c>
      <c r="G153">
        <f>[2]TongHop!G153</f>
        <v>0</v>
      </c>
      <c r="H153">
        <f>[2]TongHop!H153</f>
        <v>0</v>
      </c>
      <c r="I153">
        <f>[2]TongHop!I153</f>
        <v>0</v>
      </c>
      <c r="J153">
        <f>[2]TongHop!J153</f>
        <v>0</v>
      </c>
      <c r="K153">
        <f>[2]TongHop!K153</f>
        <v>0</v>
      </c>
      <c r="L153">
        <f>[2]TongHop!L153</f>
        <v>0</v>
      </c>
      <c r="M153">
        <f>[2]TongHop!M153</f>
        <v>0</v>
      </c>
      <c r="N153">
        <f>[2]TongHop!N153</f>
        <v>0</v>
      </c>
    </row>
    <row r="154" spans="1:14">
      <c r="A154">
        <f>[2]TongHop!A154</f>
        <v>0</v>
      </c>
      <c r="B154">
        <f>[2]TongHop!B154</f>
        <v>0</v>
      </c>
      <c r="C154">
        <f>[2]TongHop!C154</f>
        <v>0</v>
      </c>
      <c r="D154">
        <f>[2]TongHop!D154</f>
        <v>0</v>
      </c>
      <c r="E154">
        <f>[2]TongHop!E154</f>
        <v>0</v>
      </c>
      <c r="F154">
        <f>[2]TongHop!F154</f>
        <v>0</v>
      </c>
      <c r="G154">
        <f>[2]TongHop!G154</f>
        <v>0</v>
      </c>
      <c r="H154">
        <f>[2]TongHop!H154</f>
        <v>0</v>
      </c>
      <c r="I154">
        <f>[2]TongHop!I154</f>
        <v>0</v>
      </c>
      <c r="J154">
        <f>[2]TongHop!J154</f>
        <v>0</v>
      </c>
      <c r="K154">
        <f>[2]TongHop!K154</f>
        <v>0</v>
      </c>
      <c r="L154">
        <f>[2]TongHop!L154</f>
        <v>0</v>
      </c>
      <c r="M154">
        <f>[2]TongHop!M154</f>
        <v>0</v>
      </c>
      <c r="N154">
        <f>[2]TongHop!N154</f>
        <v>0</v>
      </c>
    </row>
    <row r="155" spans="1:14">
      <c r="A155">
        <f>[2]TongHop!A155</f>
        <v>0</v>
      </c>
      <c r="B155">
        <f>[2]TongHop!B155</f>
        <v>0</v>
      </c>
      <c r="C155">
        <f>[2]TongHop!C155</f>
        <v>0</v>
      </c>
      <c r="D155">
        <f>[2]TongHop!D155</f>
        <v>0</v>
      </c>
      <c r="E155">
        <f>[2]TongHop!E155</f>
        <v>0</v>
      </c>
      <c r="F155">
        <f>[2]TongHop!F155</f>
        <v>0</v>
      </c>
      <c r="G155">
        <f>[2]TongHop!G155</f>
        <v>0</v>
      </c>
      <c r="H155">
        <f>[2]TongHop!H155</f>
        <v>0</v>
      </c>
      <c r="I155">
        <f>[2]TongHop!I155</f>
        <v>0</v>
      </c>
      <c r="J155">
        <f>[2]TongHop!J155</f>
        <v>0</v>
      </c>
      <c r="K155">
        <f>[2]TongHop!K155</f>
        <v>0</v>
      </c>
      <c r="L155">
        <f>[2]TongHop!L155</f>
        <v>0</v>
      </c>
      <c r="M155">
        <f>[2]TongHop!M155</f>
        <v>0</v>
      </c>
      <c r="N155">
        <f>[2]TongHop!N155</f>
        <v>0</v>
      </c>
    </row>
    <row r="156" spans="1:14">
      <c r="A156">
        <f>[2]TongHop!A156</f>
        <v>0</v>
      </c>
      <c r="B156">
        <f>[2]TongHop!B156</f>
        <v>0</v>
      </c>
      <c r="C156">
        <f>[2]TongHop!C156</f>
        <v>0</v>
      </c>
      <c r="D156">
        <f>[2]TongHop!D156</f>
        <v>0</v>
      </c>
      <c r="E156">
        <f>[2]TongHop!E156</f>
        <v>0</v>
      </c>
      <c r="F156">
        <f>[2]TongHop!F156</f>
        <v>0</v>
      </c>
      <c r="G156">
        <f>[2]TongHop!G156</f>
        <v>0</v>
      </c>
      <c r="H156">
        <f>[2]TongHop!H156</f>
        <v>0</v>
      </c>
      <c r="I156">
        <f>[2]TongHop!I156</f>
        <v>0</v>
      </c>
      <c r="J156">
        <f>[2]TongHop!J156</f>
        <v>0</v>
      </c>
      <c r="K156">
        <f>[2]TongHop!K156</f>
        <v>0</v>
      </c>
      <c r="L156">
        <f>[2]TongHop!L156</f>
        <v>0</v>
      </c>
      <c r="M156">
        <f>[2]TongHop!M156</f>
        <v>0</v>
      </c>
      <c r="N156">
        <f>[2]TongHop!N156</f>
        <v>0</v>
      </c>
    </row>
    <row r="157" spans="1:14">
      <c r="A157">
        <f>[2]TongHop!A157</f>
        <v>0</v>
      </c>
      <c r="B157">
        <f>[2]TongHop!B157</f>
        <v>0</v>
      </c>
      <c r="C157">
        <f>[2]TongHop!C157</f>
        <v>0</v>
      </c>
      <c r="D157">
        <f>[2]TongHop!D157</f>
        <v>0</v>
      </c>
      <c r="E157">
        <f>[2]TongHop!E157</f>
        <v>0</v>
      </c>
      <c r="F157">
        <f>[2]TongHop!F157</f>
        <v>0</v>
      </c>
      <c r="G157">
        <f>[2]TongHop!G157</f>
        <v>0</v>
      </c>
      <c r="H157">
        <f>[2]TongHop!H157</f>
        <v>0</v>
      </c>
      <c r="I157">
        <f>[2]TongHop!I157</f>
        <v>0</v>
      </c>
      <c r="J157">
        <f>[2]TongHop!J157</f>
        <v>0</v>
      </c>
      <c r="K157">
        <f>[2]TongHop!K157</f>
        <v>0</v>
      </c>
      <c r="L157">
        <f>[2]TongHop!L157</f>
        <v>0</v>
      </c>
      <c r="M157">
        <f>[2]TongHop!M157</f>
        <v>0</v>
      </c>
      <c r="N157">
        <f>[2]TongHop!N157</f>
        <v>0</v>
      </c>
    </row>
    <row r="158" spans="1:14">
      <c r="A158">
        <f>[2]TongHop!A158</f>
        <v>0</v>
      </c>
      <c r="B158">
        <f>[2]TongHop!B158</f>
        <v>0</v>
      </c>
      <c r="C158">
        <f>[2]TongHop!C158</f>
        <v>0</v>
      </c>
      <c r="D158">
        <f>[2]TongHop!D158</f>
        <v>0</v>
      </c>
      <c r="E158">
        <f>[2]TongHop!E158</f>
        <v>0</v>
      </c>
      <c r="F158">
        <f>[2]TongHop!F158</f>
        <v>0</v>
      </c>
      <c r="G158">
        <f>[2]TongHop!G158</f>
        <v>0</v>
      </c>
      <c r="H158">
        <f>[2]TongHop!H158</f>
        <v>0</v>
      </c>
      <c r="I158">
        <f>[2]TongHop!I158</f>
        <v>0</v>
      </c>
      <c r="J158">
        <f>[2]TongHop!J158</f>
        <v>0</v>
      </c>
      <c r="K158">
        <f>[2]TongHop!K158</f>
        <v>0</v>
      </c>
      <c r="L158">
        <f>[2]TongHop!L158</f>
        <v>0</v>
      </c>
      <c r="M158">
        <f>[2]TongHop!M158</f>
        <v>0</v>
      </c>
      <c r="N158">
        <f>[2]TongHop!N158</f>
        <v>0</v>
      </c>
    </row>
    <row r="159" spans="1:14">
      <c r="A159">
        <f>[2]TongHop!A159</f>
        <v>0</v>
      </c>
      <c r="B159">
        <f>[2]TongHop!B159</f>
        <v>0</v>
      </c>
      <c r="C159">
        <f>[2]TongHop!C159</f>
        <v>0</v>
      </c>
      <c r="D159">
        <f>[2]TongHop!D159</f>
        <v>0</v>
      </c>
      <c r="E159">
        <f>[2]TongHop!E159</f>
        <v>0</v>
      </c>
      <c r="F159">
        <f>[2]TongHop!F159</f>
        <v>0</v>
      </c>
      <c r="G159">
        <f>[2]TongHop!G159</f>
        <v>0</v>
      </c>
      <c r="H159">
        <f>[2]TongHop!H159</f>
        <v>0</v>
      </c>
      <c r="I159">
        <f>[2]TongHop!I159</f>
        <v>0</v>
      </c>
      <c r="J159">
        <f>[2]TongHop!J159</f>
        <v>0</v>
      </c>
      <c r="K159">
        <f>[2]TongHop!K159</f>
        <v>0</v>
      </c>
      <c r="L159">
        <f>[2]TongHop!L159</f>
        <v>0</v>
      </c>
      <c r="M159">
        <f>[2]TongHop!M159</f>
        <v>0</v>
      </c>
      <c r="N159">
        <f>[2]TongHop!N159</f>
        <v>0</v>
      </c>
    </row>
    <row r="160" spans="1:14">
      <c r="A160">
        <f>[2]TongHop!A160</f>
        <v>0</v>
      </c>
      <c r="B160">
        <f>[2]TongHop!B160</f>
        <v>0</v>
      </c>
      <c r="C160">
        <f>[2]TongHop!C160</f>
        <v>0</v>
      </c>
      <c r="D160">
        <f>[2]TongHop!D160</f>
        <v>0</v>
      </c>
      <c r="E160">
        <f>[2]TongHop!E160</f>
        <v>0</v>
      </c>
      <c r="F160">
        <f>[2]TongHop!F160</f>
        <v>0</v>
      </c>
      <c r="G160">
        <f>[2]TongHop!G160</f>
        <v>0</v>
      </c>
      <c r="H160">
        <f>[2]TongHop!H160</f>
        <v>0</v>
      </c>
      <c r="I160">
        <f>[2]TongHop!I160</f>
        <v>0</v>
      </c>
      <c r="J160">
        <f>[2]TongHop!J160</f>
        <v>0</v>
      </c>
      <c r="K160">
        <f>[2]TongHop!K160</f>
        <v>0</v>
      </c>
      <c r="L160">
        <f>[2]TongHop!L160</f>
        <v>0</v>
      </c>
      <c r="M160">
        <f>[2]TongHop!M160</f>
        <v>0</v>
      </c>
      <c r="N160">
        <f>[2]TongHop!N160</f>
        <v>0</v>
      </c>
    </row>
    <row r="161" spans="1:14">
      <c r="A161">
        <f>[2]TongHop!A161</f>
        <v>0</v>
      </c>
      <c r="B161">
        <f>[2]TongHop!B161</f>
        <v>0</v>
      </c>
      <c r="C161">
        <f>[2]TongHop!C161</f>
        <v>0</v>
      </c>
      <c r="D161">
        <f>[2]TongHop!D161</f>
        <v>0</v>
      </c>
      <c r="E161">
        <f>[2]TongHop!E161</f>
        <v>0</v>
      </c>
      <c r="F161">
        <f>[2]TongHop!F161</f>
        <v>0</v>
      </c>
      <c r="G161">
        <f>[2]TongHop!G161</f>
        <v>0</v>
      </c>
      <c r="H161">
        <f>[2]TongHop!H161</f>
        <v>0</v>
      </c>
      <c r="I161">
        <f>[2]TongHop!I161</f>
        <v>0</v>
      </c>
      <c r="J161">
        <f>[2]TongHop!J161</f>
        <v>0</v>
      </c>
      <c r="K161">
        <f>[2]TongHop!K161</f>
        <v>0</v>
      </c>
      <c r="L161">
        <f>[2]TongHop!L161</f>
        <v>0</v>
      </c>
      <c r="M161">
        <f>[2]TongHop!M161</f>
        <v>0</v>
      </c>
      <c r="N161">
        <f>[2]TongHop!N161</f>
        <v>0</v>
      </c>
    </row>
    <row r="162" spans="1:14">
      <c r="A162">
        <f>[2]TongHop!A162</f>
        <v>0</v>
      </c>
      <c r="B162">
        <f>[2]TongHop!B162</f>
        <v>0</v>
      </c>
      <c r="C162">
        <f>[2]TongHop!C162</f>
        <v>0</v>
      </c>
      <c r="D162">
        <f>[2]TongHop!D162</f>
        <v>0</v>
      </c>
      <c r="E162">
        <f>[2]TongHop!E162</f>
        <v>0</v>
      </c>
      <c r="F162">
        <f>[2]TongHop!F162</f>
        <v>0</v>
      </c>
      <c r="G162">
        <f>[2]TongHop!G162</f>
        <v>0</v>
      </c>
      <c r="H162">
        <f>[2]TongHop!H162</f>
        <v>0</v>
      </c>
      <c r="I162">
        <f>[2]TongHop!I162</f>
        <v>0</v>
      </c>
      <c r="J162">
        <f>[2]TongHop!J162</f>
        <v>0</v>
      </c>
      <c r="K162">
        <f>[2]TongHop!K162</f>
        <v>0</v>
      </c>
      <c r="L162">
        <f>[2]TongHop!L162</f>
        <v>0</v>
      </c>
      <c r="M162">
        <f>[2]TongHop!M162</f>
        <v>0</v>
      </c>
      <c r="N162">
        <f>[2]TongHop!N162</f>
        <v>0</v>
      </c>
    </row>
    <row r="163" spans="1:14">
      <c r="A163">
        <f>[2]TongHop!A163</f>
        <v>0</v>
      </c>
      <c r="B163">
        <f>[2]TongHop!B163</f>
        <v>0</v>
      </c>
      <c r="C163">
        <f>[2]TongHop!C163</f>
        <v>0</v>
      </c>
      <c r="D163">
        <f>[2]TongHop!D163</f>
        <v>0</v>
      </c>
      <c r="E163">
        <f>[2]TongHop!E163</f>
        <v>0</v>
      </c>
      <c r="F163">
        <f>[2]TongHop!F163</f>
        <v>0</v>
      </c>
      <c r="G163">
        <f>[2]TongHop!G163</f>
        <v>0</v>
      </c>
      <c r="H163">
        <f>[2]TongHop!H163</f>
        <v>0</v>
      </c>
      <c r="I163">
        <f>[2]TongHop!I163</f>
        <v>0</v>
      </c>
      <c r="J163">
        <f>[2]TongHop!J163</f>
        <v>0</v>
      </c>
      <c r="K163">
        <f>[2]TongHop!K163</f>
        <v>0</v>
      </c>
      <c r="L163">
        <f>[2]TongHop!L163</f>
        <v>0</v>
      </c>
      <c r="M163">
        <f>[2]TongHop!M163</f>
        <v>0</v>
      </c>
      <c r="N163">
        <f>[2]TongHop!N163</f>
        <v>0</v>
      </c>
    </row>
    <row r="164" spans="1:14">
      <c r="A164">
        <f>[2]TongHop!A164</f>
        <v>0</v>
      </c>
      <c r="B164">
        <f>[2]TongHop!B164</f>
        <v>0</v>
      </c>
      <c r="C164">
        <f>[2]TongHop!C164</f>
        <v>0</v>
      </c>
      <c r="D164">
        <f>[2]TongHop!D164</f>
        <v>0</v>
      </c>
      <c r="E164">
        <f>[2]TongHop!E164</f>
        <v>0</v>
      </c>
      <c r="F164">
        <f>[2]TongHop!F164</f>
        <v>0</v>
      </c>
      <c r="G164">
        <f>[2]TongHop!G164</f>
        <v>0</v>
      </c>
      <c r="H164">
        <f>[2]TongHop!H164</f>
        <v>0</v>
      </c>
      <c r="I164">
        <f>[2]TongHop!I164</f>
        <v>0</v>
      </c>
      <c r="J164">
        <f>[2]TongHop!J164</f>
        <v>0</v>
      </c>
      <c r="K164">
        <f>[2]TongHop!K164</f>
        <v>0</v>
      </c>
      <c r="L164">
        <f>[2]TongHop!L164</f>
        <v>0</v>
      </c>
      <c r="M164">
        <f>[2]TongHop!M164</f>
        <v>0</v>
      </c>
      <c r="N164">
        <f>[2]TongHop!N164</f>
        <v>0</v>
      </c>
    </row>
    <row r="165" spans="1:14">
      <c r="A165">
        <f>[2]TongHop!A165</f>
        <v>0</v>
      </c>
      <c r="B165">
        <f>[2]TongHop!B165</f>
        <v>0</v>
      </c>
      <c r="C165">
        <f>[2]TongHop!C165</f>
        <v>0</v>
      </c>
      <c r="D165">
        <f>[2]TongHop!D165</f>
        <v>0</v>
      </c>
      <c r="E165">
        <f>[2]TongHop!E165</f>
        <v>0</v>
      </c>
      <c r="F165">
        <f>[2]TongHop!F165</f>
        <v>0</v>
      </c>
      <c r="G165">
        <f>[2]TongHop!G165</f>
        <v>0</v>
      </c>
      <c r="H165">
        <f>[2]TongHop!H165</f>
        <v>0</v>
      </c>
      <c r="I165">
        <f>[2]TongHop!I165</f>
        <v>0</v>
      </c>
      <c r="J165">
        <f>[2]TongHop!J165</f>
        <v>0</v>
      </c>
      <c r="K165">
        <f>[2]TongHop!K165</f>
        <v>0</v>
      </c>
      <c r="L165">
        <f>[2]TongHop!L165</f>
        <v>0</v>
      </c>
      <c r="M165">
        <f>[2]TongHop!M165</f>
        <v>0</v>
      </c>
      <c r="N165">
        <f>[2]TongHop!N165</f>
        <v>0</v>
      </c>
    </row>
    <row r="166" spans="1:14">
      <c r="A166">
        <f>[2]TongHop!A166</f>
        <v>0</v>
      </c>
      <c r="B166">
        <f>[2]TongHop!B166</f>
        <v>0</v>
      </c>
      <c r="C166">
        <f>[2]TongHop!C166</f>
        <v>0</v>
      </c>
      <c r="D166">
        <f>[2]TongHop!D166</f>
        <v>0</v>
      </c>
      <c r="E166">
        <f>[2]TongHop!E166</f>
        <v>0</v>
      </c>
      <c r="F166">
        <f>[2]TongHop!F166</f>
        <v>0</v>
      </c>
      <c r="G166">
        <f>[2]TongHop!G166</f>
        <v>0</v>
      </c>
      <c r="H166">
        <f>[2]TongHop!H166</f>
        <v>0</v>
      </c>
      <c r="I166">
        <f>[2]TongHop!I166</f>
        <v>0</v>
      </c>
      <c r="J166">
        <f>[2]TongHop!J166</f>
        <v>0</v>
      </c>
      <c r="K166">
        <f>[2]TongHop!K166</f>
        <v>0</v>
      </c>
      <c r="L166">
        <f>[2]TongHop!L166</f>
        <v>0</v>
      </c>
      <c r="M166">
        <f>[2]TongHop!M166</f>
        <v>0</v>
      </c>
      <c r="N166">
        <f>[2]TongHop!N166</f>
        <v>0</v>
      </c>
    </row>
    <row r="167" spans="1:14">
      <c r="A167">
        <f>[2]TongHop!A167</f>
        <v>0</v>
      </c>
      <c r="B167">
        <f>[2]TongHop!B167</f>
        <v>0</v>
      </c>
      <c r="C167">
        <f>[2]TongHop!C167</f>
        <v>0</v>
      </c>
      <c r="D167">
        <f>[2]TongHop!D167</f>
        <v>0</v>
      </c>
      <c r="E167">
        <f>[2]TongHop!E167</f>
        <v>0</v>
      </c>
      <c r="F167">
        <f>[2]TongHop!F167</f>
        <v>0</v>
      </c>
      <c r="G167">
        <f>[2]TongHop!G167</f>
        <v>0</v>
      </c>
      <c r="H167">
        <f>[2]TongHop!H167</f>
        <v>0</v>
      </c>
      <c r="I167">
        <f>[2]TongHop!I167</f>
        <v>0</v>
      </c>
      <c r="J167">
        <f>[2]TongHop!J167</f>
        <v>0</v>
      </c>
      <c r="K167">
        <f>[2]TongHop!K167</f>
        <v>0</v>
      </c>
      <c r="L167">
        <f>[2]TongHop!L167</f>
        <v>0</v>
      </c>
      <c r="M167">
        <f>[2]TongHop!M167</f>
        <v>0</v>
      </c>
      <c r="N167">
        <f>[2]TongHop!N167</f>
        <v>0</v>
      </c>
    </row>
    <row r="168" spans="1:14">
      <c r="A168">
        <f>[2]TongHop!A168</f>
        <v>0</v>
      </c>
      <c r="B168">
        <f>[2]TongHop!B168</f>
        <v>0</v>
      </c>
      <c r="C168">
        <f>[2]TongHop!C168</f>
        <v>0</v>
      </c>
      <c r="D168">
        <f>[2]TongHop!D168</f>
        <v>0</v>
      </c>
      <c r="E168">
        <f>[2]TongHop!E168</f>
        <v>0</v>
      </c>
      <c r="F168">
        <f>[2]TongHop!F168</f>
        <v>0</v>
      </c>
      <c r="G168">
        <f>[2]TongHop!G168</f>
        <v>0</v>
      </c>
      <c r="H168">
        <f>[2]TongHop!H168</f>
        <v>0</v>
      </c>
      <c r="I168">
        <f>[2]TongHop!I168</f>
        <v>0</v>
      </c>
      <c r="J168">
        <f>[2]TongHop!J168</f>
        <v>0</v>
      </c>
      <c r="K168">
        <f>[2]TongHop!K168</f>
        <v>0</v>
      </c>
      <c r="L168">
        <f>[2]TongHop!L168</f>
        <v>0</v>
      </c>
      <c r="M168">
        <f>[2]TongHop!M168</f>
        <v>0</v>
      </c>
      <c r="N168">
        <f>[2]TongHop!N168</f>
        <v>0</v>
      </c>
    </row>
    <row r="169" spans="1:14">
      <c r="A169">
        <f>[2]TongHop!A169</f>
        <v>0</v>
      </c>
      <c r="B169">
        <f>[2]TongHop!B169</f>
        <v>0</v>
      </c>
      <c r="C169">
        <f>[2]TongHop!C169</f>
        <v>0</v>
      </c>
      <c r="D169">
        <f>[2]TongHop!D169</f>
        <v>0</v>
      </c>
      <c r="E169">
        <f>[2]TongHop!E169</f>
        <v>0</v>
      </c>
      <c r="F169">
        <f>[2]TongHop!F169</f>
        <v>0</v>
      </c>
      <c r="G169">
        <f>[2]TongHop!G169</f>
        <v>0</v>
      </c>
      <c r="H169">
        <f>[2]TongHop!H169</f>
        <v>0</v>
      </c>
      <c r="I169">
        <f>[2]TongHop!I169</f>
        <v>0</v>
      </c>
      <c r="J169">
        <f>[2]TongHop!J169</f>
        <v>0</v>
      </c>
      <c r="K169">
        <f>[2]TongHop!K169</f>
        <v>0</v>
      </c>
      <c r="L169">
        <f>[2]TongHop!L169</f>
        <v>0</v>
      </c>
      <c r="M169">
        <f>[2]TongHop!M169</f>
        <v>0</v>
      </c>
      <c r="N169">
        <f>[2]TongHop!N169</f>
        <v>0</v>
      </c>
    </row>
    <row r="170" spans="1:14">
      <c r="A170">
        <f>[2]TongHop!A170</f>
        <v>0</v>
      </c>
      <c r="B170">
        <f>[2]TongHop!B170</f>
        <v>0</v>
      </c>
      <c r="C170">
        <f>[2]TongHop!C170</f>
        <v>0</v>
      </c>
      <c r="D170">
        <f>[2]TongHop!D170</f>
        <v>0</v>
      </c>
      <c r="E170">
        <f>[2]TongHop!E170</f>
        <v>0</v>
      </c>
      <c r="F170">
        <f>[2]TongHop!F170</f>
        <v>0</v>
      </c>
      <c r="G170">
        <f>[2]TongHop!G170</f>
        <v>0</v>
      </c>
      <c r="H170">
        <f>[2]TongHop!H170</f>
        <v>0</v>
      </c>
      <c r="I170">
        <f>[2]TongHop!I170</f>
        <v>0</v>
      </c>
      <c r="J170">
        <f>[2]TongHop!J170</f>
        <v>0</v>
      </c>
      <c r="K170">
        <f>[2]TongHop!K170</f>
        <v>0</v>
      </c>
      <c r="L170">
        <f>[2]TongHop!L170</f>
        <v>0</v>
      </c>
      <c r="M170">
        <f>[2]TongHop!M170</f>
        <v>0</v>
      </c>
      <c r="N170">
        <f>[2]TongHop!N170</f>
        <v>0</v>
      </c>
    </row>
    <row r="171" spans="1:14">
      <c r="A171">
        <f>[2]TongHop!A171</f>
        <v>0</v>
      </c>
      <c r="B171">
        <f>[2]TongHop!B171</f>
        <v>0</v>
      </c>
      <c r="C171">
        <f>[2]TongHop!C171</f>
        <v>0</v>
      </c>
      <c r="D171">
        <f>[2]TongHop!D171</f>
        <v>0</v>
      </c>
      <c r="E171">
        <f>[2]TongHop!E171</f>
        <v>0</v>
      </c>
      <c r="F171">
        <f>[2]TongHop!F171</f>
        <v>0</v>
      </c>
      <c r="G171">
        <f>[2]TongHop!G171</f>
        <v>0</v>
      </c>
      <c r="H171">
        <f>[2]TongHop!H171</f>
        <v>0</v>
      </c>
      <c r="I171">
        <f>[2]TongHop!I171</f>
        <v>0</v>
      </c>
      <c r="J171">
        <f>[2]TongHop!J171</f>
        <v>0</v>
      </c>
      <c r="K171">
        <f>[2]TongHop!K171</f>
        <v>0</v>
      </c>
      <c r="L171">
        <f>[2]TongHop!L171</f>
        <v>0</v>
      </c>
      <c r="M171">
        <f>[2]TongHop!M171</f>
        <v>0</v>
      </c>
      <c r="N171">
        <f>[2]TongHop!N171</f>
        <v>0</v>
      </c>
    </row>
    <row r="172" spans="1:14">
      <c r="A172">
        <f>[2]TongHop!A172</f>
        <v>0</v>
      </c>
      <c r="B172">
        <f>[2]TongHop!B172</f>
        <v>0</v>
      </c>
      <c r="C172">
        <f>[2]TongHop!C172</f>
        <v>0</v>
      </c>
      <c r="D172">
        <f>[2]TongHop!D172</f>
        <v>0</v>
      </c>
      <c r="E172">
        <f>[2]TongHop!E172</f>
        <v>0</v>
      </c>
      <c r="F172">
        <f>[2]TongHop!F172</f>
        <v>0</v>
      </c>
      <c r="G172">
        <f>[2]TongHop!G172</f>
        <v>0</v>
      </c>
      <c r="H172">
        <f>[2]TongHop!H172</f>
        <v>0</v>
      </c>
      <c r="I172">
        <f>[2]TongHop!I172</f>
        <v>0</v>
      </c>
      <c r="J172">
        <f>[2]TongHop!J172</f>
        <v>0</v>
      </c>
      <c r="K172">
        <f>[2]TongHop!K172</f>
        <v>0</v>
      </c>
      <c r="L172">
        <f>[2]TongHop!L172</f>
        <v>0</v>
      </c>
      <c r="M172">
        <f>[2]TongHop!M172</f>
        <v>0</v>
      </c>
      <c r="N172">
        <f>[2]TongHop!N172</f>
        <v>0</v>
      </c>
    </row>
    <row r="173" spans="1:14">
      <c r="A173">
        <f>[2]TongHop!A173</f>
        <v>0</v>
      </c>
      <c r="B173">
        <f>[2]TongHop!B173</f>
        <v>0</v>
      </c>
      <c r="C173">
        <f>[2]TongHop!C173</f>
        <v>0</v>
      </c>
      <c r="D173">
        <f>[2]TongHop!D173</f>
        <v>0</v>
      </c>
      <c r="E173">
        <f>[2]TongHop!E173</f>
        <v>0</v>
      </c>
      <c r="F173">
        <f>[2]TongHop!F173</f>
        <v>0</v>
      </c>
      <c r="G173">
        <f>[2]TongHop!G173</f>
        <v>0</v>
      </c>
      <c r="H173">
        <f>[2]TongHop!H173</f>
        <v>0</v>
      </c>
      <c r="I173">
        <f>[2]TongHop!I173</f>
        <v>0</v>
      </c>
      <c r="J173">
        <f>[2]TongHop!J173</f>
        <v>0</v>
      </c>
      <c r="K173">
        <f>[2]TongHop!K173</f>
        <v>0</v>
      </c>
      <c r="L173">
        <f>[2]TongHop!L173</f>
        <v>0</v>
      </c>
      <c r="M173">
        <f>[2]TongHop!M173</f>
        <v>0</v>
      </c>
      <c r="N173">
        <f>[2]TongHop!N173</f>
        <v>0</v>
      </c>
    </row>
    <row r="174" spans="1:14">
      <c r="A174">
        <f>[2]TongHop!A174</f>
        <v>0</v>
      </c>
      <c r="B174">
        <f>[2]TongHop!B174</f>
        <v>0</v>
      </c>
      <c r="C174">
        <f>[2]TongHop!C174</f>
        <v>0</v>
      </c>
      <c r="D174">
        <f>[2]TongHop!D174</f>
        <v>0</v>
      </c>
      <c r="E174">
        <f>[2]TongHop!E174</f>
        <v>0</v>
      </c>
      <c r="F174">
        <f>[2]TongHop!F174</f>
        <v>0</v>
      </c>
      <c r="G174">
        <f>[2]TongHop!G174</f>
        <v>0</v>
      </c>
      <c r="H174">
        <f>[2]TongHop!H174</f>
        <v>0</v>
      </c>
      <c r="I174">
        <f>[2]TongHop!I174</f>
        <v>0</v>
      </c>
      <c r="J174">
        <f>[2]TongHop!J174</f>
        <v>0</v>
      </c>
      <c r="K174">
        <f>[2]TongHop!K174</f>
        <v>0</v>
      </c>
      <c r="L174">
        <f>[2]TongHop!L174</f>
        <v>0</v>
      </c>
      <c r="M174">
        <f>[2]TongHop!M174</f>
        <v>0</v>
      </c>
      <c r="N174">
        <f>[2]TongHop!N174</f>
        <v>0</v>
      </c>
    </row>
    <row r="175" spans="1:14">
      <c r="A175">
        <f>[2]TongHop!A175</f>
        <v>0</v>
      </c>
      <c r="B175">
        <f>[2]TongHop!B175</f>
        <v>0</v>
      </c>
      <c r="C175">
        <f>[2]TongHop!C175</f>
        <v>0</v>
      </c>
      <c r="D175">
        <f>[2]TongHop!D175</f>
        <v>0</v>
      </c>
      <c r="E175">
        <f>[2]TongHop!E175</f>
        <v>0</v>
      </c>
      <c r="F175">
        <f>[2]TongHop!F175</f>
        <v>0</v>
      </c>
      <c r="G175">
        <f>[2]TongHop!G175</f>
        <v>0</v>
      </c>
      <c r="H175">
        <f>[2]TongHop!H175</f>
        <v>0</v>
      </c>
      <c r="I175">
        <f>[2]TongHop!I175</f>
        <v>0</v>
      </c>
      <c r="J175">
        <f>[2]TongHop!J175</f>
        <v>0</v>
      </c>
      <c r="K175">
        <f>[2]TongHop!K175</f>
        <v>0</v>
      </c>
      <c r="L175">
        <f>[2]TongHop!L175</f>
        <v>0</v>
      </c>
      <c r="M175">
        <f>[2]TongHop!M175</f>
        <v>0</v>
      </c>
      <c r="N175">
        <f>[2]TongHop!N175</f>
        <v>0</v>
      </c>
    </row>
    <row r="176" spans="1:14">
      <c r="A176">
        <f>[2]TongHop!A176</f>
        <v>0</v>
      </c>
      <c r="B176">
        <f>[2]TongHop!B176</f>
        <v>0</v>
      </c>
      <c r="C176">
        <f>[2]TongHop!C176</f>
        <v>0</v>
      </c>
      <c r="D176">
        <f>[2]TongHop!D176</f>
        <v>0</v>
      </c>
      <c r="E176">
        <f>[2]TongHop!E176</f>
        <v>0</v>
      </c>
      <c r="F176">
        <f>[2]TongHop!F176</f>
        <v>0</v>
      </c>
      <c r="G176">
        <f>[2]TongHop!G176</f>
        <v>0</v>
      </c>
      <c r="H176">
        <f>[2]TongHop!H176</f>
        <v>0</v>
      </c>
      <c r="I176">
        <f>[2]TongHop!I176</f>
        <v>0</v>
      </c>
      <c r="J176">
        <f>[2]TongHop!J176</f>
        <v>0</v>
      </c>
      <c r="K176">
        <f>[2]TongHop!K176</f>
        <v>0</v>
      </c>
      <c r="L176">
        <f>[2]TongHop!L176</f>
        <v>0</v>
      </c>
      <c r="M176">
        <f>[2]TongHop!M176</f>
        <v>0</v>
      </c>
      <c r="N176">
        <f>[2]TongHop!N176</f>
        <v>0</v>
      </c>
    </row>
    <row r="177" spans="1:14">
      <c r="A177">
        <f>[2]TongHop!A177</f>
        <v>0</v>
      </c>
      <c r="B177">
        <f>[2]TongHop!B177</f>
        <v>0</v>
      </c>
      <c r="C177">
        <f>[2]TongHop!C177</f>
        <v>0</v>
      </c>
      <c r="D177">
        <f>[2]TongHop!D177</f>
        <v>0</v>
      </c>
      <c r="E177">
        <f>[2]TongHop!E177</f>
        <v>0</v>
      </c>
      <c r="F177">
        <f>[2]TongHop!F177</f>
        <v>0</v>
      </c>
      <c r="G177">
        <f>[2]TongHop!G177</f>
        <v>0</v>
      </c>
      <c r="H177">
        <f>[2]TongHop!H177</f>
        <v>0</v>
      </c>
      <c r="I177">
        <f>[2]TongHop!I177</f>
        <v>0</v>
      </c>
      <c r="J177">
        <f>[2]TongHop!J177</f>
        <v>0</v>
      </c>
      <c r="K177">
        <f>[2]TongHop!K177</f>
        <v>0</v>
      </c>
      <c r="L177">
        <f>[2]TongHop!L177</f>
        <v>0</v>
      </c>
      <c r="M177">
        <f>[2]TongHop!M177</f>
        <v>0</v>
      </c>
      <c r="N177">
        <f>[2]TongHop!N177</f>
        <v>0</v>
      </c>
    </row>
    <row r="178" spans="1:14">
      <c r="A178">
        <f>[2]TongHop!A178</f>
        <v>0</v>
      </c>
      <c r="B178">
        <f>[2]TongHop!B178</f>
        <v>0</v>
      </c>
      <c r="C178">
        <f>[2]TongHop!C178</f>
        <v>0</v>
      </c>
      <c r="D178">
        <f>[2]TongHop!D178</f>
        <v>0</v>
      </c>
      <c r="E178">
        <f>[2]TongHop!E178</f>
        <v>0</v>
      </c>
      <c r="F178">
        <f>[2]TongHop!F178</f>
        <v>0</v>
      </c>
      <c r="G178">
        <f>[2]TongHop!G178</f>
        <v>0</v>
      </c>
      <c r="H178">
        <f>[2]TongHop!H178</f>
        <v>0</v>
      </c>
      <c r="I178">
        <f>[2]TongHop!I178</f>
        <v>0</v>
      </c>
      <c r="J178">
        <f>[2]TongHop!J178</f>
        <v>0</v>
      </c>
      <c r="K178">
        <f>[2]TongHop!K178</f>
        <v>0</v>
      </c>
      <c r="L178">
        <f>[2]TongHop!L178</f>
        <v>0</v>
      </c>
      <c r="M178">
        <f>[2]TongHop!M178</f>
        <v>0</v>
      </c>
      <c r="N178">
        <f>[2]TongHop!N178</f>
        <v>0</v>
      </c>
    </row>
    <row r="179" spans="1:14">
      <c r="A179">
        <f>[2]TongHop!A179</f>
        <v>0</v>
      </c>
      <c r="B179">
        <f>[2]TongHop!B179</f>
        <v>0</v>
      </c>
      <c r="C179">
        <f>[2]TongHop!C179</f>
        <v>0</v>
      </c>
      <c r="D179">
        <f>[2]TongHop!D179</f>
        <v>0</v>
      </c>
      <c r="E179">
        <f>[2]TongHop!E179</f>
        <v>0</v>
      </c>
      <c r="F179">
        <f>[2]TongHop!F179</f>
        <v>0</v>
      </c>
      <c r="G179">
        <f>[2]TongHop!G179</f>
        <v>0</v>
      </c>
      <c r="H179">
        <f>[2]TongHop!H179</f>
        <v>0</v>
      </c>
      <c r="I179">
        <f>[2]TongHop!I179</f>
        <v>0</v>
      </c>
      <c r="J179">
        <f>[2]TongHop!J179</f>
        <v>0</v>
      </c>
      <c r="K179">
        <f>[2]TongHop!K179</f>
        <v>0</v>
      </c>
      <c r="L179">
        <f>[2]TongHop!L179</f>
        <v>0</v>
      </c>
      <c r="M179">
        <f>[2]TongHop!M179</f>
        <v>0</v>
      </c>
      <c r="N179">
        <f>[2]TongHop!N179</f>
        <v>0</v>
      </c>
    </row>
    <row r="180" spans="1:14">
      <c r="A180">
        <f>[2]TongHop!A180</f>
        <v>0</v>
      </c>
      <c r="B180">
        <f>[2]TongHop!B180</f>
        <v>0</v>
      </c>
      <c r="C180">
        <f>[2]TongHop!C180</f>
        <v>0</v>
      </c>
      <c r="D180">
        <f>[2]TongHop!D180</f>
        <v>0</v>
      </c>
      <c r="E180">
        <f>[2]TongHop!E180</f>
        <v>0</v>
      </c>
      <c r="F180">
        <f>[2]TongHop!F180</f>
        <v>0</v>
      </c>
      <c r="G180">
        <f>[2]TongHop!G180</f>
        <v>0</v>
      </c>
      <c r="H180">
        <f>[2]TongHop!H180</f>
        <v>0</v>
      </c>
      <c r="I180">
        <f>[2]TongHop!I180</f>
        <v>0</v>
      </c>
      <c r="J180">
        <f>[2]TongHop!J180</f>
        <v>0</v>
      </c>
      <c r="K180">
        <f>[2]TongHop!K180</f>
        <v>0</v>
      </c>
      <c r="L180">
        <f>[2]TongHop!L180</f>
        <v>0</v>
      </c>
      <c r="M180">
        <f>[2]TongHop!M180</f>
        <v>0</v>
      </c>
      <c r="N180">
        <f>[2]TongHop!N180</f>
        <v>0</v>
      </c>
    </row>
    <row r="181" spans="1:14">
      <c r="A181">
        <f>[2]TongHop!A181</f>
        <v>0</v>
      </c>
      <c r="B181">
        <f>[2]TongHop!B181</f>
        <v>0</v>
      </c>
      <c r="C181">
        <f>[2]TongHop!C181</f>
        <v>0</v>
      </c>
      <c r="D181">
        <f>[2]TongHop!D181</f>
        <v>0</v>
      </c>
      <c r="E181">
        <f>[2]TongHop!E181</f>
        <v>0</v>
      </c>
      <c r="F181">
        <f>[2]TongHop!F181</f>
        <v>0</v>
      </c>
      <c r="G181">
        <f>[2]TongHop!G181</f>
        <v>0</v>
      </c>
      <c r="H181">
        <f>[2]TongHop!H181</f>
        <v>0</v>
      </c>
      <c r="I181">
        <f>[2]TongHop!I181</f>
        <v>0</v>
      </c>
      <c r="J181">
        <f>[2]TongHop!J181</f>
        <v>0</v>
      </c>
      <c r="K181">
        <f>[2]TongHop!K181</f>
        <v>0</v>
      </c>
      <c r="L181">
        <f>[2]TongHop!L181</f>
        <v>0</v>
      </c>
      <c r="M181">
        <f>[2]TongHop!M181</f>
        <v>0</v>
      </c>
      <c r="N181">
        <f>[2]TongHop!N181</f>
        <v>0</v>
      </c>
    </row>
    <row r="182" spans="1:14">
      <c r="A182">
        <f>[2]TongHop!A182</f>
        <v>0</v>
      </c>
      <c r="B182">
        <f>[2]TongHop!B182</f>
        <v>0</v>
      </c>
      <c r="C182">
        <f>[2]TongHop!C182</f>
        <v>0</v>
      </c>
      <c r="D182">
        <f>[2]TongHop!D182</f>
        <v>0</v>
      </c>
      <c r="E182">
        <f>[2]TongHop!E182</f>
        <v>0</v>
      </c>
      <c r="F182">
        <f>[2]TongHop!F182</f>
        <v>0</v>
      </c>
      <c r="G182">
        <f>[2]TongHop!G182</f>
        <v>0</v>
      </c>
      <c r="H182">
        <f>[2]TongHop!H182</f>
        <v>0</v>
      </c>
      <c r="I182">
        <f>[2]TongHop!I182</f>
        <v>0</v>
      </c>
      <c r="J182">
        <f>[2]TongHop!J182</f>
        <v>0</v>
      </c>
      <c r="K182">
        <f>[2]TongHop!K182</f>
        <v>0</v>
      </c>
      <c r="L182">
        <f>[2]TongHop!L182</f>
        <v>0</v>
      </c>
      <c r="M182">
        <f>[2]TongHop!M182</f>
        <v>0</v>
      </c>
      <c r="N182">
        <f>[2]TongHop!N182</f>
        <v>0</v>
      </c>
    </row>
    <row r="183" spans="1:14">
      <c r="A183">
        <f>[2]TongHop!A183</f>
        <v>0</v>
      </c>
      <c r="B183">
        <f>[2]TongHop!B183</f>
        <v>0</v>
      </c>
      <c r="C183">
        <f>[2]TongHop!C183</f>
        <v>0</v>
      </c>
      <c r="D183">
        <f>[2]TongHop!D183</f>
        <v>0</v>
      </c>
      <c r="E183">
        <f>[2]TongHop!E183</f>
        <v>0</v>
      </c>
      <c r="F183">
        <f>[2]TongHop!F183</f>
        <v>0</v>
      </c>
      <c r="G183">
        <f>[2]TongHop!G183</f>
        <v>0</v>
      </c>
      <c r="H183">
        <f>[2]TongHop!H183</f>
        <v>0</v>
      </c>
      <c r="I183">
        <f>[2]TongHop!I183</f>
        <v>0</v>
      </c>
      <c r="J183">
        <f>[2]TongHop!J183</f>
        <v>0</v>
      </c>
      <c r="K183">
        <f>[2]TongHop!K183</f>
        <v>0</v>
      </c>
      <c r="L183">
        <f>[2]TongHop!L183</f>
        <v>0</v>
      </c>
      <c r="M183">
        <f>[2]TongHop!M183</f>
        <v>0</v>
      </c>
      <c r="N183">
        <f>[2]TongHop!N183</f>
        <v>0</v>
      </c>
    </row>
    <row r="184" spans="1:14">
      <c r="A184">
        <f>[2]TongHop!A184</f>
        <v>0</v>
      </c>
      <c r="B184">
        <f>[2]TongHop!B184</f>
        <v>0</v>
      </c>
      <c r="C184">
        <f>[2]TongHop!C184</f>
        <v>0</v>
      </c>
      <c r="D184">
        <f>[2]TongHop!D184</f>
        <v>0</v>
      </c>
      <c r="E184">
        <f>[2]TongHop!E184</f>
        <v>0</v>
      </c>
      <c r="F184">
        <f>[2]TongHop!F184</f>
        <v>0</v>
      </c>
      <c r="G184">
        <f>[2]TongHop!G184</f>
        <v>0</v>
      </c>
      <c r="H184">
        <f>[2]TongHop!H184</f>
        <v>0</v>
      </c>
      <c r="I184">
        <f>[2]TongHop!I184</f>
        <v>0</v>
      </c>
      <c r="J184">
        <f>[2]TongHop!J184</f>
        <v>0</v>
      </c>
      <c r="K184">
        <f>[2]TongHop!K184</f>
        <v>0</v>
      </c>
      <c r="L184">
        <f>[2]TongHop!L184</f>
        <v>0</v>
      </c>
      <c r="M184">
        <f>[2]TongHop!M184</f>
        <v>0</v>
      </c>
      <c r="N184">
        <f>[2]TongHop!N184</f>
        <v>0</v>
      </c>
    </row>
    <row r="185" spans="1:14">
      <c r="A185">
        <f>[2]TongHop!A185</f>
        <v>0</v>
      </c>
      <c r="B185">
        <f>[2]TongHop!B185</f>
        <v>0</v>
      </c>
      <c r="C185">
        <f>[2]TongHop!C185</f>
        <v>0</v>
      </c>
      <c r="D185">
        <f>[2]TongHop!D185</f>
        <v>0</v>
      </c>
      <c r="E185">
        <f>[2]TongHop!E185</f>
        <v>0</v>
      </c>
      <c r="F185">
        <f>[2]TongHop!F185</f>
        <v>0</v>
      </c>
      <c r="G185">
        <f>[2]TongHop!G185</f>
        <v>0</v>
      </c>
      <c r="H185">
        <f>[2]TongHop!H185</f>
        <v>0</v>
      </c>
      <c r="I185">
        <f>[2]TongHop!I185</f>
        <v>0</v>
      </c>
      <c r="J185">
        <f>[2]TongHop!J185</f>
        <v>0</v>
      </c>
      <c r="K185">
        <f>[2]TongHop!K185</f>
        <v>0</v>
      </c>
      <c r="L185">
        <f>[2]TongHop!L185</f>
        <v>0</v>
      </c>
      <c r="M185">
        <f>[2]TongHop!M185</f>
        <v>0</v>
      </c>
      <c r="N185">
        <f>[2]TongHop!N185</f>
        <v>0</v>
      </c>
    </row>
    <row r="186" spans="1:14">
      <c r="A186">
        <f>[2]TongHop!A186</f>
        <v>0</v>
      </c>
      <c r="B186">
        <f>[2]TongHop!B186</f>
        <v>0</v>
      </c>
      <c r="C186">
        <f>[2]TongHop!C186</f>
        <v>0</v>
      </c>
      <c r="D186">
        <f>[2]TongHop!D186</f>
        <v>0</v>
      </c>
      <c r="E186">
        <f>[2]TongHop!E186</f>
        <v>0</v>
      </c>
      <c r="F186">
        <f>[2]TongHop!F186</f>
        <v>0</v>
      </c>
      <c r="G186">
        <f>[2]TongHop!G186</f>
        <v>0</v>
      </c>
      <c r="H186">
        <f>[2]TongHop!H186</f>
        <v>0</v>
      </c>
      <c r="I186">
        <f>[2]TongHop!I186</f>
        <v>0</v>
      </c>
      <c r="J186">
        <f>[2]TongHop!J186</f>
        <v>0</v>
      </c>
      <c r="K186">
        <f>[2]TongHop!K186</f>
        <v>0</v>
      </c>
      <c r="L186">
        <f>[2]TongHop!L186</f>
        <v>0</v>
      </c>
      <c r="M186">
        <f>[2]TongHop!M186</f>
        <v>0</v>
      </c>
      <c r="N186">
        <f>[2]TongHop!N186</f>
        <v>0</v>
      </c>
    </row>
    <row r="187" spans="1:14">
      <c r="A187">
        <f>[2]TongHop!A187</f>
        <v>0</v>
      </c>
      <c r="B187">
        <f>[2]TongHop!B187</f>
        <v>0</v>
      </c>
      <c r="C187">
        <f>[2]TongHop!C187</f>
        <v>0</v>
      </c>
      <c r="D187">
        <f>[2]TongHop!D187</f>
        <v>0</v>
      </c>
      <c r="E187">
        <f>[2]TongHop!E187</f>
        <v>0</v>
      </c>
      <c r="F187">
        <f>[2]TongHop!F187</f>
        <v>0</v>
      </c>
      <c r="G187">
        <f>[2]TongHop!G187</f>
        <v>0</v>
      </c>
      <c r="H187">
        <f>[2]TongHop!H187</f>
        <v>0</v>
      </c>
      <c r="I187">
        <f>[2]TongHop!I187</f>
        <v>0</v>
      </c>
      <c r="J187">
        <f>[2]TongHop!J187</f>
        <v>0</v>
      </c>
      <c r="K187">
        <f>[2]TongHop!K187</f>
        <v>0</v>
      </c>
      <c r="L187">
        <f>[2]TongHop!L187</f>
        <v>0</v>
      </c>
      <c r="M187">
        <f>[2]TongHop!M187</f>
        <v>0</v>
      </c>
      <c r="N187">
        <f>[2]TongHop!N187</f>
        <v>0</v>
      </c>
    </row>
    <row r="188" spans="1:14">
      <c r="A188">
        <f>[2]TongHop!A188</f>
        <v>0</v>
      </c>
      <c r="B188">
        <f>[2]TongHop!B188</f>
        <v>0</v>
      </c>
      <c r="C188">
        <f>[2]TongHop!C188</f>
        <v>0</v>
      </c>
      <c r="D188">
        <f>[2]TongHop!D188</f>
        <v>0</v>
      </c>
      <c r="E188">
        <f>[2]TongHop!E188</f>
        <v>0</v>
      </c>
      <c r="F188">
        <f>[2]TongHop!F188</f>
        <v>0</v>
      </c>
      <c r="G188">
        <f>[2]TongHop!G188</f>
        <v>0</v>
      </c>
      <c r="H188">
        <f>[2]TongHop!H188</f>
        <v>0</v>
      </c>
      <c r="I188">
        <f>[2]TongHop!I188</f>
        <v>0</v>
      </c>
      <c r="J188">
        <f>[2]TongHop!J188</f>
        <v>0</v>
      </c>
      <c r="K188">
        <f>[2]TongHop!K188</f>
        <v>0</v>
      </c>
      <c r="L188">
        <f>[2]TongHop!L188</f>
        <v>0</v>
      </c>
      <c r="M188">
        <f>[2]TongHop!M188</f>
        <v>0</v>
      </c>
      <c r="N188">
        <f>[2]TongHop!N188</f>
        <v>0</v>
      </c>
    </row>
    <row r="189" spans="1:14">
      <c r="A189">
        <f>[2]TongHop!A189</f>
        <v>0</v>
      </c>
      <c r="B189">
        <f>[2]TongHop!B189</f>
        <v>0</v>
      </c>
      <c r="C189">
        <f>[2]TongHop!C189</f>
        <v>0</v>
      </c>
      <c r="D189">
        <f>[2]TongHop!D189</f>
        <v>0</v>
      </c>
      <c r="E189">
        <f>[2]TongHop!E189</f>
        <v>0</v>
      </c>
      <c r="F189">
        <f>[2]TongHop!F189</f>
        <v>0</v>
      </c>
      <c r="G189">
        <f>[2]TongHop!G189</f>
        <v>0</v>
      </c>
      <c r="H189">
        <f>[2]TongHop!H189</f>
        <v>0</v>
      </c>
      <c r="I189">
        <f>[2]TongHop!I189</f>
        <v>0</v>
      </c>
      <c r="J189">
        <f>[2]TongHop!J189</f>
        <v>0</v>
      </c>
      <c r="K189">
        <f>[2]TongHop!K189</f>
        <v>0</v>
      </c>
      <c r="L189">
        <f>[2]TongHop!L189</f>
        <v>0</v>
      </c>
      <c r="M189">
        <f>[2]TongHop!M189</f>
        <v>0</v>
      </c>
      <c r="N189">
        <f>[2]TongHop!N189</f>
        <v>0</v>
      </c>
    </row>
    <row r="190" spans="1:14">
      <c r="A190">
        <f>[2]TongHop!A190</f>
        <v>0</v>
      </c>
      <c r="B190">
        <f>[2]TongHop!B190</f>
        <v>0</v>
      </c>
      <c r="C190">
        <f>[2]TongHop!C190</f>
        <v>0</v>
      </c>
      <c r="D190">
        <f>[2]TongHop!D190</f>
        <v>0</v>
      </c>
      <c r="E190">
        <f>[2]TongHop!E190</f>
        <v>0</v>
      </c>
      <c r="F190">
        <f>[2]TongHop!F190</f>
        <v>0</v>
      </c>
      <c r="G190">
        <f>[2]TongHop!G190</f>
        <v>0</v>
      </c>
      <c r="H190">
        <f>[2]TongHop!H190</f>
        <v>0</v>
      </c>
      <c r="I190">
        <f>[2]TongHop!I190</f>
        <v>0</v>
      </c>
      <c r="J190">
        <f>[2]TongHop!J190</f>
        <v>0</v>
      </c>
      <c r="K190">
        <f>[2]TongHop!K190</f>
        <v>0</v>
      </c>
      <c r="L190">
        <f>[2]TongHop!L190</f>
        <v>0</v>
      </c>
      <c r="M190">
        <f>[2]TongHop!M190</f>
        <v>0</v>
      </c>
      <c r="N190">
        <f>[2]TongHop!N190</f>
        <v>0</v>
      </c>
    </row>
    <row r="191" spans="1:14">
      <c r="A191">
        <f>[2]TongHop!A191</f>
        <v>0</v>
      </c>
      <c r="B191">
        <f>[2]TongHop!B191</f>
        <v>0</v>
      </c>
      <c r="C191">
        <f>[2]TongHop!C191</f>
        <v>0</v>
      </c>
      <c r="D191">
        <f>[2]TongHop!D191</f>
        <v>0</v>
      </c>
      <c r="E191">
        <f>[2]TongHop!E191</f>
        <v>0</v>
      </c>
      <c r="F191">
        <f>[2]TongHop!F191</f>
        <v>0</v>
      </c>
      <c r="G191">
        <f>[2]TongHop!G191</f>
        <v>0</v>
      </c>
      <c r="H191">
        <f>[2]TongHop!H191</f>
        <v>0</v>
      </c>
      <c r="I191">
        <f>[2]TongHop!I191</f>
        <v>0</v>
      </c>
      <c r="J191">
        <f>[2]TongHop!J191</f>
        <v>0</v>
      </c>
      <c r="K191">
        <f>[2]TongHop!K191</f>
        <v>0</v>
      </c>
      <c r="L191">
        <f>[2]TongHop!L191</f>
        <v>0</v>
      </c>
      <c r="M191">
        <f>[2]TongHop!M191</f>
        <v>0</v>
      </c>
      <c r="N191">
        <f>[2]TongHop!N191</f>
        <v>0</v>
      </c>
    </row>
    <row r="192" spans="1:14">
      <c r="A192">
        <f>[2]TongHop!A192</f>
        <v>0</v>
      </c>
      <c r="B192">
        <f>[2]TongHop!B192</f>
        <v>0</v>
      </c>
      <c r="C192">
        <f>[2]TongHop!C192</f>
        <v>0</v>
      </c>
      <c r="D192">
        <f>[2]TongHop!D192</f>
        <v>0</v>
      </c>
      <c r="E192">
        <f>[2]TongHop!E192</f>
        <v>0</v>
      </c>
      <c r="F192">
        <f>[2]TongHop!F192</f>
        <v>0</v>
      </c>
      <c r="G192">
        <f>[2]TongHop!G192</f>
        <v>0</v>
      </c>
      <c r="H192">
        <f>[2]TongHop!H192</f>
        <v>0</v>
      </c>
      <c r="I192">
        <f>[2]TongHop!I192</f>
        <v>0</v>
      </c>
      <c r="J192">
        <f>[2]TongHop!J192</f>
        <v>0</v>
      </c>
      <c r="K192">
        <f>[2]TongHop!K192</f>
        <v>0</v>
      </c>
      <c r="L192">
        <f>[2]TongHop!L192</f>
        <v>0</v>
      </c>
      <c r="M192">
        <f>[2]TongHop!M192</f>
        <v>0</v>
      </c>
      <c r="N192">
        <f>[2]TongHop!N192</f>
        <v>0</v>
      </c>
    </row>
    <row r="193" spans="1:14">
      <c r="A193">
        <f>[2]TongHop!A193</f>
        <v>0</v>
      </c>
      <c r="B193">
        <f>[2]TongHop!B193</f>
        <v>0</v>
      </c>
      <c r="C193">
        <f>[2]TongHop!C193</f>
        <v>0</v>
      </c>
      <c r="D193">
        <f>[2]TongHop!D193</f>
        <v>0</v>
      </c>
      <c r="E193">
        <f>[2]TongHop!E193</f>
        <v>0</v>
      </c>
      <c r="F193">
        <f>[2]TongHop!F193</f>
        <v>0</v>
      </c>
      <c r="G193">
        <f>[2]TongHop!G193</f>
        <v>0</v>
      </c>
      <c r="H193">
        <f>[2]TongHop!H193</f>
        <v>0</v>
      </c>
      <c r="I193">
        <f>[2]TongHop!I193</f>
        <v>0</v>
      </c>
      <c r="J193">
        <f>[2]TongHop!J193</f>
        <v>0</v>
      </c>
      <c r="K193">
        <f>[2]TongHop!K193</f>
        <v>0</v>
      </c>
      <c r="L193">
        <f>[2]TongHop!L193</f>
        <v>0</v>
      </c>
      <c r="M193">
        <f>[2]TongHop!M193</f>
        <v>0</v>
      </c>
      <c r="N193">
        <f>[2]TongHop!N193</f>
        <v>0</v>
      </c>
    </row>
    <row r="194" spans="1:14">
      <c r="A194">
        <f>[2]TongHop!A194</f>
        <v>0</v>
      </c>
      <c r="B194">
        <f>[2]TongHop!B194</f>
        <v>0</v>
      </c>
      <c r="C194">
        <f>[2]TongHop!C194</f>
        <v>0</v>
      </c>
      <c r="D194">
        <f>[2]TongHop!D194</f>
        <v>0</v>
      </c>
      <c r="E194">
        <f>[2]TongHop!E194</f>
        <v>0</v>
      </c>
      <c r="F194">
        <f>[2]TongHop!F194</f>
        <v>0</v>
      </c>
      <c r="G194">
        <f>[2]TongHop!G194</f>
        <v>0</v>
      </c>
      <c r="H194">
        <f>[2]TongHop!H194</f>
        <v>0</v>
      </c>
      <c r="I194">
        <f>[2]TongHop!I194</f>
        <v>0</v>
      </c>
      <c r="J194">
        <f>[2]TongHop!J194</f>
        <v>0</v>
      </c>
      <c r="K194">
        <f>[2]TongHop!K194</f>
        <v>0</v>
      </c>
      <c r="L194">
        <f>[2]TongHop!L194</f>
        <v>0</v>
      </c>
      <c r="M194">
        <f>[2]TongHop!M194</f>
        <v>0</v>
      </c>
      <c r="N194">
        <f>[2]TongHop!N194</f>
        <v>0</v>
      </c>
    </row>
    <row r="195" spans="1:14">
      <c r="A195">
        <f>[2]TongHop!A195</f>
        <v>0</v>
      </c>
      <c r="B195">
        <f>[2]TongHop!B195</f>
        <v>0</v>
      </c>
      <c r="C195">
        <f>[2]TongHop!C195</f>
        <v>0</v>
      </c>
      <c r="D195">
        <f>[2]TongHop!D195</f>
        <v>0</v>
      </c>
      <c r="E195">
        <f>[2]TongHop!E195</f>
        <v>0</v>
      </c>
      <c r="F195">
        <f>[2]TongHop!F195</f>
        <v>0</v>
      </c>
      <c r="G195">
        <f>[2]TongHop!G195</f>
        <v>0</v>
      </c>
      <c r="H195">
        <f>[2]TongHop!H195</f>
        <v>0</v>
      </c>
      <c r="I195">
        <f>[2]TongHop!I195</f>
        <v>0</v>
      </c>
      <c r="J195">
        <f>[2]TongHop!J195</f>
        <v>0</v>
      </c>
      <c r="K195">
        <f>[2]TongHop!K195</f>
        <v>0</v>
      </c>
      <c r="L195">
        <f>[2]TongHop!L195</f>
        <v>0</v>
      </c>
      <c r="M195">
        <f>[2]TongHop!M195</f>
        <v>0</v>
      </c>
      <c r="N195">
        <f>[2]TongHop!N195</f>
        <v>0</v>
      </c>
    </row>
    <row r="196" spans="1:14">
      <c r="A196">
        <f>[2]TongHop!A196</f>
        <v>0</v>
      </c>
      <c r="B196">
        <f>[2]TongHop!B196</f>
        <v>0</v>
      </c>
      <c r="C196">
        <f>[2]TongHop!C196</f>
        <v>0</v>
      </c>
      <c r="D196">
        <f>[2]TongHop!D196</f>
        <v>0</v>
      </c>
      <c r="E196">
        <f>[2]TongHop!E196</f>
        <v>0</v>
      </c>
      <c r="F196">
        <f>[2]TongHop!F196</f>
        <v>0</v>
      </c>
      <c r="G196">
        <f>[2]TongHop!G196</f>
        <v>0</v>
      </c>
      <c r="H196">
        <f>[2]TongHop!H196</f>
        <v>0</v>
      </c>
      <c r="I196">
        <f>[2]TongHop!I196</f>
        <v>0</v>
      </c>
      <c r="J196">
        <f>[2]TongHop!J196</f>
        <v>0</v>
      </c>
      <c r="K196">
        <f>[2]TongHop!K196</f>
        <v>0</v>
      </c>
      <c r="L196">
        <f>[2]TongHop!L196</f>
        <v>0</v>
      </c>
      <c r="M196">
        <f>[2]TongHop!M196</f>
        <v>0</v>
      </c>
      <c r="N196">
        <f>[2]TongHop!N196</f>
        <v>0</v>
      </c>
    </row>
    <row r="197" spans="1:14">
      <c r="A197">
        <f>[2]TongHop!A197</f>
        <v>0</v>
      </c>
      <c r="B197">
        <f>[2]TongHop!B197</f>
        <v>0</v>
      </c>
      <c r="C197">
        <f>[2]TongHop!C197</f>
        <v>0</v>
      </c>
      <c r="D197">
        <f>[2]TongHop!D197</f>
        <v>0</v>
      </c>
      <c r="E197">
        <f>[2]TongHop!E197</f>
        <v>0</v>
      </c>
      <c r="F197">
        <f>[2]TongHop!F197</f>
        <v>0</v>
      </c>
      <c r="G197">
        <f>[2]TongHop!G197</f>
        <v>0</v>
      </c>
      <c r="H197">
        <f>[2]TongHop!H197</f>
        <v>0</v>
      </c>
      <c r="I197">
        <f>[2]TongHop!I197</f>
        <v>0</v>
      </c>
      <c r="J197">
        <f>[2]TongHop!J197</f>
        <v>0</v>
      </c>
      <c r="K197">
        <f>[2]TongHop!K197</f>
        <v>0</v>
      </c>
      <c r="L197">
        <f>[2]TongHop!L197</f>
        <v>0</v>
      </c>
      <c r="M197">
        <f>[2]TongHop!M197</f>
        <v>0</v>
      </c>
      <c r="N197">
        <f>[2]TongHop!N197</f>
        <v>0</v>
      </c>
    </row>
    <row r="198" spans="1:14">
      <c r="A198">
        <f>[2]TongHop!A198</f>
        <v>0</v>
      </c>
      <c r="B198">
        <f>[2]TongHop!B198</f>
        <v>0</v>
      </c>
      <c r="C198">
        <f>[2]TongHop!C198</f>
        <v>0</v>
      </c>
      <c r="D198">
        <f>[2]TongHop!D198</f>
        <v>0</v>
      </c>
      <c r="E198">
        <f>[2]TongHop!E198</f>
        <v>0</v>
      </c>
      <c r="F198">
        <f>[2]TongHop!F198</f>
        <v>0</v>
      </c>
      <c r="G198">
        <f>[2]TongHop!G198</f>
        <v>0</v>
      </c>
      <c r="H198">
        <f>[2]TongHop!H198</f>
        <v>0</v>
      </c>
      <c r="I198">
        <f>[2]TongHop!I198</f>
        <v>0</v>
      </c>
      <c r="J198">
        <f>[2]TongHop!J198</f>
        <v>0</v>
      </c>
      <c r="K198">
        <f>[2]TongHop!K198</f>
        <v>0</v>
      </c>
      <c r="L198">
        <f>[2]TongHop!L198</f>
        <v>0</v>
      </c>
      <c r="M198">
        <f>[2]TongHop!M198</f>
        <v>0</v>
      </c>
      <c r="N198">
        <f>[2]TongHop!N198</f>
        <v>0</v>
      </c>
    </row>
    <row r="199" spans="1:14">
      <c r="A199">
        <f>[2]TongHop!A199</f>
        <v>0</v>
      </c>
      <c r="B199">
        <f>[2]TongHop!B199</f>
        <v>0</v>
      </c>
      <c r="C199">
        <f>[2]TongHop!C199</f>
        <v>0</v>
      </c>
      <c r="D199">
        <f>[2]TongHop!D199</f>
        <v>0</v>
      </c>
      <c r="E199">
        <f>[2]TongHop!E199</f>
        <v>0</v>
      </c>
      <c r="F199">
        <f>[2]TongHop!F199</f>
        <v>0</v>
      </c>
      <c r="G199">
        <f>[2]TongHop!G199</f>
        <v>0</v>
      </c>
      <c r="H199">
        <f>[2]TongHop!H199</f>
        <v>0</v>
      </c>
      <c r="I199">
        <f>[2]TongHop!I199</f>
        <v>0</v>
      </c>
      <c r="J199">
        <f>[2]TongHop!J199</f>
        <v>0</v>
      </c>
      <c r="K199">
        <f>[2]TongHop!K199</f>
        <v>0</v>
      </c>
      <c r="L199">
        <f>[2]TongHop!L199</f>
        <v>0</v>
      </c>
      <c r="M199">
        <f>[2]TongHop!M199</f>
        <v>0</v>
      </c>
      <c r="N199">
        <f>[2]TongHop!N199</f>
        <v>0</v>
      </c>
    </row>
    <row r="200" spans="1:14">
      <c r="A200">
        <f>[2]TongHop!A200</f>
        <v>0</v>
      </c>
      <c r="B200">
        <f>[2]TongHop!B200</f>
        <v>0</v>
      </c>
      <c r="C200">
        <f>[2]TongHop!C200</f>
        <v>0</v>
      </c>
      <c r="D200">
        <f>[2]TongHop!D200</f>
        <v>0</v>
      </c>
      <c r="E200">
        <f>[2]TongHop!E200</f>
        <v>0</v>
      </c>
      <c r="F200">
        <f>[2]TongHop!F200</f>
        <v>0</v>
      </c>
      <c r="G200">
        <f>[2]TongHop!G200</f>
        <v>0</v>
      </c>
      <c r="H200">
        <f>[2]TongHop!H200</f>
        <v>0</v>
      </c>
      <c r="I200">
        <f>[2]TongHop!I200</f>
        <v>0</v>
      </c>
      <c r="J200">
        <f>[2]TongHop!J200</f>
        <v>0</v>
      </c>
      <c r="K200">
        <f>[2]TongHop!K200</f>
        <v>0</v>
      </c>
      <c r="L200">
        <f>[2]TongHop!L200</f>
        <v>0</v>
      </c>
      <c r="M200">
        <f>[2]TongHop!M200</f>
        <v>0</v>
      </c>
      <c r="N200">
        <f>[2]TongHop!N200</f>
        <v>0</v>
      </c>
    </row>
    <row r="201" spans="1:14">
      <c r="A201">
        <f>[2]TongHop!A201</f>
        <v>0</v>
      </c>
      <c r="B201">
        <f>[2]TongHop!B201</f>
        <v>0</v>
      </c>
      <c r="C201">
        <f>[2]TongHop!C201</f>
        <v>0</v>
      </c>
      <c r="D201">
        <f>[2]TongHop!D201</f>
        <v>0</v>
      </c>
      <c r="E201">
        <f>[2]TongHop!E201</f>
        <v>0</v>
      </c>
      <c r="F201">
        <f>[2]TongHop!F201</f>
        <v>0</v>
      </c>
      <c r="G201">
        <f>[2]TongHop!G201</f>
        <v>0</v>
      </c>
      <c r="H201">
        <f>[2]TongHop!H201</f>
        <v>0</v>
      </c>
      <c r="I201">
        <f>[2]TongHop!I201</f>
        <v>0</v>
      </c>
      <c r="J201">
        <f>[2]TongHop!J201</f>
        <v>0</v>
      </c>
      <c r="K201">
        <f>[2]TongHop!K201</f>
        <v>0</v>
      </c>
      <c r="L201">
        <f>[2]TongHop!L201</f>
        <v>0</v>
      </c>
      <c r="M201">
        <f>[2]TongHop!M201</f>
        <v>0</v>
      </c>
      <c r="N201">
        <f>[2]TongHop!N201</f>
        <v>0</v>
      </c>
    </row>
    <row r="202" spans="1:14">
      <c r="A202">
        <f>[2]TongHop!A202</f>
        <v>0</v>
      </c>
      <c r="B202">
        <f>[2]TongHop!B202</f>
        <v>0</v>
      </c>
      <c r="C202">
        <f>[2]TongHop!C202</f>
        <v>0</v>
      </c>
      <c r="D202">
        <f>[2]TongHop!D202</f>
        <v>0</v>
      </c>
      <c r="E202">
        <f>[2]TongHop!E202</f>
        <v>0</v>
      </c>
      <c r="F202">
        <f>[2]TongHop!F202</f>
        <v>0</v>
      </c>
      <c r="G202">
        <f>[2]TongHop!G202</f>
        <v>0</v>
      </c>
      <c r="H202">
        <f>[2]TongHop!H202</f>
        <v>0</v>
      </c>
      <c r="I202">
        <f>[2]TongHop!I202</f>
        <v>0</v>
      </c>
      <c r="J202">
        <f>[2]TongHop!J202</f>
        <v>0</v>
      </c>
      <c r="K202">
        <f>[2]TongHop!K202</f>
        <v>0</v>
      </c>
      <c r="L202">
        <f>[2]TongHop!L202</f>
        <v>0</v>
      </c>
      <c r="M202">
        <f>[2]TongHop!M202</f>
        <v>0</v>
      </c>
      <c r="N202">
        <f>[2]TongHop!N202</f>
        <v>0</v>
      </c>
    </row>
    <row r="203" spans="1:14">
      <c r="A203">
        <f>[2]TongHop!A203</f>
        <v>0</v>
      </c>
      <c r="B203">
        <f>[2]TongHop!B203</f>
        <v>0</v>
      </c>
      <c r="C203">
        <f>[2]TongHop!C203</f>
        <v>0</v>
      </c>
      <c r="D203">
        <f>[2]TongHop!D203</f>
        <v>0</v>
      </c>
      <c r="E203">
        <f>[2]TongHop!E203</f>
        <v>0</v>
      </c>
      <c r="F203">
        <f>[2]TongHop!F203</f>
        <v>0</v>
      </c>
      <c r="G203">
        <f>[2]TongHop!G203</f>
        <v>0</v>
      </c>
      <c r="H203">
        <f>[2]TongHop!H203</f>
        <v>0</v>
      </c>
      <c r="I203">
        <f>[2]TongHop!I203</f>
        <v>0</v>
      </c>
      <c r="J203">
        <f>[2]TongHop!J203</f>
        <v>0</v>
      </c>
      <c r="K203">
        <f>[2]TongHop!K203</f>
        <v>0</v>
      </c>
      <c r="L203">
        <f>[2]TongHop!L203</f>
        <v>0</v>
      </c>
      <c r="M203">
        <f>[2]TongHop!M203</f>
        <v>0</v>
      </c>
      <c r="N203">
        <f>[2]TongHop!N203</f>
        <v>0</v>
      </c>
    </row>
    <row r="204" spans="1:14">
      <c r="A204">
        <f>[2]TongHop!A204</f>
        <v>0</v>
      </c>
      <c r="B204">
        <f>[2]TongHop!B204</f>
        <v>0</v>
      </c>
      <c r="C204">
        <f>[2]TongHop!C204</f>
        <v>0</v>
      </c>
      <c r="D204">
        <f>[2]TongHop!D204</f>
        <v>0</v>
      </c>
      <c r="E204">
        <f>[2]TongHop!E204</f>
        <v>0</v>
      </c>
      <c r="F204">
        <f>[2]TongHop!F204</f>
        <v>0</v>
      </c>
      <c r="G204">
        <f>[2]TongHop!G204</f>
        <v>0</v>
      </c>
      <c r="H204">
        <f>[2]TongHop!H204</f>
        <v>0</v>
      </c>
      <c r="I204">
        <f>[2]TongHop!I204</f>
        <v>0</v>
      </c>
      <c r="J204">
        <f>[2]TongHop!J204</f>
        <v>0</v>
      </c>
      <c r="K204">
        <f>[2]TongHop!K204</f>
        <v>0</v>
      </c>
      <c r="L204">
        <f>[2]TongHop!L204</f>
        <v>0</v>
      </c>
      <c r="M204">
        <f>[2]TongHop!M204</f>
        <v>0</v>
      </c>
      <c r="N204">
        <f>[2]TongHop!N204</f>
        <v>0</v>
      </c>
    </row>
    <row r="205" spans="1:14">
      <c r="A205">
        <f>[2]TongHop!A205</f>
        <v>0</v>
      </c>
      <c r="B205">
        <f>[2]TongHop!B205</f>
        <v>0</v>
      </c>
      <c r="C205">
        <f>[2]TongHop!C205</f>
        <v>0</v>
      </c>
      <c r="D205">
        <f>[2]TongHop!D205</f>
        <v>0</v>
      </c>
      <c r="E205">
        <f>[2]TongHop!E205</f>
        <v>0</v>
      </c>
      <c r="F205">
        <f>[2]TongHop!F205</f>
        <v>0</v>
      </c>
      <c r="G205">
        <f>[2]TongHop!G205</f>
        <v>0</v>
      </c>
      <c r="H205">
        <f>[2]TongHop!H205</f>
        <v>0</v>
      </c>
      <c r="I205">
        <f>[2]TongHop!I205</f>
        <v>0</v>
      </c>
      <c r="J205">
        <f>[2]TongHop!J205</f>
        <v>0</v>
      </c>
      <c r="K205">
        <f>[2]TongHop!K205</f>
        <v>0</v>
      </c>
      <c r="L205">
        <f>[2]TongHop!L205</f>
        <v>0</v>
      </c>
      <c r="M205">
        <f>[2]TongHop!M205</f>
        <v>0</v>
      </c>
      <c r="N205">
        <f>[2]TongHop!N205</f>
        <v>0</v>
      </c>
    </row>
    <row r="206" spans="1:14">
      <c r="A206">
        <f>[2]TongHop!A206</f>
        <v>0</v>
      </c>
      <c r="B206">
        <f>[2]TongHop!B206</f>
        <v>0</v>
      </c>
      <c r="C206">
        <f>[2]TongHop!C206</f>
        <v>0</v>
      </c>
      <c r="D206">
        <f>[2]TongHop!D206</f>
        <v>0</v>
      </c>
      <c r="E206">
        <f>[2]TongHop!E206</f>
        <v>0</v>
      </c>
      <c r="F206">
        <f>[2]TongHop!F206</f>
        <v>0</v>
      </c>
      <c r="G206">
        <f>[2]TongHop!G206</f>
        <v>0</v>
      </c>
      <c r="H206">
        <f>[2]TongHop!H206</f>
        <v>0</v>
      </c>
      <c r="I206">
        <f>[2]TongHop!I206</f>
        <v>0</v>
      </c>
      <c r="J206">
        <f>[2]TongHop!J206</f>
        <v>0</v>
      </c>
      <c r="K206">
        <f>[2]TongHop!K206</f>
        <v>0</v>
      </c>
      <c r="L206">
        <f>[2]TongHop!L206</f>
        <v>0</v>
      </c>
      <c r="M206">
        <f>[2]TongHop!M206</f>
        <v>0</v>
      </c>
      <c r="N206">
        <f>[2]TongHop!N206</f>
        <v>0</v>
      </c>
    </row>
    <row r="207" spans="1:14">
      <c r="A207">
        <f>[2]TongHop!A207</f>
        <v>0</v>
      </c>
      <c r="B207">
        <f>[2]TongHop!B207</f>
        <v>0</v>
      </c>
      <c r="C207">
        <f>[2]TongHop!C207</f>
        <v>0</v>
      </c>
      <c r="D207">
        <f>[2]TongHop!D207</f>
        <v>0</v>
      </c>
      <c r="E207">
        <f>[2]TongHop!E207</f>
        <v>0</v>
      </c>
      <c r="F207">
        <f>[2]TongHop!F207</f>
        <v>0</v>
      </c>
      <c r="G207">
        <f>[2]TongHop!G207</f>
        <v>0</v>
      </c>
      <c r="H207">
        <f>[2]TongHop!H207</f>
        <v>0</v>
      </c>
      <c r="I207">
        <f>[2]TongHop!I207</f>
        <v>0</v>
      </c>
      <c r="J207">
        <f>[2]TongHop!J207</f>
        <v>0</v>
      </c>
      <c r="K207">
        <f>[2]TongHop!K207</f>
        <v>0</v>
      </c>
      <c r="L207">
        <f>[2]TongHop!L207</f>
        <v>0</v>
      </c>
      <c r="M207">
        <f>[2]TongHop!M207</f>
        <v>0</v>
      </c>
      <c r="N207">
        <f>[2]TongHop!N207</f>
        <v>0</v>
      </c>
    </row>
    <row r="208" spans="1:14">
      <c r="A208">
        <f>[2]TongHop!A208</f>
        <v>0</v>
      </c>
      <c r="B208">
        <f>[2]TongHop!B208</f>
        <v>0</v>
      </c>
      <c r="C208">
        <f>[2]TongHop!C208</f>
        <v>0</v>
      </c>
      <c r="D208">
        <f>[2]TongHop!D208</f>
        <v>0</v>
      </c>
      <c r="E208">
        <f>[2]TongHop!E208</f>
        <v>0</v>
      </c>
      <c r="F208">
        <f>[2]TongHop!F208</f>
        <v>0</v>
      </c>
      <c r="G208">
        <f>[2]TongHop!G208</f>
        <v>0</v>
      </c>
      <c r="H208">
        <f>[2]TongHop!H208</f>
        <v>0</v>
      </c>
      <c r="I208">
        <f>[2]TongHop!I208</f>
        <v>0</v>
      </c>
      <c r="J208">
        <f>[2]TongHop!J208</f>
        <v>0</v>
      </c>
      <c r="K208">
        <f>[2]TongHop!K208</f>
        <v>0</v>
      </c>
      <c r="L208">
        <f>[2]TongHop!L208</f>
        <v>0</v>
      </c>
      <c r="M208">
        <f>[2]TongHop!M208</f>
        <v>0</v>
      </c>
      <c r="N208">
        <f>[2]TongHop!N208</f>
        <v>0</v>
      </c>
    </row>
    <row r="209" spans="1:14">
      <c r="A209">
        <f>[2]TongHop!A209</f>
        <v>0</v>
      </c>
      <c r="B209">
        <f>[2]TongHop!B209</f>
        <v>0</v>
      </c>
      <c r="C209">
        <f>[2]TongHop!C209</f>
        <v>0</v>
      </c>
      <c r="D209">
        <f>[2]TongHop!D209</f>
        <v>0</v>
      </c>
      <c r="E209">
        <f>[2]TongHop!E209</f>
        <v>0</v>
      </c>
      <c r="F209">
        <f>[2]TongHop!F209</f>
        <v>0</v>
      </c>
      <c r="G209">
        <f>[2]TongHop!G209</f>
        <v>0</v>
      </c>
      <c r="H209">
        <f>[2]TongHop!H209</f>
        <v>0</v>
      </c>
      <c r="I209">
        <f>[2]TongHop!I209</f>
        <v>0</v>
      </c>
      <c r="J209">
        <f>[2]TongHop!J209</f>
        <v>0</v>
      </c>
      <c r="K209">
        <f>[2]TongHop!K209</f>
        <v>0</v>
      </c>
      <c r="L209">
        <f>[2]TongHop!L209</f>
        <v>0</v>
      </c>
      <c r="M209">
        <f>[2]TongHop!M209</f>
        <v>0</v>
      </c>
      <c r="N209">
        <f>[2]TongHop!N209</f>
        <v>0</v>
      </c>
    </row>
    <row r="210" spans="1:14">
      <c r="A210">
        <f>[2]TongHop!A210</f>
        <v>0</v>
      </c>
      <c r="B210">
        <f>[2]TongHop!B210</f>
        <v>0</v>
      </c>
      <c r="C210">
        <f>[2]TongHop!C210</f>
        <v>0</v>
      </c>
      <c r="D210">
        <f>[2]TongHop!D210</f>
        <v>0</v>
      </c>
      <c r="E210">
        <f>[2]TongHop!E210</f>
        <v>0</v>
      </c>
      <c r="F210">
        <f>[2]TongHop!F210</f>
        <v>0</v>
      </c>
      <c r="G210">
        <f>[2]TongHop!G210</f>
        <v>0</v>
      </c>
      <c r="H210">
        <f>[2]TongHop!H210</f>
        <v>0</v>
      </c>
      <c r="I210">
        <f>[2]TongHop!I210</f>
        <v>0</v>
      </c>
      <c r="J210">
        <f>[2]TongHop!J210</f>
        <v>0</v>
      </c>
      <c r="K210">
        <f>[2]TongHop!K210</f>
        <v>0</v>
      </c>
      <c r="L210">
        <f>[2]TongHop!L210</f>
        <v>0</v>
      </c>
      <c r="M210">
        <f>[2]TongHop!M210</f>
        <v>0</v>
      </c>
      <c r="N210">
        <f>[2]TongHop!N210</f>
        <v>0</v>
      </c>
    </row>
    <row r="211" spans="1:14">
      <c r="A211">
        <f>[2]TongHop!A211</f>
        <v>0</v>
      </c>
      <c r="B211">
        <f>[2]TongHop!B211</f>
        <v>0</v>
      </c>
      <c r="C211">
        <f>[2]TongHop!C211</f>
        <v>0</v>
      </c>
      <c r="D211">
        <f>[2]TongHop!D211</f>
        <v>0</v>
      </c>
      <c r="E211">
        <f>[2]TongHop!E211</f>
        <v>0</v>
      </c>
      <c r="F211">
        <f>[2]TongHop!F211</f>
        <v>0</v>
      </c>
      <c r="G211">
        <f>[2]TongHop!G211</f>
        <v>0</v>
      </c>
      <c r="H211">
        <f>[2]TongHop!H211</f>
        <v>0</v>
      </c>
      <c r="I211">
        <f>[2]TongHop!I211</f>
        <v>0</v>
      </c>
      <c r="J211">
        <f>[2]TongHop!J211</f>
        <v>0</v>
      </c>
      <c r="K211">
        <f>[2]TongHop!K211</f>
        <v>0</v>
      </c>
      <c r="L211">
        <f>[2]TongHop!L211</f>
        <v>0</v>
      </c>
      <c r="M211">
        <f>[2]TongHop!M211</f>
        <v>0</v>
      </c>
      <c r="N211">
        <f>[2]TongHop!N211</f>
        <v>0</v>
      </c>
    </row>
    <row r="212" spans="1:14">
      <c r="A212">
        <f>[2]TongHop!A212</f>
        <v>0</v>
      </c>
      <c r="B212">
        <f>[2]TongHop!B212</f>
        <v>0</v>
      </c>
      <c r="C212">
        <f>[2]TongHop!C212</f>
        <v>0</v>
      </c>
      <c r="D212">
        <f>[2]TongHop!D212</f>
        <v>0</v>
      </c>
      <c r="E212">
        <f>[2]TongHop!E212</f>
        <v>0</v>
      </c>
      <c r="F212">
        <f>[2]TongHop!F212</f>
        <v>0</v>
      </c>
      <c r="G212">
        <f>[2]TongHop!G212</f>
        <v>0</v>
      </c>
      <c r="H212">
        <f>[2]TongHop!H212</f>
        <v>0</v>
      </c>
      <c r="I212">
        <f>[2]TongHop!I212</f>
        <v>0</v>
      </c>
      <c r="J212">
        <f>[2]TongHop!J212</f>
        <v>0</v>
      </c>
      <c r="K212">
        <f>[2]TongHop!K212</f>
        <v>0</v>
      </c>
      <c r="L212">
        <f>[2]TongHop!L212</f>
        <v>0</v>
      </c>
      <c r="M212">
        <f>[2]TongHop!M212</f>
        <v>0</v>
      </c>
      <c r="N212">
        <f>[2]TongHop!N212</f>
        <v>0</v>
      </c>
    </row>
    <row r="213" spans="1:14">
      <c r="A213">
        <f>[2]TongHop!A213</f>
        <v>0</v>
      </c>
      <c r="B213">
        <f>[2]TongHop!B213</f>
        <v>0</v>
      </c>
      <c r="C213">
        <f>[2]TongHop!C213</f>
        <v>0</v>
      </c>
      <c r="D213">
        <f>[2]TongHop!D213</f>
        <v>0</v>
      </c>
      <c r="E213">
        <f>[2]TongHop!E213</f>
        <v>0</v>
      </c>
      <c r="F213">
        <f>[2]TongHop!F213</f>
        <v>0</v>
      </c>
      <c r="G213">
        <f>[2]TongHop!G213</f>
        <v>0</v>
      </c>
      <c r="H213">
        <f>[2]TongHop!H213</f>
        <v>0</v>
      </c>
      <c r="I213">
        <f>[2]TongHop!I213</f>
        <v>0</v>
      </c>
      <c r="J213">
        <f>[2]TongHop!J213</f>
        <v>0</v>
      </c>
      <c r="K213">
        <f>[2]TongHop!K213</f>
        <v>0</v>
      </c>
      <c r="L213">
        <f>[2]TongHop!L213</f>
        <v>0</v>
      </c>
      <c r="M213">
        <f>[2]TongHop!M213</f>
        <v>0</v>
      </c>
      <c r="N213">
        <f>[2]TongHop!N213</f>
        <v>0</v>
      </c>
    </row>
    <row r="214" spans="1:14">
      <c r="A214">
        <f>[2]TongHop!A214</f>
        <v>0</v>
      </c>
      <c r="B214">
        <f>[2]TongHop!B214</f>
        <v>0</v>
      </c>
      <c r="C214">
        <f>[2]TongHop!C214</f>
        <v>0</v>
      </c>
      <c r="D214">
        <f>[2]TongHop!D214</f>
        <v>0</v>
      </c>
      <c r="E214">
        <f>[2]TongHop!E214</f>
        <v>0</v>
      </c>
      <c r="F214">
        <f>[2]TongHop!F214</f>
        <v>0</v>
      </c>
      <c r="G214">
        <f>[2]TongHop!G214</f>
        <v>0</v>
      </c>
      <c r="H214">
        <f>[2]TongHop!H214</f>
        <v>0</v>
      </c>
      <c r="I214">
        <f>[2]TongHop!I214</f>
        <v>0</v>
      </c>
      <c r="J214">
        <f>[2]TongHop!J214</f>
        <v>0</v>
      </c>
      <c r="K214">
        <f>[2]TongHop!K214</f>
        <v>0</v>
      </c>
      <c r="L214">
        <f>[2]TongHop!L214</f>
        <v>0</v>
      </c>
      <c r="M214">
        <f>[2]TongHop!M214</f>
        <v>0</v>
      </c>
      <c r="N214">
        <f>[2]TongHop!N214</f>
        <v>0</v>
      </c>
    </row>
    <row r="215" spans="1:14">
      <c r="A215">
        <f>[2]TongHop!A215</f>
        <v>0</v>
      </c>
      <c r="B215">
        <f>[2]TongHop!B215</f>
        <v>0</v>
      </c>
      <c r="C215">
        <f>[2]TongHop!C215</f>
        <v>0</v>
      </c>
      <c r="D215">
        <f>[2]TongHop!D215</f>
        <v>0</v>
      </c>
      <c r="E215">
        <f>[2]TongHop!E215</f>
        <v>0</v>
      </c>
      <c r="F215">
        <f>[2]TongHop!F215</f>
        <v>0</v>
      </c>
      <c r="G215">
        <f>[2]TongHop!G215</f>
        <v>0</v>
      </c>
      <c r="H215">
        <f>[2]TongHop!H215</f>
        <v>0</v>
      </c>
      <c r="I215">
        <f>[2]TongHop!I215</f>
        <v>0</v>
      </c>
      <c r="J215">
        <f>[2]TongHop!J215</f>
        <v>0</v>
      </c>
      <c r="K215">
        <f>[2]TongHop!K215</f>
        <v>0</v>
      </c>
      <c r="L215">
        <f>[2]TongHop!L215</f>
        <v>0</v>
      </c>
      <c r="M215">
        <f>[2]TongHop!M215</f>
        <v>0</v>
      </c>
      <c r="N215">
        <f>[2]TongHop!N215</f>
        <v>0</v>
      </c>
    </row>
    <row r="216" spans="1:14">
      <c r="A216">
        <f>[2]TongHop!A216</f>
        <v>0</v>
      </c>
      <c r="B216">
        <f>[2]TongHop!B216</f>
        <v>0</v>
      </c>
      <c r="C216">
        <f>[2]TongHop!C216</f>
        <v>0</v>
      </c>
      <c r="D216">
        <f>[2]TongHop!D216</f>
        <v>0</v>
      </c>
      <c r="E216">
        <f>[2]TongHop!E216</f>
        <v>0</v>
      </c>
      <c r="F216">
        <f>[2]TongHop!F216</f>
        <v>0</v>
      </c>
      <c r="G216">
        <f>[2]TongHop!G216</f>
        <v>0</v>
      </c>
      <c r="H216">
        <f>[2]TongHop!H216</f>
        <v>0</v>
      </c>
      <c r="I216">
        <f>[2]TongHop!I216</f>
        <v>0</v>
      </c>
      <c r="J216">
        <f>[2]TongHop!J216</f>
        <v>0</v>
      </c>
      <c r="K216">
        <f>[2]TongHop!K216</f>
        <v>0</v>
      </c>
      <c r="L216">
        <f>[2]TongHop!L216</f>
        <v>0</v>
      </c>
      <c r="M216">
        <f>[2]TongHop!M216</f>
        <v>0</v>
      </c>
      <c r="N216">
        <f>[2]TongHop!N216</f>
        <v>0</v>
      </c>
    </row>
    <row r="217" spans="1:14">
      <c r="A217">
        <f>[2]TongHop!A217</f>
        <v>0</v>
      </c>
      <c r="B217">
        <f>[2]TongHop!B217</f>
        <v>0</v>
      </c>
      <c r="C217">
        <f>[2]TongHop!C217</f>
        <v>0</v>
      </c>
      <c r="D217">
        <f>[2]TongHop!D217</f>
        <v>0</v>
      </c>
      <c r="E217">
        <f>[2]TongHop!E217</f>
        <v>0</v>
      </c>
      <c r="F217">
        <f>[2]TongHop!F217</f>
        <v>0</v>
      </c>
      <c r="G217">
        <f>[2]TongHop!G217</f>
        <v>0</v>
      </c>
      <c r="H217">
        <f>[2]TongHop!H217</f>
        <v>0</v>
      </c>
      <c r="I217">
        <f>[2]TongHop!I217</f>
        <v>0</v>
      </c>
      <c r="J217">
        <f>[2]TongHop!J217</f>
        <v>0</v>
      </c>
      <c r="K217">
        <f>[2]TongHop!K217</f>
        <v>0</v>
      </c>
      <c r="L217">
        <f>[2]TongHop!L217</f>
        <v>0</v>
      </c>
      <c r="M217">
        <f>[2]TongHop!M217</f>
        <v>0</v>
      </c>
      <c r="N217">
        <f>[2]TongHop!N217</f>
        <v>0</v>
      </c>
    </row>
    <row r="218" spans="1:14">
      <c r="A218">
        <f>[2]TongHop!A218</f>
        <v>0</v>
      </c>
      <c r="B218">
        <f>[2]TongHop!B218</f>
        <v>0</v>
      </c>
      <c r="C218">
        <f>[2]TongHop!C218</f>
        <v>0</v>
      </c>
      <c r="D218">
        <f>[2]TongHop!D218</f>
        <v>0</v>
      </c>
      <c r="E218">
        <f>[2]TongHop!E218</f>
        <v>0</v>
      </c>
      <c r="F218">
        <f>[2]TongHop!F218</f>
        <v>0</v>
      </c>
      <c r="G218">
        <f>[2]TongHop!G218</f>
        <v>0</v>
      </c>
      <c r="H218">
        <f>[2]TongHop!H218</f>
        <v>0</v>
      </c>
      <c r="I218">
        <f>[2]TongHop!I218</f>
        <v>0</v>
      </c>
      <c r="J218">
        <f>[2]TongHop!J218</f>
        <v>0</v>
      </c>
      <c r="K218">
        <f>[2]TongHop!K218</f>
        <v>0</v>
      </c>
      <c r="L218">
        <f>[2]TongHop!L218</f>
        <v>0</v>
      </c>
      <c r="M218">
        <f>[2]TongHop!M218</f>
        <v>0</v>
      </c>
      <c r="N218">
        <f>[2]TongHop!N218</f>
        <v>0</v>
      </c>
    </row>
    <row r="219" spans="1:14">
      <c r="A219">
        <f>[2]TongHop!A219</f>
        <v>0</v>
      </c>
      <c r="B219">
        <f>[2]TongHop!B219</f>
        <v>0</v>
      </c>
      <c r="C219">
        <f>[2]TongHop!C219</f>
        <v>0</v>
      </c>
      <c r="D219">
        <f>[2]TongHop!D219</f>
        <v>0</v>
      </c>
      <c r="E219">
        <f>[2]TongHop!E219</f>
        <v>0</v>
      </c>
      <c r="F219">
        <f>[2]TongHop!F219</f>
        <v>0</v>
      </c>
      <c r="G219">
        <f>[2]TongHop!G219</f>
        <v>0</v>
      </c>
      <c r="H219">
        <f>[2]TongHop!H219</f>
        <v>0</v>
      </c>
      <c r="I219">
        <f>[2]TongHop!I219</f>
        <v>0</v>
      </c>
      <c r="J219">
        <f>[2]TongHop!J219</f>
        <v>0</v>
      </c>
      <c r="K219">
        <f>[2]TongHop!K219</f>
        <v>0</v>
      </c>
      <c r="L219">
        <f>[2]TongHop!L219</f>
        <v>0</v>
      </c>
      <c r="M219">
        <f>[2]TongHop!M219</f>
        <v>0</v>
      </c>
      <c r="N219">
        <f>[2]TongHop!N219</f>
        <v>0</v>
      </c>
    </row>
    <row r="220" spans="1:14">
      <c r="A220">
        <f>[2]TongHop!A220</f>
        <v>0</v>
      </c>
      <c r="B220">
        <f>[2]TongHop!B220</f>
        <v>0</v>
      </c>
      <c r="C220">
        <f>[2]TongHop!C220</f>
        <v>0</v>
      </c>
      <c r="D220">
        <f>[2]TongHop!D220</f>
        <v>0</v>
      </c>
      <c r="E220">
        <f>[2]TongHop!E220</f>
        <v>0</v>
      </c>
      <c r="F220">
        <f>[2]TongHop!F220</f>
        <v>0</v>
      </c>
      <c r="G220">
        <f>[2]TongHop!G220</f>
        <v>0</v>
      </c>
      <c r="H220">
        <f>[2]TongHop!H220</f>
        <v>0</v>
      </c>
      <c r="I220">
        <f>[2]TongHop!I220</f>
        <v>0</v>
      </c>
      <c r="J220">
        <f>[2]TongHop!J220</f>
        <v>0</v>
      </c>
      <c r="K220">
        <f>[2]TongHop!K220</f>
        <v>0</v>
      </c>
      <c r="L220">
        <f>[2]TongHop!L220</f>
        <v>0</v>
      </c>
      <c r="M220">
        <f>[2]TongHop!M220</f>
        <v>0</v>
      </c>
      <c r="N220">
        <f>[2]TongHop!N220</f>
        <v>0</v>
      </c>
    </row>
    <row r="221" spans="1:14">
      <c r="A221">
        <f>[2]TongHop!A221</f>
        <v>0</v>
      </c>
      <c r="B221">
        <f>[2]TongHop!B221</f>
        <v>0</v>
      </c>
      <c r="C221">
        <f>[2]TongHop!C221</f>
        <v>0</v>
      </c>
      <c r="D221">
        <f>[2]TongHop!D221</f>
        <v>0</v>
      </c>
      <c r="E221">
        <f>[2]TongHop!E221</f>
        <v>0</v>
      </c>
      <c r="F221">
        <f>[2]TongHop!F221</f>
        <v>0</v>
      </c>
      <c r="G221">
        <f>[2]TongHop!G221</f>
        <v>0</v>
      </c>
      <c r="H221">
        <f>[2]TongHop!H221</f>
        <v>0</v>
      </c>
      <c r="I221">
        <f>[2]TongHop!I221</f>
        <v>0</v>
      </c>
      <c r="J221">
        <f>[2]TongHop!J221</f>
        <v>0</v>
      </c>
      <c r="K221">
        <f>[2]TongHop!K221</f>
        <v>0</v>
      </c>
      <c r="L221">
        <f>[2]TongHop!L221</f>
        <v>0</v>
      </c>
      <c r="M221">
        <f>[2]TongHop!M221</f>
        <v>0</v>
      </c>
      <c r="N221">
        <f>[2]TongHop!N221</f>
        <v>0</v>
      </c>
    </row>
    <row r="222" spans="1:14">
      <c r="A222">
        <f>[2]TongHop!A222</f>
        <v>0</v>
      </c>
      <c r="B222">
        <f>[2]TongHop!B222</f>
        <v>0</v>
      </c>
      <c r="C222">
        <f>[2]TongHop!C222</f>
        <v>0</v>
      </c>
      <c r="D222">
        <f>[2]TongHop!D222</f>
        <v>0</v>
      </c>
      <c r="E222">
        <f>[2]TongHop!E222</f>
        <v>0</v>
      </c>
      <c r="F222">
        <f>[2]TongHop!F222</f>
        <v>0</v>
      </c>
      <c r="G222">
        <f>[2]TongHop!G222</f>
        <v>0</v>
      </c>
      <c r="H222">
        <f>[2]TongHop!H222</f>
        <v>0</v>
      </c>
      <c r="I222">
        <f>[2]TongHop!I222</f>
        <v>0</v>
      </c>
      <c r="J222">
        <f>[2]TongHop!J222</f>
        <v>0</v>
      </c>
      <c r="K222">
        <f>[2]TongHop!K222</f>
        <v>0</v>
      </c>
      <c r="L222">
        <f>[2]TongHop!L222</f>
        <v>0</v>
      </c>
      <c r="M222">
        <f>[2]TongHop!M222</f>
        <v>0</v>
      </c>
      <c r="N222">
        <f>[2]TongHop!N222</f>
        <v>0</v>
      </c>
    </row>
    <row r="223" spans="1:14">
      <c r="A223">
        <f>[2]TongHop!A223</f>
        <v>0</v>
      </c>
      <c r="B223">
        <f>[2]TongHop!B223</f>
        <v>0</v>
      </c>
      <c r="C223">
        <f>[2]TongHop!C223</f>
        <v>0</v>
      </c>
      <c r="D223">
        <f>[2]TongHop!D223</f>
        <v>0</v>
      </c>
      <c r="E223">
        <f>[2]TongHop!E223</f>
        <v>0</v>
      </c>
      <c r="F223">
        <f>[2]TongHop!F223</f>
        <v>0</v>
      </c>
      <c r="G223">
        <f>[2]TongHop!G223</f>
        <v>0</v>
      </c>
      <c r="H223">
        <f>[2]TongHop!H223</f>
        <v>0</v>
      </c>
      <c r="I223">
        <f>[2]TongHop!I223</f>
        <v>0</v>
      </c>
      <c r="J223">
        <f>[2]TongHop!J223</f>
        <v>0</v>
      </c>
      <c r="K223">
        <f>[2]TongHop!K223</f>
        <v>0</v>
      </c>
      <c r="L223">
        <f>[2]TongHop!L223</f>
        <v>0</v>
      </c>
      <c r="M223">
        <f>[2]TongHop!M223</f>
        <v>0</v>
      </c>
      <c r="N223">
        <f>[2]TongHop!N223</f>
        <v>0</v>
      </c>
    </row>
    <row r="224" spans="1:14">
      <c r="A224">
        <f>[2]TongHop!A224</f>
        <v>0</v>
      </c>
      <c r="B224">
        <f>[2]TongHop!B224</f>
        <v>0</v>
      </c>
      <c r="C224">
        <f>[2]TongHop!C224</f>
        <v>0</v>
      </c>
      <c r="D224">
        <f>[2]TongHop!D224</f>
        <v>0</v>
      </c>
      <c r="E224">
        <f>[2]TongHop!E224</f>
        <v>0</v>
      </c>
      <c r="F224">
        <f>[2]TongHop!F224</f>
        <v>0</v>
      </c>
      <c r="G224">
        <f>[2]TongHop!G224</f>
        <v>0</v>
      </c>
      <c r="H224">
        <f>[2]TongHop!H224</f>
        <v>0</v>
      </c>
      <c r="I224">
        <f>[2]TongHop!I224</f>
        <v>0</v>
      </c>
      <c r="J224">
        <f>[2]TongHop!J224</f>
        <v>0</v>
      </c>
      <c r="K224">
        <f>[2]TongHop!K224</f>
        <v>0</v>
      </c>
      <c r="L224">
        <f>[2]TongHop!L224</f>
        <v>0</v>
      </c>
      <c r="M224">
        <f>[2]TongHop!M224</f>
        <v>0</v>
      </c>
      <c r="N224">
        <f>[2]TongHop!N224</f>
        <v>0</v>
      </c>
    </row>
    <row r="225" spans="1:14">
      <c r="A225">
        <f>[2]TongHop!A225</f>
        <v>0</v>
      </c>
      <c r="B225">
        <f>[2]TongHop!B225</f>
        <v>0</v>
      </c>
      <c r="C225">
        <f>[2]TongHop!C225</f>
        <v>0</v>
      </c>
      <c r="D225">
        <f>[2]TongHop!D225</f>
        <v>0</v>
      </c>
      <c r="E225">
        <f>[2]TongHop!E225</f>
        <v>0</v>
      </c>
      <c r="F225">
        <f>[2]TongHop!F225</f>
        <v>0</v>
      </c>
      <c r="G225">
        <f>[2]TongHop!G225</f>
        <v>0</v>
      </c>
      <c r="H225">
        <f>[2]TongHop!H225</f>
        <v>0</v>
      </c>
      <c r="I225">
        <f>[2]TongHop!I225</f>
        <v>0</v>
      </c>
      <c r="J225">
        <f>[2]TongHop!J225</f>
        <v>0</v>
      </c>
      <c r="K225">
        <f>[2]TongHop!K225</f>
        <v>0</v>
      </c>
      <c r="L225">
        <f>[2]TongHop!L225</f>
        <v>0</v>
      </c>
      <c r="M225">
        <f>[2]TongHop!M225</f>
        <v>0</v>
      </c>
      <c r="N225">
        <f>[2]TongHop!N225</f>
        <v>0</v>
      </c>
    </row>
    <row r="226" spans="1:14">
      <c r="A226">
        <f>[2]TongHop!A226</f>
        <v>0</v>
      </c>
      <c r="B226">
        <f>[2]TongHop!B226</f>
        <v>0</v>
      </c>
      <c r="C226">
        <f>[2]TongHop!C226</f>
        <v>0</v>
      </c>
      <c r="D226">
        <f>[2]TongHop!D226</f>
        <v>0</v>
      </c>
      <c r="E226">
        <f>[2]TongHop!E226</f>
        <v>0</v>
      </c>
      <c r="F226">
        <f>[2]TongHop!F226</f>
        <v>0</v>
      </c>
      <c r="G226">
        <f>[2]TongHop!G226</f>
        <v>0</v>
      </c>
      <c r="H226">
        <f>[2]TongHop!H226</f>
        <v>0</v>
      </c>
      <c r="I226">
        <f>[2]TongHop!I226</f>
        <v>0</v>
      </c>
      <c r="J226">
        <f>[2]TongHop!J226</f>
        <v>0</v>
      </c>
      <c r="K226">
        <f>[2]TongHop!K226</f>
        <v>0</v>
      </c>
      <c r="L226">
        <f>[2]TongHop!L226</f>
        <v>0</v>
      </c>
      <c r="M226">
        <f>[2]TongHop!M226</f>
        <v>0</v>
      </c>
      <c r="N226">
        <f>[2]TongHop!N226</f>
        <v>0</v>
      </c>
    </row>
    <row r="227" spans="1:14">
      <c r="A227">
        <f>[2]TongHop!A227</f>
        <v>0</v>
      </c>
      <c r="B227">
        <f>[2]TongHop!B227</f>
        <v>0</v>
      </c>
      <c r="C227">
        <f>[2]TongHop!C227</f>
        <v>0</v>
      </c>
      <c r="D227">
        <f>[2]TongHop!D227</f>
        <v>0</v>
      </c>
      <c r="E227">
        <f>[2]TongHop!E227</f>
        <v>0</v>
      </c>
      <c r="F227">
        <f>[2]TongHop!F227</f>
        <v>0</v>
      </c>
      <c r="G227">
        <f>[2]TongHop!G227</f>
        <v>0</v>
      </c>
      <c r="H227">
        <f>[2]TongHop!H227</f>
        <v>0</v>
      </c>
      <c r="I227">
        <f>[2]TongHop!I227</f>
        <v>0</v>
      </c>
      <c r="J227">
        <f>[2]TongHop!J227</f>
        <v>0</v>
      </c>
      <c r="K227">
        <f>[2]TongHop!K227</f>
        <v>0</v>
      </c>
      <c r="L227">
        <f>[2]TongHop!L227</f>
        <v>0</v>
      </c>
      <c r="M227">
        <f>[2]TongHop!M227</f>
        <v>0</v>
      </c>
      <c r="N227">
        <f>[2]TongHop!N227</f>
        <v>0</v>
      </c>
    </row>
    <row r="228" spans="1:14">
      <c r="A228">
        <f>[2]TongHop!A228</f>
        <v>0</v>
      </c>
      <c r="B228">
        <f>[2]TongHop!B228</f>
        <v>0</v>
      </c>
      <c r="C228">
        <f>[2]TongHop!C228</f>
        <v>0</v>
      </c>
      <c r="D228">
        <f>[2]TongHop!D228</f>
        <v>0</v>
      </c>
      <c r="E228">
        <f>[2]TongHop!E228</f>
        <v>0</v>
      </c>
      <c r="F228">
        <f>[2]TongHop!F228</f>
        <v>0</v>
      </c>
      <c r="G228">
        <f>[2]TongHop!G228</f>
        <v>0</v>
      </c>
      <c r="H228">
        <f>[2]TongHop!H228</f>
        <v>0</v>
      </c>
      <c r="I228">
        <f>[2]TongHop!I228</f>
        <v>0</v>
      </c>
      <c r="J228">
        <f>[2]TongHop!J228</f>
        <v>0</v>
      </c>
      <c r="K228">
        <f>[2]TongHop!K228</f>
        <v>0</v>
      </c>
      <c r="L228">
        <f>[2]TongHop!L228</f>
        <v>0</v>
      </c>
      <c r="M228">
        <f>[2]TongHop!M228</f>
        <v>0</v>
      </c>
      <c r="N228">
        <f>[2]TongHop!N228</f>
        <v>0</v>
      </c>
    </row>
    <row r="229" spans="1:14">
      <c r="A229">
        <f>[2]TongHop!A229</f>
        <v>0</v>
      </c>
      <c r="B229">
        <f>[2]TongHop!B229</f>
        <v>0</v>
      </c>
      <c r="C229">
        <f>[2]TongHop!C229</f>
        <v>0</v>
      </c>
      <c r="D229">
        <f>[2]TongHop!D229</f>
        <v>0</v>
      </c>
      <c r="E229">
        <f>[2]TongHop!E229</f>
        <v>0</v>
      </c>
      <c r="F229">
        <f>[2]TongHop!F229</f>
        <v>0</v>
      </c>
      <c r="G229">
        <f>[2]TongHop!G229</f>
        <v>0</v>
      </c>
      <c r="H229">
        <f>[2]TongHop!H229</f>
        <v>0</v>
      </c>
      <c r="I229">
        <f>[2]TongHop!I229</f>
        <v>0</v>
      </c>
      <c r="J229">
        <f>[2]TongHop!J229</f>
        <v>0</v>
      </c>
      <c r="K229">
        <f>[2]TongHop!K229</f>
        <v>0</v>
      </c>
      <c r="L229">
        <f>[2]TongHop!L229</f>
        <v>0</v>
      </c>
      <c r="M229">
        <f>[2]TongHop!M229</f>
        <v>0</v>
      </c>
      <c r="N229">
        <f>[2]TongHop!N229</f>
        <v>0</v>
      </c>
    </row>
    <row r="230" spans="1:14">
      <c r="A230">
        <f>[2]TongHop!A230</f>
        <v>0</v>
      </c>
      <c r="B230">
        <f>[2]TongHop!B230</f>
        <v>0</v>
      </c>
      <c r="C230">
        <f>[2]TongHop!C230</f>
        <v>0</v>
      </c>
      <c r="D230">
        <f>[2]TongHop!D230</f>
        <v>0</v>
      </c>
      <c r="E230">
        <f>[2]TongHop!E230</f>
        <v>0</v>
      </c>
      <c r="F230">
        <f>[2]TongHop!F230</f>
        <v>0</v>
      </c>
      <c r="G230">
        <f>[2]TongHop!G230</f>
        <v>0</v>
      </c>
      <c r="H230">
        <f>[2]TongHop!H230</f>
        <v>0</v>
      </c>
      <c r="I230">
        <f>[2]TongHop!I230</f>
        <v>0</v>
      </c>
      <c r="J230">
        <f>[2]TongHop!J230</f>
        <v>0</v>
      </c>
      <c r="K230">
        <f>[2]TongHop!K230</f>
        <v>0</v>
      </c>
      <c r="L230">
        <f>[2]TongHop!L230</f>
        <v>0</v>
      </c>
      <c r="M230">
        <f>[2]TongHop!M230</f>
        <v>0</v>
      </c>
      <c r="N230">
        <f>[2]TongHop!N230</f>
        <v>0</v>
      </c>
    </row>
    <row r="231" spans="1:14">
      <c r="A231">
        <f>[2]TongHop!A231</f>
        <v>0</v>
      </c>
      <c r="B231">
        <f>[2]TongHop!B231</f>
        <v>0</v>
      </c>
      <c r="C231">
        <f>[2]TongHop!C231</f>
        <v>0</v>
      </c>
      <c r="D231">
        <f>[2]TongHop!D231</f>
        <v>0</v>
      </c>
      <c r="E231">
        <f>[2]TongHop!E231</f>
        <v>0</v>
      </c>
      <c r="F231">
        <f>[2]TongHop!F231</f>
        <v>0</v>
      </c>
      <c r="G231">
        <f>[2]TongHop!G231</f>
        <v>0</v>
      </c>
      <c r="H231">
        <f>[2]TongHop!H231</f>
        <v>0</v>
      </c>
      <c r="I231">
        <f>[2]TongHop!I231</f>
        <v>0</v>
      </c>
      <c r="J231">
        <f>[2]TongHop!J231</f>
        <v>0</v>
      </c>
      <c r="K231">
        <f>[2]TongHop!K231</f>
        <v>0</v>
      </c>
      <c r="L231">
        <f>[2]TongHop!L231</f>
        <v>0</v>
      </c>
      <c r="M231">
        <f>[2]TongHop!M231</f>
        <v>0</v>
      </c>
      <c r="N231">
        <f>[2]TongHop!N231</f>
        <v>0</v>
      </c>
    </row>
    <row r="232" spans="1:14">
      <c r="A232">
        <f>[2]TongHop!A232</f>
        <v>0</v>
      </c>
      <c r="B232">
        <f>[2]TongHop!B232</f>
        <v>0</v>
      </c>
      <c r="C232">
        <f>[2]TongHop!C232</f>
        <v>0</v>
      </c>
      <c r="D232">
        <f>[2]TongHop!D232</f>
        <v>0</v>
      </c>
      <c r="E232">
        <f>[2]TongHop!E232</f>
        <v>0</v>
      </c>
      <c r="F232">
        <f>[2]TongHop!F232</f>
        <v>0</v>
      </c>
      <c r="G232">
        <f>[2]TongHop!G232</f>
        <v>0</v>
      </c>
      <c r="H232">
        <f>[2]TongHop!H232</f>
        <v>0</v>
      </c>
      <c r="I232">
        <f>[2]TongHop!I232</f>
        <v>0</v>
      </c>
      <c r="J232">
        <f>[2]TongHop!J232</f>
        <v>0</v>
      </c>
      <c r="K232">
        <f>[2]TongHop!K232</f>
        <v>0</v>
      </c>
      <c r="L232">
        <f>[2]TongHop!L232</f>
        <v>0</v>
      </c>
      <c r="M232">
        <f>[2]TongHop!M232</f>
        <v>0</v>
      </c>
      <c r="N232">
        <f>[2]TongHop!N232</f>
        <v>0</v>
      </c>
    </row>
    <row r="233" spans="1:14">
      <c r="A233">
        <f>[2]TongHop!A233</f>
        <v>0</v>
      </c>
      <c r="B233">
        <f>[2]TongHop!B233</f>
        <v>0</v>
      </c>
      <c r="C233">
        <f>[2]TongHop!C233</f>
        <v>0</v>
      </c>
      <c r="D233">
        <f>[2]TongHop!D233</f>
        <v>0</v>
      </c>
      <c r="E233">
        <f>[2]TongHop!E233</f>
        <v>0</v>
      </c>
      <c r="F233">
        <f>[2]TongHop!F233</f>
        <v>0</v>
      </c>
      <c r="G233">
        <f>[2]TongHop!G233</f>
        <v>0</v>
      </c>
      <c r="H233">
        <f>[2]TongHop!H233</f>
        <v>0</v>
      </c>
      <c r="I233">
        <f>[2]TongHop!I233</f>
        <v>0</v>
      </c>
      <c r="J233">
        <f>[2]TongHop!J233</f>
        <v>0</v>
      </c>
      <c r="K233">
        <f>[2]TongHop!K233</f>
        <v>0</v>
      </c>
      <c r="L233">
        <f>[2]TongHop!L233</f>
        <v>0</v>
      </c>
      <c r="M233">
        <f>[2]TongHop!M233</f>
        <v>0</v>
      </c>
      <c r="N233">
        <f>[2]TongHop!N233</f>
        <v>0</v>
      </c>
    </row>
    <row r="234" spans="1:14">
      <c r="A234">
        <f>[2]TongHop!A234</f>
        <v>0</v>
      </c>
      <c r="B234">
        <f>[2]TongHop!B234</f>
        <v>0</v>
      </c>
      <c r="C234">
        <f>[2]TongHop!C234</f>
        <v>0</v>
      </c>
      <c r="D234">
        <f>[2]TongHop!D234</f>
        <v>0</v>
      </c>
      <c r="E234">
        <f>[2]TongHop!E234</f>
        <v>0</v>
      </c>
      <c r="F234">
        <f>[2]TongHop!F234</f>
        <v>0</v>
      </c>
      <c r="G234">
        <f>[2]TongHop!G234</f>
        <v>0</v>
      </c>
      <c r="H234">
        <f>[2]TongHop!H234</f>
        <v>0</v>
      </c>
      <c r="I234">
        <f>[2]TongHop!I234</f>
        <v>0</v>
      </c>
      <c r="J234">
        <f>[2]TongHop!J234</f>
        <v>0</v>
      </c>
      <c r="K234">
        <f>[2]TongHop!K234</f>
        <v>0</v>
      </c>
      <c r="L234">
        <f>[2]TongHop!L234</f>
        <v>0</v>
      </c>
      <c r="M234">
        <f>[2]TongHop!M234</f>
        <v>0</v>
      </c>
      <c r="N234">
        <f>[2]TongHop!N234</f>
        <v>0</v>
      </c>
    </row>
    <row r="235" spans="1:14">
      <c r="A235">
        <f>[2]TongHop!A235</f>
        <v>0</v>
      </c>
      <c r="B235">
        <f>[2]TongHop!B235</f>
        <v>0</v>
      </c>
      <c r="C235">
        <f>[2]TongHop!C235</f>
        <v>0</v>
      </c>
      <c r="D235">
        <f>[2]TongHop!D235</f>
        <v>0</v>
      </c>
      <c r="E235">
        <f>[2]TongHop!E235</f>
        <v>0</v>
      </c>
      <c r="F235">
        <f>[2]TongHop!F235</f>
        <v>0</v>
      </c>
      <c r="G235">
        <f>[2]TongHop!G235</f>
        <v>0</v>
      </c>
      <c r="H235">
        <f>[2]TongHop!H235</f>
        <v>0</v>
      </c>
      <c r="I235">
        <f>[2]TongHop!I235</f>
        <v>0</v>
      </c>
      <c r="J235">
        <f>[2]TongHop!J235</f>
        <v>0</v>
      </c>
      <c r="K235">
        <f>[2]TongHop!K235</f>
        <v>0</v>
      </c>
      <c r="L235">
        <f>[2]TongHop!L235</f>
        <v>0</v>
      </c>
      <c r="M235">
        <f>[2]TongHop!M235</f>
        <v>0</v>
      </c>
      <c r="N235">
        <f>[2]TongHop!N235</f>
        <v>0</v>
      </c>
    </row>
    <row r="236" spans="1:14">
      <c r="A236">
        <f>[2]TongHop!A236</f>
        <v>0</v>
      </c>
      <c r="B236">
        <f>[2]TongHop!B236</f>
        <v>0</v>
      </c>
      <c r="C236">
        <f>[2]TongHop!C236</f>
        <v>0</v>
      </c>
      <c r="D236">
        <f>[2]TongHop!D236</f>
        <v>0</v>
      </c>
      <c r="E236">
        <f>[2]TongHop!E236</f>
        <v>0</v>
      </c>
      <c r="F236">
        <f>[2]TongHop!F236</f>
        <v>0</v>
      </c>
      <c r="G236">
        <f>[2]TongHop!G236</f>
        <v>0</v>
      </c>
      <c r="H236">
        <f>[2]TongHop!H236</f>
        <v>0</v>
      </c>
      <c r="I236">
        <f>[2]TongHop!I236</f>
        <v>0</v>
      </c>
      <c r="J236">
        <f>[2]TongHop!J236</f>
        <v>0</v>
      </c>
      <c r="K236">
        <f>[2]TongHop!K236</f>
        <v>0</v>
      </c>
      <c r="L236">
        <f>[2]TongHop!L236</f>
        <v>0</v>
      </c>
      <c r="M236">
        <f>[2]TongHop!M236</f>
        <v>0</v>
      </c>
      <c r="N236">
        <f>[2]TongHop!N236</f>
        <v>0</v>
      </c>
    </row>
    <row r="237" spans="1:14">
      <c r="A237">
        <f>[2]TongHop!A237</f>
        <v>0</v>
      </c>
      <c r="B237">
        <f>[2]TongHop!B237</f>
        <v>0</v>
      </c>
      <c r="C237">
        <f>[2]TongHop!C237</f>
        <v>0</v>
      </c>
      <c r="D237">
        <f>[2]TongHop!D237</f>
        <v>0</v>
      </c>
      <c r="E237">
        <f>[2]TongHop!E237</f>
        <v>0</v>
      </c>
      <c r="F237">
        <f>[2]TongHop!F237</f>
        <v>0</v>
      </c>
      <c r="G237">
        <f>[2]TongHop!G237</f>
        <v>0</v>
      </c>
      <c r="H237">
        <f>[2]TongHop!H237</f>
        <v>0</v>
      </c>
      <c r="I237">
        <f>[2]TongHop!I237</f>
        <v>0</v>
      </c>
      <c r="J237">
        <f>[2]TongHop!J237</f>
        <v>0</v>
      </c>
      <c r="K237">
        <f>[2]TongHop!K237</f>
        <v>0</v>
      </c>
      <c r="L237">
        <f>[2]TongHop!L237</f>
        <v>0</v>
      </c>
      <c r="M237">
        <f>[2]TongHop!M237</f>
        <v>0</v>
      </c>
      <c r="N237">
        <f>[2]TongHop!N237</f>
        <v>0</v>
      </c>
    </row>
    <row r="238" spans="1:14">
      <c r="A238">
        <f>[2]TongHop!A238</f>
        <v>0</v>
      </c>
      <c r="B238">
        <f>[2]TongHop!B238</f>
        <v>0</v>
      </c>
      <c r="C238">
        <f>[2]TongHop!C238</f>
        <v>0</v>
      </c>
      <c r="D238">
        <f>[2]TongHop!D238</f>
        <v>0</v>
      </c>
      <c r="E238">
        <f>[2]TongHop!E238</f>
        <v>0</v>
      </c>
      <c r="F238">
        <f>[2]TongHop!F238</f>
        <v>0</v>
      </c>
      <c r="G238">
        <f>[2]TongHop!G238</f>
        <v>0</v>
      </c>
      <c r="H238">
        <f>[2]TongHop!H238</f>
        <v>0</v>
      </c>
      <c r="I238">
        <f>[2]TongHop!I238</f>
        <v>0</v>
      </c>
      <c r="J238">
        <f>[2]TongHop!J238</f>
        <v>0</v>
      </c>
      <c r="K238">
        <f>[2]TongHop!K238</f>
        <v>0</v>
      </c>
      <c r="L238">
        <f>[2]TongHop!L238</f>
        <v>0</v>
      </c>
      <c r="M238">
        <f>[2]TongHop!M238</f>
        <v>0</v>
      </c>
      <c r="N238">
        <f>[2]TongHop!N238</f>
        <v>0</v>
      </c>
    </row>
    <row r="239" spans="1:14">
      <c r="A239">
        <f>[2]TongHop!A239</f>
        <v>0</v>
      </c>
      <c r="B239">
        <f>[2]TongHop!B239</f>
        <v>0</v>
      </c>
      <c r="C239">
        <f>[2]TongHop!C239</f>
        <v>0</v>
      </c>
      <c r="D239">
        <f>[2]TongHop!D239</f>
        <v>0</v>
      </c>
      <c r="E239">
        <f>[2]TongHop!E239</f>
        <v>0</v>
      </c>
      <c r="F239">
        <f>[2]TongHop!F239</f>
        <v>0</v>
      </c>
      <c r="G239">
        <f>[2]TongHop!G239</f>
        <v>0</v>
      </c>
      <c r="H239">
        <f>[2]TongHop!H239</f>
        <v>0</v>
      </c>
      <c r="I239">
        <f>[2]TongHop!I239</f>
        <v>0</v>
      </c>
      <c r="J239">
        <f>[2]TongHop!J239</f>
        <v>0</v>
      </c>
      <c r="K239">
        <f>[2]TongHop!K239</f>
        <v>0</v>
      </c>
      <c r="L239">
        <f>[2]TongHop!L239</f>
        <v>0</v>
      </c>
      <c r="M239">
        <f>[2]TongHop!M239</f>
        <v>0</v>
      </c>
      <c r="N239">
        <f>[2]TongHop!N239</f>
        <v>0</v>
      </c>
    </row>
    <row r="240" spans="1:14">
      <c r="A240">
        <f>[2]TongHop!A240</f>
        <v>0</v>
      </c>
      <c r="B240">
        <f>[2]TongHop!B240</f>
        <v>0</v>
      </c>
      <c r="C240">
        <f>[2]TongHop!C240</f>
        <v>0</v>
      </c>
      <c r="D240">
        <f>[2]TongHop!D240</f>
        <v>0</v>
      </c>
      <c r="E240">
        <f>[2]TongHop!E240</f>
        <v>0</v>
      </c>
      <c r="F240">
        <f>[2]TongHop!F240</f>
        <v>0</v>
      </c>
      <c r="G240">
        <f>[2]TongHop!G240</f>
        <v>0</v>
      </c>
      <c r="H240">
        <f>[2]TongHop!H240</f>
        <v>0</v>
      </c>
      <c r="I240">
        <f>[2]TongHop!I240</f>
        <v>0</v>
      </c>
      <c r="J240">
        <f>[2]TongHop!J240</f>
        <v>0</v>
      </c>
      <c r="K240">
        <f>[2]TongHop!K240</f>
        <v>0</v>
      </c>
      <c r="L240">
        <f>[2]TongHop!L240</f>
        <v>0</v>
      </c>
      <c r="M240">
        <f>[2]TongHop!M240</f>
        <v>0</v>
      </c>
      <c r="N240">
        <f>[2]TongHop!N240</f>
        <v>0</v>
      </c>
    </row>
    <row r="241" spans="1:14">
      <c r="A241">
        <f>[2]TongHop!A241</f>
        <v>0</v>
      </c>
      <c r="B241">
        <f>[2]TongHop!B241</f>
        <v>0</v>
      </c>
      <c r="C241">
        <f>[2]TongHop!C241</f>
        <v>0</v>
      </c>
      <c r="D241">
        <f>[2]TongHop!D241</f>
        <v>0</v>
      </c>
      <c r="E241">
        <f>[2]TongHop!E241</f>
        <v>0</v>
      </c>
      <c r="F241">
        <f>[2]TongHop!F241</f>
        <v>0</v>
      </c>
      <c r="G241">
        <f>[2]TongHop!G241</f>
        <v>0</v>
      </c>
      <c r="H241">
        <f>[2]TongHop!H241</f>
        <v>0</v>
      </c>
      <c r="I241">
        <f>[2]TongHop!I241</f>
        <v>0</v>
      </c>
      <c r="J241">
        <f>[2]TongHop!J241</f>
        <v>0</v>
      </c>
      <c r="K241">
        <f>[2]TongHop!K241</f>
        <v>0</v>
      </c>
      <c r="L241">
        <f>[2]TongHop!L241</f>
        <v>0</v>
      </c>
      <c r="M241">
        <f>[2]TongHop!M241</f>
        <v>0</v>
      </c>
      <c r="N241">
        <f>[2]TongHop!N241</f>
        <v>0</v>
      </c>
    </row>
    <row r="242" spans="1:14">
      <c r="A242">
        <f>[2]TongHop!A242</f>
        <v>0</v>
      </c>
      <c r="B242">
        <f>[2]TongHop!B242</f>
        <v>0</v>
      </c>
      <c r="C242">
        <f>[2]TongHop!C242</f>
        <v>0</v>
      </c>
      <c r="D242">
        <f>[2]TongHop!D242</f>
        <v>0</v>
      </c>
      <c r="E242">
        <f>[2]TongHop!E242</f>
        <v>0</v>
      </c>
      <c r="F242">
        <f>[2]TongHop!F242</f>
        <v>0</v>
      </c>
      <c r="G242">
        <f>[2]TongHop!G242</f>
        <v>0</v>
      </c>
      <c r="H242">
        <f>[2]TongHop!H242</f>
        <v>0</v>
      </c>
      <c r="I242">
        <f>[2]TongHop!I242</f>
        <v>0</v>
      </c>
      <c r="J242">
        <f>[2]TongHop!J242</f>
        <v>0</v>
      </c>
      <c r="K242">
        <f>[2]TongHop!K242</f>
        <v>0</v>
      </c>
      <c r="L242">
        <f>[2]TongHop!L242</f>
        <v>0</v>
      </c>
      <c r="M242">
        <f>[2]TongHop!M242</f>
        <v>0</v>
      </c>
      <c r="N242">
        <f>[2]TongHop!N242</f>
        <v>0</v>
      </c>
    </row>
    <row r="243" spans="1:14">
      <c r="A243">
        <f>[2]TongHop!A243</f>
        <v>0</v>
      </c>
      <c r="B243">
        <f>[2]TongHop!B243</f>
        <v>0</v>
      </c>
      <c r="C243">
        <f>[2]TongHop!C243</f>
        <v>0</v>
      </c>
      <c r="D243">
        <f>[2]TongHop!D243</f>
        <v>0</v>
      </c>
      <c r="E243">
        <f>[2]TongHop!E243</f>
        <v>0</v>
      </c>
      <c r="F243">
        <f>[2]TongHop!F243</f>
        <v>0</v>
      </c>
      <c r="G243">
        <f>[2]TongHop!G243</f>
        <v>0</v>
      </c>
      <c r="H243">
        <f>[2]TongHop!H243</f>
        <v>0</v>
      </c>
      <c r="I243">
        <f>[2]TongHop!I243</f>
        <v>0</v>
      </c>
      <c r="J243">
        <f>[2]TongHop!J243</f>
        <v>0</v>
      </c>
      <c r="K243">
        <f>[2]TongHop!K243</f>
        <v>0</v>
      </c>
      <c r="L243">
        <f>[2]TongHop!L243</f>
        <v>0</v>
      </c>
      <c r="M243">
        <f>[2]TongHop!M243</f>
        <v>0</v>
      </c>
      <c r="N243">
        <f>[2]TongHop!N243</f>
        <v>0</v>
      </c>
    </row>
    <row r="244" spans="1:14">
      <c r="A244">
        <f>[2]TongHop!A244</f>
        <v>0</v>
      </c>
      <c r="B244">
        <f>[2]TongHop!B244</f>
        <v>0</v>
      </c>
      <c r="C244">
        <f>[2]TongHop!C244</f>
        <v>0</v>
      </c>
      <c r="D244">
        <f>[2]TongHop!D244</f>
        <v>0</v>
      </c>
      <c r="E244">
        <f>[2]TongHop!E244</f>
        <v>0</v>
      </c>
      <c r="F244">
        <f>[2]TongHop!F244</f>
        <v>0</v>
      </c>
      <c r="G244">
        <f>[2]TongHop!G244</f>
        <v>0</v>
      </c>
      <c r="H244">
        <f>[2]TongHop!H244</f>
        <v>0</v>
      </c>
      <c r="I244">
        <f>[2]TongHop!I244</f>
        <v>0</v>
      </c>
      <c r="J244">
        <f>[2]TongHop!J244</f>
        <v>0</v>
      </c>
      <c r="K244">
        <f>[2]TongHop!K244</f>
        <v>0</v>
      </c>
      <c r="L244">
        <f>[2]TongHop!L244</f>
        <v>0</v>
      </c>
      <c r="M244">
        <f>[2]TongHop!M244</f>
        <v>0</v>
      </c>
      <c r="N244">
        <f>[2]TongHop!N244</f>
        <v>0</v>
      </c>
    </row>
    <row r="245" spans="1:14">
      <c r="A245">
        <f>[2]TongHop!A245</f>
        <v>0</v>
      </c>
      <c r="B245">
        <f>[2]TongHop!B245</f>
        <v>0</v>
      </c>
      <c r="C245">
        <f>[2]TongHop!C245</f>
        <v>0</v>
      </c>
      <c r="D245">
        <f>[2]TongHop!D245</f>
        <v>0</v>
      </c>
      <c r="E245">
        <f>[2]TongHop!E245</f>
        <v>0</v>
      </c>
      <c r="F245">
        <f>[2]TongHop!F245</f>
        <v>0</v>
      </c>
      <c r="G245">
        <f>[2]TongHop!G245</f>
        <v>0</v>
      </c>
      <c r="H245">
        <f>[2]TongHop!H245</f>
        <v>0</v>
      </c>
      <c r="I245">
        <f>[2]TongHop!I245</f>
        <v>0</v>
      </c>
      <c r="J245">
        <f>[2]TongHop!J245</f>
        <v>0</v>
      </c>
      <c r="K245">
        <f>[2]TongHop!K245</f>
        <v>0</v>
      </c>
      <c r="L245">
        <f>[2]TongHop!L245</f>
        <v>0</v>
      </c>
      <c r="M245">
        <f>[2]TongHop!M245</f>
        <v>0</v>
      </c>
      <c r="N245">
        <f>[2]TongHop!N245</f>
        <v>0</v>
      </c>
    </row>
    <row r="246" spans="1:14">
      <c r="A246">
        <f>[2]TongHop!A246</f>
        <v>0</v>
      </c>
      <c r="B246">
        <f>[2]TongHop!B246</f>
        <v>0</v>
      </c>
      <c r="C246">
        <f>[2]TongHop!C246</f>
        <v>0</v>
      </c>
      <c r="D246">
        <f>[2]TongHop!D246</f>
        <v>0</v>
      </c>
      <c r="E246">
        <f>[2]TongHop!E246</f>
        <v>0</v>
      </c>
      <c r="F246">
        <f>[2]TongHop!F246</f>
        <v>0</v>
      </c>
      <c r="G246">
        <f>[2]TongHop!G246</f>
        <v>0</v>
      </c>
      <c r="H246">
        <f>[2]TongHop!H246</f>
        <v>0</v>
      </c>
      <c r="I246">
        <f>[2]TongHop!I246</f>
        <v>0</v>
      </c>
      <c r="J246">
        <f>[2]TongHop!J246</f>
        <v>0</v>
      </c>
      <c r="K246">
        <f>[2]TongHop!K246</f>
        <v>0</v>
      </c>
      <c r="L246">
        <f>[2]TongHop!L246</f>
        <v>0</v>
      </c>
      <c r="M246">
        <f>[2]TongHop!M246</f>
        <v>0</v>
      </c>
      <c r="N246">
        <f>[2]TongHop!N246</f>
        <v>0</v>
      </c>
    </row>
    <row r="247" spans="1:14">
      <c r="A247">
        <f>[2]TongHop!A247</f>
        <v>0</v>
      </c>
      <c r="B247">
        <f>[2]TongHop!B247</f>
        <v>0</v>
      </c>
      <c r="C247">
        <f>[2]TongHop!C247</f>
        <v>0</v>
      </c>
      <c r="D247">
        <f>[2]TongHop!D247</f>
        <v>0</v>
      </c>
      <c r="E247">
        <f>[2]TongHop!E247</f>
        <v>0</v>
      </c>
      <c r="F247">
        <f>[2]TongHop!F247</f>
        <v>0</v>
      </c>
      <c r="G247">
        <f>[2]TongHop!G247</f>
        <v>0</v>
      </c>
      <c r="H247">
        <f>[2]TongHop!H247</f>
        <v>0</v>
      </c>
      <c r="I247">
        <f>[2]TongHop!I247</f>
        <v>0</v>
      </c>
      <c r="J247">
        <f>[2]TongHop!J247</f>
        <v>0</v>
      </c>
      <c r="K247">
        <f>[2]TongHop!K247</f>
        <v>0</v>
      </c>
      <c r="L247">
        <f>[2]TongHop!L247</f>
        <v>0</v>
      </c>
      <c r="M247">
        <f>[2]TongHop!M247</f>
        <v>0</v>
      </c>
      <c r="N247">
        <f>[2]TongHop!N247</f>
        <v>0</v>
      </c>
    </row>
    <row r="248" spans="1:14">
      <c r="A248">
        <f>[2]TongHop!A248</f>
        <v>0</v>
      </c>
      <c r="B248">
        <f>[2]TongHop!B248</f>
        <v>0</v>
      </c>
      <c r="C248">
        <f>[2]TongHop!C248</f>
        <v>0</v>
      </c>
      <c r="D248">
        <f>[2]TongHop!D248</f>
        <v>0</v>
      </c>
      <c r="E248">
        <f>[2]TongHop!E248</f>
        <v>0</v>
      </c>
      <c r="F248">
        <f>[2]TongHop!F248</f>
        <v>0</v>
      </c>
      <c r="G248">
        <f>[2]TongHop!G248</f>
        <v>0</v>
      </c>
      <c r="H248">
        <f>[2]TongHop!H248</f>
        <v>0</v>
      </c>
      <c r="I248">
        <f>[2]TongHop!I248</f>
        <v>0</v>
      </c>
      <c r="J248">
        <f>[2]TongHop!J248</f>
        <v>0</v>
      </c>
      <c r="K248">
        <f>[2]TongHop!K248</f>
        <v>0</v>
      </c>
      <c r="L248">
        <f>[2]TongHop!L248</f>
        <v>0</v>
      </c>
      <c r="M248">
        <f>[2]TongHop!M248</f>
        <v>0</v>
      </c>
      <c r="N248">
        <f>[2]TongHop!N248</f>
        <v>0</v>
      </c>
    </row>
    <row r="249" spans="1:14">
      <c r="A249">
        <f>[2]TongHop!A249</f>
        <v>0</v>
      </c>
      <c r="B249">
        <f>[2]TongHop!B249</f>
        <v>0</v>
      </c>
      <c r="C249">
        <f>[2]TongHop!C249</f>
        <v>0</v>
      </c>
      <c r="D249">
        <f>[2]TongHop!D249</f>
        <v>0</v>
      </c>
      <c r="E249">
        <f>[2]TongHop!E249</f>
        <v>0</v>
      </c>
      <c r="F249">
        <f>[2]TongHop!F249</f>
        <v>0</v>
      </c>
      <c r="G249">
        <f>[2]TongHop!G249</f>
        <v>0</v>
      </c>
      <c r="H249">
        <f>[2]TongHop!H249</f>
        <v>0</v>
      </c>
      <c r="I249">
        <f>[2]TongHop!I249</f>
        <v>0</v>
      </c>
      <c r="J249">
        <f>[2]TongHop!J249</f>
        <v>0</v>
      </c>
      <c r="K249">
        <f>[2]TongHop!K249</f>
        <v>0</v>
      </c>
      <c r="L249">
        <f>[2]TongHop!L249</f>
        <v>0</v>
      </c>
      <c r="M249">
        <f>[2]TongHop!M249</f>
        <v>0</v>
      </c>
      <c r="N249">
        <f>[2]TongHop!N249</f>
        <v>0</v>
      </c>
    </row>
    <row r="250" spans="1:14">
      <c r="A250">
        <f>[2]TongHop!A250</f>
        <v>0</v>
      </c>
      <c r="B250">
        <f>[2]TongHop!B250</f>
        <v>0</v>
      </c>
      <c r="C250">
        <f>[2]TongHop!C250</f>
        <v>0</v>
      </c>
      <c r="D250">
        <f>[2]TongHop!D250</f>
        <v>0</v>
      </c>
      <c r="E250">
        <f>[2]TongHop!E250</f>
        <v>0</v>
      </c>
      <c r="F250">
        <f>[2]TongHop!F250</f>
        <v>0</v>
      </c>
      <c r="G250">
        <f>[2]TongHop!G250</f>
        <v>0</v>
      </c>
      <c r="H250">
        <f>[2]TongHop!H250</f>
        <v>0</v>
      </c>
      <c r="I250">
        <f>[2]TongHop!I250</f>
        <v>0</v>
      </c>
      <c r="J250">
        <f>[2]TongHop!J250</f>
        <v>0</v>
      </c>
      <c r="K250">
        <f>[2]TongHop!K250</f>
        <v>0</v>
      </c>
      <c r="L250">
        <f>[2]TongHop!L250</f>
        <v>0</v>
      </c>
      <c r="M250">
        <f>[2]TongHop!M250</f>
        <v>0</v>
      </c>
      <c r="N250">
        <f>[2]TongHop!N250</f>
        <v>0</v>
      </c>
    </row>
    <row r="251" spans="1:14">
      <c r="A251">
        <f>[2]TongHop!A251</f>
        <v>0</v>
      </c>
      <c r="B251">
        <f>[2]TongHop!B251</f>
        <v>0</v>
      </c>
      <c r="C251">
        <f>[2]TongHop!C251</f>
        <v>0</v>
      </c>
      <c r="D251">
        <f>[2]TongHop!D251</f>
        <v>0</v>
      </c>
      <c r="E251">
        <f>[2]TongHop!E251</f>
        <v>0</v>
      </c>
      <c r="F251">
        <f>[2]TongHop!F251</f>
        <v>0</v>
      </c>
      <c r="G251">
        <f>[2]TongHop!G251</f>
        <v>0</v>
      </c>
      <c r="H251">
        <f>[2]TongHop!H251</f>
        <v>0</v>
      </c>
      <c r="I251">
        <f>[2]TongHop!I251</f>
        <v>0</v>
      </c>
      <c r="J251">
        <f>[2]TongHop!J251</f>
        <v>0</v>
      </c>
      <c r="K251">
        <f>[2]TongHop!K251</f>
        <v>0</v>
      </c>
      <c r="L251">
        <f>[2]TongHop!L251</f>
        <v>0</v>
      </c>
      <c r="M251">
        <f>[2]TongHop!M251</f>
        <v>0</v>
      </c>
      <c r="N251">
        <f>[2]TongHop!N251</f>
        <v>0</v>
      </c>
    </row>
    <row r="252" spans="1:14">
      <c r="A252">
        <f>[2]TongHop!A252</f>
        <v>0</v>
      </c>
      <c r="B252">
        <f>[2]TongHop!B252</f>
        <v>0</v>
      </c>
      <c r="C252">
        <f>[2]TongHop!C252</f>
        <v>0</v>
      </c>
      <c r="D252">
        <f>[2]TongHop!D252</f>
        <v>0</v>
      </c>
      <c r="E252">
        <f>[2]TongHop!E252</f>
        <v>0</v>
      </c>
      <c r="F252">
        <f>[2]TongHop!F252</f>
        <v>0</v>
      </c>
      <c r="G252">
        <f>[2]TongHop!G252</f>
        <v>0</v>
      </c>
      <c r="H252">
        <f>[2]TongHop!H252</f>
        <v>0</v>
      </c>
      <c r="I252">
        <f>[2]TongHop!I252</f>
        <v>0</v>
      </c>
      <c r="J252">
        <f>[2]TongHop!J252</f>
        <v>0</v>
      </c>
      <c r="K252">
        <f>[2]TongHop!K252</f>
        <v>0</v>
      </c>
      <c r="L252">
        <f>[2]TongHop!L252</f>
        <v>0</v>
      </c>
      <c r="M252">
        <f>[2]TongHop!M252</f>
        <v>0</v>
      </c>
      <c r="N252">
        <f>[2]TongHop!N252</f>
        <v>0</v>
      </c>
    </row>
    <row r="253" spans="1:14">
      <c r="A253">
        <f>[2]TongHop!A253</f>
        <v>0</v>
      </c>
      <c r="B253">
        <f>[2]TongHop!B253</f>
        <v>0</v>
      </c>
      <c r="C253">
        <f>[2]TongHop!C253</f>
        <v>0</v>
      </c>
      <c r="D253">
        <f>[2]TongHop!D253</f>
        <v>0</v>
      </c>
      <c r="E253">
        <f>[2]TongHop!E253</f>
        <v>0</v>
      </c>
      <c r="F253">
        <f>[2]TongHop!F253</f>
        <v>0</v>
      </c>
      <c r="G253">
        <f>[2]TongHop!G253</f>
        <v>0</v>
      </c>
      <c r="H253">
        <f>[2]TongHop!H253</f>
        <v>0</v>
      </c>
      <c r="I253">
        <f>[2]TongHop!I253</f>
        <v>0</v>
      </c>
      <c r="J253">
        <f>[2]TongHop!J253</f>
        <v>0</v>
      </c>
      <c r="K253">
        <f>[2]TongHop!K253</f>
        <v>0</v>
      </c>
      <c r="L253">
        <f>[2]TongHop!L253</f>
        <v>0</v>
      </c>
      <c r="M253">
        <f>[2]TongHop!M253</f>
        <v>0</v>
      </c>
      <c r="N253">
        <f>[2]TongHop!N253</f>
        <v>0</v>
      </c>
    </row>
    <row r="254" spans="1:14">
      <c r="A254">
        <f>[2]TongHop!A254</f>
        <v>0</v>
      </c>
      <c r="B254">
        <f>[2]TongHop!B254</f>
        <v>0</v>
      </c>
      <c r="C254">
        <f>[2]TongHop!C254</f>
        <v>0</v>
      </c>
      <c r="D254">
        <f>[2]TongHop!D254</f>
        <v>0</v>
      </c>
      <c r="E254">
        <f>[2]TongHop!E254</f>
        <v>0</v>
      </c>
      <c r="F254">
        <f>[2]TongHop!F254</f>
        <v>0</v>
      </c>
      <c r="G254">
        <f>[2]TongHop!G254</f>
        <v>0</v>
      </c>
      <c r="H254">
        <f>[2]TongHop!H254</f>
        <v>0</v>
      </c>
      <c r="I254">
        <f>[2]TongHop!I254</f>
        <v>0</v>
      </c>
      <c r="J254">
        <f>[2]TongHop!J254</f>
        <v>0</v>
      </c>
      <c r="K254">
        <f>[2]TongHop!K254</f>
        <v>0</v>
      </c>
      <c r="L254">
        <f>[2]TongHop!L254</f>
        <v>0</v>
      </c>
      <c r="M254">
        <f>[2]TongHop!M254</f>
        <v>0</v>
      </c>
      <c r="N254">
        <f>[2]TongHop!N254</f>
        <v>0</v>
      </c>
    </row>
    <row r="255" spans="1:14">
      <c r="A255">
        <f>[2]TongHop!A255</f>
        <v>0</v>
      </c>
      <c r="B255">
        <f>[2]TongHop!B255</f>
        <v>0</v>
      </c>
      <c r="C255">
        <f>[2]TongHop!C255</f>
        <v>0</v>
      </c>
      <c r="D255">
        <f>[2]TongHop!D255</f>
        <v>0</v>
      </c>
      <c r="E255">
        <f>[2]TongHop!E255</f>
        <v>0</v>
      </c>
      <c r="F255">
        <f>[2]TongHop!F255</f>
        <v>0</v>
      </c>
      <c r="G255">
        <f>[2]TongHop!G255</f>
        <v>0</v>
      </c>
      <c r="H255">
        <f>[2]TongHop!H255</f>
        <v>0</v>
      </c>
      <c r="I255">
        <f>[2]TongHop!I255</f>
        <v>0</v>
      </c>
      <c r="J255">
        <f>[2]TongHop!J255</f>
        <v>0</v>
      </c>
      <c r="K255">
        <f>[2]TongHop!K255</f>
        <v>0</v>
      </c>
      <c r="L255">
        <f>[2]TongHop!L255</f>
        <v>0</v>
      </c>
      <c r="M255">
        <f>[2]TongHop!M255</f>
        <v>0</v>
      </c>
      <c r="N255">
        <f>[2]TongHop!N255</f>
        <v>0</v>
      </c>
    </row>
    <row r="256" spans="1:14">
      <c r="A256">
        <f>[2]TongHop!A256</f>
        <v>0</v>
      </c>
      <c r="B256">
        <f>[2]TongHop!B256</f>
        <v>0</v>
      </c>
      <c r="C256">
        <f>[2]TongHop!C256</f>
        <v>0</v>
      </c>
      <c r="D256">
        <f>[2]TongHop!D256</f>
        <v>0</v>
      </c>
      <c r="E256">
        <f>[2]TongHop!E256</f>
        <v>0</v>
      </c>
      <c r="F256">
        <f>[2]TongHop!F256</f>
        <v>0</v>
      </c>
      <c r="G256">
        <f>[2]TongHop!G256</f>
        <v>0</v>
      </c>
      <c r="H256">
        <f>[2]TongHop!H256</f>
        <v>0</v>
      </c>
      <c r="I256">
        <f>[2]TongHop!I256</f>
        <v>0</v>
      </c>
      <c r="J256">
        <f>[2]TongHop!J256</f>
        <v>0</v>
      </c>
      <c r="K256">
        <f>[2]TongHop!K256</f>
        <v>0</v>
      </c>
      <c r="L256">
        <f>[2]TongHop!L256</f>
        <v>0</v>
      </c>
      <c r="M256">
        <f>[2]TongHop!M256</f>
        <v>0</v>
      </c>
      <c r="N256">
        <f>[2]TongHop!N256</f>
        <v>0</v>
      </c>
    </row>
    <row r="257" spans="1:14">
      <c r="A257">
        <f>[2]TongHop!A257</f>
        <v>0</v>
      </c>
      <c r="B257">
        <f>[2]TongHop!B257</f>
        <v>0</v>
      </c>
      <c r="C257">
        <f>[2]TongHop!C257</f>
        <v>0</v>
      </c>
      <c r="D257">
        <f>[2]TongHop!D257</f>
        <v>0</v>
      </c>
      <c r="E257">
        <f>[2]TongHop!E257</f>
        <v>0</v>
      </c>
      <c r="F257">
        <f>[2]TongHop!F257</f>
        <v>0</v>
      </c>
      <c r="G257">
        <f>[2]TongHop!G257</f>
        <v>0</v>
      </c>
      <c r="H257">
        <f>[2]TongHop!H257</f>
        <v>0</v>
      </c>
      <c r="I257">
        <f>[2]TongHop!I257</f>
        <v>0</v>
      </c>
      <c r="J257">
        <f>[2]TongHop!J257</f>
        <v>0</v>
      </c>
      <c r="K257">
        <f>[2]TongHop!K257</f>
        <v>0</v>
      </c>
      <c r="L257">
        <f>[2]TongHop!L257</f>
        <v>0</v>
      </c>
      <c r="M257">
        <f>[2]TongHop!M257</f>
        <v>0</v>
      </c>
      <c r="N257">
        <f>[2]TongHop!N257</f>
        <v>0</v>
      </c>
    </row>
    <row r="258" spans="1:14">
      <c r="A258">
        <f>[2]TongHop!A258</f>
        <v>0</v>
      </c>
      <c r="B258">
        <f>[2]TongHop!B258</f>
        <v>0</v>
      </c>
      <c r="C258">
        <f>[2]TongHop!C258</f>
        <v>0</v>
      </c>
      <c r="D258">
        <f>[2]TongHop!D258</f>
        <v>0</v>
      </c>
      <c r="E258">
        <f>[2]TongHop!E258</f>
        <v>0</v>
      </c>
      <c r="F258">
        <f>[2]TongHop!F258</f>
        <v>0</v>
      </c>
      <c r="G258">
        <f>[2]TongHop!G258</f>
        <v>0</v>
      </c>
      <c r="H258">
        <f>[2]TongHop!H258</f>
        <v>0</v>
      </c>
      <c r="I258">
        <f>[2]TongHop!I258</f>
        <v>0</v>
      </c>
      <c r="J258">
        <f>[2]TongHop!J258</f>
        <v>0</v>
      </c>
      <c r="K258">
        <f>[2]TongHop!K258</f>
        <v>0</v>
      </c>
      <c r="L258">
        <f>[2]TongHop!L258</f>
        <v>0</v>
      </c>
      <c r="M258">
        <f>[2]TongHop!M258</f>
        <v>0</v>
      </c>
      <c r="N258">
        <f>[2]TongHop!N258</f>
        <v>0</v>
      </c>
    </row>
    <row r="259" spans="1:14">
      <c r="A259">
        <f>[2]TongHop!A259</f>
        <v>0</v>
      </c>
      <c r="B259">
        <f>[2]TongHop!B259</f>
        <v>0</v>
      </c>
      <c r="C259">
        <f>[2]TongHop!C259</f>
        <v>0</v>
      </c>
      <c r="D259">
        <f>[2]TongHop!D259</f>
        <v>0</v>
      </c>
      <c r="E259">
        <f>[2]TongHop!E259</f>
        <v>0</v>
      </c>
      <c r="F259">
        <f>[2]TongHop!F259</f>
        <v>0</v>
      </c>
      <c r="G259">
        <f>[2]TongHop!G259</f>
        <v>0</v>
      </c>
      <c r="H259">
        <f>[2]TongHop!H259</f>
        <v>0</v>
      </c>
      <c r="I259">
        <f>[2]TongHop!I259</f>
        <v>0</v>
      </c>
      <c r="J259">
        <f>[2]TongHop!J259</f>
        <v>0</v>
      </c>
      <c r="K259">
        <f>[2]TongHop!K259</f>
        <v>0</v>
      </c>
      <c r="L259">
        <f>[2]TongHop!L259</f>
        <v>0</v>
      </c>
      <c r="M259">
        <f>[2]TongHop!M259</f>
        <v>0</v>
      </c>
      <c r="N259">
        <f>[2]TongHop!N259</f>
        <v>0</v>
      </c>
    </row>
    <row r="260" spans="1:14">
      <c r="A260">
        <f>[2]TongHop!A260</f>
        <v>0</v>
      </c>
      <c r="B260">
        <f>[2]TongHop!B260</f>
        <v>0</v>
      </c>
      <c r="C260">
        <f>[2]TongHop!C260</f>
        <v>0</v>
      </c>
      <c r="D260">
        <f>[2]TongHop!D260</f>
        <v>0</v>
      </c>
      <c r="E260">
        <f>[2]TongHop!E260</f>
        <v>0</v>
      </c>
      <c r="F260">
        <f>[2]TongHop!F260</f>
        <v>0</v>
      </c>
      <c r="G260">
        <f>[2]TongHop!G260</f>
        <v>0</v>
      </c>
      <c r="H260">
        <f>[2]TongHop!H260</f>
        <v>0</v>
      </c>
      <c r="I260">
        <f>[2]TongHop!I260</f>
        <v>0</v>
      </c>
      <c r="J260">
        <f>[2]TongHop!J260</f>
        <v>0</v>
      </c>
      <c r="K260">
        <f>[2]TongHop!K260</f>
        <v>0</v>
      </c>
      <c r="L260">
        <f>[2]TongHop!L260</f>
        <v>0</v>
      </c>
      <c r="M260">
        <f>[2]TongHop!M260</f>
        <v>0</v>
      </c>
      <c r="N260">
        <f>[2]TongHop!N260</f>
        <v>0</v>
      </c>
    </row>
    <row r="261" spans="1:14">
      <c r="A261">
        <f>[2]TongHop!A261</f>
        <v>0</v>
      </c>
      <c r="B261">
        <f>[2]TongHop!B261</f>
        <v>0</v>
      </c>
      <c r="C261">
        <f>[2]TongHop!C261</f>
        <v>0</v>
      </c>
      <c r="D261">
        <f>[2]TongHop!D261</f>
        <v>0</v>
      </c>
      <c r="E261">
        <f>[2]TongHop!E261</f>
        <v>0</v>
      </c>
      <c r="F261">
        <f>[2]TongHop!F261</f>
        <v>0</v>
      </c>
      <c r="G261">
        <f>[2]TongHop!G261</f>
        <v>0</v>
      </c>
      <c r="H261">
        <f>[2]TongHop!H261</f>
        <v>0</v>
      </c>
      <c r="I261">
        <f>[2]TongHop!I261</f>
        <v>0</v>
      </c>
      <c r="J261">
        <f>[2]TongHop!J261</f>
        <v>0</v>
      </c>
      <c r="K261">
        <f>[2]TongHop!K261</f>
        <v>0</v>
      </c>
      <c r="L261">
        <f>[2]TongHop!L261</f>
        <v>0</v>
      </c>
      <c r="M261">
        <f>[2]TongHop!M261</f>
        <v>0</v>
      </c>
      <c r="N261">
        <f>[2]TongHop!N261</f>
        <v>0</v>
      </c>
    </row>
    <row r="262" spans="1:14">
      <c r="A262">
        <f>[2]TongHop!A262</f>
        <v>0</v>
      </c>
      <c r="B262">
        <f>[2]TongHop!B262</f>
        <v>0</v>
      </c>
      <c r="C262">
        <f>[2]TongHop!C262</f>
        <v>0</v>
      </c>
      <c r="D262">
        <f>[2]TongHop!D262</f>
        <v>0</v>
      </c>
      <c r="E262">
        <f>[2]TongHop!E262</f>
        <v>0</v>
      </c>
      <c r="F262">
        <f>[2]TongHop!F262</f>
        <v>0</v>
      </c>
      <c r="G262">
        <f>[2]TongHop!G262</f>
        <v>0</v>
      </c>
      <c r="H262">
        <f>[2]TongHop!H262</f>
        <v>0</v>
      </c>
      <c r="I262">
        <f>[2]TongHop!I262</f>
        <v>0</v>
      </c>
      <c r="J262">
        <f>[2]TongHop!J262</f>
        <v>0</v>
      </c>
      <c r="K262">
        <f>[2]TongHop!K262</f>
        <v>0</v>
      </c>
      <c r="L262">
        <f>[2]TongHop!L262</f>
        <v>0</v>
      </c>
      <c r="M262">
        <f>[2]TongHop!M262</f>
        <v>0</v>
      </c>
      <c r="N262">
        <f>[2]TongHop!N262</f>
        <v>0</v>
      </c>
    </row>
    <row r="263" spans="1:14">
      <c r="A263">
        <f>[2]TongHop!A263</f>
        <v>0</v>
      </c>
      <c r="B263">
        <f>[2]TongHop!B263</f>
        <v>0</v>
      </c>
      <c r="C263">
        <f>[2]TongHop!C263</f>
        <v>0</v>
      </c>
      <c r="D263">
        <f>[2]TongHop!D263</f>
        <v>0</v>
      </c>
      <c r="E263">
        <f>[2]TongHop!E263</f>
        <v>0</v>
      </c>
      <c r="F263">
        <f>[2]TongHop!F263</f>
        <v>0</v>
      </c>
      <c r="G263">
        <f>[2]TongHop!G263</f>
        <v>0</v>
      </c>
      <c r="H263">
        <f>[2]TongHop!H263</f>
        <v>0</v>
      </c>
      <c r="I263">
        <f>[2]TongHop!I263</f>
        <v>0</v>
      </c>
      <c r="J263">
        <f>[2]TongHop!J263</f>
        <v>0</v>
      </c>
      <c r="K263">
        <f>[2]TongHop!K263</f>
        <v>0</v>
      </c>
      <c r="L263">
        <f>[2]TongHop!L263</f>
        <v>0</v>
      </c>
      <c r="M263">
        <f>[2]TongHop!M263</f>
        <v>0</v>
      </c>
      <c r="N263">
        <f>[2]TongHop!N263</f>
        <v>0</v>
      </c>
    </row>
    <row r="264" spans="1:14">
      <c r="A264">
        <f>[2]TongHop!A264</f>
        <v>0</v>
      </c>
      <c r="B264">
        <f>[2]TongHop!B264</f>
        <v>0</v>
      </c>
      <c r="C264">
        <f>[2]TongHop!C264</f>
        <v>0</v>
      </c>
      <c r="D264">
        <f>[2]TongHop!D264</f>
        <v>0</v>
      </c>
      <c r="E264">
        <f>[2]TongHop!E264</f>
        <v>0</v>
      </c>
      <c r="F264">
        <f>[2]TongHop!F264</f>
        <v>0</v>
      </c>
      <c r="G264">
        <f>[2]TongHop!G264</f>
        <v>0</v>
      </c>
      <c r="H264">
        <f>[2]TongHop!H264</f>
        <v>0</v>
      </c>
      <c r="I264">
        <f>[2]TongHop!I264</f>
        <v>0</v>
      </c>
      <c r="J264">
        <f>[2]TongHop!J264</f>
        <v>0</v>
      </c>
      <c r="K264">
        <f>[2]TongHop!K264</f>
        <v>0</v>
      </c>
      <c r="L264">
        <f>[2]TongHop!L264</f>
        <v>0</v>
      </c>
      <c r="M264">
        <f>[2]TongHop!M264</f>
        <v>0</v>
      </c>
      <c r="N264">
        <f>[2]TongHop!N264</f>
        <v>0</v>
      </c>
    </row>
    <row r="265" spans="1:14">
      <c r="A265">
        <f>[2]TongHop!A265</f>
        <v>0</v>
      </c>
      <c r="B265">
        <f>[2]TongHop!B265</f>
        <v>0</v>
      </c>
      <c r="C265">
        <f>[2]TongHop!C265</f>
        <v>0</v>
      </c>
      <c r="D265">
        <f>[2]TongHop!D265</f>
        <v>0</v>
      </c>
      <c r="E265">
        <f>[2]TongHop!E265</f>
        <v>0</v>
      </c>
      <c r="F265">
        <f>[2]TongHop!F265</f>
        <v>0</v>
      </c>
      <c r="G265">
        <f>[2]TongHop!G265</f>
        <v>0</v>
      </c>
      <c r="H265">
        <f>[2]TongHop!H265</f>
        <v>0</v>
      </c>
      <c r="I265">
        <f>[2]TongHop!I265</f>
        <v>0</v>
      </c>
      <c r="J265">
        <f>[2]TongHop!J265</f>
        <v>0</v>
      </c>
      <c r="K265">
        <f>[2]TongHop!K265</f>
        <v>0</v>
      </c>
      <c r="L265">
        <f>[2]TongHop!L265</f>
        <v>0</v>
      </c>
      <c r="M265">
        <f>[2]TongHop!M265</f>
        <v>0</v>
      </c>
      <c r="N265">
        <f>[2]TongHop!N265</f>
        <v>0</v>
      </c>
    </row>
    <row r="266" spans="1:14">
      <c r="A266">
        <f>[2]TongHop!A266</f>
        <v>0</v>
      </c>
      <c r="B266">
        <f>[2]TongHop!B266</f>
        <v>0</v>
      </c>
      <c r="C266">
        <f>[2]TongHop!C266</f>
        <v>0</v>
      </c>
      <c r="D266">
        <f>[2]TongHop!D266</f>
        <v>0</v>
      </c>
      <c r="E266">
        <f>[2]TongHop!E266</f>
        <v>0</v>
      </c>
      <c r="F266">
        <f>[2]TongHop!F266</f>
        <v>0</v>
      </c>
      <c r="G266">
        <f>[2]TongHop!G266</f>
        <v>0</v>
      </c>
      <c r="H266">
        <f>[2]TongHop!H266</f>
        <v>0</v>
      </c>
      <c r="I266">
        <f>[2]TongHop!I266</f>
        <v>0</v>
      </c>
      <c r="J266">
        <f>[2]TongHop!J266</f>
        <v>0</v>
      </c>
      <c r="K266">
        <f>[2]TongHop!K266</f>
        <v>0</v>
      </c>
      <c r="L266">
        <f>[2]TongHop!L266</f>
        <v>0</v>
      </c>
      <c r="M266">
        <f>[2]TongHop!M266</f>
        <v>0</v>
      </c>
      <c r="N266">
        <f>[2]TongHop!N266</f>
        <v>0</v>
      </c>
    </row>
    <row r="267" spans="1:14">
      <c r="A267">
        <f>[2]TongHop!A267</f>
        <v>0</v>
      </c>
      <c r="B267">
        <f>[2]TongHop!B267</f>
        <v>0</v>
      </c>
      <c r="C267">
        <f>[2]TongHop!C267</f>
        <v>0</v>
      </c>
      <c r="D267">
        <f>[2]TongHop!D267</f>
        <v>0</v>
      </c>
      <c r="E267">
        <f>[2]TongHop!E267</f>
        <v>0</v>
      </c>
      <c r="F267">
        <f>[2]TongHop!F267</f>
        <v>0</v>
      </c>
      <c r="G267">
        <f>[2]TongHop!G267</f>
        <v>0</v>
      </c>
      <c r="H267">
        <f>[2]TongHop!H267</f>
        <v>0</v>
      </c>
      <c r="I267">
        <f>[2]TongHop!I267</f>
        <v>0</v>
      </c>
      <c r="J267">
        <f>[2]TongHop!J267</f>
        <v>0</v>
      </c>
      <c r="K267">
        <f>[2]TongHop!K267</f>
        <v>0</v>
      </c>
      <c r="L267">
        <f>[2]TongHop!L267</f>
        <v>0</v>
      </c>
      <c r="M267">
        <f>[2]TongHop!M267</f>
        <v>0</v>
      </c>
      <c r="N267">
        <f>[2]TongHop!N267</f>
        <v>0</v>
      </c>
    </row>
    <row r="268" spans="1:14">
      <c r="A268">
        <f>[2]TongHop!A268</f>
        <v>0</v>
      </c>
      <c r="B268">
        <f>[2]TongHop!B268</f>
        <v>0</v>
      </c>
      <c r="C268">
        <f>[2]TongHop!C268</f>
        <v>0</v>
      </c>
      <c r="D268">
        <f>[2]TongHop!D268</f>
        <v>0</v>
      </c>
      <c r="E268">
        <f>[2]TongHop!E268</f>
        <v>0</v>
      </c>
      <c r="F268">
        <f>[2]TongHop!F268</f>
        <v>0</v>
      </c>
      <c r="G268">
        <f>[2]TongHop!G268</f>
        <v>0</v>
      </c>
      <c r="H268">
        <f>[2]TongHop!H268</f>
        <v>0</v>
      </c>
      <c r="I268">
        <f>[2]TongHop!I268</f>
        <v>0</v>
      </c>
      <c r="J268">
        <f>[2]TongHop!J268</f>
        <v>0</v>
      </c>
      <c r="K268">
        <f>[2]TongHop!K268</f>
        <v>0</v>
      </c>
      <c r="L268">
        <f>[2]TongHop!L268</f>
        <v>0</v>
      </c>
      <c r="M268">
        <f>[2]TongHop!M268</f>
        <v>0</v>
      </c>
      <c r="N268">
        <f>[2]TongHop!N268</f>
        <v>0</v>
      </c>
    </row>
    <row r="269" spans="1:14">
      <c r="A269">
        <f>[2]TongHop!A269</f>
        <v>0</v>
      </c>
      <c r="B269">
        <f>[2]TongHop!B269</f>
        <v>0</v>
      </c>
      <c r="C269">
        <f>[2]TongHop!C269</f>
        <v>0</v>
      </c>
      <c r="D269">
        <f>[2]TongHop!D269</f>
        <v>0</v>
      </c>
      <c r="E269">
        <f>[2]TongHop!E269</f>
        <v>0</v>
      </c>
      <c r="F269">
        <f>[2]TongHop!F269</f>
        <v>0</v>
      </c>
      <c r="G269">
        <f>[2]TongHop!G269</f>
        <v>0</v>
      </c>
      <c r="H269">
        <f>[2]TongHop!H269</f>
        <v>0</v>
      </c>
      <c r="I269">
        <f>[2]TongHop!I269</f>
        <v>0</v>
      </c>
      <c r="J269">
        <f>[2]TongHop!J269</f>
        <v>0</v>
      </c>
      <c r="K269">
        <f>[2]TongHop!K269</f>
        <v>0</v>
      </c>
      <c r="L269">
        <f>[2]TongHop!L269</f>
        <v>0</v>
      </c>
      <c r="M269">
        <f>[2]TongHop!M269</f>
        <v>0</v>
      </c>
      <c r="N269">
        <f>[2]TongHop!N269</f>
        <v>0</v>
      </c>
    </row>
    <row r="270" spans="1:14">
      <c r="A270">
        <f>[2]TongHop!A270</f>
        <v>0</v>
      </c>
      <c r="B270">
        <f>[2]TongHop!B270</f>
        <v>0</v>
      </c>
      <c r="C270">
        <f>[2]TongHop!C270</f>
        <v>0</v>
      </c>
      <c r="D270">
        <f>[2]TongHop!D270</f>
        <v>0</v>
      </c>
      <c r="E270">
        <f>[2]TongHop!E270</f>
        <v>0</v>
      </c>
      <c r="F270">
        <f>[2]TongHop!F270</f>
        <v>0</v>
      </c>
      <c r="G270">
        <f>[2]TongHop!G270</f>
        <v>0</v>
      </c>
      <c r="H270">
        <f>[2]TongHop!H270</f>
        <v>0</v>
      </c>
      <c r="I270">
        <f>[2]TongHop!I270</f>
        <v>0</v>
      </c>
      <c r="J270">
        <f>[2]TongHop!J270</f>
        <v>0</v>
      </c>
      <c r="K270">
        <f>[2]TongHop!K270</f>
        <v>0</v>
      </c>
      <c r="L270">
        <f>[2]TongHop!L270</f>
        <v>0</v>
      </c>
      <c r="M270">
        <f>[2]TongHop!M270</f>
        <v>0</v>
      </c>
      <c r="N270">
        <f>[2]TongHop!N270</f>
        <v>0</v>
      </c>
    </row>
    <row r="271" spans="1:14">
      <c r="A271">
        <f>[2]TongHop!A271</f>
        <v>0</v>
      </c>
      <c r="B271">
        <f>[2]TongHop!B271</f>
        <v>0</v>
      </c>
      <c r="C271">
        <f>[2]TongHop!C271</f>
        <v>0</v>
      </c>
      <c r="D271">
        <f>[2]TongHop!D271</f>
        <v>0</v>
      </c>
      <c r="E271">
        <f>[2]TongHop!E271</f>
        <v>0</v>
      </c>
      <c r="F271">
        <f>[2]TongHop!F271</f>
        <v>0</v>
      </c>
      <c r="G271">
        <f>[2]TongHop!G271</f>
        <v>0</v>
      </c>
      <c r="H271">
        <f>[2]TongHop!H271</f>
        <v>0</v>
      </c>
      <c r="I271">
        <f>[2]TongHop!I271</f>
        <v>0</v>
      </c>
      <c r="J271">
        <f>[2]TongHop!J271</f>
        <v>0</v>
      </c>
      <c r="K271">
        <f>[2]TongHop!K271</f>
        <v>0</v>
      </c>
      <c r="L271">
        <f>[2]TongHop!L271</f>
        <v>0</v>
      </c>
      <c r="M271">
        <f>[2]TongHop!M271</f>
        <v>0</v>
      </c>
      <c r="N271">
        <f>[2]TongHop!N271</f>
        <v>0</v>
      </c>
    </row>
    <row r="272" spans="1:14">
      <c r="A272">
        <f>[2]TongHop!A272</f>
        <v>0</v>
      </c>
      <c r="B272">
        <f>[2]TongHop!B272</f>
        <v>0</v>
      </c>
      <c r="C272">
        <f>[2]TongHop!C272</f>
        <v>0</v>
      </c>
      <c r="D272">
        <f>[2]TongHop!D272</f>
        <v>0</v>
      </c>
      <c r="E272">
        <f>[2]TongHop!E272</f>
        <v>0</v>
      </c>
      <c r="F272">
        <f>[2]TongHop!F272</f>
        <v>0</v>
      </c>
      <c r="G272">
        <f>[2]TongHop!G272</f>
        <v>0</v>
      </c>
      <c r="H272">
        <f>[2]TongHop!H272</f>
        <v>0</v>
      </c>
      <c r="I272">
        <f>[2]TongHop!I272</f>
        <v>0</v>
      </c>
      <c r="J272">
        <f>[2]TongHop!J272</f>
        <v>0</v>
      </c>
      <c r="K272">
        <f>[2]TongHop!K272</f>
        <v>0</v>
      </c>
      <c r="L272">
        <f>[2]TongHop!L272</f>
        <v>0</v>
      </c>
      <c r="M272">
        <f>[2]TongHop!M272</f>
        <v>0</v>
      </c>
      <c r="N272">
        <f>[2]TongHop!N272</f>
        <v>0</v>
      </c>
    </row>
    <row r="273" spans="1:14">
      <c r="A273">
        <f>[2]TongHop!A273</f>
        <v>0</v>
      </c>
      <c r="B273">
        <f>[2]TongHop!B273</f>
        <v>0</v>
      </c>
      <c r="C273">
        <f>[2]TongHop!C273</f>
        <v>0</v>
      </c>
      <c r="D273">
        <f>[2]TongHop!D273</f>
        <v>0</v>
      </c>
      <c r="E273">
        <f>[2]TongHop!E273</f>
        <v>0</v>
      </c>
      <c r="F273">
        <f>[2]TongHop!F273</f>
        <v>0</v>
      </c>
      <c r="G273">
        <f>[2]TongHop!G273</f>
        <v>0</v>
      </c>
      <c r="H273">
        <f>[2]TongHop!H273</f>
        <v>0</v>
      </c>
      <c r="I273">
        <f>[2]TongHop!I273</f>
        <v>0</v>
      </c>
      <c r="J273">
        <f>[2]TongHop!J273</f>
        <v>0</v>
      </c>
      <c r="K273">
        <f>[2]TongHop!K273</f>
        <v>0</v>
      </c>
      <c r="L273">
        <f>[2]TongHop!L273</f>
        <v>0</v>
      </c>
      <c r="M273">
        <f>[2]TongHop!M273</f>
        <v>0</v>
      </c>
      <c r="N273">
        <f>[2]TongHop!N273</f>
        <v>0</v>
      </c>
    </row>
    <row r="274" spans="1:14">
      <c r="A274">
        <f>[2]TongHop!A274</f>
        <v>0</v>
      </c>
      <c r="B274">
        <f>[2]TongHop!B274</f>
        <v>0</v>
      </c>
      <c r="C274">
        <f>[2]TongHop!C274</f>
        <v>0</v>
      </c>
      <c r="D274">
        <f>[2]TongHop!D274</f>
        <v>0</v>
      </c>
      <c r="E274">
        <f>[2]TongHop!E274</f>
        <v>0</v>
      </c>
      <c r="F274">
        <f>[2]TongHop!F274</f>
        <v>0</v>
      </c>
      <c r="G274">
        <f>[2]TongHop!G274</f>
        <v>0</v>
      </c>
      <c r="H274">
        <f>[2]TongHop!H274</f>
        <v>0</v>
      </c>
      <c r="I274">
        <f>[2]TongHop!I274</f>
        <v>0</v>
      </c>
      <c r="J274">
        <f>[2]TongHop!J274</f>
        <v>0</v>
      </c>
      <c r="K274">
        <f>[2]TongHop!K274</f>
        <v>0</v>
      </c>
      <c r="L274">
        <f>[2]TongHop!L274</f>
        <v>0</v>
      </c>
      <c r="M274">
        <f>[2]TongHop!M274</f>
        <v>0</v>
      </c>
      <c r="N274">
        <f>[2]TongHop!N274</f>
        <v>0</v>
      </c>
    </row>
    <row r="275" spans="1:14">
      <c r="A275">
        <f>[2]TongHop!A275</f>
        <v>0</v>
      </c>
      <c r="B275">
        <f>[2]TongHop!B275</f>
        <v>0</v>
      </c>
      <c r="C275">
        <f>[2]TongHop!C275</f>
        <v>0</v>
      </c>
      <c r="D275">
        <f>[2]TongHop!D275</f>
        <v>0</v>
      </c>
      <c r="E275">
        <f>[2]TongHop!E275</f>
        <v>0</v>
      </c>
      <c r="F275">
        <f>[2]TongHop!F275</f>
        <v>0</v>
      </c>
      <c r="G275">
        <f>[2]TongHop!G275</f>
        <v>0</v>
      </c>
      <c r="H275">
        <f>[2]TongHop!H275</f>
        <v>0</v>
      </c>
      <c r="I275">
        <f>[2]TongHop!I275</f>
        <v>0</v>
      </c>
      <c r="J275">
        <f>[2]TongHop!J275</f>
        <v>0</v>
      </c>
      <c r="K275">
        <f>[2]TongHop!K275</f>
        <v>0</v>
      </c>
      <c r="L275">
        <f>[2]TongHop!L275</f>
        <v>0</v>
      </c>
      <c r="M275">
        <f>[2]TongHop!M275</f>
        <v>0</v>
      </c>
      <c r="N275">
        <f>[2]TongHop!N275</f>
        <v>0</v>
      </c>
    </row>
    <row r="276" spans="1:14">
      <c r="A276">
        <f>[2]TongHop!A276</f>
        <v>0</v>
      </c>
      <c r="B276">
        <f>[2]TongHop!B276</f>
        <v>0</v>
      </c>
      <c r="C276">
        <f>[2]TongHop!C276</f>
        <v>0</v>
      </c>
      <c r="D276">
        <f>[2]TongHop!D276</f>
        <v>0</v>
      </c>
      <c r="E276">
        <f>[2]TongHop!E276</f>
        <v>0</v>
      </c>
      <c r="F276">
        <f>[2]TongHop!F276</f>
        <v>0</v>
      </c>
      <c r="G276">
        <f>[2]TongHop!G276</f>
        <v>0</v>
      </c>
      <c r="H276">
        <f>[2]TongHop!H276</f>
        <v>0</v>
      </c>
      <c r="I276">
        <f>[2]TongHop!I276</f>
        <v>0</v>
      </c>
      <c r="J276">
        <f>[2]TongHop!J276</f>
        <v>0</v>
      </c>
      <c r="K276">
        <f>[2]TongHop!K276</f>
        <v>0</v>
      </c>
      <c r="L276">
        <f>[2]TongHop!L276</f>
        <v>0</v>
      </c>
      <c r="M276">
        <f>[2]TongHop!M276</f>
        <v>0</v>
      </c>
      <c r="N276">
        <f>[2]TongHop!N276</f>
        <v>0</v>
      </c>
    </row>
    <row r="277" spans="1:14">
      <c r="A277">
        <f>[2]TongHop!A277</f>
        <v>0</v>
      </c>
      <c r="B277">
        <f>[2]TongHop!B277</f>
        <v>0</v>
      </c>
      <c r="C277">
        <f>[2]TongHop!C277</f>
        <v>0</v>
      </c>
      <c r="D277">
        <f>[2]TongHop!D277</f>
        <v>0</v>
      </c>
      <c r="E277">
        <f>[2]TongHop!E277</f>
        <v>0</v>
      </c>
      <c r="F277">
        <f>[2]TongHop!F277</f>
        <v>0</v>
      </c>
      <c r="G277">
        <f>[2]TongHop!G277</f>
        <v>0</v>
      </c>
      <c r="H277">
        <f>[2]TongHop!H277</f>
        <v>0</v>
      </c>
      <c r="I277">
        <f>[2]TongHop!I277</f>
        <v>0</v>
      </c>
      <c r="J277">
        <f>[2]TongHop!J277</f>
        <v>0</v>
      </c>
      <c r="K277">
        <f>[2]TongHop!K277</f>
        <v>0</v>
      </c>
      <c r="L277">
        <f>[2]TongHop!L277</f>
        <v>0</v>
      </c>
      <c r="M277">
        <f>[2]TongHop!M277</f>
        <v>0</v>
      </c>
      <c r="N277">
        <f>[2]TongHop!N277</f>
        <v>0</v>
      </c>
    </row>
    <row r="278" spans="1:14">
      <c r="A278">
        <f>[2]TongHop!A278</f>
        <v>0</v>
      </c>
      <c r="B278">
        <f>[2]TongHop!B278</f>
        <v>0</v>
      </c>
      <c r="C278">
        <f>[2]TongHop!C278</f>
        <v>0</v>
      </c>
      <c r="D278">
        <f>[2]TongHop!D278</f>
        <v>0</v>
      </c>
      <c r="E278">
        <f>[2]TongHop!E278</f>
        <v>0</v>
      </c>
      <c r="F278">
        <f>[2]TongHop!F278</f>
        <v>0</v>
      </c>
      <c r="G278">
        <f>[2]TongHop!G278</f>
        <v>0</v>
      </c>
      <c r="H278">
        <f>[2]TongHop!H278</f>
        <v>0</v>
      </c>
      <c r="I278">
        <f>[2]TongHop!I278</f>
        <v>0</v>
      </c>
      <c r="J278">
        <f>[2]TongHop!J278</f>
        <v>0</v>
      </c>
      <c r="K278">
        <f>[2]TongHop!K278</f>
        <v>0</v>
      </c>
      <c r="L278">
        <f>[2]TongHop!L278</f>
        <v>0</v>
      </c>
      <c r="M278">
        <f>[2]TongHop!M278</f>
        <v>0</v>
      </c>
      <c r="N278">
        <f>[2]TongHop!N278</f>
        <v>0</v>
      </c>
    </row>
    <row r="279" spans="1:14">
      <c r="A279">
        <f>[2]TongHop!A279</f>
        <v>0</v>
      </c>
      <c r="B279">
        <f>[2]TongHop!B279</f>
        <v>0</v>
      </c>
      <c r="C279">
        <f>[2]TongHop!C279</f>
        <v>0</v>
      </c>
      <c r="D279">
        <f>[2]TongHop!D279</f>
        <v>0</v>
      </c>
      <c r="E279">
        <f>[2]TongHop!E279</f>
        <v>0</v>
      </c>
      <c r="F279">
        <f>[2]TongHop!F279</f>
        <v>0</v>
      </c>
      <c r="G279">
        <f>[2]TongHop!G279</f>
        <v>0</v>
      </c>
      <c r="H279">
        <f>[2]TongHop!H279</f>
        <v>0</v>
      </c>
      <c r="I279">
        <f>[2]TongHop!I279</f>
        <v>0</v>
      </c>
      <c r="J279">
        <f>[2]TongHop!J279</f>
        <v>0</v>
      </c>
      <c r="K279">
        <f>[2]TongHop!K279</f>
        <v>0</v>
      </c>
      <c r="L279">
        <f>[2]TongHop!L279</f>
        <v>0</v>
      </c>
      <c r="M279">
        <f>[2]TongHop!M279</f>
        <v>0</v>
      </c>
      <c r="N279">
        <f>[2]TongHop!N279</f>
        <v>0</v>
      </c>
    </row>
    <row r="280" spans="1:14">
      <c r="A280">
        <f>[2]TongHop!A280</f>
        <v>0</v>
      </c>
      <c r="B280">
        <f>[2]TongHop!B280</f>
        <v>0</v>
      </c>
      <c r="C280">
        <f>[2]TongHop!C280</f>
        <v>0</v>
      </c>
      <c r="D280">
        <f>[2]TongHop!D280</f>
        <v>0</v>
      </c>
      <c r="E280">
        <f>[2]TongHop!E280</f>
        <v>0</v>
      </c>
      <c r="F280">
        <f>[2]TongHop!F280</f>
        <v>0</v>
      </c>
      <c r="G280">
        <f>[2]TongHop!G280</f>
        <v>0</v>
      </c>
      <c r="H280">
        <f>[2]TongHop!H280</f>
        <v>0</v>
      </c>
      <c r="I280">
        <f>[2]TongHop!I280</f>
        <v>0</v>
      </c>
      <c r="J280">
        <f>[2]TongHop!J280</f>
        <v>0</v>
      </c>
      <c r="K280">
        <f>[2]TongHop!K280</f>
        <v>0</v>
      </c>
      <c r="L280">
        <f>[2]TongHop!L280</f>
        <v>0</v>
      </c>
      <c r="M280">
        <f>[2]TongHop!M280</f>
        <v>0</v>
      </c>
      <c r="N280">
        <f>[2]TongHop!N280</f>
        <v>0</v>
      </c>
    </row>
    <row r="281" spans="1:14">
      <c r="A281">
        <f>[2]TongHop!A281</f>
        <v>0</v>
      </c>
      <c r="B281">
        <f>[2]TongHop!B281</f>
        <v>0</v>
      </c>
      <c r="C281">
        <f>[2]TongHop!C281</f>
        <v>0</v>
      </c>
      <c r="D281">
        <f>[2]TongHop!D281</f>
        <v>0</v>
      </c>
      <c r="E281">
        <f>[2]TongHop!E281</f>
        <v>0</v>
      </c>
      <c r="F281">
        <f>[2]TongHop!F281</f>
        <v>0</v>
      </c>
      <c r="G281">
        <f>[2]TongHop!G281</f>
        <v>0</v>
      </c>
      <c r="H281">
        <f>[2]TongHop!H281</f>
        <v>0</v>
      </c>
      <c r="I281">
        <f>[2]TongHop!I281</f>
        <v>0</v>
      </c>
      <c r="J281">
        <f>[2]TongHop!J281</f>
        <v>0</v>
      </c>
      <c r="K281">
        <f>[2]TongHop!K281</f>
        <v>0</v>
      </c>
      <c r="L281">
        <f>[2]TongHop!L281</f>
        <v>0</v>
      </c>
      <c r="M281">
        <f>[2]TongHop!M281</f>
        <v>0</v>
      </c>
      <c r="N281">
        <f>[2]TongHop!N281</f>
        <v>0</v>
      </c>
    </row>
    <row r="282" spans="1:14">
      <c r="A282">
        <f>[2]TongHop!A282</f>
        <v>0</v>
      </c>
      <c r="B282">
        <f>[2]TongHop!B282</f>
        <v>0</v>
      </c>
      <c r="C282">
        <f>[2]TongHop!C282</f>
        <v>0</v>
      </c>
      <c r="D282">
        <f>[2]TongHop!D282</f>
        <v>0</v>
      </c>
      <c r="E282">
        <f>[2]TongHop!E282</f>
        <v>0</v>
      </c>
      <c r="F282">
        <f>[2]TongHop!F282</f>
        <v>0</v>
      </c>
      <c r="G282">
        <f>[2]TongHop!G282</f>
        <v>0</v>
      </c>
      <c r="H282">
        <f>[2]TongHop!H282</f>
        <v>0</v>
      </c>
      <c r="I282">
        <f>[2]TongHop!I282</f>
        <v>0</v>
      </c>
      <c r="J282">
        <f>[2]TongHop!J282</f>
        <v>0</v>
      </c>
      <c r="K282">
        <f>[2]TongHop!K282</f>
        <v>0</v>
      </c>
      <c r="L282">
        <f>[2]TongHop!L282</f>
        <v>0</v>
      </c>
      <c r="M282">
        <f>[2]TongHop!M282</f>
        <v>0</v>
      </c>
      <c r="N282">
        <f>[2]TongHop!N282</f>
        <v>0</v>
      </c>
    </row>
    <row r="283" spans="1:14">
      <c r="A283">
        <f>[2]TongHop!A283</f>
        <v>0</v>
      </c>
      <c r="B283">
        <f>[2]TongHop!B283</f>
        <v>0</v>
      </c>
      <c r="C283">
        <f>[2]TongHop!C283</f>
        <v>0</v>
      </c>
      <c r="D283">
        <f>[2]TongHop!D283</f>
        <v>0</v>
      </c>
      <c r="E283">
        <f>[2]TongHop!E283</f>
        <v>0</v>
      </c>
      <c r="F283">
        <f>[2]TongHop!F283</f>
        <v>0</v>
      </c>
      <c r="G283">
        <f>[2]TongHop!G283</f>
        <v>0</v>
      </c>
      <c r="H283">
        <f>[2]TongHop!H283</f>
        <v>0</v>
      </c>
      <c r="I283">
        <f>[2]TongHop!I283</f>
        <v>0</v>
      </c>
      <c r="J283">
        <f>[2]TongHop!J283</f>
        <v>0</v>
      </c>
      <c r="K283">
        <f>[2]TongHop!K283</f>
        <v>0</v>
      </c>
      <c r="L283">
        <f>[2]TongHop!L283</f>
        <v>0</v>
      </c>
      <c r="M283">
        <f>[2]TongHop!M283</f>
        <v>0</v>
      </c>
      <c r="N283">
        <f>[2]TongHop!N283</f>
        <v>0</v>
      </c>
    </row>
    <row r="284" spans="1:14">
      <c r="A284">
        <f>[2]TongHop!A284</f>
        <v>0</v>
      </c>
      <c r="B284">
        <f>[2]TongHop!B284</f>
        <v>0</v>
      </c>
      <c r="C284">
        <f>[2]TongHop!C284</f>
        <v>0</v>
      </c>
      <c r="D284">
        <f>[2]TongHop!D284</f>
        <v>0</v>
      </c>
      <c r="E284">
        <f>[2]TongHop!E284</f>
        <v>0</v>
      </c>
      <c r="F284">
        <f>[2]TongHop!F284</f>
        <v>0</v>
      </c>
      <c r="G284">
        <f>[2]TongHop!G284</f>
        <v>0</v>
      </c>
      <c r="H284">
        <f>[2]TongHop!H284</f>
        <v>0</v>
      </c>
      <c r="I284">
        <f>[2]TongHop!I284</f>
        <v>0</v>
      </c>
      <c r="J284">
        <f>[2]TongHop!J284</f>
        <v>0</v>
      </c>
      <c r="K284">
        <f>[2]TongHop!K284</f>
        <v>0</v>
      </c>
      <c r="L284">
        <f>[2]TongHop!L284</f>
        <v>0</v>
      </c>
      <c r="M284">
        <f>[2]TongHop!M284</f>
        <v>0</v>
      </c>
      <c r="N284">
        <f>[2]TongHop!N284</f>
        <v>0</v>
      </c>
    </row>
    <row r="285" spans="1:14">
      <c r="A285">
        <f>[2]TongHop!A285</f>
        <v>0</v>
      </c>
      <c r="B285">
        <f>[2]TongHop!B285</f>
        <v>0</v>
      </c>
      <c r="C285">
        <f>[2]TongHop!C285</f>
        <v>0</v>
      </c>
      <c r="D285">
        <f>[2]TongHop!D285</f>
        <v>0</v>
      </c>
      <c r="E285">
        <f>[2]TongHop!E285</f>
        <v>0</v>
      </c>
      <c r="F285">
        <f>[2]TongHop!F285</f>
        <v>0</v>
      </c>
      <c r="G285">
        <f>[2]TongHop!G285</f>
        <v>0</v>
      </c>
      <c r="H285">
        <f>[2]TongHop!H285</f>
        <v>0</v>
      </c>
      <c r="I285">
        <f>[2]TongHop!I285</f>
        <v>0</v>
      </c>
      <c r="J285">
        <f>[2]TongHop!J285</f>
        <v>0</v>
      </c>
      <c r="K285">
        <f>[2]TongHop!K285</f>
        <v>0</v>
      </c>
      <c r="L285">
        <f>[2]TongHop!L285</f>
        <v>0</v>
      </c>
      <c r="M285">
        <f>[2]TongHop!M285</f>
        <v>0</v>
      </c>
      <c r="N285">
        <f>[2]TongHop!N285</f>
        <v>0</v>
      </c>
    </row>
    <row r="286" spans="1:14">
      <c r="A286">
        <f>[2]TongHop!A286</f>
        <v>0</v>
      </c>
      <c r="B286">
        <f>[2]TongHop!B286</f>
        <v>0</v>
      </c>
      <c r="C286">
        <f>[2]TongHop!C286</f>
        <v>0</v>
      </c>
      <c r="D286">
        <f>[2]TongHop!D286</f>
        <v>0</v>
      </c>
      <c r="E286">
        <f>[2]TongHop!E286</f>
        <v>0</v>
      </c>
      <c r="F286">
        <f>[2]TongHop!F286</f>
        <v>0</v>
      </c>
      <c r="G286">
        <f>[2]TongHop!G286</f>
        <v>0</v>
      </c>
      <c r="H286">
        <f>[2]TongHop!H286</f>
        <v>0</v>
      </c>
      <c r="I286">
        <f>[2]TongHop!I286</f>
        <v>0</v>
      </c>
      <c r="J286">
        <f>[2]TongHop!J286</f>
        <v>0</v>
      </c>
      <c r="K286">
        <f>[2]TongHop!K286</f>
        <v>0</v>
      </c>
      <c r="L286">
        <f>[2]TongHop!L286</f>
        <v>0</v>
      </c>
      <c r="M286">
        <f>[2]TongHop!M286</f>
        <v>0</v>
      </c>
      <c r="N286">
        <f>[2]TongHop!N286</f>
        <v>0</v>
      </c>
    </row>
    <row r="287" spans="1:14">
      <c r="A287">
        <f>[2]TongHop!A287</f>
        <v>0</v>
      </c>
      <c r="B287">
        <f>[2]TongHop!B287</f>
        <v>0</v>
      </c>
      <c r="C287">
        <f>[2]TongHop!C287</f>
        <v>0</v>
      </c>
      <c r="D287">
        <f>[2]TongHop!D287</f>
        <v>0</v>
      </c>
      <c r="E287">
        <f>[2]TongHop!E287</f>
        <v>0</v>
      </c>
      <c r="F287">
        <f>[2]TongHop!F287</f>
        <v>0</v>
      </c>
      <c r="G287">
        <f>[2]TongHop!G287</f>
        <v>0</v>
      </c>
      <c r="H287">
        <f>[2]TongHop!H287</f>
        <v>0</v>
      </c>
      <c r="I287">
        <f>[2]TongHop!I287</f>
        <v>0</v>
      </c>
      <c r="J287">
        <f>[2]TongHop!J287</f>
        <v>0</v>
      </c>
      <c r="K287">
        <f>[2]TongHop!K287</f>
        <v>0</v>
      </c>
      <c r="L287">
        <f>[2]TongHop!L287</f>
        <v>0</v>
      </c>
      <c r="M287">
        <f>[2]TongHop!M287</f>
        <v>0</v>
      </c>
      <c r="N287">
        <f>[2]TongHop!N287</f>
        <v>0</v>
      </c>
    </row>
    <row r="288" spans="1:14">
      <c r="A288">
        <f>[2]TongHop!A288</f>
        <v>0</v>
      </c>
      <c r="B288">
        <f>[2]TongHop!B288</f>
        <v>0</v>
      </c>
      <c r="C288">
        <f>[2]TongHop!C288</f>
        <v>0</v>
      </c>
      <c r="D288">
        <f>[2]TongHop!D288</f>
        <v>0</v>
      </c>
      <c r="E288">
        <f>[2]TongHop!E288</f>
        <v>0</v>
      </c>
      <c r="F288">
        <f>[2]TongHop!F288</f>
        <v>0</v>
      </c>
      <c r="G288">
        <f>[2]TongHop!G288</f>
        <v>0</v>
      </c>
      <c r="H288">
        <f>[2]TongHop!H288</f>
        <v>0</v>
      </c>
      <c r="I288">
        <f>[2]TongHop!I288</f>
        <v>0</v>
      </c>
      <c r="J288">
        <f>[2]TongHop!J288</f>
        <v>0</v>
      </c>
      <c r="K288">
        <f>[2]TongHop!K288</f>
        <v>0</v>
      </c>
      <c r="L288">
        <f>[2]TongHop!L288</f>
        <v>0</v>
      </c>
      <c r="M288">
        <f>[2]TongHop!M288</f>
        <v>0</v>
      </c>
      <c r="N288">
        <f>[2]TongHop!N288</f>
        <v>0</v>
      </c>
    </row>
    <row r="289" spans="1:14">
      <c r="A289">
        <f>[2]TongHop!A289</f>
        <v>0</v>
      </c>
      <c r="B289">
        <f>[2]TongHop!B289</f>
        <v>0</v>
      </c>
      <c r="C289">
        <f>[2]TongHop!C289</f>
        <v>0</v>
      </c>
      <c r="D289">
        <f>[2]TongHop!D289</f>
        <v>0</v>
      </c>
      <c r="E289">
        <f>[2]TongHop!E289</f>
        <v>0</v>
      </c>
      <c r="F289">
        <f>[2]TongHop!F289</f>
        <v>0</v>
      </c>
      <c r="G289">
        <f>[2]TongHop!G289</f>
        <v>0</v>
      </c>
      <c r="H289">
        <f>[2]TongHop!H289</f>
        <v>0</v>
      </c>
      <c r="I289">
        <f>[2]TongHop!I289</f>
        <v>0</v>
      </c>
      <c r="J289">
        <f>[2]TongHop!J289</f>
        <v>0</v>
      </c>
      <c r="K289">
        <f>[2]TongHop!K289</f>
        <v>0</v>
      </c>
      <c r="L289">
        <f>[2]TongHop!L289</f>
        <v>0</v>
      </c>
      <c r="M289">
        <f>[2]TongHop!M289</f>
        <v>0</v>
      </c>
      <c r="N289">
        <f>[2]TongHop!N289</f>
        <v>0</v>
      </c>
    </row>
    <row r="290" spans="1:14">
      <c r="A290">
        <f>[2]TongHop!A290</f>
        <v>0</v>
      </c>
      <c r="B290">
        <f>[2]TongHop!B290</f>
        <v>0</v>
      </c>
      <c r="C290">
        <f>[2]TongHop!C290</f>
        <v>0</v>
      </c>
      <c r="D290">
        <f>[2]TongHop!D290</f>
        <v>0</v>
      </c>
      <c r="E290">
        <f>[2]TongHop!E290</f>
        <v>0</v>
      </c>
      <c r="F290">
        <f>[2]TongHop!F290</f>
        <v>0</v>
      </c>
      <c r="G290">
        <f>[2]TongHop!G290</f>
        <v>0</v>
      </c>
      <c r="H290">
        <f>[2]TongHop!H290</f>
        <v>0</v>
      </c>
      <c r="I290">
        <f>[2]TongHop!I290</f>
        <v>0</v>
      </c>
      <c r="J290">
        <f>[2]TongHop!J290</f>
        <v>0</v>
      </c>
      <c r="K290">
        <f>[2]TongHop!K290</f>
        <v>0</v>
      </c>
      <c r="L290">
        <f>[2]TongHop!L290</f>
        <v>0</v>
      </c>
      <c r="M290">
        <f>[2]TongHop!M290</f>
        <v>0</v>
      </c>
      <c r="N290">
        <f>[2]TongHop!N290</f>
        <v>0</v>
      </c>
    </row>
    <row r="291" spans="1:14">
      <c r="A291">
        <f>[2]TongHop!A291</f>
        <v>0</v>
      </c>
      <c r="B291">
        <f>[2]TongHop!B291</f>
        <v>0</v>
      </c>
      <c r="C291">
        <f>[2]TongHop!C291</f>
        <v>0</v>
      </c>
      <c r="D291">
        <f>[2]TongHop!D291</f>
        <v>0</v>
      </c>
      <c r="E291">
        <f>[2]TongHop!E291</f>
        <v>0</v>
      </c>
      <c r="F291">
        <f>[2]TongHop!F291</f>
        <v>0</v>
      </c>
      <c r="G291">
        <f>[2]TongHop!G291</f>
        <v>0</v>
      </c>
      <c r="H291">
        <f>[2]TongHop!H291</f>
        <v>0</v>
      </c>
      <c r="I291">
        <f>[2]TongHop!I291</f>
        <v>0</v>
      </c>
      <c r="J291">
        <f>[2]TongHop!J291</f>
        <v>0</v>
      </c>
      <c r="K291">
        <f>[2]TongHop!K291</f>
        <v>0</v>
      </c>
      <c r="L291">
        <f>[2]TongHop!L291</f>
        <v>0</v>
      </c>
      <c r="M291">
        <f>[2]TongHop!M291</f>
        <v>0</v>
      </c>
      <c r="N291">
        <f>[2]TongHop!N291</f>
        <v>0</v>
      </c>
    </row>
    <row r="292" spans="1:14">
      <c r="A292">
        <f>[2]TongHop!A292</f>
        <v>0</v>
      </c>
      <c r="B292">
        <f>[2]TongHop!B292</f>
        <v>0</v>
      </c>
      <c r="C292">
        <f>[2]TongHop!C292</f>
        <v>0</v>
      </c>
      <c r="D292">
        <f>[2]TongHop!D292</f>
        <v>0</v>
      </c>
      <c r="E292">
        <f>[2]TongHop!E292</f>
        <v>0</v>
      </c>
      <c r="F292">
        <f>[2]TongHop!F292</f>
        <v>0</v>
      </c>
      <c r="G292">
        <f>[2]TongHop!G292</f>
        <v>0</v>
      </c>
      <c r="H292">
        <f>[2]TongHop!H292</f>
        <v>0</v>
      </c>
      <c r="I292">
        <f>[2]TongHop!I292</f>
        <v>0</v>
      </c>
      <c r="J292">
        <f>[2]TongHop!J292</f>
        <v>0</v>
      </c>
      <c r="K292">
        <f>[2]TongHop!K292</f>
        <v>0</v>
      </c>
      <c r="L292">
        <f>[2]TongHop!L292</f>
        <v>0</v>
      </c>
      <c r="M292">
        <f>[2]TongHop!M292</f>
        <v>0</v>
      </c>
      <c r="N292">
        <f>[2]TongHop!N292</f>
        <v>0</v>
      </c>
    </row>
    <row r="293" spans="1:14">
      <c r="A293">
        <f>[2]TongHop!A293</f>
        <v>0</v>
      </c>
      <c r="B293">
        <f>[2]TongHop!B293</f>
        <v>0</v>
      </c>
      <c r="C293">
        <f>[2]TongHop!C293</f>
        <v>0</v>
      </c>
      <c r="D293">
        <f>[2]TongHop!D293</f>
        <v>0</v>
      </c>
      <c r="E293">
        <f>[2]TongHop!E293</f>
        <v>0</v>
      </c>
      <c r="F293">
        <f>[2]TongHop!F293</f>
        <v>0</v>
      </c>
      <c r="G293">
        <f>[2]TongHop!G293</f>
        <v>0</v>
      </c>
      <c r="H293">
        <f>[2]TongHop!H293</f>
        <v>0</v>
      </c>
      <c r="I293">
        <f>[2]TongHop!I293</f>
        <v>0</v>
      </c>
      <c r="J293">
        <f>[2]TongHop!J293</f>
        <v>0</v>
      </c>
      <c r="K293">
        <f>[2]TongHop!K293</f>
        <v>0</v>
      </c>
      <c r="L293">
        <f>[2]TongHop!L293</f>
        <v>0</v>
      </c>
      <c r="M293">
        <f>[2]TongHop!M293</f>
        <v>0</v>
      </c>
      <c r="N293">
        <f>[2]TongHop!N293</f>
        <v>0</v>
      </c>
    </row>
    <row r="294" spans="1:14">
      <c r="A294">
        <f>[2]TongHop!A294</f>
        <v>0</v>
      </c>
      <c r="B294">
        <f>[2]TongHop!B294</f>
        <v>0</v>
      </c>
      <c r="C294">
        <f>[2]TongHop!C294</f>
        <v>0</v>
      </c>
      <c r="D294">
        <f>[2]TongHop!D294</f>
        <v>0</v>
      </c>
      <c r="E294">
        <f>[2]TongHop!E294</f>
        <v>0</v>
      </c>
      <c r="F294">
        <f>[2]TongHop!F294</f>
        <v>0</v>
      </c>
      <c r="G294">
        <f>[2]TongHop!G294</f>
        <v>0</v>
      </c>
      <c r="H294">
        <f>[2]TongHop!H294</f>
        <v>0</v>
      </c>
      <c r="I294">
        <f>[2]TongHop!I294</f>
        <v>0</v>
      </c>
      <c r="J294">
        <f>[2]TongHop!J294</f>
        <v>0</v>
      </c>
      <c r="K294">
        <f>[2]TongHop!K294</f>
        <v>0</v>
      </c>
      <c r="L294">
        <f>[2]TongHop!L294</f>
        <v>0</v>
      </c>
      <c r="M294">
        <f>[2]TongHop!M294</f>
        <v>0</v>
      </c>
      <c r="N294">
        <f>[2]TongHop!N294</f>
        <v>0</v>
      </c>
    </row>
    <row r="295" spans="1:14">
      <c r="A295">
        <f>[2]TongHop!A295</f>
        <v>0</v>
      </c>
      <c r="B295">
        <f>[2]TongHop!B295</f>
        <v>0</v>
      </c>
      <c r="C295">
        <f>[2]TongHop!C295</f>
        <v>0</v>
      </c>
      <c r="D295">
        <f>[2]TongHop!D295</f>
        <v>0</v>
      </c>
      <c r="E295">
        <f>[2]TongHop!E295</f>
        <v>0</v>
      </c>
      <c r="F295">
        <f>[2]TongHop!F295</f>
        <v>0</v>
      </c>
      <c r="G295">
        <f>[2]TongHop!G295</f>
        <v>0</v>
      </c>
      <c r="H295">
        <f>[2]TongHop!H295</f>
        <v>0</v>
      </c>
      <c r="I295">
        <f>[2]TongHop!I295</f>
        <v>0</v>
      </c>
      <c r="J295">
        <f>[2]TongHop!J295</f>
        <v>0</v>
      </c>
      <c r="K295">
        <f>[2]TongHop!K295</f>
        <v>0</v>
      </c>
      <c r="L295">
        <f>[2]TongHop!L295</f>
        <v>0</v>
      </c>
      <c r="M295">
        <f>[2]TongHop!M295</f>
        <v>0</v>
      </c>
      <c r="N295">
        <f>[2]TongHop!N295</f>
        <v>0</v>
      </c>
    </row>
    <row r="296" spans="1:14">
      <c r="A296">
        <f>[2]TongHop!A296</f>
        <v>0</v>
      </c>
      <c r="B296">
        <f>[2]TongHop!B296</f>
        <v>0</v>
      </c>
      <c r="C296">
        <f>[2]TongHop!C296</f>
        <v>0</v>
      </c>
      <c r="D296">
        <f>[2]TongHop!D296</f>
        <v>0</v>
      </c>
      <c r="E296">
        <f>[2]TongHop!E296</f>
        <v>0</v>
      </c>
      <c r="F296">
        <f>[2]TongHop!F296</f>
        <v>0</v>
      </c>
      <c r="G296">
        <f>[2]TongHop!G296</f>
        <v>0</v>
      </c>
      <c r="H296">
        <f>[2]TongHop!H296</f>
        <v>0</v>
      </c>
      <c r="I296">
        <f>[2]TongHop!I296</f>
        <v>0</v>
      </c>
      <c r="J296">
        <f>[2]TongHop!J296</f>
        <v>0</v>
      </c>
      <c r="K296">
        <f>[2]TongHop!K296</f>
        <v>0</v>
      </c>
      <c r="L296">
        <f>[2]TongHop!L296</f>
        <v>0</v>
      </c>
      <c r="M296">
        <f>[2]TongHop!M296</f>
        <v>0</v>
      </c>
      <c r="N296">
        <f>[2]TongHop!N296</f>
        <v>0</v>
      </c>
    </row>
    <row r="297" spans="1:14">
      <c r="A297">
        <f>[2]TongHop!A297</f>
        <v>0</v>
      </c>
      <c r="B297">
        <f>[2]TongHop!B297</f>
        <v>0</v>
      </c>
      <c r="C297">
        <f>[2]TongHop!C297</f>
        <v>0</v>
      </c>
      <c r="D297">
        <f>[2]TongHop!D297</f>
        <v>0</v>
      </c>
      <c r="E297">
        <f>[2]TongHop!E297</f>
        <v>0</v>
      </c>
      <c r="F297">
        <f>[2]TongHop!F297</f>
        <v>0</v>
      </c>
      <c r="G297">
        <f>[2]TongHop!G297</f>
        <v>0</v>
      </c>
      <c r="H297">
        <f>[2]TongHop!H297</f>
        <v>0</v>
      </c>
      <c r="I297">
        <f>[2]TongHop!I297</f>
        <v>0</v>
      </c>
      <c r="J297">
        <f>[2]TongHop!J297</f>
        <v>0</v>
      </c>
      <c r="K297">
        <f>[2]TongHop!K297</f>
        <v>0</v>
      </c>
      <c r="L297">
        <f>[2]TongHop!L297</f>
        <v>0</v>
      </c>
      <c r="M297">
        <f>[2]TongHop!M297</f>
        <v>0</v>
      </c>
      <c r="N297">
        <f>[2]TongHop!N297</f>
        <v>0</v>
      </c>
    </row>
    <row r="298" spans="1:14">
      <c r="A298">
        <f>[2]TongHop!A298</f>
        <v>0</v>
      </c>
      <c r="B298">
        <f>[2]TongHop!B298</f>
        <v>0</v>
      </c>
      <c r="C298">
        <f>[2]TongHop!C298</f>
        <v>0</v>
      </c>
      <c r="D298">
        <f>[2]TongHop!D298</f>
        <v>0</v>
      </c>
      <c r="E298">
        <f>[2]TongHop!E298</f>
        <v>0</v>
      </c>
      <c r="F298">
        <f>[2]TongHop!F298</f>
        <v>0</v>
      </c>
      <c r="G298">
        <f>[2]TongHop!G298</f>
        <v>0</v>
      </c>
      <c r="H298">
        <f>[2]TongHop!H298</f>
        <v>0</v>
      </c>
      <c r="I298">
        <f>[2]TongHop!I298</f>
        <v>0</v>
      </c>
      <c r="J298">
        <f>[2]TongHop!J298</f>
        <v>0</v>
      </c>
      <c r="K298">
        <f>[2]TongHop!K298</f>
        <v>0</v>
      </c>
      <c r="L298">
        <f>[2]TongHop!L298</f>
        <v>0</v>
      </c>
      <c r="M298">
        <f>[2]TongHop!M298</f>
        <v>0</v>
      </c>
      <c r="N298">
        <f>[2]TongHop!N298</f>
        <v>0</v>
      </c>
    </row>
    <row r="299" spans="1:14">
      <c r="A299">
        <f>[2]TongHop!A299</f>
        <v>0</v>
      </c>
      <c r="B299">
        <f>[2]TongHop!B299</f>
        <v>0</v>
      </c>
      <c r="C299">
        <f>[2]TongHop!C299</f>
        <v>0</v>
      </c>
      <c r="D299">
        <f>[2]TongHop!D299</f>
        <v>0</v>
      </c>
      <c r="E299">
        <f>[2]TongHop!E299</f>
        <v>0</v>
      </c>
      <c r="F299">
        <f>[2]TongHop!F299</f>
        <v>0</v>
      </c>
      <c r="G299">
        <f>[2]TongHop!G299</f>
        <v>0</v>
      </c>
      <c r="H299">
        <f>[2]TongHop!H299</f>
        <v>0</v>
      </c>
      <c r="I299">
        <f>[2]TongHop!I299</f>
        <v>0</v>
      </c>
      <c r="J299">
        <f>[2]TongHop!J299</f>
        <v>0</v>
      </c>
      <c r="K299">
        <f>[2]TongHop!K299</f>
        <v>0</v>
      </c>
      <c r="L299">
        <f>[2]TongHop!L299</f>
        <v>0</v>
      </c>
      <c r="M299">
        <f>[2]TongHop!M299</f>
        <v>0</v>
      </c>
      <c r="N299">
        <f>[2]TongHop!N299</f>
        <v>0</v>
      </c>
    </row>
    <row r="300" spans="1:14">
      <c r="A300">
        <f>[2]TongHop!A300</f>
        <v>0</v>
      </c>
      <c r="B300">
        <f>[2]TongHop!B300</f>
        <v>0</v>
      </c>
      <c r="C300">
        <f>[2]TongHop!C300</f>
        <v>0</v>
      </c>
      <c r="D300">
        <f>[2]TongHop!D300</f>
        <v>0</v>
      </c>
      <c r="E300">
        <f>[2]TongHop!E300</f>
        <v>0</v>
      </c>
      <c r="F300">
        <f>[2]TongHop!F300</f>
        <v>0</v>
      </c>
      <c r="G300">
        <f>[2]TongHop!G300</f>
        <v>0</v>
      </c>
      <c r="H300">
        <f>[2]TongHop!H300</f>
        <v>0</v>
      </c>
      <c r="I300">
        <f>[2]TongHop!I300</f>
        <v>0</v>
      </c>
      <c r="J300">
        <f>[2]TongHop!J300</f>
        <v>0</v>
      </c>
      <c r="K300">
        <f>[2]TongHop!K300</f>
        <v>0</v>
      </c>
      <c r="L300">
        <f>[2]TongHop!L300</f>
        <v>0</v>
      </c>
      <c r="M300">
        <f>[2]TongHop!M300</f>
        <v>0</v>
      </c>
      <c r="N300">
        <f>[2]TongHop!N300</f>
        <v>0</v>
      </c>
    </row>
    <row r="301" spans="1:14">
      <c r="A301">
        <f>[2]TongHop!A301</f>
        <v>0</v>
      </c>
      <c r="B301">
        <f>[2]TongHop!B301</f>
        <v>0</v>
      </c>
      <c r="C301">
        <f>[2]TongHop!C301</f>
        <v>0</v>
      </c>
      <c r="D301">
        <f>[2]TongHop!D301</f>
        <v>0</v>
      </c>
      <c r="E301">
        <f>[2]TongHop!E301</f>
        <v>0</v>
      </c>
      <c r="F301">
        <f>[2]TongHop!F301</f>
        <v>0</v>
      </c>
      <c r="G301">
        <f>[2]TongHop!G301</f>
        <v>0</v>
      </c>
      <c r="H301">
        <f>[2]TongHop!H301</f>
        <v>0</v>
      </c>
      <c r="I301">
        <f>[2]TongHop!I301</f>
        <v>0</v>
      </c>
      <c r="J301">
        <f>[2]TongHop!J301</f>
        <v>0</v>
      </c>
      <c r="K301">
        <f>[2]TongHop!K301</f>
        <v>0</v>
      </c>
      <c r="L301">
        <f>[2]TongHop!L301</f>
        <v>0</v>
      </c>
      <c r="M301">
        <f>[2]TongHop!M301</f>
        <v>0</v>
      </c>
      <c r="N301">
        <f>[2]TongHop!N301</f>
        <v>0</v>
      </c>
    </row>
    <row r="302" spans="1:14">
      <c r="A302">
        <f>[2]TongHop!A302</f>
        <v>0</v>
      </c>
      <c r="B302">
        <f>[2]TongHop!B302</f>
        <v>0</v>
      </c>
      <c r="C302">
        <f>[2]TongHop!C302</f>
        <v>0</v>
      </c>
      <c r="D302">
        <f>[2]TongHop!D302</f>
        <v>0</v>
      </c>
      <c r="E302">
        <f>[2]TongHop!E302</f>
        <v>0</v>
      </c>
      <c r="F302">
        <f>[2]TongHop!F302</f>
        <v>0</v>
      </c>
      <c r="G302">
        <f>[2]TongHop!G302</f>
        <v>0</v>
      </c>
      <c r="H302">
        <f>[2]TongHop!H302</f>
        <v>0</v>
      </c>
      <c r="I302">
        <f>[2]TongHop!I302</f>
        <v>0</v>
      </c>
      <c r="J302">
        <f>[2]TongHop!J302</f>
        <v>0</v>
      </c>
      <c r="K302">
        <f>[2]TongHop!K302</f>
        <v>0</v>
      </c>
      <c r="L302">
        <f>[2]TongHop!L302</f>
        <v>0</v>
      </c>
      <c r="M302">
        <f>[2]TongHop!M302</f>
        <v>0</v>
      </c>
      <c r="N302">
        <f>[2]TongHop!N302</f>
        <v>0</v>
      </c>
    </row>
    <row r="303" spans="1:14">
      <c r="A303">
        <f>[2]TongHop!A303</f>
        <v>0</v>
      </c>
      <c r="B303">
        <f>[2]TongHop!B303</f>
        <v>0</v>
      </c>
      <c r="C303">
        <f>[2]TongHop!C303</f>
        <v>0</v>
      </c>
      <c r="D303">
        <f>[2]TongHop!D303</f>
        <v>0</v>
      </c>
      <c r="E303">
        <f>[2]TongHop!E303</f>
        <v>0</v>
      </c>
      <c r="F303">
        <f>[2]TongHop!F303</f>
        <v>0</v>
      </c>
      <c r="G303">
        <f>[2]TongHop!G303</f>
        <v>0</v>
      </c>
      <c r="H303">
        <f>[2]TongHop!H303</f>
        <v>0</v>
      </c>
      <c r="I303">
        <f>[2]TongHop!I303</f>
        <v>0</v>
      </c>
      <c r="J303">
        <f>[2]TongHop!J303</f>
        <v>0</v>
      </c>
      <c r="K303">
        <f>[2]TongHop!K303</f>
        <v>0</v>
      </c>
      <c r="L303">
        <f>[2]TongHop!L303</f>
        <v>0</v>
      </c>
      <c r="M303">
        <f>[2]TongHop!M303</f>
        <v>0</v>
      </c>
      <c r="N303">
        <f>[2]TongHop!N303</f>
        <v>0</v>
      </c>
    </row>
    <row r="304" spans="1:14">
      <c r="A304">
        <f>[2]TongHop!A304</f>
        <v>0</v>
      </c>
      <c r="B304">
        <f>[2]TongHop!B304</f>
        <v>0</v>
      </c>
      <c r="C304">
        <f>[2]TongHop!C304</f>
        <v>0</v>
      </c>
      <c r="D304">
        <f>[2]TongHop!D304</f>
        <v>0</v>
      </c>
      <c r="E304">
        <f>[2]TongHop!E304</f>
        <v>0</v>
      </c>
      <c r="F304">
        <f>[2]TongHop!F304</f>
        <v>0</v>
      </c>
      <c r="G304">
        <f>[2]TongHop!G304</f>
        <v>0</v>
      </c>
      <c r="H304">
        <f>[2]TongHop!H304</f>
        <v>0</v>
      </c>
      <c r="I304">
        <f>[2]TongHop!I304</f>
        <v>0</v>
      </c>
      <c r="J304">
        <f>[2]TongHop!J304</f>
        <v>0</v>
      </c>
      <c r="K304">
        <f>[2]TongHop!K304</f>
        <v>0</v>
      </c>
      <c r="L304">
        <f>[2]TongHop!L304</f>
        <v>0</v>
      </c>
      <c r="M304">
        <f>[2]TongHop!M304</f>
        <v>0</v>
      </c>
      <c r="N304">
        <f>[2]TongHop!N304</f>
        <v>0</v>
      </c>
    </row>
    <row r="305" spans="1:14">
      <c r="A305">
        <f>[2]TongHop!A305</f>
        <v>0</v>
      </c>
      <c r="B305">
        <f>[2]TongHop!B305</f>
        <v>0</v>
      </c>
      <c r="C305">
        <f>[2]TongHop!C305</f>
        <v>0</v>
      </c>
      <c r="D305">
        <f>[2]TongHop!D305</f>
        <v>0</v>
      </c>
      <c r="E305">
        <f>[2]TongHop!E305</f>
        <v>0</v>
      </c>
      <c r="F305">
        <f>[2]TongHop!F305</f>
        <v>0</v>
      </c>
      <c r="G305">
        <f>[2]TongHop!G305</f>
        <v>0</v>
      </c>
      <c r="H305">
        <f>[2]TongHop!H305</f>
        <v>0</v>
      </c>
      <c r="I305">
        <f>[2]TongHop!I305</f>
        <v>0</v>
      </c>
      <c r="J305">
        <f>[2]TongHop!J305</f>
        <v>0</v>
      </c>
      <c r="K305">
        <f>[2]TongHop!K305</f>
        <v>0</v>
      </c>
      <c r="L305">
        <f>[2]TongHop!L305</f>
        <v>0</v>
      </c>
      <c r="M305">
        <f>[2]TongHop!M305</f>
        <v>0</v>
      </c>
      <c r="N305">
        <f>[2]TongHop!N305</f>
        <v>0</v>
      </c>
    </row>
    <row r="306" spans="1:14">
      <c r="A306">
        <f>[2]TongHop!A306</f>
        <v>0</v>
      </c>
      <c r="B306">
        <f>[2]TongHop!B306</f>
        <v>0</v>
      </c>
      <c r="C306">
        <f>[2]TongHop!C306</f>
        <v>0</v>
      </c>
      <c r="D306">
        <f>[2]TongHop!D306</f>
        <v>0</v>
      </c>
      <c r="E306">
        <f>[2]TongHop!E306</f>
        <v>0</v>
      </c>
      <c r="F306">
        <f>[2]TongHop!F306</f>
        <v>0</v>
      </c>
      <c r="G306">
        <f>[2]TongHop!G306</f>
        <v>0</v>
      </c>
      <c r="H306">
        <f>[2]TongHop!H306</f>
        <v>0</v>
      </c>
      <c r="I306">
        <f>[2]TongHop!I306</f>
        <v>0</v>
      </c>
      <c r="J306">
        <f>[2]TongHop!J306</f>
        <v>0</v>
      </c>
      <c r="K306">
        <f>[2]TongHop!K306</f>
        <v>0</v>
      </c>
      <c r="L306">
        <f>[2]TongHop!L306</f>
        <v>0</v>
      </c>
      <c r="M306">
        <f>[2]TongHop!M306</f>
        <v>0</v>
      </c>
      <c r="N306">
        <f>[2]TongHop!N306</f>
        <v>0</v>
      </c>
    </row>
    <row r="307" spans="1:14">
      <c r="A307">
        <f>[2]TongHop!A307</f>
        <v>0</v>
      </c>
      <c r="B307">
        <f>[2]TongHop!B307</f>
        <v>0</v>
      </c>
      <c r="C307">
        <f>[2]TongHop!C307</f>
        <v>0</v>
      </c>
      <c r="D307">
        <f>[2]TongHop!D307</f>
        <v>0</v>
      </c>
      <c r="E307">
        <f>[2]TongHop!E307</f>
        <v>0</v>
      </c>
      <c r="F307">
        <f>[2]TongHop!F307</f>
        <v>0</v>
      </c>
      <c r="G307">
        <f>[2]TongHop!G307</f>
        <v>0</v>
      </c>
      <c r="H307">
        <f>[2]TongHop!H307</f>
        <v>0</v>
      </c>
      <c r="I307">
        <f>[2]TongHop!I307</f>
        <v>0</v>
      </c>
      <c r="J307">
        <f>[2]TongHop!J307</f>
        <v>0</v>
      </c>
      <c r="K307">
        <f>[2]TongHop!K307</f>
        <v>0</v>
      </c>
      <c r="L307">
        <f>[2]TongHop!L307</f>
        <v>0</v>
      </c>
      <c r="M307">
        <f>[2]TongHop!M307</f>
        <v>0</v>
      </c>
      <c r="N307">
        <f>[2]TongHop!N307</f>
        <v>0</v>
      </c>
    </row>
    <row r="308" spans="1:14">
      <c r="A308">
        <f>[2]TongHop!A308</f>
        <v>0</v>
      </c>
      <c r="B308">
        <f>[2]TongHop!B308</f>
        <v>0</v>
      </c>
      <c r="C308">
        <f>[2]TongHop!C308</f>
        <v>0</v>
      </c>
      <c r="D308">
        <f>[2]TongHop!D308</f>
        <v>0</v>
      </c>
      <c r="E308">
        <f>[2]TongHop!E308</f>
        <v>0</v>
      </c>
      <c r="F308">
        <f>[2]TongHop!F308</f>
        <v>0</v>
      </c>
      <c r="G308">
        <f>[2]TongHop!G308</f>
        <v>0</v>
      </c>
      <c r="H308">
        <f>[2]TongHop!H308</f>
        <v>0</v>
      </c>
      <c r="I308">
        <f>[2]TongHop!I308</f>
        <v>0</v>
      </c>
      <c r="J308">
        <f>[2]TongHop!J308</f>
        <v>0</v>
      </c>
      <c r="K308">
        <f>[2]TongHop!K308</f>
        <v>0</v>
      </c>
      <c r="L308">
        <f>[2]TongHop!L308</f>
        <v>0</v>
      </c>
      <c r="M308">
        <f>[2]TongHop!M308</f>
        <v>0</v>
      </c>
      <c r="N308">
        <f>[2]TongHop!N308</f>
        <v>0</v>
      </c>
    </row>
    <row r="309" spans="1:14">
      <c r="A309">
        <f>[2]TongHop!A309</f>
        <v>0</v>
      </c>
      <c r="B309">
        <f>[2]TongHop!B309</f>
        <v>0</v>
      </c>
      <c r="C309">
        <f>[2]TongHop!C309</f>
        <v>0</v>
      </c>
      <c r="D309">
        <f>[2]TongHop!D309</f>
        <v>0</v>
      </c>
      <c r="E309">
        <f>[2]TongHop!E309</f>
        <v>0</v>
      </c>
      <c r="F309">
        <f>[2]TongHop!F309</f>
        <v>0</v>
      </c>
      <c r="G309">
        <f>[2]TongHop!G309</f>
        <v>0</v>
      </c>
      <c r="H309">
        <f>[2]TongHop!H309</f>
        <v>0</v>
      </c>
      <c r="I309">
        <f>[2]TongHop!I309</f>
        <v>0</v>
      </c>
      <c r="J309">
        <f>[2]TongHop!J309</f>
        <v>0</v>
      </c>
      <c r="K309">
        <f>[2]TongHop!K309</f>
        <v>0</v>
      </c>
      <c r="L309">
        <f>[2]TongHop!L309</f>
        <v>0</v>
      </c>
      <c r="M309">
        <f>[2]TongHop!M309</f>
        <v>0</v>
      </c>
      <c r="N309">
        <f>[2]TongHop!N309</f>
        <v>0</v>
      </c>
    </row>
    <row r="310" spans="1:14">
      <c r="A310">
        <f>[2]TongHop!A310</f>
        <v>0</v>
      </c>
      <c r="B310">
        <f>[2]TongHop!B310</f>
        <v>0</v>
      </c>
      <c r="C310">
        <f>[2]TongHop!C310</f>
        <v>0</v>
      </c>
      <c r="D310">
        <f>[2]TongHop!D310</f>
        <v>0</v>
      </c>
      <c r="E310">
        <f>[2]TongHop!E310</f>
        <v>0</v>
      </c>
      <c r="F310">
        <f>[2]TongHop!F310</f>
        <v>0</v>
      </c>
      <c r="G310">
        <f>[2]TongHop!G310</f>
        <v>0</v>
      </c>
      <c r="H310">
        <f>[2]TongHop!H310</f>
        <v>0</v>
      </c>
      <c r="I310">
        <f>[2]TongHop!I310</f>
        <v>0</v>
      </c>
      <c r="J310">
        <f>[2]TongHop!J310</f>
        <v>0</v>
      </c>
      <c r="K310">
        <f>[2]TongHop!K310</f>
        <v>0</v>
      </c>
      <c r="L310">
        <f>[2]TongHop!L310</f>
        <v>0</v>
      </c>
      <c r="M310">
        <f>[2]TongHop!M310</f>
        <v>0</v>
      </c>
      <c r="N310">
        <f>[2]TongHop!N310</f>
        <v>0</v>
      </c>
    </row>
    <row r="311" spans="1:14">
      <c r="A311">
        <f>[2]TongHop!A311</f>
        <v>0</v>
      </c>
      <c r="B311">
        <f>[2]TongHop!B311</f>
        <v>0</v>
      </c>
      <c r="C311">
        <f>[2]TongHop!C311</f>
        <v>0</v>
      </c>
      <c r="D311">
        <f>[2]TongHop!D311</f>
        <v>0</v>
      </c>
      <c r="E311">
        <f>[2]TongHop!E311</f>
        <v>0</v>
      </c>
      <c r="F311">
        <f>[2]TongHop!F311</f>
        <v>0</v>
      </c>
      <c r="G311">
        <f>[2]TongHop!G311</f>
        <v>0</v>
      </c>
      <c r="H311">
        <f>[2]TongHop!H311</f>
        <v>0</v>
      </c>
      <c r="I311">
        <f>[2]TongHop!I311</f>
        <v>0</v>
      </c>
      <c r="J311">
        <f>[2]TongHop!J311</f>
        <v>0</v>
      </c>
      <c r="K311">
        <f>[2]TongHop!K311</f>
        <v>0</v>
      </c>
      <c r="L311">
        <f>[2]TongHop!L311</f>
        <v>0</v>
      </c>
      <c r="M311">
        <f>[2]TongHop!M311</f>
        <v>0</v>
      </c>
      <c r="N311">
        <f>[2]TongHop!N311</f>
        <v>0</v>
      </c>
    </row>
    <row r="312" spans="1:14">
      <c r="A312">
        <f>[2]TongHop!A312</f>
        <v>0</v>
      </c>
      <c r="B312">
        <f>[2]TongHop!B312</f>
        <v>0</v>
      </c>
      <c r="C312">
        <f>[2]TongHop!C312</f>
        <v>0</v>
      </c>
      <c r="D312">
        <f>[2]TongHop!D312</f>
        <v>0</v>
      </c>
      <c r="E312">
        <f>[2]TongHop!E312</f>
        <v>0</v>
      </c>
      <c r="F312">
        <f>[2]TongHop!F312</f>
        <v>0</v>
      </c>
      <c r="G312">
        <f>[2]TongHop!G312</f>
        <v>0</v>
      </c>
      <c r="H312">
        <f>[2]TongHop!H312</f>
        <v>0</v>
      </c>
      <c r="I312">
        <f>[2]TongHop!I312</f>
        <v>0</v>
      </c>
      <c r="J312">
        <f>[2]TongHop!J312</f>
        <v>0</v>
      </c>
      <c r="K312">
        <f>[2]TongHop!K312</f>
        <v>0</v>
      </c>
      <c r="L312">
        <f>[2]TongHop!L312</f>
        <v>0</v>
      </c>
      <c r="M312">
        <f>[2]TongHop!M312</f>
        <v>0</v>
      </c>
      <c r="N312">
        <f>[2]TongHop!N312</f>
        <v>0</v>
      </c>
    </row>
    <row r="313" spans="1:14">
      <c r="A313">
        <f>[2]TongHop!A313</f>
        <v>0</v>
      </c>
      <c r="B313">
        <f>[2]TongHop!B313</f>
        <v>0</v>
      </c>
      <c r="C313">
        <f>[2]TongHop!C313</f>
        <v>0</v>
      </c>
      <c r="D313">
        <f>[2]TongHop!D313</f>
        <v>0</v>
      </c>
      <c r="E313">
        <f>[2]TongHop!E313</f>
        <v>0</v>
      </c>
      <c r="F313">
        <f>[2]TongHop!F313</f>
        <v>0</v>
      </c>
      <c r="G313">
        <f>[2]TongHop!G313</f>
        <v>0</v>
      </c>
      <c r="H313">
        <f>[2]TongHop!H313</f>
        <v>0</v>
      </c>
      <c r="I313">
        <f>[2]TongHop!I313</f>
        <v>0</v>
      </c>
      <c r="J313">
        <f>[2]TongHop!J313</f>
        <v>0</v>
      </c>
      <c r="K313">
        <f>[2]TongHop!K313</f>
        <v>0</v>
      </c>
      <c r="L313">
        <f>[2]TongHop!L313</f>
        <v>0</v>
      </c>
      <c r="M313">
        <f>[2]TongHop!M313</f>
        <v>0</v>
      </c>
      <c r="N313">
        <f>[2]TongHop!N313</f>
        <v>0</v>
      </c>
    </row>
    <row r="314" spans="1:14">
      <c r="A314">
        <f>[2]TongHop!A314</f>
        <v>0</v>
      </c>
      <c r="B314">
        <f>[2]TongHop!B314</f>
        <v>0</v>
      </c>
      <c r="C314">
        <f>[2]TongHop!C314</f>
        <v>0</v>
      </c>
      <c r="D314">
        <f>[2]TongHop!D314</f>
        <v>0</v>
      </c>
      <c r="E314">
        <f>[2]TongHop!E314</f>
        <v>0</v>
      </c>
      <c r="F314">
        <f>[2]TongHop!F314</f>
        <v>0</v>
      </c>
      <c r="G314">
        <f>[2]TongHop!G314</f>
        <v>0</v>
      </c>
      <c r="H314">
        <f>[2]TongHop!H314</f>
        <v>0</v>
      </c>
      <c r="I314">
        <f>[2]TongHop!I314</f>
        <v>0</v>
      </c>
      <c r="J314">
        <f>[2]TongHop!J314</f>
        <v>0</v>
      </c>
      <c r="K314">
        <f>[2]TongHop!K314</f>
        <v>0</v>
      </c>
      <c r="L314">
        <f>[2]TongHop!L314</f>
        <v>0</v>
      </c>
      <c r="M314">
        <f>[2]TongHop!M314</f>
        <v>0</v>
      </c>
      <c r="N314">
        <f>[2]TongHop!N314</f>
        <v>0</v>
      </c>
    </row>
    <row r="315" spans="1:14">
      <c r="A315">
        <f>[2]TongHop!A315</f>
        <v>0</v>
      </c>
      <c r="B315">
        <f>[2]TongHop!B315</f>
        <v>0</v>
      </c>
      <c r="C315">
        <f>[2]TongHop!C315</f>
        <v>0</v>
      </c>
      <c r="D315">
        <f>[2]TongHop!D315</f>
        <v>0</v>
      </c>
      <c r="E315">
        <f>[2]TongHop!E315</f>
        <v>0</v>
      </c>
      <c r="F315">
        <f>[2]TongHop!F315</f>
        <v>0</v>
      </c>
      <c r="G315">
        <f>[2]TongHop!G315</f>
        <v>0</v>
      </c>
      <c r="H315">
        <f>[2]TongHop!H315</f>
        <v>0</v>
      </c>
      <c r="I315">
        <f>[2]TongHop!I315</f>
        <v>0</v>
      </c>
      <c r="J315">
        <f>[2]TongHop!J315</f>
        <v>0</v>
      </c>
      <c r="K315">
        <f>[2]TongHop!K315</f>
        <v>0</v>
      </c>
      <c r="L315">
        <f>[2]TongHop!L315</f>
        <v>0</v>
      </c>
      <c r="M315">
        <f>[2]TongHop!M315</f>
        <v>0</v>
      </c>
      <c r="N315">
        <f>[2]TongHop!N315</f>
        <v>0</v>
      </c>
    </row>
    <row r="316" spans="1:14">
      <c r="A316">
        <f>[2]TongHop!A316</f>
        <v>0</v>
      </c>
      <c r="B316">
        <f>[2]TongHop!B316</f>
        <v>0</v>
      </c>
      <c r="C316">
        <f>[2]TongHop!C316</f>
        <v>0</v>
      </c>
      <c r="D316">
        <f>[2]TongHop!D316</f>
        <v>0</v>
      </c>
      <c r="E316">
        <f>[2]TongHop!E316</f>
        <v>0</v>
      </c>
      <c r="F316">
        <f>[2]TongHop!F316</f>
        <v>0</v>
      </c>
      <c r="G316">
        <f>[2]TongHop!G316</f>
        <v>0</v>
      </c>
      <c r="H316">
        <f>[2]TongHop!H316</f>
        <v>0</v>
      </c>
      <c r="I316">
        <f>[2]TongHop!I316</f>
        <v>0</v>
      </c>
      <c r="J316">
        <f>[2]TongHop!J316</f>
        <v>0</v>
      </c>
      <c r="K316">
        <f>[2]TongHop!K316</f>
        <v>0</v>
      </c>
      <c r="L316">
        <f>[2]TongHop!L316</f>
        <v>0</v>
      </c>
      <c r="M316">
        <f>[2]TongHop!M316</f>
        <v>0</v>
      </c>
      <c r="N316">
        <f>[2]TongHop!N316</f>
        <v>0</v>
      </c>
    </row>
    <row r="317" spans="1:14">
      <c r="A317">
        <f>[2]TongHop!A317</f>
        <v>0</v>
      </c>
      <c r="B317">
        <f>[2]TongHop!B317</f>
        <v>0</v>
      </c>
      <c r="C317">
        <f>[2]TongHop!C317</f>
        <v>0</v>
      </c>
      <c r="D317">
        <f>[2]TongHop!D317</f>
        <v>0</v>
      </c>
      <c r="E317">
        <f>[2]TongHop!E317</f>
        <v>0</v>
      </c>
      <c r="F317">
        <f>[2]TongHop!F317</f>
        <v>0</v>
      </c>
      <c r="G317">
        <f>[2]TongHop!G317</f>
        <v>0</v>
      </c>
      <c r="H317">
        <f>[2]TongHop!H317</f>
        <v>0</v>
      </c>
      <c r="I317">
        <f>[2]TongHop!I317</f>
        <v>0</v>
      </c>
      <c r="J317">
        <f>[2]TongHop!J317</f>
        <v>0</v>
      </c>
      <c r="K317">
        <f>[2]TongHop!K317</f>
        <v>0</v>
      </c>
      <c r="L317">
        <f>[2]TongHop!L317</f>
        <v>0</v>
      </c>
      <c r="M317">
        <f>[2]TongHop!M317</f>
        <v>0</v>
      </c>
      <c r="N317">
        <f>[2]TongHop!N317</f>
        <v>0</v>
      </c>
    </row>
    <row r="318" spans="1:14">
      <c r="A318">
        <f>[2]TongHop!A318</f>
        <v>0</v>
      </c>
      <c r="B318">
        <f>[2]TongHop!B318</f>
        <v>0</v>
      </c>
      <c r="C318">
        <f>[2]TongHop!C318</f>
        <v>0</v>
      </c>
      <c r="D318">
        <f>[2]TongHop!D318</f>
        <v>0</v>
      </c>
      <c r="E318">
        <f>[2]TongHop!E318</f>
        <v>0</v>
      </c>
      <c r="F318">
        <f>[2]TongHop!F318</f>
        <v>0</v>
      </c>
      <c r="G318">
        <f>[2]TongHop!G318</f>
        <v>0</v>
      </c>
      <c r="H318">
        <f>[2]TongHop!H318</f>
        <v>0</v>
      </c>
      <c r="I318">
        <f>[2]TongHop!I318</f>
        <v>0</v>
      </c>
      <c r="J318">
        <f>[2]TongHop!J318</f>
        <v>0</v>
      </c>
      <c r="K318">
        <f>[2]TongHop!K318</f>
        <v>0</v>
      </c>
      <c r="L318">
        <f>[2]TongHop!L318</f>
        <v>0</v>
      </c>
      <c r="M318">
        <f>[2]TongHop!M318</f>
        <v>0</v>
      </c>
      <c r="N318">
        <f>[2]TongHop!N318</f>
        <v>0</v>
      </c>
    </row>
    <row r="319" spans="1:14">
      <c r="A319">
        <f>[2]TongHop!A319</f>
        <v>0</v>
      </c>
      <c r="B319">
        <f>[2]TongHop!B319</f>
        <v>0</v>
      </c>
      <c r="C319">
        <f>[2]TongHop!C319</f>
        <v>0</v>
      </c>
      <c r="D319">
        <f>[2]TongHop!D319</f>
        <v>0</v>
      </c>
      <c r="E319">
        <f>[2]TongHop!E319</f>
        <v>0</v>
      </c>
      <c r="F319">
        <f>[2]TongHop!F319</f>
        <v>0</v>
      </c>
      <c r="G319">
        <f>[2]TongHop!G319</f>
        <v>0</v>
      </c>
      <c r="H319">
        <f>[2]TongHop!H319</f>
        <v>0</v>
      </c>
      <c r="I319">
        <f>[2]TongHop!I319</f>
        <v>0</v>
      </c>
      <c r="J319">
        <f>[2]TongHop!J319</f>
        <v>0</v>
      </c>
      <c r="K319">
        <f>[2]TongHop!K319</f>
        <v>0</v>
      </c>
      <c r="L319">
        <f>[2]TongHop!L319</f>
        <v>0</v>
      </c>
      <c r="M319">
        <f>[2]TongHop!M319</f>
        <v>0</v>
      </c>
      <c r="N319">
        <f>[2]TongHop!N319</f>
        <v>0</v>
      </c>
    </row>
    <row r="320" spans="1:14">
      <c r="A320">
        <f>[2]TongHop!A320</f>
        <v>0</v>
      </c>
      <c r="B320">
        <f>[2]TongHop!B320</f>
        <v>0</v>
      </c>
      <c r="C320">
        <f>[2]TongHop!C320</f>
        <v>0</v>
      </c>
      <c r="D320">
        <f>[2]TongHop!D320</f>
        <v>0</v>
      </c>
      <c r="E320">
        <f>[2]TongHop!E320</f>
        <v>0</v>
      </c>
      <c r="F320">
        <f>[2]TongHop!F320</f>
        <v>0</v>
      </c>
      <c r="G320">
        <f>[2]TongHop!G320</f>
        <v>0</v>
      </c>
      <c r="H320">
        <f>[2]TongHop!H320</f>
        <v>0</v>
      </c>
      <c r="I320">
        <f>[2]TongHop!I320</f>
        <v>0</v>
      </c>
      <c r="J320">
        <f>[2]TongHop!J320</f>
        <v>0</v>
      </c>
      <c r="K320">
        <f>[2]TongHop!K320</f>
        <v>0</v>
      </c>
      <c r="L320">
        <f>[2]TongHop!L320</f>
        <v>0</v>
      </c>
      <c r="M320">
        <f>[2]TongHop!M320</f>
        <v>0</v>
      </c>
      <c r="N320">
        <f>[2]TongHop!N320</f>
        <v>0</v>
      </c>
    </row>
    <row r="321" spans="1:14">
      <c r="A321">
        <f>[2]TongHop!A321</f>
        <v>0</v>
      </c>
      <c r="B321">
        <f>[2]TongHop!B321</f>
        <v>0</v>
      </c>
      <c r="C321">
        <f>[2]TongHop!C321</f>
        <v>0</v>
      </c>
      <c r="D321">
        <f>[2]TongHop!D321</f>
        <v>0</v>
      </c>
      <c r="E321">
        <f>[2]TongHop!E321</f>
        <v>0</v>
      </c>
      <c r="F321">
        <f>[2]TongHop!F321</f>
        <v>0</v>
      </c>
      <c r="G321">
        <f>[2]TongHop!G321</f>
        <v>0</v>
      </c>
      <c r="H321">
        <f>[2]TongHop!H321</f>
        <v>0</v>
      </c>
      <c r="I321">
        <f>[2]TongHop!I321</f>
        <v>0</v>
      </c>
      <c r="J321">
        <f>[2]TongHop!J321</f>
        <v>0</v>
      </c>
      <c r="K321">
        <f>[2]TongHop!K321</f>
        <v>0</v>
      </c>
      <c r="L321">
        <f>[2]TongHop!L321</f>
        <v>0</v>
      </c>
      <c r="M321">
        <f>[2]TongHop!M321</f>
        <v>0</v>
      </c>
      <c r="N321">
        <f>[2]TongHop!N321</f>
        <v>0</v>
      </c>
    </row>
    <row r="322" spans="1:14">
      <c r="A322">
        <f>[2]TongHop!A322</f>
        <v>0</v>
      </c>
      <c r="B322">
        <f>[2]TongHop!B322</f>
        <v>0</v>
      </c>
      <c r="C322">
        <f>[2]TongHop!C322</f>
        <v>0</v>
      </c>
      <c r="D322">
        <f>[2]TongHop!D322</f>
        <v>0</v>
      </c>
      <c r="E322">
        <f>[2]TongHop!E322</f>
        <v>0</v>
      </c>
      <c r="F322">
        <f>[2]TongHop!F322</f>
        <v>0</v>
      </c>
      <c r="G322">
        <f>[2]TongHop!G322</f>
        <v>0</v>
      </c>
      <c r="H322">
        <f>[2]TongHop!H322</f>
        <v>0</v>
      </c>
      <c r="I322">
        <f>[2]TongHop!I322</f>
        <v>0</v>
      </c>
      <c r="J322">
        <f>[2]TongHop!J322</f>
        <v>0</v>
      </c>
      <c r="K322">
        <f>[2]TongHop!K322</f>
        <v>0</v>
      </c>
      <c r="L322">
        <f>[2]TongHop!L322</f>
        <v>0</v>
      </c>
      <c r="M322">
        <f>[2]TongHop!M322</f>
        <v>0</v>
      </c>
      <c r="N322">
        <f>[2]TongHop!N322</f>
        <v>0</v>
      </c>
    </row>
    <row r="323" spans="1:14">
      <c r="A323">
        <f>[2]TongHop!A323</f>
        <v>0</v>
      </c>
      <c r="B323">
        <f>[2]TongHop!B323</f>
        <v>0</v>
      </c>
      <c r="C323">
        <f>[2]TongHop!C323</f>
        <v>0</v>
      </c>
      <c r="D323">
        <f>[2]TongHop!D323</f>
        <v>0</v>
      </c>
      <c r="E323">
        <f>[2]TongHop!E323</f>
        <v>0</v>
      </c>
      <c r="F323">
        <f>[2]TongHop!F323</f>
        <v>0</v>
      </c>
      <c r="G323">
        <f>[2]TongHop!G323</f>
        <v>0</v>
      </c>
      <c r="H323">
        <f>[2]TongHop!H323</f>
        <v>0</v>
      </c>
      <c r="I323">
        <f>[2]TongHop!I323</f>
        <v>0</v>
      </c>
      <c r="J323">
        <f>[2]TongHop!J323</f>
        <v>0</v>
      </c>
      <c r="K323">
        <f>[2]TongHop!K323</f>
        <v>0</v>
      </c>
      <c r="L323">
        <f>[2]TongHop!L323</f>
        <v>0</v>
      </c>
      <c r="M323">
        <f>[2]TongHop!M323</f>
        <v>0</v>
      </c>
      <c r="N323">
        <f>[2]TongHop!N323</f>
        <v>0</v>
      </c>
    </row>
    <row r="324" spans="1:14">
      <c r="A324">
        <f>[2]TongHop!A324</f>
        <v>0</v>
      </c>
      <c r="B324">
        <f>[2]TongHop!B324</f>
        <v>0</v>
      </c>
      <c r="C324">
        <f>[2]TongHop!C324</f>
        <v>0</v>
      </c>
      <c r="D324">
        <f>[2]TongHop!D324</f>
        <v>0</v>
      </c>
      <c r="E324">
        <f>[2]TongHop!E324</f>
        <v>0</v>
      </c>
      <c r="F324">
        <f>[2]TongHop!F324</f>
        <v>0</v>
      </c>
      <c r="G324">
        <f>[2]TongHop!G324</f>
        <v>0</v>
      </c>
      <c r="H324">
        <f>[2]TongHop!H324</f>
        <v>0</v>
      </c>
      <c r="I324">
        <f>[2]TongHop!I324</f>
        <v>0</v>
      </c>
      <c r="J324">
        <f>[2]TongHop!J324</f>
        <v>0</v>
      </c>
      <c r="K324">
        <f>[2]TongHop!K324</f>
        <v>0</v>
      </c>
      <c r="L324">
        <f>[2]TongHop!L324</f>
        <v>0</v>
      </c>
      <c r="M324">
        <f>[2]TongHop!M324</f>
        <v>0</v>
      </c>
      <c r="N324">
        <f>[2]TongHop!N324</f>
        <v>0</v>
      </c>
    </row>
    <row r="325" spans="1:14">
      <c r="A325">
        <f>[2]TongHop!A325</f>
        <v>0</v>
      </c>
      <c r="B325">
        <f>[2]TongHop!B325</f>
        <v>0</v>
      </c>
      <c r="C325">
        <f>[2]TongHop!C325</f>
        <v>0</v>
      </c>
      <c r="D325">
        <f>[2]TongHop!D325</f>
        <v>0</v>
      </c>
      <c r="E325">
        <f>[2]TongHop!E325</f>
        <v>0</v>
      </c>
      <c r="F325">
        <f>[2]TongHop!F325</f>
        <v>0</v>
      </c>
      <c r="G325">
        <f>[2]TongHop!G325</f>
        <v>0</v>
      </c>
      <c r="H325">
        <f>[2]TongHop!H325</f>
        <v>0</v>
      </c>
      <c r="I325">
        <f>[2]TongHop!I325</f>
        <v>0</v>
      </c>
      <c r="J325">
        <f>[2]TongHop!J325</f>
        <v>0</v>
      </c>
      <c r="K325">
        <f>[2]TongHop!K325</f>
        <v>0</v>
      </c>
      <c r="L325">
        <f>[2]TongHop!L325</f>
        <v>0</v>
      </c>
      <c r="M325">
        <f>[2]TongHop!M325</f>
        <v>0</v>
      </c>
      <c r="N325">
        <f>[2]TongHop!N325</f>
        <v>0</v>
      </c>
    </row>
    <row r="326" spans="1:14">
      <c r="A326">
        <f>[2]TongHop!A326</f>
        <v>0</v>
      </c>
      <c r="B326">
        <f>[2]TongHop!B326</f>
        <v>0</v>
      </c>
      <c r="C326">
        <f>[2]TongHop!C326</f>
        <v>0</v>
      </c>
      <c r="D326">
        <f>[2]TongHop!D326</f>
        <v>0</v>
      </c>
      <c r="E326">
        <f>[2]TongHop!E326</f>
        <v>0</v>
      </c>
      <c r="F326">
        <f>[2]TongHop!F326</f>
        <v>0</v>
      </c>
      <c r="G326">
        <f>[2]TongHop!G326</f>
        <v>0</v>
      </c>
      <c r="H326">
        <f>[2]TongHop!H326</f>
        <v>0</v>
      </c>
      <c r="I326">
        <f>[2]TongHop!I326</f>
        <v>0</v>
      </c>
      <c r="J326">
        <f>[2]TongHop!J326</f>
        <v>0</v>
      </c>
      <c r="K326">
        <f>[2]TongHop!K326</f>
        <v>0</v>
      </c>
      <c r="L326">
        <f>[2]TongHop!L326</f>
        <v>0</v>
      </c>
      <c r="M326">
        <f>[2]TongHop!M326</f>
        <v>0</v>
      </c>
      <c r="N326">
        <f>[2]TongHop!N326</f>
        <v>0</v>
      </c>
    </row>
    <row r="327" spans="1:14">
      <c r="A327">
        <f>[2]TongHop!A327</f>
        <v>0</v>
      </c>
      <c r="B327">
        <f>[2]TongHop!B327</f>
        <v>0</v>
      </c>
      <c r="C327">
        <f>[2]TongHop!C327</f>
        <v>0</v>
      </c>
      <c r="D327">
        <f>[2]TongHop!D327</f>
        <v>0</v>
      </c>
      <c r="E327">
        <f>[2]TongHop!E327</f>
        <v>0</v>
      </c>
      <c r="F327">
        <f>[2]TongHop!F327</f>
        <v>0</v>
      </c>
      <c r="G327">
        <f>[2]TongHop!G327</f>
        <v>0</v>
      </c>
      <c r="H327">
        <f>[2]TongHop!H327</f>
        <v>0</v>
      </c>
      <c r="I327">
        <f>[2]TongHop!I327</f>
        <v>0</v>
      </c>
      <c r="J327">
        <f>[2]TongHop!J327</f>
        <v>0</v>
      </c>
      <c r="K327">
        <f>[2]TongHop!K327</f>
        <v>0</v>
      </c>
      <c r="L327">
        <f>[2]TongHop!L327</f>
        <v>0</v>
      </c>
      <c r="M327">
        <f>[2]TongHop!M327</f>
        <v>0</v>
      </c>
      <c r="N327">
        <f>[2]TongHop!N327</f>
        <v>0</v>
      </c>
    </row>
    <row r="328" spans="1:14">
      <c r="A328">
        <f>[2]TongHop!A328</f>
        <v>0</v>
      </c>
      <c r="B328">
        <f>[2]TongHop!B328</f>
        <v>0</v>
      </c>
      <c r="C328">
        <f>[2]TongHop!C328</f>
        <v>0</v>
      </c>
      <c r="D328">
        <f>[2]TongHop!D328</f>
        <v>0</v>
      </c>
      <c r="E328">
        <f>[2]TongHop!E328</f>
        <v>0</v>
      </c>
      <c r="F328">
        <f>[2]TongHop!F328</f>
        <v>0</v>
      </c>
      <c r="G328">
        <f>[2]TongHop!G328</f>
        <v>0</v>
      </c>
      <c r="H328">
        <f>[2]TongHop!H328</f>
        <v>0</v>
      </c>
      <c r="I328">
        <f>[2]TongHop!I328</f>
        <v>0</v>
      </c>
      <c r="J328">
        <f>[2]TongHop!J328</f>
        <v>0</v>
      </c>
      <c r="K328">
        <f>[2]TongHop!K328</f>
        <v>0</v>
      </c>
      <c r="L328">
        <f>[2]TongHop!L328</f>
        <v>0</v>
      </c>
      <c r="M328">
        <f>[2]TongHop!M328</f>
        <v>0</v>
      </c>
      <c r="N328">
        <f>[2]TongHop!N328</f>
        <v>0</v>
      </c>
    </row>
    <row r="329" spans="1:14">
      <c r="A329">
        <f>[2]TongHop!A329</f>
        <v>0</v>
      </c>
      <c r="B329">
        <f>[2]TongHop!B329</f>
        <v>0</v>
      </c>
      <c r="C329">
        <f>[2]TongHop!C329</f>
        <v>0</v>
      </c>
      <c r="D329">
        <f>[2]TongHop!D329</f>
        <v>0</v>
      </c>
      <c r="E329">
        <f>[2]TongHop!E329</f>
        <v>0</v>
      </c>
      <c r="F329">
        <f>[2]TongHop!F329</f>
        <v>0</v>
      </c>
      <c r="G329">
        <f>[2]TongHop!G329</f>
        <v>0</v>
      </c>
      <c r="H329">
        <f>[2]TongHop!H329</f>
        <v>0</v>
      </c>
      <c r="I329">
        <f>[2]TongHop!I329</f>
        <v>0</v>
      </c>
      <c r="J329">
        <f>[2]TongHop!J329</f>
        <v>0</v>
      </c>
      <c r="K329">
        <f>[2]TongHop!K329</f>
        <v>0</v>
      </c>
      <c r="L329">
        <f>[2]TongHop!L329</f>
        <v>0</v>
      </c>
      <c r="M329">
        <f>[2]TongHop!M329</f>
        <v>0</v>
      </c>
      <c r="N329">
        <f>[2]TongHop!N329</f>
        <v>0</v>
      </c>
    </row>
    <row r="330" spans="1:14">
      <c r="A330">
        <f>[2]TongHop!A330</f>
        <v>0</v>
      </c>
      <c r="B330">
        <f>[2]TongHop!B330</f>
        <v>0</v>
      </c>
      <c r="C330">
        <f>[2]TongHop!C330</f>
        <v>0</v>
      </c>
      <c r="D330">
        <f>[2]TongHop!D330</f>
        <v>0</v>
      </c>
      <c r="E330">
        <f>[2]TongHop!E330</f>
        <v>0</v>
      </c>
      <c r="F330">
        <f>[2]TongHop!F330</f>
        <v>0</v>
      </c>
      <c r="G330">
        <f>[2]TongHop!G330</f>
        <v>0</v>
      </c>
      <c r="H330">
        <f>[2]TongHop!H330</f>
        <v>0</v>
      </c>
      <c r="I330">
        <f>[2]TongHop!I330</f>
        <v>0</v>
      </c>
      <c r="J330">
        <f>[2]TongHop!J330</f>
        <v>0</v>
      </c>
      <c r="K330">
        <f>[2]TongHop!K330</f>
        <v>0</v>
      </c>
      <c r="L330">
        <f>[2]TongHop!L330</f>
        <v>0</v>
      </c>
      <c r="M330">
        <f>[2]TongHop!M330</f>
        <v>0</v>
      </c>
      <c r="N330">
        <f>[2]TongHop!N330</f>
        <v>0</v>
      </c>
    </row>
    <row r="331" spans="1:14">
      <c r="A331">
        <f>[2]TongHop!A331</f>
        <v>0</v>
      </c>
      <c r="B331">
        <f>[2]TongHop!B331</f>
        <v>0</v>
      </c>
      <c r="C331">
        <f>[2]TongHop!C331</f>
        <v>0</v>
      </c>
      <c r="D331">
        <f>[2]TongHop!D331</f>
        <v>0</v>
      </c>
      <c r="E331">
        <f>[2]TongHop!E331</f>
        <v>0</v>
      </c>
      <c r="F331">
        <f>[2]TongHop!F331</f>
        <v>0</v>
      </c>
      <c r="G331">
        <f>[2]TongHop!G331</f>
        <v>0</v>
      </c>
      <c r="H331">
        <f>[2]TongHop!H331</f>
        <v>0</v>
      </c>
      <c r="I331">
        <f>[2]TongHop!I331</f>
        <v>0</v>
      </c>
      <c r="J331">
        <f>[2]TongHop!J331</f>
        <v>0</v>
      </c>
      <c r="K331">
        <f>[2]TongHop!K331</f>
        <v>0</v>
      </c>
      <c r="L331">
        <f>[2]TongHop!L331</f>
        <v>0</v>
      </c>
      <c r="M331">
        <f>[2]TongHop!M331</f>
        <v>0</v>
      </c>
      <c r="N331">
        <f>[2]TongHop!N331</f>
        <v>0</v>
      </c>
    </row>
    <row r="332" spans="1:14">
      <c r="A332">
        <f>[2]TongHop!A332</f>
        <v>0</v>
      </c>
      <c r="B332">
        <f>[2]TongHop!B332</f>
        <v>0</v>
      </c>
      <c r="C332">
        <f>[2]TongHop!C332</f>
        <v>0</v>
      </c>
      <c r="D332">
        <f>[2]TongHop!D332</f>
        <v>0</v>
      </c>
      <c r="E332">
        <f>[2]TongHop!E332</f>
        <v>0</v>
      </c>
      <c r="F332">
        <f>[2]TongHop!F332</f>
        <v>0</v>
      </c>
      <c r="G332">
        <f>[2]TongHop!G332</f>
        <v>0</v>
      </c>
      <c r="H332">
        <f>[2]TongHop!H332</f>
        <v>0</v>
      </c>
      <c r="I332">
        <f>[2]TongHop!I332</f>
        <v>0</v>
      </c>
      <c r="J332">
        <f>[2]TongHop!J332</f>
        <v>0</v>
      </c>
      <c r="K332">
        <f>[2]TongHop!K332</f>
        <v>0</v>
      </c>
      <c r="L332">
        <f>[2]TongHop!L332</f>
        <v>0</v>
      </c>
      <c r="M332">
        <f>[2]TongHop!M332</f>
        <v>0</v>
      </c>
      <c r="N332">
        <f>[2]TongHop!N332</f>
        <v>0</v>
      </c>
    </row>
    <row r="333" spans="1:14">
      <c r="A333">
        <f>[2]TongHop!A333</f>
        <v>0</v>
      </c>
      <c r="B333">
        <f>[2]TongHop!B333</f>
        <v>0</v>
      </c>
      <c r="C333">
        <f>[2]TongHop!C333</f>
        <v>0</v>
      </c>
      <c r="D333">
        <f>[2]TongHop!D333</f>
        <v>0</v>
      </c>
      <c r="E333">
        <f>[2]TongHop!E333</f>
        <v>0</v>
      </c>
      <c r="F333">
        <f>[2]TongHop!F333</f>
        <v>0</v>
      </c>
      <c r="G333">
        <f>[2]TongHop!G333</f>
        <v>0</v>
      </c>
      <c r="H333">
        <f>[2]TongHop!H333</f>
        <v>0</v>
      </c>
      <c r="I333">
        <f>[2]TongHop!I333</f>
        <v>0</v>
      </c>
      <c r="J333">
        <f>[2]TongHop!J333</f>
        <v>0</v>
      </c>
      <c r="K333">
        <f>[2]TongHop!K333</f>
        <v>0</v>
      </c>
      <c r="L333">
        <f>[2]TongHop!L333</f>
        <v>0</v>
      </c>
      <c r="M333">
        <f>[2]TongHop!M333</f>
        <v>0</v>
      </c>
      <c r="N333">
        <f>[2]TongHop!N333</f>
        <v>0</v>
      </c>
    </row>
    <row r="334" spans="1:14">
      <c r="A334">
        <f>[2]TongHop!A334</f>
        <v>0</v>
      </c>
      <c r="B334">
        <f>[2]TongHop!B334</f>
        <v>0</v>
      </c>
      <c r="C334">
        <f>[2]TongHop!C334</f>
        <v>0</v>
      </c>
      <c r="D334">
        <f>[2]TongHop!D334</f>
        <v>0</v>
      </c>
      <c r="E334">
        <f>[2]TongHop!E334</f>
        <v>0</v>
      </c>
      <c r="F334">
        <f>[2]TongHop!F334</f>
        <v>0</v>
      </c>
      <c r="G334">
        <f>[2]TongHop!G334</f>
        <v>0</v>
      </c>
      <c r="H334">
        <f>[2]TongHop!H334</f>
        <v>0</v>
      </c>
      <c r="I334">
        <f>[2]TongHop!I334</f>
        <v>0</v>
      </c>
      <c r="J334">
        <f>[2]TongHop!J334</f>
        <v>0</v>
      </c>
      <c r="K334">
        <f>[2]TongHop!K334</f>
        <v>0</v>
      </c>
      <c r="L334">
        <f>[2]TongHop!L334</f>
        <v>0</v>
      </c>
      <c r="M334">
        <f>[2]TongHop!M334</f>
        <v>0</v>
      </c>
      <c r="N334">
        <f>[2]TongHop!N334</f>
        <v>0</v>
      </c>
    </row>
    <row r="335" spans="1:14">
      <c r="A335">
        <f>[2]TongHop!A335</f>
        <v>0</v>
      </c>
      <c r="B335">
        <f>[2]TongHop!B335</f>
        <v>0</v>
      </c>
      <c r="C335">
        <f>[2]TongHop!C335</f>
        <v>0</v>
      </c>
      <c r="D335">
        <f>[2]TongHop!D335</f>
        <v>0</v>
      </c>
      <c r="E335">
        <f>[2]TongHop!E335</f>
        <v>0</v>
      </c>
      <c r="F335">
        <f>[2]TongHop!F335</f>
        <v>0</v>
      </c>
      <c r="G335">
        <f>[2]TongHop!G335</f>
        <v>0</v>
      </c>
      <c r="H335">
        <f>[2]TongHop!H335</f>
        <v>0</v>
      </c>
      <c r="I335">
        <f>[2]TongHop!I335</f>
        <v>0</v>
      </c>
      <c r="J335">
        <f>[2]TongHop!J335</f>
        <v>0</v>
      </c>
      <c r="K335">
        <f>[2]TongHop!K335</f>
        <v>0</v>
      </c>
      <c r="L335">
        <f>[2]TongHop!L335</f>
        <v>0</v>
      </c>
      <c r="M335">
        <f>[2]TongHop!M335</f>
        <v>0</v>
      </c>
      <c r="N335">
        <f>[2]TongHop!N335</f>
        <v>0</v>
      </c>
    </row>
    <row r="336" spans="1:14">
      <c r="A336">
        <f>[2]TongHop!A336</f>
        <v>0</v>
      </c>
      <c r="B336">
        <f>[2]TongHop!B336</f>
        <v>0</v>
      </c>
      <c r="C336">
        <f>[2]TongHop!C336</f>
        <v>0</v>
      </c>
      <c r="D336">
        <f>[2]TongHop!D336</f>
        <v>0</v>
      </c>
      <c r="E336">
        <f>[2]TongHop!E336</f>
        <v>0</v>
      </c>
      <c r="F336">
        <f>[2]TongHop!F336</f>
        <v>0</v>
      </c>
      <c r="G336">
        <f>[2]TongHop!G336</f>
        <v>0</v>
      </c>
      <c r="H336">
        <f>[2]TongHop!H336</f>
        <v>0</v>
      </c>
      <c r="I336">
        <f>[2]TongHop!I336</f>
        <v>0</v>
      </c>
      <c r="J336">
        <f>[2]TongHop!J336</f>
        <v>0</v>
      </c>
      <c r="K336">
        <f>[2]TongHop!K336</f>
        <v>0</v>
      </c>
      <c r="L336">
        <f>[2]TongHop!L336</f>
        <v>0</v>
      </c>
      <c r="M336">
        <f>[2]TongHop!M336</f>
        <v>0</v>
      </c>
      <c r="N336">
        <f>[2]TongHop!N336</f>
        <v>0</v>
      </c>
    </row>
    <row r="337" spans="1:14">
      <c r="A337">
        <f>[2]TongHop!A337</f>
        <v>0</v>
      </c>
      <c r="B337">
        <f>[2]TongHop!B337</f>
        <v>0</v>
      </c>
      <c r="C337">
        <f>[2]TongHop!C337</f>
        <v>0</v>
      </c>
      <c r="D337">
        <f>[2]TongHop!D337</f>
        <v>0</v>
      </c>
      <c r="E337">
        <f>[2]TongHop!E337</f>
        <v>0</v>
      </c>
      <c r="F337">
        <f>[2]TongHop!F337</f>
        <v>0</v>
      </c>
      <c r="G337">
        <f>[2]TongHop!G337</f>
        <v>0</v>
      </c>
      <c r="H337">
        <f>[2]TongHop!H337</f>
        <v>0</v>
      </c>
      <c r="I337">
        <f>[2]TongHop!I337</f>
        <v>0</v>
      </c>
      <c r="J337">
        <f>[2]TongHop!J337</f>
        <v>0</v>
      </c>
      <c r="K337">
        <f>[2]TongHop!K337</f>
        <v>0</v>
      </c>
      <c r="L337">
        <f>[2]TongHop!L337</f>
        <v>0</v>
      </c>
      <c r="M337">
        <f>[2]TongHop!M337</f>
        <v>0</v>
      </c>
      <c r="N337">
        <f>[2]TongHop!N337</f>
        <v>0</v>
      </c>
    </row>
    <row r="338" spans="1:14">
      <c r="A338">
        <f>[2]TongHop!A338</f>
        <v>0</v>
      </c>
      <c r="B338">
        <f>[2]TongHop!B338</f>
        <v>0</v>
      </c>
      <c r="C338">
        <f>[2]TongHop!C338</f>
        <v>0</v>
      </c>
      <c r="D338">
        <f>[2]TongHop!D338</f>
        <v>0</v>
      </c>
      <c r="E338">
        <f>[2]TongHop!E338</f>
        <v>0</v>
      </c>
      <c r="F338">
        <f>[2]TongHop!F338</f>
        <v>0</v>
      </c>
      <c r="G338">
        <f>[2]TongHop!G338</f>
        <v>0</v>
      </c>
      <c r="H338">
        <f>[2]TongHop!H338</f>
        <v>0</v>
      </c>
      <c r="I338">
        <f>[2]TongHop!I338</f>
        <v>0</v>
      </c>
      <c r="J338">
        <f>[2]TongHop!J338</f>
        <v>0</v>
      </c>
      <c r="K338">
        <f>[2]TongHop!K338</f>
        <v>0</v>
      </c>
      <c r="L338">
        <f>[2]TongHop!L338</f>
        <v>0</v>
      </c>
      <c r="M338">
        <f>[2]TongHop!M338</f>
        <v>0</v>
      </c>
      <c r="N338">
        <f>[2]TongHop!N338</f>
        <v>0</v>
      </c>
    </row>
    <row r="339" spans="1:14">
      <c r="A339">
        <f>[2]TongHop!A339</f>
        <v>0</v>
      </c>
      <c r="B339">
        <f>[2]TongHop!B339</f>
        <v>0</v>
      </c>
      <c r="C339">
        <f>[2]TongHop!C339</f>
        <v>0</v>
      </c>
      <c r="D339">
        <f>[2]TongHop!D339</f>
        <v>0</v>
      </c>
      <c r="E339">
        <f>[2]TongHop!E339</f>
        <v>0</v>
      </c>
      <c r="F339">
        <f>[2]TongHop!F339</f>
        <v>0</v>
      </c>
      <c r="G339">
        <f>[2]TongHop!G339</f>
        <v>0</v>
      </c>
      <c r="H339">
        <f>[2]TongHop!H339</f>
        <v>0</v>
      </c>
      <c r="I339">
        <f>[2]TongHop!I339</f>
        <v>0</v>
      </c>
      <c r="J339">
        <f>[2]TongHop!J339</f>
        <v>0</v>
      </c>
      <c r="K339">
        <f>[2]TongHop!K339</f>
        <v>0</v>
      </c>
      <c r="L339">
        <f>[2]TongHop!L339</f>
        <v>0</v>
      </c>
      <c r="M339">
        <f>[2]TongHop!M339</f>
        <v>0</v>
      </c>
      <c r="N339">
        <f>[2]TongHop!N339</f>
        <v>0</v>
      </c>
    </row>
    <row r="340" spans="1:14">
      <c r="A340">
        <f>[2]TongHop!A340</f>
        <v>0</v>
      </c>
      <c r="B340">
        <f>[2]TongHop!B340</f>
        <v>0</v>
      </c>
      <c r="C340">
        <f>[2]TongHop!C340</f>
        <v>0</v>
      </c>
      <c r="D340">
        <f>[2]TongHop!D340</f>
        <v>0</v>
      </c>
      <c r="E340">
        <f>[2]TongHop!E340</f>
        <v>0</v>
      </c>
      <c r="F340">
        <f>[2]TongHop!F340</f>
        <v>0</v>
      </c>
      <c r="G340">
        <f>[2]TongHop!G340</f>
        <v>0</v>
      </c>
      <c r="H340">
        <f>[2]TongHop!H340</f>
        <v>0</v>
      </c>
      <c r="I340">
        <f>[2]TongHop!I340</f>
        <v>0</v>
      </c>
      <c r="J340">
        <f>[2]TongHop!J340</f>
        <v>0</v>
      </c>
      <c r="K340">
        <f>[2]TongHop!K340</f>
        <v>0</v>
      </c>
      <c r="L340">
        <f>[2]TongHop!L340</f>
        <v>0</v>
      </c>
      <c r="M340">
        <f>[2]TongHop!M340</f>
        <v>0</v>
      </c>
      <c r="N340">
        <f>[2]TongHop!N340</f>
        <v>0</v>
      </c>
    </row>
    <row r="341" spans="1:14">
      <c r="A341">
        <f>[2]TongHop!A341</f>
        <v>0</v>
      </c>
      <c r="B341">
        <f>[2]TongHop!B341</f>
        <v>0</v>
      </c>
      <c r="C341">
        <f>[2]TongHop!C341</f>
        <v>0</v>
      </c>
      <c r="D341">
        <f>[2]TongHop!D341</f>
        <v>0</v>
      </c>
      <c r="E341">
        <f>[2]TongHop!E341</f>
        <v>0</v>
      </c>
      <c r="F341">
        <f>[2]TongHop!F341</f>
        <v>0</v>
      </c>
      <c r="G341">
        <f>[2]TongHop!G341</f>
        <v>0</v>
      </c>
      <c r="H341">
        <f>[2]TongHop!H341</f>
        <v>0</v>
      </c>
      <c r="I341">
        <f>[2]TongHop!I341</f>
        <v>0</v>
      </c>
      <c r="J341">
        <f>[2]TongHop!J341</f>
        <v>0</v>
      </c>
      <c r="K341">
        <f>[2]TongHop!K341</f>
        <v>0</v>
      </c>
      <c r="L341">
        <f>[2]TongHop!L341</f>
        <v>0</v>
      </c>
      <c r="M341">
        <f>[2]TongHop!M341</f>
        <v>0</v>
      </c>
      <c r="N341">
        <f>[2]TongHop!N341</f>
        <v>0</v>
      </c>
    </row>
    <row r="342" spans="1:14">
      <c r="A342">
        <f>[2]TongHop!A342</f>
        <v>0</v>
      </c>
      <c r="B342">
        <f>[2]TongHop!B342</f>
        <v>0</v>
      </c>
      <c r="C342">
        <f>[2]TongHop!C342</f>
        <v>0</v>
      </c>
      <c r="D342">
        <f>[2]TongHop!D342</f>
        <v>0</v>
      </c>
      <c r="E342">
        <f>[2]TongHop!E342</f>
        <v>0</v>
      </c>
      <c r="F342">
        <f>[2]TongHop!F342</f>
        <v>0</v>
      </c>
      <c r="G342">
        <f>[2]TongHop!G342</f>
        <v>0</v>
      </c>
      <c r="H342">
        <f>[2]TongHop!H342</f>
        <v>0</v>
      </c>
      <c r="I342">
        <f>[2]TongHop!I342</f>
        <v>0</v>
      </c>
      <c r="J342">
        <f>[2]TongHop!J342</f>
        <v>0</v>
      </c>
      <c r="K342">
        <f>[2]TongHop!K342</f>
        <v>0</v>
      </c>
      <c r="L342">
        <f>[2]TongHop!L342</f>
        <v>0</v>
      </c>
      <c r="M342">
        <f>[2]TongHop!M342</f>
        <v>0</v>
      </c>
      <c r="N342">
        <f>[2]TongHop!N342</f>
        <v>0</v>
      </c>
    </row>
    <row r="343" spans="1:14">
      <c r="A343">
        <f>[2]TongHop!A343</f>
        <v>0</v>
      </c>
      <c r="B343">
        <f>[2]TongHop!B343</f>
        <v>0</v>
      </c>
      <c r="C343">
        <f>[2]TongHop!C343</f>
        <v>0</v>
      </c>
      <c r="D343">
        <f>[2]TongHop!D343</f>
        <v>0</v>
      </c>
      <c r="E343">
        <f>[2]TongHop!E343</f>
        <v>0</v>
      </c>
      <c r="F343">
        <f>[2]TongHop!F343</f>
        <v>0</v>
      </c>
      <c r="G343">
        <f>[2]TongHop!G343</f>
        <v>0</v>
      </c>
      <c r="H343">
        <f>[2]TongHop!H343</f>
        <v>0</v>
      </c>
      <c r="I343">
        <f>[2]TongHop!I343</f>
        <v>0</v>
      </c>
      <c r="J343">
        <f>[2]TongHop!J343</f>
        <v>0</v>
      </c>
      <c r="K343">
        <f>[2]TongHop!K343</f>
        <v>0</v>
      </c>
      <c r="L343">
        <f>[2]TongHop!L343</f>
        <v>0</v>
      </c>
      <c r="M343">
        <f>[2]TongHop!M343</f>
        <v>0</v>
      </c>
      <c r="N343">
        <f>[2]TongHop!N343</f>
        <v>0</v>
      </c>
    </row>
    <row r="344" spans="1:14">
      <c r="A344">
        <f>[2]TongHop!A344</f>
        <v>0</v>
      </c>
      <c r="B344">
        <f>[2]TongHop!B344</f>
        <v>0</v>
      </c>
      <c r="C344">
        <f>[2]TongHop!C344</f>
        <v>0</v>
      </c>
      <c r="D344">
        <f>[2]TongHop!D344</f>
        <v>0</v>
      </c>
      <c r="E344">
        <f>[2]TongHop!E344</f>
        <v>0</v>
      </c>
      <c r="F344">
        <f>[2]TongHop!F344</f>
        <v>0</v>
      </c>
      <c r="G344">
        <f>[2]TongHop!G344</f>
        <v>0</v>
      </c>
      <c r="H344">
        <f>[2]TongHop!H344</f>
        <v>0</v>
      </c>
      <c r="I344">
        <f>[2]TongHop!I344</f>
        <v>0</v>
      </c>
      <c r="J344">
        <f>[2]TongHop!J344</f>
        <v>0</v>
      </c>
      <c r="K344">
        <f>[2]TongHop!K344</f>
        <v>0</v>
      </c>
      <c r="L344">
        <f>[2]TongHop!L344</f>
        <v>0</v>
      </c>
      <c r="M344">
        <f>[2]TongHop!M344</f>
        <v>0</v>
      </c>
      <c r="N344">
        <f>[2]TongHop!N344</f>
        <v>0</v>
      </c>
    </row>
    <row r="345" spans="1:14">
      <c r="A345">
        <f>[2]TongHop!A345</f>
        <v>0</v>
      </c>
      <c r="B345">
        <f>[2]TongHop!B345</f>
        <v>0</v>
      </c>
      <c r="C345">
        <f>[2]TongHop!C345</f>
        <v>0</v>
      </c>
      <c r="D345">
        <f>[2]TongHop!D345</f>
        <v>0</v>
      </c>
      <c r="E345">
        <f>[2]TongHop!E345</f>
        <v>0</v>
      </c>
      <c r="F345">
        <f>[2]TongHop!F345</f>
        <v>0</v>
      </c>
      <c r="G345">
        <f>[2]TongHop!G345</f>
        <v>0</v>
      </c>
      <c r="H345">
        <f>[2]TongHop!H345</f>
        <v>0</v>
      </c>
      <c r="I345">
        <f>[2]TongHop!I345</f>
        <v>0</v>
      </c>
      <c r="J345">
        <f>[2]TongHop!J345</f>
        <v>0</v>
      </c>
      <c r="K345">
        <f>[2]TongHop!K345</f>
        <v>0</v>
      </c>
      <c r="L345">
        <f>[2]TongHop!L345</f>
        <v>0</v>
      </c>
      <c r="M345">
        <f>[2]TongHop!M345</f>
        <v>0</v>
      </c>
      <c r="N345">
        <f>[2]TongHop!N345</f>
        <v>0</v>
      </c>
    </row>
    <row r="346" spans="1:14">
      <c r="A346">
        <f>[2]TongHop!A346</f>
        <v>0</v>
      </c>
      <c r="B346">
        <f>[2]TongHop!B346</f>
        <v>0</v>
      </c>
      <c r="C346">
        <f>[2]TongHop!C346</f>
        <v>0</v>
      </c>
      <c r="D346">
        <f>[2]TongHop!D346</f>
        <v>0</v>
      </c>
      <c r="E346">
        <f>[2]TongHop!E346</f>
        <v>0</v>
      </c>
      <c r="F346">
        <f>[2]TongHop!F346</f>
        <v>0</v>
      </c>
      <c r="G346">
        <f>[2]TongHop!G346</f>
        <v>0</v>
      </c>
      <c r="H346">
        <f>[2]TongHop!H346</f>
        <v>0</v>
      </c>
      <c r="I346">
        <f>[2]TongHop!I346</f>
        <v>0</v>
      </c>
      <c r="J346">
        <f>[2]TongHop!J346</f>
        <v>0</v>
      </c>
      <c r="K346">
        <f>[2]TongHop!K346</f>
        <v>0</v>
      </c>
      <c r="L346">
        <f>[2]TongHop!L346</f>
        <v>0</v>
      </c>
      <c r="M346">
        <f>[2]TongHop!M346</f>
        <v>0</v>
      </c>
      <c r="N346">
        <f>[2]TongHop!N346</f>
        <v>0</v>
      </c>
    </row>
    <row r="347" spans="1:14">
      <c r="A347">
        <f>[2]TongHop!A347</f>
        <v>0</v>
      </c>
      <c r="B347">
        <f>[2]TongHop!B347</f>
        <v>0</v>
      </c>
      <c r="C347">
        <f>[2]TongHop!C347</f>
        <v>0</v>
      </c>
      <c r="D347">
        <f>[2]TongHop!D347</f>
        <v>0</v>
      </c>
      <c r="E347">
        <f>[2]TongHop!E347</f>
        <v>0</v>
      </c>
      <c r="F347">
        <f>[2]TongHop!F347</f>
        <v>0</v>
      </c>
      <c r="G347">
        <f>[2]TongHop!G347</f>
        <v>0</v>
      </c>
      <c r="H347">
        <f>[2]TongHop!H347</f>
        <v>0</v>
      </c>
      <c r="I347">
        <f>[2]TongHop!I347</f>
        <v>0</v>
      </c>
      <c r="J347">
        <f>[2]TongHop!J347</f>
        <v>0</v>
      </c>
      <c r="K347">
        <f>[2]TongHop!K347</f>
        <v>0</v>
      </c>
      <c r="L347">
        <f>[2]TongHop!L347</f>
        <v>0</v>
      </c>
      <c r="M347">
        <f>[2]TongHop!M347</f>
        <v>0</v>
      </c>
      <c r="N347">
        <f>[2]TongHop!N347</f>
        <v>0</v>
      </c>
    </row>
    <row r="348" spans="1:14">
      <c r="A348">
        <f>[2]TongHop!A348</f>
        <v>0</v>
      </c>
      <c r="B348">
        <f>[2]TongHop!B348</f>
        <v>0</v>
      </c>
      <c r="C348">
        <f>[2]TongHop!C348</f>
        <v>0</v>
      </c>
      <c r="D348">
        <f>[2]TongHop!D348</f>
        <v>0</v>
      </c>
      <c r="E348">
        <f>[2]TongHop!E348</f>
        <v>0</v>
      </c>
      <c r="F348">
        <f>[2]TongHop!F348</f>
        <v>0</v>
      </c>
      <c r="G348">
        <f>[2]TongHop!G348</f>
        <v>0</v>
      </c>
      <c r="H348">
        <f>[2]TongHop!H348</f>
        <v>0</v>
      </c>
      <c r="I348">
        <f>[2]TongHop!I348</f>
        <v>0</v>
      </c>
      <c r="J348">
        <f>[2]TongHop!J348</f>
        <v>0</v>
      </c>
      <c r="K348">
        <f>[2]TongHop!K348</f>
        <v>0</v>
      </c>
      <c r="L348">
        <f>[2]TongHop!L348</f>
        <v>0</v>
      </c>
      <c r="M348">
        <f>[2]TongHop!M348</f>
        <v>0</v>
      </c>
      <c r="N348">
        <f>[2]TongHop!N348</f>
        <v>0</v>
      </c>
    </row>
    <row r="349" spans="1:14">
      <c r="A349">
        <f>[2]TongHop!A349</f>
        <v>0</v>
      </c>
      <c r="B349">
        <f>[2]TongHop!B349</f>
        <v>0</v>
      </c>
      <c r="C349">
        <f>[2]TongHop!C349</f>
        <v>0</v>
      </c>
      <c r="D349">
        <f>[2]TongHop!D349</f>
        <v>0</v>
      </c>
      <c r="E349">
        <f>[2]TongHop!E349</f>
        <v>0</v>
      </c>
      <c r="F349">
        <f>[2]TongHop!F349</f>
        <v>0</v>
      </c>
      <c r="G349">
        <f>[2]TongHop!G349</f>
        <v>0</v>
      </c>
      <c r="H349">
        <f>[2]TongHop!H349</f>
        <v>0</v>
      </c>
      <c r="I349">
        <f>[2]TongHop!I349</f>
        <v>0</v>
      </c>
      <c r="J349">
        <f>[2]TongHop!J349</f>
        <v>0</v>
      </c>
      <c r="K349">
        <f>[2]TongHop!K349</f>
        <v>0</v>
      </c>
      <c r="L349">
        <f>[2]TongHop!L349</f>
        <v>0</v>
      </c>
      <c r="M349">
        <f>[2]TongHop!M349</f>
        <v>0</v>
      </c>
      <c r="N349">
        <f>[2]TongHop!N349</f>
        <v>0</v>
      </c>
    </row>
    <row r="350" spans="1:14">
      <c r="A350">
        <f>[2]TongHop!A350</f>
        <v>0</v>
      </c>
      <c r="B350">
        <f>[2]TongHop!B350</f>
        <v>0</v>
      </c>
      <c r="C350">
        <f>[2]TongHop!C350</f>
        <v>0</v>
      </c>
      <c r="D350">
        <f>[2]TongHop!D350</f>
        <v>0</v>
      </c>
      <c r="E350">
        <f>[2]TongHop!E350</f>
        <v>0</v>
      </c>
      <c r="F350">
        <f>[2]TongHop!F350</f>
        <v>0</v>
      </c>
      <c r="G350">
        <f>[2]TongHop!G350</f>
        <v>0</v>
      </c>
      <c r="H350">
        <f>[2]TongHop!H350</f>
        <v>0</v>
      </c>
      <c r="I350">
        <f>[2]TongHop!I350</f>
        <v>0</v>
      </c>
      <c r="J350">
        <f>[2]TongHop!J350</f>
        <v>0</v>
      </c>
      <c r="K350">
        <f>[2]TongHop!K350</f>
        <v>0</v>
      </c>
      <c r="L350">
        <f>[2]TongHop!L350</f>
        <v>0</v>
      </c>
      <c r="M350">
        <f>[2]TongHop!M350</f>
        <v>0</v>
      </c>
      <c r="N350">
        <f>[2]TongHop!N350</f>
        <v>0</v>
      </c>
    </row>
    <row r="351" spans="1:14">
      <c r="A351">
        <f>[2]TongHop!A351</f>
        <v>0</v>
      </c>
      <c r="B351">
        <f>[2]TongHop!B351</f>
        <v>0</v>
      </c>
      <c r="C351">
        <f>[2]TongHop!C351</f>
        <v>0</v>
      </c>
      <c r="D351">
        <f>[2]TongHop!D351</f>
        <v>0</v>
      </c>
      <c r="E351">
        <f>[2]TongHop!E351</f>
        <v>0</v>
      </c>
      <c r="F351">
        <f>[2]TongHop!F351</f>
        <v>0</v>
      </c>
      <c r="G351">
        <f>[2]TongHop!G351</f>
        <v>0</v>
      </c>
      <c r="H351">
        <f>[2]TongHop!H351</f>
        <v>0</v>
      </c>
      <c r="I351">
        <f>[2]TongHop!I351</f>
        <v>0</v>
      </c>
      <c r="J351">
        <f>[2]TongHop!J351</f>
        <v>0</v>
      </c>
      <c r="K351">
        <f>[2]TongHop!K351</f>
        <v>0</v>
      </c>
      <c r="L351">
        <f>[2]TongHop!L351</f>
        <v>0</v>
      </c>
      <c r="M351">
        <f>[2]TongHop!M351</f>
        <v>0</v>
      </c>
      <c r="N351">
        <f>[2]TongHop!N351</f>
        <v>0</v>
      </c>
    </row>
    <row r="352" spans="1:14">
      <c r="A352">
        <f>[2]TongHop!A352</f>
        <v>0</v>
      </c>
      <c r="B352">
        <f>[2]TongHop!B352</f>
        <v>0</v>
      </c>
      <c r="C352">
        <f>[2]TongHop!C352</f>
        <v>0</v>
      </c>
      <c r="D352">
        <f>[2]TongHop!D352</f>
        <v>0</v>
      </c>
      <c r="E352">
        <f>[2]TongHop!E352</f>
        <v>0</v>
      </c>
      <c r="F352">
        <f>[2]TongHop!F352</f>
        <v>0</v>
      </c>
      <c r="G352">
        <f>[2]TongHop!G352</f>
        <v>0</v>
      </c>
      <c r="H352">
        <f>[2]TongHop!H352</f>
        <v>0</v>
      </c>
      <c r="I352">
        <f>[2]TongHop!I352</f>
        <v>0</v>
      </c>
      <c r="J352">
        <f>[2]TongHop!J352</f>
        <v>0</v>
      </c>
      <c r="K352">
        <f>[2]TongHop!K352</f>
        <v>0</v>
      </c>
      <c r="L352">
        <f>[2]TongHop!L352</f>
        <v>0</v>
      </c>
      <c r="M352">
        <f>[2]TongHop!M352</f>
        <v>0</v>
      </c>
      <c r="N352">
        <f>[2]TongHop!N352</f>
        <v>0</v>
      </c>
    </row>
    <row r="353" spans="1:14">
      <c r="A353">
        <f>[2]TongHop!A353</f>
        <v>0</v>
      </c>
      <c r="B353">
        <f>[2]TongHop!B353</f>
        <v>0</v>
      </c>
      <c r="C353">
        <f>[2]TongHop!C353</f>
        <v>0</v>
      </c>
      <c r="D353">
        <f>[2]TongHop!D353</f>
        <v>0</v>
      </c>
      <c r="E353">
        <f>[2]TongHop!E353</f>
        <v>0</v>
      </c>
      <c r="F353">
        <f>[2]TongHop!F353</f>
        <v>0</v>
      </c>
      <c r="G353">
        <f>[2]TongHop!G353</f>
        <v>0</v>
      </c>
      <c r="H353">
        <f>[2]TongHop!H353</f>
        <v>0</v>
      </c>
      <c r="I353">
        <f>[2]TongHop!I353</f>
        <v>0</v>
      </c>
      <c r="J353">
        <f>[2]TongHop!J353</f>
        <v>0</v>
      </c>
      <c r="K353">
        <f>[2]TongHop!K353</f>
        <v>0</v>
      </c>
      <c r="L353">
        <f>[2]TongHop!L353</f>
        <v>0</v>
      </c>
      <c r="M353">
        <f>[2]TongHop!M353</f>
        <v>0</v>
      </c>
      <c r="N353">
        <f>[2]TongHop!N353</f>
        <v>0</v>
      </c>
    </row>
    <row r="354" spans="1:14">
      <c r="A354">
        <f>[2]TongHop!A354</f>
        <v>0</v>
      </c>
      <c r="B354">
        <f>[2]TongHop!B354</f>
        <v>0</v>
      </c>
      <c r="C354">
        <f>[2]TongHop!C354</f>
        <v>0</v>
      </c>
      <c r="D354">
        <f>[2]TongHop!D354</f>
        <v>0</v>
      </c>
      <c r="E354">
        <f>[2]TongHop!E354</f>
        <v>0</v>
      </c>
      <c r="F354">
        <f>[2]TongHop!F354</f>
        <v>0</v>
      </c>
      <c r="G354">
        <f>[2]TongHop!G354</f>
        <v>0</v>
      </c>
      <c r="H354">
        <f>[2]TongHop!H354</f>
        <v>0</v>
      </c>
      <c r="I354">
        <f>[2]TongHop!I354</f>
        <v>0</v>
      </c>
      <c r="J354">
        <f>[2]TongHop!J354</f>
        <v>0</v>
      </c>
      <c r="K354">
        <f>[2]TongHop!K354</f>
        <v>0</v>
      </c>
      <c r="L354">
        <f>[2]TongHop!L354</f>
        <v>0</v>
      </c>
      <c r="M354">
        <f>[2]TongHop!M354</f>
        <v>0</v>
      </c>
      <c r="N354">
        <f>[2]TongHop!N354</f>
        <v>0</v>
      </c>
    </row>
    <row r="355" spans="1:14">
      <c r="A355">
        <f>[2]TongHop!A355</f>
        <v>0</v>
      </c>
      <c r="B355">
        <f>[2]TongHop!B355</f>
        <v>0</v>
      </c>
      <c r="C355">
        <f>[2]TongHop!C355</f>
        <v>0</v>
      </c>
      <c r="D355">
        <f>[2]TongHop!D355</f>
        <v>0</v>
      </c>
      <c r="E355">
        <f>[2]TongHop!E355</f>
        <v>0</v>
      </c>
      <c r="F355">
        <f>[2]TongHop!F355</f>
        <v>0</v>
      </c>
      <c r="G355">
        <f>[2]TongHop!G355</f>
        <v>0</v>
      </c>
      <c r="H355">
        <f>[2]TongHop!H355</f>
        <v>0</v>
      </c>
      <c r="I355">
        <f>[2]TongHop!I355</f>
        <v>0</v>
      </c>
      <c r="J355">
        <f>[2]TongHop!J355</f>
        <v>0</v>
      </c>
      <c r="K355">
        <f>[2]TongHop!K355</f>
        <v>0</v>
      </c>
      <c r="L355">
        <f>[2]TongHop!L355</f>
        <v>0</v>
      </c>
      <c r="M355">
        <f>[2]TongHop!M355</f>
        <v>0</v>
      </c>
      <c r="N355">
        <f>[2]TongHop!N355</f>
        <v>0</v>
      </c>
    </row>
    <row r="356" spans="1:14">
      <c r="A356">
        <f>[2]TongHop!A356</f>
        <v>0</v>
      </c>
      <c r="B356">
        <f>[2]TongHop!B356</f>
        <v>0</v>
      </c>
      <c r="C356">
        <f>[2]TongHop!C356</f>
        <v>0</v>
      </c>
      <c r="D356">
        <f>[2]TongHop!D356</f>
        <v>0</v>
      </c>
      <c r="E356">
        <f>[2]TongHop!E356</f>
        <v>0</v>
      </c>
      <c r="F356">
        <f>[2]TongHop!F356</f>
        <v>0</v>
      </c>
      <c r="G356">
        <f>[2]TongHop!G356</f>
        <v>0</v>
      </c>
      <c r="H356">
        <f>[2]TongHop!H356</f>
        <v>0</v>
      </c>
      <c r="I356">
        <f>[2]TongHop!I356</f>
        <v>0</v>
      </c>
      <c r="J356">
        <f>[2]TongHop!J356</f>
        <v>0</v>
      </c>
      <c r="K356">
        <f>[2]TongHop!K356</f>
        <v>0</v>
      </c>
      <c r="L356">
        <f>[2]TongHop!L356</f>
        <v>0</v>
      </c>
      <c r="M356">
        <f>[2]TongHop!M356</f>
        <v>0</v>
      </c>
      <c r="N356">
        <f>[2]TongHop!N356</f>
        <v>0</v>
      </c>
    </row>
    <row r="357" spans="1:14">
      <c r="A357">
        <f>[2]TongHop!A357</f>
        <v>0</v>
      </c>
      <c r="B357">
        <f>[2]TongHop!B357</f>
        <v>0</v>
      </c>
      <c r="C357">
        <f>[2]TongHop!C357</f>
        <v>0</v>
      </c>
      <c r="D357">
        <f>[2]TongHop!D357</f>
        <v>0</v>
      </c>
      <c r="E357">
        <f>[2]TongHop!E357</f>
        <v>0</v>
      </c>
      <c r="F357">
        <f>[2]TongHop!F357</f>
        <v>0</v>
      </c>
      <c r="G357">
        <f>[2]TongHop!G357</f>
        <v>0</v>
      </c>
      <c r="H357">
        <f>[2]TongHop!H357</f>
        <v>0</v>
      </c>
      <c r="I357">
        <f>[2]TongHop!I357</f>
        <v>0</v>
      </c>
      <c r="J357">
        <f>[2]TongHop!J357</f>
        <v>0</v>
      </c>
      <c r="K357">
        <f>[2]TongHop!K357</f>
        <v>0</v>
      </c>
      <c r="L357">
        <f>[2]TongHop!L357</f>
        <v>0</v>
      </c>
      <c r="M357">
        <f>[2]TongHop!M357</f>
        <v>0</v>
      </c>
      <c r="N357">
        <f>[2]TongHop!N357</f>
        <v>0</v>
      </c>
    </row>
    <row r="358" spans="1:14">
      <c r="A358">
        <f>[2]TongHop!A358</f>
        <v>0</v>
      </c>
      <c r="B358">
        <f>[2]TongHop!B358</f>
        <v>0</v>
      </c>
      <c r="C358">
        <f>[2]TongHop!C358</f>
        <v>0</v>
      </c>
      <c r="D358">
        <f>[2]TongHop!D358</f>
        <v>0</v>
      </c>
      <c r="E358">
        <f>[2]TongHop!E358</f>
        <v>0</v>
      </c>
      <c r="F358">
        <f>[2]TongHop!F358</f>
        <v>0</v>
      </c>
      <c r="G358">
        <f>[2]TongHop!G358</f>
        <v>0</v>
      </c>
      <c r="H358">
        <f>[2]TongHop!H358</f>
        <v>0</v>
      </c>
      <c r="I358">
        <f>[2]TongHop!I358</f>
        <v>0</v>
      </c>
      <c r="J358">
        <f>[2]TongHop!J358</f>
        <v>0</v>
      </c>
      <c r="K358">
        <f>[2]TongHop!K358</f>
        <v>0</v>
      </c>
      <c r="L358">
        <f>[2]TongHop!L358</f>
        <v>0</v>
      </c>
      <c r="M358">
        <f>[2]TongHop!M358</f>
        <v>0</v>
      </c>
      <c r="N358">
        <f>[2]TongHop!N358</f>
        <v>0</v>
      </c>
    </row>
    <row r="359" spans="1:14">
      <c r="A359">
        <f>[2]TongHop!A359</f>
        <v>0</v>
      </c>
      <c r="B359">
        <f>[2]TongHop!B359</f>
        <v>0</v>
      </c>
      <c r="C359">
        <f>[2]TongHop!C359</f>
        <v>0</v>
      </c>
      <c r="D359">
        <f>[2]TongHop!D359</f>
        <v>0</v>
      </c>
      <c r="E359">
        <f>[2]TongHop!E359</f>
        <v>0</v>
      </c>
      <c r="F359">
        <f>[2]TongHop!F359</f>
        <v>0</v>
      </c>
      <c r="G359">
        <f>[2]TongHop!G359</f>
        <v>0</v>
      </c>
      <c r="H359">
        <f>[2]TongHop!H359</f>
        <v>0</v>
      </c>
      <c r="I359">
        <f>[2]TongHop!I359</f>
        <v>0</v>
      </c>
      <c r="J359">
        <f>[2]TongHop!J359</f>
        <v>0</v>
      </c>
      <c r="K359">
        <f>[2]TongHop!K359</f>
        <v>0</v>
      </c>
      <c r="L359">
        <f>[2]TongHop!L359</f>
        <v>0</v>
      </c>
      <c r="M359">
        <f>[2]TongHop!M359</f>
        <v>0</v>
      </c>
      <c r="N359">
        <f>[2]TongHop!N359</f>
        <v>0</v>
      </c>
    </row>
    <row r="360" spans="1:14">
      <c r="A360">
        <f>[2]TongHop!A360</f>
        <v>0</v>
      </c>
      <c r="B360">
        <f>[2]TongHop!B360</f>
        <v>0</v>
      </c>
      <c r="C360">
        <f>[2]TongHop!C360</f>
        <v>0</v>
      </c>
      <c r="D360">
        <f>[2]TongHop!D360</f>
        <v>0</v>
      </c>
      <c r="E360">
        <f>[2]TongHop!E360</f>
        <v>0</v>
      </c>
      <c r="F360">
        <f>[2]TongHop!F360</f>
        <v>0</v>
      </c>
      <c r="G360">
        <f>[2]TongHop!G360</f>
        <v>0</v>
      </c>
      <c r="H360">
        <f>[2]TongHop!H360</f>
        <v>0</v>
      </c>
      <c r="I360">
        <f>[2]TongHop!I360</f>
        <v>0</v>
      </c>
      <c r="J360">
        <f>[2]TongHop!J360</f>
        <v>0</v>
      </c>
      <c r="K360">
        <f>[2]TongHop!K360</f>
        <v>0</v>
      </c>
      <c r="L360">
        <f>[2]TongHop!L360</f>
        <v>0</v>
      </c>
      <c r="M360">
        <f>[2]TongHop!M360</f>
        <v>0</v>
      </c>
      <c r="N360">
        <f>[2]TongHop!N360</f>
        <v>0</v>
      </c>
    </row>
    <row r="361" spans="1:14">
      <c r="A361">
        <f>[2]TongHop!A361</f>
        <v>0</v>
      </c>
      <c r="B361">
        <f>[2]TongHop!B361</f>
        <v>0</v>
      </c>
      <c r="C361">
        <f>[2]TongHop!C361</f>
        <v>0</v>
      </c>
      <c r="D361">
        <f>[2]TongHop!D361</f>
        <v>0</v>
      </c>
      <c r="E361">
        <f>[2]TongHop!E361</f>
        <v>0</v>
      </c>
      <c r="F361">
        <f>[2]TongHop!F361</f>
        <v>0</v>
      </c>
      <c r="G361">
        <f>[2]TongHop!G361</f>
        <v>0</v>
      </c>
      <c r="H361">
        <f>[2]TongHop!H361</f>
        <v>0</v>
      </c>
      <c r="I361">
        <f>[2]TongHop!I361</f>
        <v>0</v>
      </c>
      <c r="J361">
        <f>[2]TongHop!J361</f>
        <v>0</v>
      </c>
      <c r="K361">
        <f>[2]TongHop!K361</f>
        <v>0</v>
      </c>
      <c r="L361">
        <f>[2]TongHop!L361</f>
        <v>0</v>
      </c>
      <c r="M361">
        <f>[2]TongHop!M361</f>
        <v>0</v>
      </c>
      <c r="N361">
        <f>[2]TongHop!N361</f>
        <v>0</v>
      </c>
    </row>
    <row r="362" spans="1:14">
      <c r="A362">
        <f>[2]TongHop!A362</f>
        <v>0</v>
      </c>
      <c r="B362">
        <f>[2]TongHop!B362</f>
        <v>0</v>
      </c>
      <c r="C362">
        <f>[2]TongHop!C362</f>
        <v>0</v>
      </c>
      <c r="D362">
        <f>[2]TongHop!D362</f>
        <v>0</v>
      </c>
      <c r="E362">
        <f>[2]TongHop!E362</f>
        <v>0</v>
      </c>
      <c r="F362">
        <f>[2]TongHop!F362</f>
        <v>0</v>
      </c>
      <c r="G362">
        <f>[2]TongHop!G362</f>
        <v>0</v>
      </c>
      <c r="H362">
        <f>[2]TongHop!H362</f>
        <v>0</v>
      </c>
      <c r="I362">
        <f>[2]TongHop!I362</f>
        <v>0</v>
      </c>
      <c r="J362">
        <f>[2]TongHop!J362</f>
        <v>0</v>
      </c>
      <c r="K362">
        <f>[2]TongHop!K362</f>
        <v>0</v>
      </c>
      <c r="L362">
        <f>[2]TongHop!L362</f>
        <v>0</v>
      </c>
      <c r="M362">
        <f>[2]TongHop!M362</f>
        <v>0</v>
      </c>
      <c r="N362">
        <f>[2]TongHop!N362</f>
        <v>0</v>
      </c>
    </row>
    <row r="363" spans="1:14">
      <c r="A363">
        <f>[2]TongHop!A363</f>
        <v>0</v>
      </c>
      <c r="B363">
        <f>[2]TongHop!B363</f>
        <v>0</v>
      </c>
      <c r="C363">
        <f>[2]TongHop!C363</f>
        <v>0</v>
      </c>
      <c r="D363">
        <f>[2]TongHop!D363</f>
        <v>0</v>
      </c>
      <c r="E363">
        <f>[2]TongHop!E363</f>
        <v>0</v>
      </c>
      <c r="F363">
        <f>[2]TongHop!F363</f>
        <v>0</v>
      </c>
      <c r="G363">
        <f>[2]TongHop!G363</f>
        <v>0</v>
      </c>
      <c r="H363">
        <f>[2]TongHop!H363</f>
        <v>0</v>
      </c>
      <c r="I363">
        <f>[2]TongHop!I363</f>
        <v>0</v>
      </c>
      <c r="J363">
        <f>[2]TongHop!J363</f>
        <v>0</v>
      </c>
      <c r="K363">
        <f>[2]TongHop!K363</f>
        <v>0</v>
      </c>
      <c r="L363">
        <f>[2]TongHop!L363</f>
        <v>0</v>
      </c>
      <c r="M363">
        <f>[2]TongHop!M363</f>
        <v>0</v>
      </c>
      <c r="N363">
        <f>[2]TongHop!N363</f>
        <v>0</v>
      </c>
    </row>
    <row r="364" spans="1:14">
      <c r="A364">
        <f>[2]TongHop!A364</f>
        <v>0</v>
      </c>
      <c r="B364">
        <f>[2]TongHop!B364</f>
        <v>0</v>
      </c>
      <c r="C364">
        <f>[2]TongHop!C364</f>
        <v>0</v>
      </c>
      <c r="D364">
        <f>[2]TongHop!D364</f>
        <v>0</v>
      </c>
      <c r="E364">
        <f>[2]TongHop!E364</f>
        <v>0</v>
      </c>
      <c r="F364">
        <f>[2]TongHop!F364</f>
        <v>0</v>
      </c>
      <c r="G364">
        <f>[2]TongHop!G364</f>
        <v>0</v>
      </c>
      <c r="H364">
        <f>[2]TongHop!H364</f>
        <v>0</v>
      </c>
      <c r="I364">
        <f>[2]TongHop!I364</f>
        <v>0</v>
      </c>
      <c r="J364">
        <f>[2]TongHop!J364</f>
        <v>0</v>
      </c>
      <c r="K364">
        <f>[2]TongHop!K364</f>
        <v>0</v>
      </c>
      <c r="L364">
        <f>[2]TongHop!L364</f>
        <v>0</v>
      </c>
      <c r="M364">
        <f>[2]TongHop!M364</f>
        <v>0</v>
      </c>
      <c r="N364">
        <f>[2]TongHop!N364</f>
        <v>0</v>
      </c>
    </row>
    <row r="365" spans="1:14">
      <c r="A365">
        <f>[2]TongHop!A365</f>
        <v>0</v>
      </c>
      <c r="B365">
        <f>[2]TongHop!B365</f>
        <v>0</v>
      </c>
      <c r="C365">
        <f>[2]TongHop!C365</f>
        <v>0</v>
      </c>
      <c r="D365">
        <f>[2]TongHop!D365</f>
        <v>0</v>
      </c>
      <c r="E365">
        <f>[2]TongHop!E365</f>
        <v>0</v>
      </c>
      <c r="F365">
        <f>[2]TongHop!F365</f>
        <v>0</v>
      </c>
      <c r="G365">
        <f>[2]TongHop!G365</f>
        <v>0</v>
      </c>
      <c r="H365">
        <f>[2]TongHop!H365</f>
        <v>0</v>
      </c>
      <c r="I365">
        <f>[2]TongHop!I365</f>
        <v>0</v>
      </c>
      <c r="J365">
        <f>[2]TongHop!J365</f>
        <v>0</v>
      </c>
      <c r="K365">
        <f>[2]TongHop!K365</f>
        <v>0</v>
      </c>
      <c r="L365">
        <f>[2]TongHop!L365</f>
        <v>0</v>
      </c>
      <c r="M365">
        <f>[2]TongHop!M365</f>
        <v>0</v>
      </c>
      <c r="N365">
        <f>[2]TongHop!N365</f>
        <v>0</v>
      </c>
    </row>
    <row r="366" spans="1:14">
      <c r="A366">
        <f>[2]TongHop!A366</f>
        <v>0</v>
      </c>
      <c r="B366">
        <f>[2]TongHop!B366</f>
        <v>0</v>
      </c>
      <c r="C366">
        <f>[2]TongHop!C366</f>
        <v>0</v>
      </c>
      <c r="D366">
        <f>[2]TongHop!D366</f>
        <v>0</v>
      </c>
      <c r="E366">
        <f>[2]TongHop!E366</f>
        <v>0</v>
      </c>
      <c r="F366">
        <f>[2]TongHop!F366</f>
        <v>0</v>
      </c>
      <c r="G366">
        <f>[2]TongHop!G366</f>
        <v>0</v>
      </c>
      <c r="H366">
        <f>[2]TongHop!H366</f>
        <v>0</v>
      </c>
      <c r="I366">
        <f>[2]TongHop!I366</f>
        <v>0</v>
      </c>
      <c r="J366">
        <f>[2]TongHop!J366</f>
        <v>0</v>
      </c>
      <c r="K366">
        <f>[2]TongHop!K366</f>
        <v>0</v>
      </c>
      <c r="L366">
        <f>[2]TongHop!L366</f>
        <v>0</v>
      </c>
      <c r="M366">
        <f>[2]TongHop!M366</f>
        <v>0</v>
      </c>
      <c r="N366">
        <f>[2]TongHop!N366</f>
        <v>0</v>
      </c>
    </row>
    <row r="367" spans="1:14">
      <c r="A367">
        <f>[2]TongHop!A367</f>
        <v>0</v>
      </c>
      <c r="B367">
        <f>[2]TongHop!B367</f>
        <v>0</v>
      </c>
      <c r="C367">
        <f>[2]TongHop!C367</f>
        <v>0</v>
      </c>
      <c r="D367">
        <f>[2]TongHop!D367</f>
        <v>0</v>
      </c>
      <c r="E367">
        <f>[2]TongHop!E367</f>
        <v>0</v>
      </c>
      <c r="F367">
        <f>[2]TongHop!F367</f>
        <v>0</v>
      </c>
      <c r="G367">
        <f>[2]TongHop!G367</f>
        <v>0</v>
      </c>
      <c r="H367">
        <f>[2]TongHop!H367</f>
        <v>0</v>
      </c>
      <c r="I367">
        <f>[2]TongHop!I367</f>
        <v>0</v>
      </c>
      <c r="J367">
        <f>[2]TongHop!J367</f>
        <v>0</v>
      </c>
      <c r="K367">
        <f>[2]TongHop!K367</f>
        <v>0</v>
      </c>
      <c r="L367">
        <f>[2]TongHop!L367</f>
        <v>0</v>
      </c>
      <c r="M367">
        <f>[2]TongHop!M367</f>
        <v>0</v>
      </c>
      <c r="N367">
        <f>[2]TongHop!N367</f>
        <v>0</v>
      </c>
    </row>
    <row r="368" spans="1:14">
      <c r="A368">
        <f>[2]TongHop!A368</f>
        <v>0</v>
      </c>
      <c r="B368">
        <f>[2]TongHop!B368</f>
        <v>0</v>
      </c>
      <c r="C368">
        <f>[2]TongHop!C368</f>
        <v>0</v>
      </c>
      <c r="D368">
        <f>[2]TongHop!D368</f>
        <v>0</v>
      </c>
      <c r="E368">
        <f>[2]TongHop!E368</f>
        <v>0</v>
      </c>
      <c r="F368">
        <f>[2]TongHop!F368</f>
        <v>0</v>
      </c>
      <c r="G368">
        <f>[2]TongHop!G368</f>
        <v>0</v>
      </c>
      <c r="H368">
        <f>[2]TongHop!H368</f>
        <v>0</v>
      </c>
      <c r="I368">
        <f>[2]TongHop!I368</f>
        <v>0</v>
      </c>
      <c r="J368">
        <f>[2]TongHop!J368</f>
        <v>0</v>
      </c>
      <c r="K368">
        <f>[2]TongHop!K368</f>
        <v>0</v>
      </c>
      <c r="L368">
        <f>[2]TongHop!L368</f>
        <v>0</v>
      </c>
      <c r="M368">
        <f>[2]TongHop!M368</f>
        <v>0</v>
      </c>
      <c r="N368">
        <f>[2]TongHop!N368</f>
        <v>0</v>
      </c>
    </row>
    <row r="369" spans="1:14">
      <c r="A369">
        <f>[2]TongHop!A369</f>
        <v>0</v>
      </c>
      <c r="B369">
        <f>[2]TongHop!B369</f>
        <v>0</v>
      </c>
      <c r="C369">
        <f>[2]TongHop!C369</f>
        <v>0</v>
      </c>
      <c r="D369">
        <f>[2]TongHop!D369</f>
        <v>0</v>
      </c>
      <c r="E369">
        <f>[2]TongHop!E369</f>
        <v>0</v>
      </c>
      <c r="F369">
        <f>[2]TongHop!F369</f>
        <v>0</v>
      </c>
      <c r="G369">
        <f>[2]TongHop!G369</f>
        <v>0</v>
      </c>
      <c r="H369">
        <f>[2]TongHop!H369</f>
        <v>0</v>
      </c>
      <c r="I369">
        <f>[2]TongHop!I369</f>
        <v>0</v>
      </c>
      <c r="J369">
        <f>[2]TongHop!J369</f>
        <v>0</v>
      </c>
      <c r="K369">
        <f>[2]TongHop!K369</f>
        <v>0</v>
      </c>
      <c r="L369">
        <f>[2]TongHop!L369</f>
        <v>0</v>
      </c>
      <c r="M369">
        <f>[2]TongHop!M369</f>
        <v>0</v>
      </c>
      <c r="N369">
        <f>[2]TongHop!N369</f>
        <v>0</v>
      </c>
    </row>
    <row r="370" spans="1:14">
      <c r="A370">
        <f>[2]TongHop!A370</f>
        <v>0</v>
      </c>
      <c r="B370">
        <f>[2]TongHop!B370</f>
        <v>0</v>
      </c>
      <c r="C370">
        <f>[2]TongHop!C370</f>
        <v>0</v>
      </c>
      <c r="D370">
        <f>[2]TongHop!D370</f>
        <v>0</v>
      </c>
      <c r="E370">
        <f>[2]TongHop!E370</f>
        <v>0</v>
      </c>
      <c r="F370">
        <f>[2]TongHop!F370</f>
        <v>0</v>
      </c>
      <c r="G370">
        <f>[2]TongHop!G370</f>
        <v>0</v>
      </c>
      <c r="H370">
        <f>[2]TongHop!H370</f>
        <v>0</v>
      </c>
      <c r="I370">
        <f>[2]TongHop!I370</f>
        <v>0</v>
      </c>
      <c r="J370">
        <f>[2]TongHop!J370</f>
        <v>0</v>
      </c>
      <c r="K370">
        <f>[2]TongHop!K370</f>
        <v>0</v>
      </c>
      <c r="L370">
        <f>[2]TongHop!L370</f>
        <v>0</v>
      </c>
      <c r="M370">
        <f>[2]TongHop!M370</f>
        <v>0</v>
      </c>
      <c r="N370">
        <f>[2]TongHop!N370</f>
        <v>0</v>
      </c>
    </row>
    <row r="371" spans="1:14">
      <c r="A371">
        <f>[2]TongHop!A371</f>
        <v>0</v>
      </c>
      <c r="B371">
        <f>[2]TongHop!B371</f>
        <v>0</v>
      </c>
      <c r="C371">
        <f>[2]TongHop!C371</f>
        <v>0</v>
      </c>
      <c r="D371">
        <f>[2]TongHop!D371</f>
        <v>0</v>
      </c>
      <c r="E371">
        <f>[2]TongHop!E371</f>
        <v>0</v>
      </c>
      <c r="F371">
        <f>[2]TongHop!F371</f>
        <v>0</v>
      </c>
      <c r="G371">
        <f>[2]TongHop!G371</f>
        <v>0</v>
      </c>
      <c r="H371">
        <f>[2]TongHop!H371</f>
        <v>0</v>
      </c>
      <c r="I371">
        <f>[2]TongHop!I371</f>
        <v>0</v>
      </c>
      <c r="J371">
        <f>[2]TongHop!J371</f>
        <v>0</v>
      </c>
      <c r="K371">
        <f>[2]TongHop!K371</f>
        <v>0</v>
      </c>
      <c r="L371">
        <f>[2]TongHop!L371</f>
        <v>0</v>
      </c>
      <c r="M371">
        <f>[2]TongHop!M371</f>
        <v>0</v>
      </c>
      <c r="N371">
        <f>[2]TongHop!N371</f>
        <v>0</v>
      </c>
    </row>
    <row r="372" spans="1:14">
      <c r="A372">
        <f>[2]TongHop!A372</f>
        <v>0</v>
      </c>
      <c r="B372">
        <f>[2]TongHop!B372</f>
        <v>0</v>
      </c>
      <c r="C372">
        <f>[2]TongHop!C372</f>
        <v>0</v>
      </c>
      <c r="D372">
        <f>[2]TongHop!D372</f>
        <v>0</v>
      </c>
      <c r="E372">
        <f>[2]TongHop!E372</f>
        <v>0</v>
      </c>
      <c r="F372">
        <f>[2]TongHop!F372</f>
        <v>0</v>
      </c>
      <c r="G372">
        <f>[2]TongHop!G372</f>
        <v>0</v>
      </c>
      <c r="H372">
        <f>[2]TongHop!H372</f>
        <v>0</v>
      </c>
      <c r="I372">
        <f>[2]TongHop!I372</f>
        <v>0</v>
      </c>
      <c r="J372">
        <f>[2]TongHop!J372</f>
        <v>0</v>
      </c>
      <c r="K372">
        <f>[2]TongHop!K372</f>
        <v>0</v>
      </c>
      <c r="L372">
        <f>[2]TongHop!L372</f>
        <v>0</v>
      </c>
      <c r="M372">
        <f>[2]TongHop!M372</f>
        <v>0</v>
      </c>
      <c r="N372">
        <f>[2]TongHop!N372</f>
        <v>0</v>
      </c>
    </row>
    <row r="373" spans="1:14">
      <c r="A373">
        <f>[2]TongHop!A373</f>
        <v>0</v>
      </c>
      <c r="B373">
        <f>[2]TongHop!B373</f>
        <v>0</v>
      </c>
      <c r="C373">
        <f>[2]TongHop!C373</f>
        <v>0</v>
      </c>
      <c r="D373">
        <f>[2]TongHop!D373</f>
        <v>0</v>
      </c>
      <c r="E373">
        <f>[2]TongHop!E373</f>
        <v>0</v>
      </c>
      <c r="F373">
        <f>[2]TongHop!F373</f>
        <v>0</v>
      </c>
      <c r="G373">
        <f>[2]TongHop!G373</f>
        <v>0</v>
      </c>
      <c r="H373">
        <f>[2]TongHop!H373</f>
        <v>0</v>
      </c>
      <c r="I373">
        <f>[2]TongHop!I373</f>
        <v>0</v>
      </c>
      <c r="J373">
        <f>[2]TongHop!J373</f>
        <v>0</v>
      </c>
      <c r="K373">
        <f>[2]TongHop!K373</f>
        <v>0</v>
      </c>
      <c r="L373">
        <f>[2]TongHop!L373</f>
        <v>0</v>
      </c>
      <c r="M373">
        <f>[2]TongHop!M373</f>
        <v>0</v>
      </c>
      <c r="N373">
        <f>[2]TongHop!N373</f>
        <v>0</v>
      </c>
    </row>
    <row r="374" spans="1:14">
      <c r="A374">
        <f>[2]TongHop!A374</f>
        <v>0</v>
      </c>
      <c r="B374">
        <f>[2]TongHop!B374</f>
        <v>0</v>
      </c>
      <c r="C374">
        <f>[2]TongHop!C374</f>
        <v>0</v>
      </c>
      <c r="D374">
        <f>[2]TongHop!D374</f>
        <v>0</v>
      </c>
      <c r="E374">
        <f>[2]TongHop!E374</f>
        <v>0</v>
      </c>
      <c r="F374">
        <f>[2]TongHop!F374</f>
        <v>0</v>
      </c>
      <c r="G374">
        <f>[2]TongHop!G374</f>
        <v>0</v>
      </c>
      <c r="H374">
        <f>[2]TongHop!H374</f>
        <v>0</v>
      </c>
      <c r="I374">
        <f>[2]TongHop!I374</f>
        <v>0</v>
      </c>
      <c r="J374">
        <f>[2]TongHop!J374</f>
        <v>0</v>
      </c>
      <c r="K374">
        <f>[2]TongHop!K374</f>
        <v>0</v>
      </c>
      <c r="L374">
        <f>[2]TongHop!L374</f>
        <v>0</v>
      </c>
      <c r="M374">
        <f>[2]TongHop!M374</f>
        <v>0</v>
      </c>
      <c r="N374">
        <f>[2]TongHop!N374</f>
        <v>0</v>
      </c>
    </row>
    <row r="375" spans="1:14">
      <c r="A375">
        <f>[2]TongHop!A375</f>
        <v>0</v>
      </c>
      <c r="B375">
        <f>[2]TongHop!B375</f>
        <v>0</v>
      </c>
      <c r="C375">
        <f>[2]TongHop!C375</f>
        <v>0</v>
      </c>
      <c r="D375">
        <f>[2]TongHop!D375</f>
        <v>0</v>
      </c>
      <c r="E375">
        <f>[2]TongHop!E375</f>
        <v>0</v>
      </c>
      <c r="F375">
        <f>[2]TongHop!F375</f>
        <v>0</v>
      </c>
      <c r="G375">
        <f>[2]TongHop!G375</f>
        <v>0</v>
      </c>
      <c r="H375">
        <f>[2]TongHop!H375</f>
        <v>0</v>
      </c>
      <c r="I375">
        <f>[2]TongHop!I375</f>
        <v>0</v>
      </c>
      <c r="J375">
        <f>[2]TongHop!J375</f>
        <v>0</v>
      </c>
      <c r="K375">
        <f>[2]TongHop!K375</f>
        <v>0</v>
      </c>
      <c r="L375">
        <f>[2]TongHop!L375</f>
        <v>0</v>
      </c>
      <c r="M375">
        <f>[2]TongHop!M375</f>
        <v>0</v>
      </c>
      <c r="N375">
        <f>[2]TongHop!N375</f>
        <v>0</v>
      </c>
    </row>
    <row r="376" spans="1:14">
      <c r="A376">
        <f>[2]TongHop!A376</f>
        <v>0</v>
      </c>
      <c r="B376">
        <f>[2]TongHop!B376</f>
        <v>0</v>
      </c>
      <c r="C376">
        <f>[2]TongHop!C376</f>
        <v>0</v>
      </c>
      <c r="D376">
        <f>[2]TongHop!D376</f>
        <v>0</v>
      </c>
      <c r="E376">
        <f>[2]TongHop!E376</f>
        <v>0</v>
      </c>
      <c r="F376">
        <f>[2]TongHop!F376</f>
        <v>0</v>
      </c>
      <c r="G376">
        <f>[2]TongHop!G376</f>
        <v>0</v>
      </c>
      <c r="H376">
        <f>[2]TongHop!H376</f>
        <v>0</v>
      </c>
      <c r="I376">
        <f>[2]TongHop!I376</f>
        <v>0</v>
      </c>
      <c r="J376">
        <f>[2]TongHop!J376</f>
        <v>0</v>
      </c>
      <c r="K376">
        <f>[2]TongHop!K376</f>
        <v>0</v>
      </c>
      <c r="L376">
        <f>[2]TongHop!L376</f>
        <v>0</v>
      </c>
      <c r="M376">
        <f>[2]TongHop!M376</f>
        <v>0</v>
      </c>
      <c r="N376">
        <f>[2]TongHop!N376</f>
        <v>0</v>
      </c>
    </row>
    <row r="377" spans="1:14">
      <c r="A377">
        <f>[2]TongHop!A377</f>
        <v>0</v>
      </c>
      <c r="B377">
        <f>[2]TongHop!B377</f>
        <v>0</v>
      </c>
      <c r="C377">
        <f>[2]TongHop!C377</f>
        <v>0</v>
      </c>
      <c r="D377">
        <f>[2]TongHop!D377</f>
        <v>0</v>
      </c>
      <c r="E377">
        <f>[2]TongHop!E377</f>
        <v>0</v>
      </c>
      <c r="F377">
        <f>[2]TongHop!F377</f>
        <v>0</v>
      </c>
      <c r="G377">
        <f>[2]TongHop!G377</f>
        <v>0</v>
      </c>
      <c r="H377">
        <f>[2]TongHop!H377</f>
        <v>0</v>
      </c>
      <c r="I377">
        <f>[2]TongHop!I377</f>
        <v>0</v>
      </c>
      <c r="J377">
        <f>[2]TongHop!J377</f>
        <v>0</v>
      </c>
      <c r="K377">
        <f>[2]TongHop!K377</f>
        <v>0</v>
      </c>
      <c r="L377">
        <f>[2]TongHop!L377</f>
        <v>0</v>
      </c>
      <c r="M377">
        <f>[2]TongHop!M377</f>
        <v>0</v>
      </c>
      <c r="N377">
        <f>[2]TongHop!N377</f>
        <v>0</v>
      </c>
    </row>
    <row r="378" spans="1:14">
      <c r="A378">
        <f>[2]TongHop!A378</f>
        <v>0</v>
      </c>
      <c r="B378">
        <f>[2]TongHop!B378</f>
        <v>0</v>
      </c>
      <c r="C378">
        <f>[2]TongHop!C378</f>
        <v>0</v>
      </c>
      <c r="D378">
        <f>[2]TongHop!D378</f>
        <v>0</v>
      </c>
      <c r="E378">
        <f>[2]TongHop!E378</f>
        <v>0</v>
      </c>
      <c r="F378">
        <f>[2]TongHop!F378</f>
        <v>0</v>
      </c>
      <c r="G378">
        <f>[2]TongHop!G378</f>
        <v>0</v>
      </c>
      <c r="H378">
        <f>[2]TongHop!H378</f>
        <v>0</v>
      </c>
      <c r="I378">
        <f>[2]TongHop!I378</f>
        <v>0</v>
      </c>
      <c r="J378">
        <f>[2]TongHop!J378</f>
        <v>0</v>
      </c>
      <c r="K378">
        <f>[2]TongHop!K378</f>
        <v>0</v>
      </c>
      <c r="L378">
        <f>[2]TongHop!L378</f>
        <v>0</v>
      </c>
      <c r="M378">
        <f>[2]TongHop!M378</f>
        <v>0</v>
      </c>
      <c r="N378">
        <f>[2]TongHop!N378</f>
        <v>0</v>
      </c>
    </row>
    <row r="379" spans="1:14">
      <c r="A379">
        <f>[2]TongHop!A379</f>
        <v>0</v>
      </c>
      <c r="B379">
        <f>[2]TongHop!B379</f>
        <v>0</v>
      </c>
      <c r="C379">
        <f>[2]TongHop!C379</f>
        <v>0</v>
      </c>
      <c r="D379">
        <f>[2]TongHop!D379</f>
        <v>0</v>
      </c>
      <c r="E379">
        <f>[2]TongHop!E379</f>
        <v>0</v>
      </c>
      <c r="F379">
        <f>[2]TongHop!F379</f>
        <v>0</v>
      </c>
      <c r="G379">
        <f>[2]TongHop!G379</f>
        <v>0</v>
      </c>
      <c r="H379">
        <f>[2]TongHop!H379</f>
        <v>0</v>
      </c>
      <c r="I379">
        <f>[2]TongHop!I379</f>
        <v>0</v>
      </c>
      <c r="J379">
        <f>[2]TongHop!J379</f>
        <v>0</v>
      </c>
      <c r="K379">
        <f>[2]TongHop!K379</f>
        <v>0</v>
      </c>
      <c r="L379">
        <f>[2]TongHop!L379</f>
        <v>0</v>
      </c>
      <c r="M379">
        <f>[2]TongHop!M379</f>
        <v>0</v>
      </c>
      <c r="N379">
        <f>[2]TongHop!N379</f>
        <v>0</v>
      </c>
    </row>
    <row r="380" spans="1:14">
      <c r="A380">
        <f>[2]TongHop!A380</f>
        <v>0</v>
      </c>
      <c r="B380">
        <f>[2]TongHop!B380</f>
        <v>0</v>
      </c>
      <c r="C380">
        <f>[2]TongHop!C380</f>
        <v>0</v>
      </c>
      <c r="D380">
        <f>[2]TongHop!D380</f>
        <v>0</v>
      </c>
      <c r="E380">
        <f>[2]TongHop!E380</f>
        <v>0</v>
      </c>
      <c r="F380">
        <f>[2]TongHop!F380</f>
        <v>0</v>
      </c>
      <c r="G380">
        <f>[2]TongHop!G380</f>
        <v>0</v>
      </c>
      <c r="H380">
        <f>[2]TongHop!H380</f>
        <v>0</v>
      </c>
      <c r="I380">
        <f>[2]TongHop!I380</f>
        <v>0</v>
      </c>
      <c r="J380">
        <f>[2]TongHop!J380</f>
        <v>0</v>
      </c>
      <c r="K380">
        <f>[2]TongHop!K380</f>
        <v>0</v>
      </c>
      <c r="L380">
        <f>[2]TongHop!L380</f>
        <v>0</v>
      </c>
      <c r="M380">
        <f>[2]TongHop!M380</f>
        <v>0</v>
      </c>
      <c r="N380">
        <f>[2]TongHop!N380</f>
        <v>0</v>
      </c>
    </row>
    <row r="381" spans="1:14">
      <c r="A381">
        <f>[2]TongHop!A381</f>
        <v>0</v>
      </c>
      <c r="B381">
        <f>[2]TongHop!B381</f>
        <v>0</v>
      </c>
      <c r="C381">
        <f>[2]TongHop!C381</f>
        <v>0</v>
      </c>
      <c r="D381">
        <f>[2]TongHop!D381</f>
        <v>0</v>
      </c>
      <c r="E381">
        <f>[2]TongHop!E381</f>
        <v>0</v>
      </c>
      <c r="F381">
        <f>[2]TongHop!F381</f>
        <v>0</v>
      </c>
      <c r="G381">
        <f>[2]TongHop!G381</f>
        <v>0</v>
      </c>
      <c r="H381">
        <f>[2]TongHop!H381</f>
        <v>0</v>
      </c>
      <c r="I381">
        <f>[2]TongHop!I381</f>
        <v>0</v>
      </c>
      <c r="J381">
        <f>[2]TongHop!J381</f>
        <v>0</v>
      </c>
      <c r="K381">
        <f>[2]TongHop!K381</f>
        <v>0</v>
      </c>
      <c r="L381">
        <f>[2]TongHop!L381</f>
        <v>0</v>
      </c>
      <c r="M381">
        <f>[2]TongHop!M381</f>
        <v>0</v>
      </c>
      <c r="N381">
        <f>[2]TongHop!N381</f>
        <v>0</v>
      </c>
    </row>
    <row r="382" spans="1:14">
      <c r="A382">
        <f>[2]TongHop!A382</f>
        <v>0</v>
      </c>
      <c r="B382">
        <f>[2]TongHop!B382</f>
        <v>0</v>
      </c>
      <c r="C382">
        <f>[2]TongHop!C382</f>
        <v>0</v>
      </c>
      <c r="D382">
        <f>[2]TongHop!D382</f>
        <v>0</v>
      </c>
      <c r="E382">
        <f>[2]TongHop!E382</f>
        <v>0</v>
      </c>
      <c r="F382">
        <f>[2]TongHop!F382</f>
        <v>0</v>
      </c>
      <c r="G382">
        <f>[2]TongHop!G382</f>
        <v>0</v>
      </c>
      <c r="H382">
        <f>[2]TongHop!H382</f>
        <v>0</v>
      </c>
      <c r="I382">
        <f>[2]TongHop!I382</f>
        <v>0</v>
      </c>
      <c r="J382">
        <f>[2]TongHop!J382</f>
        <v>0</v>
      </c>
      <c r="K382">
        <f>[2]TongHop!K382</f>
        <v>0</v>
      </c>
      <c r="L382">
        <f>[2]TongHop!L382</f>
        <v>0</v>
      </c>
      <c r="M382">
        <f>[2]TongHop!M382</f>
        <v>0</v>
      </c>
      <c r="N382">
        <f>[2]TongHop!N382</f>
        <v>0</v>
      </c>
    </row>
    <row r="383" spans="1:14">
      <c r="A383">
        <f>[2]TongHop!A383</f>
        <v>0</v>
      </c>
      <c r="B383">
        <f>[2]TongHop!B383</f>
        <v>0</v>
      </c>
      <c r="C383">
        <f>[2]TongHop!C383</f>
        <v>0</v>
      </c>
      <c r="D383">
        <f>[2]TongHop!D383</f>
        <v>0</v>
      </c>
      <c r="E383">
        <f>[2]TongHop!E383</f>
        <v>0</v>
      </c>
      <c r="F383">
        <f>[2]TongHop!F383</f>
        <v>0</v>
      </c>
      <c r="G383">
        <f>[2]TongHop!G383</f>
        <v>0</v>
      </c>
      <c r="H383">
        <f>[2]TongHop!H383</f>
        <v>0</v>
      </c>
      <c r="I383">
        <f>[2]TongHop!I383</f>
        <v>0</v>
      </c>
      <c r="J383">
        <f>[2]TongHop!J383</f>
        <v>0</v>
      </c>
      <c r="K383">
        <f>[2]TongHop!K383</f>
        <v>0</v>
      </c>
      <c r="L383">
        <f>[2]TongHop!L383</f>
        <v>0</v>
      </c>
      <c r="M383">
        <f>[2]TongHop!M383</f>
        <v>0</v>
      </c>
      <c r="N383">
        <f>[2]TongHop!N383</f>
        <v>0</v>
      </c>
    </row>
    <row r="384" spans="1:14">
      <c r="A384">
        <f>[2]TongHop!A384</f>
        <v>0</v>
      </c>
      <c r="B384">
        <f>[2]TongHop!B384</f>
        <v>0</v>
      </c>
      <c r="C384">
        <f>[2]TongHop!C384</f>
        <v>0</v>
      </c>
      <c r="D384">
        <f>[2]TongHop!D384</f>
        <v>0</v>
      </c>
      <c r="E384">
        <f>[2]TongHop!E384</f>
        <v>0</v>
      </c>
      <c r="F384">
        <f>[2]TongHop!F384</f>
        <v>0</v>
      </c>
      <c r="G384">
        <f>[2]TongHop!G384</f>
        <v>0</v>
      </c>
      <c r="H384">
        <f>[2]TongHop!H384</f>
        <v>0</v>
      </c>
      <c r="I384">
        <f>[2]TongHop!I384</f>
        <v>0</v>
      </c>
      <c r="J384">
        <f>[2]TongHop!J384</f>
        <v>0</v>
      </c>
      <c r="K384">
        <f>[2]TongHop!K384</f>
        <v>0</v>
      </c>
      <c r="L384">
        <f>[2]TongHop!L384</f>
        <v>0</v>
      </c>
      <c r="M384">
        <f>[2]TongHop!M384</f>
        <v>0</v>
      </c>
      <c r="N384">
        <f>[2]TongHop!N384</f>
        <v>0</v>
      </c>
    </row>
    <row r="385" spans="1:14">
      <c r="A385">
        <f>[2]TongHop!A385</f>
        <v>0</v>
      </c>
      <c r="B385">
        <f>[2]TongHop!B385</f>
        <v>0</v>
      </c>
      <c r="C385">
        <f>[2]TongHop!C385</f>
        <v>0</v>
      </c>
      <c r="D385">
        <f>[2]TongHop!D385</f>
        <v>0</v>
      </c>
      <c r="E385">
        <f>[2]TongHop!E385</f>
        <v>0</v>
      </c>
      <c r="F385">
        <f>[2]TongHop!F385</f>
        <v>0</v>
      </c>
      <c r="G385">
        <f>[2]TongHop!G385</f>
        <v>0</v>
      </c>
      <c r="H385">
        <f>[2]TongHop!H385</f>
        <v>0</v>
      </c>
      <c r="I385">
        <f>[2]TongHop!I385</f>
        <v>0</v>
      </c>
      <c r="J385">
        <f>[2]TongHop!J385</f>
        <v>0</v>
      </c>
      <c r="K385">
        <f>[2]TongHop!K385</f>
        <v>0</v>
      </c>
      <c r="L385">
        <f>[2]TongHop!L385</f>
        <v>0</v>
      </c>
      <c r="M385">
        <f>[2]TongHop!M385</f>
        <v>0</v>
      </c>
      <c r="N385">
        <f>[2]TongHop!N385</f>
        <v>0</v>
      </c>
    </row>
    <row r="386" spans="1:14">
      <c r="A386">
        <f>[2]TongHop!A386</f>
        <v>0</v>
      </c>
      <c r="B386">
        <f>[2]TongHop!B386</f>
        <v>0</v>
      </c>
      <c r="C386">
        <f>[2]TongHop!C386</f>
        <v>0</v>
      </c>
      <c r="D386">
        <f>[2]TongHop!D386</f>
        <v>0</v>
      </c>
      <c r="E386">
        <f>[2]TongHop!E386</f>
        <v>0</v>
      </c>
      <c r="F386">
        <f>[2]TongHop!F386</f>
        <v>0</v>
      </c>
      <c r="G386">
        <f>[2]TongHop!G386</f>
        <v>0</v>
      </c>
      <c r="H386">
        <f>[2]TongHop!H386</f>
        <v>0</v>
      </c>
      <c r="I386">
        <f>[2]TongHop!I386</f>
        <v>0</v>
      </c>
      <c r="J386">
        <f>[2]TongHop!J386</f>
        <v>0</v>
      </c>
      <c r="K386">
        <f>[2]TongHop!K386</f>
        <v>0</v>
      </c>
      <c r="L386">
        <f>[2]TongHop!L386</f>
        <v>0</v>
      </c>
      <c r="M386">
        <f>[2]TongHop!M386</f>
        <v>0</v>
      </c>
      <c r="N386">
        <f>[2]TongHop!N386</f>
        <v>0</v>
      </c>
    </row>
    <row r="387" spans="1:14">
      <c r="A387">
        <f>[2]TongHop!A387</f>
        <v>0</v>
      </c>
      <c r="B387">
        <f>[2]TongHop!B387</f>
        <v>0</v>
      </c>
      <c r="C387">
        <f>[2]TongHop!C387</f>
        <v>0</v>
      </c>
      <c r="D387">
        <f>[2]TongHop!D387</f>
        <v>0</v>
      </c>
      <c r="E387">
        <f>[2]TongHop!E387</f>
        <v>0</v>
      </c>
      <c r="F387">
        <f>[2]TongHop!F387</f>
        <v>0</v>
      </c>
      <c r="G387">
        <f>[2]TongHop!G387</f>
        <v>0</v>
      </c>
      <c r="H387">
        <f>[2]TongHop!H387</f>
        <v>0</v>
      </c>
      <c r="I387">
        <f>[2]TongHop!I387</f>
        <v>0</v>
      </c>
      <c r="J387">
        <f>[2]TongHop!J387</f>
        <v>0</v>
      </c>
      <c r="K387">
        <f>[2]TongHop!K387</f>
        <v>0</v>
      </c>
      <c r="L387">
        <f>[2]TongHop!L387</f>
        <v>0</v>
      </c>
      <c r="M387">
        <f>[2]TongHop!M387</f>
        <v>0</v>
      </c>
      <c r="N387">
        <f>[2]TongHop!N387</f>
        <v>0</v>
      </c>
    </row>
    <row r="388" spans="1:14">
      <c r="A388">
        <f>[2]TongHop!A388</f>
        <v>0</v>
      </c>
      <c r="B388">
        <f>[2]TongHop!B388</f>
        <v>0</v>
      </c>
      <c r="C388">
        <f>[2]TongHop!C388</f>
        <v>0</v>
      </c>
      <c r="D388">
        <f>[2]TongHop!D388</f>
        <v>0</v>
      </c>
      <c r="E388">
        <f>[2]TongHop!E388</f>
        <v>0</v>
      </c>
      <c r="F388">
        <f>[2]TongHop!F388</f>
        <v>0</v>
      </c>
      <c r="G388">
        <f>[2]TongHop!G388</f>
        <v>0</v>
      </c>
      <c r="H388">
        <f>[2]TongHop!H388</f>
        <v>0</v>
      </c>
      <c r="I388">
        <f>[2]TongHop!I388</f>
        <v>0</v>
      </c>
      <c r="J388">
        <f>[2]TongHop!J388</f>
        <v>0</v>
      </c>
      <c r="K388">
        <f>[2]TongHop!K388</f>
        <v>0</v>
      </c>
      <c r="L388">
        <f>[2]TongHop!L388</f>
        <v>0</v>
      </c>
      <c r="M388">
        <f>[2]TongHop!M388</f>
        <v>0</v>
      </c>
      <c r="N388">
        <f>[2]TongHop!N388</f>
        <v>0</v>
      </c>
    </row>
    <row r="389" spans="1:14">
      <c r="A389">
        <f>[2]TongHop!A389</f>
        <v>0</v>
      </c>
      <c r="B389">
        <f>[2]TongHop!B389</f>
        <v>0</v>
      </c>
      <c r="C389">
        <f>[2]TongHop!C389</f>
        <v>0</v>
      </c>
      <c r="D389">
        <f>[2]TongHop!D389</f>
        <v>0</v>
      </c>
      <c r="E389">
        <f>[2]TongHop!E389</f>
        <v>0</v>
      </c>
      <c r="F389">
        <f>[2]TongHop!F389</f>
        <v>0</v>
      </c>
      <c r="G389">
        <f>[2]TongHop!G389</f>
        <v>0</v>
      </c>
      <c r="H389">
        <f>[2]TongHop!H389</f>
        <v>0</v>
      </c>
      <c r="I389">
        <f>[2]TongHop!I389</f>
        <v>0</v>
      </c>
      <c r="J389">
        <f>[2]TongHop!J389</f>
        <v>0</v>
      </c>
      <c r="K389">
        <f>[2]TongHop!K389</f>
        <v>0</v>
      </c>
      <c r="L389">
        <f>[2]TongHop!L389</f>
        <v>0</v>
      </c>
      <c r="M389">
        <f>[2]TongHop!M389</f>
        <v>0</v>
      </c>
      <c r="N389">
        <f>[2]TongHop!N389</f>
        <v>0</v>
      </c>
    </row>
    <row r="390" spans="1:14">
      <c r="A390">
        <f>[2]TongHop!A390</f>
        <v>0</v>
      </c>
      <c r="B390">
        <f>[2]TongHop!B390</f>
        <v>0</v>
      </c>
      <c r="C390">
        <f>[2]TongHop!C390</f>
        <v>0</v>
      </c>
      <c r="D390">
        <f>[2]TongHop!D390</f>
        <v>0</v>
      </c>
      <c r="E390">
        <f>[2]TongHop!E390</f>
        <v>0</v>
      </c>
      <c r="F390">
        <f>[2]TongHop!F390</f>
        <v>0</v>
      </c>
      <c r="G390">
        <f>[2]TongHop!G390</f>
        <v>0</v>
      </c>
      <c r="H390">
        <f>[2]TongHop!H390</f>
        <v>0</v>
      </c>
      <c r="I390">
        <f>[2]TongHop!I390</f>
        <v>0</v>
      </c>
      <c r="J390">
        <f>[2]TongHop!J390</f>
        <v>0</v>
      </c>
      <c r="K390">
        <f>[2]TongHop!K390</f>
        <v>0</v>
      </c>
      <c r="L390">
        <f>[2]TongHop!L390</f>
        <v>0</v>
      </c>
      <c r="M390">
        <f>[2]TongHop!M390</f>
        <v>0</v>
      </c>
      <c r="N390">
        <f>[2]TongHop!N390</f>
        <v>0</v>
      </c>
    </row>
    <row r="391" spans="1:14">
      <c r="A391">
        <f>[2]TongHop!A391</f>
        <v>0</v>
      </c>
      <c r="B391">
        <f>[2]TongHop!B391</f>
        <v>0</v>
      </c>
      <c r="C391">
        <f>[2]TongHop!C391</f>
        <v>0</v>
      </c>
      <c r="D391">
        <f>[2]TongHop!D391</f>
        <v>0</v>
      </c>
      <c r="E391">
        <f>[2]TongHop!E391</f>
        <v>0</v>
      </c>
      <c r="F391">
        <f>[2]TongHop!F391</f>
        <v>0</v>
      </c>
      <c r="G391">
        <f>[2]TongHop!G391</f>
        <v>0</v>
      </c>
      <c r="H391">
        <f>[2]TongHop!H391</f>
        <v>0</v>
      </c>
      <c r="I391">
        <f>[2]TongHop!I391</f>
        <v>0</v>
      </c>
      <c r="J391">
        <f>[2]TongHop!J391</f>
        <v>0</v>
      </c>
      <c r="K391">
        <f>[2]TongHop!K391</f>
        <v>0</v>
      </c>
      <c r="L391">
        <f>[2]TongHop!L391</f>
        <v>0</v>
      </c>
      <c r="M391">
        <f>[2]TongHop!M391</f>
        <v>0</v>
      </c>
      <c r="N391">
        <f>[2]TongHop!N391</f>
        <v>0</v>
      </c>
    </row>
    <row r="392" spans="1:14">
      <c r="A392">
        <f>[2]TongHop!A392</f>
        <v>0</v>
      </c>
      <c r="B392">
        <f>[2]TongHop!B392</f>
        <v>0</v>
      </c>
      <c r="C392">
        <f>[2]TongHop!C392</f>
        <v>0</v>
      </c>
      <c r="D392">
        <f>[2]TongHop!D392</f>
        <v>0</v>
      </c>
      <c r="E392">
        <f>[2]TongHop!E392</f>
        <v>0</v>
      </c>
      <c r="F392">
        <f>[2]TongHop!F392</f>
        <v>0</v>
      </c>
      <c r="G392">
        <f>[2]TongHop!G392</f>
        <v>0</v>
      </c>
      <c r="H392">
        <f>[2]TongHop!H392</f>
        <v>0</v>
      </c>
      <c r="I392">
        <f>[2]TongHop!I392</f>
        <v>0</v>
      </c>
      <c r="J392">
        <f>[2]TongHop!J392</f>
        <v>0</v>
      </c>
      <c r="K392">
        <f>[2]TongHop!K392</f>
        <v>0</v>
      </c>
      <c r="L392">
        <f>[2]TongHop!L392</f>
        <v>0</v>
      </c>
      <c r="M392">
        <f>[2]TongHop!M392</f>
        <v>0</v>
      </c>
      <c r="N392">
        <f>[2]TongHop!N392</f>
        <v>0</v>
      </c>
    </row>
    <row r="393" spans="1:14">
      <c r="A393">
        <f>[2]TongHop!A393</f>
        <v>0</v>
      </c>
      <c r="B393">
        <f>[2]TongHop!B393</f>
        <v>0</v>
      </c>
      <c r="C393">
        <f>[2]TongHop!C393</f>
        <v>0</v>
      </c>
      <c r="D393">
        <f>[2]TongHop!D393</f>
        <v>0</v>
      </c>
      <c r="E393">
        <f>[2]TongHop!E393</f>
        <v>0</v>
      </c>
      <c r="F393">
        <f>[2]TongHop!F393</f>
        <v>0</v>
      </c>
      <c r="G393">
        <f>[2]TongHop!G393</f>
        <v>0</v>
      </c>
      <c r="H393">
        <f>[2]TongHop!H393</f>
        <v>0</v>
      </c>
      <c r="I393">
        <f>[2]TongHop!I393</f>
        <v>0</v>
      </c>
      <c r="J393">
        <f>[2]TongHop!J393</f>
        <v>0</v>
      </c>
      <c r="K393">
        <f>[2]TongHop!K393</f>
        <v>0</v>
      </c>
      <c r="L393">
        <f>[2]TongHop!L393</f>
        <v>0</v>
      </c>
      <c r="M393">
        <f>[2]TongHop!M393</f>
        <v>0</v>
      </c>
      <c r="N393">
        <f>[2]TongHop!N393</f>
        <v>0</v>
      </c>
    </row>
    <row r="394" spans="1:14">
      <c r="A394">
        <f>[2]TongHop!A394</f>
        <v>0</v>
      </c>
      <c r="B394">
        <f>[2]TongHop!B394</f>
        <v>0</v>
      </c>
      <c r="C394">
        <f>[2]TongHop!C394</f>
        <v>0</v>
      </c>
      <c r="D394">
        <f>[2]TongHop!D394</f>
        <v>0</v>
      </c>
      <c r="E394">
        <f>[2]TongHop!E394</f>
        <v>0</v>
      </c>
      <c r="F394">
        <f>[2]TongHop!F394</f>
        <v>0</v>
      </c>
      <c r="G394">
        <f>[2]TongHop!G394</f>
        <v>0</v>
      </c>
      <c r="H394">
        <f>[2]TongHop!H394</f>
        <v>0</v>
      </c>
      <c r="I394">
        <f>[2]TongHop!I394</f>
        <v>0</v>
      </c>
      <c r="J394">
        <f>[2]TongHop!J394</f>
        <v>0</v>
      </c>
      <c r="K394">
        <f>[2]TongHop!K394</f>
        <v>0</v>
      </c>
      <c r="L394">
        <f>[2]TongHop!L394</f>
        <v>0</v>
      </c>
      <c r="M394">
        <f>[2]TongHop!M394</f>
        <v>0</v>
      </c>
      <c r="N394">
        <f>[2]TongHop!N394</f>
        <v>0</v>
      </c>
    </row>
    <row r="395" spans="1:14">
      <c r="A395">
        <f>[2]TongHop!A395</f>
        <v>0</v>
      </c>
      <c r="B395">
        <f>[2]TongHop!B395</f>
        <v>0</v>
      </c>
      <c r="C395">
        <f>[2]TongHop!C395</f>
        <v>0</v>
      </c>
      <c r="D395">
        <f>[2]TongHop!D395</f>
        <v>0</v>
      </c>
      <c r="E395">
        <f>[2]TongHop!E395</f>
        <v>0</v>
      </c>
      <c r="F395">
        <f>[2]TongHop!F395</f>
        <v>0</v>
      </c>
      <c r="G395">
        <f>[2]TongHop!G395</f>
        <v>0</v>
      </c>
      <c r="H395">
        <f>[2]TongHop!H395</f>
        <v>0</v>
      </c>
      <c r="I395">
        <f>[2]TongHop!I395</f>
        <v>0</v>
      </c>
      <c r="J395">
        <f>[2]TongHop!J395</f>
        <v>0</v>
      </c>
      <c r="K395">
        <f>[2]TongHop!K395</f>
        <v>0</v>
      </c>
      <c r="L395">
        <f>[2]TongHop!L395</f>
        <v>0</v>
      </c>
      <c r="M395">
        <f>[2]TongHop!M395</f>
        <v>0</v>
      </c>
      <c r="N395">
        <f>[2]TongHop!N395</f>
        <v>0</v>
      </c>
    </row>
    <row r="396" spans="1:14">
      <c r="A396">
        <f>[2]TongHop!A396</f>
        <v>0</v>
      </c>
      <c r="B396">
        <f>[2]TongHop!B396</f>
        <v>0</v>
      </c>
      <c r="C396">
        <f>[2]TongHop!C396</f>
        <v>0</v>
      </c>
      <c r="D396">
        <f>[2]TongHop!D396</f>
        <v>0</v>
      </c>
      <c r="E396">
        <f>[2]TongHop!E396</f>
        <v>0</v>
      </c>
      <c r="F396">
        <f>[2]TongHop!F396</f>
        <v>0</v>
      </c>
      <c r="G396">
        <f>[2]TongHop!G396</f>
        <v>0</v>
      </c>
      <c r="H396">
        <f>[2]TongHop!H396</f>
        <v>0</v>
      </c>
      <c r="I396">
        <f>[2]TongHop!I396</f>
        <v>0</v>
      </c>
      <c r="J396">
        <f>[2]TongHop!J396</f>
        <v>0</v>
      </c>
      <c r="K396">
        <f>[2]TongHop!K396</f>
        <v>0</v>
      </c>
      <c r="L396">
        <f>[2]TongHop!L396</f>
        <v>0</v>
      </c>
      <c r="M396">
        <f>[2]TongHop!M396</f>
        <v>0</v>
      </c>
      <c r="N396">
        <f>[2]TongHop!N396</f>
        <v>0</v>
      </c>
    </row>
    <row r="397" spans="1:14">
      <c r="A397">
        <f>[2]TongHop!A397</f>
        <v>0</v>
      </c>
      <c r="B397">
        <f>[2]TongHop!B397</f>
        <v>0</v>
      </c>
      <c r="C397">
        <f>[2]TongHop!C397</f>
        <v>0</v>
      </c>
      <c r="D397">
        <f>[2]TongHop!D397</f>
        <v>0</v>
      </c>
      <c r="E397">
        <f>[2]TongHop!E397</f>
        <v>0</v>
      </c>
      <c r="F397">
        <f>[2]TongHop!F397</f>
        <v>0</v>
      </c>
      <c r="G397">
        <f>[2]TongHop!G397</f>
        <v>0</v>
      </c>
      <c r="H397">
        <f>[2]TongHop!H397</f>
        <v>0</v>
      </c>
      <c r="I397">
        <f>[2]TongHop!I397</f>
        <v>0</v>
      </c>
      <c r="J397">
        <f>[2]TongHop!J397</f>
        <v>0</v>
      </c>
      <c r="K397">
        <f>[2]TongHop!K397</f>
        <v>0</v>
      </c>
      <c r="L397">
        <f>[2]TongHop!L397</f>
        <v>0</v>
      </c>
      <c r="M397">
        <f>[2]TongHop!M397</f>
        <v>0</v>
      </c>
      <c r="N397">
        <f>[2]TongHop!N397</f>
        <v>0</v>
      </c>
    </row>
    <row r="398" spans="1:14">
      <c r="A398">
        <f>[2]TongHop!A398</f>
        <v>0</v>
      </c>
      <c r="B398">
        <f>[2]TongHop!B398</f>
        <v>0</v>
      </c>
      <c r="C398">
        <f>[2]TongHop!C398</f>
        <v>0</v>
      </c>
      <c r="D398">
        <f>[2]TongHop!D398</f>
        <v>0</v>
      </c>
      <c r="E398">
        <f>[2]TongHop!E398</f>
        <v>0</v>
      </c>
      <c r="F398">
        <f>[2]TongHop!F398</f>
        <v>0</v>
      </c>
      <c r="G398">
        <f>[2]TongHop!G398</f>
        <v>0</v>
      </c>
      <c r="H398">
        <f>[2]TongHop!H398</f>
        <v>0</v>
      </c>
      <c r="I398">
        <f>[2]TongHop!I398</f>
        <v>0</v>
      </c>
      <c r="J398">
        <f>[2]TongHop!J398</f>
        <v>0</v>
      </c>
      <c r="K398">
        <f>[2]TongHop!K398</f>
        <v>0</v>
      </c>
      <c r="L398">
        <f>[2]TongHop!L398</f>
        <v>0</v>
      </c>
      <c r="M398">
        <f>[2]TongHop!M398</f>
        <v>0</v>
      </c>
      <c r="N398">
        <f>[2]TongHop!N398</f>
        <v>0</v>
      </c>
    </row>
    <row r="399" spans="1:14">
      <c r="A399">
        <f>[2]TongHop!A399</f>
        <v>0</v>
      </c>
      <c r="B399">
        <f>[2]TongHop!B399</f>
        <v>0</v>
      </c>
      <c r="C399">
        <f>[2]TongHop!C399</f>
        <v>0</v>
      </c>
      <c r="D399">
        <f>[2]TongHop!D399</f>
        <v>0</v>
      </c>
      <c r="E399">
        <f>[2]TongHop!E399</f>
        <v>0</v>
      </c>
      <c r="F399">
        <f>[2]TongHop!F399</f>
        <v>0</v>
      </c>
      <c r="G399">
        <f>[2]TongHop!G399</f>
        <v>0</v>
      </c>
      <c r="H399">
        <f>[2]TongHop!H399</f>
        <v>0</v>
      </c>
      <c r="I399">
        <f>[2]TongHop!I399</f>
        <v>0</v>
      </c>
      <c r="J399">
        <f>[2]TongHop!J399</f>
        <v>0</v>
      </c>
      <c r="K399">
        <f>[2]TongHop!K399</f>
        <v>0</v>
      </c>
      <c r="L399">
        <f>[2]TongHop!L399</f>
        <v>0</v>
      </c>
      <c r="M399">
        <f>[2]TongHop!M399</f>
        <v>0</v>
      </c>
      <c r="N399">
        <f>[2]TongHop!N399</f>
        <v>0</v>
      </c>
    </row>
    <row r="400" spans="1:14">
      <c r="A400">
        <f>[2]TongHop!A400</f>
        <v>0</v>
      </c>
      <c r="B400">
        <f>[2]TongHop!B400</f>
        <v>0</v>
      </c>
      <c r="C400">
        <f>[2]TongHop!C400</f>
        <v>0</v>
      </c>
      <c r="D400">
        <f>[2]TongHop!D400</f>
        <v>0</v>
      </c>
      <c r="E400">
        <f>[2]TongHop!E400</f>
        <v>0</v>
      </c>
      <c r="F400">
        <f>[2]TongHop!F400</f>
        <v>0</v>
      </c>
      <c r="G400">
        <f>[2]TongHop!G400</f>
        <v>0</v>
      </c>
      <c r="H400">
        <f>[2]TongHop!H400</f>
        <v>0</v>
      </c>
      <c r="I400">
        <f>[2]TongHop!I400</f>
        <v>0</v>
      </c>
      <c r="J400">
        <f>[2]TongHop!J400</f>
        <v>0</v>
      </c>
      <c r="K400">
        <f>[2]TongHop!K400</f>
        <v>0</v>
      </c>
      <c r="L400">
        <f>[2]TongHop!L400</f>
        <v>0</v>
      </c>
      <c r="M400">
        <f>[2]TongHop!M400</f>
        <v>0</v>
      </c>
      <c r="N400">
        <f>[2]TongHop!N400</f>
        <v>0</v>
      </c>
    </row>
    <row r="401" spans="1:14">
      <c r="A401">
        <f>[2]TongHop!A401</f>
        <v>0</v>
      </c>
      <c r="B401">
        <f>[2]TongHop!B401</f>
        <v>0</v>
      </c>
      <c r="C401">
        <f>[2]TongHop!C401</f>
        <v>0</v>
      </c>
      <c r="D401">
        <f>[2]TongHop!D401</f>
        <v>0</v>
      </c>
      <c r="E401">
        <f>[2]TongHop!E401</f>
        <v>0</v>
      </c>
      <c r="F401">
        <f>[2]TongHop!F401</f>
        <v>0</v>
      </c>
      <c r="G401">
        <f>[2]TongHop!G401</f>
        <v>0</v>
      </c>
      <c r="H401">
        <f>[2]TongHop!H401</f>
        <v>0</v>
      </c>
      <c r="I401">
        <f>[2]TongHop!I401</f>
        <v>0</v>
      </c>
      <c r="J401">
        <f>[2]TongHop!J401</f>
        <v>0</v>
      </c>
      <c r="K401">
        <f>[2]TongHop!K401</f>
        <v>0</v>
      </c>
      <c r="L401">
        <f>[2]TongHop!L401</f>
        <v>0</v>
      </c>
      <c r="M401">
        <f>[2]TongHop!M401</f>
        <v>0</v>
      </c>
      <c r="N401">
        <f>[2]TongHop!N401</f>
        <v>0</v>
      </c>
    </row>
    <row r="402" spans="1:14">
      <c r="A402">
        <f>[2]TongHop!A402</f>
        <v>0</v>
      </c>
      <c r="B402">
        <f>[2]TongHop!B402</f>
        <v>0</v>
      </c>
      <c r="C402">
        <f>[2]TongHop!C402</f>
        <v>0</v>
      </c>
      <c r="D402">
        <f>[2]TongHop!D402</f>
        <v>0</v>
      </c>
      <c r="E402">
        <f>[2]TongHop!E402</f>
        <v>0</v>
      </c>
      <c r="F402">
        <f>[2]TongHop!F402</f>
        <v>0</v>
      </c>
      <c r="G402">
        <f>[2]TongHop!G402</f>
        <v>0</v>
      </c>
      <c r="H402">
        <f>[2]TongHop!H402</f>
        <v>0</v>
      </c>
      <c r="I402">
        <f>[2]TongHop!I402</f>
        <v>0</v>
      </c>
      <c r="J402">
        <f>[2]TongHop!J402</f>
        <v>0</v>
      </c>
      <c r="K402">
        <f>[2]TongHop!K402</f>
        <v>0</v>
      </c>
      <c r="L402">
        <f>[2]TongHop!L402</f>
        <v>0</v>
      </c>
      <c r="M402">
        <f>[2]TongHop!M402</f>
        <v>0</v>
      </c>
      <c r="N402">
        <f>[2]TongHop!N402</f>
        <v>0</v>
      </c>
    </row>
    <row r="403" spans="1:14">
      <c r="A403">
        <f>[2]TongHop!A403</f>
        <v>0</v>
      </c>
      <c r="B403">
        <f>[2]TongHop!B403</f>
        <v>0</v>
      </c>
      <c r="C403">
        <f>[2]TongHop!C403</f>
        <v>0</v>
      </c>
      <c r="D403">
        <f>[2]TongHop!D403</f>
        <v>0</v>
      </c>
      <c r="E403">
        <f>[2]TongHop!E403</f>
        <v>0</v>
      </c>
      <c r="F403">
        <f>[2]TongHop!F403</f>
        <v>0</v>
      </c>
      <c r="G403">
        <f>[2]TongHop!G403</f>
        <v>0</v>
      </c>
      <c r="H403">
        <f>[2]TongHop!H403</f>
        <v>0</v>
      </c>
      <c r="I403">
        <f>[2]TongHop!I403</f>
        <v>0</v>
      </c>
      <c r="J403">
        <f>[2]TongHop!J403</f>
        <v>0</v>
      </c>
      <c r="K403">
        <f>[2]TongHop!K403</f>
        <v>0</v>
      </c>
      <c r="L403">
        <f>[2]TongHop!L403</f>
        <v>0</v>
      </c>
      <c r="M403">
        <f>[2]TongHop!M403</f>
        <v>0</v>
      </c>
      <c r="N403">
        <f>[2]TongHop!N403</f>
        <v>0</v>
      </c>
    </row>
    <row r="404" spans="1:14">
      <c r="A404">
        <f>[2]TongHop!A404</f>
        <v>0</v>
      </c>
      <c r="B404">
        <f>[2]TongHop!B404</f>
        <v>0</v>
      </c>
      <c r="C404">
        <f>[2]TongHop!C404</f>
        <v>0</v>
      </c>
      <c r="D404">
        <f>[2]TongHop!D404</f>
        <v>0</v>
      </c>
      <c r="E404">
        <f>[2]TongHop!E404</f>
        <v>0</v>
      </c>
      <c r="F404">
        <f>[2]TongHop!F404</f>
        <v>0</v>
      </c>
      <c r="G404">
        <f>[2]TongHop!G404</f>
        <v>0</v>
      </c>
      <c r="H404">
        <f>[2]TongHop!H404</f>
        <v>0</v>
      </c>
      <c r="I404">
        <f>[2]TongHop!I404</f>
        <v>0</v>
      </c>
      <c r="J404">
        <f>[2]TongHop!J404</f>
        <v>0</v>
      </c>
      <c r="K404">
        <f>[2]TongHop!K404</f>
        <v>0</v>
      </c>
      <c r="L404">
        <f>[2]TongHop!L404</f>
        <v>0</v>
      </c>
      <c r="M404">
        <f>[2]TongHop!M404</f>
        <v>0</v>
      </c>
      <c r="N404">
        <f>[2]TongHop!N404</f>
        <v>0</v>
      </c>
    </row>
    <row r="405" spans="1:14">
      <c r="A405">
        <f>[2]TongHop!A405</f>
        <v>0</v>
      </c>
      <c r="B405">
        <f>[2]TongHop!B405</f>
        <v>0</v>
      </c>
      <c r="C405">
        <f>[2]TongHop!C405</f>
        <v>0</v>
      </c>
      <c r="D405">
        <f>[2]TongHop!D405</f>
        <v>0</v>
      </c>
      <c r="E405">
        <f>[2]TongHop!E405</f>
        <v>0</v>
      </c>
      <c r="F405">
        <f>[2]TongHop!F405</f>
        <v>0</v>
      </c>
      <c r="G405">
        <f>[2]TongHop!G405</f>
        <v>0</v>
      </c>
      <c r="H405">
        <f>[2]TongHop!H405</f>
        <v>0</v>
      </c>
      <c r="I405">
        <f>[2]TongHop!I405</f>
        <v>0</v>
      </c>
      <c r="J405">
        <f>[2]TongHop!J405</f>
        <v>0</v>
      </c>
      <c r="K405">
        <f>[2]TongHop!K405</f>
        <v>0</v>
      </c>
      <c r="L405">
        <f>[2]TongHop!L405</f>
        <v>0</v>
      </c>
      <c r="M405">
        <f>[2]TongHop!M405</f>
        <v>0</v>
      </c>
      <c r="N405">
        <f>[2]TongHop!N405</f>
        <v>0</v>
      </c>
    </row>
    <row r="406" spans="1:14">
      <c r="A406">
        <f>[2]TongHop!A406</f>
        <v>0</v>
      </c>
      <c r="B406">
        <f>[2]TongHop!B406</f>
        <v>0</v>
      </c>
      <c r="C406">
        <f>[2]TongHop!C406</f>
        <v>0</v>
      </c>
      <c r="D406">
        <f>[2]TongHop!D406</f>
        <v>0</v>
      </c>
      <c r="E406">
        <f>[2]TongHop!E406</f>
        <v>0</v>
      </c>
      <c r="F406">
        <f>[2]TongHop!F406</f>
        <v>0</v>
      </c>
      <c r="G406">
        <f>[2]TongHop!G406</f>
        <v>0</v>
      </c>
      <c r="H406">
        <f>[2]TongHop!H406</f>
        <v>0</v>
      </c>
      <c r="I406">
        <f>[2]TongHop!I406</f>
        <v>0</v>
      </c>
      <c r="J406">
        <f>[2]TongHop!J406</f>
        <v>0</v>
      </c>
      <c r="K406">
        <f>[2]TongHop!K406</f>
        <v>0</v>
      </c>
      <c r="L406">
        <f>[2]TongHop!L406</f>
        <v>0</v>
      </c>
      <c r="M406">
        <f>[2]TongHop!M406</f>
        <v>0</v>
      </c>
      <c r="N406">
        <f>[2]TongHop!N406</f>
        <v>0</v>
      </c>
    </row>
    <row r="407" spans="1:14">
      <c r="A407">
        <f>[2]TongHop!A407</f>
        <v>0</v>
      </c>
      <c r="B407">
        <f>[2]TongHop!B407</f>
        <v>0</v>
      </c>
      <c r="C407">
        <f>[2]TongHop!C407</f>
        <v>0</v>
      </c>
      <c r="D407">
        <f>[2]TongHop!D407</f>
        <v>0</v>
      </c>
      <c r="E407">
        <f>[2]TongHop!E407</f>
        <v>0</v>
      </c>
      <c r="F407">
        <f>[2]TongHop!F407</f>
        <v>0</v>
      </c>
      <c r="G407">
        <f>[2]TongHop!G407</f>
        <v>0</v>
      </c>
      <c r="H407">
        <f>[2]TongHop!H407</f>
        <v>0</v>
      </c>
      <c r="I407">
        <f>[2]TongHop!I407</f>
        <v>0</v>
      </c>
      <c r="J407">
        <f>[2]TongHop!J407</f>
        <v>0</v>
      </c>
      <c r="K407">
        <f>[2]TongHop!K407</f>
        <v>0</v>
      </c>
      <c r="L407">
        <f>[2]TongHop!L407</f>
        <v>0</v>
      </c>
      <c r="M407">
        <f>[2]TongHop!M407</f>
        <v>0</v>
      </c>
      <c r="N407">
        <f>[2]TongHop!N407</f>
        <v>0</v>
      </c>
    </row>
    <row r="408" spans="1:14">
      <c r="A408">
        <f>[2]TongHop!A408</f>
        <v>0</v>
      </c>
      <c r="B408">
        <f>[2]TongHop!B408</f>
        <v>0</v>
      </c>
      <c r="C408">
        <f>[2]TongHop!C408</f>
        <v>0</v>
      </c>
      <c r="D408">
        <f>[2]TongHop!D408</f>
        <v>0</v>
      </c>
      <c r="E408">
        <f>[2]TongHop!E408</f>
        <v>0</v>
      </c>
      <c r="F408">
        <f>[2]TongHop!F408</f>
        <v>0</v>
      </c>
      <c r="G408">
        <f>[2]TongHop!G408</f>
        <v>0</v>
      </c>
      <c r="H408">
        <f>[2]TongHop!H408</f>
        <v>0</v>
      </c>
      <c r="I408">
        <f>[2]TongHop!I408</f>
        <v>0</v>
      </c>
      <c r="J408">
        <f>[2]TongHop!J408</f>
        <v>0</v>
      </c>
      <c r="K408">
        <f>[2]TongHop!K408</f>
        <v>0</v>
      </c>
      <c r="L408">
        <f>[2]TongHop!L408</f>
        <v>0</v>
      </c>
      <c r="M408">
        <f>[2]TongHop!M408</f>
        <v>0</v>
      </c>
      <c r="N408">
        <f>[2]TongHop!N408</f>
        <v>0</v>
      </c>
    </row>
    <row r="409" spans="1:14">
      <c r="A409">
        <f>[2]TongHop!A409</f>
        <v>0</v>
      </c>
      <c r="B409">
        <f>[2]TongHop!B409</f>
        <v>0</v>
      </c>
      <c r="C409">
        <f>[2]TongHop!C409</f>
        <v>0</v>
      </c>
      <c r="D409">
        <f>[2]TongHop!D409</f>
        <v>0</v>
      </c>
      <c r="E409">
        <f>[2]TongHop!E409</f>
        <v>0</v>
      </c>
      <c r="F409">
        <f>[2]TongHop!F409</f>
        <v>0</v>
      </c>
      <c r="G409">
        <f>[2]TongHop!G409</f>
        <v>0</v>
      </c>
      <c r="H409">
        <f>[2]TongHop!H409</f>
        <v>0</v>
      </c>
      <c r="I409">
        <f>[2]TongHop!I409</f>
        <v>0</v>
      </c>
      <c r="J409">
        <f>[2]TongHop!J409</f>
        <v>0</v>
      </c>
      <c r="K409">
        <f>[2]TongHop!K409</f>
        <v>0</v>
      </c>
      <c r="L409">
        <f>[2]TongHop!L409</f>
        <v>0</v>
      </c>
      <c r="M409">
        <f>[2]TongHop!M409</f>
        <v>0</v>
      </c>
      <c r="N409">
        <f>[2]TongHop!N409</f>
        <v>0</v>
      </c>
    </row>
    <row r="410" spans="1:14">
      <c r="A410">
        <f>[2]TongHop!A410</f>
        <v>0</v>
      </c>
      <c r="B410">
        <f>[2]TongHop!B410</f>
        <v>0</v>
      </c>
      <c r="C410">
        <f>[2]TongHop!C410</f>
        <v>0</v>
      </c>
      <c r="D410">
        <f>[2]TongHop!D410</f>
        <v>0</v>
      </c>
      <c r="E410">
        <f>[2]TongHop!E410</f>
        <v>0</v>
      </c>
      <c r="F410">
        <f>[2]TongHop!F410</f>
        <v>0</v>
      </c>
      <c r="G410">
        <f>[2]TongHop!G410</f>
        <v>0</v>
      </c>
      <c r="H410">
        <f>[2]TongHop!H410</f>
        <v>0</v>
      </c>
      <c r="I410">
        <f>[2]TongHop!I410</f>
        <v>0</v>
      </c>
      <c r="J410">
        <f>[2]TongHop!J410</f>
        <v>0</v>
      </c>
      <c r="K410">
        <f>[2]TongHop!K410</f>
        <v>0</v>
      </c>
      <c r="L410">
        <f>[2]TongHop!L410</f>
        <v>0</v>
      </c>
      <c r="M410">
        <f>[2]TongHop!M410</f>
        <v>0</v>
      </c>
      <c r="N410">
        <f>[2]TongHop!N410</f>
        <v>0</v>
      </c>
    </row>
    <row r="411" spans="1:14">
      <c r="A411">
        <f>[2]TongHop!A411</f>
        <v>0</v>
      </c>
      <c r="B411">
        <f>[2]TongHop!B411</f>
        <v>0</v>
      </c>
      <c r="C411">
        <f>[2]TongHop!C411</f>
        <v>0</v>
      </c>
      <c r="D411">
        <f>[2]TongHop!D411</f>
        <v>0</v>
      </c>
      <c r="E411">
        <f>[2]TongHop!E411</f>
        <v>0</v>
      </c>
      <c r="F411">
        <f>[2]TongHop!F411</f>
        <v>0</v>
      </c>
      <c r="G411">
        <f>[2]TongHop!G411</f>
        <v>0</v>
      </c>
      <c r="H411">
        <f>[2]TongHop!H411</f>
        <v>0</v>
      </c>
      <c r="I411">
        <f>[2]TongHop!I411</f>
        <v>0</v>
      </c>
      <c r="J411">
        <f>[2]TongHop!J411</f>
        <v>0</v>
      </c>
      <c r="K411">
        <f>[2]TongHop!K411</f>
        <v>0</v>
      </c>
      <c r="L411">
        <f>[2]TongHop!L411</f>
        <v>0</v>
      </c>
      <c r="M411">
        <f>[2]TongHop!M411</f>
        <v>0</v>
      </c>
      <c r="N411">
        <f>[2]TongHop!N411</f>
        <v>0</v>
      </c>
    </row>
    <row r="412" spans="1:14">
      <c r="A412">
        <f>[2]TongHop!A412</f>
        <v>0</v>
      </c>
      <c r="B412">
        <f>[2]TongHop!B412</f>
        <v>0</v>
      </c>
      <c r="C412">
        <f>[2]TongHop!C412</f>
        <v>0</v>
      </c>
      <c r="D412">
        <f>[2]TongHop!D412</f>
        <v>0</v>
      </c>
      <c r="E412">
        <f>[2]TongHop!E412</f>
        <v>0</v>
      </c>
      <c r="F412">
        <f>[2]TongHop!F412</f>
        <v>0</v>
      </c>
      <c r="G412">
        <f>[2]TongHop!G412</f>
        <v>0</v>
      </c>
      <c r="H412">
        <f>[2]TongHop!H412</f>
        <v>0</v>
      </c>
      <c r="I412">
        <f>[2]TongHop!I412</f>
        <v>0</v>
      </c>
      <c r="J412">
        <f>[2]TongHop!J412</f>
        <v>0</v>
      </c>
      <c r="K412">
        <f>[2]TongHop!K412</f>
        <v>0</v>
      </c>
      <c r="L412">
        <f>[2]TongHop!L412</f>
        <v>0</v>
      </c>
      <c r="M412">
        <f>[2]TongHop!M412</f>
        <v>0</v>
      </c>
      <c r="N412">
        <f>[2]TongHop!N412</f>
        <v>0</v>
      </c>
    </row>
    <row r="413" spans="1:14">
      <c r="A413">
        <f>[2]TongHop!A413</f>
        <v>0</v>
      </c>
      <c r="B413">
        <f>[2]TongHop!B413</f>
        <v>0</v>
      </c>
      <c r="C413">
        <f>[2]TongHop!C413</f>
        <v>0</v>
      </c>
      <c r="D413">
        <f>[2]TongHop!D413</f>
        <v>0</v>
      </c>
      <c r="E413">
        <f>[2]TongHop!E413</f>
        <v>0</v>
      </c>
      <c r="F413">
        <f>[2]TongHop!F413</f>
        <v>0</v>
      </c>
      <c r="G413">
        <f>[2]TongHop!G413</f>
        <v>0</v>
      </c>
      <c r="H413">
        <f>[2]TongHop!H413</f>
        <v>0</v>
      </c>
      <c r="I413">
        <f>[2]TongHop!I413</f>
        <v>0</v>
      </c>
      <c r="J413">
        <f>[2]TongHop!J413</f>
        <v>0</v>
      </c>
      <c r="K413">
        <f>[2]TongHop!K413</f>
        <v>0</v>
      </c>
      <c r="L413">
        <f>[2]TongHop!L413</f>
        <v>0</v>
      </c>
      <c r="M413">
        <f>[2]TongHop!M413</f>
        <v>0</v>
      </c>
      <c r="N413">
        <f>[2]TongHop!N413</f>
        <v>0</v>
      </c>
    </row>
    <row r="414" spans="1:14">
      <c r="A414">
        <f>[2]TongHop!A414</f>
        <v>0</v>
      </c>
      <c r="B414">
        <f>[2]TongHop!B414</f>
        <v>0</v>
      </c>
      <c r="C414">
        <f>[2]TongHop!C414</f>
        <v>0</v>
      </c>
      <c r="D414">
        <f>[2]TongHop!D414</f>
        <v>0</v>
      </c>
      <c r="E414">
        <f>[2]TongHop!E414</f>
        <v>0</v>
      </c>
      <c r="F414">
        <f>[2]TongHop!F414</f>
        <v>0</v>
      </c>
      <c r="G414">
        <f>[2]TongHop!G414</f>
        <v>0</v>
      </c>
      <c r="H414">
        <f>[2]TongHop!H414</f>
        <v>0</v>
      </c>
      <c r="I414">
        <f>[2]TongHop!I414</f>
        <v>0</v>
      </c>
      <c r="J414">
        <f>[2]TongHop!J414</f>
        <v>0</v>
      </c>
      <c r="K414">
        <f>[2]TongHop!K414</f>
        <v>0</v>
      </c>
      <c r="L414">
        <f>[2]TongHop!L414</f>
        <v>0</v>
      </c>
      <c r="M414">
        <f>[2]TongHop!M414</f>
        <v>0</v>
      </c>
      <c r="N414">
        <f>[2]TongHop!N414</f>
        <v>0</v>
      </c>
    </row>
    <row r="415" spans="1:14">
      <c r="A415">
        <f>[2]TongHop!A415</f>
        <v>0</v>
      </c>
      <c r="B415">
        <f>[2]TongHop!B415</f>
        <v>0</v>
      </c>
      <c r="C415">
        <f>[2]TongHop!C415</f>
        <v>0</v>
      </c>
      <c r="D415">
        <f>[2]TongHop!D415</f>
        <v>0</v>
      </c>
      <c r="E415">
        <f>[2]TongHop!E415</f>
        <v>0</v>
      </c>
      <c r="F415">
        <f>[2]TongHop!F415</f>
        <v>0</v>
      </c>
      <c r="G415">
        <f>[2]TongHop!G415</f>
        <v>0</v>
      </c>
      <c r="H415">
        <f>[2]TongHop!H415</f>
        <v>0</v>
      </c>
      <c r="I415">
        <f>[2]TongHop!I415</f>
        <v>0</v>
      </c>
      <c r="J415">
        <f>[2]TongHop!J415</f>
        <v>0</v>
      </c>
      <c r="K415">
        <f>[2]TongHop!K415</f>
        <v>0</v>
      </c>
      <c r="L415">
        <f>[2]TongHop!L415</f>
        <v>0</v>
      </c>
      <c r="M415">
        <f>[2]TongHop!M415</f>
        <v>0</v>
      </c>
      <c r="N415">
        <f>[2]TongHop!N415</f>
        <v>0</v>
      </c>
    </row>
    <row r="416" spans="1:14">
      <c r="A416">
        <f>[2]TongHop!A416</f>
        <v>0</v>
      </c>
      <c r="B416">
        <f>[2]TongHop!B416</f>
        <v>0</v>
      </c>
      <c r="C416">
        <f>[2]TongHop!C416</f>
        <v>0</v>
      </c>
      <c r="D416">
        <f>[2]TongHop!D416</f>
        <v>0</v>
      </c>
      <c r="E416">
        <f>[2]TongHop!E416</f>
        <v>0</v>
      </c>
      <c r="F416">
        <f>[2]TongHop!F416</f>
        <v>0</v>
      </c>
      <c r="G416">
        <f>[2]TongHop!G416</f>
        <v>0</v>
      </c>
      <c r="H416">
        <f>[2]TongHop!H416</f>
        <v>0</v>
      </c>
      <c r="I416">
        <f>[2]TongHop!I416</f>
        <v>0</v>
      </c>
      <c r="J416">
        <f>[2]TongHop!J416</f>
        <v>0</v>
      </c>
      <c r="K416">
        <f>[2]TongHop!K416</f>
        <v>0</v>
      </c>
      <c r="L416">
        <f>[2]TongHop!L416</f>
        <v>0</v>
      </c>
      <c r="M416">
        <f>[2]TongHop!M416</f>
        <v>0</v>
      </c>
      <c r="N416">
        <f>[2]TongHop!N416</f>
        <v>0</v>
      </c>
    </row>
    <row r="417" spans="1:14">
      <c r="A417">
        <f>[2]TongHop!A417</f>
        <v>0</v>
      </c>
      <c r="B417">
        <f>[2]TongHop!B417</f>
        <v>0</v>
      </c>
      <c r="C417">
        <f>[2]TongHop!C417</f>
        <v>0</v>
      </c>
      <c r="D417">
        <f>[2]TongHop!D417</f>
        <v>0</v>
      </c>
      <c r="E417">
        <f>[2]TongHop!E417</f>
        <v>0</v>
      </c>
      <c r="F417">
        <f>[2]TongHop!F417</f>
        <v>0</v>
      </c>
      <c r="G417">
        <f>[2]TongHop!G417</f>
        <v>0</v>
      </c>
      <c r="H417">
        <f>[2]TongHop!H417</f>
        <v>0</v>
      </c>
      <c r="I417">
        <f>[2]TongHop!I417</f>
        <v>0</v>
      </c>
      <c r="J417">
        <f>[2]TongHop!J417</f>
        <v>0</v>
      </c>
      <c r="K417">
        <f>[2]TongHop!K417</f>
        <v>0</v>
      </c>
      <c r="L417">
        <f>[2]TongHop!L417</f>
        <v>0</v>
      </c>
      <c r="M417">
        <f>[2]TongHop!M417</f>
        <v>0</v>
      </c>
      <c r="N417">
        <f>[2]TongHop!N417</f>
        <v>0</v>
      </c>
    </row>
    <row r="418" spans="1:14">
      <c r="A418">
        <f>[2]TongHop!A418</f>
        <v>0</v>
      </c>
      <c r="B418">
        <f>[2]TongHop!B418</f>
        <v>0</v>
      </c>
      <c r="C418">
        <f>[2]TongHop!C418</f>
        <v>0</v>
      </c>
      <c r="D418">
        <f>[2]TongHop!D418</f>
        <v>0</v>
      </c>
      <c r="E418">
        <f>[2]TongHop!E418</f>
        <v>0</v>
      </c>
      <c r="F418">
        <f>[2]TongHop!F418</f>
        <v>0</v>
      </c>
      <c r="G418">
        <f>[2]TongHop!G418</f>
        <v>0</v>
      </c>
      <c r="H418">
        <f>[2]TongHop!H418</f>
        <v>0</v>
      </c>
      <c r="I418">
        <f>[2]TongHop!I418</f>
        <v>0</v>
      </c>
      <c r="J418">
        <f>[2]TongHop!J418</f>
        <v>0</v>
      </c>
      <c r="K418">
        <f>[2]TongHop!K418</f>
        <v>0</v>
      </c>
      <c r="L418">
        <f>[2]TongHop!L418</f>
        <v>0</v>
      </c>
      <c r="M418">
        <f>[2]TongHop!M418</f>
        <v>0</v>
      </c>
      <c r="N418">
        <f>[2]TongHop!N418</f>
        <v>0</v>
      </c>
    </row>
    <row r="419" spans="1:14">
      <c r="A419">
        <f>[2]TongHop!A419</f>
        <v>0</v>
      </c>
      <c r="B419">
        <f>[2]TongHop!B419</f>
        <v>0</v>
      </c>
      <c r="C419">
        <f>[2]TongHop!C419</f>
        <v>0</v>
      </c>
      <c r="D419">
        <f>[2]TongHop!D419</f>
        <v>0</v>
      </c>
      <c r="E419">
        <f>[2]TongHop!E419</f>
        <v>0</v>
      </c>
      <c r="F419">
        <f>[2]TongHop!F419</f>
        <v>0</v>
      </c>
      <c r="G419">
        <f>[2]TongHop!G419</f>
        <v>0</v>
      </c>
      <c r="H419">
        <f>[2]TongHop!H419</f>
        <v>0</v>
      </c>
      <c r="I419">
        <f>[2]TongHop!I419</f>
        <v>0</v>
      </c>
      <c r="J419">
        <f>[2]TongHop!J419</f>
        <v>0</v>
      </c>
      <c r="K419">
        <f>[2]TongHop!K419</f>
        <v>0</v>
      </c>
      <c r="L419">
        <f>[2]TongHop!L419</f>
        <v>0</v>
      </c>
      <c r="M419">
        <f>[2]TongHop!M419</f>
        <v>0</v>
      </c>
      <c r="N419">
        <f>[2]TongHop!N419</f>
        <v>0</v>
      </c>
    </row>
    <row r="420" spans="1:14">
      <c r="A420">
        <f>[2]TongHop!A420</f>
        <v>0</v>
      </c>
      <c r="B420">
        <f>[2]TongHop!B420</f>
        <v>0</v>
      </c>
      <c r="C420">
        <f>[2]TongHop!C420</f>
        <v>0</v>
      </c>
      <c r="D420">
        <f>[2]TongHop!D420</f>
        <v>0</v>
      </c>
      <c r="E420">
        <f>[2]TongHop!E420</f>
        <v>0</v>
      </c>
      <c r="F420">
        <f>[2]TongHop!F420</f>
        <v>0</v>
      </c>
      <c r="G420">
        <f>[2]TongHop!G420</f>
        <v>0</v>
      </c>
      <c r="H420">
        <f>[2]TongHop!H420</f>
        <v>0</v>
      </c>
      <c r="I420">
        <f>[2]TongHop!I420</f>
        <v>0</v>
      </c>
      <c r="J420">
        <f>[2]TongHop!J420</f>
        <v>0</v>
      </c>
      <c r="K420">
        <f>[2]TongHop!K420</f>
        <v>0</v>
      </c>
      <c r="L420">
        <f>[2]TongHop!L420</f>
        <v>0</v>
      </c>
      <c r="M420">
        <f>[2]TongHop!M420</f>
        <v>0</v>
      </c>
      <c r="N420">
        <f>[2]TongHop!N420</f>
        <v>0</v>
      </c>
    </row>
    <row r="421" spans="1:14">
      <c r="A421">
        <f>[2]TongHop!A421</f>
        <v>0</v>
      </c>
      <c r="B421">
        <f>[2]TongHop!B421</f>
        <v>0</v>
      </c>
      <c r="C421">
        <f>[2]TongHop!C421</f>
        <v>0</v>
      </c>
      <c r="D421">
        <f>[2]TongHop!D421</f>
        <v>0</v>
      </c>
      <c r="E421">
        <f>[2]TongHop!E421</f>
        <v>0</v>
      </c>
      <c r="F421">
        <f>[2]TongHop!F421</f>
        <v>0</v>
      </c>
      <c r="G421">
        <f>[2]TongHop!G421</f>
        <v>0</v>
      </c>
      <c r="H421">
        <f>[2]TongHop!H421</f>
        <v>0</v>
      </c>
      <c r="I421">
        <f>[2]TongHop!I421</f>
        <v>0</v>
      </c>
      <c r="J421">
        <f>[2]TongHop!J421</f>
        <v>0</v>
      </c>
      <c r="K421">
        <f>[2]TongHop!K421</f>
        <v>0</v>
      </c>
      <c r="L421">
        <f>[2]TongHop!L421</f>
        <v>0</v>
      </c>
      <c r="M421">
        <f>[2]TongHop!M421</f>
        <v>0</v>
      </c>
      <c r="N421">
        <f>[2]TongHop!N421</f>
        <v>0</v>
      </c>
    </row>
    <row r="422" spans="1:14">
      <c r="A422">
        <f>[2]TongHop!A422</f>
        <v>0</v>
      </c>
      <c r="B422">
        <f>[2]TongHop!B422</f>
        <v>0</v>
      </c>
      <c r="C422">
        <f>[2]TongHop!C422</f>
        <v>0</v>
      </c>
      <c r="D422">
        <f>[2]TongHop!D422</f>
        <v>0</v>
      </c>
      <c r="E422">
        <f>[2]TongHop!E422</f>
        <v>0</v>
      </c>
      <c r="F422">
        <f>[2]TongHop!F422</f>
        <v>0</v>
      </c>
      <c r="G422">
        <f>[2]TongHop!G422</f>
        <v>0</v>
      </c>
      <c r="H422">
        <f>[2]TongHop!H422</f>
        <v>0</v>
      </c>
      <c r="I422">
        <f>[2]TongHop!I422</f>
        <v>0</v>
      </c>
      <c r="J422">
        <f>[2]TongHop!J422</f>
        <v>0</v>
      </c>
      <c r="K422">
        <f>[2]TongHop!K422</f>
        <v>0</v>
      </c>
      <c r="L422">
        <f>[2]TongHop!L422</f>
        <v>0</v>
      </c>
      <c r="M422">
        <f>[2]TongHop!M422</f>
        <v>0</v>
      </c>
      <c r="N422">
        <f>[2]TongHop!N422</f>
        <v>0</v>
      </c>
    </row>
    <row r="423" spans="1:14">
      <c r="A423">
        <f>[2]TongHop!A423</f>
        <v>0</v>
      </c>
      <c r="B423">
        <f>[2]TongHop!B423</f>
        <v>0</v>
      </c>
      <c r="C423">
        <f>[2]TongHop!C423</f>
        <v>0</v>
      </c>
      <c r="D423">
        <f>[2]TongHop!D423</f>
        <v>0</v>
      </c>
      <c r="E423">
        <f>[2]TongHop!E423</f>
        <v>0</v>
      </c>
      <c r="F423">
        <f>[2]TongHop!F423</f>
        <v>0</v>
      </c>
      <c r="G423">
        <f>[2]TongHop!G423</f>
        <v>0</v>
      </c>
      <c r="H423">
        <f>[2]TongHop!H423</f>
        <v>0</v>
      </c>
      <c r="I423">
        <f>[2]TongHop!I423</f>
        <v>0</v>
      </c>
      <c r="J423">
        <f>[2]TongHop!J423</f>
        <v>0</v>
      </c>
      <c r="K423">
        <f>[2]TongHop!K423</f>
        <v>0</v>
      </c>
      <c r="L423">
        <f>[2]TongHop!L423</f>
        <v>0</v>
      </c>
      <c r="M423">
        <f>[2]TongHop!M423</f>
        <v>0</v>
      </c>
      <c r="N423">
        <f>[2]TongHop!N423</f>
        <v>0</v>
      </c>
    </row>
    <row r="424" spans="1:14">
      <c r="A424">
        <f>[2]TongHop!A424</f>
        <v>0</v>
      </c>
      <c r="B424">
        <f>[2]TongHop!B424</f>
        <v>0</v>
      </c>
      <c r="C424">
        <f>[2]TongHop!C424</f>
        <v>0</v>
      </c>
      <c r="D424">
        <f>[2]TongHop!D424</f>
        <v>0</v>
      </c>
      <c r="E424">
        <f>[2]TongHop!E424</f>
        <v>0</v>
      </c>
      <c r="F424">
        <f>[2]TongHop!F424</f>
        <v>0</v>
      </c>
      <c r="G424">
        <f>[2]TongHop!G424</f>
        <v>0</v>
      </c>
      <c r="H424">
        <f>[2]TongHop!H424</f>
        <v>0</v>
      </c>
      <c r="I424">
        <f>[2]TongHop!I424</f>
        <v>0</v>
      </c>
      <c r="J424">
        <f>[2]TongHop!J424</f>
        <v>0</v>
      </c>
      <c r="K424">
        <f>[2]TongHop!K424</f>
        <v>0</v>
      </c>
      <c r="L424">
        <f>[2]TongHop!L424</f>
        <v>0</v>
      </c>
      <c r="M424">
        <f>[2]TongHop!M424</f>
        <v>0</v>
      </c>
      <c r="N424">
        <f>[2]TongHop!N424</f>
        <v>0</v>
      </c>
    </row>
    <row r="425" spans="1:14">
      <c r="A425">
        <f>[2]TongHop!A425</f>
        <v>0</v>
      </c>
      <c r="B425">
        <f>[2]TongHop!B425</f>
        <v>0</v>
      </c>
      <c r="C425">
        <f>[2]TongHop!C425</f>
        <v>0</v>
      </c>
      <c r="D425">
        <f>[2]TongHop!D425</f>
        <v>0</v>
      </c>
      <c r="E425">
        <f>[2]TongHop!E425</f>
        <v>0</v>
      </c>
      <c r="F425">
        <f>[2]TongHop!F425</f>
        <v>0</v>
      </c>
      <c r="G425">
        <f>[2]TongHop!G425</f>
        <v>0</v>
      </c>
      <c r="H425">
        <f>[2]TongHop!H425</f>
        <v>0</v>
      </c>
      <c r="I425">
        <f>[2]TongHop!I425</f>
        <v>0</v>
      </c>
      <c r="J425">
        <f>[2]TongHop!J425</f>
        <v>0</v>
      </c>
      <c r="K425">
        <f>[2]TongHop!K425</f>
        <v>0</v>
      </c>
      <c r="L425">
        <f>[2]TongHop!L425</f>
        <v>0</v>
      </c>
      <c r="M425">
        <f>[2]TongHop!M425</f>
        <v>0</v>
      </c>
      <c r="N425">
        <f>[2]TongHop!N425</f>
        <v>0</v>
      </c>
    </row>
    <row r="426" spans="1:14">
      <c r="A426">
        <f>[2]TongHop!A426</f>
        <v>0</v>
      </c>
      <c r="B426">
        <f>[2]TongHop!B426</f>
        <v>0</v>
      </c>
      <c r="C426">
        <f>[2]TongHop!C426</f>
        <v>0</v>
      </c>
      <c r="D426">
        <f>[2]TongHop!D426</f>
        <v>0</v>
      </c>
      <c r="E426">
        <f>[2]TongHop!E426</f>
        <v>0</v>
      </c>
      <c r="F426">
        <f>[2]TongHop!F426</f>
        <v>0</v>
      </c>
      <c r="G426">
        <f>[2]TongHop!G426</f>
        <v>0</v>
      </c>
      <c r="H426">
        <f>[2]TongHop!H426</f>
        <v>0</v>
      </c>
      <c r="I426">
        <f>[2]TongHop!I426</f>
        <v>0</v>
      </c>
      <c r="J426">
        <f>[2]TongHop!J426</f>
        <v>0</v>
      </c>
      <c r="K426">
        <f>[2]TongHop!K426</f>
        <v>0</v>
      </c>
      <c r="L426">
        <f>[2]TongHop!L426</f>
        <v>0</v>
      </c>
      <c r="M426">
        <f>[2]TongHop!M426</f>
        <v>0</v>
      </c>
      <c r="N426">
        <f>[2]TongHop!N426</f>
        <v>0</v>
      </c>
    </row>
    <row r="427" spans="1:14">
      <c r="A427">
        <f>[2]TongHop!A427</f>
        <v>0</v>
      </c>
      <c r="B427">
        <f>[2]TongHop!B427</f>
        <v>0</v>
      </c>
      <c r="C427">
        <f>[2]TongHop!C427</f>
        <v>0</v>
      </c>
      <c r="D427">
        <f>[2]TongHop!D427</f>
        <v>0</v>
      </c>
      <c r="E427">
        <f>[2]TongHop!E427</f>
        <v>0</v>
      </c>
      <c r="F427">
        <f>[2]TongHop!F427</f>
        <v>0</v>
      </c>
      <c r="G427">
        <f>[2]TongHop!G427</f>
        <v>0</v>
      </c>
      <c r="H427">
        <f>[2]TongHop!H427</f>
        <v>0</v>
      </c>
      <c r="I427">
        <f>[2]TongHop!I427</f>
        <v>0</v>
      </c>
      <c r="J427">
        <f>[2]TongHop!J427</f>
        <v>0</v>
      </c>
      <c r="K427">
        <f>[2]TongHop!K427</f>
        <v>0</v>
      </c>
      <c r="L427">
        <f>[2]TongHop!L427</f>
        <v>0</v>
      </c>
      <c r="M427">
        <f>[2]TongHop!M427</f>
        <v>0</v>
      </c>
      <c r="N427">
        <f>[2]TongHop!N427</f>
        <v>0</v>
      </c>
    </row>
    <row r="428" spans="1:14">
      <c r="A428">
        <f>[2]TongHop!A428</f>
        <v>0</v>
      </c>
      <c r="B428">
        <f>[2]TongHop!B428</f>
        <v>0</v>
      </c>
      <c r="C428">
        <f>[2]TongHop!C428</f>
        <v>0</v>
      </c>
      <c r="D428">
        <f>[2]TongHop!D428</f>
        <v>0</v>
      </c>
      <c r="E428">
        <f>[2]TongHop!E428</f>
        <v>0</v>
      </c>
      <c r="F428">
        <f>[2]TongHop!F428</f>
        <v>0</v>
      </c>
      <c r="G428">
        <f>[2]TongHop!G428</f>
        <v>0</v>
      </c>
      <c r="H428">
        <f>[2]TongHop!H428</f>
        <v>0</v>
      </c>
      <c r="I428">
        <f>[2]TongHop!I428</f>
        <v>0</v>
      </c>
      <c r="J428">
        <f>[2]TongHop!J428</f>
        <v>0</v>
      </c>
      <c r="K428">
        <f>[2]TongHop!K428</f>
        <v>0</v>
      </c>
      <c r="L428">
        <f>[2]TongHop!L428</f>
        <v>0</v>
      </c>
      <c r="M428">
        <f>[2]TongHop!M428</f>
        <v>0</v>
      </c>
      <c r="N428">
        <f>[2]TongHop!N428</f>
        <v>0</v>
      </c>
    </row>
    <row r="429" spans="1:14">
      <c r="A429">
        <f>[2]TongHop!A429</f>
        <v>0</v>
      </c>
      <c r="B429">
        <f>[2]TongHop!B429</f>
        <v>0</v>
      </c>
      <c r="C429">
        <f>[2]TongHop!C429</f>
        <v>0</v>
      </c>
      <c r="D429">
        <f>[2]TongHop!D429</f>
        <v>0</v>
      </c>
      <c r="E429">
        <f>[2]TongHop!E429</f>
        <v>0</v>
      </c>
      <c r="F429">
        <f>[2]TongHop!F429</f>
        <v>0</v>
      </c>
      <c r="G429">
        <f>[2]TongHop!G429</f>
        <v>0</v>
      </c>
      <c r="H429">
        <f>[2]TongHop!H429</f>
        <v>0</v>
      </c>
      <c r="I429">
        <f>[2]TongHop!I429</f>
        <v>0</v>
      </c>
      <c r="J429">
        <f>[2]TongHop!J429</f>
        <v>0</v>
      </c>
      <c r="K429">
        <f>[2]TongHop!K429</f>
        <v>0</v>
      </c>
      <c r="L429">
        <f>[2]TongHop!L429</f>
        <v>0</v>
      </c>
      <c r="M429">
        <f>[2]TongHop!M429</f>
        <v>0</v>
      </c>
      <c r="N429">
        <f>[2]TongHop!N429</f>
        <v>0</v>
      </c>
    </row>
    <row r="430" spans="1:14">
      <c r="A430">
        <f>[2]TongHop!A430</f>
        <v>0</v>
      </c>
      <c r="B430">
        <f>[2]TongHop!B430</f>
        <v>0</v>
      </c>
      <c r="C430">
        <f>[2]TongHop!C430</f>
        <v>0</v>
      </c>
      <c r="D430">
        <f>[2]TongHop!D430</f>
        <v>0</v>
      </c>
      <c r="E430">
        <f>[2]TongHop!E430</f>
        <v>0</v>
      </c>
      <c r="F430">
        <f>[2]TongHop!F430</f>
        <v>0</v>
      </c>
      <c r="G430">
        <f>[2]TongHop!G430</f>
        <v>0</v>
      </c>
      <c r="H430">
        <f>[2]TongHop!H430</f>
        <v>0</v>
      </c>
      <c r="I430">
        <f>[2]TongHop!I430</f>
        <v>0</v>
      </c>
      <c r="J430">
        <f>[2]TongHop!J430</f>
        <v>0</v>
      </c>
      <c r="K430">
        <f>[2]TongHop!K430</f>
        <v>0</v>
      </c>
      <c r="L430">
        <f>[2]TongHop!L430</f>
        <v>0</v>
      </c>
      <c r="M430">
        <f>[2]TongHop!M430</f>
        <v>0</v>
      </c>
      <c r="N430">
        <f>[2]TongHop!N430</f>
        <v>0</v>
      </c>
    </row>
    <row r="431" spans="1:14">
      <c r="A431">
        <f>[2]TongHop!A431</f>
        <v>0</v>
      </c>
      <c r="B431">
        <f>[2]TongHop!B431</f>
        <v>0</v>
      </c>
      <c r="C431">
        <f>[2]TongHop!C431</f>
        <v>0</v>
      </c>
      <c r="D431">
        <f>[2]TongHop!D431</f>
        <v>0</v>
      </c>
      <c r="E431">
        <f>[2]TongHop!E431</f>
        <v>0</v>
      </c>
      <c r="F431">
        <f>[2]TongHop!F431</f>
        <v>0</v>
      </c>
      <c r="G431">
        <f>[2]TongHop!G431</f>
        <v>0</v>
      </c>
      <c r="H431">
        <f>[2]TongHop!H431</f>
        <v>0</v>
      </c>
      <c r="I431">
        <f>[2]TongHop!I431</f>
        <v>0</v>
      </c>
      <c r="J431">
        <f>[2]TongHop!J431</f>
        <v>0</v>
      </c>
      <c r="K431">
        <f>[2]TongHop!K431</f>
        <v>0</v>
      </c>
      <c r="L431">
        <f>[2]TongHop!L431</f>
        <v>0</v>
      </c>
      <c r="M431">
        <f>[2]TongHop!M431</f>
        <v>0</v>
      </c>
      <c r="N431">
        <f>[2]TongHop!N431</f>
        <v>0</v>
      </c>
    </row>
    <row r="432" spans="1:14">
      <c r="A432">
        <f>[2]TongHop!A432</f>
        <v>0</v>
      </c>
      <c r="B432">
        <f>[2]TongHop!B432</f>
        <v>0</v>
      </c>
      <c r="C432">
        <f>[2]TongHop!C432</f>
        <v>0</v>
      </c>
      <c r="D432">
        <f>[2]TongHop!D432</f>
        <v>0</v>
      </c>
      <c r="E432">
        <f>[2]TongHop!E432</f>
        <v>0</v>
      </c>
      <c r="F432">
        <f>[2]TongHop!F432</f>
        <v>0</v>
      </c>
      <c r="G432">
        <f>[2]TongHop!G432</f>
        <v>0</v>
      </c>
      <c r="H432">
        <f>[2]TongHop!H432</f>
        <v>0</v>
      </c>
      <c r="I432">
        <f>[2]TongHop!I432</f>
        <v>0</v>
      </c>
      <c r="J432">
        <f>[2]TongHop!J432</f>
        <v>0</v>
      </c>
      <c r="K432">
        <f>[2]TongHop!K432</f>
        <v>0</v>
      </c>
      <c r="L432">
        <f>[2]TongHop!L432</f>
        <v>0</v>
      </c>
      <c r="M432">
        <f>[2]TongHop!M432</f>
        <v>0</v>
      </c>
      <c r="N432">
        <f>[2]TongHop!N432</f>
        <v>0</v>
      </c>
    </row>
    <row r="433" spans="1:14">
      <c r="A433">
        <f>[2]TongHop!A433</f>
        <v>0</v>
      </c>
      <c r="B433">
        <f>[2]TongHop!B433</f>
        <v>0</v>
      </c>
      <c r="C433">
        <f>[2]TongHop!C433</f>
        <v>0</v>
      </c>
      <c r="D433">
        <f>[2]TongHop!D433</f>
        <v>0</v>
      </c>
      <c r="E433">
        <f>[2]TongHop!E433</f>
        <v>0</v>
      </c>
      <c r="F433">
        <f>[2]TongHop!F433</f>
        <v>0</v>
      </c>
      <c r="G433">
        <f>[2]TongHop!G433</f>
        <v>0</v>
      </c>
      <c r="H433">
        <f>[2]TongHop!H433</f>
        <v>0</v>
      </c>
      <c r="I433">
        <f>[2]TongHop!I433</f>
        <v>0</v>
      </c>
      <c r="J433">
        <f>[2]TongHop!J433</f>
        <v>0</v>
      </c>
      <c r="K433">
        <f>[2]TongHop!K433</f>
        <v>0</v>
      </c>
      <c r="L433">
        <f>[2]TongHop!L433</f>
        <v>0</v>
      </c>
      <c r="M433">
        <f>[2]TongHop!M433</f>
        <v>0</v>
      </c>
      <c r="N433">
        <f>[2]TongHop!N433</f>
        <v>0</v>
      </c>
    </row>
    <row r="434" spans="1:14">
      <c r="A434">
        <f>[2]TongHop!A434</f>
        <v>0</v>
      </c>
      <c r="B434">
        <f>[2]TongHop!B434</f>
        <v>0</v>
      </c>
      <c r="C434">
        <f>[2]TongHop!C434</f>
        <v>0</v>
      </c>
      <c r="D434">
        <f>[2]TongHop!D434</f>
        <v>0</v>
      </c>
      <c r="E434">
        <f>[2]TongHop!E434</f>
        <v>0</v>
      </c>
      <c r="F434">
        <f>[2]TongHop!F434</f>
        <v>0</v>
      </c>
      <c r="G434">
        <f>[2]TongHop!G434</f>
        <v>0</v>
      </c>
      <c r="H434">
        <f>[2]TongHop!H434</f>
        <v>0</v>
      </c>
      <c r="I434">
        <f>[2]TongHop!I434</f>
        <v>0</v>
      </c>
      <c r="J434">
        <f>[2]TongHop!J434</f>
        <v>0</v>
      </c>
      <c r="K434">
        <f>[2]TongHop!K434</f>
        <v>0</v>
      </c>
      <c r="L434">
        <f>[2]TongHop!L434</f>
        <v>0</v>
      </c>
      <c r="M434">
        <f>[2]TongHop!M434</f>
        <v>0</v>
      </c>
      <c r="N434">
        <f>[2]TongHop!N434</f>
        <v>0</v>
      </c>
    </row>
    <row r="435" spans="1:14">
      <c r="A435">
        <f>[2]TongHop!A435</f>
        <v>0</v>
      </c>
      <c r="B435">
        <f>[2]TongHop!B435</f>
        <v>0</v>
      </c>
      <c r="C435">
        <f>[2]TongHop!C435</f>
        <v>0</v>
      </c>
      <c r="D435">
        <f>[2]TongHop!D435</f>
        <v>0</v>
      </c>
      <c r="E435">
        <f>[2]TongHop!E435</f>
        <v>0</v>
      </c>
      <c r="F435">
        <f>[2]TongHop!F435</f>
        <v>0</v>
      </c>
      <c r="G435">
        <f>[2]TongHop!G435</f>
        <v>0</v>
      </c>
      <c r="H435">
        <f>[2]TongHop!H435</f>
        <v>0</v>
      </c>
      <c r="I435">
        <f>[2]TongHop!I435</f>
        <v>0</v>
      </c>
      <c r="J435">
        <f>[2]TongHop!J435</f>
        <v>0</v>
      </c>
      <c r="K435">
        <f>[2]TongHop!K435</f>
        <v>0</v>
      </c>
      <c r="L435">
        <f>[2]TongHop!L435</f>
        <v>0</v>
      </c>
      <c r="M435">
        <f>[2]TongHop!M435</f>
        <v>0</v>
      </c>
      <c r="N435">
        <f>[2]TongHop!N435</f>
        <v>0</v>
      </c>
    </row>
    <row r="436" spans="1:14">
      <c r="A436">
        <f>[2]TongHop!A436</f>
        <v>0</v>
      </c>
      <c r="B436">
        <f>[2]TongHop!B436</f>
        <v>0</v>
      </c>
      <c r="C436">
        <f>[2]TongHop!C436</f>
        <v>0</v>
      </c>
      <c r="D436">
        <f>[2]TongHop!D436</f>
        <v>0</v>
      </c>
      <c r="E436">
        <f>[2]TongHop!E436</f>
        <v>0</v>
      </c>
      <c r="F436">
        <f>[2]TongHop!F436</f>
        <v>0</v>
      </c>
      <c r="G436">
        <f>[2]TongHop!G436</f>
        <v>0</v>
      </c>
      <c r="H436">
        <f>[2]TongHop!H436</f>
        <v>0</v>
      </c>
      <c r="I436">
        <f>[2]TongHop!I436</f>
        <v>0</v>
      </c>
      <c r="J436">
        <f>[2]TongHop!J436</f>
        <v>0</v>
      </c>
      <c r="K436">
        <f>[2]TongHop!K436</f>
        <v>0</v>
      </c>
      <c r="L436">
        <f>[2]TongHop!L436</f>
        <v>0</v>
      </c>
      <c r="M436">
        <f>[2]TongHop!M436</f>
        <v>0</v>
      </c>
      <c r="N436">
        <f>[2]TongHop!N436</f>
        <v>0</v>
      </c>
    </row>
    <row r="437" spans="1:14">
      <c r="A437">
        <f>[2]TongHop!A437</f>
        <v>0</v>
      </c>
      <c r="B437">
        <f>[2]TongHop!B437</f>
        <v>0</v>
      </c>
      <c r="C437">
        <f>[2]TongHop!C437</f>
        <v>0</v>
      </c>
      <c r="D437">
        <f>[2]TongHop!D437</f>
        <v>0</v>
      </c>
      <c r="E437">
        <f>[2]TongHop!E437</f>
        <v>0</v>
      </c>
      <c r="F437">
        <f>[2]TongHop!F437</f>
        <v>0</v>
      </c>
      <c r="G437">
        <f>[2]TongHop!G437</f>
        <v>0</v>
      </c>
      <c r="H437">
        <f>[2]TongHop!H437</f>
        <v>0</v>
      </c>
      <c r="I437">
        <f>[2]TongHop!I437</f>
        <v>0</v>
      </c>
      <c r="J437">
        <f>[2]TongHop!J437</f>
        <v>0</v>
      </c>
      <c r="K437">
        <f>[2]TongHop!K437</f>
        <v>0</v>
      </c>
      <c r="L437">
        <f>[2]TongHop!L437</f>
        <v>0</v>
      </c>
      <c r="M437">
        <f>[2]TongHop!M437</f>
        <v>0</v>
      </c>
      <c r="N437">
        <f>[2]TongHop!N437</f>
        <v>0</v>
      </c>
    </row>
    <row r="438" spans="1:14">
      <c r="A438">
        <f>[2]TongHop!A438</f>
        <v>0</v>
      </c>
      <c r="B438">
        <f>[2]TongHop!B438</f>
        <v>0</v>
      </c>
      <c r="C438">
        <f>[2]TongHop!C438</f>
        <v>0</v>
      </c>
      <c r="D438">
        <f>[2]TongHop!D438</f>
        <v>0</v>
      </c>
      <c r="E438">
        <f>[2]TongHop!E438</f>
        <v>0</v>
      </c>
      <c r="F438">
        <f>[2]TongHop!F438</f>
        <v>0</v>
      </c>
      <c r="G438">
        <f>[2]TongHop!G438</f>
        <v>0</v>
      </c>
      <c r="H438">
        <f>[2]TongHop!H438</f>
        <v>0</v>
      </c>
      <c r="I438">
        <f>[2]TongHop!I438</f>
        <v>0</v>
      </c>
      <c r="J438">
        <f>[2]TongHop!J438</f>
        <v>0</v>
      </c>
      <c r="K438">
        <f>[2]TongHop!K438</f>
        <v>0</v>
      </c>
      <c r="L438">
        <f>[2]TongHop!L438</f>
        <v>0</v>
      </c>
      <c r="M438">
        <f>[2]TongHop!M438</f>
        <v>0</v>
      </c>
      <c r="N438">
        <f>[2]TongHop!N438</f>
        <v>0</v>
      </c>
    </row>
    <row r="439" spans="1:14">
      <c r="A439">
        <f>[2]TongHop!A439</f>
        <v>0</v>
      </c>
      <c r="B439">
        <f>[2]TongHop!B439</f>
        <v>0</v>
      </c>
      <c r="C439">
        <f>[2]TongHop!C439</f>
        <v>0</v>
      </c>
      <c r="D439">
        <f>[2]TongHop!D439</f>
        <v>0</v>
      </c>
      <c r="E439">
        <f>[2]TongHop!E439</f>
        <v>0</v>
      </c>
      <c r="F439">
        <f>[2]TongHop!F439</f>
        <v>0</v>
      </c>
      <c r="G439">
        <f>[2]TongHop!G439</f>
        <v>0</v>
      </c>
      <c r="H439">
        <f>[2]TongHop!H439</f>
        <v>0</v>
      </c>
      <c r="I439">
        <f>[2]TongHop!I439</f>
        <v>0</v>
      </c>
      <c r="J439">
        <f>[2]TongHop!J439</f>
        <v>0</v>
      </c>
      <c r="K439">
        <f>[2]TongHop!K439</f>
        <v>0</v>
      </c>
      <c r="L439">
        <f>[2]TongHop!L439</f>
        <v>0</v>
      </c>
      <c r="M439">
        <f>[2]TongHop!M439</f>
        <v>0</v>
      </c>
      <c r="N439">
        <f>[2]TongHop!N439</f>
        <v>0</v>
      </c>
    </row>
    <row r="440" spans="1:14">
      <c r="A440">
        <f>[2]TongHop!A440</f>
        <v>0</v>
      </c>
      <c r="B440">
        <f>[2]TongHop!B440</f>
        <v>0</v>
      </c>
      <c r="C440">
        <f>[2]TongHop!C440</f>
        <v>0</v>
      </c>
      <c r="D440">
        <f>[2]TongHop!D440</f>
        <v>0</v>
      </c>
      <c r="E440">
        <f>[2]TongHop!E440</f>
        <v>0</v>
      </c>
      <c r="F440">
        <f>[2]TongHop!F440</f>
        <v>0</v>
      </c>
      <c r="G440">
        <f>[2]TongHop!G440</f>
        <v>0</v>
      </c>
      <c r="H440">
        <f>[2]TongHop!H440</f>
        <v>0</v>
      </c>
      <c r="I440">
        <f>[2]TongHop!I440</f>
        <v>0</v>
      </c>
      <c r="J440">
        <f>[2]TongHop!J440</f>
        <v>0</v>
      </c>
      <c r="K440">
        <f>[2]TongHop!K440</f>
        <v>0</v>
      </c>
      <c r="L440">
        <f>[2]TongHop!L440</f>
        <v>0</v>
      </c>
      <c r="M440">
        <f>[2]TongHop!M440</f>
        <v>0</v>
      </c>
      <c r="N440">
        <f>[2]TongHop!N440</f>
        <v>0</v>
      </c>
    </row>
    <row r="441" spans="1:14">
      <c r="A441">
        <f>[2]TongHop!A441</f>
        <v>0</v>
      </c>
      <c r="B441">
        <f>[2]TongHop!B441</f>
        <v>0</v>
      </c>
      <c r="C441">
        <f>[2]TongHop!C441</f>
        <v>0</v>
      </c>
      <c r="D441">
        <f>[2]TongHop!D441</f>
        <v>0</v>
      </c>
      <c r="E441">
        <f>[2]TongHop!E441</f>
        <v>0</v>
      </c>
      <c r="F441">
        <f>[2]TongHop!F441</f>
        <v>0</v>
      </c>
      <c r="G441">
        <f>[2]TongHop!G441</f>
        <v>0</v>
      </c>
      <c r="H441">
        <f>[2]TongHop!H441</f>
        <v>0</v>
      </c>
      <c r="I441">
        <f>[2]TongHop!I441</f>
        <v>0</v>
      </c>
      <c r="J441">
        <f>[2]TongHop!J441</f>
        <v>0</v>
      </c>
      <c r="K441">
        <f>[2]TongHop!K441</f>
        <v>0</v>
      </c>
      <c r="L441">
        <f>[2]TongHop!L441</f>
        <v>0</v>
      </c>
      <c r="M441">
        <f>[2]TongHop!M441</f>
        <v>0</v>
      </c>
      <c r="N441">
        <f>[2]TongHop!N441</f>
        <v>0</v>
      </c>
    </row>
    <row r="442" spans="1:14">
      <c r="A442">
        <f>[2]TongHop!A442</f>
        <v>0</v>
      </c>
      <c r="B442">
        <f>[2]TongHop!B442</f>
        <v>0</v>
      </c>
      <c r="C442">
        <f>[2]TongHop!C442</f>
        <v>0</v>
      </c>
      <c r="D442">
        <f>[2]TongHop!D442</f>
        <v>0</v>
      </c>
      <c r="E442">
        <f>[2]TongHop!E442</f>
        <v>0</v>
      </c>
      <c r="F442">
        <f>[2]TongHop!F442</f>
        <v>0</v>
      </c>
      <c r="G442">
        <f>[2]TongHop!G442</f>
        <v>0</v>
      </c>
      <c r="H442">
        <f>[2]TongHop!H442</f>
        <v>0</v>
      </c>
      <c r="I442">
        <f>[2]TongHop!I442</f>
        <v>0</v>
      </c>
      <c r="J442">
        <f>[2]TongHop!J442</f>
        <v>0</v>
      </c>
      <c r="K442">
        <f>[2]TongHop!K442</f>
        <v>0</v>
      </c>
      <c r="L442">
        <f>[2]TongHop!L442</f>
        <v>0</v>
      </c>
      <c r="M442">
        <f>[2]TongHop!M442</f>
        <v>0</v>
      </c>
      <c r="N442">
        <f>[2]TongHop!N442</f>
        <v>0</v>
      </c>
    </row>
    <row r="443" spans="1:14">
      <c r="A443">
        <f>[2]TongHop!A443</f>
        <v>0</v>
      </c>
      <c r="B443">
        <f>[2]TongHop!B443</f>
        <v>0</v>
      </c>
      <c r="C443">
        <f>[2]TongHop!C443</f>
        <v>0</v>
      </c>
      <c r="D443">
        <f>[2]TongHop!D443</f>
        <v>0</v>
      </c>
      <c r="E443">
        <f>[2]TongHop!E443</f>
        <v>0</v>
      </c>
      <c r="F443">
        <f>[2]TongHop!F443</f>
        <v>0</v>
      </c>
      <c r="G443">
        <f>[2]TongHop!G443</f>
        <v>0</v>
      </c>
      <c r="H443">
        <f>[2]TongHop!H443</f>
        <v>0</v>
      </c>
      <c r="I443">
        <f>[2]TongHop!I443</f>
        <v>0</v>
      </c>
      <c r="J443">
        <f>[2]TongHop!J443</f>
        <v>0</v>
      </c>
      <c r="K443">
        <f>[2]TongHop!K443</f>
        <v>0</v>
      </c>
      <c r="L443">
        <f>[2]TongHop!L443</f>
        <v>0</v>
      </c>
      <c r="M443">
        <f>[2]TongHop!M443</f>
        <v>0</v>
      </c>
      <c r="N443">
        <f>[2]TongHop!N443</f>
        <v>0</v>
      </c>
    </row>
    <row r="444" spans="1:14">
      <c r="A444">
        <f>[2]TongHop!A444</f>
        <v>0</v>
      </c>
      <c r="B444">
        <f>[2]TongHop!B444</f>
        <v>0</v>
      </c>
      <c r="C444">
        <f>[2]TongHop!C444</f>
        <v>0</v>
      </c>
      <c r="D444">
        <f>[2]TongHop!D444</f>
        <v>0</v>
      </c>
      <c r="E444">
        <f>[2]TongHop!E444</f>
        <v>0</v>
      </c>
      <c r="F444">
        <f>[2]TongHop!F444</f>
        <v>0</v>
      </c>
      <c r="G444">
        <f>[2]TongHop!G444</f>
        <v>0</v>
      </c>
      <c r="H444">
        <f>[2]TongHop!H444</f>
        <v>0</v>
      </c>
      <c r="I444">
        <f>[2]TongHop!I444</f>
        <v>0</v>
      </c>
      <c r="J444">
        <f>[2]TongHop!J444</f>
        <v>0</v>
      </c>
      <c r="K444">
        <f>[2]TongHop!K444</f>
        <v>0</v>
      </c>
      <c r="L444">
        <f>[2]TongHop!L444</f>
        <v>0</v>
      </c>
      <c r="M444">
        <f>[2]TongHop!M444</f>
        <v>0</v>
      </c>
      <c r="N444">
        <f>[2]TongHop!N444</f>
        <v>0</v>
      </c>
    </row>
    <row r="445" spans="1:14">
      <c r="A445">
        <f>[2]TongHop!A445</f>
        <v>0</v>
      </c>
      <c r="B445">
        <f>[2]TongHop!B445</f>
        <v>0</v>
      </c>
      <c r="C445">
        <f>[2]TongHop!C445</f>
        <v>0</v>
      </c>
      <c r="D445">
        <f>[2]TongHop!D445</f>
        <v>0</v>
      </c>
      <c r="E445">
        <f>[2]TongHop!E445</f>
        <v>0</v>
      </c>
      <c r="F445">
        <f>[2]TongHop!F445</f>
        <v>0</v>
      </c>
      <c r="G445">
        <f>[2]TongHop!G445</f>
        <v>0</v>
      </c>
      <c r="H445">
        <f>[2]TongHop!H445</f>
        <v>0</v>
      </c>
      <c r="I445">
        <f>[2]TongHop!I445</f>
        <v>0</v>
      </c>
      <c r="J445">
        <f>[2]TongHop!J445</f>
        <v>0</v>
      </c>
      <c r="K445">
        <f>[2]TongHop!K445</f>
        <v>0</v>
      </c>
      <c r="L445">
        <f>[2]TongHop!L445</f>
        <v>0</v>
      </c>
      <c r="M445">
        <f>[2]TongHop!M445</f>
        <v>0</v>
      </c>
      <c r="N445">
        <f>[2]TongHop!N445</f>
        <v>0</v>
      </c>
    </row>
    <row r="446" spans="1:14">
      <c r="A446">
        <f>[2]TongHop!A446</f>
        <v>0</v>
      </c>
      <c r="B446">
        <f>[2]TongHop!B446</f>
        <v>0</v>
      </c>
      <c r="C446">
        <f>[2]TongHop!C446</f>
        <v>0</v>
      </c>
      <c r="D446">
        <f>[2]TongHop!D446</f>
        <v>0</v>
      </c>
      <c r="E446">
        <f>[2]TongHop!E446</f>
        <v>0</v>
      </c>
      <c r="F446">
        <f>[2]TongHop!F446</f>
        <v>0</v>
      </c>
      <c r="G446">
        <f>[2]TongHop!G446</f>
        <v>0</v>
      </c>
      <c r="H446">
        <f>[2]TongHop!H446</f>
        <v>0</v>
      </c>
      <c r="I446">
        <f>[2]TongHop!I446</f>
        <v>0</v>
      </c>
      <c r="J446">
        <f>[2]TongHop!J446</f>
        <v>0</v>
      </c>
      <c r="K446">
        <f>[2]TongHop!K446</f>
        <v>0</v>
      </c>
      <c r="L446">
        <f>[2]TongHop!L446</f>
        <v>0</v>
      </c>
      <c r="M446">
        <f>[2]TongHop!M446</f>
        <v>0</v>
      </c>
      <c r="N446">
        <f>[2]TongHop!N446</f>
        <v>0</v>
      </c>
    </row>
    <row r="447" spans="1:14">
      <c r="A447">
        <f>[2]TongHop!A447</f>
        <v>0</v>
      </c>
      <c r="B447">
        <f>[2]TongHop!B447</f>
        <v>0</v>
      </c>
      <c r="C447">
        <f>[2]TongHop!C447</f>
        <v>0</v>
      </c>
      <c r="D447">
        <f>[2]TongHop!D447</f>
        <v>0</v>
      </c>
      <c r="E447">
        <f>[2]TongHop!E447</f>
        <v>0</v>
      </c>
      <c r="F447">
        <f>[2]TongHop!F447</f>
        <v>0</v>
      </c>
      <c r="G447">
        <f>[2]TongHop!G447</f>
        <v>0</v>
      </c>
      <c r="H447">
        <f>[2]TongHop!H447</f>
        <v>0</v>
      </c>
      <c r="I447">
        <f>[2]TongHop!I447</f>
        <v>0</v>
      </c>
      <c r="J447">
        <f>[2]TongHop!J447</f>
        <v>0</v>
      </c>
      <c r="K447">
        <f>[2]TongHop!K447</f>
        <v>0</v>
      </c>
      <c r="L447">
        <f>[2]TongHop!L447</f>
        <v>0</v>
      </c>
      <c r="M447">
        <f>[2]TongHop!M447</f>
        <v>0</v>
      </c>
      <c r="N447">
        <f>[2]TongHop!N447</f>
        <v>0</v>
      </c>
    </row>
    <row r="448" spans="1:14">
      <c r="A448">
        <f>[2]TongHop!A448</f>
        <v>0</v>
      </c>
      <c r="B448">
        <f>[2]TongHop!B448</f>
        <v>0</v>
      </c>
      <c r="C448">
        <f>[2]TongHop!C448</f>
        <v>0</v>
      </c>
      <c r="D448">
        <f>[2]TongHop!D448</f>
        <v>0</v>
      </c>
      <c r="E448">
        <f>[2]TongHop!E448</f>
        <v>0</v>
      </c>
      <c r="F448">
        <f>[2]TongHop!F448</f>
        <v>0</v>
      </c>
      <c r="G448">
        <f>[2]TongHop!G448</f>
        <v>0</v>
      </c>
      <c r="H448">
        <f>[2]TongHop!H448</f>
        <v>0</v>
      </c>
      <c r="I448">
        <f>[2]TongHop!I448</f>
        <v>0</v>
      </c>
      <c r="J448">
        <f>[2]TongHop!J448</f>
        <v>0</v>
      </c>
      <c r="K448">
        <f>[2]TongHop!K448</f>
        <v>0</v>
      </c>
      <c r="L448">
        <f>[2]TongHop!L448</f>
        <v>0</v>
      </c>
      <c r="M448">
        <f>[2]TongHop!M448</f>
        <v>0</v>
      </c>
      <c r="N448">
        <f>[2]TongHop!N448</f>
        <v>0</v>
      </c>
    </row>
    <row r="449" spans="1:14">
      <c r="A449">
        <f>[2]TongHop!A449</f>
        <v>0</v>
      </c>
      <c r="B449">
        <f>[2]TongHop!B449</f>
        <v>0</v>
      </c>
      <c r="C449">
        <f>[2]TongHop!C449</f>
        <v>0</v>
      </c>
      <c r="D449">
        <f>[2]TongHop!D449</f>
        <v>0</v>
      </c>
      <c r="E449">
        <f>[2]TongHop!E449</f>
        <v>0</v>
      </c>
      <c r="F449">
        <f>[2]TongHop!F449</f>
        <v>0</v>
      </c>
      <c r="G449">
        <f>[2]TongHop!G449</f>
        <v>0</v>
      </c>
      <c r="H449">
        <f>[2]TongHop!H449</f>
        <v>0</v>
      </c>
      <c r="I449">
        <f>[2]TongHop!I449</f>
        <v>0</v>
      </c>
      <c r="J449">
        <f>[2]TongHop!J449</f>
        <v>0</v>
      </c>
      <c r="K449">
        <f>[2]TongHop!K449</f>
        <v>0</v>
      </c>
      <c r="L449">
        <f>[2]TongHop!L449</f>
        <v>0</v>
      </c>
      <c r="M449">
        <f>[2]TongHop!M449</f>
        <v>0</v>
      </c>
      <c r="N449">
        <f>[2]TongHop!N449</f>
        <v>0</v>
      </c>
    </row>
    <row r="450" spans="1:14">
      <c r="A450">
        <f>[2]TongHop!A450</f>
        <v>0</v>
      </c>
      <c r="B450">
        <f>[2]TongHop!B450</f>
        <v>0</v>
      </c>
      <c r="C450">
        <f>[2]TongHop!C450</f>
        <v>0</v>
      </c>
      <c r="D450">
        <f>[2]TongHop!D450</f>
        <v>0</v>
      </c>
      <c r="E450">
        <f>[2]TongHop!E450</f>
        <v>0</v>
      </c>
      <c r="F450">
        <f>[2]TongHop!F450</f>
        <v>0</v>
      </c>
      <c r="G450">
        <f>[2]TongHop!G450</f>
        <v>0</v>
      </c>
      <c r="H450">
        <f>[2]TongHop!H450</f>
        <v>0</v>
      </c>
      <c r="I450">
        <f>[2]TongHop!I450</f>
        <v>0</v>
      </c>
      <c r="J450">
        <f>[2]TongHop!J450</f>
        <v>0</v>
      </c>
      <c r="K450">
        <f>[2]TongHop!K450</f>
        <v>0</v>
      </c>
      <c r="L450">
        <f>[2]TongHop!L450</f>
        <v>0</v>
      </c>
      <c r="M450">
        <f>[2]TongHop!M450</f>
        <v>0</v>
      </c>
      <c r="N450">
        <f>[2]TongHop!N450</f>
        <v>0</v>
      </c>
    </row>
    <row r="451" spans="1:14">
      <c r="A451">
        <f>[2]TongHop!A451</f>
        <v>0</v>
      </c>
      <c r="B451">
        <f>[2]TongHop!B451</f>
        <v>0</v>
      </c>
      <c r="C451">
        <f>[2]TongHop!C451</f>
        <v>0</v>
      </c>
      <c r="D451">
        <f>[2]TongHop!D451</f>
        <v>0</v>
      </c>
      <c r="E451">
        <f>[2]TongHop!E451</f>
        <v>0</v>
      </c>
      <c r="F451">
        <f>[2]TongHop!F451</f>
        <v>0</v>
      </c>
      <c r="G451">
        <f>[2]TongHop!G451</f>
        <v>0</v>
      </c>
      <c r="H451">
        <f>[2]TongHop!H451</f>
        <v>0</v>
      </c>
      <c r="I451">
        <f>[2]TongHop!I451</f>
        <v>0</v>
      </c>
      <c r="J451">
        <f>[2]TongHop!J451</f>
        <v>0</v>
      </c>
      <c r="K451">
        <f>[2]TongHop!K451</f>
        <v>0</v>
      </c>
      <c r="L451">
        <f>[2]TongHop!L451</f>
        <v>0</v>
      </c>
      <c r="M451">
        <f>[2]TongHop!M451</f>
        <v>0</v>
      </c>
      <c r="N451">
        <f>[2]TongHop!N451</f>
        <v>0</v>
      </c>
    </row>
    <row r="452" spans="1:14">
      <c r="A452">
        <f>[2]TongHop!A452</f>
        <v>0</v>
      </c>
      <c r="B452">
        <f>[2]TongHop!B452</f>
        <v>0</v>
      </c>
      <c r="C452">
        <f>[2]TongHop!C452</f>
        <v>0</v>
      </c>
      <c r="D452">
        <f>[2]TongHop!D452</f>
        <v>0</v>
      </c>
      <c r="E452">
        <f>[2]TongHop!E452</f>
        <v>0</v>
      </c>
      <c r="F452">
        <f>[2]TongHop!F452</f>
        <v>0</v>
      </c>
      <c r="G452">
        <f>[2]TongHop!G452</f>
        <v>0</v>
      </c>
      <c r="H452">
        <f>[2]TongHop!H452</f>
        <v>0</v>
      </c>
      <c r="I452">
        <f>[2]TongHop!I452</f>
        <v>0</v>
      </c>
      <c r="J452">
        <f>[2]TongHop!J452</f>
        <v>0</v>
      </c>
      <c r="K452">
        <f>[2]TongHop!K452</f>
        <v>0</v>
      </c>
      <c r="L452">
        <f>[2]TongHop!L452</f>
        <v>0</v>
      </c>
      <c r="M452">
        <f>[2]TongHop!M452</f>
        <v>0</v>
      </c>
      <c r="N452">
        <f>[2]TongHop!N452</f>
        <v>0</v>
      </c>
    </row>
    <row r="453" spans="1:14">
      <c r="A453">
        <f>[2]TongHop!A453</f>
        <v>0</v>
      </c>
      <c r="B453">
        <f>[2]TongHop!B453</f>
        <v>0</v>
      </c>
      <c r="C453">
        <f>[2]TongHop!C453</f>
        <v>0</v>
      </c>
      <c r="D453">
        <f>[2]TongHop!D453</f>
        <v>0</v>
      </c>
      <c r="E453">
        <f>[2]TongHop!E453</f>
        <v>0</v>
      </c>
      <c r="F453">
        <f>[2]TongHop!F453</f>
        <v>0</v>
      </c>
      <c r="G453">
        <f>[2]TongHop!G453</f>
        <v>0</v>
      </c>
      <c r="H453">
        <f>[2]TongHop!H453</f>
        <v>0</v>
      </c>
      <c r="I453">
        <f>[2]TongHop!I453</f>
        <v>0</v>
      </c>
      <c r="J453">
        <f>[2]TongHop!J453</f>
        <v>0</v>
      </c>
      <c r="K453">
        <f>[2]TongHop!K453</f>
        <v>0</v>
      </c>
      <c r="L453">
        <f>[2]TongHop!L453</f>
        <v>0</v>
      </c>
      <c r="M453">
        <f>[2]TongHop!M453</f>
        <v>0</v>
      </c>
      <c r="N453">
        <f>[2]TongHop!N453</f>
        <v>0</v>
      </c>
    </row>
    <row r="454" spans="1:14">
      <c r="A454">
        <f>[2]TongHop!A454</f>
        <v>0</v>
      </c>
      <c r="B454">
        <f>[2]TongHop!B454</f>
        <v>0</v>
      </c>
      <c r="C454">
        <f>[2]TongHop!C454</f>
        <v>0</v>
      </c>
      <c r="D454">
        <f>[2]TongHop!D454</f>
        <v>0</v>
      </c>
      <c r="E454">
        <f>[2]TongHop!E454</f>
        <v>0</v>
      </c>
      <c r="F454">
        <f>[2]TongHop!F454</f>
        <v>0</v>
      </c>
      <c r="G454">
        <f>[2]TongHop!G454</f>
        <v>0</v>
      </c>
      <c r="H454">
        <f>[2]TongHop!H454</f>
        <v>0</v>
      </c>
      <c r="I454">
        <f>[2]TongHop!I454</f>
        <v>0</v>
      </c>
      <c r="J454">
        <f>[2]TongHop!J454</f>
        <v>0</v>
      </c>
      <c r="K454">
        <f>[2]TongHop!K454</f>
        <v>0</v>
      </c>
      <c r="L454">
        <f>[2]TongHop!L454</f>
        <v>0</v>
      </c>
      <c r="M454">
        <f>[2]TongHop!M454</f>
        <v>0</v>
      </c>
      <c r="N454">
        <f>[2]TongHop!N454</f>
        <v>0</v>
      </c>
    </row>
    <row r="455" spans="1:14">
      <c r="A455">
        <f>[2]TongHop!A455</f>
        <v>0</v>
      </c>
      <c r="B455">
        <f>[2]TongHop!B455</f>
        <v>0</v>
      </c>
      <c r="C455">
        <f>[2]TongHop!C455</f>
        <v>0</v>
      </c>
      <c r="D455">
        <f>[2]TongHop!D455</f>
        <v>0</v>
      </c>
      <c r="E455">
        <f>[2]TongHop!E455</f>
        <v>0</v>
      </c>
      <c r="F455">
        <f>[2]TongHop!F455</f>
        <v>0</v>
      </c>
      <c r="G455">
        <f>[2]TongHop!G455</f>
        <v>0</v>
      </c>
      <c r="H455">
        <f>[2]TongHop!H455</f>
        <v>0</v>
      </c>
      <c r="I455">
        <f>[2]TongHop!I455</f>
        <v>0</v>
      </c>
      <c r="J455">
        <f>[2]TongHop!J455</f>
        <v>0</v>
      </c>
      <c r="K455">
        <f>[2]TongHop!K455</f>
        <v>0</v>
      </c>
      <c r="L455">
        <f>[2]TongHop!L455</f>
        <v>0</v>
      </c>
      <c r="M455">
        <f>[2]TongHop!M455</f>
        <v>0</v>
      </c>
      <c r="N455">
        <f>[2]TongHop!N455</f>
        <v>0</v>
      </c>
    </row>
    <row r="456" spans="1:14">
      <c r="A456">
        <f>[2]TongHop!A456</f>
        <v>0</v>
      </c>
      <c r="B456">
        <f>[2]TongHop!B456</f>
        <v>0</v>
      </c>
      <c r="C456">
        <f>[2]TongHop!C456</f>
        <v>0</v>
      </c>
      <c r="D456">
        <f>[2]TongHop!D456</f>
        <v>0</v>
      </c>
      <c r="E456">
        <f>[2]TongHop!E456</f>
        <v>0</v>
      </c>
      <c r="F456">
        <f>[2]TongHop!F456</f>
        <v>0</v>
      </c>
      <c r="G456">
        <f>[2]TongHop!G456</f>
        <v>0</v>
      </c>
      <c r="H456">
        <f>[2]TongHop!H456</f>
        <v>0</v>
      </c>
      <c r="I456">
        <f>[2]TongHop!I456</f>
        <v>0</v>
      </c>
      <c r="J456">
        <f>[2]TongHop!J456</f>
        <v>0</v>
      </c>
      <c r="K456">
        <f>[2]TongHop!K456</f>
        <v>0</v>
      </c>
      <c r="L456">
        <f>[2]TongHop!L456</f>
        <v>0</v>
      </c>
      <c r="M456">
        <f>[2]TongHop!M456</f>
        <v>0</v>
      </c>
      <c r="N456">
        <f>[2]TongHop!N456</f>
        <v>0</v>
      </c>
    </row>
    <row r="457" spans="1:14">
      <c r="A457">
        <f>[2]TongHop!A457</f>
        <v>0</v>
      </c>
      <c r="B457">
        <f>[2]TongHop!B457</f>
        <v>0</v>
      </c>
      <c r="C457">
        <f>[2]TongHop!C457</f>
        <v>0</v>
      </c>
      <c r="D457">
        <f>[2]TongHop!D457</f>
        <v>0</v>
      </c>
      <c r="E457">
        <f>[2]TongHop!E457</f>
        <v>0</v>
      </c>
      <c r="F457">
        <f>[2]TongHop!F457</f>
        <v>0</v>
      </c>
      <c r="G457">
        <f>[2]TongHop!G457</f>
        <v>0</v>
      </c>
      <c r="H457">
        <f>[2]TongHop!H457</f>
        <v>0</v>
      </c>
      <c r="I457">
        <f>[2]TongHop!I457</f>
        <v>0</v>
      </c>
      <c r="J457">
        <f>[2]TongHop!J457</f>
        <v>0</v>
      </c>
      <c r="K457">
        <f>[2]TongHop!K457</f>
        <v>0</v>
      </c>
      <c r="L457">
        <f>[2]TongHop!L457</f>
        <v>0</v>
      </c>
      <c r="M457">
        <f>[2]TongHop!M457</f>
        <v>0</v>
      </c>
      <c r="N457">
        <f>[2]TongHop!N457</f>
        <v>0</v>
      </c>
    </row>
    <row r="458" spans="1:14">
      <c r="A458">
        <f>[2]TongHop!A458</f>
        <v>0</v>
      </c>
      <c r="B458">
        <f>[2]TongHop!B458</f>
        <v>0</v>
      </c>
      <c r="C458">
        <f>[2]TongHop!C458</f>
        <v>0</v>
      </c>
      <c r="D458">
        <f>[2]TongHop!D458</f>
        <v>0</v>
      </c>
      <c r="E458">
        <f>[2]TongHop!E458</f>
        <v>0</v>
      </c>
      <c r="F458">
        <f>[2]TongHop!F458</f>
        <v>0</v>
      </c>
      <c r="G458">
        <f>[2]TongHop!G458</f>
        <v>0</v>
      </c>
      <c r="H458">
        <f>[2]TongHop!H458</f>
        <v>0</v>
      </c>
      <c r="I458">
        <f>[2]TongHop!I458</f>
        <v>0</v>
      </c>
      <c r="J458">
        <f>[2]TongHop!J458</f>
        <v>0</v>
      </c>
      <c r="K458">
        <f>[2]TongHop!K458</f>
        <v>0</v>
      </c>
      <c r="L458">
        <f>[2]TongHop!L458</f>
        <v>0</v>
      </c>
      <c r="M458">
        <f>[2]TongHop!M458</f>
        <v>0</v>
      </c>
      <c r="N458">
        <f>[2]TongHop!N458</f>
        <v>0</v>
      </c>
    </row>
    <row r="459" spans="1:14">
      <c r="A459">
        <f>[2]TongHop!A459</f>
        <v>0</v>
      </c>
      <c r="B459">
        <f>[2]TongHop!B459</f>
        <v>0</v>
      </c>
      <c r="C459">
        <f>[2]TongHop!C459</f>
        <v>0</v>
      </c>
      <c r="D459">
        <f>[2]TongHop!D459</f>
        <v>0</v>
      </c>
      <c r="E459">
        <f>[2]TongHop!E459</f>
        <v>0</v>
      </c>
      <c r="F459">
        <f>[2]TongHop!F459</f>
        <v>0</v>
      </c>
      <c r="G459">
        <f>[2]TongHop!G459</f>
        <v>0</v>
      </c>
      <c r="H459">
        <f>[2]TongHop!H459</f>
        <v>0</v>
      </c>
      <c r="I459">
        <f>[2]TongHop!I459</f>
        <v>0</v>
      </c>
      <c r="J459">
        <f>[2]TongHop!J459</f>
        <v>0</v>
      </c>
      <c r="K459">
        <f>[2]TongHop!K459</f>
        <v>0</v>
      </c>
      <c r="L459">
        <f>[2]TongHop!L459</f>
        <v>0</v>
      </c>
      <c r="M459">
        <f>[2]TongHop!M459</f>
        <v>0</v>
      </c>
      <c r="N459">
        <f>[2]TongHop!N459</f>
        <v>0</v>
      </c>
    </row>
    <row r="460" spans="1:14">
      <c r="A460">
        <f>[2]TongHop!A460</f>
        <v>0</v>
      </c>
      <c r="B460">
        <f>[2]TongHop!B460</f>
        <v>0</v>
      </c>
      <c r="C460">
        <f>[2]TongHop!C460</f>
        <v>0</v>
      </c>
      <c r="D460">
        <f>[2]TongHop!D460</f>
        <v>0</v>
      </c>
      <c r="E460">
        <f>[2]TongHop!E460</f>
        <v>0</v>
      </c>
      <c r="F460">
        <f>[2]TongHop!F460</f>
        <v>0</v>
      </c>
      <c r="G460">
        <f>[2]TongHop!G460</f>
        <v>0</v>
      </c>
      <c r="H460">
        <f>[2]TongHop!H460</f>
        <v>0</v>
      </c>
      <c r="I460">
        <f>[2]TongHop!I460</f>
        <v>0</v>
      </c>
      <c r="J460">
        <f>[2]TongHop!J460</f>
        <v>0</v>
      </c>
      <c r="K460">
        <f>[2]TongHop!K460</f>
        <v>0</v>
      </c>
      <c r="L460">
        <f>[2]TongHop!L460</f>
        <v>0</v>
      </c>
      <c r="M460">
        <f>[2]TongHop!M460</f>
        <v>0</v>
      </c>
      <c r="N460">
        <f>[2]TongHop!N460</f>
        <v>0</v>
      </c>
    </row>
    <row r="461" spans="1:14">
      <c r="A461">
        <f>[2]TongHop!A461</f>
        <v>0</v>
      </c>
      <c r="B461">
        <f>[2]TongHop!B461</f>
        <v>0</v>
      </c>
      <c r="C461">
        <f>[2]TongHop!C461</f>
        <v>0</v>
      </c>
      <c r="D461">
        <f>[2]TongHop!D461</f>
        <v>0</v>
      </c>
      <c r="E461">
        <f>[2]TongHop!E461</f>
        <v>0</v>
      </c>
      <c r="F461">
        <f>[2]TongHop!F461</f>
        <v>0</v>
      </c>
      <c r="G461">
        <f>[2]TongHop!G461</f>
        <v>0</v>
      </c>
      <c r="H461">
        <f>[2]TongHop!H461</f>
        <v>0</v>
      </c>
      <c r="I461">
        <f>[2]TongHop!I461</f>
        <v>0</v>
      </c>
      <c r="J461">
        <f>[2]TongHop!J461</f>
        <v>0</v>
      </c>
      <c r="K461">
        <f>[2]TongHop!K461</f>
        <v>0</v>
      </c>
      <c r="L461">
        <f>[2]TongHop!L461</f>
        <v>0</v>
      </c>
      <c r="M461">
        <f>[2]TongHop!M461</f>
        <v>0</v>
      </c>
      <c r="N461">
        <f>[2]TongHop!N461</f>
        <v>0</v>
      </c>
    </row>
    <row r="462" spans="1:14">
      <c r="A462">
        <f>[2]TongHop!A462</f>
        <v>0</v>
      </c>
      <c r="B462">
        <f>[2]TongHop!B462</f>
        <v>0</v>
      </c>
      <c r="C462">
        <f>[2]TongHop!C462</f>
        <v>0</v>
      </c>
      <c r="D462">
        <f>[2]TongHop!D462</f>
        <v>0</v>
      </c>
      <c r="E462">
        <f>[2]TongHop!E462</f>
        <v>0</v>
      </c>
      <c r="F462">
        <f>[2]TongHop!F462</f>
        <v>0</v>
      </c>
      <c r="G462">
        <f>[2]TongHop!G462</f>
        <v>0</v>
      </c>
      <c r="H462">
        <f>[2]TongHop!H462</f>
        <v>0</v>
      </c>
      <c r="I462">
        <f>[2]TongHop!I462</f>
        <v>0</v>
      </c>
      <c r="J462">
        <f>[2]TongHop!J462</f>
        <v>0</v>
      </c>
      <c r="K462">
        <f>[2]TongHop!K462</f>
        <v>0</v>
      </c>
      <c r="L462">
        <f>[2]TongHop!L462</f>
        <v>0</v>
      </c>
      <c r="M462">
        <f>[2]TongHop!M462</f>
        <v>0</v>
      </c>
      <c r="N462">
        <f>[2]TongHop!N462</f>
        <v>0</v>
      </c>
    </row>
    <row r="463" spans="1:14">
      <c r="A463">
        <f>[2]TongHop!A463</f>
        <v>0</v>
      </c>
      <c r="B463">
        <f>[2]TongHop!B463</f>
        <v>0</v>
      </c>
      <c r="C463">
        <f>[2]TongHop!C463</f>
        <v>0</v>
      </c>
      <c r="D463">
        <f>[2]TongHop!D463</f>
        <v>0</v>
      </c>
      <c r="E463">
        <f>[2]TongHop!E463</f>
        <v>0</v>
      </c>
      <c r="F463">
        <f>[2]TongHop!F463</f>
        <v>0</v>
      </c>
      <c r="G463">
        <f>[2]TongHop!G463</f>
        <v>0</v>
      </c>
      <c r="H463">
        <f>[2]TongHop!H463</f>
        <v>0</v>
      </c>
      <c r="I463">
        <f>[2]TongHop!I463</f>
        <v>0</v>
      </c>
      <c r="J463">
        <f>[2]TongHop!J463</f>
        <v>0</v>
      </c>
      <c r="K463">
        <f>[2]TongHop!K463</f>
        <v>0</v>
      </c>
      <c r="L463">
        <f>[2]TongHop!L463</f>
        <v>0</v>
      </c>
      <c r="M463">
        <f>[2]TongHop!M463</f>
        <v>0</v>
      </c>
      <c r="N463">
        <f>[2]TongHop!N463</f>
        <v>0</v>
      </c>
    </row>
    <row r="464" spans="1:14">
      <c r="A464">
        <f>[2]TongHop!A464</f>
        <v>0</v>
      </c>
      <c r="B464">
        <f>[2]TongHop!B464</f>
        <v>0</v>
      </c>
      <c r="C464">
        <f>[2]TongHop!C464</f>
        <v>0</v>
      </c>
      <c r="D464">
        <f>[2]TongHop!D464</f>
        <v>0</v>
      </c>
      <c r="E464">
        <f>[2]TongHop!E464</f>
        <v>0</v>
      </c>
      <c r="F464">
        <f>[2]TongHop!F464</f>
        <v>0</v>
      </c>
      <c r="G464">
        <f>[2]TongHop!G464</f>
        <v>0</v>
      </c>
      <c r="H464">
        <f>[2]TongHop!H464</f>
        <v>0</v>
      </c>
      <c r="I464">
        <f>[2]TongHop!I464</f>
        <v>0</v>
      </c>
      <c r="J464">
        <f>[2]TongHop!J464</f>
        <v>0</v>
      </c>
      <c r="K464">
        <f>[2]TongHop!K464</f>
        <v>0</v>
      </c>
      <c r="L464">
        <f>[2]TongHop!L464</f>
        <v>0</v>
      </c>
      <c r="M464">
        <f>[2]TongHop!M464</f>
        <v>0</v>
      </c>
      <c r="N464">
        <f>[2]TongHop!N464</f>
        <v>0</v>
      </c>
    </row>
    <row r="465" spans="1:14">
      <c r="A465">
        <f>[2]TongHop!A465</f>
        <v>0</v>
      </c>
      <c r="B465">
        <f>[2]TongHop!B465</f>
        <v>0</v>
      </c>
      <c r="C465">
        <f>[2]TongHop!C465</f>
        <v>0</v>
      </c>
      <c r="D465">
        <f>[2]TongHop!D465</f>
        <v>0</v>
      </c>
      <c r="E465">
        <f>[2]TongHop!E465</f>
        <v>0</v>
      </c>
      <c r="F465">
        <f>[2]TongHop!F465</f>
        <v>0</v>
      </c>
      <c r="G465">
        <f>[2]TongHop!G465</f>
        <v>0</v>
      </c>
      <c r="H465">
        <f>[2]TongHop!H465</f>
        <v>0</v>
      </c>
      <c r="I465">
        <f>[2]TongHop!I465</f>
        <v>0</v>
      </c>
      <c r="J465">
        <f>[2]TongHop!J465</f>
        <v>0</v>
      </c>
      <c r="K465">
        <f>[2]TongHop!K465</f>
        <v>0</v>
      </c>
      <c r="L465">
        <f>[2]TongHop!L465</f>
        <v>0</v>
      </c>
      <c r="M465">
        <f>[2]TongHop!M465</f>
        <v>0</v>
      </c>
      <c r="N465">
        <f>[2]TongHop!N465</f>
        <v>0</v>
      </c>
    </row>
    <row r="466" spans="1:14">
      <c r="A466">
        <f>[2]TongHop!A466</f>
        <v>0</v>
      </c>
      <c r="B466">
        <f>[2]TongHop!B466</f>
        <v>0</v>
      </c>
      <c r="C466">
        <f>[2]TongHop!C466</f>
        <v>0</v>
      </c>
      <c r="D466">
        <f>[2]TongHop!D466</f>
        <v>0</v>
      </c>
      <c r="E466">
        <f>[2]TongHop!E466</f>
        <v>0</v>
      </c>
      <c r="F466">
        <f>[2]TongHop!F466</f>
        <v>0</v>
      </c>
      <c r="G466">
        <f>[2]TongHop!G466</f>
        <v>0</v>
      </c>
      <c r="H466">
        <f>[2]TongHop!H466</f>
        <v>0</v>
      </c>
      <c r="I466">
        <f>[2]TongHop!I466</f>
        <v>0</v>
      </c>
      <c r="J466">
        <f>[2]TongHop!J466</f>
        <v>0</v>
      </c>
      <c r="K466">
        <f>[2]TongHop!K466</f>
        <v>0</v>
      </c>
      <c r="L466">
        <f>[2]TongHop!L466</f>
        <v>0</v>
      </c>
      <c r="M466">
        <f>[2]TongHop!M466</f>
        <v>0</v>
      </c>
      <c r="N466">
        <f>[2]TongHop!N466</f>
        <v>0</v>
      </c>
    </row>
    <row r="467" spans="1:14">
      <c r="A467">
        <f>[2]TongHop!A467</f>
        <v>0</v>
      </c>
      <c r="B467">
        <f>[2]TongHop!B467</f>
        <v>0</v>
      </c>
      <c r="C467">
        <f>[2]TongHop!C467</f>
        <v>0</v>
      </c>
      <c r="D467">
        <f>[2]TongHop!D467</f>
        <v>0</v>
      </c>
      <c r="E467">
        <f>[2]TongHop!E467</f>
        <v>0</v>
      </c>
      <c r="F467">
        <f>[2]TongHop!F467</f>
        <v>0</v>
      </c>
      <c r="G467">
        <f>[2]TongHop!G467</f>
        <v>0</v>
      </c>
      <c r="H467">
        <f>[2]TongHop!H467</f>
        <v>0</v>
      </c>
      <c r="I467">
        <f>[2]TongHop!I467</f>
        <v>0</v>
      </c>
      <c r="J467">
        <f>[2]TongHop!J467</f>
        <v>0</v>
      </c>
      <c r="K467">
        <f>[2]TongHop!K467</f>
        <v>0</v>
      </c>
      <c r="L467">
        <f>[2]TongHop!L467</f>
        <v>0</v>
      </c>
      <c r="M467">
        <f>[2]TongHop!M467</f>
        <v>0</v>
      </c>
      <c r="N467">
        <f>[2]TongHop!N467</f>
        <v>0</v>
      </c>
    </row>
    <row r="468" spans="1:14">
      <c r="A468">
        <f>[2]TongHop!A468</f>
        <v>0</v>
      </c>
      <c r="B468">
        <f>[2]TongHop!B468</f>
        <v>0</v>
      </c>
      <c r="C468">
        <f>[2]TongHop!C468</f>
        <v>0</v>
      </c>
      <c r="D468">
        <f>[2]TongHop!D468</f>
        <v>0</v>
      </c>
      <c r="E468">
        <f>[2]TongHop!E468</f>
        <v>0</v>
      </c>
      <c r="F468">
        <f>[2]TongHop!F468</f>
        <v>0</v>
      </c>
      <c r="G468">
        <f>[2]TongHop!G468</f>
        <v>0</v>
      </c>
      <c r="H468">
        <f>[2]TongHop!H468</f>
        <v>0</v>
      </c>
      <c r="I468">
        <f>[2]TongHop!I468</f>
        <v>0</v>
      </c>
      <c r="J468">
        <f>[2]TongHop!J468</f>
        <v>0</v>
      </c>
      <c r="K468">
        <f>[2]TongHop!K468</f>
        <v>0</v>
      </c>
      <c r="L468">
        <f>[2]TongHop!L468</f>
        <v>0</v>
      </c>
      <c r="M468">
        <f>[2]TongHop!M468</f>
        <v>0</v>
      </c>
      <c r="N468">
        <f>[2]TongHop!N468</f>
        <v>0</v>
      </c>
    </row>
    <row r="469" spans="1:14">
      <c r="A469">
        <f>[2]TongHop!A469</f>
        <v>0</v>
      </c>
      <c r="B469">
        <f>[2]TongHop!B469</f>
        <v>0</v>
      </c>
      <c r="C469">
        <f>[2]TongHop!C469</f>
        <v>0</v>
      </c>
      <c r="D469">
        <f>[2]TongHop!D469</f>
        <v>0</v>
      </c>
      <c r="E469">
        <f>[2]TongHop!E469</f>
        <v>0</v>
      </c>
      <c r="F469">
        <f>[2]TongHop!F469</f>
        <v>0</v>
      </c>
      <c r="G469">
        <f>[2]TongHop!G469</f>
        <v>0</v>
      </c>
      <c r="H469">
        <f>[2]TongHop!H469</f>
        <v>0</v>
      </c>
      <c r="I469">
        <f>[2]TongHop!I469</f>
        <v>0</v>
      </c>
      <c r="J469">
        <f>[2]TongHop!J469</f>
        <v>0</v>
      </c>
      <c r="K469">
        <f>[2]TongHop!K469</f>
        <v>0</v>
      </c>
      <c r="L469">
        <f>[2]TongHop!L469</f>
        <v>0</v>
      </c>
      <c r="M469">
        <f>[2]TongHop!M469</f>
        <v>0</v>
      </c>
      <c r="N469">
        <f>[2]TongHop!N469</f>
        <v>0</v>
      </c>
    </row>
    <row r="470" spans="1:14">
      <c r="A470">
        <f>[2]TongHop!A470</f>
        <v>0</v>
      </c>
      <c r="B470">
        <f>[2]TongHop!B470</f>
        <v>0</v>
      </c>
      <c r="C470">
        <f>[2]TongHop!C470</f>
        <v>0</v>
      </c>
      <c r="D470">
        <f>[2]TongHop!D470</f>
        <v>0</v>
      </c>
      <c r="E470">
        <f>[2]TongHop!E470</f>
        <v>0</v>
      </c>
      <c r="F470">
        <f>[2]TongHop!F470</f>
        <v>0</v>
      </c>
      <c r="G470">
        <f>[2]TongHop!G470</f>
        <v>0</v>
      </c>
      <c r="H470">
        <f>[2]TongHop!H470</f>
        <v>0</v>
      </c>
      <c r="I470">
        <f>[2]TongHop!I470</f>
        <v>0</v>
      </c>
      <c r="J470">
        <f>[2]TongHop!J470</f>
        <v>0</v>
      </c>
      <c r="K470">
        <f>[2]TongHop!K470</f>
        <v>0</v>
      </c>
      <c r="L470">
        <f>[2]TongHop!L470</f>
        <v>0</v>
      </c>
      <c r="M470">
        <f>[2]TongHop!M470</f>
        <v>0</v>
      </c>
      <c r="N470">
        <f>[2]TongHop!N470</f>
        <v>0</v>
      </c>
    </row>
    <row r="471" spans="1:14">
      <c r="A471">
        <f>[2]TongHop!A471</f>
        <v>0</v>
      </c>
      <c r="B471">
        <f>[2]TongHop!B471</f>
        <v>0</v>
      </c>
      <c r="C471">
        <f>[2]TongHop!C471</f>
        <v>0</v>
      </c>
      <c r="D471">
        <f>[2]TongHop!D471</f>
        <v>0</v>
      </c>
      <c r="E471">
        <f>[2]TongHop!E471</f>
        <v>0</v>
      </c>
      <c r="F471">
        <f>[2]TongHop!F471</f>
        <v>0</v>
      </c>
      <c r="G471">
        <f>[2]TongHop!G471</f>
        <v>0</v>
      </c>
      <c r="H471">
        <f>[2]TongHop!H471</f>
        <v>0</v>
      </c>
      <c r="I471">
        <f>[2]TongHop!I471</f>
        <v>0</v>
      </c>
      <c r="J471">
        <f>[2]TongHop!J471</f>
        <v>0</v>
      </c>
      <c r="K471">
        <f>[2]TongHop!K471</f>
        <v>0</v>
      </c>
      <c r="L471">
        <f>[2]TongHop!L471</f>
        <v>0</v>
      </c>
      <c r="M471">
        <f>[2]TongHop!M471</f>
        <v>0</v>
      </c>
      <c r="N471">
        <f>[2]TongHop!N471</f>
        <v>0</v>
      </c>
    </row>
    <row r="472" spans="1:14">
      <c r="A472">
        <f>[2]TongHop!A472</f>
        <v>0</v>
      </c>
      <c r="B472">
        <f>[2]TongHop!B472</f>
        <v>0</v>
      </c>
      <c r="C472">
        <f>[2]TongHop!C472</f>
        <v>0</v>
      </c>
      <c r="D472">
        <f>[2]TongHop!D472</f>
        <v>0</v>
      </c>
      <c r="E472">
        <f>[2]TongHop!E472</f>
        <v>0</v>
      </c>
      <c r="F472">
        <f>[2]TongHop!F472</f>
        <v>0</v>
      </c>
      <c r="G472">
        <f>[2]TongHop!G472</f>
        <v>0</v>
      </c>
      <c r="H472">
        <f>[2]TongHop!H472</f>
        <v>0</v>
      </c>
      <c r="I472">
        <f>[2]TongHop!I472</f>
        <v>0</v>
      </c>
      <c r="J472">
        <f>[2]TongHop!J472</f>
        <v>0</v>
      </c>
      <c r="K472">
        <f>[2]TongHop!K472</f>
        <v>0</v>
      </c>
      <c r="L472">
        <f>[2]TongHop!L472</f>
        <v>0</v>
      </c>
      <c r="M472">
        <f>[2]TongHop!M472</f>
        <v>0</v>
      </c>
      <c r="N472">
        <f>[2]TongHop!N472</f>
        <v>0</v>
      </c>
    </row>
    <row r="473" spans="1:14">
      <c r="A473">
        <f>[2]TongHop!A473</f>
        <v>0</v>
      </c>
      <c r="B473">
        <f>[2]TongHop!B473</f>
        <v>0</v>
      </c>
      <c r="C473">
        <f>[2]TongHop!C473</f>
        <v>0</v>
      </c>
      <c r="D473">
        <f>[2]TongHop!D473</f>
        <v>0</v>
      </c>
      <c r="E473">
        <f>[2]TongHop!E473</f>
        <v>0</v>
      </c>
      <c r="F473">
        <f>[2]TongHop!F473</f>
        <v>0</v>
      </c>
      <c r="G473">
        <f>[2]TongHop!G473</f>
        <v>0</v>
      </c>
      <c r="H473">
        <f>[2]TongHop!H473</f>
        <v>0</v>
      </c>
      <c r="I473">
        <f>[2]TongHop!I473</f>
        <v>0</v>
      </c>
      <c r="J473">
        <f>[2]TongHop!J473</f>
        <v>0</v>
      </c>
      <c r="K473">
        <f>[2]TongHop!K473</f>
        <v>0</v>
      </c>
      <c r="L473">
        <f>[2]TongHop!L473</f>
        <v>0</v>
      </c>
      <c r="M473">
        <f>[2]TongHop!M473</f>
        <v>0</v>
      </c>
      <c r="N473">
        <f>[2]TongHop!N473</f>
        <v>0</v>
      </c>
    </row>
    <row r="474" spans="1:14">
      <c r="A474">
        <f>[2]TongHop!A474</f>
        <v>0</v>
      </c>
      <c r="B474">
        <f>[2]TongHop!B474</f>
        <v>0</v>
      </c>
      <c r="C474">
        <f>[2]TongHop!C474</f>
        <v>0</v>
      </c>
      <c r="D474">
        <f>[2]TongHop!D474</f>
        <v>0</v>
      </c>
      <c r="E474">
        <f>[2]TongHop!E474</f>
        <v>0</v>
      </c>
      <c r="F474">
        <f>[2]TongHop!F474</f>
        <v>0</v>
      </c>
      <c r="G474">
        <f>[2]TongHop!G474</f>
        <v>0</v>
      </c>
      <c r="H474">
        <f>[2]TongHop!H474</f>
        <v>0</v>
      </c>
      <c r="I474">
        <f>[2]TongHop!I474</f>
        <v>0</v>
      </c>
      <c r="J474">
        <f>[2]TongHop!J474</f>
        <v>0</v>
      </c>
      <c r="K474">
        <f>[2]TongHop!K474</f>
        <v>0</v>
      </c>
      <c r="L474">
        <f>[2]TongHop!L474</f>
        <v>0</v>
      </c>
      <c r="M474">
        <f>[2]TongHop!M474</f>
        <v>0</v>
      </c>
      <c r="N474">
        <f>[2]TongHop!N474</f>
        <v>0</v>
      </c>
    </row>
    <row r="475" spans="1:14">
      <c r="A475">
        <f>[2]TongHop!A475</f>
        <v>0</v>
      </c>
      <c r="B475">
        <f>[2]TongHop!B475</f>
        <v>0</v>
      </c>
      <c r="C475">
        <f>[2]TongHop!C475</f>
        <v>0</v>
      </c>
      <c r="D475">
        <f>[2]TongHop!D475</f>
        <v>0</v>
      </c>
      <c r="E475">
        <f>[2]TongHop!E475</f>
        <v>0</v>
      </c>
      <c r="F475">
        <f>[2]TongHop!F475</f>
        <v>0</v>
      </c>
      <c r="G475">
        <f>[2]TongHop!G475</f>
        <v>0</v>
      </c>
      <c r="H475">
        <f>[2]TongHop!H475</f>
        <v>0</v>
      </c>
      <c r="I475">
        <f>[2]TongHop!I475</f>
        <v>0</v>
      </c>
      <c r="J475">
        <f>[2]TongHop!J475</f>
        <v>0</v>
      </c>
      <c r="K475">
        <f>[2]TongHop!K475</f>
        <v>0</v>
      </c>
      <c r="L475">
        <f>[2]TongHop!L475</f>
        <v>0</v>
      </c>
      <c r="M475">
        <f>[2]TongHop!M475</f>
        <v>0</v>
      </c>
      <c r="N475">
        <f>[2]TongHop!N475</f>
        <v>0</v>
      </c>
    </row>
    <row r="476" spans="1:14">
      <c r="A476">
        <f>[2]TongHop!A476</f>
        <v>0</v>
      </c>
      <c r="B476">
        <f>[2]TongHop!B476</f>
        <v>0</v>
      </c>
      <c r="C476">
        <f>[2]TongHop!C476</f>
        <v>0</v>
      </c>
      <c r="D476">
        <f>[2]TongHop!D476</f>
        <v>0</v>
      </c>
      <c r="E476">
        <f>[2]TongHop!E476</f>
        <v>0</v>
      </c>
      <c r="F476">
        <f>[2]TongHop!F476</f>
        <v>0</v>
      </c>
      <c r="G476">
        <f>[2]TongHop!G476</f>
        <v>0</v>
      </c>
      <c r="H476">
        <f>[2]TongHop!H476</f>
        <v>0</v>
      </c>
      <c r="I476">
        <f>[2]TongHop!I476</f>
        <v>0</v>
      </c>
      <c r="J476">
        <f>[2]TongHop!J476</f>
        <v>0</v>
      </c>
      <c r="K476">
        <f>[2]TongHop!K476</f>
        <v>0</v>
      </c>
      <c r="L476">
        <f>[2]TongHop!L476</f>
        <v>0</v>
      </c>
      <c r="M476">
        <f>[2]TongHop!M476</f>
        <v>0</v>
      </c>
      <c r="N476">
        <f>[2]TongHop!N476</f>
        <v>0</v>
      </c>
    </row>
    <row r="477" spans="1:14">
      <c r="A477">
        <f>[2]TongHop!A477</f>
        <v>0</v>
      </c>
      <c r="B477">
        <f>[2]TongHop!B477</f>
        <v>0</v>
      </c>
      <c r="C477">
        <f>[2]TongHop!C477</f>
        <v>0</v>
      </c>
      <c r="D477">
        <f>[2]TongHop!D477</f>
        <v>0</v>
      </c>
      <c r="E477">
        <f>[2]TongHop!E477</f>
        <v>0</v>
      </c>
      <c r="F477">
        <f>[2]TongHop!F477</f>
        <v>0</v>
      </c>
      <c r="G477">
        <f>[2]TongHop!G477</f>
        <v>0</v>
      </c>
      <c r="H477">
        <f>[2]TongHop!H477</f>
        <v>0</v>
      </c>
      <c r="I477">
        <f>[2]TongHop!I477</f>
        <v>0</v>
      </c>
      <c r="J477">
        <f>[2]TongHop!J477</f>
        <v>0</v>
      </c>
      <c r="K477">
        <f>[2]TongHop!K477</f>
        <v>0</v>
      </c>
      <c r="L477">
        <f>[2]TongHop!L477</f>
        <v>0</v>
      </c>
      <c r="M477">
        <f>[2]TongHop!M477</f>
        <v>0</v>
      </c>
      <c r="N477">
        <f>[2]TongHop!N477</f>
        <v>0</v>
      </c>
    </row>
    <row r="478" spans="1:14">
      <c r="A478">
        <f>[2]TongHop!A478</f>
        <v>0</v>
      </c>
      <c r="B478">
        <f>[2]TongHop!B478</f>
        <v>0</v>
      </c>
      <c r="C478">
        <f>[2]TongHop!C478</f>
        <v>0</v>
      </c>
      <c r="D478">
        <f>[2]TongHop!D478</f>
        <v>0</v>
      </c>
      <c r="E478">
        <f>[2]TongHop!E478</f>
        <v>0</v>
      </c>
      <c r="F478">
        <f>[2]TongHop!F478</f>
        <v>0</v>
      </c>
      <c r="G478">
        <f>[2]TongHop!G478</f>
        <v>0</v>
      </c>
      <c r="H478">
        <f>[2]TongHop!H478</f>
        <v>0</v>
      </c>
      <c r="I478">
        <f>[2]TongHop!I478</f>
        <v>0</v>
      </c>
      <c r="J478">
        <f>[2]TongHop!J478</f>
        <v>0</v>
      </c>
      <c r="K478">
        <f>[2]TongHop!K478</f>
        <v>0</v>
      </c>
      <c r="L478">
        <f>[2]TongHop!L478</f>
        <v>0</v>
      </c>
      <c r="M478">
        <f>[2]TongHop!M478</f>
        <v>0</v>
      </c>
      <c r="N478">
        <f>[2]TongHop!N478</f>
        <v>0</v>
      </c>
    </row>
    <row r="479" spans="1:14">
      <c r="A479">
        <f>[2]TongHop!A479</f>
        <v>0</v>
      </c>
      <c r="B479">
        <f>[2]TongHop!B479</f>
        <v>0</v>
      </c>
      <c r="C479">
        <f>[2]TongHop!C479</f>
        <v>0</v>
      </c>
      <c r="D479">
        <f>[2]TongHop!D479</f>
        <v>0</v>
      </c>
      <c r="E479">
        <f>[2]TongHop!E479</f>
        <v>0</v>
      </c>
      <c r="F479">
        <f>[2]TongHop!F479</f>
        <v>0</v>
      </c>
      <c r="G479">
        <f>[2]TongHop!G479</f>
        <v>0</v>
      </c>
      <c r="H479">
        <f>[2]TongHop!H479</f>
        <v>0</v>
      </c>
      <c r="I479">
        <f>[2]TongHop!I479</f>
        <v>0</v>
      </c>
      <c r="J479">
        <f>[2]TongHop!J479</f>
        <v>0</v>
      </c>
      <c r="K479">
        <f>[2]TongHop!K479</f>
        <v>0</v>
      </c>
      <c r="L479">
        <f>[2]TongHop!L479</f>
        <v>0</v>
      </c>
      <c r="M479">
        <f>[2]TongHop!M479</f>
        <v>0</v>
      </c>
      <c r="N479">
        <f>[2]TongHop!N479</f>
        <v>0</v>
      </c>
    </row>
    <row r="480" spans="1:14">
      <c r="A480">
        <f>[2]TongHop!A480</f>
        <v>0</v>
      </c>
      <c r="B480">
        <f>[2]TongHop!B480</f>
        <v>0</v>
      </c>
      <c r="C480">
        <f>[2]TongHop!C480</f>
        <v>0</v>
      </c>
      <c r="D480">
        <f>[2]TongHop!D480</f>
        <v>0</v>
      </c>
      <c r="E480">
        <f>[2]TongHop!E480</f>
        <v>0</v>
      </c>
      <c r="F480">
        <f>[2]TongHop!F480</f>
        <v>0</v>
      </c>
      <c r="G480">
        <f>[2]TongHop!G480</f>
        <v>0</v>
      </c>
      <c r="H480">
        <f>[2]TongHop!H480</f>
        <v>0</v>
      </c>
      <c r="I480">
        <f>[2]TongHop!I480</f>
        <v>0</v>
      </c>
      <c r="J480">
        <f>[2]TongHop!J480</f>
        <v>0</v>
      </c>
      <c r="K480">
        <f>[2]TongHop!K480</f>
        <v>0</v>
      </c>
      <c r="L480">
        <f>[2]TongHop!L480</f>
        <v>0</v>
      </c>
      <c r="M480">
        <f>[2]TongHop!M480</f>
        <v>0</v>
      </c>
      <c r="N480">
        <f>[2]TongHop!N480</f>
        <v>0</v>
      </c>
    </row>
    <row r="481" spans="1:14">
      <c r="A481">
        <f>[2]TongHop!A481</f>
        <v>0</v>
      </c>
      <c r="B481">
        <f>[2]TongHop!B481</f>
        <v>0</v>
      </c>
      <c r="C481">
        <f>[2]TongHop!C481</f>
        <v>0</v>
      </c>
      <c r="D481">
        <f>[2]TongHop!D481</f>
        <v>0</v>
      </c>
      <c r="E481">
        <f>[2]TongHop!E481</f>
        <v>0</v>
      </c>
      <c r="F481">
        <f>[2]TongHop!F481</f>
        <v>0</v>
      </c>
      <c r="G481">
        <f>[2]TongHop!G481</f>
        <v>0</v>
      </c>
      <c r="H481">
        <f>[2]TongHop!H481</f>
        <v>0</v>
      </c>
      <c r="I481">
        <f>[2]TongHop!I481</f>
        <v>0</v>
      </c>
      <c r="J481">
        <f>[2]TongHop!J481</f>
        <v>0</v>
      </c>
      <c r="K481">
        <f>[2]TongHop!K481</f>
        <v>0</v>
      </c>
      <c r="L481">
        <f>[2]TongHop!L481</f>
        <v>0</v>
      </c>
      <c r="M481">
        <f>[2]TongHop!M481</f>
        <v>0</v>
      </c>
      <c r="N481">
        <f>[2]TongHop!N481</f>
        <v>0</v>
      </c>
    </row>
    <row r="482" spans="1:14">
      <c r="A482">
        <f>[2]TongHop!A482</f>
        <v>0</v>
      </c>
      <c r="B482">
        <f>[2]TongHop!B482</f>
        <v>0</v>
      </c>
      <c r="C482">
        <f>[2]TongHop!C482</f>
        <v>0</v>
      </c>
      <c r="D482">
        <f>[2]TongHop!D482</f>
        <v>0</v>
      </c>
      <c r="E482">
        <f>[2]TongHop!E482</f>
        <v>0</v>
      </c>
      <c r="F482">
        <f>[2]TongHop!F482</f>
        <v>0</v>
      </c>
      <c r="G482">
        <f>[2]TongHop!G482</f>
        <v>0</v>
      </c>
      <c r="H482">
        <f>[2]TongHop!H482</f>
        <v>0</v>
      </c>
      <c r="I482">
        <f>[2]TongHop!I482</f>
        <v>0</v>
      </c>
      <c r="J482">
        <f>[2]TongHop!J482</f>
        <v>0</v>
      </c>
      <c r="K482">
        <f>[2]TongHop!K482</f>
        <v>0</v>
      </c>
      <c r="L482">
        <f>[2]TongHop!L482</f>
        <v>0</v>
      </c>
      <c r="M482">
        <f>[2]TongHop!M482</f>
        <v>0</v>
      </c>
      <c r="N482">
        <f>[2]TongHop!N482</f>
        <v>0</v>
      </c>
    </row>
    <row r="483" spans="1:14">
      <c r="A483">
        <f>[2]TongHop!A483</f>
        <v>0</v>
      </c>
      <c r="B483">
        <f>[2]TongHop!B483</f>
        <v>0</v>
      </c>
      <c r="C483">
        <f>[2]TongHop!C483</f>
        <v>0</v>
      </c>
      <c r="D483">
        <f>[2]TongHop!D483</f>
        <v>0</v>
      </c>
      <c r="E483">
        <f>[2]TongHop!E483</f>
        <v>0</v>
      </c>
      <c r="F483">
        <f>[2]TongHop!F483</f>
        <v>0</v>
      </c>
      <c r="G483">
        <f>[2]TongHop!G483</f>
        <v>0</v>
      </c>
      <c r="H483">
        <f>[2]TongHop!H483</f>
        <v>0</v>
      </c>
      <c r="I483">
        <f>[2]TongHop!I483</f>
        <v>0</v>
      </c>
      <c r="J483">
        <f>[2]TongHop!J483</f>
        <v>0</v>
      </c>
      <c r="K483">
        <f>[2]TongHop!K483</f>
        <v>0</v>
      </c>
      <c r="L483">
        <f>[2]TongHop!L483</f>
        <v>0</v>
      </c>
      <c r="M483">
        <f>[2]TongHop!M483</f>
        <v>0</v>
      </c>
      <c r="N483">
        <f>[2]TongHop!N483</f>
        <v>0</v>
      </c>
    </row>
    <row r="484" spans="1:14">
      <c r="A484">
        <f>[2]TongHop!A484</f>
        <v>0</v>
      </c>
      <c r="B484">
        <f>[2]TongHop!B484</f>
        <v>0</v>
      </c>
      <c r="C484">
        <f>[2]TongHop!C484</f>
        <v>0</v>
      </c>
      <c r="D484">
        <f>[2]TongHop!D484</f>
        <v>0</v>
      </c>
      <c r="E484">
        <f>[2]TongHop!E484</f>
        <v>0</v>
      </c>
      <c r="F484">
        <f>[2]TongHop!F484</f>
        <v>0</v>
      </c>
      <c r="G484">
        <f>[2]TongHop!G484</f>
        <v>0</v>
      </c>
      <c r="H484">
        <f>[2]TongHop!H484</f>
        <v>0</v>
      </c>
      <c r="I484">
        <f>[2]TongHop!I484</f>
        <v>0</v>
      </c>
      <c r="J484">
        <f>[2]TongHop!J484</f>
        <v>0</v>
      </c>
      <c r="K484">
        <f>[2]TongHop!K484</f>
        <v>0</v>
      </c>
      <c r="L484">
        <f>[2]TongHop!L484</f>
        <v>0</v>
      </c>
      <c r="M484">
        <f>[2]TongHop!M484</f>
        <v>0</v>
      </c>
      <c r="N484">
        <f>[2]TongHop!N484</f>
        <v>0</v>
      </c>
    </row>
    <row r="485" spans="1:14">
      <c r="A485">
        <f>[2]TongHop!A485</f>
        <v>0</v>
      </c>
      <c r="B485">
        <f>[2]TongHop!B485</f>
        <v>0</v>
      </c>
      <c r="C485">
        <f>[2]TongHop!C485</f>
        <v>0</v>
      </c>
      <c r="D485">
        <f>[2]TongHop!D485</f>
        <v>0</v>
      </c>
      <c r="E485">
        <f>[2]TongHop!E485</f>
        <v>0</v>
      </c>
      <c r="F485">
        <f>[2]TongHop!F485</f>
        <v>0</v>
      </c>
      <c r="G485">
        <f>[2]TongHop!G485</f>
        <v>0</v>
      </c>
      <c r="H485">
        <f>[2]TongHop!H485</f>
        <v>0</v>
      </c>
      <c r="I485">
        <f>[2]TongHop!I485</f>
        <v>0</v>
      </c>
      <c r="J485">
        <f>[2]TongHop!J485</f>
        <v>0</v>
      </c>
      <c r="K485">
        <f>[2]TongHop!K485</f>
        <v>0</v>
      </c>
      <c r="L485">
        <f>[2]TongHop!L485</f>
        <v>0</v>
      </c>
      <c r="M485">
        <f>[2]TongHop!M485</f>
        <v>0</v>
      </c>
      <c r="N485">
        <f>[2]TongHop!N485</f>
        <v>0</v>
      </c>
    </row>
    <row r="486" spans="1:14">
      <c r="A486">
        <f>[2]TongHop!A486</f>
        <v>0</v>
      </c>
      <c r="B486">
        <f>[2]TongHop!B486</f>
        <v>0</v>
      </c>
      <c r="C486">
        <f>[2]TongHop!C486</f>
        <v>0</v>
      </c>
      <c r="D486">
        <f>[2]TongHop!D486</f>
        <v>0</v>
      </c>
      <c r="E486">
        <f>[2]TongHop!E486</f>
        <v>0</v>
      </c>
      <c r="F486">
        <f>[2]TongHop!F486</f>
        <v>0</v>
      </c>
      <c r="G486">
        <f>[2]TongHop!G486</f>
        <v>0</v>
      </c>
      <c r="H486">
        <f>[2]TongHop!H486</f>
        <v>0</v>
      </c>
      <c r="I486">
        <f>[2]TongHop!I486</f>
        <v>0</v>
      </c>
      <c r="J486">
        <f>[2]TongHop!J486</f>
        <v>0</v>
      </c>
      <c r="K486">
        <f>[2]TongHop!K486</f>
        <v>0</v>
      </c>
      <c r="L486">
        <f>[2]TongHop!L486</f>
        <v>0</v>
      </c>
      <c r="M486">
        <f>[2]TongHop!M486</f>
        <v>0</v>
      </c>
      <c r="N486">
        <f>[2]TongHop!N486</f>
        <v>0</v>
      </c>
    </row>
    <row r="487" spans="1:14">
      <c r="A487">
        <f>[2]TongHop!A487</f>
        <v>0</v>
      </c>
      <c r="B487">
        <f>[2]TongHop!B487</f>
        <v>0</v>
      </c>
      <c r="C487">
        <f>[2]TongHop!C487</f>
        <v>0</v>
      </c>
      <c r="D487">
        <f>[2]TongHop!D487</f>
        <v>0</v>
      </c>
      <c r="E487">
        <f>[2]TongHop!E487</f>
        <v>0</v>
      </c>
      <c r="F487">
        <f>[2]TongHop!F487</f>
        <v>0</v>
      </c>
      <c r="G487">
        <f>[2]TongHop!G487</f>
        <v>0</v>
      </c>
      <c r="H487">
        <f>[2]TongHop!H487</f>
        <v>0</v>
      </c>
      <c r="I487">
        <f>[2]TongHop!I487</f>
        <v>0</v>
      </c>
      <c r="J487">
        <f>[2]TongHop!J487</f>
        <v>0</v>
      </c>
      <c r="K487">
        <f>[2]TongHop!K487</f>
        <v>0</v>
      </c>
      <c r="L487">
        <f>[2]TongHop!L487</f>
        <v>0</v>
      </c>
      <c r="M487">
        <f>[2]TongHop!M487</f>
        <v>0</v>
      </c>
      <c r="N487">
        <f>[2]TongHop!N487</f>
        <v>0</v>
      </c>
    </row>
    <row r="488" spans="1:14">
      <c r="A488">
        <f>[2]TongHop!A488</f>
        <v>0</v>
      </c>
      <c r="B488">
        <f>[2]TongHop!B488</f>
        <v>0</v>
      </c>
      <c r="C488">
        <f>[2]TongHop!C488</f>
        <v>0</v>
      </c>
      <c r="D488">
        <f>[2]TongHop!D488</f>
        <v>0</v>
      </c>
      <c r="E488">
        <f>[2]TongHop!E488</f>
        <v>0</v>
      </c>
      <c r="F488">
        <f>[2]TongHop!F488</f>
        <v>0</v>
      </c>
      <c r="G488">
        <f>[2]TongHop!G488</f>
        <v>0</v>
      </c>
      <c r="H488">
        <f>[2]TongHop!H488</f>
        <v>0</v>
      </c>
      <c r="I488">
        <f>[2]TongHop!I488</f>
        <v>0</v>
      </c>
      <c r="J488">
        <f>[2]TongHop!J488</f>
        <v>0</v>
      </c>
      <c r="K488">
        <f>[2]TongHop!K488</f>
        <v>0</v>
      </c>
      <c r="L488">
        <f>[2]TongHop!L488</f>
        <v>0</v>
      </c>
      <c r="M488">
        <f>[2]TongHop!M488</f>
        <v>0</v>
      </c>
      <c r="N488">
        <f>[2]TongHop!N488</f>
        <v>0</v>
      </c>
    </row>
    <row r="489" spans="1:14">
      <c r="A489">
        <f>[2]TongHop!A489</f>
        <v>0</v>
      </c>
      <c r="B489">
        <f>[2]TongHop!B489</f>
        <v>0</v>
      </c>
      <c r="C489">
        <f>[2]TongHop!C489</f>
        <v>0</v>
      </c>
      <c r="D489">
        <f>[2]TongHop!D489</f>
        <v>0</v>
      </c>
      <c r="E489">
        <f>[2]TongHop!E489</f>
        <v>0</v>
      </c>
      <c r="F489">
        <f>[2]TongHop!F489</f>
        <v>0</v>
      </c>
      <c r="G489">
        <f>[2]TongHop!G489</f>
        <v>0</v>
      </c>
      <c r="H489">
        <f>[2]TongHop!H489</f>
        <v>0</v>
      </c>
      <c r="I489">
        <f>[2]TongHop!I489</f>
        <v>0</v>
      </c>
      <c r="J489">
        <f>[2]TongHop!J489</f>
        <v>0</v>
      </c>
      <c r="K489">
        <f>[2]TongHop!K489</f>
        <v>0</v>
      </c>
      <c r="L489">
        <f>[2]TongHop!L489</f>
        <v>0</v>
      </c>
      <c r="M489">
        <f>[2]TongHop!M489</f>
        <v>0</v>
      </c>
      <c r="N489">
        <f>[2]TongHop!N489</f>
        <v>0</v>
      </c>
    </row>
    <row r="490" spans="1:14">
      <c r="A490">
        <f>[2]TongHop!A490</f>
        <v>0</v>
      </c>
      <c r="B490">
        <f>[2]TongHop!B490</f>
        <v>0</v>
      </c>
      <c r="C490">
        <f>[2]TongHop!C490</f>
        <v>0</v>
      </c>
      <c r="D490">
        <f>[2]TongHop!D490</f>
        <v>0</v>
      </c>
      <c r="E490">
        <f>[2]TongHop!E490</f>
        <v>0</v>
      </c>
      <c r="F490">
        <f>[2]TongHop!F490</f>
        <v>0</v>
      </c>
      <c r="G490">
        <f>[2]TongHop!G490</f>
        <v>0</v>
      </c>
      <c r="H490">
        <f>[2]TongHop!H490</f>
        <v>0</v>
      </c>
      <c r="I490">
        <f>[2]TongHop!I490</f>
        <v>0</v>
      </c>
      <c r="J490">
        <f>[2]TongHop!J490</f>
        <v>0</v>
      </c>
      <c r="K490">
        <f>[2]TongHop!K490</f>
        <v>0</v>
      </c>
      <c r="L490">
        <f>[2]TongHop!L490</f>
        <v>0</v>
      </c>
      <c r="M490">
        <f>[2]TongHop!M490</f>
        <v>0</v>
      </c>
      <c r="N490">
        <f>[2]TongHop!N490</f>
        <v>0</v>
      </c>
    </row>
    <row r="491" spans="1:14">
      <c r="A491">
        <f>[2]TongHop!A491</f>
        <v>0</v>
      </c>
      <c r="B491">
        <f>[2]TongHop!B491</f>
        <v>0</v>
      </c>
      <c r="C491">
        <f>[2]TongHop!C491</f>
        <v>0</v>
      </c>
      <c r="D491">
        <f>[2]TongHop!D491</f>
        <v>0</v>
      </c>
      <c r="E491">
        <f>[2]TongHop!E491</f>
        <v>0</v>
      </c>
      <c r="F491">
        <f>[2]TongHop!F491</f>
        <v>0</v>
      </c>
      <c r="G491">
        <f>[2]TongHop!G491</f>
        <v>0</v>
      </c>
      <c r="H491">
        <f>[2]TongHop!H491</f>
        <v>0</v>
      </c>
      <c r="I491">
        <f>[2]TongHop!I491</f>
        <v>0</v>
      </c>
      <c r="J491">
        <f>[2]TongHop!J491</f>
        <v>0</v>
      </c>
      <c r="K491">
        <f>[2]TongHop!K491</f>
        <v>0</v>
      </c>
      <c r="L491">
        <f>[2]TongHop!L491</f>
        <v>0</v>
      </c>
      <c r="M491">
        <f>[2]TongHop!M491</f>
        <v>0</v>
      </c>
      <c r="N491">
        <f>[2]TongHop!N491</f>
        <v>0</v>
      </c>
    </row>
    <row r="492" spans="1:14">
      <c r="A492">
        <f>[2]TongHop!A492</f>
        <v>0</v>
      </c>
      <c r="B492">
        <f>[2]TongHop!B492</f>
        <v>0</v>
      </c>
      <c r="C492">
        <f>[2]TongHop!C492</f>
        <v>0</v>
      </c>
      <c r="D492">
        <f>[2]TongHop!D492</f>
        <v>0</v>
      </c>
      <c r="E492">
        <f>[2]TongHop!E492</f>
        <v>0</v>
      </c>
      <c r="F492">
        <f>[2]TongHop!F492</f>
        <v>0</v>
      </c>
      <c r="G492">
        <f>[2]TongHop!G492</f>
        <v>0</v>
      </c>
      <c r="H492">
        <f>[2]TongHop!H492</f>
        <v>0</v>
      </c>
      <c r="I492">
        <f>[2]TongHop!I492</f>
        <v>0</v>
      </c>
      <c r="J492">
        <f>[2]TongHop!J492</f>
        <v>0</v>
      </c>
      <c r="K492">
        <f>[2]TongHop!K492</f>
        <v>0</v>
      </c>
      <c r="L492">
        <f>[2]TongHop!L492</f>
        <v>0</v>
      </c>
      <c r="M492">
        <f>[2]TongHop!M492</f>
        <v>0</v>
      </c>
      <c r="N492">
        <f>[2]TongHop!N492</f>
        <v>0</v>
      </c>
    </row>
    <row r="493" spans="1:14">
      <c r="A493">
        <f>[2]TongHop!A493</f>
        <v>0</v>
      </c>
      <c r="B493">
        <f>[2]TongHop!B493</f>
        <v>0</v>
      </c>
      <c r="C493">
        <f>[2]TongHop!C493</f>
        <v>0</v>
      </c>
      <c r="D493">
        <f>[2]TongHop!D493</f>
        <v>0</v>
      </c>
      <c r="E493">
        <f>[2]TongHop!E493</f>
        <v>0</v>
      </c>
      <c r="F493">
        <f>[2]TongHop!F493</f>
        <v>0</v>
      </c>
      <c r="G493">
        <f>[2]TongHop!G493</f>
        <v>0</v>
      </c>
      <c r="H493">
        <f>[2]TongHop!H493</f>
        <v>0</v>
      </c>
      <c r="I493">
        <f>[2]TongHop!I493</f>
        <v>0</v>
      </c>
      <c r="J493">
        <f>[2]TongHop!J493</f>
        <v>0</v>
      </c>
      <c r="K493">
        <f>[2]TongHop!K493</f>
        <v>0</v>
      </c>
      <c r="L493">
        <f>[2]TongHop!L493</f>
        <v>0</v>
      </c>
      <c r="M493">
        <f>[2]TongHop!M493</f>
        <v>0</v>
      </c>
      <c r="N493">
        <f>[2]TongHop!N493</f>
        <v>0</v>
      </c>
    </row>
    <row r="494" spans="1:14">
      <c r="A494">
        <f>[2]TongHop!A494</f>
        <v>0</v>
      </c>
      <c r="B494">
        <f>[2]TongHop!B494</f>
        <v>0</v>
      </c>
      <c r="C494">
        <f>[2]TongHop!C494</f>
        <v>0</v>
      </c>
      <c r="D494">
        <f>[2]TongHop!D494</f>
        <v>0</v>
      </c>
      <c r="E494">
        <f>[2]TongHop!E494</f>
        <v>0</v>
      </c>
      <c r="F494">
        <f>[2]TongHop!F494</f>
        <v>0</v>
      </c>
      <c r="G494">
        <f>[2]TongHop!G494</f>
        <v>0</v>
      </c>
      <c r="H494">
        <f>[2]TongHop!H494</f>
        <v>0</v>
      </c>
      <c r="I494">
        <f>[2]TongHop!I494</f>
        <v>0</v>
      </c>
      <c r="J494">
        <f>[2]TongHop!J494</f>
        <v>0</v>
      </c>
      <c r="K494">
        <f>[2]TongHop!K494</f>
        <v>0</v>
      </c>
      <c r="L494">
        <f>[2]TongHop!L494</f>
        <v>0</v>
      </c>
      <c r="M494">
        <f>[2]TongHop!M494</f>
        <v>0</v>
      </c>
      <c r="N494">
        <f>[2]TongHop!N494</f>
        <v>0</v>
      </c>
    </row>
    <row r="495" spans="1:14">
      <c r="A495">
        <f>[2]TongHop!A495</f>
        <v>0</v>
      </c>
      <c r="B495">
        <f>[2]TongHop!B495</f>
        <v>0</v>
      </c>
      <c r="C495">
        <f>[2]TongHop!C495</f>
        <v>0</v>
      </c>
      <c r="D495">
        <f>[2]TongHop!D495</f>
        <v>0</v>
      </c>
      <c r="E495">
        <f>[2]TongHop!E495</f>
        <v>0</v>
      </c>
      <c r="F495">
        <f>[2]TongHop!F495</f>
        <v>0</v>
      </c>
      <c r="G495">
        <f>[2]TongHop!G495</f>
        <v>0</v>
      </c>
      <c r="H495">
        <f>[2]TongHop!H495</f>
        <v>0</v>
      </c>
      <c r="I495">
        <f>[2]TongHop!I495</f>
        <v>0</v>
      </c>
      <c r="J495">
        <f>[2]TongHop!J495</f>
        <v>0</v>
      </c>
      <c r="K495">
        <f>[2]TongHop!K495</f>
        <v>0</v>
      </c>
      <c r="L495">
        <f>[2]TongHop!L495</f>
        <v>0</v>
      </c>
      <c r="M495">
        <f>[2]TongHop!M495</f>
        <v>0</v>
      </c>
      <c r="N495">
        <f>[2]TongHop!N495</f>
        <v>0</v>
      </c>
    </row>
    <row r="496" spans="1:14">
      <c r="A496">
        <f>[2]TongHop!A496</f>
        <v>0</v>
      </c>
      <c r="B496">
        <f>[2]TongHop!B496</f>
        <v>0</v>
      </c>
      <c r="C496">
        <f>[2]TongHop!C496</f>
        <v>0</v>
      </c>
      <c r="D496">
        <f>[2]TongHop!D496</f>
        <v>0</v>
      </c>
      <c r="E496">
        <f>[2]TongHop!E496</f>
        <v>0</v>
      </c>
      <c r="F496">
        <f>[2]TongHop!F496</f>
        <v>0</v>
      </c>
      <c r="G496">
        <f>[2]TongHop!G496</f>
        <v>0</v>
      </c>
      <c r="H496">
        <f>[2]TongHop!H496</f>
        <v>0</v>
      </c>
      <c r="I496">
        <f>[2]TongHop!I496</f>
        <v>0</v>
      </c>
      <c r="J496">
        <f>[2]TongHop!J496</f>
        <v>0</v>
      </c>
      <c r="K496">
        <f>[2]TongHop!K496</f>
        <v>0</v>
      </c>
      <c r="L496">
        <f>[2]TongHop!L496</f>
        <v>0</v>
      </c>
      <c r="M496">
        <f>[2]TongHop!M496</f>
        <v>0</v>
      </c>
      <c r="N496">
        <f>[2]TongHop!N496</f>
        <v>0</v>
      </c>
    </row>
    <row r="497" spans="1:14">
      <c r="A497">
        <f>[2]TongHop!A497</f>
        <v>0</v>
      </c>
      <c r="B497">
        <f>[2]TongHop!B497</f>
        <v>0</v>
      </c>
      <c r="C497">
        <f>[2]TongHop!C497</f>
        <v>0</v>
      </c>
      <c r="D497">
        <f>[2]TongHop!D497</f>
        <v>0</v>
      </c>
      <c r="E497">
        <f>[2]TongHop!E497</f>
        <v>0</v>
      </c>
      <c r="F497">
        <f>[2]TongHop!F497</f>
        <v>0</v>
      </c>
      <c r="G497">
        <f>[2]TongHop!G497</f>
        <v>0</v>
      </c>
      <c r="H497">
        <f>[2]TongHop!H497</f>
        <v>0</v>
      </c>
      <c r="I497">
        <f>[2]TongHop!I497</f>
        <v>0</v>
      </c>
      <c r="J497">
        <f>[2]TongHop!J497</f>
        <v>0</v>
      </c>
      <c r="K497">
        <f>[2]TongHop!K497</f>
        <v>0</v>
      </c>
      <c r="L497">
        <f>[2]TongHop!L497</f>
        <v>0</v>
      </c>
      <c r="M497">
        <f>[2]TongHop!M497</f>
        <v>0</v>
      </c>
      <c r="N497">
        <f>[2]TongHop!N497</f>
        <v>0</v>
      </c>
    </row>
    <row r="498" spans="1:14">
      <c r="A498">
        <f>[2]TongHop!A498</f>
        <v>0</v>
      </c>
      <c r="B498">
        <f>[2]TongHop!B498</f>
        <v>0</v>
      </c>
      <c r="C498">
        <f>[2]TongHop!C498</f>
        <v>0</v>
      </c>
      <c r="D498">
        <f>[2]TongHop!D498</f>
        <v>0</v>
      </c>
      <c r="E498">
        <f>[2]TongHop!E498</f>
        <v>0</v>
      </c>
      <c r="F498">
        <f>[2]TongHop!F498</f>
        <v>0</v>
      </c>
      <c r="G498">
        <f>[2]TongHop!G498</f>
        <v>0</v>
      </c>
      <c r="H498">
        <f>[2]TongHop!H498</f>
        <v>0</v>
      </c>
      <c r="I498">
        <f>[2]TongHop!I498</f>
        <v>0</v>
      </c>
      <c r="J498">
        <f>[2]TongHop!J498</f>
        <v>0</v>
      </c>
      <c r="K498">
        <f>[2]TongHop!K498</f>
        <v>0</v>
      </c>
      <c r="L498">
        <f>[2]TongHop!L498</f>
        <v>0</v>
      </c>
      <c r="M498">
        <f>[2]TongHop!M498</f>
        <v>0</v>
      </c>
      <c r="N498">
        <f>[2]TongHop!N498</f>
        <v>0</v>
      </c>
    </row>
    <row r="499" spans="1:14">
      <c r="A499">
        <f>[2]TongHop!A499</f>
        <v>0</v>
      </c>
      <c r="B499">
        <f>[2]TongHop!B499</f>
        <v>0</v>
      </c>
      <c r="C499">
        <f>[2]TongHop!C499</f>
        <v>0</v>
      </c>
      <c r="D499">
        <f>[2]TongHop!D499</f>
        <v>0</v>
      </c>
      <c r="E499">
        <f>[2]TongHop!E499</f>
        <v>0</v>
      </c>
      <c r="F499">
        <f>[2]TongHop!F499</f>
        <v>0</v>
      </c>
      <c r="G499">
        <f>[2]TongHop!G499</f>
        <v>0</v>
      </c>
      <c r="H499">
        <f>[2]TongHop!H499</f>
        <v>0</v>
      </c>
      <c r="I499">
        <f>[2]TongHop!I499</f>
        <v>0</v>
      </c>
      <c r="J499">
        <f>[2]TongHop!J499</f>
        <v>0</v>
      </c>
      <c r="K499">
        <f>[2]TongHop!K499</f>
        <v>0</v>
      </c>
      <c r="L499">
        <f>[2]TongHop!L499</f>
        <v>0</v>
      </c>
      <c r="M499">
        <f>[2]TongHop!M499</f>
        <v>0</v>
      </c>
      <c r="N499">
        <f>[2]TongHop!N499</f>
        <v>0</v>
      </c>
    </row>
    <row r="500" spans="1:14">
      <c r="A500">
        <f>[2]TongHop!A500</f>
        <v>0</v>
      </c>
      <c r="B500">
        <f>[2]TongHop!B500</f>
        <v>0</v>
      </c>
      <c r="C500">
        <f>[2]TongHop!C500</f>
        <v>0</v>
      </c>
      <c r="D500">
        <f>[2]TongHop!D500</f>
        <v>0</v>
      </c>
      <c r="E500">
        <f>[2]TongHop!E500</f>
        <v>0</v>
      </c>
      <c r="F500">
        <f>[2]TongHop!F500</f>
        <v>0</v>
      </c>
      <c r="G500">
        <f>[2]TongHop!G500</f>
        <v>0</v>
      </c>
      <c r="H500">
        <f>[2]TongHop!H500</f>
        <v>0</v>
      </c>
      <c r="I500">
        <f>[2]TongHop!I500</f>
        <v>0</v>
      </c>
      <c r="J500">
        <f>[2]TongHop!J500</f>
        <v>0</v>
      </c>
      <c r="K500">
        <f>[2]TongHop!K500</f>
        <v>0</v>
      </c>
      <c r="L500">
        <f>[2]TongHop!L500</f>
        <v>0</v>
      </c>
      <c r="M500">
        <f>[2]TongHop!M500</f>
        <v>0</v>
      </c>
      <c r="N500">
        <f>[2]TongHop!N500</f>
        <v>0</v>
      </c>
    </row>
    <row r="501" spans="1:14">
      <c r="A501">
        <f>[2]TongHop!A501</f>
        <v>0</v>
      </c>
      <c r="B501">
        <f>[2]TongHop!B501</f>
        <v>0</v>
      </c>
      <c r="C501">
        <f>[2]TongHop!C501</f>
        <v>0</v>
      </c>
      <c r="D501">
        <f>[2]TongHop!D501</f>
        <v>0</v>
      </c>
      <c r="E501">
        <f>[2]TongHop!E501</f>
        <v>0</v>
      </c>
      <c r="F501">
        <f>[2]TongHop!F501</f>
        <v>0</v>
      </c>
      <c r="G501">
        <f>[2]TongHop!G501</f>
        <v>0</v>
      </c>
      <c r="H501">
        <f>[2]TongHop!H501</f>
        <v>0</v>
      </c>
      <c r="I501">
        <f>[2]TongHop!I501</f>
        <v>0</v>
      </c>
      <c r="J501">
        <f>[2]TongHop!J501</f>
        <v>0</v>
      </c>
      <c r="K501">
        <f>[2]TongHop!K501</f>
        <v>0</v>
      </c>
      <c r="L501">
        <f>[2]TongHop!L501</f>
        <v>0</v>
      </c>
      <c r="M501">
        <f>[2]TongHop!M501</f>
        <v>0</v>
      </c>
      <c r="N501">
        <f>[2]TongHop!N501</f>
        <v>0</v>
      </c>
    </row>
    <row r="502" spans="1:14">
      <c r="A502">
        <f>[2]TongHop!A502</f>
        <v>0</v>
      </c>
      <c r="B502">
        <f>[2]TongHop!B502</f>
        <v>0</v>
      </c>
      <c r="C502">
        <f>[2]TongHop!C502</f>
        <v>0</v>
      </c>
      <c r="D502">
        <f>[2]TongHop!D502</f>
        <v>0</v>
      </c>
      <c r="E502">
        <f>[2]TongHop!E502</f>
        <v>0</v>
      </c>
      <c r="F502">
        <f>[2]TongHop!F502</f>
        <v>0</v>
      </c>
      <c r="G502">
        <f>[2]TongHop!G502</f>
        <v>0</v>
      </c>
      <c r="H502">
        <f>[2]TongHop!H502</f>
        <v>0</v>
      </c>
      <c r="I502">
        <f>[2]TongHop!I502</f>
        <v>0</v>
      </c>
      <c r="J502">
        <f>[2]TongHop!J502</f>
        <v>0</v>
      </c>
      <c r="K502">
        <f>[2]TongHop!K502</f>
        <v>0</v>
      </c>
      <c r="L502">
        <f>[2]TongHop!L502</f>
        <v>0</v>
      </c>
      <c r="M502">
        <f>[2]TongHop!M502</f>
        <v>0</v>
      </c>
      <c r="N502">
        <f>[2]TongHop!N502</f>
        <v>0</v>
      </c>
    </row>
    <row r="503" spans="1:14">
      <c r="A503">
        <f>[2]TongHop!A503</f>
        <v>0</v>
      </c>
      <c r="B503">
        <f>[2]TongHop!B503</f>
        <v>0</v>
      </c>
      <c r="C503">
        <f>[2]TongHop!C503</f>
        <v>0</v>
      </c>
      <c r="D503">
        <f>[2]TongHop!D503</f>
        <v>0</v>
      </c>
      <c r="E503">
        <f>[2]TongHop!E503</f>
        <v>0</v>
      </c>
      <c r="F503">
        <f>[2]TongHop!F503</f>
        <v>0</v>
      </c>
      <c r="G503">
        <f>[2]TongHop!G503</f>
        <v>0</v>
      </c>
      <c r="H503">
        <f>[2]TongHop!H503</f>
        <v>0</v>
      </c>
      <c r="I503">
        <f>[2]TongHop!I503</f>
        <v>0</v>
      </c>
      <c r="J503">
        <f>[2]TongHop!J503</f>
        <v>0</v>
      </c>
      <c r="K503">
        <f>[2]TongHop!K503</f>
        <v>0</v>
      </c>
      <c r="L503">
        <f>[2]TongHop!L503</f>
        <v>0</v>
      </c>
      <c r="M503">
        <f>[2]TongHop!M503</f>
        <v>0</v>
      </c>
      <c r="N503">
        <f>[2]TongHop!N503</f>
        <v>0</v>
      </c>
    </row>
    <row r="504" spans="1:14">
      <c r="A504">
        <f>[2]TongHop!A504</f>
        <v>0</v>
      </c>
      <c r="B504">
        <f>[2]TongHop!B504</f>
        <v>0</v>
      </c>
      <c r="C504">
        <f>[2]TongHop!C504</f>
        <v>0</v>
      </c>
      <c r="D504">
        <f>[2]TongHop!D504</f>
        <v>0</v>
      </c>
      <c r="E504">
        <f>[2]TongHop!E504</f>
        <v>0</v>
      </c>
      <c r="F504">
        <f>[2]TongHop!F504</f>
        <v>0</v>
      </c>
      <c r="G504">
        <f>[2]TongHop!G504</f>
        <v>0</v>
      </c>
      <c r="H504">
        <f>[2]TongHop!H504</f>
        <v>0</v>
      </c>
      <c r="I504">
        <f>[2]TongHop!I504</f>
        <v>0</v>
      </c>
      <c r="J504">
        <f>[2]TongHop!J504</f>
        <v>0</v>
      </c>
      <c r="K504">
        <f>[2]TongHop!K504</f>
        <v>0</v>
      </c>
      <c r="L504">
        <f>[2]TongHop!L504</f>
        <v>0</v>
      </c>
      <c r="M504">
        <f>[2]TongHop!M504</f>
        <v>0</v>
      </c>
      <c r="N504">
        <f>[2]TongHop!N504</f>
        <v>0</v>
      </c>
    </row>
    <row r="505" spans="1:14">
      <c r="A505">
        <f>[2]TongHop!A505</f>
        <v>0</v>
      </c>
      <c r="B505">
        <f>[2]TongHop!B505</f>
        <v>0</v>
      </c>
      <c r="C505">
        <f>[2]TongHop!C505</f>
        <v>0</v>
      </c>
      <c r="D505">
        <f>[2]TongHop!D505</f>
        <v>0</v>
      </c>
      <c r="E505">
        <f>[2]TongHop!E505</f>
        <v>0</v>
      </c>
      <c r="F505">
        <f>[2]TongHop!F505</f>
        <v>0</v>
      </c>
      <c r="G505">
        <f>[2]TongHop!G505</f>
        <v>0</v>
      </c>
      <c r="H505">
        <f>[2]TongHop!H505</f>
        <v>0</v>
      </c>
      <c r="I505">
        <f>[2]TongHop!I505</f>
        <v>0</v>
      </c>
      <c r="J505">
        <f>[2]TongHop!J505</f>
        <v>0</v>
      </c>
      <c r="K505">
        <f>[2]TongHop!K505</f>
        <v>0</v>
      </c>
      <c r="L505">
        <f>[2]TongHop!L505</f>
        <v>0</v>
      </c>
      <c r="M505">
        <f>[2]TongHop!M505</f>
        <v>0</v>
      </c>
      <c r="N505">
        <f>[2]TongHop!N505</f>
        <v>0</v>
      </c>
    </row>
    <row r="506" spans="1:14">
      <c r="A506">
        <f>[2]TongHop!A506</f>
        <v>0</v>
      </c>
      <c r="B506">
        <f>[2]TongHop!B506</f>
        <v>0</v>
      </c>
      <c r="C506">
        <f>[2]TongHop!C506</f>
        <v>0</v>
      </c>
      <c r="D506">
        <f>[2]TongHop!D506</f>
        <v>0</v>
      </c>
      <c r="E506">
        <f>[2]TongHop!E506</f>
        <v>0</v>
      </c>
      <c r="F506">
        <f>[2]TongHop!F506</f>
        <v>0</v>
      </c>
      <c r="G506">
        <f>[2]TongHop!G506</f>
        <v>0</v>
      </c>
      <c r="H506">
        <f>[2]TongHop!H506</f>
        <v>0</v>
      </c>
      <c r="I506">
        <f>[2]TongHop!I506</f>
        <v>0</v>
      </c>
      <c r="J506">
        <f>[2]TongHop!J506</f>
        <v>0</v>
      </c>
      <c r="K506">
        <f>[2]TongHop!K506</f>
        <v>0</v>
      </c>
      <c r="L506">
        <f>[2]TongHop!L506</f>
        <v>0</v>
      </c>
      <c r="M506">
        <f>[2]TongHop!M506</f>
        <v>0</v>
      </c>
      <c r="N506">
        <f>[2]TongHop!N506</f>
        <v>0</v>
      </c>
    </row>
    <row r="507" spans="1:14">
      <c r="A507">
        <f>[2]TongHop!A507</f>
        <v>0</v>
      </c>
      <c r="B507">
        <f>[2]TongHop!B507</f>
        <v>0</v>
      </c>
      <c r="C507">
        <f>[2]TongHop!C507</f>
        <v>0</v>
      </c>
      <c r="D507">
        <f>[2]TongHop!D507</f>
        <v>0</v>
      </c>
      <c r="E507">
        <f>[2]TongHop!E507</f>
        <v>0</v>
      </c>
      <c r="F507">
        <f>[2]TongHop!F507</f>
        <v>0</v>
      </c>
      <c r="G507">
        <f>[2]TongHop!G507</f>
        <v>0</v>
      </c>
      <c r="H507">
        <f>[2]TongHop!H507</f>
        <v>0</v>
      </c>
      <c r="I507">
        <f>[2]TongHop!I507</f>
        <v>0</v>
      </c>
      <c r="J507">
        <f>[2]TongHop!J507</f>
        <v>0</v>
      </c>
      <c r="K507">
        <f>[2]TongHop!K507</f>
        <v>0</v>
      </c>
      <c r="L507">
        <f>[2]TongHop!L507</f>
        <v>0</v>
      </c>
      <c r="M507">
        <f>[2]TongHop!M507</f>
        <v>0</v>
      </c>
      <c r="N507">
        <f>[2]TongHop!N507</f>
        <v>0</v>
      </c>
    </row>
    <row r="508" spans="1:14">
      <c r="A508">
        <f>[2]TongHop!A508</f>
        <v>0</v>
      </c>
      <c r="B508">
        <f>[2]TongHop!B508</f>
        <v>0</v>
      </c>
      <c r="C508">
        <f>[2]TongHop!C508</f>
        <v>0</v>
      </c>
      <c r="D508">
        <f>[2]TongHop!D508</f>
        <v>0</v>
      </c>
      <c r="E508">
        <f>[2]TongHop!E508</f>
        <v>0</v>
      </c>
      <c r="F508">
        <f>[2]TongHop!F508</f>
        <v>0</v>
      </c>
      <c r="G508">
        <f>[2]TongHop!G508</f>
        <v>0</v>
      </c>
      <c r="H508">
        <f>[2]TongHop!H508</f>
        <v>0</v>
      </c>
      <c r="I508">
        <f>[2]TongHop!I508</f>
        <v>0</v>
      </c>
      <c r="J508">
        <f>[2]TongHop!J508</f>
        <v>0</v>
      </c>
      <c r="K508">
        <f>[2]TongHop!K508</f>
        <v>0</v>
      </c>
      <c r="L508">
        <f>[2]TongHop!L508</f>
        <v>0</v>
      </c>
      <c r="M508">
        <f>[2]TongHop!M508</f>
        <v>0</v>
      </c>
      <c r="N508">
        <f>[2]TongHop!N508</f>
        <v>0</v>
      </c>
    </row>
    <row r="509" spans="1:14">
      <c r="A509">
        <f>[2]TongHop!A509</f>
        <v>0</v>
      </c>
      <c r="B509">
        <f>[2]TongHop!B509</f>
        <v>0</v>
      </c>
      <c r="C509">
        <f>[2]TongHop!C509</f>
        <v>0</v>
      </c>
      <c r="D509">
        <f>[2]TongHop!D509</f>
        <v>0</v>
      </c>
      <c r="E509">
        <f>[2]TongHop!E509</f>
        <v>0</v>
      </c>
      <c r="F509">
        <f>[2]TongHop!F509</f>
        <v>0</v>
      </c>
      <c r="G509">
        <f>[2]TongHop!G509</f>
        <v>0</v>
      </c>
      <c r="H509">
        <f>[2]TongHop!H509</f>
        <v>0</v>
      </c>
      <c r="I509">
        <f>[2]TongHop!I509</f>
        <v>0</v>
      </c>
      <c r="J509">
        <f>[2]TongHop!J509</f>
        <v>0</v>
      </c>
      <c r="K509">
        <f>[2]TongHop!K509</f>
        <v>0</v>
      </c>
      <c r="L509">
        <f>[2]TongHop!L509</f>
        <v>0</v>
      </c>
      <c r="M509">
        <f>[2]TongHop!M509</f>
        <v>0</v>
      </c>
      <c r="N509">
        <f>[2]TongHop!N509</f>
        <v>0</v>
      </c>
    </row>
    <row r="510" spans="1:14">
      <c r="A510">
        <f>[2]TongHop!A510</f>
        <v>0</v>
      </c>
      <c r="B510">
        <f>[2]TongHop!B510</f>
        <v>0</v>
      </c>
      <c r="C510">
        <f>[2]TongHop!C510</f>
        <v>0</v>
      </c>
      <c r="D510">
        <f>[2]TongHop!D510</f>
        <v>0</v>
      </c>
      <c r="E510">
        <f>[2]TongHop!E510</f>
        <v>0</v>
      </c>
      <c r="F510">
        <f>[2]TongHop!F510</f>
        <v>0</v>
      </c>
      <c r="G510">
        <f>[2]TongHop!G510</f>
        <v>0</v>
      </c>
      <c r="H510">
        <f>[2]TongHop!H510</f>
        <v>0</v>
      </c>
      <c r="I510">
        <f>[2]TongHop!I510</f>
        <v>0</v>
      </c>
      <c r="J510">
        <f>[2]TongHop!J510</f>
        <v>0</v>
      </c>
      <c r="K510">
        <f>[2]TongHop!K510</f>
        <v>0</v>
      </c>
      <c r="L510">
        <f>[2]TongHop!L510</f>
        <v>0</v>
      </c>
      <c r="M510">
        <f>[2]TongHop!M510</f>
        <v>0</v>
      </c>
      <c r="N510">
        <f>[2]TongHop!N510</f>
        <v>0</v>
      </c>
    </row>
    <row r="511" spans="1:14">
      <c r="A511">
        <f>[2]TongHop!A511</f>
        <v>0</v>
      </c>
      <c r="B511">
        <f>[2]TongHop!B511</f>
        <v>0</v>
      </c>
      <c r="C511">
        <f>[2]TongHop!C511</f>
        <v>0</v>
      </c>
      <c r="D511">
        <f>[2]TongHop!D511</f>
        <v>0</v>
      </c>
      <c r="E511">
        <f>[2]TongHop!E511</f>
        <v>0</v>
      </c>
      <c r="F511">
        <f>[2]TongHop!F511</f>
        <v>0</v>
      </c>
      <c r="G511">
        <f>[2]TongHop!G511</f>
        <v>0</v>
      </c>
      <c r="H511">
        <f>[2]TongHop!H511</f>
        <v>0</v>
      </c>
      <c r="I511">
        <f>[2]TongHop!I511</f>
        <v>0</v>
      </c>
      <c r="J511">
        <f>[2]TongHop!J511</f>
        <v>0</v>
      </c>
      <c r="K511">
        <f>[2]TongHop!K511</f>
        <v>0</v>
      </c>
      <c r="L511">
        <f>[2]TongHop!L511</f>
        <v>0</v>
      </c>
      <c r="M511">
        <f>[2]TongHop!M511</f>
        <v>0</v>
      </c>
      <c r="N511">
        <f>[2]TongHop!N511</f>
        <v>0</v>
      </c>
    </row>
    <row r="512" spans="1:14">
      <c r="A512">
        <f>[2]TongHop!A512</f>
        <v>0</v>
      </c>
      <c r="B512">
        <f>[2]TongHop!B512</f>
        <v>0</v>
      </c>
      <c r="C512">
        <f>[2]TongHop!C512</f>
        <v>0</v>
      </c>
      <c r="D512">
        <f>[2]TongHop!D512</f>
        <v>0</v>
      </c>
      <c r="E512">
        <f>[2]TongHop!E512</f>
        <v>0</v>
      </c>
      <c r="F512">
        <f>[2]TongHop!F512</f>
        <v>0</v>
      </c>
      <c r="G512">
        <f>[2]TongHop!G512</f>
        <v>0</v>
      </c>
      <c r="H512">
        <f>[2]TongHop!H512</f>
        <v>0</v>
      </c>
      <c r="I512">
        <f>[2]TongHop!I512</f>
        <v>0</v>
      </c>
      <c r="J512">
        <f>[2]TongHop!J512</f>
        <v>0</v>
      </c>
      <c r="K512">
        <f>[2]TongHop!K512</f>
        <v>0</v>
      </c>
      <c r="L512">
        <f>[2]TongHop!L512</f>
        <v>0</v>
      </c>
      <c r="M512">
        <f>[2]TongHop!M512</f>
        <v>0</v>
      </c>
      <c r="N512">
        <f>[2]TongHop!N512</f>
        <v>0</v>
      </c>
    </row>
    <row r="513" spans="1:14">
      <c r="A513">
        <f>[2]TongHop!A513</f>
        <v>0</v>
      </c>
      <c r="B513">
        <f>[2]TongHop!B513</f>
        <v>0</v>
      </c>
      <c r="C513">
        <f>[2]TongHop!C513</f>
        <v>0</v>
      </c>
      <c r="D513">
        <f>[2]TongHop!D513</f>
        <v>0</v>
      </c>
      <c r="E513">
        <f>[2]TongHop!E513</f>
        <v>0</v>
      </c>
      <c r="F513">
        <f>[2]TongHop!F513</f>
        <v>0</v>
      </c>
      <c r="G513">
        <f>[2]TongHop!G513</f>
        <v>0</v>
      </c>
      <c r="H513">
        <f>[2]TongHop!H513</f>
        <v>0</v>
      </c>
      <c r="I513">
        <f>[2]TongHop!I513</f>
        <v>0</v>
      </c>
      <c r="J513">
        <f>[2]TongHop!J513</f>
        <v>0</v>
      </c>
      <c r="K513">
        <f>[2]TongHop!K513</f>
        <v>0</v>
      </c>
      <c r="L513">
        <f>[2]TongHop!L513</f>
        <v>0</v>
      </c>
      <c r="M513">
        <f>[2]TongHop!M513</f>
        <v>0</v>
      </c>
      <c r="N513">
        <f>[2]TongHop!N513</f>
        <v>0</v>
      </c>
    </row>
    <row r="514" spans="1:14">
      <c r="A514">
        <f>[2]TongHop!A514</f>
        <v>0</v>
      </c>
      <c r="B514">
        <f>[2]TongHop!B514</f>
        <v>0</v>
      </c>
      <c r="C514">
        <f>[2]TongHop!C514</f>
        <v>0</v>
      </c>
      <c r="D514">
        <f>[2]TongHop!D514</f>
        <v>0</v>
      </c>
      <c r="E514">
        <f>[2]TongHop!E514</f>
        <v>0</v>
      </c>
      <c r="F514">
        <f>[2]TongHop!F514</f>
        <v>0</v>
      </c>
      <c r="G514">
        <f>[2]TongHop!G514</f>
        <v>0</v>
      </c>
      <c r="H514">
        <f>[2]TongHop!H514</f>
        <v>0</v>
      </c>
      <c r="I514">
        <f>[2]TongHop!I514</f>
        <v>0</v>
      </c>
      <c r="J514">
        <f>[2]TongHop!J514</f>
        <v>0</v>
      </c>
      <c r="K514">
        <f>[2]TongHop!K514</f>
        <v>0</v>
      </c>
      <c r="L514">
        <f>[2]TongHop!L514</f>
        <v>0</v>
      </c>
      <c r="M514">
        <f>[2]TongHop!M514</f>
        <v>0</v>
      </c>
      <c r="N514">
        <f>[2]TongHop!N514</f>
        <v>0</v>
      </c>
    </row>
    <row r="515" spans="1:14">
      <c r="A515">
        <f>[2]TongHop!A515</f>
        <v>0</v>
      </c>
      <c r="B515">
        <f>[2]TongHop!B515</f>
        <v>0</v>
      </c>
      <c r="C515">
        <f>[2]TongHop!C515</f>
        <v>0</v>
      </c>
      <c r="D515">
        <f>[2]TongHop!D515</f>
        <v>0</v>
      </c>
      <c r="E515">
        <f>[2]TongHop!E515</f>
        <v>0</v>
      </c>
      <c r="F515">
        <f>[2]TongHop!F515</f>
        <v>0</v>
      </c>
      <c r="G515">
        <f>[2]TongHop!G515</f>
        <v>0</v>
      </c>
      <c r="H515">
        <f>[2]TongHop!H515</f>
        <v>0</v>
      </c>
      <c r="I515">
        <f>[2]TongHop!I515</f>
        <v>0</v>
      </c>
      <c r="J515">
        <f>[2]TongHop!J515</f>
        <v>0</v>
      </c>
      <c r="K515">
        <f>[2]TongHop!K515</f>
        <v>0</v>
      </c>
      <c r="L515">
        <f>[2]TongHop!L515</f>
        <v>0</v>
      </c>
      <c r="M515">
        <f>[2]TongHop!M515</f>
        <v>0</v>
      </c>
      <c r="N515">
        <f>[2]TongHop!N515</f>
        <v>0</v>
      </c>
    </row>
    <row r="516" spans="1:14">
      <c r="A516">
        <f>[2]TongHop!A516</f>
        <v>0</v>
      </c>
      <c r="B516">
        <f>[2]TongHop!B516</f>
        <v>0</v>
      </c>
      <c r="C516">
        <f>[2]TongHop!C516</f>
        <v>0</v>
      </c>
      <c r="D516">
        <f>[2]TongHop!D516</f>
        <v>0</v>
      </c>
      <c r="E516">
        <f>[2]TongHop!E516</f>
        <v>0</v>
      </c>
      <c r="F516">
        <f>[2]TongHop!F516</f>
        <v>0</v>
      </c>
      <c r="G516">
        <f>[2]TongHop!G516</f>
        <v>0</v>
      </c>
      <c r="H516">
        <f>[2]TongHop!H516</f>
        <v>0</v>
      </c>
      <c r="I516">
        <f>[2]TongHop!I516</f>
        <v>0</v>
      </c>
      <c r="J516">
        <f>[2]TongHop!J516</f>
        <v>0</v>
      </c>
      <c r="K516">
        <f>[2]TongHop!K516</f>
        <v>0</v>
      </c>
      <c r="L516">
        <f>[2]TongHop!L516</f>
        <v>0</v>
      </c>
      <c r="M516">
        <f>[2]TongHop!M516</f>
        <v>0</v>
      </c>
      <c r="N516">
        <f>[2]TongHop!N516</f>
        <v>0</v>
      </c>
    </row>
    <row r="517" spans="1:14">
      <c r="A517">
        <f>[2]TongHop!A517</f>
        <v>0</v>
      </c>
      <c r="B517">
        <f>[2]TongHop!B517</f>
        <v>0</v>
      </c>
      <c r="C517">
        <f>[2]TongHop!C517</f>
        <v>0</v>
      </c>
      <c r="D517">
        <f>[2]TongHop!D517</f>
        <v>0</v>
      </c>
      <c r="E517">
        <f>[2]TongHop!E517</f>
        <v>0</v>
      </c>
      <c r="F517">
        <f>[2]TongHop!F517</f>
        <v>0</v>
      </c>
      <c r="G517">
        <f>[2]TongHop!G517</f>
        <v>0</v>
      </c>
      <c r="H517">
        <f>[2]TongHop!H517</f>
        <v>0</v>
      </c>
      <c r="I517">
        <f>[2]TongHop!I517</f>
        <v>0</v>
      </c>
      <c r="J517">
        <f>[2]TongHop!J517</f>
        <v>0</v>
      </c>
      <c r="K517">
        <f>[2]TongHop!K517</f>
        <v>0</v>
      </c>
      <c r="L517">
        <f>[2]TongHop!L517</f>
        <v>0</v>
      </c>
      <c r="M517">
        <f>[2]TongHop!M517</f>
        <v>0</v>
      </c>
      <c r="N517">
        <f>[2]TongHop!N517</f>
        <v>0</v>
      </c>
    </row>
    <row r="518" spans="1:14">
      <c r="A518">
        <f>[2]TongHop!A518</f>
        <v>0</v>
      </c>
      <c r="B518">
        <f>[2]TongHop!B518</f>
        <v>0</v>
      </c>
      <c r="C518">
        <f>[2]TongHop!C518</f>
        <v>0</v>
      </c>
      <c r="D518">
        <f>[2]TongHop!D518</f>
        <v>0</v>
      </c>
      <c r="E518">
        <f>[2]TongHop!E518</f>
        <v>0</v>
      </c>
      <c r="F518">
        <f>[2]TongHop!F518</f>
        <v>0</v>
      </c>
      <c r="G518">
        <f>[2]TongHop!G518</f>
        <v>0</v>
      </c>
      <c r="H518">
        <f>[2]TongHop!H518</f>
        <v>0</v>
      </c>
      <c r="I518">
        <f>[2]TongHop!I518</f>
        <v>0</v>
      </c>
      <c r="J518">
        <f>[2]TongHop!J518</f>
        <v>0</v>
      </c>
      <c r="K518">
        <f>[2]TongHop!K518</f>
        <v>0</v>
      </c>
      <c r="L518">
        <f>[2]TongHop!L518</f>
        <v>0</v>
      </c>
      <c r="M518">
        <f>[2]TongHop!M518</f>
        <v>0</v>
      </c>
      <c r="N518">
        <f>[2]TongHop!N518</f>
        <v>0</v>
      </c>
    </row>
    <row r="519" spans="1:14">
      <c r="A519">
        <f>[2]TongHop!A519</f>
        <v>0</v>
      </c>
      <c r="B519">
        <f>[2]TongHop!B519</f>
        <v>0</v>
      </c>
      <c r="C519">
        <f>[2]TongHop!C519</f>
        <v>0</v>
      </c>
      <c r="D519">
        <f>[2]TongHop!D519</f>
        <v>0</v>
      </c>
      <c r="E519">
        <f>[2]TongHop!E519</f>
        <v>0</v>
      </c>
      <c r="F519">
        <f>[2]TongHop!F519</f>
        <v>0</v>
      </c>
      <c r="G519">
        <f>[2]TongHop!G519</f>
        <v>0</v>
      </c>
      <c r="H519">
        <f>[2]TongHop!H519</f>
        <v>0</v>
      </c>
      <c r="I519">
        <f>[2]TongHop!I519</f>
        <v>0</v>
      </c>
      <c r="J519">
        <f>[2]TongHop!J519</f>
        <v>0</v>
      </c>
      <c r="K519">
        <f>[2]TongHop!K519</f>
        <v>0</v>
      </c>
      <c r="L519">
        <f>[2]TongHop!L519</f>
        <v>0</v>
      </c>
      <c r="M519">
        <f>[2]TongHop!M519</f>
        <v>0</v>
      </c>
      <c r="N519">
        <f>[2]TongHop!N519</f>
        <v>0</v>
      </c>
    </row>
    <row r="520" spans="1:14">
      <c r="A520">
        <f>[2]TongHop!A520</f>
        <v>0</v>
      </c>
      <c r="B520">
        <f>[2]TongHop!B520</f>
        <v>0</v>
      </c>
      <c r="C520">
        <f>[2]TongHop!C520</f>
        <v>0</v>
      </c>
      <c r="D520">
        <f>[2]TongHop!D520</f>
        <v>0</v>
      </c>
      <c r="E520">
        <f>[2]TongHop!E520</f>
        <v>0</v>
      </c>
      <c r="F520">
        <f>[2]TongHop!F520</f>
        <v>0</v>
      </c>
      <c r="G520">
        <f>[2]TongHop!G520</f>
        <v>0</v>
      </c>
      <c r="H520">
        <f>[2]TongHop!H520</f>
        <v>0</v>
      </c>
      <c r="I520">
        <f>[2]TongHop!I520</f>
        <v>0</v>
      </c>
      <c r="J520">
        <f>[2]TongHop!J520</f>
        <v>0</v>
      </c>
      <c r="K520">
        <f>[2]TongHop!K520</f>
        <v>0</v>
      </c>
      <c r="L520">
        <f>[2]TongHop!L520</f>
        <v>0</v>
      </c>
      <c r="M520">
        <f>[2]TongHop!M520</f>
        <v>0</v>
      </c>
      <c r="N520">
        <f>[2]TongHop!N520</f>
        <v>0</v>
      </c>
    </row>
    <row r="521" spans="1:14">
      <c r="A521">
        <f>[2]TongHop!A521</f>
        <v>0</v>
      </c>
      <c r="B521">
        <f>[2]TongHop!B521</f>
        <v>0</v>
      </c>
      <c r="C521">
        <f>[2]TongHop!C521</f>
        <v>0</v>
      </c>
      <c r="D521">
        <f>[2]TongHop!D521</f>
        <v>0</v>
      </c>
      <c r="E521">
        <f>[2]TongHop!E521</f>
        <v>0</v>
      </c>
      <c r="F521">
        <f>[2]TongHop!F521</f>
        <v>0</v>
      </c>
      <c r="G521">
        <f>[2]TongHop!G521</f>
        <v>0</v>
      </c>
      <c r="H521">
        <f>[2]TongHop!H521</f>
        <v>0</v>
      </c>
      <c r="I521">
        <f>[2]TongHop!I521</f>
        <v>0</v>
      </c>
      <c r="J521">
        <f>[2]TongHop!J521</f>
        <v>0</v>
      </c>
      <c r="K521">
        <f>[2]TongHop!K521</f>
        <v>0</v>
      </c>
      <c r="L521">
        <f>[2]TongHop!L521</f>
        <v>0</v>
      </c>
      <c r="M521">
        <f>[2]TongHop!M521</f>
        <v>0</v>
      </c>
      <c r="N521">
        <f>[2]TongHop!N521</f>
        <v>0</v>
      </c>
    </row>
    <row r="522" spans="1:14">
      <c r="A522">
        <f>[2]TongHop!A522</f>
        <v>0</v>
      </c>
      <c r="B522">
        <f>[2]TongHop!B522</f>
        <v>0</v>
      </c>
      <c r="C522">
        <f>[2]TongHop!C522</f>
        <v>0</v>
      </c>
      <c r="D522">
        <f>[2]TongHop!D522</f>
        <v>0</v>
      </c>
      <c r="E522">
        <f>[2]TongHop!E522</f>
        <v>0</v>
      </c>
      <c r="F522">
        <f>[2]TongHop!F522</f>
        <v>0</v>
      </c>
      <c r="G522">
        <f>[2]TongHop!G522</f>
        <v>0</v>
      </c>
      <c r="H522">
        <f>[2]TongHop!H522</f>
        <v>0</v>
      </c>
      <c r="I522">
        <f>[2]TongHop!I522</f>
        <v>0</v>
      </c>
      <c r="J522">
        <f>[2]TongHop!J522</f>
        <v>0</v>
      </c>
      <c r="K522">
        <f>[2]TongHop!K522</f>
        <v>0</v>
      </c>
      <c r="L522">
        <f>[2]TongHop!L522</f>
        <v>0</v>
      </c>
      <c r="M522">
        <f>[2]TongHop!M522</f>
        <v>0</v>
      </c>
      <c r="N522">
        <f>[2]TongHop!N522</f>
        <v>0</v>
      </c>
    </row>
    <row r="523" spans="1:14">
      <c r="A523">
        <f>[2]TongHop!A523</f>
        <v>0</v>
      </c>
      <c r="B523">
        <f>[2]TongHop!B523</f>
        <v>0</v>
      </c>
      <c r="C523">
        <f>[2]TongHop!C523</f>
        <v>0</v>
      </c>
      <c r="D523">
        <f>[2]TongHop!D523</f>
        <v>0</v>
      </c>
      <c r="E523">
        <f>[2]TongHop!E523</f>
        <v>0</v>
      </c>
      <c r="F523">
        <f>[2]TongHop!F523</f>
        <v>0</v>
      </c>
      <c r="G523">
        <f>[2]TongHop!G523</f>
        <v>0</v>
      </c>
      <c r="H523">
        <f>[2]TongHop!H523</f>
        <v>0</v>
      </c>
      <c r="I523">
        <f>[2]TongHop!I523</f>
        <v>0</v>
      </c>
      <c r="J523">
        <f>[2]TongHop!J523</f>
        <v>0</v>
      </c>
      <c r="K523">
        <f>[2]TongHop!K523</f>
        <v>0</v>
      </c>
      <c r="L523">
        <f>[2]TongHop!L523</f>
        <v>0</v>
      </c>
      <c r="M523">
        <f>[2]TongHop!M523</f>
        <v>0</v>
      </c>
      <c r="N523">
        <f>[2]TongHop!N523</f>
        <v>0</v>
      </c>
    </row>
    <row r="524" spans="1:14">
      <c r="A524">
        <f>[2]TongHop!A524</f>
        <v>0</v>
      </c>
      <c r="B524">
        <f>[2]TongHop!B524</f>
        <v>0</v>
      </c>
      <c r="C524">
        <f>[2]TongHop!C524</f>
        <v>0</v>
      </c>
      <c r="D524">
        <f>[2]TongHop!D524</f>
        <v>0</v>
      </c>
      <c r="E524">
        <f>[2]TongHop!E524</f>
        <v>0</v>
      </c>
      <c r="F524">
        <f>[2]TongHop!F524</f>
        <v>0</v>
      </c>
      <c r="G524">
        <f>[2]TongHop!G524</f>
        <v>0</v>
      </c>
      <c r="H524">
        <f>[2]TongHop!H524</f>
        <v>0</v>
      </c>
      <c r="I524">
        <f>[2]TongHop!I524</f>
        <v>0</v>
      </c>
      <c r="J524">
        <f>[2]TongHop!J524</f>
        <v>0</v>
      </c>
      <c r="K524">
        <f>[2]TongHop!K524</f>
        <v>0</v>
      </c>
      <c r="L524">
        <f>[2]TongHop!L524</f>
        <v>0</v>
      </c>
      <c r="M524">
        <f>[2]TongHop!M524</f>
        <v>0</v>
      </c>
      <c r="N524">
        <f>[2]TongHop!N524</f>
        <v>0</v>
      </c>
    </row>
    <row r="525" spans="1:14">
      <c r="A525">
        <f>[2]TongHop!A525</f>
        <v>0</v>
      </c>
      <c r="B525">
        <f>[2]TongHop!B525</f>
        <v>0</v>
      </c>
      <c r="C525">
        <f>[2]TongHop!C525</f>
        <v>0</v>
      </c>
      <c r="D525">
        <f>[2]TongHop!D525</f>
        <v>0</v>
      </c>
      <c r="E525">
        <f>[2]TongHop!E525</f>
        <v>0</v>
      </c>
      <c r="F525">
        <f>[2]TongHop!F525</f>
        <v>0</v>
      </c>
      <c r="G525">
        <f>[2]TongHop!G525</f>
        <v>0</v>
      </c>
      <c r="H525">
        <f>[2]TongHop!H525</f>
        <v>0</v>
      </c>
      <c r="I525">
        <f>[2]TongHop!I525</f>
        <v>0</v>
      </c>
      <c r="J525">
        <f>[2]TongHop!J525</f>
        <v>0</v>
      </c>
      <c r="K525">
        <f>[2]TongHop!K525</f>
        <v>0</v>
      </c>
      <c r="L525">
        <f>[2]TongHop!L525</f>
        <v>0</v>
      </c>
      <c r="M525">
        <f>[2]TongHop!M525</f>
        <v>0</v>
      </c>
      <c r="N525">
        <f>[2]TongHop!N525</f>
        <v>0</v>
      </c>
    </row>
    <row r="526" spans="1:14">
      <c r="A526">
        <f>[2]TongHop!A526</f>
        <v>0</v>
      </c>
      <c r="B526">
        <f>[2]TongHop!B526</f>
        <v>0</v>
      </c>
      <c r="C526">
        <f>[2]TongHop!C526</f>
        <v>0</v>
      </c>
      <c r="D526">
        <f>[2]TongHop!D526</f>
        <v>0</v>
      </c>
      <c r="E526">
        <f>[2]TongHop!E526</f>
        <v>0</v>
      </c>
      <c r="F526">
        <f>[2]TongHop!F526</f>
        <v>0</v>
      </c>
      <c r="G526">
        <f>[2]TongHop!G526</f>
        <v>0</v>
      </c>
      <c r="H526">
        <f>[2]TongHop!H526</f>
        <v>0</v>
      </c>
      <c r="I526">
        <f>[2]TongHop!I526</f>
        <v>0</v>
      </c>
      <c r="J526">
        <f>[2]TongHop!J526</f>
        <v>0</v>
      </c>
      <c r="K526">
        <f>[2]TongHop!K526</f>
        <v>0</v>
      </c>
      <c r="L526">
        <f>[2]TongHop!L526</f>
        <v>0</v>
      </c>
      <c r="M526">
        <f>[2]TongHop!M526</f>
        <v>0</v>
      </c>
      <c r="N526">
        <f>[2]TongHop!N526</f>
        <v>0</v>
      </c>
    </row>
    <row r="527" spans="1:14">
      <c r="A527">
        <f>[2]TongHop!A527</f>
        <v>0</v>
      </c>
      <c r="B527">
        <f>[2]TongHop!B527</f>
        <v>0</v>
      </c>
      <c r="C527">
        <f>[2]TongHop!C527</f>
        <v>0</v>
      </c>
      <c r="D527">
        <f>[2]TongHop!D527</f>
        <v>0</v>
      </c>
      <c r="E527">
        <f>[2]TongHop!E527</f>
        <v>0</v>
      </c>
      <c r="F527">
        <f>[2]TongHop!F527</f>
        <v>0</v>
      </c>
      <c r="G527">
        <f>[2]TongHop!G527</f>
        <v>0</v>
      </c>
      <c r="H527">
        <f>[2]TongHop!H527</f>
        <v>0</v>
      </c>
      <c r="I527">
        <f>[2]TongHop!I527</f>
        <v>0</v>
      </c>
      <c r="J527">
        <f>[2]TongHop!J527</f>
        <v>0</v>
      </c>
      <c r="K527">
        <f>[2]TongHop!K527</f>
        <v>0</v>
      </c>
      <c r="L527">
        <f>[2]TongHop!L527</f>
        <v>0</v>
      </c>
      <c r="M527">
        <f>[2]TongHop!M527</f>
        <v>0</v>
      </c>
      <c r="N527">
        <f>[2]TongHop!N527</f>
        <v>0</v>
      </c>
    </row>
    <row r="528" spans="1:14">
      <c r="A528">
        <f>[2]TongHop!A528</f>
        <v>0</v>
      </c>
      <c r="B528">
        <f>[2]TongHop!B528</f>
        <v>0</v>
      </c>
      <c r="C528">
        <f>[2]TongHop!C528</f>
        <v>0</v>
      </c>
      <c r="D528">
        <f>[2]TongHop!D528</f>
        <v>0</v>
      </c>
      <c r="E528">
        <f>[2]TongHop!E528</f>
        <v>0</v>
      </c>
      <c r="F528">
        <f>[2]TongHop!F528</f>
        <v>0</v>
      </c>
      <c r="G528">
        <f>[2]TongHop!G528</f>
        <v>0</v>
      </c>
      <c r="H528">
        <f>[2]TongHop!H528</f>
        <v>0</v>
      </c>
      <c r="I528">
        <f>[2]TongHop!I528</f>
        <v>0</v>
      </c>
      <c r="J528">
        <f>[2]TongHop!J528</f>
        <v>0</v>
      </c>
      <c r="K528">
        <f>[2]TongHop!K528</f>
        <v>0</v>
      </c>
      <c r="L528">
        <f>[2]TongHop!L528</f>
        <v>0</v>
      </c>
      <c r="M528">
        <f>[2]TongHop!M528</f>
        <v>0</v>
      </c>
      <c r="N528">
        <f>[2]TongHop!N528</f>
        <v>0</v>
      </c>
    </row>
    <row r="529" spans="1:14">
      <c r="A529">
        <f>[2]TongHop!A529</f>
        <v>0</v>
      </c>
      <c r="B529">
        <f>[2]TongHop!B529</f>
        <v>0</v>
      </c>
      <c r="C529">
        <f>[2]TongHop!C529</f>
        <v>0</v>
      </c>
      <c r="D529">
        <f>[2]TongHop!D529</f>
        <v>0</v>
      </c>
      <c r="E529">
        <f>[2]TongHop!E529</f>
        <v>0</v>
      </c>
      <c r="F529">
        <f>[2]TongHop!F529</f>
        <v>0</v>
      </c>
      <c r="G529">
        <f>[2]TongHop!G529</f>
        <v>0</v>
      </c>
      <c r="H529">
        <f>[2]TongHop!H529</f>
        <v>0</v>
      </c>
      <c r="I529">
        <f>[2]TongHop!I529</f>
        <v>0</v>
      </c>
      <c r="J529">
        <f>[2]TongHop!J529</f>
        <v>0</v>
      </c>
      <c r="K529">
        <f>[2]TongHop!K529</f>
        <v>0</v>
      </c>
      <c r="L529">
        <f>[2]TongHop!L529</f>
        <v>0</v>
      </c>
      <c r="M529">
        <f>[2]TongHop!M529</f>
        <v>0</v>
      </c>
      <c r="N529">
        <f>[2]TongHop!N529</f>
        <v>0</v>
      </c>
    </row>
    <row r="530" spans="1:14">
      <c r="A530">
        <f>[2]TongHop!A530</f>
        <v>0</v>
      </c>
      <c r="B530">
        <f>[2]TongHop!B530</f>
        <v>0</v>
      </c>
      <c r="C530">
        <f>[2]TongHop!C530</f>
        <v>0</v>
      </c>
      <c r="D530">
        <f>[2]TongHop!D530</f>
        <v>0</v>
      </c>
      <c r="E530">
        <f>[2]TongHop!E530</f>
        <v>0</v>
      </c>
      <c r="F530">
        <f>[2]TongHop!F530</f>
        <v>0</v>
      </c>
      <c r="G530">
        <f>[2]TongHop!G530</f>
        <v>0</v>
      </c>
      <c r="H530">
        <f>[2]TongHop!H530</f>
        <v>0</v>
      </c>
      <c r="I530">
        <f>[2]TongHop!I530</f>
        <v>0</v>
      </c>
      <c r="J530">
        <f>[2]TongHop!J530</f>
        <v>0</v>
      </c>
      <c r="K530">
        <f>[2]TongHop!K530</f>
        <v>0</v>
      </c>
      <c r="L530">
        <f>[2]TongHop!L530</f>
        <v>0</v>
      </c>
      <c r="M530">
        <f>[2]TongHop!M530</f>
        <v>0</v>
      </c>
      <c r="N530">
        <f>[2]TongHop!N530</f>
        <v>0</v>
      </c>
    </row>
    <row r="531" spans="1:14">
      <c r="A531">
        <f>[2]TongHop!A531</f>
        <v>0</v>
      </c>
      <c r="B531">
        <f>[2]TongHop!B531</f>
        <v>0</v>
      </c>
      <c r="C531">
        <f>[2]TongHop!C531</f>
        <v>0</v>
      </c>
      <c r="D531">
        <f>[2]TongHop!D531</f>
        <v>0</v>
      </c>
      <c r="E531">
        <f>[2]TongHop!E531</f>
        <v>0</v>
      </c>
      <c r="F531">
        <f>[2]TongHop!F531</f>
        <v>0</v>
      </c>
      <c r="G531">
        <f>[2]TongHop!G531</f>
        <v>0</v>
      </c>
      <c r="H531">
        <f>[2]TongHop!H531</f>
        <v>0</v>
      </c>
      <c r="I531">
        <f>[2]TongHop!I531</f>
        <v>0</v>
      </c>
      <c r="J531">
        <f>[2]TongHop!J531</f>
        <v>0</v>
      </c>
      <c r="K531">
        <f>[2]TongHop!K531</f>
        <v>0</v>
      </c>
      <c r="L531">
        <f>[2]TongHop!L531</f>
        <v>0</v>
      </c>
      <c r="M531">
        <f>[2]TongHop!M531</f>
        <v>0</v>
      </c>
      <c r="N531">
        <f>[2]TongHop!N531</f>
        <v>0</v>
      </c>
    </row>
    <row r="532" spans="1:14">
      <c r="A532">
        <f>[2]TongHop!A532</f>
        <v>0</v>
      </c>
      <c r="B532">
        <f>[2]TongHop!B532</f>
        <v>0</v>
      </c>
      <c r="C532">
        <f>[2]TongHop!C532</f>
        <v>0</v>
      </c>
      <c r="D532">
        <f>[2]TongHop!D532</f>
        <v>0</v>
      </c>
      <c r="E532">
        <f>[2]TongHop!E532</f>
        <v>0</v>
      </c>
      <c r="F532">
        <f>[2]TongHop!F532</f>
        <v>0</v>
      </c>
      <c r="G532">
        <f>[2]TongHop!G532</f>
        <v>0</v>
      </c>
      <c r="H532">
        <f>[2]TongHop!H532</f>
        <v>0</v>
      </c>
      <c r="I532">
        <f>[2]TongHop!I532</f>
        <v>0</v>
      </c>
      <c r="J532">
        <f>[2]TongHop!J532</f>
        <v>0</v>
      </c>
      <c r="K532">
        <f>[2]TongHop!K532</f>
        <v>0</v>
      </c>
      <c r="L532">
        <f>[2]TongHop!L532</f>
        <v>0</v>
      </c>
      <c r="M532">
        <f>[2]TongHop!M532</f>
        <v>0</v>
      </c>
      <c r="N532">
        <f>[2]TongHop!N532</f>
        <v>0</v>
      </c>
    </row>
    <row r="533" spans="1:14">
      <c r="A533">
        <f>[2]TongHop!A533</f>
        <v>0</v>
      </c>
      <c r="B533">
        <f>[2]TongHop!B533</f>
        <v>0</v>
      </c>
      <c r="C533">
        <f>[2]TongHop!C533</f>
        <v>0</v>
      </c>
      <c r="D533">
        <f>[2]TongHop!D533</f>
        <v>0</v>
      </c>
      <c r="E533">
        <f>[2]TongHop!E533</f>
        <v>0</v>
      </c>
      <c r="F533">
        <f>[2]TongHop!F533</f>
        <v>0</v>
      </c>
      <c r="G533">
        <f>[2]TongHop!G533</f>
        <v>0</v>
      </c>
      <c r="H533">
        <f>[2]TongHop!H533</f>
        <v>0</v>
      </c>
      <c r="I533">
        <f>[2]TongHop!I533</f>
        <v>0</v>
      </c>
      <c r="J533">
        <f>[2]TongHop!J533</f>
        <v>0</v>
      </c>
      <c r="K533">
        <f>[2]TongHop!K533</f>
        <v>0</v>
      </c>
      <c r="L533">
        <f>[2]TongHop!L533</f>
        <v>0</v>
      </c>
      <c r="M533">
        <f>[2]TongHop!M533</f>
        <v>0</v>
      </c>
      <c r="N533">
        <f>[2]TongHop!N533</f>
        <v>0</v>
      </c>
    </row>
    <row r="534" spans="1:14">
      <c r="A534">
        <f>[2]TongHop!A534</f>
        <v>0</v>
      </c>
      <c r="B534">
        <f>[2]TongHop!B534</f>
        <v>0</v>
      </c>
      <c r="C534">
        <f>[2]TongHop!C534</f>
        <v>0</v>
      </c>
      <c r="D534">
        <f>[2]TongHop!D534</f>
        <v>0</v>
      </c>
      <c r="E534">
        <f>[2]TongHop!E534</f>
        <v>0</v>
      </c>
      <c r="F534">
        <f>[2]TongHop!F534</f>
        <v>0</v>
      </c>
      <c r="G534">
        <f>[2]TongHop!G534</f>
        <v>0</v>
      </c>
      <c r="H534">
        <f>[2]TongHop!H534</f>
        <v>0</v>
      </c>
      <c r="I534">
        <f>[2]TongHop!I534</f>
        <v>0</v>
      </c>
      <c r="J534">
        <f>[2]TongHop!J534</f>
        <v>0</v>
      </c>
      <c r="K534">
        <f>[2]TongHop!K534</f>
        <v>0</v>
      </c>
      <c r="L534">
        <f>[2]TongHop!L534</f>
        <v>0</v>
      </c>
      <c r="M534">
        <f>[2]TongHop!M534</f>
        <v>0</v>
      </c>
      <c r="N534">
        <f>[2]TongHop!N534</f>
        <v>0</v>
      </c>
    </row>
    <row r="535" spans="1:14">
      <c r="A535">
        <f>[2]TongHop!A535</f>
        <v>0</v>
      </c>
      <c r="B535">
        <f>[2]TongHop!B535</f>
        <v>0</v>
      </c>
      <c r="C535">
        <f>[2]TongHop!C535</f>
        <v>0</v>
      </c>
      <c r="D535">
        <f>[2]TongHop!D535</f>
        <v>0</v>
      </c>
      <c r="E535">
        <f>[2]TongHop!E535</f>
        <v>0</v>
      </c>
      <c r="F535">
        <f>[2]TongHop!F535</f>
        <v>0</v>
      </c>
      <c r="G535">
        <f>[2]TongHop!G535</f>
        <v>0</v>
      </c>
      <c r="H535">
        <f>[2]TongHop!H535</f>
        <v>0</v>
      </c>
      <c r="I535">
        <f>[2]TongHop!I535</f>
        <v>0</v>
      </c>
      <c r="J535">
        <f>[2]TongHop!J535</f>
        <v>0</v>
      </c>
      <c r="K535">
        <f>[2]TongHop!K535</f>
        <v>0</v>
      </c>
      <c r="L535">
        <f>[2]TongHop!L535</f>
        <v>0</v>
      </c>
      <c r="M535">
        <f>[2]TongHop!M535</f>
        <v>0</v>
      </c>
      <c r="N535">
        <f>[2]TongHop!N535</f>
        <v>0</v>
      </c>
    </row>
    <row r="536" spans="1:14">
      <c r="A536">
        <f>[2]TongHop!A536</f>
        <v>0</v>
      </c>
      <c r="B536">
        <f>[2]TongHop!B536</f>
        <v>0</v>
      </c>
      <c r="C536">
        <f>[2]TongHop!C536</f>
        <v>0</v>
      </c>
      <c r="D536">
        <f>[2]TongHop!D536</f>
        <v>0</v>
      </c>
      <c r="E536">
        <f>[2]TongHop!E536</f>
        <v>0</v>
      </c>
      <c r="F536">
        <f>[2]TongHop!F536</f>
        <v>0</v>
      </c>
      <c r="G536">
        <f>[2]TongHop!G536</f>
        <v>0</v>
      </c>
      <c r="H536">
        <f>[2]TongHop!H536</f>
        <v>0</v>
      </c>
      <c r="I536">
        <f>[2]TongHop!I536</f>
        <v>0</v>
      </c>
      <c r="J536">
        <f>[2]TongHop!J536</f>
        <v>0</v>
      </c>
      <c r="K536">
        <f>[2]TongHop!K536</f>
        <v>0</v>
      </c>
      <c r="L536">
        <f>[2]TongHop!L536</f>
        <v>0</v>
      </c>
      <c r="M536">
        <f>[2]TongHop!M536</f>
        <v>0</v>
      </c>
      <c r="N536">
        <f>[2]TongHop!N536</f>
        <v>0</v>
      </c>
    </row>
    <row r="537" spans="1:14">
      <c r="A537">
        <f>[2]TongHop!A537</f>
        <v>0</v>
      </c>
      <c r="B537">
        <f>[2]TongHop!B537</f>
        <v>0</v>
      </c>
      <c r="C537">
        <f>[2]TongHop!C537</f>
        <v>0</v>
      </c>
      <c r="D537">
        <f>[2]TongHop!D537</f>
        <v>0</v>
      </c>
      <c r="E537">
        <f>[2]TongHop!E537</f>
        <v>0</v>
      </c>
      <c r="F537">
        <f>[2]TongHop!F537</f>
        <v>0</v>
      </c>
      <c r="G537">
        <f>[2]TongHop!G537</f>
        <v>0</v>
      </c>
      <c r="H537">
        <f>[2]TongHop!H537</f>
        <v>0</v>
      </c>
      <c r="I537">
        <f>[2]TongHop!I537</f>
        <v>0</v>
      </c>
      <c r="J537">
        <f>[2]TongHop!J537</f>
        <v>0</v>
      </c>
      <c r="K537">
        <f>[2]TongHop!K537</f>
        <v>0</v>
      </c>
      <c r="L537">
        <f>[2]TongHop!L537</f>
        <v>0</v>
      </c>
      <c r="M537">
        <f>[2]TongHop!M537</f>
        <v>0</v>
      </c>
      <c r="N537">
        <f>[2]TongHop!N537</f>
        <v>0</v>
      </c>
    </row>
    <row r="538" spans="1:14">
      <c r="A538">
        <f>[2]TongHop!A538</f>
        <v>0</v>
      </c>
      <c r="B538">
        <f>[2]TongHop!B538</f>
        <v>0</v>
      </c>
      <c r="C538">
        <f>[2]TongHop!C538</f>
        <v>0</v>
      </c>
      <c r="D538">
        <f>[2]TongHop!D538</f>
        <v>0</v>
      </c>
      <c r="E538">
        <f>[2]TongHop!E538</f>
        <v>0</v>
      </c>
      <c r="F538">
        <f>[2]TongHop!F538</f>
        <v>0</v>
      </c>
      <c r="G538">
        <f>[2]TongHop!G538</f>
        <v>0</v>
      </c>
      <c r="H538">
        <f>[2]TongHop!H538</f>
        <v>0</v>
      </c>
      <c r="I538">
        <f>[2]TongHop!I538</f>
        <v>0</v>
      </c>
      <c r="J538">
        <f>[2]TongHop!J538</f>
        <v>0</v>
      </c>
      <c r="K538">
        <f>[2]TongHop!K538</f>
        <v>0</v>
      </c>
      <c r="L538">
        <f>[2]TongHop!L538</f>
        <v>0</v>
      </c>
      <c r="M538">
        <f>[2]TongHop!M538</f>
        <v>0</v>
      </c>
      <c r="N538">
        <f>[2]TongHop!N538</f>
        <v>0</v>
      </c>
    </row>
    <row r="539" spans="1:14">
      <c r="A539">
        <f>[2]TongHop!A539</f>
        <v>0</v>
      </c>
      <c r="B539">
        <f>[2]TongHop!B539</f>
        <v>0</v>
      </c>
      <c r="C539">
        <f>[2]TongHop!C539</f>
        <v>0</v>
      </c>
      <c r="D539">
        <f>[2]TongHop!D539</f>
        <v>0</v>
      </c>
      <c r="E539">
        <f>[2]TongHop!E539</f>
        <v>0</v>
      </c>
      <c r="F539">
        <f>[2]TongHop!F539</f>
        <v>0</v>
      </c>
      <c r="G539">
        <f>[2]TongHop!G539</f>
        <v>0</v>
      </c>
      <c r="H539">
        <f>[2]TongHop!H539</f>
        <v>0</v>
      </c>
      <c r="I539">
        <f>[2]TongHop!I539</f>
        <v>0</v>
      </c>
      <c r="J539">
        <f>[2]TongHop!J539</f>
        <v>0</v>
      </c>
      <c r="K539">
        <f>[2]TongHop!K539</f>
        <v>0</v>
      </c>
      <c r="L539">
        <f>[2]TongHop!L539</f>
        <v>0</v>
      </c>
      <c r="M539">
        <f>[2]TongHop!M539</f>
        <v>0</v>
      </c>
      <c r="N539">
        <f>[2]TongHop!N539</f>
        <v>0</v>
      </c>
    </row>
    <row r="540" spans="1:14">
      <c r="A540">
        <f>[2]TongHop!A540</f>
        <v>0</v>
      </c>
      <c r="B540">
        <f>[2]TongHop!B540</f>
        <v>0</v>
      </c>
      <c r="C540">
        <f>[2]TongHop!C540</f>
        <v>0</v>
      </c>
      <c r="D540">
        <f>[2]TongHop!D540</f>
        <v>0</v>
      </c>
      <c r="E540">
        <f>[2]TongHop!E540</f>
        <v>0</v>
      </c>
      <c r="F540">
        <f>[2]TongHop!F540</f>
        <v>0</v>
      </c>
      <c r="G540">
        <f>[2]TongHop!G540</f>
        <v>0</v>
      </c>
      <c r="H540">
        <f>[2]TongHop!H540</f>
        <v>0</v>
      </c>
      <c r="I540">
        <f>[2]TongHop!I540</f>
        <v>0</v>
      </c>
      <c r="J540">
        <f>[2]TongHop!J540</f>
        <v>0</v>
      </c>
      <c r="K540">
        <f>[2]TongHop!K540</f>
        <v>0</v>
      </c>
      <c r="L540">
        <f>[2]TongHop!L540</f>
        <v>0</v>
      </c>
      <c r="M540">
        <f>[2]TongHop!M540</f>
        <v>0</v>
      </c>
      <c r="N540">
        <f>[2]TongHop!N540</f>
        <v>0</v>
      </c>
    </row>
    <row r="541" spans="1:14">
      <c r="A541">
        <f>[2]TongHop!A541</f>
        <v>0</v>
      </c>
      <c r="B541">
        <f>[2]TongHop!B541</f>
        <v>0</v>
      </c>
      <c r="C541">
        <f>[2]TongHop!C541</f>
        <v>0</v>
      </c>
      <c r="D541">
        <f>[2]TongHop!D541</f>
        <v>0</v>
      </c>
      <c r="E541">
        <f>[2]TongHop!E541</f>
        <v>0</v>
      </c>
      <c r="F541">
        <f>[2]TongHop!F541</f>
        <v>0</v>
      </c>
      <c r="G541">
        <f>[2]TongHop!G541</f>
        <v>0</v>
      </c>
      <c r="H541">
        <f>[2]TongHop!H541</f>
        <v>0</v>
      </c>
      <c r="I541">
        <f>[2]TongHop!I541</f>
        <v>0</v>
      </c>
      <c r="J541">
        <f>[2]TongHop!J541</f>
        <v>0</v>
      </c>
      <c r="K541">
        <f>[2]TongHop!K541</f>
        <v>0</v>
      </c>
      <c r="L541">
        <f>[2]TongHop!L541</f>
        <v>0</v>
      </c>
      <c r="M541">
        <f>[2]TongHop!M541</f>
        <v>0</v>
      </c>
      <c r="N541">
        <f>[2]TongHop!N541</f>
        <v>0</v>
      </c>
    </row>
    <row r="542" spans="1:14">
      <c r="A542">
        <f>[2]TongHop!A542</f>
        <v>0</v>
      </c>
      <c r="B542">
        <f>[2]TongHop!B542</f>
        <v>0</v>
      </c>
      <c r="C542">
        <f>[2]TongHop!C542</f>
        <v>0</v>
      </c>
      <c r="D542">
        <f>[2]TongHop!D542</f>
        <v>0</v>
      </c>
      <c r="E542">
        <f>[2]TongHop!E542</f>
        <v>0</v>
      </c>
      <c r="F542">
        <f>[2]TongHop!F542</f>
        <v>0</v>
      </c>
      <c r="G542">
        <f>[2]TongHop!G542</f>
        <v>0</v>
      </c>
      <c r="H542">
        <f>[2]TongHop!H542</f>
        <v>0</v>
      </c>
      <c r="I542">
        <f>[2]TongHop!I542</f>
        <v>0</v>
      </c>
      <c r="J542">
        <f>[2]TongHop!J542</f>
        <v>0</v>
      </c>
      <c r="K542">
        <f>[2]TongHop!K542</f>
        <v>0</v>
      </c>
      <c r="L542">
        <f>[2]TongHop!L542</f>
        <v>0</v>
      </c>
      <c r="M542">
        <f>[2]TongHop!M542</f>
        <v>0</v>
      </c>
      <c r="N542">
        <f>[2]TongHop!N542</f>
        <v>0</v>
      </c>
    </row>
    <row r="543" spans="1:14">
      <c r="A543">
        <f>[2]TongHop!A543</f>
        <v>0</v>
      </c>
      <c r="B543">
        <f>[2]TongHop!B543</f>
        <v>0</v>
      </c>
      <c r="C543">
        <f>[2]TongHop!C543</f>
        <v>0</v>
      </c>
      <c r="D543">
        <f>[2]TongHop!D543</f>
        <v>0</v>
      </c>
      <c r="E543">
        <f>[2]TongHop!E543</f>
        <v>0</v>
      </c>
      <c r="F543">
        <f>[2]TongHop!F543</f>
        <v>0</v>
      </c>
      <c r="G543">
        <f>[2]TongHop!G543</f>
        <v>0</v>
      </c>
      <c r="H543">
        <f>[2]TongHop!H543</f>
        <v>0</v>
      </c>
      <c r="I543">
        <f>[2]TongHop!I543</f>
        <v>0</v>
      </c>
      <c r="J543">
        <f>[2]TongHop!J543</f>
        <v>0</v>
      </c>
      <c r="K543">
        <f>[2]TongHop!K543</f>
        <v>0</v>
      </c>
      <c r="L543">
        <f>[2]TongHop!L543</f>
        <v>0</v>
      </c>
      <c r="M543">
        <f>[2]TongHop!M543</f>
        <v>0</v>
      </c>
      <c r="N543">
        <f>[2]TongHop!N543</f>
        <v>0</v>
      </c>
    </row>
    <row r="544" spans="1:14">
      <c r="A544">
        <f>[2]TongHop!A544</f>
        <v>0</v>
      </c>
      <c r="B544">
        <f>[2]TongHop!B544</f>
        <v>0</v>
      </c>
      <c r="C544">
        <f>[2]TongHop!C544</f>
        <v>0</v>
      </c>
      <c r="D544">
        <f>[2]TongHop!D544</f>
        <v>0</v>
      </c>
      <c r="E544">
        <f>[2]TongHop!E544</f>
        <v>0</v>
      </c>
      <c r="F544">
        <f>[2]TongHop!F544</f>
        <v>0</v>
      </c>
      <c r="G544">
        <f>[2]TongHop!G544</f>
        <v>0</v>
      </c>
      <c r="H544">
        <f>[2]TongHop!H544</f>
        <v>0</v>
      </c>
      <c r="I544">
        <f>[2]TongHop!I544</f>
        <v>0</v>
      </c>
      <c r="J544">
        <f>[2]TongHop!J544</f>
        <v>0</v>
      </c>
      <c r="K544">
        <f>[2]TongHop!K544</f>
        <v>0</v>
      </c>
      <c r="L544">
        <f>[2]TongHop!L544</f>
        <v>0</v>
      </c>
      <c r="M544">
        <f>[2]TongHop!M544</f>
        <v>0</v>
      </c>
      <c r="N544">
        <f>[2]TongHop!N544</f>
        <v>0</v>
      </c>
    </row>
    <row r="545" spans="1:14">
      <c r="A545">
        <f>[2]TongHop!A545</f>
        <v>0</v>
      </c>
      <c r="B545">
        <f>[2]TongHop!B545</f>
        <v>0</v>
      </c>
      <c r="C545">
        <f>[2]TongHop!C545</f>
        <v>0</v>
      </c>
      <c r="D545">
        <f>[2]TongHop!D545</f>
        <v>0</v>
      </c>
      <c r="E545">
        <f>[2]TongHop!E545</f>
        <v>0</v>
      </c>
      <c r="F545">
        <f>[2]TongHop!F545</f>
        <v>0</v>
      </c>
      <c r="G545">
        <f>[2]TongHop!G545</f>
        <v>0</v>
      </c>
      <c r="H545">
        <f>[2]TongHop!H545</f>
        <v>0</v>
      </c>
      <c r="I545">
        <f>[2]TongHop!I545</f>
        <v>0</v>
      </c>
      <c r="J545">
        <f>[2]TongHop!J545</f>
        <v>0</v>
      </c>
      <c r="K545">
        <f>[2]TongHop!K545</f>
        <v>0</v>
      </c>
      <c r="L545">
        <f>[2]TongHop!L545</f>
        <v>0</v>
      </c>
      <c r="M545">
        <f>[2]TongHop!M545</f>
        <v>0</v>
      </c>
      <c r="N545">
        <f>[2]TongHop!N545</f>
        <v>0</v>
      </c>
    </row>
    <row r="546" spans="1:14">
      <c r="A546">
        <f>[2]TongHop!A546</f>
        <v>0</v>
      </c>
      <c r="B546">
        <f>[2]TongHop!B546</f>
        <v>0</v>
      </c>
      <c r="C546">
        <f>[2]TongHop!C546</f>
        <v>0</v>
      </c>
      <c r="D546">
        <f>[2]TongHop!D546</f>
        <v>0</v>
      </c>
      <c r="E546">
        <f>[2]TongHop!E546</f>
        <v>0</v>
      </c>
      <c r="F546">
        <f>[2]TongHop!F546</f>
        <v>0</v>
      </c>
      <c r="G546">
        <f>[2]TongHop!G546</f>
        <v>0</v>
      </c>
      <c r="H546">
        <f>[2]TongHop!H546</f>
        <v>0</v>
      </c>
      <c r="I546">
        <f>[2]TongHop!I546</f>
        <v>0</v>
      </c>
      <c r="J546">
        <f>[2]TongHop!J546</f>
        <v>0</v>
      </c>
      <c r="K546">
        <f>[2]TongHop!K546</f>
        <v>0</v>
      </c>
      <c r="L546">
        <f>[2]TongHop!L546</f>
        <v>0</v>
      </c>
      <c r="M546">
        <f>[2]TongHop!M546</f>
        <v>0</v>
      </c>
      <c r="N546">
        <f>[2]TongHop!N546</f>
        <v>0</v>
      </c>
    </row>
    <row r="547" spans="1:14">
      <c r="A547">
        <f>[2]TongHop!A547</f>
        <v>0</v>
      </c>
      <c r="B547">
        <f>[2]TongHop!B547</f>
        <v>0</v>
      </c>
      <c r="C547">
        <f>[2]TongHop!C547</f>
        <v>0</v>
      </c>
      <c r="D547">
        <f>[2]TongHop!D547</f>
        <v>0</v>
      </c>
      <c r="E547">
        <f>[2]TongHop!E547</f>
        <v>0</v>
      </c>
      <c r="F547">
        <f>[2]TongHop!F547</f>
        <v>0</v>
      </c>
      <c r="G547">
        <f>[2]TongHop!G547</f>
        <v>0</v>
      </c>
      <c r="H547">
        <f>[2]TongHop!H547</f>
        <v>0</v>
      </c>
      <c r="I547">
        <f>[2]TongHop!I547</f>
        <v>0</v>
      </c>
      <c r="J547">
        <f>[2]TongHop!J547</f>
        <v>0</v>
      </c>
      <c r="K547">
        <f>[2]TongHop!K547</f>
        <v>0</v>
      </c>
      <c r="L547">
        <f>[2]TongHop!L547</f>
        <v>0</v>
      </c>
      <c r="M547">
        <f>[2]TongHop!M547</f>
        <v>0</v>
      </c>
      <c r="N547">
        <f>[2]TongHop!N547</f>
        <v>0</v>
      </c>
    </row>
    <row r="548" spans="1:14">
      <c r="A548">
        <f>[2]TongHop!A548</f>
        <v>0</v>
      </c>
      <c r="B548">
        <f>[2]TongHop!B548</f>
        <v>0</v>
      </c>
      <c r="C548">
        <f>[2]TongHop!C548</f>
        <v>0</v>
      </c>
      <c r="D548">
        <f>[2]TongHop!D548</f>
        <v>0</v>
      </c>
      <c r="E548">
        <f>[2]TongHop!E548</f>
        <v>0</v>
      </c>
      <c r="F548">
        <f>[2]TongHop!F548</f>
        <v>0</v>
      </c>
      <c r="G548">
        <f>[2]TongHop!G548</f>
        <v>0</v>
      </c>
      <c r="H548">
        <f>[2]TongHop!H548</f>
        <v>0</v>
      </c>
      <c r="I548">
        <f>[2]TongHop!I548</f>
        <v>0</v>
      </c>
      <c r="J548">
        <f>[2]TongHop!J548</f>
        <v>0</v>
      </c>
      <c r="K548">
        <f>[2]TongHop!K548</f>
        <v>0</v>
      </c>
      <c r="L548">
        <f>[2]TongHop!L548</f>
        <v>0</v>
      </c>
      <c r="M548">
        <f>[2]TongHop!M548</f>
        <v>0</v>
      </c>
      <c r="N548">
        <f>[2]TongHop!N548</f>
        <v>0</v>
      </c>
    </row>
    <row r="549" spans="1:14">
      <c r="A549">
        <f>[2]TongHop!A549</f>
        <v>0</v>
      </c>
      <c r="B549">
        <f>[2]TongHop!B549</f>
        <v>0</v>
      </c>
      <c r="C549">
        <f>[2]TongHop!C549</f>
        <v>0</v>
      </c>
      <c r="D549">
        <f>[2]TongHop!D549</f>
        <v>0</v>
      </c>
      <c r="E549">
        <f>[2]TongHop!E549</f>
        <v>0</v>
      </c>
      <c r="F549">
        <f>[2]TongHop!F549</f>
        <v>0</v>
      </c>
      <c r="G549">
        <f>[2]TongHop!G549</f>
        <v>0</v>
      </c>
      <c r="H549">
        <f>[2]TongHop!H549</f>
        <v>0</v>
      </c>
      <c r="I549">
        <f>[2]TongHop!I549</f>
        <v>0</v>
      </c>
      <c r="J549">
        <f>[2]TongHop!J549</f>
        <v>0</v>
      </c>
      <c r="K549">
        <f>[2]TongHop!K549</f>
        <v>0</v>
      </c>
      <c r="L549">
        <f>[2]TongHop!L549</f>
        <v>0</v>
      </c>
      <c r="M549">
        <f>[2]TongHop!M549</f>
        <v>0</v>
      </c>
      <c r="N549">
        <f>[2]TongHop!N549</f>
        <v>0</v>
      </c>
    </row>
    <row r="550" spans="1:14">
      <c r="A550">
        <f>[2]TongHop!A550</f>
        <v>0</v>
      </c>
      <c r="B550">
        <f>[2]TongHop!B550</f>
        <v>0</v>
      </c>
      <c r="C550">
        <f>[2]TongHop!C550</f>
        <v>0</v>
      </c>
      <c r="D550">
        <f>[2]TongHop!D550</f>
        <v>0</v>
      </c>
      <c r="E550">
        <f>[2]TongHop!E550</f>
        <v>0</v>
      </c>
      <c r="F550">
        <f>[2]TongHop!F550</f>
        <v>0</v>
      </c>
      <c r="G550">
        <f>[2]TongHop!G550</f>
        <v>0</v>
      </c>
      <c r="H550">
        <f>[2]TongHop!H550</f>
        <v>0</v>
      </c>
      <c r="I550">
        <f>[2]TongHop!I550</f>
        <v>0</v>
      </c>
      <c r="J550">
        <f>[2]TongHop!J550</f>
        <v>0</v>
      </c>
      <c r="K550">
        <f>[2]TongHop!K550</f>
        <v>0</v>
      </c>
      <c r="L550">
        <f>[2]TongHop!L550</f>
        <v>0</v>
      </c>
      <c r="M550">
        <f>[2]TongHop!M550</f>
        <v>0</v>
      </c>
      <c r="N550">
        <f>[2]TongHop!N550</f>
        <v>0</v>
      </c>
    </row>
    <row r="551" spans="1:14">
      <c r="A551">
        <f>[2]TongHop!A551</f>
        <v>0</v>
      </c>
      <c r="B551">
        <f>[2]TongHop!B551</f>
        <v>0</v>
      </c>
      <c r="C551">
        <f>[2]TongHop!C551</f>
        <v>0</v>
      </c>
      <c r="D551">
        <f>[2]TongHop!D551</f>
        <v>0</v>
      </c>
      <c r="E551">
        <f>[2]TongHop!E551</f>
        <v>0</v>
      </c>
      <c r="F551">
        <f>[2]TongHop!F551</f>
        <v>0</v>
      </c>
      <c r="G551">
        <f>[2]TongHop!G551</f>
        <v>0</v>
      </c>
      <c r="H551">
        <f>[2]TongHop!H551</f>
        <v>0</v>
      </c>
      <c r="I551">
        <f>[2]TongHop!I551</f>
        <v>0</v>
      </c>
      <c r="J551">
        <f>[2]TongHop!J551</f>
        <v>0</v>
      </c>
      <c r="K551">
        <f>[2]TongHop!K551</f>
        <v>0</v>
      </c>
      <c r="L551">
        <f>[2]TongHop!L551</f>
        <v>0</v>
      </c>
      <c r="M551">
        <f>[2]TongHop!M551</f>
        <v>0</v>
      </c>
      <c r="N551">
        <f>[2]TongHop!N551</f>
        <v>0</v>
      </c>
    </row>
    <row r="552" spans="1:14">
      <c r="A552">
        <f>[2]TongHop!A552</f>
        <v>0</v>
      </c>
      <c r="B552">
        <f>[2]TongHop!B552</f>
        <v>0</v>
      </c>
      <c r="C552">
        <f>[2]TongHop!C552</f>
        <v>0</v>
      </c>
      <c r="D552">
        <f>[2]TongHop!D552</f>
        <v>0</v>
      </c>
      <c r="E552">
        <f>[2]TongHop!E552</f>
        <v>0</v>
      </c>
      <c r="F552">
        <f>[2]TongHop!F552</f>
        <v>0</v>
      </c>
      <c r="G552">
        <f>[2]TongHop!G552</f>
        <v>0</v>
      </c>
      <c r="H552">
        <f>[2]TongHop!H552</f>
        <v>0</v>
      </c>
      <c r="I552">
        <f>[2]TongHop!I552</f>
        <v>0</v>
      </c>
      <c r="J552">
        <f>[2]TongHop!J552</f>
        <v>0</v>
      </c>
      <c r="K552">
        <f>[2]TongHop!K552</f>
        <v>0</v>
      </c>
      <c r="L552">
        <f>[2]TongHop!L552</f>
        <v>0</v>
      </c>
      <c r="M552">
        <f>[2]TongHop!M552</f>
        <v>0</v>
      </c>
      <c r="N552">
        <f>[2]TongHop!N552</f>
        <v>0</v>
      </c>
    </row>
    <row r="553" spans="1:14">
      <c r="A553">
        <f>[2]TongHop!A553</f>
        <v>0</v>
      </c>
      <c r="B553">
        <f>[2]TongHop!B553</f>
        <v>0</v>
      </c>
      <c r="C553">
        <f>[2]TongHop!C553</f>
        <v>0</v>
      </c>
      <c r="D553">
        <f>[2]TongHop!D553</f>
        <v>0</v>
      </c>
      <c r="E553">
        <f>[2]TongHop!E553</f>
        <v>0</v>
      </c>
      <c r="F553">
        <f>[2]TongHop!F553</f>
        <v>0</v>
      </c>
      <c r="G553">
        <f>[2]TongHop!G553</f>
        <v>0</v>
      </c>
      <c r="H553">
        <f>[2]TongHop!H553</f>
        <v>0</v>
      </c>
      <c r="I553">
        <f>[2]TongHop!I553</f>
        <v>0</v>
      </c>
      <c r="J553">
        <f>[2]TongHop!J553</f>
        <v>0</v>
      </c>
      <c r="K553">
        <f>[2]TongHop!K553</f>
        <v>0</v>
      </c>
      <c r="L553">
        <f>[2]TongHop!L553</f>
        <v>0</v>
      </c>
      <c r="M553">
        <f>[2]TongHop!M553</f>
        <v>0</v>
      </c>
      <c r="N553">
        <f>[2]TongHop!N553</f>
        <v>0</v>
      </c>
    </row>
    <row r="554" spans="1:14">
      <c r="A554">
        <f>[2]TongHop!A554</f>
        <v>0</v>
      </c>
      <c r="B554">
        <f>[2]TongHop!B554</f>
        <v>0</v>
      </c>
      <c r="C554">
        <f>[2]TongHop!C554</f>
        <v>0</v>
      </c>
      <c r="D554">
        <f>[2]TongHop!D554</f>
        <v>0</v>
      </c>
      <c r="E554">
        <f>[2]TongHop!E554</f>
        <v>0</v>
      </c>
      <c r="F554">
        <f>[2]TongHop!F554</f>
        <v>0</v>
      </c>
      <c r="G554">
        <f>[2]TongHop!G554</f>
        <v>0</v>
      </c>
      <c r="H554">
        <f>[2]TongHop!H554</f>
        <v>0</v>
      </c>
      <c r="I554">
        <f>[2]TongHop!I554</f>
        <v>0</v>
      </c>
      <c r="J554">
        <f>[2]TongHop!J554</f>
        <v>0</v>
      </c>
      <c r="K554">
        <f>[2]TongHop!K554</f>
        <v>0</v>
      </c>
      <c r="L554">
        <f>[2]TongHop!L554</f>
        <v>0</v>
      </c>
      <c r="M554">
        <f>[2]TongHop!M554</f>
        <v>0</v>
      </c>
      <c r="N554">
        <f>[2]TongHop!N554</f>
        <v>0</v>
      </c>
    </row>
    <row r="555" spans="1:14">
      <c r="A555">
        <f>[2]TongHop!A555</f>
        <v>0</v>
      </c>
      <c r="B555">
        <f>[2]TongHop!B555</f>
        <v>0</v>
      </c>
      <c r="C555">
        <f>[2]TongHop!C555</f>
        <v>0</v>
      </c>
      <c r="D555">
        <f>[2]TongHop!D555</f>
        <v>0</v>
      </c>
      <c r="E555">
        <f>[2]TongHop!E555</f>
        <v>0</v>
      </c>
      <c r="F555">
        <f>[2]TongHop!F555</f>
        <v>0</v>
      </c>
      <c r="G555">
        <f>[2]TongHop!G555</f>
        <v>0</v>
      </c>
      <c r="H555">
        <f>[2]TongHop!H555</f>
        <v>0</v>
      </c>
      <c r="I555">
        <f>[2]TongHop!I555</f>
        <v>0</v>
      </c>
      <c r="J555">
        <f>[2]TongHop!J555</f>
        <v>0</v>
      </c>
      <c r="K555">
        <f>[2]TongHop!K555</f>
        <v>0</v>
      </c>
      <c r="L555">
        <f>[2]TongHop!L555</f>
        <v>0</v>
      </c>
      <c r="M555">
        <f>[2]TongHop!M555</f>
        <v>0</v>
      </c>
      <c r="N555">
        <f>[2]TongHop!N555</f>
        <v>0</v>
      </c>
    </row>
    <row r="556" spans="1:14">
      <c r="A556">
        <f>[2]TongHop!A556</f>
        <v>0</v>
      </c>
      <c r="B556">
        <f>[2]TongHop!B556</f>
        <v>0</v>
      </c>
      <c r="C556">
        <f>[2]TongHop!C556</f>
        <v>0</v>
      </c>
      <c r="D556">
        <f>[2]TongHop!D556</f>
        <v>0</v>
      </c>
      <c r="E556">
        <f>[2]TongHop!E556</f>
        <v>0</v>
      </c>
      <c r="F556">
        <f>[2]TongHop!F556</f>
        <v>0</v>
      </c>
      <c r="G556">
        <f>[2]TongHop!G556</f>
        <v>0</v>
      </c>
      <c r="H556">
        <f>[2]TongHop!H556</f>
        <v>0</v>
      </c>
      <c r="I556">
        <f>[2]TongHop!I556</f>
        <v>0</v>
      </c>
      <c r="J556">
        <f>[2]TongHop!J556</f>
        <v>0</v>
      </c>
      <c r="K556">
        <f>[2]TongHop!K556</f>
        <v>0</v>
      </c>
      <c r="L556">
        <f>[2]TongHop!L556</f>
        <v>0</v>
      </c>
      <c r="M556">
        <f>[2]TongHop!M556</f>
        <v>0</v>
      </c>
      <c r="N556">
        <f>[2]TongHop!N556</f>
        <v>0</v>
      </c>
    </row>
    <row r="557" spans="1:14">
      <c r="A557">
        <f>[2]TongHop!A557</f>
        <v>0</v>
      </c>
      <c r="B557">
        <f>[2]TongHop!B557</f>
        <v>0</v>
      </c>
      <c r="C557">
        <f>[2]TongHop!C557</f>
        <v>0</v>
      </c>
      <c r="D557">
        <f>[2]TongHop!D557</f>
        <v>0</v>
      </c>
      <c r="E557">
        <f>[2]TongHop!E557</f>
        <v>0</v>
      </c>
      <c r="F557">
        <f>[2]TongHop!F557</f>
        <v>0</v>
      </c>
      <c r="G557">
        <f>[2]TongHop!G557</f>
        <v>0</v>
      </c>
      <c r="H557">
        <f>[2]TongHop!H557</f>
        <v>0</v>
      </c>
      <c r="I557">
        <f>[2]TongHop!I557</f>
        <v>0</v>
      </c>
      <c r="J557">
        <f>[2]TongHop!J557</f>
        <v>0</v>
      </c>
      <c r="K557">
        <f>[2]TongHop!K557</f>
        <v>0</v>
      </c>
      <c r="L557">
        <f>[2]TongHop!L557</f>
        <v>0</v>
      </c>
      <c r="M557">
        <f>[2]TongHop!M557</f>
        <v>0</v>
      </c>
      <c r="N557">
        <f>[2]TongHop!N557</f>
        <v>0</v>
      </c>
    </row>
    <row r="558" spans="1:14">
      <c r="A558">
        <f>[2]TongHop!A558</f>
        <v>0</v>
      </c>
      <c r="B558">
        <f>[2]TongHop!B558</f>
        <v>0</v>
      </c>
      <c r="C558">
        <f>[2]TongHop!C558</f>
        <v>0</v>
      </c>
      <c r="D558">
        <f>[2]TongHop!D558</f>
        <v>0</v>
      </c>
      <c r="E558">
        <f>[2]TongHop!E558</f>
        <v>0</v>
      </c>
      <c r="F558">
        <f>[2]TongHop!F558</f>
        <v>0</v>
      </c>
      <c r="G558">
        <f>[2]TongHop!G558</f>
        <v>0</v>
      </c>
      <c r="H558">
        <f>[2]TongHop!H558</f>
        <v>0</v>
      </c>
      <c r="I558">
        <f>[2]TongHop!I558</f>
        <v>0</v>
      </c>
      <c r="J558">
        <f>[2]TongHop!J558</f>
        <v>0</v>
      </c>
      <c r="K558">
        <f>[2]TongHop!K558</f>
        <v>0</v>
      </c>
      <c r="L558">
        <f>[2]TongHop!L558</f>
        <v>0</v>
      </c>
      <c r="M558">
        <f>[2]TongHop!M558</f>
        <v>0</v>
      </c>
      <c r="N558">
        <f>[2]TongHop!N558</f>
        <v>0</v>
      </c>
    </row>
    <row r="559" spans="1:14">
      <c r="A559">
        <f>[2]TongHop!A559</f>
        <v>0</v>
      </c>
      <c r="B559">
        <f>[2]TongHop!B559</f>
        <v>0</v>
      </c>
      <c r="C559">
        <f>[2]TongHop!C559</f>
        <v>0</v>
      </c>
      <c r="D559">
        <f>[2]TongHop!D559</f>
        <v>0</v>
      </c>
      <c r="E559">
        <f>[2]TongHop!E559</f>
        <v>0</v>
      </c>
      <c r="F559">
        <f>[2]TongHop!F559</f>
        <v>0</v>
      </c>
      <c r="G559">
        <f>[2]TongHop!G559</f>
        <v>0</v>
      </c>
      <c r="H559">
        <f>[2]TongHop!H559</f>
        <v>0</v>
      </c>
      <c r="I559">
        <f>[2]TongHop!I559</f>
        <v>0</v>
      </c>
      <c r="J559">
        <f>[2]TongHop!J559</f>
        <v>0</v>
      </c>
      <c r="K559">
        <f>[2]TongHop!K559</f>
        <v>0</v>
      </c>
      <c r="L559">
        <f>[2]TongHop!L559</f>
        <v>0</v>
      </c>
      <c r="M559">
        <f>[2]TongHop!M559</f>
        <v>0</v>
      </c>
      <c r="N559">
        <f>[2]TongHop!N559</f>
        <v>0</v>
      </c>
    </row>
    <row r="560" spans="1:14">
      <c r="A560">
        <f>[2]TongHop!A560</f>
        <v>0</v>
      </c>
      <c r="B560">
        <f>[2]TongHop!B560</f>
        <v>0</v>
      </c>
      <c r="C560">
        <f>[2]TongHop!C560</f>
        <v>0</v>
      </c>
      <c r="D560">
        <f>[2]TongHop!D560</f>
        <v>0</v>
      </c>
      <c r="E560">
        <f>[2]TongHop!E560</f>
        <v>0</v>
      </c>
      <c r="F560">
        <f>[2]TongHop!F560</f>
        <v>0</v>
      </c>
      <c r="G560">
        <f>[2]TongHop!G560</f>
        <v>0</v>
      </c>
      <c r="H560">
        <f>[2]TongHop!H560</f>
        <v>0</v>
      </c>
      <c r="I560">
        <f>[2]TongHop!I560</f>
        <v>0</v>
      </c>
      <c r="J560">
        <f>[2]TongHop!J560</f>
        <v>0</v>
      </c>
      <c r="K560">
        <f>[2]TongHop!K560</f>
        <v>0</v>
      </c>
      <c r="L560">
        <f>[2]TongHop!L560</f>
        <v>0</v>
      </c>
      <c r="M560">
        <f>[2]TongHop!M560</f>
        <v>0</v>
      </c>
      <c r="N560">
        <f>[2]TongHop!N560</f>
        <v>0</v>
      </c>
    </row>
    <row r="561" spans="1:14">
      <c r="A561">
        <f>[2]TongHop!A561</f>
        <v>0</v>
      </c>
      <c r="B561">
        <f>[2]TongHop!B561</f>
        <v>0</v>
      </c>
      <c r="C561">
        <f>[2]TongHop!C561</f>
        <v>0</v>
      </c>
      <c r="D561">
        <f>[2]TongHop!D561</f>
        <v>0</v>
      </c>
      <c r="E561">
        <f>[2]TongHop!E561</f>
        <v>0</v>
      </c>
      <c r="F561">
        <f>[2]TongHop!F561</f>
        <v>0</v>
      </c>
      <c r="G561">
        <f>[2]TongHop!G561</f>
        <v>0</v>
      </c>
      <c r="H561">
        <f>[2]TongHop!H561</f>
        <v>0</v>
      </c>
      <c r="I561">
        <f>[2]TongHop!I561</f>
        <v>0</v>
      </c>
      <c r="J561">
        <f>[2]TongHop!J561</f>
        <v>0</v>
      </c>
      <c r="K561">
        <f>[2]TongHop!K561</f>
        <v>0</v>
      </c>
      <c r="L561">
        <f>[2]TongHop!L561</f>
        <v>0</v>
      </c>
      <c r="M561">
        <f>[2]TongHop!M561</f>
        <v>0</v>
      </c>
      <c r="N561">
        <f>[2]TongHop!N561</f>
        <v>0</v>
      </c>
    </row>
    <row r="562" spans="1:14">
      <c r="A562">
        <f>[2]TongHop!A562</f>
        <v>0</v>
      </c>
      <c r="B562">
        <f>[2]TongHop!B562</f>
        <v>0</v>
      </c>
      <c r="C562">
        <f>[2]TongHop!C562</f>
        <v>0</v>
      </c>
      <c r="D562">
        <f>[2]TongHop!D562</f>
        <v>0</v>
      </c>
      <c r="E562">
        <f>[2]TongHop!E562</f>
        <v>0</v>
      </c>
      <c r="F562">
        <f>[2]TongHop!F562</f>
        <v>0</v>
      </c>
      <c r="G562">
        <f>[2]TongHop!G562</f>
        <v>0</v>
      </c>
      <c r="H562">
        <f>[2]TongHop!H562</f>
        <v>0</v>
      </c>
      <c r="I562">
        <f>[2]TongHop!I562</f>
        <v>0</v>
      </c>
      <c r="J562">
        <f>[2]TongHop!J562</f>
        <v>0</v>
      </c>
      <c r="K562">
        <f>[2]TongHop!K562</f>
        <v>0</v>
      </c>
      <c r="L562">
        <f>[2]TongHop!L562</f>
        <v>0</v>
      </c>
      <c r="M562">
        <f>[2]TongHop!M562</f>
        <v>0</v>
      </c>
      <c r="N562">
        <f>[2]TongHop!N562</f>
        <v>0</v>
      </c>
    </row>
    <row r="563" spans="1:14">
      <c r="A563">
        <f>[2]TongHop!A563</f>
        <v>0</v>
      </c>
      <c r="B563">
        <f>[2]TongHop!B563</f>
        <v>0</v>
      </c>
      <c r="C563">
        <f>[2]TongHop!C563</f>
        <v>0</v>
      </c>
      <c r="D563">
        <f>[2]TongHop!D563</f>
        <v>0</v>
      </c>
      <c r="E563">
        <f>[2]TongHop!E563</f>
        <v>0</v>
      </c>
      <c r="F563">
        <f>[2]TongHop!F563</f>
        <v>0</v>
      </c>
      <c r="G563">
        <f>[2]TongHop!G563</f>
        <v>0</v>
      </c>
      <c r="H563">
        <f>[2]TongHop!H563</f>
        <v>0</v>
      </c>
      <c r="I563">
        <f>[2]TongHop!I563</f>
        <v>0</v>
      </c>
      <c r="J563">
        <f>[2]TongHop!J563</f>
        <v>0</v>
      </c>
      <c r="K563">
        <f>[2]TongHop!K563</f>
        <v>0</v>
      </c>
      <c r="L563">
        <f>[2]TongHop!L563</f>
        <v>0</v>
      </c>
      <c r="M563">
        <f>[2]TongHop!M563</f>
        <v>0</v>
      </c>
      <c r="N563">
        <f>[2]TongHop!N563</f>
        <v>0</v>
      </c>
    </row>
    <row r="564" spans="1:14">
      <c r="A564">
        <f>[2]TongHop!A564</f>
        <v>0</v>
      </c>
      <c r="B564">
        <f>[2]TongHop!B564</f>
        <v>0</v>
      </c>
      <c r="C564">
        <f>[2]TongHop!C564</f>
        <v>0</v>
      </c>
      <c r="D564">
        <f>[2]TongHop!D564</f>
        <v>0</v>
      </c>
      <c r="E564">
        <f>[2]TongHop!E564</f>
        <v>0</v>
      </c>
      <c r="F564">
        <f>[2]TongHop!F564</f>
        <v>0</v>
      </c>
      <c r="G564">
        <f>[2]TongHop!G564</f>
        <v>0</v>
      </c>
      <c r="H564">
        <f>[2]TongHop!H564</f>
        <v>0</v>
      </c>
      <c r="I564">
        <f>[2]TongHop!I564</f>
        <v>0</v>
      </c>
      <c r="J564">
        <f>[2]TongHop!J564</f>
        <v>0</v>
      </c>
      <c r="K564">
        <f>[2]TongHop!K564</f>
        <v>0</v>
      </c>
      <c r="L564">
        <f>[2]TongHop!L564</f>
        <v>0</v>
      </c>
      <c r="M564">
        <f>[2]TongHop!M564</f>
        <v>0</v>
      </c>
      <c r="N564">
        <f>[2]TongHop!N564</f>
        <v>0</v>
      </c>
    </row>
    <row r="565" spans="1:14">
      <c r="A565">
        <f>[2]TongHop!A565</f>
        <v>0</v>
      </c>
      <c r="B565">
        <f>[2]TongHop!B565</f>
        <v>0</v>
      </c>
      <c r="C565">
        <f>[2]TongHop!C565</f>
        <v>0</v>
      </c>
      <c r="D565">
        <f>[2]TongHop!D565</f>
        <v>0</v>
      </c>
      <c r="E565">
        <f>[2]TongHop!E565</f>
        <v>0</v>
      </c>
      <c r="F565">
        <f>[2]TongHop!F565</f>
        <v>0</v>
      </c>
      <c r="G565">
        <f>[2]TongHop!G565</f>
        <v>0</v>
      </c>
      <c r="H565">
        <f>[2]TongHop!H565</f>
        <v>0</v>
      </c>
      <c r="I565">
        <f>[2]TongHop!I565</f>
        <v>0</v>
      </c>
      <c r="J565">
        <f>[2]TongHop!J565</f>
        <v>0</v>
      </c>
      <c r="K565">
        <f>[2]TongHop!K565</f>
        <v>0</v>
      </c>
      <c r="L565">
        <f>[2]TongHop!L565</f>
        <v>0</v>
      </c>
      <c r="M565">
        <f>[2]TongHop!M565</f>
        <v>0</v>
      </c>
      <c r="N565">
        <f>[2]TongHop!N565</f>
        <v>0</v>
      </c>
    </row>
    <row r="566" spans="1:14">
      <c r="A566">
        <f>[2]TongHop!A566</f>
        <v>0</v>
      </c>
      <c r="B566">
        <f>[2]TongHop!B566</f>
        <v>0</v>
      </c>
      <c r="C566">
        <f>[2]TongHop!C566</f>
        <v>0</v>
      </c>
      <c r="D566">
        <f>[2]TongHop!D566</f>
        <v>0</v>
      </c>
      <c r="E566">
        <f>[2]TongHop!E566</f>
        <v>0</v>
      </c>
      <c r="F566">
        <f>[2]TongHop!F566</f>
        <v>0</v>
      </c>
      <c r="G566">
        <f>[2]TongHop!G566</f>
        <v>0</v>
      </c>
      <c r="H566">
        <f>[2]TongHop!H566</f>
        <v>0</v>
      </c>
      <c r="I566">
        <f>[2]TongHop!I566</f>
        <v>0</v>
      </c>
      <c r="J566">
        <f>[2]TongHop!J566</f>
        <v>0</v>
      </c>
      <c r="K566">
        <f>[2]TongHop!K566</f>
        <v>0</v>
      </c>
      <c r="L566">
        <f>[2]TongHop!L566</f>
        <v>0</v>
      </c>
      <c r="M566">
        <f>[2]TongHop!M566</f>
        <v>0</v>
      </c>
      <c r="N566">
        <f>[2]TongHop!N566</f>
        <v>0</v>
      </c>
    </row>
    <row r="567" spans="1:14">
      <c r="A567">
        <f>[2]TongHop!A567</f>
        <v>0</v>
      </c>
      <c r="B567">
        <f>[2]TongHop!B567</f>
        <v>0</v>
      </c>
      <c r="C567">
        <f>[2]TongHop!C567</f>
        <v>0</v>
      </c>
      <c r="D567">
        <f>[2]TongHop!D567</f>
        <v>0</v>
      </c>
      <c r="E567">
        <f>[2]TongHop!E567</f>
        <v>0</v>
      </c>
      <c r="F567">
        <f>[2]TongHop!F567</f>
        <v>0</v>
      </c>
      <c r="G567">
        <f>[2]TongHop!G567</f>
        <v>0</v>
      </c>
      <c r="H567">
        <f>[2]TongHop!H567</f>
        <v>0</v>
      </c>
      <c r="I567">
        <f>[2]TongHop!I567</f>
        <v>0</v>
      </c>
      <c r="J567">
        <f>[2]TongHop!J567</f>
        <v>0</v>
      </c>
      <c r="K567">
        <f>[2]TongHop!K567</f>
        <v>0</v>
      </c>
      <c r="L567">
        <f>[2]TongHop!L567</f>
        <v>0</v>
      </c>
      <c r="M567">
        <f>[2]TongHop!M567</f>
        <v>0</v>
      </c>
      <c r="N567">
        <f>[2]TongHop!N567</f>
        <v>0</v>
      </c>
    </row>
    <row r="568" spans="1:14">
      <c r="A568">
        <f>[2]TongHop!A568</f>
        <v>0</v>
      </c>
      <c r="B568">
        <f>[2]TongHop!B568</f>
        <v>0</v>
      </c>
      <c r="C568">
        <f>[2]TongHop!C568</f>
        <v>0</v>
      </c>
      <c r="D568">
        <f>[2]TongHop!D568</f>
        <v>0</v>
      </c>
      <c r="E568">
        <f>[2]TongHop!E568</f>
        <v>0</v>
      </c>
      <c r="F568">
        <f>[2]TongHop!F568</f>
        <v>0</v>
      </c>
      <c r="G568">
        <f>[2]TongHop!G568</f>
        <v>0</v>
      </c>
      <c r="H568">
        <f>[2]TongHop!H568</f>
        <v>0</v>
      </c>
      <c r="I568">
        <f>[2]TongHop!I568</f>
        <v>0</v>
      </c>
      <c r="J568">
        <f>[2]TongHop!J568</f>
        <v>0</v>
      </c>
      <c r="K568">
        <f>[2]TongHop!K568</f>
        <v>0</v>
      </c>
      <c r="L568">
        <f>[2]TongHop!L568</f>
        <v>0</v>
      </c>
      <c r="M568">
        <f>[2]TongHop!M568</f>
        <v>0</v>
      </c>
      <c r="N568">
        <f>[2]TongHop!N568</f>
        <v>0</v>
      </c>
    </row>
    <row r="569" spans="1:14">
      <c r="A569">
        <f>[2]TongHop!A569</f>
        <v>0</v>
      </c>
      <c r="B569">
        <f>[2]TongHop!B569</f>
        <v>0</v>
      </c>
      <c r="C569">
        <f>[2]TongHop!C569</f>
        <v>0</v>
      </c>
      <c r="D569">
        <f>[2]TongHop!D569</f>
        <v>0</v>
      </c>
      <c r="E569">
        <f>[2]TongHop!E569</f>
        <v>0</v>
      </c>
      <c r="F569">
        <f>[2]TongHop!F569</f>
        <v>0</v>
      </c>
      <c r="G569">
        <f>[2]TongHop!G569</f>
        <v>0</v>
      </c>
      <c r="H569">
        <f>[2]TongHop!H569</f>
        <v>0</v>
      </c>
      <c r="I569">
        <f>[2]TongHop!I569</f>
        <v>0</v>
      </c>
      <c r="J569">
        <f>[2]TongHop!J569</f>
        <v>0</v>
      </c>
      <c r="K569">
        <f>[2]TongHop!K569</f>
        <v>0</v>
      </c>
      <c r="L569">
        <f>[2]TongHop!L569</f>
        <v>0</v>
      </c>
      <c r="M569">
        <f>[2]TongHop!M569</f>
        <v>0</v>
      </c>
      <c r="N569">
        <f>[2]TongHop!N569</f>
        <v>0</v>
      </c>
    </row>
    <row r="570" spans="1:14">
      <c r="A570">
        <f>[2]TongHop!A570</f>
        <v>0</v>
      </c>
      <c r="B570">
        <f>[2]TongHop!B570</f>
        <v>0</v>
      </c>
      <c r="C570">
        <f>[2]TongHop!C570</f>
        <v>0</v>
      </c>
      <c r="D570">
        <f>[2]TongHop!D570</f>
        <v>0</v>
      </c>
      <c r="E570">
        <f>[2]TongHop!E570</f>
        <v>0</v>
      </c>
      <c r="F570">
        <f>[2]TongHop!F570</f>
        <v>0</v>
      </c>
      <c r="G570">
        <f>[2]TongHop!G570</f>
        <v>0</v>
      </c>
      <c r="H570">
        <f>[2]TongHop!H570</f>
        <v>0</v>
      </c>
      <c r="I570">
        <f>[2]TongHop!I570</f>
        <v>0</v>
      </c>
      <c r="J570">
        <f>[2]TongHop!J570</f>
        <v>0</v>
      </c>
      <c r="K570">
        <f>[2]TongHop!K570</f>
        <v>0</v>
      </c>
      <c r="L570">
        <f>[2]TongHop!L570</f>
        <v>0</v>
      </c>
      <c r="M570">
        <f>[2]TongHop!M570</f>
        <v>0</v>
      </c>
      <c r="N570">
        <f>[2]TongHop!N570</f>
        <v>0</v>
      </c>
    </row>
    <row r="571" spans="1:14">
      <c r="A571">
        <f>[2]TongHop!A571</f>
        <v>0</v>
      </c>
      <c r="B571">
        <f>[2]TongHop!B571</f>
        <v>0</v>
      </c>
      <c r="C571">
        <f>[2]TongHop!C571</f>
        <v>0</v>
      </c>
      <c r="D571">
        <f>[2]TongHop!D571</f>
        <v>0</v>
      </c>
      <c r="E571">
        <f>[2]TongHop!E571</f>
        <v>0</v>
      </c>
      <c r="F571">
        <f>[2]TongHop!F571</f>
        <v>0</v>
      </c>
      <c r="G571">
        <f>[2]TongHop!G571</f>
        <v>0</v>
      </c>
      <c r="H571">
        <f>[2]TongHop!H571</f>
        <v>0</v>
      </c>
      <c r="I571">
        <f>[2]TongHop!I571</f>
        <v>0</v>
      </c>
      <c r="J571">
        <f>[2]TongHop!J571</f>
        <v>0</v>
      </c>
      <c r="K571">
        <f>[2]TongHop!K571</f>
        <v>0</v>
      </c>
      <c r="L571">
        <f>[2]TongHop!L571</f>
        <v>0</v>
      </c>
      <c r="M571">
        <f>[2]TongHop!M571</f>
        <v>0</v>
      </c>
      <c r="N571">
        <f>[2]TongHop!N571</f>
        <v>0</v>
      </c>
    </row>
    <row r="572" spans="1:14">
      <c r="A572">
        <f>[2]TongHop!A572</f>
        <v>0</v>
      </c>
      <c r="B572">
        <f>[2]TongHop!B572</f>
        <v>0</v>
      </c>
      <c r="C572">
        <f>[2]TongHop!C572</f>
        <v>0</v>
      </c>
      <c r="D572">
        <f>[2]TongHop!D572</f>
        <v>0</v>
      </c>
      <c r="E572">
        <f>[2]TongHop!E572</f>
        <v>0</v>
      </c>
      <c r="F572">
        <f>[2]TongHop!F572</f>
        <v>0</v>
      </c>
      <c r="G572">
        <f>[2]TongHop!G572</f>
        <v>0</v>
      </c>
      <c r="H572">
        <f>[2]TongHop!H572</f>
        <v>0</v>
      </c>
      <c r="I572">
        <f>[2]TongHop!I572</f>
        <v>0</v>
      </c>
      <c r="J572">
        <f>[2]TongHop!J572</f>
        <v>0</v>
      </c>
      <c r="K572">
        <f>[2]TongHop!K572</f>
        <v>0</v>
      </c>
      <c r="L572">
        <f>[2]TongHop!L572</f>
        <v>0</v>
      </c>
      <c r="M572">
        <f>[2]TongHop!M572</f>
        <v>0</v>
      </c>
      <c r="N572">
        <f>[2]TongHop!N572</f>
        <v>0</v>
      </c>
    </row>
    <row r="573" spans="1:14">
      <c r="A573">
        <f>[2]TongHop!A573</f>
        <v>0</v>
      </c>
      <c r="B573">
        <f>[2]TongHop!B573</f>
        <v>0</v>
      </c>
      <c r="C573">
        <f>[2]TongHop!C573</f>
        <v>0</v>
      </c>
      <c r="D573">
        <f>[2]TongHop!D573</f>
        <v>0</v>
      </c>
      <c r="E573">
        <f>[2]TongHop!E573</f>
        <v>0</v>
      </c>
      <c r="F573">
        <f>[2]TongHop!F573</f>
        <v>0</v>
      </c>
      <c r="G573">
        <f>[2]TongHop!G573</f>
        <v>0</v>
      </c>
      <c r="H573">
        <f>[2]TongHop!H573</f>
        <v>0</v>
      </c>
      <c r="I573">
        <f>[2]TongHop!I573</f>
        <v>0</v>
      </c>
      <c r="J573">
        <f>[2]TongHop!J573</f>
        <v>0</v>
      </c>
      <c r="K573">
        <f>[2]TongHop!K573</f>
        <v>0</v>
      </c>
      <c r="L573">
        <f>[2]TongHop!L573</f>
        <v>0</v>
      </c>
      <c r="M573">
        <f>[2]TongHop!M573</f>
        <v>0</v>
      </c>
      <c r="N573">
        <f>[2]TongHop!N573</f>
        <v>0</v>
      </c>
    </row>
    <row r="574" spans="1:14">
      <c r="A574">
        <f>[2]TongHop!A574</f>
        <v>0</v>
      </c>
      <c r="B574">
        <f>[2]TongHop!B574</f>
        <v>0</v>
      </c>
      <c r="C574">
        <f>[2]TongHop!C574</f>
        <v>0</v>
      </c>
      <c r="D574">
        <f>[2]TongHop!D574</f>
        <v>0</v>
      </c>
      <c r="E574">
        <f>[2]TongHop!E574</f>
        <v>0</v>
      </c>
      <c r="F574">
        <f>[2]TongHop!F574</f>
        <v>0</v>
      </c>
      <c r="G574">
        <f>[2]TongHop!G574</f>
        <v>0</v>
      </c>
      <c r="H574">
        <f>[2]TongHop!H574</f>
        <v>0</v>
      </c>
      <c r="I574">
        <f>[2]TongHop!I574</f>
        <v>0</v>
      </c>
      <c r="J574">
        <f>[2]TongHop!J574</f>
        <v>0</v>
      </c>
      <c r="K574">
        <f>[2]TongHop!K574</f>
        <v>0</v>
      </c>
      <c r="L574">
        <f>[2]TongHop!L574</f>
        <v>0</v>
      </c>
      <c r="M574">
        <f>[2]TongHop!M574</f>
        <v>0</v>
      </c>
      <c r="N574">
        <f>[2]TongHop!N574</f>
        <v>0</v>
      </c>
    </row>
    <row r="575" spans="1:14">
      <c r="A575">
        <f>[2]TongHop!A575</f>
        <v>0</v>
      </c>
      <c r="B575">
        <f>[2]TongHop!B575</f>
        <v>0</v>
      </c>
      <c r="C575">
        <f>[2]TongHop!C575</f>
        <v>0</v>
      </c>
      <c r="D575">
        <f>[2]TongHop!D575</f>
        <v>0</v>
      </c>
      <c r="E575">
        <f>[2]TongHop!E575</f>
        <v>0</v>
      </c>
      <c r="F575">
        <f>[2]TongHop!F575</f>
        <v>0</v>
      </c>
      <c r="G575">
        <f>[2]TongHop!G575</f>
        <v>0</v>
      </c>
      <c r="H575">
        <f>[2]TongHop!H575</f>
        <v>0</v>
      </c>
      <c r="I575">
        <f>[2]TongHop!I575</f>
        <v>0</v>
      </c>
      <c r="J575">
        <f>[2]TongHop!J575</f>
        <v>0</v>
      </c>
      <c r="K575">
        <f>[2]TongHop!K575</f>
        <v>0</v>
      </c>
      <c r="L575">
        <f>[2]TongHop!L575</f>
        <v>0</v>
      </c>
      <c r="M575">
        <f>[2]TongHop!M575</f>
        <v>0</v>
      </c>
      <c r="N575">
        <f>[2]TongHop!N575</f>
        <v>0</v>
      </c>
    </row>
    <row r="576" spans="1:14">
      <c r="A576">
        <f>[2]TongHop!A576</f>
        <v>0</v>
      </c>
      <c r="B576">
        <f>[2]TongHop!B576</f>
        <v>0</v>
      </c>
      <c r="C576">
        <f>[2]TongHop!C576</f>
        <v>0</v>
      </c>
      <c r="D576">
        <f>[2]TongHop!D576</f>
        <v>0</v>
      </c>
      <c r="E576">
        <f>[2]TongHop!E576</f>
        <v>0</v>
      </c>
      <c r="F576">
        <f>[2]TongHop!F576</f>
        <v>0</v>
      </c>
      <c r="G576">
        <f>[2]TongHop!G576</f>
        <v>0</v>
      </c>
      <c r="H576">
        <f>[2]TongHop!H576</f>
        <v>0</v>
      </c>
      <c r="I576">
        <f>[2]TongHop!I576</f>
        <v>0</v>
      </c>
      <c r="J576">
        <f>[2]TongHop!J576</f>
        <v>0</v>
      </c>
      <c r="K576">
        <f>[2]TongHop!K576</f>
        <v>0</v>
      </c>
      <c r="L576">
        <f>[2]TongHop!L576</f>
        <v>0</v>
      </c>
      <c r="M576">
        <f>[2]TongHop!M576</f>
        <v>0</v>
      </c>
      <c r="N576">
        <f>[2]TongHop!N576</f>
        <v>0</v>
      </c>
    </row>
    <row r="577" spans="1:14">
      <c r="A577">
        <f>[2]TongHop!A577</f>
        <v>0</v>
      </c>
      <c r="B577">
        <f>[2]TongHop!B577</f>
        <v>0</v>
      </c>
      <c r="C577">
        <f>[2]TongHop!C577</f>
        <v>0</v>
      </c>
      <c r="D577">
        <f>[2]TongHop!D577</f>
        <v>0</v>
      </c>
      <c r="E577">
        <f>[2]TongHop!E577</f>
        <v>0</v>
      </c>
      <c r="F577">
        <f>[2]TongHop!F577</f>
        <v>0</v>
      </c>
      <c r="G577">
        <f>[2]TongHop!G577</f>
        <v>0</v>
      </c>
      <c r="H577">
        <f>[2]TongHop!H577</f>
        <v>0</v>
      </c>
      <c r="I577">
        <f>[2]TongHop!I577</f>
        <v>0</v>
      </c>
      <c r="J577">
        <f>[2]TongHop!J577</f>
        <v>0</v>
      </c>
      <c r="K577">
        <f>[2]TongHop!K577</f>
        <v>0</v>
      </c>
      <c r="L577">
        <f>[2]TongHop!L577</f>
        <v>0</v>
      </c>
      <c r="M577">
        <f>[2]TongHop!M577</f>
        <v>0</v>
      </c>
      <c r="N577">
        <f>[2]TongHop!N577</f>
        <v>0</v>
      </c>
    </row>
    <row r="578" spans="1:14">
      <c r="A578">
        <f>[2]TongHop!A578</f>
        <v>0</v>
      </c>
      <c r="B578">
        <f>[2]TongHop!B578</f>
        <v>0</v>
      </c>
      <c r="C578">
        <f>[2]TongHop!C578</f>
        <v>0</v>
      </c>
      <c r="D578">
        <f>[2]TongHop!D578</f>
        <v>0</v>
      </c>
      <c r="E578">
        <f>[2]TongHop!E578</f>
        <v>0</v>
      </c>
      <c r="F578">
        <f>[2]TongHop!F578</f>
        <v>0</v>
      </c>
      <c r="G578">
        <f>[2]TongHop!G578</f>
        <v>0</v>
      </c>
      <c r="H578">
        <f>[2]TongHop!H578</f>
        <v>0</v>
      </c>
      <c r="I578">
        <f>[2]TongHop!I578</f>
        <v>0</v>
      </c>
      <c r="J578">
        <f>[2]TongHop!J578</f>
        <v>0</v>
      </c>
      <c r="K578">
        <f>[2]TongHop!K578</f>
        <v>0</v>
      </c>
      <c r="L578">
        <f>[2]TongHop!L578</f>
        <v>0</v>
      </c>
      <c r="M578">
        <f>[2]TongHop!M578</f>
        <v>0</v>
      </c>
      <c r="N578">
        <f>[2]TongHop!N578</f>
        <v>0</v>
      </c>
    </row>
    <row r="579" spans="1:14">
      <c r="A579">
        <f>[2]TongHop!A579</f>
        <v>0</v>
      </c>
      <c r="B579">
        <f>[2]TongHop!B579</f>
        <v>0</v>
      </c>
      <c r="C579">
        <f>[2]TongHop!C579</f>
        <v>0</v>
      </c>
      <c r="D579">
        <f>[2]TongHop!D579</f>
        <v>0</v>
      </c>
      <c r="E579">
        <f>[2]TongHop!E579</f>
        <v>0</v>
      </c>
      <c r="F579">
        <f>[2]TongHop!F579</f>
        <v>0</v>
      </c>
      <c r="G579">
        <f>[2]TongHop!G579</f>
        <v>0</v>
      </c>
      <c r="H579">
        <f>[2]TongHop!H579</f>
        <v>0</v>
      </c>
      <c r="I579">
        <f>[2]TongHop!I579</f>
        <v>0</v>
      </c>
      <c r="J579">
        <f>[2]TongHop!J579</f>
        <v>0</v>
      </c>
      <c r="K579">
        <f>[2]TongHop!K579</f>
        <v>0</v>
      </c>
      <c r="L579">
        <f>[2]TongHop!L579</f>
        <v>0</v>
      </c>
      <c r="M579">
        <f>[2]TongHop!M579</f>
        <v>0</v>
      </c>
      <c r="N579">
        <f>[2]TongHop!N579</f>
        <v>0</v>
      </c>
    </row>
    <row r="580" spans="1:14">
      <c r="A580">
        <f>[2]TongHop!A580</f>
        <v>0</v>
      </c>
      <c r="B580">
        <f>[2]TongHop!B580</f>
        <v>0</v>
      </c>
      <c r="C580">
        <f>[2]TongHop!C580</f>
        <v>0</v>
      </c>
      <c r="D580">
        <f>[2]TongHop!D580</f>
        <v>0</v>
      </c>
      <c r="E580">
        <f>[2]TongHop!E580</f>
        <v>0</v>
      </c>
      <c r="F580">
        <f>[2]TongHop!F580</f>
        <v>0</v>
      </c>
      <c r="G580">
        <f>[2]TongHop!G580</f>
        <v>0</v>
      </c>
      <c r="H580">
        <f>[2]TongHop!H580</f>
        <v>0</v>
      </c>
      <c r="I580">
        <f>[2]TongHop!I580</f>
        <v>0</v>
      </c>
      <c r="J580">
        <f>[2]TongHop!J580</f>
        <v>0</v>
      </c>
      <c r="K580">
        <f>[2]TongHop!K580</f>
        <v>0</v>
      </c>
      <c r="L580">
        <f>[2]TongHop!L580</f>
        <v>0</v>
      </c>
      <c r="M580">
        <f>[2]TongHop!M580</f>
        <v>0</v>
      </c>
      <c r="N580">
        <f>[2]TongHop!N580</f>
        <v>0</v>
      </c>
    </row>
    <row r="581" spans="1:14">
      <c r="A581">
        <f>[2]TongHop!A581</f>
        <v>0</v>
      </c>
      <c r="B581">
        <f>[2]TongHop!B581</f>
        <v>0</v>
      </c>
      <c r="C581">
        <f>[2]TongHop!C581</f>
        <v>0</v>
      </c>
      <c r="D581">
        <f>[2]TongHop!D581</f>
        <v>0</v>
      </c>
      <c r="E581">
        <f>[2]TongHop!E581</f>
        <v>0</v>
      </c>
      <c r="F581">
        <f>[2]TongHop!F581</f>
        <v>0</v>
      </c>
      <c r="G581">
        <f>[2]TongHop!G581</f>
        <v>0</v>
      </c>
      <c r="H581">
        <f>[2]TongHop!H581</f>
        <v>0</v>
      </c>
      <c r="I581">
        <f>[2]TongHop!I581</f>
        <v>0</v>
      </c>
      <c r="J581">
        <f>[2]TongHop!J581</f>
        <v>0</v>
      </c>
      <c r="K581">
        <f>[2]TongHop!K581</f>
        <v>0</v>
      </c>
      <c r="L581">
        <f>[2]TongHop!L581</f>
        <v>0</v>
      </c>
      <c r="M581">
        <f>[2]TongHop!M581</f>
        <v>0</v>
      </c>
      <c r="N581">
        <f>[2]TongHop!N581</f>
        <v>0</v>
      </c>
    </row>
    <row r="582" spans="1:14">
      <c r="A582">
        <f>[2]TongHop!A582</f>
        <v>0</v>
      </c>
      <c r="B582">
        <f>[2]TongHop!B582</f>
        <v>0</v>
      </c>
      <c r="C582">
        <f>[2]TongHop!C582</f>
        <v>0</v>
      </c>
      <c r="D582">
        <f>[2]TongHop!D582</f>
        <v>0</v>
      </c>
      <c r="E582">
        <f>[2]TongHop!E582</f>
        <v>0</v>
      </c>
      <c r="F582">
        <f>[2]TongHop!F582</f>
        <v>0</v>
      </c>
      <c r="G582">
        <f>[2]TongHop!G582</f>
        <v>0</v>
      </c>
      <c r="H582">
        <f>[2]TongHop!H582</f>
        <v>0</v>
      </c>
      <c r="I582">
        <f>[2]TongHop!I582</f>
        <v>0</v>
      </c>
      <c r="J582">
        <f>[2]TongHop!J582</f>
        <v>0</v>
      </c>
      <c r="K582">
        <f>[2]TongHop!K582</f>
        <v>0</v>
      </c>
      <c r="L582">
        <f>[2]TongHop!L582</f>
        <v>0</v>
      </c>
      <c r="M582">
        <f>[2]TongHop!M582</f>
        <v>0</v>
      </c>
      <c r="N582">
        <f>[2]TongHop!N582</f>
        <v>0</v>
      </c>
    </row>
    <row r="583" spans="1:14">
      <c r="A583">
        <f>[2]TongHop!A583</f>
        <v>0</v>
      </c>
      <c r="B583">
        <f>[2]TongHop!B583</f>
        <v>0</v>
      </c>
      <c r="C583">
        <f>[2]TongHop!C583</f>
        <v>0</v>
      </c>
      <c r="D583">
        <f>[2]TongHop!D583</f>
        <v>0</v>
      </c>
      <c r="E583">
        <f>[2]TongHop!E583</f>
        <v>0</v>
      </c>
      <c r="F583">
        <f>[2]TongHop!F583</f>
        <v>0</v>
      </c>
      <c r="G583">
        <f>[2]TongHop!G583</f>
        <v>0</v>
      </c>
      <c r="H583">
        <f>[2]TongHop!H583</f>
        <v>0</v>
      </c>
      <c r="I583">
        <f>[2]TongHop!I583</f>
        <v>0</v>
      </c>
      <c r="J583">
        <f>[2]TongHop!J583</f>
        <v>0</v>
      </c>
      <c r="K583">
        <f>[2]TongHop!K583</f>
        <v>0</v>
      </c>
      <c r="L583">
        <f>[2]TongHop!L583</f>
        <v>0</v>
      </c>
      <c r="M583">
        <f>[2]TongHop!M583</f>
        <v>0</v>
      </c>
      <c r="N583">
        <f>[2]TongHop!N583</f>
        <v>0</v>
      </c>
    </row>
    <row r="584" spans="1:14">
      <c r="A584">
        <f>[2]TongHop!A584</f>
        <v>0</v>
      </c>
      <c r="B584">
        <f>[2]TongHop!B584</f>
        <v>0</v>
      </c>
      <c r="C584">
        <f>[2]TongHop!C584</f>
        <v>0</v>
      </c>
      <c r="D584">
        <f>[2]TongHop!D584</f>
        <v>0</v>
      </c>
      <c r="E584">
        <f>[2]TongHop!E584</f>
        <v>0</v>
      </c>
      <c r="F584">
        <f>[2]TongHop!F584</f>
        <v>0</v>
      </c>
      <c r="G584">
        <f>[2]TongHop!G584</f>
        <v>0</v>
      </c>
      <c r="H584">
        <f>[2]TongHop!H584</f>
        <v>0</v>
      </c>
      <c r="I584">
        <f>[2]TongHop!I584</f>
        <v>0</v>
      </c>
      <c r="J584">
        <f>[2]TongHop!J584</f>
        <v>0</v>
      </c>
      <c r="K584">
        <f>[2]TongHop!K584</f>
        <v>0</v>
      </c>
      <c r="L584">
        <f>[2]TongHop!L584</f>
        <v>0</v>
      </c>
      <c r="M584">
        <f>[2]TongHop!M584</f>
        <v>0</v>
      </c>
      <c r="N584">
        <f>[2]TongHop!N584</f>
        <v>0</v>
      </c>
    </row>
    <row r="585" spans="1:14">
      <c r="A585">
        <f>[2]TongHop!A585</f>
        <v>0</v>
      </c>
      <c r="B585">
        <f>[2]TongHop!B585</f>
        <v>0</v>
      </c>
      <c r="C585">
        <f>[2]TongHop!C585</f>
        <v>0</v>
      </c>
      <c r="D585">
        <f>[2]TongHop!D585</f>
        <v>0</v>
      </c>
      <c r="E585">
        <f>[2]TongHop!E585</f>
        <v>0</v>
      </c>
      <c r="F585">
        <f>[2]TongHop!F585</f>
        <v>0</v>
      </c>
      <c r="G585">
        <f>[2]TongHop!G585</f>
        <v>0</v>
      </c>
      <c r="H585">
        <f>[2]TongHop!H585</f>
        <v>0</v>
      </c>
      <c r="I585">
        <f>[2]TongHop!I585</f>
        <v>0</v>
      </c>
      <c r="J585">
        <f>[2]TongHop!J585</f>
        <v>0</v>
      </c>
      <c r="K585">
        <f>[2]TongHop!K585</f>
        <v>0</v>
      </c>
      <c r="L585">
        <f>[2]TongHop!L585</f>
        <v>0</v>
      </c>
      <c r="M585">
        <f>[2]TongHop!M585</f>
        <v>0</v>
      </c>
      <c r="N585">
        <f>[2]TongHop!N585</f>
        <v>0</v>
      </c>
    </row>
    <row r="586" spans="1:14">
      <c r="A586">
        <f>[2]TongHop!A586</f>
        <v>0</v>
      </c>
      <c r="B586">
        <f>[2]TongHop!B586</f>
        <v>0</v>
      </c>
      <c r="C586">
        <f>[2]TongHop!C586</f>
        <v>0</v>
      </c>
      <c r="D586">
        <f>[2]TongHop!D586</f>
        <v>0</v>
      </c>
      <c r="E586">
        <f>[2]TongHop!E586</f>
        <v>0</v>
      </c>
      <c r="F586">
        <f>[2]TongHop!F586</f>
        <v>0</v>
      </c>
      <c r="G586">
        <f>[2]TongHop!G586</f>
        <v>0</v>
      </c>
      <c r="H586">
        <f>[2]TongHop!H586</f>
        <v>0</v>
      </c>
      <c r="I586">
        <f>[2]TongHop!I586</f>
        <v>0</v>
      </c>
      <c r="J586">
        <f>[2]TongHop!J586</f>
        <v>0</v>
      </c>
      <c r="K586">
        <f>[2]TongHop!K586</f>
        <v>0</v>
      </c>
      <c r="L586">
        <f>[2]TongHop!L586</f>
        <v>0</v>
      </c>
      <c r="M586">
        <f>[2]TongHop!M586</f>
        <v>0</v>
      </c>
      <c r="N586">
        <f>[2]TongHop!N586</f>
        <v>0</v>
      </c>
    </row>
    <row r="587" spans="1:14">
      <c r="A587">
        <f>[2]TongHop!A587</f>
        <v>0</v>
      </c>
      <c r="B587">
        <f>[2]TongHop!B587</f>
        <v>0</v>
      </c>
      <c r="C587">
        <f>[2]TongHop!C587</f>
        <v>0</v>
      </c>
      <c r="D587">
        <f>[2]TongHop!D587</f>
        <v>0</v>
      </c>
      <c r="E587">
        <f>[2]TongHop!E587</f>
        <v>0</v>
      </c>
      <c r="F587">
        <f>[2]TongHop!F587</f>
        <v>0</v>
      </c>
      <c r="G587">
        <f>[2]TongHop!G587</f>
        <v>0</v>
      </c>
      <c r="H587">
        <f>[2]TongHop!H587</f>
        <v>0</v>
      </c>
      <c r="I587">
        <f>[2]TongHop!I587</f>
        <v>0</v>
      </c>
      <c r="J587">
        <f>[2]TongHop!J587</f>
        <v>0</v>
      </c>
      <c r="K587">
        <f>[2]TongHop!K587</f>
        <v>0</v>
      </c>
      <c r="L587">
        <f>[2]TongHop!L587</f>
        <v>0</v>
      </c>
      <c r="M587">
        <f>[2]TongHop!M587</f>
        <v>0</v>
      </c>
      <c r="N587">
        <f>[2]TongHop!N587</f>
        <v>0</v>
      </c>
    </row>
    <row r="588" spans="1:14">
      <c r="A588">
        <f>[2]TongHop!A588</f>
        <v>0</v>
      </c>
      <c r="B588">
        <f>[2]TongHop!B588</f>
        <v>0</v>
      </c>
      <c r="C588">
        <f>[2]TongHop!C588</f>
        <v>0</v>
      </c>
      <c r="D588">
        <f>[2]TongHop!D588</f>
        <v>0</v>
      </c>
      <c r="E588">
        <f>[2]TongHop!E588</f>
        <v>0</v>
      </c>
      <c r="F588">
        <f>[2]TongHop!F588</f>
        <v>0</v>
      </c>
      <c r="G588">
        <f>[2]TongHop!G588</f>
        <v>0</v>
      </c>
      <c r="H588">
        <f>[2]TongHop!H588</f>
        <v>0</v>
      </c>
      <c r="I588">
        <f>[2]TongHop!I588</f>
        <v>0</v>
      </c>
      <c r="J588">
        <f>[2]TongHop!J588</f>
        <v>0</v>
      </c>
      <c r="K588">
        <f>[2]TongHop!K588</f>
        <v>0</v>
      </c>
      <c r="L588">
        <f>[2]TongHop!L588</f>
        <v>0</v>
      </c>
      <c r="M588">
        <f>[2]TongHop!M588</f>
        <v>0</v>
      </c>
      <c r="N588">
        <f>[2]TongHop!N588</f>
        <v>0</v>
      </c>
    </row>
    <row r="589" spans="1:14">
      <c r="A589">
        <f>[2]TongHop!A589</f>
        <v>0</v>
      </c>
      <c r="B589">
        <f>[2]TongHop!B589</f>
        <v>0</v>
      </c>
      <c r="C589">
        <f>[2]TongHop!C589</f>
        <v>0</v>
      </c>
      <c r="D589">
        <f>[2]TongHop!D589</f>
        <v>0</v>
      </c>
      <c r="E589">
        <f>[2]TongHop!E589</f>
        <v>0</v>
      </c>
      <c r="F589">
        <f>[2]TongHop!F589</f>
        <v>0</v>
      </c>
      <c r="G589">
        <f>[2]TongHop!G589</f>
        <v>0</v>
      </c>
      <c r="H589">
        <f>[2]TongHop!H589</f>
        <v>0</v>
      </c>
      <c r="I589">
        <f>[2]TongHop!I589</f>
        <v>0</v>
      </c>
      <c r="J589">
        <f>[2]TongHop!J589</f>
        <v>0</v>
      </c>
      <c r="K589">
        <f>[2]TongHop!K589</f>
        <v>0</v>
      </c>
      <c r="L589">
        <f>[2]TongHop!L589</f>
        <v>0</v>
      </c>
      <c r="M589">
        <f>[2]TongHop!M589</f>
        <v>0</v>
      </c>
      <c r="N589">
        <f>[2]TongHop!N589</f>
        <v>0</v>
      </c>
    </row>
    <row r="590" spans="1:14">
      <c r="A590">
        <f>[2]TongHop!A590</f>
        <v>0</v>
      </c>
      <c r="B590">
        <f>[2]TongHop!B590</f>
        <v>0</v>
      </c>
      <c r="C590">
        <f>[2]TongHop!C590</f>
        <v>0</v>
      </c>
      <c r="D590">
        <f>[2]TongHop!D590</f>
        <v>0</v>
      </c>
      <c r="E590">
        <f>[2]TongHop!E590</f>
        <v>0</v>
      </c>
      <c r="F590">
        <f>[2]TongHop!F590</f>
        <v>0</v>
      </c>
      <c r="G590">
        <f>[2]TongHop!G590</f>
        <v>0</v>
      </c>
      <c r="H590">
        <f>[2]TongHop!H590</f>
        <v>0</v>
      </c>
      <c r="I590">
        <f>[2]TongHop!I590</f>
        <v>0</v>
      </c>
      <c r="J590">
        <f>[2]TongHop!J590</f>
        <v>0</v>
      </c>
      <c r="K590">
        <f>[2]TongHop!K590</f>
        <v>0</v>
      </c>
      <c r="L590">
        <f>[2]TongHop!L590</f>
        <v>0</v>
      </c>
      <c r="M590">
        <f>[2]TongHop!M590</f>
        <v>0</v>
      </c>
      <c r="N590">
        <f>[2]TongHop!N590</f>
        <v>0</v>
      </c>
    </row>
    <row r="591" spans="1:14">
      <c r="A591">
        <f>[2]TongHop!A591</f>
        <v>0</v>
      </c>
      <c r="B591">
        <f>[2]TongHop!B591</f>
        <v>0</v>
      </c>
      <c r="C591">
        <f>[2]TongHop!C591</f>
        <v>0</v>
      </c>
      <c r="D591">
        <f>[2]TongHop!D591</f>
        <v>0</v>
      </c>
      <c r="E591">
        <f>[2]TongHop!E591</f>
        <v>0</v>
      </c>
      <c r="F591">
        <f>[2]TongHop!F591</f>
        <v>0</v>
      </c>
      <c r="G591">
        <f>[2]TongHop!G591</f>
        <v>0</v>
      </c>
      <c r="H591">
        <f>[2]TongHop!H591</f>
        <v>0</v>
      </c>
      <c r="I591">
        <f>[2]TongHop!I591</f>
        <v>0</v>
      </c>
      <c r="J591">
        <f>[2]TongHop!J591</f>
        <v>0</v>
      </c>
      <c r="K591">
        <f>[2]TongHop!K591</f>
        <v>0</v>
      </c>
      <c r="L591">
        <f>[2]TongHop!L591</f>
        <v>0</v>
      </c>
      <c r="M591">
        <f>[2]TongHop!M591</f>
        <v>0</v>
      </c>
      <c r="N591">
        <f>[2]TongHop!N591</f>
        <v>0</v>
      </c>
    </row>
    <row r="592" spans="1:14">
      <c r="A592">
        <f>[2]TongHop!A592</f>
        <v>0</v>
      </c>
      <c r="B592">
        <f>[2]TongHop!B592</f>
        <v>0</v>
      </c>
      <c r="C592">
        <f>[2]TongHop!C592</f>
        <v>0</v>
      </c>
      <c r="D592">
        <f>[2]TongHop!D592</f>
        <v>0</v>
      </c>
      <c r="E592">
        <f>[2]TongHop!E592</f>
        <v>0</v>
      </c>
      <c r="F592">
        <f>[2]TongHop!F592</f>
        <v>0</v>
      </c>
      <c r="G592">
        <f>[2]TongHop!G592</f>
        <v>0</v>
      </c>
      <c r="H592">
        <f>[2]TongHop!H592</f>
        <v>0</v>
      </c>
      <c r="I592">
        <f>[2]TongHop!I592</f>
        <v>0</v>
      </c>
      <c r="J592">
        <f>[2]TongHop!J592</f>
        <v>0</v>
      </c>
      <c r="K592">
        <f>[2]TongHop!K592</f>
        <v>0</v>
      </c>
      <c r="L592">
        <f>[2]TongHop!L592</f>
        <v>0</v>
      </c>
      <c r="M592">
        <f>[2]TongHop!M592</f>
        <v>0</v>
      </c>
      <c r="N592">
        <f>[2]TongHop!N592</f>
        <v>0</v>
      </c>
    </row>
    <row r="593" spans="1:14">
      <c r="A593">
        <f>[2]TongHop!A593</f>
        <v>0</v>
      </c>
      <c r="B593">
        <f>[2]TongHop!B593</f>
        <v>0</v>
      </c>
      <c r="C593">
        <f>[2]TongHop!C593</f>
        <v>0</v>
      </c>
      <c r="D593">
        <f>[2]TongHop!D593</f>
        <v>0</v>
      </c>
      <c r="E593">
        <f>[2]TongHop!E593</f>
        <v>0</v>
      </c>
      <c r="F593">
        <f>[2]TongHop!F593</f>
        <v>0</v>
      </c>
      <c r="G593">
        <f>[2]TongHop!G593</f>
        <v>0</v>
      </c>
      <c r="H593">
        <f>[2]TongHop!H593</f>
        <v>0</v>
      </c>
      <c r="I593">
        <f>[2]TongHop!I593</f>
        <v>0</v>
      </c>
      <c r="J593">
        <f>[2]TongHop!J593</f>
        <v>0</v>
      </c>
      <c r="K593">
        <f>[2]TongHop!K593</f>
        <v>0</v>
      </c>
      <c r="L593">
        <f>[2]TongHop!L593</f>
        <v>0</v>
      </c>
      <c r="M593">
        <f>[2]TongHop!M593</f>
        <v>0</v>
      </c>
      <c r="N593">
        <f>[2]TongHop!N593</f>
        <v>0</v>
      </c>
    </row>
    <row r="594" spans="1:14">
      <c r="A594">
        <f>[2]TongHop!A594</f>
        <v>0</v>
      </c>
      <c r="B594">
        <f>[2]TongHop!B594</f>
        <v>0</v>
      </c>
      <c r="C594">
        <f>[2]TongHop!C594</f>
        <v>0</v>
      </c>
      <c r="D594">
        <f>[2]TongHop!D594</f>
        <v>0</v>
      </c>
      <c r="E594">
        <f>[2]TongHop!E594</f>
        <v>0</v>
      </c>
      <c r="F594">
        <f>[2]TongHop!F594</f>
        <v>0</v>
      </c>
      <c r="G594">
        <f>[2]TongHop!G594</f>
        <v>0</v>
      </c>
      <c r="H594">
        <f>[2]TongHop!H594</f>
        <v>0</v>
      </c>
      <c r="I594">
        <f>[2]TongHop!I594</f>
        <v>0</v>
      </c>
      <c r="J594">
        <f>[2]TongHop!J594</f>
        <v>0</v>
      </c>
      <c r="K594">
        <f>[2]TongHop!K594</f>
        <v>0</v>
      </c>
      <c r="L594">
        <f>[2]TongHop!L594</f>
        <v>0</v>
      </c>
      <c r="M594">
        <f>[2]TongHop!M594</f>
        <v>0</v>
      </c>
      <c r="N594">
        <f>[2]TongHop!N594</f>
        <v>0</v>
      </c>
    </row>
    <row r="595" spans="1:14">
      <c r="A595">
        <f>[2]TongHop!A595</f>
        <v>0</v>
      </c>
      <c r="B595">
        <f>[2]TongHop!B595</f>
        <v>0</v>
      </c>
      <c r="C595">
        <f>[2]TongHop!C595</f>
        <v>0</v>
      </c>
      <c r="D595">
        <f>[2]TongHop!D595</f>
        <v>0</v>
      </c>
      <c r="E595">
        <f>[2]TongHop!E595</f>
        <v>0</v>
      </c>
      <c r="F595">
        <f>[2]TongHop!F595</f>
        <v>0</v>
      </c>
      <c r="G595">
        <f>[2]TongHop!G595</f>
        <v>0</v>
      </c>
      <c r="H595">
        <f>[2]TongHop!H595</f>
        <v>0</v>
      </c>
      <c r="I595">
        <f>[2]TongHop!I595</f>
        <v>0</v>
      </c>
      <c r="J595">
        <f>[2]TongHop!J595</f>
        <v>0</v>
      </c>
      <c r="K595">
        <f>[2]TongHop!K595</f>
        <v>0</v>
      </c>
      <c r="L595">
        <f>[2]TongHop!L595</f>
        <v>0</v>
      </c>
      <c r="M595">
        <f>[2]TongHop!M595</f>
        <v>0</v>
      </c>
      <c r="N595">
        <f>[2]TongHop!N595</f>
        <v>0</v>
      </c>
    </row>
    <row r="596" spans="1:14">
      <c r="A596">
        <f>[2]TongHop!A596</f>
        <v>0</v>
      </c>
      <c r="B596">
        <f>[2]TongHop!B596</f>
        <v>0</v>
      </c>
      <c r="C596">
        <f>[2]TongHop!C596</f>
        <v>0</v>
      </c>
      <c r="D596">
        <f>[2]TongHop!D596</f>
        <v>0</v>
      </c>
      <c r="E596">
        <f>[2]TongHop!E596</f>
        <v>0</v>
      </c>
      <c r="F596">
        <f>[2]TongHop!F596</f>
        <v>0</v>
      </c>
      <c r="G596">
        <f>[2]TongHop!G596</f>
        <v>0</v>
      </c>
      <c r="H596">
        <f>[2]TongHop!H596</f>
        <v>0</v>
      </c>
      <c r="I596">
        <f>[2]TongHop!I596</f>
        <v>0</v>
      </c>
      <c r="J596">
        <f>[2]TongHop!J596</f>
        <v>0</v>
      </c>
      <c r="K596">
        <f>[2]TongHop!K596</f>
        <v>0</v>
      </c>
      <c r="L596">
        <f>[2]TongHop!L596</f>
        <v>0</v>
      </c>
      <c r="M596">
        <f>[2]TongHop!M596</f>
        <v>0</v>
      </c>
      <c r="N596">
        <f>[2]TongHop!N596</f>
        <v>0</v>
      </c>
    </row>
    <row r="597" spans="1:14">
      <c r="A597">
        <f>[2]TongHop!A597</f>
        <v>0</v>
      </c>
      <c r="B597">
        <f>[2]TongHop!B597</f>
        <v>0</v>
      </c>
      <c r="C597">
        <f>[2]TongHop!C597</f>
        <v>0</v>
      </c>
      <c r="D597">
        <f>[2]TongHop!D597</f>
        <v>0</v>
      </c>
      <c r="E597">
        <f>[2]TongHop!E597</f>
        <v>0</v>
      </c>
      <c r="F597">
        <f>[2]TongHop!F597</f>
        <v>0</v>
      </c>
      <c r="G597">
        <f>[2]TongHop!G597</f>
        <v>0</v>
      </c>
      <c r="H597">
        <f>[2]TongHop!H597</f>
        <v>0</v>
      </c>
      <c r="I597">
        <f>[2]TongHop!I597</f>
        <v>0</v>
      </c>
      <c r="J597">
        <f>[2]TongHop!J597</f>
        <v>0</v>
      </c>
      <c r="K597">
        <f>[2]TongHop!K597</f>
        <v>0</v>
      </c>
      <c r="L597">
        <f>[2]TongHop!L597</f>
        <v>0</v>
      </c>
      <c r="M597">
        <f>[2]TongHop!M597</f>
        <v>0</v>
      </c>
      <c r="N597">
        <f>[2]TongHop!N597</f>
        <v>0</v>
      </c>
    </row>
    <row r="598" spans="1:14">
      <c r="A598">
        <f>[2]TongHop!A598</f>
        <v>0</v>
      </c>
      <c r="B598">
        <f>[2]TongHop!B598</f>
        <v>0</v>
      </c>
      <c r="C598">
        <f>[2]TongHop!C598</f>
        <v>0</v>
      </c>
      <c r="D598">
        <f>[2]TongHop!D598</f>
        <v>0</v>
      </c>
      <c r="E598">
        <f>[2]TongHop!E598</f>
        <v>0</v>
      </c>
      <c r="F598">
        <f>[2]TongHop!F598</f>
        <v>0</v>
      </c>
      <c r="G598">
        <f>[2]TongHop!G598</f>
        <v>0</v>
      </c>
      <c r="H598">
        <f>[2]TongHop!H598</f>
        <v>0</v>
      </c>
      <c r="I598">
        <f>[2]TongHop!I598</f>
        <v>0</v>
      </c>
      <c r="J598">
        <f>[2]TongHop!J598</f>
        <v>0</v>
      </c>
      <c r="K598">
        <f>[2]TongHop!K598</f>
        <v>0</v>
      </c>
      <c r="L598">
        <f>[2]TongHop!L598</f>
        <v>0</v>
      </c>
      <c r="M598">
        <f>[2]TongHop!M598</f>
        <v>0</v>
      </c>
      <c r="N598">
        <f>[2]TongHop!N598</f>
        <v>0</v>
      </c>
    </row>
    <row r="599" spans="1:14">
      <c r="A599">
        <f>[2]TongHop!A599</f>
        <v>0</v>
      </c>
      <c r="B599">
        <f>[2]TongHop!B599</f>
        <v>0</v>
      </c>
      <c r="C599">
        <f>[2]TongHop!C599</f>
        <v>0</v>
      </c>
      <c r="D599">
        <f>[2]TongHop!D599</f>
        <v>0</v>
      </c>
      <c r="E599">
        <f>[2]TongHop!E599</f>
        <v>0</v>
      </c>
      <c r="F599">
        <f>[2]TongHop!F599</f>
        <v>0</v>
      </c>
      <c r="G599">
        <f>[2]TongHop!G599</f>
        <v>0</v>
      </c>
      <c r="H599">
        <f>[2]TongHop!H599</f>
        <v>0</v>
      </c>
      <c r="I599">
        <f>[2]TongHop!I599</f>
        <v>0</v>
      </c>
      <c r="J599">
        <f>[2]TongHop!J599</f>
        <v>0</v>
      </c>
      <c r="K599">
        <f>[2]TongHop!K599</f>
        <v>0</v>
      </c>
      <c r="L599">
        <f>[2]TongHop!L599</f>
        <v>0</v>
      </c>
      <c r="M599">
        <f>[2]TongHop!M599</f>
        <v>0</v>
      </c>
      <c r="N599">
        <f>[2]TongHop!N599</f>
        <v>0</v>
      </c>
    </row>
    <row r="600" spans="1:14">
      <c r="A600">
        <f>[2]TongHop!A600</f>
        <v>0</v>
      </c>
      <c r="B600">
        <f>[2]TongHop!B600</f>
        <v>0</v>
      </c>
      <c r="C600">
        <f>[2]TongHop!C600</f>
        <v>0</v>
      </c>
      <c r="D600">
        <f>[2]TongHop!D600</f>
        <v>0</v>
      </c>
      <c r="E600">
        <f>[2]TongHop!E600</f>
        <v>0</v>
      </c>
      <c r="F600">
        <f>[2]TongHop!F600</f>
        <v>0</v>
      </c>
      <c r="G600">
        <f>[2]TongHop!G600</f>
        <v>0</v>
      </c>
      <c r="H600">
        <f>[2]TongHop!H600</f>
        <v>0</v>
      </c>
      <c r="I600">
        <f>[2]TongHop!I600</f>
        <v>0</v>
      </c>
      <c r="J600">
        <f>[2]TongHop!J600</f>
        <v>0</v>
      </c>
      <c r="K600">
        <f>[2]TongHop!K600</f>
        <v>0</v>
      </c>
      <c r="L600">
        <f>[2]TongHop!L600</f>
        <v>0</v>
      </c>
      <c r="M600">
        <f>[2]TongHop!M600</f>
        <v>0</v>
      </c>
      <c r="N600">
        <f>[2]TongHop!N600</f>
        <v>0</v>
      </c>
    </row>
    <row r="601" spans="1:14">
      <c r="A601">
        <f>[2]TongHop!A601</f>
        <v>0</v>
      </c>
      <c r="B601">
        <f>[2]TongHop!B601</f>
        <v>0</v>
      </c>
      <c r="C601">
        <f>[2]TongHop!C601</f>
        <v>0</v>
      </c>
      <c r="D601">
        <f>[2]TongHop!D601</f>
        <v>0</v>
      </c>
      <c r="E601">
        <f>[2]TongHop!E601</f>
        <v>0</v>
      </c>
      <c r="F601">
        <f>[2]TongHop!F601</f>
        <v>0</v>
      </c>
      <c r="G601">
        <f>[2]TongHop!G601</f>
        <v>0</v>
      </c>
      <c r="H601">
        <f>[2]TongHop!H601</f>
        <v>0</v>
      </c>
      <c r="I601">
        <f>[2]TongHop!I601</f>
        <v>0</v>
      </c>
      <c r="J601">
        <f>[2]TongHop!J601</f>
        <v>0</v>
      </c>
      <c r="K601">
        <f>[2]TongHop!K601</f>
        <v>0</v>
      </c>
      <c r="L601">
        <f>[2]TongHop!L601</f>
        <v>0</v>
      </c>
      <c r="M601">
        <f>[2]TongHop!M601</f>
        <v>0</v>
      </c>
      <c r="N601">
        <f>[2]TongHop!N601</f>
        <v>0</v>
      </c>
    </row>
    <row r="602" spans="1:14">
      <c r="A602">
        <f>[2]TongHop!A602</f>
        <v>0</v>
      </c>
      <c r="B602">
        <f>[2]TongHop!B602</f>
        <v>0</v>
      </c>
      <c r="C602">
        <f>[2]TongHop!C602</f>
        <v>0</v>
      </c>
      <c r="D602">
        <f>[2]TongHop!D602</f>
        <v>0</v>
      </c>
      <c r="E602">
        <f>[2]TongHop!E602</f>
        <v>0</v>
      </c>
      <c r="F602">
        <f>[2]TongHop!F602</f>
        <v>0</v>
      </c>
      <c r="G602">
        <f>[2]TongHop!G602</f>
        <v>0</v>
      </c>
      <c r="H602">
        <f>[2]TongHop!H602</f>
        <v>0</v>
      </c>
      <c r="I602">
        <f>[2]TongHop!I602</f>
        <v>0</v>
      </c>
      <c r="J602">
        <f>[2]TongHop!J602</f>
        <v>0</v>
      </c>
      <c r="K602">
        <f>[2]TongHop!K602</f>
        <v>0</v>
      </c>
      <c r="L602">
        <f>[2]TongHop!L602</f>
        <v>0</v>
      </c>
      <c r="M602">
        <f>[2]TongHop!M602</f>
        <v>0</v>
      </c>
      <c r="N602">
        <f>[2]TongHop!N602</f>
        <v>0</v>
      </c>
    </row>
    <row r="603" spans="1:14">
      <c r="A603">
        <f>[2]TongHop!A603</f>
        <v>0</v>
      </c>
      <c r="B603">
        <f>[2]TongHop!B603</f>
        <v>0</v>
      </c>
      <c r="C603">
        <f>[2]TongHop!C603</f>
        <v>0</v>
      </c>
      <c r="D603">
        <f>[2]TongHop!D603</f>
        <v>0</v>
      </c>
      <c r="E603">
        <f>[2]TongHop!E603</f>
        <v>0</v>
      </c>
      <c r="F603">
        <f>[2]TongHop!F603</f>
        <v>0</v>
      </c>
      <c r="G603">
        <f>[2]TongHop!G603</f>
        <v>0</v>
      </c>
      <c r="H603">
        <f>[2]TongHop!H603</f>
        <v>0</v>
      </c>
      <c r="I603">
        <f>[2]TongHop!I603</f>
        <v>0</v>
      </c>
      <c r="J603">
        <f>[2]TongHop!J603</f>
        <v>0</v>
      </c>
      <c r="K603">
        <f>[2]TongHop!K603</f>
        <v>0</v>
      </c>
      <c r="L603">
        <f>[2]TongHop!L603</f>
        <v>0</v>
      </c>
      <c r="M603">
        <f>[2]TongHop!M603</f>
        <v>0</v>
      </c>
      <c r="N603">
        <f>[2]TongHop!N603</f>
        <v>0</v>
      </c>
    </row>
    <row r="604" spans="1:14">
      <c r="A604">
        <f>[2]TongHop!A604</f>
        <v>0</v>
      </c>
      <c r="B604">
        <f>[2]TongHop!B604</f>
        <v>0</v>
      </c>
      <c r="C604">
        <f>[2]TongHop!C604</f>
        <v>0</v>
      </c>
      <c r="D604">
        <f>[2]TongHop!D604</f>
        <v>0</v>
      </c>
      <c r="E604">
        <f>[2]TongHop!E604</f>
        <v>0</v>
      </c>
      <c r="F604">
        <f>[2]TongHop!F604</f>
        <v>0</v>
      </c>
      <c r="G604">
        <f>[2]TongHop!G604</f>
        <v>0</v>
      </c>
      <c r="H604">
        <f>[2]TongHop!H604</f>
        <v>0</v>
      </c>
      <c r="I604">
        <f>[2]TongHop!I604</f>
        <v>0</v>
      </c>
      <c r="J604">
        <f>[2]TongHop!J604</f>
        <v>0</v>
      </c>
      <c r="K604">
        <f>[2]TongHop!K604</f>
        <v>0</v>
      </c>
      <c r="L604">
        <f>[2]TongHop!L604</f>
        <v>0</v>
      </c>
      <c r="M604">
        <f>[2]TongHop!M604</f>
        <v>0</v>
      </c>
      <c r="N604">
        <f>[2]TongHop!N604</f>
        <v>0</v>
      </c>
    </row>
    <row r="605" spans="1:14">
      <c r="A605">
        <f>[2]TongHop!A605</f>
        <v>0</v>
      </c>
      <c r="B605">
        <f>[2]TongHop!B605</f>
        <v>0</v>
      </c>
      <c r="C605">
        <f>[2]TongHop!C605</f>
        <v>0</v>
      </c>
      <c r="D605">
        <f>[2]TongHop!D605</f>
        <v>0</v>
      </c>
      <c r="E605">
        <f>[2]TongHop!E605</f>
        <v>0</v>
      </c>
      <c r="F605">
        <f>[2]TongHop!F605</f>
        <v>0</v>
      </c>
      <c r="G605">
        <f>[2]TongHop!G605</f>
        <v>0</v>
      </c>
      <c r="H605">
        <f>[2]TongHop!H605</f>
        <v>0</v>
      </c>
      <c r="I605">
        <f>[2]TongHop!I605</f>
        <v>0</v>
      </c>
      <c r="J605">
        <f>[2]TongHop!J605</f>
        <v>0</v>
      </c>
      <c r="K605">
        <f>[2]TongHop!K605</f>
        <v>0</v>
      </c>
      <c r="L605">
        <f>[2]TongHop!L605</f>
        <v>0</v>
      </c>
      <c r="M605">
        <f>[2]TongHop!M605</f>
        <v>0</v>
      </c>
      <c r="N605">
        <f>[2]TongHop!N605</f>
        <v>0</v>
      </c>
    </row>
    <row r="606" spans="1:14">
      <c r="A606">
        <f>[2]TongHop!A606</f>
        <v>0</v>
      </c>
      <c r="B606">
        <f>[2]TongHop!B606</f>
        <v>0</v>
      </c>
      <c r="C606">
        <f>[2]TongHop!C606</f>
        <v>0</v>
      </c>
      <c r="D606">
        <f>[2]TongHop!D606</f>
        <v>0</v>
      </c>
      <c r="E606">
        <f>[2]TongHop!E606</f>
        <v>0</v>
      </c>
      <c r="F606">
        <f>[2]TongHop!F606</f>
        <v>0</v>
      </c>
      <c r="G606">
        <f>[2]TongHop!G606</f>
        <v>0</v>
      </c>
      <c r="H606">
        <f>[2]TongHop!H606</f>
        <v>0</v>
      </c>
      <c r="I606">
        <f>[2]TongHop!I606</f>
        <v>0</v>
      </c>
      <c r="J606">
        <f>[2]TongHop!J606</f>
        <v>0</v>
      </c>
      <c r="K606">
        <f>[2]TongHop!K606</f>
        <v>0</v>
      </c>
      <c r="L606">
        <f>[2]TongHop!L606</f>
        <v>0</v>
      </c>
      <c r="M606">
        <f>[2]TongHop!M606</f>
        <v>0</v>
      </c>
      <c r="N606">
        <f>[2]TongHop!N606</f>
        <v>0</v>
      </c>
    </row>
    <row r="607" spans="1:14">
      <c r="A607">
        <f>[2]TongHop!A607</f>
        <v>0</v>
      </c>
      <c r="B607">
        <f>[2]TongHop!B607</f>
        <v>0</v>
      </c>
      <c r="C607">
        <f>[2]TongHop!C607</f>
        <v>0</v>
      </c>
      <c r="D607">
        <f>[2]TongHop!D607</f>
        <v>0</v>
      </c>
      <c r="E607">
        <f>[2]TongHop!E607</f>
        <v>0</v>
      </c>
      <c r="F607">
        <f>[2]TongHop!F607</f>
        <v>0</v>
      </c>
      <c r="G607">
        <f>[2]TongHop!G607</f>
        <v>0</v>
      </c>
      <c r="H607">
        <f>[2]TongHop!H607</f>
        <v>0</v>
      </c>
      <c r="I607">
        <f>[2]TongHop!I607</f>
        <v>0</v>
      </c>
      <c r="J607">
        <f>[2]TongHop!J607</f>
        <v>0</v>
      </c>
      <c r="K607">
        <f>[2]TongHop!K607</f>
        <v>0</v>
      </c>
      <c r="L607">
        <f>[2]TongHop!L607</f>
        <v>0</v>
      </c>
      <c r="M607">
        <f>[2]TongHop!M607</f>
        <v>0</v>
      </c>
      <c r="N607">
        <f>[2]TongHop!N607</f>
        <v>0</v>
      </c>
    </row>
    <row r="608" spans="1:14">
      <c r="A608">
        <f>[2]TongHop!A608</f>
        <v>0</v>
      </c>
      <c r="B608">
        <f>[2]TongHop!B608</f>
        <v>0</v>
      </c>
      <c r="C608">
        <f>[2]TongHop!C608</f>
        <v>0</v>
      </c>
      <c r="D608">
        <f>[2]TongHop!D608</f>
        <v>0</v>
      </c>
      <c r="E608">
        <f>[2]TongHop!E608</f>
        <v>0</v>
      </c>
      <c r="F608">
        <f>[2]TongHop!F608</f>
        <v>0</v>
      </c>
      <c r="G608">
        <f>[2]TongHop!G608</f>
        <v>0</v>
      </c>
      <c r="H608">
        <f>[2]TongHop!H608</f>
        <v>0</v>
      </c>
      <c r="I608">
        <f>[2]TongHop!I608</f>
        <v>0</v>
      </c>
      <c r="J608">
        <f>[2]TongHop!J608</f>
        <v>0</v>
      </c>
      <c r="K608">
        <f>[2]TongHop!K608</f>
        <v>0</v>
      </c>
      <c r="L608">
        <f>[2]TongHop!L608</f>
        <v>0</v>
      </c>
      <c r="M608">
        <f>[2]TongHop!M608</f>
        <v>0</v>
      </c>
      <c r="N608">
        <f>[2]TongHop!N608</f>
        <v>0</v>
      </c>
    </row>
    <row r="609" spans="1:14">
      <c r="A609">
        <f>[2]TongHop!A609</f>
        <v>0</v>
      </c>
      <c r="B609">
        <f>[2]TongHop!B609</f>
        <v>0</v>
      </c>
      <c r="C609">
        <f>[2]TongHop!C609</f>
        <v>0</v>
      </c>
      <c r="D609">
        <f>[2]TongHop!D609</f>
        <v>0</v>
      </c>
      <c r="E609">
        <f>[2]TongHop!E609</f>
        <v>0</v>
      </c>
      <c r="F609">
        <f>[2]TongHop!F609</f>
        <v>0</v>
      </c>
      <c r="G609">
        <f>[2]TongHop!G609</f>
        <v>0</v>
      </c>
      <c r="H609">
        <f>[2]TongHop!H609</f>
        <v>0</v>
      </c>
      <c r="I609">
        <f>[2]TongHop!I609</f>
        <v>0</v>
      </c>
      <c r="J609">
        <f>[2]TongHop!J609</f>
        <v>0</v>
      </c>
      <c r="K609">
        <f>[2]TongHop!K609</f>
        <v>0</v>
      </c>
      <c r="L609">
        <f>[2]TongHop!L609</f>
        <v>0</v>
      </c>
      <c r="M609">
        <f>[2]TongHop!M609</f>
        <v>0</v>
      </c>
      <c r="N609">
        <f>[2]TongHop!N609</f>
        <v>0</v>
      </c>
    </row>
    <row r="610" spans="1:14">
      <c r="A610">
        <f>[2]TongHop!A610</f>
        <v>0</v>
      </c>
      <c r="B610">
        <f>[2]TongHop!B610</f>
        <v>0</v>
      </c>
      <c r="C610">
        <f>[2]TongHop!C610</f>
        <v>0</v>
      </c>
      <c r="D610">
        <f>[2]TongHop!D610</f>
        <v>0</v>
      </c>
      <c r="E610">
        <f>[2]TongHop!E610</f>
        <v>0</v>
      </c>
      <c r="F610">
        <f>[2]TongHop!F610</f>
        <v>0</v>
      </c>
      <c r="G610">
        <f>[2]TongHop!G610</f>
        <v>0</v>
      </c>
      <c r="H610">
        <f>[2]TongHop!H610</f>
        <v>0</v>
      </c>
      <c r="I610">
        <f>[2]TongHop!I610</f>
        <v>0</v>
      </c>
      <c r="J610">
        <f>[2]TongHop!J610</f>
        <v>0</v>
      </c>
      <c r="K610">
        <f>[2]TongHop!K610</f>
        <v>0</v>
      </c>
      <c r="L610">
        <f>[2]TongHop!L610</f>
        <v>0</v>
      </c>
      <c r="M610">
        <f>[2]TongHop!M610</f>
        <v>0</v>
      </c>
      <c r="N610">
        <f>[2]TongHop!N610</f>
        <v>0</v>
      </c>
    </row>
    <row r="611" spans="1:14">
      <c r="A611">
        <f>[2]TongHop!A611</f>
        <v>0</v>
      </c>
      <c r="B611">
        <f>[2]TongHop!B611</f>
        <v>0</v>
      </c>
      <c r="C611">
        <f>[2]TongHop!C611</f>
        <v>0</v>
      </c>
      <c r="D611">
        <f>[2]TongHop!D611</f>
        <v>0</v>
      </c>
      <c r="E611">
        <f>[2]TongHop!E611</f>
        <v>0</v>
      </c>
      <c r="F611">
        <f>[2]TongHop!F611</f>
        <v>0</v>
      </c>
      <c r="G611">
        <f>[2]TongHop!G611</f>
        <v>0</v>
      </c>
      <c r="H611">
        <f>[2]TongHop!H611</f>
        <v>0</v>
      </c>
      <c r="I611">
        <f>[2]TongHop!I611</f>
        <v>0</v>
      </c>
      <c r="J611">
        <f>[2]TongHop!J611</f>
        <v>0</v>
      </c>
      <c r="K611">
        <f>[2]TongHop!K611</f>
        <v>0</v>
      </c>
      <c r="L611">
        <f>[2]TongHop!L611</f>
        <v>0</v>
      </c>
      <c r="M611">
        <f>[2]TongHop!M611</f>
        <v>0</v>
      </c>
      <c r="N611">
        <f>[2]TongHop!N611</f>
        <v>0</v>
      </c>
    </row>
    <row r="612" spans="1:14">
      <c r="A612">
        <f>[2]TongHop!A612</f>
        <v>0</v>
      </c>
      <c r="B612">
        <f>[2]TongHop!B612</f>
        <v>0</v>
      </c>
      <c r="C612">
        <f>[2]TongHop!C612</f>
        <v>0</v>
      </c>
      <c r="D612">
        <f>[2]TongHop!D612</f>
        <v>0</v>
      </c>
      <c r="E612">
        <f>[2]TongHop!E612</f>
        <v>0</v>
      </c>
      <c r="F612">
        <f>[2]TongHop!F612</f>
        <v>0</v>
      </c>
      <c r="G612">
        <f>[2]TongHop!G612</f>
        <v>0</v>
      </c>
      <c r="H612">
        <f>[2]TongHop!H612</f>
        <v>0</v>
      </c>
      <c r="I612">
        <f>[2]TongHop!I612</f>
        <v>0</v>
      </c>
      <c r="J612">
        <f>[2]TongHop!J612</f>
        <v>0</v>
      </c>
      <c r="K612">
        <f>[2]TongHop!K612</f>
        <v>0</v>
      </c>
      <c r="L612">
        <f>[2]TongHop!L612</f>
        <v>0</v>
      </c>
      <c r="M612">
        <f>[2]TongHop!M612</f>
        <v>0</v>
      </c>
      <c r="N612">
        <f>[2]TongHop!N612</f>
        <v>0</v>
      </c>
    </row>
    <row r="613" spans="1:14">
      <c r="A613">
        <f>[2]TongHop!A613</f>
        <v>0</v>
      </c>
      <c r="B613">
        <f>[2]TongHop!B613</f>
        <v>0</v>
      </c>
      <c r="C613">
        <f>[2]TongHop!C613</f>
        <v>0</v>
      </c>
      <c r="D613">
        <f>[2]TongHop!D613</f>
        <v>0</v>
      </c>
      <c r="E613">
        <f>[2]TongHop!E613</f>
        <v>0</v>
      </c>
      <c r="F613">
        <f>[2]TongHop!F613</f>
        <v>0</v>
      </c>
      <c r="G613">
        <f>[2]TongHop!G613</f>
        <v>0</v>
      </c>
      <c r="H613">
        <f>[2]TongHop!H613</f>
        <v>0</v>
      </c>
      <c r="I613">
        <f>[2]TongHop!I613</f>
        <v>0</v>
      </c>
      <c r="J613">
        <f>[2]TongHop!J613</f>
        <v>0</v>
      </c>
      <c r="K613">
        <f>[2]TongHop!K613</f>
        <v>0</v>
      </c>
      <c r="L613">
        <f>[2]TongHop!L613</f>
        <v>0</v>
      </c>
      <c r="M613">
        <f>[2]TongHop!M613</f>
        <v>0</v>
      </c>
      <c r="N613">
        <f>[2]TongHop!N613</f>
        <v>0</v>
      </c>
    </row>
    <row r="614" spans="1:14">
      <c r="A614">
        <f>[2]TongHop!A614</f>
        <v>0</v>
      </c>
      <c r="B614">
        <f>[2]TongHop!B614</f>
        <v>0</v>
      </c>
      <c r="C614">
        <f>[2]TongHop!C614</f>
        <v>0</v>
      </c>
      <c r="D614">
        <f>[2]TongHop!D614</f>
        <v>0</v>
      </c>
      <c r="E614">
        <f>[2]TongHop!E614</f>
        <v>0</v>
      </c>
      <c r="F614">
        <f>[2]TongHop!F614</f>
        <v>0</v>
      </c>
      <c r="G614">
        <f>[2]TongHop!G614</f>
        <v>0</v>
      </c>
      <c r="H614">
        <f>[2]TongHop!H614</f>
        <v>0</v>
      </c>
      <c r="I614">
        <f>[2]TongHop!I614</f>
        <v>0</v>
      </c>
      <c r="J614">
        <f>[2]TongHop!J614</f>
        <v>0</v>
      </c>
      <c r="K614">
        <f>[2]TongHop!K614</f>
        <v>0</v>
      </c>
      <c r="L614">
        <f>[2]TongHop!L614</f>
        <v>0</v>
      </c>
      <c r="M614">
        <f>[2]TongHop!M614</f>
        <v>0</v>
      </c>
      <c r="N614">
        <f>[2]TongHop!N614</f>
        <v>0</v>
      </c>
    </row>
    <row r="615" spans="1:14">
      <c r="A615">
        <f>[2]TongHop!A615</f>
        <v>0</v>
      </c>
      <c r="B615">
        <f>[2]TongHop!B615</f>
        <v>0</v>
      </c>
      <c r="C615">
        <f>[2]TongHop!C615</f>
        <v>0</v>
      </c>
      <c r="D615">
        <f>[2]TongHop!D615</f>
        <v>0</v>
      </c>
      <c r="E615">
        <f>[2]TongHop!E615</f>
        <v>0</v>
      </c>
      <c r="F615">
        <f>[2]TongHop!F615</f>
        <v>0</v>
      </c>
      <c r="G615">
        <f>[2]TongHop!G615</f>
        <v>0</v>
      </c>
      <c r="H615">
        <f>[2]TongHop!H615</f>
        <v>0</v>
      </c>
      <c r="I615">
        <f>[2]TongHop!I615</f>
        <v>0</v>
      </c>
      <c r="J615">
        <f>[2]TongHop!J615</f>
        <v>0</v>
      </c>
      <c r="K615">
        <f>[2]TongHop!K615</f>
        <v>0</v>
      </c>
      <c r="L615">
        <f>[2]TongHop!L615</f>
        <v>0</v>
      </c>
      <c r="M615">
        <f>[2]TongHop!M615</f>
        <v>0</v>
      </c>
      <c r="N615">
        <f>[2]TongHop!N615</f>
        <v>0</v>
      </c>
    </row>
    <row r="616" spans="1:14">
      <c r="A616">
        <f>[2]TongHop!A616</f>
        <v>0</v>
      </c>
      <c r="B616">
        <f>[2]TongHop!B616</f>
        <v>0</v>
      </c>
      <c r="C616">
        <f>[2]TongHop!C616</f>
        <v>0</v>
      </c>
      <c r="D616">
        <f>[2]TongHop!D616</f>
        <v>0</v>
      </c>
      <c r="E616">
        <f>[2]TongHop!E616</f>
        <v>0</v>
      </c>
      <c r="F616">
        <f>[2]TongHop!F616</f>
        <v>0</v>
      </c>
      <c r="G616">
        <f>[2]TongHop!G616</f>
        <v>0</v>
      </c>
      <c r="H616">
        <f>[2]TongHop!H616</f>
        <v>0</v>
      </c>
      <c r="I616">
        <f>[2]TongHop!I616</f>
        <v>0</v>
      </c>
      <c r="J616">
        <f>[2]TongHop!J616</f>
        <v>0</v>
      </c>
      <c r="K616">
        <f>[2]TongHop!K616</f>
        <v>0</v>
      </c>
      <c r="L616">
        <f>[2]TongHop!L616</f>
        <v>0</v>
      </c>
      <c r="M616">
        <f>[2]TongHop!M616</f>
        <v>0</v>
      </c>
      <c r="N616">
        <f>[2]TongHop!N616</f>
        <v>0</v>
      </c>
    </row>
    <row r="617" spans="1:14">
      <c r="A617">
        <f>[2]TongHop!A617</f>
        <v>0</v>
      </c>
      <c r="B617">
        <f>[2]TongHop!B617</f>
        <v>0</v>
      </c>
      <c r="C617">
        <f>[2]TongHop!C617</f>
        <v>0</v>
      </c>
      <c r="D617">
        <f>[2]TongHop!D617</f>
        <v>0</v>
      </c>
      <c r="E617">
        <f>[2]TongHop!E617</f>
        <v>0</v>
      </c>
      <c r="F617">
        <f>[2]TongHop!F617</f>
        <v>0</v>
      </c>
      <c r="G617">
        <f>[2]TongHop!G617</f>
        <v>0</v>
      </c>
      <c r="H617">
        <f>[2]TongHop!H617</f>
        <v>0</v>
      </c>
      <c r="I617">
        <f>[2]TongHop!I617</f>
        <v>0</v>
      </c>
      <c r="J617">
        <f>[2]TongHop!J617</f>
        <v>0</v>
      </c>
      <c r="K617">
        <f>[2]TongHop!K617</f>
        <v>0</v>
      </c>
      <c r="L617">
        <f>[2]TongHop!L617</f>
        <v>0</v>
      </c>
      <c r="M617">
        <f>[2]TongHop!M617</f>
        <v>0</v>
      </c>
      <c r="N617">
        <f>[2]TongHop!N617</f>
        <v>0</v>
      </c>
    </row>
    <row r="618" spans="1:14">
      <c r="A618">
        <f>[2]TongHop!A618</f>
        <v>0</v>
      </c>
      <c r="B618">
        <f>[2]TongHop!B618</f>
        <v>0</v>
      </c>
      <c r="C618">
        <f>[2]TongHop!C618</f>
        <v>0</v>
      </c>
      <c r="D618">
        <f>[2]TongHop!D618</f>
        <v>0</v>
      </c>
      <c r="E618">
        <f>[2]TongHop!E618</f>
        <v>0</v>
      </c>
      <c r="F618">
        <f>[2]TongHop!F618</f>
        <v>0</v>
      </c>
      <c r="G618">
        <f>[2]TongHop!G618</f>
        <v>0</v>
      </c>
      <c r="H618">
        <f>[2]TongHop!H618</f>
        <v>0</v>
      </c>
      <c r="I618">
        <f>[2]TongHop!I618</f>
        <v>0</v>
      </c>
      <c r="J618">
        <f>[2]TongHop!J618</f>
        <v>0</v>
      </c>
      <c r="K618">
        <f>[2]TongHop!K618</f>
        <v>0</v>
      </c>
      <c r="L618">
        <f>[2]TongHop!L618</f>
        <v>0</v>
      </c>
      <c r="M618">
        <f>[2]TongHop!M618</f>
        <v>0</v>
      </c>
      <c r="N618">
        <f>[2]TongHop!N618</f>
        <v>0</v>
      </c>
    </row>
    <row r="619" spans="1:14">
      <c r="A619">
        <f>[2]TongHop!A619</f>
        <v>0</v>
      </c>
      <c r="B619">
        <f>[2]TongHop!B619</f>
        <v>0</v>
      </c>
      <c r="C619">
        <f>[2]TongHop!C619</f>
        <v>0</v>
      </c>
      <c r="D619">
        <f>[2]TongHop!D619</f>
        <v>0</v>
      </c>
      <c r="E619">
        <f>[2]TongHop!E619</f>
        <v>0</v>
      </c>
      <c r="F619">
        <f>[2]TongHop!F619</f>
        <v>0</v>
      </c>
      <c r="G619">
        <f>[2]TongHop!G619</f>
        <v>0</v>
      </c>
      <c r="H619">
        <f>[2]TongHop!H619</f>
        <v>0</v>
      </c>
      <c r="I619">
        <f>[2]TongHop!I619</f>
        <v>0</v>
      </c>
      <c r="J619">
        <f>[2]TongHop!J619</f>
        <v>0</v>
      </c>
      <c r="K619">
        <f>[2]TongHop!K619</f>
        <v>0</v>
      </c>
      <c r="L619">
        <f>[2]TongHop!L619</f>
        <v>0</v>
      </c>
      <c r="M619">
        <f>[2]TongHop!M619</f>
        <v>0</v>
      </c>
      <c r="N619">
        <f>[2]TongHop!N619</f>
        <v>0</v>
      </c>
    </row>
    <row r="620" spans="1:14">
      <c r="A620">
        <f>[2]TongHop!A620</f>
        <v>0</v>
      </c>
      <c r="B620">
        <f>[2]TongHop!B620</f>
        <v>0</v>
      </c>
      <c r="C620">
        <f>[2]TongHop!C620</f>
        <v>0</v>
      </c>
      <c r="D620">
        <f>[2]TongHop!D620</f>
        <v>0</v>
      </c>
      <c r="E620">
        <f>[2]TongHop!E620</f>
        <v>0</v>
      </c>
      <c r="F620">
        <f>[2]TongHop!F620</f>
        <v>0</v>
      </c>
      <c r="G620">
        <f>[2]TongHop!G620</f>
        <v>0</v>
      </c>
      <c r="H620">
        <f>[2]TongHop!H620</f>
        <v>0</v>
      </c>
      <c r="I620">
        <f>[2]TongHop!I620</f>
        <v>0</v>
      </c>
      <c r="J620">
        <f>[2]TongHop!J620</f>
        <v>0</v>
      </c>
      <c r="K620">
        <f>[2]TongHop!K620</f>
        <v>0</v>
      </c>
      <c r="L620">
        <f>[2]TongHop!L620</f>
        <v>0</v>
      </c>
      <c r="M620">
        <f>[2]TongHop!M620</f>
        <v>0</v>
      </c>
      <c r="N620">
        <f>[2]TongHop!N620</f>
        <v>0</v>
      </c>
    </row>
    <row r="621" spans="1:14">
      <c r="A621">
        <f>[2]TongHop!A621</f>
        <v>0</v>
      </c>
      <c r="B621">
        <f>[2]TongHop!B621</f>
        <v>0</v>
      </c>
      <c r="C621">
        <f>[2]TongHop!C621</f>
        <v>0</v>
      </c>
      <c r="D621">
        <f>[2]TongHop!D621</f>
        <v>0</v>
      </c>
      <c r="E621">
        <f>[2]TongHop!E621</f>
        <v>0</v>
      </c>
      <c r="F621">
        <f>[2]TongHop!F621</f>
        <v>0</v>
      </c>
      <c r="G621">
        <f>[2]TongHop!G621</f>
        <v>0</v>
      </c>
      <c r="H621">
        <f>[2]TongHop!H621</f>
        <v>0</v>
      </c>
      <c r="I621">
        <f>[2]TongHop!I621</f>
        <v>0</v>
      </c>
      <c r="J621">
        <f>[2]TongHop!J621</f>
        <v>0</v>
      </c>
      <c r="K621">
        <f>[2]TongHop!K621</f>
        <v>0</v>
      </c>
      <c r="L621">
        <f>[2]TongHop!L621</f>
        <v>0</v>
      </c>
      <c r="M621">
        <f>[2]TongHop!M621</f>
        <v>0</v>
      </c>
      <c r="N621">
        <f>[2]TongHop!N621</f>
        <v>0</v>
      </c>
    </row>
    <row r="622" spans="1:14">
      <c r="A622">
        <f>[2]TongHop!A622</f>
        <v>0</v>
      </c>
      <c r="B622">
        <f>[2]TongHop!B622</f>
        <v>0</v>
      </c>
      <c r="C622">
        <f>[2]TongHop!C622</f>
        <v>0</v>
      </c>
      <c r="D622">
        <f>[2]TongHop!D622</f>
        <v>0</v>
      </c>
      <c r="E622">
        <f>[2]TongHop!E622</f>
        <v>0</v>
      </c>
      <c r="F622">
        <f>[2]TongHop!F622</f>
        <v>0</v>
      </c>
      <c r="G622">
        <f>[2]TongHop!G622</f>
        <v>0</v>
      </c>
      <c r="H622">
        <f>[2]TongHop!H622</f>
        <v>0</v>
      </c>
      <c r="I622">
        <f>[2]TongHop!I622</f>
        <v>0</v>
      </c>
      <c r="J622">
        <f>[2]TongHop!J622</f>
        <v>0</v>
      </c>
      <c r="K622">
        <f>[2]TongHop!K622</f>
        <v>0</v>
      </c>
      <c r="L622">
        <f>[2]TongHop!L622</f>
        <v>0</v>
      </c>
      <c r="M622">
        <f>[2]TongHop!M622</f>
        <v>0</v>
      </c>
      <c r="N622">
        <f>[2]TongHop!N622</f>
        <v>0</v>
      </c>
    </row>
    <row r="623" spans="1:14">
      <c r="A623">
        <f>[2]TongHop!A623</f>
        <v>0</v>
      </c>
      <c r="B623">
        <f>[2]TongHop!B623</f>
        <v>0</v>
      </c>
      <c r="C623">
        <f>[2]TongHop!C623</f>
        <v>0</v>
      </c>
      <c r="D623">
        <f>[2]TongHop!D623</f>
        <v>0</v>
      </c>
      <c r="E623">
        <f>[2]TongHop!E623</f>
        <v>0</v>
      </c>
      <c r="F623">
        <f>[2]TongHop!F623</f>
        <v>0</v>
      </c>
      <c r="G623">
        <f>[2]TongHop!G623</f>
        <v>0</v>
      </c>
      <c r="H623">
        <f>[2]TongHop!H623</f>
        <v>0</v>
      </c>
      <c r="I623">
        <f>[2]TongHop!I623</f>
        <v>0</v>
      </c>
      <c r="J623">
        <f>[2]TongHop!J623</f>
        <v>0</v>
      </c>
      <c r="K623">
        <f>[2]TongHop!K623</f>
        <v>0</v>
      </c>
      <c r="L623">
        <f>[2]TongHop!L623</f>
        <v>0</v>
      </c>
      <c r="M623">
        <f>[2]TongHop!M623</f>
        <v>0</v>
      </c>
      <c r="N623">
        <f>[2]TongHop!N623</f>
        <v>0</v>
      </c>
    </row>
    <row r="624" spans="1:14">
      <c r="A624">
        <f>[2]TongHop!A624</f>
        <v>0</v>
      </c>
      <c r="B624">
        <f>[2]TongHop!B624</f>
        <v>0</v>
      </c>
      <c r="C624">
        <f>[2]TongHop!C624</f>
        <v>0</v>
      </c>
      <c r="D624">
        <f>[2]TongHop!D624</f>
        <v>0</v>
      </c>
      <c r="E624">
        <f>[2]TongHop!E624</f>
        <v>0</v>
      </c>
      <c r="F624">
        <f>[2]TongHop!F624</f>
        <v>0</v>
      </c>
      <c r="G624">
        <f>[2]TongHop!G624</f>
        <v>0</v>
      </c>
      <c r="H624">
        <f>[2]TongHop!H624</f>
        <v>0</v>
      </c>
      <c r="I624">
        <f>[2]TongHop!I624</f>
        <v>0</v>
      </c>
      <c r="J624">
        <f>[2]TongHop!J624</f>
        <v>0</v>
      </c>
      <c r="K624">
        <f>[2]TongHop!K624</f>
        <v>0</v>
      </c>
      <c r="L624">
        <f>[2]TongHop!L624</f>
        <v>0</v>
      </c>
      <c r="M624">
        <f>[2]TongHop!M624</f>
        <v>0</v>
      </c>
      <c r="N624">
        <f>[2]TongHop!N624</f>
        <v>0</v>
      </c>
    </row>
    <row r="625" spans="1:14">
      <c r="A625">
        <f>[2]TongHop!A625</f>
        <v>0</v>
      </c>
      <c r="B625">
        <f>[2]TongHop!B625</f>
        <v>0</v>
      </c>
      <c r="C625">
        <f>[2]TongHop!C625</f>
        <v>0</v>
      </c>
      <c r="D625">
        <f>[2]TongHop!D625</f>
        <v>0</v>
      </c>
      <c r="E625">
        <f>[2]TongHop!E625</f>
        <v>0</v>
      </c>
      <c r="F625">
        <f>[2]TongHop!F625</f>
        <v>0</v>
      </c>
      <c r="G625">
        <f>[2]TongHop!G625</f>
        <v>0</v>
      </c>
      <c r="H625">
        <f>[2]TongHop!H625</f>
        <v>0</v>
      </c>
      <c r="I625">
        <f>[2]TongHop!I625</f>
        <v>0</v>
      </c>
      <c r="J625">
        <f>[2]TongHop!J625</f>
        <v>0</v>
      </c>
      <c r="K625">
        <f>[2]TongHop!K625</f>
        <v>0</v>
      </c>
      <c r="L625">
        <f>[2]TongHop!L625</f>
        <v>0</v>
      </c>
      <c r="M625">
        <f>[2]TongHop!M625</f>
        <v>0</v>
      </c>
      <c r="N625">
        <f>[2]TongHop!N625</f>
        <v>0</v>
      </c>
    </row>
    <row r="626" spans="1:14">
      <c r="A626">
        <f>[2]TongHop!A626</f>
        <v>0</v>
      </c>
      <c r="B626">
        <f>[2]TongHop!B626</f>
        <v>0</v>
      </c>
      <c r="C626">
        <f>[2]TongHop!C626</f>
        <v>0</v>
      </c>
      <c r="D626">
        <f>[2]TongHop!D626</f>
        <v>0</v>
      </c>
      <c r="E626">
        <f>[2]TongHop!E626</f>
        <v>0</v>
      </c>
      <c r="F626">
        <f>[2]TongHop!F626</f>
        <v>0</v>
      </c>
      <c r="G626">
        <f>[2]TongHop!G626</f>
        <v>0</v>
      </c>
      <c r="H626">
        <f>[2]TongHop!H626</f>
        <v>0</v>
      </c>
      <c r="I626">
        <f>[2]TongHop!I626</f>
        <v>0</v>
      </c>
      <c r="J626">
        <f>[2]TongHop!J626</f>
        <v>0</v>
      </c>
      <c r="K626">
        <f>[2]TongHop!K626</f>
        <v>0</v>
      </c>
      <c r="L626">
        <f>[2]TongHop!L626</f>
        <v>0</v>
      </c>
      <c r="M626">
        <f>[2]TongHop!M626</f>
        <v>0</v>
      </c>
      <c r="N626">
        <f>[2]TongHop!N626</f>
        <v>0</v>
      </c>
    </row>
    <row r="627" spans="1:14">
      <c r="A627">
        <f>[2]TongHop!A627</f>
        <v>0</v>
      </c>
      <c r="B627">
        <f>[2]TongHop!B627</f>
        <v>0</v>
      </c>
      <c r="C627">
        <f>[2]TongHop!C627</f>
        <v>0</v>
      </c>
      <c r="D627">
        <f>[2]TongHop!D627</f>
        <v>0</v>
      </c>
      <c r="E627">
        <f>[2]TongHop!E627</f>
        <v>0</v>
      </c>
      <c r="F627">
        <f>[2]TongHop!F627</f>
        <v>0</v>
      </c>
      <c r="G627">
        <f>[2]TongHop!G627</f>
        <v>0</v>
      </c>
      <c r="H627">
        <f>[2]TongHop!H627</f>
        <v>0</v>
      </c>
      <c r="I627">
        <f>[2]TongHop!I627</f>
        <v>0</v>
      </c>
      <c r="J627">
        <f>[2]TongHop!J627</f>
        <v>0</v>
      </c>
      <c r="K627">
        <f>[2]TongHop!K627</f>
        <v>0</v>
      </c>
      <c r="L627">
        <f>[2]TongHop!L627</f>
        <v>0</v>
      </c>
      <c r="M627">
        <f>[2]TongHop!M627</f>
        <v>0</v>
      </c>
      <c r="N627">
        <f>[2]TongHop!N627</f>
        <v>0</v>
      </c>
    </row>
    <row r="628" spans="1:14">
      <c r="A628">
        <f>[2]TongHop!A628</f>
        <v>0</v>
      </c>
      <c r="B628">
        <f>[2]TongHop!B628</f>
        <v>0</v>
      </c>
      <c r="C628">
        <f>[2]TongHop!C628</f>
        <v>0</v>
      </c>
      <c r="D628">
        <f>[2]TongHop!D628</f>
        <v>0</v>
      </c>
      <c r="E628">
        <f>[2]TongHop!E628</f>
        <v>0</v>
      </c>
      <c r="F628">
        <f>[2]TongHop!F628</f>
        <v>0</v>
      </c>
      <c r="G628">
        <f>[2]TongHop!G628</f>
        <v>0</v>
      </c>
      <c r="H628">
        <f>[2]TongHop!H628</f>
        <v>0</v>
      </c>
      <c r="I628">
        <f>[2]TongHop!I628</f>
        <v>0</v>
      </c>
      <c r="J628">
        <f>[2]TongHop!J628</f>
        <v>0</v>
      </c>
      <c r="K628">
        <f>[2]TongHop!K628</f>
        <v>0</v>
      </c>
      <c r="L628">
        <f>[2]TongHop!L628</f>
        <v>0</v>
      </c>
      <c r="M628">
        <f>[2]TongHop!M628</f>
        <v>0</v>
      </c>
      <c r="N628">
        <f>[2]TongHop!N628</f>
        <v>0</v>
      </c>
    </row>
    <row r="629" spans="1:14">
      <c r="A629">
        <f>[2]TongHop!A629</f>
        <v>0</v>
      </c>
      <c r="B629">
        <f>[2]TongHop!B629</f>
        <v>0</v>
      </c>
      <c r="C629">
        <f>[2]TongHop!C629</f>
        <v>0</v>
      </c>
      <c r="D629">
        <f>[2]TongHop!D629</f>
        <v>0</v>
      </c>
      <c r="E629">
        <f>[2]TongHop!E629</f>
        <v>0</v>
      </c>
      <c r="F629">
        <f>[2]TongHop!F629</f>
        <v>0</v>
      </c>
      <c r="G629">
        <f>[2]TongHop!G629</f>
        <v>0</v>
      </c>
      <c r="H629">
        <f>[2]TongHop!H629</f>
        <v>0</v>
      </c>
      <c r="I629">
        <f>[2]TongHop!I629</f>
        <v>0</v>
      </c>
      <c r="J629">
        <f>[2]TongHop!J629</f>
        <v>0</v>
      </c>
      <c r="K629">
        <f>[2]TongHop!K629</f>
        <v>0</v>
      </c>
      <c r="L629">
        <f>[2]TongHop!L629</f>
        <v>0</v>
      </c>
      <c r="M629">
        <f>[2]TongHop!M629</f>
        <v>0</v>
      </c>
      <c r="N629">
        <f>[2]TongHop!N629</f>
        <v>0</v>
      </c>
    </row>
    <row r="630" spans="1:14">
      <c r="A630">
        <f>[2]TongHop!A630</f>
        <v>0</v>
      </c>
      <c r="B630">
        <f>[2]TongHop!B630</f>
        <v>0</v>
      </c>
      <c r="C630">
        <f>[2]TongHop!C630</f>
        <v>0</v>
      </c>
      <c r="D630">
        <f>[2]TongHop!D630</f>
        <v>0</v>
      </c>
      <c r="E630">
        <f>[2]TongHop!E630</f>
        <v>0</v>
      </c>
      <c r="F630">
        <f>[2]TongHop!F630</f>
        <v>0</v>
      </c>
      <c r="G630">
        <f>[2]TongHop!G630</f>
        <v>0</v>
      </c>
      <c r="H630">
        <f>[2]TongHop!H630</f>
        <v>0</v>
      </c>
      <c r="I630">
        <f>[2]TongHop!I630</f>
        <v>0</v>
      </c>
      <c r="J630">
        <f>[2]TongHop!J630</f>
        <v>0</v>
      </c>
      <c r="K630">
        <f>[2]TongHop!K630</f>
        <v>0</v>
      </c>
      <c r="L630">
        <f>[2]TongHop!L630</f>
        <v>0</v>
      </c>
      <c r="M630">
        <f>[2]TongHop!M630</f>
        <v>0</v>
      </c>
      <c r="N630">
        <f>[2]TongHop!N630</f>
        <v>0</v>
      </c>
    </row>
    <row r="631" spans="1:14">
      <c r="A631">
        <f>[2]TongHop!A631</f>
        <v>0</v>
      </c>
      <c r="B631">
        <f>[2]TongHop!B631</f>
        <v>0</v>
      </c>
      <c r="C631">
        <f>[2]TongHop!C631</f>
        <v>0</v>
      </c>
      <c r="D631">
        <f>[2]TongHop!D631</f>
        <v>0</v>
      </c>
      <c r="E631">
        <f>[2]TongHop!E631</f>
        <v>0</v>
      </c>
      <c r="F631">
        <f>[2]TongHop!F631</f>
        <v>0</v>
      </c>
      <c r="G631">
        <f>[2]TongHop!G631</f>
        <v>0</v>
      </c>
      <c r="H631">
        <f>[2]TongHop!H631</f>
        <v>0</v>
      </c>
      <c r="I631">
        <f>[2]TongHop!I631</f>
        <v>0</v>
      </c>
      <c r="J631">
        <f>[2]TongHop!J631</f>
        <v>0</v>
      </c>
      <c r="K631">
        <f>[2]TongHop!K631</f>
        <v>0</v>
      </c>
      <c r="L631">
        <f>[2]TongHop!L631</f>
        <v>0</v>
      </c>
      <c r="M631">
        <f>[2]TongHop!M631</f>
        <v>0</v>
      </c>
      <c r="N631">
        <f>[2]TongHop!N631</f>
        <v>0</v>
      </c>
    </row>
    <row r="632" spans="1:14">
      <c r="A632">
        <f>[2]TongHop!A632</f>
        <v>0</v>
      </c>
      <c r="B632">
        <f>[2]TongHop!B632</f>
        <v>0</v>
      </c>
      <c r="C632">
        <f>[2]TongHop!C632</f>
        <v>0</v>
      </c>
      <c r="D632">
        <f>[2]TongHop!D632</f>
        <v>0</v>
      </c>
      <c r="E632">
        <f>[2]TongHop!E632</f>
        <v>0</v>
      </c>
      <c r="F632">
        <f>[2]TongHop!F632</f>
        <v>0</v>
      </c>
      <c r="G632">
        <f>[2]TongHop!G632</f>
        <v>0</v>
      </c>
      <c r="H632">
        <f>[2]TongHop!H632</f>
        <v>0</v>
      </c>
      <c r="I632">
        <f>[2]TongHop!I632</f>
        <v>0</v>
      </c>
      <c r="J632">
        <f>[2]TongHop!J632</f>
        <v>0</v>
      </c>
      <c r="K632">
        <f>[2]TongHop!K632</f>
        <v>0</v>
      </c>
      <c r="L632">
        <f>[2]TongHop!L632</f>
        <v>0</v>
      </c>
      <c r="M632">
        <f>[2]TongHop!M632</f>
        <v>0</v>
      </c>
      <c r="N632">
        <f>[2]TongHop!N632</f>
        <v>0</v>
      </c>
    </row>
    <row r="633" spans="1:14">
      <c r="A633">
        <f>[2]TongHop!A633</f>
        <v>0</v>
      </c>
      <c r="B633">
        <f>[2]TongHop!B633</f>
        <v>0</v>
      </c>
      <c r="C633">
        <f>[2]TongHop!C633</f>
        <v>0</v>
      </c>
      <c r="D633">
        <f>[2]TongHop!D633</f>
        <v>0</v>
      </c>
      <c r="E633">
        <f>[2]TongHop!E633</f>
        <v>0</v>
      </c>
      <c r="F633">
        <f>[2]TongHop!F633</f>
        <v>0</v>
      </c>
      <c r="G633">
        <f>[2]TongHop!G633</f>
        <v>0</v>
      </c>
      <c r="H633">
        <f>[2]TongHop!H633</f>
        <v>0</v>
      </c>
      <c r="I633">
        <f>[2]TongHop!I633</f>
        <v>0</v>
      </c>
      <c r="J633">
        <f>[2]TongHop!J633</f>
        <v>0</v>
      </c>
      <c r="K633">
        <f>[2]TongHop!K633</f>
        <v>0</v>
      </c>
      <c r="L633">
        <f>[2]TongHop!L633</f>
        <v>0</v>
      </c>
      <c r="M633">
        <f>[2]TongHop!M633</f>
        <v>0</v>
      </c>
      <c r="N633">
        <f>[2]TongHop!N633</f>
        <v>0</v>
      </c>
    </row>
    <row r="634" spans="1:14">
      <c r="A634">
        <f>[2]TongHop!A634</f>
        <v>0</v>
      </c>
      <c r="B634">
        <f>[2]TongHop!B634</f>
        <v>0</v>
      </c>
      <c r="C634">
        <f>[2]TongHop!C634</f>
        <v>0</v>
      </c>
      <c r="D634">
        <f>[2]TongHop!D634</f>
        <v>0</v>
      </c>
      <c r="E634">
        <f>[2]TongHop!E634</f>
        <v>0</v>
      </c>
      <c r="F634">
        <f>[2]TongHop!F634</f>
        <v>0</v>
      </c>
      <c r="G634">
        <f>[2]TongHop!G634</f>
        <v>0</v>
      </c>
      <c r="H634">
        <f>[2]TongHop!H634</f>
        <v>0</v>
      </c>
      <c r="I634">
        <f>[2]TongHop!I634</f>
        <v>0</v>
      </c>
      <c r="J634">
        <f>[2]TongHop!J634</f>
        <v>0</v>
      </c>
      <c r="K634">
        <f>[2]TongHop!K634</f>
        <v>0</v>
      </c>
      <c r="L634">
        <f>[2]TongHop!L634</f>
        <v>0</v>
      </c>
      <c r="M634">
        <f>[2]TongHop!M634</f>
        <v>0</v>
      </c>
      <c r="N634">
        <f>[2]TongHop!N634</f>
        <v>0</v>
      </c>
    </row>
    <row r="635" spans="1:14">
      <c r="A635">
        <f>[2]TongHop!A635</f>
        <v>0</v>
      </c>
      <c r="B635">
        <f>[2]TongHop!B635</f>
        <v>0</v>
      </c>
      <c r="C635">
        <f>[2]TongHop!C635</f>
        <v>0</v>
      </c>
      <c r="D635">
        <f>[2]TongHop!D635</f>
        <v>0</v>
      </c>
      <c r="E635">
        <f>[2]TongHop!E635</f>
        <v>0</v>
      </c>
      <c r="F635">
        <f>[2]TongHop!F635</f>
        <v>0</v>
      </c>
      <c r="G635">
        <f>[2]TongHop!G635</f>
        <v>0</v>
      </c>
      <c r="H635">
        <f>[2]TongHop!H635</f>
        <v>0</v>
      </c>
      <c r="I635">
        <f>[2]TongHop!I635</f>
        <v>0</v>
      </c>
      <c r="J635">
        <f>[2]TongHop!J635</f>
        <v>0</v>
      </c>
      <c r="K635">
        <f>[2]TongHop!K635</f>
        <v>0</v>
      </c>
      <c r="L635">
        <f>[2]TongHop!L635</f>
        <v>0</v>
      </c>
      <c r="M635">
        <f>[2]TongHop!M635</f>
        <v>0</v>
      </c>
      <c r="N635">
        <f>[2]TongHop!N635</f>
        <v>0</v>
      </c>
    </row>
    <row r="636" spans="1:14">
      <c r="A636">
        <f>[2]TongHop!A636</f>
        <v>0</v>
      </c>
      <c r="B636">
        <f>[2]TongHop!B636</f>
        <v>0</v>
      </c>
      <c r="C636">
        <f>[2]TongHop!C636</f>
        <v>0</v>
      </c>
      <c r="D636">
        <f>[2]TongHop!D636</f>
        <v>0</v>
      </c>
      <c r="E636">
        <f>[2]TongHop!E636</f>
        <v>0</v>
      </c>
      <c r="F636">
        <f>[2]TongHop!F636</f>
        <v>0</v>
      </c>
      <c r="G636">
        <f>[2]TongHop!G636</f>
        <v>0</v>
      </c>
      <c r="H636">
        <f>[2]TongHop!H636</f>
        <v>0</v>
      </c>
      <c r="I636">
        <f>[2]TongHop!I636</f>
        <v>0</v>
      </c>
      <c r="J636">
        <f>[2]TongHop!J636</f>
        <v>0</v>
      </c>
      <c r="K636">
        <f>[2]TongHop!K636</f>
        <v>0</v>
      </c>
      <c r="L636">
        <f>[2]TongHop!L636</f>
        <v>0</v>
      </c>
      <c r="M636">
        <f>[2]TongHop!M636</f>
        <v>0</v>
      </c>
      <c r="N636">
        <f>[2]TongHop!N636</f>
        <v>0</v>
      </c>
    </row>
    <row r="637" spans="1:14">
      <c r="A637">
        <f>[2]TongHop!A637</f>
        <v>0</v>
      </c>
      <c r="B637">
        <f>[2]TongHop!B637</f>
        <v>0</v>
      </c>
      <c r="C637">
        <f>[2]TongHop!C637</f>
        <v>0</v>
      </c>
      <c r="D637">
        <f>[2]TongHop!D637</f>
        <v>0</v>
      </c>
      <c r="E637">
        <f>[2]TongHop!E637</f>
        <v>0</v>
      </c>
      <c r="F637">
        <f>[2]TongHop!F637</f>
        <v>0</v>
      </c>
      <c r="G637">
        <f>[2]TongHop!G637</f>
        <v>0</v>
      </c>
      <c r="H637">
        <f>[2]TongHop!H637</f>
        <v>0</v>
      </c>
      <c r="I637">
        <f>[2]TongHop!I637</f>
        <v>0</v>
      </c>
      <c r="J637">
        <f>[2]TongHop!J637</f>
        <v>0</v>
      </c>
      <c r="K637">
        <f>[2]TongHop!K637</f>
        <v>0</v>
      </c>
      <c r="L637">
        <f>[2]TongHop!L637</f>
        <v>0</v>
      </c>
      <c r="M637">
        <f>[2]TongHop!M637</f>
        <v>0</v>
      </c>
      <c r="N637">
        <f>[2]TongHop!N637</f>
        <v>0</v>
      </c>
    </row>
    <row r="638" spans="1:14">
      <c r="A638">
        <f>[2]TongHop!A638</f>
        <v>0</v>
      </c>
      <c r="B638">
        <f>[2]TongHop!B638</f>
        <v>0</v>
      </c>
      <c r="C638">
        <f>[2]TongHop!C638</f>
        <v>0</v>
      </c>
      <c r="D638">
        <f>[2]TongHop!D638</f>
        <v>0</v>
      </c>
      <c r="E638">
        <f>[2]TongHop!E638</f>
        <v>0</v>
      </c>
      <c r="F638">
        <f>[2]TongHop!F638</f>
        <v>0</v>
      </c>
      <c r="G638">
        <f>[2]TongHop!G638</f>
        <v>0</v>
      </c>
      <c r="H638">
        <f>[2]TongHop!H638</f>
        <v>0</v>
      </c>
      <c r="I638">
        <f>[2]TongHop!I638</f>
        <v>0</v>
      </c>
      <c r="J638">
        <f>[2]TongHop!J638</f>
        <v>0</v>
      </c>
      <c r="K638">
        <f>[2]TongHop!K638</f>
        <v>0</v>
      </c>
      <c r="L638">
        <f>[2]TongHop!L638</f>
        <v>0</v>
      </c>
      <c r="M638">
        <f>[2]TongHop!M638</f>
        <v>0</v>
      </c>
      <c r="N638">
        <f>[2]TongHop!N638</f>
        <v>0</v>
      </c>
    </row>
    <row r="639" spans="1:14">
      <c r="A639">
        <f>[2]TongHop!A639</f>
        <v>0</v>
      </c>
      <c r="B639">
        <f>[2]TongHop!B639</f>
        <v>0</v>
      </c>
      <c r="C639">
        <f>[2]TongHop!C639</f>
        <v>0</v>
      </c>
      <c r="D639">
        <f>[2]TongHop!D639</f>
        <v>0</v>
      </c>
      <c r="E639">
        <f>[2]TongHop!E639</f>
        <v>0</v>
      </c>
      <c r="F639">
        <f>[2]TongHop!F639</f>
        <v>0</v>
      </c>
      <c r="G639">
        <f>[2]TongHop!G639</f>
        <v>0</v>
      </c>
      <c r="H639">
        <f>[2]TongHop!H639</f>
        <v>0</v>
      </c>
      <c r="I639">
        <f>[2]TongHop!I639</f>
        <v>0</v>
      </c>
      <c r="J639">
        <f>[2]TongHop!J639</f>
        <v>0</v>
      </c>
      <c r="K639">
        <f>[2]TongHop!K639</f>
        <v>0</v>
      </c>
      <c r="L639">
        <f>[2]TongHop!L639</f>
        <v>0</v>
      </c>
      <c r="M639">
        <f>[2]TongHop!M639</f>
        <v>0</v>
      </c>
      <c r="N639">
        <f>[2]TongHop!N639</f>
        <v>0</v>
      </c>
    </row>
    <row r="640" spans="1:14">
      <c r="A640">
        <f>[2]TongHop!A640</f>
        <v>0</v>
      </c>
      <c r="B640">
        <f>[2]TongHop!B640</f>
        <v>0</v>
      </c>
      <c r="C640">
        <f>[2]TongHop!C640</f>
        <v>0</v>
      </c>
      <c r="D640">
        <f>[2]TongHop!D640</f>
        <v>0</v>
      </c>
      <c r="E640">
        <f>[2]TongHop!E640</f>
        <v>0</v>
      </c>
      <c r="F640">
        <f>[2]TongHop!F640</f>
        <v>0</v>
      </c>
      <c r="G640">
        <f>[2]TongHop!G640</f>
        <v>0</v>
      </c>
      <c r="H640">
        <f>[2]TongHop!H640</f>
        <v>0</v>
      </c>
      <c r="I640">
        <f>[2]TongHop!I640</f>
        <v>0</v>
      </c>
      <c r="J640">
        <f>[2]TongHop!J640</f>
        <v>0</v>
      </c>
      <c r="K640">
        <f>[2]TongHop!K640</f>
        <v>0</v>
      </c>
      <c r="L640">
        <f>[2]TongHop!L640</f>
        <v>0</v>
      </c>
      <c r="M640">
        <f>[2]TongHop!M640</f>
        <v>0</v>
      </c>
      <c r="N640">
        <f>[2]TongHop!N640</f>
        <v>0</v>
      </c>
    </row>
    <row r="641" spans="1:14">
      <c r="A641">
        <f>[2]TongHop!A641</f>
        <v>0</v>
      </c>
      <c r="B641">
        <f>[2]TongHop!B641</f>
        <v>0</v>
      </c>
      <c r="C641">
        <f>[2]TongHop!C641</f>
        <v>0</v>
      </c>
      <c r="D641">
        <f>[2]TongHop!D641</f>
        <v>0</v>
      </c>
      <c r="E641">
        <f>[2]TongHop!E641</f>
        <v>0</v>
      </c>
      <c r="F641">
        <f>[2]TongHop!F641</f>
        <v>0</v>
      </c>
      <c r="G641">
        <f>[2]TongHop!G641</f>
        <v>0</v>
      </c>
      <c r="H641">
        <f>[2]TongHop!H641</f>
        <v>0</v>
      </c>
      <c r="I641">
        <f>[2]TongHop!I641</f>
        <v>0</v>
      </c>
      <c r="J641">
        <f>[2]TongHop!J641</f>
        <v>0</v>
      </c>
      <c r="K641">
        <f>[2]TongHop!K641</f>
        <v>0</v>
      </c>
      <c r="L641">
        <f>[2]TongHop!L641</f>
        <v>0</v>
      </c>
      <c r="M641">
        <f>[2]TongHop!M641</f>
        <v>0</v>
      </c>
      <c r="N641">
        <f>[2]TongHop!N641</f>
        <v>0</v>
      </c>
    </row>
    <row r="642" spans="1:14">
      <c r="A642">
        <f>[2]TongHop!A642</f>
        <v>0</v>
      </c>
      <c r="B642">
        <f>[2]TongHop!B642</f>
        <v>0</v>
      </c>
      <c r="C642">
        <f>[2]TongHop!C642</f>
        <v>0</v>
      </c>
      <c r="D642">
        <f>[2]TongHop!D642</f>
        <v>0</v>
      </c>
      <c r="E642">
        <f>[2]TongHop!E642</f>
        <v>0</v>
      </c>
      <c r="F642">
        <f>[2]TongHop!F642</f>
        <v>0</v>
      </c>
      <c r="G642">
        <f>[2]TongHop!G642</f>
        <v>0</v>
      </c>
      <c r="H642">
        <f>[2]TongHop!H642</f>
        <v>0</v>
      </c>
      <c r="I642">
        <f>[2]TongHop!I642</f>
        <v>0</v>
      </c>
      <c r="J642">
        <f>[2]TongHop!J642</f>
        <v>0</v>
      </c>
      <c r="K642">
        <f>[2]TongHop!K642</f>
        <v>0</v>
      </c>
      <c r="L642">
        <f>[2]TongHop!L642</f>
        <v>0</v>
      </c>
      <c r="M642">
        <f>[2]TongHop!M642</f>
        <v>0</v>
      </c>
      <c r="N642">
        <f>[2]TongHop!N642</f>
        <v>0</v>
      </c>
    </row>
    <row r="643" spans="1:14">
      <c r="A643">
        <f>[2]TongHop!A643</f>
        <v>0</v>
      </c>
      <c r="B643">
        <f>[2]TongHop!B643</f>
        <v>0</v>
      </c>
      <c r="C643">
        <f>[2]TongHop!C643</f>
        <v>0</v>
      </c>
      <c r="D643">
        <f>[2]TongHop!D643</f>
        <v>0</v>
      </c>
      <c r="E643">
        <f>[2]TongHop!E643</f>
        <v>0</v>
      </c>
      <c r="F643">
        <f>[2]TongHop!F643</f>
        <v>0</v>
      </c>
      <c r="G643">
        <f>[2]TongHop!G643</f>
        <v>0</v>
      </c>
      <c r="H643">
        <f>[2]TongHop!H643</f>
        <v>0</v>
      </c>
      <c r="I643">
        <f>[2]TongHop!I643</f>
        <v>0</v>
      </c>
      <c r="J643">
        <f>[2]TongHop!J643</f>
        <v>0</v>
      </c>
      <c r="K643">
        <f>[2]TongHop!K643</f>
        <v>0</v>
      </c>
      <c r="L643">
        <f>[2]TongHop!L643</f>
        <v>0</v>
      </c>
      <c r="M643">
        <f>[2]TongHop!M643</f>
        <v>0</v>
      </c>
      <c r="N643">
        <f>[2]TongHop!N643</f>
        <v>0</v>
      </c>
    </row>
    <row r="644" spans="1:14">
      <c r="A644">
        <f>[2]TongHop!A644</f>
        <v>0</v>
      </c>
      <c r="B644">
        <f>[2]TongHop!B644</f>
        <v>0</v>
      </c>
      <c r="C644">
        <f>[2]TongHop!C644</f>
        <v>0</v>
      </c>
      <c r="D644">
        <f>[2]TongHop!D644</f>
        <v>0</v>
      </c>
      <c r="E644">
        <f>[2]TongHop!E644</f>
        <v>0</v>
      </c>
      <c r="F644">
        <f>[2]TongHop!F644</f>
        <v>0</v>
      </c>
      <c r="G644">
        <f>[2]TongHop!G644</f>
        <v>0</v>
      </c>
      <c r="H644">
        <f>[2]TongHop!H644</f>
        <v>0</v>
      </c>
      <c r="I644">
        <f>[2]TongHop!I644</f>
        <v>0</v>
      </c>
      <c r="J644">
        <f>[2]TongHop!J644</f>
        <v>0</v>
      </c>
      <c r="K644">
        <f>[2]TongHop!K644</f>
        <v>0</v>
      </c>
      <c r="L644">
        <f>[2]TongHop!L644</f>
        <v>0</v>
      </c>
      <c r="M644">
        <f>[2]TongHop!M644</f>
        <v>0</v>
      </c>
      <c r="N644">
        <f>[2]TongHop!N644</f>
        <v>0</v>
      </c>
    </row>
    <row r="645" spans="1:14">
      <c r="A645">
        <f>[2]TongHop!A645</f>
        <v>0</v>
      </c>
      <c r="B645">
        <f>[2]TongHop!B645</f>
        <v>0</v>
      </c>
      <c r="C645">
        <f>[2]TongHop!C645</f>
        <v>0</v>
      </c>
      <c r="D645">
        <f>[2]TongHop!D645</f>
        <v>0</v>
      </c>
      <c r="E645">
        <f>[2]TongHop!E645</f>
        <v>0</v>
      </c>
      <c r="F645">
        <f>[2]TongHop!F645</f>
        <v>0</v>
      </c>
      <c r="G645">
        <f>[2]TongHop!G645</f>
        <v>0</v>
      </c>
      <c r="H645">
        <f>[2]TongHop!H645</f>
        <v>0</v>
      </c>
      <c r="I645">
        <f>[2]TongHop!I645</f>
        <v>0</v>
      </c>
      <c r="J645">
        <f>[2]TongHop!J645</f>
        <v>0</v>
      </c>
      <c r="K645">
        <f>[2]TongHop!K645</f>
        <v>0</v>
      </c>
      <c r="L645">
        <f>[2]TongHop!L645</f>
        <v>0</v>
      </c>
      <c r="M645">
        <f>[2]TongHop!M645</f>
        <v>0</v>
      </c>
      <c r="N645">
        <f>[2]TongHop!N645</f>
        <v>0</v>
      </c>
    </row>
    <row r="646" spans="1:14">
      <c r="A646">
        <f>[2]TongHop!A646</f>
        <v>0</v>
      </c>
      <c r="B646">
        <f>[2]TongHop!B646</f>
        <v>0</v>
      </c>
      <c r="C646">
        <f>[2]TongHop!C646</f>
        <v>0</v>
      </c>
      <c r="D646">
        <f>[2]TongHop!D646</f>
        <v>0</v>
      </c>
      <c r="E646">
        <f>[2]TongHop!E646</f>
        <v>0</v>
      </c>
      <c r="F646">
        <f>[2]TongHop!F646</f>
        <v>0</v>
      </c>
      <c r="G646">
        <f>[2]TongHop!G646</f>
        <v>0</v>
      </c>
      <c r="H646">
        <f>[2]TongHop!H646</f>
        <v>0</v>
      </c>
      <c r="I646">
        <f>[2]TongHop!I646</f>
        <v>0</v>
      </c>
      <c r="J646">
        <f>[2]TongHop!J646</f>
        <v>0</v>
      </c>
      <c r="K646">
        <f>[2]TongHop!K646</f>
        <v>0</v>
      </c>
      <c r="L646">
        <f>[2]TongHop!L646</f>
        <v>0</v>
      </c>
      <c r="M646">
        <f>[2]TongHop!M646</f>
        <v>0</v>
      </c>
      <c r="N646">
        <f>[2]TongHop!N646</f>
        <v>0</v>
      </c>
    </row>
    <row r="647" spans="1:14">
      <c r="A647">
        <f>[2]TongHop!A647</f>
        <v>0</v>
      </c>
      <c r="B647">
        <f>[2]TongHop!B647</f>
        <v>0</v>
      </c>
      <c r="C647">
        <f>[2]TongHop!C647</f>
        <v>0</v>
      </c>
      <c r="D647">
        <f>[2]TongHop!D647</f>
        <v>0</v>
      </c>
      <c r="E647">
        <f>[2]TongHop!E647</f>
        <v>0</v>
      </c>
      <c r="F647">
        <f>[2]TongHop!F647</f>
        <v>0</v>
      </c>
      <c r="G647">
        <f>[2]TongHop!G647</f>
        <v>0</v>
      </c>
      <c r="H647">
        <f>[2]TongHop!H647</f>
        <v>0</v>
      </c>
      <c r="I647">
        <f>[2]TongHop!I647</f>
        <v>0</v>
      </c>
      <c r="J647">
        <f>[2]TongHop!J647</f>
        <v>0</v>
      </c>
      <c r="K647">
        <f>[2]TongHop!K647</f>
        <v>0</v>
      </c>
      <c r="L647">
        <f>[2]TongHop!L647</f>
        <v>0</v>
      </c>
      <c r="M647">
        <f>[2]TongHop!M647</f>
        <v>0</v>
      </c>
      <c r="N647">
        <f>[2]TongHop!N647</f>
        <v>0</v>
      </c>
    </row>
    <row r="648" spans="1:14">
      <c r="A648">
        <f>[2]TongHop!A648</f>
        <v>0</v>
      </c>
      <c r="B648">
        <f>[2]TongHop!B648</f>
        <v>0</v>
      </c>
      <c r="C648">
        <f>[2]TongHop!C648</f>
        <v>0</v>
      </c>
      <c r="D648">
        <f>[2]TongHop!D648</f>
        <v>0</v>
      </c>
      <c r="E648">
        <f>[2]TongHop!E648</f>
        <v>0</v>
      </c>
      <c r="F648">
        <f>[2]TongHop!F648</f>
        <v>0</v>
      </c>
      <c r="G648">
        <f>[2]TongHop!G648</f>
        <v>0</v>
      </c>
      <c r="H648">
        <f>[2]TongHop!H648</f>
        <v>0</v>
      </c>
      <c r="I648">
        <f>[2]TongHop!I648</f>
        <v>0</v>
      </c>
      <c r="J648">
        <f>[2]TongHop!J648</f>
        <v>0</v>
      </c>
      <c r="K648">
        <f>[2]TongHop!K648</f>
        <v>0</v>
      </c>
      <c r="L648">
        <f>[2]TongHop!L648</f>
        <v>0</v>
      </c>
      <c r="M648">
        <f>[2]TongHop!M648</f>
        <v>0</v>
      </c>
      <c r="N648">
        <f>[2]TongHop!N648</f>
        <v>0</v>
      </c>
    </row>
    <row r="649" spans="1:14">
      <c r="A649">
        <f>[2]TongHop!A649</f>
        <v>0</v>
      </c>
      <c r="B649">
        <f>[2]TongHop!B649</f>
        <v>0</v>
      </c>
      <c r="C649">
        <f>[2]TongHop!C649</f>
        <v>0</v>
      </c>
      <c r="D649">
        <f>[2]TongHop!D649</f>
        <v>0</v>
      </c>
      <c r="E649">
        <f>[2]TongHop!E649</f>
        <v>0</v>
      </c>
      <c r="F649">
        <f>[2]TongHop!F649</f>
        <v>0</v>
      </c>
      <c r="G649">
        <f>[2]TongHop!G649</f>
        <v>0</v>
      </c>
      <c r="H649">
        <f>[2]TongHop!H649</f>
        <v>0</v>
      </c>
      <c r="I649">
        <f>[2]TongHop!I649</f>
        <v>0</v>
      </c>
      <c r="J649">
        <f>[2]TongHop!J649</f>
        <v>0</v>
      </c>
      <c r="K649">
        <f>[2]TongHop!K649</f>
        <v>0</v>
      </c>
      <c r="L649">
        <f>[2]TongHop!L649</f>
        <v>0</v>
      </c>
      <c r="M649">
        <f>[2]TongHop!M649</f>
        <v>0</v>
      </c>
      <c r="N649">
        <f>[2]TongHop!N649</f>
        <v>0</v>
      </c>
    </row>
    <row r="650" spans="1:14">
      <c r="A650">
        <f>[2]TongHop!A650</f>
        <v>0</v>
      </c>
      <c r="B650">
        <f>[2]TongHop!B650</f>
        <v>0</v>
      </c>
      <c r="C650">
        <f>[2]TongHop!C650</f>
        <v>0</v>
      </c>
      <c r="D650">
        <f>[2]TongHop!D650</f>
        <v>0</v>
      </c>
      <c r="E650">
        <f>[2]TongHop!E650</f>
        <v>0</v>
      </c>
      <c r="F650">
        <f>[2]TongHop!F650</f>
        <v>0</v>
      </c>
      <c r="G650">
        <f>[2]TongHop!G650</f>
        <v>0</v>
      </c>
      <c r="H650">
        <f>[2]TongHop!H650</f>
        <v>0</v>
      </c>
      <c r="I650">
        <f>[2]TongHop!I650</f>
        <v>0</v>
      </c>
      <c r="J650">
        <f>[2]TongHop!J650</f>
        <v>0</v>
      </c>
      <c r="K650">
        <f>[2]TongHop!K650</f>
        <v>0</v>
      </c>
      <c r="L650">
        <f>[2]TongHop!L650</f>
        <v>0</v>
      </c>
      <c r="M650">
        <f>[2]TongHop!M650</f>
        <v>0</v>
      </c>
      <c r="N650">
        <f>[2]TongHop!N650</f>
        <v>0</v>
      </c>
    </row>
    <row r="651" spans="1:14">
      <c r="A651">
        <f>[2]TongHop!A651</f>
        <v>0</v>
      </c>
      <c r="B651">
        <f>[2]TongHop!B651</f>
        <v>0</v>
      </c>
      <c r="C651">
        <f>[2]TongHop!C651</f>
        <v>0</v>
      </c>
      <c r="D651">
        <f>[2]TongHop!D651</f>
        <v>0</v>
      </c>
      <c r="E651">
        <f>[2]TongHop!E651</f>
        <v>0</v>
      </c>
      <c r="F651">
        <f>[2]TongHop!F651</f>
        <v>0</v>
      </c>
      <c r="G651">
        <f>[2]TongHop!G651</f>
        <v>0</v>
      </c>
      <c r="H651">
        <f>[2]TongHop!H651</f>
        <v>0</v>
      </c>
      <c r="I651">
        <f>[2]TongHop!I651</f>
        <v>0</v>
      </c>
      <c r="J651">
        <f>[2]TongHop!J651</f>
        <v>0</v>
      </c>
      <c r="K651">
        <f>[2]TongHop!K651</f>
        <v>0</v>
      </c>
      <c r="L651">
        <f>[2]TongHop!L651</f>
        <v>0</v>
      </c>
      <c r="M651">
        <f>[2]TongHop!M651</f>
        <v>0</v>
      </c>
      <c r="N651">
        <f>[2]TongHop!N651</f>
        <v>0</v>
      </c>
    </row>
    <row r="652" spans="1:14">
      <c r="A652">
        <f>[2]TongHop!A652</f>
        <v>0</v>
      </c>
      <c r="B652">
        <f>[2]TongHop!B652</f>
        <v>0</v>
      </c>
      <c r="C652">
        <f>[2]TongHop!C652</f>
        <v>0</v>
      </c>
      <c r="D652">
        <f>[2]TongHop!D652</f>
        <v>0</v>
      </c>
      <c r="E652">
        <f>[2]TongHop!E652</f>
        <v>0</v>
      </c>
      <c r="F652">
        <f>[2]TongHop!F652</f>
        <v>0</v>
      </c>
      <c r="G652">
        <f>[2]TongHop!G652</f>
        <v>0</v>
      </c>
      <c r="H652">
        <f>[2]TongHop!H652</f>
        <v>0</v>
      </c>
      <c r="I652">
        <f>[2]TongHop!I652</f>
        <v>0</v>
      </c>
      <c r="J652">
        <f>[2]TongHop!J652</f>
        <v>0</v>
      </c>
      <c r="K652">
        <f>[2]TongHop!K652</f>
        <v>0</v>
      </c>
      <c r="L652">
        <f>[2]TongHop!L652</f>
        <v>0</v>
      </c>
      <c r="M652">
        <f>[2]TongHop!M652</f>
        <v>0</v>
      </c>
      <c r="N652">
        <f>[2]TongHop!N652</f>
        <v>0</v>
      </c>
    </row>
    <row r="653" spans="1:14">
      <c r="A653">
        <f>[2]TongHop!A653</f>
        <v>0</v>
      </c>
      <c r="B653">
        <f>[2]TongHop!B653</f>
        <v>0</v>
      </c>
      <c r="C653">
        <f>[2]TongHop!C653</f>
        <v>0</v>
      </c>
      <c r="D653">
        <f>[2]TongHop!D653</f>
        <v>0</v>
      </c>
      <c r="E653">
        <f>[2]TongHop!E653</f>
        <v>0</v>
      </c>
      <c r="F653">
        <f>[2]TongHop!F653</f>
        <v>0</v>
      </c>
      <c r="G653">
        <f>[2]TongHop!G653</f>
        <v>0</v>
      </c>
      <c r="H653">
        <f>[2]TongHop!H653</f>
        <v>0</v>
      </c>
      <c r="I653">
        <f>[2]TongHop!I653</f>
        <v>0</v>
      </c>
      <c r="J653">
        <f>[2]TongHop!J653</f>
        <v>0</v>
      </c>
      <c r="K653">
        <f>[2]TongHop!K653</f>
        <v>0</v>
      </c>
      <c r="L653">
        <f>[2]TongHop!L653</f>
        <v>0</v>
      </c>
      <c r="M653">
        <f>[2]TongHop!M653</f>
        <v>0</v>
      </c>
      <c r="N653">
        <f>[2]TongHop!N653</f>
        <v>0</v>
      </c>
    </row>
    <row r="654" spans="1:14">
      <c r="A654">
        <f>[2]TongHop!A654</f>
        <v>0</v>
      </c>
      <c r="B654">
        <f>[2]TongHop!B654</f>
        <v>0</v>
      </c>
      <c r="C654">
        <f>[2]TongHop!C654</f>
        <v>0</v>
      </c>
      <c r="D654">
        <f>[2]TongHop!D654</f>
        <v>0</v>
      </c>
      <c r="E654">
        <f>[2]TongHop!E654</f>
        <v>0</v>
      </c>
      <c r="F654">
        <f>[2]TongHop!F654</f>
        <v>0</v>
      </c>
      <c r="G654">
        <f>[2]TongHop!G654</f>
        <v>0</v>
      </c>
      <c r="H654">
        <f>[2]TongHop!H654</f>
        <v>0</v>
      </c>
      <c r="I654">
        <f>[2]TongHop!I654</f>
        <v>0</v>
      </c>
      <c r="J654">
        <f>[2]TongHop!J654</f>
        <v>0</v>
      </c>
      <c r="K654">
        <f>[2]TongHop!K654</f>
        <v>0</v>
      </c>
      <c r="L654">
        <f>[2]TongHop!L654</f>
        <v>0</v>
      </c>
      <c r="M654">
        <f>[2]TongHop!M654</f>
        <v>0</v>
      </c>
      <c r="N654">
        <f>[2]TongHop!N654</f>
        <v>0</v>
      </c>
    </row>
    <row r="655" spans="1:14">
      <c r="A655">
        <f>[2]TongHop!A655</f>
        <v>0</v>
      </c>
      <c r="B655">
        <f>[2]TongHop!B655</f>
        <v>0</v>
      </c>
      <c r="C655">
        <f>[2]TongHop!C655</f>
        <v>0</v>
      </c>
      <c r="D655">
        <f>[2]TongHop!D655</f>
        <v>0</v>
      </c>
      <c r="E655">
        <f>[2]TongHop!E655</f>
        <v>0</v>
      </c>
      <c r="F655">
        <f>[2]TongHop!F655</f>
        <v>0</v>
      </c>
      <c r="G655">
        <f>[2]TongHop!G655</f>
        <v>0</v>
      </c>
      <c r="H655">
        <f>[2]TongHop!H655</f>
        <v>0</v>
      </c>
      <c r="I655">
        <f>[2]TongHop!I655</f>
        <v>0</v>
      </c>
      <c r="J655">
        <f>[2]TongHop!J655</f>
        <v>0</v>
      </c>
      <c r="K655">
        <f>[2]TongHop!K655</f>
        <v>0</v>
      </c>
      <c r="L655">
        <f>[2]TongHop!L655</f>
        <v>0</v>
      </c>
      <c r="M655">
        <f>[2]TongHop!M655</f>
        <v>0</v>
      </c>
      <c r="N655">
        <f>[2]TongHop!N655</f>
        <v>0</v>
      </c>
    </row>
    <row r="656" spans="1:14">
      <c r="A656">
        <f>[2]TongHop!A656</f>
        <v>0</v>
      </c>
      <c r="B656">
        <f>[2]TongHop!B656</f>
        <v>0</v>
      </c>
      <c r="C656">
        <f>[2]TongHop!C656</f>
        <v>0</v>
      </c>
      <c r="D656">
        <f>[2]TongHop!D656</f>
        <v>0</v>
      </c>
      <c r="E656">
        <f>[2]TongHop!E656</f>
        <v>0</v>
      </c>
      <c r="F656">
        <f>[2]TongHop!F656</f>
        <v>0</v>
      </c>
      <c r="G656">
        <f>[2]TongHop!G656</f>
        <v>0</v>
      </c>
      <c r="H656">
        <f>[2]TongHop!H656</f>
        <v>0</v>
      </c>
      <c r="I656">
        <f>[2]TongHop!I656</f>
        <v>0</v>
      </c>
      <c r="J656">
        <f>[2]TongHop!J656</f>
        <v>0</v>
      </c>
      <c r="K656">
        <f>[2]TongHop!K656</f>
        <v>0</v>
      </c>
      <c r="L656">
        <f>[2]TongHop!L656</f>
        <v>0</v>
      </c>
      <c r="M656">
        <f>[2]TongHop!M656</f>
        <v>0</v>
      </c>
      <c r="N656">
        <f>[2]TongHop!N656</f>
        <v>0</v>
      </c>
    </row>
    <row r="657" spans="1:14">
      <c r="A657">
        <f>[2]TongHop!A657</f>
        <v>0</v>
      </c>
      <c r="B657">
        <f>[2]TongHop!B657</f>
        <v>0</v>
      </c>
      <c r="C657">
        <f>[2]TongHop!C657</f>
        <v>0</v>
      </c>
      <c r="D657">
        <f>[2]TongHop!D657</f>
        <v>0</v>
      </c>
      <c r="E657">
        <f>[2]TongHop!E657</f>
        <v>0</v>
      </c>
      <c r="F657">
        <f>[2]TongHop!F657</f>
        <v>0</v>
      </c>
      <c r="G657">
        <f>[2]TongHop!G657</f>
        <v>0</v>
      </c>
      <c r="H657">
        <f>[2]TongHop!H657</f>
        <v>0</v>
      </c>
      <c r="I657">
        <f>[2]TongHop!I657</f>
        <v>0</v>
      </c>
      <c r="J657">
        <f>[2]TongHop!J657</f>
        <v>0</v>
      </c>
      <c r="K657">
        <f>[2]TongHop!K657</f>
        <v>0</v>
      </c>
      <c r="L657">
        <f>[2]TongHop!L657</f>
        <v>0</v>
      </c>
      <c r="M657">
        <f>[2]TongHop!M657</f>
        <v>0</v>
      </c>
      <c r="N657">
        <f>[2]TongHop!N657</f>
        <v>0</v>
      </c>
    </row>
    <row r="658" spans="1:14">
      <c r="A658">
        <f>[2]TongHop!A658</f>
        <v>0</v>
      </c>
      <c r="B658">
        <f>[2]TongHop!B658</f>
        <v>0</v>
      </c>
      <c r="C658">
        <f>[2]TongHop!C658</f>
        <v>0</v>
      </c>
      <c r="D658">
        <f>[2]TongHop!D658</f>
        <v>0</v>
      </c>
      <c r="E658">
        <f>[2]TongHop!E658</f>
        <v>0</v>
      </c>
      <c r="F658">
        <f>[2]TongHop!F658</f>
        <v>0</v>
      </c>
      <c r="G658">
        <f>[2]TongHop!G658</f>
        <v>0</v>
      </c>
      <c r="H658">
        <f>[2]TongHop!H658</f>
        <v>0</v>
      </c>
      <c r="I658">
        <f>[2]TongHop!I658</f>
        <v>0</v>
      </c>
      <c r="J658">
        <f>[2]TongHop!J658</f>
        <v>0</v>
      </c>
      <c r="K658">
        <f>[2]TongHop!K658</f>
        <v>0</v>
      </c>
      <c r="L658">
        <f>[2]TongHop!L658</f>
        <v>0</v>
      </c>
      <c r="M658">
        <f>[2]TongHop!M658</f>
        <v>0</v>
      </c>
      <c r="N658">
        <f>[2]TongHop!N658</f>
        <v>0</v>
      </c>
    </row>
    <row r="659" spans="1:14">
      <c r="A659">
        <f>[2]TongHop!A659</f>
        <v>0</v>
      </c>
      <c r="B659">
        <f>[2]TongHop!B659</f>
        <v>0</v>
      </c>
      <c r="C659">
        <f>[2]TongHop!C659</f>
        <v>0</v>
      </c>
      <c r="D659">
        <f>[2]TongHop!D659</f>
        <v>0</v>
      </c>
      <c r="E659">
        <f>[2]TongHop!E659</f>
        <v>0</v>
      </c>
      <c r="F659">
        <f>[2]TongHop!F659</f>
        <v>0</v>
      </c>
      <c r="G659">
        <f>[2]TongHop!G659</f>
        <v>0</v>
      </c>
      <c r="H659">
        <f>[2]TongHop!H659</f>
        <v>0</v>
      </c>
      <c r="I659">
        <f>[2]TongHop!I659</f>
        <v>0</v>
      </c>
      <c r="J659">
        <f>[2]TongHop!J659</f>
        <v>0</v>
      </c>
      <c r="K659">
        <f>[2]TongHop!K659</f>
        <v>0</v>
      </c>
      <c r="L659">
        <f>[2]TongHop!L659</f>
        <v>0</v>
      </c>
      <c r="M659">
        <f>[2]TongHop!M659</f>
        <v>0</v>
      </c>
      <c r="N659">
        <f>[2]TongHop!N659</f>
        <v>0</v>
      </c>
    </row>
    <row r="660" spans="1:14">
      <c r="A660">
        <f>[2]TongHop!A660</f>
        <v>0</v>
      </c>
      <c r="B660">
        <f>[2]TongHop!B660</f>
        <v>0</v>
      </c>
      <c r="C660">
        <f>[2]TongHop!C660</f>
        <v>0</v>
      </c>
      <c r="D660">
        <f>[2]TongHop!D660</f>
        <v>0</v>
      </c>
      <c r="E660">
        <f>[2]TongHop!E660</f>
        <v>0</v>
      </c>
      <c r="F660">
        <f>[2]TongHop!F660</f>
        <v>0</v>
      </c>
      <c r="G660">
        <f>[2]TongHop!G660</f>
        <v>0</v>
      </c>
      <c r="H660">
        <f>[2]TongHop!H660</f>
        <v>0</v>
      </c>
      <c r="I660">
        <f>[2]TongHop!I660</f>
        <v>0</v>
      </c>
      <c r="J660">
        <f>[2]TongHop!J660</f>
        <v>0</v>
      </c>
      <c r="K660">
        <f>[2]TongHop!K660</f>
        <v>0</v>
      </c>
      <c r="L660">
        <f>[2]TongHop!L660</f>
        <v>0</v>
      </c>
      <c r="M660">
        <f>[2]TongHop!M660</f>
        <v>0</v>
      </c>
      <c r="N660">
        <f>[2]TongHop!N660</f>
        <v>0</v>
      </c>
    </row>
    <row r="661" spans="1:14">
      <c r="A661">
        <f>[2]TongHop!A661</f>
        <v>0</v>
      </c>
      <c r="B661">
        <f>[2]TongHop!B661</f>
        <v>0</v>
      </c>
      <c r="C661">
        <f>[2]TongHop!C661</f>
        <v>0</v>
      </c>
      <c r="D661">
        <f>[2]TongHop!D661</f>
        <v>0</v>
      </c>
      <c r="E661">
        <f>[2]TongHop!E661</f>
        <v>0</v>
      </c>
      <c r="F661">
        <f>[2]TongHop!F661</f>
        <v>0</v>
      </c>
      <c r="G661">
        <f>[2]TongHop!G661</f>
        <v>0</v>
      </c>
      <c r="H661">
        <f>[2]TongHop!H661</f>
        <v>0</v>
      </c>
      <c r="I661">
        <f>[2]TongHop!I661</f>
        <v>0</v>
      </c>
      <c r="J661">
        <f>[2]TongHop!J661</f>
        <v>0</v>
      </c>
      <c r="K661">
        <f>[2]TongHop!K661</f>
        <v>0</v>
      </c>
      <c r="L661">
        <f>[2]TongHop!L661</f>
        <v>0</v>
      </c>
      <c r="M661">
        <f>[2]TongHop!M661</f>
        <v>0</v>
      </c>
      <c r="N661">
        <f>[2]TongHop!N661</f>
        <v>0</v>
      </c>
    </row>
    <row r="662" spans="1:14">
      <c r="A662">
        <f>[2]TongHop!A662</f>
        <v>0</v>
      </c>
      <c r="B662">
        <f>[2]TongHop!B662</f>
        <v>0</v>
      </c>
      <c r="C662">
        <f>[2]TongHop!C662</f>
        <v>0</v>
      </c>
      <c r="D662">
        <f>[2]TongHop!D662</f>
        <v>0</v>
      </c>
      <c r="E662">
        <f>[2]TongHop!E662</f>
        <v>0</v>
      </c>
      <c r="F662">
        <f>[2]TongHop!F662</f>
        <v>0</v>
      </c>
      <c r="G662">
        <f>[2]TongHop!G662</f>
        <v>0</v>
      </c>
      <c r="H662">
        <f>[2]TongHop!H662</f>
        <v>0</v>
      </c>
      <c r="I662">
        <f>[2]TongHop!I662</f>
        <v>0</v>
      </c>
      <c r="J662">
        <f>[2]TongHop!J662</f>
        <v>0</v>
      </c>
      <c r="K662">
        <f>[2]TongHop!K662</f>
        <v>0</v>
      </c>
      <c r="L662">
        <f>[2]TongHop!L662</f>
        <v>0</v>
      </c>
      <c r="M662">
        <f>[2]TongHop!M662</f>
        <v>0</v>
      </c>
      <c r="N662">
        <f>[2]TongHop!N662</f>
        <v>0</v>
      </c>
    </row>
    <row r="663" spans="1:14">
      <c r="A663">
        <f>[2]TongHop!A663</f>
        <v>0</v>
      </c>
      <c r="B663">
        <f>[2]TongHop!B663</f>
        <v>0</v>
      </c>
      <c r="C663">
        <f>[2]TongHop!C663</f>
        <v>0</v>
      </c>
      <c r="D663">
        <f>[2]TongHop!D663</f>
        <v>0</v>
      </c>
      <c r="E663">
        <f>[2]TongHop!E663</f>
        <v>0</v>
      </c>
      <c r="F663">
        <f>[2]TongHop!F663</f>
        <v>0</v>
      </c>
      <c r="G663">
        <f>[2]TongHop!G663</f>
        <v>0</v>
      </c>
      <c r="H663">
        <f>[2]TongHop!H663</f>
        <v>0</v>
      </c>
      <c r="I663">
        <f>[2]TongHop!I663</f>
        <v>0</v>
      </c>
      <c r="J663">
        <f>[2]TongHop!J663</f>
        <v>0</v>
      </c>
      <c r="K663">
        <f>[2]TongHop!K663</f>
        <v>0</v>
      </c>
      <c r="L663">
        <f>[2]TongHop!L663</f>
        <v>0</v>
      </c>
      <c r="M663">
        <f>[2]TongHop!M663</f>
        <v>0</v>
      </c>
      <c r="N663">
        <f>[2]TongHop!N663</f>
        <v>0</v>
      </c>
    </row>
    <row r="664" spans="1:14">
      <c r="A664">
        <f>[2]TongHop!A664</f>
        <v>0</v>
      </c>
      <c r="B664">
        <f>[2]TongHop!B664</f>
        <v>0</v>
      </c>
      <c r="C664">
        <f>[2]TongHop!C664</f>
        <v>0</v>
      </c>
      <c r="D664">
        <f>[2]TongHop!D664</f>
        <v>0</v>
      </c>
      <c r="E664">
        <f>[2]TongHop!E664</f>
        <v>0</v>
      </c>
      <c r="F664">
        <f>[2]TongHop!F664</f>
        <v>0</v>
      </c>
      <c r="G664">
        <f>[2]TongHop!G664</f>
        <v>0</v>
      </c>
      <c r="H664">
        <f>[2]TongHop!H664</f>
        <v>0</v>
      </c>
      <c r="I664">
        <f>[2]TongHop!I664</f>
        <v>0</v>
      </c>
      <c r="J664">
        <f>[2]TongHop!J664</f>
        <v>0</v>
      </c>
      <c r="K664">
        <f>[2]TongHop!K664</f>
        <v>0</v>
      </c>
      <c r="L664">
        <f>[2]TongHop!L664</f>
        <v>0</v>
      </c>
      <c r="M664">
        <f>[2]TongHop!M664</f>
        <v>0</v>
      </c>
      <c r="N664">
        <f>[2]TongHop!N664</f>
        <v>0</v>
      </c>
    </row>
    <row r="665" spans="1:14">
      <c r="A665">
        <f>[2]TongHop!A665</f>
        <v>0</v>
      </c>
      <c r="B665">
        <f>[2]TongHop!B665</f>
        <v>0</v>
      </c>
      <c r="C665">
        <f>[2]TongHop!C665</f>
        <v>0</v>
      </c>
      <c r="D665">
        <f>[2]TongHop!D665</f>
        <v>0</v>
      </c>
      <c r="E665">
        <f>[2]TongHop!E665</f>
        <v>0</v>
      </c>
      <c r="F665">
        <f>[2]TongHop!F665</f>
        <v>0</v>
      </c>
      <c r="G665">
        <f>[2]TongHop!G665</f>
        <v>0</v>
      </c>
      <c r="H665">
        <f>[2]TongHop!H665</f>
        <v>0</v>
      </c>
      <c r="I665">
        <f>[2]TongHop!I665</f>
        <v>0</v>
      </c>
      <c r="J665">
        <f>[2]TongHop!J665</f>
        <v>0</v>
      </c>
      <c r="K665">
        <f>[2]TongHop!K665</f>
        <v>0</v>
      </c>
      <c r="L665">
        <f>[2]TongHop!L665</f>
        <v>0</v>
      </c>
      <c r="M665">
        <f>[2]TongHop!M665</f>
        <v>0</v>
      </c>
      <c r="N665">
        <f>[2]TongHop!N665</f>
        <v>0</v>
      </c>
    </row>
    <row r="666" spans="1:14">
      <c r="A666">
        <f>[2]TongHop!A666</f>
        <v>0</v>
      </c>
      <c r="B666">
        <f>[2]TongHop!B666</f>
        <v>0</v>
      </c>
      <c r="C666">
        <f>[2]TongHop!C666</f>
        <v>0</v>
      </c>
      <c r="D666">
        <f>[2]TongHop!D666</f>
        <v>0</v>
      </c>
      <c r="E666">
        <f>[2]TongHop!E666</f>
        <v>0</v>
      </c>
      <c r="F666">
        <f>[2]TongHop!F666</f>
        <v>0</v>
      </c>
      <c r="G666">
        <f>[2]TongHop!G666</f>
        <v>0</v>
      </c>
      <c r="H666">
        <f>[2]TongHop!H666</f>
        <v>0</v>
      </c>
      <c r="I666">
        <f>[2]TongHop!I666</f>
        <v>0</v>
      </c>
      <c r="J666">
        <f>[2]TongHop!J666</f>
        <v>0</v>
      </c>
      <c r="K666">
        <f>[2]TongHop!K666</f>
        <v>0</v>
      </c>
      <c r="L666">
        <f>[2]TongHop!L666</f>
        <v>0</v>
      </c>
      <c r="M666">
        <f>[2]TongHop!M666</f>
        <v>0</v>
      </c>
      <c r="N666">
        <f>[2]TongHop!N666</f>
        <v>0</v>
      </c>
    </row>
    <row r="667" spans="1:14">
      <c r="A667">
        <f>[2]TongHop!A667</f>
        <v>0</v>
      </c>
      <c r="B667">
        <f>[2]TongHop!B667</f>
        <v>0</v>
      </c>
      <c r="C667">
        <f>[2]TongHop!C667</f>
        <v>0</v>
      </c>
      <c r="D667">
        <f>[2]TongHop!D667</f>
        <v>0</v>
      </c>
      <c r="E667">
        <f>[2]TongHop!E667</f>
        <v>0</v>
      </c>
      <c r="F667">
        <f>[2]TongHop!F667</f>
        <v>0</v>
      </c>
      <c r="G667">
        <f>[2]TongHop!G667</f>
        <v>0</v>
      </c>
      <c r="H667">
        <f>[2]TongHop!H667</f>
        <v>0</v>
      </c>
      <c r="I667">
        <f>[2]TongHop!I667</f>
        <v>0</v>
      </c>
      <c r="J667">
        <f>[2]TongHop!J667</f>
        <v>0</v>
      </c>
      <c r="K667">
        <f>[2]TongHop!K667</f>
        <v>0</v>
      </c>
      <c r="L667">
        <f>[2]TongHop!L667</f>
        <v>0</v>
      </c>
      <c r="M667">
        <f>[2]TongHop!M667</f>
        <v>0</v>
      </c>
      <c r="N667">
        <f>[2]TongHop!N667</f>
        <v>0</v>
      </c>
    </row>
    <row r="668" spans="1:14">
      <c r="A668">
        <f>[2]TongHop!A668</f>
        <v>0</v>
      </c>
      <c r="B668">
        <f>[2]TongHop!B668</f>
        <v>0</v>
      </c>
      <c r="C668">
        <f>[2]TongHop!C668</f>
        <v>0</v>
      </c>
      <c r="D668">
        <f>[2]TongHop!D668</f>
        <v>0</v>
      </c>
      <c r="E668">
        <f>[2]TongHop!E668</f>
        <v>0</v>
      </c>
      <c r="F668">
        <f>[2]TongHop!F668</f>
        <v>0</v>
      </c>
      <c r="G668">
        <f>[2]TongHop!G668</f>
        <v>0</v>
      </c>
      <c r="H668">
        <f>[2]TongHop!H668</f>
        <v>0</v>
      </c>
      <c r="I668">
        <f>[2]TongHop!I668</f>
        <v>0</v>
      </c>
      <c r="J668">
        <f>[2]TongHop!J668</f>
        <v>0</v>
      </c>
      <c r="K668">
        <f>[2]TongHop!K668</f>
        <v>0</v>
      </c>
      <c r="L668">
        <f>[2]TongHop!L668</f>
        <v>0</v>
      </c>
      <c r="M668">
        <f>[2]TongHop!M668</f>
        <v>0</v>
      </c>
      <c r="N668">
        <f>[2]TongHop!N668</f>
        <v>0</v>
      </c>
    </row>
    <row r="669" spans="1:14">
      <c r="A669">
        <f>[2]TongHop!A669</f>
        <v>0</v>
      </c>
      <c r="B669">
        <f>[2]TongHop!B669</f>
        <v>0</v>
      </c>
      <c r="C669">
        <f>[2]TongHop!C669</f>
        <v>0</v>
      </c>
      <c r="D669">
        <f>[2]TongHop!D669</f>
        <v>0</v>
      </c>
      <c r="E669">
        <f>[2]TongHop!E669</f>
        <v>0</v>
      </c>
      <c r="F669">
        <f>[2]TongHop!F669</f>
        <v>0</v>
      </c>
      <c r="G669">
        <f>[2]TongHop!G669</f>
        <v>0</v>
      </c>
      <c r="H669">
        <f>[2]TongHop!H669</f>
        <v>0</v>
      </c>
      <c r="I669">
        <f>[2]TongHop!I669</f>
        <v>0</v>
      </c>
      <c r="J669">
        <f>[2]TongHop!J669</f>
        <v>0</v>
      </c>
      <c r="K669">
        <f>[2]TongHop!K669</f>
        <v>0</v>
      </c>
      <c r="L669">
        <f>[2]TongHop!L669</f>
        <v>0</v>
      </c>
      <c r="M669">
        <f>[2]TongHop!M669</f>
        <v>0</v>
      </c>
      <c r="N669">
        <f>[2]TongHop!N669</f>
        <v>0</v>
      </c>
    </row>
    <row r="670" spans="1:14">
      <c r="A670">
        <f>[2]TongHop!A670</f>
        <v>0</v>
      </c>
      <c r="B670">
        <f>[2]TongHop!B670</f>
        <v>0</v>
      </c>
      <c r="C670">
        <f>[2]TongHop!C670</f>
        <v>0</v>
      </c>
      <c r="D670">
        <f>[2]TongHop!D670</f>
        <v>0</v>
      </c>
      <c r="E670">
        <f>[2]TongHop!E670</f>
        <v>0</v>
      </c>
      <c r="F670">
        <f>[2]TongHop!F670</f>
        <v>0</v>
      </c>
      <c r="G670">
        <f>[2]TongHop!G670</f>
        <v>0</v>
      </c>
      <c r="H670">
        <f>[2]TongHop!H670</f>
        <v>0</v>
      </c>
      <c r="I670">
        <f>[2]TongHop!I670</f>
        <v>0</v>
      </c>
      <c r="J670">
        <f>[2]TongHop!J670</f>
        <v>0</v>
      </c>
      <c r="K670">
        <f>[2]TongHop!K670</f>
        <v>0</v>
      </c>
      <c r="L670">
        <f>[2]TongHop!L670</f>
        <v>0</v>
      </c>
      <c r="M670">
        <f>[2]TongHop!M670</f>
        <v>0</v>
      </c>
      <c r="N670">
        <f>[2]TongHop!N670</f>
        <v>0</v>
      </c>
    </row>
    <row r="671" spans="1:14">
      <c r="A671">
        <f>[2]TongHop!A671</f>
        <v>0</v>
      </c>
      <c r="B671">
        <f>[2]TongHop!B671</f>
        <v>0</v>
      </c>
      <c r="C671">
        <f>[2]TongHop!C671</f>
        <v>0</v>
      </c>
      <c r="D671">
        <f>[2]TongHop!D671</f>
        <v>0</v>
      </c>
      <c r="E671">
        <f>[2]TongHop!E671</f>
        <v>0</v>
      </c>
      <c r="F671">
        <f>[2]TongHop!F671</f>
        <v>0</v>
      </c>
      <c r="G671">
        <f>[2]TongHop!G671</f>
        <v>0</v>
      </c>
      <c r="H671">
        <f>[2]TongHop!H671</f>
        <v>0</v>
      </c>
      <c r="I671">
        <f>[2]TongHop!I671</f>
        <v>0</v>
      </c>
      <c r="J671">
        <f>[2]TongHop!J671</f>
        <v>0</v>
      </c>
      <c r="K671">
        <f>[2]TongHop!K671</f>
        <v>0</v>
      </c>
      <c r="L671">
        <f>[2]TongHop!L671</f>
        <v>0</v>
      </c>
      <c r="M671">
        <f>[2]TongHop!M671</f>
        <v>0</v>
      </c>
      <c r="N671">
        <f>[2]TongHop!N671</f>
        <v>0</v>
      </c>
    </row>
    <row r="672" spans="1:14">
      <c r="A672">
        <f>[2]TongHop!A672</f>
        <v>0</v>
      </c>
      <c r="B672">
        <f>[2]TongHop!B672</f>
        <v>0</v>
      </c>
      <c r="C672">
        <f>[2]TongHop!C672</f>
        <v>0</v>
      </c>
      <c r="D672">
        <f>[2]TongHop!D672</f>
        <v>0</v>
      </c>
      <c r="E672">
        <f>[2]TongHop!E672</f>
        <v>0</v>
      </c>
      <c r="F672">
        <f>[2]TongHop!F672</f>
        <v>0</v>
      </c>
      <c r="G672">
        <f>[2]TongHop!G672</f>
        <v>0</v>
      </c>
      <c r="H672">
        <f>[2]TongHop!H672</f>
        <v>0</v>
      </c>
      <c r="I672">
        <f>[2]TongHop!I672</f>
        <v>0</v>
      </c>
      <c r="J672">
        <f>[2]TongHop!J672</f>
        <v>0</v>
      </c>
      <c r="K672">
        <f>[2]TongHop!K672</f>
        <v>0</v>
      </c>
      <c r="L672">
        <f>[2]TongHop!L672</f>
        <v>0</v>
      </c>
      <c r="M672">
        <f>[2]TongHop!M672</f>
        <v>0</v>
      </c>
      <c r="N672">
        <f>[2]TongHop!N672</f>
        <v>0</v>
      </c>
    </row>
    <row r="673" spans="1:14">
      <c r="A673">
        <f>[2]TongHop!A673</f>
        <v>0</v>
      </c>
      <c r="B673">
        <f>[2]TongHop!B673</f>
        <v>0</v>
      </c>
      <c r="C673">
        <f>[2]TongHop!C673</f>
        <v>0</v>
      </c>
      <c r="D673">
        <f>[2]TongHop!D673</f>
        <v>0</v>
      </c>
      <c r="E673">
        <f>[2]TongHop!E673</f>
        <v>0</v>
      </c>
      <c r="F673">
        <f>[2]TongHop!F673</f>
        <v>0</v>
      </c>
      <c r="G673">
        <f>[2]TongHop!G673</f>
        <v>0</v>
      </c>
      <c r="H673">
        <f>[2]TongHop!H673</f>
        <v>0</v>
      </c>
      <c r="I673">
        <f>[2]TongHop!I673</f>
        <v>0</v>
      </c>
      <c r="J673">
        <f>[2]TongHop!J673</f>
        <v>0</v>
      </c>
      <c r="K673">
        <f>[2]TongHop!K673</f>
        <v>0</v>
      </c>
      <c r="L673">
        <f>[2]TongHop!L673</f>
        <v>0</v>
      </c>
      <c r="M673">
        <f>[2]TongHop!M673</f>
        <v>0</v>
      </c>
      <c r="N673">
        <f>[2]TongHop!N673</f>
        <v>0</v>
      </c>
    </row>
    <row r="674" spans="1:14">
      <c r="A674">
        <f>[2]TongHop!A674</f>
        <v>0</v>
      </c>
      <c r="B674">
        <f>[2]TongHop!B674</f>
        <v>0</v>
      </c>
      <c r="C674">
        <f>[2]TongHop!C674</f>
        <v>0</v>
      </c>
      <c r="D674">
        <f>[2]TongHop!D674</f>
        <v>0</v>
      </c>
      <c r="E674">
        <f>[2]TongHop!E674</f>
        <v>0</v>
      </c>
      <c r="F674">
        <f>[2]TongHop!F674</f>
        <v>0</v>
      </c>
      <c r="G674">
        <f>[2]TongHop!G674</f>
        <v>0</v>
      </c>
      <c r="H674">
        <f>[2]TongHop!H674</f>
        <v>0</v>
      </c>
      <c r="I674">
        <f>[2]TongHop!I674</f>
        <v>0</v>
      </c>
      <c r="J674">
        <f>[2]TongHop!J674</f>
        <v>0</v>
      </c>
      <c r="K674">
        <f>[2]TongHop!K674</f>
        <v>0</v>
      </c>
      <c r="L674">
        <f>[2]TongHop!L674</f>
        <v>0</v>
      </c>
      <c r="M674">
        <f>[2]TongHop!M674</f>
        <v>0</v>
      </c>
      <c r="N674">
        <f>[2]TongHop!N674</f>
        <v>0</v>
      </c>
    </row>
    <row r="675" spans="1:14">
      <c r="A675">
        <f>[2]TongHop!A675</f>
        <v>0</v>
      </c>
      <c r="B675">
        <f>[2]TongHop!B675</f>
        <v>0</v>
      </c>
      <c r="C675">
        <f>[2]TongHop!C675</f>
        <v>0</v>
      </c>
      <c r="D675">
        <f>[2]TongHop!D675</f>
        <v>0</v>
      </c>
      <c r="E675">
        <f>[2]TongHop!E675</f>
        <v>0</v>
      </c>
      <c r="F675">
        <f>[2]TongHop!F675</f>
        <v>0</v>
      </c>
      <c r="G675">
        <f>[2]TongHop!G675</f>
        <v>0</v>
      </c>
      <c r="H675">
        <f>[2]TongHop!H675</f>
        <v>0</v>
      </c>
      <c r="I675">
        <f>[2]TongHop!I675</f>
        <v>0</v>
      </c>
      <c r="J675">
        <f>[2]TongHop!J675</f>
        <v>0</v>
      </c>
      <c r="K675">
        <f>[2]TongHop!K675</f>
        <v>0</v>
      </c>
      <c r="L675">
        <f>[2]TongHop!L675</f>
        <v>0</v>
      </c>
      <c r="M675">
        <f>[2]TongHop!M675</f>
        <v>0</v>
      </c>
      <c r="N675">
        <f>[2]TongHop!N675</f>
        <v>0</v>
      </c>
    </row>
    <row r="676" spans="1:14">
      <c r="A676">
        <f>[2]TongHop!A676</f>
        <v>0</v>
      </c>
      <c r="B676">
        <f>[2]TongHop!B676</f>
        <v>0</v>
      </c>
      <c r="C676">
        <f>[2]TongHop!C676</f>
        <v>0</v>
      </c>
      <c r="D676">
        <f>[2]TongHop!D676</f>
        <v>0</v>
      </c>
      <c r="E676">
        <f>[2]TongHop!E676</f>
        <v>0</v>
      </c>
      <c r="F676">
        <f>[2]TongHop!F676</f>
        <v>0</v>
      </c>
      <c r="G676">
        <f>[2]TongHop!G676</f>
        <v>0</v>
      </c>
      <c r="H676">
        <f>[2]TongHop!H676</f>
        <v>0</v>
      </c>
      <c r="I676">
        <f>[2]TongHop!I676</f>
        <v>0</v>
      </c>
      <c r="J676">
        <f>[2]TongHop!J676</f>
        <v>0</v>
      </c>
      <c r="K676">
        <f>[2]TongHop!K676</f>
        <v>0</v>
      </c>
      <c r="L676">
        <f>[2]TongHop!L676</f>
        <v>0</v>
      </c>
      <c r="M676">
        <f>[2]TongHop!M676</f>
        <v>0</v>
      </c>
      <c r="N676">
        <f>[2]TongHop!N676</f>
        <v>0</v>
      </c>
    </row>
    <row r="677" spans="1:14">
      <c r="A677">
        <f>[2]TongHop!A677</f>
        <v>0</v>
      </c>
      <c r="B677">
        <f>[2]TongHop!B677</f>
        <v>0</v>
      </c>
      <c r="C677">
        <f>[2]TongHop!C677</f>
        <v>0</v>
      </c>
      <c r="D677">
        <f>[2]TongHop!D677</f>
        <v>0</v>
      </c>
      <c r="E677">
        <f>[2]TongHop!E677</f>
        <v>0</v>
      </c>
      <c r="F677">
        <f>[2]TongHop!F677</f>
        <v>0</v>
      </c>
      <c r="G677">
        <f>[2]TongHop!G677</f>
        <v>0</v>
      </c>
      <c r="H677">
        <f>[2]TongHop!H677</f>
        <v>0</v>
      </c>
      <c r="I677">
        <f>[2]TongHop!I677</f>
        <v>0</v>
      </c>
      <c r="J677">
        <f>[2]TongHop!J677</f>
        <v>0</v>
      </c>
      <c r="K677">
        <f>[2]TongHop!K677</f>
        <v>0</v>
      </c>
      <c r="L677">
        <f>[2]TongHop!L677</f>
        <v>0</v>
      </c>
      <c r="M677">
        <f>[2]TongHop!M677</f>
        <v>0</v>
      </c>
      <c r="N677">
        <f>[2]TongHop!N677</f>
        <v>0</v>
      </c>
    </row>
    <row r="678" spans="1:14">
      <c r="A678">
        <f>[2]TongHop!A678</f>
        <v>0</v>
      </c>
      <c r="B678">
        <f>[2]TongHop!B678</f>
        <v>0</v>
      </c>
      <c r="C678">
        <f>[2]TongHop!C678</f>
        <v>0</v>
      </c>
      <c r="D678">
        <f>[2]TongHop!D678</f>
        <v>0</v>
      </c>
      <c r="E678">
        <f>[2]TongHop!E678</f>
        <v>0</v>
      </c>
      <c r="F678">
        <f>[2]TongHop!F678</f>
        <v>0</v>
      </c>
      <c r="G678">
        <f>[2]TongHop!G678</f>
        <v>0</v>
      </c>
      <c r="H678">
        <f>[2]TongHop!H678</f>
        <v>0</v>
      </c>
      <c r="I678">
        <f>[2]TongHop!I678</f>
        <v>0</v>
      </c>
      <c r="J678">
        <f>[2]TongHop!J678</f>
        <v>0</v>
      </c>
      <c r="K678">
        <f>[2]TongHop!K678</f>
        <v>0</v>
      </c>
      <c r="L678">
        <f>[2]TongHop!L678</f>
        <v>0</v>
      </c>
      <c r="M678">
        <f>[2]TongHop!M678</f>
        <v>0</v>
      </c>
      <c r="N678">
        <f>[2]TongHop!N678</f>
        <v>0</v>
      </c>
    </row>
    <row r="679" spans="1:14">
      <c r="A679">
        <f>[2]TongHop!A679</f>
        <v>0</v>
      </c>
      <c r="B679">
        <f>[2]TongHop!B679</f>
        <v>0</v>
      </c>
      <c r="C679">
        <f>[2]TongHop!C679</f>
        <v>0</v>
      </c>
      <c r="D679">
        <f>[2]TongHop!D679</f>
        <v>0</v>
      </c>
      <c r="E679">
        <f>[2]TongHop!E679</f>
        <v>0</v>
      </c>
      <c r="F679">
        <f>[2]TongHop!F679</f>
        <v>0</v>
      </c>
      <c r="G679">
        <f>[2]TongHop!G679</f>
        <v>0</v>
      </c>
      <c r="H679">
        <f>[2]TongHop!H679</f>
        <v>0</v>
      </c>
      <c r="I679">
        <f>[2]TongHop!I679</f>
        <v>0</v>
      </c>
      <c r="J679">
        <f>[2]TongHop!J679</f>
        <v>0</v>
      </c>
      <c r="K679">
        <f>[2]TongHop!K679</f>
        <v>0</v>
      </c>
      <c r="L679">
        <f>[2]TongHop!L679</f>
        <v>0</v>
      </c>
      <c r="M679">
        <f>[2]TongHop!M679</f>
        <v>0</v>
      </c>
      <c r="N679">
        <f>[2]TongHop!N679</f>
        <v>0</v>
      </c>
    </row>
    <row r="680" spans="1:14">
      <c r="A680">
        <f>[2]TongHop!A680</f>
        <v>0</v>
      </c>
      <c r="B680">
        <f>[2]TongHop!B680</f>
        <v>0</v>
      </c>
      <c r="C680">
        <f>[2]TongHop!C680</f>
        <v>0</v>
      </c>
      <c r="D680">
        <f>[2]TongHop!D680</f>
        <v>0</v>
      </c>
      <c r="E680">
        <f>[2]TongHop!E680</f>
        <v>0</v>
      </c>
      <c r="F680">
        <f>[2]TongHop!F680</f>
        <v>0</v>
      </c>
      <c r="G680">
        <f>[2]TongHop!G680</f>
        <v>0</v>
      </c>
      <c r="H680">
        <f>[2]TongHop!H680</f>
        <v>0</v>
      </c>
      <c r="I680">
        <f>[2]TongHop!I680</f>
        <v>0</v>
      </c>
      <c r="J680">
        <f>[2]TongHop!J680</f>
        <v>0</v>
      </c>
      <c r="K680">
        <f>[2]TongHop!K680</f>
        <v>0</v>
      </c>
      <c r="L680">
        <f>[2]TongHop!L680</f>
        <v>0</v>
      </c>
      <c r="M680">
        <f>[2]TongHop!M680</f>
        <v>0</v>
      </c>
      <c r="N680">
        <f>[2]TongHop!N680</f>
        <v>0</v>
      </c>
    </row>
    <row r="681" spans="1:14">
      <c r="A681">
        <f>[2]TongHop!A681</f>
        <v>0</v>
      </c>
      <c r="B681">
        <f>[2]TongHop!B681</f>
        <v>0</v>
      </c>
      <c r="C681">
        <f>[2]TongHop!C681</f>
        <v>0</v>
      </c>
      <c r="D681">
        <f>[2]TongHop!D681</f>
        <v>0</v>
      </c>
      <c r="E681">
        <f>[2]TongHop!E681</f>
        <v>0</v>
      </c>
      <c r="F681">
        <f>[2]TongHop!F681</f>
        <v>0</v>
      </c>
      <c r="G681">
        <f>[2]TongHop!G681</f>
        <v>0</v>
      </c>
      <c r="H681">
        <f>[2]TongHop!H681</f>
        <v>0</v>
      </c>
      <c r="I681">
        <f>[2]TongHop!I681</f>
        <v>0</v>
      </c>
      <c r="J681">
        <f>[2]TongHop!J681</f>
        <v>0</v>
      </c>
      <c r="K681">
        <f>[2]TongHop!K681</f>
        <v>0</v>
      </c>
      <c r="L681">
        <f>[2]TongHop!L681</f>
        <v>0</v>
      </c>
      <c r="M681">
        <f>[2]TongHop!M681</f>
        <v>0</v>
      </c>
      <c r="N681">
        <f>[2]TongHop!N681</f>
        <v>0</v>
      </c>
    </row>
    <row r="682" spans="1:14">
      <c r="A682">
        <f>[2]TongHop!A682</f>
        <v>0</v>
      </c>
      <c r="B682">
        <f>[2]TongHop!B682</f>
        <v>0</v>
      </c>
      <c r="C682">
        <f>[2]TongHop!C682</f>
        <v>0</v>
      </c>
      <c r="D682">
        <f>[2]TongHop!D682</f>
        <v>0</v>
      </c>
      <c r="E682">
        <f>[2]TongHop!E682</f>
        <v>0</v>
      </c>
      <c r="F682">
        <f>[2]TongHop!F682</f>
        <v>0</v>
      </c>
      <c r="G682">
        <f>[2]TongHop!G682</f>
        <v>0</v>
      </c>
      <c r="H682">
        <f>[2]TongHop!H682</f>
        <v>0</v>
      </c>
      <c r="I682">
        <f>[2]TongHop!I682</f>
        <v>0</v>
      </c>
      <c r="J682">
        <f>[2]TongHop!J682</f>
        <v>0</v>
      </c>
      <c r="K682">
        <f>[2]TongHop!K682</f>
        <v>0</v>
      </c>
      <c r="L682">
        <f>[2]TongHop!L682</f>
        <v>0</v>
      </c>
      <c r="M682">
        <f>[2]TongHop!M682</f>
        <v>0</v>
      </c>
      <c r="N682">
        <f>[2]TongHop!N682</f>
        <v>0</v>
      </c>
    </row>
    <row r="683" spans="1:14">
      <c r="A683">
        <f>[2]TongHop!A683</f>
        <v>0</v>
      </c>
      <c r="B683">
        <f>[2]TongHop!B683</f>
        <v>0</v>
      </c>
      <c r="C683">
        <f>[2]TongHop!C683</f>
        <v>0</v>
      </c>
      <c r="D683">
        <f>[2]TongHop!D683</f>
        <v>0</v>
      </c>
      <c r="E683">
        <f>[2]TongHop!E683</f>
        <v>0</v>
      </c>
      <c r="F683">
        <f>[2]TongHop!F683</f>
        <v>0</v>
      </c>
      <c r="G683">
        <f>[2]TongHop!G683</f>
        <v>0</v>
      </c>
      <c r="H683">
        <f>[2]TongHop!H683</f>
        <v>0</v>
      </c>
      <c r="I683">
        <f>[2]TongHop!I683</f>
        <v>0</v>
      </c>
      <c r="J683">
        <f>[2]TongHop!J683</f>
        <v>0</v>
      </c>
      <c r="K683">
        <f>[2]TongHop!K683</f>
        <v>0</v>
      </c>
      <c r="L683">
        <f>[2]TongHop!L683</f>
        <v>0</v>
      </c>
      <c r="M683">
        <f>[2]TongHop!M683</f>
        <v>0</v>
      </c>
      <c r="N683">
        <f>[2]TongHop!N683</f>
        <v>0</v>
      </c>
    </row>
    <row r="684" spans="1:14">
      <c r="A684">
        <f>[2]TongHop!A684</f>
        <v>0</v>
      </c>
      <c r="B684">
        <f>[2]TongHop!B684</f>
        <v>0</v>
      </c>
      <c r="C684">
        <f>[2]TongHop!C684</f>
        <v>0</v>
      </c>
      <c r="D684">
        <f>[2]TongHop!D684</f>
        <v>0</v>
      </c>
      <c r="E684">
        <f>[2]TongHop!E684</f>
        <v>0</v>
      </c>
      <c r="F684">
        <f>[2]TongHop!F684</f>
        <v>0</v>
      </c>
      <c r="G684">
        <f>[2]TongHop!G684</f>
        <v>0</v>
      </c>
      <c r="H684">
        <f>[2]TongHop!H684</f>
        <v>0</v>
      </c>
      <c r="I684">
        <f>[2]TongHop!I684</f>
        <v>0</v>
      </c>
      <c r="J684">
        <f>[2]TongHop!J684</f>
        <v>0</v>
      </c>
      <c r="K684">
        <f>[2]TongHop!K684</f>
        <v>0</v>
      </c>
      <c r="L684">
        <f>[2]TongHop!L684</f>
        <v>0</v>
      </c>
      <c r="M684">
        <f>[2]TongHop!M684</f>
        <v>0</v>
      </c>
      <c r="N684">
        <f>[2]TongHop!N684</f>
        <v>0</v>
      </c>
    </row>
    <row r="685" spans="1:14">
      <c r="A685">
        <f>[2]TongHop!A685</f>
        <v>0</v>
      </c>
      <c r="B685">
        <f>[2]TongHop!B685</f>
        <v>0</v>
      </c>
      <c r="C685">
        <f>[2]TongHop!C685</f>
        <v>0</v>
      </c>
      <c r="D685">
        <f>[2]TongHop!D685</f>
        <v>0</v>
      </c>
      <c r="E685">
        <f>[2]TongHop!E685</f>
        <v>0</v>
      </c>
      <c r="F685">
        <f>[2]TongHop!F685</f>
        <v>0</v>
      </c>
      <c r="G685">
        <f>[2]TongHop!G685</f>
        <v>0</v>
      </c>
      <c r="H685">
        <f>[2]TongHop!H685</f>
        <v>0</v>
      </c>
      <c r="I685">
        <f>[2]TongHop!I685</f>
        <v>0</v>
      </c>
      <c r="J685">
        <f>[2]TongHop!J685</f>
        <v>0</v>
      </c>
      <c r="K685">
        <f>[2]TongHop!K685</f>
        <v>0</v>
      </c>
      <c r="L685">
        <f>[2]TongHop!L685</f>
        <v>0</v>
      </c>
      <c r="M685">
        <f>[2]TongHop!M685</f>
        <v>0</v>
      </c>
      <c r="N685">
        <f>[2]TongHop!N685</f>
        <v>0</v>
      </c>
    </row>
    <row r="686" spans="1:14">
      <c r="A686">
        <f>[2]TongHop!A686</f>
        <v>0</v>
      </c>
      <c r="B686">
        <f>[2]TongHop!B686</f>
        <v>0</v>
      </c>
      <c r="C686">
        <f>[2]TongHop!C686</f>
        <v>0</v>
      </c>
      <c r="D686">
        <f>[2]TongHop!D686</f>
        <v>0</v>
      </c>
      <c r="E686">
        <f>[2]TongHop!E686</f>
        <v>0</v>
      </c>
      <c r="F686">
        <f>[2]TongHop!F686</f>
        <v>0</v>
      </c>
      <c r="G686">
        <f>[2]TongHop!G686</f>
        <v>0</v>
      </c>
      <c r="H686">
        <f>[2]TongHop!H686</f>
        <v>0</v>
      </c>
      <c r="I686">
        <f>[2]TongHop!I686</f>
        <v>0</v>
      </c>
      <c r="J686">
        <f>[2]TongHop!J686</f>
        <v>0</v>
      </c>
      <c r="K686">
        <f>[2]TongHop!K686</f>
        <v>0</v>
      </c>
      <c r="L686">
        <f>[2]TongHop!L686</f>
        <v>0</v>
      </c>
      <c r="M686">
        <f>[2]TongHop!M686</f>
        <v>0</v>
      </c>
      <c r="N686">
        <f>[2]TongHop!N686</f>
        <v>0</v>
      </c>
    </row>
    <row r="687" spans="1:14">
      <c r="A687">
        <f>[2]TongHop!A687</f>
        <v>0</v>
      </c>
      <c r="B687">
        <f>[2]TongHop!B687</f>
        <v>0</v>
      </c>
      <c r="C687">
        <f>[2]TongHop!C687</f>
        <v>0</v>
      </c>
      <c r="D687">
        <f>[2]TongHop!D687</f>
        <v>0</v>
      </c>
      <c r="E687">
        <f>[2]TongHop!E687</f>
        <v>0</v>
      </c>
      <c r="F687">
        <f>[2]TongHop!F687</f>
        <v>0</v>
      </c>
      <c r="G687">
        <f>[2]TongHop!G687</f>
        <v>0</v>
      </c>
      <c r="H687">
        <f>[2]TongHop!H687</f>
        <v>0</v>
      </c>
      <c r="I687">
        <f>[2]TongHop!I687</f>
        <v>0</v>
      </c>
      <c r="J687">
        <f>[2]TongHop!J687</f>
        <v>0</v>
      </c>
      <c r="K687">
        <f>[2]TongHop!K687</f>
        <v>0</v>
      </c>
      <c r="L687">
        <f>[2]TongHop!L687</f>
        <v>0</v>
      </c>
      <c r="M687">
        <f>[2]TongHop!M687</f>
        <v>0</v>
      </c>
      <c r="N687">
        <f>[2]TongHop!N687</f>
        <v>0</v>
      </c>
    </row>
    <row r="688" spans="1:14">
      <c r="A688">
        <f>[2]TongHop!A688</f>
        <v>0</v>
      </c>
      <c r="B688">
        <f>[2]TongHop!B688</f>
        <v>0</v>
      </c>
      <c r="C688">
        <f>[2]TongHop!C688</f>
        <v>0</v>
      </c>
      <c r="D688">
        <f>[2]TongHop!D688</f>
        <v>0</v>
      </c>
      <c r="E688">
        <f>[2]TongHop!E688</f>
        <v>0</v>
      </c>
      <c r="F688">
        <f>[2]TongHop!F688</f>
        <v>0</v>
      </c>
      <c r="G688">
        <f>[2]TongHop!G688</f>
        <v>0</v>
      </c>
      <c r="H688">
        <f>[2]TongHop!H688</f>
        <v>0</v>
      </c>
      <c r="I688">
        <f>[2]TongHop!I688</f>
        <v>0</v>
      </c>
      <c r="J688">
        <f>[2]TongHop!J688</f>
        <v>0</v>
      </c>
      <c r="K688">
        <f>[2]TongHop!K688</f>
        <v>0</v>
      </c>
      <c r="L688">
        <f>[2]TongHop!L688</f>
        <v>0</v>
      </c>
      <c r="M688">
        <f>[2]TongHop!M688</f>
        <v>0</v>
      </c>
      <c r="N688">
        <f>[2]TongHop!N688</f>
        <v>0</v>
      </c>
    </row>
    <row r="689" spans="1:14">
      <c r="A689">
        <f>[2]TongHop!A689</f>
        <v>0</v>
      </c>
      <c r="B689">
        <f>[2]TongHop!B689</f>
        <v>0</v>
      </c>
      <c r="C689">
        <f>[2]TongHop!C689</f>
        <v>0</v>
      </c>
      <c r="D689">
        <f>[2]TongHop!D689</f>
        <v>0</v>
      </c>
      <c r="E689">
        <f>[2]TongHop!E689</f>
        <v>0</v>
      </c>
      <c r="F689">
        <f>[2]TongHop!F689</f>
        <v>0</v>
      </c>
      <c r="G689">
        <f>[2]TongHop!G689</f>
        <v>0</v>
      </c>
      <c r="H689">
        <f>[2]TongHop!H689</f>
        <v>0</v>
      </c>
      <c r="I689">
        <f>[2]TongHop!I689</f>
        <v>0</v>
      </c>
      <c r="J689">
        <f>[2]TongHop!J689</f>
        <v>0</v>
      </c>
      <c r="K689">
        <f>[2]TongHop!K689</f>
        <v>0</v>
      </c>
      <c r="L689">
        <f>[2]TongHop!L689</f>
        <v>0</v>
      </c>
      <c r="M689">
        <f>[2]TongHop!M689</f>
        <v>0</v>
      </c>
      <c r="N689">
        <f>[2]TongHop!N689</f>
        <v>0</v>
      </c>
    </row>
    <row r="690" spans="1:14">
      <c r="A690">
        <f>[2]TongHop!A690</f>
        <v>0</v>
      </c>
      <c r="B690">
        <f>[2]TongHop!B690</f>
        <v>0</v>
      </c>
      <c r="C690">
        <f>[2]TongHop!C690</f>
        <v>0</v>
      </c>
      <c r="D690">
        <f>[2]TongHop!D690</f>
        <v>0</v>
      </c>
      <c r="E690">
        <f>[2]TongHop!E690</f>
        <v>0</v>
      </c>
      <c r="F690">
        <f>[2]TongHop!F690</f>
        <v>0</v>
      </c>
      <c r="G690">
        <f>[2]TongHop!G690</f>
        <v>0</v>
      </c>
      <c r="H690">
        <f>[2]TongHop!H690</f>
        <v>0</v>
      </c>
      <c r="I690">
        <f>[2]TongHop!I690</f>
        <v>0</v>
      </c>
      <c r="J690">
        <f>[2]TongHop!J690</f>
        <v>0</v>
      </c>
      <c r="K690">
        <f>[2]TongHop!K690</f>
        <v>0</v>
      </c>
      <c r="L690">
        <f>[2]TongHop!L690</f>
        <v>0</v>
      </c>
      <c r="M690">
        <f>[2]TongHop!M690</f>
        <v>0</v>
      </c>
      <c r="N690">
        <f>[2]TongHop!N690</f>
        <v>0</v>
      </c>
    </row>
    <row r="691" spans="1:14">
      <c r="A691">
        <f>[2]TongHop!A691</f>
        <v>0</v>
      </c>
      <c r="B691">
        <f>[2]TongHop!B691</f>
        <v>0</v>
      </c>
      <c r="C691">
        <f>[2]TongHop!C691</f>
        <v>0</v>
      </c>
      <c r="D691">
        <f>[2]TongHop!D691</f>
        <v>0</v>
      </c>
      <c r="E691">
        <f>[2]TongHop!E691</f>
        <v>0</v>
      </c>
      <c r="F691">
        <f>[2]TongHop!F691</f>
        <v>0</v>
      </c>
      <c r="G691">
        <f>[2]TongHop!G691</f>
        <v>0</v>
      </c>
      <c r="H691">
        <f>[2]TongHop!H691</f>
        <v>0</v>
      </c>
      <c r="I691">
        <f>[2]TongHop!I691</f>
        <v>0</v>
      </c>
      <c r="J691">
        <f>[2]TongHop!J691</f>
        <v>0</v>
      </c>
      <c r="K691">
        <f>[2]TongHop!K691</f>
        <v>0</v>
      </c>
      <c r="L691">
        <f>[2]TongHop!L691</f>
        <v>0</v>
      </c>
      <c r="M691">
        <f>[2]TongHop!M691</f>
        <v>0</v>
      </c>
      <c r="N691">
        <f>[2]TongHop!N691</f>
        <v>0</v>
      </c>
    </row>
    <row r="692" spans="1:14">
      <c r="A692">
        <f>[2]TongHop!A692</f>
        <v>0</v>
      </c>
      <c r="B692">
        <f>[2]TongHop!B692</f>
        <v>0</v>
      </c>
      <c r="C692">
        <f>[2]TongHop!C692</f>
        <v>0</v>
      </c>
      <c r="D692">
        <f>[2]TongHop!D692</f>
        <v>0</v>
      </c>
      <c r="E692">
        <f>[2]TongHop!E692</f>
        <v>0</v>
      </c>
      <c r="F692">
        <f>[2]TongHop!F692</f>
        <v>0</v>
      </c>
      <c r="G692">
        <f>[2]TongHop!G692</f>
        <v>0</v>
      </c>
      <c r="H692">
        <f>[2]TongHop!H692</f>
        <v>0</v>
      </c>
      <c r="I692">
        <f>[2]TongHop!I692</f>
        <v>0</v>
      </c>
      <c r="J692">
        <f>[2]TongHop!J692</f>
        <v>0</v>
      </c>
      <c r="K692">
        <f>[2]TongHop!K692</f>
        <v>0</v>
      </c>
      <c r="L692">
        <f>[2]TongHop!L692</f>
        <v>0</v>
      </c>
      <c r="M692">
        <f>[2]TongHop!M692</f>
        <v>0</v>
      </c>
      <c r="N692">
        <f>[2]TongHop!N692</f>
        <v>0</v>
      </c>
    </row>
    <row r="693" spans="1:14">
      <c r="A693">
        <f>[2]TongHop!A693</f>
        <v>0</v>
      </c>
      <c r="B693">
        <f>[2]TongHop!B693</f>
        <v>0</v>
      </c>
      <c r="C693">
        <f>[2]TongHop!C693</f>
        <v>0</v>
      </c>
      <c r="D693">
        <f>[2]TongHop!D693</f>
        <v>0</v>
      </c>
      <c r="E693">
        <f>[2]TongHop!E693</f>
        <v>0</v>
      </c>
      <c r="F693">
        <f>[2]TongHop!F693</f>
        <v>0</v>
      </c>
      <c r="G693">
        <f>[2]TongHop!G693</f>
        <v>0</v>
      </c>
      <c r="H693">
        <f>[2]TongHop!H693</f>
        <v>0</v>
      </c>
      <c r="I693">
        <f>[2]TongHop!I693</f>
        <v>0</v>
      </c>
      <c r="J693">
        <f>[2]TongHop!J693</f>
        <v>0</v>
      </c>
      <c r="K693">
        <f>[2]TongHop!K693</f>
        <v>0</v>
      </c>
      <c r="L693">
        <f>[2]TongHop!L693</f>
        <v>0</v>
      </c>
      <c r="M693">
        <f>[2]TongHop!M693</f>
        <v>0</v>
      </c>
      <c r="N693">
        <f>[2]TongHop!N693</f>
        <v>0</v>
      </c>
    </row>
    <row r="694" spans="1:14">
      <c r="A694">
        <f>[2]TongHop!A694</f>
        <v>0</v>
      </c>
      <c r="B694">
        <f>[2]TongHop!B694</f>
        <v>0</v>
      </c>
      <c r="C694">
        <f>[2]TongHop!C694</f>
        <v>0</v>
      </c>
      <c r="D694">
        <f>[2]TongHop!D694</f>
        <v>0</v>
      </c>
      <c r="E694">
        <f>[2]TongHop!E694</f>
        <v>0</v>
      </c>
      <c r="F694">
        <f>[2]TongHop!F694</f>
        <v>0</v>
      </c>
      <c r="G694">
        <f>[2]TongHop!G694</f>
        <v>0</v>
      </c>
      <c r="H694">
        <f>[2]TongHop!H694</f>
        <v>0</v>
      </c>
      <c r="I694">
        <f>[2]TongHop!I694</f>
        <v>0</v>
      </c>
      <c r="J694">
        <f>[2]TongHop!J694</f>
        <v>0</v>
      </c>
      <c r="K694">
        <f>[2]TongHop!K694</f>
        <v>0</v>
      </c>
      <c r="L694">
        <f>[2]TongHop!L694</f>
        <v>0</v>
      </c>
      <c r="M694">
        <f>[2]TongHop!M694</f>
        <v>0</v>
      </c>
      <c r="N694">
        <f>[2]TongHop!N694</f>
        <v>0</v>
      </c>
    </row>
    <row r="695" spans="1:14">
      <c r="A695">
        <f>[2]TongHop!A695</f>
        <v>0</v>
      </c>
      <c r="B695">
        <f>[2]TongHop!B695</f>
        <v>0</v>
      </c>
      <c r="C695">
        <f>[2]TongHop!C695</f>
        <v>0</v>
      </c>
      <c r="D695">
        <f>[2]TongHop!D695</f>
        <v>0</v>
      </c>
      <c r="E695">
        <f>[2]TongHop!E695</f>
        <v>0</v>
      </c>
      <c r="F695">
        <f>[2]TongHop!F695</f>
        <v>0</v>
      </c>
      <c r="G695">
        <f>[2]TongHop!G695</f>
        <v>0</v>
      </c>
      <c r="H695">
        <f>[2]TongHop!H695</f>
        <v>0</v>
      </c>
      <c r="I695">
        <f>[2]TongHop!I695</f>
        <v>0</v>
      </c>
      <c r="J695">
        <f>[2]TongHop!J695</f>
        <v>0</v>
      </c>
      <c r="K695">
        <f>[2]TongHop!K695</f>
        <v>0</v>
      </c>
      <c r="L695">
        <f>[2]TongHop!L695</f>
        <v>0</v>
      </c>
      <c r="M695">
        <f>[2]TongHop!M695</f>
        <v>0</v>
      </c>
      <c r="N695">
        <f>[2]TongHop!N695</f>
        <v>0</v>
      </c>
    </row>
    <row r="696" spans="1:14">
      <c r="A696">
        <f>[2]TongHop!A696</f>
        <v>0</v>
      </c>
      <c r="B696">
        <f>[2]TongHop!B696</f>
        <v>0</v>
      </c>
      <c r="C696">
        <f>[2]TongHop!C696</f>
        <v>0</v>
      </c>
      <c r="D696">
        <f>[2]TongHop!D696</f>
        <v>0</v>
      </c>
      <c r="E696">
        <f>[2]TongHop!E696</f>
        <v>0</v>
      </c>
      <c r="F696">
        <f>[2]TongHop!F696</f>
        <v>0</v>
      </c>
      <c r="G696">
        <f>[2]TongHop!G696</f>
        <v>0</v>
      </c>
      <c r="H696">
        <f>[2]TongHop!H696</f>
        <v>0</v>
      </c>
      <c r="I696">
        <f>[2]TongHop!I696</f>
        <v>0</v>
      </c>
      <c r="J696">
        <f>[2]TongHop!J696</f>
        <v>0</v>
      </c>
      <c r="K696">
        <f>[2]TongHop!K696</f>
        <v>0</v>
      </c>
      <c r="L696">
        <f>[2]TongHop!L696</f>
        <v>0</v>
      </c>
      <c r="M696">
        <f>[2]TongHop!M696</f>
        <v>0</v>
      </c>
      <c r="N696">
        <f>[2]TongHop!N696</f>
        <v>0</v>
      </c>
    </row>
    <row r="697" spans="1:14">
      <c r="A697">
        <f>[2]TongHop!A697</f>
        <v>0</v>
      </c>
      <c r="B697">
        <f>[2]TongHop!B697</f>
        <v>0</v>
      </c>
      <c r="C697">
        <f>[2]TongHop!C697</f>
        <v>0</v>
      </c>
      <c r="D697">
        <f>[2]TongHop!D697</f>
        <v>0</v>
      </c>
      <c r="E697">
        <f>[2]TongHop!E697</f>
        <v>0</v>
      </c>
      <c r="F697">
        <f>[2]TongHop!F697</f>
        <v>0</v>
      </c>
      <c r="G697">
        <f>[2]TongHop!G697</f>
        <v>0</v>
      </c>
      <c r="H697">
        <f>[2]TongHop!H697</f>
        <v>0</v>
      </c>
      <c r="I697">
        <f>[2]TongHop!I697</f>
        <v>0</v>
      </c>
      <c r="J697">
        <f>[2]TongHop!J697</f>
        <v>0</v>
      </c>
      <c r="K697">
        <f>[2]TongHop!K697</f>
        <v>0</v>
      </c>
      <c r="L697">
        <f>[2]TongHop!L697</f>
        <v>0</v>
      </c>
      <c r="M697">
        <f>[2]TongHop!M697</f>
        <v>0</v>
      </c>
      <c r="N697">
        <f>[2]TongHop!N697</f>
        <v>0</v>
      </c>
    </row>
    <row r="698" spans="1:14">
      <c r="A698">
        <f>[2]TongHop!A698</f>
        <v>0</v>
      </c>
      <c r="B698">
        <f>[2]TongHop!B698</f>
        <v>0</v>
      </c>
      <c r="C698">
        <f>[2]TongHop!C698</f>
        <v>0</v>
      </c>
      <c r="D698">
        <f>[2]TongHop!D698</f>
        <v>0</v>
      </c>
      <c r="E698">
        <f>[2]TongHop!E698</f>
        <v>0</v>
      </c>
      <c r="F698">
        <f>[2]TongHop!F698</f>
        <v>0</v>
      </c>
      <c r="G698">
        <f>[2]TongHop!G698</f>
        <v>0</v>
      </c>
      <c r="H698">
        <f>[2]TongHop!H698</f>
        <v>0</v>
      </c>
      <c r="I698">
        <f>[2]TongHop!I698</f>
        <v>0</v>
      </c>
      <c r="J698">
        <f>[2]TongHop!J698</f>
        <v>0</v>
      </c>
      <c r="K698">
        <f>[2]TongHop!K698</f>
        <v>0</v>
      </c>
      <c r="L698">
        <f>[2]TongHop!L698</f>
        <v>0</v>
      </c>
      <c r="M698">
        <f>[2]TongHop!M698</f>
        <v>0</v>
      </c>
      <c r="N698">
        <f>[2]TongHop!N698</f>
        <v>0</v>
      </c>
    </row>
    <row r="699" spans="1:14">
      <c r="A699">
        <f>[2]TongHop!A699</f>
        <v>0</v>
      </c>
      <c r="B699">
        <f>[2]TongHop!B699</f>
        <v>0</v>
      </c>
      <c r="C699">
        <f>[2]TongHop!C699</f>
        <v>0</v>
      </c>
      <c r="D699">
        <f>[2]TongHop!D699</f>
        <v>0</v>
      </c>
      <c r="E699">
        <f>[2]TongHop!E699</f>
        <v>0</v>
      </c>
      <c r="F699">
        <f>[2]TongHop!F699</f>
        <v>0</v>
      </c>
      <c r="G699">
        <f>[2]TongHop!G699</f>
        <v>0</v>
      </c>
      <c r="H699">
        <f>[2]TongHop!H699</f>
        <v>0</v>
      </c>
      <c r="I699">
        <f>[2]TongHop!I699</f>
        <v>0</v>
      </c>
      <c r="J699">
        <f>[2]TongHop!J699</f>
        <v>0</v>
      </c>
      <c r="K699">
        <f>[2]TongHop!K699</f>
        <v>0</v>
      </c>
      <c r="L699">
        <f>[2]TongHop!L699</f>
        <v>0</v>
      </c>
      <c r="M699">
        <f>[2]TongHop!M699</f>
        <v>0</v>
      </c>
      <c r="N699">
        <f>[2]TongHop!N699</f>
        <v>0</v>
      </c>
    </row>
    <row r="700" spans="1:14">
      <c r="A700">
        <f>[2]TongHop!A700</f>
        <v>0</v>
      </c>
      <c r="B700">
        <f>[2]TongHop!B700</f>
        <v>0</v>
      </c>
      <c r="C700">
        <f>[2]TongHop!C700</f>
        <v>0</v>
      </c>
      <c r="D700">
        <f>[2]TongHop!D700</f>
        <v>0</v>
      </c>
      <c r="E700">
        <f>[2]TongHop!E700</f>
        <v>0</v>
      </c>
      <c r="F700">
        <f>[2]TongHop!F700</f>
        <v>0</v>
      </c>
      <c r="G700">
        <f>[2]TongHop!G700</f>
        <v>0</v>
      </c>
      <c r="H700">
        <f>[2]TongHop!H700</f>
        <v>0</v>
      </c>
      <c r="I700">
        <f>[2]TongHop!I700</f>
        <v>0</v>
      </c>
      <c r="J700">
        <f>[2]TongHop!J700</f>
        <v>0</v>
      </c>
      <c r="K700">
        <f>[2]TongHop!K700</f>
        <v>0</v>
      </c>
      <c r="L700">
        <f>[2]TongHop!L700</f>
        <v>0</v>
      </c>
      <c r="M700">
        <f>[2]TongHop!M700</f>
        <v>0</v>
      </c>
      <c r="N700">
        <f>[2]TongHop!N700</f>
        <v>0</v>
      </c>
    </row>
    <row r="701" spans="1:14">
      <c r="A701">
        <f>[2]TongHop!A701</f>
        <v>0</v>
      </c>
      <c r="B701">
        <f>[2]TongHop!B701</f>
        <v>0</v>
      </c>
      <c r="C701">
        <f>[2]TongHop!C701</f>
        <v>0</v>
      </c>
      <c r="D701">
        <f>[2]TongHop!D701</f>
        <v>0</v>
      </c>
      <c r="E701">
        <f>[2]TongHop!E701</f>
        <v>0</v>
      </c>
      <c r="F701">
        <f>[2]TongHop!F701</f>
        <v>0</v>
      </c>
      <c r="G701">
        <f>[2]TongHop!G701</f>
        <v>0</v>
      </c>
      <c r="H701">
        <f>[2]TongHop!H701</f>
        <v>0</v>
      </c>
      <c r="I701">
        <f>[2]TongHop!I701</f>
        <v>0</v>
      </c>
      <c r="J701">
        <f>[2]TongHop!J701</f>
        <v>0</v>
      </c>
      <c r="K701">
        <f>[2]TongHop!K701</f>
        <v>0</v>
      </c>
      <c r="L701">
        <f>[2]TongHop!L701</f>
        <v>0</v>
      </c>
      <c r="M701">
        <f>[2]TongHop!M701</f>
        <v>0</v>
      </c>
      <c r="N701">
        <f>[2]TongHop!N701</f>
        <v>0</v>
      </c>
    </row>
    <row r="702" spans="1:14">
      <c r="A702">
        <f>[2]TongHop!A702</f>
        <v>0</v>
      </c>
      <c r="B702">
        <f>[2]TongHop!B702</f>
        <v>0</v>
      </c>
      <c r="C702">
        <f>[2]TongHop!C702</f>
        <v>0</v>
      </c>
      <c r="D702">
        <f>[2]TongHop!D702</f>
        <v>0</v>
      </c>
      <c r="E702">
        <f>[2]TongHop!E702</f>
        <v>0</v>
      </c>
      <c r="F702">
        <f>[2]TongHop!F702</f>
        <v>0</v>
      </c>
      <c r="G702">
        <f>[2]TongHop!G702</f>
        <v>0</v>
      </c>
      <c r="H702">
        <f>[2]TongHop!H702</f>
        <v>0</v>
      </c>
      <c r="I702">
        <f>[2]TongHop!I702</f>
        <v>0</v>
      </c>
      <c r="J702">
        <f>[2]TongHop!J702</f>
        <v>0</v>
      </c>
      <c r="K702">
        <f>[2]TongHop!K702</f>
        <v>0</v>
      </c>
      <c r="L702">
        <f>[2]TongHop!L702</f>
        <v>0</v>
      </c>
      <c r="M702">
        <f>[2]TongHop!M702</f>
        <v>0</v>
      </c>
      <c r="N702">
        <f>[2]TongHop!N702</f>
        <v>0</v>
      </c>
    </row>
    <row r="703" spans="1:14">
      <c r="A703">
        <f>[2]TongHop!A703</f>
        <v>0</v>
      </c>
      <c r="B703">
        <f>[2]TongHop!B703</f>
        <v>0</v>
      </c>
      <c r="C703">
        <f>[2]TongHop!C703</f>
        <v>0</v>
      </c>
      <c r="D703">
        <f>[2]TongHop!D703</f>
        <v>0</v>
      </c>
      <c r="E703">
        <f>[2]TongHop!E703</f>
        <v>0</v>
      </c>
      <c r="F703">
        <f>[2]TongHop!F703</f>
        <v>0</v>
      </c>
      <c r="G703">
        <f>[2]TongHop!G703</f>
        <v>0</v>
      </c>
      <c r="H703">
        <f>[2]TongHop!H703</f>
        <v>0</v>
      </c>
      <c r="I703">
        <f>[2]TongHop!I703</f>
        <v>0</v>
      </c>
      <c r="J703">
        <f>[2]TongHop!J703</f>
        <v>0</v>
      </c>
      <c r="K703">
        <f>[2]TongHop!K703</f>
        <v>0</v>
      </c>
      <c r="L703">
        <f>[2]TongHop!L703</f>
        <v>0</v>
      </c>
      <c r="M703">
        <f>[2]TongHop!M703</f>
        <v>0</v>
      </c>
      <c r="N703">
        <f>[2]TongHop!N703</f>
        <v>0</v>
      </c>
    </row>
    <row r="704" spans="1:14">
      <c r="A704">
        <f>[2]TongHop!A704</f>
        <v>0</v>
      </c>
      <c r="B704">
        <f>[2]TongHop!B704</f>
        <v>0</v>
      </c>
      <c r="C704">
        <f>[2]TongHop!C704</f>
        <v>0</v>
      </c>
      <c r="D704">
        <f>[2]TongHop!D704</f>
        <v>0</v>
      </c>
      <c r="E704">
        <f>[2]TongHop!E704</f>
        <v>0</v>
      </c>
      <c r="F704">
        <f>[2]TongHop!F704</f>
        <v>0</v>
      </c>
      <c r="G704">
        <f>[2]TongHop!G704</f>
        <v>0</v>
      </c>
      <c r="H704">
        <f>[2]TongHop!H704</f>
        <v>0</v>
      </c>
      <c r="I704">
        <f>[2]TongHop!I704</f>
        <v>0</v>
      </c>
      <c r="J704">
        <f>[2]TongHop!J704</f>
        <v>0</v>
      </c>
      <c r="K704">
        <f>[2]TongHop!K704</f>
        <v>0</v>
      </c>
      <c r="L704">
        <f>[2]TongHop!L704</f>
        <v>0</v>
      </c>
      <c r="M704">
        <f>[2]TongHop!M704</f>
        <v>0</v>
      </c>
      <c r="N704">
        <f>[2]TongHop!N704</f>
        <v>0</v>
      </c>
    </row>
    <row r="705" spans="1:14">
      <c r="A705">
        <f>[2]TongHop!A705</f>
        <v>0</v>
      </c>
      <c r="B705">
        <f>[2]TongHop!B705</f>
        <v>0</v>
      </c>
      <c r="C705">
        <f>[2]TongHop!C705</f>
        <v>0</v>
      </c>
      <c r="D705">
        <f>[2]TongHop!D705</f>
        <v>0</v>
      </c>
      <c r="E705">
        <f>[2]TongHop!E705</f>
        <v>0</v>
      </c>
      <c r="F705">
        <f>[2]TongHop!F705</f>
        <v>0</v>
      </c>
      <c r="G705">
        <f>[2]TongHop!G705</f>
        <v>0</v>
      </c>
      <c r="H705">
        <f>[2]TongHop!H705</f>
        <v>0</v>
      </c>
      <c r="I705">
        <f>[2]TongHop!I705</f>
        <v>0</v>
      </c>
      <c r="J705">
        <f>[2]TongHop!J705</f>
        <v>0</v>
      </c>
      <c r="K705">
        <f>[2]TongHop!K705</f>
        <v>0</v>
      </c>
      <c r="L705">
        <f>[2]TongHop!L705</f>
        <v>0</v>
      </c>
      <c r="M705">
        <f>[2]TongHop!M705</f>
        <v>0</v>
      </c>
      <c r="N705">
        <f>[2]TongHop!N705</f>
        <v>0</v>
      </c>
    </row>
    <row r="706" spans="1:14">
      <c r="A706">
        <f>[2]TongHop!A706</f>
        <v>0</v>
      </c>
      <c r="B706">
        <f>[2]TongHop!B706</f>
        <v>0</v>
      </c>
      <c r="C706">
        <f>[2]TongHop!C706</f>
        <v>0</v>
      </c>
      <c r="D706">
        <f>[2]TongHop!D706</f>
        <v>0</v>
      </c>
      <c r="E706">
        <f>[2]TongHop!E706</f>
        <v>0</v>
      </c>
      <c r="F706">
        <f>[2]TongHop!F706</f>
        <v>0</v>
      </c>
      <c r="G706">
        <f>[2]TongHop!G706</f>
        <v>0</v>
      </c>
      <c r="H706">
        <f>[2]TongHop!H706</f>
        <v>0</v>
      </c>
      <c r="I706">
        <f>[2]TongHop!I706</f>
        <v>0</v>
      </c>
      <c r="J706">
        <f>[2]TongHop!J706</f>
        <v>0</v>
      </c>
      <c r="K706">
        <f>[2]TongHop!K706</f>
        <v>0</v>
      </c>
      <c r="L706">
        <f>[2]TongHop!L706</f>
        <v>0</v>
      </c>
      <c r="M706">
        <f>[2]TongHop!M706</f>
        <v>0</v>
      </c>
      <c r="N706">
        <f>[2]TongHop!N706</f>
        <v>0</v>
      </c>
    </row>
    <row r="707" spans="1:14">
      <c r="A707">
        <f>[2]TongHop!A707</f>
        <v>0</v>
      </c>
      <c r="B707">
        <f>[2]TongHop!B707</f>
        <v>0</v>
      </c>
      <c r="C707">
        <f>[2]TongHop!C707</f>
        <v>0</v>
      </c>
      <c r="D707">
        <f>[2]TongHop!D707</f>
        <v>0</v>
      </c>
      <c r="E707">
        <f>[2]TongHop!E707</f>
        <v>0</v>
      </c>
      <c r="F707">
        <f>[2]TongHop!F707</f>
        <v>0</v>
      </c>
      <c r="G707">
        <f>[2]TongHop!G707</f>
        <v>0</v>
      </c>
      <c r="H707">
        <f>[2]TongHop!H707</f>
        <v>0</v>
      </c>
      <c r="I707">
        <f>[2]TongHop!I707</f>
        <v>0</v>
      </c>
      <c r="J707">
        <f>[2]TongHop!J707</f>
        <v>0</v>
      </c>
      <c r="K707">
        <f>[2]TongHop!K707</f>
        <v>0</v>
      </c>
      <c r="L707">
        <f>[2]TongHop!L707</f>
        <v>0</v>
      </c>
      <c r="M707">
        <f>[2]TongHop!M707</f>
        <v>0</v>
      </c>
      <c r="N707">
        <f>[2]TongHop!N707</f>
        <v>0</v>
      </c>
    </row>
    <row r="708" spans="1:14">
      <c r="A708">
        <f>[2]TongHop!A708</f>
        <v>0</v>
      </c>
      <c r="B708">
        <f>[2]TongHop!B708</f>
        <v>0</v>
      </c>
      <c r="C708">
        <f>[2]TongHop!C708</f>
        <v>0</v>
      </c>
      <c r="D708">
        <f>[2]TongHop!D708</f>
        <v>0</v>
      </c>
      <c r="E708">
        <f>[2]TongHop!E708</f>
        <v>0</v>
      </c>
      <c r="F708">
        <f>[2]TongHop!F708</f>
        <v>0</v>
      </c>
      <c r="G708">
        <f>[2]TongHop!G708</f>
        <v>0</v>
      </c>
      <c r="H708">
        <f>[2]TongHop!H708</f>
        <v>0</v>
      </c>
      <c r="I708">
        <f>[2]TongHop!I708</f>
        <v>0</v>
      </c>
      <c r="J708">
        <f>[2]TongHop!J708</f>
        <v>0</v>
      </c>
      <c r="K708">
        <f>[2]TongHop!K708</f>
        <v>0</v>
      </c>
      <c r="L708">
        <f>[2]TongHop!L708</f>
        <v>0</v>
      </c>
      <c r="M708">
        <f>[2]TongHop!M708</f>
        <v>0</v>
      </c>
      <c r="N708">
        <f>[2]TongHop!N708</f>
        <v>0</v>
      </c>
    </row>
    <row r="709" spans="1:14">
      <c r="A709">
        <f>[2]TongHop!A709</f>
        <v>0</v>
      </c>
      <c r="B709">
        <f>[2]TongHop!B709</f>
        <v>0</v>
      </c>
      <c r="C709">
        <f>[2]TongHop!C709</f>
        <v>0</v>
      </c>
      <c r="D709">
        <f>[2]TongHop!D709</f>
        <v>0</v>
      </c>
      <c r="E709">
        <f>[2]TongHop!E709</f>
        <v>0</v>
      </c>
      <c r="F709">
        <f>[2]TongHop!F709</f>
        <v>0</v>
      </c>
      <c r="G709">
        <f>[2]TongHop!G709</f>
        <v>0</v>
      </c>
      <c r="H709">
        <f>[2]TongHop!H709</f>
        <v>0</v>
      </c>
      <c r="I709">
        <f>[2]TongHop!I709</f>
        <v>0</v>
      </c>
      <c r="J709">
        <f>[2]TongHop!J709</f>
        <v>0</v>
      </c>
      <c r="K709">
        <f>[2]TongHop!K709</f>
        <v>0</v>
      </c>
      <c r="L709">
        <f>[2]TongHop!L709</f>
        <v>0</v>
      </c>
      <c r="M709">
        <f>[2]TongHop!M709</f>
        <v>0</v>
      </c>
      <c r="N709">
        <f>[2]TongHop!N709</f>
        <v>0</v>
      </c>
    </row>
    <row r="710" spans="1:14">
      <c r="A710">
        <f>[2]TongHop!A710</f>
        <v>0</v>
      </c>
      <c r="B710">
        <f>[2]TongHop!B710</f>
        <v>0</v>
      </c>
      <c r="C710">
        <f>[2]TongHop!C710</f>
        <v>0</v>
      </c>
      <c r="D710">
        <f>[2]TongHop!D710</f>
        <v>0</v>
      </c>
      <c r="E710">
        <f>[2]TongHop!E710</f>
        <v>0</v>
      </c>
      <c r="F710">
        <f>[2]TongHop!F710</f>
        <v>0</v>
      </c>
      <c r="G710">
        <f>[2]TongHop!G710</f>
        <v>0</v>
      </c>
      <c r="H710">
        <f>[2]TongHop!H710</f>
        <v>0</v>
      </c>
      <c r="I710">
        <f>[2]TongHop!I710</f>
        <v>0</v>
      </c>
      <c r="J710">
        <f>[2]TongHop!J710</f>
        <v>0</v>
      </c>
      <c r="K710">
        <f>[2]TongHop!K710</f>
        <v>0</v>
      </c>
      <c r="L710">
        <f>[2]TongHop!L710</f>
        <v>0</v>
      </c>
      <c r="M710">
        <f>[2]TongHop!M710</f>
        <v>0</v>
      </c>
      <c r="N710">
        <f>[2]TongHop!N710</f>
        <v>0</v>
      </c>
    </row>
    <row r="711" spans="1:14">
      <c r="A711">
        <f>[2]TongHop!A711</f>
        <v>0</v>
      </c>
      <c r="B711">
        <f>[2]TongHop!B711</f>
        <v>0</v>
      </c>
      <c r="C711">
        <f>[2]TongHop!C711</f>
        <v>0</v>
      </c>
      <c r="D711">
        <f>[2]TongHop!D711</f>
        <v>0</v>
      </c>
      <c r="E711">
        <f>[2]TongHop!E711</f>
        <v>0</v>
      </c>
      <c r="F711">
        <f>[2]TongHop!F711</f>
        <v>0</v>
      </c>
      <c r="G711">
        <f>[2]TongHop!G711</f>
        <v>0</v>
      </c>
      <c r="H711">
        <f>[2]TongHop!H711</f>
        <v>0</v>
      </c>
      <c r="I711">
        <f>[2]TongHop!I711</f>
        <v>0</v>
      </c>
      <c r="J711">
        <f>[2]TongHop!J711</f>
        <v>0</v>
      </c>
      <c r="K711">
        <f>[2]TongHop!K711</f>
        <v>0</v>
      </c>
      <c r="L711">
        <f>[2]TongHop!L711</f>
        <v>0</v>
      </c>
      <c r="M711">
        <f>[2]TongHop!M711</f>
        <v>0</v>
      </c>
      <c r="N711">
        <f>[2]TongHop!N711</f>
        <v>0</v>
      </c>
    </row>
    <row r="712" spans="1:14">
      <c r="A712">
        <f>[2]TongHop!A712</f>
        <v>0</v>
      </c>
      <c r="B712">
        <f>[2]TongHop!B712</f>
        <v>0</v>
      </c>
      <c r="C712">
        <f>[2]TongHop!C712</f>
        <v>0</v>
      </c>
      <c r="D712">
        <f>[2]TongHop!D712</f>
        <v>0</v>
      </c>
      <c r="E712">
        <f>[2]TongHop!E712</f>
        <v>0</v>
      </c>
      <c r="F712">
        <f>[2]TongHop!F712</f>
        <v>0</v>
      </c>
      <c r="G712">
        <f>[2]TongHop!G712</f>
        <v>0</v>
      </c>
      <c r="H712">
        <f>[2]TongHop!H712</f>
        <v>0</v>
      </c>
      <c r="I712">
        <f>[2]TongHop!I712</f>
        <v>0</v>
      </c>
      <c r="J712">
        <f>[2]TongHop!J712</f>
        <v>0</v>
      </c>
      <c r="K712">
        <f>[2]TongHop!K712</f>
        <v>0</v>
      </c>
      <c r="L712">
        <f>[2]TongHop!L712</f>
        <v>0</v>
      </c>
      <c r="M712">
        <f>[2]TongHop!M712</f>
        <v>0</v>
      </c>
      <c r="N712">
        <f>[2]TongHop!N712</f>
        <v>0</v>
      </c>
    </row>
    <row r="713" spans="1:14">
      <c r="A713">
        <f>[2]TongHop!A713</f>
        <v>0</v>
      </c>
      <c r="B713">
        <f>[2]TongHop!B713</f>
        <v>0</v>
      </c>
      <c r="C713">
        <f>[2]TongHop!C713</f>
        <v>0</v>
      </c>
      <c r="D713">
        <f>[2]TongHop!D713</f>
        <v>0</v>
      </c>
      <c r="E713">
        <f>[2]TongHop!E713</f>
        <v>0</v>
      </c>
      <c r="F713">
        <f>[2]TongHop!F713</f>
        <v>0</v>
      </c>
      <c r="G713">
        <f>[2]TongHop!G713</f>
        <v>0</v>
      </c>
      <c r="H713">
        <f>[2]TongHop!H713</f>
        <v>0</v>
      </c>
      <c r="I713">
        <f>[2]TongHop!I713</f>
        <v>0</v>
      </c>
      <c r="J713">
        <f>[2]TongHop!J713</f>
        <v>0</v>
      </c>
      <c r="K713">
        <f>[2]TongHop!K713</f>
        <v>0</v>
      </c>
      <c r="L713">
        <f>[2]TongHop!L713</f>
        <v>0</v>
      </c>
      <c r="M713">
        <f>[2]TongHop!M713</f>
        <v>0</v>
      </c>
      <c r="N713">
        <f>[2]TongHop!N713</f>
        <v>0</v>
      </c>
    </row>
    <row r="714" spans="1:14">
      <c r="A714">
        <f>[2]TongHop!A714</f>
        <v>0</v>
      </c>
      <c r="B714">
        <f>[2]TongHop!B714</f>
        <v>0</v>
      </c>
      <c r="C714">
        <f>[2]TongHop!C714</f>
        <v>0</v>
      </c>
      <c r="D714">
        <f>[2]TongHop!D714</f>
        <v>0</v>
      </c>
      <c r="E714">
        <f>[2]TongHop!E714</f>
        <v>0</v>
      </c>
      <c r="F714">
        <f>[2]TongHop!F714</f>
        <v>0</v>
      </c>
      <c r="G714">
        <f>[2]TongHop!G714</f>
        <v>0</v>
      </c>
      <c r="H714">
        <f>[2]TongHop!H714</f>
        <v>0</v>
      </c>
      <c r="I714">
        <f>[2]TongHop!I714</f>
        <v>0</v>
      </c>
      <c r="J714">
        <f>[2]TongHop!J714</f>
        <v>0</v>
      </c>
      <c r="K714">
        <f>[2]TongHop!K714</f>
        <v>0</v>
      </c>
      <c r="L714">
        <f>[2]TongHop!L714</f>
        <v>0</v>
      </c>
      <c r="M714">
        <f>[2]TongHop!M714</f>
        <v>0</v>
      </c>
      <c r="N714">
        <f>[2]TongHop!N714</f>
        <v>0</v>
      </c>
    </row>
    <row r="715" spans="1:14">
      <c r="A715">
        <f>[2]TongHop!A715</f>
        <v>0</v>
      </c>
      <c r="B715">
        <f>[2]TongHop!B715</f>
        <v>0</v>
      </c>
      <c r="C715">
        <f>[2]TongHop!C715</f>
        <v>0</v>
      </c>
      <c r="D715">
        <f>[2]TongHop!D715</f>
        <v>0</v>
      </c>
      <c r="E715">
        <f>[2]TongHop!E715</f>
        <v>0</v>
      </c>
      <c r="F715">
        <f>[2]TongHop!F715</f>
        <v>0</v>
      </c>
      <c r="G715">
        <f>[2]TongHop!G715</f>
        <v>0</v>
      </c>
      <c r="H715">
        <f>[2]TongHop!H715</f>
        <v>0</v>
      </c>
      <c r="I715">
        <f>[2]TongHop!I715</f>
        <v>0</v>
      </c>
      <c r="J715">
        <f>[2]TongHop!J715</f>
        <v>0</v>
      </c>
      <c r="K715">
        <f>[2]TongHop!K715</f>
        <v>0</v>
      </c>
      <c r="L715">
        <f>[2]TongHop!L715</f>
        <v>0</v>
      </c>
      <c r="M715">
        <f>[2]TongHop!M715</f>
        <v>0</v>
      </c>
      <c r="N715">
        <f>[2]TongHop!N715</f>
        <v>0</v>
      </c>
    </row>
    <row r="716" spans="1:14">
      <c r="A716">
        <f>[2]TongHop!A716</f>
        <v>0</v>
      </c>
      <c r="B716">
        <f>[2]TongHop!B716</f>
        <v>0</v>
      </c>
      <c r="C716">
        <f>[2]TongHop!C716</f>
        <v>0</v>
      </c>
      <c r="D716">
        <f>[2]TongHop!D716</f>
        <v>0</v>
      </c>
      <c r="E716">
        <f>[2]TongHop!E716</f>
        <v>0</v>
      </c>
      <c r="F716">
        <f>[2]TongHop!F716</f>
        <v>0</v>
      </c>
      <c r="G716">
        <f>[2]TongHop!G716</f>
        <v>0</v>
      </c>
      <c r="H716">
        <f>[2]TongHop!H716</f>
        <v>0</v>
      </c>
      <c r="I716">
        <f>[2]TongHop!I716</f>
        <v>0</v>
      </c>
      <c r="J716">
        <f>[2]TongHop!J716</f>
        <v>0</v>
      </c>
      <c r="K716">
        <f>[2]TongHop!K716</f>
        <v>0</v>
      </c>
      <c r="L716">
        <f>[2]TongHop!L716</f>
        <v>0</v>
      </c>
      <c r="M716">
        <f>[2]TongHop!M716</f>
        <v>0</v>
      </c>
      <c r="N716">
        <f>[2]TongHop!N716</f>
        <v>0</v>
      </c>
    </row>
    <row r="717" spans="1:14">
      <c r="A717">
        <f>[2]TongHop!A717</f>
        <v>0</v>
      </c>
      <c r="B717">
        <f>[2]TongHop!B717</f>
        <v>0</v>
      </c>
      <c r="C717">
        <f>[2]TongHop!C717</f>
        <v>0</v>
      </c>
      <c r="D717">
        <f>[2]TongHop!D717</f>
        <v>0</v>
      </c>
      <c r="E717">
        <f>[2]TongHop!E717</f>
        <v>0</v>
      </c>
      <c r="F717">
        <f>[2]TongHop!F717</f>
        <v>0</v>
      </c>
      <c r="G717">
        <f>[2]TongHop!G717</f>
        <v>0</v>
      </c>
      <c r="H717">
        <f>[2]TongHop!H717</f>
        <v>0</v>
      </c>
      <c r="I717">
        <f>[2]TongHop!I717</f>
        <v>0</v>
      </c>
      <c r="J717">
        <f>[2]TongHop!J717</f>
        <v>0</v>
      </c>
      <c r="K717">
        <f>[2]TongHop!K717</f>
        <v>0</v>
      </c>
      <c r="L717">
        <f>[2]TongHop!L717</f>
        <v>0</v>
      </c>
      <c r="M717">
        <f>[2]TongHop!M717</f>
        <v>0</v>
      </c>
      <c r="N717">
        <f>[2]TongHop!N717</f>
        <v>0</v>
      </c>
    </row>
    <row r="718" spans="1:14">
      <c r="A718">
        <f>[2]TongHop!A718</f>
        <v>0</v>
      </c>
      <c r="B718">
        <f>[2]TongHop!B718</f>
        <v>0</v>
      </c>
      <c r="C718">
        <f>[2]TongHop!C718</f>
        <v>0</v>
      </c>
      <c r="D718">
        <f>[2]TongHop!D718</f>
        <v>0</v>
      </c>
      <c r="E718">
        <f>[2]TongHop!E718</f>
        <v>0</v>
      </c>
      <c r="F718">
        <f>[2]TongHop!F718</f>
        <v>0</v>
      </c>
      <c r="G718">
        <f>[2]TongHop!G718</f>
        <v>0</v>
      </c>
      <c r="H718">
        <f>[2]TongHop!H718</f>
        <v>0</v>
      </c>
      <c r="I718">
        <f>[2]TongHop!I718</f>
        <v>0</v>
      </c>
      <c r="J718">
        <f>[2]TongHop!J718</f>
        <v>0</v>
      </c>
      <c r="K718">
        <f>[2]TongHop!K718</f>
        <v>0</v>
      </c>
      <c r="L718">
        <f>[2]TongHop!L718</f>
        <v>0</v>
      </c>
      <c r="M718">
        <f>[2]TongHop!M718</f>
        <v>0</v>
      </c>
      <c r="N718">
        <f>[2]TongHop!N718</f>
        <v>0</v>
      </c>
    </row>
    <row r="719" spans="1:14">
      <c r="A719">
        <f>[2]TongHop!A719</f>
        <v>0</v>
      </c>
      <c r="B719">
        <f>[2]TongHop!B719</f>
        <v>0</v>
      </c>
      <c r="C719">
        <f>[2]TongHop!C719</f>
        <v>0</v>
      </c>
      <c r="D719">
        <f>[2]TongHop!D719</f>
        <v>0</v>
      </c>
      <c r="E719">
        <f>[2]TongHop!E719</f>
        <v>0</v>
      </c>
      <c r="F719">
        <f>[2]TongHop!F719</f>
        <v>0</v>
      </c>
      <c r="G719">
        <f>[2]TongHop!G719</f>
        <v>0</v>
      </c>
      <c r="H719">
        <f>[2]TongHop!H719</f>
        <v>0</v>
      </c>
      <c r="I719">
        <f>[2]TongHop!I719</f>
        <v>0</v>
      </c>
      <c r="J719">
        <f>[2]TongHop!J719</f>
        <v>0</v>
      </c>
      <c r="K719">
        <f>[2]TongHop!K719</f>
        <v>0</v>
      </c>
      <c r="L719">
        <f>[2]TongHop!L719</f>
        <v>0</v>
      </c>
      <c r="M719">
        <f>[2]TongHop!M719</f>
        <v>0</v>
      </c>
      <c r="N719">
        <f>[2]TongHop!N719</f>
        <v>0</v>
      </c>
    </row>
    <row r="720" spans="1:14">
      <c r="A720">
        <f>[2]TongHop!A720</f>
        <v>0</v>
      </c>
      <c r="B720">
        <f>[2]TongHop!B720</f>
        <v>0</v>
      </c>
      <c r="C720">
        <f>[2]TongHop!C720</f>
        <v>0</v>
      </c>
      <c r="D720">
        <f>[2]TongHop!D720</f>
        <v>0</v>
      </c>
      <c r="E720">
        <f>[2]TongHop!E720</f>
        <v>0</v>
      </c>
      <c r="F720">
        <f>[2]TongHop!F720</f>
        <v>0</v>
      </c>
      <c r="G720">
        <f>[2]TongHop!G720</f>
        <v>0</v>
      </c>
      <c r="H720">
        <f>[2]TongHop!H720</f>
        <v>0</v>
      </c>
      <c r="I720">
        <f>[2]TongHop!I720</f>
        <v>0</v>
      </c>
      <c r="J720">
        <f>[2]TongHop!J720</f>
        <v>0</v>
      </c>
      <c r="K720">
        <f>[2]TongHop!K720</f>
        <v>0</v>
      </c>
      <c r="L720">
        <f>[2]TongHop!L720</f>
        <v>0</v>
      </c>
      <c r="M720">
        <f>[2]TongHop!M720</f>
        <v>0</v>
      </c>
      <c r="N720">
        <f>[2]TongHop!N720</f>
        <v>0</v>
      </c>
    </row>
    <row r="721" spans="1:14">
      <c r="A721">
        <f>[2]TongHop!A721</f>
        <v>0</v>
      </c>
      <c r="B721">
        <f>[2]TongHop!B721</f>
        <v>0</v>
      </c>
      <c r="C721">
        <f>[2]TongHop!C721</f>
        <v>0</v>
      </c>
      <c r="D721">
        <f>[2]TongHop!D721</f>
        <v>0</v>
      </c>
      <c r="E721">
        <f>[2]TongHop!E721</f>
        <v>0</v>
      </c>
      <c r="F721">
        <f>[2]TongHop!F721</f>
        <v>0</v>
      </c>
      <c r="G721">
        <f>[2]TongHop!G721</f>
        <v>0</v>
      </c>
      <c r="H721">
        <f>[2]TongHop!H721</f>
        <v>0</v>
      </c>
      <c r="I721">
        <f>[2]TongHop!I721</f>
        <v>0</v>
      </c>
      <c r="J721">
        <f>[2]TongHop!J721</f>
        <v>0</v>
      </c>
      <c r="K721">
        <f>[2]TongHop!K721</f>
        <v>0</v>
      </c>
      <c r="L721">
        <f>[2]TongHop!L721</f>
        <v>0</v>
      </c>
      <c r="M721">
        <f>[2]TongHop!M721</f>
        <v>0</v>
      </c>
      <c r="N721">
        <f>[2]TongHop!N721</f>
        <v>0</v>
      </c>
    </row>
    <row r="722" spans="1:14">
      <c r="A722">
        <f>[2]TongHop!A722</f>
        <v>0</v>
      </c>
      <c r="B722">
        <f>[2]TongHop!B722</f>
        <v>0</v>
      </c>
      <c r="C722">
        <f>[2]TongHop!C722</f>
        <v>0</v>
      </c>
      <c r="D722">
        <f>[2]TongHop!D722</f>
        <v>0</v>
      </c>
      <c r="E722">
        <f>[2]TongHop!E722</f>
        <v>0</v>
      </c>
      <c r="F722">
        <f>[2]TongHop!F722</f>
        <v>0</v>
      </c>
      <c r="G722">
        <f>[2]TongHop!G722</f>
        <v>0</v>
      </c>
      <c r="H722">
        <f>[2]TongHop!H722</f>
        <v>0</v>
      </c>
      <c r="I722">
        <f>[2]TongHop!I722</f>
        <v>0</v>
      </c>
      <c r="J722">
        <f>[2]TongHop!J722</f>
        <v>0</v>
      </c>
      <c r="K722">
        <f>[2]TongHop!K722</f>
        <v>0</v>
      </c>
      <c r="L722">
        <f>[2]TongHop!L722</f>
        <v>0</v>
      </c>
      <c r="M722">
        <f>[2]TongHop!M722</f>
        <v>0</v>
      </c>
      <c r="N722">
        <f>[2]TongHop!N722</f>
        <v>0</v>
      </c>
    </row>
    <row r="723" spans="1:14">
      <c r="A723">
        <f>[2]TongHop!A723</f>
        <v>0</v>
      </c>
      <c r="B723">
        <f>[2]TongHop!B723</f>
        <v>0</v>
      </c>
      <c r="C723">
        <f>[2]TongHop!C723</f>
        <v>0</v>
      </c>
      <c r="D723">
        <f>[2]TongHop!D723</f>
        <v>0</v>
      </c>
      <c r="E723">
        <f>[2]TongHop!E723</f>
        <v>0</v>
      </c>
      <c r="F723">
        <f>[2]TongHop!F723</f>
        <v>0</v>
      </c>
      <c r="G723">
        <f>[2]TongHop!G723</f>
        <v>0</v>
      </c>
      <c r="H723">
        <f>[2]TongHop!H723</f>
        <v>0</v>
      </c>
      <c r="I723">
        <f>[2]TongHop!I723</f>
        <v>0</v>
      </c>
      <c r="J723">
        <f>[2]TongHop!J723</f>
        <v>0</v>
      </c>
      <c r="K723">
        <f>[2]TongHop!K723</f>
        <v>0</v>
      </c>
      <c r="L723">
        <f>[2]TongHop!L723</f>
        <v>0</v>
      </c>
      <c r="M723">
        <f>[2]TongHop!M723</f>
        <v>0</v>
      </c>
      <c r="N723">
        <f>[2]TongHop!N723</f>
        <v>0</v>
      </c>
    </row>
    <row r="724" spans="1:14">
      <c r="A724">
        <f>[2]TongHop!A724</f>
        <v>0</v>
      </c>
      <c r="B724">
        <f>[2]TongHop!B724</f>
        <v>0</v>
      </c>
      <c r="C724">
        <f>[2]TongHop!C724</f>
        <v>0</v>
      </c>
      <c r="D724">
        <f>[2]TongHop!D724</f>
        <v>0</v>
      </c>
      <c r="E724">
        <f>[2]TongHop!E724</f>
        <v>0</v>
      </c>
      <c r="F724">
        <f>[2]TongHop!F724</f>
        <v>0</v>
      </c>
      <c r="G724">
        <f>[2]TongHop!G724</f>
        <v>0</v>
      </c>
      <c r="H724">
        <f>[2]TongHop!H724</f>
        <v>0</v>
      </c>
      <c r="I724">
        <f>[2]TongHop!I724</f>
        <v>0</v>
      </c>
      <c r="J724">
        <f>[2]TongHop!J724</f>
        <v>0</v>
      </c>
      <c r="K724">
        <f>[2]TongHop!K724</f>
        <v>0</v>
      </c>
      <c r="L724">
        <f>[2]TongHop!L724</f>
        <v>0</v>
      </c>
      <c r="M724">
        <f>[2]TongHop!M724</f>
        <v>0</v>
      </c>
      <c r="N724">
        <f>[2]TongHop!N724</f>
        <v>0</v>
      </c>
    </row>
    <row r="725" spans="1:14">
      <c r="A725">
        <f>[2]TongHop!A725</f>
        <v>0</v>
      </c>
      <c r="B725">
        <f>[2]TongHop!B725</f>
        <v>0</v>
      </c>
      <c r="C725">
        <f>[2]TongHop!C725</f>
        <v>0</v>
      </c>
      <c r="D725">
        <f>[2]TongHop!D725</f>
        <v>0</v>
      </c>
      <c r="E725">
        <f>[2]TongHop!E725</f>
        <v>0</v>
      </c>
      <c r="F725">
        <f>[2]TongHop!F725</f>
        <v>0</v>
      </c>
      <c r="G725">
        <f>[2]TongHop!G725</f>
        <v>0</v>
      </c>
      <c r="H725">
        <f>[2]TongHop!H725</f>
        <v>0</v>
      </c>
      <c r="I725">
        <f>[2]TongHop!I725</f>
        <v>0</v>
      </c>
      <c r="J725">
        <f>[2]TongHop!J725</f>
        <v>0</v>
      </c>
      <c r="K725">
        <f>[2]TongHop!K725</f>
        <v>0</v>
      </c>
      <c r="L725">
        <f>[2]TongHop!L725</f>
        <v>0</v>
      </c>
      <c r="M725">
        <f>[2]TongHop!M725</f>
        <v>0</v>
      </c>
      <c r="N725">
        <f>[2]TongHop!N725</f>
        <v>0</v>
      </c>
    </row>
    <row r="726" spans="1:14">
      <c r="A726">
        <f>[2]TongHop!A726</f>
        <v>0</v>
      </c>
      <c r="B726">
        <f>[2]TongHop!B726</f>
        <v>0</v>
      </c>
      <c r="C726">
        <f>[2]TongHop!C726</f>
        <v>0</v>
      </c>
      <c r="D726">
        <f>[2]TongHop!D726</f>
        <v>0</v>
      </c>
      <c r="E726">
        <f>[2]TongHop!E726</f>
        <v>0</v>
      </c>
      <c r="F726">
        <f>[2]TongHop!F726</f>
        <v>0</v>
      </c>
      <c r="G726">
        <f>[2]TongHop!G726</f>
        <v>0</v>
      </c>
      <c r="H726">
        <f>[2]TongHop!H726</f>
        <v>0</v>
      </c>
      <c r="I726">
        <f>[2]TongHop!I726</f>
        <v>0</v>
      </c>
      <c r="J726">
        <f>[2]TongHop!J726</f>
        <v>0</v>
      </c>
      <c r="K726">
        <f>[2]TongHop!K726</f>
        <v>0</v>
      </c>
      <c r="L726">
        <f>[2]TongHop!L726</f>
        <v>0</v>
      </c>
      <c r="M726">
        <f>[2]TongHop!M726</f>
        <v>0</v>
      </c>
      <c r="N726">
        <f>[2]TongHop!N726</f>
        <v>0</v>
      </c>
    </row>
    <row r="727" spans="1:14">
      <c r="A727">
        <f>[2]TongHop!A727</f>
        <v>0</v>
      </c>
      <c r="B727">
        <f>[2]TongHop!B727</f>
        <v>0</v>
      </c>
      <c r="C727">
        <f>[2]TongHop!C727</f>
        <v>0</v>
      </c>
      <c r="D727">
        <f>[2]TongHop!D727</f>
        <v>0</v>
      </c>
      <c r="E727">
        <f>[2]TongHop!E727</f>
        <v>0</v>
      </c>
      <c r="F727">
        <f>[2]TongHop!F727</f>
        <v>0</v>
      </c>
      <c r="G727">
        <f>[2]TongHop!G727</f>
        <v>0</v>
      </c>
      <c r="H727">
        <f>[2]TongHop!H727</f>
        <v>0</v>
      </c>
      <c r="I727">
        <f>[2]TongHop!I727</f>
        <v>0</v>
      </c>
      <c r="J727">
        <f>[2]TongHop!J727</f>
        <v>0</v>
      </c>
      <c r="K727">
        <f>[2]TongHop!K727</f>
        <v>0</v>
      </c>
      <c r="L727">
        <f>[2]TongHop!L727</f>
        <v>0</v>
      </c>
      <c r="M727">
        <f>[2]TongHop!M727</f>
        <v>0</v>
      </c>
      <c r="N727">
        <f>[2]TongHop!N727</f>
        <v>0</v>
      </c>
    </row>
    <row r="728" spans="1:14">
      <c r="A728">
        <f>[2]TongHop!A728</f>
        <v>0</v>
      </c>
      <c r="B728">
        <f>[2]TongHop!B728</f>
        <v>0</v>
      </c>
      <c r="C728">
        <f>[2]TongHop!C728</f>
        <v>0</v>
      </c>
      <c r="D728">
        <f>[2]TongHop!D728</f>
        <v>0</v>
      </c>
      <c r="E728">
        <f>[2]TongHop!E728</f>
        <v>0</v>
      </c>
      <c r="F728">
        <f>[2]TongHop!F728</f>
        <v>0</v>
      </c>
      <c r="G728">
        <f>[2]TongHop!G728</f>
        <v>0</v>
      </c>
      <c r="H728">
        <f>[2]TongHop!H728</f>
        <v>0</v>
      </c>
      <c r="I728">
        <f>[2]TongHop!I728</f>
        <v>0</v>
      </c>
      <c r="J728">
        <f>[2]TongHop!J728</f>
        <v>0</v>
      </c>
      <c r="K728">
        <f>[2]TongHop!K728</f>
        <v>0</v>
      </c>
      <c r="L728">
        <f>[2]TongHop!L728</f>
        <v>0</v>
      </c>
      <c r="M728">
        <f>[2]TongHop!M728</f>
        <v>0</v>
      </c>
      <c r="N728">
        <f>[2]TongHop!N728</f>
        <v>0</v>
      </c>
    </row>
    <row r="729" spans="1:14">
      <c r="A729">
        <f>[2]TongHop!A729</f>
        <v>0</v>
      </c>
      <c r="B729">
        <f>[2]TongHop!B729</f>
        <v>0</v>
      </c>
      <c r="C729">
        <f>[2]TongHop!C729</f>
        <v>0</v>
      </c>
      <c r="D729">
        <f>[2]TongHop!D729</f>
        <v>0</v>
      </c>
      <c r="E729">
        <f>[2]TongHop!E729</f>
        <v>0</v>
      </c>
      <c r="F729">
        <f>[2]TongHop!F729</f>
        <v>0</v>
      </c>
      <c r="G729">
        <f>[2]TongHop!G729</f>
        <v>0</v>
      </c>
      <c r="H729">
        <f>[2]TongHop!H729</f>
        <v>0</v>
      </c>
      <c r="I729">
        <f>[2]TongHop!I729</f>
        <v>0</v>
      </c>
      <c r="J729">
        <f>[2]TongHop!J729</f>
        <v>0</v>
      </c>
      <c r="K729">
        <f>[2]TongHop!K729</f>
        <v>0</v>
      </c>
      <c r="L729">
        <f>[2]TongHop!L729</f>
        <v>0</v>
      </c>
      <c r="M729">
        <f>[2]TongHop!M729</f>
        <v>0</v>
      </c>
      <c r="N729">
        <f>[2]TongHop!N729</f>
        <v>0</v>
      </c>
    </row>
    <row r="730" spans="1:14">
      <c r="A730">
        <f>[2]TongHop!A730</f>
        <v>0</v>
      </c>
      <c r="B730">
        <f>[2]TongHop!B730</f>
        <v>0</v>
      </c>
      <c r="C730">
        <f>[2]TongHop!C730</f>
        <v>0</v>
      </c>
      <c r="D730">
        <f>[2]TongHop!D730</f>
        <v>0</v>
      </c>
      <c r="E730">
        <f>[2]TongHop!E730</f>
        <v>0</v>
      </c>
      <c r="F730">
        <f>[2]TongHop!F730</f>
        <v>0</v>
      </c>
      <c r="G730">
        <f>[2]TongHop!G730</f>
        <v>0</v>
      </c>
      <c r="H730">
        <f>[2]TongHop!H730</f>
        <v>0</v>
      </c>
      <c r="I730">
        <f>[2]TongHop!I730</f>
        <v>0</v>
      </c>
      <c r="J730">
        <f>[2]TongHop!J730</f>
        <v>0</v>
      </c>
      <c r="K730">
        <f>[2]TongHop!K730</f>
        <v>0</v>
      </c>
      <c r="L730">
        <f>[2]TongHop!L730</f>
        <v>0</v>
      </c>
      <c r="M730">
        <f>[2]TongHop!M730</f>
        <v>0</v>
      </c>
      <c r="N730">
        <f>[2]TongHop!N730</f>
        <v>0</v>
      </c>
    </row>
    <row r="731" spans="1:14">
      <c r="A731">
        <f>[2]TongHop!A731</f>
        <v>0</v>
      </c>
      <c r="B731">
        <f>[2]TongHop!B731</f>
        <v>0</v>
      </c>
      <c r="C731">
        <f>[2]TongHop!C731</f>
        <v>0</v>
      </c>
      <c r="D731">
        <f>[2]TongHop!D731</f>
        <v>0</v>
      </c>
      <c r="E731">
        <f>[2]TongHop!E731</f>
        <v>0</v>
      </c>
      <c r="F731">
        <f>[2]TongHop!F731</f>
        <v>0</v>
      </c>
      <c r="G731">
        <f>[2]TongHop!G731</f>
        <v>0</v>
      </c>
      <c r="H731">
        <f>[2]TongHop!H731</f>
        <v>0</v>
      </c>
      <c r="I731">
        <f>[2]TongHop!I731</f>
        <v>0</v>
      </c>
      <c r="J731">
        <f>[2]TongHop!J731</f>
        <v>0</v>
      </c>
      <c r="K731">
        <f>[2]TongHop!K731</f>
        <v>0</v>
      </c>
      <c r="L731">
        <f>[2]TongHop!L731</f>
        <v>0</v>
      </c>
      <c r="M731">
        <f>[2]TongHop!M731</f>
        <v>0</v>
      </c>
      <c r="N731">
        <f>[2]TongHop!N731</f>
        <v>0</v>
      </c>
    </row>
    <row r="732" spans="1:14">
      <c r="A732">
        <f>[2]TongHop!A732</f>
        <v>0</v>
      </c>
      <c r="B732">
        <f>[2]TongHop!B732</f>
        <v>0</v>
      </c>
      <c r="C732">
        <f>[2]TongHop!C732</f>
        <v>0</v>
      </c>
      <c r="D732">
        <f>[2]TongHop!D732</f>
        <v>0</v>
      </c>
      <c r="E732">
        <f>[2]TongHop!E732</f>
        <v>0</v>
      </c>
      <c r="F732">
        <f>[2]TongHop!F732</f>
        <v>0</v>
      </c>
      <c r="G732">
        <f>[2]TongHop!G732</f>
        <v>0</v>
      </c>
      <c r="H732">
        <f>[2]TongHop!H732</f>
        <v>0</v>
      </c>
      <c r="I732">
        <f>[2]TongHop!I732</f>
        <v>0</v>
      </c>
      <c r="J732">
        <f>[2]TongHop!J732</f>
        <v>0</v>
      </c>
      <c r="K732">
        <f>[2]TongHop!K732</f>
        <v>0</v>
      </c>
      <c r="L732">
        <f>[2]TongHop!L732</f>
        <v>0</v>
      </c>
      <c r="M732">
        <f>[2]TongHop!M732</f>
        <v>0</v>
      </c>
      <c r="N732">
        <f>[2]TongHop!N732</f>
        <v>0</v>
      </c>
    </row>
    <row r="733" spans="1:14">
      <c r="A733">
        <f>[2]TongHop!A733</f>
        <v>0</v>
      </c>
      <c r="B733">
        <f>[2]TongHop!B733</f>
        <v>0</v>
      </c>
      <c r="C733">
        <f>[2]TongHop!C733</f>
        <v>0</v>
      </c>
      <c r="D733">
        <f>[2]TongHop!D733</f>
        <v>0</v>
      </c>
      <c r="E733">
        <f>[2]TongHop!E733</f>
        <v>0</v>
      </c>
      <c r="F733">
        <f>[2]TongHop!F733</f>
        <v>0</v>
      </c>
      <c r="G733">
        <f>[2]TongHop!G733</f>
        <v>0</v>
      </c>
      <c r="H733">
        <f>[2]TongHop!H733</f>
        <v>0</v>
      </c>
      <c r="I733">
        <f>[2]TongHop!I733</f>
        <v>0</v>
      </c>
      <c r="J733">
        <f>[2]TongHop!J733</f>
        <v>0</v>
      </c>
      <c r="K733">
        <f>[2]TongHop!K733</f>
        <v>0</v>
      </c>
      <c r="L733">
        <f>[2]TongHop!L733</f>
        <v>0</v>
      </c>
      <c r="M733">
        <f>[2]TongHop!M733</f>
        <v>0</v>
      </c>
      <c r="N733">
        <f>[2]TongHop!N733</f>
        <v>0</v>
      </c>
    </row>
    <row r="734" spans="1:14">
      <c r="A734">
        <f>[2]TongHop!A734</f>
        <v>0</v>
      </c>
      <c r="B734">
        <f>[2]TongHop!B734</f>
        <v>0</v>
      </c>
      <c r="C734">
        <f>[2]TongHop!C734</f>
        <v>0</v>
      </c>
      <c r="D734">
        <f>[2]TongHop!D734</f>
        <v>0</v>
      </c>
      <c r="E734">
        <f>[2]TongHop!E734</f>
        <v>0</v>
      </c>
      <c r="F734">
        <f>[2]TongHop!F734</f>
        <v>0</v>
      </c>
      <c r="G734">
        <f>[2]TongHop!G734</f>
        <v>0</v>
      </c>
      <c r="H734">
        <f>[2]TongHop!H734</f>
        <v>0</v>
      </c>
      <c r="I734">
        <f>[2]TongHop!I734</f>
        <v>0</v>
      </c>
      <c r="J734">
        <f>[2]TongHop!J734</f>
        <v>0</v>
      </c>
      <c r="K734">
        <f>[2]TongHop!K734</f>
        <v>0</v>
      </c>
      <c r="L734">
        <f>[2]TongHop!L734</f>
        <v>0</v>
      </c>
      <c r="M734">
        <f>[2]TongHop!M734</f>
        <v>0</v>
      </c>
      <c r="N734">
        <f>[2]TongHop!N734</f>
        <v>0</v>
      </c>
    </row>
    <row r="735" spans="1:14">
      <c r="A735">
        <f>[2]TongHop!A735</f>
        <v>0</v>
      </c>
      <c r="B735">
        <f>[2]TongHop!B735</f>
        <v>0</v>
      </c>
      <c r="C735">
        <f>[2]TongHop!C735</f>
        <v>0</v>
      </c>
      <c r="D735">
        <f>[2]TongHop!D735</f>
        <v>0</v>
      </c>
      <c r="E735">
        <f>[2]TongHop!E735</f>
        <v>0</v>
      </c>
      <c r="F735">
        <f>[2]TongHop!F735</f>
        <v>0</v>
      </c>
      <c r="G735">
        <f>[2]TongHop!G735</f>
        <v>0</v>
      </c>
      <c r="H735">
        <f>[2]TongHop!H735</f>
        <v>0</v>
      </c>
      <c r="I735">
        <f>[2]TongHop!I735</f>
        <v>0</v>
      </c>
      <c r="J735">
        <f>[2]TongHop!J735</f>
        <v>0</v>
      </c>
      <c r="K735">
        <f>[2]TongHop!K735</f>
        <v>0</v>
      </c>
      <c r="L735">
        <f>[2]TongHop!L735</f>
        <v>0</v>
      </c>
      <c r="M735">
        <f>[2]TongHop!M735</f>
        <v>0</v>
      </c>
      <c r="N735">
        <f>[2]TongHop!N735</f>
        <v>0</v>
      </c>
    </row>
    <row r="736" spans="1:14">
      <c r="A736">
        <f>[2]TongHop!A736</f>
        <v>0</v>
      </c>
      <c r="B736">
        <f>[2]TongHop!B736</f>
        <v>0</v>
      </c>
      <c r="C736">
        <f>[2]TongHop!C736</f>
        <v>0</v>
      </c>
      <c r="D736">
        <f>[2]TongHop!D736</f>
        <v>0</v>
      </c>
      <c r="E736">
        <f>[2]TongHop!E736</f>
        <v>0</v>
      </c>
      <c r="F736">
        <f>[2]TongHop!F736</f>
        <v>0</v>
      </c>
      <c r="G736">
        <f>[2]TongHop!G736</f>
        <v>0</v>
      </c>
      <c r="H736">
        <f>[2]TongHop!H736</f>
        <v>0</v>
      </c>
      <c r="I736">
        <f>[2]TongHop!I736</f>
        <v>0</v>
      </c>
      <c r="J736">
        <f>[2]TongHop!J736</f>
        <v>0</v>
      </c>
      <c r="K736">
        <f>[2]TongHop!K736</f>
        <v>0</v>
      </c>
      <c r="L736">
        <f>[2]TongHop!L736</f>
        <v>0</v>
      </c>
      <c r="M736">
        <f>[2]TongHop!M736</f>
        <v>0</v>
      </c>
      <c r="N736">
        <f>[2]TongHop!N736</f>
        <v>0</v>
      </c>
    </row>
    <row r="737" spans="1:14">
      <c r="A737">
        <f>[2]TongHop!A737</f>
        <v>0</v>
      </c>
      <c r="B737">
        <f>[2]TongHop!B737</f>
        <v>0</v>
      </c>
      <c r="C737">
        <f>[2]TongHop!C737</f>
        <v>0</v>
      </c>
      <c r="D737">
        <f>[2]TongHop!D737</f>
        <v>0</v>
      </c>
      <c r="E737">
        <f>[2]TongHop!E737</f>
        <v>0</v>
      </c>
      <c r="F737">
        <f>[2]TongHop!F737</f>
        <v>0</v>
      </c>
      <c r="G737">
        <f>[2]TongHop!G737</f>
        <v>0</v>
      </c>
      <c r="H737">
        <f>[2]TongHop!H737</f>
        <v>0</v>
      </c>
      <c r="I737">
        <f>[2]TongHop!I737</f>
        <v>0</v>
      </c>
      <c r="J737">
        <f>[2]TongHop!J737</f>
        <v>0</v>
      </c>
      <c r="K737">
        <f>[2]TongHop!K737</f>
        <v>0</v>
      </c>
      <c r="L737">
        <f>[2]TongHop!L737</f>
        <v>0</v>
      </c>
      <c r="M737">
        <f>[2]TongHop!M737</f>
        <v>0</v>
      </c>
      <c r="N737">
        <f>[2]TongHop!N737</f>
        <v>0</v>
      </c>
    </row>
    <row r="738" spans="1:14">
      <c r="A738">
        <f>[2]TongHop!A738</f>
        <v>0</v>
      </c>
      <c r="B738">
        <f>[2]TongHop!B738</f>
        <v>0</v>
      </c>
      <c r="C738">
        <f>[2]TongHop!C738</f>
        <v>0</v>
      </c>
      <c r="D738">
        <f>[2]TongHop!D738</f>
        <v>0</v>
      </c>
      <c r="E738">
        <f>[2]TongHop!E738</f>
        <v>0</v>
      </c>
      <c r="F738">
        <f>[2]TongHop!F738</f>
        <v>0</v>
      </c>
      <c r="G738">
        <f>[2]TongHop!G738</f>
        <v>0</v>
      </c>
      <c r="H738">
        <f>[2]TongHop!H738</f>
        <v>0</v>
      </c>
      <c r="I738">
        <f>[2]TongHop!I738</f>
        <v>0</v>
      </c>
      <c r="J738">
        <f>[2]TongHop!J738</f>
        <v>0</v>
      </c>
      <c r="K738">
        <f>[2]TongHop!K738</f>
        <v>0</v>
      </c>
      <c r="L738">
        <f>[2]TongHop!L738</f>
        <v>0</v>
      </c>
      <c r="M738">
        <f>[2]TongHop!M738</f>
        <v>0</v>
      </c>
      <c r="N738">
        <f>[2]TongHop!N738</f>
        <v>0</v>
      </c>
    </row>
    <row r="739" spans="1:14">
      <c r="A739">
        <f>[2]TongHop!A739</f>
        <v>0</v>
      </c>
      <c r="B739">
        <f>[2]TongHop!B739</f>
        <v>0</v>
      </c>
      <c r="C739">
        <f>[2]TongHop!C739</f>
        <v>0</v>
      </c>
      <c r="D739">
        <f>[2]TongHop!D739</f>
        <v>0</v>
      </c>
      <c r="E739">
        <f>[2]TongHop!E739</f>
        <v>0</v>
      </c>
      <c r="F739">
        <f>[2]TongHop!F739</f>
        <v>0</v>
      </c>
      <c r="G739">
        <f>[2]TongHop!G739</f>
        <v>0</v>
      </c>
      <c r="H739">
        <f>[2]TongHop!H739</f>
        <v>0</v>
      </c>
      <c r="I739">
        <f>[2]TongHop!I739</f>
        <v>0</v>
      </c>
      <c r="J739">
        <f>[2]TongHop!J739</f>
        <v>0</v>
      </c>
      <c r="K739">
        <f>[2]TongHop!K739</f>
        <v>0</v>
      </c>
      <c r="L739">
        <f>[2]TongHop!L739</f>
        <v>0</v>
      </c>
      <c r="M739">
        <f>[2]TongHop!M739</f>
        <v>0</v>
      </c>
      <c r="N739">
        <f>[2]TongHop!N739</f>
        <v>0</v>
      </c>
    </row>
    <row r="740" spans="1:14">
      <c r="A740">
        <f>[2]TongHop!A740</f>
        <v>0</v>
      </c>
      <c r="B740">
        <f>[2]TongHop!B740</f>
        <v>0</v>
      </c>
      <c r="C740">
        <f>[2]TongHop!C740</f>
        <v>0</v>
      </c>
      <c r="D740">
        <f>[2]TongHop!D740</f>
        <v>0</v>
      </c>
      <c r="E740">
        <f>[2]TongHop!E740</f>
        <v>0</v>
      </c>
      <c r="F740">
        <f>[2]TongHop!F740</f>
        <v>0</v>
      </c>
      <c r="G740">
        <f>[2]TongHop!G740</f>
        <v>0</v>
      </c>
      <c r="H740">
        <f>[2]TongHop!H740</f>
        <v>0</v>
      </c>
      <c r="I740">
        <f>[2]TongHop!I740</f>
        <v>0</v>
      </c>
      <c r="J740">
        <f>[2]TongHop!J740</f>
        <v>0</v>
      </c>
      <c r="K740">
        <f>[2]TongHop!K740</f>
        <v>0</v>
      </c>
      <c r="L740">
        <f>[2]TongHop!L740</f>
        <v>0</v>
      </c>
      <c r="M740">
        <f>[2]TongHop!M740</f>
        <v>0</v>
      </c>
      <c r="N740">
        <f>[2]TongHop!N740</f>
        <v>0</v>
      </c>
    </row>
    <row r="741" spans="1:14">
      <c r="A741">
        <f>[2]TongHop!A741</f>
        <v>0</v>
      </c>
      <c r="B741">
        <f>[2]TongHop!B741</f>
        <v>0</v>
      </c>
      <c r="C741">
        <f>[2]TongHop!C741</f>
        <v>0</v>
      </c>
      <c r="D741">
        <f>[2]TongHop!D741</f>
        <v>0</v>
      </c>
      <c r="E741">
        <f>[2]TongHop!E741</f>
        <v>0</v>
      </c>
      <c r="F741">
        <f>[2]TongHop!F741</f>
        <v>0</v>
      </c>
      <c r="G741">
        <f>[2]TongHop!G741</f>
        <v>0</v>
      </c>
      <c r="H741">
        <f>[2]TongHop!H741</f>
        <v>0</v>
      </c>
      <c r="I741">
        <f>[2]TongHop!I741</f>
        <v>0</v>
      </c>
      <c r="J741">
        <f>[2]TongHop!J741</f>
        <v>0</v>
      </c>
      <c r="K741">
        <f>[2]TongHop!K741</f>
        <v>0</v>
      </c>
      <c r="L741">
        <f>[2]TongHop!L741</f>
        <v>0</v>
      </c>
      <c r="M741">
        <f>[2]TongHop!M741</f>
        <v>0</v>
      </c>
      <c r="N741">
        <f>[2]TongHop!N741</f>
        <v>0</v>
      </c>
    </row>
    <row r="742" spans="1:14">
      <c r="A742">
        <f>[2]TongHop!A742</f>
        <v>0</v>
      </c>
      <c r="B742">
        <f>[2]TongHop!B742</f>
        <v>0</v>
      </c>
      <c r="C742">
        <f>[2]TongHop!C742</f>
        <v>0</v>
      </c>
      <c r="D742">
        <f>[2]TongHop!D742</f>
        <v>0</v>
      </c>
      <c r="E742">
        <f>[2]TongHop!E742</f>
        <v>0</v>
      </c>
      <c r="F742">
        <f>[2]TongHop!F742</f>
        <v>0</v>
      </c>
      <c r="G742">
        <f>[2]TongHop!G742</f>
        <v>0</v>
      </c>
      <c r="H742">
        <f>[2]TongHop!H742</f>
        <v>0</v>
      </c>
      <c r="I742">
        <f>[2]TongHop!I742</f>
        <v>0</v>
      </c>
      <c r="J742">
        <f>[2]TongHop!J742</f>
        <v>0</v>
      </c>
      <c r="K742">
        <f>[2]TongHop!K742</f>
        <v>0</v>
      </c>
      <c r="L742">
        <f>[2]TongHop!L742</f>
        <v>0</v>
      </c>
      <c r="M742">
        <f>[2]TongHop!M742</f>
        <v>0</v>
      </c>
      <c r="N742">
        <f>[2]TongHop!N742</f>
        <v>0</v>
      </c>
    </row>
    <row r="743" spans="1:14">
      <c r="A743">
        <f>[2]TongHop!A743</f>
        <v>0</v>
      </c>
      <c r="B743">
        <f>[2]TongHop!B743</f>
        <v>0</v>
      </c>
      <c r="C743">
        <f>[2]TongHop!C743</f>
        <v>0</v>
      </c>
      <c r="D743">
        <f>[2]TongHop!D743</f>
        <v>0</v>
      </c>
      <c r="E743">
        <f>[2]TongHop!E743</f>
        <v>0</v>
      </c>
      <c r="F743">
        <f>[2]TongHop!F743</f>
        <v>0</v>
      </c>
      <c r="G743">
        <f>[2]TongHop!G743</f>
        <v>0</v>
      </c>
      <c r="H743">
        <f>[2]TongHop!H743</f>
        <v>0</v>
      </c>
      <c r="I743">
        <f>[2]TongHop!I743</f>
        <v>0</v>
      </c>
      <c r="J743">
        <f>[2]TongHop!J743</f>
        <v>0</v>
      </c>
      <c r="K743">
        <f>[2]TongHop!K743</f>
        <v>0</v>
      </c>
      <c r="L743">
        <f>[2]TongHop!L743</f>
        <v>0</v>
      </c>
      <c r="M743">
        <f>[2]TongHop!M743</f>
        <v>0</v>
      </c>
      <c r="N743">
        <f>[2]TongHop!N743</f>
        <v>0</v>
      </c>
    </row>
    <row r="744" spans="1:14">
      <c r="A744">
        <f>[2]TongHop!A744</f>
        <v>0</v>
      </c>
      <c r="B744">
        <f>[2]TongHop!B744</f>
        <v>0</v>
      </c>
      <c r="C744">
        <f>[2]TongHop!C744</f>
        <v>0</v>
      </c>
      <c r="D744">
        <f>[2]TongHop!D744</f>
        <v>0</v>
      </c>
      <c r="E744">
        <f>[2]TongHop!E744</f>
        <v>0</v>
      </c>
      <c r="F744">
        <f>[2]TongHop!F744</f>
        <v>0</v>
      </c>
      <c r="G744">
        <f>[2]TongHop!G744</f>
        <v>0</v>
      </c>
      <c r="H744">
        <f>[2]TongHop!H744</f>
        <v>0</v>
      </c>
      <c r="I744">
        <f>[2]TongHop!I744</f>
        <v>0</v>
      </c>
      <c r="J744">
        <f>[2]TongHop!J744</f>
        <v>0</v>
      </c>
      <c r="K744">
        <f>[2]TongHop!K744</f>
        <v>0</v>
      </c>
      <c r="L744">
        <f>[2]TongHop!L744</f>
        <v>0</v>
      </c>
      <c r="M744">
        <f>[2]TongHop!M744</f>
        <v>0</v>
      </c>
      <c r="N744">
        <f>[2]TongHop!N744</f>
        <v>0</v>
      </c>
    </row>
    <row r="745" spans="1:14">
      <c r="A745">
        <f>[2]TongHop!A745</f>
        <v>0</v>
      </c>
      <c r="B745">
        <f>[2]TongHop!B745</f>
        <v>0</v>
      </c>
      <c r="C745">
        <f>[2]TongHop!C745</f>
        <v>0</v>
      </c>
      <c r="D745">
        <f>[2]TongHop!D745</f>
        <v>0</v>
      </c>
      <c r="E745">
        <f>[2]TongHop!E745</f>
        <v>0</v>
      </c>
      <c r="F745">
        <f>[2]TongHop!F745</f>
        <v>0</v>
      </c>
      <c r="G745">
        <f>[2]TongHop!G745</f>
        <v>0</v>
      </c>
      <c r="H745">
        <f>[2]TongHop!H745</f>
        <v>0</v>
      </c>
      <c r="I745">
        <f>[2]TongHop!I745</f>
        <v>0</v>
      </c>
      <c r="J745">
        <f>[2]TongHop!J745</f>
        <v>0</v>
      </c>
      <c r="K745">
        <f>[2]TongHop!K745</f>
        <v>0</v>
      </c>
      <c r="L745">
        <f>[2]TongHop!L745</f>
        <v>0</v>
      </c>
      <c r="M745">
        <f>[2]TongHop!M745</f>
        <v>0</v>
      </c>
      <c r="N745">
        <f>[2]TongHop!N745</f>
        <v>0</v>
      </c>
    </row>
    <row r="746" spans="1:14">
      <c r="A746">
        <f>[2]TongHop!A746</f>
        <v>0</v>
      </c>
      <c r="B746">
        <f>[2]TongHop!B746</f>
        <v>0</v>
      </c>
      <c r="C746">
        <f>[2]TongHop!C746</f>
        <v>0</v>
      </c>
      <c r="D746">
        <f>[2]TongHop!D746</f>
        <v>0</v>
      </c>
      <c r="E746">
        <f>[2]TongHop!E746</f>
        <v>0</v>
      </c>
      <c r="F746">
        <f>[2]TongHop!F746</f>
        <v>0</v>
      </c>
      <c r="G746">
        <f>[2]TongHop!G746</f>
        <v>0</v>
      </c>
      <c r="H746">
        <f>[2]TongHop!H746</f>
        <v>0</v>
      </c>
      <c r="I746">
        <f>[2]TongHop!I746</f>
        <v>0</v>
      </c>
      <c r="J746">
        <f>[2]TongHop!J746</f>
        <v>0</v>
      </c>
      <c r="K746">
        <f>[2]TongHop!K746</f>
        <v>0</v>
      </c>
      <c r="L746">
        <f>[2]TongHop!L746</f>
        <v>0</v>
      </c>
      <c r="M746">
        <f>[2]TongHop!M746</f>
        <v>0</v>
      </c>
      <c r="N746">
        <f>[2]TongHop!N746</f>
        <v>0</v>
      </c>
    </row>
    <row r="747" spans="1:14">
      <c r="A747">
        <f>[2]TongHop!A747</f>
        <v>0</v>
      </c>
      <c r="B747">
        <f>[2]TongHop!B747</f>
        <v>0</v>
      </c>
      <c r="C747">
        <f>[2]TongHop!C747</f>
        <v>0</v>
      </c>
      <c r="D747">
        <f>[2]TongHop!D747</f>
        <v>0</v>
      </c>
      <c r="E747">
        <f>[2]TongHop!E747</f>
        <v>0</v>
      </c>
      <c r="F747">
        <f>[2]TongHop!F747</f>
        <v>0</v>
      </c>
      <c r="G747">
        <f>[2]TongHop!G747</f>
        <v>0</v>
      </c>
      <c r="H747">
        <f>[2]TongHop!H747</f>
        <v>0</v>
      </c>
      <c r="I747">
        <f>[2]TongHop!I747</f>
        <v>0</v>
      </c>
      <c r="J747">
        <f>[2]TongHop!J747</f>
        <v>0</v>
      </c>
      <c r="K747">
        <f>[2]TongHop!K747</f>
        <v>0</v>
      </c>
      <c r="L747">
        <f>[2]TongHop!L747</f>
        <v>0</v>
      </c>
      <c r="M747">
        <f>[2]TongHop!M747</f>
        <v>0</v>
      </c>
      <c r="N747">
        <f>[2]TongHop!N747</f>
        <v>0</v>
      </c>
    </row>
    <row r="748" spans="1:14">
      <c r="A748">
        <f>[2]TongHop!A748</f>
        <v>0</v>
      </c>
      <c r="B748">
        <f>[2]TongHop!B748</f>
        <v>0</v>
      </c>
      <c r="C748">
        <f>[2]TongHop!C748</f>
        <v>0</v>
      </c>
      <c r="D748">
        <f>[2]TongHop!D748</f>
        <v>0</v>
      </c>
      <c r="E748">
        <f>[2]TongHop!E748</f>
        <v>0</v>
      </c>
      <c r="F748">
        <f>[2]TongHop!F748</f>
        <v>0</v>
      </c>
      <c r="G748">
        <f>[2]TongHop!G748</f>
        <v>0</v>
      </c>
      <c r="H748">
        <f>[2]TongHop!H748</f>
        <v>0</v>
      </c>
      <c r="I748">
        <f>[2]TongHop!I748</f>
        <v>0</v>
      </c>
      <c r="J748">
        <f>[2]TongHop!J748</f>
        <v>0</v>
      </c>
      <c r="K748">
        <f>[2]TongHop!K748</f>
        <v>0</v>
      </c>
      <c r="L748">
        <f>[2]TongHop!L748</f>
        <v>0</v>
      </c>
      <c r="M748">
        <f>[2]TongHop!M748</f>
        <v>0</v>
      </c>
      <c r="N748">
        <f>[2]TongHop!N748</f>
        <v>0</v>
      </c>
    </row>
    <row r="749" spans="1:14">
      <c r="A749">
        <f>[2]TongHop!A749</f>
        <v>0</v>
      </c>
      <c r="B749">
        <f>[2]TongHop!B749</f>
        <v>0</v>
      </c>
      <c r="C749">
        <f>[2]TongHop!C749</f>
        <v>0</v>
      </c>
      <c r="D749">
        <f>[2]TongHop!D749</f>
        <v>0</v>
      </c>
      <c r="E749">
        <f>[2]TongHop!E749</f>
        <v>0</v>
      </c>
      <c r="F749">
        <f>[2]TongHop!F749</f>
        <v>0</v>
      </c>
      <c r="G749">
        <f>[2]TongHop!G749</f>
        <v>0</v>
      </c>
      <c r="H749">
        <f>[2]TongHop!H749</f>
        <v>0</v>
      </c>
      <c r="I749">
        <f>[2]TongHop!I749</f>
        <v>0</v>
      </c>
      <c r="J749">
        <f>[2]TongHop!J749</f>
        <v>0</v>
      </c>
      <c r="K749">
        <f>[2]TongHop!K749</f>
        <v>0</v>
      </c>
      <c r="L749">
        <f>[2]TongHop!L749</f>
        <v>0</v>
      </c>
      <c r="M749">
        <f>[2]TongHop!M749</f>
        <v>0</v>
      </c>
      <c r="N749">
        <f>[2]TongHop!N749</f>
        <v>0</v>
      </c>
    </row>
    <row r="750" spans="1:14">
      <c r="A750">
        <f>[2]TongHop!A750</f>
        <v>0</v>
      </c>
      <c r="B750">
        <f>[2]TongHop!B750</f>
        <v>0</v>
      </c>
      <c r="C750">
        <f>[2]TongHop!C750</f>
        <v>0</v>
      </c>
      <c r="D750">
        <f>[2]TongHop!D750</f>
        <v>0</v>
      </c>
      <c r="E750">
        <f>[2]TongHop!E750</f>
        <v>0</v>
      </c>
      <c r="F750">
        <f>[2]TongHop!F750</f>
        <v>0</v>
      </c>
      <c r="G750">
        <f>[2]TongHop!G750</f>
        <v>0</v>
      </c>
      <c r="H750">
        <f>[2]TongHop!H750</f>
        <v>0</v>
      </c>
      <c r="I750">
        <f>[2]TongHop!I750</f>
        <v>0</v>
      </c>
      <c r="J750">
        <f>[2]TongHop!J750</f>
        <v>0</v>
      </c>
      <c r="K750">
        <f>[2]TongHop!K750</f>
        <v>0</v>
      </c>
      <c r="L750">
        <f>[2]TongHop!L750</f>
        <v>0</v>
      </c>
      <c r="M750">
        <f>[2]TongHop!M750</f>
        <v>0</v>
      </c>
      <c r="N750">
        <f>[2]TongHop!N750</f>
        <v>0</v>
      </c>
    </row>
    <row r="751" spans="1:14">
      <c r="A751">
        <f>[2]TongHop!A751</f>
        <v>0</v>
      </c>
      <c r="B751">
        <f>[2]TongHop!B751</f>
        <v>0</v>
      </c>
      <c r="C751">
        <f>[2]TongHop!C751</f>
        <v>0</v>
      </c>
      <c r="D751">
        <f>[2]TongHop!D751</f>
        <v>0</v>
      </c>
      <c r="E751">
        <f>[2]TongHop!E751</f>
        <v>0</v>
      </c>
      <c r="F751">
        <f>[2]TongHop!F751</f>
        <v>0</v>
      </c>
      <c r="G751">
        <f>[2]TongHop!G751</f>
        <v>0</v>
      </c>
      <c r="H751">
        <f>[2]TongHop!H751</f>
        <v>0</v>
      </c>
      <c r="I751">
        <f>[2]TongHop!I751</f>
        <v>0</v>
      </c>
      <c r="J751">
        <f>[2]TongHop!J751</f>
        <v>0</v>
      </c>
      <c r="K751">
        <f>[2]TongHop!K751</f>
        <v>0</v>
      </c>
      <c r="L751">
        <f>[2]TongHop!L751</f>
        <v>0</v>
      </c>
      <c r="M751">
        <f>[2]TongHop!M751</f>
        <v>0</v>
      </c>
      <c r="N751">
        <f>[2]TongHop!N751</f>
        <v>0</v>
      </c>
    </row>
    <row r="752" spans="1:14">
      <c r="A752">
        <f>[2]TongHop!A752</f>
        <v>0</v>
      </c>
      <c r="B752">
        <f>[2]TongHop!B752</f>
        <v>0</v>
      </c>
      <c r="C752">
        <f>[2]TongHop!C752</f>
        <v>0</v>
      </c>
      <c r="D752">
        <f>[2]TongHop!D752</f>
        <v>0</v>
      </c>
      <c r="E752">
        <f>[2]TongHop!E752</f>
        <v>0</v>
      </c>
      <c r="F752">
        <f>[2]TongHop!F752</f>
        <v>0</v>
      </c>
      <c r="G752">
        <f>[2]TongHop!G752</f>
        <v>0</v>
      </c>
      <c r="H752">
        <f>[2]TongHop!H752</f>
        <v>0</v>
      </c>
      <c r="I752">
        <f>[2]TongHop!I752</f>
        <v>0</v>
      </c>
      <c r="J752">
        <f>[2]TongHop!J752</f>
        <v>0</v>
      </c>
      <c r="K752">
        <f>[2]TongHop!K752</f>
        <v>0</v>
      </c>
      <c r="L752">
        <f>[2]TongHop!L752</f>
        <v>0</v>
      </c>
      <c r="M752">
        <f>[2]TongHop!M752</f>
        <v>0</v>
      </c>
      <c r="N752">
        <f>[2]TongHop!N752</f>
        <v>0</v>
      </c>
    </row>
    <row r="753" spans="1:14">
      <c r="A753">
        <f>[2]TongHop!A753</f>
        <v>0</v>
      </c>
      <c r="B753">
        <f>[2]TongHop!B753</f>
        <v>0</v>
      </c>
      <c r="C753">
        <f>[2]TongHop!C753</f>
        <v>0</v>
      </c>
      <c r="D753">
        <f>[2]TongHop!D753</f>
        <v>0</v>
      </c>
      <c r="E753">
        <f>[2]TongHop!E753</f>
        <v>0</v>
      </c>
      <c r="F753">
        <f>[2]TongHop!F753</f>
        <v>0</v>
      </c>
      <c r="G753">
        <f>[2]TongHop!G753</f>
        <v>0</v>
      </c>
      <c r="H753">
        <f>[2]TongHop!H753</f>
        <v>0</v>
      </c>
      <c r="I753">
        <f>[2]TongHop!I753</f>
        <v>0</v>
      </c>
      <c r="J753">
        <f>[2]TongHop!J753</f>
        <v>0</v>
      </c>
      <c r="K753">
        <f>[2]TongHop!K753</f>
        <v>0</v>
      </c>
      <c r="L753">
        <f>[2]TongHop!L753</f>
        <v>0</v>
      </c>
      <c r="M753">
        <f>[2]TongHop!M753</f>
        <v>0</v>
      </c>
      <c r="N753">
        <f>[2]TongHop!N753</f>
        <v>0</v>
      </c>
    </row>
    <row r="754" spans="1:14">
      <c r="A754">
        <f>[2]TongHop!A754</f>
        <v>0</v>
      </c>
      <c r="B754">
        <f>[2]TongHop!B754</f>
        <v>0</v>
      </c>
      <c r="C754">
        <f>[2]TongHop!C754</f>
        <v>0</v>
      </c>
      <c r="D754">
        <f>[2]TongHop!D754</f>
        <v>0</v>
      </c>
      <c r="E754">
        <f>[2]TongHop!E754</f>
        <v>0</v>
      </c>
      <c r="F754">
        <f>[2]TongHop!F754</f>
        <v>0</v>
      </c>
      <c r="G754">
        <f>[2]TongHop!G754</f>
        <v>0</v>
      </c>
      <c r="H754">
        <f>[2]TongHop!H754</f>
        <v>0</v>
      </c>
      <c r="I754">
        <f>[2]TongHop!I754</f>
        <v>0</v>
      </c>
      <c r="J754">
        <f>[2]TongHop!J754</f>
        <v>0</v>
      </c>
      <c r="K754">
        <f>[2]TongHop!K754</f>
        <v>0</v>
      </c>
      <c r="L754">
        <f>[2]TongHop!L754</f>
        <v>0</v>
      </c>
      <c r="M754">
        <f>[2]TongHop!M754</f>
        <v>0</v>
      </c>
      <c r="N754">
        <f>[2]TongHop!N754</f>
        <v>0</v>
      </c>
    </row>
    <row r="755" spans="1:14">
      <c r="A755">
        <f>[2]TongHop!A755</f>
        <v>0</v>
      </c>
      <c r="B755">
        <f>[2]TongHop!B755</f>
        <v>0</v>
      </c>
      <c r="C755">
        <f>[2]TongHop!C755</f>
        <v>0</v>
      </c>
      <c r="D755">
        <f>[2]TongHop!D755</f>
        <v>0</v>
      </c>
      <c r="E755">
        <f>[2]TongHop!E755</f>
        <v>0</v>
      </c>
      <c r="F755">
        <f>[2]TongHop!F755</f>
        <v>0</v>
      </c>
      <c r="G755">
        <f>[2]TongHop!G755</f>
        <v>0</v>
      </c>
      <c r="H755">
        <f>[2]TongHop!H755</f>
        <v>0</v>
      </c>
      <c r="I755">
        <f>[2]TongHop!I755</f>
        <v>0</v>
      </c>
      <c r="J755">
        <f>[2]TongHop!J755</f>
        <v>0</v>
      </c>
      <c r="K755">
        <f>[2]TongHop!K755</f>
        <v>0</v>
      </c>
      <c r="L755">
        <f>[2]TongHop!L755</f>
        <v>0</v>
      </c>
      <c r="M755">
        <f>[2]TongHop!M755</f>
        <v>0</v>
      </c>
      <c r="N755">
        <f>[2]TongHop!N755</f>
        <v>0</v>
      </c>
    </row>
    <row r="756" spans="1:14">
      <c r="A756">
        <f>[2]TongHop!A756</f>
        <v>0</v>
      </c>
      <c r="B756">
        <f>[2]TongHop!B756</f>
        <v>0</v>
      </c>
      <c r="C756">
        <f>[2]TongHop!C756</f>
        <v>0</v>
      </c>
      <c r="D756">
        <f>[2]TongHop!D756</f>
        <v>0</v>
      </c>
      <c r="E756">
        <f>[2]TongHop!E756</f>
        <v>0</v>
      </c>
      <c r="F756">
        <f>[2]TongHop!F756</f>
        <v>0</v>
      </c>
      <c r="G756">
        <f>[2]TongHop!G756</f>
        <v>0</v>
      </c>
      <c r="H756">
        <f>[2]TongHop!H756</f>
        <v>0</v>
      </c>
      <c r="I756">
        <f>[2]TongHop!I756</f>
        <v>0</v>
      </c>
      <c r="J756">
        <f>[2]TongHop!J756</f>
        <v>0</v>
      </c>
      <c r="K756">
        <f>[2]TongHop!K756</f>
        <v>0</v>
      </c>
      <c r="L756">
        <f>[2]TongHop!L756</f>
        <v>0</v>
      </c>
      <c r="M756">
        <f>[2]TongHop!M756</f>
        <v>0</v>
      </c>
      <c r="N756">
        <f>[2]TongHop!N756</f>
        <v>0</v>
      </c>
    </row>
    <row r="757" spans="1:14">
      <c r="A757">
        <f>[2]TongHop!A757</f>
        <v>0</v>
      </c>
      <c r="B757">
        <f>[2]TongHop!B757</f>
        <v>0</v>
      </c>
      <c r="C757">
        <f>[2]TongHop!C757</f>
        <v>0</v>
      </c>
      <c r="D757">
        <f>[2]TongHop!D757</f>
        <v>0</v>
      </c>
      <c r="E757">
        <f>[2]TongHop!E757</f>
        <v>0</v>
      </c>
      <c r="F757">
        <f>[2]TongHop!F757</f>
        <v>0</v>
      </c>
      <c r="G757">
        <f>[2]TongHop!G757</f>
        <v>0</v>
      </c>
      <c r="H757">
        <f>[2]TongHop!H757</f>
        <v>0</v>
      </c>
      <c r="I757">
        <f>[2]TongHop!I757</f>
        <v>0</v>
      </c>
      <c r="J757">
        <f>[2]TongHop!J757</f>
        <v>0</v>
      </c>
      <c r="K757">
        <f>[2]TongHop!K757</f>
        <v>0</v>
      </c>
      <c r="L757">
        <f>[2]TongHop!L757</f>
        <v>0</v>
      </c>
      <c r="M757">
        <f>[2]TongHop!M757</f>
        <v>0</v>
      </c>
      <c r="N757">
        <f>[2]TongHop!N757</f>
        <v>0</v>
      </c>
    </row>
    <row r="758" spans="1:14">
      <c r="A758">
        <f>[2]TongHop!A758</f>
        <v>0</v>
      </c>
      <c r="B758">
        <f>[2]TongHop!B758</f>
        <v>0</v>
      </c>
      <c r="C758">
        <f>[2]TongHop!C758</f>
        <v>0</v>
      </c>
      <c r="D758">
        <f>[2]TongHop!D758</f>
        <v>0</v>
      </c>
      <c r="E758">
        <f>[2]TongHop!E758</f>
        <v>0</v>
      </c>
      <c r="F758">
        <f>[2]TongHop!F758</f>
        <v>0</v>
      </c>
      <c r="G758">
        <f>[2]TongHop!G758</f>
        <v>0</v>
      </c>
      <c r="H758">
        <f>[2]TongHop!H758</f>
        <v>0</v>
      </c>
      <c r="I758">
        <f>[2]TongHop!I758</f>
        <v>0</v>
      </c>
      <c r="J758">
        <f>[2]TongHop!J758</f>
        <v>0</v>
      </c>
      <c r="K758">
        <f>[2]TongHop!K758</f>
        <v>0</v>
      </c>
      <c r="L758">
        <f>[2]TongHop!L758</f>
        <v>0</v>
      </c>
      <c r="M758">
        <f>[2]TongHop!M758</f>
        <v>0</v>
      </c>
      <c r="N758">
        <f>[2]TongHop!N758</f>
        <v>0</v>
      </c>
    </row>
    <row r="759" spans="1:14">
      <c r="A759">
        <f>[2]TongHop!A759</f>
        <v>0</v>
      </c>
      <c r="B759">
        <f>[2]TongHop!B759</f>
        <v>0</v>
      </c>
      <c r="C759">
        <f>[2]TongHop!C759</f>
        <v>0</v>
      </c>
      <c r="D759">
        <f>[2]TongHop!D759</f>
        <v>0</v>
      </c>
      <c r="E759">
        <f>[2]TongHop!E759</f>
        <v>0</v>
      </c>
      <c r="F759">
        <f>[2]TongHop!F759</f>
        <v>0</v>
      </c>
      <c r="G759">
        <f>[2]TongHop!G759</f>
        <v>0</v>
      </c>
      <c r="H759">
        <f>[2]TongHop!H759</f>
        <v>0</v>
      </c>
      <c r="I759">
        <f>[2]TongHop!I759</f>
        <v>0</v>
      </c>
      <c r="J759">
        <f>[2]TongHop!J759</f>
        <v>0</v>
      </c>
      <c r="K759">
        <f>[2]TongHop!K759</f>
        <v>0</v>
      </c>
      <c r="L759">
        <f>[2]TongHop!L759</f>
        <v>0</v>
      </c>
      <c r="M759">
        <f>[2]TongHop!M759</f>
        <v>0</v>
      </c>
      <c r="N759">
        <f>[2]TongHop!N759</f>
        <v>0</v>
      </c>
    </row>
    <row r="760" spans="1:14">
      <c r="A760">
        <f>[2]TongHop!A760</f>
        <v>0</v>
      </c>
      <c r="B760">
        <f>[2]TongHop!B760</f>
        <v>0</v>
      </c>
      <c r="C760">
        <f>[2]TongHop!C760</f>
        <v>0</v>
      </c>
      <c r="D760">
        <f>[2]TongHop!D760</f>
        <v>0</v>
      </c>
      <c r="E760">
        <f>[2]TongHop!E760</f>
        <v>0</v>
      </c>
      <c r="F760">
        <f>[2]TongHop!F760</f>
        <v>0</v>
      </c>
      <c r="G760">
        <f>[2]TongHop!G760</f>
        <v>0</v>
      </c>
      <c r="H760">
        <f>[2]TongHop!H760</f>
        <v>0</v>
      </c>
      <c r="I760">
        <f>[2]TongHop!I760</f>
        <v>0</v>
      </c>
      <c r="J760">
        <f>[2]TongHop!J760</f>
        <v>0</v>
      </c>
      <c r="K760">
        <f>[2]TongHop!K760</f>
        <v>0</v>
      </c>
      <c r="L760">
        <f>[2]TongHop!L760</f>
        <v>0</v>
      </c>
      <c r="M760">
        <f>[2]TongHop!M760</f>
        <v>0</v>
      </c>
      <c r="N760">
        <f>[2]TongHop!N760</f>
        <v>0</v>
      </c>
    </row>
    <row r="761" spans="1:14">
      <c r="A761">
        <f>[2]TongHop!A761</f>
        <v>0</v>
      </c>
      <c r="B761">
        <f>[2]TongHop!B761</f>
        <v>0</v>
      </c>
      <c r="C761">
        <f>[2]TongHop!C761</f>
        <v>0</v>
      </c>
      <c r="D761">
        <f>[2]TongHop!D761</f>
        <v>0</v>
      </c>
      <c r="E761">
        <f>[2]TongHop!E761</f>
        <v>0</v>
      </c>
      <c r="F761">
        <f>[2]TongHop!F761</f>
        <v>0</v>
      </c>
      <c r="G761">
        <f>[2]TongHop!G761</f>
        <v>0</v>
      </c>
      <c r="H761">
        <f>[2]TongHop!H761</f>
        <v>0</v>
      </c>
      <c r="I761">
        <f>[2]TongHop!I761</f>
        <v>0</v>
      </c>
      <c r="J761">
        <f>[2]TongHop!J761</f>
        <v>0</v>
      </c>
      <c r="K761">
        <f>[2]TongHop!K761</f>
        <v>0</v>
      </c>
      <c r="L761">
        <f>[2]TongHop!L761</f>
        <v>0</v>
      </c>
      <c r="M761">
        <f>[2]TongHop!M761</f>
        <v>0</v>
      </c>
      <c r="N761">
        <f>[2]TongHop!N761</f>
        <v>0</v>
      </c>
    </row>
    <row r="762" spans="1:14">
      <c r="A762">
        <f>[2]TongHop!A762</f>
        <v>0</v>
      </c>
      <c r="B762">
        <f>[2]TongHop!B762</f>
        <v>0</v>
      </c>
      <c r="C762">
        <f>[2]TongHop!C762</f>
        <v>0</v>
      </c>
      <c r="D762">
        <f>[2]TongHop!D762</f>
        <v>0</v>
      </c>
      <c r="E762">
        <f>[2]TongHop!E762</f>
        <v>0</v>
      </c>
      <c r="F762">
        <f>[2]TongHop!F762</f>
        <v>0</v>
      </c>
      <c r="G762">
        <f>[2]TongHop!G762</f>
        <v>0</v>
      </c>
      <c r="H762">
        <f>[2]TongHop!H762</f>
        <v>0</v>
      </c>
      <c r="I762">
        <f>[2]TongHop!I762</f>
        <v>0</v>
      </c>
      <c r="J762">
        <f>[2]TongHop!J762</f>
        <v>0</v>
      </c>
      <c r="K762">
        <f>[2]TongHop!K762</f>
        <v>0</v>
      </c>
      <c r="L762">
        <f>[2]TongHop!L762</f>
        <v>0</v>
      </c>
      <c r="M762">
        <f>[2]TongHop!M762</f>
        <v>0</v>
      </c>
      <c r="N762">
        <f>[2]TongHop!N762</f>
        <v>0</v>
      </c>
    </row>
    <row r="763" spans="1:14">
      <c r="A763">
        <f>[2]TongHop!A763</f>
        <v>0</v>
      </c>
      <c r="B763">
        <f>[2]TongHop!B763</f>
        <v>0</v>
      </c>
      <c r="C763">
        <f>[2]TongHop!C763</f>
        <v>0</v>
      </c>
      <c r="D763">
        <f>[2]TongHop!D763</f>
        <v>0</v>
      </c>
      <c r="E763">
        <f>[2]TongHop!E763</f>
        <v>0</v>
      </c>
      <c r="F763">
        <f>[2]TongHop!F763</f>
        <v>0</v>
      </c>
      <c r="G763">
        <f>[2]TongHop!G763</f>
        <v>0</v>
      </c>
      <c r="H763">
        <f>[2]TongHop!H763</f>
        <v>0</v>
      </c>
      <c r="I763">
        <f>[2]TongHop!I763</f>
        <v>0</v>
      </c>
      <c r="J763">
        <f>[2]TongHop!J763</f>
        <v>0</v>
      </c>
      <c r="K763">
        <f>[2]TongHop!K763</f>
        <v>0</v>
      </c>
      <c r="L763">
        <f>[2]TongHop!L763</f>
        <v>0</v>
      </c>
      <c r="M763">
        <f>[2]TongHop!M763</f>
        <v>0</v>
      </c>
      <c r="N763">
        <f>[2]TongHop!N763</f>
        <v>0</v>
      </c>
    </row>
    <row r="764" spans="1:14">
      <c r="A764">
        <f>[2]TongHop!A764</f>
        <v>0</v>
      </c>
      <c r="B764">
        <f>[2]TongHop!B764</f>
        <v>0</v>
      </c>
      <c r="C764">
        <f>[2]TongHop!C764</f>
        <v>0</v>
      </c>
      <c r="D764">
        <f>[2]TongHop!D764</f>
        <v>0</v>
      </c>
      <c r="E764">
        <f>[2]TongHop!E764</f>
        <v>0</v>
      </c>
      <c r="F764">
        <f>[2]TongHop!F764</f>
        <v>0</v>
      </c>
      <c r="G764">
        <f>[2]TongHop!G764</f>
        <v>0</v>
      </c>
      <c r="H764">
        <f>[2]TongHop!H764</f>
        <v>0</v>
      </c>
      <c r="I764">
        <f>[2]TongHop!I764</f>
        <v>0</v>
      </c>
      <c r="J764">
        <f>[2]TongHop!J764</f>
        <v>0</v>
      </c>
      <c r="K764">
        <f>[2]TongHop!K764</f>
        <v>0</v>
      </c>
      <c r="L764">
        <f>[2]TongHop!L764</f>
        <v>0</v>
      </c>
      <c r="M764">
        <f>[2]TongHop!M764</f>
        <v>0</v>
      </c>
      <c r="N764">
        <f>[2]TongHop!N764</f>
        <v>0</v>
      </c>
    </row>
    <row r="765" spans="1:14">
      <c r="A765">
        <f>[2]TongHop!A765</f>
        <v>0</v>
      </c>
      <c r="B765">
        <f>[2]TongHop!B765</f>
        <v>0</v>
      </c>
      <c r="C765">
        <f>[2]TongHop!C765</f>
        <v>0</v>
      </c>
      <c r="D765">
        <f>[2]TongHop!D765</f>
        <v>0</v>
      </c>
      <c r="E765">
        <f>[2]TongHop!E765</f>
        <v>0</v>
      </c>
      <c r="F765">
        <f>[2]TongHop!F765</f>
        <v>0</v>
      </c>
      <c r="G765">
        <f>[2]TongHop!G765</f>
        <v>0</v>
      </c>
      <c r="H765">
        <f>[2]TongHop!H765</f>
        <v>0</v>
      </c>
      <c r="I765">
        <f>[2]TongHop!I765</f>
        <v>0</v>
      </c>
      <c r="J765">
        <f>[2]TongHop!J765</f>
        <v>0</v>
      </c>
      <c r="K765">
        <f>[2]TongHop!K765</f>
        <v>0</v>
      </c>
      <c r="L765">
        <f>[2]TongHop!L765</f>
        <v>0</v>
      </c>
      <c r="M765">
        <f>[2]TongHop!M765</f>
        <v>0</v>
      </c>
      <c r="N765">
        <f>[2]TongHop!N765</f>
        <v>0</v>
      </c>
    </row>
    <row r="766" spans="1:14">
      <c r="A766">
        <f>[2]TongHop!A766</f>
        <v>0</v>
      </c>
      <c r="B766">
        <f>[2]TongHop!B766</f>
        <v>0</v>
      </c>
      <c r="C766">
        <f>[2]TongHop!C766</f>
        <v>0</v>
      </c>
      <c r="D766">
        <f>[2]TongHop!D766</f>
        <v>0</v>
      </c>
      <c r="E766">
        <f>[2]TongHop!E766</f>
        <v>0</v>
      </c>
      <c r="F766">
        <f>[2]TongHop!F766</f>
        <v>0</v>
      </c>
      <c r="G766">
        <f>[2]TongHop!G766</f>
        <v>0</v>
      </c>
      <c r="H766">
        <f>[2]TongHop!H766</f>
        <v>0</v>
      </c>
      <c r="I766">
        <f>[2]TongHop!I766</f>
        <v>0</v>
      </c>
      <c r="J766">
        <f>[2]TongHop!J766</f>
        <v>0</v>
      </c>
      <c r="K766">
        <f>[2]TongHop!K766</f>
        <v>0</v>
      </c>
      <c r="L766">
        <f>[2]TongHop!L766</f>
        <v>0</v>
      </c>
      <c r="M766">
        <f>[2]TongHop!M766</f>
        <v>0</v>
      </c>
      <c r="N766">
        <f>[2]TongHop!N766</f>
        <v>0</v>
      </c>
    </row>
    <row r="767" spans="1:14">
      <c r="A767">
        <f>[2]TongHop!A767</f>
        <v>0</v>
      </c>
      <c r="B767">
        <f>[2]TongHop!B767</f>
        <v>0</v>
      </c>
      <c r="C767">
        <f>[2]TongHop!C767</f>
        <v>0</v>
      </c>
      <c r="D767">
        <f>[2]TongHop!D767</f>
        <v>0</v>
      </c>
      <c r="E767">
        <f>[2]TongHop!E767</f>
        <v>0</v>
      </c>
      <c r="F767">
        <f>[2]TongHop!F767</f>
        <v>0</v>
      </c>
      <c r="G767">
        <f>[2]TongHop!G767</f>
        <v>0</v>
      </c>
      <c r="H767">
        <f>[2]TongHop!H767</f>
        <v>0</v>
      </c>
      <c r="I767">
        <f>[2]TongHop!I767</f>
        <v>0</v>
      </c>
      <c r="J767">
        <f>[2]TongHop!J767</f>
        <v>0</v>
      </c>
      <c r="K767">
        <f>[2]TongHop!K767</f>
        <v>0</v>
      </c>
      <c r="L767">
        <f>[2]TongHop!L767</f>
        <v>0</v>
      </c>
      <c r="M767">
        <f>[2]TongHop!M767</f>
        <v>0</v>
      </c>
      <c r="N767">
        <f>[2]TongHop!N767</f>
        <v>0</v>
      </c>
    </row>
    <row r="768" spans="1:14">
      <c r="A768">
        <f>[2]TongHop!A768</f>
        <v>0</v>
      </c>
      <c r="B768">
        <f>[2]TongHop!B768</f>
        <v>0</v>
      </c>
      <c r="C768">
        <f>[2]TongHop!C768</f>
        <v>0</v>
      </c>
      <c r="D768">
        <f>[2]TongHop!D768</f>
        <v>0</v>
      </c>
      <c r="E768">
        <f>[2]TongHop!E768</f>
        <v>0</v>
      </c>
      <c r="F768">
        <f>[2]TongHop!F768</f>
        <v>0</v>
      </c>
      <c r="G768">
        <f>[2]TongHop!G768</f>
        <v>0</v>
      </c>
      <c r="H768">
        <f>[2]TongHop!H768</f>
        <v>0</v>
      </c>
      <c r="I768">
        <f>[2]TongHop!I768</f>
        <v>0</v>
      </c>
      <c r="J768">
        <f>[2]TongHop!J768</f>
        <v>0</v>
      </c>
      <c r="K768">
        <f>[2]TongHop!K768</f>
        <v>0</v>
      </c>
      <c r="L768">
        <f>[2]TongHop!L768</f>
        <v>0</v>
      </c>
      <c r="M768">
        <f>[2]TongHop!M768</f>
        <v>0</v>
      </c>
      <c r="N768">
        <f>[2]TongHop!N768</f>
        <v>0</v>
      </c>
    </row>
    <row r="769" spans="1:14">
      <c r="A769">
        <f>[2]TongHop!A769</f>
        <v>0</v>
      </c>
      <c r="B769">
        <f>[2]TongHop!B769</f>
        <v>0</v>
      </c>
      <c r="C769">
        <f>[2]TongHop!C769</f>
        <v>0</v>
      </c>
      <c r="D769">
        <f>[2]TongHop!D769</f>
        <v>0</v>
      </c>
      <c r="E769">
        <f>[2]TongHop!E769</f>
        <v>0</v>
      </c>
      <c r="F769">
        <f>[2]TongHop!F769</f>
        <v>0</v>
      </c>
      <c r="G769">
        <f>[2]TongHop!G769</f>
        <v>0</v>
      </c>
      <c r="H769">
        <f>[2]TongHop!H769</f>
        <v>0</v>
      </c>
      <c r="I769">
        <f>[2]TongHop!I769</f>
        <v>0</v>
      </c>
      <c r="J769">
        <f>[2]TongHop!J769</f>
        <v>0</v>
      </c>
      <c r="K769">
        <f>[2]TongHop!K769</f>
        <v>0</v>
      </c>
      <c r="L769">
        <f>[2]TongHop!L769</f>
        <v>0</v>
      </c>
      <c r="M769">
        <f>[2]TongHop!M769</f>
        <v>0</v>
      </c>
      <c r="N769">
        <f>[2]TongHop!N769</f>
        <v>0</v>
      </c>
    </row>
    <row r="770" spans="1:14">
      <c r="A770">
        <f>[2]TongHop!A770</f>
        <v>0</v>
      </c>
      <c r="B770">
        <f>[2]TongHop!B770</f>
        <v>0</v>
      </c>
      <c r="C770">
        <f>[2]TongHop!C770</f>
        <v>0</v>
      </c>
      <c r="D770">
        <f>[2]TongHop!D770</f>
        <v>0</v>
      </c>
      <c r="E770">
        <f>[2]TongHop!E770</f>
        <v>0</v>
      </c>
      <c r="F770">
        <f>[2]TongHop!F770</f>
        <v>0</v>
      </c>
      <c r="G770">
        <f>[2]TongHop!G770</f>
        <v>0</v>
      </c>
      <c r="H770">
        <f>[2]TongHop!H770</f>
        <v>0</v>
      </c>
      <c r="I770">
        <f>[2]TongHop!I770</f>
        <v>0</v>
      </c>
      <c r="J770">
        <f>[2]TongHop!J770</f>
        <v>0</v>
      </c>
      <c r="K770">
        <f>[2]TongHop!K770</f>
        <v>0</v>
      </c>
      <c r="L770">
        <f>[2]TongHop!L770</f>
        <v>0</v>
      </c>
      <c r="M770">
        <f>[2]TongHop!M770</f>
        <v>0</v>
      </c>
      <c r="N770">
        <f>[2]TongHop!N770</f>
        <v>0</v>
      </c>
    </row>
    <row r="771" spans="1:14">
      <c r="A771">
        <f>[2]TongHop!A771</f>
        <v>0</v>
      </c>
      <c r="B771">
        <f>[2]TongHop!B771</f>
        <v>0</v>
      </c>
      <c r="C771">
        <f>[2]TongHop!C771</f>
        <v>0</v>
      </c>
      <c r="D771">
        <f>[2]TongHop!D771</f>
        <v>0</v>
      </c>
      <c r="E771">
        <f>[2]TongHop!E771</f>
        <v>0</v>
      </c>
      <c r="F771">
        <f>[2]TongHop!F771</f>
        <v>0</v>
      </c>
      <c r="G771">
        <f>[2]TongHop!G771</f>
        <v>0</v>
      </c>
      <c r="H771">
        <f>[2]TongHop!H771</f>
        <v>0</v>
      </c>
      <c r="I771">
        <f>[2]TongHop!I771</f>
        <v>0</v>
      </c>
      <c r="J771">
        <f>[2]TongHop!J771</f>
        <v>0</v>
      </c>
      <c r="K771">
        <f>[2]TongHop!K771</f>
        <v>0</v>
      </c>
      <c r="L771">
        <f>[2]TongHop!L771</f>
        <v>0</v>
      </c>
      <c r="M771">
        <f>[2]TongHop!M771</f>
        <v>0</v>
      </c>
      <c r="N771">
        <f>[2]TongHop!N771</f>
        <v>0</v>
      </c>
    </row>
    <row r="772" spans="1:14">
      <c r="A772">
        <f>[2]TongHop!A772</f>
        <v>0</v>
      </c>
      <c r="B772">
        <f>[2]TongHop!B772</f>
        <v>0</v>
      </c>
      <c r="C772">
        <f>[2]TongHop!C772</f>
        <v>0</v>
      </c>
      <c r="D772">
        <f>[2]TongHop!D772</f>
        <v>0</v>
      </c>
      <c r="E772">
        <f>[2]TongHop!E772</f>
        <v>0</v>
      </c>
      <c r="F772">
        <f>[2]TongHop!F772</f>
        <v>0</v>
      </c>
      <c r="G772">
        <f>[2]TongHop!G772</f>
        <v>0</v>
      </c>
      <c r="H772">
        <f>[2]TongHop!H772</f>
        <v>0</v>
      </c>
      <c r="I772">
        <f>[2]TongHop!I772</f>
        <v>0</v>
      </c>
      <c r="J772">
        <f>[2]TongHop!J772</f>
        <v>0</v>
      </c>
      <c r="K772">
        <f>[2]TongHop!K772</f>
        <v>0</v>
      </c>
      <c r="L772">
        <f>[2]TongHop!L772</f>
        <v>0</v>
      </c>
      <c r="M772">
        <f>[2]TongHop!M772</f>
        <v>0</v>
      </c>
      <c r="N772">
        <f>[2]TongHop!N772</f>
        <v>0</v>
      </c>
    </row>
    <row r="773" spans="1:14">
      <c r="A773">
        <f>[2]TongHop!A773</f>
        <v>0</v>
      </c>
      <c r="B773">
        <f>[2]TongHop!B773</f>
        <v>0</v>
      </c>
      <c r="C773">
        <f>[2]TongHop!C773</f>
        <v>0</v>
      </c>
      <c r="D773">
        <f>[2]TongHop!D773</f>
        <v>0</v>
      </c>
      <c r="E773">
        <f>[2]TongHop!E773</f>
        <v>0</v>
      </c>
      <c r="F773">
        <f>[2]TongHop!F773</f>
        <v>0</v>
      </c>
      <c r="G773">
        <f>[2]TongHop!G773</f>
        <v>0</v>
      </c>
      <c r="H773">
        <f>[2]TongHop!H773</f>
        <v>0</v>
      </c>
      <c r="I773">
        <f>[2]TongHop!I773</f>
        <v>0</v>
      </c>
      <c r="J773">
        <f>[2]TongHop!J773</f>
        <v>0</v>
      </c>
      <c r="K773">
        <f>[2]TongHop!K773</f>
        <v>0</v>
      </c>
      <c r="L773">
        <f>[2]TongHop!L773</f>
        <v>0</v>
      </c>
      <c r="M773">
        <f>[2]TongHop!M773</f>
        <v>0</v>
      </c>
      <c r="N773">
        <f>[2]TongHop!N773</f>
        <v>0</v>
      </c>
    </row>
    <row r="774" spans="1:14">
      <c r="A774">
        <f>[2]TongHop!A774</f>
        <v>0</v>
      </c>
      <c r="B774">
        <f>[2]TongHop!B774</f>
        <v>0</v>
      </c>
      <c r="C774">
        <f>[2]TongHop!C774</f>
        <v>0</v>
      </c>
      <c r="D774">
        <f>[2]TongHop!D774</f>
        <v>0</v>
      </c>
      <c r="E774">
        <f>[2]TongHop!E774</f>
        <v>0</v>
      </c>
      <c r="F774">
        <f>[2]TongHop!F774</f>
        <v>0</v>
      </c>
      <c r="G774">
        <f>[2]TongHop!G774</f>
        <v>0</v>
      </c>
      <c r="H774">
        <f>[2]TongHop!H774</f>
        <v>0</v>
      </c>
      <c r="I774">
        <f>[2]TongHop!I774</f>
        <v>0</v>
      </c>
      <c r="J774">
        <f>[2]TongHop!J774</f>
        <v>0</v>
      </c>
      <c r="K774">
        <f>[2]TongHop!K774</f>
        <v>0</v>
      </c>
      <c r="L774">
        <f>[2]TongHop!L774</f>
        <v>0</v>
      </c>
      <c r="M774">
        <f>[2]TongHop!M774</f>
        <v>0</v>
      </c>
      <c r="N774">
        <f>[2]TongHop!N774</f>
        <v>0</v>
      </c>
    </row>
    <row r="775" spans="1:14">
      <c r="A775">
        <f>[2]TongHop!A775</f>
        <v>0</v>
      </c>
      <c r="B775">
        <f>[2]TongHop!B775</f>
        <v>0</v>
      </c>
      <c r="C775">
        <f>[2]TongHop!C775</f>
        <v>0</v>
      </c>
      <c r="D775">
        <f>[2]TongHop!D775</f>
        <v>0</v>
      </c>
      <c r="E775">
        <f>[2]TongHop!E775</f>
        <v>0</v>
      </c>
      <c r="F775">
        <f>[2]TongHop!F775</f>
        <v>0</v>
      </c>
      <c r="G775">
        <f>[2]TongHop!G775</f>
        <v>0</v>
      </c>
      <c r="H775">
        <f>[2]TongHop!H775</f>
        <v>0</v>
      </c>
      <c r="I775">
        <f>[2]TongHop!I775</f>
        <v>0</v>
      </c>
      <c r="J775">
        <f>[2]TongHop!J775</f>
        <v>0</v>
      </c>
      <c r="K775">
        <f>[2]TongHop!K775</f>
        <v>0</v>
      </c>
      <c r="L775">
        <f>[2]TongHop!L775</f>
        <v>0</v>
      </c>
      <c r="M775">
        <f>[2]TongHop!M775</f>
        <v>0</v>
      </c>
      <c r="N775">
        <f>[2]TongHop!N775</f>
        <v>0</v>
      </c>
    </row>
    <row r="776" spans="1:14">
      <c r="A776">
        <f>[2]TongHop!A776</f>
        <v>0</v>
      </c>
      <c r="B776">
        <f>[2]TongHop!B776</f>
        <v>0</v>
      </c>
      <c r="C776">
        <f>[2]TongHop!C776</f>
        <v>0</v>
      </c>
      <c r="D776">
        <f>[2]TongHop!D776</f>
        <v>0</v>
      </c>
      <c r="E776">
        <f>[2]TongHop!E776</f>
        <v>0</v>
      </c>
      <c r="F776">
        <f>[2]TongHop!F776</f>
        <v>0</v>
      </c>
      <c r="G776">
        <f>[2]TongHop!G776</f>
        <v>0</v>
      </c>
      <c r="H776">
        <f>[2]TongHop!H776</f>
        <v>0</v>
      </c>
      <c r="I776">
        <f>[2]TongHop!I776</f>
        <v>0</v>
      </c>
      <c r="J776">
        <f>[2]TongHop!J776</f>
        <v>0</v>
      </c>
      <c r="K776">
        <f>[2]TongHop!K776</f>
        <v>0</v>
      </c>
      <c r="L776">
        <f>[2]TongHop!L776</f>
        <v>0</v>
      </c>
      <c r="M776">
        <f>[2]TongHop!M776</f>
        <v>0</v>
      </c>
      <c r="N776">
        <f>[2]TongHop!N776</f>
        <v>0</v>
      </c>
    </row>
    <row r="777" spans="1:14">
      <c r="A777">
        <f>[2]TongHop!A777</f>
        <v>0</v>
      </c>
      <c r="B777">
        <f>[2]TongHop!B777</f>
        <v>0</v>
      </c>
      <c r="C777">
        <f>[2]TongHop!C777</f>
        <v>0</v>
      </c>
      <c r="D777">
        <f>[2]TongHop!D777</f>
        <v>0</v>
      </c>
      <c r="E777">
        <f>[2]TongHop!E777</f>
        <v>0</v>
      </c>
      <c r="F777">
        <f>[2]TongHop!F777</f>
        <v>0</v>
      </c>
      <c r="G777">
        <f>[2]TongHop!G777</f>
        <v>0</v>
      </c>
      <c r="H777">
        <f>[2]TongHop!H777</f>
        <v>0</v>
      </c>
      <c r="I777">
        <f>[2]TongHop!I777</f>
        <v>0</v>
      </c>
      <c r="J777">
        <f>[2]TongHop!J777</f>
        <v>0</v>
      </c>
      <c r="K777">
        <f>[2]TongHop!K777</f>
        <v>0</v>
      </c>
      <c r="L777">
        <f>[2]TongHop!L777</f>
        <v>0</v>
      </c>
      <c r="M777">
        <f>[2]TongHop!M777</f>
        <v>0</v>
      </c>
      <c r="N777">
        <f>[2]TongHop!N777</f>
        <v>0</v>
      </c>
    </row>
    <row r="778" spans="1:14">
      <c r="A778">
        <f>[2]TongHop!A778</f>
        <v>0</v>
      </c>
      <c r="B778">
        <f>[2]TongHop!B778</f>
        <v>0</v>
      </c>
      <c r="C778">
        <f>[2]TongHop!C778</f>
        <v>0</v>
      </c>
      <c r="D778">
        <f>[2]TongHop!D778</f>
        <v>0</v>
      </c>
      <c r="E778">
        <f>[2]TongHop!E778</f>
        <v>0</v>
      </c>
      <c r="F778">
        <f>[2]TongHop!F778</f>
        <v>0</v>
      </c>
      <c r="G778">
        <f>[2]TongHop!G778</f>
        <v>0</v>
      </c>
      <c r="H778">
        <f>[2]TongHop!H778</f>
        <v>0</v>
      </c>
      <c r="I778">
        <f>[2]TongHop!I778</f>
        <v>0</v>
      </c>
      <c r="J778">
        <f>[2]TongHop!J778</f>
        <v>0</v>
      </c>
      <c r="K778">
        <f>[2]TongHop!K778</f>
        <v>0</v>
      </c>
      <c r="L778">
        <f>[2]TongHop!L778</f>
        <v>0</v>
      </c>
      <c r="M778">
        <f>[2]TongHop!M778</f>
        <v>0</v>
      </c>
      <c r="N778">
        <f>[2]TongHop!N778</f>
        <v>0</v>
      </c>
    </row>
    <row r="779" spans="1:14">
      <c r="A779">
        <f>[2]TongHop!A779</f>
        <v>0</v>
      </c>
      <c r="B779">
        <f>[2]TongHop!B779</f>
        <v>0</v>
      </c>
      <c r="C779">
        <f>[2]TongHop!C779</f>
        <v>0</v>
      </c>
      <c r="D779">
        <f>[2]TongHop!D779</f>
        <v>0</v>
      </c>
      <c r="E779">
        <f>[2]TongHop!E779</f>
        <v>0</v>
      </c>
      <c r="F779">
        <f>[2]TongHop!F779</f>
        <v>0</v>
      </c>
      <c r="G779">
        <f>[2]TongHop!G779</f>
        <v>0</v>
      </c>
      <c r="H779">
        <f>[2]TongHop!H779</f>
        <v>0</v>
      </c>
      <c r="I779">
        <f>[2]TongHop!I779</f>
        <v>0</v>
      </c>
      <c r="J779">
        <f>[2]TongHop!J779</f>
        <v>0</v>
      </c>
      <c r="K779">
        <f>[2]TongHop!K779</f>
        <v>0</v>
      </c>
      <c r="L779">
        <f>[2]TongHop!L779</f>
        <v>0</v>
      </c>
      <c r="M779">
        <f>[2]TongHop!M779</f>
        <v>0</v>
      </c>
      <c r="N779">
        <f>[2]TongHop!N779</f>
        <v>0</v>
      </c>
    </row>
    <row r="780" spans="1:14">
      <c r="A780">
        <f>[2]TongHop!A780</f>
        <v>0</v>
      </c>
      <c r="B780">
        <f>[2]TongHop!B780</f>
        <v>0</v>
      </c>
      <c r="C780">
        <f>[2]TongHop!C780</f>
        <v>0</v>
      </c>
      <c r="D780">
        <f>[2]TongHop!D780</f>
        <v>0</v>
      </c>
      <c r="E780">
        <f>[2]TongHop!E780</f>
        <v>0</v>
      </c>
      <c r="F780">
        <f>[2]TongHop!F780</f>
        <v>0</v>
      </c>
      <c r="G780">
        <f>[2]TongHop!G780</f>
        <v>0</v>
      </c>
      <c r="H780">
        <f>[2]TongHop!H780</f>
        <v>0</v>
      </c>
      <c r="I780">
        <f>[2]TongHop!I780</f>
        <v>0</v>
      </c>
      <c r="J780">
        <f>[2]TongHop!J780</f>
        <v>0</v>
      </c>
      <c r="K780">
        <f>[2]TongHop!K780</f>
        <v>0</v>
      </c>
      <c r="L780">
        <f>[2]TongHop!L780</f>
        <v>0</v>
      </c>
      <c r="M780">
        <f>[2]TongHop!M780</f>
        <v>0</v>
      </c>
      <c r="N780">
        <f>[2]TongHop!N780</f>
        <v>0</v>
      </c>
    </row>
    <row r="781" spans="1:14">
      <c r="A781">
        <f>[2]TongHop!A781</f>
        <v>0</v>
      </c>
      <c r="B781">
        <f>[2]TongHop!B781</f>
        <v>0</v>
      </c>
      <c r="C781">
        <f>[2]TongHop!C781</f>
        <v>0</v>
      </c>
      <c r="D781">
        <f>[2]TongHop!D781</f>
        <v>0</v>
      </c>
      <c r="E781">
        <f>[2]TongHop!E781</f>
        <v>0</v>
      </c>
      <c r="F781">
        <f>[2]TongHop!F781</f>
        <v>0</v>
      </c>
      <c r="G781">
        <f>[2]TongHop!G781</f>
        <v>0</v>
      </c>
      <c r="H781">
        <f>[2]TongHop!H781</f>
        <v>0</v>
      </c>
      <c r="I781">
        <f>[2]TongHop!I781</f>
        <v>0</v>
      </c>
      <c r="J781">
        <f>[2]TongHop!J781</f>
        <v>0</v>
      </c>
      <c r="K781">
        <f>[2]TongHop!K781</f>
        <v>0</v>
      </c>
      <c r="L781">
        <f>[2]TongHop!L781</f>
        <v>0</v>
      </c>
      <c r="M781">
        <f>[2]TongHop!M781</f>
        <v>0</v>
      </c>
      <c r="N781">
        <f>[2]TongHop!N781</f>
        <v>0</v>
      </c>
    </row>
    <row r="782" spans="1:14">
      <c r="A782">
        <f>[2]TongHop!A782</f>
        <v>0</v>
      </c>
      <c r="B782">
        <f>[2]TongHop!B782</f>
        <v>0</v>
      </c>
      <c r="C782">
        <f>[2]TongHop!C782</f>
        <v>0</v>
      </c>
      <c r="D782">
        <f>[2]TongHop!D782</f>
        <v>0</v>
      </c>
      <c r="E782">
        <f>[2]TongHop!E782</f>
        <v>0</v>
      </c>
      <c r="F782">
        <f>[2]TongHop!F782</f>
        <v>0</v>
      </c>
      <c r="G782">
        <f>[2]TongHop!G782</f>
        <v>0</v>
      </c>
      <c r="H782">
        <f>[2]TongHop!H782</f>
        <v>0</v>
      </c>
      <c r="I782">
        <f>[2]TongHop!I782</f>
        <v>0</v>
      </c>
      <c r="J782">
        <f>[2]TongHop!J782</f>
        <v>0</v>
      </c>
      <c r="K782">
        <f>[2]TongHop!K782</f>
        <v>0</v>
      </c>
      <c r="L782">
        <f>[2]TongHop!L782</f>
        <v>0</v>
      </c>
      <c r="M782">
        <f>[2]TongHop!M782</f>
        <v>0</v>
      </c>
      <c r="N782">
        <f>[2]TongHop!N782</f>
        <v>0</v>
      </c>
    </row>
    <row r="783" spans="1:14">
      <c r="A783">
        <f>[2]TongHop!A783</f>
        <v>0</v>
      </c>
      <c r="B783">
        <f>[2]TongHop!B783</f>
        <v>0</v>
      </c>
      <c r="C783">
        <f>[2]TongHop!C783</f>
        <v>0</v>
      </c>
      <c r="D783">
        <f>[2]TongHop!D783</f>
        <v>0</v>
      </c>
      <c r="E783">
        <f>[2]TongHop!E783</f>
        <v>0</v>
      </c>
      <c r="F783">
        <f>[2]TongHop!F783</f>
        <v>0</v>
      </c>
      <c r="G783">
        <f>[2]TongHop!G783</f>
        <v>0</v>
      </c>
      <c r="H783">
        <f>[2]TongHop!H783</f>
        <v>0</v>
      </c>
      <c r="I783">
        <f>[2]TongHop!I783</f>
        <v>0</v>
      </c>
      <c r="J783">
        <f>[2]TongHop!J783</f>
        <v>0</v>
      </c>
      <c r="K783">
        <f>[2]TongHop!K783</f>
        <v>0</v>
      </c>
      <c r="L783">
        <f>[2]TongHop!L783</f>
        <v>0</v>
      </c>
      <c r="M783">
        <f>[2]TongHop!M783</f>
        <v>0</v>
      </c>
      <c r="N783">
        <f>[2]TongHop!N783</f>
        <v>0</v>
      </c>
    </row>
    <row r="784" spans="1:14">
      <c r="A784">
        <f>[2]TongHop!A784</f>
        <v>0</v>
      </c>
      <c r="B784">
        <f>[2]TongHop!B784</f>
        <v>0</v>
      </c>
      <c r="C784">
        <f>[2]TongHop!C784</f>
        <v>0</v>
      </c>
      <c r="D784">
        <f>[2]TongHop!D784</f>
        <v>0</v>
      </c>
      <c r="E784">
        <f>[2]TongHop!E784</f>
        <v>0</v>
      </c>
      <c r="F784">
        <f>[2]TongHop!F784</f>
        <v>0</v>
      </c>
      <c r="G784">
        <f>[2]TongHop!G784</f>
        <v>0</v>
      </c>
      <c r="H784">
        <f>[2]TongHop!H784</f>
        <v>0</v>
      </c>
      <c r="I784">
        <f>[2]TongHop!I784</f>
        <v>0</v>
      </c>
      <c r="J784">
        <f>[2]TongHop!J784</f>
        <v>0</v>
      </c>
      <c r="K784">
        <f>[2]TongHop!K784</f>
        <v>0</v>
      </c>
      <c r="L784">
        <f>[2]TongHop!L784</f>
        <v>0</v>
      </c>
      <c r="M784">
        <f>[2]TongHop!M784</f>
        <v>0</v>
      </c>
      <c r="N784">
        <f>[2]TongHop!N784</f>
        <v>0</v>
      </c>
    </row>
    <row r="785" spans="1:14">
      <c r="A785">
        <f>[2]TongHop!A785</f>
        <v>0</v>
      </c>
      <c r="B785">
        <f>[2]TongHop!B785</f>
        <v>0</v>
      </c>
      <c r="C785">
        <f>[2]TongHop!C785</f>
        <v>0</v>
      </c>
      <c r="D785">
        <f>[2]TongHop!D785</f>
        <v>0</v>
      </c>
      <c r="E785">
        <f>[2]TongHop!E785</f>
        <v>0</v>
      </c>
      <c r="F785">
        <f>[2]TongHop!F785</f>
        <v>0</v>
      </c>
      <c r="G785">
        <f>[2]TongHop!G785</f>
        <v>0</v>
      </c>
      <c r="H785">
        <f>[2]TongHop!H785</f>
        <v>0</v>
      </c>
      <c r="I785">
        <f>[2]TongHop!I785</f>
        <v>0</v>
      </c>
      <c r="J785">
        <f>[2]TongHop!J785</f>
        <v>0</v>
      </c>
      <c r="K785">
        <f>[2]TongHop!K785</f>
        <v>0</v>
      </c>
      <c r="L785">
        <f>[2]TongHop!L785</f>
        <v>0</v>
      </c>
      <c r="M785">
        <f>[2]TongHop!M785</f>
        <v>0</v>
      </c>
      <c r="N785">
        <f>[2]TongHop!N785</f>
        <v>0</v>
      </c>
    </row>
    <row r="786" spans="1:14">
      <c r="A786">
        <f>[2]TongHop!A786</f>
        <v>0</v>
      </c>
      <c r="B786">
        <f>[2]TongHop!B786</f>
        <v>0</v>
      </c>
      <c r="C786">
        <f>[2]TongHop!C786</f>
        <v>0</v>
      </c>
      <c r="D786">
        <f>[2]TongHop!D786</f>
        <v>0</v>
      </c>
      <c r="E786">
        <f>[2]TongHop!E786</f>
        <v>0</v>
      </c>
      <c r="F786">
        <f>[2]TongHop!F786</f>
        <v>0</v>
      </c>
      <c r="G786">
        <f>[2]TongHop!G786</f>
        <v>0</v>
      </c>
      <c r="H786">
        <f>[2]TongHop!H786</f>
        <v>0</v>
      </c>
      <c r="I786">
        <f>[2]TongHop!I786</f>
        <v>0</v>
      </c>
      <c r="J786">
        <f>[2]TongHop!J786</f>
        <v>0</v>
      </c>
      <c r="K786">
        <f>[2]TongHop!K786</f>
        <v>0</v>
      </c>
      <c r="L786">
        <f>[2]TongHop!L786</f>
        <v>0</v>
      </c>
      <c r="M786">
        <f>[2]TongHop!M786</f>
        <v>0</v>
      </c>
      <c r="N786">
        <f>[2]TongHop!N786</f>
        <v>0</v>
      </c>
    </row>
    <row r="787" spans="1:14">
      <c r="A787">
        <f>[2]TongHop!A787</f>
        <v>0</v>
      </c>
      <c r="B787">
        <f>[2]TongHop!B787</f>
        <v>0</v>
      </c>
      <c r="C787">
        <f>[2]TongHop!C787</f>
        <v>0</v>
      </c>
      <c r="D787">
        <f>[2]TongHop!D787</f>
        <v>0</v>
      </c>
      <c r="E787">
        <f>[2]TongHop!E787</f>
        <v>0</v>
      </c>
      <c r="F787">
        <f>[2]TongHop!F787</f>
        <v>0</v>
      </c>
      <c r="G787">
        <f>[2]TongHop!G787</f>
        <v>0</v>
      </c>
      <c r="H787">
        <f>[2]TongHop!H787</f>
        <v>0</v>
      </c>
      <c r="I787">
        <f>[2]TongHop!I787</f>
        <v>0</v>
      </c>
      <c r="J787">
        <f>[2]TongHop!J787</f>
        <v>0</v>
      </c>
      <c r="K787">
        <f>[2]TongHop!K787</f>
        <v>0</v>
      </c>
      <c r="L787">
        <f>[2]TongHop!L787</f>
        <v>0</v>
      </c>
      <c r="M787">
        <f>[2]TongHop!M787</f>
        <v>0</v>
      </c>
      <c r="N787">
        <f>[2]TongHop!N787</f>
        <v>0</v>
      </c>
    </row>
    <row r="788" spans="1:14">
      <c r="A788">
        <f>[2]TongHop!A788</f>
        <v>0</v>
      </c>
      <c r="B788">
        <f>[2]TongHop!B788</f>
        <v>0</v>
      </c>
      <c r="C788">
        <f>[2]TongHop!C788</f>
        <v>0</v>
      </c>
      <c r="D788">
        <f>[2]TongHop!D788</f>
        <v>0</v>
      </c>
      <c r="E788">
        <f>[2]TongHop!E788</f>
        <v>0</v>
      </c>
      <c r="F788">
        <f>[2]TongHop!F788</f>
        <v>0</v>
      </c>
      <c r="G788">
        <f>[2]TongHop!G788</f>
        <v>0</v>
      </c>
      <c r="H788">
        <f>[2]TongHop!H788</f>
        <v>0</v>
      </c>
      <c r="I788">
        <f>[2]TongHop!I788</f>
        <v>0</v>
      </c>
      <c r="J788">
        <f>[2]TongHop!J788</f>
        <v>0</v>
      </c>
      <c r="K788">
        <f>[2]TongHop!K788</f>
        <v>0</v>
      </c>
      <c r="L788">
        <f>[2]TongHop!L788</f>
        <v>0</v>
      </c>
      <c r="M788">
        <f>[2]TongHop!M788</f>
        <v>0</v>
      </c>
      <c r="N788">
        <f>[2]TongHop!N788</f>
        <v>0</v>
      </c>
    </row>
    <row r="789" spans="1:14">
      <c r="A789">
        <f>[2]TongHop!A789</f>
        <v>0</v>
      </c>
      <c r="B789">
        <f>[2]TongHop!B789</f>
        <v>0</v>
      </c>
      <c r="C789">
        <f>[2]TongHop!C789</f>
        <v>0</v>
      </c>
      <c r="D789">
        <f>[2]TongHop!D789</f>
        <v>0</v>
      </c>
      <c r="E789">
        <f>[2]TongHop!E789</f>
        <v>0</v>
      </c>
      <c r="F789">
        <f>[2]TongHop!F789</f>
        <v>0</v>
      </c>
      <c r="G789">
        <f>[2]TongHop!G789</f>
        <v>0</v>
      </c>
      <c r="H789">
        <f>[2]TongHop!H789</f>
        <v>0</v>
      </c>
      <c r="I789">
        <f>[2]TongHop!I789</f>
        <v>0</v>
      </c>
      <c r="J789">
        <f>[2]TongHop!J789</f>
        <v>0</v>
      </c>
      <c r="K789">
        <f>[2]TongHop!K789</f>
        <v>0</v>
      </c>
      <c r="L789">
        <f>[2]TongHop!L789</f>
        <v>0</v>
      </c>
      <c r="M789">
        <f>[2]TongHop!M789</f>
        <v>0</v>
      </c>
      <c r="N789">
        <f>[2]TongHop!N789</f>
        <v>0</v>
      </c>
    </row>
    <row r="790" spans="1:14">
      <c r="A790">
        <f>[2]TongHop!A790</f>
        <v>0</v>
      </c>
      <c r="B790">
        <f>[2]TongHop!B790</f>
        <v>0</v>
      </c>
      <c r="C790">
        <f>[2]TongHop!C790</f>
        <v>0</v>
      </c>
      <c r="D790">
        <f>[2]TongHop!D790</f>
        <v>0</v>
      </c>
      <c r="E790">
        <f>[2]TongHop!E790</f>
        <v>0</v>
      </c>
      <c r="F790">
        <f>[2]TongHop!F790</f>
        <v>0</v>
      </c>
      <c r="G790">
        <f>[2]TongHop!G790</f>
        <v>0</v>
      </c>
      <c r="H790">
        <f>[2]TongHop!H790</f>
        <v>0</v>
      </c>
      <c r="I790">
        <f>[2]TongHop!I790</f>
        <v>0</v>
      </c>
      <c r="J790">
        <f>[2]TongHop!J790</f>
        <v>0</v>
      </c>
      <c r="K790">
        <f>[2]TongHop!K790</f>
        <v>0</v>
      </c>
      <c r="L790">
        <f>[2]TongHop!L790</f>
        <v>0</v>
      </c>
      <c r="M790">
        <f>[2]TongHop!M790</f>
        <v>0</v>
      </c>
      <c r="N790">
        <f>[2]TongHop!N790</f>
        <v>0</v>
      </c>
    </row>
    <row r="791" spans="1:14">
      <c r="A791">
        <f>[2]TongHop!A791</f>
        <v>0</v>
      </c>
      <c r="B791">
        <f>[2]TongHop!B791</f>
        <v>0</v>
      </c>
      <c r="C791">
        <f>[2]TongHop!C791</f>
        <v>0</v>
      </c>
      <c r="D791">
        <f>[2]TongHop!D791</f>
        <v>0</v>
      </c>
      <c r="E791">
        <f>[2]TongHop!E791</f>
        <v>0</v>
      </c>
      <c r="F791">
        <f>[2]TongHop!F791</f>
        <v>0</v>
      </c>
      <c r="G791">
        <f>[2]TongHop!G791</f>
        <v>0</v>
      </c>
      <c r="H791">
        <f>[2]TongHop!H791</f>
        <v>0</v>
      </c>
      <c r="I791">
        <f>[2]TongHop!I791</f>
        <v>0</v>
      </c>
      <c r="J791">
        <f>[2]TongHop!J791</f>
        <v>0</v>
      </c>
      <c r="K791">
        <f>[2]TongHop!K791</f>
        <v>0</v>
      </c>
      <c r="L791">
        <f>[2]TongHop!L791</f>
        <v>0</v>
      </c>
      <c r="M791">
        <f>[2]TongHop!M791</f>
        <v>0</v>
      </c>
      <c r="N791">
        <f>[2]TongHop!N791</f>
        <v>0</v>
      </c>
    </row>
    <row r="792" spans="1:14">
      <c r="A792">
        <f>[2]TongHop!A792</f>
        <v>0</v>
      </c>
      <c r="B792">
        <f>[2]TongHop!B792</f>
        <v>0</v>
      </c>
      <c r="C792">
        <f>[2]TongHop!C792</f>
        <v>0</v>
      </c>
      <c r="D792">
        <f>[2]TongHop!D792</f>
        <v>0</v>
      </c>
      <c r="E792">
        <f>[2]TongHop!E792</f>
        <v>0</v>
      </c>
      <c r="F792">
        <f>[2]TongHop!F792</f>
        <v>0</v>
      </c>
      <c r="G792">
        <f>[2]TongHop!G792</f>
        <v>0</v>
      </c>
      <c r="H792">
        <f>[2]TongHop!H792</f>
        <v>0</v>
      </c>
      <c r="I792">
        <f>[2]TongHop!I792</f>
        <v>0</v>
      </c>
      <c r="J792">
        <f>[2]TongHop!J792</f>
        <v>0</v>
      </c>
      <c r="K792">
        <f>[2]TongHop!K792</f>
        <v>0</v>
      </c>
      <c r="L792">
        <f>[2]TongHop!L792</f>
        <v>0</v>
      </c>
      <c r="M792">
        <f>[2]TongHop!M792</f>
        <v>0</v>
      </c>
      <c r="N792">
        <f>[2]TongHop!N792</f>
        <v>0</v>
      </c>
    </row>
    <row r="793" spans="1:14">
      <c r="A793">
        <f>[2]TongHop!A793</f>
        <v>0</v>
      </c>
      <c r="B793">
        <f>[2]TongHop!B793</f>
        <v>0</v>
      </c>
      <c r="C793">
        <f>[2]TongHop!C793</f>
        <v>0</v>
      </c>
      <c r="D793">
        <f>[2]TongHop!D793</f>
        <v>0</v>
      </c>
      <c r="E793">
        <f>[2]TongHop!E793</f>
        <v>0</v>
      </c>
      <c r="F793">
        <f>[2]TongHop!F793</f>
        <v>0</v>
      </c>
      <c r="G793">
        <f>[2]TongHop!G793</f>
        <v>0</v>
      </c>
      <c r="H793">
        <f>[2]TongHop!H793</f>
        <v>0</v>
      </c>
      <c r="I793">
        <f>[2]TongHop!I793</f>
        <v>0</v>
      </c>
      <c r="J793">
        <f>[2]TongHop!J793</f>
        <v>0</v>
      </c>
      <c r="K793">
        <f>[2]TongHop!K793</f>
        <v>0</v>
      </c>
      <c r="L793">
        <f>[2]TongHop!L793</f>
        <v>0</v>
      </c>
      <c r="M793">
        <f>[2]TongHop!M793</f>
        <v>0</v>
      </c>
      <c r="N793">
        <f>[2]TongHop!N793</f>
        <v>0</v>
      </c>
    </row>
    <row r="794" spans="1:14">
      <c r="A794">
        <f>[2]TongHop!A794</f>
        <v>0</v>
      </c>
      <c r="B794">
        <f>[2]TongHop!B794</f>
        <v>0</v>
      </c>
      <c r="C794">
        <f>[2]TongHop!C794</f>
        <v>0</v>
      </c>
      <c r="D794">
        <f>[2]TongHop!D794</f>
        <v>0</v>
      </c>
      <c r="E794">
        <f>[2]TongHop!E794</f>
        <v>0</v>
      </c>
      <c r="F794">
        <f>[2]TongHop!F794</f>
        <v>0</v>
      </c>
      <c r="G794">
        <f>[2]TongHop!G794</f>
        <v>0</v>
      </c>
      <c r="H794">
        <f>[2]TongHop!H794</f>
        <v>0</v>
      </c>
      <c r="I794">
        <f>[2]TongHop!I794</f>
        <v>0</v>
      </c>
      <c r="J794">
        <f>[2]TongHop!J794</f>
        <v>0</v>
      </c>
      <c r="K794">
        <f>[2]TongHop!K794</f>
        <v>0</v>
      </c>
      <c r="L794">
        <f>[2]TongHop!L794</f>
        <v>0</v>
      </c>
      <c r="M794">
        <f>[2]TongHop!M794</f>
        <v>0</v>
      </c>
      <c r="N794">
        <f>[2]TongHop!N794</f>
        <v>0</v>
      </c>
    </row>
    <row r="795" spans="1:14">
      <c r="A795">
        <f>[2]TongHop!A795</f>
        <v>0</v>
      </c>
      <c r="B795">
        <f>[2]TongHop!B795</f>
        <v>0</v>
      </c>
      <c r="C795">
        <f>[2]TongHop!C795</f>
        <v>0</v>
      </c>
      <c r="D795">
        <f>[2]TongHop!D795</f>
        <v>0</v>
      </c>
      <c r="E795">
        <f>[2]TongHop!E795</f>
        <v>0</v>
      </c>
      <c r="F795">
        <f>[2]TongHop!F795</f>
        <v>0</v>
      </c>
      <c r="G795">
        <f>[2]TongHop!G795</f>
        <v>0</v>
      </c>
      <c r="H795">
        <f>[2]TongHop!H795</f>
        <v>0</v>
      </c>
      <c r="I795">
        <f>[2]TongHop!I795</f>
        <v>0</v>
      </c>
      <c r="J795">
        <f>[2]TongHop!J795</f>
        <v>0</v>
      </c>
      <c r="K795">
        <f>[2]TongHop!K795</f>
        <v>0</v>
      </c>
      <c r="L795">
        <f>[2]TongHop!L795</f>
        <v>0</v>
      </c>
      <c r="M795">
        <f>[2]TongHop!M795</f>
        <v>0</v>
      </c>
      <c r="N795">
        <f>[2]TongHop!N795</f>
        <v>0</v>
      </c>
    </row>
    <row r="796" spans="1:14">
      <c r="A796">
        <f>[2]TongHop!A796</f>
        <v>0</v>
      </c>
      <c r="B796">
        <f>[2]TongHop!B796</f>
        <v>0</v>
      </c>
      <c r="C796">
        <f>[2]TongHop!C796</f>
        <v>0</v>
      </c>
      <c r="D796">
        <f>[2]TongHop!D796</f>
        <v>0</v>
      </c>
      <c r="E796">
        <f>[2]TongHop!E796</f>
        <v>0</v>
      </c>
      <c r="F796">
        <f>[2]TongHop!F796</f>
        <v>0</v>
      </c>
      <c r="G796">
        <f>[2]TongHop!G796</f>
        <v>0</v>
      </c>
      <c r="H796">
        <f>[2]TongHop!H796</f>
        <v>0</v>
      </c>
      <c r="I796">
        <f>[2]TongHop!I796</f>
        <v>0</v>
      </c>
      <c r="J796">
        <f>[2]TongHop!J796</f>
        <v>0</v>
      </c>
      <c r="K796">
        <f>[2]TongHop!K796</f>
        <v>0</v>
      </c>
      <c r="L796">
        <f>[2]TongHop!L796</f>
        <v>0</v>
      </c>
      <c r="M796">
        <f>[2]TongHop!M796</f>
        <v>0</v>
      </c>
      <c r="N796">
        <f>[2]TongHop!N796</f>
        <v>0</v>
      </c>
    </row>
    <row r="797" spans="1:14">
      <c r="A797">
        <f>[2]TongHop!A797</f>
        <v>0</v>
      </c>
      <c r="B797">
        <f>[2]TongHop!B797</f>
        <v>0</v>
      </c>
      <c r="C797">
        <f>[2]TongHop!C797</f>
        <v>0</v>
      </c>
      <c r="D797">
        <f>[2]TongHop!D797</f>
        <v>0</v>
      </c>
      <c r="E797">
        <f>[2]TongHop!E797</f>
        <v>0</v>
      </c>
      <c r="F797">
        <f>[2]TongHop!F797</f>
        <v>0</v>
      </c>
      <c r="G797">
        <f>[2]TongHop!G797</f>
        <v>0</v>
      </c>
      <c r="H797">
        <f>[2]TongHop!H797</f>
        <v>0</v>
      </c>
      <c r="I797">
        <f>[2]TongHop!I797</f>
        <v>0</v>
      </c>
      <c r="J797">
        <f>[2]TongHop!J797</f>
        <v>0</v>
      </c>
      <c r="K797">
        <f>[2]TongHop!K797</f>
        <v>0</v>
      </c>
      <c r="L797">
        <f>[2]TongHop!L797</f>
        <v>0</v>
      </c>
      <c r="M797">
        <f>[2]TongHop!M797</f>
        <v>0</v>
      </c>
      <c r="N797">
        <f>[2]TongHop!N797</f>
        <v>0</v>
      </c>
    </row>
    <row r="798" spans="1:14">
      <c r="A798">
        <f>[2]TongHop!A798</f>
        <v>0</v>
      </c>
      <c r="B798">
        <f>[2]TongHop!B798</f>
        <v>0</v>
      </c>
      <c r="C798">
        <f>[2]TongHop!C798</f>
        <v>0</v>
      </c>
      <c r="D798">
        <f>[2]TongHop!D798</f>
        <v>0</v>
      </c>
      <c r="E798">
        <f>[2]TongHop!E798</f>
        <v>0</v>
      </c>
      <c r="F798">
        <f>[2]TongHop!F798</f>
        <v>0</v>
      </c>
      <c r="G798">
        <f>[2]TongHop!G798</f>
        <v>0</v>
      </c>
      <c r="H798">
        <f>[2]TongHop!H798</f>
        <v>0</v>
      </c>
      <c r="I798">
        <f>[2]TongHop!I798</f>
        <v>0</v>
      </c>
      <c r="J798">
        <f>[2]TongHop!J798</f>
        <v>0</v>
      </c>
      <c r="K798">
        <f>[2]TongHop!K798</f>
        <v>0</v>
      </c>
      <c r="L798">
        <f>[2]TongHop!L798</f>
        <v>0</v>
      </c>
      <c r="M798">
        <f>[2]TongHop!M798</f>
        <v>0</v>
      </c>
      <c r="N798">
        <f>[2]TongHop!N798</f>
        <v>0</v>
      </c>
    </row>
    <row r="799" spans="1:14">
      <c r="A799">
        <f>[2]TongHop!A799</f>
        <v>0</v>
      </c>
      <c r="B799">
        <f>[2]TongHop!B799</f>
        <v>0</v>
      </c>
      <c r="C799">
        <f>[2]TongHop!C799</f>
        <v>0</v>
      </c>
      <c r="D799">
        <f>[2]TongHop!D799</f>
        <v>0</v>
      </c>
      <c r="E799">
        <f>[2]TongHop!E799</f>
        <v>0</v>
      </c>
      <c r="F799">
        <f>[2]TongHop!F799</f>
        <v>0</v>
      </c>
      <c r="G799">
        <f>[2]TongHop!G799</f>
        <v>0</v>
      </c>
      <c r="H799">
        <f>[2]TongHop!H799</f>
        <v>0</v>
      </c>
      <c r="I799">
        <f>[2]TongHop!I799</f>
        <v>0</v>
      </c>
      <c r="J799">
        <f>[2]TongHop!J799</f>
        <v>0</v>
      </c>
      <c r="K799">
        <f>[2]TongHop!K799</f>
        <v>0</v>
      </c>
      <c r="L799">
        <f>[2]TongHop!L799</f>
        <v>0</v>
      </c>
      <c r="M799">
        <f>[2]TongHop!M799</f>
        <v>0</v>
      </c>
      <c r="N799">
        <f>[2]TongHop!N799</f>
        <v>0</v>
      </c>
    </row>
    <row r="800" spans="1:14">
      <c r="A800">
        <f>[2]TongHop!A800</f>
        <v>0</v>
      </c>
      <c r="B800">
        <f>[2]TongHop!B800</f>
        <v>0</v>
      </c>
      <c r="C800">
        <f>[2]TongHop!C800</f>
        <v>0</v>
      </c>
      <c r="D800">
        <f>[2]TongHop!D800</f>
        <v>0</v>
      </c>
      <c r="E800">
        <f>[2]TongHop!E800</f>
        <v>0</v>
      </c>
      <c r="F800">
        <f>[2]TongHop!F800</f>
        <v>0</v>
      </c>
      <c r="G800">
        <f>[2]TongHop!G800</f>
        <v>0</v>
      </c>
      <c r="H800">
        <f>[2]TongHop!H800</f>
        <v>0</v>
      </c>
      <c r="I800">
        <f>[2]TongHop!I800</f>
        <v>0</v>
      </c>
      <c r="J800">
        <f>[2]TongHop!J800</f>
        <v>0</v>
      </c>
      <c r="K800">
        <f>[2]TongHop!K800</f>
        <v>0</v>
      </c>
      <c r="L800">
        <f>[2]TongHop!L800</f>
        <v>0</v>
      </c>
      <c r="M800">
        <f>[2]TongHop!M800</f>
        <v>0</v>
      </c>
      <c r="N800">
        <f>[2]TongHop!N800</f>
        <v>0</v>
      </c>
    </row>
    <row r="801" spans="1:14">
      <c r="A801">
        <f>[2]TongHop!A801</f>
        <v>0</v>
      </c>
      <c r="B801">
        <f>[2]TongHop!B801</f>
        <v>0</v>
      </c>
      <c r="C801">
        <f>[2]TongHop!C801</f>
        <v>0</v>
      </c>
      <c r="D801">
        <f>[2]TongHop!D801</f>
        <v>0</v>
      </c>
      <c r="E801">
        <f>[2]TongHop!E801</f>
        <v>0</v>
      </c>
      <c r="F801">
        <f>[2]TongHop!F801</f>
        <v>0</v>
      </c>
      <c r="G801">
        <f>[2]TongHop!G801</f>
        <v>0</v>
      </c>
      <c r="H801">
        <f>[2]TongHop!H801</f>
        <v>0</v>
      </c>
      <c r="I801">
        <f>[2]TongHop!I801</f>
        <v>0</v>
      </c>
      <c r="J801">
        <f>[2]TongHop!J801</f>
        <v>0</v>
      </c>
      <c r="K801">
        <f>[2]TongHop!K801</f>
        <v>0</v>
      </c>
      <c r="L801">
        <f>[2]TongHop!L801</f>
        <v>0</v>
      </c>
      <c r="M801">
        <f>[2]TongHop!M801</f>
        <v>0</v>
      </c>
      <c r="N801">
        <f>[2]TongHop!N801</f>
        <v>0</v>
      </c>
    </row>
    <row r="802" spans="1:14">
      <c r="A802">
        <f>[2]TongHop!A802</f>
        <v>0</v>
      </c>
      <c r="B802">
        <f>[2]TongHop!B802</f>
        <v>0</v>
      </c>
      <c r="C802">
        <f>[2]TongHop!C802</f>
        <v>0</v>
      </c>
      <c r="D802">
        <f>[2]TongHop!D802</f>
        <v>0</v>
      </c>
      <c r="E802">
        <f>[2]TongHop!E802</f>
        <v>0</v>
      </c>
      <c r="F802">
        <f>[2]TongHop!F802</f>
        <v>0</v>
      </c>
      <c r="G802">
        <f>[2]TongHop!G802</f>
        <v>0</v>
      </c>
      <c r="H802">
        <f>[2]TongHop!H802</f>
        <v>0</v>
      </c>
      <c r="I802">
        <f>[2]TongHop!I802</f>
        <v>0</v>
      </c>
      <c r="J802">
        <f>[2]TongHop!J802</f>
        <v>0</v>
      </c>
      <c r="K802">
        <f>[2]TongHop!K802</f>
        <v>0</v>
      </c>
      <c r="L802">
        <f>[2]TongHop!L802</f>
        <v>0</v>
      </c>
      <c r="M802">
        <f>[2]TongHop!M802</f>
        <v>0</v>
      </c>
      <c r="N802">
        <f>[2]TongHop!N802</f>
        <v>0</v>
      </c>
    </row>
    <row r="803" spans="1:14">
      <c r="A803">
        <f>[2]TongHop!A803</f>
        <v>0</v>
      </c>
      <c r="B803">
        <f>[2]TongHop!B803</f>
        <v>0</v>
      </c>
      <c r="C803">
        <f>[2]TongHop!C803</f>
        <v>0</v>
      </c>
      <c r="D803">
        <f>[2]TongHop!D803</f>
        <v>0</v>
      </c>
      <c r="E803">
        <f>[2]TongHop!E803</f>
        <v>0</v>
      </c>
      <c r="F803">
        <f>[2]TongHop!F803</f>
        <v>0</v>
      </c>
      <c r="G803">
        <f>[2]TongHop!G803</f>
        <v>0</v>
      </c>
      <c r="H803">
        <f>[2]TongHop!H803</f>
        <v>0</v>
      </c>
      <c r="I803">
        <f>[2]TongHop!I803</f>
        <v>0</v>
      </c>
      <c r="J803">
        <f>[2]TongHop!J803</f>
        <v>0</v>
      </c>
      <c r="K803">
        <f>[2]TongHop!K803</f>
        <v>0</v>
      </c>
      <c r="L803">
        <f>[2]TongHop!L803</f>
        <v>0</v>
      </c>
      <c r="M803">
        <f>[2]TongHop!M803</f>
        <v>0</v>
      </c>
      <c r="N803">
        <f>[2]TongHop!N803</f>
        <v>0</v>
      </c>
    </row>
    <row r="804" spans="1:14">
      <c r="A804">
        <f>[2]TongHop!A804</f>
        <v>0</v>
      </c>
      <c r="B804">
        <f>[2]TongHop!B804</f>
        <v>0</v>
      </c>
      <c r="C804">
        <f>[2]TongHop!C804</f>
        <v>0</v>
      </c>
      <c r="D804">
        <f>[2]TongHop!D804</f>
        <v>0</v>
      </c>
      <c r="E804">
        <f>[2]TongHop!E804</f>
        <v>0</v>
      </c>
      <c r="F804">
        <f>[2]TongHop!F804</f>
        <v>0</v>
      </c>
      <c r="G804">
        <f>[2]TongHop!G804</f>
        <v>0</v>
      </c>
      <c r="H804">
        <f>[2]TongHop!H804</f>
        <v>0</v>
      </c>
      <c r="I804">
        <f>[2]TongHop!I804</f>
        <v>0</v>
      </c>
      <c r="J804">
        <f>[2]TongHop!J804</f>
        <v>0</v>
      </c>
      <c r="K804">
        <f>[2]TongHop!K804</f>
        <v>0</v>
      </c>
      <c r="L804">
        <f>[2]TongHop!L804</f>
        <v>0</v>
      </c>
      <c r="M804">
        <f>[2]TongHop!M804</f>
        <v>0</v>
      </c>
      <c r="N804">
        <f>[2]TongHop!N804</f>
        <v>0</v>
      </c>
    </row>
    <row r="805" spans="1:14">
      <c r="A805">
        <f>[2]TongHop!A805</f>
        <v>0</v>
      </c>
      <c r="B805">
        <f>[2]TongHop!B805</f>
        <v>0</v>
      </c>
      <c r="C805">
        <f>[2]TongHop!C805</f>
        <v>0</v>
      </c>
      <c r="D805">
        <f>[2]TongHop!D805</f>
        <v>0</v>
      </c>
      <c r="E805">
        <f>[2]TongHop!E805</f>
        <v>0</v>
      </c>
      <c r="F805">
        <f>[2]TongHop!F805</f>
        <v>0</v>
      </c>
      <c r="G805">
        <f>[2]TongHop!G805</f>
        <v>0</v>
      </c>
      <c r="H805">
        <f>[2]TongHop!H805</f>
        <v>0</v>
      </c>
      <c r="I805">
        <f>[2]TongHop!I805</f>
        <v>0</v>
      </c>
      <c r="J805">
        <f>[2]TongHop!J805</f>
        <v>0</v>
      </c>
      <c r="K805">
        <f>[2]TongHop!K805</f>
        <v>0</v>
      </c>
      <c r="L805">
        <f>[2]TongHop!L805</f>
        <v>0</v>
      </c>
      <c r="M805">
        <f>[2]TongHop!M805</f>
        <v>0</v>
      </c>
      <c r="N805">
        <f>[2]TongHop!N805</f>
        <v>0</v>
      </c>
    </row>
    <row r="806" spans="1:14">
      <c r="A806">
        <f>[2]TongHop!A806</f>
        <v>0</v>
      </c>
      <c r="B806">
        <f>[2]TongHop!B806</f>
        <v>0</v>
      </c>
      <c r="C806">
        <f>[2]TongHop!C806</f>
        <v>0</v>
      </c>
      <c r="D806">
        <f>[2]TongHop!D806</f>
        <v>0</v>
      </c>
      <c r="E806">
        <f>[2]TongHop!E806</f>
        <v>0</v>
      </c>
      <c r="F806">
        <f>[2]TongHop!F806</f>
        <v>0</v>
      </c>
      <c r="G806">
        <f>[2]TongHop!G806</f>
        <v>0</v>
      </c>
      <c r="H806">
        <f>[2]TongHop!H806</f>
        <v>0</v>
      </c>
      <c r="I806">
        <f>[2]TongHop!I806</f>
        <v>0</v>
      </c>
      <c r="J806">
        <f>[2]TongHop!J806</f>
        <v>0</v>
      </c>
      <c r="K806">
        <f>[2]TongHop!K806</f>
        <v>0</v>
      </c>
      <c r="L806">
        <f>[2]TongHop!L806</f>
        <v>0</v>
      </c>
      <c r="M806">
        <f>[2]TongHop!M806</f>
        <v>0</v>
      </c>
      <c r="N806">
        <f>[2]TongHop!N806</f>
        <v>0</v>
      </c>
    </row>
    <row r="807" spans="1:14">
      <c r="A807">
        <f>[2]TongHop!A807</f>
        <v>0</v>
      </c>
      <c r="B807">
        <f>[2]TongHop!B807</f>
        <v>0</v>
      </c>
      <c r="C807">
        <f>[2]TongHop!C807</f>
        <v>0</v>
      </c>
      <c r="D807">
        <f>[2]TongHop!D807</f>
        <v>0</v>
      </c>
      <c r="E807">
        <f>[2]TongHop!E807</f>
        <v>0</v>
      </c>
      <c r="F807">
        <f>[2]TongHop!F807</f>
        <v>0</v>
      </c>
      <c r="G807">
        <f>[2]TongHop!G807</f>
        <v>0</v>
      </c>
      <c r="H807">
        <f>[2]TongHop!H807</f>
        <v>0</v>
      </c>
      <c r="I807">
        <f>[2]TongHop!I807</f>
        <v>0</v>
      </c>
      <c r="J807">
        <f>[2]TongHop!J807</f>
        <v>0</v>
      </c>
      <c r="K807">
        <f>[2]TongHop!K807</f>
        <v>0</v>
      </c>
      <c r="L807">
        <f>[2]TongHop!L807</f>
        <v>0</v>
      </c>
      <c r="M807">
        <f>[2]TongHop!M807</f>
        <v>0</v>
      </c>
      <c r="N807">
        <f>[2]TongHop!N807</f>
        <v>0</v>
      </c>
    </row>
    <row r="808" spans="1:14">
      <c r="A808">
        <f>[2]TongHop!A808</f>
        <v>0</v>
      </c>
      <c r="B808">
        <f>[2]TongHop!B808</f>
        <v>0</v>
      </c>
      <c r="C808">
        <f>[2]TongHop!C808</f>
        <v>0</v>
      </c>
      <c r="D808">
        <f>[2]TongHop!D808</f>
        <v>0</v>
      </c>
      <c r="E808">
        <f>[2]TongHop!E808</f>
        <v>0</v>
      </c>
      <c r="F808">
        <f>[2]TongHop!F808</f>
        <v>0</v>
      </c>
      <c r="G808">
        <f>[2]TongHop!G808</f>
        <v>0</v>
      </c>
      <c r="H808">
        <f>[2]TongHop!H808</f>
        <v>0</v>
      </c>
      <c r="I808">
        <f>[2]TongHop!I808</f>
        <v>0</v>
      </c>
      <c r="J808">
        <f>[2]TongHop!J808</f>
        <v>0</v>
      </c>
      <c r="K808">
        <f>[2]TongHop!K808</f>
        <v>0</v>
      </c>
      <c r="L808">
        <f>[2]TongHop!L808</f>
        <v>0</v>
      </c>
      <c r="M808">
        <f>[2]TongHop!M808</f>
        <v>0</v>
      </c>
      <c r="N808">
        <f>[2]TongHop!N808</f>
        <v>0</v>
      </c>
    </row>
    <row r="809" spans="1:14">
      <c r="A809">
        <f>[2]TongHop!A809</f>
        <v>0</v>
      </c>
      <c r="B809">
        <f>[2]TongHop!B809</f>
        <v>0</v>
      </c>
      <c r="C809">
        <f>[2]TongHop!C809</f>
        <v>0</v>
      </c>
      <c r="D809">
        <f>[2]TongHop!D809</f>
        <v>0</v>
      </c>
      <c r="E809">
        <f>[2]TongHop!E809</f>
        <v>0</v>
      </c>
      <c r="F809">
        <f>[2]TongHop!F809</f>
        <v>0</v>
      </c>
      <c r="G809">
        <f>[2]TongHop!G809</f>
        <v>0</v>
      </c>
      <c r="H809">
        <f>[2]TongHop!H809</f>
        <v>0</v>
      </c>
      <c r="I809">
        <f>[2]TongHop!I809</f>
        <v>0</v>
      </c>
      <c r="J809">
        <f>[2]TongHop!J809</f>
        <v>0</v>
      </c>
      <c r="K809">
        <f>[2]TongHop!K809</f>
        <v>0</v>
      </c>
      <c r="L809">
        <f>[2]TongHop!L809</f>
        <v>0</v>
      </c>
      <c r="M809">
        <f>[2]TongHop!M809</f>
        <v>0</v>
      </c>
      <c r="N809">
        <f>[2]TongHop!N809</f>
        <v>0</v>
      </c>
    </row>
    <row r="810" spans="1:14">
      <c r="A810">
        <f>[2]TongHop!A810</f>
        <v>0</v>
      </c>
      <c r="B810">
        <f>[2]TongHop!B810</f>
        <v>0</v>
      </c>
      <c r="C810">
        <f>[2]TongHop!C810</f>
        <v>0</v>
      </c>
      <c r="D810">
        <f>[2]TongHop!D810</f>
        <v>0</v>
      </c>
      <c r="E810">
        <f>[2]TongHop!E810</f>
        <v>0</v>
      </c>
      <c r="F810">
        <f>[2]TongHop!F810</f>
        <v>0</v>
      </c>
      <c r="G810">
        <f>[2]TongHop!G810</f>
        <v>0</v>
      </c>
      <c r="H810">
        <f>[2]TongHop!H810</f>
        <v>0</v>
      </c>
      <c r="I810">
        <f>[2]TongHop!I810</f>
        <v>0</v>
      </c>
      <c r="J810">
        <f>[2]TongHop!J810</f>
        <v>0</v>
      </c>
      <c r="K810">
        <f>[2]TongHop!K810</f>
        <v>0</v>
      </c>
      <c r="L810">
        <f>[2]TongHop!L810</f>
        <v>0</v>
      </c>
      <c r="M810">
        <f>[2]TongHop!M810</f>
        <v>0</v>
      </c>
      <c r="N810">
        <f>[2]TongHop!N810</f>
        <v>0</v>
      </c>
    </row>
    <row r="811" spans="1:14">
      <c r="A811">
        <f>[2]TongHop!A811</f>
        <v>0</v>
      </c>
      <c r="B811">
        <f>[2]TongHop!B811</f>
        <v>0</v>
      </c>
      <c r="C811">
        <f>[2]TongHop!C811</f>
        <v>0</v>
      </c>
      <c r="D811">
        <f>[2]TongHop!D811</f>
        <v>0</v>
      </c>
      <c r="E811">
        <f>[2]TongHop!E811</f>
        <v>0</v>
      </c>
      <c r="F811">
        <f>[2]TongHop!F811</f>
        <v>0</v>
      </c>
      <c r="G811">
        <f>[2]TongHop!G811</f>
        <v>0</v>
      </c>
      <c r="H811">
        <f>[2]TongHop!H811</f>
        <v>0</v>
      </c>
      <c r="I811">
        <f>[2]TongHop!I811</f>
        <v>0</v>
      </c>
      <c r="J811">
        <f>[2]TongHop!J811</f>
        <v>0</v>
      </c>
      <c r="K811">
        <f>[2]TongHop!K811</f>
        <v>0</v>
      </c>
      <c r="L811">
        <f>[2]TongHop!L811</f>
        <v>0</v>
      </c>
      <c r="M811">
        <f>[2]TongHop!M811</f>
        <v>0</v>
      </c>
      <c r="N811">
        <f>[2]TongHop!N811</f>
        <v>0</v>
      </c>
    </row>
    <row r="812" spans="1:14">
      <c r="A812">
        <f>[2]TongHop!A812</f>
        <v>0</v>
      </c>
      <c r="B812">
        <f>[2]TongHop!B812</f>
        <v>0</v>
      </c>
      <c r="C812">
        <f>[2]TongHop!C812</f>
        <v>0</v>
      </c>
      <c r="D812">
        <f>[2]TongHop!D812</f>
        <v>0</v>
      </c>
      <c r="E812">
        <f>[2]TongHop!E812</f>
        <v>0</v>
      </c>
      <c r="F812">
        <f>[2]TongHop!F812</f>
        <v>0</v>
      </c>
      <c r="G812">
        <f>[2]TongHop!G812</f>
        <v>0</v>
      </c>
      <c r="H812">
        <f>[2]TongHop!H812</f>
        <v>0</v>
      </c>
      <c r="I812">
        <f>[2]TongHop!I812</f>
        <v>0</v>
      </c>
      <c r="J812">
        <f>[2]TongHop!J812</f>
        <v>0</v>
      </c>
      <c r="K812">
        <f>[2]TongHop!K812</f>
        <v>0</v>
      </c>
      <c r="L812">
        <f>[2]TongHop!L812</f>
        <v>0</v>
      </c>
      <c r="M812">
        <f>[2]TongHop!M812</f>
        <v>0</v>
      </c>
      <c r="N812">
        <f>[2]TongHop!N812</f>
        <v>0</v>
      </c>
    </row>
    <row r="813" spans="1:14">
      <c r="A813">
        <f>[2]TongHop!A813</f>
        <v>0</v>
      </c>
      <c r="B813">
        <f>[2]TongHop!B813</f>
        <v>0</v>
      </c>
      <c r="C813">
        <f>[2]TongHop!C813</f>
        <v>0</v>
      </c>
      <c r="D813">
        <f>[2]TongHop!D813</f>
        <v>0</v>
      </c>
      <c r="E813">
        <f>[2]TongHop!E813</f>
        <v>0</v>
      </c>
      <c r="F813">
        <f>[2]TongHop!F813</f>
        <v>0</v>
      </c>
      <c r="G813">
        <f>[2]TongHop!G813</f>
        <v>0</v>
      </c>
      <c r="H813">
        <f>[2]TongHop!H813</f>
        <v>0</v>
      </c>
      <c r="I813">
        <f>[2]TongHop!I813</f>
        <v>0</v>
      </c>
      <c r="J813">
        <f>[2]TongHop!J813</f>
        <v>0</v>
      </c>
      <c r="K813">
        <f>[2]TongHop!K813</f>
        <v>0</v>
      </c>
      <c r="L813">
        <f>[2]TongHop!L813</f>
        <v>0</v>
      </c>
      <c r="M813">
        <f>[2]TongHop!M813</f>
        <v>0</v>
      </c>
      <c r="N813">
        <f>[2]TongHop!N813</f>
        <v>0</v>
      </c>
    </row>
    <row r="814" spans="1:14">
      <c r="A814">
        <f>[2]TongHop!A814</f>
        <v>0</v>
      </c>
      <c r="B814">
        <f>[2]TongHop!B814</f>
        <v>0</v>
      </c>
      <c r="C814">
        <f>[2]TongHop!C814</f>
        <v>0</v>
      </c>
      <c r="D814">
        <f>[2]TongHop!D814</f>
        <v>0</v>
      </c>
      <c r="E814">
        <f>[2]TongHop!E814</f>
        <v>0</v>
      </c>
      <c r="F814">
        <f>[2]TongHop!F814</f>
        <v>0</v>
      </c>
      <c r="G814">
        <f>[2]TongHop!G814</f>
        <v>0</v>
      </c>
      <c r="H814">
        <f>[2]TongHop!H814</f>
        <v>0</v>
      </c>
      <c r="I814">
        <f>[2]TongHop!I814</f>
        <v>0</v>
      </c>
      <c r="J814">
        <f>[2]TongHop!J814</f>
        <v>0</v>
      </c>
      <c r="K814">
        <f>[2]TongHop!K814</f>
        <v>0</v>
      </c>
      <c r="L814">
        <f>[2]TongHop!L814</f>
        <v>0</v>
      </c>
      <c r="M814">
        <f>[2]TongHop!M814</f>
        <v>0</v>
      </c>
      <c r="N814">
        <f>[2]TongHop!N814</f>
        <v>0</v>
      </c>
    </row>
    <row r="815" spans="1:14">
      <c r="A815">
        <f>[2]TongHop!A815</f>
        <v>0</v>
      </c>
      <c r="B815">
        <f>[2]TongHop!B815</f>
        <v>0</v>
      </c>
      <c r="C815">
        <f>[2]TongHop!C815</f>
        <v>0</v>
      </c>
      <c r="D815">
        <f>[2]TongHop!D815</f>
        <v>0</v>
      </c>
      <c r="E815">
        <f>[2]TongHop!E815</f>
        <v>0</v>
      </c>
      <c r="F815">
        <f>[2]TongHop!F815</f>
        <v>0</v>
      </c>
      <c r="G815">
        <f>[2]TongHop!G815</f>
        <v>0</v>
      </c>
      <c r="H815">
        <f>[2]TongHop!H815</f>
        <v>0</v>
      </c>
      <c r="I815">
        <f>[2]TongHop!I815</f>
        <v>0</v>
      </c>
      <c r="J815">
        <f>[2]TongHop!J815</f>
        <v>0</v>
      </c>
      <c r="K815">
        <f>[2]TongHop!K815</f>
        <v>0</v>
      </c>
      <c r="L815">
        <f>[2]TongHop!L815</f>
        <v>0</v>
      </c>
      <c r="M815">
        <f>[2]TongHop!M815</f>
        <v>0</v>
      </c>
      <c r="N815">
        <f>[2]TongHop!N815</f>
        <v>0</v>
      </c>
    </row>
    <row r="816" spans="1:14">
      <c r="A816">
        <f>[2]TongHop!A816</f>
        <v>0</v>
      </c>
      <c r="B816">
        <f>[2]TongHop!B816</f>
        <v>0</v>
      </c>
      <c r="C816">
        <f>[2]TongHop!C816</f>
        <v>0</v>
      </c>
      <c r="D816">
        <f>[2]TongHop!D816</f>
        <v>0</v>
      </c>
      <c r="E816">
        <f>[2]TongHop!E816</f>
        <v>0</v>
      </c>
      <c r="F816">
        <f>[2]TongHop!F816</f>
        <v>0</v>
      </c>
      <c r="G816">
        <f>[2]TongHop!G816</f>
        <v>0</v>
      </c>
      <c r="H816">
        <f>[2]TongHop!H816</f>
        <v>0</v>
      </c>
      <c r="I816">
        <f>[2]TongHop!I816</f>
        <v>0</v>
      </c>
      <c r="J816">
        <f>[2]TongHop!J816</f>
        <v>0</v>
      </c>
      <c r="K816">
        <f>[2]TongHop!K816</f>
        <v>0</v>
      </c>
      <c r="L816">
        <f>[2]TongHop!L816</f>
        <v>0</v>
      </c>
      <c r="M816">
        <f>[2]TongHop!M816</f>
        <v>0</v>
      </c>
      <c r="N816">
        <f>[2]TongHop!N816</f>
        <v>0</v>
      </c>
    </row>
    <row r="817" spans="1:14">
      <c r="A817">
        <f>[2]TongHop!A817</f>
        <v>0</v>
      </c>
      <c r="B817">
        <f>[2]TongHop!B817</f>
        <v>0</v>
      </c>
      <c r="C817">
        <f>[2]TongHop!C817</f>
        <v>0</v>
      </c>
      <c r="D817">
        <f>[2]TongHop!D817</f>
        <v>0</v>
      </c>
      <c r="E817">
        <f>[2]TongHop!E817</f>
        <v>0</v>
      </c>
      <c r="F817">
        <f>[2]TongHop!F817</f>
        <v>0</v>
      </c>
      <c r="G817">
        <f>[2]TongHop!G817</f>
        <v>0</v>
      </c>
      <c r="H817">
        <f>[2]TongHop!H817</f>
        <v>0</v>
      </c>
      <c r="I817">
        <f>[2]TongHop!I817</f>
        <v>0</v>
      </c>
      <c r="J817">
        <f>[2]TongHop!J817</f>
        <v>0</v>
      </c>
      <c r="K817">
        <f>[2]TongHop!K817</f>
        <v>0</v>
      </c>
      <c r="L817">
        <f>[2]TongHop!L817</f>
        <v>0</v>
      </c>
      <c r="M817">
        <f>[2]TongHop!M817</f>
        <v>0</v>
      </c>
      <c r="N817">
        <f>[2]TongHop!N817</f>
        <v>0</v>
      </c>
    </row>
    <row r="818" spans="1:14">
      <c r="A818">
        <f>[2]TongHop!A818</f>
        <v>0</v>
      </c>
      <c r="B818">
        <f>[2]TongHop!B818</f>
        <v>0</v>
      </c>
      <c r="C818">
        <f>[2]TongHop!C818</f>
        <v>0</v>
      </c>
      <c r="D818">
        <f>[2]TongHop!D818</f>
        <v>0</v>
      </c>
      <c r="E818">
        <f>[2]TongHop!E818</f>
        <v>0</v>
      </c>
      <c r="F818">
        <f>[2]TongHop!F818</f>
        <v>0</v>
      </c>
      <c r="G818">
        <f>[2]TongHop!G818</f>
        <v>0</v>
      </c>
      <c r="H818">
        <f>[2]TongHop!H818</f>
        <v>0</v>
      </c>
      <c r="I818">
        <f>[2]TongHop!I818</f>
        <v>0</v>
      </c>
      <c r="J818">
        <f>[2]TongHop!J818</f>
        <v>0</v>
      </c>
      <c r="K818">
        <f>[2]TongHop!K818</f>
        <v>0</v>
      </c>
      <c r="L818">
        <f>[2]TongHop!L818</f>
        <v>0</v>
      </c>
      <c r="M818">
        <f>[2]TongHop!M818</f>
        <v>0</v>
      </c>
      <c r="N818">
        <f>[2]TongHop!N818</f>
        <v>0</v>
      </c>
    </row>
    <row r="819" spans="1:14">
      <c r="A819">
        <f>[2]TongHop!A819</f>
        <v>0</v>
      </c>
      <c r="B819">
        <f>[2]TongHop!B819</f>
        <v>0</v>
      </c>
      <c r="C819">
        <f>[2]TongHop!C819</f>
        <v>0</v>
      </c>
      <c r="D819">
        <f>[2]TongHop!D819</f>
        <v>0</v>
      </c>
      <c r="E819">
        <f>[2]TongHop!E819</f>
        <v>0</v>
      </c>
      <c r="F819">
        <f>[2]TongHop!F819</f>
        <v>0</v>
      </c>
      <c r="G819">
        <f>[2]TongHop!G819</f>
        <v>0</v>
      </c>
      <c r="H819">
        <f>[2]TongHop!H819</f>
        <v>0</v>
      </c>
      <c r="I819">
        <f>[2]TongHop!I819</f>
        <v>0</v>
      </c>
      <c r="J819">
        <f>[2]TongHop!J819</f>
        <v>0</v>
      </c>
      <c r="K819">
        <f>[2]TongHop!K819</f>
        <v>0</v>
      </c>
      <c r="L819">
        <f>[2]TongHop!L819</f>
        <v>0</v>
      </c>
      <c r="M819">
        <f>[2]TongHop!M819</f>
        <v>0</v>
      </c>
      <c r="N819">
        <f>[2]TongHop!N819</f>
        <v>0</v>
      </c>
    </row>
    <row r="820" spans="1:14">
      <c r="A820">
        <f>[2]TongHop!A820</f>
        <v>0</v>
      </c>
      <c r="B820">
        <f>[2]TongHop!B820</f>
        <v>0</v>
      </c>
      <c r="C820">
        <f>[2]TongHop!C820</f>
        <v>0</v>
      </c>
      <c r="D820">
        <f>[2]TongHop!D820</f>
        <v>0</v>
      </c>
      <c r="E820">
        <f>[2]TongHop!E820</f>
        <v>0</v>
      </c>
      <c r="F820">
        <f>[2]TongHop!F820</f>
        <v>0</v>
      </c>
      <c r="G820">
        <f>[2]TongHop!G820</f>
        <v>0</v>
      </c>
      <c r="H820">
        <f>[2]TongHop!H820</f>
        <v>0</v>
      </c>
      <c r="I820">
        <f>[2]TongHop!I820</f>
        <v>0</v>
      </c>
      <c r="J820">
        <f>[2]TongHop!J820</f>
        <v>0</v>
      </c>
      <c r="K820">
        <f>[2]TongHop!K820</f>
        <v>0</v>
      </c>
      <c r="L820">
        <f>[2]TongHop!L820</f>
        <v>0</v>
      </c>
      <c r="M820">
        <f>[2]TongHop!M820</f>
        <v>0</v>
      </c>
      <c r="N820">
        <f>[2]TongHop!N820</f>
        <v>0</v>
      </c>
    </row>
    <row r="821" spans="1:14">
      <c r="A821">
        <f>[2]TongHop!A821</f>
        <v>0</v>
      </c>
      <c r="B821">
        <f>[2]TongHop!B821</f>
        <v>0</v>
      </c>
      <c r="C821">
        <f>[2]TongHop!C821</f>
        <v>0</v>
      </c>
      <c r="D821">
        <f>[2]TongHop!D821</f>
        <v>0</v>
      </c>
      <c r="E821">
        <f>[2]TongHop!E821</f>
        <v>0</v>
      </c>
      <c r="F821">
        <f>[2]TongHop!F821</f>
        <v>0</v>
      </c>
      <c r="G821">
        <f>[2]TongHop!G821</f>
        <v>0</v>
      </c>
      <c r="H821">
        <f>[2]TongHop!H821</f>
        <v>0</v>
      </c>
      <c r="I821">
        <f>[2]TongHop!I821</f>
        <v>0</v>
      </c>
      <c r="J821">
        <f>[2]TongHop!J821</f>
        <v>0</v>
      </c>
      <c r="K821">
        <f>[2]TongHop!K821</f>
        <v>0</v>
      </c>
      <c r="L821">
        <f>[2]TongHop!L821</f>
        <v>0</v>
      </c>
      <c r="M821">
        <f>[2]TongHop!M821</f>
        <v>0</v>
      </c>
      <c r="N821">
        <f>[2]TongHop!N821</f>
        <v>0</v>
      </c>
    </row>
    <row r="822" spans="1:14">
      <c r="A822">
        <f>[2]TongHop!A822</f>
        <v>0</v>
      </c>
      <c r="B822">
        <f>[2]TongHop!B822</f>
        <v>0</v>
      </c>
      <c r="C822">
        <f>[2]TongHop!C822</f>
        <v>0</v>
      </c>
      <c r="D822">
        <f>[2]TongHop!D822</f>
        <v>0</v>
      </c>
      <c r="E822">
        <f>[2]TongHop!E822</f>
        <v>0</v>
      </c>
      <c r="F822">
        <f>[2]TongHop!F822</f>
        <v>0</v>
      </c>
      <c r="G822">
        <f>[2]TongHop!G822</f>
        <v>0</v>
      </c>
      <c r="H822">
        <f>[2]TongHop!H822</f>
        <v>0</v>
      </c>
      <c r="I822">
        <f>[2]TongHop!I822</f>
        <v>0</v>
      </c>
      <c r="J822">
        <f>[2]TongHop!J822</f>
        <v>0</v>
      </c>
      <c r="K822">
        <f>[2]TongHop!K822</f>
        <v>0</v>
      </c>
      <c r="L822">
        <f>[2]TongHop!L822</f>
        <v>0</v>
      </c>
      <c r="M822">
        <f>[2]TongHop!M822</f>
        <v>0</v>
      </c>
      <c r="N822">
        <f>[2]TongHop!N822</f>
        <v>0</v>
      </c>
    </row>
    <row r="823" spans="1:14">
      <c r="A823">
        <f>[2]TongHop!A823</f>
        <v>0</v>
      </c>
      <c r="B823">
        <f>[2]TongHop!B823</f>
        <v>0</v>
      </c>
      <c r="C823">
        <f>[2]TongHop!C823</f>
        <v>0</v>
      </c>
      <c r="D823">
        <f>[2]TongHop!D823</f>
        <v>0</v>
      </c>
      <c r="E823">
        <f>[2]TongHop!E823</f>
        <v>0</v>
      </c>
      <c r="F823">
        <f>[2]TongHop!F823</f>
        <v>0</v>
      </c>
      <c r="G823">
        <f>[2]TongHop!G823</f>
        <v>0</v>
      </c>
      <c r="H823">
        <f>[2]TongHop!H823</f>
        <v>0</v>
      </c>
      <c r="I823">
        <f>[2]TongHop!I823</f>
        <v>0</v>
      </c>
      <c r="J823">
        <f>[2]TongHop!J823</f>
        <v>0</v>
      </c>
      <c r="K823">
        <f>[2]TongHop!K823</f>
        <v>0</v>
      </c>
      <c r="L823">
        <f>[2]TongHop!L823</f>
        <v>0</v>
      </c>
      <c r="M823">
        <f>[2]TongHop!M823</f>
        <v>0</v>
      </c>
      <c r="N823">
        <f>[2]TongHop!N823</f>
        <v>0</v>
      </c>
    </row>
    <row r="824" spans="1:14">
      <c r="A824">
        <f>[2]TongHop!A824</f>
        <v>0</v>
      </c>
      <c r="B824">
        <f>[2]TongHop!B824</f>
        <v>0</v>
      </c>
      <c r="C824">
        <f>[2]TongHop!C824</f>
        <v>0</v>
      </c>
      <c r="D824">
        <f>[2]TongHop!D824</f>
        <v>0</v>
      </c>
      <c r="E824">
        <f>[2]TongHop!E824</f>
        <v>0</v>
      </c>
      <c r="F824">
        <f>[2]TongHop!F824</f>
        <v>0</v>
      </c>
      <c r="G824">
        <f>[2]TongHop!G824</f>
        <v>0</v>
      </c>
      <c r="H824">
        <f>[2]TongHop!H824</f>
        <v>0</v>
      </c>
      <c r="I824">
        <f>[2]TongHop!I824</f>
        <v>0</v>
      </c>
      <c r="J824">
        <f>[2]TongHop!J824</f>
        <v>0</v>
      </c>
      <c r="K824">
        <f>[2]TongHop!K824</f>
        <v>0</v>
      </c>
      <c r="L824">
        <f>[2]TongHop!L824</f>
        <v>0</v>
      </c>
      <c r="M824">
        <f>[2]TongHop!M824</f>
        <v>0</v>
      </c>
      <c r="N824">
        <f>[2]TongHop!N824</f>
        <v>0</v>
      </c>
    </row>
    <row r="825" spans="1:14">
      <c r="A825">
        <f>[2]TongHop!A825</f>
        <v>0</v>
      </c>
      <c r="B825">
        <f>[2]TongHop!B825</f>
        <v>0</v>
      </c>
      <c r="C825">
        <f>[2]TongHop!C825</f>
        <v>0</v>
      </c>
      <c r="D825">
        <f>[2]TongHop!D825</f>
        <v>0</v>
      </c>
      <c r="E825">
        <f>[2]TongHop!E825</f>
        <v>0</v>
      </c>
      <c r="F825">
        <f>[2]TongHop!F825</f>
        <v>0</v>
      </c>
      <c r="G825">
        <f>[2]TongHop!G825</f>
        <v>0</v>
      </c>
      <c r="H825">
        <f>[2]TongHop!H825</f>
        <v>0</v>
      </c>
      <c r="I825">
        <f>[2]TongHop!I825</f>
        <v>0</v>
      </c>
      <c r="J825">
        <f>[2]TongHop!J825</f>
        <v>0</v>
      </c>
      <c r="K825">
        <f>[2]TongHop!K825</f>
        <v>0</v>
      </c>
      <c r="L825">
        <f>[2]TongHop!L825</f>
        <v>0</v>
      </c>
      <c r="M825">
        <f>[2]TongHop!M825</f>
        <v>0</v>
      </c>
      <c r="N825">
        <f>[2]TongHop!N825</f>
        <v>0</v>
      </c>
    </row>
    <row r="826" spans="1:14">
      <c r="A826">
        <f>[2]TongHop!A826</f>
        <v>0</v>
      </c>
      <c r="B826">
        <f>[2]TongHop!B826</f>
        <v>0</v>
      </c>
      <c r="C826">
        <f>[2]TongHop!C826</f>
        <v>0</v>
      </c>
      <c r="D826">
        <f>[2]TongHop!D826</f>
        <v>0</v>
      </c>
      <c r="E826">
        <f>[2]TongHop!E826</f>
        <v>0</v>
      </c>
      <c r="F826">
        <f>[2]TongHop!F826</f>
        <v>0</v>
      </c>
      <c r="G826">
        <f>[2]TongHop!G826</f>
        <v>0</v>
      </c>
      <c r="H826">
        <f>[2]TongHop!H826</f>
        <v>0</v>
      </c>
      <c r="I826">
        <f>[2]TongHop!I826</f>
        <v>0</v>
      </c>
      <c r="J826">
        <f>[2]TongHop!J826</f>
        <v>0</v>
      </c>
      <c r="K826">
        <f>[2]TongHop!K826</f>
        <v>0</v>
      </c>
      <c r="L826">
        <f>[2]TongHop!L826</f>
        <v>0</v>
      </c>
      <c r="M826">
        <f>[2]TongHop!M826</f>
        <v>0</v>
      </c>
      <c r="N826">
        <f>[2]TongHop!N826</f>
        <v>0</v>
      </c>
    </row>
    <row r="827" spans="1:14">
      <c r="A827">
        <f>[2]TongHop!A827</f>
        <v>0</v>
      </c>
      <c r="B827">
        <f>[2]TongHop!B827</f>
        <v>0</v>
      </c>
      <c r="C827">
        <f>[2]TongHop!C827</f>
        <v>0</v>
      </c>
      <c r="D827">
        <f>[2]TongHop!D827</f>
        <v>0</v>
      </c>
      <c r="E827">
        <f>[2]TongHop!E827</f>
        <v>0</v>
      </c>
      <c r="F827">
        <f>[2]TongHop!F827</f>
        <v>0</v>
      </c>
      <c r="G827">
        <f>[2]TongHop!G827</f>
        <v>0</v>
      </c>
      <c r="H827">
        <f>[2]TongHop!H827</f>
        <v>0</v>
      </c>
      <c r="I827">
        <f>[2]TongHop!I827</f>
        <v>0</v>
      </c>
      <c r="J827">
        <f>[2]TongHop!J827</f>
        <v>0</v>
      </c>
      <c r="K827">
        <f>[2]TongHop!K827</f>
        <v>0</v>
      </c>
      <c r="L827">
        <f>[2]TongHop!L827</f>
        <v>0</v>
      </c>
      <c r="M827">
        <f>[2]TongHop!M827</f>
        <v>0</v>
      </c>
      <c r="N827">
        <f>[2]TongHop!N827</f>
        <v>0</v>
      </c>
    </row>
    <row r="828" spans="1:14">
      <c r="A828">
        <f>[2]TongHop!A828</f>
        <v>0</v>
      </c>
      <c r="B828">
        <f>[2]TongHop!B828</f>
        <v>0</v>
      </c>
      <c r="C828">
        <f>[2]TongHop!C828</f>
        <v>0</v>
      </c>
      <c r="D828">
        <f>[2]TongHop!D828</f>
        <v>0</v>
      </c>
      <c r="E828">
        <f>[2]TongHop!E828</f>
        <v>0</v>
      </c>
      <c r="F828">
        <f>[2]TongHop!F828</f>
        <v>0</v>
      </c>
      <c r="G828">
        <f>[2]TongHop!G828</f>
        <v>0</v>
      </c>
      <c r="H828">
        <f>[2]TongHop!H828</f>
        <v>0</v>
      </c>
      <c r="I828">
        <f>[2]TongHop!I828</f>
        <v>0</v>
      </c>
      <c r="J828">
        <f>[2]TongHop!J828</f>
        <v>0</v>
      </c>
      <c r="K828">
        <f>[2]TongHop!K828</f>
        <v>0</v>
      </c>
      <c r="L828">
        <f>[2]TongHop!L828</f>
        <v>0</v>
      </c>
      <c r="M828">
        <f>[2]TongHop!M828</f>
        <v>0</v>
      </c>
      <c r="N828">
        <f>[2]TongHop!N828</f>
        <v>0</v>
      </c>
    </row>
    <row r="829" spans="1:14">
      <c r="A829">
        <f>[2]TongHop!A829</f>
        <v>0</v>
      </c>
      <c r="B829">
        <f>[2]TongHop!B829</f>
        <v>0</v>
      </c>
      <c r="C829">
        <f>[2]TongHop!C829</f>
        <v>0</v>
      </c>
      <c r="D829">
        <f>[2]TongHop!D829</f>
        <v>0</v>
      </c>
      <c r="E829">
        <f>[2]TongHop!E829</f>
        <v>0</v>
      </c>
      <c r="F829">
        <f>[2]TongHop!F829</f>
        <v>0</v>
      </c>
      <c r="G829">
        <f>[2]TongHop!G829</f>
        <v>0</v>
      </c>
      <c r="H829">
        <f>[2]TongHop!H829</f>
        <v>0</v>
      </c>
      <c r="I829">
        <f>[2]TongHop!I829</f>
        <v>0</v>
      </c>
      <c r="J829">
        <f>[2]TongHop!J829</f>
        <v>0</v>
      </c>
      <c r="K829">
        <f>[2]TongHop!K829</f>
        <v>0</v>
      </c>
      <c r="L829">
        <f>[2]TongHop!L829</f>
        <v>0</v>
      </c>
      <c r="M829">
        <f>[2]TongHop!M829</f>
        <v>0</v>
      </c>
      <c r="N829">
        <f>[2]TongHop!N829</f>
        <v>0</v>
      </c>
    </row>
    <row r="830" spans="1:14">
      <c r="A830">
        <f>[2]TongHop!A830</f>
        <v>0</v>
      </c>
      <c r="B830">
        <f>[2]TongHop!B830</f>
        <v>0</v>
      </c>
      <c r="C830">
        <f>[2]TongHop!C830</f>
        <v>0</v>
      </c>
      <c r="D830">
        <f>[2]TongHop!D830</f>
        <v>0</v>
      </c>
      <c r="E830">
        <f>[2]TongHop!E830</f>
        <v>0</v>
      </c>
      <c r="F830">
        <f>[2]TongHop!F830</f>
        <v>0</v>
      </c>
      <c r="G830">
        <f>[2]TongHop!G830</f>
        <v>0</v>
      </c>
      <c r="H830">
        <f>[2]TongHop!H830</f>
        <v>0</v>
      </c>
      <c r="I830">
        <f>[2]TongHop!I830</f>
        <v>0</v>
      </c>
      <c r="J830">
        <f>[2]TongHop!J830</f>
        <v>0</v>
      </c>
      <c r="K830">
        <f>[2]TongHop!K830</f>
        <v>0</v>
      </c>
      <c r="L830">
        <f>[2]TongHop!L830</f>
        <v>0</v>
      </c>
      <c r="M830">
        <f>[2]TongHop!M830</f>
        <v>0</v>
      </c>
      <c r="N830">
        <f>[2]TongHop!N830</f>
        <v>0</v>
      </c>
    </row>
    <row r="831" spans="1:14">
      <c r="A831">
        <f>[2]TongHop!A831</f>
        <v>0</v>
      </c>
      <c r="B831">
        <f>[2]TongHop!B831</f>
        <v>0</v>
      </c>
      <c r="C831">
        <f>[2]TongHop!C831</f>
        <v>0</v>
      </c>
      <c r="D831">
        <f>[2]TongHop!D831</f>
        <v>0</v>
      </c>
      <c r="E831">
        <f>[2]TongHop!E831</f>
        <v>0</v>
      </c>
      <c r="F831">
        <f>[2]TongHop!F831</f>
        <v>0</v>
      </c>
      <c r="G831">
        <f>[2]TongHop!G831</f>
        <v>0</v>
      </c>
      <c r="H831">
        <f>[2]TongHop!H831</f>
        <v>0</v>
      </c>
      <c r="I831">
        <f>[2]TongHop!I831</f>
        <v>0</v>
      </c>
      <c r="J831">
        <f>[2]TongHop!J831</f>
        <v>0</v>
      </c>
      <c r="K831">
        <f>[2]TongHop!K831</f>
        <v>0</v>
      </c>
      <c r="L831">
        <f>[2]TongHop!L831</f>
        <v>0</v>
      </c>
      <c r="M831">
        <f>[2]TongHop!M831</f>
        <v>0</v>
      </c>
      <c r="N831">
        <f>[2]TongHop!N831</f>
        <v>0</v>
      </c>
    </row>
    <row r="832" spans="1:14">
      <c r="A832">
        <f>[2]TongHop!A832</f>
        <v>0</v>
      </c>
      <c r="B832">
        <f>[2]TongHop!B832</f>
        <v>0</v>
      </c>
      <c r="C832">
        <f>[2]TongHop!C832</f>
        <v>0</v>
      </c>
      <c r="D832">
        <f>[2]TongHop!D832</f>
        <v>0</v>
      </c>
      <c r="E832">
        <f>[2]TongHop!E832</f>
        <v>0</v>
      </c>
      <c r="F832">
        <f>[2]TongHop!F832</f>
        <v>0</v>
      </c>
      <c r="G832">
        <f>[2]TongHop!G832</f>
        <v>0</v>
      </c>
      <c r="H832">
        <f>[2]TongHop!H832</f>
        <v>0</v>
      </c>
      <c r="I832">
        <f>[2]TongHop!I832</f>
        <v>0</v>
      </c>
      <c r="J832">
        <f>[2]TongHop!J832</f>
        <v>0</v>
      </c>
      <c r="K832">
        <f>[2]TongHop!K832</f>
        <v>0</v>
      </c>
      <c r="L832">
        <f>[2]TongHop!L832</f>
        <v>0</v>
      </c>
      <c r="M832">
        <f>[2]TongHop!M832</f>
        <v>0</v>
      </c>
      <c r="N832">
        <f>[2]TongHop!N832</f>
        <v>0</v>
      </c>
    </row>
    <row r="833" spans="1:14">
      <c r="A833">
        <f>[2]TongHop!A833</f>
        <v>0</v>
      </c>
      <c r="B833">
        <f>[2]TongHop!B833</f>
        <v>0</v>
      </c>
      <c r="C833">
        <f>[2]TongHop!C833</f>
        <v>0</v>
      </c>
      <c r="D833">
        <f>[2]TongHop!D833</f>
        <v>0</v>
      </c>
      <c r="E833">
        <f>[2]TongHop!E833</f>
        <v>0</v>
      </c>
      <c r="F833">
        <f>[2]TongHop!F833</f>
        <v>0</v>
      </c>
      <c r="G833">
        <f>[2]TongHop!G833</f>
        <v>0</v>
      </c>
      <c r="H833">
        <f>[2]TongHop!H833</f>
        <v>0</v>
      </c>
      <c r="I833">
        <f>[2]TongHop!I833</f>
        <v>0</v>
      </c>
      <c r="J833">
        <f>[2]TongHop!J833</f>
        <v>0</v>
      </c>
      <c r="K833">
        <f>[2]TongHop!K833</f>
        <v>0</v>
      </c>
      <c r="L833">
        <f>[2]TongHop!L833</f>
        <v>0</v>
      </c>
      <c r="M833">
        <f>[2]TongHop!M833</f>
        <v>0</v>
      </c>
      <c r="N833">
        <f>[2]TongHop!N833</f>
        <v>0</v>
      </c>
    </row>
    <row r="834" spans="1:14">
      <c r="A834">
        <f>[2]TongHop!A834</f>
        <v>0</v>
      </c>
      <c r="B834">
        <f>[2]TongHop!B834</f>
        <v>0</v>
      </c>
      <c r="C834">
        <f>[2]TongHop!C834</f>
        <v>0</v>
      </c>
      <c r="D834">
        <f>[2]TongHop!D834</f>
        <v>0</v>
      </c>
      <c r="E834">
        <f>[2]TongHop!E834</f>
        <v>0</v>
      </c>
      <c r="F834">
        <f>[2]TongHop!F834</f>
        <v>0</v>
      </c>
      <c r="G834">
        <f>[2]TongHop!G834</f>
        <v>0</v>
      </c>
      <c r="H834">
        <f>[2]TongHop!H834</f>
        <v>0</v>
      </c>
      <c r="I834">
        <f>[2]TongHop!I834</f>
        <v>0</v>
      </c>
      <c r="J834">
        <f>[2]TongHop!J834</f>
        <v>0</v>
      </c>
      <c r="K834">
        <f>[2]TongHop!K834</f>
        <v>0</v>
      </c>
      <c r="L834">
        <f>[2]TongHop!L834</f>
        <v>0</v>
      </c>
      <c r="M834">
        <f>[2]TongHop!M834</f>
        <v>0</v>
      </c>
      <c r="N834">
        <f>[2]TongHop!N834</f>
        <v>0</v>
      </c>
    </row>
    <row r="835" spans="1:14">
      <c r="A835">
        <f>[2]TongHop!A835</f>
        <v>0</v>
      </c>
      <c r="B835">
        <f>[2]TongHop!B835</f>
        <v>0</v>
      </c>
      <c r="C835">
        <f>[2]TongHop!C835</f>
        <v>0</v>
      </c>
      <c r="D835">
        <f>[2]TongHop!D835</f>
        <v>0</v>
      </c>
      <c r="E835">
        <f>[2]TongHop!E835</f>
        <v>0</v>
      </c>
      <c r="F835">
        <f>[2]TongHop!F835</f>
        <v>0</v>
      </c>
      <c r="G835">
        <f>[2]TongHop!G835</f>
        <v>0</v>
      </c>
      <c r="H835">
        <f>[2]TongHop!H835</f>
        <v>0</v>
      </c>
      <c r="I835">
        <f>[2]TongHop!I835</f>
        <v>0</v>
      </c>
      <c r="J835">
        <f>[2]TongHop!J835</f>
        <v>0</v>
      </c>
      <c r="K835">
        <f>[2]TongHop!K835</f>
        <v>0</v>
      </c>
      <c r="L835">
        <f>[2]TongHop!L835</f>
        <v>0</v>
      </c>
      <c r="M835">
        <f>[2]TongHop!M835</f>
        <v>0</v>
      </c>
      <c r="N835">
        <f>[2]TongHop!N835</f>
        <v>0</v>
      </c>
    </row>
    <row r="836" spans="1:14">
      <c r="A836">
        <f>[2]TongHop!A836</f>
        <v>0</v>
      </c>
      <c r="B836">
        <f>[2]TongHop!B836</f>
        <v>0</v>
      </c>
      <c r="C836">
        <f>[2]TongHop!C836</f>
        <v>0</v>
      </c>
      <c r="D836">
        <f>[2]TongHop!D836</f>
        <v>0</v>
      </c>
      <c r="E836">
        <f>[2]TongHop!E836</f>
        <v>0</v>
      </c>
      <c r="F836">
        <f>[2]TongHop!F836</f>
        <v>0</v>
      </c>
      <c r="G836">
        <f>[2]TongHop!G836</f>
        <v>0</v>
      </c>
      <c r="H836">
        <f>[2]TongHop!H836</f>
        <v>0</v>
      </c>
      <c r="I836">
        <f>[2]TongHop!I836</f>
        <v>0</v>
      </c>
      <c r="J836">
        <f>[2]TongHop!J836</f>
        <v>0</v>
      </c>
      <c r="K836">
        <f>[2]TongHop!K836</f>
        <v>0</v>
      </c>
      <c r="L836">
        <f>[2]TongHop!L836</f>
        <v>0</v>
      </c>
      <c r="M836">
        <f>[2]TongHop!M836</f>
        <v>0</v>
      </c>
      <c r="N836">
        <f>[2]TongHop!N836</f>
        <v>0</v>
      </c>
    </row>
    <row r="837" spans="1:14">
      <c r="A837">
        <f>[2]TongHop!A837</f>
        <v>0</v>
      </c>
      <c r="B837">
        <f>[2]TongHop!B837</f>
        <v>0</v>
      </c>
      <c r="C837">
        <f>[2]TongHop!C837</f>
        <v>0</v>
      </c>
      <c r="D837">
        <f>[2]TongHop!D837</f>
        <v>0</v>
      </c>
      <c r="E837">
        <f>[2]TongHop!E837</f>
        <v>0</v>
      </c>
      <c r="F837">
        <f>[2]TongHop!F837</f>
        <v>0</v>
      </c>
      <c r="G837">
        <f>[2]TongHop!G837</f>
        <v>0</v>
      </c>
      <c r="H837">
        <f>[2]TongHop!H837</f>
        <v>0</v>
      </c>
      <c r="I837">
        <f>[2]TongHop!I837</f>
        <v>0</v>
      </c>
      <c r="J837">
        <f>[2]TongHop!J837</f>
        <v>0</v>
      </c>
      <c r="K837">
        <f>[2]TongHop!K837</f>
        <v>0</v>
      </c>
      <c r="L837">
        <f>[2]TongHop!L837</f>
        <v>0</v>
      </c>
      <c r="M837">
        <f>[2]TongHop!M837</f>
        <v>0</v>
      </c>
      <c r="N837">
        <f>[2]TongHop!N837</f>
        <v>0</v>
      </c>
    </row>
    <row r="838" spans="1:14">
      <c r="A838">
        <f>[2]TongHop!A838</f>
        <v>0</v>
      </c>
      <c r="B838">
        <f>[2]TongHop!B838</f>
        <v>0</v>
      </c>
      <c r="C838">
        <f>[2]TongHop!C838</f>
        <v>0</v>
      </c>
      <c r="D838">
        <f>[2]TongHop!D838</f>
        <v>0</v>
      </c>
      <c r="E838">
        <f>[2]TongHop!E838</f>
        <v>0</v>
      </c>
      <c r="F838">
        <f>[2]TongHop!F838</f>
        <v>0</v>
      </c>
      <c r="G838">
        <f>[2]TongHop!G838</f>
        <v>0</v>
      </c>
      <c r="H838">
        <f>[2]TongHop!H838</f>
        <v>0</v>
      </c>
      <c r="I838">
        <f>[2]TongHop!I838</f>
        <v>0</v>
      </c>
      <c r="J838">
        <f>[2]TongHop!J838</f>
        <v>0</v>
      </c>
      <c r="K838">
        <f>[2]TongHop!K838</f>
        <v>0</v>
      </c>
      <c r="L838">
        <f>[2]TongHop!L838</f>
        <v>0</v>
      </c>
      <c r="M838">
        <f>[2]TongHop!M838</f>
        <v>0</v>
      </c>
      <c r="N838">
        <f>[2]TongHop!N838</f>
        <v>0</v>
      </c>
    </row>
    <row r="839" spans="1:14">
      <c r="A839">
        <f>[2]TongHop!A839</f>
        <v>0</v>
      </c>
      <c r="B839">
        <f>[2]TongHop!B839</f>
        <v>0</v>
      </c>
      <c r="C839">
        <f>[2]TongHop!C839</f>
        <v>0</v>
      </c>
      <c r="D839">
        <f>[2]TongHop!D839</f>
        <v>0</v>
      </c>
      <c r="E839">
        <f>[2]TongHop!E839</f>
        <v>0</v>
      </c>
      <c r="F839">
        <f>[2]TongHop!F839</f>
        <v>0</v>
      </c>
      <c r="G839">
        <f>[2]TongHop!G839</f>
        <v>0</v>
      </c>
      <c r="H839">
        <f>[2]TongHop!H839</f>
        <v>0</v>
      </c>
      <c r="I839">
        <f>[2]TongHop!I839</f>
        <v>0</v>
      </c>
      <c r="J839">
        <f>[2]TongHop!J839</f>
        <v>0</v>
      </c>
      <c r="K839">
        <f>[2]TongHop!K839</f>
        <v>0</v>
      </c>
      <c r="L839">
        <f>[2]TongHop!L839</f>
        <v>0</v>
      </c>
      <c r="M839">
        <f>[2]TongHop!M839</f>
        <v>0</v>
      </c>
      <c r="N839">
        <f>[2]TongHop!N839</f>
        <v>0</v>
      </c>
    </row>
    <row r="840" spans="1:14">
      <c r="A840">
        <f>[2]TongHop!A840</f>
        <v>0</v>
      </c>
      <c r="B840">
        <f>[2]TongHop!B840</f>
        <v>0</v>
      </c>
      <c r="C840">
        <f>[2]TongHop!C840</f>
        <v>0</v>
      </c>
      <c r="D840">
        <f>[2]TongHop!D840</f>
        <v>0</v>
      </c>
      <c r="E840">
        <f>[2]TongHop!E840</f>
        <v>0</v>
      </c>
      <c r="F840">
        <f>[2]TongHop!F840</f>
        <v>0</v>
      </c>
      <c r="G840">
        <f>[2]TongHop!G840</f>
        <v>0</v>
      </c>
      <c r="H840">
        <f>[2]TongHop!H840</f>
        <v>0</v>
      </c>
      <c r="I840">
        <f>[2]TongHop!I840</f>
        <v>0</v>
      </c>
      <c r="J840">
        <f>[2]TongHop!J840</f>
        <v>0</v>
      </c>
      <c r="K840">
        <f>[2]TongHop!K840</f>
        <v>0</v>
      </c>
      <c r="L840">
        <f>[2]TongHop!L840</f>
        <v>0</v>
      </c>
      <c r="M840">
        <f>[2]TongHop!M840</f>
        <v>0</v>
      </c>
      <c r="N840">
        <f>[2]TongHop!N840</f>
        <v>0</v>
      </c>
    </row>
    <row r="841" spans="1:14">
      <c r="A841">
        <f>[2]TongHop!A841</f>
        <v>0</v>
      </c>
      <c r="B841">
        <f>[2]TongHop!B841</f>
        <v>0</v>
      </c>
      <c r="C841">
        <f>[2]TongHop!C841</f>
        <v>0</v>
      </c>
      <c r="D841">
        <f>[2]TongHop!D841</f>
        <v>0</v>
      </c>
      <c r="E841">
        <f>[2]TongHop!E841</f>
        <v>0</v>
      </c>
      <c r="F841">
        <f>[2]TongHop!F841</f>
        <v>0</v>
      </c>
      <c r="G841">
        <f>[2]TongHop!G841</f>
        <v>0</v>
      </c>
      <c r="H841">
        <f>[2]TongHop!H841</f>
        <v>0</v>
      </c>
      <c r="I841">
        <f>[2]TongHop!I841</f>
        <v>0</v>
      </c>
      <c r="J841">
        <f>[2]TongHop!J841</f>
        <v>0</v>
      </c>
      <c r="K841">
        <f>[2]TongHop!K841</f>
        <v>0</v>
      </c>
      <c r="L841">
        <f>[2]TongHop!L841</f>
        <v>0</v>
      </c>
      <c r="M841">
        <f>[2]TongHop!M841</f>
        <v>0</v>
      </c>
      <c r="N841">
        <f>[2]TongHop!N841</f>
        <v>0</v>
      </c>
    </row>
    <row r="842" spans="1:14">
      <c r="A842">
        <f>[2]TongHop!A842</f>
        <v>0</v>
      </c>
      <c r="B842">
        <f>[2]TongHop!B842</f>
        <v>0</v>
      </c>
      <c r="C842">
        <f>[2]TongHop!C842</f>
        <v>0</v>
      </c>
      <c r="D842">
        <f>[2]TongHop!D842</f>
        <v>0</v>
      </c>
      <c r="E842">
        <f>[2]TongHop!E842</f>
        <v>0</v>
      </c>
      <c r="F842">
        <f>[2]TongHop!F842</f>
        <v>0</v>
      </c>
      <c r="G842">
        <f>[2]TongHop!G842</f>
        <v>0</v>
      </c>
      <c r="H842">
        <f>[2]TongHop!H842</f>
        <v>0</v>
      </c>
      <c r="I842">
        <f>[2]TongHop!I842</f>
        <v>0</v>
      </c>
      <c r="J842">
        <f>[2]TongHop!J842</f>
        <v>0</v>
      </c>
      <c r="K842">
        <f>[2]TongHop!K842</f>
        <v>0</v>
      </c>
      <c r="L842">
        <f>[2]TongHop!L842</f>
        <v>0</v>
      </c>
      <c r="M842">
        <f>[2]TongHop!M842</f>
        <v>0</v>
      </c>
      <c r="N842">
        <f>[2]TongHop!N842</f>
        <v>0</v>
      </c>
    </row>
    <row r="843" spans="1:14">
      <c r="A843">
        <f>[2]TongHop!A843</f>
        <v>0</v>
      </c>
      <c r="B843">
        <f>[2]TongHop!B843</f>
        <v>0</v>
      </c>
      <c r="C843">
        <f>[2]TongHop!C843</f>
        <v>0</v>
      </c>
      <c r="D843">
        <f>[2]TongHop!D843</f>
        <v>0</v>
      </c>
      <c r="E843">
        <f>[2]TongHop!E843</f>
        <v>0</v>
      </c>
      <c r="F843">
        <f>[2]TongHop!F843</f>
        <v>0</v>
      </c>
      <c r="G843">
        <f>[2]TongHop!G843</f>
        <v>0</v>
      </c>
      <c r="H843">
        <f>[2]TongHop!H843</f>
        <v>0</v>
      </c>
      <c r="I843">
        <f>[2]TongHop!I843</f>
        <v>0</v>
      </c>
      <c r="J843">
        <f>[2]TongHop!J843</f>
        <v>0</v>
      </c>
      <c r="K843">
        <f>[2]TongHop!K843</f>
        <v>0</v>
      </c>
      <c r="L843">
        <f>[2]TongHop!L843</f>
        <v>0</v>
      </c>
      <c r="M843">
        <f>[2]TongHop!M843</f>
        <v>0</v>
      </c>
      <c r="N843">
        <f>[2]TongHop!N843</f>
        <v>0</v>
      </c>
    </row>
    <row r="844" spans="1:14">
      <c r="A844">
        <f>[2]TongHop!A844</f>
        <v>0</v>
      </c>
      <c r="B844">
        <f>[2]TongHop!B844</f>
        <v>0</v>
      </c>
      <c r="C844">
        <f>[2]TongHop!C844</f>
        <v>0</v>
      </c>
      <c r="D844">
        <f>[2]TongHop!D844</f>
        <v>0</v>
      </c>
      <c r="E844">
        <f>[2]TongHop!E844</f>
        <v>0</v>
      </c>
      <c r="F844">
        <f>[2]TongHop!F844</f>
        <v>0</v>
      </c>
      <c r="G844">
        <f>[2]TongHop!G844</f>
        <v>0</v>
      </c>
      <c r="H844">
        <f>[2]TongHop!H844</f>
        <v>0</v>
      </c>
      <c r="I844">
        <f>[2]TongHop!I844</f>
        <v>0</v>
      </c>
      <c r="J844">
        <f>[2]TongHop!J844</f>
        <v>0</v>
      </c>
      <c r="K844">
        <f>[2]TongHop!K844</f>
        <v>0</v>
      </c>
      <c r="L844">
        <f>[2]TongHop!L844</f>
        <v>0</v>
      </c>
      <c r="M844">
        <f>[2]TongHop!M844</f>
        <v>0</v>
      </c>
      <c r="N844">
        <f>[2]TongHop!N844</f>
        <v>0</v>
      </c>
    </row>
    <row r="845" spans="1:14">
      <c r="A845">
        <f>[2]TongHop!A845</f>
        <v>0</v>
      </c>
      <c r="B845">
        <f>[2]TongHop!B845</f>
        <v>0</v>
      </c>
      <c r="C845">
        <f>[2]TongHop!C845</f>
        <v>0</v>
      </c>
      <c r="D845">
        <f>[2]TongHop!D845</f>
        <v>0</v>
      </c>
      <c r="E845">
        <f>[2]TongHop!E845</f>
        <v>0</v>
      </c>
      <c r="F845">
        <f>[2]TongHop!F845</f>
        <v>0</v>
      </c>
      <c r="G845">
        <f>[2]TongHop!G845</f>
        <v>0</v>
      </c>
      <c r="H845">
        <f>[2]TongHop!H845</f>
        <v>0</v>
      </c>
      <c r="I845">
        <f>[2]TongHop!I845</f>
        <v>0</v>
      </c>
      <c r="J845">
        <f>[2]TongHop!J845</f>
        <v>0</v>
      </c>
      <c r="K845">
        <f>[2]TongHop!K845</f>
        <v>0</v>
      </c>
      <c r="L845">
        <f>[2]TongHop!L845</f>
        <v>0</v>
      </c>
      <c r="M845">
        <f>[2]TongHop!M845</f>
        <v>0</v>
      </c>
      <c r="N845">
        <f>[2]TongHop!N845</f>
        <v>0</v>
      </c>
    </row>
    <row r="846" spans="1:14">
      <c r="A846">
        <f>[2]TongHop!A846</f>
        <v>0</v>
      </c>
      <c r="B846">
        <f>[2]TongHop!B846</f>
        <v>0</v>
      </c>
      <c r="C846">
        <f>[2]TongHop!C846</f>
        <v>0</v>
      </c>
      <c r="D846">
        <f>[2]TongHop!D846</f>
        <v>0</v>
      </c>
      <c r="E846">
        <f>[2]TongHop!E846</f>
        <v>0</v>
      </c>
      <c r="F846">
        <f>[2]TongHop!F846</f>
        <v>0</v>
      </c>
      <c r="G846">
        <f>[2]TongHop!G846</f>
        <v>0</v>
      </c>
      <c r="H846">
        <f>[2]TongHop!H846</f>
        <v>0</v>
      </c>
      <c r="I846">
        <f>[2]TongHop!I846</f>
        <v>0</v>
      </c>
      <c r="J846">
        <f>[2]TongHop!J846</f>
        <v>0</v>
      </c>
      <c r="K846">
        <f>[2]TongHop!K846</f>
        <v>0</v>
      </c>
      <c r="L846">
        <f>[2]TongHop!L846</f>
        <v>0</v>
      </c>
      <c r="M846">
        <f>[2]TongHop!M846</f>
        <v>0</v>
      </c>
      <c r="N846">
        <f>[2]TongHop!N846</f>
        <v>0</v>
      </c>
    </row>
    <row r="847" spans="1:14">
      <c r="A847">
        <f>[2]TongHop!A847</f>
        <v>0</v>
      </c>
      <c r="B847">
        <f>[2]TongHop!B847</f>
        <v>0</v>
      </c>
      <c r="C847">
        <f>[2]TongHop!C847</f>
        <v>0</v>
      </c>
      <c r="D847">
        <f>[2]TongHop!D847</f>
        <v>0</v>
      </c>
      <c r="E847">
        <f>[2]TongHop!E847</f>
        <v>0</v>
      </c>
      <c r="F847">
        <f>[2]TongHop!F847</f>
        <v>0</v>
      </c>
      <c r="G847">
        <f>[2]TongHop!G847</f>
        <v>0</v>
      </c>
      <c r="H847">
        <f>[2]TongHop!H847</f>
        <v>0</v>
      </c>
      <c r="I847">
        <f>[2]TongHop!I847</f>
        <v>0</v>
      </c>
      <c r="J847">
        <f>[2]TongHop!J847</f>
        <v>0</v>
      </c>
      <c r="K847">
        <f>[2]TongHop!K847</f>
        <v>0</v>
      </c>
      <c r="L847">
        <f>[2]TongHop!L847</f>
        <v>0</v>
      </c>
      <c r="M847">
        <f>[2]TongHop!M847</f>
        <v>0</v>
      </c>
      <c r="N847">
        <f>[2]TongHop!N847</f>
        <v>0</v>
      </c>
    </row>
    <row r="848" spans="1:14">
      <c r="A848">
        <f>[2]TongHop!A848</f>
        <v>0</v>
      </c>
      <c r="B848">
        <f>[2]TongHop!B848</f>
        <v>0</v>
      </c>
      <c r="C848">
        <f>[2]TongHop!C848</f>
        <v>0</v>
      </c>
      <c r="D848">
        <f>[2]TongHop!D848</f>
        <v>0</v>
      </c>
      <c r="E848">
        <f>[2]TongHop!E848</f>
        <v>0</v>
      </c>
      <c r="F848">
        <f>[2]TongHop!F848</f>
        <v>0</v>
      </c>
      <c r="G848">
        <f>[2]TongHop!G848</f>
        <v>0</v>
      </c>
      <c r="H848">
        <f>[2]TongHop!H848</f>
        <v>0</v>
      </c>
      <c r="I848">
        <f>[2]TongHop!I848</f>
        <v>0</v>
      </c>
      <c r="J848">
        <f>[2]TongHop!J848</f>
        <v>0</v>
      </c>
      <c r="K848">
        <f>[2]TongHop!K848</f>
        <v>0</v>
      </c>
      <c r="L848">
        <f>[2]TongHop!L848</f>
        <v>0</v>
      </c>
      <c r="M848">
        <f>[2]TongHop!M848</f>
        <v>0</v>
      </c>
      <c r="N848">
        <f>[2]TongHop!N848</f>
        <v>0</v>
      </c>
    </row>
    <row r="849" spans="1:14">
      <c r="A849">
        <f>[2]TongHop!A849</f>
        <v>0</v>
      </c>
      <c r="B849">
        <f>[2]TongHop!B849</f>
        <v>0</v>
      </c>
      <c r="C849">
        <f>[2]TongHop!C849</f>
        <v>0</v>
      </c>
      <c r="D849">
        <f>[2]TongHop!D849</f>
        <v>0</v>
      </c>
      <c r="E849">
        <f>[2]TongHop!E849</f>
        <v>0</v>
      </c>
      <c r="F849">
        <f>[2]TongHop!F849</f>
        <v>0</v>
      </c>
      <c r="G849">
        <f>[2]TongHop!G849</f>
        <v>0</v>
      </c>
      <c r="H849">
        <f>[2]TongHop!H849</f>
        <v>0</v>
      </c>
      <c r="I849">
        <f>[2]TongHop!I849</f>
        <v>0</v>
      </c>
      <c r="J849">
        <f>[2]TongHop!J849</f>
        <v>0</v>
      </c>
      <c r="K849">
        <f>[2]TongHop!K849</f>
        <v>0</v>
      </c>
      <c r="L849">
        <f>[2]TongHop!L849</f>
        <v>0</v>
      </c>
      <c r="M849">
        <f>[2]TongHop!M849</f>
        <v>0</v>
      </c>
      <c r="N849">
        <f>[2]TongHop!N849</f>
        <v>0</v>
      </c>
    </row>
    <row r="850" spans="1:14">
      <c r="A850">
        <f>[2]TongHop!A850</f>
        <v>0</v>
      </c>
      <c r="B850">
        <f>[2]TongHop!B850</f>
        <v>0</v>
      </c>
      <c r="C850">
        <f>[2]TongHop!C850</f>
        <v>0</v>
      </c>
      <c r="D850">
        <f>[2]TongHop!D850</f>
        <v>0</v>
      </c>
      <c r="E850">
        <f>[2]TongHop!E850</f>
        <v>0</v>
      </c>
      <c r="F850">
        <f>[2]TongHop!F850</f>
        <v>0</v>
      </c>
      <c r="G850">
        <f>[2]TongHop!G850</f>
        <v>0</v>
      </c>
      <c r="H850">
        <f>[2]TongHop!H850</f>
        <v>0</v>
      </c>
      <c r="I850">
        <f>[2]TongHop!I850</f>
        <v>0</v>
      </c>
      <c r="J850">
        <f>[2]TongHop!J850</f>
        <v>0</v>
      </c>
      <c r="K850">
        <f>[2]TongHop!K850</f>
        <v>0</v>
      </c>
      <c r="L850">
        <f>[2]TongHop!L850</f>
        <v>0</v>
      </c>
      <c r="M850">
        <f>[2]TongHop!M850</f>
        <v>0</v>
      </c>
      <c r="N850">
        <f>[2]TongHop!N850</f>
        <v>0</v>
      </c>
    </row>
    <row r="851" spans="1:14">
      <c r="A851">
        <f>[2]TongHop!A851</f>
        <v>0</v>
      </c>
      <c r="B851">
        <f>[2]TongHop!B851</f>
        <v>0</v>
      </c>
      <c r="C851">
        <f>[2]TongHop!C851</f>
        <v>0</v>
      </c>
      <c r="D851">
        <f>[2]TongHop!D851</f>
        <v>0</v>
      </c>
      <c r="E851">
        <f>[2]TongHop!E851</f>
        <v>0</v>
      </c>
      <c r="F851">
        <f>[2]TongHop!F851</f>
        <v>0</v>
      </c>
      <c r="G851">
        <f>[2]TongHop!G851</f>
        <v>0</v>
      </c>
      <c r="H851">
        <f>[2]TongHop!H851</f>
        <v>0</v>
      </c>
      <c r="I851">
        <f>[2]TongHop!I851</f>
        <v>0</v>
      </c>
      <c r="J851">
        <f>[2]TongHop!J851</f>
        <v>0</v>
      </c>
      <c r="K851">
        <f>[2]TongHop!K851</f>
        <v>0</v>
      </c>
      <c r="L851">
        <f>[2]TongHop!L851</f>
        <v>0</v>
      </c>
      <c r="M851">
        <f>[2]TongHop!M851</f>
        <v>0</v>
      </c>
      <c r="N851">
        <f>[2]TongHop!N851</f>
        <v>0</v>
      </c>
    </row>
    <row r="852" spans="1:14">
      <c r="A852">
        <f>[2]TongHop!A852</f>
        <v>0</v>
      </c>
      <c r="B852">
        <f>[2]TongHop!B852</f>
        <v>0</v>
      </c>
      <c r="C852">
        <f>[2]TongHop!C852</f>
        <v>0</v>
      </c>
      <c r="D852">
        <f>[2]TongHop!D852</f>
        <v>0</v>
      </c>
      <c r="E852">
        <f>[2]TongHop!E852</f>
        <v>0</v>
      </c>
      <c r="F852">
        <f>[2]TongHop!F852</f>
        <v>0</v>
      </c>
      <c r="G852">
        <f>[2]TongHop!G852</f>
        <v>0</v>
      </c>
      <c r="H852">
        <f>[2]TongHop!H852</f>
        <v>0</v>
      </c>
      <c r="I852">
        <f>[2]TongHop!I852</f>
        <v>0</v>
      </c>
      <c r="J852">
        <f>[2]TongHop!J852</f>
        <v>0</v>
      </c>
      <c r="K852">
        <f>[2]TongHop!K852</f>
        <v>0</v>
      </c>
      <c r="L852">
        <f>[2]TongHop!L852</f>
        <v>0</v>
      </c>
      <c r="M852">
        <f>[2]TongHop!M852</f>
        <v>0</v>
      </c>
      <c r="N852">
        <f>[2]TongHop!N852</f>
        <v>0</v>
      </c>
    </row>
    <row r="853" spans="1:14">
      <c r="A853">
        <f>[2]TongHop!A853</f>
        <v>0</v>
      </c>
      <c r="B853">
        <f>[2]TongHop!B853</f>
        <v>0</v>
      </c>
      <c r="C853">
        <f>[2]TongHop!C853</f>
        <v>0</v>
      </c>
      <c r="D853">
        <f>[2]TongHop!D853</f>
        <v>0</v>
      </c>
      <c r="E853">
        <f>[2]TongHop!E853</f>
        <v>0</v>
      </c>
      <c r="F853">
        <f>[2]TongHop!F853</f>
        <v>0</v>
      </c>
      <c r="G853">
        <f>[2]TongHop!G853</f>
        <v>0</v>
      </c>
      <c r="H853">
        <f>[2]TongHop!H853</f>
        <v>0</v>
      </c>
      <c r="I853">
        <f>[2]TongHop!I853</f>
        <v>0</v>
      </c>
      <c r="J853">
        <f>[2]TongHop!J853</f>
        <v>0</v>
      </c>
      <c r="K853">
        <f>[2]TongHop!K853</f>
        <v>0</v>
      </c>
      <c r="L853">
        <f>[2]TongHop!L853</f>
        <v>0</v>
      </c>
      <c r="M853">
        <f>[2]TongHop!M853</f>
        <v>0</v>
      </c>
      <c r="N853">
        <f>[2]TongHop!N853</f>
        <v>0</v>
      </c>
    </row>
    <row r="854" spans="1:14">
      <c r="A854">
        <f>[2]TongHop!A854</f>
        <v>0</v>
      </c>
      <c r="B854">
        <f>[2]TongHop!B854</f>
        <v>0</v>
      </c>
      <c r="C854">
        <f>[2]TongHop!C854</f>
        <v>0</v>
      </c>
      <c r="D854">
        <f>[2]TongHop!D854</f>
        <v>0</v>
      </c>
      <c r="E854">
        <f>[2]TongHop!E854</f>
        <v>0</v>
      </c>
      <c r="F854">
        <f>[2]TongHop!F854</f>
        <v>0</v>
      </c>
      <c r="G854">
        <f>[2]TongHop!G854</f>
        <v>0</v>
      </c>
      <c r="H854">
        <f>[2]TongHop!H854</f>
        <v>0</v>
      </c>
      <c r="I854">
        <f>[2]TongHop!I854</f>
        <v>0</v>
      </c>
      <c r="J854">
        <f>[2]TongHop!J854</f>
        <v>0</v>
      </c>
      <c r="K854">
        <f>[2]TongHop!K854</f>
        <v>0</v>
      </c>
      <c r="L854">
        <f>[2]TongHop!L854</f>
        <v>0</v>
      </c>
      <c r="M854">
        <f>[2]TongHop!M854</f>
        <v>0</v>
      </c>
      <c r="N854">
        <f>[2]TongHop!N854</f>
        <v>0</v>
      </c>
    </row>
    <row r="855" spans="1:14">
      <c r="A855">
        <f>[2]TongHop!A855</f>
        <v>0</v>
      </c>
      <c r="B855">
        <f>[2]TongHop!B855</f>
        <v>0</v>
      </c>
      <c r="C855">
        <f>[2]TongHop!C855</f>
        <v>0</v>
      </c>
      <c r="D855">
        <f>[2]TongHop!D855</f>
        <v>0</v>
      </c>
      <c r="E855">
        <f>[2]TongHop!E855</f>
        <v>0</v>
      </c>
      <c r="F855">
        <f>[2]TongHop!F855</f>
        <v>0</v>
      </c>
      <c r="G855">
        <f>[2]TongHop!G855</f>
        <v>0</v>
      </c>
      <c r="H855">
        <f>[2]TongHop!H855</f>
        <v>0</v>
      </c>
      <c r="I855">
        <f>[2]TongHop!I855</f>
        <v>0</v>
      </c>
      <c r="J855">
        <f>[2]TongHop!J855</f>
        <v>0</v>
      </c>
      <c r="K855">
        <f>[2]TongHop!K855</f>
        <v>0</v>
      </c>
      <c r="L855">
        <f>[2]TongHop!L855</f>
        <v>0</v>
      </c>
      <c r="M855">
        <f>[2]TongHop!M855</f>
        <v>0</v>
      </c>
      <c r="N855">
        <f>[2]TongHop!N855</f>
        <v>0</v>
      </c>
    </row>
    <row r="856" spans="1:14">
      <c r="A856">
        <f>[2]TongHop!A856</f>
        <v>0</v>
      </c>
      <c r="B856">
        <f>[2]TongHop!B856</f>
        <v>0</v>
      </c>
      <c r="C856">
        <f>[2]TongHop!C856</f>
        <v>0</v>
      </c>
      <c r="D856">
        <f>[2]TongHop!D856</f>
        <v>0</v>
      </c>
      <c r="E856">
        <f>[2]TongHop!E856</f>
        <v>0</v>
      </c>
      <c r="F856">
        <f>[2]TongHop!F856</f>
        <v>0</v>
      </c>
      <c r="G856">
        <f>[2]TongHop!G856</f>
        <v>0</v>
      </c>
      <c r="H856">
        <f>[2]TongHop!H856</f>
        <v>0</v>
      </c>
      <c r="I856">
        <f>[2]TongHop!I856</f>
        <v>0</v>
      </c>
      <c r="J856">
        <f>[2]TongHop!J856</f>
        <v>0</v>
      </c>
      <c r="K856">
        <f>[2]TongHop!K856</f>
        <v>0</v>
      </c>
      <c r="L856">
        <f>[2]TongHop!L856</f>
        <v>0</v>
      </c>
      <c r="M856">
        <f>[2]TongHop!M856</f>
        <v>0</v>
      </c>
      <c r="N856">
        <f>[2]TongHop!N856</f>
        <v>0</v>
      </c>
    </row>
    <row r="857" spans="1:14">
      <c r="A857">
        <f>[2]TongHop!A857</f>
        <v>0</v>
      </c>
      <c r="B857">
        <f>[2]TongHop!B857</f>
        <v>0</v>
      </c>
      <c r="C857">
        <f>[2]TongHop!C857</f>
        <v>0</v>
      </c>
      <c r="D857">
        <f>[2]TongHop!D857</f>
        <v>0</v>
      </c>
      <c r="E857">
        <f>[2]TongHop!E857</f>
        <v>0</v>
      </c>
      <c r="F857">
        <f>[2]TongHop!F857</f>
        <v>0</v>
      </c>
      <c r="G857">
        <f>[2]TongHop!G857</f>
        <v>0</v>
      </c>
      <c r="H857">
        <f>[2]TongHop!H857</f>
        <v>0</v>
      </c>
      <c r="I857">
        <f>[2]TongHop!I857</f>
        <v>0</v>
      </c>
      <c r="J857">
        <f>[2]TongHop!J857</f>
        <v>0</v>
      </c>
      <c r="K857">
        <f>[2]TongHop!K857</f>
        <v>0</v>
      </c>
      <c r="L857">
        <f>[2]TongHop!L857</f>
        <v>0</v>
      </c>
      <c r="M857">
        <f>[2]TongHop!M857</f>
        <v>0</v>
      </c>
      <c r="N857">
        <f>[2]TongHop!N857</f>
        <v>0</v>
      </c>
    </row>
    <row r="858" spans="1:14">
      <c r="A858">
        <f>[2]TongHop!A858</f>
        <v>0</v>
      </c>
      <c r="B858">
        <f>[2]TongHop!B858</f>
        <v>0</v>
      </c>
      <c r="C858">
        <f>[2]TongHop!C858</f>
        <v>0</v>
      </c>
      <c r="D858">
        <f>[2]TongHop!D858</f>
        <v>0</v>
      </c>
      <c r="E858">
        <f>[2]TongHop!E858</f>
        <v>0</v>
      </c>
      <c r="F858">
        <f>[2]TongHop!F858</f>
        <v>0</v>
      </c>
      <c r="G858">
        <f>[2]TongHop!G858</f>
        <v>0</v>
      </c>
      <c r="H858">
        <f>[2]TongHop!H858</f>
        <v>0</v>
      </c>
      <c r="I858">
        <f>[2]TongHop!I858</f>
        <v>0</v>
      </c>
      <c r="J858">
        <f>[2]TongHop!J858</f>
        <v>0</v>
      </c>
      <c r="K858">
        <f>[2]TongHop!K858</f>
        <v>0</v>
      </c>
      <c r="L858">
        <f>[2]TongHop!L858</f>
        <v>0</v>
      </c>
      <c r="M858">
        <f>[2]TongHop!M858</f>
        <v>0</v>
      </c>
      <c r="N858">
        <f>[2]TongHop!N858</f>
        <v>0</v>
      </c>
    </row>
    <row r="859" spans="1:14">
      <c r="A859">
        <f>[2]TongHop!A859</f>
        <v>0</v>
      </c>
      <c r="B859">
        <f>[2]TongHop!B859</f>
        <v>0</v>
      </c>
      <c r="C859">
        <f>[2]TongHop!C859</f>
        <v>0</v>
      </c>
      <c r="D859">
        <f>[2]TongHop!D859</f>
        <v>0</v>
      </c>
      <c r="E859">
        <f>[2]TongHop!E859</f>
        <v>0</v>
      </c>
      <c r="F859">
        <f>[2]TongHop!F859</f>
        <v>0</v>
      </c>
      <c r="G859">
        <f>[2]TongHop!G859</f>
        <v>0</v>
      </c>
      <c r="H859">
        <f>[2]TongHop!H859</f>
        <v>0</v>
      </c>
      <c r="I859">
        <f>[2]TongHop!I859</f>
        <v>0</v>
      </c>
      <c r="J859">
        <f>[2]TongHop!J859</f>
        <v>0</v>
      </c>
      <c r="K859">
        <f>[2]TongHop!K859</f>
        <v>0</v>
      </c>
      <c r="L859">
        <f>[2]TongHop!L859</f>
        <v>0</v>
      </c>
      <c r="M859">
        <f>[2]TongHop!M859</f>
        <v>0</v>
      </c>
      <c r="N859">
        <f>[2]TongHop!N859</f>
        <v>0</v>
      </c>
    </row>
    <row r="860" spans="1:14">
      <c r="A860">
        <f>[2]TongHop!A860</f>
        <v>0</v>
      </c>
      <c r="B860">
        <f>[2]TongHop!B860</f>
        <v>0</v>
      </c>
      <c r="C860">
        <f>[2]TongHop!C860</f>
        <v>0</v>
      </c>
      <c r="D860">
        <f>[2]TongHop!D860</f>
        <v>0</v>
      </c>
      <c r="E860">
        <f>[2]TongHop!E860</f>
        <v>0</v>
      </c>
      <c r="F860">
        <f>[2]TongHop!F860</f>
        <v>0</v>
      </c>
      <c r="G860">
        <f>[2]TongHop!G860</f>
        <v>0</v>
      </c>
      <c r="H860">
        <f>[2]TongHop!H860</f>
        <v>0</v>
      </c>
      <c r="I860">
        <f>[2]TongHop!I860</f>
        <v>0</v>
      </c>
      <c r="J860">
        <f>[2]TongHop!J860</f>
        <v>0</v>
      </c>
      <c r="K860">
        <f>[2]TongHop!K860</f>
        <v>0</v>
      </c>
      <c r="L860">
        <f>[2]TongHop!L860</f>
        <v>0</v>
      </c>
      <c r="M860">
        <f>[2]TongHop!M860</f>
        <v>0</v>
      </c>
      <c r="N860">
        <f>[2]TongHop!N860</f>
        <v>0</v>
      </c>
    </row>
    <row r="861" spans="1:14">
      <c r="A861">
        <f>[2]TongHop!A861</f>
        <v>0</v>
      </c>
      <c r="B861">
        <f>[2]TongHop!B861</f>
        <v>0</v>
      </c>
      <c r="C861">
        <f>[2]TongHop!C861</f>
        <v>0</v>
      </c>
      <c r="D861">
        <f>[2]TongHop!D861</f>
        <v>0</v>
      </c>
      <c r="E861">
        <f>[2]TongHop!E861</f>
        <v>0</v>
      </c>
      <c r="F861">
        <f>[2]TongHop!F861</f>
        <v>0</v>
      </c>
      <c r="G861">
        <f>[2]TongHop!G861</f>
        <v>0</v>
      </c>
      <c r="H861">
        <f>[2]TongHop!H861</f>
        <v>0</v>
      </c>
      <c r="I861">
        <f>[2]TongHop!I861</f>
        <v>0</v>
      </c>
      <c r="J861">
        <f>[2]TongHop!J861</f>
        <v>0</v>
      </c>
      <c r="K861">
        <f>[2]TongHop!K861</f>
        <v>0</v>
      </c>
      <c r="L861">
        <f>[2]TongHop!L861</f>
        <v>0</v>
      </c>
      <c r="M861">
        <f>[2]TongHop!M861</f>
        <v>0</v>
      </c>
      <c r="N861">
        <f>[2]TongHop!N861</f>
        <v>0</v>
      </c>
    </row>
    <row r="862" spans="1:14">
      <c r="A862">
        <f>[2]TongHop!A862</f>
        <v>0</v>
      </c>
      <c r="B862">
        <f>[2]TongHop!B862</f>
        <v>0</v>
      </c>
      <c r="C862">
        <f>[2]TongHop!C862</f>
        <v>0</v>
      </c>
      <c r="D862">
        <f>[2]TongHop!D862</f>
        <v>0</v>
      </c>
      <c r="E862">
        <f>[2]TongHop!E862</f>
        <v>0</v>
      </c>
      <c r="F862">
        <f>[2]TongHop!F862</f>
        <v>0</v>
      </c>
      <c r="G862">
        <f>[2]TongHop!G862</f>
        <v>0</v>
      </c>
      <c r="H862">
        <f>[2]TongHop!H862</f>
        <v>0</v>
      </c>
      <c r="I862">
        <f>[2]TongHop!I862</f>
        <v>0</v>
      </c>
      <c r="J862">
        <f>[2]TongHop!J862</f>
        <v>0</v>
      </c>
      <c r="K862">
        <f>[2]TongHop!K862</f>
        <v>0</v>
      </c>
      <c r="L862">
        <f>[2]TongHop!L862</f>
        <v>0</v>
      </c>
      <c r="M862">
        <f>[2]TongHop!M862</f>
        <v>0</v>
      </c>
      <c r="N862">
        <f>[2]TongHop!N862</f>
        <v>0</v>
      </c>
    </row>
    <row r="863" spans="1:14">
      <c r="A863">
        <f>[2]TongHop!A863</f>
        <v>0</v>
      </c>
      <c r="B863">
        <f>[2]TongHop!B863</f>
        <v>0</v>
      </c>
      <c r="C863">
        <f>[2]TongHop!C863</f>
        <v>0</v>
      </c>
      <c r="D863">
        <f>[2]TongHop!D863</f>
        <v>0</v>
      </c>
      <c r="E863">
        <f>[2]TongHop!E863</f>
        <v>0</v>
      </c>
      <c r="F863">
        <f>[2]TongHop!F863</f>
        <v>0</v>
      </c>
      <c r="G863">
        <f>[2]TongHop!G863</f>
        <v>0</v>
      </c>
      <c r="H863">
        <f>[2]TongHop!H863</f>
        <v>0</v>
      </c>
      <c r="I863">
        <f>[2]TongHop!I863</f>
        <v>0</v>
      </c>
      <c r="J863">
        <f>[2]TongHop!J863</f>
        <v>0</v>
      </c>
      <c r="K863">
        <f>[2]TongHop!K863</f>
        <v>0</v>
      </c>
      <c r="L863">
        <f>[2]TongHop!L863</f>
        <v>0</v>
      </c>
      <c r="M863">
        <f>[2]TongHop!M863</f>
        <v>0</v>
      </c>
      <c r="N863">
        <f>[2]TongHop!N863</f>
        <v>0</v>
      </c>
    </row>
    <row r="864" spans="1:14">
      <c r="A864">
        <f>[2]TongHop!A864</f>
        <v>0</v>
      </c>
      <c r="B864">
        <f>[2]TongHop!B864</f>
        <v>0</v>
      </c>
      <c r="C864">
        <f>[2]TongHop!C864</f>
        <v>0</v>
      </c>
      <c r="D864">
        <f>[2]TongHop!D864</f>
        <v>0</v>
      </c>
      <c r="E864">
        <f>[2]TongHop!E864</f>
        <v>0</v>
      </c>
      <c r="F864">
        <f>[2]TongHop!F864</f>
        <v>0</v>
      </c>
      <c r="G864">
        <f>[2]TongHop!G864</f>
        <v>0</v>
      </c>
      <c r="H864">
        <f>[2]TongHop!H864</f>
        <v>0</v>
      </c>
      <c r="I864">
        <f>[2]TongHop!I864</f>
        <v>0</v>
      </c>
      <c r="J864">
        <f>[2]TongHop!J864</f>
        <v>0</v>
      </c>
      <c r="K864">
        <f>[2]TongHop!K864</f>
        <v>0</v>
      </c>
      <c r="L864">
        <f>[2]TongHop!L864</f>
        <v>0</v>
      </c>
      <c r="M864">
        <f>[2]TongHop!M864</f>
        <v>0</v>
      </c>
      <c r="N864">
        <f>[2]TongHop!N864</f>
        <v>0</v>
      </c>
    </row>
    <row r="865" spans="1:14">
      <c r="A865">
        <f>[2]TongHop!A865</f>
        <v>0</v>
      </c>
      <c r="B865">
        <f>[2]TongHop!B865</f>
        <v>0</v>
      </c>
      <c r="C865">
        <f>[2]TongHop!C865</f>
        <v>0</v>
      </c>
      <c r="D865">
        <f>[2]TongHop!D865</f>
        <v>0</v>
      </c>
      <c r="E865">
        <f>[2]TongHop!E865</f>
        <v>0</v>
      </c>
      <c r="F865">
        <f>[2]TongHop!F865</f>
        <v>0</v>
      </c>
      <c r="G865">
        <f>[2]TongHop!G865</f>
        <v>0</v>
      </c>
      <c r="H865">
        <f>[2]TongHop!H865</f>
        <v>0</v>
      </c>
      <c r="I865">
        <f>[2]TongHop!I865</f>
        <v>0</v>
      </c>
      <c r="J865">
        <f>[2]TongHop!J865</f>
        <v>0</v>
      </c>
      <c r="K865">
        <f>[2]TongHop!K865</f>
        <v>0</v>
      </c>
      <c r="L865">
        <f>[2]TongHop!L865</f>
        <v>0</v>
      </c>
      <c r="M865">
        <f>[2]TongHop!M865</f>
        <v>0</v>
      </c>
      <c r="N865">
        <f>[2]TongHop!N865</f>
        <v>0</v>
      </c>
    </row>
    <row r="866" spans="1:14">
      <c r="A866">
        <f>[2]TongHop!A866</f>
        <v>0</v>
      </c>
      <c r="B866">
        <f>[2]TongHop!B866</f>
        <v>0</v>
      </c>
      <c r="C866">
        <f>[2]TongHop!C866</f>
        <v>0</v>
      </c>
      <c r="D866">
        <f>[2]TongHop!D866</f>
        <v>0</v>
      </c>
      <c r="E866">
        <f>[2]TongHop!E866</f>
        <v>0</v>
      </c>
      <c r="F866">
        <f>[2]TongHop!F866</f>
        <v>0</v>
      </c>
      <c r="G866">
        <f>[2]TongHop!G866</f>
        <v>0</v>
      </c>
      <c r="H866">
        <f>[2]TongHop!H866</f>
        <v>0</v>
      </c>
      <c r="I866">
        <f>[2]TongHop!I866</f>
        <v>0</v>
      </c>
      <c r="J866">
        <f>[2]TongHop!J866</f>
        <v>0</v>
      </c>
      <c r="K866">
        <f>[2]TongHop!K866</f>
        <v>0</v>
      </c>
      <c r="L866">
        <f>[2]TongHop!L866</f>
        <v>0</v>
      </c>
      <c r="M866">
        <f>[2]TongHop!M866</f>
        <v>0</v>
      </c>
      <c r="N866">
        <f>[2]TongHop!N866</f>
        <v>0</v>
      </c>
    </row>
    <row r="867" spans="1:14">
      <c r="A867">
        <f>[2]TongHop!A867</f>
        <v>0</v>
      </c>
      <c r="B867">
        <f>[2]TongHop!B867</f>
        <v>0</v>
      </c>
      <c r="C867">
        <f>[2]TongHop!C867</f>
        <v>0</v>
      </c>
      <c r="D867">
        <f>[2]TongHop!D867</f>
        <v>0</v>
      </c>
      <c r="E867">
        <f>[2]TongHop!E867</f>
        <v>0</v>
      </c>
      <c r="F867">
        <f>[2]TongHop!F867</f>
        <v>0</v>
      </c>
      <c r="G867">
        <f>[2]TongHop!G867</f>
        <v>0</v>
      </c>
      <c r="H867">
        <f>[2]TongHop!H867</f>
        <v>0</v>
      </c>
      <c r="I867">
        <f>[2]TongHop!I867</f>
        <v>0</v>
      </c>
      <c r="J867">
        <f>[2]TongHop!J867</f>
        <v>0</v>
      </c>
      <c r="K867">
        <f>[2]TongHop!K867</f>
        <v>0</v>
      </c>
      <c r="L867">
        <f>[2]TongHop!L867</f>
        <v>0</v>
      </c>
      <c r="M867">
        <f>[2]TongHop!M867</f>
        <v>0</v>
      </c>
      <c r="N867">
        <f>[2]TongHop!N867</f>
        <v>0</v>
      </c>
    </row>
    <row r="868" spans="1:14">
      <c r="A868">
        <f>[2]TongHop!A868</f>
        <v>0</v>
      </c>
      <c r="B868">
        <f>[2]TongHop!B868</f>
        <v>0</v>
      </c>
      <c r="C868">
        <f>[2]TongHop!C868</f>
        <v>0</v>
      </c>
      <c r="D868">
        <f>[2]TongHop!D868</f>
        <v>0</v>
      </c>
      <c r="E868">
        <f>[2]TongHop!E868</f>
        <v>0</v>
      </c>
      <c r="F868">
        <f>[2]TongHop!F868</f>
        <v>0</v>
      </c>
      <c r="G868">
        <f>[2]TongHop!G868</f>
        <v>0</v>
      </c>
      <c r="H868">
        <f>[2]TongHop!H868</f>
        <v>0</v>
      </c>
      <c r="I868">
        <f>[2]TongHop!I868</f>
        <v>0</v>
      </c>
      <c r="J868">
        <f>[2]TongHop!J868</f>
        <v>0</v>
      </c>
      <c r="K868">
        <f>[2]TongHop!K868</f>
        <v>0</v>
      </c>
      <c r="L868">
        <f>[2]TongHop!L868</f>
        <v>0</v>
      </c>
      <c r="M868">
        <f>[2]TongHop!M868</f>
        <v>0</v>
      </c>
      <c r="N868">
        <f>[2]TongHop!N868</f>
        <v>0</v>
      </c>
    </row>
    <row r="869" spans="1:14">
      <c r="A869">
        <f>[2]TongHop!A869</f>
        <v>0</v>
      </c>
      <c r="B869">
        <f>[2]TongHop!B869</f>
        <v>0</v>
      </c>
      <c r="C869">
        <f>[2]TongHop!C869</f>
        <v>0</v>
      </c>
      <c r="D869">
        <f>[2]TongHop!D869</f>
        <v>0</v>
      </c>
      <c r="E869">
        <f>[2]TongHop!E869</f>
        <v>0</v>
      </c>
      <c r="F869">
        <f>[2]TongHop!F869</f>
        <v>0</v>
      </c>
      <c r="G869">
        <f>[2]TongHop!G869</f>
        <v>0</v>
      </c>
      <c r="H869">
        <f>[2]TongHop!H869</f>
        <v>0</v>
      </c>
      <c r="I869">
        <f>[2]TongHop!I869</f>
        <v>0</v>
      </c>
      <c r="J869">
        <f>[2]TongHop!J869</f>
        <v>0</v>
      </c>
      <c r="K869">
        <f>[2]TongHop!K869</f>
        <v>0</v>
      </c>
      <c r="L869">
        <f>[2]TongHop!L869</f>
        <v>0</v>
      </c>
      <c r="M869">
        <f>[2]TongHop!M869</f>
        <v>0</v>
      </c>
      <c r="N869">
        <f>[2]TongHop!N869</f>
        <v>0</v>
      </c>
    </row>
    <row r="870" spans="1:14">
      <c r="A870">
        <f>[2]TongHop!A870</f>
        <v>0</v>
      </c>
      <c r="B870">
        <f>[2]TongHop!B870</f>
        <v>0</v>
      </c>
      <c r="C870">
        <f>[2]TongHop!C870</f>
        <v>0</v>
      </c>
      <c r="D870">
        <f>[2]TongHop!D870</f>
        <v>0</v>
      </c>
      <c r="E870">
        <f>[2]TongHop!E870</f>
        <v>0</v>
      </c>
      <c r="F870">
        <f>[2]TongHop!F870</f>
        <v>0</v>
      </c>
      <c r="G870">
        <f>[2]TongHop!G870</f>
        <v>0</v>
      </c>
      <c r="H870">
        <f>[2]TongHop!H870</f>
        <v>0</v>
      </c>
      <c r="I870">
        <f>[2]TongHop!I870</f>
        <v>0</v>
      </c>
      <c r="J870">
        <f>[2]TongHop!J870</f>
        <v>0</v>
      </c>
      <c r="K870">
        <f>[2]TongHop!K870</f>
        <v>0</v>
      </c>
      <c r="L870">
        <f>[2]TongHop!L870</f>
        <v>0</v>
      </c>
      <c r="M870">
        <f>[2]TongHop!M870</f>
        <v>0</v>
      </c>
      <c r="N870">
        <f>[2]TongHop!N870</f>
        <v>0</v>
      </c>
    </row>
    <row r="871" spans="1:14">
      <c r="A871">
        <f>[2]TongHop!A871</f>
        <v>0</v>
      </c>
      <c r="B871">
        <f>[2]TongHop!B871</f>
        <v>0</v>
      </c>
      <c r="C871">
        <f>[2]TongHop!C871</f>
        <v>0</v>
      </c>
      <c r="D871">
        <f>[2]TongHop!D871</f>
        <v>0</v>
      </c>
      <c r="E871">
        <f>[2]TongHop!E871</f>
        <v>0</v>
      </c>
      <c r="F871">
        <f>[2]TongHop!F871</f>
        <v>0</v>
      </c>
      <c r="G871">
        <f>[2]TongHop!G871</f>
        <v>0</v>
      </c>
      <c r="H871">
        <f>[2]TongHop!H871</f>
        <v>0</v>
      </c>
      <c r="I871">
        <f>[2]TongHop!I871</f>
        <v>0</v>
      </c>
      <c r="J871">
        <f>[2]TongHop!J871</f>
        <v>0</v>
      </c>
      <c r="K871">
        <f>[2]TongHop!K871</f>
        <v>0</v>
      </c>
      <c r="L871">
        <f>[2]TongHop!L871</f>
        <v>0</v>
      </c>
      <c r="M871">
        <f>[2]TongHop!M871</f>
        <v>0</v>
      </c>
      <c r="N871">
        <f>[2]TongHop!N871</f>
        <v>0</v>
      </c>
    </row>
    <row r="872" spans="1:14">
      <c r="A872">
        <f>[2]TongHop!A872</f>
        <v>0</v>
      </c>
      <c r="B872">
        <f>[2]TongHop!B872</f>
        <v>0</v>
      </c>
      <c r="C872">
        <f>[2]TongHop!C872</f>
        <v>0</v>
      </c>
      <c r="D872">
        <f>[2]TongHop!D872</f>
        <v>0</v>
      </c>
      <c r="E872">
        <f>[2]TongHop!E872</f>
        <v>0</v>
      </c>
      <c r="F872">
        <f>[2]TongHop!F872</f>
        <v>0</v>
      </c>
      <c r="G872">
        <f>[2]TongHop!G872</f>
        <v>0</v>
      </c>
      <c r="H872">
        <f>[2]TongHop!H872</f>
        <v>0</v>
      </c>
      <c r="I872">
        <f>[2]TongHop!I872</f>
        <v>0</v>
      </c>
      <c r="J872">
        <f>[2]TongHop!J872</f>
        <v>0</v>
      </c>
      <c r="K872">
        <f>[2]TongHop!K872</f>
        <v>0</v>
      </c>
      <c r="L872">
        <f>[2]TongHop!L872</f>
        <v>0</v>
      </c>
      <c r="M872">
        <f>[2]TongHop!M872</f>
        <v>0</v>
      </c>
      <c r="N872">
        <f>[2]TongHop!N872</f>
        <v>0</v>
      </c>
    </row>
    <row r="873" spans="1:14">
      <c r="A873">
        <f>[2]TongHop!A873</f>
        <v>0</v>
      </c>
      <c r="B873">
        <f>[2]TongHop!B873</f>
        <v>0</v>
      </c>
      <c r="C873">
        <f>[2]TongHop!C873</f>
        <v>0</v>
      </c>
      <c r="D873">
        <f>[2]TongHop!D873</f>
        <v>0</v>
      </c>
      <c r="E873">
        <f>[2]TongHop!E873</f>
        <v>0</v>
      </c>
      <c r="F873">
        <f>[2]TongHop!F873</f>
        <v>0</v>
      </c>
      <c r="G873">
        <f>[2]TongHop!G873</f>
        <v>0</v>
      </c>
      <c r="H873">
        <f>[2]TongHop!H873</f>
        <v>0</v>
      </c>
      <c r="I873">
        <f>[2]TongHop!I873</f>
        <v>0</v>
      </c>
      <c r="J873">
        <f>[2]TongHop!J873</f>
        <v>0</v>
      </c>
      <c r="K873">
        <f>[2]TongHop!K873</f>
        <v>0</v>
      </c>
      <c r="L873">
        <f>[2]TongHop!L873</f>
        <v>0</v>
      </c>
      <c r="M873">
        <f>[2]TongHop!M873</f>
        <v>0</v>
      </c>
      <c r="N873">
        <f>[2]TongHop!N873</f>
        <v>0</v>
      </c>
    </row>
    <row r="874" spans="1:14">
      <c r="A874">
        <f>[2]TongHop!A874</f>
        <v>0</v>
      </c>
      <c r="B874">
        <f>[2]TongHop!B874</f>
        <v>0</v>
      </c>
      <c r="C874">
        <f>[2]TongHop!C874</f>
        <v>0</v>
      </c>
      <c r="D874">
        <f>[2]TongHop!D874</f>
        <v>0</v>
      </c>
      <c r="E874">
        <f>[2]TongHop!E874</f>
        <v>0</v>
      </c>
      <c r="F874">
        <f>[2]TongHop!F874</f>
        <v>0</v>
      </c>
      <c r="G874">
        <f>[2]TongHop!G874</f>
        <v>0</v>
      </c>
      <c r="H874">
        <f>[2]TongHop!H874</f>
        <v>0</v>
      </c>
      <c r="I874">
        <f>[2]TongHop!I874</f>
        <v>0</v>
      </c>
      <c r="J874">
        <f>[2]TongHop!J874</f>
        <v>0</v>
      </c>
      <c r="K874">
        <f>[2]TongHop!K874</f>
        <v>0</v>
      </c>
      <c r="L874">
        <f>[2]TongHop!L874</f>
        <v>0</v>
      </c>
      <c r="M874">
        <f>[2]TongHop!M874</f>
        <v>0</v>
      </c>
      <c r="N874">
        <f>[2]TongHop!N874</f>
        <v>0</v>
      </c>
    </row>
    <row r="875" spans="1:14">
      <c r="A875">
        <f>[2]TongHop!A875</f>
        <v>0</v>
      </c>
      <c r="B875">
        <f>[2]TongHop!B875</f>
        <v>0</v>
      </c>
      <c r="C875">
        <f>[2]TongHop!C875</f>
        <v>0</v>
      </c>
      <c r="D875">
        <f>[2]TongHop!D875</f>
        <v>0</v>
      </c>
      <c r="E875">
        <f>[2]TongHop!E875</f>
        <v>0</v>
      </c>
      <c r="F875">
        <f>[2]TongHop!F875</f>
        <v>0</v>
      </c>
      <c r="G875">
        <f>[2]TongHop!G875</f>
        <v>0</v>
      </c>
      <c r="H875">
        <f>[2]TongHop!H875</f>
        <v>0</v>
      </c>
      <c r="I875">
        <f>[2]TongHop!I875</f>
        <v>0</v>
      </c>
      <c r="J875">
        <f>[2]TongHop!J875</f>
        <v>0</v>
      </c>
      <c r="K875">
        <f>[2]TongHop!K875</f>
        <v>0</v>
      </c>
      <c r="L875">
        <f>[2]TongHop!L875</f>
        <v>0</v>
      </c>
      <c r="M875">
        <f>[2]TongHop!M875</f>
        <v>0</v>
      </c>
      <c r="N875">
        <f>[2]TongHop!N875</f>
        <v>0</v>
      </c>
    </row>
    <row r="876" spans="1:14">
      <c r="A876">
        <f>[2]TongHop!A876</f>
        <v>0</v>
      </c>
      <c r="B876">
        <f>[2]TongHop!B876</f>
        <v>0</v>
      </c>
      <c r="C876">
        <f>[2]TongHop!C876</f>
        <v>0</v>
      </c>
      <c r="D876">
        <f>[2]TongHop!D876</f>
        <v>0</v>
      </c>
      <c r="E876">
        <f>[2]TongHop!E876</f>
        <v>0</v>
      </c>
      <c r="F876">
        <f>[2]TongHop!F876</f>
        <v>0</v>
      </c>
      <c r="G876">
        <f>[2]TongHop!G876</f>
        <v>0</v>
      </c>
      <c r="H876">
        <f>[2]TongHop!H876</f>
        <v>0</v>
      </c>
      <c r="I876">
        <f>[2]TongHop!I876</f>
        <v>0</v>
      </c>
      <c r="J876">
        <f>[2]TongHop!J876</f>
        <v>0</v>
      </c>
      <c r="K876">
        <f>[2]TongHop!K876</f>
        <v>0</v>
      </c>
      <c r="L876">
        <f>[2]TongHop!L876</f>
        <v>0</v>
      </c>
      <c r="M876">
        <f>[2]TongHop!M876</f>
        <v>0</v>
      </c>
      <c r="N876">
        <f>[2]TongHop!N876</f>
        <v>0</v>
      </c>
    </row>
    <row r="877" spans="1:14">
      <c r="A877">
        <f>[2]TongHop!A877</f>
        <v>0</v>
      </c>
      <c r="B877">
        <f>[2]TongHop!B877</f>
        <v>0</v>
      </c>
      <c r="C877">
        <f>[2]TongHop!C877</f>
        <v>0</v>
      </c>
      <c r="D877">
        <f>[2]TongHop!D877</f>
        <v>0</v>
      </c>
      <c r="E877">
        <f>[2]TongHop!E877</f>
        <v>0</v>
      </c>
      <c r="F877">
        <f>[2]TongHop!F877</f>
        <v>0</v>
      </c>
      <c r="G877">
        <f>[2]TongHop!G877</f>
        <v>0</v>
      </c>
      <c r="H877">
        <f>[2]TongHop!H877</f>
        <v>0</v>
      </c>
      <c r="I877">
        <f>[2]TongHop!I877</f>
        <v>0</v>
      </c>
      <c r="J877">
        <f>[2]TongHop!J877</f>
        <v>0</v>
      </c>
      <c r="K877">
        <f>[2]TongHop!K877</f>
        <v>0</v>
      </c>
      <c r="L877">
        <f>[2]TongHop!L877</f>
        <v>0</v>
      </c>
      <c r="M877">
        <f>[2]TongHop!M877</f>
        <v>0</v>
      </c>
      <c r="N877">
        <f>[2]TongHop!N877</f>
        <v>0</v>
      </c>
    </row>
    <row r="878" spans="1:14">
      <c r="A878">
        <f>[2]TongHop!A878</f>
        <v>0</v>
      </c>
      <c r="B878">
        <f>[2]TongHop!B878</f>
        <v>0</v>
      </c>
      <c r="C878">
        <f>[2]TongHop!C878</f>
        <v>0</v>
      </c>
      <c r="D878">
        <f>[2]TongHop!D878</f>
        <v>0</v>
      </c>
      <c r="E878">
        <f>[2]TongHop!E878</f>
        <v>0</v>
      </c>
      <c r="F878">
        <f>[2]TongHop!F878</f>
        <v>0</v>
      </c>
      <c r="G878">
        <f>[2]TongHop!G878</f>
        <v>0</v>
      </c>
      <c r="H878">
        <f>[2]TongHop!H878</f>
        <v>0</v>
      </c>
      <c r="I878">
        <f>[2]TongHop!I878</f>
        <v>0</v>
      </c>
      <c r="J878">
        <f>[2]TongHop!J878</f>
        <v>0</v>
      </c>
      <c r="K878">
        <f>[2]TongHop!K878</f>
        <v>0</v>
      </c>
      <c r="L878">
        <f>[2]TongHop!L878</f>
        <v>0</v>
      </c>
      <c r="M878">
        <f>[2]TongHop!M878</f>
        <v>0</v>
      </c>
      <c r="N878">
        <f>[2]TongHop!N878</f>
        <v>0</v>
      </c>
    </row>
    <row r="879" spans="1:14">
      <c r="A879">
        <f>[2]TongHop!A879</f>
        <v>0</v>
      </c>
      <c r="B879">
        <f>[2]TongHop!B879</f>
        <v>0</v>
      </c>
      <c r="C879">
        <f>[2]TongHop!C879</f>
        <v>0</v>
      </c>
      <c r="D879">
        <f>[2]TongHop!D879</f>
        <v>0</v>
      </c>
      <c r="E879">
        <f>[2]TongHop!E879</f>
        <v>0</v>
      </c>
      <c r="F879">
        <f>[2]TongHop!F879</f>
        <v>0</v>
      </c>
      <c r="G879">
        <f>[2]TongHop!G879</f>
        <v>0</v>
      </c>
      <c r="H879">
        <f>[2]TongHop!H879</f>
        <v>0</v>
      </c>
      <c r="I879">
        <f>[2]TongHop!I879</f>
        <v>0</v>
      </c>
      <c r="J879">
        <f>[2]TongHop!J879</f>
        <v>0</v>
      </c>
      <c r="K879">
        <f>[2]TongHop!K879</f>
        <v>0</v>
      </c>
      <c r="L879">
        <f>[2]TongHop!L879</f>
        <v>0</v>
      </c>
      <c r="M879">
        <f>[2]TongHop!M879</f>
        <v>0</v>
      </c>
      <c r="N879">
        <f>[2]TongHop!N879</f>
        <v>0</v>
      </c>
    </row>
    <row r="880" spans="1:14">
      <c r="A880">
        <f>[2]TongHop!A880</f>
        <v>0</v>
      </c>
      <c r="B880">
        <f>[2]TongHop!B880</f>
        <v>0</v>
      </c>
      <c r="C880">
        <f>[2]TongHop!C880</f>
        <v>0</v>
      </c>
      <c r="D880">
        <f>[2]TongHop!D880</f>
        <v>0</v>
      </c>
      <c r="E880">
        <f>[2]TongHop!E880</f>
        <v>0</v>
      </c>
      <c r="F880">
        <f>[2]TongHop!F880</f>
        <v>0</v>
      </c>
      <c r="G880">
        <f>[2]TongHop!G880</f>
        <v>0</v>
      </c>
      <c r="H880">
        <f>[2]TongHop!H880</f>
        <v>0</v>
      </c>
      <c r="I880">
        <f>[2]TongHop!I880</f>
        <v>0</v>
      </c>
      <c r="J880">
        <f>[2]TongHop!J880</f>
        <v>0</v>
      </c>
      <c r="K880">
        <f>[2]TongHop!K880</f>
        <v>0</v>
      </c>
      <c r="L880">
        <f>[2]TongHop!L880</f>
        <v>0</v>
      </c>
      <c r="M880">
        <f>[2]TongHop!M880</f>
        <v>0</v>
      </c>
      <c r="N880">
        <f>[2]TongHop!N880</f>
        <v>0</v>
      </c>
    </row>
    <row r="881" spans="1:14">
      <c r="A881">
        <f>[2]TongHop!A881</f>
        <v>0</v>
      </c>
      <c r="B881">
        <f>[2]TongHop!B881</f>
        <v>0</v>
      </c>
      <c r="C881">
        <f>[2]TongHop!C881</f>
        <v>0</v>
      </c>
      <c r="D881">
        <f>[2]TongHop!D881</f>
        <v>0</v>
      </c>
      <c r="E881">
        <f>[2]TongHop!E881</f>
        <v>0</v>
      </c>
      <c r="F881">
        <f>[2]TongHop!F881</f>
        <v>0</v>
      </c>
      <c r="G881">
        <f>[2]TongHop!G881</f>
        <v>0</v>
      </c>
      <c r="H881">
        <f>[2]TongHop!H881</f>
        <v>0</v>
      </c>
      <c r="I881">
        <f>[2]TongHop!I881</f>
        <v>0</v>
      </c>
      <c r="J881">
        <f>[2]TongHop!J881</f>
        <v>0</v>
      </c>
      <c r="K881">
        <f>[2]TongHop!K881</f>
        <v>0</v>
      </c>
      <c r="L881">
        <f>[2]TongHop!L881</f>
        <v>0</v>
      </c>
      <c r="M881">
        <f>[2]TongHop!M881</f>
        <v>0</v>
      </c>
      <c r="N881">
        <f>[2]TongHop!N881</f>
        <v>0</v>
      </c>
    </row>
    <row r="882" spans="1:14">
      <c r="A882">
        <f>[2]TongHop!A882</f>
        <v>0</v>
      </c>
      <c r="B882">
        <f>[2]TongHop!B882</f>
        <v>0</v>
      </c>
      <c r="C882">
        <f>[2]TongHop!C882</f>
        <v>0</v>
      </c>
      <c r="D882">
        <f>[2]TongHop!D882</f>
        <v>0</v>
      </c>
      <c r="E882">
        <f>[2]TongHop!E882</f>
        <v>0</v>
      </c>
      <c r="F882">
        <f>[2]TongHop!F882</f>
        <v>0</v>
      </c>
      <c r="G882">
        <f>[2]TongHop!G882</f>
        <v>0</v>
      </c>
      <c r="H882">
        <f>[2]TongHop!H882</f>
        <v>0</v>
      </c>
      <c r="I882">
        <f>[2]TongHop!I882</f>
        <v>0</v>
      </c>
      <c r="J882">
        <f>[2]TongHop!J882</f>
        <v>0</v>
      </c>
      <c r="K882">
        <f>[2]TongHop!K882</f>
        <v>0</v>
      </c>
      <c r="L882">
        <f>[2]TongHop!L882</f>
        <v>0</v>
      </c>
      <c r="M882">
        <f>[2]TongHop!M882</f>
        <v>0</v>
      </c>
      <c r="N882">
        <f>[2]TongHop!N882</f>
        <v>0</v>
      </c>
    </row>
    <row r="883" spans="1:14">
      <c r="A883">
        <f>[2]TongHop!A883</f>
        <v>0</v>
      </c>
      <c r="B883">
        <f>[2]TongHop!B883</f>
        <v>0</v>
      </c>
      <c r="C883">
        <f>[2]TongHop!C883</f>
        <v>0</v>
      </c>
      <c r="D883">
        <f>[2]TongHop!D883</f>
        <v>0</v>
      </c>
      <c r="E883">
        <f>[2]TongHop!E883</f>
        <v>0</v>
      </c>
      <c r="F883">
        <f>[2]TongHop!F883</f>
        <v>0</v>
      </c>
      <c r="G883">
        <f>[2]TongHop!G883</f>
        <v>0</v>
      </c>
      <c r="H883">
        <f>[2]TongHop!H883</f>
        <v>0</v>
      </c>
      <c r="I883">
        <f>[2]TongHop!I883</f>
        <v>0</v>
      </c>
      <c r="J883">
        <f>[2]TongHop!J883</f>
        <v>0</v>
      </c>
      <c r="K883">
        <f>[2]TongHop!K883</f>
        <v>0</v>
      </c>
      <c r="L883">
        <f>[2]TongHop!L883</f>
        <v>0</v>
      </c>
      <c r="M883">
        <f>[2]TongHop!M883</f>
        <v>0</v>
      </c>
      <c r="N883">
        <f>[2]TongHop!N883</f>
        <v>0</v>
      </c>
    </row>
    <row r="884" spans="1:14">
      <c r="A884">
        <f>[2]TongHop!A884</f>
        <v>0</v>
      </c>
      <c r="B884">
        <f>[2]TongHop!B884</f>
        <v>0</v>
      </c>
      <c r="C884">
        <f>[2]TongHop!C884</f>
        <v>0</v>
      </c>
      <c r="D884">
        <f>[2]TongHop!D884</f>
        <v>0</v>
      </c>
      <c r="E884">
        <f>[2]TongHop!E884</f>
        <v>0</v>
      </c>
      <c r="F884">
        <f>[2]TongHop!F884</f>
        <v>0</v>
      </c>
      <c r="G884">
        <f>[2]TongHop!G884</f>
        <v>0</v>
      </c>
      <c r="H884">
        <f>[2]TongHop!H884</f>
        <v>0</v>
      </c>
      <c r="I884">
        <f>[2]TongHop!I884</f>
        <v>0</v>
      </c>
      <c r="J884">
        <f>[2]TongHop!J884</f>
        <v>0</v>
      </c>
      <c r="K884">
        <f>[2]TongHop!K884</f>
        <v>0</v>
      </c>
      <c r="L884">
        <f>[2]TongHop!L884</f>
        <v>0</v>
      </c>
      <c r="M884">
        <f>[2]TongHop!M884</f>
        <v>0</v>
      </c>
      <c r="N884">
        <f>[2]TongHop!N884</f>
        <v>0</v>
      </c>
    </row>
    <row r="885" spans="1:14">
      <c r="A885">
        <f>[2]TongHop!A885</f>
        <v>0</v>
      </c>
      <c r="B885">
        <f>[2]TongHop!B885</f>
        <v>0</v>
      </c>
      <c r="C885">
        <f>[2]TongHop!C885</f>
        <v>0</v>
      </c>
      <c r="D885">
        <f>[2]TongHop!D885</f>
        <v>0</v>
      </c>
      <c r="E885">
        <f>[2]TongHop!E885</f>
        <v>0</v>
      </c>
      <c r="F885">
        <f>[2]TongHop!F885</f>
        <v>0</v>
      </c>
      <c r="G885">
        <f>[2]TongHop!G885</f>
        <v>0</v>
      </c>
      <c r="H885">
        <f>[2]TongHop!H885</f>
        <v>0</v>
      </c>
      <c r="I885">
        <f>[2]TongHop!I885</f>
        <v>0</v>
      </c>
      <c r="J885">
        <f>[2]TongHop!J885</f>
        <v>0</v>
      </c>
      <c r="K885">
        <f>[2]TongHop!K885</f>
        <v>0</v>
      </c>
      <c r="L885">
        <f>[2]TongHop!L885</f>
        <v>0</v>
      </c>
      <c r="M885">
        <f>[2]TongHop!M885</f>
        <v>0</v>
      </c>
      <c r="N885">
        <f>[2]TongHop!N885</f>
        <v>0</v>
      </c>
    </row>
    <row r="886" spans="1:14">
      <c r="A886">
        <f>[2]TongHop!A886</f>
        <v>0</v>
      </c>
      <c r="B886">
        <f>[2]TongHop!B886</f>
        <v>0</v>
      </c>
      <c r="C886">
        <f>[2]TongHop!C886</f>
        <v>0</v>
      </c>
      <c r="D886">
        <f>[2]TongHop!D886</f>
        <v>0</v>
      </c>
      <c r="E886">
        <f>[2]TongHop!E886</f>
        <v>0</v>
      </c>
      <c r="F886">
        <f>[2]TongHop!F886</f>
        <v>0</v>
      </c>
      <c r="G886">
        <f>[2]TongHop!G886</f>
        <v>0</v>
      </c>
      <c r="H886">
        <f>[2]TongHop!H886</f>
        <v>0</v>
      </c>
      <c r="I886">
        <f>[2]TongHop!I886</f>
        <v>0</v>
      </c>
      <c r="J886">
        <f>[2]TongHop!J886</f>
        <v>0</v>
      </c>
      <c r="K886">
        <f>[2]TongHop!K886</f>
        <v>0</v>
      </c>
      <c r="L886">
        <f>[2]TongHop!L886</f>
        <v>0</v>
      </c>
      <c r="M886">
        <f>[2]TongHop!M886</f>
        <v>0</v>
      </c>
      <c r="N886">
        <f>[2]TongHop!N886</f>
        <v>0</v>
      </c>
    </row>
    <row r="887" spans="1:14">
      <c r="A887">
        <f>[2]TongHop!A887</f>
        <v>0</v>
      </c>
      <c r="B887">
        <f>[2]TongHop!B887</f>
        <v>0</v>
      </c>
      <c r="C887">
        <f>[2]TongHop!C887</f>
        <v>0</v>
      </c>
      <c r="D887">
        <f>[2]TongHop!D887</f>
        <v>0</v>
      </c>
      <c r="E887">
        <f>[2]TongHop!E887</f>
        <v>0</v>
      </c>
      <c r="F887">
        <f>[2]TongHop!F887</f>
        <v>0</v>
      </c>
      <c r="G887">
        <f>[2]TongHop!G887</f>
        <v>0</v>
      </c>
      <c r="H887">
        <f>[2]TongHop!H887</f>
        <v>0</v>
      </c>
      <c r="I887">
        <f>[2]TongHop!I887</f>
        <v>0</v>
      </c>
      <c r="J887">
        <f>[2]TongHop!J887</f>
        <v>0</v>
      </c>
      <c r="K887">
        <f>[2]TongHop!K887</f>
        <v>0</v>
      </c>
      <c r="L887">
        <f>[2]TongHop!L887</f>
        <v>0</v>
      </c>
      <c r="M887">
        <f>[2]TongHop!M887</f>
        <v>0</v>
      </c>
      <c r="N887">
        <f>[2]TongHop!N887</f>
        <v>0</v>
      </c>
    </row>
    <row r="888" spans="1:14">
      <c r="A888">
        <f>[2]TongHop!A888</f>
        <v>0</v>
      </c>
      <c r="B888">
        <f>[2]TongHop!B888</f>
        <v>0</v>
      </c>
      <c r="C888">
        <f>[2]TongHop!C888</f>
        <v>0</v>
      </c>
      <c r="D888">
        <f>[2]TongHop!D888</f>
        <v>0</v>
      </c>
      <c r="E888">
        <f>[2]TongHop!E888</f>
        <v>0</v>
      </c>
      <c r="F888">
        <f>[2]TongHop!F888</f>
        <v>0</v>
      </c>
      <c r="G888">
        <f>[2]TongHop!G888</f>
        <v>0</v>
      </c>
      <c r="H888">
        <f>[2]TongHop!H888</f>
        <v>0</v>
      </c>
      <c r="I888">
        <f>[2]TongHop!I888</f>
        <v>0</v>
      </c>
      <c r="J888">
        <f>[2]TongHop!J888</f>
        <v>0</v>
      </c>
      <c r="K888">
        <f>[2]TongHop!K888</f>
        <v>0</v>
      </c>
      <c r="L888">
        <f>[2]TongHop!L888</f>
        <v>0</v>
      </c>
      <c r="M888">
        <f>[2]TongHop!M888</f>
        <v>0</v>
      </c>
      <c r="N888">
        <f>[2]TongHop!N888</f>
        <v>0</v>
      </c>
    </row>
    <row r="889" spans="1:14">
      <c r="A889">
        <f>[2]TongHop!A889</f>
        <v>0</v>
      </c>
      <c r="B889">
        <f>[2]TongHop!B889</f>
        <v>0</v>
      </c>
      <c r="C889">
        <f>[2]TongHop!C889</f>
        <v>0</v>
      </c>
      <c r="D889">
        <f>[2]TongHop!D889</f>
        <v>0</v>
      </c>
      <c r="E889">
        <f>[2]TongHop!E889</f>
        <v>0</v>
      </c>
      <c r="F889">
        <f>[2]TongHop!F889</f>
        <v>0</v>
      </c>
      <c r="G889">
        <f>[2]TongHop!G889</f>
        <v>0</v>
      </c>
      <c r="H889">
        <f>[2]TongHop!H889</f>
        <v>0</v>
      </c>
      <c r="I889">
        <f>[2]TongHop!I889</f>
        <v>0</v>
      </c>
      <c r="J889">
        <f>[2]TongHop!J889</f>
        <v>0</v>
      </c>
      <c r="K889">
        <f>[2]TongHop!K889</f>
        <v>0</v>
      </c>
      <c r="L889">
        <f>[2]TongHop!L889</f>
        <v>0</v>
      </c>
      <c r="M889">
        <f>[2]TongHop!M889</f>
        <v>0</v>
      </c>
      <c r="N889">
        <f>[2]TongHop!N889</f>
        <v>0</v>
      </c>
    </row>
    <row r="890" spans="1:14">
      <c r="A890">
        <f>[2]TongHop!A890</f>
        <v>0</v>
      </c>
      <c r="B890">
        <f>[2]TongHop!B890</f>
        <v>0</v>
      </c>
      <c r="C890">
        <f>[2]TongHop!C890</f>
        <v>0</v>
      </c>
      <c r="D890">
        <f>[2]TongHop!D890</f>
        <v>0</v>
      </c>
      <c r="E890">
        <f>[2]TongHop!E890</f>
        <v>0</v>
      </c>
      <c r="F890">
        <f>[2]TongHop!F890</f>
        <v>0</v>
      </c>
      <c r="G890">
        <f>[2]TongHop!G890</f>
        <v>0</v>
      </c>
      <c r="H890">
        <f>[2]TongHop!H890</f>
        <v>0</v>
      </c>
      <c r="I890">
        <f>[2]TongHop!I890</f>
        <v>0</v>
      </c>
      <c r="J890">
        <f>[2]TongHop!J890</f>
        <v>0</v>
      </c>
      <c r="K890">
        <f>[2]TongHop!K890</f>
        <v>0</v>
      </c>
      <c r="L890">
        <f>[2]TongHop!L890</f>
        <v>0</v>
      </c>
      <c r="M890">
        <f>[2]TongHop!M890</f>
        <v>0</v>
      </c>
      <c r="N890">
        <f>[2]TongHop!N890</f>
        <v>0</v>
      </c>
    </row>
    <row r="891" spans="1:14">
      <c r="A891">
        <f>[2]TongHop!A891</f>
        <v>0</v>
      </c>
      <c r="B891">
        <f>[2]TongHop!B891</f>
        <v>0</v>
      </c>
      <c r="C891">
        <f>[2]TongHop!C891</f>
        <v>0</v>
      </c>
      <c r="D891">
        <f>[2]TongHop!D891</f>
        <v>0</v>
      </c>
      <c r="E891">
        <f>[2]TongHop!E891</f>
        <v>0</v>
      </c>
      <c r="F891">
        <f>[2]TongHop!F891</f>
        <v>0</v>
      </c>
      <c r="G891">
        <f>[2]TongHop!G891</f>
        <v>0</v>
      </c>
      <c r="H891">
        <f>[2]TongHop!H891</f>
        <v>0</v>
      </c>
      <c r="I891">
        <f>[2]TongHop!I891</f>
        <v>0</v>
      </c>
      <c r="J891">
        <f>[2]TongHop!J891</f>
        <v>0</v>
      </c>
      <c r="K891">
        <f>[2]TongHop!K891</f>
        <v>0</v>
      </c>
      <c r="L891">
        <f>[2]TongHop!L891</f>
        <v>0</v>
      </c>
      <c r="M891">
        <f>[2]TongHop!M891</f>
        <v>0</v>
      </c>
      <c r="N891">
        <f>[2]TongHop!N891</f>
        <v>0</v>
      </c>
    </row>
    <row r="892" spans="1:14">
      <c r="A892">
        <f>[2]TongHop!A892</f>
        <v>0</v>
      </c>
      <c r="B892">
        <f>[2]TongHop!B892</f>
        <v>0</v>
      </c>
      <c r="C892">
        <f>[2]TongHop!C892</f>
        <v>0</v>
      </c>
      <c r="D892">
        <f>[2]TongHop!D892</f>
        <v>0</v>
      </c>
      <c r="E892">
        <f>[2]TongHop!E892</f>
        <v>0</v>
      </c>
      <c r="F892">
        <f>[2]TongHop!F892</f>
        <v>0</v>
      </c>
      <c r="G892">
        <f>[2]TongHop!G892</f>
        <v>0</v>
      </c>
      <c r="H892">
        <f>[2]TongHop!H892</f>
        <v>0</v>
      </c>
      <c r="I892">
        <f>[2]TongHop!I892</f>
        <v>0</v>
      </c>
      <c r="J892">
        <f>[2]TongHop!J892</f>
        <v>0</v>
      </c>
      <c r="K892">
        <f>[2]TongHop!K892</f>
        <v>0</v>
      </c>
      <c r="L892">
        <f>[2]TongHop!L892</f>
        <v>0</v>
      </c>
      <c r="M892">
        <f>[2]TongHop!M892</f>
        <v>0</v>
      </c>
      <c r="N892">
        <f>[2]TongHop!N892</f>
        <v>0</v>
      </c>
    </row>
    <row r="893" spans="1:14">
      <c r="A893">
        <f>[2]TongHop!A893</f>
        <v>0</v>
      </c>
      <c r="B893">
        <f>[2]TongHop!B893</f>
        <v>0</v>
      </c>
      <c r="C893">
        <f>[2]TongHop!C893</f>
        <v>0</v>
      </c>
      <c r="D893">
        <f>[2]TongHop!D893</f>
        <v>0</v>
      </c>
      <c r="E893">
        <f>[2]TongHop!E893</f>
        <v>0</v>
      </c>
      <c r="F893">
        <f>[2]TongHop!F893</f>
        <v>0</v>
      </c>
      <c r="G893">
        <f>[2]TongHop!G893</f>
        <v>0</v>
      </c>
      <c r="H893">
        <f>[2]TongHop!H893</f>
        <v>0</v>
      </c>
      <c r="I893">
        <f>[2]TongHop!I893</f>
        <v>0</v>
      </c>
      <c r="J893">
        <f>[2]TongHop!J893</f>
        <v>0</v>
      </c>
      <c r="K893">
        <f>[2]TongHop!K893</f>
        <v>0</v>
      </c>
      <c r="L893">
        <f>[2]TongHop!L893</f>
        <v>0</v>
      </c>
      <c r="M893">
        <f>[2]TongHop!M893</f>
        <v>0</v>
      </c>
      <c r="N893">
        <f>[2]TongHop!N893</f>
        <v>0</v>
      </c>
    </row>
    <row r="894" spans="1:14">
      <c r="A894">
        <f>[2]TongHop!A894</f>
        <v>0</v>
      </c>
      <c r="B894">
        <f>[2]TongHop!B894</f>
        <v>0</v>
      </c>
      <c r="C894">
        <f>[2]TongHop!C894</f>
        <v>0</v>
      </c>
      <c r="D894">
        <f>[2]TongHop!D894</f>
        <v>0</v>
      </c>
      <c r="E894">
        <f>[2]TongHop!E894</f>
        <v>0</v>
      </c>
      <c r="F894">
        <f>[2]TongHop!F894</f>
        <v>0</v>
      </c>
      <c r="G894">
        <f>[2]TongHop!G894</f>
        <v>0</v>
      </c>
      <c r="H894">
        <f>[2]TongHop!H894</f>
        <v>0</v>
      </c>
      <c r="I894">
        <f>[2]TongHop!I894</f>
        <v>0</v>
      </c>
      <c r="J894">
        <f>[2]TongHop!J894</f>
        <v>0</v>
      </c>
      <c r="K894">
        <f>[2]TongHop!K894</f>
        <v>0</v>
      </c>
      <c r="L894">
        <f>[2]TongHop!L894</f>
        <v>0</v>
      </c>
      <c r="M894">
        <f>[2]TongHop!M894</f>
        <v>0</v>
      </c>
      <c r="N894">
        <f>[2]TongHop!N894</f>
        <v>0</v>
      </c>
    </row>
    <row r="895" spans="1:14">
      <c r="A895">
        <f>[2]TongHop!A895</f>
        <v>0</v>
      </c>
      <c r="B895">
        <f>[2]TongHop!B895</f>
        <v>0</v>
      </c>
      <c r="C895">
        <f>[2]TongHop!C895</f>
        <v>0</v>
      </c>
      <c r="D895">
        <f>[2]TongHop!D895</f>
        <v>0</v>
      </c>
      <c r="E895">
        <f>[2]TongHop!E895</f>
        <v>0</v>
      </c>
      <c r="F895">
        <f>[2]TongHop!F895</f>
        <v>0</v>
      </c>
      <c r="G895">
        <f>[2]TongHop!G895</f>
        <v>0</v>
      </c>
      <c r="H895">
        <f>[2]TongHop!H895</f>
        <v>0</v>
      </c>
      <c r="I895">
        <f>[2]TongHop!I895</f>
        <v>0</v>
      </c>
      <c r="J895">
        <f>[2]TongHop!J895</f>
        <v>0</v>
      </c>
      <c r="K895">
        <f>[2]TongHop!K895</f>
        <v>0</v>
      </c>
      <c r="L895">
        <f>[2]TongHop!L895</f>
        <v>0</v>
      </c>
      <c r="M895">
        <f>[2]TongHop!M895</f>
        <v>0</v>
      </c>
      <c r="N895">
        <f>[2]TongHop!N895</f>
        <v>0</v>
      </c>
    </row>
    <row r="896" spans="1:14">
      <c r="A896">
        <f>[2]TongHop!A896</f>
        <v>0</v>
      </c>
      <c r="B896">
        <f>[2]TongHop!B896</f>
        <v>0</v>
      </c>
      <c r="C896">
        <f>[2]TongHop!C896</f>
        <v>0</v>
      </c>
      <c r="D896">
        <f>[2]TongHop!D896</f>
        <v>0</v>
      </c>
      <c r="E896">
        <f>[2]TongHop!E896</f>
        <v>0</v>
      </c>
      <c r="F896">
        <f>[2]TongHop!F896</f>
        <v>0</v>
      </c>
      <c r="G896">
        <f>[2]TongHop!G896</f>
        <v>0</v>
      </c>
      <c r="H896">
        <f>[2]TongHop!H896</f>
        <v>0</v>
      </c>
      <c r="I896">
        <f>[2]TongHop!I896</f>
        <v>0</v>
      </c>
      <c r="J896">
        <f>[2]TongHop!J896</f>
        <v>0</v>
      </c>
      <c r="K896">
        <f>[2]TongHop!K896</f>
        <v>0</v>
      </c>
      <c r="L896">
        <f>[2]TongHop!L896</f>
        <v>0</v>
      </c>
      <c r="M896">
        <f>[2]TongHop!M896</f>
        <v>0</v>
      </c>
      <c r="N896">
        <f>[2]TongHop!N896</f>
        <v>0</v>
      </c>
    </row>
    <row r="897" spans="1:14">
      <c r="A897">
        <f>[2]TongHop!A897</f>
        <v>0</v>
      </c>
      <c r="B897">
        <f>[2]TongHop!B897</f>
        <v>0</v>
      </c>
      <c r="C897">
        <f>[2]TongHop!C897</f>
        <v>0</v>
      </c>
      <c r="D897">
        <f>[2]TongHop!D897</f>
        <v>0</v>
      </c>
      <c r="E897">
        <f>[2]TongHop!E897</f>
        <v>0</v>
      </c>
      <c r="F897">
        <f>[2]TongHop!F897</f>
        <v>0</v>
      </c>
      <c r="G897">
        <f>[2]TongHop!G897</f>
        <v>0</v>
      </c>
      <c r="H897">
        <f>[2]TongHop!H897</f>
        <v>0</v>
      </c>
      <c r="I897">
        <f>[2]TongHop!I897</f>
        <v>0</v>
      </c>
      <c r="J897">
        <f>[2]TongHop!J897</f>
        <v>0</v>
      </c>
      <c r="K897">
        <f>[2]TongHop!K897</f>
        <v>0</v>
      </c>
      <c r="L897">
        <f>[2]TongHop!L897</f>
        <v>0</v>
      </c>
      <c r="M897">
        <f>[2]TongHop!M897</f>
        <v>0</v>
      </c>
      <c r="N897">
        <f>[2]TongHop!N897</f>
        <v>0</v>
      </c>
    </row>
    <row r="898" spans="1:14">
      <c r="A898">
        <f>[2]TongHop!A898</f>
        <v>0</v>
      </c>
      <c r="B898">
        <f>[2]TongHop!B898</f>
        <v>0</v>
      </c>
      <c r="C898">
        <f>[2]TongHop!C898</f>
        <v>0</v>
      </c>
      <c r="D898">
        <f>[2]TongHop!D898</f>
        <v>0</v>
      </c>
      <c r="E898">
        <f>[2]TongHop!E898</f>
        <v>0</v>
      </c>
      <c r="F898">
        <f>[2]TongHop!F898</f>
        <v>0</v>
      </c>
      <c r="G898">
        <f>[2]TongHop!G898</f>
        <v>0</v>
      </c>
      <c r="H898">
        <f>[2]TongHop!H898</f>
        <v>0</v>
      </c>
      <c r="I898">
        <f>[2]TongHop!I898</f>
        <v>0</v>
      </c>
      <c r="J898">
        <f>[2]TongHop!J898</f>
        <v>0</v>
      </c>
      <c r="K898">
        <f>[2]TongHop!K898</f>
        <v>0</v>
      </c>
      <c r="L898">
        <f>[2]TongHop!L898</f>
        <v>0</v>
      </c>
      <c r="M898">
        <f>[2]TongHop!M898</f>
        <v>0</v>
      </c>
      <c r="N898">
        <f>[2]TongHop!N898</f>
        <v>0</v>
      </c>
    </row>
    <row r="899" spans="1:14">
      <c r="A899">
        <f>[2]TongHop!A899</f>
        <v>0</v>
      </c>
      <c r="B899">
        <f>[2]TongHop!B899</f>
        <v>0</v>
      </c>
      <c r="C899">
        <f>[2]TongHop!C899</f>
        <v>0</v>
      </c>
      <c r="D899">
        <f>[2]TongHop!D899</f>
        <v>0</v>
      </c>
      <c r="E899">
        <f>[2]TongHop!E899</f>
        <v>0</v>
      </c>
      <c r="F899">
        <f>[2]TongHop!F899</f>
        <v>0</v>
      </c>
      <c r="G899">
        <f>[2]TongHop!G899</f>
        <v>0</v>
      </c>
      <c r="H899">
        <f>[2]TongHop!H899</f>
        <v>0</v>
      </c>
      <c r="I899">
        <f>[2]TongHop!I899</f>
        <v>0</v>
      </c>
      <c r="J899">
        <f>[2]TongHop!J899</f>
        <v>0</v>
      </c>
      <c r="K899">
        <f>[2]TongHop!K899</f>
        <v>0</v>
      </c>
      <c r="L899">
        <f>[2]TongHop!L899</f>
        <v>0</v>
      </c>
      <c r="M899">
        <f>[2]TongHop!M899</f>
        <v>0</v>
      </c>
      <c r="N899">
        <f>[2]TongHop!N899</f>
        <v>0</v>
      </c>
    </row>
    <row r="900" spans="1:14">
      <c r="A900">
        <f>[2]TongHop!A900</f>
        <v>0</v>
      </c>
      <c r="B900">
        <f>[2]TongHop!B900</f>
        <v>0</v>
      </c>
      <c r="C900">
        <f>[2]TongHop!C900</f>
        <v>0</v>
      </c>
      <c r="D900">
        <f>[2]TongHop!D900</f>
        <v>0</v>
      </c>
      <c r="E900">
        <f>[2]TongHop!E900</f>
        <v>0</v>
      </c>
      <c r="F900">
        <f>[2]TongHop!F900</f>
        <v>0</v>
      </c>
      <c r="G900">
        <f>[2]TongHop!G900</f>
        <v>0</v>
      </c>
      <c r="H900">
        <f>[2]TongHop!H900</f>
        <v>0</v>
      </c>
      <c r="I900">
        <f>[2]TongHop!I900</f>
        <v>0</v>
      </c>
      <c r="J900">
        <f>[2]TongHop!J900</f>
        <v>0</v>
      </c>
      <c r="K900">
        <f>[2]TongHop!K900</f>
        <v>0</v>
      </c>
      <c r="L900">
        <f>[2]TongHop!L900</f>
        <v>0</v>
      </c>
      <c r="M900">
        <f>[2]TongHop!M900</f>
        <v>0</v>
      </c>
      <c r="N900">
        <f>[2]TongHop!N900</f>
        <v>0</v>
      </c>
    </row>
    <row r="901" spans="1:14">
      <c r="A901">
        <f>[2]TongHop!A901</f>
        <v>0</v>
      </c>
      <c r="B901">
        <f>[2]TongHop!B901</f>
        <v>0</v>
      </c>
      <c r="C901">
        <f>[2]TongHop!C901</f>
        <v>0</v>
      </c>
      <c r="D901">
        <f>[2]TongHop!D901</f>
        <v>0</v>
      </c>
      <c r="E901">
        <f>[2]TongHop!E901</f>
        <v>0</v>
      </c>
      <c r="F901">
        <f>[2]TongHop!F901</f>
        <v>0</v>
      </c>
      <c r="G901">
        <f>[2]TongHop!G901</f>
        <v>0</v>
      </c>
      <c r="H901">
        <f>[2]TongHop!H901</f>
        <v>0</v>
      </c>
      <c r="I901">
        <f>[2]TongHop!I901</f>
        <v>0</v>
      </c>
      <c r="J901">
        <f>[2]TongHop!J901</f>
        <v>0</v>
      </c>
      <c r="K901">
        <f>[2]TongHop!K901</f>
        <v>0</v>
      </c>
      <c r="L901">
        <f>[2]TongHop!L901</f>
        <v>0</v>
      </c>
      <c r="M901">
        <f>[2]TongHop!M901</f>
        <v>0</v>
      </c>
      <c r="N901">
        <f>[2]TongHop!N901</f>
        <v>0</v>
      </c>
    </row>
    <row r="902" spans="1:14">
      <c r="A902">
        <f>[2]TongHop!A902</f>
        <v>0</v>
      </c>
      <c r="B902">
        <f>[2]TongHop!B902</f>
        <v>0</v>
      </c>
      <c r="C902">
        <f>[2]TongHop!C902</f>
        <v>0</v>
      </c>
      <c r="D902">
        <f>[2]TongHop!D902</f>
        <v>0</v>
      </c>
      <c r="E902">
        <f>[2]TongHop!E902</f>
        <v>0</v>
      </c>
      <c r="F902">
        <f>[2]TongHop!F902</f>
        <v>0</v>
      </c>
      <c r="G902">
        <f>[2]TongHop!G902</f>
        <v>0</v>
      </c>
      <c r="H902">
        <f>[2]TongHop!H902</f>
        <v>0</v>
      </c>
      <c r="I902">
        <f>[2]TongHop!I902</f>
        <v>0</v>
      </c>
      <c r="J902">
        <f>[2]TongHop!J902</f>
        <v>0</v>
      </c>
      <c r="K902">
        <f>[2]TongHop!K902</f>
        <v>0</v>
      </c>
      <c r="L902">
        <f>[2]TongHop!L902</f>
        <v>0</v>
      </c>
      <c r="M902">
        <f>[2]TongHop!M902</f>
        <v>0</v>
      </c>
      <c r="N902">
        <f>[2]TongHop!N902</f>
        <v>0</v>
      </c>
    </row>
    <row r="903" spans="1:14">
      <c r="A903">
        <f>[2]TongHop!A903</f>
        <v>0</v>
      </c>
      <c r="B903">
        <f>[2]TongHop!B903</f>
        <v>0</v>
      </c>
      <c r="C903">
        <f>[2]TongHop!C903</f>
        <v>0</v>
      </c>
      <c r="D903">
        <f>[2]TongHop!D903</f>
        <v>0</v>
      </c>
      <c r="E903">
        <f>[2]TongHop!E903</f>
        <v>0</v>
      </c>
      <c r="F903">
        <f>[2]TongHop!F903</f>
        <v>0</v>
      </c>
      <c r="G903">
        <f>[2]TongHop!G903</f>
        <v>0</v>
      </c>
      <c r="H903">
        <f>[2]TongHop!H903</f>
        <v>0</v>
      </c>
      <c r="I903">
        <f>[2]TongHop!I903</f>
        <v>0</v>
      </c>
      <c r="J903">
        <f>[2]TongHop!J903</f>
        <v>0</v>
      </c>
      <c r="K903">
        <f>[2]TongHop!K903</f>
        <v>0</v>
      </c>
      <c r="L903">
        <f>[2]TongHop!L903</f>
        <v>0</v>
      </c>
      <c r="M903">
        <f>[2]TongHop!M903</f>
        <v>0</v>
      </c>
      <c r="N903">
        <f>[2]TongHop!N903</f>
        <v>0</v>
      </c>
    </row>
    <row r="904" spans="1:14">
      <c r="A904">
        <f>[2]TongHop!A904</f>
        <v>0</v>
      </c>
      <c r="B904">
        <f>[2]TongHop!B904</f>
        <v>0</v>
      </c>
      <c r="C904">
        <f>[2]TongHop!C904</f>
        <v>0</v>
      </c>
      <c r="D904">
        <f>[2]TongHop!D904</f>
        <v>0</v>
      </c>
      <c r="E904">
        <f>[2]TongHop!E904</f>
        <v>0</v>
      </c>
      <c r="F904">
        <f>[2]TongHop!F904</f>
        <v>0</v>
      </c>
      <c r="G904">
        <f>[2]TongHop!G904</f>
        <v>0</v>
      </c>
      <c r="H904">
        <f>[2]TongHop!H904</f>
        <v>0</v>
      </c>
      <c r="I904">
        <f>[2]TongHop!I904</f>
        <v>0</v>
      </c>
      <c r="J904">
        <f>[2]TongHop!J904</f>
        <v>0</v>
      </c>
      <c r="K904">
        <f>[2]TongHop!K904</f>
        <v>0</v>
      </c>
      <c r="L904">
        <f>[2]TongHop!L904</f>
        <v>0</v>
      </c>
      <c r="M904">
        <f>[2]TongHop!M904</f>
        <v>0</v>
      </c>
      <c r="N904">
        <f>[2]TongHop!N904</f>
        <v>0</v>
      </c>
    </row>
    <row r="905" spans="1:14">
      <c r="A905">
        <f>[2]TongHop!A905</f>
        <v>0</v>
      </c>
      <c r="B905">
        <f>[2]TongHop!B905</f>
        <v>0</v>
      </c>
      <c r="C905">
        <f>[2]TongHop!C905</f>
        <v>0</v>
      </c>
      <c r="D905">
        <f>[2]TongHop!D905</f>
        <v>0</v>
      </c>
      <c r="E905">
        <f>[2]TongHop!E905</f>
        <v>0</v>
      </c>
      <c r="F905">
        <f>[2]TongHop!F905</f>
        <v>0</v>
      </c>
      <c r="G905">
        <f>[2]TongHop!G905</f>
        <v>0</v>
      </c>
      <c r="H905">
        <f>[2]TongHop!H905</f>
        <v>0</v>
      </c>
      <c r="I905">
        <f>[2]TongHop!I905</f>
        <v>0</v>
      </c>
      <c r="J905">
        <f>[2]TongHop!J905</f>
        <v>0</v>
      </c>
      <c r="K905">
        <f>[2]TongHop!K905</f>
        <v>0</v>
      </c>
      <c r="L905">
        <f>[2]TongHop!L905</f>
        <v>0</v>
      </c>
      <c r="M905">
        <f>[2]TongHop!M905</f>
        <v>0</v>
      </c>
      <c r="N905">
        <f>[2]TongHop!N905</f>
        <v>0</v>
      </c>
    </row>
    <row r="906" spans="1:14">
      <c r="A906">
        <f>[2]TongHop!A906</f>
        <v>0</v>
      </c>
      <c r="B906">
        <f>[2]TongHop!B906</f>
        <v>0</v>
      </c>
      <c r="C906">
        <f>[2]TongHop!C906</f>
        <v>0</v>
      </c>
      <c r="D906">
        <f>[2]TongHop!D906</f>
        <v>0</v>
      </c>
      <c r="E906">
        <f>[2]TongHop!E906</f>
        <v>0</v>
      </c>
      <c r="F906">
        <f>[2]TongHop!F906</f>
        <v>0</v>
      </c>
      <c r="G906">
        <f>[2]TongHop!G906</f>
        <v>0</v>
      </c>
      <c r="H906">
        <f>[2]TongHop!H906</f>
        <v>0</v>
      </c>
      <c r="I906">
        <f>[2]TongHop!I906</f>
        <v>0</v>
      </c>
      <c r="J906">
        <f>[2]TongHop!J906</f>
        <v>0</v>
      </c>
      <c r="K906">
        <f>[2]TongHop!K906</f>
        <v>0</v>
      </c>
      <c r="L906">
        <f>[2]TongHop!L906</f>
        <v>0</v>
      </c>
      <c r="M906">
        <f>[2]TongHop!M906</f>
        <v>0</v>
      </c>
      <c r="N906">
        <f>[2]TongHop!N906</f>
        <v>0</v>
      </c>
    </row>
    <row r="907" spans="1:14">
      <c r="A907">
        <f>[2]TongHop!A907</f>
        <v>0</v>
      </c>
      <c r="B907">
        <f>[2]TongHop!B907</f>
        <v>0</v>
      </c>
      <c r="C907">
        <f>[2]TongHop!C907</f>
        <v>0</v>
      </c>
      <c r="D907">
        <f>[2]TongHop!D907</f>
        <v>0</v>
      </c>
      <c r="E907">
        <f>[2]TongHop!E907</f>
        <v>0</v>
      </c>
      <c r="F907">
        <f>[2]TongHop!F907</f>
        <v>0</v>
      </c>
      <c r="G907">
        <f>[2]TongHop!G907</f>
        <v>0</v>
      </c>
      <c r="H907">
        <f>[2]TongHop!H907</f>
        <v>0</v>
      </c>
      <c r="I907">
        <f>[2]TongHop!I907</f>
        <v>0</v>
      </c>
      <c r="J907">
        <f>[2]TongHop!J907</f>
        <v>0</v>
      </c>
      <c r="K907">
        <f>[2]TongHop!K907</f>
        <v>0</v>
      </c>
      <c r="L907">
        <f>[2]TongHop!L907</f>
        <v>0</v>
      </c>
      <c r="M907">
        <f>[2]TongHop!M907</f>
        <v>0</v>
      </c>
      <c r="N907">
        <f>[2]TongHop!N907</f>
        <v>0</v>
      </c>
    </row>
    <row r="908" spans="1:14">
      <c r="A908">
        <f>[2]TongHop!A908</f>
        <v>0</v>
      </c>
      <c r="B908">
        <f>[2]TongHop!B908</f>
        <v>0</v>
      </c>
      <c r="C908">
        <f>[2]TongHop!C908</f>
        <v>0</v>
      </c>
      <c r="D908">
        <f>[2]TongHop!D908</f>
        <v>0</v>
      </c>
      <c r="E908">
        <f>[2]TongHop!E908</f>
        <v>0</v>
      </c>
      <c r="F908">
        <f>[2]TongHop!F908</f>
        <v>0</v>
      </c>
      <c r="G908">
        <f>[2]TongHop!G908</f>
        <v>0</v>
      </c>
      <c r="H908">
        <f>[2]TongHop!H908</f>
        <v>0</v>
      </c>
      <c r="I908">
        <f>[2]TongHop!I908</f>
        <v>0</v>
      </c>
      <c r="J908">
        <f>[2]TongHop!J908</f>
        <v>0</v>
      </c>
      <c r="K908">
        <f>[2]TongHop!K908</f>
        <v>0</v>
      </c>
      <c r="L908">
        <f>[2]TongHop!L908</f>
        <v>0</v>
      </c>
      <c r="M908">
        <f>[2]TongHop!M908</f>
        <v>0</v>
      </c>
      <c r="N908">
        <f>[2]TongHop!N908</f>
        <v>0</v>
      </c>
    </row>
    <row r="909" spans="1:14">
      <c r="A909">
        <f>[2]TongHop!A909</f>
        <v>0</v>
      </c>
      <c r="B909">
        <f>[2]TongHop!B909</f>
        <v>0</v>
      </c>
      <c r="C909">
        <f>[2]TongHop!C909</f>
        <v>0</v>
      </c>
      <c r="D909">
        <f>[2]TongHop!D909</f>
        <v>0</v>
      </c>
      <c r="E909">
        <f>[2]TongHop!E909</f>
        <v>0</v>
      </c>
      <c r="F909">
        <f>[2]TongHop!F909</f>
        <v>0</v>
      </c>
      <c r="G909">
        <f>[2]TongHop!G909</f>
        <v>0</v>
      </c>
      <c r="H909">
        <f>[2]TongHop!H909</f>
        <v>0</v>
      </c>
      <c r="I909">
        <f>[2]TongHop!I909</f>
        <v>0</v>
      </c>
      <c r="J909">
        <f>[2]TongHop!J909</f>
        <v>0</v>
      </c>
      <c r="K909">
        <f>[2]TongHop!K909</f>
        <v>0</v>
      </c>
      <c r="L909">
        <f>[2]TongHop!L909</f>
        <v>0</v>
      </c>
      <c r="M909">
        <f>[2]TongHop!M909</f>
        <v>0</v>
      </c>
      <c r="N909">
        <f>[2]TongHop!N909</f>
        <v>0</v>
      </c>
    </row>
    <row r="910" spans="1:14">
      <c r="A910">
        <f>[2]TongHop!A910</f>
        <v>0</v>
      </c>
      <c r="B910">
        <f>[2]TongHop!B910</f>
        <v>0</v>
      </c>
      <c r="C910">
        <f>[2]TongHop!C910</f>
        <v>0</v>
      </c>
      <c r="D910">
        <f>[2]TongHop!D910</f>
        <v>0</v>
      </c>
      <c r="E910">
        <f>[2]TongHop!E910</f>
        <v>0</v>
      </c>
      <c r="F910">
        <f>[2]TongHop!F910</f>
        <v>0</v>
      </c>
      <c r="G910">
        <f>[2]TongHop!G910</f>
        <v>0</v>
      </c>
      <c r="H910">
        <f>[2]TongHop!H910</f>
        <v>0</v>
      </c>
      <c r="I910">
        <f>[2]TongHop!I910</f>
        <v>0</v>
      </c>
      <c r="J910">
        <f>[2]TongHop!J910</f>
        <v>0</v>
      </c>
      <c r="K910">
        <f>[2]TongHop!K910</f>
        <v>0</v>
      </c>
      <c r="L910">
        <f>[2]TongHop!L910</f>
        <v>0</v>
      </c>
      <c r="M910">
        <f>[2]TongHop!M910</f>
        <v>0</v>
      </c>
      <c r="N910">
        <f>[2]TongHop!N910</f>
        <v>0</v>
      </c>
    </row>
    <row r="911" spans="1:14">
      <c r="A911">
        <f>[2]TongHop!A911</f>
        <v>0</v>
      </c>
      <c r="B911">
        <f>[2]TongHop!B911</f>
        <v>0</v>
      </c>
      <c r="C911">
        <f>[2]TongHop!C911</f>
        <v>0</v>
      </c>
      <c r="D911">
        <f>[2]TongHop!D911</f>
        <v>0</v>
      </c>
      <c r="E911">
        <f>[2]TongHop!E911</f>
        <v>0</v>
      </c>
      <c r="F911">
        <f>[2]TongHop!F911</f>
        <v>0</v>
      </c>
      <c r="G911">
        <f>[2]TongHop!G911</f>
        <v>0</v>
      </c>
      <c r="H911">
        <f>[2]TongHop!H911</f>
        <v>0</v>
      </c>
      <c r="I911">
        <f>[2]TongHop!I911</f>
        <v>0</v>
      </c>
      <c r="J911">
        <f>[2]TongHop!J911</f>
        <v>0</v>
      </c>
      <c r="K911">
        <f>[2]TongHop!K911</f>
        <v>0</v>
      </c>
      <c r="L911">
        <f>[2]TongHop!L911</f>
        <v>0</v>
      </c>
      <c r="M911">
        <f>[2]TongHop!M911</f>
        <v>0</v>
      </c>
      <c r="N911">
        <f>[2]TongHop!N911</f>
        <v>0</v>
      </c>
    </row>
    <row r="912" spans="1:14">
      <c r="A912">
        <f>[2]TongHop!A912</f>
        <v>0</v>
      </c>
      <c r="B912">
        <f>[2]TongHop!B912</f>
        <v>0</v>
      </c>
      <c r="C912">
        <f>[2]TongHop!C912</f>
        <v>0</v>
      </c>
      <c r="D912">
        <f>[2]TongHop!D912</f>
        <v>0</v>
      </c>
      <c r="E912">
        <f>[2]TongHop!E912</f>
        <v>0</v>
      </c>
      <c r="F912">
        <f>[2]TongHop!F912</f>
        <v>0</v>
      </c>
      <c r="G912">
        <f>[2]TongHop!G912</f>
        <v>0</v>
      </c>
      <c r="H912">
        <f>[2]TongHop!H912</f>
        <v>0</v>
      </c>
      <c r="I912">
        <f>[2]TongHop!I912</f>
        <v>0</v>
      </c>
      <c r="J912">
        <f>[2]TongHop!J912</f>
        <v>0</v>
      </c>
      <c r="K912">
        <f>[2]TongHop!K912</f>
        <v>0</v>
      </c>
      <c r="L912">
        <f>[2]TongHop!L912</f>
        <v>0</v>
      </c>
      <c r="M912">
        <f>[2]TongHop!M912</f>
        <v>0</v>
      </c>
      <c r="N912">
        <f>[2]TongHop!N912</f>
        <v>0</v>
      </c>
    </row>
    <row r="913" spans="1:14">
      <c r="A913">
        <f>[2]TongHop!A913</f>
        <v>0</v>
      </c>
      <c r="B913">
        <f>[2]TongHop!B913</f>
        <v>0</v>
      </c>
      <c r="C913">
        <f>[2]TongHop!C913</f>
        <v>0</v>
      </c>
      <c r="D913">
        <f>[2]TongHop!D913</f>
        <v>0</v>
      </c>
      <c r="E913">
        <f>[2]TongHop!E913</f>
        <v>0</v>
      </c>
      <c r="F913">
        <f>[2]TongHop!F913</f>
        <v>0</v>
      </c>
      <c r="G913">
        <f>[2]TongHop!G913</f>
        <v>0</v>
      </c>
      <c r="H913">
        <f>[2]TongHop!H913</f>
        <v>0</v>
      </c>
      <c r="I913">
        <f>[2]TongHop!I913</f>
        <v>0</v>
      </c>
      <c r="J913">
        <f>[2]TongHop!J913</f>
        <v>0</v>
      </c>
      <c r="K913">
        <f>[2]TongHop!K913</f>
        <v>0</v>
      </c>
      <c r="L913">
        <f>[2]TongHop!L913</f>
        <v>0</v>
      </c>
      <c r="M913">
        <f>[2]TongHop!M913</f>
        <v>0</v>
      </c>
      <c r="N913">
        <f>[2]TongHop!N913</f>
        <v>0</v>
      </c>
    </row>
    <row r="914" spans="1:14">
      <c r="A914">
        <f>[2]TongHop!A914</f>
        <v>0</v>
      </c>
      <c r="B914">
        <f>[2]TongHop!B914</f>
        <v>0</v>
      </c>
      <c r="C914">
        <f>[2]TongHop!C914</f>
        <v>0</v>
      </c>
      <c r="D914">
        <f>[2]TongHop!D914</f>
        <v>0</v>
      </c>
      <c r="E914">
        <f>[2]TongHop!E914</f>
        <v>0</v>
      </c>
      <c r="F914">
        <f>[2]TongHop!F914</f>
        <v>0</v>
      </c>
      <c r="G914">
        <f>[2]TongHop!G914</f>
        <v>0</v>
      </c>
      <c r="H914">
        <f>[2]TongHop!H914</f>
        <v>0</v>
      </c>
      <c r="I914">
        <f>[2]TongHop!I914</f>
        <v>0</v>
      </c>
      <c r="J914">
        <f>[2]TongHop!J914</f>
        <v>0</v>
      </c>
      <c r="K914">
        <f>[2]TongHop!K914</f>
        <v>0</v>
      </c>
      <c r="L914">
        <f>[2]TongHop!L914</f>
        <v>0</v>
      </c>
      <c r="M914">
        <f>[2]TongHop!M914</f>
        <v>0</v>
      </c>
      <c r="N914">
        <f>[2]TongHop!N914</f>
        <v>0</v>
      </c>
    </row>
    <row r="915" spans="1:14">
      <c r="A915">
        <f>[2]TongHop!A915</f>
        <v>0</v>
      </c>
      <c r="B915">
        <f>[2]TongHop!B915</f>
        <v>0</v>
      </c>
      <c r="C915">
        <f>[2]TongHop!C915</f>
        <v>0</v>
      </c>
      <c r="D915">
        <f>[2]TongHop!D915</f>
        <v>0</v>
      </c>
      <c r="E915">
        <f>[2]TongHop!E915</f>
        <v>0</v>
      </c>
      <c r="F915">
        <f>[2]TongHop!F915</f>
        <v>0</v>
      </c>
      <c r="G915">
        <f>[2]TongHop!G915</f>
        <v>0</v>
      </c>
      <c r="H915">
        <f>[2]TongHop!H915</f>
        <v>0</v>
      </c>
      <c r="I915">
        <f>[2]TongHop!I915</f>
        <v>0</v>
      </c>
      <c r="J915">
        <f>[2]TongHop!J915</f>
        <v>0</v>
      </c>
      <c r="K915">
        <f>[2]TongHop!K915</f>
        <v>0</v>
      </c>
      <c r="L915">
        <f>[2]TongHop!L915</f>
        <v>0</v>
      </c>
      <c r="M915">
        <f>[2]TongHop!M915</f>
        <v>0</v>
      </c>
      <c r="N915">
        <f>[2]TongHop!N915</f>
        <v>0</v>
      </c>
    </row>
    <row r="916" spans="1:14">
      <c r="A916">
        <f>[2]TongHop!A916</f>
        <v>0</v>
      </c>
      <c r="B916">
        <f>[2]TongHop!B916</f>
        <v>0</v>
      </c>
      <c r="C916">
        <f>[2]TongHop!C916</f>
        <v>0</v>
      </c>
      <c r="D916">
        <f>[2]TongHop!D916</f>
        <v>0</v>
      </c>
      <c r="E916">
        <f>[2]TongHop!E916</f>
        <v>0</v>
      </c>
      <c r="F916">
        <f>[2]TongHop!F916</f>
        <v>0</v>
      </c>
      <c r="G916">
        <f>[2]TongHop!G916</f>
        <v>0</v>
      </c>
      <c r="H916">
        <f>[2]TongHop!H916</f>
        <v>0</v>
      </c>
      <c r="I916">
        <f>[2]TongHop!I916</f>
        <v>0</v>
      </c>
      <c r="J916">
        <f>[2]TongHop!J916</f>
        <v>0</v>
      </c>
      <c r="K916">
        <f>[2]TongHop!K916</f>
        <v>0</v>
      </c>
      <c r="L916">
        <f>[2]TongHop!L916</f>
        <v>0</v>
      </c>
      <c r="M916">
        <f>[2]TongHop!M916</f>
        <v>0</v>
      </c>
      <c r="N916">
        <f>[2]TongHop!N916</f>
        <v>0</v>
      </c>
    </row>
    <row r="917" spans="1:14">
      <c r="A917">
        <f>[2]TongHop!A917</f>
        <v>0</v>
      </c>
      <c r="B917">
        <f>[2]TongHop!B917</f>
        <v>0</v>
      </c>
      <c r="C917">
        <f>[2]TongHop!C917</f>
        <v>0</v>
      </c>
      <c r="D917">
        <f>[2]TongHop!D917</f>
        <v>0</v>
      </c>
      <c r="E917">
        <f>[2]TongHop!E917</f>
        <v>0</v>
      </c>
      <c r="F917">
        <f>[2]TongHop!F917</f>
        <v>0</v>
      </c>
      <c r="G917">
        <f>[2]TongHop!G917</f>
        <v>0</v>
      </c>
      <c r="H917">
        <f>[2]TongHop!H917</f>
        <v>0</v>
      </c>
      <c r="I917">
        <f>[2]TongHop!I917</f>
        <v>0</v>
      </c>
      <c r="J917">
        <f>[2]TongHop!J917</f>
        <v>0</v>
      </c>
      <c r="K917">
        <f>[2]TongHop!K917</f>
        <v>0</v>
      </c>
      <c r="L917">
        <f>[2]TongHop!L917</f>
        <v>0</v>
      </c>
      <c r="M917">
        <f>[2]TongHop!M917</f>
        <v>0</v>
      </c>
      <c r="N917">
        <f>[2]TongHop!N917</f>
        <v>0</v>
      </c>
    </row>
    <row r="918" spans="1:14">
      <c r="A918">
        <f>[2]TongHop!A918</f>
        <v>0</v>
      </c>
      <c r="B918">
        <f>[2]TongHop!B918</f>
        <v>0</v>
      </c>
      <c r="C918">
        <f>[2]TongHop!C918</f>
        <v>0</v>
      </c>
      <c r="D918">
        <f>[2]TongHop!D918</f>
        <v>0</v>
      </c>
      <c r="E918">
        <f>[2]TongHop!E918</f>
        <v>0</v>
      </c>
      <c r="F918">
        <f>[2]TongHop!F918</f>
        <v>0</v>
      </c>
      <c r="G918">
        <f>[2]TongHop!G918</f>
        <v>0</v>
      </c>
      <c r="H918">
        <f>[2]TongHop!H918</f>
        <v>0</v>
      </c>
      <c r="I918">
        <f>[2]TongHop!I918</f>
        <v>0</v>
      </c>
      <c r="J918">
        <f>[2]TongHop!J918</f>
        <v>0</v>
      </c>
      <c r="K918">
        <f>[2]TongHop!K918</f>
        <v>0</v>
      </c>
      <c r="L918">
        <f>[2]TongHop!L918</f>
        <v>0</v>
      </c>
      <c r="M918">
        <f>[2]TongHop!M918</f>
        <v>0</v>
      </c>
      <c r="N918">
        <f>[2]TongHop!N918</f>
        <v>0</v>
      </c>
    </row>
    <row r="919" spans="1:14">
      <c r="A919">
        <f>[2]TongHop!A919</f>
        <v>0</v>
      </c>
      <c r="B919">
        <f>[2]TongHop!B919</f>
        <v>0</v>
      </c>
      <c r="C919">
        <f>[2]TongHop!C919</f>
        <v>0</v>
      </c>
      <c r="D919">
        <f>[2]TongHop!D919</f>
        <v>0</v>
      </c>
      <c r="E919">
        <f>[2]TongHop!E919</f>
        <v>0</v>
      </c>
      <c r="F919">
        <f>[2]TongHop!F919</f>
        <v>0</v>
      </c>
      <c r="G919">
        <f>[2]TongHop!G919</f>
        <v>0</v>
      </c>
      <c r="H919">
        <f>[2]TongHop!H919</f>
        <v>0</v>
      </c>
      <c r="I919">
        <f>[2]TongHop!I919</f>
        <v>0</v>
      </c>
      <c r="J919">
        <f>[2]TongHop!J919</f>
        <v>0</v>
      </c>
      <c r="K919">
        <f>[2]TongHop!K919</f>
        <v>0</v>
      </c>
      <c r="L919">
        <f>[2]TongHop!L919</f>
        <v>0</v>
      </c>
      <c r="M919">
        <f>[2]TongHop!M919</f>
        <v>0</v>
      </c>
      <c r="N919">
        <f>[2]TongHop!N919</f>
        <v>0</v>
      </c>
    </row>
    <row r="920" spans="1:14">
      <c r="A920">
        <f>[2]TongHop!A920</f>
        <v>0</v>
      </c>
      <c r="B920">
        <f>[2]TongHop!B920</f>
        <v>0</v>
      </c>
      <c r="C920">
        <f>[2]TongHop!C920</f>
        <v>0</v>
      </c>
      <c r="D920">
        <f>[2]TongHop!D920</f>
        <v>0</v>
      </c>
      <c r="E920">
        <f>[2]TongHop!E920</f>
        <v>0</v>
      </c>
      <c r="F920">
        <f>[2]TongHop!F920</f>
        <v>0</v>
      </c>
      <c r="G920">
        <f>[2]TongHop!G920</f>
        <v>0</v>
      </c>
      <c r="H920">
        <f>[2]TongHop!H920</f>
        <v>0</v>
      </c>
      <c r="I920">
        <f>[2]TongHop!I920</f>
        <v>0</v>
      </c>
      <c r="J920">
        <f>[2]TongHop!J920</f>
        <v>0</v>
      </c>
      <c r="K920">
        <f>[2]TongHop!K920</f>
        <v>0</v>
      </c>
      <c r="L920">
        <f>[2]TongHop!L920</f>
        <v>0</v>
      </c>
      <c r="M920">
        <f>[2]TongHop!M920</f>
        <v>0</v>
      </c>
      <c r="N920">
        <f>[2]TongHop!N920</f>
        <v>0</v>
      </c>
    </row>
    <row r="921" spans="1:14">
      <c r="A921">
        <f>[2]TongHop!A921</f>
        <v>0</v>
      </c>
      <c r="B921">
        <f>[2]TongHop!B921</f>
        <v>0</v>
      </c>
      <c r="C921">
        <f>[2]TongHop!C921</f>
        <v>0</v>
      </c>
      <c r="D921">
        <f>[2]TongHop!D921</f>
        <v>0</v>
      </c>
      <c r="E921">
        <f>[2]TongHop!E921</f>
        <v>0</v>
      </c>
      <c r="F921">
        <f>[2]TongHop!F921</f>
        <v>0</v>
      </c>
      <c r="G921">
        <f>[2]TongHop!G921</f>
        <v>0</v>
      </c>
      <c r="H921">
        <f>[2]TongHop!H921</f>
        <v>0</v>
      </c>
      <c r="I921">
        <f>[2]TongHop!I921</f>
        <v>0</v>
      </c>
      <c r="J921">
        <f>[2]TongHop!J921</f>
        <v>0</v>
      </c>
      <c r="K921">
        <f>[2]TongHop!K921</f>
        <v>0</v>
      </c>
      <c r="L921">
        <f>[2]TongHop!L921</f>
        <v>0</v>
      </c>
      <c r="M921">
        <f>[2]TongHop!M921</f>
        <v>0</v>
      </c>
      <c r="N921">
        <f>[2]TongHop!N921</f>
        <v>0</v>
      </c>
    </row>
    <row r="922" spans="1:14">
      <c r="A922">
        <f>[2]TongHop!A922</f>
        <v>0</v>
      </c>
      <c r="B922">
        <f>[2]TongHop!B922</f>
        <v>0</v>
      </c>
      <c r="C922">
        <f>[2]TongHop!C922</f>
        <v>0</v>
      </c>
      <c r="D922">
        <f>[2]TongHop!D922</f>
        <v>0</v>
      </c>
      <c r="E922">
        <f>[2]TongHop!E922</f>
        <v>0</v>
      </c>
      <c r="F922">
        <f>[2]TongHop!F922</f>
        <v>0</v>
      </c>
      <c r="G922">
        <f>[2]TongHop!G922</f>
        <v>0</v>
      </c>
      <c r="H922">
        <f>[2]TongHop!H922</f>
        <v>0</v>
      </c>
      <c r="I922">
        <f>[2]TongHop!I922</f>
        <v>0</v>
      </c>
      <c r="J922">
        <f>[2]TongHop!J922</f>
        <v>0</v>
      </c>
      <c r="K922">
        <f>[2]TongHop!K922</f>
        <v>0</v>
      </c>
      <c r="L922">
        <f>[2]TongHop!L922</f>
        <v>0</v>
      </c>
      <c r="M922">
        <f>[2]TongHop!M922</f>
        <v>0</v>
      </c>
      <c r="N922">
        <f>[2]TongHop!N922</f>
        <v>0</v>
      </c>
    </row>
    <row r="923" spans="1:14">
      <c r="A923">
        <f>[2]TongHop!A923</f>
        <v>0</v>
      </c>
      <c r="B923">
        <f>[2]TongHop!B923</f>
        <v>0</v>
      </c>
      <c r="C923">
        <f>[2]TongHop!C923</f>
        <v>0</v>
      </c>
      <c r="D923">
        <f>[2]TongHop!D923</f>
        <v>0</v>
      </c>
      <c r="E923">
        <f>[2]TongHop!E923</f>
        <v>0</v>
      </c>
      <c r="F923">
        <f>[2]TongHop!F923</f>
        <v>0</v>
      </c>
      <c r="G923">
        <f>[2]TongHop!G923</f>
        <v>0</v>
      </c>
      <c r="H923">
        <f>[2]TongHop!H923</f>
        <v>0</v>
      </c>
      <c r="I923">
        <f>[2]TongHop!I923</f>
        <v>0</v>
      </c>
      <c r="J923">
        <f>[2]TongHop!J923</f>
        <v>0</v>
      </c>
      <c r="K923">
        <f>[2]TongHop!K923</f>
        <v>0</v>
      </c>
      <c r="L923">
        <f>[2]TongHop!L923</f>
        <v>0</v>
      </c>
      <c r="M923">
        <f>[2]TongHop!M923</f>
        <v>0</v>
      </c>
      <c r="N923">
        <f>[2]TongHop!N923</f>
        <v>0</v>
      </c>
    </row>
    <row r="924" spans="1:14">
      <c r="A924">
        <f>[2]TongHop!A924</f>
        <v>0</v>
      </c>
      <c r="B924">
        <f>[2]TongHop!B924</f>
        <v>0</v>
      </c>
      <c r="C924">
        <f>[2]TongHop!C924</f>
        <v>0</v>
      </c>
      <c r="D924">
        <f>[2]TongHop!D924</f>
        <v>0</v>
      </c>
      <c r="E924">
        <f>[2]TongHop!E924</f>
        <v>0</v>
      </c>
      <c r="F924">
        <f>[2]TongHop!F924</f>
        <v>0</v>
      </c>
      <c r="G924">
        <f>[2]TongHop!G924</f>
        <v>0</v>
      </c>
      <c r="H924">
        <f>[2]TongHop!H924</f>
        <v>0</v>
      </c>
      <c r="I924">
        <f>[2]TongHop!I924</f>
        <v>0</v>
      </c>
      <c r="J924">
        <f>[2]TongHop!J924</f>
        <v>0</v>
      </c>
      <c r="K924">
        <f>[2]TongHop!K924</f>
        <v>0</v>
      </c>
      <c r="L924">
        <f>[2]TongHop!L924</f>
        <v>0</v>
      </c>
      <c r="M924">
        <f>[2]TongHop!M924</f>
        <v>0</v>
      </c>
      <c r="N924">
        <f>[2]TongHop!N924</f>
        <v>0</v>
      </c>
    </row>
    <row r="925" spans="1:14">
      <c r="A925">
        <f>[2]TongHop!A925</f>
        <v>0</v>
      </c>
      <c r="B925">
        <f>[2]TongHop!B925</f>
        <v>0</v>
      </c>
      <c r="C925">
        <f>[2]TongHop!C925</f>
        <v>0</v>
      </c>
      <c r="D925">
        <f>[2]TongHop!D925</f>
        <v>0</v>
      </c>
      <c r="E925">
        <f>[2]TongHop!E925</f>
        <v>0</v>
      </c>
      <c r="F925">
        <f>[2]TongHop!F925</f>
        <v>0</v>
      </c>
      <c r="G925">
        <f>[2]TongHop!G925</f>
        <v>0</v>
      </c>
      <c r="H925">
        <f>[2]TongHop!H925</f>
        <v>0</v>
      </c>
      <c r="I925">
        <f>[2]TongHop!I925</f>
        <v>0</v>
      </c>
      <c r="J925">
        <f>[2]TongHop!J925</f>
        <v>0</v>
      </c>
      <c r="K925">
        <f>[2]TongHop!K925</f>
        <v>0</v>
      </c>
      <c r="L925">
        <f>[2]TongHop!L925</f>
        <v>0</v>
      </c>
      <c r="M925">
        <f>[2]TongHop!M925</f>
        <v>0</v>
      </c>
      <c r="N925">
        <f>[2]TongHop!N925</f>
        <v>0</v>
      </c>
    </row>
    <row r="926" spans="1:14">
      <c r="A926">
        <f>[2]TongHop!A926</f>
        <v>0</v>
      </c>
      <c r="B926">
        <f>[2]TongHop!B926</f>
        <v>0</v>
      </c>
      <c r="C926">
        <f>[2]TongHop!C926</f>
        <v>0</v>
      </c>
      <c r="D926">
        <f>[2]TongHop!D926</f>
        <v>0</v>
      </c>
      <c r="E926">
        <f>[2]TongHop!E926</f>
        <v>0</v>
      </c>
      <c r="F926">
        <f>[2]TongHop!F926</f>
        <v>0</v>
      </c>
      <c r="G926">
        <f>[2]TongHop!G926</f>
        <v>0</v>
      </c>
      <c r="H926">
        <f>[2]TongHop!H926</f>
        <v>0</v>
      </c>
      <c r="I926">
        <f>[2]TongHop!I926</f>
        <v>0</v>
      </c>
      <c r="J926">
        <f>[2]TongHop!J926</f>
        <v>0</v>
      </c>
      <c r="K926">
        <f>[2]TongHop!K926</f>
        <v>0</v>
      </c>
      <c r="L926">
        <f>[2]TongHop!L926</f>
        <v>0</v>
      </c>
      <c r="M926">
        <f>[2]TongHop!M926</f>
        <v>0</v>
      </c>
      <c r="N926">
        <f>[2]TongHop!N926</f>
        <v>0</v>
      </c>
    </row>
    <row r="927" spans="1:14">
      <c r="A927">
        <f>[2]TongHop!A927</f>
        <v>0</v>
      </c>
      <c r="B927">
        <f>[2]TongHop!B927</f>
        <v>0</v>
      </c>
      <c r="C927">
        <f>[2]TongHop!C927</f>
        <v>0</v>
      </c>
      <c r="D927">
        <f>[2]TongHop!D927</f>
        <v>0</v>
      </c>
      <c r="E927">
        <f>[2]TongHop!E927</f>
        <v>0</v>
      </c>
      <c r="F927">
        <f>[2]TongHop!F927</f>
        <v>0</v>
      </c>
      <c r="G927">
        <f>[2]TongHop!G927</f>
        <v>0</v>
      </c>
      <c r="H927">
        <f>[2]TongHop!H927</f>
        <v>0</v>
      </c>
      <c r="I927">
        <f>[2]TongHop!I927</f>
        <v>0</v>
      </c>
      <c r="J927">
        <f>[2]TongHop!J927</f>
        <v>0</v>
      </c>
      <c r="K927">
        <f>[2]TongHop!K927</f>
        <v>0</v>
      </c>
      <c r="L927">
        <f>[2]TongHop!L927</f>
        <v>0</v>
      </c>
      <c r="M927">
        <f>[2]TongHop!M927</f>
        <v>0</v>
      </c>
      <c r="N927">
        <f>[2]TongHop!N927</f>
        <v>0</v>
      </c>
    </row>
    <row r="928" spans="1:14">
      <c r="A928">
        <f>[2]TongHop!A928</f>
        <v>0</v>
      </c>
      <c r="B928">
        <f>[2]TongHop!B928</f>
        <v>0</v>
      </c>
      <c r="C928">
        <f>[2]TongHop!C928</f>
        <v>0</v>
      </c>
      <c r="D928">
        <f>[2]TongHop!D928</f>
        <v>0</v>
      </c>
      <c r="E928">
        <f>[2]TongHop!E928</f>
        <v>0</v>
      </c>
      <c r="F928">
        <f>[2]TongHop!F928</f>
        <v>0</v>
      </c>
      <c r="G928">
        <f>[2]TongHop!G928</f>
        <v>0</v>
      </c>
      <c r="H928">
        <f>[2]TongHop!H928</f>
        <v>0</v>
      </c>
      <c r="I928">
        <f>[2]TongHop!I928</f>
        <v>0</v>
      </c>
      <c r="J928">
        <f>[2]TongHop!J928</f>
        <v>0</v>
      </c>
      <c r="K928">
        <f>[2]TongHop!K928</f>
        <v>0</v>
      </c>
      <c r="L928">
        <f>[2]TongHop!L928</f>
        <v>0</v>
      </c>
      <c r="M928">
        <f>[2]TongHop!M928</f>
        <v>0</v>
      </c>
      <c r="N928">
        <f>[2]TongHop!N928</f>
        <v>0</v>
      </c>
    </row>
    <row r="929" spans="1:14">
      <c r="A929">
        <f>[2]TongHop!A929</f>
        <v>0</v>
      </c>
      <c r="B929">
        <f>[2]TongHop!B929</f>
        <v>0</v>
      </c>
      <c r="C929">
        <f>[2]TongHop!C929</f>
        <v>0</v>
      </c>
      <c r="D929">
        <f>[2]TongHop!D929</f>
        <v>0</v>
      </c>
      <c r="E929">
        <f>[2]TongHop!E929</f>
        <v>0</v>
      </c>
      <c r="F929">
        <f>[2]TongHop!F929</f>
        <v>0</v>
      </c>
      <c r="G929">
        <f>[2]TongHop!G929</f>
        <v>0</v>
      </c>
      <c r="H929">
        <f>[2]TongHop!H929</f>
        <v>0</v>
      </c>
      <c r="I929">
        <f>[2]TongHop!I929</f>
        <v>0</v>
      </c>
      <c r="J929">
        <f>[2]TongHop!J929</f>
        <v>0</v>
      </c>
      <c r="K929">
        <f>[2]TongHop!K929</f>
        <v>0</v>
      </c>
      <c r="L929">
        <f>[2]TongHop!L929</f>
        <v>0</v>
      </c>
      <c r="M929">
        <f>[2]TongHop!M929</f>
        <v>0</v>
      </c>
      <c r="N929">
        <f>[2]TongHop!N929</f>
        <v>0</v>
      </c>
    </row>
    <row r="930" spans="1:14">
      <c r="A930">
        <f>[2]TongHop!A930</f>
        <v>0</v>
      </c>
      <c r="B930">
        <f>[2]TongHop!B930</f>
        <v>0</v>
      </c>
      <c r="C930">
        <f>[2]TongHop!C930</f>
        <v>0</v>
      </c>
      <c r="D930">
        <f>[2]TongHop!D930</f>
        <v>0</v>
      </c>
      <c r="E930">
        <f>[2]TongHop!E930</f>
        <v>0</v>
      </c>
      <c r="F930">
        <f>[2]TongHop!F930</f>
        <v>0</v>
      </c>
      <c r="G930">
        <f>[2]TongHop!G930</f>
        <v>0</v>
      </c>
      <c r="H930">
        <f>[2]TongHop!H930</f>
        <v>0</v>
      </c>
      <c r="I930">
        <f>[2]TongHop!I930</f>
        <v>0</v>
      </c>
      <c r="J930">
        <f>[2]TongHop!J930</f>
        <v>0</v>
      </c>
      <c r="K930">
        <f>[2]TongHop!K930</f>
        <v>0</v>
      </c>
      <c r="L930">
        <f>[2]TongHop!L930</f>
        <v>0</v>
      </c>
      <c r="M930">
        <f>[2]TongHop!M930</f>
        <v>0</v>
      </c>
      <c r="N930">
        <f>[2]TongHop!N930</f>
        <v>0</v>
      </c>
    </row>
    <row r="931" spans="1:14">
      <c r="A931">
        <f>[2]TongHop!A931</f>
        <v>0</v>
      </c>
      <c r="B931">
        <f>[2]TongHop!B931</f>
        <v>0</v>
      </c>
      <c r="C931">
        <f>[2]TongHop!C931</f>
        <v>0</v>
      </c>
      <c r="D931">
        <f>[2]TongHop!D931</f>
        <v>0</v>
      </c>
      <c r="E931">
        <f>[2]TongHop!E931</f>
        <v>0</v>
      </c>
      <c r="F931">
        <f>[2]TongHop!F931</f>
        <v>0</v>
      </c>
      <c r="G931">
        <f>[2]TongHop!G931</f>
        <v>0</v>
      </c>
      <c r="H931">
        <f>[2]TongHop!H931</f>
        <v>0</v>
      </c>
      <c r="I931">
        <f>[2]TongHop!I931</f>
        <v>0</v>
      </c>
      <c r="J931">
        <f>[2]TongHop!J931</f>
        <v>0</v>
      </c>
      <c r="K931">
        <f>[2]TongHop!K931</f>
        <v>0</v>
      </c>
      <c r="L931">
        <f>[2]TongHop!L931</f>
        <v>0</v>
      </c>
      <c r="M931">
        <f>[2]TongHop!M931</f>
        <v>0</v>
      </c>
      <c r="N931">
        <f>[2]TongHop!N931</f>
        <v>0</v>
      </c>
    </row>
    <row r="932" spans="1:14">
      <c r="A932">
        <f>[2]TongHop!A932</f>
        <v>0</v>
      </c>
      <c r="B932">
        <f>[2]TongHop!B932</f>
        <v>0</v>
      </c>
      <c r="C932">
        <f>[2]TongHop!C932</f>
        <v>0</v>
      </c>
      <c r="D932">
        <f>[2]TongHop!D932</f>
        <v>0</v>
      </c>
      <c r="E932">
        <f>[2]TongHop!E932</f>
        <v>0</v>
      </c>
      <c r="F932">
        <f>[2]TongHop!F932</f>
        <v>0</v>
      </c>
      <c r="G932">
        <f>[2]TongHop!G932</f>
        <v>0</v>
      </c>
      <c r="H932">
        <f>[2]TongHop!H932</f>
        <v>0</v>
      </c>
      <c r="I932">
        <f>[2]TongHop!I932</f>
        <v>0</v>
      </c>
      <c r="J932">
        <f>[2]TongHop!J932</f>
        <v>0</v>
      </c>
      <c r="K932">
        <f>[2]TongHop!K932</f>
        <v>0</v>
      </c>
      <c r="L932">
        <f>[2]TongHop!L932</f>
        <v>0</v>
      </c>
      <c r="M932">
        <f>[2]TongHop!M932</f>
        <v>0</v>
      </c>
      <c r="N932">
        <f>[2]TongHop!N932</f>
        <v>0</v>
      </c>
    </row>
    <row r="933" spans="1:14">
      <c r="A933">
        <f>[2]TongHop!A933</f>
        <v>0</v>
      </c>
      <c r="B933">
        <f>[2]TongHop!B933</f>
        <v>0</v>
      </c>
      <c r="C933">
        <f>[2]TongHop!C933</f>
        <v>0</v>
      </c>
      <c r="D933">
        <f>[2]TongHop!D933</f>
        <v>0</v>
      </c>
      <c r="E933">
        <f>[2]TongHop!E933</f>
        <v>0</v>
      </c>
      <c r="F933">
        <f>[2]TongHop!F933</f>
        <v>0</v>
      </c>
      <c r="G933">
        <f>[2]TongHop!G933</f>
        <v>0</v>
      </c>
      <c r="H933">
        <f>[2]TongHop!H933</f>
        <v>0</v>
      </c>
      <c r="I933">
        <f>[2]TongHop!I933</f>
        <v>0</v>
      </c>
      <c r="J933">
        <f>[2]TongHop!J933</f>
        <v>0</v>
      </c>
      <c r="K933">
        <f>[2]TongHop!K933</f>
        <v>0</v>
      </c>
      <c r="L933">
        <f>[2]TongHop!L933</f>
        <v>0</v>
      </c>
      <c r="M933">
        <f>[2]TongHop!M933</f>
        <v>0</v>
      </c>
      <c r="N933">
        <f>[2]TongHop!N933</f>
        <v>0</v>
      </c>
    </row>
    <row r="934" spans="1:14">
      <c r="A934">
        <f>[2]TongHop!A934</f>
        <v>0</v>
      </c>
      <c r="B934">
        <f>[2]TongHop!B934</f>
        <v>0</v>
      </c>
      <c r="C934">
        <f>[2]TongHop!C934</f>
        <v>0</v>
      </c>
      <c r="D934">
        <f>[2]TongHop!D934</f>
        <v>0</v>
      </c>
      <c r="E934">
        <f>[2]TongHop!E934</f>
        <v>0</v>
      </c>
      <c r="F934">
        <f>[2]TongHop!F934</f>
        <v>0</v>
      </c>
      <c r="G934">
        <f>[2]TongHop!G934</f>
        <v>0</v>
      </c>
      <c r="H934">
        <f>[2]TongHop!H934</f>
        <v>0</v>
      </c>
      <c r="I934">
        <f>[2]TongHop!I934</f>
        <v>0</v>
      </c>
      <c r="J934">
        <f>[2]TongHop!J934</f>
        <v>0</v>
      </c>
      <c r="K934">
        <f>[2]TongHop!K934</f>
        <v>0</v>
      </c>
      <c r="L934">
        <f>[2]TongHop!L934</f>
        <v>0</v>
      </c>
      <c r="M934">
        <f>[2]TongHop!M934</f>
        <v>0</v>
      </c>
      <c r="N934">
        <f>[2]TongHop!N934</f>
        <v>0</v>
      </c>
    </row>
    <row r="935" spans="1:14">
      <c r="A935">
        <f>[2]TongHop!A935</f>
        <v>0</v>
      </c>
      <c r="B935">
        <f>[2]TongHop!B935</f>
        <v>0</v>
      </c>
      <c r="C935">
        <f>[2]TongHop!C935</f>
        <v>0</v>
      </c>
      <c r="D935">
        <f>[2]TongHop!D935</f>
        <v>0</v>
      </c>
      <c r="E935">
        <f>[2]TongHop!E935</f>
        <v>0</v>
      </c>
      <c r="F935">
        <f>[2]TongHop!F935</f>
        <v>0</v>
      </c>
      <c r="G935">
        <f>[2]TongHop!G935</f>
        <v>0</v>
      </c>
      <c r="H935">
        <f>[2]TongHop!H935</f>
        <v>0</v>
      </c>
      <c r="I935">
        <f>[2]TongHop!I935</f>
        <v>0</v>
      </c>
      <c r="J935">
        <f>[2]TongHop!J935</f>
        <v>0</v>
      </c>
      <c r="K935">
        <f>[2]TongHop!K935</f>
        <v>0</v>
      </c>
      <c r="L935">
        <f>[2]TongHop!L935</f>
        <v>0</v>
      </c>
      <c r="M935">
        <f>[2]TongHop!M935</f>
        <v>0</v>
      </c>
      <c r="N935">
        <f>[2]TongHop!N935</f>
        <v>0</v>
      </c>
    </row>
    <row r="936" spans="1:14">
      <c r="A936">
        <f>[2]TongHop!A936</f>
        <v>0</v>
      </c>
      <c r="B936">
        <f>[2]TongHop!B936</f>
        <v>0</v>
      </c>
      <c r="C936">
        <f>[2]TongHop!C936</f>
        <v>0</v>
      </c>
      <c r="D936">
        <f>[2]TongHop!D936</f>
        <v>0</v>
      </c>
      <c r="E936">
        <f>[2]TongHop!E936</f>
        <v>0</v>
      </c>
      <c r="F936">
        <f>[2]TongHop!F936</f>
        <v>0</v>
      </c>
      <c r="G936">
        <f>[2]TongHop!G936</f>
        <v>0</v>
      </c>
      <c r="H936">
        <f>[2]TongHop!H936</f>
        <v>0</v>
      </c>
      <c r="I936">
        <f>[2]TongHop!I936</f>
        <v>0</v>
      </c>
      <c r="J936">
        <f>[2]TongHop!J936</f>
        <v>0</v>
      </c>
      <c r="K936">
        <f>[2]TongHop!K936</f>
        <v>0</v>
      </c>
      <c r="L936">
        <f>[2]TongHop!L936</f>
        <v>0</v>
      </c>
      <c r="M936">
        <f>[2]TongHop!M936</f>
        <v>0</v>
      </c>
      <c r="N936">
        <f>[2]TongHop!N936</f>
        <v>0</v>
      </c>
    </row>
    <row r="937" spans="1:14">
      <c r="A937">
        <f>[2]TongHop!A937</f>
        <v>0</v>
      </c>
      <c r="B937">
        <f>[2]TongHop!B937</f>
        <v>0</v>
      </c>
      <c r="C937">
        <f>[2]TongHop!C937</f>
        <v>0</v>
      </c>
      <c r="D937">
        <f>[2]TongHop!D937</f>
        <v>0</v>
      </c>
      <c r="E937">
        <f>[2]TongHop!E937</f>
        <v>0</v>
      </c>
      <c r="F937">
        <f>[2]TongHop!F937</f>
        <v>0</v>
      </c>
      <c r="G937">
        <f>[2]TongHop!G937</f>
        <v>0</v>
      </c>
      <c r="H937">
        <f>[2]TongHop!H937</f>
        <v>0</v>
      </c>
      <c r="I937">
        <f>[2]TongHop!I937</f>
        <v>0</v>
      </c>
      <c r="J937">
        <f>[2]TongHop!J937</f>
        <v>0</v>
      </c>
      <c r="K937">
        <f>[2]TongHop!K937</f>
        <v>0</v>
      </c>
      <c r="L937">
        <f>[2]TongHop!L937</f>
        <v>0</v>
      </c>
      <c r="M937">
        <f>[2]TongHop!M937</f>
        <v>0</v>
      </c>
      <c r="N937">
        <f>[2]TongHop!N937</f>
        <v>0</v>
      </c>
    </row>
    <row r="938" spans="1:14">
      <c r="A938">
        <f>[2]TongHop!A938</f>
        <v>0</v>
      </c>
      <c r="B938">
        <f>[2]TongHop!B938</f>
        <v>0</v>
      </c>
      <c r="C938">
        <f>[2]TongHop!C938</f>
        <v>0</v>
      </c>
      <c r="D938">
        <f>[2]TongHop!D938</f>
        <v>0</v>
      </c>
      <c r="E938">
        <f>[2]TongHop!E938</f>
        <v>0</v>
      </c>
      <c r="F938">
        <f>[2]TongHop!F938</f>
        <v>0</v>
      </c>
      <c r="G938">
        <f>[2]TongHop!G938</f>
        <v>0</v>
      </c>
      <c r="H938">
        <f>[2]TongHop!H938</f>
        <v>0</v>
      </c>
      <c r="I938">
        <f>[2]TongHop!I938</f>
        <v>0</v>
      </c>
      <c r="J938">
        <f>[2]TongHop!J938</f>
        <v>0</v>
      </c>
      <c r="K938">
        <f>[2]TongHop!K938</f>
        <v>0</v>
      </c>
      <c r="L938">
        <f>[2]TongHop!L938</f>
        <v>0</v>
      </c>
      <c r="M938">
        <f>[2]TongHop!M938</f>
        <v>0</v>
      </c>
      <c r="N938">
        <f>[2]TongHop!N938</f>
        <v>0</v>
      </c>
    </row>
    <row r="939" spans="1:14">
      <c r="A939">
        <f>[2]TongHop!A939</f>
        <v>0</v>
      </c>
      <c r="B939">
        <f>[2]TongHop!B939</f>
        <v>0</v>
      </c>
      <c r="C939">
        <f>[2]TongHop!C939</f>
        <v>0</v>
      </c>
      <c r="D939">
        <f>[2]TongHop!D939</f>
        <v>0</v>
      </c>
      <c r="E939">
        <f>[2]TongHop!E939</f>
        <v>0</v>
      </c>
      <c r="F939">
        <f>[2]TongHop!F939</f>
        <v>0</v>
      </c>
      <c r="G939">
        <f>[2]TongHop!G939</f>
        <v>0</v>
      </c>
      <c r="H939">
        <f>[2]TongHop!H939</f>
        <v>0</v>
      </c>
      <c r="I939">
        <f>[2]TongHop!I939</f>
        <v>0</v>
      </c>
      <c r="J939">
        <f>[2]TongHop!J939</f>
        <v>0</v>
      </c>
      <c r="K939">
        <f>[2]TongHop!K939</f>
        <v>0</v>
      </c>
      <c r="L939">
        <f>[2]TongHop!L939</f>
        <v>0</v>
      </c>
      <c r="M939">
        <f>[2]TongHop!M939</f>
        <v>0</v>
      </c>
      <c r="N939">
        <f>[2]TongHop!N939</f>
        <v>0</v>
      </c>
    </row>
    <row r="940" spans="1:14">
      <c r="A940">
        <f>[2]TongHop!A940</f>
        <v>0</v>
      </c>
      <c r="B940">
        <f>[2]TongHop!B940</f>
        <v>0</v>
      </c>
      <c r="C940">
        <f>[2]TongHop!C940</f>
        <v>0</v>
      </c>
      <c r="D940">
        <f>[2]TongHop!D940</f>
        <v>0</v>
      </c>
      <c r="E940">
        <f>[2]TongHop!E940</f>
        <v>0</v>
      </c>
      <c r="F940">
        <f>[2]TongHop!F940</f>
        <v>0</v>
      </c>
      <c r="G940">
        <f>[2]TongHop!G940</f>
        <v>0</v>
      </c>
      <c r="H940">
        <f>[2]TongHop!H940</f>
        <v>0</v>
      </c>
      <c r="I940">
        <f>[2]TongHop!I940</f>
        <v>0</v>
      </c>
      <c r="J940">
        <f>[2]TongHop!J940</f>
        <v>0</v>
      </c>
      <c r="K940">
        <f>[2]TongHop!K940</f>
        <v>0</v>
      </c>
      <c r="L940">
        <f>[2]TongHop!L940</f>
        <v>0</v>
      </c>
      <c r="M940">
        <f>[2]TongHop!M940</f>
        <v>0</v>
      </c>
      <c r="N940">
        <f>[2]TongHop!N940</f>
        <v>0</v>
      </c>
    </row>
    <row r="941" spans="1:14">
      <c r="A941">
        <f>[2]TongHop!A941</f>
        <v>0</v>
      </c>
      <c r="B941">
        <f>[2]TongHop!B941</f>
        <v>0</v>
      </c>
      <c r="C941">
        <f>[2]TongHop!C941</f>
        <v>0</v>
      </c>
      <c r="D941">
        <f>[2]TongHop!D941</f>
        <v>0</v>
      </c>
      <c r="E941">
        <f>[2]TongHop!E941</f>
        <v>0</v>
      </c>
      <c r="F941">
        <f>[2]TongHop!F941</f>
        <v>0</v>
      </c>
      <c r="G941">
        <f>[2]TongHop!G941</f>
        <v>0</v>
      </c>
      <c r="H941">
        <f>[2]TongHop!H941</f>
        <v>0</v>
      </c>
      <c r="I941">
        <f>[2]TongHop!I941</f>
        <v>0</v>
      </c>
      <c r="J941">
        <f>[2]TongHop!J941</f>
        <v>0</v>
      </c>
      <c r="K941">
        <f>[2]TongHop!K941</f>
        <v>0</v>
      </c>
      <c r="L941">
        <f>[2]TongHop!L941</f>
        <v>0</v>
      </c>
      <c r="M941">
        <f>[2]TongHop!M941</f>
        <v>0</v>
      </c>
      <c r="N941">
        <f>[2]TongHop!N941</f>
        <v>0</v>
      </c>
    </row>
    <row r="942" spans="1:14">
      <c r="A942">
        <f>[2]TongHop!A942</f>
        <v>0</v>
      </c>
      <c r="B942">
        <f>[2]TongHop!B942</f>
        <v>0</v>
      </c>
      <c r="C942">
        <f>[2]TongHop!C942</f>
        <v>0</v>
      </c>
      <c r="D942">
        <f>[2]TongHop!D942</f>
        <v>0</v>
      </c>
      <c r="E942">
        <f>[2]TongHop!E942</f>
        <v>0</v>
      </c>
      <c r="F942">
        <f>[2]TongHop!F942</f>
        <v>0</v>
      </c>
      <c r="G942">
        <f>[2]TongHop!G942</f>
        <v>0</v>
      </c>
      <c r="H942">
        <f>[2]TongHop!H942</f>
        <v>0</v>
      </c>
      <c r="I942">
        <f>[2]TongHop!I942</f>
        <v>0</v>
      </c>
      <c r="J942">
        <f>[2]TongHop!J942</f>
        <v>0</v>
      </c>
      <c r="K942">
        <f>[2]TongHop!K942</f>
        <v>0</v>
      </c>
      <c r="L942">
        <f>[2]TongHop!L942</f>
        <v>0</v>
      </c>
      <c r="M942">
        <f>[2]TongHop!M942</f>
        <v>0</v>
      </c>
      <c r="N942">
        <f>[2]TongHop!N942</f>
        <v>0</v>
      </c>
    </row>
    <row r="943" spans="1:14">
      <c r="A943">
        <f>[2]TongHop!A943</f>
        <v>0</v>
      </c>
      <c r="B943">
        <f>[2]TongHop!B943</f>
        <v>0</v>
      </c>
      <c r="C943">
        <f>[2]TongHop!C943</f>
        <v>0</v>
      </c>
      <c r="D943">
        <f>[2]TongHop!D943</f>
        <v>0</v>
      </c>
      <c r="E943">
        <f>[2]TongHop!E943</f>
        <v>0</v>
      </c>
      <c r="F943">
        <f>[2]TongHop!F943</f>
        <v>0</v>
      </c>
      <c r="G943">
        <f>[2]TongHop!G943</f>
        <v>0</v>
      </c>
      <c r="H943">
        <f>[2]TongHop!H943</f>
        <v>0</v>
      </c>
      <c r="I943">
        <f>[2]TongHop!I943</f>
        <v>0</v>
      </c>
      <c r="J943">
        <f>[2]TongHop!J943</f>
        <v>0</v>
      </c>
      <c r="K943">
        <f>[2]TongHop!K943</f>
        <v>0</v>
      </c>
      <c r="L943">
        <f>[2]TongHop!L943</f>
        <v>0</v>
      </c>
      <c r="M943">
        <f>[2]TongHop!M943</f>
        <v>0</v>
      </c>
      <c r="N943">
        <f>[2]TongHop!N943</f>
        <v>0</v>
      </c>
    </row>
    <row r="944" spans="1:14">
      <c r="A944">
        <f>[2]TongHop!A944</f>
        <v>0</v>
      </c>
      <c r="B944">
        <f>[2]TongHop!B944</f>
        <v>0</v>
      </c>
      <c r="C944">
        <f>[2]TongHop!C944</f>
        <v>0</v>
      </c>
      <c r="D944">
        <f>[2]TongHop!D944</f>
        <v>0</v>
      </c>
      <c r="E944">
        <f>[2]TongHop!E944</f>
        <v>0</v>
      </c>
      <c r="F944">
        <f>[2]TongHop!F944</f>
        <v>0</v>
      </c>
      <c r="G944">
        <f>[2]TongHop!G944</f>
        <v>0</v>
      </c>
      <c r="H944">
        <f>[2]TongHop!H944</f>
        <v>0</v>
      </c>
      <c r="I944">
        <f>[2]TongHop!I944</f>
        <v>0</v>
      </c>
      <c r="J944">
        <f>[2]TongHop!J944</f>
        <v>0</v>
      </c>
      <c r="K944">
        <f>[2]TongHop!K944</f>
        <v>0</v>
      </c>
      <c r="L944">
        <f>[2]TongHop!L944</f>
        <v>0</v>
      </c>
      <c r="M944">
        <f>[2]TongHop!M944</f>
        <v>0</v>
      </c>
      <c r="N944">
        <f>[2]TongHop!N944</f>
        <v>0</v>
      </c>
    </row>
    <row r="945" spans="1:14">
      <c r="A945">
        <f>[2]TongHop!A945</f>
        <v>0</v>
      </c>
      <c r="B945">
        <f>[2]TongHop!B945</f>
        <v>0</v>
      </c>
      <c r="C945">
        <f>[2]TongHop!C945</f>
        <v>0</v>
      </c>
      <c r="D945">
        <f>[2]TongHop!D945</f>
        <v>0</v>
      </c>
      <c r="E945">
        <f>[2]TongHop!E945</f>
        <v>0</v>
      </c>
      <c r="F945">
        <f>[2]TongHop!F945</f>
        <v>0</v>
      </c>
      <c r="G945">
        <f>[2]TongHop!G945</f>
        <v>0</v>
      </c>
      <c r="H945">
        <f>[2]TongHop!H945</f>
        <v>0</v>
      </c>
      <c r="I945">
        <f>[2]TongHop!I945</f>
        <v>0</v>
      </c>
      <c r="J945">
        <f>[2]TongHop!J945</f>
        <v>0</v>
      </c>
      <c r="K945">
        <f>[2]TongHop!K945</f>
        <v>0</v>
      </c>
      <c r="L945">
        <f>[2]TongHop!L945</f>
        <v>0</v>
      </c>
      <c r="M945">
        <f>[2]TongHop!M945</f>
        <v>0</v>
      </c>
      <c r="N945">
        <f>[2]TongHop!N945</f>
        <v>0</v>
      </c>
    </row>
    <row r="946" spans="1:14">
      <c r="A946">
        <f>[2]TongHop!A946</f>
        <v>0</v>
      </c>
      <c r="B946">
        <f>[2]TongHop!B946</f>
        <v>0</v>
      </c>
      <c r="C946">
        <f>[2]TongHop!C946</f>
        <v>0</v>
      </c>
      <c r="D946">
        <f>[2]TongHop!D946</f>
        <v>0</v>
      </c>
      <c r="E946">
        <f>[2]TongHop!E946</f>
        <v>0</v>
      </c>
      <c r="F946">
        <f>[2]TongHop!F946</f>
        <v>0</v>
      </c>
      <c r="G946">
        <f>[2]TongHop!G946</f>
        <v>0</v>
      </c>
      <c r="H946">
        <f>[2]TongHop!H946</f>
        <v>0</v>
      </c>
      <c r="I946">
        <f>[2]TongHop!I946</f>
        <v>0</v>
      </c>
      <c r="J946">
        <f>[2]TongHop!J946</f>
        <v>0</v>
      </c>
      <c r="K946">
        <f>[2]TongHop!K946</f>
        <v>0</v>
      </c>
      <c r="L946">
        <f>[2]TongHop!L946</f>
        <v>0</v>
      </c>
      <c r="M946">
        <f>[2]TongHop!M946</f>
        <v>0</v>
      </c>
      <c r="N946">
        <f>[2]TongHop!N946</f>
        <v>0</v>
      </c>
    </row>
    <row r="947" spans="1:14">
      <c r="A947">
        <f>[2]TongHop!A947</f>
        <v>0</v>
      </c>
      <c r="B947">
        <f>[2]TongHop!B947</f>
        <v>0</v>
      </c>
      <c r="C947">
        <f>[2]TongHop!C947</f>
        <v>0</v>
      </c>
      <c r="D947">
        <f>[2]TongHop!D947</f>
        <v>0</v>
      </c>
      <c r="E947">
        <f>[2]TongHop!E947</f>
        <v>0</v>
      </c>
      <c r="F947">
        <f>[2]TongHop!F947</f>
        <v>0</v>
      </c>
      <c r="G947">
        <f>[2]TongHop!G947</f>
        <v>0</v>
      </c>
      <c r="H947">
        <f>[2]TongHop!H947</f>
        <v>0</v>
      </c>
      <c r="I947">
        <f>[2]TongHop!I947</f>
        <v>0</v>
      </c>
      <c r="J947">
        <f>[2]TongHop!J947</f>
        <v>0</v>
      </c>
      <c r="K947">
        <f>[2]TongHop!K947</f>
        <v>0</v>
      </c>
      <c r="L947">
        <f>[2]TongHop!L947</f>
        <v>0</v>
      </c>
      <c r="M947">
        <f>[2]TongHop!M947</f>
        <v>0</v>
      </c>
      <c r="N947">
        <f>[2]TongHop!N947</f>
        <v>0</v>
      </c>
    </row>
    <row r="948" spans="1:14">
      <c r="A948">
        <f>[2]TongHop!A948</f>
        <v>0</v>
      </c>
      <c r="B948">
        <f>[2]TongHop!B948</f>
        <v>0</v>
      </c>
      <c r="C948">
        <f>[2]TongHop!C948</f>
        <v>0</v>
      </c>
      <c r="D948">
        <f>[2]TongHop!D948</f>
        <v>0</v>
      </c>
      <c r="E948">
        <f>[2]TongHop!E948</f>
        <v>0</v>
      </c>
      <c r="F948">
        <f>[2]TongHop!F948</f>
        <v>0</v>
      </c>
      <c r="G948">
        <f>[2]TongHop!G948</f>
        <v>0</v>
      </c>
      <c r="H948">
        <f>[2]TongHop!H948</f>
        <v>0</v>
      </c>
      <c r="I948">
        <f>[2]TongHop!I948</f>
        <v>0</v>
      </c>
      <c r="J948">
        <f>[2]TongHop!J948</f>
        <v>0</v>
      </c>
      <c r="K948">
        <f>[2]TongHop!K948</f>
        <v>0</v>
      </c>
      <c r="L948">
        <f>[2]TongHop!L948</f>
        <v>0</v>
      </c>
      <c r="M948">
        <f>[2]TongHop!M948</f>
        <v>0</v>
      </c>
      <c r="N948">
        <f>[2]TongHop!N948</f>
        <v>0</v>
      </c>
    </row>
    <row r="949" spans="1:14">
      <c r="A949">
        <f>[2]TongHop!A949</f>
        <v>0</v>
      </c>
      <c r="B949">
        <f>[2]TongHop!B949</f>
        <v>0</v>
      </c>
      <c r="C949">
        <f>[2]TongHop!C949</f>
        <v>0</v>
      </c>
      <c r="D949">
        <f>[2]TongHop!D949</f>
        <v>0</v>
      </c>
      <c r="E949">
        <f>[2]TongHop!E949</f>
        <v>0</v>
      </c>
      <c r="F949">
        <f>[2]TongHop!F949</f>
        <v>0</v>
      </c>
      <c r="G949">
        <f>[2]TongHop!G949</f>
        <v>0</v>
      </c>
      <c r="H949">
        <f>[2]TongHop!H949</f>
        <v>0</v>
      </c>
      <c r="I949">
        <f>[2]TongHop!I949</f>
        <v>0</v>
      </c>
      <c r="J949">
        <f>[2]TongHop!J949</f>
        <v>0</v>
      </c>
      <c r="K949">
        <f>[2]TongHop!K949</f>
        <v>0</v>
      </c>
      <c r="L949">
        <f>[2]TongHop!L949</f>
        <v>0</v>
      </c>
      <c r="M949">
        <f>[2]TongHop!M949</f>
        <v>0</v>
      </c>
      <c r="N949">
        <f>[2]TongHop!N949</f>
        <v>0</v>
      </c>
    </row>
    <row r="950" spans="1:14">
      <c r="A950">
        <f>[2]TongHop!A950</f>
        <v>0</v>
      </c>
      <c r="B950">
        <f>[2]TongHop!B950</f>
        <v>0</v>
      </c>
      <c r="C950">
        <f>[2]TongHop!C950</f>
        <v>0</v>
      </c>
      <c r="D950">
        <f>[2]TongHop!D950</f>
        <v>0</v>
      </c>
      <c r="E950">
        <f>[2]TongHop!E950</f>
        <v>0</v>
      </c>
      <c r="F950">
        <f>[2]TongHop!F950</f>
        <v>0</v>
      </c>
      <c r="G950">
        <f>[2]TongHop!G950</f>
        <v>0</v>
      </c>
      <c r="H950">
        <f>[2]TongHop!H950</f>
        <v>0</v>
      </c>
      <c r="I950">
        <f>[2]TongHop!I950</f>
        <v>0</v>
      </c>
      <c r="J950">
        <f>[2]TongHop!J950</f>
        <v>0</v>
      </c>
      <c r="K950">
        <f>[2]TongHop!K950</f>
        <v>0</v>
      </c>
      <c r="L950">
        <f>[2]TongHop!L950</f>
        <v>0</v>
      </c>
      <c r="M950">
        <f>[2]TongHop!M950</f>
        <v>0</v>
      </c>
      <c r="N950">
        <f>[2]TongHop!N950</f>
        <v>0</v>
      </c>
    </row>
    <row r="951" spans="1:14">
      <c r="A951">
        <f>[2]TongHop!A951</f>
        <v>0</v>
      </c>
      <c r="B951">
        <f>[2]TongHop!B951</f>
        <v>0</v>
      </c>
      <c r="C951">
        <f>[2]TongHop!C951</f>
        <v>0</v>
      </c>
      <c r="D951">
        <f>[2]TongHop!D951</f>
        <v>0</v>
      </c>
      <c r="E951">
        <f>[2]TongHop!E951</f>
        <v>0</v>
      </c>
      <c r="F951">
        <f>[2]TongHop!F951</f>
        <v>0</v>
      </c>
      <c r="G951">
        <f>[2]TongHop!G951</f>
        <v>0</v>
      </c>
      <c r="H951">
        <f>[2]TongHop!H951</f>
        <v>0</v>
      </c>
      <c r="I951">
        <f>[2]TongHop!I951</f>
        <v>0</v>
      </c>
      <c r="J951">
        <f>[2]TongHop!J951</f>
        <v>0</v>
      </c>
      <c r="K951">
        <f>[2]TongHop!K951</f>
        <v>0</v>
      </c>
      <c r="L951">
        <f>[2]TongHop!L951</f>
        <v>0</v>
      </c>
      <c r="M951">
        <f>[2]TongHop!M951</f>
        <v>0</v>
      </c>
      <c r="N951">
        <f>[2]TongHop!N951</f>
        <v>0</v>
      </c>
    </row>
    <row r="952" spans="1:14">
      <c r="A952">
        <f>[2]TongHop!A952</f>
        <v>0</v>
      </c>
      <c r="B952">
        <f>[2]TongHop!B952</f>
        <v>0</v>
      </c>
      <c r="C952">
        <f>[2]TongHop!C952</f>
        <v>0</v>
      </c>
      <c r="D952">
        <f>[2]TongHop!D952</f>
        <v>0</v>
      </c>
      <c r="E952">
        <f>[2]TongHop!E952</f>
        <v>0</v>
      </c>
      <c r="F952">
        <f>[2]TongHop!F952</f>
        <v>0</v>
      </c>
      <c r="G952">
        <f>[2]TongHop!G952</f>
        <v>0</v>
      </c>
      <c r="H952">
        <f>[2]TongHop!H952</f>
        <v>0</v>
      </c>
      <c r="I952">
        <f>[2]TongHop!I952</f>
        <v>0</v>
      </c>
      <c r="J952">
        <f>[2]TongHop!J952</f>
        <v>0</v>
      </c>
      <c r="K952">
        <f>[2]TongHop!K952</f>
        <v>0</v>
      </c>
      <c r="L952">
        <f>[2]TongHop!L952</f>
        <v>0</v>
      </c>
      <c r="M952">
        <f>[2]TongHop!M952</f>
        <v>0</v>
      </c>
      <c r="N952">
        <f>[2]TongHop!N952</f>
        <v>0</v>
      </c>
    </row>
    <row r="953" spans="1:14">
      <c r="A953">
        <f>[2]TongHop!A953</f>
        <v>0</v>
      </c>
      <c r="B953">
        <f>[2]TongHop!B953</f>
        <v>0</v>
      </c>
      <c r="C953">
        <f>[2]TongHop!C953</f>
        <v>0</v>
      </c>
      <c r="D953">
        <f>[2]TongHop!D953</f>
        <v>0</v>
      </c>
      <c r="E953">
        <f>[2]TongHop!E953</f>
        <v>0</v>
      </c>
      <c r="F953">
        <f>[2]TongHop!F953</f>
        <v>0</v>
      </c>
      <c r="G953">
        <f>[2]TongHop!G953</f>
        <v>0</v>
      </c>
      <c r="H953">
        <f>[2]TongHop!H953</f>
        <v>0</v>
      </c>
      <c r="I953">
        <f>[2]TongHop!I953</f>
        <v>0</v>
      </c>
      <c r="J953">
        <f>[2]TongHop!J953</f>
        <v>0</v>
      </c>
      <c r="K953">
        <f>[2]TongHop!K953</f>
        <v>0</v>
      </c>
      <c r="L953">
        <f>[2]TongHop!L953</f>
        <v>0</v>
      </c>
      <c r="M953">
        <f>[2]TongHop!M953</f>
        <v>0</v>
      </c>
      <c r="N953">
        <f>[2]TongHop!N953</f>
        <v>0</v>
      </c>
    </row>
    <row r="954" spans="1:14">
      <c r="A954">
        <f>[2]TongHop!A954</f>
        <v>0</v>
      </c>
      <c r="B954">
        <f>[2]TongHop!B954</f>
        <v>0</v>
      </c>
      <c r="C954">
        <f>[2]TongHop!C954</f>
        <v>0</v>
      </c>
      <c r="D954">
        <f>[2]TongHop!D954</f>
        <v>0</v>
      </c>
      <c r="E954">
        <f>[2]TongHop!E954</f>
        <v>0</v>
      </c>
      <c r="F954">
        <f>[2]TongHop!F954</f>
        <v>0</v>
      </c>
      <c r="G954">
        <f>[2]TongHop!G954</f>
        <v>0</v>
      </c>
      <c r="H954">
        <f>[2]TongHop!H954</f>
        <v>0</v>
      </c>
      <c r="I954">
        <f>[2]TongHop!I954</f>
        <v>0</v>
      </c>
      <c r="J954">
        <f>[2]TongHop!J954</f>
        <v>0</v>
      </c>
      <c r="K954">
        <f>[2]TongHop!K954</f>
        <v>0</v>
      </c>
      <c r="L954">
        <f>[2]TongHop!L954</f>
        <v>0</v>
      </c>
      <c r="M954">
        <f>[2]TongHop!M954</f>
        <v>0</v>
      </c>
      <c r="N954">
        <f>[2]TongHop!N954</f>
        <v>0</v>
      </c>
    </row>
    <row r="955" spans="1:14">
      <c r="A955">
        <f>[2]TongHop!A955</f>
        <v>0</v>
      </c>
      <c r="B955">
        <f>[2]TongHop!B955</f>
        <v>0</v>
      </c>
      <c r="C955">
        <f>[2]TongHop!C955</f>
        <v>0</v>
      </c>
      <c r="D955">
        <f>[2]TongHop!D955</f>
        <v>0</v>
      </c>
      <c r="E955">
        <f>[2]TongHop!E955</f>
        <v>0</v>
      </c>
      <c r="F955">
        <f>[2]TongHop!F955</f>
        <v>0</v>
      </c>
      <c r="G955">
        <f>[2]TongHop!G955</f>
        <v>0</v>
      </c>
      <c r="H955">
        <f>[2]TongHop!H955</f>
        <v>0</v>
      </c>
      <c r="I955">
        <f>[2]TongHop!I955</f>
        <v>0</v>
      </c>
      <c r="J955">
        <f>[2]TongHop!J955</f>
        <v>0</v>
      </c>
      <c r="K955">
        <f>[2]TongHop!K955</f>
        <v>0</v>
      </c>
      <c r="L955">
        <f>[2]TongHop!L955</f>
        <v>0</v>
      </c>
      <c r="M955">
        <f>[2]TongHop!M955</f>
        <v>0</v>
      </c>
      <c r="N955">
        <f>[2]TongHop!N955</f>
        <v>0</v>
      </c>
    </row>
    <row r="956" spans="1:14">
      <c r="A956">
        <f>[2]TongHop!A956</f>
        <v>0</v>
      </c>
      <c r="B956">
        <f>[2]TongHop!B956</f>
        <v>0</v>
      </c>
      <c r="C956">
        <f>[2]TongHop!C956</f>
        <v>0</v>
      </c>
      <c r="D956">
        <f>[2]TongHop!D956</f>
        <v>0</v>
      </c>
      <c r="E956">
        <f>[2]TongHop!E956</f>
        <v>0</v>
      </c>
      <c r="F956">
        <f>[2]TongHop!F956</f>
        <v>0</v>
      </c>
      <c r="G956">
        <f>[2]TongHop!G956</f>
        <v>0</v>
      </c>
      <c r="H956">
        <f>[2]TongHop!H956</f>
        <v>0</v>
      </c>
      <c r="I956">
        <f>[2]TongHop!I956</f>
        <v>0</v>
      </c>
      <c r="J956">
        <f>[2]TongHop!J956</f>
        <v>0</v>
      </c>
      <c r="K956">
        <f>[2]TongHop!K956</f>
        <v>0</v>
      </c>
      <c r="L956">
        <f>[2]TongHop!L956</f>
        <v>0</v>
      </c>
      <c r="M956">
        <f>[2]TongHop!M956</f>
        <v>0</v>
      </c>
      <c r="N956">
        <f>[2]TongHop!N956</f>
        <v>0</v>
      </c>
    </row>
    <row r="957" spans="1:14">
      <c r="A957">
        <f>[2]TongHop!A957</f>
        <v>0</v>
      </c>
      <c r="B957">
        <f>[2]TongHop!B957</f>
        <v>0</v>
      </c>
      <c r="C957">
        <f>[2]TongHop!C957</f>
        <v>0</v>
      </c>
      <c r="D957">
        <f>[2]TongHop!D957</f>
        <v>0</v>
      </c>
      <c r="E957">
        <f>[2]TongHop!E957</f>
        <v>0</v>
      </c>
      <c r="F957">
        <f>[2]TongHop!F957</f>
        <v>0</v>
      </c>
      <c r="G957">
        <f>[2]TongHop!G957</f>
        <v>0</v>
      </c>
      <c r="H957">
        <f>[2]TongHop!H957</f>
        <v>0</v>
      </c>
      <c r="I957">
        <f>[2]TongHop!I957</f>
        <v>0</v>
      </c>
      <c r="J957">
        <f>[2]TongHop!J957</f>
        <v>0</v>
      </c>
      <c r="K957">
        <f>[2]TongHop!K957</f>
        <v>0</v>
      </c>
      <c r="L957">
        <f>[2]TongHop!L957</f>
        <v>0</v>
      </c>
      <c r="M957">
        <f>[2]TongHop!M957</f>
        <v>0</v>
      </c>
      <c r="N957">
        <f>[2]TongHop!N957</f>
        <v>0</v>
      </c>
    </row>
    <row r="958" spans="1:14">
      <c r="A958">
        <f>[2]TongHop!A958</f>
        <v>0</v>
      </c>
      <c r="B958">
        <f>[2]TongHop!B958</f>
        <v>0</v>
      </c>
      <c r="C958">
        <f>[2]TongHop!C958</f>
        <v>0</v>
      </c>
      <c r="D958">
        <f>[2]TongHop!D958</f>
        <v>0</v>
      </c>
      <c r="E958">
        <f>[2]TongHop!E958</f>
        <v>0</v>
      </c>
      <c r="F958">
        <f>[2]TongHop!F958</f>
        <v>0</v>
      </c>
      <c r="G958">
        <f>[2]TongHop!G958</f>
        <v>0</v>
      </c>
      <c r="H958">
        <f>[2]TongHop!H958</f>
        <v>0</v>
      </c>
      <c r="I958">
        <f>[2]TongHop!I958</f>
        <v>0</v>
      </c>
      <c r="J958">
        <f>[2]TongHop!J958</f>
        <v>0</v>
      </c>
      <c r="K958">
        <f>[2]TongHop!K958</f>
        <v>0</v>
      </c>
      <c r="L958">
        <f>[2]TongHop!L958</f>
        <v>0</v>
      </c>
      <c r="M958">
        <f>[2]TongHop!M958</f>
        <v>0</v>
      </c>
      <c r="N958">
        <f>[2]TongHop!N958</f>
        <v>0</v>
      </c>
    </row>
    <row r="959" spans="1:14">
      <c r="A959">
        <f>[2]TongHop!A959</f>
        <v>0</v>
      </c>
      <c r="B959">
        <f>[2]TongHop!B959</f>
        <v>0</v>
      </c>
      <c r="C959">
        <f>[2]TongHop!C959</f>
        <v>0</v>
      </c>
      <c r="D959">
        <f>[2]TongHop!D959</f>
        <v>0</v>
      </c>
      <c r="E959">
        <f>[2]TongHop!E959</f>
        <v>0</v>
      </c>
      <c r="F959">
        <f>[2]TongHop!F959</f>
        <v>0</v>
      </c>
      <c r="G959">
        <f>[2]TongHop!G959</f>
        <v>0</v>
      </c>
      <c r="H959">
        <f>[2]TongHop!H959</f>
        <v>0</v>
      </c>
      <c r="I959">
        <f>[2]TongHop!I959</f>
        <v>0</v>
      </c>
      <c r="J959">
        <f>[2]TongHop!J959</f>
        <v>0</v>
      </c>
      <c r="K959">
        <f>[2]TongHop!K959</f>
        <v>0</v>
      </c>
      <c r="L959">
        <f>[2]TongHop!L959</f>
        <v>0</v>
      </c>
      <c r="M959">
        <f>[2]TongHop!M959</f>
        <v>0</v>
      </c>
      <c r="N959">
        <f>[2]TongHop!N959</f>
        <v>0</v>
      </c>
    </row>
    <row r="960" spans="1:14">
      <c r="A960">
        <f>[2]TongHop!A960</f>
        <v>0</v>
      </c>
      <c r="B960">
        <f>[2]TongHop!B960</f>
        <v>0</v>
      </c>
      <c r="C960">
        <f>[2]TongHop!C960</f>
        <v>0</v>
      </c>
      <c r="D960">
        <f>[2]TongHop!D960</f>
        <v>0</v>
      </c>
      <c r="E960">
        <f>[2]TongHop!E960</f>
        <v>0</v>
      </c>
      <c r="F960">
        <f>[2]TongHop!F960</f>
        <v>0</v>
      </c>
      <c r="G960">
        <f>[2]TongHop!G960</f>
        <v>0</v>
      </c>
      <c r="H960">
        <f>[2]TongHop!H960</f>
        <v>0</v>
      </c>
      <c r="I960">
        <f>[2]TongHop!I960</f>
        <v>0</v>
      </c>
      <c r="J960">
        <f>[2]TongHop!J960</f>
        <v>0</v>
      </c>
      <c r="K960">
        <f>[2]TongHop!K960</f>
        <v>0</v>
      </c>
      <c r="L960">
        <f>[2]TongHop!L960</f>
        <v>0</v>
      </c>
      <c r="M960">
        <f>[2]TongHop!M960</f>
        <v>0</v>
      </c>
      <c r="N960">
        <f>[2]TongHop!N960</f>
        <v>0</v>
      </c>
    </row>
    <row r="961" spans="1:14">
      <c r="A961">
        <f>[2]TongHop!A961</f>
        <v>0</v>
      </c>
      <c r="B961">
        <f>[2]TongHop!B961</f>
        <v>0</v>
      </c>
      <c r="C961">
        <f>[2]TongHop!C961</f>
        <v>0</v>
      </c>
      <c r="D961">
        <f>[2]TongHop!D961</f>
        <v>0</v>
      </c>
      <c r="E961">
        <f>[2]TongHop!E961</f>
        <v>0</v>
      </c>
      <c r="F961">
        <f>[2]TongHop!F961</f>
        <v>0</v>
      </c>
      <c r="G961">
        <f>[2]TongHop!G961</f>
        <v>0</v>
      </c>
      <c r="H961">
        <f>[2]TongHop!H961</f>
        <v>0</v>
      </c>
      <c r="I961">
        <f>[2]TongHop!I961</f>
        <v>0</v>
      </c>
      <c r="J961">
        <f>[2]TongHop!J961</f>
        <v>0</v>
      </c>
      <c r="K961">
        <f>[2]TongHop!K961</f>
        <v>0</v>
      </c>
      <c r="L961">
        <f>[2]TongHop!L961</f>
        <v>0</v>
      </c>
      <c r="M961">
        <f>[2]TongHop!M961</f>
        <v>0</v>
      </c>
      <c r="N961">
        <f>[2]TongHop!N961</f>
        <v>0</v>
      </c>
    </row>
    <row r="962" spans="1:14">
      <c r="A962">
        <f>[2]TongHop!A962</f>
        <v>0</v>
      </c>
      <c r="B962">
        <f>[2]TongHop!B962</f>
        <v>0</v>
      </c>
      <c r="C962">
        <f>[2]TongHop!C962</f>
        <v>0</v>
      </c>
      <c r="D962">
        <f>[2]TongHop!D962</f>
        <v>0</v>
      </c>
      <c r="E962">
        <f>[2]TongHop!E962</f>
        <v>0</v>
      </c>
      <c r="F962">
        <f>[2]TongHop!F962</f>
        <v>0</v>
      </c>
      <c r="G962">
        <f>[2]TongHop!G962</f>
        <v>0</v>
      </c>
      <c r="H962">
        <f>[2]TongHop!H962</f>
        <v>0</v>
      </c>
      <c r="I962">
        <f>[2]TongHop!I962</f>
        <v>0</v>
      </c>
      <c r="J962">
        <f>[2]TongHop!J962</f>
        <v>0</v>
      </c>
      <c r="K962">
        <f>[2]TongHop!K962</f>
        <v>0</v>
      </c>
      <c r="L962">
        <f>[2]TongHop!L962</f>
        <v>0</v>
      </c>
      <c r="M962">
        <f>[2]TongHop!M962</f>
        <v>0</v>
      </c>
      <c r="N962">
        <f>[2]TongHop!N962</f>
        <v>0</v>
      </c>
    </row>
    <row r="963" spans="1:14">
      <c r="A963">
        <f>[2]TongHop!A963</f>
        <v>0</v>
      </c>
      <c r="B963">
        <f>[2]TongHop!B963</f>
        <v>0</v>
      </c>
      <c r="C963">
        <f>[2]TongHop!C963</f>
        <v>0</v>
      </c>
      <c r="D963">
        <f>[2]TongHop!D963</f>
        <v>0</v>
      </c>
      <c r="E963">
        <f>[2]TongHop!E963</f>
        <v>0</v>
      </c>
      <c r="F963">
        <f>[2]TongHop!F963</f>
        <v>0</v>
      </c>
      <c r="G963">
        <f>[2]TongHop!G963</f>
        <v>0</v>
      </c>
      <c r="H963">
        <f>[2]TongHop!H963</f>
        <v>0</v>
      </c>
      <c r="I963">
        <f>[2]TongHop!I963</f>
        <v>0</v>
      </c>
      <c r="J963">
        <f>[2]TongHop!J963</f>
        <v>0</v>
      </c>
      <c r="K963">
        <f>[2]TongHop!K963</f>
        <v>0</v>
      </c>
      <c r="L963">
        <f>[2]TongHop!L963</f>
        <v>0</v>
      </c>
      <c r="M963">
        <f>[2]TongHop!M963</f>
        <v>0</v>
      </c>
      <c r="N963">
        <f>[2]TongHop!N963</f>
        <v>0</v>
      </c>
    </row>
    <row r="964" spans="1:14">
      <c r="A964">
        <f>[2]TongHop!A964</f>
        <v>0</v>
      </c>
      <c r="B964">
        <f>[2]TongHop!B964</f>
        <v>0</v>
      </c>
      <c r="C964">
        <f>[2]TongHop!C964</f>
        <v>0</v>
      </c>
      <c r="D964">
        <f>[2]TongHop!D964</f>
        <v>0</v>
      </c>
      <c r="E964">
        <f>[2]TongHop!E964</f>
        <v>0</v>
      </c>
      <c r="F964">
        <f>[2]TongHop!F964</f>
        <v>0</v>
      </c>
      <c r="G964">
        <f>[2]TongHop!G964</f>
        <v>0</v>
      </c>
      <c r="H964">
        <f>[2]TongHop!H964</f>
        <v>0</v>
      </c>
      <c r="I964">
        <f>[2]TongHop!I964</f>
        <v>0</v>
      </c>
      <c r="J964">
        <f>[2]TongHop!J964</f>
        <v>0</v>
      </c>
      <c r="K964">
        <f>[2]TongHop!K964</f>
        <v>0</v>
      </c>
      <c r="L964">
        <f>[2]TongHop!L964</f>
        <v>0</v>
      </c>
      <c r="M964">
        <f>[2]TongHop!M964</f>
        <v>0</v>
      </c>
      <c r="N964">
        <f>[2]TongHop!N964</f>
        <v>0</v>
      </c>
    </row>
    <row r="965" spans="1:14">
      <c r="A965">
        <f>[2]TongHop!A965</f>
        <v>0</v>
      </c>
      <c r="B965">
        <f>[2]TongHop!B965</f>
        <v>0</v>
      </c>
      <c r="C965">
        <f>[2]TongHop!C965</f>
        <v>0</v>
      </c>
      <c r="D965">
        <f>[2]TongHop!D965</f>
        <v>0</v>
      </c>
      <c r="E965">
        <f>[2]TongHop!E965</f>
        <v>0</v>
      </c>
      <c r="F965">
        <f>[2]TongHop!F965</f>
        <v>0</v>
      </c>
      <c r="G965">
        <f>[2]TongHop!G965</f>
        <v>0</v>
      </c>
      <c r="H965">
        <f>[2]TongHop!H965</f>
        <v>0</v>
      </c>
      <c r="I965">
        <f>[2]TongHop!I965</f>
        <v>0</v>
      </c>
      <c r="J965">
        <f>[2]TongHop!J965</f>
        <v>0</v>
      </c>
      <c r="K965">
        <f>[2]TongHop!K965</f>
        <v>0</v>
      </c>
      <c r="L965">
        <f>[2]TongHop!L965</f>
        <v>0</v>
      </c>
      <c r="M965">
        <f>[2]TongHop!M965</f>
        <v>0</v>
      </c>
      <c r="N965">
        <f>[2]TongHop!N965</f>
        <v>0</v>
      </c>
    </row>
    <row r="966" spans="1:14">
      <c r="A966">
        <f>[2]TongHop!A966</f>
        <v>0</v>
      </c>
      <c r="B966">
        <f>[2]TongHop!B966</f>
        <v>0</v>
      </c>
      <c r="C966">
        <f>[2]TongHop!C966</f>
        <v>0</v>
      </c>
      <c r="D966">
        <f>[2]TongHop!D966</f>
        <v>0</v>
      </c>
      <c r="E966">
        <f>[2]TongHop!E966</f>
        <v>0</v>
      </c>
      <c r="F966">
        <f>[2]TongHop!F966</f>
        <v>0</v>
      </c>
      <c r="G966">
        <f>[2]TongHop!G966</f>
        <v>0</v>
      </c>
      <c r="H966">
        <f>[2]TongHop!H966</f>
        <v>0</v>
      </c>
      <c r="I966">
        <f>[2]TongHop!I966</f>
        <v>0</v>
      </c>
      <c r="J966">
        <f>[2]TongHop!J966</f>
        <v>0</v>
      </c>
      <c r="K966">
        <f>[2]TongHop!K966</f>
        <v>0</v>
      </c>
      <c r="L966">
        <f>[2]TongHop!L966</f>
        <v>0</v>
      </c>
      <c r="M966">
        <f>[2]TongHop!M966</f>
        <v>0</v>
      </c>
      <c r="N966">
        <f>[2]TongHop!N966</f>
        <v>0</v>
      </c>
    </row>
    <row r="967" spans="1:14">
      <c r="A967">
        <f>[2]TongHop!A967</f>
        <v>0</v>
      </c>
      <c r="B967">
        <f>[2]TongHop!B967</f>
        <v>0</v>
      </c>
      <c r="C967">
        <f>[2]TongHop!C967</f>
        <v>0</v>
      </c>
      <c r="D967">
        <f>[2]TongHop!D967</f>
        <v>0</v>
      </c>
      <c r="E967">
        <f>[2]TongHop!E967</f>
        <v>0</v>
      </c>
      <c r="F967">
        <f>[2]TongHop!F967</f>
        <v>0</v>
      </c>
      <c r="G967">
        <f>[2]TongHop!G967</f>
        <v>0</v>
      </c>
      <c r="H967">
        <f>[2]TongHop!H967</f>
        <v>0</v>
      </c>
      <c r="I967">
        <f>[2]TongHop!I967</f>
        <v>0</v>
      </c>
      <c r="J967">
        <f>[2]TongHop!J967</f>
        <v>0</v>
      </c>
      <c r="K967">
        <f>[2]TongHop!K967</f>
        <v>0</v>
      </c>
      <c r="L967">
        <f>[2]TongHop!L967</f>
        <v>0</v>
      </c>
      <c r="M967">
        <f>[2]TongHop!M967</f>
        <v>0</v>
      </c>
      <c r="N967">
        <f>[2]TongHop!N967</f>
        <v>0</v>
      </c>
    </row>
    <row r="968" spans="1:14">
      <c r="A968">
        <f>[2]TongHop!A968</f>
        <v>0</v>
      </c>
      <c r="B968">
        <f>[2]TongHop!B968</f>
        <v>0</v>
      </c>
      <c r="C968">
        <f>[2]TongHop!C968</f>
        <v>0</v>
      </c>
      <c r="D968">
        <f>[2]TongHop!D968</f>
        <v>0</v>
      </c>
      <c r="E968">
        <f>[2]TongHop!E968</f>
        <v>0</v>
      </c>
      <c r="F968">
        <f>[2]TongHop!F968</f>
        <v>0</v>
      </c>
      <c r="G968">
        <f>[2]TongHop!G968</f>
        <v>0</v>
      </c>
      <c r="H968">
        <f>[2]TongHop!H968</f>
        <v>0</v>
      </c>
      <c r="I968">
        <f>[2]TongHop!I968</f>
        <v>0</v>
      </c>
      <c r="J968">
        <f>[2]TongHop!J968</f>
        <v>0</v>
      </c>
      <c r="K968">
        <f>[2]TongHop!K968</f>
        <v>0</v>
      </c>
      <c r="L968">
        <f>[2]TongHop!L968</f>
        <v>0</v>
      </c>
      <c r="M968">
        <f>[2]TongHop!M968</f>
        <v>0</v>
      </c>
      <c r="N968">
        <f>[2]TongHop!N968</f>
        <v>0</v>
      </c>
    </row>
    <row r="969" spans="1:14">
      <c r="A969">
        <f>[2]TongHop!A969</f>
        <v>0</v>
      </c>
      <c r="B969">
        <f>[2]TongHop!B969</f>
        <v>0</v>
      </c>
      <c r="C969">
        <f>[2]TongHop!C969</f>
        <v>0</v>
      </c>
      <c r="D969">
        <f>[2]TongHop!D969</f>
        <v>0</v>
      </c>
      <c r="E969">
        <f>[2]TongHop!E969</f>
        <v>0</v>
      </c>
      <c r="F969">
        <f>[2]TongHop!F969</f>
        <v>0</v>
      </c>
      <c r="G969">
        <f>[2]TongHop!G969</f>
        <v>0</v>
      </c>
      <c r="H969">
        <f>[2]TongHop!H969</f>
        <v>0</v>
      </c>
      <c r="I969">
        <f>[2]TongHop!I969</f>
        <v>0</v>
      </c>
      <c r="J969">
        <f>[2]TongHop!J969</f>
        <v>0</v>
      </c>
      <c r="K969">
        <f>[2]TongHop!K969</f>
        <v>0</v>
      </c>
      <c r="L969">
        <f>[2]TongHop!L969</f>
        <v>0</v>
      </c>
      <c r="M969">
        <f>[2]TongHop!M969</f>
        <v>0</v>
      </c>
      <c r="N969">
        <f>[2]TongHop!N969</f>
        <v>0</v>
      </c>
    </row>
    <row r="970" spans="1:14">
      <c r="A970">
        <f>[2]TongHop!A970</f>
        <v>0</v>
      </c>
      <c r="B970">
        <f>[2]TongHop!B970</f>
        <v>0</v>
      </c>
      <c r="C970">
        <f>[2]TongHop!C970</f>
        <v>0</v>
      </c>
      <c r="D970">
        <f>[2]TongHop!D970</f>
        <v>0</v>
      </c>
      <c r="E970">
        <f>[2]TongHop!E970</f>
        <v>0</v>
      </c>
      <c r="F970">
        <f>[2]TongHop!F970</f>
        <v>0</v>
      </c>
      <c r="G970">
        <f>[2]TongHop!G970</f>
        <v>0</v>
      </c>
      <c r="H970">
        <f>[2]TongHop!H970</f>
        <v>0</v>
      </c>
      <c r="I970">
        <f>[2]TongHop!I970</f>
        <v>0</v>
      </c>
      <c r="J970">
        <f>[2]TongHop!J970</f>
        <v>0</v>
      </c>
      <c r="K970">
        <f>[2]TongHop!K970</f>
        <v>0</v>
      </c>
      <c r="L970">
        <f>[2]TongHop!L970</f>
        <v>0</v>
      </c>
      <c r="M970">
        <f>[2]TongHop!M970</f>
        <v>0</v>
      </c>
      <c r="N970">
        <f>[2]TongHop!N970</f>
        <v>0</v>
      </c>
    </row>
    <row r="971" spans="1:14">
      <c r="A971">
        <f>[2]TongHop!A971</f>
        <v>0</v>
      </c>
      <c r="B971">
        <f>[2]TongHop!B971</f>
        <v>0</v>
      </c>
      <c r="C971">
        <f>[2]TongHop!C971</f>
        <v>0</v>
      </c>
      <c r="D971">
        <f>[2]TongHop!D971</f>
        <v>0</v>
      </c>
      <c r="E971">
        <f>[2]TongHop!E971</f>
        <v>0</v>
      </c>
      <c r="F971">
        <f>[2]TongHop!F971</f>
        <v>0</v>
      </c>
      <c r="G971">
        <f>[2]TongHop!G971</f>
        <v>0</v>
      </c>
      <c r="H971">
        <f>[2]TongHop!H971</f>
        <v>0</v>
      </c>
      <c r="I971">
        <f>[2]TongHop!I971</f>
        <v>0</v>
      </c>
      <c r="J971">
        <f>[2]TongHop!J971</f>
        <v>0</v>
      </c>
      <c r="K971">
        <f>[2]TongHop!K971</f>
        <v>0</v>
      </c>
      <c r="L971">
        <f>[2]TongHop!L971</f>
        <v>0</v>
      </c>
      <c r="M971">
        <f>[2]TongHop!M971</f>
        <v>0</v>
      </c>
      <c r="N971">
        <f>[2]TongHop!N971</f>
        <v>0</v>
      </c>
    </row>
    <row r="972" spans="1:14">
      <c r="A972">
        <f>[2]TongHop!A972</f>
        <v>0</v>
      </c>
      <c r="B972">
        <f>[2]TongHop!B972</f>
        <v>0</v>
      </c>
      <c r="C972">
        <f>[2]TongHop!C972</f>
        <v>0</v>
      </c>
      <c r="D972">
        <f>[2]TongHop!D972</f>
        <v>0</v>
      </c>
      <c r="E972">
        <f>[2]TongHop!E972</f>
        <v>0</v>
      </c>
      <c r="F972">
        <f>[2]TongHop!F972</f>
        <v>0</v>
      </c>
      <c r="G972">
        <f>[2]TongHop!G972</f>
        <v>0</v>
      </c>
      <c r="H972">
        <f>[2]TongHop!H972</f>
        <v>0</v>
      </c>
      <c r="I972">
        <f>[2]TongHop!I972</f>
        <v>0</v>
      </c>
      <c r="J972">
        <f>[2]TongHop!J972</f>
        <v>0</v>
      </c>
      <c r="K972">
        <f>[2]TongHop!K972</f>
        <v>0</v>
      </c>
      <c r="L972">
        <f>[2]TongHop!L972</f>
        <v>0</v>
      </c>
      <c r="M972">
        <f>[2]TongHop!M972</f>
        <v>0</v>
      </c>
      <c r="N972">
        <f>[2]TongHop!N972</f>
        <v>0</v>
      </c>
    </row>
    <row r="973" spans="1:14">
      <c r="A973">
        <f>[2]TongHop!A973</f>
        <v>0</v>
      </c>
      <c r="B973">
        <f>[2]TongHop!B973</f>
        <v>0</v>
      </c>
      <c r="C973">
        <f>[2]TongHop!C973</f>
        <v>0</v>
      </c>
      <c r="D973">
        <f>[2]TongHop!D973</f>
        <v>0</v>
      </c>
      <c r="E973">
        <f>[2]TongHop!E973</f>
        <v>0</v>
      </c>
      <c r="F973">
        <f>[2]TongHop!F973</f>
        <v>0</v>
      </c>
      <c r="G973">
        <f>[2]TongHop!G973</f>
        <v>0</v>
      </c>
      <c r="H973">
        <f>[2]TongHop!H973</f>
        <v>0</v>
      </c>
      <c r="I973">
        <f>[2]TongHop!I973</f>
        <v>0</v>
      </c>
      <c r="J973">
        <f>[2]TongHop!J973</f>
        <v>0</v>
      </c>
      <c r="K973">
        <f>[2]TongHop!K973</f>
        <v>0</v>
      </c>
      <c r="L973">
        <f>[2]TongHop!L973</f>
        <v>0</v>
      </c>
      <c r="M973">
        <f>[2]TongHop!M973</f>
        <v>0</v>
      </c>
      <c r="N973">
        <f>[2]TongHop!N973</f>
        <v>0</v>
      </c>
    </row>
    <row r="974" spans="1:14">
      <c r="A974">
        <f>[2]TongHop!A974</f>
        <v>0</v>
      </c>
      <c r="B974">
        <f>[2]TongHop!B974</f>
        <v>0</v>
      </c>
      <c r="C974">
        <f>[2]TongHop!C974</f>
        <v>0</v>
      </c>
      <c r="D974">
        <f>[2]TongHop!D974</f>
        <v>0</v>
      </c>
      <c r="E974">
        <f>[2]TongHop!E974</f>
        <v>0</v>
      </c>
      <c r="F974">
        <f>[2]TongHop!F974</f>
        <v>0</v>
      </c>
      <c r="G974">
        <f>[2]TongHop!G974</f>
        <v>0</v>
      </c>
      <c r="H974">
        <f>[2]TongHop!H974</f>
        <v>0</v>
      </c>
      <c r="I974">
        <f>[2]TongHop!I974</f>
        <v>0</v>
      </c>
      <c r="J974">
        <f>[2]TongHop!J974</f>
        <v>0</v>
      </c>
      <c r="K974">
        <f>[2]TongHop!K974</f>
        <v>0</v>
      </c>
      <c r="L974">
        <f>[2]TongHop!L974</f>
        <v>0</v>
      </c>
      <c r="M974">
        <f>[2]TongHop!M974</f>
        <v>0</v>
      </c>
      <c r="N974">
        <f>[2]TongHop!N974</f>
        <v>0</v>
      </c>
    </row>
    <row r="975" spans="1:14">
      <c r="A975">
        <f>[2]TongHop!A975</f>
        <v>0</v>
      </c>
      <c r="B975">
        <f>[2]TongHop!B975</f>
        <v>0</v>
      </c>
      <c r="C975">
        <f>[2]TongHop!C975</f>
        <v>0</v>
      </c>
      <c r="D975">
        <f>[2]TongHop!D975</f>
        <v>0</v>
      </c>
      <c r="E975">
        <f>[2]TongHop!E975</f>
        <v>0</v>
      </c>
      <c r="F975">
        <f>[2]TongHop!F975</f>
        <v>0</v>
      </c>
      <c r="G975">
        <f>[2]TongHop!G975</f>
        <v>0</v>
      </c>
      <c r="H975">
        <f>[2]TongHop!H975</f>
        <v>0</v>
      </c>
      <c r="I975">
        <f>[2]TongHop!I975</f>
        <v>0</v>
      </c>
      <c r="J975">
        <f>[2]TongHop!J975</f>
        <v>0</v>
      </c>
      <c r="K975">
        <f>[2]TongHop!K975</f>
        <v>0</v>
      </c>
      <c r="L975">
        <f>[2]TongHop!L975</f>
        <v>0</v>
      </c>
      <c r="M975">
        <f>[2]TongHop!M975</f>
        <v>0</v>
      </c>
      <c r="N975">
        <f>[2]TongHop!N975</f>
        <v>0</v>
      </c>
    </row>
    <row r="976" spans="1:14">
      <c r="A976">
        <f>[2]TongHop!A976</f>
        <v>0</v>
      </c>
      <c r="B976">
        <f>[2]TongHop!B976</f>
        <v>0</v>
      </c>
      <c r="C976">
        <f>[2]TongHop!C976</f>
        <v>0</v>
      </c>
      <c r="D976">
        <f>[2]TongHop!D976</f>
        <v>0</v>
      </c>
      <c r="E976">
        <f>[2]TongHop!E976</f>
        <v>0</v>
      </c>
      <c r="F976">
        <f>[2]TongHop!F976</f>
        <v>0</v>
      </c>
      <c r="G976">
        <f>[2]TongHop!G976</f>
        <v>0</v>
      </c>
      <c r="H976">
        <f>[2]TongHop!H976</f>
        <v>0</v>
      </c>
      <c r="I976">
        <f>[2]TongHop!I976</f>
        <v>0</v>
      </c>
      <c r="J976">
        <f>[2]TongHop!J976</f>
        <v>0</v>
      </c>
      <c r="K976">
        <f>[2]TongHop!K976</f>
        <v>0</v>
      </c>
      <c r="L976">
        <f>[2]TongHop!L976</f>
        <v>0</v>
      </c>
      <c r="M976">
        <f>[2]TongHop!M976</f>
        <v>0</v>
      </c>
      <c r="N976">
        <f>[2]TongHop!N976</f>
        <v>0</v>
      </c>
    </row>
    <row r="977" spans="1:14">
      <c r="A977">
        <f>[2]TongHop!A977</f>
        <v>0</v>
      </c>
      <c r="B977">
        <f>[2]TongHop!B977</f>
        <v>0</v>
      </c>
      <c r="C977">
        <f>[2]TongHop!C977</f>
        <v>0</v>
      </c>
      <c r="D977">
        <f>[2]TongHop!D977</f>
        <v>0</v>
      </c>
      <c r="E977">
        <f>[2]TongHop!E977</f>
        <v>0</v>
      </c>
      <c r="F977">
        <f>[2]TongHop!F977</f>
        <v>0</v>
      </c>
      <c r="G977">
        <f>[2]TongHop!G977</f>
        <v>0</v>
      </c>
      <c r="H977">
        <f>[2]TongHop!H977</f>
        <v>0</v>
      </c>
      <c r="I977">
        <f>[2]TongHop!I977</f>
        <v>0</v>
      </c>
      <c r="J977">
        <f>[2]TongHop!J977</f>
        <v>0</v>
      </c>
      <c r="K977">
        <f>[2]TongHop!K977</f>
        <v>0</v>
      </c>
      <c r="L977">
        <f>[2]TongHop!L977</f>
        <v>0</v>
      </c>
      <c r="M977">
        <f>[2]TongHop!M977</f>
        <v>0</v>
      </c>
      <c r="N977">
        <f>[2]TongHop!N977</f>
        <v>0</v>
      </c>
    </row>
    <row r="978" spans="1:14">
      <c r="A978">
        <f>[2]TongHop!A978</f>
        <v>0</v>
      </c>
      <c r="B978">
        <f>[2]TongHop!B978</f>
        <v>0</v>
      </c>
      <c r="C978">
        <f>[2]TongHop!C978</f>
        <v>0</v>
      </c>
      <c r="D978">
        <f>[2]TongHop!D978</f>
        <v>0</v>
      </c>
      <c r="E978">
        <f>[2]TongHop!E978</f>
        <v>0</v>
      </c>
      <c r="F978">
        <f>[2]TongHop!F978</f>
        <v>0</v>
      </c>
      <c r="G978">
        <f>[2]TongHop!G978</f>
        <v>0</v>
      </c>
      <c r="H978">
        <f>[2]TongHop!H978</f>
        <v>0</v>
      </c>
      <c r="I978">
        <f>[2]TongHop!I978</f>
        <v>0</v>
      </c>
      <c r="J978">
        <f>[2]TongHop!J978</f>
        <v>0</v>
      </c>
      <c r="K978">
        <f>[2]TongHop!K978</f>
        <v>0</v>
      </c>
      <c r="L978">
        <f>[2]TongHop!L978</f>
        <v>0</v>
      </c>
      <c r="M978">
        <f>[2]TongHop!M978</f>
        <v>0</v>
      </c>
      <c r="N978">
        <f>[2]TongHop!N978</f>
        <v>0</v>
      </c>
    </row>
    <row r="979" spans="1:14">
      <c r="A979">
        <f>[2]TongHop!A979</f>
        <v>0</v>
      </c>
      <c r="B979">
        <f>[2]TongHop!B979</f>
        <v>0</v>
      </c>
      <c r="C979">
        <f>[2]TongHop!C979</f>
        <v>0</v>
      </c>
      <c r="D979">
        <f>[2]TongHop!D979</f>
        <v>0</v>
      </c>
      <c r="E979">
        <f>[2]TongHop!E979</f>
        <v>0</v>
      </c>
      <c r="F979">
        <f>[2]TongHop!F979</f>
        <v>0</v>
      </c>
      <c r="G979">
        <f>[2]TongHop!G979</f>
        <v>0</v>
      </c>
      <c r="H979">
        <f>[2]TongHop!H979</f>
        <v>0</v>
      </c>
      <c r="I979">
        <f>[2]TongHop!I979</f>
        <v>0</v>
      </c>
      <c r="J979">
        <f>[2]TongHop!J979</f>
        <v>0</v>
      </c>
      <c r="K979">
        <f>[2]TongHop!K979</f>
        <v>0</v>
      </c>
      <c r="L979">
        <f>[2]TongHop!L979</f>
        <v>0</v>
      </c>
      <c r="M979">
        <f>[2]TongHop!M979</f>
        <v>0</v>
      </c>
      <c r="N979">
        <f>[2]TongHop!N979</f>
        <v>0</v>
      </c>
    </row>
    <row r="980" spans="1:14">
      <c r="A980">
        <f>[2]TongHop!A980</f>
        <v>0</v>
      </c>
      <c r="B980">
        <f>[2]TongHop!B980</f>
        <v>0</v>
      </c>
      <c r="C980">
        <f>[2]TongHop!C980</f>
        <v>0</v>
      </c>
      <c r="D980">
        <f>[2]TongHop!D980</f>
        <v>0</v>
      </c>
      <c r="E980">
        <f>[2]TongHop!E980</f>
        <v>0</v>
      </c>
      <c r="F980">
        <f>[2]TongHop!F980</f>
        <v>0</v>
      </c>
      <c r="G980">
        <f>[2]TongHop!G980</f>
        <v>0</v>
      </c>
      <c r="H980">
        <f>[2]TongHop!H980</f>
        <v>0</v>
      </c>
      <c r="I980">
        <f>[2]TongHop!I980</f>
        <v>0</v>
      </c>
      <c r="J980">
        <f>[2]TongHop!J980</f>
        <v>0</v>
      </c>
      <c r="K980">
        <f>[2]TongHop!K980</f>
        <v>0</v>
      </c>
      <c r="L980">
        <f>[2]TongHop!L980</f>
        <v>0</v>
      </c>
      <c r="M980">
        <f>[2]TongHop!M980</f>
        <v>0</v>
      </c>
      <c r="N980">
        <f>[2]TongHop!N980</f>
        <v>0</v>
      </c>
    </row>
    <row r="981" spans="1:14">
      <c r="A981">
        <f>[2]TongHop!A981</f>
        <v>0</v>
      </c>
      <c r="B981">
        <f>[2]TongHop!B981</f>
        <v>0</v>
      </c>
      <c r="C981">
        <f>[2]TongHop!C981</f>
        <v>0</v>
      </c>
      <c r="D981">
        <f>[2]TongHop!D981</f>
        <v>0</v>
      </c>
      <c r="E981">
        <f>[2]TongHop!E981</f>
        <v>0</v>
      </c>
      <c r="F981">
        <f>[2]TongHop!F981</f>
        <v>0</v>
      </c>
      <c r="G981">
        <f>[2]TongHop!G981</f>
        <v>0</v>
      </c>
      <c r="H981">
        <f>[2]TongHop!H981</f>
        <v>0</v>
      </c>
      <c r="I981">
        <f>[2]TongHop!I981</f>
        <v>0</v>
      </c>
      <c r="J981">
        <f>[2]TongHop!J981</f>
        <v>0</v>
      </c>
      <c r="K981">
        <f>[2]TongHop!K981</f>
        <v>0</v>
      </c>
      <c r="L981">
        <f>[2]TongHop!L981</f>
        <v>0</v>
      </c>
      <c r="M981">
        <f>[2]TongHop!M981</f>
        <v>0</v>
      </c>
      <c r="N981">
        <f>[2]TongHop!N981</f>
        <v>0</v>
      </c>
    </row>
    <row r="982" spans="1:14">
      <c r="A982">
        <f>[2]TongHop!A982</f>
        <v>0</v>
      </c>
      <c r="B982">
        <f>[2]TongHop!B982</f>
        <v>0</v>
      </c>
      <c r="C982">
        <f>[2]TongHop!C982</f>
        <v>0</v>
      </c>
      <c r="D982">
        <f>[2]TongHop!D982</f>
        <v>0</v>
      </c>
      <c r="E982">
        <f>[2]TongHop!E982</f>
        <v>0</v>
      </c>
      <c r="F982">
        <f>[2]TongHop!F982</f>
        <v>0</v>
      </c>
      <c r="G982">
        <f>[2]TongHop!G982</f>
        <v>0</v>
      </c>
      <c r="H982">
        <f>[2]TongHop!H982</f>
        <v>0</v>
      </c>
      <c r="I982">
        <f>[2]TongHop!I982</f>
        <v>0</v>
      </c>
      <c r="J982">
        <f>[2]TongHop!J982</f>
        <v>0</v>
      </c>
      <c r="K982">
        <f>[2]TongHop!K982</f>
        <v>0</v>
      </c>
      <c r="L982">
        <f>[2]TongHop!L982</f>
        <v>0</v>
      </c>
      <c r="M982">
        <f>[2]TongHop!M982</f>
        <v>0</v>
      </c>
      <c r="N982">
        <f>[2]TongHop!N982</f>
        <v>0</v>
      </c>
    </row>
    <row r="983" spans="1:14">
      <c r="A983">
        <f>[2]TongHop!A983</f>
        <v>0</v>
      </c>
      <c r="B983">
        <f>[2]TongHop!B983</f>
        <v>0</v>
      </c>
      <c r="C983">
        <f>[2]TongHop!C983</f>
        <v>0</v>
      </c>
      <c r="D983">
        <f>[2]TongHop!D983</f>
        <v>0</v>
      </c>
      <c r="E983">
        <f>[2]TongHop!E983</f>
        <v>0</v>
      </c>
      <c r="F983">
        <f>[2]TongHop!F983</f>
        <v>0</v>
      </c>
      <c r="G983">
        <f>[2]TongHop!G983</f>
        <v>0</v>
      </c>
      <c r="H983">
        <f>[2]TongHop!H983</f>
        <v>0</v>
      </c>
      <c r="I983">
        <f>[2]TongHop!I983</f>
        <v>0</v>
      </c>
      <c r="J983">
        <f>[2]TongHop!J983</f>
        <v>0</v>
      </c>
      <c r="K983">
        <f>[2]TongHop!K983</f>
        <v>0</v>
      </c>
      <c r="L983">
        <f>[2]TongHop!L983</f>
        <v>0</v>
      </c>
      <c r="M983">
        <f>[2]TongHop!M983</f>
        <v>0</v>
      </c>
      <c r="N983">
        <f>[2]TongHop!N983</f>
        <v>0</v>
      </c>
    </row>
    <row r="984" spans="1:14">
      <c r="A984">
        <f>[2]TongHop!A984</f>
        <v>0</v>
      </c>
      <c r="B984">
        <f>[2]TongHop!B984</f>
        <v>0</v>
      </c>
      <c r="C984">
        <f>[2]TongHop!C984</f>
        <v>0</v>
      </c>
      <c r="D984">
        <f>[2]TongHop!D984</f>
        <v>0</v>
      </c>
      <c r="E984">
        <f>[2]TongHop!E984</f>
        <v>0</v>
      </c>
      <c r="F984">
        <f>[2]TongHop!F984</f>
        <v>0</v>
      </c>
      <c r="G984">
        <f>[2]TongHop!G984</f>
        <v>0</v>
      </c>
      <c r="H984">
        <f>[2]TongHop!H984</f>
        <v>0</v>
      </c>
      <c r="I984">
        <f>[2]TongHop!I984</f>
        <v>0</v>
      </c>
      <c r="J984">
        <f>[2]TongHop!J984</f>
        <v>0</v>
      </c>
      <c r="K984">
        <f>[2]TongHop!K984</f>
        <v>0</v>
      </c>
      <c r="L984">
        <f>[2]TongHop!L984</f>
        <v>0</v>
      </c>
      <c r="M984">
        <f>[2]TongHop!M984</f>
        <v>0</v>
      </c>
      <c r="N984">
        <f>[2]TongHop!N984</f>
        <v>0</v>
      </c>
    </row>
    <row r="985" spans="1:14">
      <c r="A985">
        <f>[2]TongHop!A985</f>
        <v>0</v>
      </c>
      <c r="B985">
        <f>[2]TongHop!B985</f>
        <v>0</v>
      </c>
      <c r="C985">
        <f>[2]TongHop!C985</f>
        <v>0</v>
      </c>
      <c r="D985">
        <f>[2]TongHop!D985</f>
        <v>0</v>
      </c>
      <c r="E985">
        <f>[2]TongHop!E985</f>
        <v>0</v>
      </c>
      <c r="F985">
        <f>[2]TongHop!F985</f>
        <v>0</v>
      </c>
      <c r="G985">
        <f>[2]TongHop!G985</f>
        <v>0</v>
      </c>
      <c r="H985">
        <f>[2]TongHop!H985</f>
        <v>0</v>
      </c>
      <c r="I985">
        <f>[2]TongHop!I985</f>
        <v>0</v>
      </c>
      <c r="J985">
        <f>[2]TongHop!J985</f>
        <v>0</v>
      </c>
      <c r="K985">
        <f>[2]TongHop!K985</f>
        <v>0</v>
      </c>
      <c r="L985">
        <f>[2]TongHop!L985</f>
        <v>0</v>
      </c>
      <c r="M985">
        <f>[2]TongHop!M985</f>
        <v>0</v>
      </c>
      <c r="N985">
        <f>[2]TongHop!N985</f>
        <v>0</v>
      </c>
    </row>
    <row r="986" spans="1:14">
      <c r="A986">
        <f>[2]TongHop!A986</f>
        <v>0</v>
      </c>
      <c r="B986">
        <f>[2]TongHop!B986</f>
        <v>0</v>
      </c>
      <c r="C986">
        <f>[2]TongHop!C986</f>
        <v>0</v>
      </c>
      <c r="D986">
        <f>[2]TongHop!D986</f>
        <v>0</v>
      </c>
      <c r="E986">
        <f>[2]TongHop!E986</f>
        <v>0</v>
      </c>
      <c r="F986">
        <f>[2]TongHop!F986</f>
        <v>0</v>
      </c>
      <c r="G986">
        <f>[2]TongHop!G986</f>
        <v>0</v>
      </c>
      <c r="H986">
        <f>[2]TongHop!H986</f>
        <v>0</v>
      </c>
      <c r="I986">
        <f>[2]TongHop!I986</f>
        <v>0</v>
      </c>
      <c r="J986">
        <f>[2]TongHop!J986</f>
        <v>0</v>
      </c>
      <c r="K986">
        <f>[2]TongHop!K986</f>
        <v>0</v>
      </c>
      <c r="L986">
        <f>[2]TongHop!L986</f>
        <v>0</v>
      </c>
      <c r="M986">
        <f>[2]TongHop!M986</f>
        <v>0</v>
      </c>
      <c r="N986">
        <f>[2]TongHop!N986</f>
        <v>0</v>
      </c>
    </row>
    <row r="987" spans="1:14">
      <c r="A987">
        <f>[2]TongHop!A987</f>
        <v>0</v>
      </c>
      <c r="B987">
        <f>[2]TongHop!B987</f>
        <v>0</v>
      </c>
      <c r="C987">
        <f>[2]TongHop!C987</f>
        <v>0</v>
      </c>
      <c r="D987">
        <f>[2]TongHop!D987</f>
        <v>0</v>
      </c>
      <c r="E987">
        <f>[2]TongHop!E987</f>
        <v>0</v>
      </c>
      <c r="F987">
        <f>[2]TongHop!F987</f>
        <v>0</v>
      </c>
      <c r="G987">
        <f>[2]TongHop!G987</f>
        <v>0</v>
      </c>
      <c r="H987">
        <f>[2]TongHop!H987</f>
        <v>0</v>
      </c>
      <c r="I987">
        <f>[2]TongHop!I987</f>
        <v>0</v>
      </c>
      <c r="J987">
        <f>[2]TongHop!J987</f>
        <v>0</v>
      </c>
      <c r="K987">
        <f>[2]TongHop!K987</f>
        <v>0</v>
      </c>
      <c r="L987">
        <f>[2]TongHop!L987</f>
        <v>0</v>
      </c>
      <c r="M987">
        <f>[2]TongHop!M987</f>
        <v>0</v>
      </c>
      <c r="N987">
        <f>[2]TongHop!N987</f>
        <v>0</v>
      </c>
    </row>
    <row r="988" spans="1:14">
      <c r="A988">
        <f>[2]TongHop!A988</f>
        <v>0</v>
      </c>
      <c r="B988">
        <f>[2]TongHop!B988</f>
        <v>0</v>
      </c>
      <c r="C988">
        <f>[2]TongHop!C988</f>
        <v>0</v>
      </c>
      <c r="D988">
        <f>[2]TongHop!D988</f>
        <v>0</v>
      </c>
      <c r="E988">
        <f>[2]TongHop!E988</f>
        <v>0</v>
      </c>
      <c r="F988">
        <f>[2]TongHop!F988</f>
        <v>0</v>
      </c>
      <c r="G988">
        <f>[2]TongHop!G988</f>
        <v>0</v>
      </c>
      <c r="H988">
        <f>[2]TongHop!H988</f>
        <v>0</v>
      </c>
      <c r="I988">
        <f>[2]TongHop!I988</f>
        <v>0</v>
      </c>
      <c r="J988">
        <f>[2]TongHop!J988</f>
        <v>0</v>
      </c>
      <c r="K988">
        <f>[2]TongHop!K988</f>
        <v>0</v>
      </c>
      <c r="L988">
        <f>[2]TongHop!L988</f>
        <v>0</v>
      </c>
      <c r="M988">
        <f>[2]TongHop!M988</f>
        <v>0</v>
      </c>
      <c r="N988">
        <f>[2]TongHop!N988</f>
        <v>0</v>
      </c>
    </row>
    <row r="989" spans="1:14">
      <c r="A989">
        <f>[2]TongHop!A989</f>
        <v>0</v>
      </c>
      <c r="B989">
        <f>[2]TongHop!B989</f>
        <v>0</v>
      </c>
      <c r="C989">
        <f>[2]TongHop!C989</f>
        <v>0</v>
      </c>
      <c r="D989">
        <f>[2]TongHop!D989</f>
        <v>0</v>
      </c>
      <c r="E989">
        <f>[2]TongHop!E989</f>
        <v>0</v>
      </c>
      <c r="F989">
        <f>[2]TongHop!F989</f>
        <v>0</v>
      </c>
      <c r="G989">
        <f>[2]TongHop!G989</f>
        <v>0</v>
      </c>
      <c r="H989">
        <f>[2]TongHop!H989</f>
        <v>0</v>
      </c>
      <c r="I989">
        <f>[2]TongHop!I989</f>
        <v>0</v>
      </c>
      <c r="J989">
        <f>[2]TongHop!J989</f>
        <v>0</v>
      </c>
      <c r="K989">
        <f>[2]TongHop!K989</f>
        <v>0</v>
      </c>
      <c r="L989">
        <f>[2]TongHop!L989</f>
        <v>0</v>
      </c>
      <c r="M989">
        <f>[2]TongHop!M989</f>
        <v>0</v>
      </c>
      <c r="N989">
        <f>[2]TongHop!N989</f>
        <v>0</v>
      </c>
    </row>
    <row r="990" spans="1:14">
      <c r="A990">
        <f>[2]TongHop!A990</f>
        <v>0</v>
      </c>
      <c r="B990">
        <f>[2]TongHop!B990</f>
        <v>0</v>
      </c>
      <c r="C990">
        <f>[2]TongHop!C990</f>
        <v>0</v>
      </c>
      <c r="D990">
        <f>[2]TongHop!D990</f>
        <v>0</v>
      </c>
      <c r="E990">
        <f>[2]TongHop!E990</f>
        <v>0</v>
      </c>
      <c r="F990">
        <f>[2]TongHop!F990</f>
        <v>0</v>
      </c>
      <c r="G990">
        <f>[2]TongHop!G990</f>
        <v>0</v>
      </c>
      <c r="H990">
        <f>[2]TongHop!H990</f>
        <v>0</v>
      </c>
      <c r="I990">
        <f>[2]TongHop!I990</f>
        <v>0</v>
      </c>
      <c r="J990">
        <f>[2]TongHop!J990</f>
        <v>0</v>
      </c>
      <c r="K990">
        <f>[2]TongHop!K990</f>
        <v>0</v>
      </c>
      <c r="L990">
        <f>[2]TongHop!L990</f>
        <v>0</v>
      </c>
      <c r="M990">
        <f>[2]TongHop!M990</f>
        <v>0</v>
      </c>
      <c r="N990">
        <f>[2]TongHop!N990</f>
        <v>0</v>
      </c>
    </row>
    <row r="991" spans="1:14">
      <c r="A991">
        <f>[2]TongHop!A991</f>
        <v>0</v>
      </c>
      <c r="B991">
        <f>[2]TongHop!B991</f>
        <v>0</v>
      </c>
      <c r="C991">
        <f>[2]TongHop!C991</f>
        <v>0</v>
      </c>
      <c r="D991">
        <f>[2]TongHop!D991</f>
        <v>0</v>
      </c>
      <c r="E991">
        <f>[2]TongHop!E991</f>
        <v>0</v>
      </c>
      <c r="F991">
        <f>[2]TongHop!F991</f>
        <v>0</v>
      </c>
      <c r="G991">
        <f>[2]TongHop!G991</f>
        <v>0</v>
      </c>
      <c r="H991">
        <f>[2]TongHop!H991</f>
        <v>0</v>
      </c>
      <c r="I991">
        <f>[2]TongHop!I991</f>
        <v>0</v>
      </c>
      <c r="J991">
        <f>[2]TongHop!J991</f>
        <v>0</v>
      </c>
      <c r="K991">
        <f>[2]TongHop!K991</f>
        <v>0</v>
      </c>
      <c r="L991">
        <f>[2]TongHop!L991</f>
        <v>0</v>
      </c>
      <c r="M991">
        <f>[2]TongHop!M991</f>
        <v>0</v>
      </c>
      <c r="N991">
        <f>[2]TongHop!N991</f>
        <v>0</v>
      </c>
    </row>
    <row r="992" spans="1:14">
      <c r="A992">
        <f>[2]TongHop!A992</f>
        <v>0</v>
      </c>
      <c r="B992">
        <f>[2]TongHop!B992</f>
        <v>0</v>
      </c>
      <c r="C992">
        <f>[2]TongHop!C992</f>
        <v>0</v>
      </c>
      <c r="D992">
        <f>[2]TongHop!D992</f>
        <v>0</v>
      </c>
      <c r="E992">
        <f>[2]TongHop!E992</f>
        <v>0</v>
      </c>
      <c r="F992">
        <f>[2]TongHop!F992</f>
        <v>0</v>
      </c>
      <c r="G992">
        <f>[2]TongHop!G992</f>
        <v>0</v>
      </c>
      <c r="H992">
        <f>[2]TongHop!H992</f>
        <v>0</v>
      </c>
      <c r="I992">
        <f>[2]TongHop!I992</f>
        <v>0</v>
      </c>
      <c r="J992">
        <f>[2]TongHop!J992</f>
        <v>0</v>
      </c>
      <c r="K992">
        <f>[2]TongHop!K992</f>
        <v>0</v>
      </c>
      <c r="L992">
        <f>[2]TongHop!L992</f>
        <v>0</v>
      </c>
      <c r="M992">
        <f>[2]TongHop!M992</f>
        <v>0</v>
      </c>
      <c r="N992">
        <f>[2]TongHop!N992</f>
        <v>0</v>
      </c>
    </row>
    <row r="993" spans="1:14">
      <c r="A993">
        <f>[2]TongHop!A993</f>
        <v>0</v>
      </c>
      <c r="B993">
        <f>[2]TongHop!B993</f>
        <v>0</v>
      </c>
      <c r="C993">
        <f>[2]TongHop!C993</f>
        <v>0</v>
      </c>
      <c r="D993">
        <f>[2]TongHop!D993</f>
        <v>0</v>
      </c>
      <c r="E993">
        <f>[2]TongHop!E993</f>
        <v>0</v>
      </c>
      <c r="F993">
        <f>[2]TongHop!F993</f>
        <v>0</v>
      </c>
      <c r="G993">
        <f>[2]TongHop!G993</f>
        <v>0</v>
      </c>
      <c r="H993">
        <f>[2]TongHop!H993</f>
        <v>0</v>
      </c>
      <c r="I993">
        <f>[2]TongHop!I993</f>
        <v>0</v>
      </c>
      <c r="J993">
        <f>[2]TongHop!J993</f>
        <v>0</v>
      </c>
      <c r="K993">
        <f>[2]TongHop!K993</f>
        <v>0</v>
      </c>
      <c r="L993">
        <f>[2]TongHop!L993</f>
        <v>0</v>
      </c>
      <c r="M993">
        <f>[2]TongHop!M993</f>
        <v>0</v>
      </c>
      <c r="N993">
        <f>[2]TongHop!N993</f>
        <v>0</v>
      </c>
    </row>
    <row r="994" spans="1:14">
      <c r="A994">
        <f>[2]TongHop!A994</f>
        <v>0</v>
      </c>
      <c r="B994">
        <f>[2]TongHop!B994</f>
        <v>0</v>
      </c>
      <c r="C994">
        <f>[2]TongHop!C994</f>
        <v>0</v>
      </c>
      <c r="D994">
        <f>[2]TongHop!D994</f>
        <v>0</v>
      </c>
      <c r="E994">
        <f>[2]TongHop!E994</f>
        <v>0</v>
      </c>
      <c r="F994">
        <f>[2]TongHop!F994</f>
        <v>0</v>
      </c>
      <c r="G994">
        <f>[2]TongHop!G994</f>
        <v>0</v>
      </c>
      <c r="H994">
        <f>[2]TongHop!H994</f>
        <v>0</v>
      </c>
      <c r="I994">
        <f>[2]TongHop!I994</f>
        <v>0</v>
      </c>
      <c r="J994">
        <f>[2]TongHop!J994</f>
        <v>0</v>
      </c>
      <c r="K994">
        <f>[2]TongHop!K994</f>
        <v>0</v>
      </c>
      <c r="L994">
        <f>[2]TongHop!L994</f>
        <v>0</v>
      </c>
      <c r="M994">
        <f>[2]TongHop!M994</f>
        <v>0</v>
      </c>
      <c r="N994">
        <f>[2]TongHop!N994</f>
        <v>0</v>
      </c>
    </row>
    <row r="995" spans="1:14">
      <c r="A995">
        <f>[2]TongHop!A995</f>
        <v>0</v>
      </c>
      <c r="B995">
        <f>[2]TongHop!B995</f>
        <v>0</v>
      </c>
      <c r="C995">
        <f>[2]TongHop!C995</f>
        <v>0</v>
      </c>
      <c r="D995">
        <f>[2]TongHop!D995</f>
        <v>0</v>
      </c>
      <c r="E995">
        <f>[2]TongHop!E995</f>
        <v>0</v>
      </c>
      <c r="F995">
        <f>[2]TongHop!F995</f>
        <v>0</v>
      </c>
      <c r="G995">
        <f>[2]TongHop!G995</f>
        <v>0</v>
      </c>
      <c r="H995">
        <f>[2]TongHop!H995</f>
        <v>0</v>
      </c>
      <c r="I995">
        <f>[2]TongHop!I995</f>
        <v>0</v>
      </c>
      <c r="J995">
        <f>[2]TongHop!J995</f>
        <v>0</v>
      </c>
      <c r="K995">
        <f>[2]TongHop!K995</f>
        <v>0</v>
      </c>
      <c r="L995">
        <f>[2]TongHop!L995</f>
        <v>0</v>
      </c>
      <c r="M995">
        <f>[2]TongHop!M995</f>
        <v>0</v>
      </c>
      <c r="N995">
        <f>[2]TongHop!N995</f>
        <v>0</v>
      </c>
    </row>
    <row r="996" spans="1:14">
      <c r="A996">
        <f>[2]TongHop!A996</f>
        <v>0</v>
      </c>
      <c r="B996">
        <f>[2]TongHop!B996</f>
        <v>0</v>
      </c>
      <c r="C996">
        <f>[2]TongHop!C996</f>
        <v>0</v>
      </c>
      <c r="D996">
        <f>[2]TongHop!D996</f>
        <v>0</v>
      </c>
      <c r="E996">
        <f>[2]TongHop!E996</f>
        <v>0</v>
      </c>
      <c r="F996">
        <f>[2]TongHop!F996</f>
        <v>0</v>
      </c>
      <c r="G996">
        <f>[2]TongHop!G996</f>
        <v>0</v>
      </c>
      <c r="H996">
        <f>[2]TongHop!H996</f>
        <v>0</v>
      </c>
      <c r="I996">
        <f>[2]TongHop!I996</f>
        <v>0</v>
      </c>
      <c r="J996">
        <f>[2]TongHop!J996</f>
        <v>0</v>
      </c>
      <c r="K996">
        <f>[2]TongHop!K996</f>
        <v>0</v>
      </c>
      <c r="L996">
        <f>[2]TongHop!L996</f>
        <v>0</v>
      </c>
      <c r="M996">
        <f>[2]TongHop!M996</f>
        <v>0</v>
      </c>
      <c r="N996">
        <f>[2]TongHop!N996</f>
        <v>0</v>
      </c>
    </row>
    <row r="997" spans="1:14">
      <c r="A997">
        <f>[2]TongHop!A997</f>
        <v>0</v>
      </c>
      <c r="B997">
        <f>[2]TongHop!B997</f>
        <v>0</v>
      </c>
      <c r="C997">
        <f>[2]TongHop!C997</f>
        <v>0</v>
      </c>
      <c r="D997">
        <f>[2]TongHop!D997</f>
        <v>0</v>
      </c>
      <c r="E997">
        <f>[2]TongHop!E997</f>
        <v>0</v>
      </c>
      <c r="F997">
        <f>[2]TongHop!F997</f>
        <v>0</v>
      </c>
      <c r="G997">
        <f>[2]TongHop!G997</f>
        <v>0</v>
      </c>
      <c r="H997">
        <f>[2]TongHop!H997</f>
        <v>0</v>
      </c>
      <c r="I997">
        <f>[2]TongHop!I997</f>
        <v>0</v>
      </c>
      <c r="J997">
        <f>[2]TongHop!J997</f>
        <v>0</v>
      </c>
      <c r="K997">
        <f>[2]TongHop!K997</f>
        <v>0</v>
      </c>
      <c r="L997">
        <f>[2]TongHop!L997</f>
        <v>0</v>
      </c>
      <c r="M997">
        <f>[2]TongHop!M997</f>
        <v>0</v>
      </c>
      <c r="N997">
        <f>[2]TongHop!N997</f>
        <v>0</v>
      </c>
    </row>
    <row r="998" spans="1:14">
      <c r="A998">
        <f>[2]TongHop!A998</f>
        <v>0</v>
      </c>
      <c r="B998">
        <f>[2]TongHop!B998</f>
        <v>0</v>
      </c>
      <c r="C998">
        <f>[2]TongHop!C998</f>
        <v>0</v>
      </c>
      <c r="D998">
        <f>[2]TongHop!D998</f>
        <v>0</v>
      </c>
      <c r="E998">
        <f>[2]TongHop!E998</f>
        <v>0</v>
      </c>
      <c r="F998">
        <f>[2]TongHop!F998</f>
        <v>0</v>
      </c>
      <c r="G998">
        <f>[2]TongHop!G998</f>
        <v>0</v>
      </c>
      <c r="H998">
        <f>[2]TongHop!H998</f>
        <v>0</v>
      </c>
      <c r="I998">
        <f>[2]TongHop!I998</f>
        <v>0</v>
      </c>
      <c r="J998">
        <f>[2]TongHop!J998</f>
        <v>0</v>
      </c>
      <c r="K998">
        <f>[2]TongHop!K998</f>
        <v>0</v>
      </c>
      <c r="L998">
        <f>[2]TongHop!L998</f>
        <v>0</v>
      </c>
      <c r="M998">
        <f>[2]TongHop!M998</f>
        <v>0</v>
      </c>
      <c r="N998">
        <f>[2]TongHop!N998</f>
        <v>0</v>
      </c>
    </row>
    <row r="999" spans="1:14">
      <c r="A999">
        <f>[2]TongHop!A999</f>
        <v>0</v>
      </c>
      <c r="B999">
        <f>[2]TongHop!B999</f>
        <v>0</v>
      </c>
      <c r="C999">
        <f>[2]TongHop!C999</f>
        <v>0</v>
      </c>
      <c r="D999">
        <f>[2]TongHop!D999</f>
        <v>0</v>
      </c>
      <c r="E999">
        <f>[2]TongHop!E999</f>
        <v>0</v>
      </c>
      <c r="F999">
        <f>[2]TongHop!F999</f>
        <v>0</v>
      </c>
      <c r="G999">
        <f>[2]TongHop!G999</f>
        <v>0</v>
      </c>
      <c r="H999">
        <f>[2]TongHop!H999</f>
        <v>0</v>
      </c>
      <c r="I999">
        <f>[2]TongHop!I999</f>
        <v>0</v>
      </c>
      <c r="J999">
        <f>[2]TongHop!J999</f>
        <v>0</v>
      </c>
      <c r="K999">
        <f>[2]TongHop!K999</f>
        <v>0</v>
      </c>
      <c r="L999">
        <f>[2]TongHop!L999</f>
        <v>0</v>
      </c>
      <c r="M999">
        <f>[2]TongHop!M999</f>
        <v>0</v>
      </c>
      <c r="N999">
        <f>[2]TongHop!N999</f>
        <v>0</v>
      </c>
    </row>
    <row r="1000" spans="1:14">
      <c r="A1000">
        <f>[2]TongHop!A1000</f>
        <v>0</v>
      </c>
      <c r="B1000">
        <f>[2]TongHop!B1000</f>
        <v>0</v>
      </c>
      <c r="C1000">
        <f>[2]TongHop!C1000</f>
        <v>0</v>
      </c>
      <c r="D1000">
        <f>[2]TongHop!D1000</f>
        <v>0</v>
      </c>
      <c r="E1000">
        <f>[2]TongHop!E1000</f>
        <v>0</v>
      </c>
      <c r="F1000">
        <f>[2]TongHop!F1000</f>
        <v>0</v>
      </c>
      <c r="G1000">
        <f>[2]TongHop!G1000</f>
        <v>0</v>
      </c>
      <c r="H1000">
        <f>[2]TongHop!H1000</f>
        <v>0</v>
      </c>
      <c r="I1000">
        <f>[2]TongHop!I1000</f>
        <v>0</v>
      </c>
      <c r="J1000">
        <f>[2]TongHop!J1000</f>
        <v>0</v>
      </c>
      <c r="K1000">
        <f>[2]TongHop!K1000</f>
        <v>0</v>
      </c>
      <c r="L1000">
        <f>[2]TongHop!L1000</f>
        <v>0</v>
      </c>
      <c r="M1000">
        <f>[2]TongHop!M1000</f>
        <v>0</v>
      </c>
      <c r="N1000">
        <f>[2]TongHop!N1000</f>
        <v>0</v>
      </c>
    </row>
    <row r="1001" spans="1:14">
      <c r="A1001">
        <f>[2]TongHop!A1001</f>
        <v>0</v>
      </c>
      <c r="B1001">
        <f>[2]TongHop!B1001</f>
        <v>0</v>
      </c>
      <c r="C1001">
        <f>[2]TongHop!C1001</f>
        <v>0</v>
      </c>
      <c r="D1001">
        <f>[2]TongHop!D1001</f>
        <v>0</v>
      </c>
      <c r="E1001">
        <f>[2]TongHop!E1001</f>
        <v>0</v>
      </c>
      <c r="F1001">
        <f>[2]TongHop!F1001</f>
        <v>0</v>
      </c>
      <c r="G1001">
        <f>[2]TongHop!G1001</f>
        <v>0</v>
      </c>
      <c r="H1001">
        <f>[2]TongHop!H1001</f>
        <v>0</v>
      </c>
      <c r="I1001">
        <f>[2]TongHop!I1001</f>
        <v>0</v>
      </c>
      <c r="J1001">
        <f>[2]TongHop!J1001</f>
        <v>0</v>
      </c>
      <c r="K1001">
        <f>[2]TongHop!K1001</f>
        <v>0</v>
      </c>
      <c r="L1001">
        <f>[2]TongHop!L1001</f>
        <v>0</v>
      </c>
      <c r="M1001">
        <f>[2]TongHop!M1001</f>
        <v>0</v>
      </c>
      <c r="N1001">
        <f>[2]TongHop!N1001</f>
        <v>0</v>
      </c>
    </row>
    <row r="1002" spans="1:14">
      <c r="A1002">
        <f>[2]TongHop!A1002</f>
        <v>0</v>
      </c>
      <c r="B1002">
        <f>[2]TongHop!B1002</f>
        <v>0</v>
      </c>
      <c r="C1002">
        <f>[2]TongHop!C1002</f>
        <v>0</v>
      </c>
      <c r="D1002">
        <f>[2]TongHop!D1002</f>
        <v>0</v>
      </c>
      <c r="E1002">
        <f>[2]TongHop!E1002</f>
        <v>0</v>
      </c>
      <c r="F1002">
        <f>[2]TongHop!F1002</f>
        <v>0</v>
      </c>
      <c r="G1002">
        <f>[2]TongHop!G1002</f>
        <v>0</v>
      </c>
      <c r="H1002">
        <f>[2]TongHop!H1002</f>
        <v>0</v>
      </c>
      <c r="I1002">
        <f>[2]TongHop!I1002</f>
        <v>0</v>
      </c>
      <c r="J1002">
        <f>[2]TongHop!J1002</f>
        <v>0</v>
      </c>
      <c r="K1002">
        <f>[2]TongHop!K1002</f>
        <v>0</v>
      </c>
      <c r="L1002">
        <f>[2]TongHop!L1002</f>
        <v>0</v>
      </c>
      <c r="M1002">
        <f>[2]TongHop!M1002</f>
        <v>0</v>
      </c>
      <c r="N1002">
        <f>[2]TongHop!N1002</f>
        <v>0</v>
      </c>
    </row>
    <row r="1003" spans="1:14">
      <c r="A1003">
        <f>[2]TongHop!A1003</f>
        <v>0</v>
      </c>
      <c r="B1003">
        <f>[2]TongHop!B1003</f>
        <v>0</v>
      </c>
      <c r="C1003">
        <f>[2]TongHop!C1003</f>
        <v>0</v>
      </c>
      <c r="D1003">
        <f>[2]TongHop!D1003</f>
        <v>0</v>
      </c>
      <c r="E1003">
        <f>[2]TongHop!E1003</f>
        <v>0</v>
      </c>
      <c r="F1003">
        <f>[2]TongHop!F1003</f>
        <v>0</v>
      </c>
      <c r="G1003">
        <f>[2]TongHop!G1003</f>
        <v>0</v>
      </c>
      <c r="H1003">
        <f>[2]TongHop!H1003</f>
        <v>0</v>
      </c>
      <c r="I1003">
        <f>[2]TongHop!I1003</f>
        <v>0</v>
      </c>
      <c r="J1003">
        <f>[2]TongHop!J1003</f>
        <v>0</v>
      </c>
      <c r="K1003">
        <f>[2]TongHop!K1003</f>
        <v>0</v>
      </c>
      <c r="L1003">
        <f>[2]TongHop!L1003</f>
        <v>0</v>
      </c>
      <c r="M1003">
        <f>[2]TongHop!M1003</f>
        <v>0</v>
      </c>
      <c r="N1003">
        <f>[2]TongHop!N1003</f>
        <v>0</v>
      </c>
    </row>
    <row r="1004" spans="1:14">
      <c r="A1004">
        <f>[2]TongHop!A1004</f>
        <v>0</v>
      </c>
      <c r="B1004">
        <f>[2]TongHop!B1004</f>
        <v>0</v>
      </c>
      <c r="C1004">
        <f>[2]TongHop!C1004</f>
        <v>0</v>
      </c>
      <c r="D1004">
        <f>[2]TongHop!D1004</f>
        <v>0</v>
      </c>
      <c r="E1004">
        <f>[2]TongHop!E1004</f>
        <v>0</v>
      </c>
      <c r="F1004">
        <f>[2]TongHop!F1004</f>
        <v>0</v>
      </c>
      <c r="G1004">
        <f>[2]TongHop!G1004</f>
        <v>0</v>
      </c>
      <c r="H1004">
        <f>[2]TongHop!H1004</f>
        <v>0</v>
      </c>
      <c r="I1004">
        <f>[2]TongHop!I1004</f>
        <v>0</v>
      </c>
      <c r="J1004">
        <f>[2]TongHop!J1004</f>
        <v>0</v>
      </c>
      <c r="K1004">
        <f>[2]TongHop!K1004</f>
        <v>0</v>
      </c>
      <c r="L1004">
        <f>[2]TongHop!L1004</f>
        <v>0</v>
      </c>
      <c r="M1004">
        <f>[2]TongHop!M1004</f>
        <v>0</v>
      </c>
      <c r="N1004">
        <f>[2]TongHop!N1004</f>
        <v>0</v>
      </c>
    </row>
    <row r="1005" spans="1:14">
      <c r="A1005">
        <f>[2]TongHop!A1005</f>
        <v>0</v>
      </c>
      <c r="B1005">
        <f>[2]TongHop!B1005</f>
        <v>0</v>
      </c>
      <c r="C1005">
        <f>[2]TongHop!C1005</f>
        <v>0</v>
      </c>
      <c r="D1005">
        <f>[2]TongHop!D1005</f>
        <v>0</v>
      </c>
      <c r="E1005">
        <f>[2]TongHop!E1005</f>
        <v>0</v>
      </c>
      <c r="F1005">
        <f>[2]TongHop!F1005</f>
        <v>0</v>
      </c>
      <c r="G1005">
        <f>[2]TongHop!G1005</f>
        <v>0</v>
      </c>
      <c r="H1005">
        <f>[2]TongHop!H1005</f>
        <v>0</v>
      </c>
      <c r="I1005">
        <f>[2]TongHop!I1005</f>
        <v>0</v>
      </c>
      <c r="J1005">
        <f>[2]TongHop!J1005</f>
        <v>0</v>
      </c>
      <c r="K1005">
        <f>[2]TongHop!K1005</f>
        <v>0</v>
      </c>
      <c r="L1005">
        <f>[2]TongHop!L1005</f>
        <v>0</v>
      </c>
      <c r="M1005">
        <f>[2]TongHop!M1005</f>
        <v>0</v>
      </c>
      <c r="N1005">
        <f>[2]TongHop!N1005</f>
        <v>0</v>
      </c>
    </row>
    <row r="1006" spans="1:14">
      <c r="A1006">
        <f>[2]TongHop!A1006</f>
        <v>0</v>
      </c>
      <c r="B1006">
        <f>[2]TongHop!B1006</f>
        <v>0</v>
      </c>
      <c r="C1006">
        <f>[2]TongHop!C1006</f>
        <v>0</v>
      </c>
      <c r="D1006">
        <f>[2]TongHop!D1006</f>
        <v>0</v>
      </c>
      <c r="E1006">
        <f>[2]TongHop!E1006</f>
        <v>0</v>
      </c>
      <c r="F1006">
        <f>[2]TongHop!F1006</f>
        <v>0</v>
      </c>
      <c r="G1006">
        <f>[2]TongHop!G1006</f>
        <v>0</v>
      </c>
      <c r="H1006">
        <f>[2]TongHop!H1006</f>
        <v>0</v>
      </c>
      <c r="I1006">
        <f>[2]TongHop!I1006</f>
        <v>0</v>
      </c>
      <c r="J1006">
        <f>[2]TongHop!J1006</f>
        <v>0</v>
      </c>
      <c r="K1006">
        <f>[2]TongHop!K1006</f>
        <v>0</v>
      </c>
      <c r="L1006">
        <f>[2]TongHop!L1006</f>
        <v>0</v>
      </c>
      <c r="M1006">
        <f>[2]TongHop!M1006</f>
        <v>0</v>
      </c>
      <c r="N1006">
        <f>[2]TongHop!N1006</f>
        <v>0</v>
      </c>
    </row>
    <row r="1007" spans="1:14">
      <c r="A1007">
        <f>[2]TongHop!A1007</f>
        <v>0</v>
      </c>
      <c r="B1007">
        <f>[2]TongHop!B1007</f>
        <v>0</v>
      </c>
      <c r="C1007">
        <f>[2]TongHop!C1007</f>
        <v>0</v>
      </c>
      <c r="D1007">
        <f>[2]TongHop!D1007</f>
        <v>0</v>
      </c>
      <c r="E1007">
        <f>[2]TongHop!E1007</f>
        <v>0</v>
      </c>
      <c r="F1007">
        <f>[2]TongHop!F1007</f>
        <v>0</v>
      </c>
      <c r="G1007">
        <f>[2]TongHop!G1007</f>
        <v>0</v>
      </c>
      <c r="H1007">
        <f>[2]TongHop!H1007</f>
        <v>0</v>
      </c>
      <c r="I1007">
        <f>[2]TongHop!I1007</f>
        <v>0</v>
      </c>
      <c r="J1007">
        <f>[2]TongHop!J1007</f>
        <v>0</v>
      </c>
      <c r="K1007">
        <f>[2]TongHop!K1007</f>
        <v>0</v>
      </c>
      <c r="L1007">
        <f>[2]TongHop!L1007</f>
        <v>0</v>
      </c>
      <c r="M1007">
        <f>[2]TongHop!M1007</f>
        <v>0</v>
      </c>
      <c r="N1007">
        <f>[2]TongHop!N1007</f>
        <v>0</v>
      </c>
    </row>
    <row r="1008" spans="1:14">
      <c r="A1008">
        <f>[2]TongHop!A1008</f>
        <v>0</v>
      </c>
      <c r="B1008">
        <f>[2]TongHop!B1008</f>
        <v>0</v>
      </c>
      <c r="C1008">
        <f>[2]TongHop!C1008</f>
        <v>0</v>
      </c>
      <c r="D1008">
        <f>[2]TongHop!D1008</f>
        <v>0</v>
      </c>
      <c r="E1008">
        <f>[2]TongHop!E1008</f>
        <v>0</v>
      </c>
      <c r="F1008">
        <f>[2]TongHop!F1008</f>
        <v>0</v>
      </c>
      <c r="G1008">
        <f>[2]TongHop!G1008</f>
        <v>0</v>
      </c>
      <c r="H1008">
        <f>[2]TongHop!H1008</f>
        <v>0</v>
      </c>
      <c r="I1008">
        <f>[2]TongHop!I1008</f>
        <v>0</v>
      </c>
      <c r="J1008">
        <f>[2]TongHop!J1008</f>
        <v>0</v>
      </c>
      <c r="K1008">
        <f>[2]TongHop!K1008</f>
        <v>0</v>
      </c>
      <c r="L1008">
        <f>[2]TongHop!L1008</f>
        <v>0</v>
      </c>
      <c r="M1008">
        <f>[2]TongHop!M1008</f>
        <v>0</v>
      </c>
      <c r="N1008">
        <f>[2]TongHop!N1008</f>
        <v>0</v>
      </c>
    </row>
    <row r="1009" spans="1:14">
      <c r="A1009">
        <f>[2]TongHop!A1009</f>
        <v>0</v>
      </c>
      <c r="B1009">
        <f>[2]TongHop!B1009</f>
        <v>0</v>
      </c>
      <c r="C1009">
        <f>[2]TongHop!C1009</f>
        <v>0</v>
      </c>
      <c r="D1009">
        <f>[2]TongHop!D1009</f>
        <v>0</v>
      </c>
      <c r="E1009">
        <f>[2]TongHop!E1009</f>
        <v>0</v>
      </c>
      <c r="F1009">
        <f>[2]TongHop!F1009</f>
        <v>0</v>
      </c>
      <c r="G1009">
        <f>[2]TongHop!G1009</f>
        <v>0</v>
      </c>
      <c r="H1009">
        <f>[2]TongHop!H1009</f>
        <v>0</v>
      </c>
      <c r="I1009">
        <f>[2]TongHop!I1009</f>
        <v>0</v>
      </c>
      <c r="J1009">
        <f>[2]TongHop!J1009</f>
        <v>0</v>
      </c>
      <c r="K1009">
        <f>[2]TongHop!K1009</f>
        <v>0</v>
      </c>
      <c r="L1009">
        <f>[2]TongHop!L1009</f>
        <v>0</v>
      </c>
      <c r="M1009">
        <f>[2]TongHop!M1009</f>
        <v>0</v>
      </c>
      <c r="N1009">
        <f>[2]TongHop!N1009</f>
        <v>0</v>
      </c>
    </row>
    <row r="1010" spans="1:14">
      <c r="A1010">
        <f>[2]TongHop!A1010</f>
        <v>0</v>
      </c>
      <c r="B1010">
        <f>[2]TongHop!B1010</f>
        <v>0</v>
      </c>
      <c r="C1010">
        <f>[2]TongHop!C1010</f>
        <v>0</v>
      </c>
      <c r="D1010">
        <f>[2]TongHop!D1010</f>
        <v>0</v>
      </c>
      <c r="E1010">
        <f>[2]TongHop!E1010</f>
        <v>0</v>
      </c>
      <c r="F1010">
        <f>[2]TongHop!F1010</f>
        <v>0</v>
      </c>
      <c r="G1010">
        <f>[2]TongHop!G1010</f>
        <v>0</v>
      </c>
      <c r="H1010">
        <f>[2]TongHop!H1010</f>
        <v>0</v>
      </c>
      <c r="I1010">
        <f>[2]TongHop!I1010</f>
        <v>0</v>
      </c>
      <c r="J1010">
        <f>[2]TongHop!J1010</f>
        <v>0</v>
      </c>
      <c r="K1010">
        <f>[2]TongHop!K1010</f>
        <v>0</v>
      </c>
      <c r="L1010">
        <f>[2]TongHop!L1010</f>
        <v>0</v>
      </c>
      <c r="M1010">
        <f>[2]TongHop!M1010</f>
        <v>0</v>
      </c>
      <c r="N1010">
        <f>[2]TongHop!N1010</f>
        <v>0</v>
      </c>
    </row>
    <row r="1011" spans="1:14">
      <c r="A1011">
        <f>[2]TongHop!A1011</f>
        <v>0</v>
      </c>
      <c r="B1011">
        <f>[2]TongHop!B1011</f>
        <v>0</v>
      </c>
      <c r="C1011">
        <f>[2]TongHop!C1011</f>
        <v>0</v>
      </c>
      <c r="D1011">
        <f>[2]TongHop!D1011</f>
        <v>0</v>
      </c>
      <c r="E1011">
        <f>[2]TongHop!E1011</f>
        <v>0</v>
      </c>
      <c r="F1011">
        <f>[2]TongHop!F1011</f>
        <v>0</v>
      </c>
      <c r="G1011">
        <f>[2]TongHop!G1011</f>
        <v>0</v>
      </c>
      <c r="H1011">
        <f>[2]TongHop!H1011</f>
        <v>0</v>
      </c>
      <c r="I1011">
        <f>[2]TongHop!I1011</f>
        <v>0</v>
      </c>
      <c r="J1011">
        <f>[2]TongHop!J1011</f>
        <v>0</v>
      </c>
      <c r="K1011">
        <f>[2]TongHop!K1011</f>
        <v>0</v>
      </c>
      <c r="L1011">
        <f>[2]TongHop!L1011</f>
        <v>0</v>
      </c>
      <c r="M1011">
        <f>[2]TongHop!M1011</f>
        <v>0</v>
      </c>
      <c r="N1011">
        <f>[2]TongHop!N1011</f>
        <v>0</v>
      </c>
    </row>
    <row r="1012" spans="1:14">
      <c r="A1012">
        <f>[2]TongHop!A1012</f>
        <v>0</v>
      </c>
      <c r="B1012">
        <f>[2]TongHop!B1012</f>
        <v>0</v>
      </c>
      <c r="C1012">
        <f>[2]TongHop!C1012</f>
        <v>0</v>
      </c>
      <c r="D1012">
        <f>[2]TongHop!D1012</f>
        <v>0</v>
      </c>
      <c r="E1012">
        <f>[2]TongHop!E1012</f>
        <v>0</v>
      </c>
      <c r="F1012">
        <f>[2]TongHop!F1012</f>
        <v>0</v>
      </c>
      <c r="G1012">
        <f>[2]TongHop!G1012</f>
        <v>0</v>
      </c>
      <c r="H1012">
        <f>[2]TongHop!H1012</f>
        <v>0</v>
      </c>
      <c r="I1012">
        <f>[2]TongHop!I1012</f>
        <v>0</v>
      </c>
      <c r="J1012">
        <f>[2]TongHop!J1012</f>
        <v>0</v>
      </c>
      <c r="K1012">
        <f>[2]TongHop!K1012</f>
        <v>0</v>
      </c>
      <c r="L1012">
        <f>[2]TongHop!L1012</f>
        <v>0</v>
      </c>
      <c r="M1012">
        <f>[2]TongHop!M1012</f>
        <v>0</v>
      </c>
      <c r="N1012">
        <f>[2]TongHop!N1012</f>
        <v>0</v>
      </c>
    </row>
    <row r="1013" spans="1:14">
      <c r="A1013">
        <f>[2]TongHop!A1013</f>
        <v>0</v>
      </c>
      <c r="B1013">
        <f>[2]TongHop!B1013</f>
        <v>0</v>
      </c>
      <c r="C1013">
        <f>[2]TongHop!C1013</f>
        <v>0</v>
      </c>
      <c r="D1013">
        <f>[2]TongHop!D1013</f>
        <v>0</v>
      </c>
      <c r="E1013">
        <f>[2]TongHop!E1013</f>
        <v>0</v>
      </c>
      <c r="F1013">
        <f>[2]TongHop!F1013</f>
        <v>0</v>
      </c>
      <c r="G1013">
        <f>[2]TongHop!G1013</f>
        <v>0</v>
      </c>
      <c r="H1013">
        <f>[2]TongHop!H1013</f>
        <v>0</v>
      </c>
      <c r="I1013">
        <f>[2]TongHop!I1013</f>
        <v>0</v>
      </c>
      <c r="J1013">
        <f>[2]TongHop!J1013</f>
        <v>0</v>
      </c>
      <c r="K1013">
        <f>[2]TongHop!K1013</f>
        <v>0</v>
      </c>
      <c r="L1013">
        <f>[2]TongHop!L1013</f>
        <v>0</v>
      </c>
      <c r="M1013">
        <f>[2]TongHop!M1013</f>
        <v>0</v>
      </c>
      <c r="N1013">
        <f>[2]TongHop!N1013</f>
        <v>0</v>
      </c>
    </row>
    <row r="1014" spans="1:14">
      <c r="A1014">
        <f>[2]TongHop!A1014</f>
        <v>0</v>
      </c>
      <c r="B1014">
        <f>[2]TongHop!B1014</f>
        <v>0</v>
      </c>
      <c r="C1014">
        <f>[2]TongHop!C1014</f>
        <v>0</v>
      </c>
      <c r="D1014">
        <f>[2]TongHop!D1014</f>
        <v>0</v>
      </c>
      <c r="E1014">
        <f>[2]TongHop!E1014</f>
        <v>0</v>
      </c>
      <c r="F1014">
        <f>[2]TongHop!F1014</f>
        <v>0</v>
      </c>
      <c r="G1014">
        <f>[2]TongHop!G1014</f>
        <v>0</v>
      </c>
      <c r="H1014">
        <f>[2]TongHop!H1014</f>
        <v>0</v>
      </c>
      <c r="I1014">
        <f>[2]TongHop!I1014</f>
        <v>0</v>
      </c>
      <c r="J1014">
        <f>[2]TongHop!J1014</f>
        <v>0</v>
      </c>
      <c r="K1014">
        <f>[2]TongHop!K1014</f>
        <v>0</v>
      </c>
      <c r="L1014">
        <f>[2]TongHop!L1014</f>
        <v>0</v>
      </c>
      <c r="M1014">
        <f>[2]TongHop!M1014</f>
        <v>0</v>
      </c>
      <c r="N1014">
        <f>[2]TongHop!N1014</f>
        <v>0</v>
      </c>
    </row>
    <row r="1015" spans="1:14">
      <c r="A1015">
        <f>[2]TongHop!A1015</f>
        <v>0</v>
      </c>
      <c r="B1015">
        <f>[2]TongHop!B1015</f>
        <v>0</v>
      </c>
      <c r="C1015">
        <f>[2]TongHop!C1015</f>
        <v>0</v>
      </c>
      <c r="D1015">
        <f>[2]TongHop!D1015</f>
        <v>0</v>
      </c>
      <c r="E1015">
        <f>[2]TongHop!E1015</f>
        <v>0</v>
      </c>
      <c r="F1015">
        <f>[2]TongHop!F1015</f>
        <v>0</v>
      </c>
      <c r="G1015">
        <f>[2]TongHop!G1015</f>
        <v>0</v>
      </c>
      <c r="H1015">
        <f>[2]TongHop!H1015</f>
        <v>0</v>
      </c>
      <c r="I1015">
        <f>[2]TongHop!I1015</f>
        <v>0</v>
      </c>
      <c r="J1015">
        <f>[2]TongHop!J1015</f>
        <v>0</v>
      </c>
      <c r="K1015">
        <f>[2]TongHop!K1015</f>
        <v>0</v>
      </c>
      <c r="L1015">
        <f>[2]TongHop!L1015</f>
        <v>0</v>
      </c>
      <c r="M1015">
        <f>[2]TongHop!M1015</f>
        <v>0</v>
      </c>
      <c r="N1015">
        <f>[2]TongHop!N1015</f>
        <v>0</v>
      </c>
    </row>
    <row r="1016" spans="1:14">
      <c r="A1016">
        <f>[2]TongHop!A1016</f>
        <v>0</v>
      </c>
      <c r="B1016">
        <f>[2]TongHop!B1016</f>
        <v>0</v>
      </c>
      <c r="C1016">
        <f>[2]TongHop!C1016</f>
        <v>0</v>
      </c>
      <c r="D1016">
        <f>[2]TongHop!D1016</f>
        <v>0</v>
      </c>
      <c r="E1016">
        <f>[2]TongHop!E1016</f>
        <v>0</v>
      </c>
      <c r="F1016">
        <f>[2]TongHop!F1016</f>
        <v>0</v>
      </c>
      <c r="G1016">
        <f>[2]TongHop!G1016</f>
        <v>0</v>
      </c>
      <c r="H1016">
        <f>[2]TongHop!H1016</f>
        <v>0</v>
      </c>
      <c r="I1016">
        <f>[2]TongHop!I1016</f>
        <v>0</v>
      </c>
      <c r="J1016">
        <f>[2]TongHop!J1016</f>
        <v>0</v>
      </c>
      <c r="K1016">
        <f>[2]TongHop!K1016</f>
        <v>0</v>
      </c>
      <c r="L1016">
        <f>[2]TongHop!L1016</f>
        <v>0</v>
      </c>
      <c r="M1016">
        <f>[2]TongHop!M1016</f>
        <v>0</v>
      </c>
      <c r="N1016">
        <f>[2]TongHop!N1016</f>
        <v>0</v>
      </c>
    </row>
    <row r="1017" spans="1:14">
      <c r="A1017">
        <f>[2]TongHop!A1017</f>
        <v>0</v>
      </c>
      <c r="B1017">
        <f>[2]TongHop!B1017</f>
        <v>0</v>
      </c>
      <c r="C1017">
        <f>[2]TongHop!C1017</f>
        <v>0</v>
      </c>
      <c r="D1017">
        <f>[2]TongHop!D1017</f>
        <v>0</v>
      </c>
      <c r="E1017">
        <f>[2]TongHop!E1017</f>
        <v>0</v>
      </c>
      <c r="F1017">
        <f>[2]TongHop!F1017</f>
        <v>0</v>
      </c>
      <c r="G1017">
        <f>[2]TongHop!G1017</f>
        <v>0</v>
      </c>
      <c r="H1017">
        <f>[2]TongHop!H1017</f>
        <v>0</v>
      </c>
      <c r="I1017">
        <f>[2]TongHop!I1017</f>
        <v>0</v>
      </c>
      <c r="J1017">
        <f>[2]TongHop!J1017</f>
        <v>0</v>
      </c>
      <c r="K1017">
        <f>[2]TongHop!K1017</f>
        <v>0</v>
      </c>
      <c r="L1017">
        <f>[2]TongHop!L1017</f>
        <v>0</v>
      </c>
      <c r="M1017">
        <f>[2]TongHop!M1017</f>
        <v>0</v>
      </c>
      <c r="N1017">
        <f>[2]TongHop!N1017</f>
        <v>0</v>
      </c>
    </row>
    <row r="1018" spans="1:14">
      <c r="A1018">
        <f>[2]TongHop!A1018</f>
        <v>0</v>
      </c>
      <c r="B1018">
        <f>[2]TongHop!B1018</f>
        <v>0</v>
      </c>
      <c r="C1018">
        <f>[2]TongHop!C1018</f>
        <v>0</v>
      </c>
      <c r="D1018">
        <f>[2]TongHop!D1018</f>
        <v>0</v>
      </c>
      <c r="E1018">
        <f>[2]TongHop!E1018</f>
        <v>0</v>
      </c>
      <c r="F1018">
        <f>[2]TongHop!F1018</f>
        <v>0</v>
      </c>
      <c r="G1018">
        <f>[2]TongHop!G1018</f>
        <v>0</v>
      </c>
      <c r="H1018">
        <f>[2]TongHop!H1018</f>
        <v>0</v>
      </c>
      <c r="I1018">
        <f>[2]TongHop!I1018</f>
        <v>0</v>
      </c>
      <c r="J1018">
        <f>[2]TongHop!J1018</f>
        <v>0</v>
      </c>
      <c r="K1018">
        <f>[2]TongHop!K1018</f>
        <v>0</v>
      </c>
      <c r="L1018">
        <f>[2]TongHop!L1018</f>
        <v>0</v>
      </c>
      <c r="M1018">
        <f>[2]TongHop!M1018</f>
        <v>0</v>
      </c>
      <c r="N1018">
        <f>[2]TongHop!N1018</f>
        <v>0</v>
      </c>
    </row>
    <row r="1019" spans="1:14">
      <c r="A1019">
        <f>[2]TongHop!A1019</f>
        <v>0</v>
      </c>
      <c r="B1019">
        <f>[2]TongHop!B1019</f>
        <v>0</v>
      </c>
      <c r="C1019">
        <f>[2]TongHop!C1019</f>
        <v>0</v>
      </c>
      <c r="D1019">
        <f>[2]TongHop!D1019</f>
        <v>0</v>
      </c>
      <c r="E1019">
        <f>[2]TongHop!E1019</f>
        <v>0</v>
      </c>
      <c r="F1019">
        <f>[2]TongHop!F1019</f>
        <v>0</v>
      </c>
      <c r="G1019">
        <f>[2]TongHop!G1019</f>
        <v>0</v>
      </c>
      <c r="H1019">
        <f>[2]TongHop!H1019</f>
        <v>0</v>
      </c>
      <c r="I1019">
        <f>[2]TongHop!I1019</f>
        <v>0</v>
      </c>
      <c r="J1019">
        <f>[2]TongHop!J1019</f>
        <v>0</v>
      </c>
      <c r="K1019">
        <f>[2]TongHop!K1019</f>
        <v>0</v>
      </c>
      <c r="L1019">
        <f>[2]TongHop!L1019</f>
        <v>0</v>
      </c>
      <c r="M1019">
        <f>[2]TongHop!M1019</f>
        <v>0</v>
      </c>
      <c r="N1019">
        <f>[2]TongHop!N1019</f>
        <v>0</v>
      </c>
    </row>
    <row r="1020" spans="1:14">
      <c r="A1020">
        <f>[2]TongHop!A1020</f>
        <v>0</v>
      </c>
      <c r="B1020">
        <f>[2]TongHop!B1020</f>
        <v>0</v>
      </c>
      <c r="C1020">
        <f>[2]TongHop!C1020</f>
        <v>0</v>
      </c>
      <c r="D1020">
        <f>[2]TongHop!D1020</f>
        <v>0</v>
      </c>
      <c r="E1020">
        <f>[2]TongHop!E1020</f>
        <v>0</v>
      </c>
      <c r="F1020">
        <f>[2]TongHop!F1020</f>
        <v>0</v>
      </c>
      <c r="G1020">
        <f>[2]TongHop!G1020</f>
        <v>0</v>
      </c>
      <c r="H1020">
        <f>[2]TongHop!H1020</f>
        <v>0</v>
      </c>
      <c r="I1020">
        <f>[2]TongHop!I1020</f>
        <v>0</v>
      </c>
      <c r="J1020">
        <f>[2]TongHop!J1020</f>
        <v>0</v>
      </c>
      <c r="K1020">
        <f>[2]TongHop!K1020</f>
        <v>0</v>
      </c>
      <c r="L1020">
        <f>[2]TongHop!L1020</f>
        <v>0</v>
      </c>
      <c r="M1020">
        <f>[2]TongHop!M1020</f>
        <v>0</v>
      </c>
      <c r="N1020">
        <f>[2]TongHop!N1020</f>
        <v>0</v>
      </c>
    </row>
    <row r="1021" spans="1:14">
      <c r="A1021">
        <f>[2]TongHop!A1021</f>
        <v>0</v>
      </c>
      <c r="B1021">
        <f>[2]TongHop!B1021</f>
        <v>0</v>
      </c>
      <c r="C1021">
        <f>[2]TongHop!C1021</f>
        <v>0</v>
      </c>
      <c r="D1021">
        <f>[2]TongHop!D1021</f>
        <v>0</v>
      </c>
      <c r="E1021">
        <f>[2]TongHop!E1021</f>
        <v>0</v>
      </c>
      <c r="F1021">
        <f>[2]TongHop!F1021</f>
        <v>0</v>
      </c>
      <c r="G1021">
        <f>[2]TongHop!G1021</f>
        <v>0</v>
      </c>
      <c r="H1021">
        <f>[2]TongHop!H1021</f>
        <v>0</v>
      </c>
      <c r="I1021">
        <f>[2]TongHop!I1021</f>
        <v>0</v>
      </c>
      <c r="J1021">
        <f>[2]TongHop!J1021</f>
        <v>0</v>
      </c>
      <c r="K1021">
        <f>[2]TongHop!K1021</f>
        <v>0</v>
      </c>
      <c r="L1021">
        <f>[2]TongHop!L1021</f>
        <v>0</v>
      </c>
      <c r="M1021">
        <f>[2]TongHop!M1021</f>
        <v>0</v>
      </c>
      <c r="N1021">
        <f>[2]TongHop!N1021</f>
        <v>0</v>
      </c>
    </row>
    <row r="1022" spans="1:14">
      <c r="A1022">
        <f>[2]TongHop!A1022</f>
        <v>0</v>
      </c>
      <c r="B1022">
        <f>[2]TongHop!B1022</f>
        <v>0</v>
      </c>
      <c r="C1022">
        <f>[2]TongHop!C1022</f>
        <v>0</v>
      </c>
      <c r="D1022">
        <f>[2]TongHop!D1022</f>
        <v>0</v>
      </c>
      <c r="E1022">
        <f>[2]TongHop!E1022</f>
        <v>0</v>
      </c>
      <c r="F1022">
        <f>[2]TongHop!F1022</f>
        <v>0</v>
      </c>
      <c r="G1022">
        <f>[2]TongHop!G1022</f>
        <v>0</v>
      </c>
      <c r="H1022">
        <f>[2]TongHop!H1022</f>
        <v>0</v>
      </c>
      <c r="I1022">
        <f>[2]TongHop!I1022</f>
        <v>0</v>
      </c>
      <c r="J1022">
        <f>[2]TongHop!J1022</f>
        <v>0</v>
      </c>
      <c r="K1022">
        <f>[2]TongHop!K1022</f>
        <v>0</v>
      </c>
      <c r="L1022">
        <f>[2]TongHop!L1022</f>
        <v>0</v>
      </c>
      <c r="M1022">
        <f>[2]TongHop!M1022</f>
        <v>0</v>
      </c>
      <c r="N1022">
        <f>[2]TongHop!N1022</f>
        <v>0</v>
      </c>
    </row>
    <row r="1023" spans="1:14">
      <c r="A1023">
        <f>[2]TongHop!A1023</f>
        <v>0</v>
      </c>
      <c r="B1023">
        <f>[2]TongHop!B1023</f>
        <v>0</v>
      </c>
      <c r="C1023">
        <f>[2]TongHop!C1023</f>
        <v>0</v>
      </c>
      <c r="D1023">
        <f>[2]TongHop!D1023</f>
        <v>0</v>
      </c>
      <c r="E1023">
        <f>[2]TongHop!E1023</f>
        <v>0</v>
      </c>
      <c r="F1023">
        <f>[2]TongHop!F1023</f>
        <v>0</v>
      </c>
      <c r="G1023">
        <f>[2]TongHop!G1023</f>
        <v>0</v>
      </c>
      <c r="H1023">
        <f>[2]TongHop!H1023</f>
        <v>0</v>
      </c>
      <c r="I1023">
        <f>[2]TongHop!I1023</f>
        <v>0</v>
      </c>
      <c r="J1023">
        <f>[2]TongHop!J1023</f>
        <v>0</v>
      </c>
      <c r="K1023">
        <f>[2]TongHop!K1023</f>
        <v>0</v>
      </c>
      <c r="L1023">
        <f>[2]TongHop!L1023</f>
        <v>0</v>
      </c>
      <c r="M1023">
        <f>[2]TongHop!M1023</f>
        <v>0</v>
      </c>
      <c r="N1023">
        <f>[2]TongHop!N1023</f>
        <v>0</v>
      </c>
    </row>
    <row r="1024" spans="1:14">
      <c r="A1024">
        <f>[2]TongHop!A1024</f>
        <v>0</v>
      </c>
      <c r="B1024">
        <f>[2]TongHop!B1024</f>
        <v>0</v>
      </c>
      <c r="C1024">
        <f>[2]TongHop!C1024</f>
        <v>0</v>
      </c>
      <c r="D1024">
        <f>[2]TongHop!D1024</f>
        <v>0</v>
      </c>
      <c r="E1024">
        <f>[2]TongHop!E1024</f>
        <v>0</v>
      </c>
      <c r="F1024">
        <f>[2]TongHop!F1024</f>
        <v>0</v>
      </c>
      <c r="G1024">
        <f>[2]TongHop!G1024</f>
        <v>0</v>
      </c>
      <c r="H1024">
        <f>[2]TongHop!H1024</f>
        <v>0</v>
      </c>
      <c r="I1024">
        <f>[2]TongHop!I1024</f>
        <v>0</v>
      </c>
      <c r="J1024">
        <f>[2]TongHop!J1024</f>
        <v>0</v>
      </c>
      <c r="K1024">
        <f>[2]TongHop!K1024</f>
        <v>0</v>
      </c>
      <c r="L1024">
        <f>[2]TongHop!L1024</f>
        <v>0</v>
      </c>
      <c r="M1024">
        <f>[2]TongHop!M1024</f>
        <v>0</v>
      </c>
      <c r="N1024">
        <f>[2]TongHop!N1024</f>
        <v>0</v>
      </c>
    </row>
    <row r="1025" spans="1:14">
      <c r="A1025">
        <f>[2]TongHop!A1025</f>
        <v>0</v>
      </c>
      <c r="B1025">
        <f>[2]TongHop!B1025</f>
        <v>0</v>
      </c>
      <c r="C1025">
        <f>[2]TongHop!C1025</f>
        <v>0</v>
      </c>
      <c r="D1025">
        <f>[2]TongHop!D1025</f>
        <v>0</v>
      </c>
      <c r="E1025">
        <f>[2]TongHop!E1025</f>
        <v>0</v>
      </c>
      <c r="F1025">
        <f>[2]TongHop!F1025</f>
        <v>0</v>
      </c>
      <c r="G1025">
        <f>[2]TongHop!G1025</f>
        <v>0</v>
      </c>
      <c r="H1025">
        <f>[2]TongHop!H1025</f>
        <v>0</v>
      </c>
      <c r="I1025">
        <f>[2]TongHop!I1025</f>
        <v>0</v>
      </c>
      <c r="J1025">
        <f>[2]TongHop!J1025</f>
        <v>0</v>
      </c>
      <c r="K1025">
        <f>[2]TongHop!K1025</f>
        <v>0</v>
      </c>
      <c r="L1025">
        <f>[2]TongHop!L1025</f>
        <v>0</v>
      </c>
      <c r="M1025">
        <f>[2]TongHop!M1025</f>
        <v>0</v>
      </c>
      <c r="N1025">
        <f>[2]TongHop!N1025</f>
        <v>0</v>
      </c>
    </row>
    <row r="1026" spans="1:14">
      <c r="A1026">
        <f>[2]TongHop!A1026</f>
        <v>0</v>
      </c>
      <c r="B1026">
        <f>[2]TongHop!B1026</f>
        <v>0</v>
      </c>
      <c r="C1026">
        <f>[2]TongHop!C1026</f>
        <v>0</v>
      </c>
      <c r="D1026">
        <f>[2]TongHop!D1026</f>
        <v>0</v>
      </c>
      <c r="E1026">
        <f>[2]TongHop!E1026</f>
        <v>0</v>
      </c>
      <c r="F1026">
        <f>[2]TongHop!F1026</f>
        <v>0</v>
      </c>
      <c r="G1026">
        <f>[2]TongHop!G1026</f>
        <v>0</v>
      </c>
      <c r="H1026">
        <f>[2]TongHop!H1026</f>
        <v>0</v>
      </c>
      <c r="I1026">
        <f>[2]TongHop!I1026</f>
        <v>0</v>
      </c>
      <c r="J1026">
        <f>[2]TongHop!J1026</f>
        <v>0</v>
      </c>
      <c r="K1026">
        <f>[2]TongHop!K1026</f>
        <v>0</v>
      </c>
      <c r="L1026">
        <f>[2]TongHop!L1026</f>
        <v>0</v>
      </c>
      <c r="M1026">
        <f>[2]TongHop!M1026</f>
        <v>0</v>
      </c>
      <c r="N1026">
        <f>[2]TongHop!N1026</f>
        <v>0</v>
      </c>
    </row>
    <row r="1027" spans="1:14">
      <c r="A1027">
        <f>[2]TongHop!A1027</f>
        <v>0</v>
      </c>
      <c r="B1027">
        <f>[2]TongHop!B1027</f>
        <v>0</v>
      </c>
      <c r="C1027">
        <f>[2]TongHop!C1027</f>
        <v>0</v>
      </c>
      <c r="D1027">
        <f>[2]TongHop!D1027</f>
        <v>0</v>
      </c>
      <c r="E1027">
        <f>[2]TongHop!E1027</f>
        <v>0</v>
      </c>
      <c r="F1027">
        <f>[2]TongHop!F1027</f>
        <v>0</v>
      </c>
      <c r="G1027">
        <f>[2]TongHop!G1027</f>
        <v>0</v>
      </c>
      <c r="H1027">
        <f>[2]TongHop!H1027</f>
        <v>0</v>
      </c>
      <c r="I1027">
        <f>[2]TongHop!I1027</f>
        <v>0</v>
      </c>
      <c r="J1027">
        <f>[2]TongHop!J1027</f>
        <v>0</v>
      </c>
      <c r="K1027">
        <f>[2]TongHop!K1027</f>
        <v>0</v>
      </c>
      <c r="L1027">
        <f>[2]TongHop!L1027</f>
        <v>0</v>
      </c>
      <c r="M1027">
        <f>[2]TongHop!M1027</f>
        <v>0</v>
      </c>
      <c r="N1027">
        <f>[2]TongHop!N1027</f>
        <v>0</v>
      </c>
    </row>
    <row r="1028" spans="1:14">
      <c r="A1028">
        <f>[2]TongHop!A1028</f>
        <v>0</v>
      </c>
      <c r="B1028">
        <f>[2]TongHop!B1028</f>
        <v>0</v>
      </c>
      <c r="C1028">
        <f>[2]TongHop!C1028</f>
        <v>0</v>
      </c>
      <c r="D1028">
        <f>[2]TongHop!D1028</f>
        <v>0</v>
      </c>
      <c r="E1028">
        <f>[2]TongHop!E1028</f>
        <v>0</v>
      </c>
      <c r="F1028">
        <f>[2]TongHop!F1028</f>
        <v>0</v>
      </c>
      <c r="G1028">
        <f>[2]TongHop!G1028</f>
        <v>0</v>
      </c>
      <c r="H1028">
        <f>[2]TongHop!H1028</f>
        <v>0</v>
      </c>
      <c r="I1028">
        <f>[2]TongHop!I1028</f>
        <v>0</v>
      </c>
      <c r="J1028">
        <f>[2]TongHop!J1028</f>
        <v>0</v>
      </c>
      <c r="K1028">
        <f>[2]TongHop!K1028</f>
        <v>0</v>
      </c>
      <c r="L1028">
        <f>[2]TongHop!L1028</f>
        <v>0</v>
      </c>
      <c r="M1028">
        <f>[2]TongHop!M1028</f>
        <v>0</v>
      </c>
      <c r="N1028">
        <f>[2]TongHop!N1028</f>
        <v>0</v>
      </c>
    </row>
    <row r="1029" spans="1:14">
      <c r="A1029">
        <f>[2]TongHop!A1029</f>
        <v>0</v>
      </c>
      <c r="B1029">
        <f>[2]TongHop!B1029</f>
        <v>0</v>
      </c>
      <c r="C1029">
        <f>[2]TongHop!C1029</f>
        <v>0</v>
      </c>
      <c r="D1029">
        <f>[2]TongHop!D1029</f>
        <v>0</v>
      </c>
      <c r="E1029">
        <f>[2]TongHop!E1029</f>
        <v>0</v>
      </c>
      <c r="F1029">
        <f>[2]TongHop!F1029</f>
        <v>0</v>
      </c>
      <c r="G1029">
        <f>[2]TongHop!G1029</f>
        <v>0</v>
      </c>
      <c r="H1029">
        <f>[2]TongHop!H1029</f>
        <v>0</v>
      </c>
      <c r="I1029">
        <f>[2]TongHop!I1029</f>
        <v>0</v>
      </c>
      <c r="J1029">
        <f>[2]TongHop!J1029</f>
        <v>0</v>
      </c>
      <c r="K1029">
        <f>[2]TongHop!K1029</f>
        <v>0</v>
      </c>
      <c r="L1029">
        <f>[2]TongHop!L1029</f>
        <v>0</v>
      </c>
      <c r="M1029">
        <f>[2]TongHop!M1029</f>
        <v>0</v>
      </c>
      <c r="N1029">
        <f>[2]TongHop!N1029</f>
        <v>0</v>
      </c>
    </row>
    <row r="1030" spans="1:14">
      <c r="A1030">
        <f>[2]TongHop!A1030</f>
        <v>0</v>
      </c>
      <c r="B1030">
        <f>[2]TongHop!B1030</f>
        <v>0</v>
      </c>
      <c r="C1030">
        <f>[2]TongHop!C1030</f>
        <v>0</v>
      </c>
      <c r="D1030">
        <f>[2]TongHop!D1030</f>
        <v>0</v>
      </c>
      <c r="E1030">
        <f>[2]TongHop!E1030</f>
        <v>0</v>
      </c>
      <c r="F1030">
        <f>[2]TongHop!F1030</f>
        <v>0</v>
      </c>
      <c r="G1030">
        <f>[2]TongHop!G1030</f>
        <v>0</v>
      </c>
      <c r="H1030">
        <f>[2]TongHop!H1030</f>
        <v>0</v>
      </c>
      <c r="I1030">
        <f>[2]TongHop!I1030</f>
        <v>0</v>
      </c>
      <c r="J1030">
        <f>[2]TongHop!J1030</f>
        <v>0</v>
      </c>
      <c r="K1030">
        <f>[2]TongHop!K1030</f>
        <v>0</v>
      </c>
      <c r="L1030">
        <f>[2]TongHop!L1030</f>
        <v>0</v>
      </c>
      <c r="M1030">
        <f>[2]TongHop!M1030</f>
        <v>0</v>
      </c>
      <c r="N1030">
        <f>[2]TongHop!N1030</f>
        <v>0</v>
      </c>
    </row>
    <row r="1031" spans="1:14">
      <c r="A1031">
        <f>[2]TongHop!A1031</f>
        <v>0</v>
      </c>
      <c r="B1031">
        <f>[2]TongHop!B1031</f>
        <v>0</v>
      </c>
      <c r="C1031">
        <f>[2]TongHop!C1031</f>
        <v>0</v>
      </c>
      <c r="D1031">
        <f>[2]TongHop!D1031</f>
        <v>0</v>
      </c>
      <c r="E1031">
        <f>[2]TongHop!E1031</f>
        <v>0</v>
      </c>
      <c r="F1031">
        <f>[2]TongHop!F1031</f>
        <v>0</v>
      </c>
      <c r="G1031">
        <f>[2]TongHop!G1031</f>
        <v>0</v>
      </c>
      <c r="H1031">
        <f>[2]TongHop!H1031</f>
        <v>0</v>
      </c>
      <c r="I1031">
        <f>[2]TongHop!I1031</f>
        <v>0</v>
      </c>
      <c r="J1031">
        <f>[2]TongHop!J1031</f>
        <v>0</v>
      </c>
      <c r="K1031">
        <f>[2]TongHop!K1031</f>
        <v>0</v>
      </c>
      <c r="L1031">
        <f>[2]TongHop!L1031</f>
        <v>0</v>
      </c>
      <c r="M1031">
        <f>[2]TongHop!M1031</f>
        <v>0</v>
      </c>
      <c r="N1031">
        <f>[2]TongHop!N1031</f>
        <v>0</v>
      </c>
    </row>
    <row r="1032" spans="1:14">
      <c r="A1032">
        <f>[2]TongHop!A1032</f>
        <v>0</v>
      </c>
      <c r="B1032">
        <f>[2]TongHop!B1032</f>
        <v>0</v>
      </c>
      <c r="C1032">
        <f>[2]TongHop!C1032</f>
        <v>0</v>
      </c>
      <c r="D1032">
        <f>[2]TongHop!D1032</f>
        <v>0</v>
      </c>
      <c r="E1032">
        <f>[2]TongHop!E1032</f>
        <v>0</v>
      </c>
      <c r="F1032">
        <f>[2]TongHop!F1032</f>
        <v>0</v>
      </c>
      <c r="G1032">
        <f>[2]TongHop!G1032</f>
        <v>0</v>
      </c>
      <c r="H1032">
        <f>[2]TongHop!H1032</f>
        <v>0</v>
      </c>
      <c r="I1032">
        <f>[2]TongHop!I1032</f>
        <v>0</v>
      </c>
      <c r="J1032">
        <f>[2]TongHop!J1032</f>
        <v>0</v>
      </c>
      <c r="K1032">
        <f>[2]TongHop!K1032</f>
        <v>0</v>
      </c>
      <c r="L1032">
        <f>[2]TongHop!L1032</f>
        <v>0</v>
      </c>
      <c r="M1032">
        <f>[2]TongHop!M1032</f>
        <v>0</v>
      </c>
      <c r="N1032">
        <f>[2]TongHop!N1032</f>
        <v>0</v>
      </c>
    </row>
    <row r="1033" spans="1:14">
      <c r="A1033">
        <f>[2]TongHop!A1033</f>
        <v>0</v>
      </c>
      <c r="B1033">
        <f>[2]TongHop!B1033</f>
        <v>0</v>
      </c>
      <c r="C1033">
        <f>[2]TongHop!C1033</f>
        <v>0</v>
      </c>
      <c r="D1033">
        <f>[2]TongHop!D1033</f>
        <v>0</v>
      </c>
      <c r="E1033">
        <f>[2]TongHop!E1033</f>
        <v>0</v>
      </c>
      <c r="F1033">
        <f>[2]TongHop!F1033</f>
        <v>0</v>
      </c>
      <c r="G1033">
        <f>[2]TongHop!G1033</f>
        <v>0</v>
      </c>
      <c r="H1033">
        <f>[2]TongHop!H1033</f>
        <v>0</v>
      </c>
      <c r="I1033">
        <f>[2]TongHop!I1033</f>
        <v>0</v>
      </c>
      <c r="J1033">
        <f>[2]TongHop!J1033</f>
        <v>0</v>
      </c>
      <c r="K1033">
        <f>[2]TongHop!K1033</f>
        <v>0</v>
      </c>
      <c r="L1033">
        <f>[2]TongHop!L1033</f>
        <v>0</v>
      </c>
      <c r="M1033">
        <f>[2]TongHop!M1033</f>
        <v>0</v>
      </c>
      <c r="N1033">
        <f>[2]TongHop!N1033</f>
        <v>0</v>
      </c>
    </row>
    <row r="1034" spans="1:14">
      <c r="A1034">
        <f>[2]TongHop!A1034</f>
        <v>0</v>
      </c>
      <c r="B1034">
        <f>[2]TongHop!B1034</f>
        <v>0</v>
      </c>
      <c r="C1034">
        <f>[2]TongHop!C1034</f>
        <v>0</v>
      </c>
      <c r="D1034">
        <f>[2]TongHop!D1034</f>
        <v>0</v>
      </c>
      <c r="E1034">
        <f>[2]TongHop!E1034</f>
        <v>0</v>
      </c>
      <c r="F1034">
        <f>[2]TongHop!F1034</f>
        <v>0</v>
      </c>
      <c r="G1034">
        <f>[2]TongHop!G1034</f>
        <v>0</v>
      </c>
      <c r="H1034">
        <f>[2]TongHop!H1034</f>
        <v>0</v>
      </c>
      <c r="I1034">
        <f>[2]TongHop!I1034</f>
        <v>0</v>
      </c>
      <c r="J1034">
        <f>[2]TongHop!J1034</f>
        <v>0</v>
      </c>
      <c r="K1034">
        <f>[2]TongHop!K1034</f>
        <v>0</v>
      </c>
      <c r="L1034">
        <f>[2]TongHop!L1034</f>
        <v>0</v>
      </c>
      <c r="M1034">
        <f>[2]TongHop!M1034</f>
        <v>0</v>
      </c>
      <c r="N1034">
        <f>[2]TongHop!N1034</f>
        <v>0</v>
      </c>
    </row>
    <row r="1035" spans="1:14">
      <c r="A1035">
        <f>[2]TongHop!A1035</f>
        <v>0</v>
      </c>
      <c r="B1035">
        <f>[2]TongHop!B1035</f>
        <v>0</v>
      </c>
      <c r="C1035">
        <f>[2]TongHop!C1035</f>
        <v>0</v>
      </c>
      <c r="D1035">
        <f>[2]TongHop!D1035</f>
        <v>0</v>
      </c>
      <c r="E1035">
        <f>[2]TongHop!E1035</f>
        <v>0</v>
      </c>
      <c r="F1035">
        <f>[2]TongHop!F1035</f>
        <v>0</v>
      </c>
      <c r="G1035">
        <f>[2]TongHop!G1035</f>
        <v>0</v>
      </c>
      <c r="H1035">
        <f>[2]TongHop!H1035</f>
        <v>0</v>
      </c>
      <c r="I1035">
        <f>[2]TongHop!I1035</f>
        <v>0</v>
      </c>
      <c r="J1035">
        <f>[2]TongHop!J1035</f>
        <v>0</v>
      </c>
      <c r="K1035">
        <f>[2]TongHop!K1035</f>
        <v>0</v>
      </c>
      <c r="L1035">
        <f>[2]TongHop!L1035</f>
        <v>0</v>
      </c>
      <c r="M1035">
        <f>[2]TongHop!M1035</f>
        <v>0</v>
      </c>
      <c r="N1035">
        <f>[2]TongHop!N1035</f>
        <v>0</v>
      </c>
    </row>
    <row r="1036" spans="1:14">
      <c r="A1036">
        <f>[2]TongHop!A1036</f>
        <v>0</v>
      </c>
      <c r="B1036">
        <f>[2]TongHop!B1036</f>
        <v>0</v>
      </c>
      <c r="C1036">
        <f>[2]TongHop!C1036</f>
        <v>0</v>
      </c>
      <c r="D1036">
        <f>[2]TongHop!D1036</f>
        <v>0</v>
      </c>
      <c r="E1036">
        <f>[2]TongHop!E1036</f>
        <v>0</v>
      </c>
      <c r="F1036">
        <f>[2]TongHop!F1036</f>
        <v>0</v>
      </c>
      <c r="G1036">
        <f>[2]TongHop!G1036</f>
        <v>0</v>
      </c>
      <c r="H1036">
        <f>[2]TongHop!H1036</f>
        <v>0</v>
      </c>
      <c r="I1036">
        <f>[2]TongHop!I1036</f>
        <v>0</v>
      </c>
      <c r="J1036">
        <f>[2]TongHop!J1036</f>
        <v>0</v>
      </c>
      <c r="K1036">
        <f>[2]TongHop!K1036</f>
        <v>0</v>
      </c>
      <c r="L1036">
        <f>[2]TongHop!L1036</f>
        <v>0</v>
      </c>
      <c r="M1036">
        <f>[2]TongHop!M1036</f>
        <v>0</v>
      </c>
      <c r="N1036">
        <f>[2]TongHop!N1036</f>
        <v>0</v>
      </c>
    </row>
    <row r="1037" spans="1:14">
      <c r="A1037">
        <f>[2]TongHop!A1037</f>
        <v>0</v>
      </c>
      <c r="B1037">
        <f>[2]TongHop!B1037</f>
        <v>0</v>
      </c>
      <c r="C1037">
        <f>[2]TongHop!C1037</f>
        <v>0</v>
      </c>
      <c r="D1037">
        <f>[2]TongHop!D1037</f>
        <v>0</v>
      </c>
      <c r="E1037">
        <f>[2]TongHop!E1037</f>
        <v>0</v>
      </c>
      <c r="F1037">
        <f>[2]TongHop!F1037</f>
        <v>0</v>
      </c>
      <c r="G1037">
        <f>[2]TongHop!G1037</f>
        <v>0</v>
      </c>
      <c r="H1037">
        <f>[2]TongHop!H1037</f>
        <v>0</v>
      </c>
      <c r="I1037">
        <f>[2]TongHop!I1037</f>
        <v>0</v>
      </c>
      <c r="J1037">
        <f>[2]TongHop!J1037</f>
        <v>0</v>
      </c>
      <c r="K1037">
        <f>[2]TongHop!K1037</f>
        <v>0</v>
      </c>
      <c r="L1037">
        <f>[2]TongHop!L1037</f>
        <v>0</v>
      </c>
      <c r="M1037">
        <f>[2]TongHop!M1037</f>
        <v>0</v>
      </c>
      <c r="N1037">
        <f>[2]TongHop!N1037</f>
        <v>0</v>
      </c>
    </row>
    <row r="1038" spans="1:14">
      <c r="A1038">
        <f>[2]TongHop!A1038</f>
        <v>0</v>
      </c>
      <c r="B1038">
        <f>[2]TongHop!B1038</f>
        <v>0</v>
      </c>
      <c r="C1038">
        <f>[2]TongHop!C1038</f>
        <v>0</v>
      </c>
      <c r="D1038">
        <f>[2]TongHop!D1038</f>
        <v>0</v>
      </c>
      <c r="E1038">
        <f>[2]TongHop!E1038</f>
        <v>0</v>
      </c>
      <c r="F1038">
        <f>[2]TongHop!F1038</f>
        <v>0</v>
      </c>
      <c r="G1038">
        <f>[2]TongHop!G1038</f>
        <v>0</v>
      </c>
      <c r="H1038">
        <f>[2]TongHop!H1038</f>
        <v>0</v>
      </c>
      <c r="I1038">
        <f>[2]TongHop!I1038</f>
        <v>0</v>
      </c>
      <c r="J1038">
        <f>[2]TongHop!J1038</f>
        <v>0</v>
      </c>
      <c r="K1038">
        <f>[2]TongHop!K1038</f>
        <v>0</v>
      </c>
      <c r="L1038">
        <f>[2]TongHop!L1038</f>
        <v>0</v>
      </c>
      <c r="M1038">
        <f>[2]TongHop!M1038</f>
        <v>0</v>
      </c>
      <c r="N1038">
        <f>[2]TongHop!N1038</f>
        <v>0</v>
      </c>
    </row>
    <row r="1039" spans="1:14">
      <c r="A1039">
        <f>[2]TongHop!A1039</f>
        <v>0</v>
      </c>
      <c r="B1039">
        <f>[2]TongHop!B1039</f>
        <v>0</v>
      </c>
      <c r="C1039">
        <f>[2]TongHop!C1039</f>
        <v>0</v>
      </c>
      <c r="D1039">
        <f>[2]TongHop!D1039</f>
        <v>0</v>
      </c>
      <c r="E1039">
        <f>[2]TongHop!E1039</f>
        <v>0</v>
      </c>
      <c r="F1039">
        <f>[2]TongHop!F1039</f>
        <v>0</v>
      </c>
      <c r="G1039">
        <f>[2]TongHop!G1039</f>
        <v>0</v>
      </c>
      <c r="H1039">
        <f>[2]TongHop!H1039</f>
        <v>0</v>
      </c>
      <c r="I1039">
        <f>[2]TongHop!I1039</f>
        <v>0</v>
      </c>
      <c r="J1039">
        <f>[2]TongHop!J1039</f>
        <v>0</v>
      </c>
      <c r="K1039">
        <f>[2]TongHop!K1039</f>
        <v>0</v>
      </c>
      <c r="L1039">
        <f>[2]TongHop!L1039</f>
        <v>0</v>
      </c>
      <c r="M1039">
        <f>[2]TongHop!M1039</f>
        <v>0</v>
      </c>
      <c r="N1039">
        <f>[2]TongHop!N1039</f>
        <v>0</v>
      </c>
    </row>
    <row r="1040" spans="1:14">
      <c r="A1040">
        <f>[2]TongHop!A1040</f>
        <v>0</v>
      </c>
      <c r="B1040">
        <f>[2]TongHop!B1040</f>
        <v>0</v>
      </c>
      <c r="C1040">
        <f>[2]TongHop!C1040</f>
        <v>0</v>
      </c>
      <c r="D1040">
        <f>[2]TongHop!D1040</f>
        <v>0</v>
      </c>
      <c r="E1040">
        <f>[2]TongHop!E1040</f>
        <v>0</v>
      </c>
      <c r="F1040">
        <f>[2]TongHop!F1040</f>
        <v>0</v>
      </c>
      <c r="G1040">
        <f>[2]TongHop!G1040</f>
        <v>0</v>
      </c>
      <c r="H1040">
        <f>[2]TongHop!H1040</f>
        <v>0</v>
      </c>
      <c r="I1040">
        <f>[2]TongHop!I1040</f>
        <v>0</v>
      </c>
      <c r="J1040">
        <f>[2]TongHop!J1040</f>
        <v>0</v>
      </c>
      <c r="K1040">
        <f>[2]TongHop!K1040</f>
        <v>0</v>
      </c>
      <c r="L1040">
        <f>[2]TongHop!L1040</f>
        <v>0</v>
      </c>
      <c r="M1040">
        <f>[2]TongHop!M1040</f>
        <v>0</v>
      </c>
      <c r="N1040">
        <f>[2]TongHop!N1040</f>
        <v>0</v>
      </c>
    </row>
    <row r="1041" spans="1:14">
      <c r="A1041">
        <f>[2]TongHop!A1041</f>
        <v>0</v>
      </c>
      <c r="B1041">
        <f>[2]TongHop!B1041</f>
        <v>0</v>
      </c>
      <c r="C1041">
        <f>[2]TongHop!C1041</f>
        <v>0</v>
      </c>
      <c r="D1041">
        <f>[2]TongHop!D1041</f>
        <v>0</v>
      </c>
      <c r="E1041">
        <f>[2]TongHop!E1041</f>
        <v>0</v>
      </c>
      <c r="F1041">
        <f>[2]TongHop!F1041</f>
        <v>0</v>
      </c>
      <c r="G1041">
        <f>[2]TongHop!G1041</f>
        <v>0</v>
      </c>
      <c r="H1041">
        <f>[2]TongHop!H1041</f>
        <v>0</v>
      </c>
      <c r="I1041">
        <f>[2]TongHop!I1041</f>
        <v>0</v>
      </c>
      <c r="J1041">
        <f>[2]TongHop!J1041</f>
        <v>0</v>
      </c>
      <c r="K1041">
        <f>[2]TongHop!K1041</f>
        <v>0</v>
      </c>
      <c r="L1041">
        <f>[2]TongHop!L1041</f>
        <v>0</v>
      </c>
      <c r="M1041">
        <f>[2]TongHop!M1041</f>
        <v>0</v>
      </c>
      <c r="N1041">
        <f>[2]TongHop!N1041</f>
        <v>0</v>
      </c>
    </row>
    <row r="1042" spans="1:14">
      <c r="A1042">
        <f>[2]TongHop!A1042</f>
        <v>0</v>
      </c>
      <c r="B1042">
        <f>[2]TongHop!B1042</f>
        <v>0</v>
      </c>
      <c r="C1042">
        <f>[2]TongHop!C1042</f>
        <v>0</v>
      </c>
      <c r="D1042">
        <f>[2]TongHop!D1042</f>
        <v>0</v>
      </c>
      <c r="E1042">
        <f>[2]TongHop!E1042</f>
        <v>0</v>
      </c>
      <c r="F1042">
        <f>[2]TongHop!F1042</f>
        <v>0</v>
      </c>
      <c r="G1042">
        <f>[2]TongHop!G1042</f>
        <v>0</v>
      </c>
      <c r="H1042">
        <f>[2]TongHop!H1042</f>
        <v>0</v>
      </c>
      <c r="I1042">
        <f>[2]TongHop!I1042</f>
        <v>0</v>
      </c>
      <c r="J1042">
        <f>[2]TongHop!J1042</f>
        <v>0</v>
      </c>
      <c r="K1042">
        <f>[2]TongHop!K1042</f>
        <v>0</v>
      </c>
      <c r="L1042">
        <f>[2]TongHop!L1042</f>
        <v>0</v>
      </c>
      <c r="M1042">
        <f>[2]TongHop!M1042</f>
        <v>0</v>
      </c>
      <c r="N1042">
        <f>[2]TongHop!N1042</f>
        <v>0</v>
      </c>
    </row>
    <row r="1043" spans="1:14">
      <c r="A1043">
        <f>[2]TongHop!A1043</f>
        <v>0</v>
      </c>
      <c r="B1043">
        <f>[2]TongHop!B1043</f>
        <v>0</v>
      </c>
      <c r="C1043">
        <f>[2]TongHop!C1043</f>
        <v>0</v>
      </c>
      <c r="D1043">
        <f>[2]TongHop!D1043</f>
        <v>0</v>
      </c>
      <c r="E1043">
        <f>[2]TongHop!E1043</f>
        <v>0</v>
      </c>
      <c r="F1043">
        <f>[2]TongHop!F1043</f>
        <v>0</v>
      </c>
      <c r="G1043">
        <f>[2]TongHop!G1043</f>
        <v>0</v>
      </c>
      <c r="H1043">
        <f>[2]TongHop!H1043</f>
        <v>0</v>
      </c>
      <c r="I1043">
        <f>[2]TongHop!I1043</f>
        <v>0</v>
      </c>
      <c r="J1043">
        <f>[2]TongHop!J1043</f>
        <v>0</v>
      </c>
      <c r="K1043">
        <f>[2]TongHop!K1043</f>
        <v>0</v>
      </c>
      <c r="L1043">
        <f>[2]TongHop!L1043</f>
        <v>0</v>
      </c>
      <c r="M1043">
        <f>[2]TongHop!M1043</f>
        <v>0</v>
      </c>
      <c r="N1043">
        <f>[2]TongHop!N1043</f>
        <v>0</v>
      </c>
    </row>
    <row r="1044" spans="1:14">
      <c r="A1044">
        <f>[2]TongHop!A1044</f>
        <v>0</v>
      </c>
      <c r="B1044">
        <f>[2]TongHop!B1044</f>
        <v>0</v>
      </c>
      <c r="C1044">
        <f>[2]TongHop!C1044</f>
        <v>0</v>
      </c>
      <c r="D1044">
        <f>[2]TongHop!D1044</f>
        <v>0</v>
      </c>
      <c r="E1044">
        <f>[2]TongHop!E1044</f>
        <v>0</v>
      </c>
      <c r="F1044">
        <f>[2]TongHop!F1044</f>
        <v>0</v>
      </c>
      <c r="G1044">
        <f>[2]TongHop!G1044</f>
        <v>0</v>
      </c>
      <c r="H1044">
        <f>[2]TongHop!H1044</f>
        <v>0</v>
      </c>
      <c r="I1044">
        <f>[2]TongHop!I1044</f>
        <v>0</v>
      </c>
      <c r="J1044">
        <f>[2]TongHop!J1044</f>
        <v>0</v>
      </c>
      <c r="K1044">
        <f>[2]TongHop!K1044</f>
        <v>0</v>
      </c>
      <c r="L1044">
        <f>[2]TongHop!L1044</f>
        <v>0</v>
      </c>
      <c r="M1044">
        <f>[2]TongHop!M1044</f>
        <v>0</v>
      </c>
      <c r="N1044">
        <f>[2]TongHop!N1044</f>
        <v>0</v>
      </c>
    </row>
    <row r="1045" spans="1:14">
      <c r="A1045">
        <f>[2]TongHop!A1045</f>
        <v>0</v>
      </c>
      <c r="B1045">
        <f>[2]TongHop!B1045</f>
        <v>0</v>
      </c>
      <c r="C1045">
        <f>[2]TongHop!C1045</f>
        <v>0</v>
      </c>
      <c r="D1045">
        <f>[2]TongHop!D1045</f>
        <v>0</v>
      </c>
      <c r="E1045">
        <f>[2]TongHop!E1045</f>
        <v>0</v>
      </c>
      <c r="F1045">
        <f>[2]TongHop!F1045</f>
        <v>0</v>
      </c>
      <c r="G1045">
        <f>[2]TongHop!G1045</f>
        <v>0</v>
      </c>
      <c r="H1045">
        <f>[2]TongHop!H1045</f>
        <v>0</v>
      </c>
      <c r="I1045">
        <f>[2]TongHop!I1045</f>
        <v>0</v>
      </c>
      <c r="J1045">
        <f>[2]TongHop!J1045</f>
        <v>0</v>
      </c>
      <c r="K1045">
        <f>[2]TongHop!K1045</f>
        <v>0</v>
      </c>
      <c r="L1045">
        <f>[2]TongHop!L1045</f>
        <v>0</v>
      </c>
      <c r="M1045">
        <f>[2]TongHop!M1045</f>
        <v>0</v>
      </c>
      <c r="N1045">
        <f>[2]TongHop!N1045</f>
        <v>0</v>
      </c>
    </row>
    <row r="1046" spans="1:14">
      <c r="A1046">
        <f>[2]TongHop!A1046</f>
        <v>0</v>
      </c>
      <c r="B1046">
        <f>[2]TongHop!B1046</f>
        <v>0</v>
      </c>
      <c r="C1046">
        <f>[2]TongHop!C1046</f>
        <v>0</v>
      </c>
      <c r="D1046">
        <f>[2]TongHop!D1046</f>
        <v>0</v>
      </c>
      <c r="E1046">
        <f>[2]TongHop!E1046</f>
        <v>0</v>
      </c>
      <c r="F1046">
        <f>[2]TongHop!F1046</f>
        <v>0</v>
      </c>
      <c r="G1046">
        <f>[2]TongHop!G1046</f>
        <v>0</v>
      </c>
      <c r="H1046">
        <f>[2]TongHop!H1046</f>
        <v>0</v>
      </c>
      <c r="I1046">
        <f>[2]TongHop!I1046</f>
        <v>0</v>
      </c>
      <c r="J1046">
        <f>[2]TongHop!J1046</f>
        <v>0</v>
      </c>
      <c r="K1046">
        <f>[2]TongHop!K1046</f>
        <v>0</v>
      </c>
      <c r="L1046">
        <f>[2]TongHop!L1046</f>
        <v>0</v>
      </c>
      <c r="M1046">
        <f>[2]TongHop!M1046</f>
        <v>0</v>
      </c>
      <c r="N1046">
        <f>[2]TongHop!N1046</f>
        <v>0</v>
      </c>
    </row>
    <row r="1047" spans="1:14">
      <c r="A1047">
        <f>[2]TongHop!A1047</f>
        <v>0</v>
      </c>
      <c r="B1047">
        <f>[2]TongHop!B1047</f>
        <v>0</v>
      </c>
      <c r="C1047">
        <f>[2]TongHop!C1047</f>
        <v>0</v>
      </c>
      <c r="D1047">
        <f>[2]TongHop!D1047</f>
        <v>0</v>
      </c>
      <c r="E1047">
        <f>[2]TongHop!E1047</f>
        <v>0</v>
      </c>
      <c r="F1047">
        <f>[2]TongHop!F1047</f>
        <v>0</v>
      </c>
      <c r="G1047">
        <f>[2]TongHop!G1047</f>
        <v>0</v>
      </c>
      <c r="H1047">
        <f>[2]TongHop!H1047</f>
        <v>0</v>
      </c>
      <c r="I1047">
        <f>[2]TongHop!I1047</f>
        <v>0</v>
      </c>
      <c r="J1047">
        <f>[2]TongHop!J1047</f>
        <v>0</v>
      </c>
      <c r="K1047">
        <f>[2]TongHop!K1047</f>
        <v>0</v>
      </c>
      <c r="L1047">
        <f>[2]TongHop!L1047</f>
        <v>0</v>
      </c>
      <c r="M1047">
        <f>[2]TongHop!M1047</f>
        <v>0</v>
      </c>
      <c r="N1047">
        <f>[2]TongHop!N1047</f>
        <v>0</v>
      </c>
    </row>
    <row r="1048" spans="1:14">
      <c r="A1048">
        <f>[2]TongHop!A1048</f>
        <v>0</v>
      </c>
      <c r="B1048">
        <f>[2]TongHop!B1048</f>
        <v>0</v>
      </c>
      <c r="C1048">
        <f>[2]TongHop!C1048</f>
        <v>0</v>
      </c>
      <c r="D1048">
        <f>[2]TongHop!D1048</f>
        <v>0</v>
      </c>
      <c r="E1048">
        <f>[2]TongHop!E1048</f>
        <v>0</v>
      </c>
      <c r="F1048">
        <f>[2]TongHop!F1048</f>
        <v>0</v>
      </c>
      <c r="G1048">
        <f>[2]TongHop!G1048</f>
        <v>0</v>
      </c>
      <c r="H1048">
        <f>[2]TongHop!H1048</f>
        <v>0</v>
      </c>
      <c r="I1048">
        <f>[2]TongHop!I1048</f>
        <v>0</v>
      </c>
      <c r="J1048">
        <f>[2]TongHop!J1048</f>
        <v>0</v>
      </c>
      <c r="K1048">
        <f>[2]TongHop!K1048</f>
        <v>0</v>
      </c>
      <c r="L1048">
        <f>[2]TongHop!L1048</f>
        <v>0</v>
      </c>
      <c r="M1048">
        <f>[2]TongHop!M1048</f>
        <v>0</v>
      </c>
      <c r="N1048">
        <f>[2]TongHop!N1048</f>
        <v>0</v>
      </c>
    </row>
    <row r="1049" spans="1:14">
      <c r="A1049">
        <f>[2]TongHop!A1049</f>
        <v>0</v>
      </c>
      <c r="B1049">
        <f>[2]TongHop!B1049</f>
        <v>0</v>
      </c>
      <c r="C1049">
        <f>[2]TongHop!C1049</f>
        <v>0</v>
      </c>
      <c r="D1049">
        <f>[2]TongHop!D1049</f>
        <v>0</v>
      </c>
      <c r="E1049">
        <f>[2]TongHop!E1049</f>
        <v>0</v>
      </c>
      <c r="F1049">
        <f>[2]TongHop!F1049</f>
        <v>0</v>
      </c>
      <c r="G1049">
        <f>[2]TongHop!G1049</f>
        <v>0</v>
      </c>
      <c r="H1049">
        <f>[2]TongHop!H1049</f>
        <v>0</v>
      </c>
      <c r="I1049">
        <f>[2]TongHop!I1049</f>
        <v>0</v>
      </c>
      <c r="J1049">
        <f>[2]TongHop!J1049</f>
        <v>0</v>
      </c>
      <c r="K1049">
        <f>[2]TongHop!K1049</f>
        <v>0</v>
      </c>
      <c r="L1049">
        <f>[2]TongHop!L1049</f>
        <v>0</v>
      </c>
      <c r="M1049">
        <f>[2]TongHop!M1049</f>
        <v>0</v>
      </c>
      <c r="N1049">
        <f>[2]TongHop!N1049</f>
        <v>0</v>
      </c>
    </row>
    <row r="1050" spans="1:14">
      <c r="A1050">
        <f>[2]TongHop!A1050</f>
        <v>0</v>
      </c>
      <c r="B1050">
        <f>[2]TongHop!B1050</f>
        <v>0</v>
      </c>
      <c r="C1050">
        <f>[2]TongHop!C1050</f>
        <v>0</v>
      </c>
      <c r="D1050">
        <f>[2]TongHop!D1050</f>
        <v>0</v>
      </c>
      <c r="E1050">
        <f>[2]TongHop!E1050</f>
        <v>0</v>
      </c>
      <c r="F1050">
        <f>[2]TongHop!F1050</f>
        <v>0</v>
      </c>
      <c r="G1050">
        <f>[2]TongHop!G1050</f>
        <v>0</v>
      </c>
      <c r="H1050">
        <f>[2]TongHop!H1050</f>
        <v>0</v>
      </c>
      <c r="I1050">
        <f>[2]TongHop!I1050</f>
        <v>0</v>
      </c>
      <c r="J1050">
        <f>[2]TongHop!J1050</f>
        <v>0</v>
      </c>
      <c r="K1050">
        <f>[2]TongHop!K1050</f>
        <v>0</v>
      </c>
      <c r="L1050">
        <f>[2]TongHop!L1050</f>
        <v>0</v>
      </c>
      <c r="M1050">
        <f>[2]TongHop!M1050</f>
        <v>0</v>
      </c>
      <c r="N1050">
        <f>[2]TongHop!N1050</f>
        <v>0</v>
      </c>
    </row>
    <row r="1051" spans="1:14">
      <c r="A1051">
        <f>[2]TongHop!A1051</f>
        <v>0</v>
      </c>
      <c r="B1051">
        <f>[2]TongHop!B1051</f>
        <v>0</v>
      </c>
      <c r="C1051">
        <f>[2]TongHop!C1051</f>
        <v>0</v>
      </c>
      <c r="D1051">
        <f>[2]TongHop!D1051</f>
        <v>0</v>
      </c>
      <c r="E1051">
        <f>[2]TongHop!E1051</f>
        <v>0</v>
      </c>
      <c r="F1051">
        <f>[2]TongHop!F1051</f>
        <v>0</v>
      </c>
      <c r="G1051">
        <f>[2]TongHop!G1051</f>
        <v>0</v>
      </c>
      <c r="H1051">
        <f>[2]TongHop!H1051</f>
        <v>0</v>
      </c>
      <c r="I1051">
        <f>[2]TongHop!I1051</f>
        <v>0</v>
      </c>
      <c r="J1051">
        <f>[2]TongHop!J1051</f>
        <v>0</v>
      </c>
      <c r="K1051">
        <f>[2]TongHop!K1051</f>
        <v>0</v>
      </c>
      <c r="L1051">
        <f>[2]TongHop!L1051</f>
        <v>0</v>
      </c>
      <c r="M1051">
        <f>[2]TongHop!M1051</f>
        <v>0</v>
      </c>
      <c r="N1051">
        <f>[2]TongHop!N1051</f>
        <v>0</v>
      </c>
    </row>
    <row r="1052" spans="1:14">
      <c r="A1052">
        <f>[2]TongHop!A1052</f>
        <v>0</v>
      </c>
      <c r="B1052">
        <f>[2]TongHop!B1052</f>
        <v>0</v>
      </c>
      <c r="C1052">
        <f>[2]TongHop!C1052</f>
        <v>0</v>
      </c>
      <c r="D1052">
        <f>[2]TongHop!D1052</f>
        <v>0</v>
      </c>
      <c r="E1052">
        <f>[2]TongHop!E1052</f>
        <v>0</v>
      </c>
      <c r="F1052">
        <f>[2]TongHop!F1052</f>
        <v>0</v>
      </c>
      <c r="G1052">
        <f>[2]TongHop!G1052</f>
        <v>0</v>
      </c>
      <c r="H1052">
        <f>[2]TongHop!H1052</f>
        <v>0</v>
      </c>
      <c r="I1052">
        <f>[2]TongHop!I1052</f>
        <v>0</v>
      </c>
      <c r="J1052">
        <f>[2]TongHop!J1052</f>
        <v>0</v>
      </c>
      <c r="K1052">
        <f>[2]TongHop!K1052</f>
        <v>0</v>
      </c>
      <c r="L1052">
        <f>[2]TongHop!L1052</f>
        <v>0</v>
      </c>
      <c r="M1052">
        <f>[2]TongHop!M1052</f>
        <v>0</v>
      </c>
      <c r="N1052">
        <f>[2]TongHop!N1052</f>
        <v>0</v>
      </c>
    </row>
    <row r="1053" spans="1:14">
      <c r="A1053">
        <f>[2]TongHop!A1053</f>
        <v>0</v>
      </c>
      <c r="B1053">
        <f>[2]TongHop!B1053</f>
        <v>0</v>
      </c>
      <c r="C1053">
        <f>[2]TongHop!C1053</f>
        <v>0</v>
      </c>
      <c r="D1053">
        <f>[2]TongHop!D1053</f>
        <v>0</v>
      </c>
      <c r="E1053">
        <f>[2]TongHop!E1053</f>
        <v>0</v>
      </c>
      <c r="F1053">
        <f>[2]TongHop!F1053</f>
        <v>0</v>
      </c>
      <c r="G1053">
        <f>[2]TongHop!G1053</f>
        <v>0</v>
      </c>
      <c r="H1053">
        <f>[2]TongHop!H1053</f>
        <v>0</v>
      </c>
      <c r="I1053">
        <f>[2]TongHop!I1053</f>
        <v>0</v>
      </c>
      <c r="J1053">
        <f>[2]TongHop!J1053</f>
        <v>0</v>
      </c>
      <c r="K1053">
        <f>[2]TongHop!K1053</f>
        <v>0</v>
      </c>
      <c r="L1053">
        <f>[2]TongHop!L1053</f>
        <v>0</v>
      </c>
      <c r="M1053">
        <f>[2]TongHop!M1053</f>
        <v>0</v>
      </c>
      <c r="N1053">
        <f>[2]TongHop!N1053</f>
        <v>0</v>
      </c>
    </row>
    <row r="1054" spans="1:14">
      <c r="A1054">
        <f>[2]TongHop!A1054</f>
        <v>0</v>
      </c>
      <c r="B1054">
        <f>[2]TongHop!B1054</f>
        <v>0</v>
      </c>
      <c r="C1054">
        <f>[2]TongHop!C1054</f>
        <v>0</v>
      </c>
      <c r="D1054">
        <f>[2]TongHop!D1054</f>
        <v>0</v>
      </c>
      <c r="E1054">
        <f>[2]TongHop!E1054</f>
        <v>0</v>
      </c>
      <c r="F1054">
        <f>[2]TongHop!F1054</f>
        <v>0</v>
      </c>
      <c r="G1054">
        <f>[2]TongHop!G1054</f>
        <v>0</v>
      </c>
      <c r="H1054">
        <f>[2]TongHop!H1054</f>
        <v>0</v>
      </c>
      <c r="I1054">
        <f>[2]TongHop!I1054</f>
        <v>0</v>
      </c>
      <c r="J1054">
        <f>[2]TongHop!J1054</f>
        <v>0</v>
      </c>
      <c r="K1054">
        <f>[2]TongHop!K1054</f>
        <v>0</v>
      </c>
      <c r="L1054">
        <f>[2]TongHop!L1054</f>
        <v>0</v>
      </c>
      <c r="M1054">
        <f>[2]TongHop!M1054</f>
        <v>0</v>
      </c>
      <c r="N1054">
        <f>[2]TongHop!N1054</f>
        <v>0</v>
      </c>
    </row>
    <row r="1055" spans="1:14">
      <c r="A1055">
        <f>[2]TongHop!A1055</f>
        <v>0</v>
      </c>
      <c r="B1055">
        <f>[2]TongHop!B1055</f>
        <v>0</v>
      </c>
      <c r="C1055">
        <f>[2]TongHop!C1055</f>
        <v>0</v>
      </c>
      <c r="D1055">
        <f>[2]TongHop!D1055</f>
        <v>0</v>
      </c>
      <c r="E1055">
        <f>[2]TongHop!E1055</f>
        <v>0</v>
      </c>
      <c r="F1055">
        <f>[2]TongHop!F1055</f>
        <v>0</v>
      </c>
      <c r="G1055">
        <f>[2]TongHop!G1055</f>
        <v>0</v>
      </c>
      <c r="H1055">
        <f>[2]TongHop!H1055</f>
        <v>0</v>
      </c>
      <c r="I1055">
        <f>[2]TongHop!I1055</f>
        <v>0</v>
      </c>
      <c r="J1055">
        <f>[2]TongHop!J1055</f>
        <v>0</v>
      </c>
      <c r="K1055">
        <f>[2]TongHop!K1055</f>
        <v>0</v>
      </c>
      <c r="L1055">
        <f>[2]TongHop!L1055</f>
        <v>0</v>
      </c>
      <c r="M1055">
        <f>[2]TongHop!M1055</f>
        <v>0</v>
      </c>
      <c r="N1055">
        <f>[2]TongHop!N1055</f>
        <v>0</v>
      </c>
    </row>
    <row r="1056" spans="1:14">
      <c r="A1056">
        <f>[2]TongHop!A1056</f>
        <v>0</v>
      </c>
      <c r="B1056">
        <f>[2]TongHop!B1056</f>
        <v>0</v>
      </c>
      <c r="C1056">
        <f>[2]TongHop!C1056</f>
        <v>0</v>
      </c>
      <c r="D1056">
        <f>[2]TongHop!D1056</f>
        <v>0</v>
      </c>
      <c r="E1056">
        <f>[2]TongHop!E1056</f>
        <v>0</v>
      </c>
      <c r="F1056">
        <f>[2]TongHop!F1056</f>
        <v>0</v>
      </c>
      <c r="G1056">
        <f>[2]TongHop!G1056</f>
        <v>0</v>
      </c>
      <c r="H1056">
        <f>[2]TongHop!H1056</f>
        <v>0</v>
      </c>
      <c r="I1056">
        <f>[2]TongHop!I1056</f>
        <v>0</v>
      </c>
      <c r="J1056">
        <f>[2]TongHop!J1056</f>
        <v>0</v>
      </c>
      <c r="K1056">
        <f>[2]TongHop!K1056</f>
        <v>0</v>
      </c>
      <c r="L1056">
        <f>[2]TongHop!L1056</f>
        <v>0</v>
      </c>
      <c r="M1056">
        <f>[2]TongHop!M1056</f>
        <v>0</v>
      </c>
      <c r="N1056">
        <f>[2]TongHop!N1056</f>
        <v>0</v>
      </c>
    </row>
    <row r="1057" spans="1:14">
      <c r="A1057">
        <f>[2]TongHop!A1057</f>
        <v>0</v>
      </c>
      <c r="B1057">
        <f>[2]TongHop!B1057</f>
        <v>0</v>
      </c>
      <c r="C1057">
        <f>[2]TongHop!C1057</f>
        <v>0</v>
      </c>
      <c r="D1057">
        <f>[2]TongHop!D1057</f>
        <v>0</v>
      </c>
      <c r="E1057">
        <f>[2]TongHop!E1057</f>
        <v>0</v>
      </c>
      <c r="F1057">
        <f>[2]TongHop!F1057</f>
        <v>0</v>
      </c>
      <c r="G1057">
        <f>[2]TongHop!G1057</f>
        <v>0</v>
      </c>
      <c r="H1057">
        <f>[2]TongHop!H1057</f>
        <v>0</v>
      </c>
      <c r="I1057">
        <f>[2]TongHop!I1057</f>
        <v>0</v>
      </c>
      <c r="J1057">
        <f>[2]TongHop!J1057</f>
        <v>0</v>
      </c>
      <c r="K1057">
        <f>[2]TongHop!K1057</f>
        <v>0</v>
      </c>
      <c r="L1057">
        <f>[2]TongHop!L1057</f>
        <v>0</v>
      </c>
      <c r="M1057">
        <f>[2]TongHop!M1057</f>
        <v>0</v>
      </c>
      <c r="N1057">
        <f>[2]TongHop!N1057</f>
        <v>0</v>
      </c>
    </row>
    <row r="1058" spans="1:14">
      <c r="A1058">
        <f>[2]TongHop!A1058</f>
        <v>0</v>
      </c>
      <c r="B1058">
        <f>[2]TongHop!B1058</f>
        <v>0</v>
      </c>
      <c r="C1058">
        <f>[2]TongHop!C1058</f>
        <v>0</v>
      </c>
      <c r="D1058">
        <f>[2]TongHop!D1058</f>
        <v>0</v>
      </c>
      <c r="E1058">
        <f>[2]TongHop!E1058</f>
        <v>0</v>
      </c>
      <c r="F1058">
        <f>[2]TongHop!F1058</f>
        <v>0</v>
      </c>
      <c r="G1058">
        <f>[2]TongHop!G1058</f>
        <v>0</v>
      </c>
      <c r="H1058">
        <f>[2]TongHop!H1058</f>
        <v>0</v>
      </c>
      <c r="I1058">
        <f>[2]TongHop!I1058</f>
        <v>0</v>
      </c>
      <c r="J1058">
        <f>[2]TongHop!J1058</f>
        <v>0</v>
      </c>
      <c r="K1058">
        <f>[2]TongHop!K1058</f>
        <v>0</v>
      </c>
      <c r="L1058">
        <f>[2]TongHop!L1058</f>
        <v>0</v>
      </c>
      <c r="M1058">
        <f>[2]TongHop!M1058</f>
        <v>0</v>
      </c>
      <c r="N1058">
        <f>[2]TongHop!N1058</f>
        <v>0</v>
      </c>
    </row>
    <row r="1059" spans="1:14">
      <c r="A1059">
        <f>[2]TongHop!A1059</f>
        <v>0</v>
      </c>
      <c r="B1059">
        <f>[2]TongHop!B1059</f>
        <v>0</v>
      </c>
      <c r="C1059">
        <f>[2]TongHop!C1059</f>
        <v>0</v>
      </c>
      <c r="D1059">
        <f>[2]TongHop!D1059</f>
        <v>0</v>
      </c>
      <c r="E1059">
        <f>[2]TongHop!E1059</f>
        <v>0</v>
      </c>
      <c r="F1059">
        <f>[2]TongHop!F1059</f>
        <v>0</v>
      </c>
      <c r="G1059">
        <f>[2]TongHop!G1059</f>
        <v>0</v>
      </c>
      <c r="H1059">
        <f>[2]TongHop!H1059</f>
        <v>0</v>
      </c>
      <c r="I1059">
        <f>[2]TongHop!I1059</f>
        <v>0</v>
      </c>
      <c r="J1059">
        <f>[2]TongHop!J1059</f>
        <v>0</v>
      </c>
      <c r="K1059">
        <f>[2]TongHop!K1059</f>
        <v>0</v>
      </c>
      <c r="L1059">
        <f>[2]TongHop!L1059</f>
        <v>0</v>
      </c>
      <c r="M1059">
        <f>[2]TongHop!M1059</f>
        <v>0</v>
      </c>
      <c r="N1059">
        <f>[2]TongHop!N1059</f>
        <v>0</v>
      </c>
    </row>
    <row r="1060" spans="1:14">
      <c r="A1060">
        <f>[2]TongHop!A1060</f>
        <v>0</v>
      </c>
      <c r="B1060">
        <f>[2]TongHop!B1060</f>
        <v>0</v>
      </c>
      <c r="C1060">
        <f>[2]TongHop!C1060</f>
        <v>0</v>
      </c>
      <c r="D1060">
        <f>[2]TongHop!D1060</f>
        <v>0</v>
      </c>
      <c r="E1060">
        <f>[2]TongHop!E1060</f>
        <v>0</v>
      </c>
      <c r="F1060">
        <f>[2]TongHop!F1060</f>
        <v>0</v>
      </c>
      <c r="G1060">
        <f>[2]TongHop!G1060</f>
        <v>0</v>
      </c>
      <c r="H1060">
        <f>[2]TongHop!H1060</f>
        <v>0</v>
      </c>
      <c r="I1060">
        <f>[2]TongHop!I1060</f>
        <v>0</v>
      </c>
      <c r="J1060">
        <f>[2]TongHop!J1060</f>
        <v>0</v>
      </c>
      <c r="K1060">
        <f>[2]TongHop!K1060</f>
        <v>0</v>
      </c>
      <c r="L1060">
        <f>[2]TongHop!L1060</f>
        <v>0</v>
      </c>
      <c r="M1060">
        <f>[2]TongHop!M1060</f>
        <v>0</v>
      </c>
      <c r="N1060">
        <f>[2]TongHop!N1060</f>
        <v>0</v>
      </c>
    </row>
    <row r="1061" spans="1:14">
      <c r="A1061">
        <f>[2]TongHop!A1061</f>
        <v>0</v>
      </c>
      <c r="B1061">
        <f>[2]TongHop!B1061</f>
        <v>0</v>
      </c>
      <c r="C1061">
        <f>[2]TongHop!C1061</f>
        <v>0</v>
      </c>
      <c r="D1061">
        <f>[2]TongHop!D1061</f>
        <v>0</v>
      </c>
      <c r="E1061">
        <f>[2]TongHop!E1061</f>
        <v>0</v>
      </c>
      <c r="F1061">
        <f>[2]TongHop!F1061</f>
        <v>0</v>
      </c>
      <c r="G1061">
        <f>[2]TongHop!G1061</f>
        <v>0</v>
      </c>
      <c r="H1061">
        <f>[2]TongHop!H1061</f>
        <v>0</v>
      </c>
      <c r="I1061">
        <f>[2]TongHop!I1061</f>
        <v>0</v>
      </c>
      <c r="J1061">
        <f>[2]TongHop!J1061</f>
        <v>0</v>
      </c>
      <c r="K1061">
        <f>[2]TongHop!K1061</f>
        <v>0</v>
      </c>
      <c r="L1061">
        <f>[2]TongHop!L1061</f>
        <v>0</v>
      </c>
      <c r="M1061">
        <f>[2]TongHop!M1061</f>
        <v>0</v>
      </c>
      <c r="N1061">
        <f>[2]TongHop!N1061</f>
        <v>0</v>
      </c>
    </row>
    <row r="1062" spans="1:14">
      <c r="A1062">
        <f>[2]TongHop!A1062</f>
        <v>0</v>
      </c>
      <c r="B1062">
        <f>[2]TongHop!B1062</f>
        <v>0</v>
      </c>
      <c r="C1062">
        <f>[2]TongHop!C1062</f>
        <v>0</v>
      </c>
      <c r="D1062">
        <f>[2]TongHop!D1062</f>
        <v>0</v>
      </c>
      <c r="E1062">
        <f>[2]TongHop!E1062</f>
        <v>0</v>
      </c>
      <c r="F1062">
        <f>[2]TongHop!F1062</f>
        <v>0</v>
      </c>
      <c r="G1062">
        <f>[2]TongHop!G1062</f>
        <v>0</v>
      </c>
      <c r="H1062">
        <f>[2]TongHop!H1062</f>
        <v>0</v>
      </c>
      <c r="I1062">
        <f>[2]TongHop!I1062</f>
        <v>0</v>
      </c>
      <c r="J1062">
        <f>[2]TongHop!J1062</f>
        <v>0</v>
      </c>
      <c r="K1062">
        <f>[2]TongHop!K1062</f>
        <v>0</v>
      </c>
      <c r="L1062">
        <f>[2]TongHop!L1062</f>
        <v>0</v>
      </c>
      <c r="M1062">
        <f>[2]TongHop!M1062</f>
        <v>0</v>
      </c>
      <c r="N1062">
        <f>[2]TongHop!N1062</f>
        <v>0</v>
      </c>
    </row>
    <row r="1063" spans="1:14">
      <c r="A1063">
        <f>[2]TongHop!A1063</f>
        <v>0</v>
      </c>
      <c r="B1063">
        <f>[2]TongHop!B1063</f>
        <v>0</v>
      </c>
      <c r="C1063">
        <f>[2]TongHop!C1063</f>
        <v>0</v>
      </c>
      <c r="D1063">
        <f>[2]TongHop!D1063</f>
        <v>0</v>
      </c>
      <c r="E1063">
        <f>[2]TongHop!E1063</f>
        <v>0</v>
      </c>
      <c r="F1063">
        <f>[2]TongHop!F1063</f>
        <v>0</v>
      </c>
      <c r="G1063">
        <f>[2]TongHop!G1063</f>
        <v>0</v>
      </c>
      <c r="H1063">
        <f>[2]TongHop!H1063</f>
        <v>0</v>
      </c>
      <c r="I1063">
        <f>[2]TongHop!I1063</f>
        <v>0</v>
      </c>
      <c r="J1063">
        <f>[2]TongHop!J1063</f>
        <v>0</v>
      </c>
      <c r="K1063">
        <f>[2]TongHop!K1063</f>
        <v>0</v>
      </c>
      <c r="L1063">
        <f>[2]TongHop!L1063</f>
        <v>0</v>
      </c>
      <c r="M1063">
        <f>[2]TongHop!M1063</f>
        <v>0</v>
      </c>
      <c r="N1063">
        <f>[2]TongHop!N1063</f>
        <v>0</v>
      </c>
    </row>
    <row r="1064" spans="1:14">
      <c r="A1064">
        <f>[2]TongHop!A1064</f>
        <v>0</v>
      </c>
      <c r="B1064">
        <f>[2]TongHop!B1064</f>
        <v>0</v>
      </c>
      <c r="C1064">
        <f>[2]TongHop!C1064</f>
        <v>0</v>
      </c>
      <c r="D1064">
        <f>[2]TongHop!D1064</f>
        <v>0</v>
      </c>
      <c r="E1064">
        <f>[2]TongHop!E1064</f>
        <v>0</v>
      </c>
      <c r="F1064">
        <f>[2]TongHop!F1064</f>
        <v>0</v>
      </c>
      <c r="G1064">
        <f>[2]TongHop!G1064</f>
        <v>0</v>
      </c>
      <c r="H1064">
        <f>[2]TongHop!H1064</f>
        <v>0</v>
      </c>
      <c r="I1064">
        <f>[2]TongHop!I1064</f>
        <v>0</v>
      </c>
      <c r="J1064">
        <f>[2]TongHop!J1064</f>
        <v>0</v>
      </c>
      <c r="K1064">
        <f>[2]TongHop!K1064</f>
        <v>0</v>
      </c>
      <c r="L1064">
        <f>[2]TongHop!L1064</f>
        <v>0</v>
      </c>
      <c r="M1064">
        <f>[2]TongHop!M1064</f>
        <v>0</v>
      </c>
      <c r="N1064">
        <f>[2]TongHop!N1064</f>
        <v>0</v>
      </c>
    </row>
    <row r="1065" spans="1:14">
      <c r="A1065">
        <f>[2]TongHop!A1065</f>
        <v>0</v>
      </c>
      <c r="B1065">
        <f>[2]TongHop!B1065</f>
        <v>0</v>
      </c>
      <c r="C1065">
        <f>[2]TongHop!C1065</f>
        <v>0</v>
      </c>
      <c r="D1065">
        <f>[2]TongHop!D1065</f>
        <v>0</v>
      </c>
      <c r="E1065">
        <f>[2]TongHop!E1065</f>
        <v>0</v>
      </c>
      <c r="F1065">
        <f>[2]TongHop!F1065</f>
        <v>0</v>
      </c>
      <c r="G1065">
        <f>[2]TongHop!G1065</f>
        <v>0</v>
      </c>
      <c r="H1065">
        <f>[2]TongHop!H1065</f>
        <v>0</v>
      </c>
      <c r="I1065">
        <f>[2]TongHop!I1065</f>
        <v>0</v>
      </c>
      <c r="J1065">
        <f>[2]TongHop!J1065</f>
        <v>0</v>
      </c>
      <c r="K1065">
        <f>[2]TongHop!K1065</f>
        <v>0</v>
      </c>
      <c r="L1065">
        <f>[2]TongHop!L1065</f>
        <v>0</v>
      </c>
      <c r="M1065">
        <f>[2]TongHop!M1065</f>
        <v>0</v>
      </c>
      <c r="N1065">
        <f>[2]TongHop!N1065</f>
        <v>0</v>
      </c>
    </row>
    <row r="1066" spans="1:14">
      <c r="A1066">
        <f>[2]TongHop!A1066</f>
        <v>0</v>
      </c>
      <c r="B1066">
        <f>[2]TongHop!B1066</f>
        <v>0</v>
      </c>
      <c r="C1066">
        <f>[2]TongHop!C1066</f>
        <v>0</v>
      </c>
      <c r="D1066">
        <f>[2]TongHop!D1066</f>
        <v>0</v>
      </c>
      <c r="E1066">
        <f>[2]TongHop!E1066</f>
        <v>0</v>
      </c>
      <c r="F1066">
        <f>[2]TongHop!F1066</f>
        <v>0</v>
      </c>
      <c r="G1066">
        <f>[2]TongHop!G1066</f>
        <v>0</v>
      </c>
      <c r="H1066">
        <f>[2]TongHop!H1066</f>
        <v>0</v>
      </c>
      <c r="I1066">
        <f>[2]TongHop!I1066</f>
        <v>0</v>
      </c>
      <c r="J1066">
        <f>[2]TongHop!J1066</f>
        <v>0</v>
      </c>
      <c r="K1066">
        <f>[2]TongHop!K1066</f>
        <v>0</v>
      </c>
      <c r="L1066">
        <f>[2]TongHop!L1066</f>
        <v>0</v>
      </c>
      <c r="M1066">
        <f>[2]TongHop!M1066</f>
        <v>0</v>
      </c>
      <c r="N1066">
        <f>[2]TongHop!N1066</f>
        <v>0</v>
      </c>
    </row>
    <row r="1067" spans="1:14">
      <c r="A1067">
        <f>[2]TongHop!A1067</f>
        <v>0</v>
      </c>
      <c r="B1067">
        <f>[2]TongHop!B1067</f>
        <v>0</v>
      </c>
      <c r="C1067">
        <f>[2]TongHop!C1067</f>
        <v>0</v>
      </c>
      <c r="D1067">
        <f>[2]TongHop!D1067</f>
        <v>0</v>
      </c>
      <c r="E1067">
        <f>[2]TongHop!E1067</f>
        <v>0</v>
      </c>
      <c r="F1067">
        <f>[2]TongHop!F1067</f>
        <v>0</v>
      </c>
      <c r="G1067">
        <f>[2]TongHop!G1067</f>
        <v>0</v>
      </c>
      <c r="H1067">
        <f>[2]TongHop!H1067</f>
        <v>0</v>
      </c>
      <c r="I1067">
        <f>[2]TongHop!I1067</f>
        <v>0</v>
      </c>
      <c r="J1067">
        <f>[2]TongHop!J1067</f>
        <v>0</v>
      </c>
      <c r="K1067">
        <f>[2]TongHop!K1067</f>
        <v>0</v>
      </c>
      <c r="L1067">
        <f>[2]TongHop!L1067</f>
        <v>0</v>
      </c>
      <c r="M1067">
        <f>[2]TongHop!M1067</f>
        <v>0</v>
      </c>
      <c r="N1067">
        <f>[2]TongHop!N1067</f>
        <v>0</v>
      </c>
    </row>
    <row r="1068" spans="1:14">
      <c r="A1068">
        <f>[2]TongHop!A1068</f>
        <v>0</v>
      </c>
      <c r="B1068">
        <f>[2]TongHop!B1068</f>
        <v>0</v>
      </c>
      <c r="C1068">
        <f>[2]TongHop!C1068</f>
        <v>0</v>
      </c>
      <c r="D1068">
        <f>[2]TongHop!D1068</f>
        <v>0</v>
      </c>
      <c r="E1068">
        <f>[2]TongHop!E1068</f>
        <v>0</v>
      </c>
      <c r="F1068">
        <f>[2]TongHop!F1068</f>
        <v>0</v>
      </c>
      <c r="G1068">
        <f>[2]TongHop!G1068</f>
        <v>0</v>
      </c>
      <c r="H1068">
        <f>[2]TongHop!H1068</f>
        <v>0</v>
      </c>
      <c r="I1068">
        <f>[2]TongHop!I1068</f>
        <v>0</v>
      </c>
      <c r="J1068">
        <f>[2]TongHop!J1068</f>
        <v>0</v>
      </c>
      <c r="K1068">
        <f>[2]TongHop!K1068</f>
        <v>0</v>
      </c>
      <c r="L1068">
        <f>[2]TongHop!L1068</f>
        <v>0</v>
      </c>
      <c r="M1068">
        <f>[2]TongHop!M1068</f>
        <v>0</v>
      </c>
      <c r="N1068">
        <f>[2]TongHop!N1068</f>
        <v>0</v>
      </c>
    </row>
    <row r="1069" spans="1:14">
      <c r="A1069">
        <f>[2]TongHop!A1069</f>
        <v>0</v>
      </c>
      <c r="B1069">
        <f>[2]TongHop!B1069</f>
        <v>0</v>
      </c>
      <c r="C1069">
        <f>[2]TongHop!C1069</f>
        <v>0</v>
      </c>
      <c r="D1069">
        <f>[2]TongHop!D1069</f>
        <v>0</v>
      </c>
      <c r="E1069">
        <f>[2]TongHop!E1069</f>
        <v>0</v>
      </c>
      <c r="F1069">
        <f>[2]TongHop!F1069</f>
        <v>0</v>
      </c>
      <c r="G1069">
        <f>[2]TongHop!G1069</f>
        <v>0</v>
      </c>
      <c r="H1069">
        <f>[2]TongHop!H1069</f>
        <v>0</v>
      </c>
      <c r="I1069">
        <f>[2]TongHop!I1069</f>
        <v>0</v>
      </c>
      <c r="J1069">
        <f>[2]TongHop!J1069</f>
        <v>0</v>
      </c>
      <c r="K1069">
        <f>[2]TongHop!K1069</f>
        <v>0</v>
      </c>
      <c r="L1069">
        <f>[2]TongHop!L1069</f>
        <v>0</v>
      </c>
      <c r="M1069">
        <f>[2]TongHop!M1069</f>
        <v>0</v>
      </c>
      <c r="N1069">
        <f>[2]TongHop!N1069</f>
        <v>0</v>
      </c>
    </row>
    <row r="1070" spans="1:14">
      <c r="A1070">
        <f>[2]TongHop!A1070</f>
        <v>0</v>
      </c>
      <c r="B1070">
        <f>[2]TongHop!B1070</f>
        <v>0</v>
      </c>
      <c r="C1070">
        <f>[2]TongHop!C1070</f>
        <v>0</v>
      </c>
      <c r="D1070">
        <f>[2]TongHop!D1070</f>
        <v>0</v>
      </c>
      <c r="E1070">
        <f>[2]TongHop!E1070</f>
        <v>0</v>
      </c>
      <c r="F1070">
        <f>[2]TongHop!F1070</f>
        <v>0</v>
      </c>
      <c r="G1070">
        <f>[2]TongHop!G1070</f>
        <v>0</v>
      </c>
      <c r="H1070">
        <f>[2]TongHop!H1070</f>
        <v>0</v>
      </c>
      <c r="I1070">
        <f>[2]TongHop!I1070</f>
        <v>0</v>
      </c>
      <c r="J1070">
        <f>[2]TongHop!J1070</f>
        <v>0</v>
      </c>
      <c r="K1070">
        <f>[2]TongHop!K1070</f>
        <v>0</v>
      </c>
      <c r="L1070">
        <f>[2]TongHop!L1070</f>
        <v>0</v>
      </c>
      <c r="M1070">
        <f>[2]TongHop!M1070</f>
        <v>0</v>
      </c>
      <c r="N1070">
        <f>[2]TongHop!N1070</f>
        <v>0</v>
      </c>
    </row>
    <row r="1071" spans="1:14">
      <c r="A1071">
        <f>[2]TongHop!A1071</f>
        <v>0</v>
      </c>
      <c r="B1071">
        <f>[2]TongHop!B1071</f>
        <v>0</v>
      </c>
      <c r="C1071">
        <f>[2]TongHop!C1071</f>
        <v>0</v>
      </c>
      <c r="D1071">
        <f>[2]TongHop!D1071</f>
        <v>0</v>
      </c>
      <c r="E1071">
        <f>[2]TongHop!E1071</f>
        <v>0</v>
      </c>
      <c r="F1071">
        <f>[2]TongHop!F1071</f>
        <v>0</v>
      </c>
      <c r="G1071">
        <f>[2]TongHop!G1071</f>
        <v>0</v>
      </c>
      <c r="H1071">
        <f>[2]TongHop!H1071</f>
        <v>0</v>
      </c>
      <c r="I1071">
        <f>[2]TongHop!I1071</f>
        <v>0</v>
      </c>
      <c r="J1071">
        <f>[2]TongHop!J1071</f>
        <v>0</v>
      </c>
      <c r="K1071">
        <f>[2]TongHop!K1071</f>
        <v>0</v>
      </c>
      <c r="L1071">
        <f>[2]TongHop!L1071</f>
        <v>0</v>
      </c>
      <c r="M1071">
        <f>[2]TongHop!M1071</f>
        <v>0</v>
      </c>
      <c r="N1071">
        <f>[2]TongHop!N1071</f>
        <v>0</v>
      </c>
    </row>
    <row r="1072" spans="1:14">
      <c r="A1072">
        <f>[2]TongHop!A1072</f>
        <v>0</v>
      </c>
      <c r="B1072">
        <f>[2]TongHop!B1072</f>
        <v>0</v>
      </c>
      <c r="C1072">
        <f>[2]TongHop!C1072</f>
        <v>0</v>
      </c>
      <c r="D1072">
        <f>[2]TongHop!D1072</f>
        <v>0</v>
      </c>
      <c r="E1072">
        <f>[2]TongHop!E1072</f>
        <v>0</v>
      </c>
      <c r="F1072">
        <f>[2]TongHop!F1072</f>
        <v>0</v>
      </c>
      <c r="G1072">
        <f>[2]TongHop!G1072</f>
        <v>0</v>
      </c>
      <c r="H1072">
        <f>[2]TongHop!H1072</f>
        <v>0</v>
      </c>
      <c r="I1072">
        <f>[2]TongHop!I1072</f>
        <v>0</v>
      </c>
      <c r="J1072">
        <f>[2]TongHop!J1072</f>
        <v>0</v>
      </c>
      <c r="K1072">
        <f>[2]TongHop!K1072</f>
        <v>0</v>
      </c>
      <c r="L1072">
        <f>[2]TongHop!L1072</f>
        <v>0</v>
      </c>
      <c r="M1072">
        <f>[2]TongHop!M1072</f>
        <v>0</v>
      </c>
      <c r="N1072">
        <f>[2]TongHop!N1072</f>
        <v>0</v>
      </c>
    </row>
    <row r="1073" spans="1:14">
      <c r="A1073">
        <f>[2]TongHop!A1073</f>
        <v>0</v>
      </c>
      <c r="B1073">
        <f>[2]TongHop!B1073</f>
        <v>0</v>
      </c>
      <c r="C1073">
        <f>[2]TongHop!C1073</f>
        <v>0</v>
      </c>
      <c r="D1073">
        <f>[2]TongHop!D1073</f>
        <v>0</v>
      </c>
      <c r="E1073">
        <f>[2]TongHop!E1073</f>
        <v>0</v>
      </c>
      <c r="F1073">
        <f>[2]TongHop!F1073</f>
        <v>0</v>
      </c>
      <c r="G1073">
        <f>[2]TongHop!G1073</f>
        <v>0</v>
      </c>
      <c r="H1073">
        <f>[2]TongHop!H1073</f>
        <v>0</v>
      </c>
      <c r="I1073">
        <f>[2]TongHop!I1073</f>
        <v>0</v>
      </c>
      <c r="J1073">
        <f>[2]TongHop!J1073</f>
        <v>0</v>
      </c>
      <c r="K1073">
        <f>[2]TongHop!K1073</f>
        <v>0</v>
      </c>
      <c r="L1073">
        <f>[2]TongHop!L1073</f>
        <v>0</v>
      </c>
      <c r="M1073">
        <f>[2]TongHop!M1073</f>
        <v>0</v>
      </c>
      <c r="N1073">
        <f>[2]TongHop!N1073</f>
        <v>0</v>
      </c>
    </row>
    <row r="1074" spans="1:14">
      <c r="A1074">
        <f>[2]TongHop!A1074</f>
        <v>0</v>
      </c>
      <c r="B1074">
        <f>[2]TongHop!B1074</f>
        <v>0</v>
      </c>
      <c r="C1074">
        <f>[2]TongHop!C1074</f>
        <v>0</v>
      </c>
      <c r="D1074">
        <f>[2]TongHop!D1074</f>
        <v>0</v>
      </c>
      <c r="E1074">
        <f>[2]TongHop!E1074</f>
        <v>0</v>
      </c>
      <c r="F1074">
        <f>[2]TongHop!F1074</f>
        <v>0</v>
      </c>
      <c r="G1074">
        <f>[2]TongHop!G1074</f>
        <v>0</v>
      </c>
      <c r="H1074">
        <f>[2]TongHop!H1074</f>
        <v>0</v>
      </c>
      <c r="I1074">
        <f>[2]TongHop!I1074</f>
        <v>0</v>
      </c>
      <c r="J1074">
        <f>[2]TongHop!J1074</f>
        <v>0</v>
      </c>
      <c r="K1074">
        <f>[2]TongHop!K1074</f>
        <v>0</v>
      </c>
      <c r="L1074">
        <f>[2]TongHop!L1074</f>
        <v>0</v>
      </c>
      <c r="M1074">
        <f>[2]TongHop!M1074</f>
        <v>0</v>
      </c>
      <c r="N1074">
        <f>[2]TongHop!N1074</f>
        <v>0</v>
      </c>
    </row>
    <row r="1075" spans="1:14">
      <c r="A1075">
        <f>[2]TongHop!A1075</f>
        <v>0</v>
      </c>
      <c r="B1075">
        <f>[2]TongHop!B1075</f>
        <v>0</v>
      </c>
      <c r="C1075">
        <f>[2]TongHop!C1075</f>
        <v>0</v>
      </c>
      <c r="D1075">
        <f>[2]TongHop!D1075</f>
        <v>0</v>
      </c>
      <c r="E1075">
        <f>[2]TongHop!E1075</f>
        <v>0</v>
      </c>
      <c r="F1075">
        <f>[2]TongHop!F1075</f>
        <v>0</v>
      </c>
      <c r="G1075">
        <f>[2]TongHop!G1075</f>
        <v>0</v>
      </c>
      <c r="H1075">
        <f>[2]TongHop!H1075</f>
        <v>0</v>
      </c>
      <c r="I1075">
        <f>[2]TongHop!I1075</f>
        <v>0</v>
      </c>
      <c r="J1075">
        <f>[2]TongHop!J1075</f>
        <v>0</v>
      </c>
      <c r="K1075">
        <f>[2]TongHop!K1075</f>
        <v>0</v>
      </c>
      <c r="L1075">
        <f>[2]TongHop!L1075</f>
        <v>0</v>
      </c>
      <c r="M1075">
        <f>[2]TongHop!M1075</f>
        <v>0</v>
      </c>
      <c r="N1075">
        <f>[2]TongHop!N1075</f>
        <v>0</v>
      </c>
    </row>
    <row r="1076" spans="1:14">
      <c r="A1076">
        <f>[2]TongHop!A1076</f>
        <v>0</v>
      </c>
      <c r="B1076">
        <f>[2]TongHop!B1076</f>
        <v>0</v>
      </c>
      <c r="C1076">
        <f>[2]TongHop!C1076</f>
        <v>0</v>
      </c>
      <c r="D1076">
        <f>[2]TongHop!D1076</f>
        <v>0</v>
      </c>
      <c r="E1076">
        <f>[2]TongHop!E1076</f>
        <v>0</v>
      </c>
      <c r="F1076">
        <f>[2]TongHop!F1076</f>
        <v>0</v>
      </c>
      <c r="G1076">
        <f>[2]TongHop!G1076</f>
        <v>0</v>
      </c>
      <c r="H1076">
        <f>[2]TongHop!H1076</f>
        <v>0</v>
      </c>
      <c r="I1076">
        <f>[2]TongHop!I1076</f>
        <v>0</v>
      </c>
      <c r="J1076">
        <f>[2]TongHop!J1076</f>
        <v>0</v>
      </c>
      <c r="K1076">
        <f>[2]TongHop!K1076</f>
        <v>0</v>
      </c>
      <c r="L1076">
        <f>[2]TongHop!L1076</f>
        <v>0</v>
      </c>
      <c r="M1076">
        <f>[2]TongHop!M1076</f>
        <v>0</v>
      </c>
      <c r="N1076">
        <f>[2]TongHop!N1076</f>
        <v>0</v>
      </c>
    </row>
    <row r="1077" spans="1:14">
      <c r="A1077">
        <f>[2]TongHop!A1077</f>
        <v>0</v>
      </c>
      <c r="B1077">
        <f>[2]TongHop!B1077</f>
        <v>0</v>
      </c>
      <c r="C1077">
        <f>[2]TongHop!C1077</f>
        <v>0</v>
      </c>
      <c r="D1077">
        <f>[2]TongHop!D1077</f>
        <v>0</v>
      </c>
      <c r="E1077">
        <f>[2]TongHop!E1077</f>
        <v>0</v>
      </c>
      <c r="F1077">
        <f>[2]TongHop!F1077</f>
        <v>0</v>
      </c>
      <c r="G1077">
        <f>[2]TongHop!G1077</f>
        <v>0</v>
      </c>
      <c r="H1077">
        <f>[2]TongHop!H1077</f>
        <v>0</v>
      </c>
      <c r="I1077">
        <f>[2]TongHop!I1077</f>
        <v>0</v>
      </c>
      <c r="J1077">
        <f>[2]TongHop!J1077</f>
        <v>0</v>
      </c>
      <c r="K1077">
        <f>[2]TongHop!K1077</f>
        <v>0</v>
      </c>
      <c r="L1077">
        <f>[2]TongHop!L1077</f>
        <v>0</v>
      </c>
      <c r="M1077">
        <f>[2]TongHop!M1077</f>
        <v>0</v>
      </c>
      <c r="N1077">
        <f>[2]TongHop!N1077</f>
        <v>0</v>
      </c>
    </row>
    <row r="1078" spans="1:14">
      <c r="A1078">
        <f>[2]TongHop!A1078</f>
        <v>0</v>
      </c>
      <c r="B1078">
        <f>[2]TongHop!B1078</f>
        <v>0</v>
      </c>
      <c r="C1078">
        <f>[2]TongHop!C1078</f>
        <v>0</v>
      </c>
      <c r="D1078">
        <f>[2]TongHop!D1078</f>
        <v>0</v>
      </c>
      <c r="E1078">
        <f>[2]TongHop!E1078</f>
        <v>0</v>
      </c>
      <c r="F1078">
        <f>[2]TongHop!F1078</f>
        <v>0</v>
      </c>
      <c r="G1078">
        <f>[2]TongHop!G1078</f>
        <v>0</v>
      </c>
      <c r="H1078">
        <f>[2]TongHop!H1078</f>
        <v>0</v>
      </c>
      <c r="I1078">
        <f>[2]TongHop!I1078</f>
        <v>0</v>
      </c>
      <c r="J1078">
        <f>[2]TongHop!J1078</f>
        <v>0</v>
      </c>
      <c r="K1078">
        <f>[2]TongHop!K1078</f>
        <v>0</v>
      </c>
      <c r="L1078">
        <f>[2]TongHop!L1078</f>
        <v>0</v>
      </c>
      <c r="M1078">
        <f>[2]TongHop!M1078</f>
        <v>0</v>
      </c>
      <c r="N1078">
        <f>[2]TongHop!N1078</f>
        <v>0</v>
      </c>
    </row>
    <row r="1079" spans="1:14">
      <c r="A1079">
        <f>[2]TongHop!A1079</f>
        <v>0</v>
      </c>
      <c r="B1079">
        <f>[2]TongHop!B1079</f>
        <v>0</v>
      </c>
      <c r="C1079">
        <f>[2]TongHop!C1079</f>
        <v>0</v>
      </c>
      <c r="D1079">
        <f>[2]TongHop!D1079</f>
        <v>0</v>
      </c>
      <c r="E1079">
        <f>[2]TongHop!E1079</f>
        <v>0</v>
      </c>
      <c r="F1079">
        <f>[2]TongHop!F1079</f>
        <v>0</v>
      </c>
      <c r="G1079">
        <f>[2]TongHop!G1079</f>
        <v>0</v>
      </c>
      <c r="H1079">
        <f>[2]TongHop!H1079</f>
        <v>0</v>
      </c>
      <c r="I1079">
        <f>[2]TongHop!I1079</f>
        <v>0</v>
      </c>
      <c r="J1079">
        <f>[2]TongHop!J1079</f>
        <v>0</v>
      </c>
      <c r="K1079">
        <f>[2]TongHop!K1079</f>
        <v>0</v>
      </c>
      <c r="L1079">
        <f>[2]TongHop!L1079</f>
        <v>0</v>
      </c>
      <c r="M1079">
        <f>[2]TongHop!M1079</f>
        <v>0</v>
      </c>
      <c r="N1079">
        <f>[2]TongHop!N1079</f>
        <v>0</v>
      </c>
    </row>
    <row r="1080" spans="1:14">
      <c r="A1080">
        <f>[2]TongHop!A1080</f>
        <v>0</v>
      </c>
      <c r="B1080">
        <f>[2]TongHop!B1080</f>
        <v>0</v>
      </c>
      <c r="C1080">
        <f>[2]TongHop!C1080</f>
        <v>0</v>
      </c>
      <c r="D1080">
        <f>[2]TongHop!D1080</f>
        <v>0</v>
      </c>
      <c r="E1080">
        <f>[2]TongHop!E1080</f>
        <v>0</v>
      </c>
      <c r="F1080">
        <f>[2]TongHop!F1080</f>
        <v>0</v>
      </c>
      <c r="G1080">
        <f>[2]TongHop!G1080</f>
        <v>0</v>
      </c>
      <c r="H1080">
        <f>[2]TongHop!H1080</f>
        <v>0</v>
      </c>
      <c r="I1080">
        <f>[2]TongHop!I1080</f>
        <v>0</v>
      </c>
      <c r="J1080">
        <f>[2]TongHop!J1080</f>
        <v>0</v>
      </c>
      <c r="K1080">
        <f>[2]TongHop!K1080</f>
        <v>0</v>
      </c>
      <c r="L1080">
        <f>[2]TongHop!L1080</f>
        <v>0</v>
      </c>
      <c r="M1080">
        <f>[2]TongHop!M1080</f>
        <v>0</v>
      </c>
      <c r="N1080">
        <f>[2]TongHop!N1080</f>
        <v>0</v>
      </c>
    </row>
    <row r="1081" spans="1:14">
      <c r="A1081">
        <f>[2]TongHop!A1081</f>
        <v>0</v>
      </c>
      <c r="B1081">
        <f>[2]TongHop!B1081</f>
        <v>0</v>
      </c>
      <c r="C1081">
        <f>[2]TongHop!C1081</f>
        <v>0</v>
      </c>
      <c r="D1081">
        <f>[2]TongHop!D1081</f>
        <v>0</v>
      </c>
      <c r="E1081">
        <f>[2]TongHop!E1081</f>
        <v>0</v>
      </c>
      <c r="F1081">
        <f>[2]TongHop!F1081</f>
        <v>0</v>
      </c>
      <c r="G1081">
        <f>[2]TongHop!G1081</f>
        <v>0</v>
      </c>
      <c r="H1081">
        <f>[2]TongHop!H1081</f>
        <v>0</v>
      </c>
      <c r="I1081">
        <f>[2]TongHop!I1081</f>
        <v>0</v>
      </c>
      <c r="J1081">
        <f>[2]TongHop!J1081</f>
        <v>0</v>
      </c>
      <c r="K1081">
        <f>[2]TongHop!K1081</f>
        <v>0</v>
      </c>
      <c r="L1081">
        <f>[2]TongHop!L1081</f>
        <v>0</v>
      </c>
      <c r="M1081">
        <f>[2]TongHop!M1081</f>
        <v>0</v>
      </c>
      <c r="N1081">
        <f>[2]TongHop!N1081</f>
        <v>0</v>
      </c>
    </row>
    <row r="1082" spans="1:14">
      <c r="A1082">
        <f>[2]TongHop!A1082</f>
        <v>0</v>
      </c>
      <c r="B1082">
        <f>[2]TongHop!B1082</f>
        <v>0</v>
      </c>
      <c r="C1082">
        <f>[2]TongHop!C1082</f>
        <v>0</v>
      </c>
      <c r="D1082">
        <f>[2]TongHop!D1082</f>
        <v>0</v>
      </c>
      <c r="E1082">
        <f>[2]TongHop!E1082</f>
        <v>0</v>
      </c>
      <c r="F1082">
        <f>[2]TongHop!F1082</f>
        <v>0</v>
      </c>
      <c r="G1082">
        <f>[2]TongHop!G1082</f>
        <v>0</v>
      </c>
      <c r="H1082">
        <f>[2]TongHop!H1082</f>
        <v>0</v>
      </c>
      <c r="I1082">
        <f>[2]TongHop!I1082</f>
        <v>0</v>
      </c>
      <c r="J1082">
        <f>[2]TongHop!J1082</f>
        <v>0</v>
      </c>
      <c r="K1082">
        <f>[2]TongHop!K1082</f>
        <v>0</v>
      </c>
      <c r="L1082">
        <f>[2]TongHop!L1082</f>
        <v>0</v>
      </c>
      <c r="M1082">
        <f>[2]TongHop!M1082</f>
        <v>0</v>
      </c>
      <c r="N1082">
        <f>[2]TongHop!N1082</f>
        <v>0</v>
      </c>
    </row>
    <row r="1083" spans="1:14">
      <c r="A1083">
        <f>[2]TongHop!A1083</f>
        <v>0</v>
      </c>
      <c r="B1083">
        <f>[2]TongHop!B1083</f>
        <v>0</v>
      </c>
      <c r="C1083">
        <f>[2]TongHop!C1083</f>
        <v>0</v>
      </c>
      <c r="D1083">
        <f>[2]TongHop!D1083</f>
        <v>0</v>
      </c>
      <c r="E1083">
        <f>[2]TongHop!E1083</f>
        <v>0</v>
      </c>
      <c r="F1083">
        <f>[2]TongHop!F1083</f>
        <v>0</v>
      </c>
      <c r="G1083">
        <f>[2]TongHop!G1083</f>
        <v>0</v>
      </c>
      <c r="H1083">
        <f>[2]TongHop!H1083</f>
        <v>0</v>
      </c>
      <c r="I1083">
        <f>[2]TongHop!I1083</f>
        <v>0</v>
      </c>
      <c r="J1083">
        <f>[2]TongHop!J1083</f>
        <v>0</v>
      </c>
      <c r="K1083">
        <f>[2]TongHop!K1083</f>
        <v>0</v>
      </c>
      <c r="L1083">
        <f>[2]TongHop!L1083</f>
        <v>0</v>
      </c>
      <c r="M1083">
        <f>[2]TongHop!M1083</f>
        <v>0</v>
      </c>
      <c r="N1083">
        <f>[2]TongHop!N1083</f>
        <v>0</v>
      </c>
    </row>
    <row r="1084" spans="1:14">
      <c r="A1084">
        <f>[2]TongHop!A1084</f>
        <v>0</v>
      </c>
      <c r="B1084">
        <f>[2]TongHop!B1084</f>
        <v>0</v>
      </c>
      <c r="C1084">
        <f>[2]TongHop!C1084</f>
        <v>0</v>
      </c>
      <c r="D1084">
        <f>[2]TongHop!D1084</f>
        <v>0</v>
      </c>
      <c r="E1084">
        <f>[2]TongHop!E1084</f>
        <v>0</v>
      </c>
      <c r="F1084">
        <f>[2]TongHop!F1084</f>
        <v>0</v>
      </c>
      <c r="G1084">
        <f>[2]TongHop!G1084</f>
        <v>0</v>
      </c>
      <c r="H1084">
        <f>[2]TongHop!H1084</f>
        <v>0</v>
      </c>
      <c r="I1084">
        <f>[2]TongHop!I1084</f>
        <v>0</v>
      </c>
      <c r="J1084">
        <f>[2]TongHop!J1084</f>
        <v>0</v>
      </c>
      <c r="K1084">
        <f>[2]TongHop!K1084</f>
        <v>0</v>
      </c>
      <c r="L1084">
        <f>[2]TongHop!L1084</f>
        <v>0</v>
      </c>
      <c r="M1084">
        <f>[2]TongHop!M1084</f>
        <v>0</v>
      </c>
      <c r="N1084">
        <f>[2]TongHop!N1084</f>
        <v>0</v>
      </c>
    </row>
    <row r="1085" spans="1:14">
      <c r="A1085">
        <f>[2]TongHop!A1085</f>
        <v>0</v>
      </c>
      <c r="B1085">
        <f>[2]TongHop!B1085</f>
        <v>0</v>
      </c>
      <c r="C1085">
        <f>[2]TongHop!C1085</f>
        <v>0</v>
      </c>
      <c r="D1085">
        <f>[2]TongHop!D1085</f>
        <v>0</v>
      </c>
      <c r="E1085">
        <f>[2]TongHop!E1085</f>
        <v>0</v>
      </c>
      <c r="F1085">
        <f>[2]TongHop!F1085</f>
        <v>0</v>
      </c>
      <c r="G1085">
        <f>[2]TongHop!G1085</f>
        <v>0</v>
      </c>
      <c r="H1085">
        <f>[2]TongHop!H1085</f>
        <v>0</v>
      </c>
      <c r="I1085">
        <f>[2]TongHop!I1085</f>
        <v>0</v>
      </c>
      <c r="J1085">
        <f>[2]TongHop!J1085</f>
        <v>0</v>
      </c>
      <c r="K1085">
        <f>[2]TongHop!K1085</f>
        <v>0</v>
      </c>
      <c r="L1085">
        <f>[2]TongHop!L1085</f>
        <v>0</v>
      </c>
      <c r="M1085">
        <f>[2]TongHop!M1085</f>
        <v>0</v>
      </c>
      <c r="N1085">
        <f>[2]TongHop!N1085</f>
        <v>0</v>
      </c>
    </row>
    <row r="1086" spans="1:14">
      <c r="A1086">
        <f>[2]TongHop!A1086</f>
        <v>0</v>
      </c>
      <c r="B1086">
        <f>[2]TongHop!B1086</f>
        <v>0</v>
      </c>
      <c r="C1086">
        <f>[2]TongHop!C1086</f>
        <v>0</v>
      </c>
      <c r="D1086">
        <f>[2]TongHop!D1086</f>
        <v>0</v>
      </c>
      <c r="E1086">
        <f>[2]TongHop!E1086</f>
        <v>0</v>
      </c>
      <c r="F1086">
        <f>[2]TongHop!F1086</f>
        <v>0</v>
      </c>
      <c r="G1086">
        <f>[2]TongHop!G1086</f>
        <v>0</v>
      </c>
      <c r="H1086">
        <f>[2]TongHop!H1086</f>
        <v>0</v>
      </c>
      <c r="I1086">
        <f>[2]TongHop!I1086</f>
        <v>0</v>
      </c>
      <c r="J1086">
        <f>[2]TongHop!J1086</f>
        <v>0</v>
      </c>
      <c r="K1086">
        <f>[2]TongHop!K1086</f>
        <v>0</v>
      </c>
      <c r="L1086">
        <f>[2]TongHop!L1086</f>
        <v>0</v>
      </c>
      <c r="M1086">
        <f>[2]TongHop!M1086</f>
        <v>0</v>
      </c>
      <c r="N1086">
        <f>[2]TongHop!N1086</f>
        <v>0</v>
      </c>
    </row>
    <row r="1087" spans="1:14">
      <c r="A1087">
        <f>[2]TongHop!A1087</f>
        <v>0</v>
      </c>
      <c r="B1087">
        <f>[2]TongHop!B1087</f>
        <v>0</v>
      </c>
      <c r="C1087">
        <f>[2]TongHop!C1087</f>
        <v>0</v>
      </c>
      <c r="D1087">
        <f>[2]TongHop!D1087</f>
        <v>0</v>
      </c>
      <c r="E1087">
        <f>[2]TongHop!E1087</f>
        <v>0</v>
      </c>
      <c r="F1087">
        <f>[2]TongHop!F1087</f>
        <v>0</v>
      </c>
      <c r="G1087">
        <f>[2]TongHop!G1087</f>
        <v>0</v>
      </c>
      <c r="H1087">
        <f>[2]TongHop!H1087</f>
        <v>0</v>
      </c>
      <c r="I1087">
        <f>[2]TongHop!I1087</f>
        <v>0</v>
      </c>
      <c r="J1087">
        <f>[2]TongHop!J1087</f>
        <v>0</v>
      </c>
      <c r="K1087">
        <f>[2]TongHop!K1087</f>
        <v>0</v>
      </c>
      <c r="L1087">
        <f>[2]TongHop!L1087</f>
        <v>0</v>
      </c>
      <c r="M1087">
        <f>[2]TongHop!M1087</f>
        <v>0</v>
      </c>
      <c r="N1087">
        <f>[2]TongHop!N1087</f>
        <v>0</v>
      </c>
    </row>
    <row r="1088" spans="1:14">
      <c r="A1088">
        <f>[2]TongHop!A1088</f>
        <v>0</v>
      </c>
      <c r="B1088">
        <f>[2]TongHop!B1088</f>
        <v>0</v>
      </c>
      <c r="C1088">
        <f>[2]TongHop!C1088</f>
        <v>0</v>
      </c>
      <c r="D1088">
        <f>[2]TongHop!D1088</f>
        <v>0</v>
      </c>
      <c r="E1088">
        <f>[2]TongHop!E1088</f>
        <v>0</v>
      </c>
      <c r="F1088">
        <f>[2]TongHop!F1088</f>
        <v>0</v>
      </c>
      <c r="G1088">
        <f>[2]TongHop!G1088</f>
        <v>0</v>
      </c>
      <c r="H1088">
        <f>[2]TongHop!H1088</f>
        <v>0</v>
      </c>
      <c r="I1088">
        <f>[2]TongHop!I1088</f>
        <v>0</v>
      </c>
      <c r="J1088">
        <f>[2]TongHop!J1088</f>
        <v>0</v>
      </c>
      <c r="K1088">
        <f>[2]TongHop!K1088</f>
        <v>0</v>
      </c>
      <c r="L1088">
        <f>[2]TongHop!L1088</f>
        <v>0</v>
      </c>
      <c r="M1088">
        <f>[2]TongHop!M1088</f>
        <v>0</v>
      </c>
      <c r="N1088">
        <f>[2]TongHop!N1088</f>
        <v>0</v>
      </c>
    </row>
    <row r="1089" spans="1:14">
      <c r="A1089">
        <f>[2]TongHop!A1089</f>
        <v>0</v>
      </c>
      <c r="B1089">
        <f>[2]TongHop!B1089</f>
        <v>0</v>
      </c>
      <c r="C1089">
        <f>[2]TongHop!C1089</f>
        <v>0</v>
      </c>
      <c r="D1089">
        <f>[2]TongHop!D1089</f>
        <v>0</v>
      </c>
      <c r="E1089">
        <f>[2]TongHop!E1089</f>
        <v>0</v>
      </c>
      <c r="F1089">
        <f>[2]TongHop!F1089</f>
        <v>0</v>
      </c>
      <c r="G1089">
        <f>[2]TongHop!G1089</f>
        <v>0</v>
      </c>
      <c r="H1089">
        <f>[2]TongHop!H1089</f>
        <v>0</v>
      </c>
      <c r="I1089">
        <f>[2]TongHop!I1089</f>
        <v>0</v>
      </c>
      <c r="J1089">
        <f>[2]TongHop!J1089</f>
        <v>0</v>
      </c>
      <c r="K1089">
        <f>[2]TongHop!K1089</f>
        <v>0</v>
      </c>
      <c r="L1089">
        <f>[2]TongHop!L1089</f>
        <v>0</v>
      </c>
      <c r="M1089">
        <f>[2]TongHop!M1089</f>
        <v>0</v>
      </c>
      <c r="N1089">
        <f>[2]TongHop!N1089</f>
        <v>0</v>
      </c>
    </row>
    <row r="1090" spans="1:14">
      <c r="A1090">
        <f>[2]TongHop!A1090</f>
        <v>0</v>
      </c>
      <c r="B1090">
        <f>[2]TongHop!B1090</f>
        <v>0</v>
      </c>
      <c r="C1090">
        <f>[2]TongHop!C1090</f>
        <v>0</v>
      </c>
      <c r="D1090">
        <f>[2]TongHop!D1090</f>
        <v>0</v>
      </c>
      <c r="E1090">
        <f>[2]TongHop!E1090</f>
        <v>0</v>
      </c>
      <c r="F1090">
        <f>[2]TongHop!F1090</f>
        <v>0</v>
      </c>
      <c r="G1090">
        <f>[2]TongHop!G1090</f>
        <v>0</v>
      </c>
      <c r="H1090">
        <f>[2]TongHop!H1090</f>
        <v>0</v>
      </c>
      <c r="I1090">
        <f>[2]TongHop!I1090</f>
        <v>0</v>
      </c>
      <c r="J1090">
        <f>[2]TongHop!J1090</f>
        <v>0</v>
      </c>
      <c r="K1090">
        <f>[2]TongHop!K1090</f>
        <v>0</v>
      </c>
      <c r="L1090">
        <f>[2]TongHop!L1090</f>
        <v>0</v>
      </c>
      <c r="M1090">
        <f>[2]TongHop!M1090</f>
        <v>0</v>
      </c>
      <c r="N1090">
        <f>[2]TongHop!N1090</f>
        <v>0</v>
      </c>
    </row>
    <row r="1091" spans="1:14">
      <c r="A1091">
        <f>[2]TongHop!A1091</f>
        <v>0</v>
      </c>
      <c r="B1091">
        <f>[2]TongHop!B1091</f>
        <v>0</v>
      </c>
      <c r="C1091">
        <f>[2]TongHop!C1091</f>
        <v>0</v>
      </c>
      <c r="D1091">
        <f>[2]TongHop!D1091</f>
        <v>0</v>
      </c>
      <c r="E1091">
        <f>[2]TongHop!E1091</f>
        <v>0</v>
      </c>
      <c r="F1091">
        <f>[2]TongHop!F1091</f>
        <v>0</v>
      </c>
      <c r="G1091">
        <f>[2]TongHop!G1091</f>
        <v>0</v>
      </c>
      <c r="H1091">
        <f>[2]TongHop!H1091</f>
        <v>0</v>
      </c>
      <c r="I1091">
        <f>[2]TongHop!I1091</f>
        <v>0</v>
      </c>
      <c r="J1091">
        <f>[2]TongHop!J1091</f>
        <v>0</v>
      </c>
      <c r="K1091">
        <f>[2]TongHop!K1091</f>
        <v>0</v>
      </c>
      <c r="L1091">
        <f>[2]TongHop!L1091</f>
        <v>0</v>
      </c>
      <c r="M1091">
        <f>[2]TongHop!M1091</f>
        <v>0</v>
      </c>
      <c r="N1091">
        <f>[2]TongHop!N1091</f>
        <v>0</v>
      </c>
    </row>
    <row r="1092" spans="1:14">
      <c r="A1092">
        <f>[2]TongHop!A1092</f>
        <v>0</v>
      </c>
      <c r="B1092">
        <f>[2]TongHop!B1092</f>
        <v>0</v>
      </c>
      <c r="C1092">
        <f>[2]TongHop!C1092</f>
        <v>0</v>
      </c>
      <c r="D1092">
        <f>[2]TongHop!D1092</f>
        <v>0</v>
      </c>
      <c r="E1092">
        <f>[2]TongHop!E1092</f>
        <v>0</v>
      </c>
      <c r="F1092">
        <f>[2]TongHop!F1092</f>
        <v>0</v>
      </c>
      <c r="G1092">
        <f>[2]TongHop!G1092</f>
        <v>0</v>
      </c>
      <c r="H1092">
        <f>[2]TongHop!H1092</f>
        <v>0</v>
      </c>
      <c r="I1092">
        <f>[2]TongHop!I1092</f>
        <v>0</v>
      </c>
      <c r="J1092">
        <f>[2]TongHop!J1092</f>
        <v>0</v>
      </c>
      <c r="K1092">
        <f>[2]TongHop!K1092</f>
        <v>0</v>
      </c>
      <c r="L1092">
        <f>[2]TongHop!L1092</f>
        <v>0</v>
      </c>
      <c r="M1092">
        <f>[2]TongHop!M1092</f>
        <v>0</v>
      </c>
      <c r="N1092">
        <f>[2]TongHop!N1092</f>
        <v>0</v>
      </c>
    </row>
    <row r="1093" spans="1:14">
      <c r="A1093">
        <f>[2]TongHop!A1093</f>
        <v>0</v>
      </c>
      <c r="B1093">
        <f>[2]TongHop!B1093</f>
        <v>0</v>
      </c>
      <c r="C1093">
        <f>[2]TongHop!C1093</f>
        <v>0</v>
      </c>
      <c r="D1093">
        <f>[2]TongHop!D1093</f>
        <v>0</v>
      </c>
      <c r="E1093">
        <f>[2]TongHop!E1093</f>
        <v>0</v>
      </c>
      <c r="F1093">
        <f>[2]TongHop!F1093</f>
        <v>0</v>
      </c>
      <c r="G1093">
        <f>[2]TongHop!G1093</f>
        <v>0</v>
      </c>
      <c r="H1093">
        <f>[2]TongHop!H1093</f>
        <v>0</v>
      </c>
      <c r="I1093">
        <f>[2]TongHop!I1093</f>
        <v>0</v>
      </c>
      <c r="J1093">
        <f>[2]TongHop!J1093</f>
        <v>0</v>
      </c>
      <c r="K1093">
        <f>[2]TongHop!K1093</f>
        <v>0</v>
      </c>
      <c r="L1093">
        <f>[2]TongHop!L1093</f>
        <v>0</v>
      </c>
      <c r="M1093">
        <f>[2]TongHop!M1093</f>
        <v>0</v>
      </c>
      <c r="N1093">
        <f>[2]TongHop!N1093</f>
        <v>0</v>
      </c>
    </row>
    <row r="1094" spans="1:14">
      <c r="A1094">
        <f>[2]TongHop!A1094</f>
        <v>0</v>
      </c>
      <c r="B1094">
        <f>[2]TongHop!B1094</f>
        <v>0</v>
      </c>
      <c r="C1094">
        <f>[2]TongHop!C1094</f>
        <v>0</v>
      </c>
      <c r="D1094">
        <f>[2]TongHop!D1094</f>
        <v>0</v>
      </c>
      <c r="E1094">
        <f>[2]TongHop!E1094</f>
        <v>0</v>
      </c>
      <c r="F1094">
        <f>[2]TongHop!F1094</f>
        <v>0</v>
      </c>
      <c r="G1094">
        <f>[2]TongHop!G1094</f>
        <v>0</v>
      </c>
      <c r="H1094">
        <f>[2]TongHop!H1094</f>
        <v>0</v>
      </c>
      <c r="I1094">
        <f>[2]TongHop!I1094</f>
        <v>0</v>
      </c>
      <c r="J1094">
        <f>[2]TongHop!J1094</f>
        <v>0</v>
      </c>
      <c r="K1094">
        <f>[2]TongHop!K1094</f>
        <v>0</v>
      </c>
      <c r="L1094">
        <f>[2]TongHop!L1094</f>
        <v>0</v>
      </c>
      <c r="M1094">
        <f>[2]TongHop!M1094</f>
        <v>0</v>
      </c>
      <c r="N1094">
        <f>[2]TongHop!N1094</f>
        <v>0</v>
      </c>
    </row>
    <row r="1095" spans="1:14">
      <c r="A1095">
        <f>[2]TongHop!A1095</f>
        <v>0</v>
      </c>
      <c r="B1095">
        <f>[2]TongHop!B1095</f>
        <v>0</v>
      </c>
      <c r="C1095">
        <f>[2]TongHop!C1095</f>
        <v>0</v>
      </c>
      <c r="D1095">
        <f>[2]TongHop!D1095</f>
        <v>0</v>
      </c>
      <c r="E1095">
        <f>[2]TongHop!E1095</f>
        <v>0</v>
      </c>
      <c r="F1095">
        <f>[2]TongHop!F1095</f>
        <v>0</v>
      </c>
      <c r="G1095">
        <f>[2]TongHop!G1095</f>
        <v>0</v>
      </c>
      <c r="H1095">
        <f>[2]TongHop!H1095</f>
        <v>0</v>
      </c>
      <c r="I1095">
        <f>[2]TongHop!I1095</f>
        <v>0</v>
      </c>
      <c r="J1095">
        <f>[2]TongHop!J1095</f>
        <v>0</v>
      </c>
      <c r="K1095">
        <f>[2]TongHop!K1095</f>
        <v>0</v>
      </c>
      <c r="L1095">
        <f>[2]TongHop!L1095</f>
        <v>0</v>
      </c>
      <c r="M1095">
        <f>[2]TongHop!M1095</f>
        <v>0</v>
      </c>
      <c r="N1095">
        <f>[2]TongHop!N1095</f>
        <v>0</v>
      </c>
    </row>
    <row r="1096" spans="1:14">
      <c r="A1096">
        <f>[2]TongHop!A1096</f>
        <v>0</v>
      </c>
      <c r="B1096">
        <f>[2]TongHop!B1096</f>
        <v>0</v>
      </c>
      <c r="C1096">
        <f>[2]TongHop!C1096</f>
        <v>0</v>
      </c>
      <c r="D1096">
        <f>[2]TongHop!D1096</f>
        <v>0</v>
      </c>
      <c r="E1096">
        <f>[2]TongHop!E1096</f>
        <v>0</v>
      </c>
      <c r="F1096">
        <f>[2]TongHop!F1096</f>
        <v>0</v>
      </c>
      <c r="G1096">
        <f>[2]TongHop!G1096</f>
        <v>0</v>
      </c>
      <c r="H1096">
        <f>[2]TongHop!H1096</f>
        <v>0</v>
      </c>
      <c r="I1096">
        <f>[2]TongHop!I1096</f>
        <v>0</v>
      </c>
      <c r="J1096">
        <f>[2]TongHop!J1096</f>
        <v>0</v>
      </c>
      <c r="K1096">
        <f>[2]TongHop!K1096</f>
        <v>0</v>
      </c>
      <c r="L1096">
        <f>[2]TongHop!L1096</f>
        <v>0</v>
      </c>
      <c r="M1096">
        <f>[2]TongHop!M1096</f>
        <v>0</v>
      </c>
      <c r="N1096">
        <f>[2]TongHop!N1096</f>
        <v>0</v>
      </c>
    </row>
    <row r="1097" spans="1:14">
      <c r="A1097">
        <f>[2]TongHop!A1097</f>
        <v>0</v>
      </c>
      <c r="B1097">
        <f>[2]TongHop!B1097</f>
        <v>0</v>
      </c>
      <c r="C1097">
        <f>[2]TongHop!C1097</f>
        <v>0</v>
      </c>
      <c r="D1097">
        <f>[2]TongHop!D1097</f>
        <v>0</v>
      </c>
      <c r="E1097">
        <f>[2]TongHop!E1097</f>
        <v>0</v>
      </c>
      <c r="F1097">
        <f>[2]TongHop!F1097</f>
        <v>0</v>
      </c>
      <c r="G1097">
        <f>[2]TongHop!G1097</f>
        <v>0</v>
      </c>
      <c r="H1097">
        <f>[2]TongHop!H1097</f>
        <v>0</v>
      </c>
      <c r="I1097">
        <f>[2]TongHop!I1097</f>
        <v>0</v>
      </c>
      <c r="J1097">
        <f>[2]TongHop!J1097</f>
        <v>0</v>
      </c>
      <c r="K1097">
        <f>[2]TongHop!K1097</f>
        <v>0</v>
      </c>
      <c r="L1097">
        <f>[2]TongHop!L1097</f>
        <v>0</v>
      </c>
      <c r="M1097">
        <f>[2]TongHop!M1097</f>
        <v>0</v>
      </c>
      <c r="N1097">
        <f>[2]TongHop!N1097</f>
        <v>0</v>
      </c>
    </row>
    <row r="1098" spans="1:14">
      <c r="A1098">
        <f>[2]TongHop!A1098</f>
        <v>0</v>
      </c>
      <c r="B1098">
        <f>[2]TongHop!B1098</f>
        <v>0</v>
      </c>
      <c r="C1098">
        <f>[2]TongHop!C1098</f>
        <v>0</v>
      </c>
      <c r="D1098">
        <f>[2]TongHop!D1098</f>
        <v>0</v>
      </c>
      <c r="E1098">
        <f>[2]TongHop!E1098</f>
        <v>0</v>
      </c>
      <c r="F1098">
        <f>[2]TongHop!F1098</f>
        <v>0</v>
      </c>
      <c r="G1098">
        <f>[2]TongHop!G1098</f>
        <v>0</v>
      </c>
      <c r="H1098">
        <f>[2]TongHop!H1098</f>
        <v>0</v>
      </c>
      <c r="I1098">
        <f>[2]TongHop!I1098</f>
        <v>0</v>
      </c>
      <c r="J1098">
        <f>[2]TongHop!J1098</f>
        <v>0</v>
      </c>
      <c r="K1098">
        <f>[2]TongHop!K1098</f>
        <v>0</v>
      </c>
      <c r="L1098">
        <f>[2]TongHop!L1098</f>
        <v>0</v>
      </c>
      <c r="M1098">
        <f>[2]TongHop!M1098</f>
        <v>0</v>
      </c>
      <c r="N1098">
        <f>[2]TongHop!N1098</f>
        <v>0</v>
      </c>
    </row>
    <row r="1099" spans="1:14">
      <c r="A1099">
        <f>[2]TongHop!A1099</f>
        <v>0</v>
      </c>
      <c r="B1099">
        <f>[2]TongHop!B1099</f>
        <v>0</v>
      </c>
      <c r="C1099">
        <f>[2]TongHop!C1099</f>
        <v>0</v>
      </c>
      <c r="D1099">
        <f>[2]TongHop!D1099</f>
        <v>0</v>
      </c>
      <c r="E1099">
        <f>[2]TongHop!E1099</f>
        <v>0</v>
      </c>
      <c r="F1099">
        <f>[2]TongHop!F1099</f>
        <v>0</v>
      </c>
      <c r="G1099">
        <f>[2]TongHop!G1099</f>
        <v>0</v>
      </c>
      <c r="H1099">
        <f>[2]TongHop!H1099</f>
        <v>0</v>
      </c>
      <c r="I1099">
        <f>[2]TongHop!I1099</f>
        <v>0</v>
      </c>
      <c r="J1099">
        <f>[2]TongHop!J1099</f>
        <v>0</v>
      </c>
      <c r="K1099">
        <f>[2]TongHop!K1099</f>
        <v>0</v>
      </c>
      <c r="L1099">
        <f>[2]TongHop!L1099</f>
        <v>0</v>
      </c>
      <c r="M1099">
        <f>[2]TongHop!M1099</f>
        <v>0</v>
      </c>
      <c r="N1099">
        <f>[2]TongHop!N1099</f>
        <v>0</v>
      </c>
    </row>
    <row r="1100" spans="1:14">
      <c r="A1100">
        <f>[2]TongHop!A1100</f>
        <v>0</v>
      </c>
      <c r="B1100">
        <f>[2]TongHop!B1100</f>
        <v>0</v>
      </c>
      <c r="C1100">
        <f>[2]TongHop!C1100</f>
        <v>0</v>
      </c>
      <c r="D1100">
        <f>[2]TongHop!D1100</f>
        <v>0</v>
      </c>
      <c r="E1100">
        <f>[2]TongHop!E1100</f>
        <v>0</v>
      </c>
      <c r="F1100">
        <f>[2]TongHop!F1100</f>
        <v>0</v>
      </c>
      <c r="G1100">
        <f>[2]TongHop!G1100</f>
        <v>0</v>
      </c>
      <c r="H1100">
        <f>[2]TongHop!H1100</f>
        <v>0</v>
      </c>
      <c r="I1100">
        <f>[2]TongHop!I1100</f>
        <v>0</v>
      </c>
      <c r="J1100">
        <f>[2]TongHop!J1100</f>
        <v>0</v>
      </c>
      <c r="K1100">
        <f>[2]TongHop!K1100</f>
        <v>0</v>
      </c>
      <c r="L1100">
        <f>[2]TongHop!L1100</f>
        <v>0</v>
      </c>
      <c r="M1100">
        <f>[2]TongHop!M1100</f>
        <v>0</v>
      </c>
      <c r="N1100">
        <f>[2]TongHop!N1100</f>
        <v>0</v>
      </c>
    </row>
    <row r="1101" spans="1:14">
      <c r="A1101">
        <f>[2]TongHop!A1101</f>
        <v>0</v>
      </c>
      <c r="B1101">
        <f>[2]TongHop!B1101</f>
        <v>0</v>
      </c>
      <c r="C1101">
        <f>[2]TongHop!C1101</f>
        <v>0</v>
      </c>
      <c r="D1101">
        <f>[2]TongHop!D1101</f>
        <v>0</v>
      </c>
      <c r="E1101">
        <f>[2]TongHop!E1101</f>
        <v>0</v>
      </c>
      <c r="F1101">
        <f>[2]TongHop!F1101</f>
        <v>0</v>
      </c>
      <c r="G1101">
        <f>[2]TongHop!G1101</f>
        <v>0</v>
      </c>
      <c r="H1101">
        <f>[2]TongHop!H1101</f>
        <v>0</v>
      </c>
      <c r="I1101">
        <f>[2]TongHop!I1101</f>
        <v>0</v>
      </c>
      <c r="J1101">
        <f>[2]TongHop!J1101</f>
        <v>0</v>
      </c>
      <c r="K1101">
        <f>[2]TongHop!K1101</f>
        <v>0</v>
      </c>
      <c r="L1101">
        <f>[2]TongHop!L1101</f>
        <v>0</v>
      </c>
      <c r="M1101">
        <f>[2]TongHop!M1101</f>
        <v>0</v>
      </c>
      <c r="N1101">
        <f>[2]TongHop!N1101</f>
        <v>0</v>
      </c>
    </row>
    <row r="1102" spans="1:14">
      <c r="A1102">
        <f>[2]TongHop!A1102</f>
        <v>0</v>
      </c>
      <c r="B1102">
        <f>[2]TongHop!B1102</f>
        <v>0</v>
      </c>
      <c r="C1102">
        <f>[2]TongHop!C1102</f>
        <v>0</v>
      </c>
      <c r="D1102">
        <f>[2]TongHop!D1102</f>
        <v>0</v>
      </c>
      <c r="E1102">
        <f>[2]TongHop!E1102</f>
        <v>0</v>
      </c>
      <c r="F1102">
        <f>[2]TongHop!F1102</f>
        <v>0</v>
      </c>
      <c r="G1102">
        <f>[2]TongHop!G1102</f>
        <v>0</v>
      </c>
      <c r="H1102">
        <f>[2]TongHop!H1102</f>
        <v>0</v>
      </c>
      <c r="I1102">
        <f>[2]TongHop!I1102</f>
        <v>0</v>
      </c>
      <c r="J1102">
        <f>[2]TongHop!J1102</f>
        <v>0</v>
      </c>
      <c r="K1102">
        <f>[2]TongHop!K1102</f>
        <v>0</v>
      </c>
      <c r="L1102">
        <f>[2]TongHop!L1102</f>
        <v>0</v>
      </c>
      <c r="M1102">
        <f>[2]TongHop!M1102</f>
        <v>0</v>
      </c>
      <c r="N1102">
        <f>[2]TongHop!N1102</f>
        <v>0</v>
      </c>
    </row>
    <row r="1103" spans="1:14">
      <c r="A1103">
        <f>[2]TongHop!A1103</f>
        <v>0</v>
      </c>
      <c r="B1103">
        <f>[2]TongHop!B1103</f>
        <v>0</v>
      </c>
      <c r="C1103">
        <f>[2]TongHop!C1103</f>
        <v>0</v>
      </c>
      <c r="D1103">
        <f>[2]TongHop!D1103</f>
        <v>0</v>
      </c>
      <c r="E1103">
        <f>[2]TongHop!E1103</f>
        <v>0</v>
      </c>
      <c r="F1103">
        <f>[2]TongHop!F1103</f>
        <v>0</v>
      </c>
      <c r="G1103">
        <f>[2]TongHop!G1103</f>
        <v>0</v>
      </c>
      <c r="H1103">
        <f>[2]TongHop!H1103</f>
        <v>0</v>
      </c>
      <c r="I1103">
        <f>[2]TongHop!I1103</f>
        <v>0</v>
      </c>
      <c r="J1103">
        <f>[2]TongHop!J1103</f>
        <v>0</v>
      </c>
      <c r="K1103">
        <f>[2]TongHop!K1103</f>
        <v>0</v>
      </c>
      <c r="L1103">
        <f>[2]TongHop!L1103</f>
        <v>0</v>
      </c>
      <c r="M1103">
        <f>[2]TongHop!M1103</f>
        <v>0</v>
      </c>
      <c r="N1103">
        <f>[2]TongHop!N1103</f>
        <v>0</v>
      </c>
    </row>
    <row r="1104" spans="1:14">
      <c r="A1104">
        <f>[2]TongHop!A1104</f>
        <v>0</v>
      </c>
      <c r="B1104">
        <f>[2]TongHop!B1104</f>
        <v>0</v>
      </c>
      <c r="C1104">
        <f>[2]TongHop!C1104</f>
        <v>0</v>
      </c>
      <c r="D1104">
        <f>[2]TongHop!D1104</f>
        <v>0</v>
      </c>
      <c r="E1104">
        <f>[2]TongHop!E1104</f>
        <v>0</v>
      </c>
      <c r="F1104">
        <f>[2]TongHop!F1104</f>
        <v>0</v>
      </c>
      <c r="G1104">
        <f>[2]TongHop!G1104</f>
        <v>0</v>
      </c>
      <c r="H1104">
        <f>[2]TongHop!H1104</f>
        <v>0</v>
      </c>
      <c r="I1104">
        <f>[2]TongHop!I1104</f>
        <v>0</v>
      </c>
      <c r="J1104">
        <f>[2]TongHop!J1104</f>
        <v>0</v>
      </c>
      <c r="K1104">
        <f>[2]TongHop!K1104</f>
        <v>0</v>
      </c>
      <c r="L1104">
        <f>[2]TongHop!L1104</f>
        <v>0</v>
      </c>
      <c r="M1104">
        <f>[2]TongHop!M1104</f>
        <v>0</v>
      </c>
      <c r="N1104">
        <f>[2]TongHop!N1104</f>
        <v>0</v>
      </c>
    </row>
    <row r="1105" spans="1:14">
      <c r="A1105">
        <f>[2]TongHop!A1105</f>
        <v>0</v>
      </c>
      <c r="B1105">
        <f>[2]TongHop!B1105</f>
        <v>0</v>
      </c>
      <c r="C1105">
        <f>[2]TongHop!C1105</f>
        <v>0</v>
      </c>
      <c r="D1105">
        <f>[2]TongHop!D1105</f>
        <v>0</v>
      </c>
      <c r="E1105">
        <f>[2]TongHop!E1105</f>
        <v>0</v>
      </c>
      <c r="F1105">
        <f>[2]TongHop!F1105</f>
        <v>0</v>
      </c>
      <c r="G1105">
        <f>[2]TongHop!G1105</f>
        <v>0</v>
      </c>
      <c r="H1105">
        <f>[2]TongHop!H1105</f>
        <v>0</v>
      </c>
      <c r="I1105">
        <f>[2]TongHop!I1105</f>
        <v>0</v>
      </c>
      <c r="J1105">
        <f>[2]TongHop!J1105</f>
        <v>0</v>
      </c>
      <c r="K1105">
        <f>[2]TongHop!K1105</f>
        <v>0</v>
      </c>
      <c r="L1105">
        <f>[2]TongHop!L1105</f>
        <v>0</v>
      </c>
      <c r="M1105">
        <f>[2]TongHop!M1105</f>
        <v>0</v>
      </c>
      <c r="N1105">
        <f>[2]TongHop!N1105</f>
        <v>0</v>
      </c>
    </row>
    <row r="1106" spans="1:14">
      <c r="A1106">
        <f>[2]TongHop!A1106</f>
        <v>0</v>
      </c>
      <c r="B1106">
        <f>[2]TongHop!B1106</f>
        <v>0</v>
      </c>
      <c r="C1106">
        <f>[2]TongHop!C1106</f>
        <v>0</v>
      </c>
      <c r="D1106">
        <f>[2]TongHop!D1106</f>
        <v>0</v>
      </c>
      <c r="E1106">
        <f>[2]TongHop!E1106</f>
        <v>0</v>
      </c>
      <c r="F1106">
        <f>[2]TongHop!F1106</f>
        <v>0</v>
      </c>
      <c r="G1106">
        <f>[2]TongHop!G1106</f>
        <v>0</v>
      </c>
      <c r="H1106">
        <f>[2]TongHop!H1106</f>
        <v>0</v>
      </c>
      <c r="I1106">
        <f>[2]TongHop!I1106</f>
        <v>0</v>
      </c>
      <c r="J1106">
        <f>[2]TongHop!J1106</f>
        <v>0</v>
      </c>
      <c r="K1106">
        <f>[2]TongHop!K1106</f>
        <v>0</v>
      </c>
      <c r="L1106">
        <f>[2]TongHop!L1106</f>
        <v>0</v>
      </c>
      <c r="M1106">
        <f>[2]TongHop!M1106</f>
        <v>0</v>
      </c>
      <c r="N1106">
        <f>[2]TongHop!N1106</f>
        <v>0</v>
      </c>
    </row>
    <row r="1107" spans="1:14">
      <c r="A1107">
        <f>[2]TongHop!A1107</f>
        <v>0</v>
      </c>
      <c r="B1107">
        <f>[2]TongHop!B1107</f>
        <v>0</v>
      </c>
      <c r="C1107">
        <f>[2]TongHop!C1107</f>
        <v>0</v>
      </c>
      <c r="D1107">
        <f>[2]TongHop!D1107</f>
        <v>0</v>
      </c>
      <c r="E1107">
        <f>[2]TongHop!E1107</f>
        <v>0</v>
      </c>
      <c r="F1107">
        <f>[2]TongHop!F1107</f>
        <v>0</v>
      </c>
      <c r="G1107">
        <f>[2]TongHop!G1107</f>
        <v>0</v>
      </c>
      <c r="H1107">
        <f>[2]TongHop!H1107</f>
        <v>0</v>
      </c>
      <c r="I1107">
        <f>[2]TongHop!I1107</f>
        <v>0</v>
      </c>
      <c r="J1107">
        <f>[2]TongHop!J1107</f>
        <v>0</v>
      </c>
      <c r="K1107">
        <f>[2]TongHop!K1107</f>
        <v>0</v>
      </c>
      <c r="L1107">
        <f>[2]TongHop!L1107</f>
        <v>0</v>
      </c>
      <c r="M1107">
        <f>[2]TongHop!M1107</f>
        <v>0</v>
      </c>
      <c r="N1107">
        <f>[2]TongHop!N1107</f>
        <v>0</v>
      </c>
    </row>
    <row r="1108" spans="1:14">
      <c r="A1108">
        <f>[2]TongHop!A1108</f>
        <v>0</v>
      </c>
      <c r="B1108">
        <f>[2]TongHop!B1108</f>
        <v>0</v>
      </c>
      <c r="C1108">
        <f>[2]TongHop!C1108</f>
        <v>0</v>
      </c>
      <c r="D1108">
        <f>[2]TongHop!D1108</f>
        <v>0</v>
      </c>
      <c r="E1108">
        <f>[2]TongHop!E1108</f>
        <v>0</v>
      </c>
      <c r="F1108">
        <f>[2]TongHop!F1108</f>
        <v>0</v>
      </c>
      <c r="G1108">
        <f>[2]TongHop!G1108</f>
        <v>0</v>
      </c>
      <c r="H1108">
        <f>[2]TongHop!H1108</f>
        <v>0</v>
      </c>
      <c r="I1108">
        <f>[2]TongHop!I1108</f>
        <v>0</v>
      </c>
      <c r="J1108">
        <f>[2]TongHop!J1108</f>
        <v>0</v>
      </c>
      <c r="K1108">
        <f>[2]TongHop!K1108</f>
        <v>0</v>
      </c>
      <c r="L1108">
        <f>[2]TongHop!L1108</f>
        <v>0</v>
      </c>
      <c r="M1108">
        <f>[2]TongHop!M1108</f>
        <v>0</v>
      </c>
      <c r="N1108">
        <f>[2]TongHop!N1108</f>
        <v>0</v>
      </c>
    </row>
    <row r="1109" spans="1:14">
      <c r="A1109">
        <f>[2]TongHop!A1109</f>
        <v>0</v>
      </c>
      <c r="B1109">
        <f>[2]TongHop!B1109</f>
        <v>0</v>
      </c>
      <c r="C1109">
        <f>[2]TongHop!C1109</f>
        <v>0</v>
      </c>
      <c r="D1109">
        <f>[2]TongHop!D1109</f>
        <v>0</v>
      </c>
      <c r="E1109">
        <f>[2]TongHop!E1109</f>
        <v>0</v>
      </c>
      <c r="F1109">
        <f>[2]TongHop!F1109</f>
        <v>0</v>
      </c>
      <c r="G1109">
        <f>[2]TongHop!G1109</f>
        <v>0</v>
      </c>
      <c r="H1109">
        <f>[2]TongHop!H1109</f>
        <v>0</v>
      </c>
      <c r="I1109">
        <f>[2]TongHop!I1109</f>
        <v>0</v>
      </c>
      <c r="J1109">
        <f>[2]TongHop!J1109</f>
        <v>0</v>
      </c>
      <c r="K1109">
        <f>[2]TongHop!K1109</f>
        <v>0</v>
      </c>
      <c r="L1109">
        <f>[2]TongHop!L1109</f>
        <v>0</v>
      </c>
      <c r="M1109">
        <f>[2]TongHop!M1109</f>
        <v>0</v>
      </c>
      <c r="N1109">
        <f>[2]TongHop!N1109</f>
        <v>0</v>
      </c>
    </row>
    <row r="1110" spans="1:14">
      <c r="A1110">
        <f>[2]TongHop!A1110</f>
        <v>0</v>
      </c>
      <c r="B1110">
        <f>[2]TongHop!B1110</f>
        <v>0</v>
      </c>
      <c r="C1110">
        <f>[2]TongHop!C1110</f>
        <v>0</v>
      </c>
      <c r="D1110">
        <f>[2]TongHop!D1110</f>
        <v>0</v>
      </c>
      <c r="E1110">
        <f>[2]TongHop!E1110</f>
        <v>0</v>
      </c>
      <c r="F1110">
        <f>[2]TongHop!F1110</f>
        <v>0</v>
      </c>
      <c r="G1110">
        <f>[2]TongHop!G1110</f>
        <v>0</v>
      </c>
      <c r="H1110">
        <f>[2]TongHop!H1110</f>
        <v>0</v>
      </c>
      <c r="I1110">
        <f>[2]TongHop!I1110</f>
        <v>0</v>
      </c>
      <c r="J1110">
        <f>[2]TongHop!J1110</f>
        <v>0</v>
      </c>
      <c r="K1110">
        <f>[2]TongHop!K1110</f>
        <v>0</v>
      </c>
      <c r="L1110">
        <f>[2]TongHop!L1110</f>
        <v>0</v>
      </c>
      <c r="M1110">
        <f>[2]TongHop!M1110</f>
        <v>0</v>
      </c>
      <c r="N1110">
        <f>[2]TongHop!N1110</f>
        <v>0</v>
      </c>
    </row>
    <row r="1111" spans="1:14">
      <c r="A1111">
        <f>[2]TongHop!A1111</f>
        <v>0</v>
      </c>
      <c r="B1111">
        <f>[2]TongHop!B1111</f>
        <v>0</v>
      </c>
      <c r="C1111">
        <f>[2]TongHop!C1111</f>
        <v>0</v>
      </c>
      <c r="D1111">
        <f>[2]TongHop!D1111</f>
        <v>0</v>
      </c>
      <c r="E1111">
        <f>[2]TongHop!E1111</f>
        <v>0</v>
      </c>
      <c r="F1111">
        <f>[2]TongHop!F1111</f>
        <v>0</v>
      </c>
      <c r="G1111">
        <f>[2]TongHop!G1111</f>
        <v>0</v>
      </c>
      <c r="H1111">
        <f>[2]TongHop!H1111</f>
        <v>0</v>
      </c>
      <c r="I1111">
        <f>[2]TongHop!I1111</f>
        <v>0</v>
      </c>
      <c r="J1111">
        <f>[2]TongHop!J1111</f>
        <v>0</v>
      </c>
      <c r="K1111">
        <f>[2]TongHop!K1111</f>
        <v>0</v>
      </c>
      <c r="L1111">
        <f>[2]TongHop!L1111</f>
        <v>0</v>
      </c>
      <c r="M1111">
        <f>[2]TongHop!M1111</f>
        <v>0</v>
      </c>
      <c r="N1111">
        <f>[2]TongHop!N1111</f>
        <v>0</v>
      </c>
    </row>
    <row r="1112" spans="1:14">
      <c r="A1112">
        <f>[2]TongHop!A1112</f>
        <v>0</v>
      </c>
      <c r="B1112">
        <f>[2]TongHop!B1112</f>
        <v>0</v>
      </c>
      <c r="C1112">
        <f>[2]TongHop!C1112</f>
        <v>0</v>
      </c>
      <c r="D1112">
        <f>[2]TongHop!D1112</f>
        <v>0</v>
      </c>
      <c r="E1112">
        <f>[2]TongHop!E1112</f>
        <v>0</v>
      </c>
      <c r="F1112">
        <f>[2]TongHop!F1112</f>
        <v>0</v>
      </c>
      <c r="G1112">
        <f>[2]TongHop!G1112</f>
        <v>0</v>
      </c>
      <c r="H1112">
        <f>[2]TongHop!H1112</f>
        <v>0</v>
      </c>
      <c r="I1112">
        <f>[2]TongHop!I1112</f>
        <v>0</v>
      </c>
      <c r="J1112">
        <f>[2]TongHop!J1112</f>
        <v>0</v>
      </c>
      <c r="K1112">
        <f>[2]TongHop!K1112</f>
        <v>0</v>
      </c>
      <c r="L1112">
        <f>[2]TongHop!L1112</f>
        <v>0</v>
      </c>
      <c r="M1112">
        <f>[2]TongHop!M1112</f>
        <v>0</v>
      </c>
      <c r="N1112">
        <f>[2]TongHop!N1112</f>
        <v>0</v>
      </c>
    </row>
    <row r="1113" spans="1:14">
      <c r="A1113">
        <f>[2]TongHop!A1113</f>
        <v>0</v>
      </c>
      <c r="B1113">
        <f>[2]TongHop!B1113</f>
        <v>0</v>
      </c>
      <c r="C1113">
        <f>[2]TongHop!C1113</f>
        <v>0</v>
      </c>
      <c r="D1113">
        <f>[2]TongHop!D1113</f>
        <v>0</v>
      </c>
      <c r="E1113">
        <f>[2]TongHop!E1113</f>
        <v>0</v>
      </c>
      <c r="F1113">
        <f>[2]TongHop!F1113</f>
        <v>0</v>
      </c>
      <c r="G1113">
        <f>[2]TongHop!G1113</f>
        <v>0</v>
      </c>
      <c r="H1113">
        <f>[2]TongHop!H1113</f>
        <v>0</v>
      </c>
      <c r="I1113">
        <f>[2]TongHop!I1113</f>
        <v>0</v>
      </c>
      <c r="J1113">
        <f>[2]TongHop!J1113</f>
        <v>0</v>
      </c>
      <c r="K1113">
        <f>[2]TongHop!K1113</f>
        <v>0</v>
      </c>
      <c r="L1113">
        <f>[2]TongHop!L1113</f>
        <v>0</v>
      </c>
      <c r="M1113">
        <f>[2]TongHop!M1113</f>
        <v>0</v>
      </c>
      <c r="N1113">
        <f>[2]TongHop!N1113</f>
        <v>0</v>
      </c>
    </row>
    <row r="1114" spans="1:14">
      <c r="A1114">
        <f>[2]TongHop!A1114</f>
        <v>0</v>
      </c>
      <c r="B1114">
        <f>[2]TongHop!B1114</f>
        <v>0</v>
      </c>
      <c r="C1114">
        <f>[2]TongHop!C1114</f>
        <v>0</v>
      </c>
      <c r="D1114">
        <f>[2]TongHop!D1114</f>
        <v>0</v>
      </c>
      <c r="E1114">
        <f>[2]TongHop!E1114</f>
        <v>0</v>
      </c>
      <c r="F1114">
        <f>[2]TongHop!F1114</f>
        <v>0</v>
      </c>
      <c r="G1114">
        <f>[2]TongHop!G1114</f>
        <v>0</v>
      </c>
      <c r="H1114">
        <f>[2]TongHop!H1114</f>
        <v>0</v>
      </c>
      <c r="I1114">
        <f>[2]TongHop!I1114</f>
        <v>0</v>
      </c>
      <c r="J1114">
        <f>[2]TongHop!J1114</f>
        <v>0</v>
      </c>
      <c r="K1114">
        <f>[2]TongHop!K1114</f>
        <v>0</v>
      </c>
      <c r="L1114">
        <f>[2]TongHop!L1114</f>
        <v>0</v>
      </c>
      <c r="M1114">
        <f>[2]TongHop!M1114</f>
        <v>0</v>
      </c>
      <c r="N1114">
        <f>[2]TongHop!N1114</f>
        <v>0</v>
      </c>
    </row>
    <row r="1115" spans="1:14">
      <c r="A1115">
        <f>[2]TongHop!A1115</f>
        <v>0</v>
      </c>
      <c r="B1115">
        <f>[2]TongHop!B1115</f>
        <v>0</v>
      </c>
      <c r="C1115">
        <f>[2]TongHop!C1115</f>
        <v>0</v>
      </c>
      <c r="D1115">
        <f>[2]TongHop!D1115</f>
        <v>0</v>
      </c>
      <c r="E1115">
        <f>[2]TongHop!E1115</f>
        <v>0</v>
      </c>
      <c r="F1115">
        <f>[2]TongHop!F1115</f>
        <v>0</v>
      </c>
      <c r="G1115">
        <f>[2]TongHop!G1115</f>
        <v>0</v>
      </c>
      <c r="H1115">
        <f>[2]TongHop!H1115</f>
        <v>0</v>
      </c>
      <c r="I1115">
        <f>[2]TongHop!I1115</f>
        <v>0</v>
      </c>
      <c r="J1115">
        <f>[2]TongHop!J1115</f>
        <v>0</v>
      </c>
      <c r="K1115">
        <f>[2]TongHop!K1115</f>
        <v>0</v>
      </c>
      <c r="L1115">
        <f>[2]TongHop!L1115</f>
        <v>0</v>
      </c>
      <c r="M1115">
        <f>[2]TongHop!M1115</f>
        <v>0</v>
      </c>
      <c r="N1115">
        <f>[2]TongHop!N1115</f>
        <v>0</v>
      </c>
    </row>
    <row r="1116" spans="1:14">
      <c r="A1116">
        <f>[2]TongHop!A1116</f>
        <v>0</v>
      </c>
      <c r="B1116">
        <f>[2]TongHop!B1116</f>
        <v>0</v>
      </c>
      <c r="C1116">
        <f>[2]TongHop!C1116</f>
        <v>0</v>
      </c>
      <c r="D1116">
        <f>[2]TongHop!D1116</f>
        <v>0</v>
      </c>
      <c r="E1116">
        <f>[2]TongHop!E1116</f>
        <v>0</v>
      </c>
      <c r="F1116">
        <f>[2]TongHop!F1116</f>
        <v>0</v>
      </c>
      <c r="G1116">
        <f>[2]TongHop!G1116</f>
        <v>0</v>
      </c>
      <c r="H1116">
        <f>[2]TongHop!H1116</f>
        <v>0</v>
      </c>
      <c r="I1116">
        <f>[2]TongHop!I1116</f>
        <v>0</v>
      </c>
      <c r="J1116">
        <f>[2]TongHop!J1116</f>
        <v>0</v>
      </c>
      <c r="K1116">
        <f>[2]TongHop!K1116</f>
        <v>0</v>
      </c>
      <c r="L1116">
        <f>[2]TongHop!L1116</f>
        <v>0</v>
      </c>
      <c r="M1116">
        <f>[2]TongHop!M1116</f>
        <v>0</v>
      </c>
      <c r="N1116">
        <f>[2]TongHop!N1116</f>
        <v>0</v>
      </c>
    </row>
    <row r="1117" spans="1:14">
      <c r="A1117">
        <f>[2]TongHop!A1117</f>
        <v>0</v>
      </c>
      <c r="B1117">
        <f>[2]TongHop!B1117</f>
        <v>0</v>
      </c>
      <c r="C1117">
        <f>[2]TongHop!C1117</f>
        <v>0</v>
      </c>
      <c r="D1117">
        <f>[2]TongHop!D1117</f>
        <v>0</v>
      </c>
      <c r="E1117">
        <f>[2]TongHop!E1117</f>
        <v>0</v>
      </c>
      <c r="F1117">
        <f>[2]TongHop!F1117</f>
        <v>0</v>
      </c>
      <c r="G1117">
        <f>[2]TongHop!G1117</f>
        <v>0</v>
      </c>
      <c r="H1117">
        <f>[2]TongHop!H1117</f>
        <v>0</v>
      </c>
      <c r="I1117">
        <f>[2]TongHop!I1117</f>
        <v>0</v>
      </c>
      <c r="J1117">
        <f>[2]TongHop!J1117</f>
        <v>0</v>
      </c>
      <c r="K1117">
        <f>[2]TongHop!K1117</f>
        <v>0</v>
      </c>
      <c r="L1117">
        <f>[2]TongHop!L1117</f>
        <v>0</v>
      </c>
      <c r="M1117">
        <f>[2]TongHop!M1117</f>
        <v>0</v>
      </c>
      <c r="N1117">
        <f>[2]TongHop!N1117</f>
        <v>0</v>
      </c>
    </row>
    <row r="1118" spans="1:14">
      <c r="A1118">
        <f>[2]TongHop!A1118</f>
        <v>0</v>
      </c>
      <c r="B1118">
        <f>[2]TongHop!B1118</f>
        <v>0</v>
      </c>
      <c r="C1118">
        <f>[2]TongHop!C1118</f>
        <v>0</v>
      </c>
      <c r="D1118">
        <f>[2]TongHop!D1118</f>
        <v>0</v>
      </c>
      <c r="E1118">
        <f>[2]TongHop!E1118</f>
        <v>0</v>
      </c>
      <c r="F1118">
        <f>[2]TongHop!F1118</f>
        <v>0</v>
      </c>
      <c r="G1118">
        <f>[2]TongHop!G1118</f>
        <v>0</v>
      </c>
      <c r="H1118">
        <f>[2]TongHop!H1118</f>
        <v>0</v>
      </c>
      <c r="I1118">
        <f>[2]TongHop!I1118</f>
        <v>0</v>
      </c>
      <c r="J1118">
        <f>[2]TongHop!J1118</f>
        <v>0</v>
      </c>
      <c r="K1118">
        <f>[2]TongHop!K1118</f>
        <v>0</v>
      </c>
      <c r="L1118">
        <f>[2]TongHop!L1118</f>
        <v>0</v>
      </c>
      <c r="M1118">
        <f>[2]TongHop!M1118</f>
        <v>0</v>
      </c>
      <c r="N1118">
        <f>[2]TongHop!N1118</f>
        <v>0</v>
      </c>
    </row>
    <row r="1119" spans="1:14">
      <c r="A1119">
        <f>[2]TongHop!A1119</f>
        <v>0</v>
      </c>
      <c r="B1119">
        <f>[2]TongHop!B1119</f>
        <v>0</v>
      </c>
      <c r="C1119">
        <f>[2]TongHop!C1119</f>
        <v>0</v>
      </c>
      <c r="D1119">
        <f>[2]TongHop!D1119</f>
        <v>0</v>
      </c>
      <c r="E1119">
        <f>[2]TongHop!E1119</f>
        <v>0</v>
      </c>
      <c r="F1119">
        <f>[2]TongHop!F1119</f>
        <v>0</v>
      </c>
      <c r="G1119">
        <f>[2]TongHop!G1119</f>
        <v>0</v>
      </c>
      <c r="H1119">
        <f>[2]TongHop!H1119</f>
        <v>0</v>
      </c>
      <c r="I1119">
        <f>[2]TongHop!I1119</f>
        <v>0</v>
      </c>
      <c r="J1119">
        <f>[2]TongHop!J1119</f>
        <v>0</v>
      </c>
      <c r="K1119">
        <f>[2]TongHop!K1119</f>
        <v>0</v>
      </c>
      <c r="L1119">
        <f>[2]TongHop!L1119</f>
        <v>0</v>
      </c>
      <c r="M1119">
        <f>[2]TongHop!M1119</f>
        <v>0</v>
      </c>
      <c r="N1119">
        <f>[2]TongHop!N1119</f>
        <v>0</v>
      </c>
    </row>
    <row r="1120" spans="1:14">
      <c r="A1120">
        <f>[2]TongHop!A1120</f>
        <v>0</v>
      </c>
      <c r="B1120">
        <f>[2]TongHop!B1120</f>
        <v>0</v>
      </c>
      <c r="C1120">
        <f>[2]TongHop!C1120</f>
        <v>0</v>
      </c>
      <c r="D1120">
        <f>[2]TongHop!D1120</f>
        <v>0</v>
      </c>
      <c r="E1120">
        <f>[2]TongHop!E1120</f>
        <v>0</v>
      </c>
      <c r="F1120">
        <f>[2]TongHop!F1120</f>
        <v>0</v>
      </c>
      <c r="G1120">
        <f>[2]TongHop!G1120</f>
        <v>0</v>
      </c>
      <c r="H1120">
        <f>[2]TongHop!H1120</f>
        <v>0</v>
      </c>
      <c r="I1120">
        <f>[2]TongHop!I1120</f>
        <v>0</v>
      </c>
      <c r="J1120">
        <f>[2]TongHop!J1120</f>
        <v>0</v>
      </c>
      <c r="K1120">
        <f>[2]TongHop!K1120</f>
        <v>0</v>
      </c>
      <c r="L1120">
        <f>[2]TongHop!L1120</f>
        <v>0</v>
      </c>
      <c r="M1120">
        <f>[2]TongHop!M1120</f>
        <v>0</v>
      </c>
      <c r="N1120">
        <f>[2]TongHop!N1120</f>
        <v>0</v>
      </c>
    </row>
    <row r="1121" spans="1:14">
      <c r="A1121">
        <f>[2]TongHop!A1121</f>
        <v>0</v>
      </c>
      <c r="B1121">
        <f>[2]TongHop!B1121</f>
        <v>0</v>
      </c>
      <c r="C1121">
        <f>[2]TongHop!C1121</f>
        <v>0</v>
      </c>
      <c r="D1121">
        <f>[2]TongHop!D1121</f>
        <v>0</v>
      </c>
      <c r="E1121">
        <f>[2]TongHop!E1121</f>
        <v>0</v>
      </c>
      <c r="F1121">
        <f>[2]TongHop!F1121</f>
        <v>0</v>
      </c>
      <c r="G1121">
        <f>[2]TongHop!G1121</f>
        <v>0</v>
      </c>
      <c r="H1121">
        <f>[2]TongHop!H1121</f>
        <v>0</v>
      </c>
      <c r="I1121">
        <f>[2]TongHop!I1121</f>
        <v>0</v>
      </c>
      <c r="J1121">
        <f>[2]TongHop!J1121</f>
        <v>0</v>
      </c>
      <c r="K1121">
        <f>[2]TongHop!K1121</f>
        <v>0</v>
      </c>
      <c r="L1121">
        <f>[2]TongHop!L1121</f>
        <v>0</v>
      </c>
      <c r="M1121">
        <f>[2]TongHop!M1121</f>
        <v>0</v>
      </c>
      <c r="N1121">
        <f>[2]TongHop!N1121</f>
        <v>0</v>
      </c>
    </row>
    <row r="1122" spans="1:14">
      <c r="A1122">
        <f>[2]TongHop!A1122</f>
        <v>0</v>
      </c>
      <c r="B1122">
        <f>[2]TongHop!B1122</f>
        <v>0</v>
      </c>
      <c r="C1122">
        <f>[2]TongHop!C1122</f>
        <v>0</v>
      </c>
      <c r="D1122">
        <f>[2]TongHop!D1122</f>
        <v>0</v>
      </c>
      <c r="E1122">
        <f>[2]TongHop!E1122</f>
        <v>0</v>
      </c>
      <c r="F1122">
        <f>[2]TongHop!F1122</f>
        <v>0</v>
      </c>
      <c r="G1122">
        <f>[2]TongHop!G1122</f>
        <v>0</v>
      </c>
      <c r="H1122">
        <f>[2]TongHop!H1122</f>
        <v>0</v>
      </c>
      <c r="I1122">
        <f>[2]TongHop!I1122</f>
        <v>0</v>
      </c>
      <c r="J1122">
        <f>[2]TongHop!J1122</f>
        <v>0</v>
      </c>
      <c r="K1122">
        <f>[2]TongHop!K1122</f>
        <v>0</v>
      </c>
      <c r="L1122">
        <f>[2]TongHop!L1122</f>
        <v>0</v>
      </c>
      <c r="M1122">
        <f>[2]TongHop!M1122</f>
        <v>0</v>
      </c>
      <c r="N1122">
        <f>[2]TongHop!N1122</f>
        <v>0</v>
      </c>
    </row>
    <row r="1123" spans="1:14">
      <c r="A1123">
        <f>[2]TongHop!A1123</f>
        <v>0</v>
      </c>
      <c r="B1123">
        <f>[2]TongHop!B1123</f>
        <v>0</v>
      </c>
      <c r="C1123">
        <f>[2]TongHop!C1123</f>
        <v>0</v>
      </c>
      <c r="D1123">
        <f>[2]TongHop!D1123</f>
        <v>0</v>
      </c>
      <c r="E1123">
        <f>[2]TongHop!E1123</f>
        <v>0</v>
      </c>
      <c r="F1123">
        <f>[2]TongHop!F1123</f>
        <v>0</v>
      </c>
      <c r="G1123">
        <f>[2]TongHop!G1123</f>
        <v>0</v>
      </c>
      <c r="H1123">
        <f>[2]TongHop!H1123</f>
        <v>0</v>
      </c>
      <c r="I1123">
        <f>[2]TongHop!I1123</f>
        <v>0</v>
      </c>
      <c r="J1123">
        <f>[2]TongHop!J1123</f>
        <v>0</v>
      </c>
      <c r="K1123">
        <f>[2]TongHop!K1123</f>
        <v>0</v>
      </c>
      <c r="L1123">
        <f>[2]TongHop!L1123</f>
        <v>0</v>
      </c>
      <c r="M1123">
        <f>[2]TongHop!M1123</f>
        <v>0</v>
      </c>
      <c r="N1123">
        <f>[2]TongHop!N1123</f>
        <v>0</v>
      </c>
    </row>
    <row r="1124" spans="1:14">
      <c r="A1124">
        <f>[2]TongHop!A1124</f>
        <v>0</v>
      </c>
      <c r="B1124">
        <f>[2]TongHop!B1124</f>
        <v>0</v>
      </c>
      <c r="C1124">
        <f>[2]TongHop!C1124</f>
        <v>0</v>
      </c>
      <c r="D1124">
        <f>[2]TongHop!D1124</f>
        <v>0</v>
      </c>
      <c r="E1124">
        <f>[2]TongHop!E1124</f>
        <v>0</v>
      </c>
      <c r="F1124">
        <f>[2]TongHop!F1124</f>
        <v>0</v>
      </c>
      <c r="G1124">
        <f>[2]TongHop!G1124</f>
        <v>0</v>
      </c>
      <c r="H1124">
        <f>[2]TongHop!H1124</f>
        <v>0</v>
      </c>
      <c r="I1124">
        <f>[2]TongHop!I1124</f>
        <v>0</v>
      </c>
      <c r="J1124">
        <f>[2]TongHop!J1124</f>
        <v>0</v>
      </c>
      <c r="K1124">
        <f>[2]TongHop!K1124</f>
        <v>0</v>
      </c>
      <c r="L1124">
        <f>[2]TongHop!L1124</f>
        <v>0</v>
      </c>
      <c r="M1124">
        <f>[2]TongHop!M1124</f>
        <v>0</v>
      </c>
      <c r="N1124">
        <f>[2]TongHop!N1124</f>
        <v>0</v>
      </c>
    </row>
    <row r="1125" spans="1:14">
      <c r="A1125">
        <f>[2]TongHop!A1125</f>
        <v>0</v>
      </c>
      <c r="B1125">
        <f>[2]TongHop!B1125</f>
        <v>0</v>
      </c>
      <c r="C1125">
        <f>[2]TongHop!C1125</f>
        <v>0</v>
      </c>
      <c r="D1125">
        <f>[2]TongHop!D1125</f>
        <v>0</v>
      </c>
      <c r="E1125">
        <f>[2]TongHop!E1125</f>
        <v>0</v>
      </c>
      <c r="F1125">
        <f>[2]TongHop!F1125</f>
        <v>0</v>
      </c>
      <c r="G1125">
        <f>[2]TongHop!G1125</f>
        <v>0</v>
      </c>
      <c r="H1125">
        <f>[2]TongHop!H1125</f>
        <v>0</v>
      </c>
      <c r="I1125">
        <f>[2]TongHop!I1125</f>
        <v>0</v>
      </c>
      <c r="J1125">
        <f>[2]TongHop!J1125</f>
        <v>0</v>
      </c>
      <c r="K1125">
        <f>[2]TongHop!K1125</f>
        <v>0</v>
      </c>
      <c r="L1125">
        <f>[2]TongHop!L1125</f>
        <v>0</v>
      </c>
      <c r="M1125">
        <f>[2]TongHop!M1125</f>
        <v>0</v>
      </c>
      <c r="N1125">
        <f>[2]TongHop!N1125</f>
        <v>0</v>
      </c>
    </row>
    <row r="1126" spans="1:14">
      <c r="A1126">
        <f>[2]TongHop!A1126</f>
        <v>0</v>
      </c>
      <c r="B1126">
        <f>[2]TongHop!B1126</f>
        <v>0</v>
      </c>
      <c r="C1126">
        <f>[2]TongHop!C1126</f>
        <v>0</v>
      </c>
      <c r="D1126">
        <f>[2]TongHop!D1126</f>
        <v>0</v>
      </c>
      <c r="E1126">
        <f>[2]TongHop!E1126</f>
        <v>0</v>
      </c>
      <c r="F1126">
        <f>[2]TongHop!F1126</f>
        <v>0</v>
      </c>
      <c r="G1126">
        <f>[2]TongHop!G1126</f>
        <v>0</v>
      </c>
      <c r="H1126">
        <f>[2]TongHop!H1126</f>
        <v>0</v>
      </c>
      <c r="I1126">
        <f>[2]TongHop!I1126</f>
        <v>0</v>
      </c>
      <c r="J1126">
        <f>[2]TongHop!J1126</f>
        <v>0</v>
      </c>
      <c r="K1126">
        <f>[2]TongHop!K1126</f>
        <v>0</v>
      </c>
      <c r="L1126">
        <f>[2]TongHop!L1126</f>
        <v>0</v>
      </c>
      <c r="M1126">
        <f>[2]TongHop!M1126</f>
        <v>0</v>
      </c>
      <c r="N1126">
        <f>[2]TongHop!N1126</f>
        <v>0</v>
      </c>
    </row>
    <row r="1127" spans="1:14">
      <c r="A1127">
        <f>[2]TongHop!A1127</f>
        <v>0</v>
      </c>
      <c r="B1127">
        <f>[2]TongHop!B1127</f>
        <v>0</v>
      </c>
      <c r="C1127">
        <f>[2]TongHop!C1127</f>
        <v>0</v>
      </c>
      <c r="D1127">
        <f>[2]TongHop!D1127</f>
        <v>0</v>
      </c>
      <c r="E1127">
        <f>[2]TongHop!E1127</f>
        <v>0</v>
      </c>
      <c r="F1127">
        <f>[2]TongHop!F1127</f>
        <v>0</v>
      </c>
      <c r="G1127">
        <f>[2]TongHop!G1127</f>
        <v>0</v>
      </c>
      <c r="H1127">
        <f>[2]TongHop!H1127</f>
        <v>0</v>
      </c>
      <c r="I1127">
        <f>[2]TongHop!I1127</f>
        <v>0</v>
      </c>
      <c r="J1127">
        <f>[2]TongHop!J1127</f>
        <v>0</v>
      </c>
      <c r="K1127">
        <f>[2]TongHop!K1127</f>
        <v>0</v>
      </c>
      <c r="L1127">
        <f>[2]TongHop!L1127</f>
        <v>0</v>
      </c>
      <c r="M1127">
        <f>[2]TongHop!M1127</f>
        <v>0</v>
      </c>
      <c r="N1127">
        <f>[2]TongHop!N1127</f>
        <v>0</v>
      </c>
    </row>
    <row r="1128" spans="1:14">
      <c r="A1128">
        <f>[2]TongHop!A1128</f>
        <v>0</v>
      </c>
      <c r="B1128">
        <f>[2]TongHop!B1128</f>
        <v>0</v>
      </c>
      <c r="C1128">
        <f>[2]TongHop!C1128</f>
        <v>0</v>
      </c>
      <c r="D1128">
        <f>[2]TongHop!D1128</f>
        <v>0</v>
      </c>
      <c r="E1128">
        <f>[2]TongHop!E1128</f>
        <v>0</v>
      </c>
      <c r="F1128">
        <f>[2]TongHop!F1128</f>
        <v>0</v>
      </c>
      <c r="G1128">
        <f>[2]TongHop!G1128</f>
        <v>0</v>
      </c>
      <c r="H1128">
        <f>[2]TongHop!H1128</f>
        <v>0</v>
      </c>
      <c r="I1128">
        <f>[2]TongHop!I1128</f>
        <v>0</v>
      </c>
      <c r="J1128">
        <f>[2]TongHop!J1128</f>
        <v>0</v>
      </c>
      <c r="K1128">
        <f>[2]TongHop!K1128</f>
        <v>0</v>
      </c>
      <c r="L1128">
        <f>[2]TongHop!L1128</f>
        <v>0</v>
      </c>
      <c r="M1128">
        <f>[2]TongHop!M1128</f>
        <v>0</v>
      </c>
      <c r="N1128">
        <f>[2]TongHop!N1128</f>
        <v>0</v>
      </c>
    </row>
    <row r="1129" spans="1:14">
      <c r="A1129">
        <f>[2]TongHop!A1129</f>
        <v>0</v>
      </c>
      <c r="B1129">
        <f>[2]TongHop!B1129</f>
        <v>0</v>
      </c>
      <c r="C1129">
        <f>[2]TongHop!C1129</f>
        <v>0</v>
      </c>
      <c r="D1129">
        <f>[2]TongHop!D1129</f>
        <v>0</v>
      </c>
      <c r="E1129">
        <f>[2]TongHop!E1129</f>
        <v>0</v>
      </c>
      <c r="F1129">
        <f>[2]TongHop!F1129</f>
        <v>0</v>
      </c>
      <c r="G1129">
        <f>[2]TongHop!G1129</f>
        <v>0</v>
      </c>
      <c r="H1129">
        <f>[2]TongHop!H1129</f>
        <v>0</v>
      </c>
      <c r="I1129">
        <f>[2]TongHop!I1129</f>
        <v>0</v>
      </c>
      <c r="J1129">
        <f>[2]TongHop!J1129</f>
        <v>0</v>
      </c>
      <c r="K1129">
        <f>[2]TongHop!K1129</f>
        <v>0</v>
      </c>
      <c r="L1129">
        <f>[2]TongHop!L1129</f>
        <v>0</v>
      </c>
      <c r="M1129">
        <f>[2]TongHop!M1129</f>
        <v>0</v>
      </c>
      <c r="N1129">
        <f>[2]TongHop!N1129</f>
        <v>0</v>
      </c>
    </row>
    <row r="1130" spans="1:14">
      <c r="A1130">
        <f>[2]TongHop!A1130</f>
        <v>0</v>
      </c>
      <c r="B1130">
        <f>[2]TongHop!B1130</f>
        <v>0</v>
      </c>
      <c r="C1130">
        <f>[2]TongHop!C1130</f>
        <v>0</v>
      </c>
      <c r="D1130">
        <f>[2]TongHop!D1130</f>
        <v>0</v>
      </c>
      <c r="E1130">
        <f>[2]TongHop!E1130</f>
        <v>0</v>
      </c>
      <c r="F1130">
        <f>[2]TongHop!F1130</f>
        <v>0</v>
      </c>
      <c r="G1130">
        <f>[2]TongHop!G1130</f>
        <v>0</v>
      </c>
      <c r="H1130">
        <f>[2]TongHop!H1130</f>
        <v>0</v>
      </c>
      <c r="I1130">
        <f>[2]TongHop!I1130</f>
        <v>0</v>
      </c>
      <c r="J1130">
        <f>[2]TongHop!J1130</f>
        <v>0</v>
      </c>
      <c r="K1130">
        <f>[2]TongHop!K1130</f>
        <v>0</v>
      </c>
      <c r="L1130">
        <f>[2]TongHop!L1130</f>
        <v>0</v>
      </c>
      <c r="M1130">
        <f>[2]TongHop!M1130</f>
        <v>0</v>
      </c>
      <c r="N1130">
        <f>[2]TongHop!N1130</f>
        <v>0</v>
      </c>
    </row>
    <row r="1131" spans="1:14">
      <c r="A1131">
        <f>[2]TongHop!A1131</f>
        <v>0</v>
      </c>
      <c r="B1131">
        <f>[2]TongHop!B1131</f>
        <v>0</v>
      </c>
      <c r="C1131">
        <f>[2]TongHop!C1131</f>
        <v>0</v>
      </c>
      <c r="D1131">
        <f>[2]TongHop!D1131</f>
        <v>0</v>
      </c>
      <c r="E1131">
        <f>[2]TongHop!E1131</f>
        <v>0</v>
      </c>
      <c r="F1131">
        <f>[2]TongHop!F1131</f>
        <v>0</v>
      </c>
      <c r="G1131">
        <f>[2]TongHop!G1131</f>
        <v>0</v>
      </c>
      <c r="H1131">
        <f>[2]TongHop!H1131</f>
        <v>0</v>
      </c>
      <c r="I1131">
        <f>[2]TongHop!I1131</f>
        <v>0</v>
      </c>
      <c r="J1131">
        <f>[2]TongHop!J1131</f>
        <v>0</v>
      </c>
      <c r="K1131">
        <f>[2]TongHop!K1131</f>
        <v>0</v>
      </c>
      <c r="L1131">
        <f>[2]TongHop!L1131</f>
        <v>0</v>
      </c>
      <c r="M1131">
        <f>[2]TongHop!M1131</f>
        <v>0</v>
      </c>
      <c r="N1131">
        <f>[2]TongHop!N1131</f>
        <v>0</v>
      </c>
    </row>
    <row r="1132" spans="1:14">
      <c r="A1132">
        <f>[2]TongHop!A1132</f>
        <v>0</v>
      </c>
      <c r="B1132">
        <f>[2]TongHop!B1132</f>
        <v>0</v>
      </c>
      <c r="C1132">
        <f>[2]TongHop!C1132</f>
        <v>0</v>
      </c>
      <c r="D1132">
        <f>[2]TongHop!D1132</f>
        <v>0</v>
      </c>
      <c r="E1132">
        <f>[2]TongHop!E1132</f>
        <v>0</v>
      </c>
      <c r="F1132">
        <f>[2]TongHop!F1132</f>
        <v>0</v>
      </c>
      <c r="G1132">
        <f>[2]TongHop!G1132</f>
        <v>0</v>
      </c>
      <c r="H1132">
        <f>[2]TongHop!H1132</f>
        <v>0</v>
      </c>
      <c r="I1132">
        <f>[2]TongHop!I1132</f>
        <v>0</v>
      </c>
      <c r="J1132">
        <f>[2]TongHop!J1132</f>
        <v>0</v>
      </c>
      <c r="K1132">
        <f>[2]TongHop!K1132</f>
        <v>0</v>
      </c>
      <c r="L1132">
        <f>[2]TongHop!L1132</f>
        <v>0</v>
      </c>
      <c r="M1132">
        <f>[2]TongHop!M1132</f>
        <v>0</v>
      </c>
      <c r="N1132">
        <f>[2]TongHop!N1132</f>
        <v>0</v>
      </c>
    </row>
    <row r="1133" spans="1:14">
      <c r="A1133">
        <f>[2]TongHop!A1133</f>
        <v>0</v>
      </c>
      <c r="B1133">
        <f>[2]TongHop!B1133</f>
        <v>0</v>
      </c>
      <c r="C1133">
        <f>[2]TongHop!C1133</f>
        <v>0</v>
      </c>
      <c r="D1133">
        <f>[2]TongHop!D1133</f>
        <v>0</v>
      </c>
      <c r="E1133">
        <f>[2]TongHop!E1133</f>
        <v>0</v>
      </c>
      <c r="F1133">
        <f>[2]TongHop!F1133</f>
        <v>0</v>
      </c>
      <c r="G1133">
        <f>[2]TongHop!G1133</f>
        <v>0</v>
      </c>
      <c r="H1133">
        <f>[2]TongHop!H1133</f>
        <v>0</v>
      </c>
      <c r="I1133">
        <f>[2]TongHop!I1133</f>
        <v>0</v>
      </c>
      <c r="J1133">
        <f>[2]TongHop!J1133</f>
        <v>0</v>
      </c>
      <c r="K1133">
        <f>[2]TongHop!K1133</f>
        <v>0</v>
      </c>
      <c r="L1133">
        <f>[2]TongHop!L1133</f>
        <v>0</v>
      </c>
      <c r="M1133">
        <f>[2]TongHop!M1133</f>
        <v>0</v>
      </c>
      <c r="N1133">
        <f>[2]TongHop!N1133</f>
        <v>0</v>
      </c>
    </row>
    <row r="1134" spans="1:14">
      <c r="A1134">
        <f>[2]TongHop!A1134</f>
        <v>0</v>
      </c>
      <c r="B1134">
        <f>[2]TongHop!B1134</f>
        <v>0</v>
      </c>
      <c r="C1134">
        <f>[2]TongHop!C1134</f>
        <v>0</v>
      </c>
      <c r="D1134">
        <f>[2]TongHop!D1134</f>
        <v>0</v>
      </c>
      <c r="E1134">
        <f>[2]TongHop!E1134</f>
        <v>0</v>
      </c>
      <c r="F1134">
        <f>[2]TongHop!F1134</f>
        <v>0</v>
      </c>
      <c r="G1134">
        <f>[2]TongHop!G1134</f>
        <v>0</v>
      </c>
      <c r="H1134">
        <f>[2]TongHop!H1134</f>
        <v>0</v>
      </c>
      <c r="I1134">
        <f>[2]TongHop!I1134</f>
        <v>0</v>
      </c>
      <c r="J1134">
        <f>[2]TongHop!J1134</f>
        <v>0</v>
      </c>
      <c r="K1134">
        <f>[2]TongHop!K1134</f>
        <v>0</v>
      </c>
      <c r="L1134">
        <f>[2]TongHop!L1134</f>
        <v>0</v>
      </c>
      <c r="M1134">
        <f>[2]TongHop!M1134</f>
        <v>0</v>
      </c>
      <c r="N1134">
        <f>[2]TongHop!N1134</f>
        <v>0</v>
      </c>
    </row>
    <row r="1135" spans="1:14">
      <c r="A1135">
        <f>[2]TongHop!A1135</f>
        <v>0</v>
      </c>
      <c r="B1135">
        <f>[2]TongHop!B1135</f>
        <v>0</v>
      </c>
      <c r="C1135">
        <f>[2]TongHop!C1135</f>
        <v>0</v>
      </c>
      <c r="D1135">
        <f>[2]TongHop!D1135</f>
        <v>0</v>
      </c>
      <c r="E1135">
        <f>[2]TongHop!E1135</f>
        <v>0</v>
      </c>
      <c r="F1135">
        <f>[2]TongHop!F1135</f>
        <v>0</v>
      </c>
      <c r="G1135">
        <f>[2]TongHop!G1135</f>
        <v>0</v>
      </c>
      <c r="H1135">
        <f>[2]TongHop!H1135</f>
        <v>0</v>
      </c>
      <c r="I1135">
        <f>[2]TongHop!I1135</f>
        <v>0</v>
      </c>
      <c r="J1135">
        <f>[2]TongHop!J1135</f>
        <v>0</v>
      </c>
      <c r="K1135">
        <f>[2]TongHop!K1135</f>
        <v>0</v>
      </c>
      <c r="L1135">
        <f>[2]TongHop!L1135</f>
        <v>0</v>
      </c>
      <c r="M1135">
        <f>[2]TongHop!M1135</f>
        <v>0</v>
      </c>
      <c r="N1135">
        <f>[2]TongHop!N1135</f>
        <v>0</v>
      </c>
    </row>
    <row r="1136" spans="1:14">
      <c r="A1136">
        <f>[2]TongHop!A1136</f>
        <v>0</v>
      </c>
      <c r="B1136">
        <f>[2]TongHop!B1136</f>
        <v>0</v>
      </c>
      <c r="C1136">
        <f>[2]TongHop!C1136</f>
        <v>0</v>
      </c>
      <c r="D1136">
        <f>[2]TongHop!D1136</f>
        <v>0</v>
      </c>
      <c r="E1136">
        <f>[2]TongHop!E1136</f>
        <v>0</v>
      </c>
      <c r="F1136">
        <f>[2]TongHop!F1136</f>
        <v>0</v>
      </c>
      <c r="G1136">
        <f>[2]TongHop!G1136</f>
        <v>0</v>
      </c>
      <c r="H1136">
        <f>[2]TongHop!H1136</f>
        <v>0</v>
      </c>
      <c r="I1136">
        <f>[2]TongHop!I1136</f>
        <v>0</v>
      </c>
      <c r="J1136">
        <f>[2]TongHop!J1136</f>
        <v>0</v>
      </c>
      <c r="K1136">
        <f>[2]TongHop!K1136</f>
        <v>0</v>
      </c>
      <c r="L1136">
        <f>[2]TongHop!L1136</f>
        <v>0</v>
      </c>
      <c r="M1136">
        <f>[2]TongHop!M1136</f>
        <v>0</v>
      </c>
      <c r="N1136">
        <f>[2]TongHop!N1136</f>
        <v>0</v>
      </c>
    </row>
    <row r="1137" spans="1:14">
      <c r="A1137">
        <f>[2]TongHop!A1137</f>
        <v>0</v>
      </c>
      <c r="B1137">
        <f>[2]TongHop!B1137</f>
        <v>0</v>
      </c>
      <c r="C1137">
        <f>[2]TongHop!C1137</f>
        <v>0</v>
      </c>
      <c r="D1137">
        <f>[2]TongHop!D1137</f>
        <v>0</v>
      </c>
      <c r="E1137">
        <f>[2]TongHop!E1137</f>
        <v>0</v>
      </c>
      <c r="F1137">
        <f>[2]TongHop!F1137</f>
        <v>0</v>
      </c>
      <c r="G1137">
        <f>[2]TongHop!G1137</f>
        <v>0</v>
      </c>
      <c r="H1137">
        <f>[2]TongHop!H1137</f>
        <v>0</v>
      </c>
      <c r="I1137">
        <f>[2]TongHop!I1137</f>
        <v>0</v>
      </c>
      <c r="J1137">
        <f>[2]TongHop!J1137</f>
        <v>0</v>
      </c>
      <c r="K1137">
        <f>[2]TongHop!K1137</f>
        <v>0</v>
      </c>
      <c r="L1137">
        <f>[2]TongHop!L1137</f>
        <v>0</v>
      </c>
      <c r="M1137">
        <f>[2]TongHop!M1137</f>
        <v>0</v>
      </c>
      <c r="N1137">
        <f>[2]TongHop!N1137</f>
        <v>0</v>
      </c>
    </row>
    <row r="1138" spans="1:14">
      <c r="A1138">
        <f>[2]TongHop!A1138</f>
        <v>0</v>
      </c>
      <c r="B1138">
        <f>[2]TongHop!B1138</f>
        <v>0</v>
      </c>
      <c r="C1138">
        <f>[2]TongHop!C1138</f>
        <v>0</v>
      </c>
      <c r="D1138">
        <f>[2]TongHop!D1138</f>
        <v>0</v>
      </c>
      <c r="E1138">
        <f>[2]TongHop!E1138</f>
        <v>0</v>
      </c>
      <c r="F1138">
        <f>[2]TongHop!F1138</f>
        <v>0</v>
      </c>
      <c r="G1138">
        <f>[2]TongHop!G1138</f>
        <v>0</v>
      </c>
      <c r="H1138">
        <f>[2]TongHop!H1138</f>
        <v>0</v>
      </c>
      <c r="I1138">
        <f>[2]TongHop!I1138</f>
        <v>0</v>
      </c>
      <c r="J1138">
        <f>[2]TongHop!J1138</f>
        <v>0</v>
      </c>
      <c r="K1138">
        <f>[2]TongHop!K1138</f>
        <v>0</v>
      </c>
      <c r="L1138">
        <f>[2]TongHop!L1138</f>
        <v>0</v>
      </c>
      <c r="M1138">
        <f>[2]TongHop!M1138</f>
        <v>0</v>
      </c>
      <c r="N1138">
        <f>[2]TongHop!N1138</f>
        <v>0</v>
      </c>
    </row>
    <row r="1139" spans="1:14">
      <c r="A1139">
        <f>[2]TongHop!A1139</f>
        <v>0</v>
      </c>
      <c r="B1139">
        <f>[2]TongHop!B1139</f>
        <v>0</v>
      </c>
      <c r="C1139">
        <f>[2]TongHop!C1139</f>
        <v>0</v>
      </c>
      <c r="D1139">
        <f>[2]TongHop!D1139</f>
        <v>0</v>
      </c>
      <c r="E1139">
        <f>[2]TongHop!E1139</f>
        <v>0</v>
      </c>
      <c r="F1139">
        <f>[2]TongHop!F1139</f>
        <v>0</v>
      </c>
      <c r="G1139">
        <f>[2]TongHop!G1139</f>
        <v>0</v>
      </c>
      <c r="H1139">
        <f>[2]TongHop!H1139</f>
        <v>0</v>
      </c>
      <c r="I1139">
        <f>[2]TongHop!I1139</f>
        <v>0</v>
      </c>
      <c r="J1139">
        <f>[2]TongHop!J1139</f>
        <v>0</v>
      </c>
      <c r="K1139">
        <f>[2]TongHop!K1139</f>
        <v>0</v>
      </c>
      <c r="L1139">
        <f>[2]TongHop!L1139</f>
        <v>0</v>
      </c>
      <c r="M1139">
        <f>[2]TongHop!M1139</f>
        <v>0</v>
      </c>
      <c r="N1139">
        <f>[2]TongHop!N1139</f>
        <v>0</v>
      </c>
    </row>
    <row r="1140" spans="1:14">
      <c r="A1140">
        <f>[2]TongHop!A1140</f>
        <v>0</v>
      </c>
      <c r="B1140">
        <f>[2]TongHop!B1140</f>
        <v>0</v>
      </c>
      <c r="C1140">
        <f>[2]TongHop!C1140</f>
        <v>0</v>
      </c>
      <c r="D1140">
        <f>[2]TongHop!D1140</f>
        <v>0</v>
      </c>
      <c r="E1140">
        <f>[2]TongHop!E1140</f>
        <v>0</v>
      </c>
      <c r="F1140">
        <f>[2]TongHop!F1140</f>
        <v>0</v>
      </c>
      <c r="G1140">
        <f>[2]TongHop!G1140</f>
        <v>0</v>
      </c>
      <c r="H1140">
        <f>[2]TongHop!H1140</f>
        <v>0</v>
      </c>
      <c r="I1140">
        <f>[2]TongHop!I1140</f>
        <v>0</v>
      </c>
      <c r="J1140">
        <f>[2]TongHop!J1140</f>
        <v>0</v>
      </c>
      <c r="K1140">
        <f>[2]TongHop!K1140</f>
        <v>0</v>
      </c>
      <c r="L1140">
        <f>[2]TongHop!L1140</f>
        <v>0</v>
      </c>
      <c r="M1140">
        <f>[2]TongHop!M1140</f>
        <v>0</v>
      </c>
      <c r="N1140">
        <f>[2]TongHop!N1140</f>
        <v>0</v>
      </c>
    </row>
    <row r="1141" spans="1:14">
      <c r="A1141">
        <f>[2]TongHop!A1141</f>
        <v>0</v>
      </c>
      <c r="B1141">
        <f>[2]TongHop!B1141</f>
        <v>0</v>
      </c>
      <c r="C1141">
        <f>[2]TongHop!C1141</f>
        <v>0</v>
      </c>
      <c r="D1141">
        <f>[2]TongHop!D1141</f>
        <v>0</v>
      </c>
      <c r="E1141">
        <f>[2]TongHop!E1141</f>
        <v>0</v>
      </c>
      <c r="F1141">
        <f>[2]TongHop!F1141</f>
        <v>0</v>
      </c>
      <c r="G1141">
        <f>[2]TongHop!G1141</f>
        <v>0</v>
      </c>
      <c r="H1141">
        <f>[2]TongHop!H1141</f>
        <v>0</v>
      </c>
      <c r="I1141">
        <f>[2]TongHop!I1141</f>
        <v>0</v>
      </c>
      <c r="J1141">
        <f>[2]TongHop!J1141</f>
        <v>0</v>
      </c>
      <c r="K1141">
        <f>[2]TongHop!K1141</f>
        <v>0</v>
      </c>
      <c r="L1141">
        <f>[2]TongHop!L1141</f>
        <v>0</v>
      </c>
      <c r="M1141">
        <f>[2]TongHop!M1141</f>
        <v>0</v>
      </c>
      <c r="N1141">
        <f>[2]TongHop!N1141</f>
        <v>0</v>
      </c>
    </row>
    <row r="1142" spans="1:14">
      <c r="A1142">
        <f>[2]TongHop!A1142</f>
        <v>0</v>
      </c>
      <c r="B1142">
        <f>[2]TongHop!B1142</f>
        <v>0</v>
      </c>
      <c r="C1142">
        <f>[2]TongHop!C1142</f>
        <v>0</v>
      </c>
      <c r="D1142">
        <f>[2]TongHop!D1142</f>
        <v>0</v>
      </c>
      <c r="E1142">
        <f>[2]TongHop!E1142</f>
        <v>0</v>
      </c>
      <c r="F1142">
        <f>[2]TongHop!F1142</f>
        <v>0</v>
      </c>
      <c r="G1142">
        <f>[2]TongHop!G1142</f>
        <v>0</v>
      </c>
      <c r="H1142">
        <f>[2]TongHop!H1142</f>
        <v>0</v>
      </c>
      <c r="I1142">
        <f>[2]TongHop!I1142</f>
        <v>0</v>
      </c>
      <c r="J1142">
        <f>[2]TongHop!J1142</f>
        <v>0</v>
      </c>
      <c r="K1142">
        <f>[2]TongHop!K1142</f>
        <v>0</v>
      </c>
      <c r="L1142">
        <f>[2]TongHop!L1142</f>
        <v>0</v>
      </c>
      <c r="M1142">
        <f>[2]TongHop!M1142</f>
        <v>0</v>
      </c>
      <c r="N1142">
        <f>[2]TongHop!N1142</f>
        <v>0</v>
      </c>
    </row>
    <row r="1143" spans="1:14">
      <c r="A1143">
        <f>[2]TongHop!A1143</f>
        <v>0</v>
      </c>
      <c r="B1143">
        <f>[2]TongHop!B1143</f>
        <v>0</v>
      </c>
      <c r="C1143">
        <f>[2]TongHop!C1143</f>
        <v>0</v>
      </c>
      <c r="D1143">
        <f>[2]TongHop!D1143</f>
        <v>0</v>
      </c>
      <c r="E1143">
        <f>[2]TongHop!E1143</f>
        <v>0</v>
      </c>
      <c r="F1143">
        <f>[2]TongHop!F1143</f>
        <v>0</v>
      </c>
      <c r="G1143">
        <f>[2]TongHop!G1143</f>
        <v>0</v>
      </c>
      <c r="H1143">
        <f>[2]TongHop!H1143</f>
        <v>0</v>
      </c>
      <c r="I1143">
        <f>[2]TongHop!I1143</f>
        <v>0</v>
      </c>
      <c r="J1143">
        <f>[2]TongHop!J1143</f>
        <v>0</v>
      </c>
      <c r="K1143">
        <f>[2]TongHop!K1143</f>
        <v>0</v>
      </c>
      <c r="L1143">
        <f>[2]TongHop!L1143</f>
        <v>0</v>
      </c>
      <c r="M1143">
        <f>[2]TongHop!M1143</f>
        <v>0</v>
      </c>
      <c r="N1143">
        <f>[2]TongHop!N1143</f>
        <v>0</v>
      </c>
    </row>
    <row r="1144" spans="1:14">
      <c r="A1144">
        <f>[2]TongHop!A1144</f>
        <v>0</v>
      </c>
      <c r="B1144">
        <f>[2]TongHop!B1144</f>
        <v>0</v>
      </c>
      <c r="C1144">
        <f>[2]TongHop!C1144</f>
        <v>0</v>
      </c>
      <c r="D1144">
        <f>[2]TongHop!D1144</f>
        <v>0</v>
      </c>
      <c r="E1144">
        <f>[2]TongHop!E1144</f>
        <v>0</v>
      </c>
      <c r="F1144">
        <f>[2]TongHop!F1144</f>
        <v>0</v>
      </c>
      <c r="G1144">
        <f>[2]TongHop!G1144</f>
        <v>0</v>
      </c>
      <c r="H1144">
        <f>[2]TongHop!H1144</f>
        <v>0</v>
      </c>
      <c r="I1144">
        <f>[2]TongHop!I1144</f>
        <v>0</v>
      </c>
      <c r="J1144">
        <f>[2]TongHop!J1144</f>
        <v>0</v>
      </c>
      <c r="K1144">
        <f>[2]TongHop!K1144</f>
        <v>0</v>
      </c>
      <c r="L1144">
        <f>[2]TongHop!L1144</f>
        <v>0</v>
      </c>
      <c r="M1144">
        <f>[2]TongHop!M1144</f>
        <v>0</v>
      </c>
      <c r="N1144">
        <f>[2]TongHop!N1144</f>
        <v>0</v>
      </c>
    </row>
    <row r="1145" spans="1:14">
      <c r="A1145">
        <f>[2]TongHop!A1145</f>
        <v>0</v>
      </c>
      <c r="B1145">
        <f>[2]TongHop!B1145</f>
        <v>0</v>
      </c>
      <c r="C1145">
        <f>[2]TongHop!C1145</f>
        <v>0</v>
      </c>
      <c r="D1145">
        <f>[2]TongHop!D1145</f>
        <v>0</v>
      </c>
      <c r="E1145">
        <f>[2]TongHop!E1145</f>
        <v>0</v>
      </c>
      <c r="F1145">
        <f>[2]TongHop!F1145</f>
        <v>0</v>
      </c>
      <c r="G1145">
        <f>[2]TongHop!G1145</f>
        <v>0</v>
      </c>
      <c r="H1145">
        <f>[2]TongHop!H1145</f>
        <v>0</v>
      </c>
      <c r="I1145">
        <f>[2]TongHop!I1145</f>
        <v>0</v>
      </c>
      <c r="J1145">
        <f>[2]TongHop!J1145</f>
        <v>0</v>
      </c>
      <c r="K1145">
        <f>[2]TongHop!K1145</f>
        <v>0</v>
      </c>
      <c r="L1145">
        <f>[2]TongHop!L1145</f>
        <v>0</v>
      </c>
      <c r="M1145">
        <f>[2]TongHop!M1145</f>
        <v>0</v>
      </c>
      <c r="N1145">
        <f>[2]TongHop!N1145</f>
        <v>0</v>
      </c>
    </row>
    <row r="1146" spans="1:14">
      <c r="A1146">
        <f>[2]TongHop!A1146</f>
        <v>0</v>
      </c>
      <c r="B1146">
        <f>[2]TongHop!B1146</f>
        <v>0</v>
      </c>
      <c r="C1146">
        <f>[2]TongHop!C1146</f>
        <v>0</v>
      </c>
      <c r="D1146">
        <f>[2]TongHop!D1146</f>
        <v>0</v>
      </c>
      <c r="E1146">
        <f>[2]TongHop!E1146</f>
        <v>0</v>
      </c>
      <c r="F1146">
        <f>[2]TongHop!F1146</f>
        <v>0</v>
      </c>
      <c r="G1146">
        <f>[2]TongHop!G1146</f>
        <v>0</v>
      </c>
      <c r="H1146">
        <f>[2]TongHop!H1146</f>
        <v>0</v>
      </c>
      <c r="I1146">
        <f>[2]TongHop!I1146</f>
        <v>0</v>
      </c>
      <c r="J1146">
        <f>[2]TongHop!J1146</f>
        <v>0</v>
      </c>
      <c r="K1146">
        <f>[2]TongHop!K1146</f>
        <v>0</v>
      </c>
      <c r="L1146">
        <f>[2]TongHop!L1146</f>
        <v>0</v>
      </c>
      <c r="M1146">
        <f>[2]TongHop!M1146</f>
        <v>0</v>
      </c>
      <c r="N1146">
        <f>[2]TongHop!N1146</f>
        <v>0</v>
      </c>
    </row>
    <row r="1147" spans="1:14">
      <c r="A1147">
        <f>[2]TongHop!A1147</f>
        <v>0</v>
      </c>
      <c r="B1147">
        <f>[2]TongHop!B1147</f>
        <v>0</v>
      </c>
      <c r="C1147">
        <f>[2]TongHop!C1147</f>
        <v>0</v>
      </c>
      <c r="D1147">
        <f>[2]TongHop!D1147</f>
        <v>0</v>
      </c>
      <c r="E1147">
        <f>[2]TongHop!E1147</f>
        <v>0</v>
      </c>
      <c r="F1147">
        <f>[2]TongHop!F1147</f>
        <v>0</v>
      </c>
      <c r="G1147">
        <f>[2]TongHop!G1147</f>
        <v>0</v>
      </c>
      <c r="H1147">
        <f>[2]TongHop!H1147</f>
        <v>0</v>
      </c>
      <c r="I1147">
        <f>[2]TongHop!I1147</f>
        <v>0</v>
      </c>
      <c r="J1147">
        <f>[2]TongHop!J1147</f>
        <v>0</v>
      </c>
      <c r="K1147">
        <f>[2]TongHop!K1147</f>
        <v>0</v>
      </c>
      <c r="L1147">
        <f>[2]TongHop!L1147</f>
        <v>0</v>
      </c>
      <c r="M1147">
        <f>[2]TongHop!M1147</f>
        <v>0</v>
      </c>
      <c r="N1147">
        <f>[2]TongHop!N1147</f>
        <v>0</v>
      </c>
    </row>
    <row r="1148" spans="1:14">
      <c r="A1148">
        <f>[2]TongHop!A1148</f>
        <v>0</v>
      </c>
      <c r="B1148">
        <f>[2]TongHop!B1148</f>
        <v>0</v>
      </c>
      <c r="C1148">
        <f>[2]TongHop!C1148</f>
        <v>0</v>
      </c>
      <c r="D1148">
        <f>[2]TongHop!D1148</f>
        <v>0</v>
      </c>
      <c r="E1148">
        <f>[2]TongHop!E1148</f>
        <v>0</v>
      </c>
      <c r="F1148">
        <f>[2]TongHop!F1148</f>
        <v>0</v>
      </c>
      <c r="G1148">
        <f>[2]TongHop!G1148</f>
        <v>0</v>
      </c>
      <c r="H1148">
        <f>[2]TongHop!H1148</f>
        <v>0</v>
      </c>
      <c r="I1148">
        <f>[2]TongHop!I1148</f>
        <v>0</v>
      </c>
      <c r="J1148">
        <f>[2]TongHop!J1148</f>
        <v>0</v>
      </c>
      <c r="K1148">
        <f>[2]TongHop!K1148</f>
        <v>0</v>
      </c>
      <c r="L1148">
        <f>[2]TongHop!L1148</f>
        <v>0</v>
      </c>
      <c r="M1148">
        <f>[2]TongHop!M1148</f>
        <v>0</v>
      </c>
      <c r="N1148">
        <f>[2]TongHop!N1148</f>
        <v>0</v>
      </c>
    </row>
    <row r="1149" spans="1:14">
      <c r="A1149">
        <f>[2]TongHop!A1149</f>
        <v>0</v>
      </c>
      <c r="B1149">
        <f>[2]TongHop!B1149</f>
        <v>0</v>
      </c>
      <c r="C1149">
        <f>[2]TongHop!C1149</f>
        <v>0</v>
      </c>
      <c r="D1149">
        <f>[2]TongHop!D1149</f>
        <v>0</v>
      </c>
      <c r="E1149">
        <f>[2]TongHop!E1149</f>
        <v>0</v>
      </c>
      <c r="F1149">
        <f>[2]TongHop!F1149</f>
        <v>0</v>
      </c>
      <c r="G1149">
        <f>[2]TongHop!G1149</f>
        <v>0</v>
      </c>
      <c r="H1149">
        <f>[2]TongHop!H1149</f>
        <v>0</v>
      </c>
      <c r="I1149">
        <f>[2]TongHop!I1149</f>
        <v>0</v>
      </c>
      <c r="J1149">
        <f>[2]TongHop!J1149</f>
        <v>0</v>
      </c>
      <c r="K1149">
        <f>[2]TongHop!K1149</f>
        <v>0</v>
      </c>
      <c r="L1149">
        <f>[2]TongHop!L1149</f>
        <v>0</v>
      </c>
      <c r="M1149">
        <f>[2]TongHop!M1149</f>
        <v>0</v>
      </c>
      <c r="N1149">
        <f>[2]TongHop!N1149</f>
        <v>0</v>
      </c>
    </row>
    <row r="1150" spans="1:14">
      <c r="A1150">
        <f>[2]TongHop!A1150</f>
        <v>0</v>
      </c>
      <c r="B1150">
        <f>[2]TongHop!B1150</f>
        <v>0</v>
      </c>
      <c r="C1150">
        <f>[2]TongHop!C1150</f>
        <v>0</v>
      </c>
      <c r="D1150">
        <f>[2]TongHop!D1150</f>
        <v>0</v>
      </c>
      <c r="E1150">
        <f>[2]TongHop!E1150</f>
        <v>0</v>
      </c>
      <c r="F1150">
        <f>[2]TongHop!F1150</f>
        <v>0</v>
      </c>
      <c r="G1150">
        <f>[2]TongHop!G1150</f>
        <v>0</v>
      </c>
      <c r="H1150">
        <f>[2]TongHop!H1150</f>
        <v>0</v>
      </c>
      <c r="I1150">
        <f>[2]TongHop!I1150</f>
        <v>0</v>
      </c>
      <c r="J1150">
        <f>[2]TongHop!J1150</f>
        <v>0</v>
      </c>
      <c r="K1150">
        <f>[2]TongHop!K1150</f>
        <v>0</v>
      </c>
      <c r="L1150">
        <f>[2]TongHop!L1150</f>
        <v>0</v>
      </c>
      <c r="M1150">
        <f>[2]TongHop!M1150</f>
        <v>0</v>
      </c>
      <c r="N1150">
        <f>[2]TongHop!N1150</f>
        <v>0</v>
      </c>
    </row>
    <row r="1151" spans="1:14">
      <c r="A1151">
        <f>[2]TongHop!A1151</f>
        <v>0</v>
      </c>
      <c r="B1151">
        <f>[2]TongHop!B1151</f>
        <v>0</v>
      </c>
      <c r="C1151">
        <f>[2]TongHop!C1151</f>
        <v>0</v>
      </c>
      <c r="D1151">
        <f>[2]TongHop!D1151</f>
        <v>0</v>
      </c>
      <c r="E1151">
        <f>[2]TongHop!E1151</f>
        <v>0</v>
      </c>
      <c r="F1151">
        <f>[2]TongHop!F1151</f>
        <v>0</v>
      </c>
      <c r="G1151">
        <f>[2]TongHop!G1151</f>
        <v>0</v>
      </c>
      <c r="H1151">
        <f>[2]TongHop!H1151</f>
        <v>0</v>
      </c>
      <c r="I1151">
        <f>[2]TongHop!I1151</f>
        <v>0</v>
      </c>
      <c r="J1151">
        <f>[2]TongHop!J1151</f>
        <v>0</v>
      </c>
      <c r="K1151">
        <f>[2]TongHop!K1151</f>
        <v>0</v>
      </c>
      <c r="L1151">
        <f>[2]TongHop!L1151</f>
        <v>0</v>
      </c>
      <c r="M1151">
        <f>[2]TongHop!M1151</f>
        <v>0</v>
      </c>
      <c r="N1151">
        <f>[2]TongHop!N1151</f>
        <v>0</v>
      </c>
    </row>
    <row r="1152" spans="1:14">
      <c r="A1152">
        <f>[2]TongHop!A1152</f>
        <v>0</v>
      </c>
      <c r="B1152">
        <f>[2]TongHop!B1152</f>
        <v>0</v>
      </c>
      <c r="C1152">
        <f>[2]TongHop!C1152</f>
        <v>0</v>
      </c>
      <c r="D1152">
        <f>[2]TongHop!D1152</f>
        <v>0</v>
      </c>
      <c r="E1152">
        <f>[2]TongHop!E1152</f>
        <v>0</v>
      </c>
      <c r="F1152">
        <f>[2]TongHop!F1152</f>
        <v>0</v>
      </c>
      <c r="G1152">
        <f>[2]TongHop!G1152</f>
        <v>0</v>
      </c>
      <c r="H1152">
        <f>[2]TongHop!H1152</f>
        <v>0</v>
      </c>
      <c r="I1152">
        <f>[2]TongHop!I1152</f>
        <v>0</v>
      </c>
      <c r="J1152">
        <f>[2]TongHop!J1152</f>
        <v>0</v>
      </c>
      <c r="K1152">
        <f>[2]TongHop!K1152</f>
        <v>0</v>
      </c>
      <c r="L1152">
        <f>[2]TongHop!L1152</f>
        <v>0</v>
      </c>
      <c r="M1152">
        <f>[2]TongHop!M1152</f>
        <v>0</v>
      </c>
      <c r="N1152">
        <f>[2]TongHop!N1152</f>
        <v>0</v>
      </c>
    </row>
    <row r="1153" spans="1:14">
      <c r="A1153">
        <f>[2]TongHop!A1153</f>
        <v>0</v>
      </c>
      <c r="B1153">
        <f>[2]TongHop!B1153</f>
        <v>0</v>
      </c>
      <c r="C1153">
        <f>[2]TongHop!C1153</f>
        <v>0</v>
      </c>
      <c r="D1153">
        <f>[2]TongHop!D1153</f>
        <v>0</v>
      </c>
      <c r="E1153">
        <f>[2]TongHop!E1153</f>
        <v>0</v>
      </c>
      <c r="F1153">
        <f>[2]TongHop!F1153</f>
        <v>0</v>
      </c>
      <c r="G1153">
        <f>[2]TongHop!G1153</f>
        <v>0</v>
      </c>
      <c r="H1153">
        <f>[2]TongHop!H1153</f>
        <v>0</v>
      </c>
      <c r="I1153">
        <f>[2]TongHop!I1153</f>
        <v>0</v>
      </c>
      <c r="J1153">
        <f>[2]TongHop!J1153</f>
        <v>0</v>
      </c>
      <c r="K1153">
        <f>[2]TongHop!K1153</f>
        <v>0</v>
      </c>
      <c r="L1153">
        <f>[2]TongHop!L1153</f>
        <v>0</v>
      </c>
      <c r="M1153">
        <f>[2]TongHop!M1153</f>
        <v>0</v>
      </c>
      <c r="N1153">
        <f>[2]TongHop!N1153</f>
        <v>0</v>
      </c>
    </row>
    <row r="1154" spans="1:14">
      <c r="A1154">
        <f>[2]TongHop!A1154</f>
        <v>0</v>
      </c>
      <c r="B1154">
        <f>[2]TongHop!B1154</f>
        <v>0</v>
      </c>
      <c r="C1154">
        <f>[2]TongHop!C1154</f>
        <v>0</v>
      </c>
      <c r="D1154">
        <f>[2]TongHop!D1154</f>
        <v>0</v>
      </c>
      <c r="E1154">
        <f>[2]TongHop!E1154</f>
        <v>0</v>
      </c>
      <c r="F1154">
        <f>[2]TongHop!F1154</f>
        <v>0</v>
      </c>
      <c r="G1154">
        <f>[2]TongHop!G1154</f>
        <v>0</v>
      </c>
      <c r="H1154">
        <f>[2]TongHop!H1154</f>
        <v>0</v>
      </c>
      <c r="I1154">
        <f>[2]TongHop!I1154</f>
        <v>0</v>
      </c>
      <c r="J1154">
        <f>[2]TongHop!J1154</f>
        <v>0</v>
      </c>
      <c r="K1154">
        <f>[2]TongHop!K1154</f>
        <v>0</v>
      </c>
      <c r="L1154">
        <f>[2]TongHop!L1154</f>
        <v>0</v>
      </c>
      <c r="M1154">
        <f>[2]TongHop!M1154</f>
        <v>0</v>
      </c>
      <c r="N1154">
        <f>[2]TongHop!N1154</f>
        <v>0</v>
      </c>
    </row>
    <row r="1155" spans="1:14">
      <c r="A1155">
        <f>[2]TongHop!A1155</f>
        <v>0</v>
      </c>
      <c r="B1155">
        <f>[2]TongHop!B1155</f>
        <v>0</v>
      </c>
      <c r="C1155">
        <f>[2]TongHop!C1155</f>
        <v>0</v>
      </c>
      <c r="D1155">
        <f>[2]TongHop!D1155</f>
        <v>0</v>
      </c>
      <c r="E1155">
        <f>[2]TongHop!E1155</f>
        <v>0</v>
      </c>
      <c r="F1155">
        <f>[2]TongHop!F1155</f>
        <v>0</v>
      </c>
      <c r="G1155">
        <f>[2]TongHop!G1155</f>
        <v>0</v>
      </c>
      <c r="H1155">
        <f>[2]TongHop!H1155</f>
        <v>0</v>
      </c>
      <c r="I1155">
        <f>[2]TongHop!I1155</f>
        <v>0</v>
      </c>
      <c r="J1155">
        <f>[2]TongHop!J1155</f>
        <v>0</v>
      </c>
      <c r="K1155">
        <f>[2]TongHop!K1155</f>
        <v>0</v>
      </c>
      <c r="L1155">
        <f>[2]TongHop!L1155</f>
        <v>0</v>
      </c>
      <c r="M1155">
        <f>[2]TongHop!M1155</f>
        <v>0</v>
      </c>
      <c r="N1155">
        <f>[2]TongHop!N1155</f>
        <v>0</v>
      </c>
    </row>
    <row r="1156" spans="1:14">
      <c r="A1156">
        <f>[2]TongHop!A1156</f>
        <v>0</v>
      </c>
      <c r="B1156">
        <f>[2]TongHop!B1156</f>
        <v>0</v>
      </c>
      <c r="C1156">
        <f>[2]TongHop!C1156</f>
        <v>0</v>
      </c>
      <c r="D1156">
        <f>[2]TongHop!D1156</f>
        <v>0</v>
      </c>
      <c r="E1156">
        <f>[2]TongHop!E1156</f>
        <v>0</v>
      </c>
      <c r="F1156">
        <f>[2]TongHop!F1156</f>
        <v>0</v>
      </c>
      <c r="G1156">
        <f>[2]TongHop!G1156</f>
        <v>0</v>
      </c>
      <c r="H1156">
        <f>[2]TongHop!H1156</f>
        <v>0</v>
      </c>
      <c r="I1156">
        <f>[2]TongHop!I1156</f>
        <v>0</v>
      </c>
      <c r="J1156">
        <f>[2]TongHop!J1156</f>
        <v>0</v>
      </c>
      <c r="K1156">
        <f>[2]TongHop!K1156</f>
        <v>0</v>
      </c>
      <c r="L1156">
        <f>[2]TongHop!L1156</f>
        <v>0</v>
      </c>
      <c r="M1156">
        <f>[2]TongHop!M1156</f>
        <v>0</v>
      </c>
      <c r="N1156">
        <f>[2]TongHop!N1156</f>
        <v>0</v>
      </c>
    </row>
    <row r="1157" spans="1:14">
      <c r="A1157">
        <f>[2]TongHop!A1157</f>
        <v>0</v>
      </c>
      <c r="B1157">
        <f>[2]TongHop!B1157</f>
        <v>0</v>
      </c>
      <c r="C1157">
        <f>[2]TongHop!C1157</f>
        <v>0</v>
      </c>
      <c r="D1157">
        <f>[2]TongHop!D1157</f>
        <v>0</v>
      </c>
      <c r="E1157">
        <f>[2]TongHop!E1157</f>
        <v>0</v>
      </c>
      <c r="F1157">
        <f>[2]TongHop!F1157</f>
        <v>0</v>
      </c>
      <c r="G1157">
        <f>[2]TongHop!G1157</f>
        <v>0</v>
      </c>
      <c r="H1157">
        <f>[2]TongHop!H1157</f>
        <v>0</v>
      </c>
      <c r="I1157">
        <f>[2]TongHop!I1157</f>
        <v>0</v>
      </c>
      <c r="J1157">
        <f>[2]TongHop!J1157</f>
        <v>0</v>
      </c>
      <c r="K1157">
        <f>[2]TongHop!K1157</f>
        <v>0</v>
      </c>
      <c r="L1157">
        <f>[2]TongHop!L1157</f>
        <v>0</v>
      </c>
      <c r="M1157">
        <f>[2]TongHop!M1157</f>
        <v>0</v>
      </c>
      <c r="N1157">
        <f>[2]TongHop!N1157</f>
        <v>0</v>
      </c>
    </row>
    <row r="1158" spans="1:14">
      <c r="A1158">
        <f>[2]TongHop!A1158</f>
        <v>0</v>
      </c>
      <c r="B1158">
        <f>[2]TongHop!B1158</f>
        <v>0</v>
      </c>
      <c r="C1158">
        <f>[2]TongHop!C1158</f>
        <v>0</v>
      </c>
      <c r="D1158">
        <f>[2]TongHop!D1158</f>
        <v>0</v>
      </c>
      <c r="E1158">
        <f>[2]TongHop!E1158</f>
        <v>0</v>
      </c>
      <c r="F1158">
        <f>[2]TongHop!F1158</f>
        <v>0</v>
      </c>
      <c r="G1158">
        <f>[2]TongHop!G1158</f>
        <v>0</v>
      </c>
      <c r="H1158">
        <f>[2]TongHop!H1158</f>
        <v>0</v>
      </c>
      <c r="I1158">
        <f>[2]TongHop!I1158</f>
        <v>0</v>
      </c>
      <c r="J1158">
        <f>[2]TongHop!J1158</f>
        <v>0</v>
      </c>
      <c r="K1158">
        <f>[2]TongHop!K1158</f>
        <v>0</v>
      </c>
      <c r="L1158">
        <f>[2]TongHop!L1158</f>
        <v>0</v>
      </c>
      <c r="M1158">
        <f>[2]TongHop!M1158</f>
        <v>0</v>
      </c>
      <c r="N1158">
        <f>[2]TongHop!N1158</f>
        <v>0</v>
      </c>
    </row>
    <row r="1159" spans="1:14">
      <c r="A1159">
        <f>[2]TongHop!A1159</f>
        <v>0</v>
      </c>
      <c r="B1159">
        <f>[2]TongHop!B1159</f>
        <v>0</v>
      </c>
      <c r="C1159">
        <f>[2]TongHop!C1159</f>
        <v>0</v>
      </c>
      <c r="D1159">
        <f>[2]TongHop!D1159</f>
        <v>0</v>
      </c>
      <c r="E1159">
        <f>[2]TongHop!E1159</f>
        <v>0</v>
      </c>
      <c r="F1159">
        <f>[2]TongHop!F1159</f>
        <v>0</v>
      </c>
      <c r="G1159">
        <f>[2]TongHop!G1159</f>
        <v>0</v>
      </c>
      <c r="H1159">
        <f>[2]TongHop!H1159</f>
        <v>0</v>
      </c>
      <c r="I1159">
        <f>[2]TongHop!I1159</f>
        <v>0</v>
      </c>
      <c r="J1159">
        <f>[2]TongHop!J1159</f>
        <v>0</v>
      </c>
      <c r="K1159">
        <f>[2]TongHop!K1159</f>
        <v>0</v>
      </c>
      <c r="L1159">
        <f>[2]TongHop!L1159</f>
        <v>0</v>
      </c>
      <c r="M1159">
        <f>[2]TongHop!M1159</f>
        <v>0</v>
      </c>
      <c r="N1159">
        <f>[2]TongHop!N1159</f>
        <v>0</v>
      </c>
    </row>
    <row r="1160" spans="1:14">
      <c r="A1160">
        <f>[2]TongHop!A1160</f>
        <v>0</v>
      </c>
      <c r="B1160">
        <f>[2]TongHop!B1160</f>
        <v>0</v>
      </c>
      <c r="C1160">
        <f>[2]TongHop!C1160</f>
        <v>0</v>
      </c>
      <c r="D1160">
        <f>[2]TongHop!D1160</f>
        <v>0</v>
      </c>
      <c r="E1160">
        <f>[2]TongHop!E1160</f>
        <v>0</v>
      </c>
      <c r="F1160">
        <f>[2]TongHop!F1160</f>
        <v>0</v>
      </c>
      <c r="G1160">
        <f>[2]TongHop!G1160</f>
        <v>0</v>
      </c>
      <c r="H1160">
        <f>[2]TongHop!H1160</f>
        <v>0</v>
      </c>
      <c r="I1160">
        <f>[2]TongHop!I1160</f>
        <v>0</v>
      </c>
      <c r="J1160">
        <f>[2]TongHop!J1160</f>
        <v>0</v>
      </c>
      <c r="K1160">
        <f>[2]TongHop!K1160</f>
        <v>0</v>
      </c>
      <c r="L1160">
        <f>[2]TongHop!L1160</f>
        <v>0</v>
      </c>
      <c r="M1160">
        <f>[2]TongHop!M1160</f>
        <v>0</v>
      </c>
      <c r="N1160">
        <f>[2]TongHop!N1160</f>
        <v>0</v>
      </c>
    </row>
    <row r="1161" spans="1:14">
      <c r="A1161">
        <f>[2]TongHop!A1161</f>
        <v>0</v>
      </c>
      <c r="B1161">
        <f>[2]TongHop!B1161</f>
        <v>0</v>
      </c>
      <c r="C1161">
        <f>[2]TongHop!C1161</f>
        <v>0</v>
      </c>
      <c r="D1161">
        <f>[2]TongHop!D1161</f>
        <v>0</v>
      </c>
      <c r="E1161">
        <f>[2]TongHop!E1161</f>
        <v>0</v>
      </c>
      <c r="F1161">
        <f>[2]TongHop!F1161</f>
        <v>0</v>
      </c>
      <c r="G1161">
        <f>[2]TongHop!G1161</f>
        <v>0</v>
      </c>
      <c r="H1161">
        <f>[2]TongHop!H1161</f>
        <v>0</v>
      </c>
      <c r="I1161">
        <f>[2]TongHop!I1161</f>
        <v>0</v>
      </c>
      <c r="J1161">
        <f>[2]TongHop!J1161</f>
        <v>0</v>
      </c>
      <c r="K1161">
        <f>[2]TongHop!K1161</f>
        <v>0</v>
      </c>
      <c r="L1161">
        <f>[2]TongHop!L1161</f>
        <v>0</v>
      </c>
      <c r="M1161">
        <f>[2]TongHop!M1161</f>
        <v>0</v>
      </c>
      <c r="N1161">
        <f>[2]TongHop!N1161</f>
        <v>0</v>
      </c>
    </row>
    <row r="1162" spans="1:14">
      <c r="A1162">
        <f>[2]TongHop!A1162</f>
        <v>0</v>
      </c>
      <c r="B1162">
        <f>[2]TongHop!B1162</f>
        <v>0</v>
      </c>
      <c r="C1162">
        <f>[2]TongHop!C1162</f>
        <v>0</v>
      </c>
      <c r="D1162">
        <f>[2]TongHop!D1162</f>
        <v>0</v>
      </c>
      <c r="E1162">
        <f>[2]TongHop!E1162</f>
        <v>0</v>
      </c>
      <c r="F1162">
        <f>[2]TongHop!F1162</f>
        <v>0</v>
      </c>
      <c r="G1162">
        <f>[2]TongHop!G1162</f>
        <v>0</v>
      </c>
      <c r="H1162">
        <f>[2]TongHop!H1162</f>
        <v>0</v>
      </c>
      <c r="I1162">
        <f>[2]TongHop!I1162</f>
        <v>0</v>
      </c>
      <c r="J1162">
        <f>[2]TongHop!J1162</f>
        <v>0</v>
      </c>
      <c r="K1162">
        <f>[2]TongHop!K1162</f>
        <v>0</v>
      </c>
      <c r="L1162">
        <f>[2]TongHop!L1162</f>
        <v>0</v>
      </c>
      <c r="M1162">
        <f>[2]TongHop!M1162</f>
        <v>0</v>
      </c>
      <c r="N1162">
        <f>[2]TongHop!N1162</f>
        <v>0</v>
      </c>
    </row>
    <row r="1163" spans="1:14">
      <c r="A1163">
        <f>[2]TongHop!A1163</f>
        <v>0</v>
      </c>
      <c r="B1163">
        <f>[2]TongHop!B1163</f>
        <v>0</v>
      </c>
      <c r="C1163">
        <f>[2]TongHop!C1163</f>
        <v>0</v>
      </c>
      <c r="D1163">
        <f>[2]TongHop!D1163</f>
        <v>0</v>
      </c>
      <c r="E1163">
        <f>[2]TongHop!E1163</f>
        <v>0</v>
      </c>
      <c r="F1163">
        <f>[2]TongHop!F1163</f>
        <v>0</v>
      </c>
      <c r="G1163">
        <f>[2]TongHop!G1163</f>
        <v>0</v>
      </c>
      <c r="H1163">
        <f>[2]TongHop!H1163</f>
        <v>0</v>
      </c>
      <c r="I1163">
        <f>[2]TongHop!I1163</f>
        <v>0</v>
      </c>
      <c r="J1163">
        <f>[2]TongHop!J1163</f>
        <v>0</v>
      </c>
      <c r="K1163">
        <f>[2]TongHop!K1163</f>
        <v>0</v>
      </c>
      <c r="L1163">
        <f>[2]TongHop!L1163</f>
        <v>0</v>
      </c>
      <c r="M1163">
        <f>[2]TongHop!M1163</f>
        <v>0</v>
      </c>
      <c r="N1163">
        <f>[2]TongHop!N1163</f>
        <v>0</v>
      </c>
    </row>
    <row r="1164" spans="1:14">
      <c r="A1164">
        <f>[2]TongHop!A1164</f>
        <v>0</v>
      </c>
      <c r="B1164">
        <f>[2]TongHop!B1164</f>
        <v>0</v>
      </c>
      <c r="C1164">
        <f>[2]TongHop!C1164</f>
        <v>0</v>
      </c>
      <c r="D1164">
        <f>[2]TongHop!D1164</f>
        <v>0</v>
      </c>
      <c r="E1164">
        <f>[2]TongHop!E1164</f>
        <v>0</v>
      </c>
      <c r="F1164">
        <f>[2]TongHop!F1164</f>
        <v>0</v>
      </c>
      <c r="G1164">
        <f>[2]TongHop!G1164</f>
        <v>0</v>
      </c>
      <c r="H1164">
        <f>[2]TongHop!H1164</f>
        <v>0</v>
      </c>
      <c r="I1164">
        <f>[2]TongHop!I1164</f>
        <v>0</v>
      </c>
      <c r="J1164">
        <f>[2]TongHop!J1164</f>
        <v>0</v>
      </c>
      <c r="K1164">
        <f>[2]TongHop!K1164</f>
        <v>0</v>
      </c>
      <c r="L1164">
        <f>[2]TongHop!L1164</f>
        <v>0</v>
      </c>
      <c r="M1164">
        <f>[2]TongHop!M1164</f>
        <v>0</v>
      </c>
      <c r="N1164">
        <f>[2]TongHop!N1164</f>
        <v>0</v>
      </c>
    </row>
    <row r="1165" spans="1:14">
      <c r="A1165">
        <f>[2]TongHop!A1165</f>
        <v>0</v>
      </c>
      <c r="B1165">
        <f>[2]TongHop!B1165</f>
        <v>0</v>
      </c>
      <c r="C1165">
        <f>[2]TongHop!C1165</f>
        <v>0</v>
      </c>
      <c r="D1165">
        <f>[2]TongHop!D1165</f>
        <v>0</v>
      </c>
      <c r="E1165">
        <f>[2]TongHop!E1165</f>
        <v>0</v>
      </c>
      <c r="F1165">
        <f>[2]TongHop!F1165</f>
        <v>0</v>
      </c>
      <c r="G1165">
        <f>[2]TongHop!G1165</f>
        <v>0</v>
      </c>
      <c r="H1165">
        <f>[2]TongHop!H1165</f>
        <v>0</v>
      </c>
      <c r="I1165">
        <f>[2]TongHop!I1165</f>
        <v>0</v>
      </c>
      <c r="J1165">
        <f>[2]TongHop!J1165</f>
        <v>0</v>
      </c>
      <c r="K1165">
        <f>[2]TongHop!K1165</f>
        <v>0</v>
      </c>
      <c r="L1165">
        <f>[2]TongHop!L1165</f>
        <v>0</v>
      </c>
      <c r="M1165">
        <f>[2]TongHop!M1165</f>
        <v>0</v>
      </c>
      <c r="N1165">
        <f>[2]TongHop!N1165</f>
        <v>0</v>
      </c>
    </row>
    <row r="1166" spans="1:14">
      <c r="A1166">
        <f>[2]TongHop!A1166</f>
        <v>0</v>
      </c>
      <c r="B1166">
        <f>[2]TongHop!B1166</f>
        <v>0</v>
      </c>
      <c r="C1166">
        <f>[2]TongHop!C1166</f>
        <v>0</v>
      </c>
      <c r="D1166">
        <f>[2]TongHop!D1166</f>
        <v>0</v>
      </c>
      <c r="E1166">
        <f>[2]TongHop!E1166</f>
        <v>0</v>
      </c>
      <c r="F1166">
        <f>[2]TongHop!F1166</f>
        <v>0</v>
      </c>
      <c r="G1166">
        <f>[2]TongHop!G1166</f>
        <v>0</v>
      </c>
      <c r="H1166">
        <f>[2]TongHop!H1166</f>
        <v>0</v>
      </c>
      <c r="I1166">
        <f>[2]TongHop!I1166</f>
        <v>0</v>
      </c>
      <c r="J1166">
        <f>[2]TongHop!J1166</f>
        <v>0</v>
      </c>
      <c r="K1166">
        <f>[2]TongHop!K1166</f>
        <v>0</v>
      </c>
      <c r="L1166">
        <f>[2]TongHop!L1166</f>
        <v>0</v>
      </c>
      <c r="M1166">
        <f>[2]TongHop!M1166</f>
        <v>0</v>
      </c>
      <c r="N1166">
        <f>[2]TongHop!N1166</f>
        <v>0</v>
      </c>
    </row>
    <row r="1167" spans="1:14">
      <c r="A1167">
        <f>[2]TongHop!A1167</f>
        <v>0</v>
      </c>
      <c r="B1167">
        <f>[2]TongHop!B1167</f>
        <v>0</v>
      </c>
      <c r="C1167">
        <f>[2]TongHop!C1167</f>
        <v>0</v>
      </c>
      <c r="D1167">
        <f>[2]TongHop!D1167</f>
        <v>0</v>
      </c>
      <c r="E1167">
        <f>[2]TongHop!E1167</f>
        <v>0</v>
      </c>
      <c r="F1167">
        <f>[2]TongHop!F1167</f>
        <v>0</v>
      </c>
      <c r="G1167">
        <f>[2]TongHop!G1167</f>
        <v>0</v>
      </c>
      <c r="H1167">
        <f>[2]TongHop!H1167</f>
        <v>0</v>
      </c>
      <c r="I1167">
        <f>[2]TongHop!I1167</f>
        <v>0</v>
      </c>
      <c r="J1167">
        <f>[2]TongHop!J1167</f>
        <v>0</v>
      </c>
      <c r="K1167">
        <f>[2]TongHop!K1167</f>
        <v>0</v>
      </c>
      <c r="L1167">
        <f>[2]TongHop!L1167</f>
        <v>0</v>
      </c>
      <c r="M1167">
        <f>[2]TongHop!M1167</f>
        <v>0</v>
      </c>
      <c r="N1167">
        <f>[2]TongHop!N1167</f>
        <v>0</v>
      </c>
    </row>
    <row r="1168" spans="1:14">
      <c r="A1168">
        <f>[2]TongHop!A1168</f>
        <v>0</v>
      </c>
      <c r="B1168">
        <f>[2]TongHop!B1168</f>
        <v>0</v>
      </c>
      <c r="C1168">
        <f>[2]TongHop!C1168</f>
        <v>0</v>
      </c>
      <c r="D1168">
        <f>[2]TongHop!D1168</f>
        <v>0</v>
      </c>
      <c r="E1168">
        <f>[2]TongHop!E1168</f>
        <v>0</v>
      </c>
      <c r="F1168">
        <f>[2]TongHop!F1168</f>
        <v>0</v>
      </c>
      <c r="G1168">
        <f>[2]TongHop!G1168</f>
        <v>0</v>
      </c>
      <c r="H1168">
        <f>[2]TongHop!H1168</f>
        <v>0</v>
      </c>
      <c r="I1168">
        <f>[2]TongHop!I1168</f>
        <v>0</v>
      </c>
      <c r="J1168">
        <f>[2]TongHop!J1168</f>
        <v>0</v>
      </c>
      <c r="K1168">
        <f>[2]TongHop!K1168</f>
        <v>0</v>
      </c>
      <c r="L1168">
        <f>[2]TongHop!L1168</f>
        <v>0</v>
      </c>
      <c r="M1168">
        <f>[2]TongHop!M1168</f>
        <v>0</v>
      </c>
      <c r="N1168">
        <f>[2]TongHop!N1168</f>
        <v>0</v>
      </c>
    </row>
    <row r="1169" spans="1:14">
      <c r="A1169">
        <f>[2]TongHop!A1169</f>
        <v>0</v>
      </c>
      <c r="B1169">
        <f>[2]TongHop!B1169</f>
        <v>0</v>
      </c>
      <c r="C1169">
        <f>[2]TongHop!C1169</f>
        <v>0</v>
      </c>
      <c r="D1169">
        <f>[2]TongHop!D1169</f>
        <v>0</v>
      </c>
      <c r="E1169">
        <f>[2]TongHop!E1169</f>
        <v>0</v>
      </c>
      <c r="F1169">
        <f>[2]TongHop!F1169</f>
        <v>0</v>
      </c>
      <c r="G1169">
        <f>[2]TongHop!G1169</f>
        <v>0</v>
      </c>
      <c r="H1169">
        <f>[2]TongHop!H1169</f>
        <v>0</v>
      </c>
      <c r="I1169">
        <f>[2]TongHop!I1169</f>
        <v>0</v>
      </c>
      <c r="J1169">
        <f>[2]TongHop!J1169</f>
        <v>0</v>
      </c>
      <c r="K1169">
        <f>[2]TongHop!K1169</f>
        <v>0</v>
      </c>
      <c r="L1169">
        <f>[2]TongHop!L1169</f>
        <v>0</v>
      </c>
      <c r="M1169">
        <f>[2]TongHop!M1169</f>
        <v>0</v>
      </c>
      <c r="N1169">
        <f>[2]TongHop!N1169</f>
        <v>0</v>
      </c>
    </row>
    <row r="1170" spans="1:14">
      <c r="A1170">
        <f>[2]TongHop!A1170</f>
        <v>0</v>
      </c>
      <c r="B1170">
        <f>[2]TongHop!B1170</f>
        <v>0</v>
      </c>
      <c r="C1170">
        <f>[2]TongHop!C1170</f>
        <v>0</v>
      </c>
      <c r="D1170">
        <f>[2]TongHop!D1170</f>
        <v>0</v>
      </c>
      <c r="E1170">
        <f>[2]TongHop!E1170</f>
        <v>0</v>
      </c>
      <c r="F1170">
        <f>[2]TongHop!F1170</f>
        <v>0</v>
      </c>
      <c r="G1170">
        <f>[2]TongHop!G1170</f>
        <v>0</v>
      </c>
      <c r="H1170">
        <f>[2]TongHop!H1170</f>
        <v>0</v>
      </c>
      <c r="I1170">
        <f>[2]TongHop!I1170</f>
        <v>0</v>
      </c>
      <c r="J1170">
        <f>[2]TongHop!J1170</f>
        <v>0</v>
      </c>
      <c r="K1170">
        <f>[2]TongHop!K1170</f>
        <v>0</v>
      </c>
      <c r="L1170">
        <f>[2]TongHop!L1170</f>
        <v>0</v>
      </c>
      <c r="M1170">
        <f>[2]TongHop!M1170</f>
        <v>0</v>
      </c>
      <c r="N1170">
        <f>[2]TongHop!N1170</f>
        <v>0</v>
      </c>
    </row>
    <row r="1171" spans="1:14">
      <c r="A1171">
        <f>[2]TongHop!A1171</f>
        <v>0</v>
      </c>
      <c r="B1171">
        <f>[2]TongHop!B1171</f>
        <v>0</v>
      </c>
      <c r="C1171">
        <f>[2]TongHop!C1171</f>
        <v>0</v>
      </c>
      <c r="D1171">
        <f>[2]TongHop!D1171</f>
        <v>0</v>
      </c>
      <c r="E1171">
        <f>[2]TongHop!E1171</f>
        <v>0</v>
      </c>
      <c r="F1171">
        <f>[2]TongHop!F1171</f>
        <v>0</v>
      </c>
      <c r="G1171">
        <f>[2]TongHop!G1171</f>
        <v>0</v>
      </c>
      <c r="H1171">
        <f>[2]TongHop!H1171</f>
        <v>0</v>
      </c>
      <c r="I1171">
        <f>[2]TongHop!I1171</f>
        <v>0</v>
      </c>
      <c r="J1171">
        <f>[2]TongHop!J1171</f>
        <v>0</v>
      </c>
      <c r="K1171">
        <f>[2]TongHop!K1171</f>
        <v>0</v>
      </c>
      <c r="L1171">
        <f>[2]TongHop!L1171</f>
        <v>0</v>
      </c>
      <c r="M1171">
        <f>[2]TongHop!M1171</f>
        <v>0</v>
      </c>
      <c r="N1171">
        <f>[2]TongHop!N1171</f>
        <v>0</v>
      </c>
    </row>
    <row r="1172" spans="1:14">
      <c r="A1172">
        <f>[2]TongHop!A1172</f>
        <v>0</v>
      </c>
      <c r="B1172">
        <f>[2]TongHop!B1172</f>
        <v>0</v>
      </c>
      <c r="C1172">
        <f>[2]TongHop!C1172</f>
        <v>0</v>
      </c>
      <c r="D1172">
        <f>[2]TongHop!D1172</f>
        <v>0</v>
      </c>
      <c r="E1172">
        <f>[2]TongHop!E1172</f>
        <v>0</v>
      </c>
      <c r="F1172">
        <f>[2]TongHop!F1172</f>
        <v>0</v>
      </c>
      <c r="G1172">
        <f>[2]TongHop!G1172</f>
        <v>0</v>
      </c>
      <c r="H1172">
        <f>[2]TongHop!H1172</f>
        <v>0</v>
      </c>
      <c r="I1172">
        <f>[2]TongHop!I1172</f>
        <v>0</v>
      </c>
      <c r="J1172">
        <f>[2]TongHop!J1172</f>
        <v>0</v>
      </c>
      <c r="K1172">
        <f>[2]TongHop!K1172</f>
        <v>0</v>
      </c>
      <c r="L1172">
        <f>[2]TongHop!L1172</f>
        <v>0</v>
      </c>
      <c r="M1172">
        <f>[2]TongHop!M1172</f>
        <v>0</v>
      </c>
      <c r="N1172">
        <f>[2]TongHop!N1172</f>
        <v>0</v>
      </c>
    </row>
    <row r="1173" spans="1:14">
      <c r="A1173">
        <f>[2]TongHop!A1173</f>
        <v>0</v>
      </c>
      <c r="B1173">
        <f>[2]TongHop!B1173</f>
        <v>0</v>
      </c>
      <c r="C1173">
        <f>[2]TongHop!C1173</f>
        <v>0</v>
      </c>
      <c r="D1173">
        <f>[2]TongHop!D1173</f>
        <v>0</v>
      </c>
      <c r="E1173">
        <f>[2]TongHop!E1173</f>
        <v>0</v>
      </c>
      <c r="F1173">
        <f>[2]TongHop!F1173</f>
        <v>0</v>
      </c>
      <c r="G1173">
        <f>[2]TongHop!G1173</f>
        <v>0</v>
      </c>
      <c r="H1173">
        <f>[2]TongHop!H1173</f>
        <v>0</v>
      </c>
      <c r="I1173">
        <f>[2]TongHop!I1173</f>
        <v>0</v>
      </c>
      <c r="J1173">
        <f>[2]TongHop!J1173</f>
        <v>0</v>
      </c>
      <c r="K1173">
        <f>[2]TongHop!K1173</f>
        <v>0</v>
      </c>
      <c r="L1173">
        <f>[2]TongHop!L1173</f>
        <v>0</v>
      </c>
      <c r="M1173">
        <f>[2]TongHop!M1173</f>
        <v>0</v>
      </c>
      <c r="N1173">
        <f>[2]TongHop!N1173</f>
        <v>0</v>
      </c>
    </row>
    <row r="1174" spans="1:14">
      <c r="A1174">
        <f>[2]TongHop!A1174</f>
        <v>0</v>
      </c>
      <c r="B1174">
        <f>[2]TongHop!B1174</f>
        <v>0</v>
      </c>
      <c r="C1174">
        <f>[2]TongHop!C1174</f>
        <v>0</v>
      </c>
      <c r="D1174">
        <f>[2]TongHop!D1174</f>
        <v>0</v>
      </c>
      <c r="E1174">
        <f>[2]TongHop!E1174</f>
        <v>0</v>
      </c>
      <c r="F1174">
        <f>[2]TongHop!F1174</f>
        <v>0</v>
      </c>
      <c r="G1174">
        <f>[2]TongHop!G1174</f>
        <v>0</v>
      </c>
      <c r="H1174">
        <f>[2]TongHop!H1174</f>
        <v>0</v>
      </c>
      <c r="I1174">
        <f>[2]TongHop!I1174</f>
        <v>0</v>
      </c>
      <c r="J1174">
        <f>[2]TongHop!J1174</f>
        <v>0</v>
      </c>
      <c r="K1174">
        <f>[2]TongHop!K1174</f>
        <v>0</v>
      </c>
      <c r="L1174">
        <f>[2]TongHop!L1174</f>
        <v>0</v>
      </c>
      <c r="M1174">
        <f>[2]TongHop!M1174</f>
        <v>0</v>
      </c>
      <c r="N1174">
        <f>[2]TongHop!N1174</f>
        <v>0</v>
      </c>
    </row>
    <row r="1175" spans="1:14">
      <c r="A1175">
        <f>[2]TongHop!A1175</f>
        <v>0</v>
      </c>
      <c r="B1175">
        <f>[2]TongHop!B1175</f>
        <v>0</v>
      </c>
      <c r="C1175">
        <f>[2]TongHop!C1175</f>
        <v>0</v>
      </c>
      <c r="D1175">
        <f>[2]TongHop!D1175</f>
        <v>0</v>
      </c>
      <c r="E1175">
        <f>[2]TongHop!E1175</f>
        <v>0</v>
      </c>
      <c r="F1175">
        <f>[2]TongHop!F1175</f>
        <v>0</v>
      </c>
      <c r="G1175">
        <f>[2]TongHop!G1175</f>
        <v>0</v>
      </c>
      <c r="H1175">
        <f>[2]TongHop!H1175</f>
        <v>0</v>
      </c>
      <c r="I1175">
        <f>[2]TongHop!I1175</f>
        <v>0</v>
      </c>
      <c r="J1175">
        <f>[2]TongHop!J1175</f>
        <v>0</v>
      </c>
      <c r="K1175">
        <f>[2]TongHop!K1175</f>
        <v>0</v>
      </c>
      <c r="L1175">
        <f>[2]TongHop!L1175</f>
        <v>0</v>
      </c>
      <c r="M1175">
        <f>[2]TongHop!M1175</f>
        <v>0</v>
      </c>
      <c r="N1175">
        <f>[2]TongHop!N1175</f>
        <v>0</v>
      </c>
    </row>
    <row r="1176" spans="1:14">
      <c r="A1176">
        <f>[2]TongHop!A1176</f>
        <v>0</v>
      </c>
      <c r="B1176">
        <f>[2]TongHop!B1176</f>
        <v>0</v>
      </c>
      <c r="C1176">
        <f>[2]TongHop!C1176</f>
        <v>0</v>
      </c>
      <c r="D1176">
        <f>[2]TongHop!D1176</f>
        <v>0</v>
      </c>
      <c r="E1176">
        <f>[2]TongHop!E1176</f>
        <v>0</v>
      </c>
      <c r="F1176">
        <f>[2]TongHop!F1176</f>
        <v>0</v>
      </c>
      <c r="G1176">
        <f>[2]TongHop!G1176</f>
        <v>0</v>
      </c>
      <c r="H1176">
        <f>[2]TongHop!H1176</f>
        <v>0</v>
      </c>
      <c r="I1176">
        <f>[2]TongHop!I1176</f>
        <v>0</v>
      </c>
      <c r="J1176">
        <f>[2]TongHop!J1176</f>
        <v>0</v>
      </c>
      <c r="K1176">
        <f>[2]TongHop!K1176</f>
        <v>0</v>
      </c>
      <c r="L1176">
        <f>[2]TongHop!L1176</f>
        <v>0</v>
      </c>
      <c r="M1176">
        <f>[2]TongHop!M1176</f>
        <v>0</v>
      </c>
      <c r="N1176">
        <f>[2]TongHop!N1176</f>
        <v>0</v>
      </c>
    </row>
    <row r="1177" spans="1:14">
      <c r="A1177">
        <f>[2]TongHop!A1177</f>
        <v>0</v>
      </c>
      <c r="B1177">
        <f>[2]TongHop!B1177</f>
        <v>0</v>
      </c>
      <c r="C1177">
        <f>[2]TongHop!C1177</f>
        <v>0</v>
      </c>
      <c r="D1177">
        <f>[2]TongHop!D1177</f>
        <v>0</v>
      </c>
      <c r="E1177">
        <f>[2]TongHop!E1177</f>
        <v>0</v>
      </c>
      <c r="F1177">
        <f>[2]TongHop!F1177</f>
        <v>0</v>
      </c>
      <c r="G1177">
        <f>[2]TongHop!G1177</f>
        <v>0</v>
      </c>
      <c r="H1177">
        <f>[2]TongHop!H1177</f>
        <v>0</v>
      </c>
      <c r="I1177">
        <f>[2]TongHop!I1177</f>
        <v>0</v>
      </c>
      <c r="J1177">
        <f>[2]TongHop!J1177</f>
        <v>0</v>
      </c>
      <c r="K1177">
        <f>[2]TongHop!K1177</f>
        <v>0</v>
      </c>
      <c r="L1177">
        <f>[2]TongHop!L1177</f>
        <v>0</v>
      </c>
      <c r="M1177">
        <f>[2]TongHop!M1177</f>
        <v>0</v>
      </c>
      <c r="N1177">
        <f>[2]TongHop!N1177</f>
        <v>0</v>
      </c>
    </row>
    <row r="1178" spans="1:14">
      <c r="A1178">
        <f>[2]TongHop!A1178</f>
        <v>0</v>
      </c>
      <c r="B1178">
        <f>[2]TongHop!B1178</f>
        <v>0</v>
      </c>
      <c r="C1178">
        <f>[2]TongHop!C1178</f>
        <v>0</v>
      </c>
      <c r="D1178">
        <f>[2]TongHop!D1178</f>
        <v>0</v>
      </c>
      <c r="E1178">
        <f>[2]TongHop!E1178</f>
        <v>0</v>
      </c>
      <c r="F1178">
        <f>[2]TongHop!F1178</f>
        <v>0</v>
      </c>
      <c r="G1178">
        <f>[2]TongHop!G1178</f>
        <v>0</v>
      </c>
      <c r="H1178">
        <f>[2]TongHop!H1178</f>
        <v>0</v>
      </c>
      <c r="I1178">
        <f>[2]TongHop!I1178</f>
        <v>0</v>
      </c>
      <c r="J1178">
        <f>[2]TongHop!J1178</f>
        <v>0</v>
      </c>
      <c r="K1178">
        <f>[2]TongHop!K1178</f>
        <v>0</v>
      </c>
      <c r="L1178">
        <f>[2]TongHop!L1178</f>
        <v>0</v>
      </c>
      <c r="M1178">
        <f>[2]TongHop!M1178</f>
        <v>0</v>
      </c>
      <c r="N1178">
        <f>[2]TongHop!N1178</f>
        <v>0</v>
      </c>
    </row>
    <row r="1179" spans="1:14">
      <c r="A1179">
        <f>[2]TongHop!A1179</f>
        <v>0</v>
      </c>
      <c r="B1179">
        <f>[2]TongHop!B1179</f>
        <v>0</v>
      </c>
      <c r="C1179">
        <f>[2]TongHop!C1179</f>
        <v>0</v>
      </c>
      <c r="D1179">
        <f>[2]TongHop!D1179</f>
        <v>0</v>
      </c>
      <c r="E1179">
        <f>[2]TongHop!E1179</f>
        <v>0</v>
      </c>
      <c r="F1179">
        <f>[2]TongHop!F1179</f>
        <v>0</v>
      </c>
      <c r="G1179">
        <f>[2]TongHop!G1179</f>
        <v>0</v>
      </c>
      <c r="H1179">
        <f>[2]TongHop!H1179</f>
        <v>0</v>
      </c>
      <c r="I1179">
        <f>[2]TongHop!I1179</f>
        <v>0</v>
      </c>
      <c r="J1179">
        <f>[2]TongHop!J1179</f>
        <v>0</v>
      </c>
      <c r="K1179">
        <f>[2]TongHop!K1179</f>
        <v>0</v>
      </c>
      <c r="L1179">
        <f>[2]TongHop!L1179</f>
        <v>0</v>
      </c>
      <c r="M1179">
        <f>[2]TongHop!M1179</f>
        <v>0</v>
      </c>
      <c r="N1179">
        <f>[2]TongHop!N1179</f>
        <v>0</v>
      </c>
    </row>
    <row r="1180" spans="1:14">
      <c r="A1180">
        <f>[2]TongHop!A1180</f>
        <v>0</v>
      </c>
      <c r="B1180">
        <f>[2]TongHop!B1180</f>
        <v>0</v>
      </c>
      <c r="C1180">
        <f>[2]TongHop!C1180</f>
        <v>0</v>
      </c>
      <c r="D1180">
        <f>[2]TongHop!D1180</f>
        <v>0</v>
      </c>
      <c r="E1180">
        <f>[2]TongHop!E1180</f>
        <v>0</v>
      </c>
      <c r="F1180">
        <f>[2]TongHop!F1180</f>
        <v>0</v>
      </c>
      <c r="G1180">
        <f>[2]TongHop!G1180</f>
        <v>0</v>
      </c>
      <c r="H1180">
        <f>[2]TongHop!H1180</f>
        <v>0</v>
      </c>
      <c r="I1180">
        <f>[2]TongHop!I1180</f>
        <v>0</v>
      </c>
      <c r="J1180">
        <f>[2]TongHop!J1180</f>
        <v>0</v>
      </c>
      <c r="K1180">
        <f>[2]TongHop!K1180</f>
        <v>0</v>
      </c>
      <c r="L1180">
        <f>[2]TongHop!L1180</f>
        <v>0</v>
      </c>
      <c r="M1180">
        <f>[2]TongHop!M1180</f>
        <v>0</v>
      </c>
      <c r="N1180">
        <f>[2]TongHop!N1180</f>
        <v>0</v>
      </c>
    </row>
    <row r="1181" spans="1:14">
      <c r="A1181">
        <f>[2]TongHop!A1181</f>
        <v>0</v>
      </c>
      <c r="B1181">
        <f>[2]TongHop!B1181</f>
        <v>0</v>
      </c>
      <c r="C1181">
        <f>[2]TongHop!C1181</f>
        <v>0</v>
      </c>
      <c r="D1181">
        <f>[2]TongHop!D1181</f>
        <v>0</v>
      </c>
      <c r="E1181">
        <f>[2]TongHop!E1181</f>
        <v>0</v>
      </c>
      <c r="F1181">
        <f>[2]TongHop!F1181</f>
        <v>0</v>
      </c>
      <c r="G1181">
        <f>[2]TongHop!G1181</f>
        <v>0</v>
      </c>
      <c r="H1181">
        <f>[2]TongHop!H1181</f>
        <v>0</v>
      </c>
      <c r="I1181">
        <f>[2]TongHop!I1181</f>
        <v>0</v>
      </c>
      <c r="J1181">
        <f>[2]TongHop!J1181</f>
        <v>0</v>
      </c>
      <c r="K1181">
        <f>[2]TongHop!K1181</f>
        <v>0</v>
      </c>
      <c r="L1181">
        <f>[2]TongHop!L1181</f>
        <v>0</v>
      </c>
      <c r="M1181">
        <f>[2]TongHop!M1181</f>
        <v>0</v>
      </c>
      <c r="N1181">
        <f>[2]TongHop!N1181</f>
        <v>0</v>
      </c>
    </row>
    <row r="1182" spans="1:14">
      <c r="A1182">
        <f>[2]TongHop!A1182</f>
        <v>0</v>
      </c>
      <c r="B1182">
        <f>[2]TongHop!B1182</f>
        <v>0</v>
      </c>
      <c r="C1182">
        <f>[2]TongHop!C1182</f>
        <v>0</v>
      </c>
      <c r="D1182">
        <f>[2]TongHop!D1182</f>
        <v>0</v>
      </c>
      <c r="E1182">
        <f>[2]TongHop!E1182</f>
        <v>0</v>
      </c>
      <c r="F1182">
        <f>[2]TongHop!F1182</f>
        <v>0</v>
      </c>
      <c r="G1182">
        <f>[2]TongHop!G1182</f>
        <v>0</v>
      </c>
      <c r="H1182">
        <f>[2]TongHop!H1182</f>
        <v>0</v>
      </c>
      <c r="I1182">
        <f>[2]TongHop!I1182</f>
        <v>0</v>
      </c>
      <c r="J1182">
        <f>[2]TongHop!J1182</f>
        <v>0</v>
      </c>
      <c r="K1182">
        <f>[2]TongHop!K1182</f>
        <v>0</v>
      </c>
      <c r="L1182">
        <f>[2]TongHop!L1182</f>
        <v>0</v>
      </c>
      <c r="M1182">
        <f>[2]TongHop!M1182</f>
        <v>0</v>
      </c>
      <c r="N1182">
        <f>[2]TongHop!N1182</f>
        <v>0</v>
      </c>
    </row>
    <row r="1183" spans="1:14">
      <c r="A1183">
        <f>[2]TongHop!A1183</f>
        <v>0</v>
      </c>
      <c r="B1183">
        <f>[2]TongHop!B1183</f>
        <v>0</v>
      </c>
      <c r="C1183">
        <f>[2]TongHop!C1183</f>
        <v>0</v>
      </c>
      <c r="D1183">
        <f>[2]TongHop!D1183</f>
        <v>0</v>
      </c>
      <c r="E1183">
        <f>[2]TongHop!E1183</f>
        <v>0</v>
      </c>
      <c r="F1183">
        <f>[2]TongHop!F1183</f>
        <v>0</v>
      </c>
      <c r="G1183">
        <f>[2]TongHop!G1183</f>
        <v>0</v>
      </c>
      <c r="H1183">
        <f>[2]TongHop!H1183</f>
        <v>0</v>
      </c>
      <c r="I1183">
        <f>[2]TongHop!I1183</f>
        <v>0</v>
      </c>
      <c r="J1183">
        <f>[2]TongHop!J1183</f>
        <v>0</v>
      </c>
      <c r="K1183">
        <f>[2]TongHop!K1183</f>
        <v>0</v>
      </c>
      <c r="L1183">
        <f>[2]TongHop!L1183</f>
        <v>0</v>
      </c>
      <c r="M1183">
        <f>[2]TongHop!M1183</f>
        <v>0</v>
      </c>
      <c r="N1183">
        <f>[2]TongHop!N1183</f>
        <v>0</v>
      </c>
    </row>
    <row r="1184" spans="1:14">
      <c r="A1184">
        <f>[2]TongHop!A1184</f>
        <v>0</v>
      </c>
      <c r="B1184">
        <f>[2]TongHop!B1184</f>
        <v>0</v>
      </c>
      <c r="C1184">
        <f>[2]TongHop!C1184</f>
        <v>0</v>
      </c>
      <c r="D1184">
        <f>[2]TongHop!D1184</f>
        <v>0</v>
      </c>
      <c r="E1184">
        <f>[2]TongHop!E1184</f>
        <v>0</v>
      </c>
      <c r="F1184">
        <f>[2]TongHop!F1184</f>
        <v>0</v>
      </c>
      <c r="G1184">
        <f>[2]TongHop!G1184</f>
        <v>0</v>
      </c>
      <c r="H1184">
        <f>[2]TongHop!H1184</f>
        <v>0</v>
      </c>
      <c r="I1184">
        <f>[2]TongHop!I1184</f>
        <v>0</v>
      </c>
      <c r="J1184">
        <f>[2]TongHop!J1184</f>
        <v>0</v>
      </c>
      <c r="K1184">
        <f>[2]TongHop!K1184</f>
        <v>0</v>
      </c>
      <c r="L1184">
        <f>[2]TongHop!L1184</f>
        <v>0</v>
      </c>
      <c r="M1184">
        <f>[2]TongHop!M1184</f>
        <v>0</v>
      </c>
      <c r="N1184">
        <f>[2]TongHop!N1184</f>
        <v>0</v>
      </c>
    </row>
    <row r="1185" spans="1:14">
      <c r="A1185">
        <f>[2]TongHop!A1185</f>
        <v>0</v>
      </c>
      <c r="B1185">
        <f>[2]TongHop!B1185</f>
        <v>0</v>
      </c>
      <c r="C1185">
        <f>[2]TongHop!C1185</f>
        <v>0</v>
      </c>
      <c r="D1185">
        <f>[2]TongHop!D1185</f>
        <v>0</v>
      </c>
      <c r="E1185">
        <f>[2]TongHop!E1185</f>
        <v>0</v>
      </c>
      <c r="F1185">
        <f>[2]TongHop!F1185</f>
        <v>0</v>
      </c>
      <c r="G1185">
        <f>[2]TongHop!G1185</f>
        <v>0</v>
      </c>
      <c r="H1185">
        <f>[2]TongHop!H1185</f>
        <v>0</v>
      </c>
      <c r="I1185">
        <f>[2]TongHop!I1185</f>
        <v>0</v>
      </c>
      <c r="J1185">
        <f>[2]TongHop!J1185</f>
        <v>0</v>
      </c>
      <c r="K1185">
        <f>[2]TongHop!K1185</f>
        <v>0</v>
      </c>
      <c r="L1185">
        <f>[2]TongHop!L1185</f>
        <v>0</v>
      </c>
      <c r="M1185">
        <f>[2]TongHop!M1185</f>
        <v>0</v>
      </c>
      <c r="N1185">
        <f>[2]TongHop!N1185</f>
        <v>0</v>
      </c>
    </row>
    <row r="1186" spans="1:14">
      <c r="A1186">
        <f>[2]TongHop!A1186</f>
        <v>0</v>
      </c>
      <c r="B1186">
        <f>[2]TongHop!B1186</f>
        <v>0</v>
      </c>
      <c r="C1186">
        <f>[2]TongHop!C1186</f>
        <v>0</v>
      </c>
      <c r="D1186">
        <f>[2]TongHop!D1186</f>
        <v>0</v>
      </c>
      <c r="E1186">
        <f>[2]TongHop!E1186</f>
        <v>0</v>
      </c>
      <c r="F1186">
        <f>[2]TongHop!F1186</f>
        <v>0</v>
      </c>
      <c r="G1186">
        <f>[2]TongHop!G1186</f>
        <v>0</v>
      </c>
      <c r="H1186">
        <f>[2]TongHop!H1186</f>
        <v>0</v>
      </c>
      <c r="I1186">
        <f>[2]TongHop!I1186</f>
        <v>0</v>
      </c>
      <c r="J1186">
        <f>[2]TongHop!J1186</f>
        <v>0</v>
      </c>
      <c r="K1186">
        <f>[2]TongHop!K1186</f>
        <v>0</v>
      </c>
      <c r="L1186">
        <f>[2]TongHop!L1186</f>
        <v>0</v>
      </c>
      <c r="M1186">
        <f>[2]TongHop!M1186</f>
        <v>0</v>
      </c>
      <c r="N1186">
        <f>[2]TongHop!N1186</f>
        <v>0</v>
      </c>
    </row>
    <row r="1187" spans="1:14">
      <c r="A1187">
        <f>[2]TongHop!A1187</f>
        <v>0</v>
      </c>
      <c r="B1187">
        <f>[2]TongHop!B1187</f>
        <v>0</v>
      </c>
      <c r="C1187">
        <f>[2]TongHop!C1187</f>
        <v>0</v>
      </c>
      <c r="D1187">
        <f>[2]TongHop!D1187</f>
        <v>0</v>
      </c>
      <c r="E1187">
        <f>[2]TongHop!E1187</f>
        <v>0</v>
      </c>
      <c r="F1187">
        <f>[2]TongHop!F1187</f>
        <v>0</v>
      </c>
      <c r="G1187">
        <f>[2]TongHop!G1187</f>
        <v>0</v>
      </c>
      <c r="H1187">
        <f>[2]TongHop!H1187</f>
        <v>0</v>
      </c>
      <c r="I1187">
        <f>[2]TongHop!I1187</f>
        <v>0</v>
      </c>
      <c r="J1187">
        <f>[2]TongHop!J1187</f>
        <v>0</v>
      </c>
      <c r="K1187">
        <f>[2]TongHop!K1187</f>
        <v>0</v>
      </c>
      <c r="L1187">
        <f>[2]TongHop!L1187</f>
        <v>0</v>
      </c>
      <c r="M1187">
        <f>[2]TongHop!M1187</f>
        <v>0</v>
      </c>
      <c r="N1187">
        <f>[2]TongHop!N1187</f>
        <v>0</v>
      </c>
    </row>
    <row r="1188" spans="1:14">
      <c r="A1188">
        <f>[2]TongHop!A1188</f>
        <v>0</v>
      </c>
      <c r="B1188">
        <f>[2]TongHop!B1188</f>
        <v>0</v>
      </c>
      <c r="C1188">
        <f>[2]TongHop!C1188</f>
        <v>0</v>
      </c>
      <c r="D1188">
        <f>[2]TongHop!D1188</f>
        <v>0</v>
      </c>
      <c r="E1188">
        <f>[2]TongHop!E1188</f>
        <v>0</v>
      </c>
      <c r="F1188">
        <f>[2]TongHop!F1188</f>
        <v>0</v>
      </c>
      <c r="G1188">
        <f>[2]TongHop!G1188</f>
        <v>0</v>
      </c>
      <c r="H1188">
        <f>[2]TongHop!H1188</f>
        <v>0</v>
      </c>
      <c r="I1188">
        <f>[2]TongHop!I1188</f>
        <v>0</v>
      </c>
      <c r="J1188">
        <f>[2]TongHop!J1188</f>
        <v>0</v>
      </c>
      <c r="K1188">
        <f>[2]TongHop!K1188</f>
        <v>0</v>
      </c>
      <c r="L1188">
        <f>[2]TongHop!L1188</f>
        <v>0</v>
      </c>
      <c r="M1188">
        <f>[2]TongHop!M1188</f>
        <v>0</v>
      </c>
      <c r="N1188">
        <f>[2]TongHop!N1188</f>
        <v>0</v>
      </c>
    </row>
    <row r="1189" spans="1:14">
      <c r="A1189">
        <f>[2]TongHop!A1189</f>
        <v>0</v>
      </c>
      <c r="B1189">
        <f>[2]TongHop!B1189</f>
        <v>0</v>
      </c>
      <c r="C1189">
        <f>[2]TongHop!C1189</f>
        <v>0</v>
      </c>
      <c r="D1189">
        <f>[2]TongHop!D1189</f>
        <v>0</v>
      </c>
      <c r="E1189">
        <f>[2]TongHop!E1189</f>
        <v>0</v>
      </c>
      <c r="F1189">
        <f>[2]TongHop!F1189</f>
        <v>0</v>
      </c>
      <c r="G1189">
        <f>[2]TongHop!G1189</f>
        <v>0</v>
      </c>
      <c r="H1189">
        <f>[2]TongHop!H1189</f>
        <v>0</v>
      </c>
      <c r="I1189">
        <f>[2]TongHop!I1189</f>
        <v>0</v>
      </c>
      <c r="J1189">
        <f>[2]TongHop!J1189</f>
        <v>0</v>
      </c>
      <c r="K1189">
        <f>[2]TongHop!K1189</f>
        <v>0</v>
      </c>
      <c r="L1189">
        <f>[2]TongHop!L1189</f>
        <v>0</v>
      </c>
      <c r="M1189">
        <f>[2]TongHop!M1189</f>
        <v>0</v>
      </c>
      <c r="N1189">
        <f>[2]TongHop!N1189</f>
        <v>0</v>
      </c>
    </row>
    <row r="1190" spans="1:14">
      <c r="A1190">
        <f>[2]TongHop!A1190</f>
        <v>0</v>
      </c>
      <c r="B1190">
        <f>[2]TongHop!B1190</f>
        <v>0</v>
      </c>
      <c r="C1190">
        <f>[2]TongHop!C1190</f>
        <v>0</v>
      </c>
      <c r="D1190">
        <f>[2]TongHop!D1190</f>
        <v>0</v>
      </c>
      <c r="E1190">
        <f>[2]TongHop!E1190</f>
        <v>0</v>
      </c>
      <c r="F1190">
        <f>[2]TongHop!F1190</f>
        <v>0</v>
      </c>
      <c r="G1190">
        <f>[2]TongHop!G1190</f>
        <v>0</v>
      </c>
      <c r="H1190">
        <f>[2]TongHop!H1190</f>
        <v>0</v>
      </c>
      <c r="I1190">
        <f>[2]TongHop!I1190</f>
        <v>0</v>
      </c>
      <c r="J1190">
        <f>[2]TongHop!J1190</f>
        <v>0</v>
      </c>
      <c r="K1190">
        <f>[2]TongHop!K1190</f>
        <v>0</v>
      </c>
      <c r="L1190">
        <f>[2]TongHop!L1190</f>
        <v>0</v>
      </c>
      <c r="M1190">
        <f>[2]TongHop!M1190</f>
        <v>0</v>
      </c>
      <c r="N1190">
        <f>[2]TongHop!N1190</f>
        <v>0</v>
      </c>
    </row>
    <row r="1191" spans="1:14">
      <c r="A1191">
        <f>[2]TongHop!A1191</f>
        <v>0</v>
      </c>
      <c r="B1191">
        <f>[2]TongHop!B1191</f>
        <v>0</v>
      </c>
      <c r="C1191">
        <f>[2]TongHop!C1191</f>
        <v>0</v>
      </c>
      <c r="D1191">
        <f>[2]TongHop!D1191</f>
        <v>0</v>
      </c>
      <c r="E1191">
        <f>[2]TongHop!E1191</f>
        <v>0</v>
      </c>
      <c r="F1191">
        <f>[2]TongHop!F1191</f>
        <v>0</v>
      </c>
      <c r="G1191">
        <f>[2]TongHop!G1191</f>
        <v>0</v>
      </c>
      <c r="H1191">
        <f>[2]TongHop!H1191</f>
        <v>0</v>
      </c>
      <c r="I1191">
        <f>[2]TongHop!I1191</f>
        <v>0</v>
      </c>
      <c r="J1191">
        <f>[2]TongHop!J1191</f>
        <v>0</v>
      </c>
      <c r="K1191">
        <f>[2]TongHop!K1191</f>
        <v>0</v>
      </c>
      <c r="L1191">
        <f>[2]TongHop!L1191</f>
        <v>0</v>
      </c>
      <c r="M1191">
        <f>[2]TongHop!M1191</f>
        <v>0</v>
      </c>
      <c r="N1191">
        <f>[2]TongHop!N1191</f>
        <v>0</v>
      </c>
    </row>
    <row r="1192" spans="1:14">
      <c r="A1192">
        <f>[2]TongHop!A1192</f>
        <v>0</v>
      </c>
      <c r="B1192">
        <f>[2]TongHop!B1192</f>
        <v>0</v>
      </c>
      <c r="C1192">
        <f>[2]TongHop!C1192</f>
        <v>0</v>
      </c>
      <c r="D1192">
        <f>[2]TongHop!D1192</f>
        <v>0</v>
      </c>
      <c r="E1192">
        <f>[2]TongHop!E1192</f>
        <v>0</v>
      </c>
      <c r="F1192">
        <f>[2]TongHop!F1192</f>
        <v>0</v>
      </c>
      <c r="G1192">
        <f>[2]TongHop!G1192</f>
        <v>0</v>
      </c>
      <c r="H1192">
        <f>[2]TongHop!H1192</f>
        <v>0</v>
      </c>
      <c r="I1192">
        <f>[2]TongHop!I1192</f>
        <v>0</v>
      </c>
      <c r="J1192">
        <f>[2]TongHop!J1192</f>
        <v>0</v>
      </c>
      <c r="K1192">
        <f>[2]TongHop!K1192</f>
        <v>0</v>
      </c>
      <c r="L1192">
        <f>[2]TongHop!L1192</f>
        <v>0</v>
      </c>
      <c r="M1192">
        <f>[2]TongHop!M1192</f>
        <v>0</v>
      </c>
      <c r="N1192">
        <f>[2]TongHop!N1192</f>
        <v>0</v>
      </c>
    </row>
    <row r="1193" spans="1:14">
      <c r="A1193">
        <f>[2]TongHop!A1193</f>
        <v>0</v>
      </c>
      <c r="B1193">
        <f>[2]TongHop!B1193</f>
        <v>0</v>
      </c>
      <c r="C1193">
        <f>[2]TongHop!C1193</f>
        <v>0</v>
      </c>
      <c r="D1193">
        <f>[2]TongHop!D1193</f>
        <v>0</v>
      </c>
      <c r="E1193">
        <f>[2]TongHop!E1193</f>
        <v>0</v>
      </c>
      <c r="F1193">
        <f>[2]TongHop!F1193</f>
        <v>0</v>
      </c>
      <c r="G1193">
        <f>[2]TongHop!G1193</f>
        <v>0</v>
      </c>
      <c r="H1193">
        <f>[2]TongHop!H1193</f>
        <v>0</v>
      </c>
      <c r="I1193">
        <f>[2]TongHop!I1193</f>
        <v>0</v>
      </c>
      <c r="J1193">
        <f>[2]TongHop!J1193</f>
        <v>0</v>
      </c>
      <c r="K1193">
        <f>[2]TongHop!K1193</f>
        <v>0</v>
      </c>
      <c r="L1193">
        <f>[2]TongHop!L1193</f>
        <v>0</v>
      </c>
      <c r="M1193">
        <f>[2]TongHop!M1193</f>
        <v>0</v>
      </c>
      <c r="N1193">
        <f>[2]TongHop!N1193</f>
        <v>0</v>
      </c>
    </row>
    <row r="1194" spans="1:14">
      <c r="A1194">
        <f>[2]TongHop!A1194</f>
        <v>0</v>
      </c>
      <c r="B1194">
        <f>[2]TongHop!B1194</f>
        <v>0</v>
      </c>
      <c r="C1194">
        <f>[2]TongHop!C1194</f>
        <v>0</v>
      </c>
      <c r="D1194">
        <f>[2]TongHop!D1194</f>
        <v>0</v>
      </c>
      <c r="E1194">
        <f>[2]TongHop!E1194</f>
        <v>0</v>
      </c>
      <c r="F1194">
        <f>[2]TongHop!F1194</f>
        <v>0</v>
      </c>
      <c r="G1194">
        <f>[2]TongHop!G1194</f>
        <v>0</v>
      </c>
      <c r="H1194">
        <f>[2]TongHop!H1194</f>
        <v>0</v>
      </c>
      <c r="I1194">
        <f>[2]TongHop!I1194</f>
        <v>0</v>
      </c>
      <c r="J1194">
        <f>[2]TongHop!J1194</f>
        <v>0</v>
      </c>
      <c r="K1194">
        <f>[2]TongHop!K1194</f>
        <v>0</v>
      </c>
      <c r="L1194">
        <f>[2]TongHop!L1194</f>
        <v>0</v>
      </c>
      <c r="M1194">
        <f>[2]TongHop!M1194</f>
        <v>0</v>
      </c>
      <c r="N1194">
        <f>[2]TongHop!N1194</f>
        <v>0</v>
      </c>
    </row>
    <row r="1195" spans="1:14">
      <c r="A1195">
        <f>[2]TongHop!A1195</f>
        <v>0</v>
      </c>
      <c r="B1195">
        <f>[2]TongHop!B1195</f>
        <v>0</v>
      </c>
      <c r="C1195">
        <f>[2]TongHop!C1195</f>
        <v>0</v>
      </c>
      <c r="D1195">
        <f>[2]TongHop!D1195</f>
        <v>0</v>
      </c>
      <c r="E1195">
        <f>[2]TongHop!E1195</f>
        <v>0</v>
      </c>
      <c r="F1195">
        <f>[2]TongHop!F1195</f>
        <v>0</v>
      </c>
      <c r="G1195">
        <f>[2]TongHop!G1195</f>
        <v>0</v>
      </c>
      <c r="H1195">
        <f>[2]TongHop!H1195</f>
        <v>0</v>
      </c>
      <c r="I1195">
        <f>[2]TongHop!I1195</f>
        <v>0</v>
      </c>
      <c r="J1195">
        <f>[2]TongHop!J1195</f>
        <v>0</v>
      </c>
      <c r="K1195">
        <f>[2]TongHop!K1195</f>
        <v>0</v>
      </c>
      <c r="L1195">
        <f>[2]TongHop!L1195</f>
        <v>0</v>
      </c>
      <c r="M1195">
        <f>[2]TongHop!M1195</f>
        <v>0</v>
      </c>
      <c r="N1195">
        <f>[2]TongHop!N1195</f>
        <v>0</v>
      </c>
    </row>
    <row r="1196" spans="1:14">
      <c r="A1196">
        <f>[2]TongHop!A1196</f>
        <v>0</v>
      </c>
      <c r="B1196">
        <f>[2]TongHop!B1196</f>
        <v>0</v>
      </c>
      <c r="C1196">
        <f>[2]TongHop!C1196</f>
        <v>0</v>
      </c>
      <c r="D1196">
        <f>[2]TongHop!D1196</f>
        <v>0</v>
      </c>
      <c r="E1196">
        <f>[2]TongHop!E1196</f>
        <v>0</v>
      </c>
      <c r="F1196">
        <f>[2]TongHop!F1196</f>
        <v>0</v>
      </c>
      <c r="G1196">
        <f>[2]TongHop!G1196</f>
        <v>0</v>
      </c>
      <c r="H1196">
        <f>[2]TongHop!H1196</f>
        <v>0</v>
      </c>
      <c r="I1196">
        <f>[2]TongHop!I1196</f>
        <v>0</v>
      </c>
      <c r="J1196">
        <f>[2]TongHop!J1196</f>
        <v>0</v>
      </c>
      <c r="K1196">
        <f>[2]TongHop!K1196</f>
        <v>0</v>
      </c>
      <c r="L1196">
        <f>[2]TongHop!L1196</f>
        <v>0</v>
      </c>
      <c r="M1196">
        <f>[2]TongHop!M1196</f>
        <v>0</v>
      </c>
      <c r="N1196">
        <f>[2]TongHop!N1196</f>
        <v>0</v>
      </c>
    </row>
    <row r="1197" spans="1:14">
      <c r="A1197">
        <f>[2]TongHop!A1197</f>
        <v>0</v>
      </c>
      <c r="B1197">
        <f>[2]TongHop!B1197</f>
        <v>0</v>
      </c>
      <c r="C1197">
        <f>[2]TongHop!C1197</f>
        <v>0</v>
      </c>
      <c r="D1197">
        <f>[2]TongHop!D1197</f>
        <v>0</v>
      </c>
      <c r="E1197">
        <f>[2]TongHop!E1197</f>
        <v>0</v>
      </c>
      <c r="F1197">
        <f>[2]TongHop!F1197</f>
        <v>0</v>
      </c>
      <c r="G1197">
        <f>[2]TongHop!G1197</f>
        <v>0</v>
      </c>
      <c r="H1197">
        <f>[2]TongHop!H1197</f>
        <v>0</v>
      </c>
      <c r="I1197">
        <f>[2]TongHop!I1197</f>
        <v>0</v>
      </c>
      <c r="J1197">
        <f>[2]TongHop!J1197</f>
        <v>0</v>
      </c>
      <c r="K1197">
        <f>[2]TongHop!K1197</f>
        <v>0</v>
      </c>
      <c r="L1197">
        <f>[2]TongHop!L1197</f>
        <v>0</v>
      </c>
      <c r="M1197">
        <f>[2]TongHop!M1197</f>
        <v>0</v>
      </c>
      <c r="N1197">
        <f>[2]TongHop!N1197</f>
        <v>0</v>
      </c>
    </row>
    <row r="1198" spans="1:14">
      <c r="A1198">
        <f>[2]TongHop!A1198</f>
        <v>0</v>
      </c>
      <c r="B1198">
        <f>[2]TongHop!B1198</f>
        <v>0</v>
      </c>
      <c r="C1198">
        <f>[2]TongHop!C1198</f>
        <v>0</v>
      </c>
      <c r="D1198">
        <f>[2]TongHop!D1198</f>
        <v>0</v>
      </c>
      <c r="E1198">
        <f>[2]TongHop!E1198</f>
        <v>0</v>
      </c>
      <c r="F1198">
        <f>[2]TongHop!F1198</f>
        <v>0</v>
      </c>
      <c r="G1198">
        <f>[2]TongHop!G1198</f>
        <v>0</v>
      </c>
      <c r="H1198">
        <f>[2]TongHop!H1198</f>
        <v>0</v>
      </c>
      <c r="I1198">
        <f>[2]TongHop!I1198</f>
        <v>0</v>
      </c>
      <c r="J1198">
        <f>[2]TongHop!J1198</f>
        <v>0</v>
      </c>
      <c r="K1198">
        <f>[2]TongHop!K1198</f>
        <v>0</v>
      </c>
      <c r="L1198">
        <f>[2]TongHop!L1198</f>
        <v>0</v>
      </c>
      <c r="M1198">
        <f>[2]TongHop!M1198</f>
        <v>0</v>
      </c>
      <c r="N1198">
        <f>[2]TongHop!N1198</f>
        <v>0</v>
      </c>
    </row>
    <row r="1199" spans="1:14">
      <c r="A1199">
        <f>[2]TongHop!A1199</f>
        <v>0</v>
      </c>
      <c r="B1199">
        <f>[2]TongHop!B1199</f>
        <v>0</v>
      </c>
      <c r="C1199">
        <f>[2]TongHop!C1199</f>
        <v>0</v>
      </c>
      <c r="D1199">
        <f>[2]TongHop!D1199</f>
        <v>0</v>
      </c>
      <c r="E1199">
        <f>[2]TongHop!E1199</f>
        <v>0</v>
      </c>
      <c r="F1199">
        <f>[2]TongHop!F1199</f>
        <v>0</v>
      </c>
      <c r="G1199">
        <f>[2]TongHop!G1199</f>
        <v>0</v>
      </c>
      <c r="H1199">
        <f>[2]TongHop!H1199</f>
        <v>0</v>
      </c>
      <c r="I1199">
        <f>[2]TongHop!I1199</f>
        <v>0</v>
      </c>
      <c r="J1199">
        <f>[2]TongHop!J1199</f>
        <v>0</v>
      </c>
      <c r="K1199">
        <f>[2]TongHop!K1199</f>
        <v>0</v>
      </c>
      <c r="L1199">
        <f>[2]TongHop!L1199</f>
        <v>0</v>
      </c>
      <c r="M1199">
        <f>[2]TongHop!M1199</f>
        <v>0</v>
      </c>
      <c r="N1199">
        <f>[2]TongHop!N1199</f>
        <v>0</v>
      </c>
    </row>
    <row r="1200" spans="1:14">
      <c r="A1200">
        <f>[2]TongHop!A1200</f>
        <v>0</v>
      </c>
      <c r="B1200">
        <f>[2]TongHop!B1200</f>
        <v>0</v>
      </c>
      <c r="C1200">
        <f>[2]TongHop!C1200</f>
        <v>0</v>
      </c>
      <c r="D1200">
        <f>[2]TongHop!D1200</f>
        <v>0</v>
      </c>
      <c r="E1200">
        <f>[2]TongHop!E1200</f>
        <v>0</v>
      </c>
      <c r="F1200">
        <f>[2]TongHop!F1200</f>
        <v>0</v>
      </c>
      <c r="G1200">
        <f>[2]TongHop!G1200</f>
        <v>0</v>
      </c>
      <c r="H1200">
        <f>[2]TongHop!H1200</f>
        <v>0</v>
      </c>
      <c r="I1200">
        <f>[2]TongHop!I1200</f>
        <v>0</v>
      </c>
      <c r="J1200">
        <f>[2]TongHop!J1200</f>
        <v>0</v>
      </c>
      <c r="K1200">
        <f>[2]TongHop!K1200</f>
        <v>0</v>
      </c>
      <c r="L1200">
        <f>[2]TongHop!L1200</f>
        <v>0</v>
      </c>
      <c r="M1200">
        <f>[2]TongHop!M1200</f>
        <v>0</v>
      </c>
      <c r="N1200">
        <f>[2]TongHop!N1200</f>
        <v>0</v>
      </c>
    </row>
    <row r="1201" spans="1:14">
      <c r="A1201">
        <f>[2]TongHop!A1201</f>
        <v>0</v>
      </c>
      <c r="B1201">
        <f>[2]TongHop!B1201</f>
        <v>0</v>
      </c>
      <c r="C1201">
        <f>[2]TongHop!C1201</f>
        <v>0</v>
      </c>
      <c r="D1201">
        <f>[2]TongHop!D1201</f>
        <v>0</v>
      </c>
      <c r="E1201">
        <f>[2]TongHop!E1201</f>
        <v>0</v>
      </c>
      <c r="F1201">
        <f>[2]TongHop!F1201</f>
        <v>0</v>
      </c>
      <c r="G1201">
        <f>[2]TongHop!G1201</f>
        <v>0</v>
      </c>
      <c r="H1201">
        <f>[2]TongHop!H1201</f>
        <v>0</v>
      </c>
      <c r="I1201">
        <f>[2]TongHop!I1201</f>
        <v>0</v>
      </c>
      <c r="J1201">
        <f>[2]TongHop!J1201</f>
        <v>0</v>
      </c>
      <c r="K1201">
        <f>[2]TongHop!K1201</f>
        <v>0</v>
      </c>
      <c r="L1201">
        <f>[2]TongHop!L1201</f>
        <v>0</v>
      </c>
      <c r="M1201">
        <f>[2]TongHop!M1201</f>
        <v>0</v>
      </c>
      <c r="N1201">
        <f>[2]TongHop!N1201</f>
        <v>0</v>
      </c>
    </row>
    <row r="1202" spans="1:14">
      <c r="A1202">
        <f>[2]TongHop!A1202</f>
        <v>0</v>
      </c>
      <c r="B1202">
        <f>[2]TongHop!B1202</f>
        <v>0</v>
      </c>
      <c r="C1202">
        <f>[2]TongHop!C1202</f>
        <v>0</v>
      </c>
      <c r="D1202">
        <f>[2]TongHop!D1202</f>
        <v>0</v>
      </c>
      <c r="E1202">
        <f>[2]TongHop!E1202</f>
        <v>0</v>
      </c>
      <c r="F1202">
        <f>[2]TongHop!F1202</f>
        <v>0</v>
      </c>
      <c r="G1202">
        <f>[2]TongHop!G1202</f>
        <v>0</v>
      </c>
      <c r="H1202">
        <f>[2]TongHop!H1202</f>
        <v>0</v>
      </c>
      <c r="I1202">
        <f>[2]TongHop!I1202</f>
        <v>0</v>
      </c>
      <c r="J1202">
        <f>[2]TongHop!J1202</f>
        <v>0</v>
      </c>
      <c r="K1202">
        <f>[2]TongHop!K1202</f>
        <v>0</v>
      </c>
      <c r="L1202">
        <f>[2]TongHop!L1202</f>
        <v>0</v>
      </c>
      <c r="M1202">
        <f>[2]TongHop!M1202</f>
        <v>0</v>
      </c>
      <c r="N1202">
        <f>[2]TongHop!N1202</f>
        <v>0</v>
      </c>
    </row>
    <row r="1203" spans="1:14">
      <c r="A1203">
        <f>[2]TongHop!A1203</f>
        <v>0</v>
      </c>
      <c r="B1203">
        <f>[2]TongHop!B1203</f>
        <v>0</v>
      </c>
      <c r="C1203">
        <f>[2]TongHop!C1203</f>
        <v>0</v>
      </c>
      <c r="D1203">
        <f>[2]TongHop!D1203</f>
        <v>0</v>
      </c>
      <c r="E1203">
        <f>[2]TongHop!E1203</f>
        <v>0</v>
      </c>
      <c r="F1203">
        <f>[2]TongHop!F1203</f>
        <v>0</v>
      </c>
      <c r="G1203">
        <f>[2]TongHop!G1203</f>
        <v>0</v>
      </c>
      <c r="H1203">
        <f>[2]TongHop!H1203</f>
        <v>0</v>
      </c>
      <c r="I1203">
        <f>[2]TongHop!I1203</f>
        <v>0</v>
      </c>
      <c r="J1203">
        <f>[2]TongHop!J1203</f>
        <v>0</v>
      </c>
      <c r="K1203">
        <f>[2]TongHop!K1203</f>
        <v>0</v>
      </c>
      <c r="L1203">
        <f>[2]TongHop!L1203</f>
        <v>0</v>
      </c>
      <c r="M1203">
        <f>[2]TongHop!M1203</f>
        <v>0</v>
      </c>
      <c r="N1203">
        <f>[2]TongHop!N1203</f>
        <v>0</v>
      </c>
    </row>
    <row r="1204" spans="1:14">
      <c r="A1204">
        <f>[2]TongHop!A1204</f>
        <v>0</v>
      </c>
      <c r="B1204">
        <f>[2]TongHop!B1204</f>
        <v>0</v>
      </c>
      <c r="C1204">
        <f>[2]TongHop!C1204</f>
        <v>0</v>
      </c>
      <c r="D1204">
        <f>[2]TongHop!D1204</f>
        <v>0</v>
      </c>
      <c r="E1204">
        <f>[2]TongHop!E1204</f>
        <v>0</v>
      </c>
      <c r="F1204">
        <f>[2]TongHop!F1204</f>
        <v>0</v>
      </c>
      <c r="G1204">
        <f>[2]TongHop!G1204</f>
        <v>0</v>
      </c>
      <c r="H1204">
        <f>[2]TongHop!H1204</f>
        <v>0</v>
      </c>
      <c r="I1204">
        <f>[2]TongHop!I1204</f>
        <v>0</v>
      </c>
      <c r="J1204">
        <f>[2]TongHop!J1204</f>
        <v>0</v>
      </c>
      <c r="K1204">
        <f>[2]TongHop!K1204</f>
        <v>0</v>
      </c>
      <c r="L1204">
        <f>[2]TongHop!L1204</f>
        <v>0</v>
      </c>
      <c r="M1204">
        <f>[2]TongHop!M1204</f>
        <v>0</v>
      </c>
      <c r="N1204">
        <f>[2]TongHop!N1204</f>
        <v>0</v>
      </c>
    </row>
    <row r="1205" spans="1:14">
      <c r="A1205">
        <f>[2]TongHop!A1205</f>
        <v>0</v>
      </c>
      <c r="B1205">
        <f>[2]TongHop!B1205</f>
        <v>0</v>
      </c>
      <c r="C1205">
        <f>[2]TongHop!C1205</f>
        <v>0</v>
      </c>
      <c r="D1205">
        <f>[2]TongHop!D1205</f>
        <v>0</v>
      </c>
      <c r="E1205">
        <f>[2]TongHop!E1205</f>
        <v>0</v>
      </c>
      <c r="F1205">
        <f>[2]TongHop!F1205</f>
        <v>0</v>
      </c>
      <c r="G1205">
        <f>[2]TongHop!G1205</f>
        <v>0</v>
      </c>
      <c r="H1205">
        <f>[2]TongHop!H1205</f>
        <v>0</v>
      </c>
      <c r="I1205">
        <f>[2]TongHop!I1205</f>
        <v>0</v>
      </c>
      <c r="J1205">
        <f>[2]TongHop!J1205</f>
        <v>0</v>
      </c>
      <c r="K1205">
        <f>[2]TongHop!K1205</f>
        <v>0</v>
      </c>
      <c r="L1205">
        <f>[2]TongHop!L1205</f>
        <v>0</v>
      </c>
      <c r="M1205">
        <f>[2]TongHop!M1205</f>
        <v>0</v>
      </c>
      <c r="N1205">
        <f>[2]TongHop!N1205</f>
        <v>0</v>
      </c>
    </row>
    <row r="1206" spans="1:14">
      <c r="A1206">
        <f>[2]TongHop!A1206</f>
        <v>0</v>
      </c>
      <c r="B1206">
        <f>[2]TongHop!B1206</f>
        <v>0</v>
      </c>
      <c r="C1206">
        <f>[2]TongHop!C1206</f>
        <v>0</v>
      </c>
      <c r="D1206">
        <f>[2]TongHop!D1206</f>
        <v>0</v>
      </c>
      <c r="E1206">
        <f>[2]TongHop!E1206</f>
        <v>0</v>
      </c>
      <c r="F1206">
        <f>[2]TongHop!F1206</f>
        <v>0</v>
      </c>
      <c r="G1206">
        <f>[2]TongHop!G1206</f>
        <v>0</v>
      </c>
      <c r="H1206">
        <f>[2]TongHop!H1206</f>
        <v>0</v>
      </c>
      <c r="I1206">
        <f>[2]TongHop!I1206</f>
        <v>0</v>
      </c>
      <c r="J1206">
        <f>[2]TongHop!J1206</f>
        <v>0</v>
      </c>
      <c r="K1206">
        <f>[2]TongHop!K1206</f>
        <v>0</v>
      </c>
      <c r="L1206">
        <f>[2]TongHop!L1206</f>
        <v>0</v>
      </c>
      <c r="M1206">
        <f>[2]TongHop!M1206</f>
        <v>0</v>
      </c>
      <c r="N1206">
        <f>[2]TongHop!N1206</f>
        <v>0</v>
      </c>
    </row>
    <row r="1207" spans="1:14">
      <c r="A1207">
        <f>[2]TongHop!A1207</f>
        <v>0</v>
      </c>
      <c r="B1207">
        <f>[2]TongHop!B1207</f>
        <v>0</v>
      </c>
      <c r="C1207">
        <f>[2]TongHop!C1207</f>
        <v>0</v>
      </c>
      <c r="D1207">
        <f>[2]TongHop!D1207</f>
        <v>0</v>
      </c>
      <c r="E1207">
        <f>[2]TongHop!E1207</f>
        <v>0</v>
      </c>
      <c r="F1207">
        <f>[2]TongHop!F1207</f>
        <v>0</v>
      </c>
      <c r="G1207">
        <f>[2]TongHop!G1207</f>
        <v>0</v>
      </c>
      <c r="H1207">
        <f>[2]TongHop!H1207</f>
        <v>0</v>
      </c>
      <c r="I1207">
        <f>[2]TongHop!I1207</f>
        <v>0</v>
      </c>
      <c r="J1207">
        <f>[2]TongHop!J1207</f>
        <v>0</v>
      </c>
      <c r="K1207">
        <f>[2]TongHop!K1207</f>
        <v>0</v>
      </c>
      <c r="L1207">
        <f>[2]TongHop!L1207</f>
        <v>0</v>
      </c>
      <c r="M1207">
        <f>[2]TongHop!M1207</f>
        <v>0</v>
      </c>
      <c r="N1207">
        <f>[2]TongHop!N1207</f>
        <v>0</v>
      </c>
    </row>
    <row r="1208" spans="1:14">
      <c r="A1208">
        <f>[2]TongHop!A1208</f>
        <v>0</v>
      </c>
      <c r="B1208">
        <f>[2]TongHop!B1208</f>
        <v>0</v>
      </c>
      <c r="C1208">
        <f>[2]TongHop!C1208</f>
        <v>0</v>
      </c>
      <c r="D1208">
        <f>[2]TongHop!D1208</f>
        <v>0</v>
      </c>
      <c r="E1208">
        <f>[2]TongHop!E1208</f>
        <v>0</v>
      </c>
      <c r="F1208">
        <f>[2]TongHop!F1208</f>
        <v>0</v>
      </c>
      <c r="G1208">
        <f>[2]TongHop!G1208</f>
        <v>0</v>
      </c>
      <c r="H1208">
        <f>[2]TongHop!H1208</f>
        <v>0</v>
      </c>
      <c r="I1208">
        <f>[2]TongHop!I1208</f>
        <v>0</v>
      </c>
      <c r="J1208">
        <f>[2]TongHop!J1208</f>
        <v>0</v>
      </c>
      <c r="K1208">
        <f>[2]TongHop!K1208</f>
        <v>0</v>
      </c>
      <c r="L1208">
        <f>[2]TongHop!L1208</f>
        <v>0</v>
      </c>
      <c r="M1208">
        <f>[2]TongHop!M1208</f>
        <v>0</v>
      </c>
      <c r="N1208">
        <f>[2]TongHop!N1208</f>
        <v>0</v>
      </c>
    </row>
    <row r="1209" spans="1:14">
      <c r="A1209">
        <f>[2]TongHop!A1209</f>
        <v>0</v>
      </c>
      <c r="B1209">
        <f>[2]TongHop!B1209</f>
        <v>0</v>
      </c>
      <c r="C1209">
        <f>[2]TongHop!C1209</f>
        <v>0</v>
      </c>
      <c r="D1209">
        <f>[2]TongHop!D1209</f>
        <v>0</v>
      </c>
      <c r="E1209">
        <f>[2]TongHop!E1209</f>
        <v>0</v>
      </c>
      <c r="F1209">
        <f>[2]TongHop!F1209</f>
        <v>0</v>
      </c>
      <c r="G1209">
        <f>[2]TongHop!G1209</f>
        <v>0</v>
      </c>
      <c r="H1209">
        <f>[2]TongHop!H1209</f>
        <v>0</v>
      </c>
      <c r="I1209">
        <f>[2]TongHop!I1209</f>
        <v>0</v>
      </c>
      <c r="J1209">
        <f>[2]TongHop!J1209</f>
        <v>0</v>
      </c>
      <c r="K1209">
        <f>[2]TongHop!K1209</f>
        <v>0</v>
      </c>
      <c r="L1209">
        <f>[2]TongHop!L1209</f>
        <v>0</v>
      </c>
      <c r="M1209">
        <f>[2]TongHop!M1209</f>
        <v>0</v>
      </c>
      <c r="N1209">
        <f>[2]TongHop!N1209</f>
        <v>0</v>
      </c>
    </row>
    <row r="1210" spans="1:14">
      <c r="A1210">
        <f>[2]TongHop!A1210</f>
        <v>0</v>
      </c>
      <c r="B1210">
        <f>[2]TongHop!B1210</f>
        <v>0</v>
      </c>
      <c r="C1210">
        <f>[2]TongHop!C1210</f>
        <v>0</v>
      </c>
      <c r="D1210">
        <f>[2]TongHop!D1210</f>
        <v>0</v>
      </c>
      <c r="E1210">
        <f>[2]TongHop!E1210</f>
        <v>0</v>
      </c>
      <c r="F1210">
        <f>[2]TongHop!F1210</f>
        <v>0</v>
      </c>
      <c r="G1210">
        <f>[2]TongHop!G1210</f>
        <v>0</v>
      </c>
      <c r="H1210">
        <f>[2]TongHop!H1210</f>
        <v>0</v>
      </c>
      <c r="I1210">
        <f>[2]TongHop!I1210</f>
        <v>0</v>
      </c>
      <c r="J1210">
        <f>[2]TongHop!J1210</f>
        <v>0</v>
      </c>
      <c r="K1210">
        <f>[2]TongHop!K1210</f>
        <v>0</v>
      </c>
      <c r="L1210">
        <f>[2]TongHop!L1210</f>
        <v>0</v>
      </c>
      <c r="M1210">
        <f>[2]TongHop!M1210</f>
        <v>0</v>
      </c>
      <c r="N1210">
        <f>[2]TongHop!N1210</f>
        <v>0</v>
      </c>
    </row>
    <row r="1211" spans="1:14">
      <c r="A1211">
        <f>[2]TongHop!A1211</f>
        <v>0</v>
      </c>
      <c r="B1211">
        <f>[2]TongHop!B1211</f>
        <v>0</v>
      </c>
      <c r="C1211">
        <f>[2]TongHop!C1211</f>
        <v>0</v>
      </c>
      <c r="D1211">
        <f>[2]TongHop!D1211</f>
        <v>0</v>
      </c>
      <c r="E1211">
        <f>[2]TongHop!E1211</f>
        <v>0</v>
      </c>
      <c r="F1211">
        <f>[2]TongHop!F1211</f>
        <v>0</v>
      </c>
      <c r="G1211">
        <f>[2]TongHop!G1211</f>
        <v>0</v>
      </c>
      <c r="H1211">
        <f>[2]TongHop!H1211</f>
        <v>0</v>
      </c>
      <c r="I1211">
        <f>[2]TongHop!I1211</f>
        <v>0</v>
      </c>
      <c r="J1211">
        <f>[2]TongHop!J1211</f>
        <v>0</v>
      </c>
      <c r="K1211">
        <f>[2]TongHop!K1211</f>
        <v>0</v>
      </c>
      <c r="L1211">
        <f>[2]TongHop!L1211</f>
        <v>0</v>
      </c>
      <c r="M1211">
        <f>[2]TongHop!M1211</f>
        <v>0</v>
      </c>
      <c r="N1211">
        <f>[2]TongHop!N1211</f>
        <v>0</v>
      </c>
    </row>
    <row r="1212" spans="1:14">
      <c r="A1212">
        <f>[2]TongHop!A1212</f>
        <v>0</v>
      </c>
      <c r="B1212">
        <f>[2]TongHop!B1212</f>
        <v>0</v>
      </c>
      <c r="C1212">
        <f>[2]TongHop!C1212</f>
        <v>0</v>
      </c>
      <c r="D1212">
        <f>[2]TongHop!D1212</f>
        <v>0</v>
      </c>
      <c r="E1212">
        <f>[2]TongHop!E1212</f>
        <v>0</v>
      </c>
      <c r="F1212">
        <f>[2]TongHop!F1212</f>
        <v>0</v>
      </c>
      <c r="G1212">
        <f>[2]TongHop!G1212</f>
        <v>0</v>
      </c>
      <c r="H1212">
        <f>[2]TongHop!H1212</f>
        <v>0</v>
      </c>
      <c r="I1212">
        <f>[2]TongHop!I1212</f>
        <v>0</v>
      </c>
      <c r="J1212">
        <f>[2]TongHop!J1212</f>
        <v>0</v>
      </c>
      <c r="K1212">
        <f>[2]TongHop!K1212</f>
        <v>0</v>
      </c>
      <c r="L1212">
        <f>[2]TongHop!L1212</f>
        <v>0</v>
      </c>
      <c r="M1212">
        <f>[2]TongHop!M1212</f>
        <v>0</v>
      </c>
      <c r="N1212">
        <f>[2]TongHop!N1212</f>
        <v>0</v>
      </c>
    </row>
    <row r="1213" spans="1:14">
      <c r="A1213">
        <f>[2]TongHop!A1213</f>
        <v>0</v>
      </c>
      <c r="B1213">
        <f>[2]TongHop!B1213</f>
        <v>0</v>
      </c>
      <c r="C1213">
        <f>[2]TongHop!C1213</f>
        <v>0</v>
      </c>
      <c r="D1213">
        <f>[2]TongHop!D1213</f>
        <v>0</v>
      </c>
      <c r="E1213">
        <f>[2]TongHop!E1213</f>
        <v>0</v>
      </c>
      <c r="F1213">
        <f>[2]TongHop!F1213</f>
        <v>0</v>
      </c>
      <c r="G1213">
        <f>[2]TongHop!G1213</f>
        <v>0</v>
      </c>
      <c r="H1213">
        <f>[2]TongHop!H1213</f>
        <v>0</v>
      </c>
      <c r="I1213">
        <f>[2]TongHop!I1213</f>
        <v>0</v>
      </c>
      <c r="J1213">
        <f>[2]TongHop!J1213</f>
        <v>0</v>
      </c>
      <c r="K1213">
        <f>[2]TongHop!K1213</f>
        <v>0</v>
      </c>
      <c r="L1213">
        <f>[2]TongHop!L1213</f>
        <v>0</v>
      </c>
      <c r="M1213">
        <f>[2]TongHop!M1213</f>
        <v>0</v>
      </c>
      <c r="N1213">
        <f>[2]TongHop!N1213</f>
        <v>0</v>
      </c>
    </row>
    <row r="1214" spans="1:14">
      <c r="A1214">
        <f>[2]TongHop!A1214</f>
        <v>0</v>
      </c>
      <c r="B1214">
        <f>[2]TongHop!B1214</f>
        <v>0</v>
      </c>
      <c r="C1214">
        <f>[2]TongHop!C1214</f>
        <v>0</v>
      </c>
      <c r="D1214">
        <f>[2]TongHop!D1214</f>
        <v>0</v>
      </c>
      <c r="E1214">
        <f>[2]TongHop!E1214</f>
        <v>0</v>
      </c>
      <c r="F1214">
        <f>[2]TongHop!F1214</f>
        <v>0</v>
      </c>
      <c r="G1214">
        <f>[2]TongHop!G1214</f>
        <v>0</v>
      </c>
      <c r="H1214">
        <f>[2]TongHop!H1214</f>
        <v>0</v>
      </c>
      <c r="I1214">
        <f>[2]TongHop!I1214</f>
        <v>0</v>
      </c>
      <c r="J1214">
        <f>[2]TongHop!J1214</f>
        <v>0</v>
      </c>
      <c r="K1214">
        <f>[2]TongHop!K1214</f>
        <v>0</v>
      </c>
      <c r="L1214">
        <f>[2]TongHop!L1214</f>
        <v>0</v>
      </c>
      <c r="M1214">
        <f>[2]TongHop!M1214</f>
        <v>0</v>
      </c>
      <c r="N1214">
        <f>[2]TongHop!N1214</f>
        <v>0</v>
      </c>
    </row>
    <row r="1215" spans="1:14">
      <c r="A1215">
        <f>[2]TongHop!A1215</f>
        <v>0</v>
      </c>
      <c r="B1215">
        <f>[2]TongHop!B1215</f>
        <v>0</v>
      </c>
      <c r="C1215">
        <f>[2]TongHop!C1215</f>
        <v>0</v>
      </c>
      <c r="D1215">
        <f>[2]TongHop!D1215</f>
        <v>0</v>
      </c>
      <c r="E1215">
        <f>[2]TongHop!E1215</f>
        <v>0</v>
      </c>
      <c r="F1215">
        <f>[2]TongHop!F1215</f>
        <v>0</v>
      </c>
      <c r="G1215">
        <f>[2]TongHop!G1215</f>
        <v>0</v>
      </c>
      <c r="H1215">
        <f>[2]TongHop!H1215</f>
        <v>0</v>
      </c>
      <c r="I1215">
        <f>[2]TongHop!I1215</f>
        <v>0</v>
      </c>
      <c r="J1215">
        <f>[2]TongHop!J1215</f>
        <v>0</v>
      </c>
      <c r="K1215">
        <f>[2]TongHop!K1215</f>
        <v>0</v>
      </c>
      <c r="L1215">
        <f>[2]TongHop!L1215</f>
        <v>0</v>
      </c>
      <c r="M1215">
        <f>[2]TongHop!M1215</f>
        <v>0</v>
      </c>
      <c r="N1215">
        <f>[2]TongHop!N1215</f>
        <v>0</v>
      </c>
    </row>
    <row r="1216" spans="1:14">
      <c r="A1216">
        <f>[2]TongHop!A1216</f>
        <v>0</v>
      </c>
      <c r="B1216">
        <f>[2]TongHop!B1216</f>
        <v>0</v>
      </c>
      <c r="C1216">
        <f>[2]TongHop!C1216</f>
        <v>0</v>
      </c>
      <c r="D1216">
        <f>[2]TongHop!D1216</f>
        <v>0</v>
      </c>
      <c r="E1216">
        <f>[2]TongHop!E1216</f>
        <v>0</v>
      </c>
      <c r="F1216">
        <f>[2]TongHop!F1216</f>
        <v>0</v>
      </c>
      <c r="G1216">
        <f>[2]TongHop!G1216</f>
        <v>0</v>
      </c>
      <c r="H1216">
        <f>[2]TongHop!H1216</f>
        <v>0</v>
      </c>
      <c r="I1216">
        <f>[2]TongHop!I1216</f>
        <v>0</v>
      </c>
      <c r="J1216">
        <f>[2]TongHop!J1216</f>
        <v>0</v>
      </c>
      <c r="K1216">
        <f>[2]TongHop!K1216</f>
        <v>0</v>
      </c>
      <c r="L1216">
        <f>[2]TongHop!L1216</f>
        <v>0</v>
      </c>
      <c r="M1216">
        <f>[2]TongHop!M1216</f>
        <v>0</v>
      </c>
      <c r="N1216">
        <f>[2]TongHop!N1216</f>
        <v>0</v>
      </c>
    </row>
    <row r="1217" spans="1:14">
      <c r="A1217">
        <f>[2]TongHop!A1217</f>
        <v>0</v>
      </c>
      <c r="B1217">
        <f>[2]TongHop!B1217</f>
        <v>0</v>
      </c>
      <c r="C1217">
        <f>[2]TongHop!C1217</f>
        <v>0</v>
      </c>
      <c r="D1217">
        <f>[2]TongHop!D1217</f>
        <v>0</v>
      </c>
      <c r="E1217">
        <f>[2]TongHop!E1217</f>
        <v>0</v>
      </c>
      <c r="F1217">
        <f>[2]TongHop!F1217</f>
        <v>0</v>
      </c>
      <c r="G1217">
        <f>[2]TongHop!G1217</f>
        <v>0</v>
      </c>
      <c r="H1217">
        <f>[2]TongHop!H1217</f>
        <v>0</v>
      </c>
      <c r="I1217">
        <f>[2]TongHop!I1217</f>
        <v>0</v>
      </c>
      <c r="J1217">
        <f>[2]TongHop!J1217</f>
        <v>0</v>
      </c>
      <c r="K1217">
        <f>[2]TongHop!K1217</f>
        <v>0</v>
      </c>
      <c r="L1217">
        <f>[2]TongHop!L1217</f>
        <v>0</v>
      </c>
      <c r="M1217">
        <f>[2]TongHop!M1217</f>
        <v>0</v>
      </c>
      <c r="N1217">
        <f>[2]TongHop!N1217</f>
        <v>0</v>
      </c>
    </row>
    <row r="1218" spans="1:14">
      <c r="A1218">
        <f>[2]TongHop!A1218</f>
        <v>0</v>
      </c>
      <c r="B1218">
        <f>[2]TongHop!B1218</f>
        <v>0</v>
      </c>
      <c r="C1218">
        <f>[2]TongHop!C1218</f>
        <v>0</v>
      </c>
      <c r="D1218">
        <f>[2]TongHop!D1218</f>
        <v>0</v>
      </c>
      <c r="E1218">
        <f>[2]TongHop!E1218</f>
        <v>0</v>
      </c>
      <c r="F1218">
        <f>[2]TongHop!F1218</f>
        <v>0</v>
      </c>
      <c r="G1218">
        <f>[2]TongHop!G1218</f>
        <v>0</v>
      </c>
      <c r="H1218">
        <f>[2]TongHop!H1218</f>
        <v>0</v>
      </c>
      <c r="I1218">
        <f>[2]TongHop!I1218</f>
        <v>0</v>
      </c>
      <c r="J1218">
        <f>[2]TongHop!J1218</f>
        <v>0</v>
      </c>
      <c r="K1218">
        <f>[2]TongHop!K1218</f>
        <v>0</v>
      </c>
      <c r="L1218">
        <f>[2]TongHop!L1218</f>
        <v>0</v>
      </c>
      <c r="M1218">
        <f>[2]TongHop!M1218</f>
        <v>0</v>
      </c>
      <c r="N1218">
        <f>[2]TongHop!N1218</f>
        <v>0</v>
      </c>
    </row>
    <row r="1219" spans="1:14">
      <c r="A1219">
        <f>[2]TongHop!A1219</f>
        <v>0</v>
      </c>
      <c r="B1219">
        <f>[2]TongHop!B1219</f>
        <v>0</v>
      </c>
      <c r="C1219">
        <f>[2]TongHop!C1219</f>
        <v>0</v>
      </c>
      <c r="D1219">
        <f>[2]TongHop!D1219</f>
        <v>0</v>
      </c>
      <c r="E1219">
        <f>[2]TongHop!E1219</f>
        <v>0</v>
      </c>
      <c r="F1219">
        <f>[2]TongHop!F1219</f>
        <v>0</v>
      </c>
      <c r="G1219">
        <f>[2]TongHop!G1219</f>
        <v>0</v>
      </c>
      <c r="H1219">
        <f>[2]TongHop!H1219</f>
        <v>0</v>
      </c>
      <c r="I1219">
        <f>[2]TongHop!I1219</f>
        <v>0</v>
      </c>
      <c r="J1219">
        <f>[2]TongHop!J1219</f>
        <v>0</v>
      </c>
      <c r="K1219">
        <f>[2]TongHop!K1219</f>
        <v>0</v>
      </c>
      <c r="L1219">
        <f>[2]TongHop!L1219</f>
        <v>0</v>
      </c>
      <c r="M1219">
        <f>[2]TongHop!M1219</f>
        <v>0</v>
      </c>
      <c r="N1219">
        <f>[2]TongHop!N1219</f>
        <v>0</v>
      </c>
    </row>
    <row r="1220" spans="1:14">
      <c r="A1220">
        <f>[2]TongHop!A1220</f>
        <v>0</v>
      </c>
      <c r="B1220">
        <f>[2]TongHop!B1220</f>
        <v>0</v>
      </c>
      <c r="C1220">
        <f>[2]TongHop!C1220</f>
        <v>0</v>
      </c>
      <c r="D1220">
        <f>[2]TongHop!D1220</f>
        <v>0</v>
      </c>
      <c r="E1220">
        <f>[2]TongHop!E1220</f>
        <v>0</v>
      </c>
      <c r="F1220">
        <f>[2]TongHop!F1220</f>
        <v>0</v>
      </c>
      <c r="G1220">
        <f>[2]TongHop!G1220</f>
        <v>0</v>
      </c>
      <c r="H1220">
        <f>[2]TongHop!H1220</f>
        <v>0</v>
      </c>
      <c r="I1220">
        <f>[2]TongHop!I1220</f>
        <v>0</v>
      </c>
      <c r="J1220">
        <f>[2]TongHop!J1220</f>
        <v>0</v>
      </c>
      <c r="K1220">
        <f>[2]TongHop!K1220</f>
        <v>0</v>
      </c>
      <c r="L1220">
        <f>[2]TongHop!L1220</f>
        <v>0</v>
      </c>
      <c r="M1220">
        <f>[2]TongHop!M1220</f>
        <v>0</v>
      </c>
      <c r="N1220">
        <f>[2]TongHop!N1220</f>
        <v>0</v>
      </c>
    </row>
    <row r="1221" spans="1:14">
      <c r="A1221">
        <f>[2]TongHop!A1221</f>
        <v>0</v>
      </c>
      <c r="B1221">
        <f>[2]TongHop!B1221</f>
        <v>0</v>
      </c>
      <c r="C1221">
        <f>[2]TongHop!C1221</f>
        <v>0</v>
      </c>
      <c r="D1221">
        <f>[2]TongHop!D1221</f>
        <v>0</v>
      </c>
      <c r="E1221">
        <f>[2]TongHop!E1221</f>
        <v>0</v>
      </c>
      <c r="F1221">
        <f>[2]TongHop!F1221</f>
        <v>0</v>
      </c>
      <c r="G1221">
        <f>[2]TongHop!G1221</f>
        <v>0</v>
      </c>
      <c r="H1221">
        <f>[2]TongHop!H1221</f>
        <v>0</v>
      </c>
      <c r="I1221">
        <f>[2]TongHop!I1221</f>
        <v>0</v>
      </c>
      <c r="J1221">
        <f>[2]TongHop!J1221</f>
        <v>0</v>
      </c>
      <c r="K1221">
        <f>[2]TongHop!K1221</f>
        <v>0</v>
      </c>
      <c r="L1221">
        <f>[2]TongHop!L1221</f>
        <v>0</v>
      </c>
      <c r="M1221">
        <f>[2]TongHop!M1221</f>
        <v>0</v>
      </c>
      <c r="N1221">
        <f>[2]TongHop!N1221</f>
        <v>0</v>
      </c>
    </row>
    <row r="1222" spans="1:14">
      <c r="A1222">
        <f>[2]TongHop!A1222</f>
        <v>0</v>
      </c>
      <c r="B1222">
        <f>[2]TongHop!B1222</f>
        <v>0</v>
      </c>
      <c r="C1222">
        <f>[2]TongHop!C1222</f>
        <v>0</v>
      </c>
      <c r="D1222">
        <f>[2]TongHop!D1222</f>
        <v>0</v>
      </c>
      <c r="E1222">
        <f>[2]TongHop!E1222</f>
        <v>0</v>
      </c>
      <c r="F1222">
        <f>[2]TongHop!F1222</f>
        <v>0</v>
      </c>
      <c r="G1222">
        <f>[2]TongHop!G1222</f>
        <v>0</v>
      </c>
      <c r="H1222">
        <f>[2]TongHop!H1222</f>
        <v>0</v>
      </c>
      <c r="I1222">
        <f>[2]TongHop!I1222</f>
        <v>0</v>
      </c>
      <c r="J1222">
        <f>[2]TongHop!J1222</f>
        <v>0</v>
      </c>
      <c r="K1222">
        <f>[2]TongHop!K1222</f>
        <v>0</v>
      </c>
      <c r="L1222">
        <f>[2]TongHop!L1222</f>
        <v>0</v>
      </c>
      <c r="M1222">
        <f>[2]TongHop!M1222</f>
        <v>0</v>
      </c>
      <c r="N1222">
        <f>[2]TongHop!N1222</f>
        <v>0</v>
      </c>
    </row>
    <row r="1223" spans="1:14">
      <c r="A1223">
        <f>[2]TongHop!A1223</f>
        <v>0</v>
      </c>
      <c r="B1223">
        <f>[2]TongHop!B1223</f>
        <v>0</v>
      </c>
      <c r="C1223">
        <f>[2]TongHop!C1223</f>
        <v>0</v>
      </c>
      <c r="D1223">
        <f>[2]TongHop!D1223</f>
        <v>0</v>
      </c>
      <c r="E1223">
        <f>[2]TongHop!E1223</f>
        <v>0</v>
      </c>
      <c r="F1223">
        <f>[2]TongHop!F1223</f>
        <v>0</v>
      </c>
      <c r="G1223">
        <f>[2]TongHop!G1223</f>
        <v>0</v>
      </c>
      <c r="H1223">
        <f>[2]TongHop!H1223</f>
        <v>0</v>
      </c>
      <c r="I1223">
        <f>[2]TongHop!I1223</f>
        <v>0</v>
      </c>
      <c r="J1223">
        <f>[2]TongHop!J1223</f>
        <v>0</v>
      </c>
      <c r="K1223">
        <f>[2]TongHop!K1223</f>
        <v>0</v>
      </c>
      <c r="L1223">
        <f>[2]TongHop!L1223</f>
        <v>0</v>
      </c>
      <c r="M1223">
        <f>[2]TongHop!M1223</f>
        <v>0</v>
      </c>
      <c r="N1223">
        <f>[2]TongHop!N1223</f>
        <v>0</v>
      </c>
    </row>
    <row r="1224" spans="1:14">
      <c r="A1224">
        <f>[2]TongHop!A1224</f>
        <v>0</v>
      </c>
      <c r="B1224">
        <f>[2]TongHop!B1224</f>
        <v>0</v>
      </c>
      <c r="C1224">
        <f>[2]TongHop!C1224</f>
        <v>0</v>
      </c>
      <c r="D1224">
        <f>[2]TongHop!D1224</f>
        <v>0</v>
      </c>
      <c r="E1224">
        <f>[2]TongHop!E1224</f>
        <v>0</v>
      </c>
      <c r="F1224">
        <f>[2]TongHop!F1224</f>
        <v>0</v>
      </c>
      <c r="G1224">
        <f>[2]TongHop!G1224</f>
        <v>0</v>
      </c>
      <c r="H1224">
        <f>[2]TongHop!H1224</f>
        <v>0</v>
      </c>
      <c r="I1224">
        <f>[2]TongHop!I1224</f>
        <v>0</v>
      </c>
      <c r="J1224">
        <f>[2]TongHop!J1224</f>
        <v>0</v>
      </c>
      <c r="K1224">
        <f>[2]TongHop!K1224</f>
        <v>0</v>
      </c>
      <c r="L1224">
        <f>[2]TongHop!L1224</f>
        <v>0</v>
      </c>
      <c r="M1224">
        <f>[2]TongHop!M1224</f>
        <v>0</v>
      </c>
      <c r="N1224">
        <f>[2]TongHop!N1224</f>
        <v>0</v>
      </c>
    </row>
    <row r="1225" spans="1:14">
      <c r="A1225">
        <f>[2]TongHop!A1225</f>
        <v>0</v>
      </c>
      <c r="B1225">
        <f>[2]TongHop!B1225</f>
        <v>0</v>
      </c>
      <c r="C1225">
        <f>[2]TongHop!C1225</f>
        <v>0</v>
      </c>
      <c r="D1225">
        <f>[2]TongHop!D1225</f>
        <v>0</v>
      </c>
      <c r="E1225">
        <f>[2]TongHop!E1225</f>
        <v>0</v>
      </c>
      <c r="F1225">
        <f>[2]TongHop!F1225</f>
        <v>0</v>
      </c>
      <c r="G1225">
        <f>[2]TongHop!G1225</f>
        <v>0</v>
      </c>
      <c r="H1225">
        <f>[2]TongHop!H1225</f>
        <v>0</v>
      </c>
      <c r="I1225">
        <f>[2]TongHop!I1225</f>
        <v>0</v>
      </c>
      <c r="J1225">
        <f>[2]TongHop!J1225</f>
        <v>0</v>
      </c>
      <c r="K1225">
        <f>[2]TongHop!K1225</f>
        <v>0</v>
      </c>
      <c r="L1225">
        <f>[2]TongHop!L1225</f>
        <v>0</v>
      </c>
      <c r="M1225">
        <f>[2]TongHop!M1225</f>
        <v>0</v>
      </c>
      <c r="N1225">
        <f>[2]TongHop!N1225</f>
        <v>0</v>
      </c>
    </row>
    <row r="1226" spans="1:14">
      <c r="A1226">
        <f>[2]TongHop!A1226</f>
        <v>0</v>
      </c>
      <c r="B1226">
        <f>[2]TongHop!B1226</f>
        <v>0</v>
      </c>
      <c r="C1226">
        <f>[2]TongHop!C1226</f>
        <v>0</v>
      </c>
      <c r="D1226">
        <f>[2]TongHop!D1226</f>
        <v>0</v>
      </c>
      <c r="E1226">
        <f>[2]TongHop!E1226</f>
        <v>0</v>
      </c>
      <c r="F1226">
        <f>[2]TongHop!F1226</f>
        <v>0</v>
      </c>
      <c r="G1226">
        <f>[2]TongHop!G1226</f>
        <v>0</v>
      </c>
      <c r="H1226">
        <f>[2]TongHop!H1226</f>
        <v>0</v>
      </c>
      <c r="I1226">
        <f>[2]TongHop!I1226</f>
        <v>0</v>
      </c>
      <c r="J1226">
        <f>[2]TongHop!J1226</f>
        <v>0</v>
      </c>
      <c r="K1226">
        <f>[2]TongHop!K1226</f>
        <v>0</v>
      </c>
      <c r="L1226">
        <f>[2]TongHop!L1226</f>
        <v>0</v>
      </c>
      <c r="M1226">
        <f>[2]TongHop!M1226</f>
        <v>0</v>
      </c>
      <c r="N1226">
        <f>[2]TongHop!N1226</f>
        <v>0</v>
      </c>
    </row>
    <row r="1227" spans="1:14">
      <c r="A1227">
        <f>[2]TongHop!A1227</f>
        <v>0</v>
      </c>
      <c r="B1227">
        <f>[2]TongHop!B1227</f>
        <v>0</v>
      </c>
      <c r="C1227">
        <f>[2]TongHop!C1227</f>
        <v>0</v>
      </c>
      <c r="D1227">
        <f>[2]TongHop!D1227</f>
        <v>0</v>
      </c>
      <c r="E1227">
        <f>[2]TongHop!E1227</f>
        <v>0</v>
      </c>
      <c r="F1227">
        <f>[2]TongHop!F1227</f>
        <v>0</v>
      </c>
      <c r="G1227">
        <f>[2]TongHop!G1227</f>
        <v>0</v>
      </c>
      <c r="H1227">
        <f>[2]TongHop!H1227</f>
        <v>0</v>
      </c>
      <c r="I1227">
        <f>[2]TongHop!I1227</f>
        <v>0</v>
      </c>
      <c r="J1227">
        <f>[2]TongHop!J1227</f>
        <v>0</v>
      </c>
      <c r="K1227">
        <f>[2]TongHop!K1227</f>
        <v>0</v>
      </c>
      <c r="L1227">
        <f>[2]TongHop!L1227</f>
        <v>0</v>
      </c>
      <c r="M1227">
        <f>[2]TongHop!M1227</f>
        <v>0</v>
      </c>
      <c r="N1227">
        <f>[2]TongHop!N1227</f>
        <v>0</v>
      </c>
    </row>
    <row r="1228" spans="1:14">
      <c r="A1228">
        <f>[2]TongHop!A1228</f>
        <v>0</v>
      </c>
      <c r="B1228">
        <f>[2]TongHop!B1228</f>
        <v>0</v>
      </c>
      <c r="C1228">
        <f>[2]TongHop!C1228</f>
        <v>0</v>
      </c>
      <c r="D1228">
        <f>[2]TongHop!D1228</f>
        <v>0</v>
      </c>
      <c r="E1228">
        <f>[2]TongHop!E1228</f>
        <v>0</v>
      </c>
      <c r="F1228">
        <f>[2]TongHop!F1228</f>
        <v>0</v>
      </c>
      <c r="G1228">
        <f>[2]TongHop!G1228</f>
        <v>0</v>
      </c>
      <c r="H1228">
        <f>[2]TongHop!H1228</f>
        <v>0</v>
      </c>
      <c r="I1228">
        <f>[2]TongHop!I1228</f>
        <v>0</v>
      </c>
      <c r="J1228">
        <f>[2]TongHop!J1228</f>
        <v>0</v>
      </c>
      <c r="K1228">
        <f>[2]TongHop!K1228</f>
        <v>0</v>
      </c>
      <c r="L1228">
        <f>[2]TongHop!L1228</f>
        <v>0</v>
      </c>
      <c r="M1228">
        <f>[2]TongHop!M1228</f>
        <v>0</v>
      </c>
      <c r="N1228">
        <f>[2]TongHop!N1228</f>
        <v>0</v>
      </c>
    </row>
    <row r="1229" spans="1:14">
      <c r="A1229">
        <f>[2]TongHop!A1229</f>
        <v>0</v>
      </c>
      <c r="B1229">
        <f>[2]TongHop!B1229</f>
        <v>0</v>
      </c>
      <c r="C1229">
        <f>[2]TongHop!C1229</f>
        <v>0</v>
      </c>
      <c r="D1229">
        <f>[2]TongHop!D1229</f>
        <v>0</v>
      </c>
      <c r="E1229">
        <f>[2]TongHop!E1229</f>
        <v>0</v>
      </c>
      <c r="F1229">
        <f>[2]TongHop!F1229</f>
        <v>0</v>
      </c>
      <c r="G1229">
        <f>[2]TongHop!G1229</f>
        <v>0</v>
      </c>
      <c r="H1229">
        <f>[2]TongHop!H1229</f>
        <v>0</v>
      </c>
      <c r="I1229">
        <f>[2]TongHop!I1229</f>
        <v>0</v>
      </c>
      <c r="J1229">
        <f>[2]TongHop!J1229</f>
        <v>0</v>
      </c>
      <c r="K1229">
        <f>[2]TongHop!K1229</f>
        <v>0</v>
      </c>
      <c r="L1229">
        <f>[2]TongHop!L1229</f>
        <v>0</v>
      </c>
      <c r="M1229">
        <f>[2]TongHop!M1229</f>
        <v>0</v>
      </c>
      <c r="N1229">
        <f>[2]TongHop!N1229</f>
        <v>0</v>
      </c>
    </row>
    <row r="1230" spans="1:14">
      <c r="A1230">
        <f>[2]TongHop!A1230</f>
        <v>0</v>
      </c>
      <c r="B1230">
        <f>[2]TongHop!B1230</f>
        <v>0</v>
      </c>
      <c r="C1230">
        <f>[2]TongHop!C1230</f>
        <v>0</v>
      </c>
      <c r="D1230">
        <f>[2]TongHop!D1230</f>
        <v>0</v>
      </c>
      <c r="E1230">
        <f>[2]TongHop!E1230</f>
        <v>0</v>
      </c>
      <c r="F1230">
        <f>[2]TongHop!F1230</f>
        <v>0</v>
      </c>
      <c r="G1230">
        <f>[2]TongHop!G1230</f>
        <v>0</v>
      </c>
      <c r="H1230">
        <f>[2]TongHop!H1230</f>
        <v>0</v>
      </c>
      <c r="I1230">
        <f>[2]TongHop!I1230</f>
        <v>0</v>
      </c>
      <c r="J1230">
        <f>[2]TongHop!J1230</f>
        <v>0</v>
      </c>
      <c r="K1230">
        <f>[2]TongHop!K1230</f>
        <v>0</v>
      </c>
      <c r="L1230">
        <f>[2]TongHop!L1230</f>
        <v>0</v>
      </c>
      <c r="M1230">
        <f>[2]TongHop!M1230</f>
        <v>0</v>
      </c>
      <c r="N1230">
        <f>[2]TongHop!N1230</f>
        <v>0</v>
      </c>
    </row>
    <row r="1231" spans="1:14">
      <c r="A1231">
        <f>[2]TongHop!A1231</f>
        <v>0</v>
      </c>
      <c r="B1231">
        <f>[2]TongHop!B1231</f>
        <v>0</v>
      </c>
      <c r="C1231">
        <f>[2]TongHop!C1231</f>
        <v>0</v>
      </c>
      <c r="D1231">
        <f>[2]TongHop!D1231</f>
        <v>0</v>
      </c>
      <c r="E1231">
        <f>[2]TongHop!E1231</f>
        <v>0</v>
      </c>
      <c r="F1231">
        <f>[2]TongHop!F1231</f>
        <v>0</v>
      </c>
      <c r="G1231">
        <f>[2]TongHop!G1231</f>
        <v>0</v>
      </c>
      <c r="H1231">
        <f>[2]TongHop!H1231</f>
        <v>0</v>
      </c>
      <c r="I1231">
        <f>[2]TongHop!I1231</f>
        <v>0</v>
      </c>
      <c r="J1231">
        <f>[2]TongHop!J1231</f>
        <v>0</v>
      </c>
      <c r="K1231">
        <f>[2]TongHop!K1231</f>
        <v>0</v>
      </c>
      <c r="L1231">
        <f>[2]TongHop!L1231</f>
        <v>0</v>
      </c>
      <c r="M1231">
        <f>[2]TongHop!M1231</f>
        <v>0</v>
      </c>
      <c r="N1231">
        <f>[2]TongHop!N1231</f>
        <v>0</v>
      </c>
    </row>
    <row r="1232" spans="1:14">
      <c r="A1232">
        <f>[2]TongHop!A1232</f>
        <v>0</v>
      </c>
      <c r="B1232">
        <f>[2]TongHop!B1232</f>
        <v>0</v>
      </c>
      <c r="C1232">
        <f>[2]TongHop!C1232</f>
        <v>0</v>
      </c>
      <c r="D1232">
        <f>[2]TongHop!D1232</f>
        <v>0</v>
      </c>
      <c r="E1232">
        <f>[2]TongHop!E1232</f>
        <v>0</v>
      </c>
      <c r="F1232">
        <f>[2]TongHop!F1232</f>
        <v>0</v>
      </c>
      <c r="G1232">
        <f>[2]TongHop!G1232</f>
        <v>0</v>
      </c>
      <c r="H1232">
        <f>[2]TongHop!H1232</f>
        <v>0</v>
      </c>
      <c r="I1232">
        <f>[2]TongHop!I1232</f>
        <v>0</v>
      </c>
      <c r="J1232">
        <f>[2]TongHop!J1232</f>
        <v>0</v>
      </c>
      <c r="K1232">
        <f>[2]TongHop!K1232</f>
        <v>0</v>
      </c>
      <c r="L1232">
        <f>[2]TongHop!L1232</f>
        <v>0</v>
      </c>
      <c r="M1232">
        <f>[2]TongHop!M1232</f>
        <v>0</v>
      </c>
      <c r="N1232">
        <f>[2]TongHop!N1232</f>
        <v>0</v>
      </c>
    </row>
    <row r="1233" spans="1:14">
      <c r="A1233">
        <f>[2]TongHop!A1233</f>
        <v>0</v>
      </c>
      <c r="B1233">
        <f>[2]TongHop!B1233</f>
        <v>0</v>
      </c>
      <c r="C1233">
        <f>[2]TongHop!C1233</f>
        <v>0</v>
      </c>
      <c r="D1233">
        <f>[2]TongHop!D1233</f>
        <v>0</v>
      </c>
      <c r="E1233">
        <f>[2]TongHop!E1233</f>
        <v>0</v>
      </c>
      <c r="F1233">
        <f>[2]TongHop!F1233</f>
        <v>0</v>
      </c>
      <c r="G1233">
        <f>[2]TongHop!G1233</f>
        <v>0</v>
      </c>
      <c r="H1233">
        <f>[2]TongHop!H1233</f>
        <v>0</v>
      </c>
      <c r="I1233">
        <f>[2]TongHop!I1233</f>
        <v>0</v>
      </c>
      <c r="J1233">
        <f>[2]TongHop!J1233</f>
        <v>0</v>
      </c>
      <c r="K1233">
        <f>[2]TongHop!K1233</f>
        <v>0</v>
      </c>
      <c r="L1233">
        <f>[2]TongHop!L1233</f>
        <v>0</v>
      </c>
      <c r="M1233">
        <f>[2]TongHop!M1233</f>
        <v>0</v>
      </c>
      <c r="N1233">
        <f>[2]TongHop!N1233</f>
        <v>0</v>
      </c>
    </row>
    <row r="1234" spans="1:14">
      <c r="A1234">
        <f>[2]TongHop!A1234</f>
        <v>0</v>
      </c>
      <c r="B1234">
        <f>[2]TongHop!B1234</f>
        <v>0</v>
      </c>
      <c r="C1234">
        <f>[2]TongHop!C1234</f>
        <v>0</v>
      </c>
      <c r="D1234">
        <f>[2]TongHop!D1234</f>
        <v>0</v>
      </c>
      <c r="E1234">
        <f>[2]TongHop!E1234</f>
        <v>0</v>
      </c>
      <c r="F1234">
        <f>[2]TongHop!F1234</f>
        <v>0</v>
      </c>
      <c r="G1234">
        <f>[2]TongHop!G1234</f>
        <v>0</v>
      </c>
      <c r="H1234">
        <f>[2]TongHop!H1234</f>
        <v>0</v>
      </c>
      <c r="I1234">
        <f>[2]TongHop!I1234</f>
        <v>0</v>
      </c>
      <c r="J1234">
        <f>[2]TongHop!J1234</f>
        <v>0</v>
      </c>
      <c r="K1234">
        <f>[2]TongHop!K1234</f>
        <v>0</v>
      </c>
      <c r="L1234">
        <f>[2]TongHop!L1234</f>
        <v>0</v>
      </c>
      <c r="M1234">
        <f>[2]TongHop!M1234</f>
        <v>0</v>
      </c>
      <c r="N1234">
        <f>[2]TongHop!N1234</f>
        <v>0</v>
      </c>
    </row>
    <row r="1235" spans="1:14">
      <c r="A1235">
        <f>[2]TongHop!A1235</f>
        <v>0</v>
      </c>
      <c r="B1235">
        <f>[2]TongHop!B1235</f>
        <v>0</v>
      </c>
      <c r="C1235">
        <f>[2]TongHop!C1235</f>
        <v>0</v>
      </c>
      <c r="D1235">
        <f>[2]TongHop!D1235</f>
        <v>0</v>
      </c>
      <c r="E1235">
        <f>[2]TongHop!E1235</f>
        <v>0</v>
      </c>
      <c r="F1235">
        <f>[2]TongHop!F1235</f>
        <v>0</v>
      </c>
      <c r="G1235">
        <f>[2]TongHop!G1235</f>
        <v>0</v>
      </c>
      <c r="H1235">
        <f>[2]TongHop!H1235</f>
        <v>0</v>
      </c>
      <c r="I1235">
        <f>[2]TongHop!I1235</f>
        <v>0</v>
      </c>
      <c r="J1235">
        <f>[2]TongHop!J1235</f>
        <v>0</v>
      </c>
      <c r="K1235">
        <f>[2]TongHop!K1235</f>
        <v>0</v>
      </c>
      <c r="L1235">
        <f>[2]TongHop!L1235</f>
        <v>0</v>
      </c>
      <c r="M1235">
        <f>[2]TongHop!M1235</f>
        <v>0</v>
      </c>
      <c r="N1235">
        <f>[2]TongHop!N1235</f>
        <v>0</v>
      </c>
    </row>
    <row r="1236" spans="1:14">
      <c r="A1236">
        <f>[2]TongHop!A1236</f>
        <v>0</v>
      </c>
      <c r="B1236">
        <f>[2]TongHop!B1236</f>
        <v>0</v>
      </c>
      <c r="C1236">
        <f>[2]TongHop!C1236</f>
        <v>0</v>
      </c>
      <c r="D1236">
        <f>[2]TongHop!D1236</f>
        <v>0</v>
      </c>
      <c r="E1236">
        <f>[2]TongHop!E1236</f>
        <v>0</v>
      </c>
      <c r="F1236">
        <f>[2]TongHop!F1236</f>
        <v>0</v>
      </c>
      <c r="G1236">
        <f>[2]TongHop!G1236</f>
        <v>0</v>
      </c>
      <c r="H1236">
        <f>[2]TongHop!H1236</f>
        <v>0</v>
      </c>
      <c r="I1236">
        <f>[2]TongHop!I1236</f>
        <v>0</v>
      </c>
      <c r="J1236">
        <f>[2]TongHop!J1236</f>
        <v>0</v>
      </c>
      <c r="K1236">
        <f>[2]TongHop!K1236</f>
        <v>0</v>
      </c>
      <c r="L1236">
        <f>[2]TongHop!L1236</f>
        <v>0</v>
      </c>
      <c r="M1236">
        <f>[2]TongHop!M1236</f>
        <v>0</v>
      </c>
      <c r="N1236">
        <f>[2]TongHop!N1236</f>
        <v>0</v>
      </c>
    </row>
    <row r="1237" spans="1:14">
      <c r="A1237">
        <f>[2]TongHop!A1237</f>
        <v>0</v>
      </c>
      <c r="B1237">
        <f>[2]TongHop!B1237</f>
        <v>0</v>
      </c>
      <c r="C1237">
        <f>[2]TongHop!C1237</f>
        <v>0</v>
      </c>
      <c r="D1237">
        <f>[2]TongHop!D1237</f>
        <v>0</v>
      </c>
      <c r="E1237">
        <f>[2]TongHop!E1237</f>
        <v>0</v>
      </c>
      <c r="F1237">
        <f>[2]TongHop!F1237</f>
        <v>0</v>
      </c>
      <c r="G1237">
        <f>[2]TongHop!G1237</f>
        <v>0</v>
      </c>
      <c r="H1237">
        <f>[2]TongHop!H1237</f>
        <v>0</v>
      </c>
      <c r="I1237">
        <f>[2]TongHop!I1237</f>
        <v>0</v>
      </c>
      <c r="J1237">
        <f>[2]TongHop!J1237</f>
        <v>0</v>
      </c>
      <c r="K1237">
        <f>[2]TongHop!K1237</f>
        <v>0</v>
      </c>
      <c r="L1237">
        <f>[2]TongHop!L1237</f>
        <v>0</v>
      </c>
      <c r="M1237">
        <f>[2]TongHop!M1237</f>
        <v>0</v>
      </c>
      <c r="N1237">
        <f>[2]TongHop!N1237</f>
        <v>0</v>
      </c>
    </row>
    <row r="1238" spans="1:14">
      <c r="A1238">
        <f>[2]TongHop!A1238</f>
        <v>0</v>
      </c>
      <c r="B1238">
        <f>[2]TongHop!B1238</f>
        <v>0</v>
      </c>
      <c r="C1238">
        <f>[2]TongHop!C1238</f>
        <v>0</v>
      </c>
      <c r="D1238">
        <f>[2]TongHop!D1238</f>
        <v>0</v>
      </c>
      <c r="E1238">
        <f>[2]TongHop!E1238</f>
        <v>0</v>
      </c>
      <c r="F1238">
        <f>[2]TongHop!F1238</f>
        <v>0</v>
      </c>
      <c r="G1238">
        <f>[2]TongHop!G1238</f>
        <v>0</v>
      </c>
      <c r="H1238">
        <f>[2]TongHop!H1238</f>
        <v>0</v>
      </c>
      <c r="I1238">
        <f>[2]TongHop!I1238</f>
        <v>0</v>
      </c>
      <c r="J1238">
        <f>[2]TongHop!J1238</f>
        <v>0</v>
      </c>
      <c r="K1238">
        <f>[2]TongHop!K1238</f>
        <v>0</v>
      </c>
      <c r="L1238">
        <f>[2]TongHop!L1238</f>
        <v>0</v>
      </c>
      <c r="M1238">
        <f>[2]TongHop!M1238</f>
        <v>0</v>
      </c>
      <c r="N1238">
        <f>[2]TongHop!N1238</f>
        <v>0</v>
      </c>
    </row>
    <row r="1239" spans="1:14">
      <c r="A1239">
        <f>[2]TongHop!A1239</f>
        <v>0</v>
      </c>
      <c r="B1239">
        <f>[2]TongHop!B1239</f>
        <v>0</v>
      </c>
      <c r="C1239">
        <f>[2]TongHop!C1239</f>
        <v>0</v>
      </c>
      <c r="D1239">
        <f>[2]TongHop!D1239</f>
        <v>0</v>
      </c>
      <c r="E1239">
        <f>[2]TongHop!E1239</f>
        <v>0</v>
      </c>
      <c r="F1239">
        <f>[2]TongHop!F1239</f>
        <v>0</v>
      </c>
      <c r="G1239">
        <f>[2]TongHop!G1239</f>
        <v>0</v>
      </c>
      <c r="H1239">
        <f>[2]TongHop!H1239</f>
        <v>0</v>
      </c>
      <c r="I1239">
        <f>[2]TongHop!I1239</f>
        <v>0</v>
      </c>
      <c r="J1239">
        <f>[2]TongHop!J1239</f>
        <v>0</v>
      </c>
      <c r="K1239">
        <f>[2]TongHop!K1239</f>
        <v>0</v>
      </c>
      <c r="L1239">
        <f>[2]TongHop!L1239</f>
        <v>0</v>
      </c>
      <c r="M1239">
        <f>[2]TongHop!M1239</f>
        <v>0</v>
      </c>
      <c r="N1239">
        <f>[2]TongHop!N1239</f>
        <v>0</v>
      </c>
    </row>
    <row r="1240" spans="1:14">
      <c r="A1240">
        <f>[2]TongHop!A1240</f>
        <v>0</v>
      </c>
      <c r="B1240">
        <f>[2]TongHop!B1240</f>
        <v>0</v>
      </c>
      <c r="C1240">
        <f>[2]TongHop!C1240</f>
        <v>0</v>
      </c>
      <c r="D1240">
        <f>[2]TongHop!D1240</f>
        <v>0</v>
      </c>
      <c r="E1240">
        <f>[2]TongHop!E1240</f>
        <v>0</v>
      </c>
      <c r="F1240">
        <f>[2]TongHop!F1240</f>
        <v>0</v>
      </c>
      <c r="G1240">
        <f>[2]TongHop!G1240</f>
        <v>0</v>
      </c>
      <c r="H1240">
        <f>[2]TongHop!H1240</f>
        <v>0</v>
      </c>
      <c r="I1240">
        <f>[2]TongHop!I1240</f>
        <v>0</v>
      </c>
      <c r="J1240">
        <f>[2]TongHop!J1240</f>
        <v>0</v>
      </c>
      <c r="K1240">
        <f>[2]TongHop!K1240</f>
        <v>0</v>
      </c>
      <c r="L1240">
        <f>[2]TongHop!L1240</f>
        <v>0</v>
      </c>
      <c r="M1240">
        <f>[2]TongHop!M1240</f>
        <v>0</v>
      </c>
      <c r="N1240">
        <f>[2]TongHop!N1240</f>
        <v>0</v>
      </c>
    </row>
    <row r="1241" spans="1:14">
      <c r="A1241">
        <f>[2]TongHop!A1241</f>
        <v>0</v>
      </c>
      <c r="B1241">
        <f>[2]TongHop!B1241</f>
        <v>0</v>
      </c>
      <c r="C1241">
        <f>[2]TongHop!C1241</f>
        <v>0</v>
      </c>
      <c r="D1241">
        <f>[2]TongHop!D1241</f>
        <v>0</v>
      </c>
      <c r="E1241">
        <f>[2]TongHop!E1241</f>
        <v>0</v>
      </c>
      <c r="F1241">
        <f>[2]TongHop!F1241</f>
        <v>0</v>
      </c>
      <c r="G1241">
        <f>[2]TongHop!G1241</f>
        <v>0</v>
      </c>
      <c r="H1241">
        <f>[2]TongHop!H1241</f>
        <v>0</v>
      </c>
      <c r="I1241">
        <f>[2]TongHop!I1241</f>
        <v>0</v>
      </c>
      <c r="J1241">
        <f>[2]TongHop!J1241</f>
        <v>0</v>
      </c>
      <c r="K1241">
        <f>[2]TongHop!K1241</f>
        <v>0</v>
      </c>
      <c r="L1241">
        <f>[2]TongHop!L1241</f>
        <v>0</v>
      </c>
      <c r="M1241">
        <f>[2]TongHop!M1241</f>
        <v>0</v>
      </c>
      <c r="N1241">
        <f>[2]TongHop!N1241</f>
        <v>0</v>
      </c>
    </row>
    <row r="1242" spans="1:14">
      <c r="A1242">
        <f>[2]TongHop!A1242</f>
        <v>0</v>
      </c>
      <c r="B1242">
        <f>[2]TongHop!B1242</f>
        <v>0</v>
      </c>
      <c r="C1242">
        <f>[2]TongHop!C1242</f>
        <v>0</v>
      </c>
      <c r="D1242">
        <f>[2]TongHop!D1242</f>
        <v>0</v>
      </c>
      <c r="E1242">
        <f>[2]TongHop!E1242</f>
        <v>0</v>
      </c>
      <c r="F1242">
        <f>[2]TongHop!F1242</f>
        <v>0</v>
      </c>
      <c r="G1242">
        <f>[2]TongHop!G1242</f>
        <v>0</v>
      </c>
      <c r="H1242">
        <f>[2]TongHop!H1242</f>
        <v>0</v>
      </c>
      <c r="I1242">
        <f>[2]TongHop!I1242</f>
        <v>0</v>
      </c>
      <c r="J1242">
        <f>[2]TongHop!J1242</f>
        <v>0</v>
      </c>
      <c r="K1242">
        <f>[2]TongHop!K1242</f>
        <v>0</v>
      </c>
      <c r="L1242">
        <f>[2]TongHop!L1242</f>
        <v>0</v>
      </c>
      <c r="M1242">
        <f>[2]TongHop!M1242</f>
        <v>0</v>
      </c>
      <c r="N1242">
        <f>[2]TongHop!N1242</f>
        <v>0</v>
      </c>
    </row>
    <row r="1243" spans="1:14">
      <c r="A1243">
        <f>[2]TongHop!A1243</f>
        <v>0</v>
      </c>
      <c r="B1243">
        <f>[2]TongHop!B1243</f>
        <v>0</v>
      </c>
      <c r="C1243">
        <f>[2]TongHop!C1243</f>
        <v>0</v>
      </c>
      <c r="D1243">
        <f>[2]TongHop!D1243</f>
        <v>0</v>
      </c>
      <c r="E1243">
        <f>[2]TongHop!E1243</f>
        <v>0</v>
      </c>
      <c r="F1243">
        <f>[2]TongHop!F1243</f>
        <v>0</v>
      </c>
      <c r="G1243">
        <f>[2]TongHop!G1243</f>
        <v>0</v>
      </c>
      <c r="H1243">
        <f>[2]TongHop!H1243</f>
        <v>0</v>
      </c>
      <c r="I1243">
        <f>[2]TongHop!I1243</f>
        <v>0</v>
      </c>
      <c r="J1243">
        <f>[2]TongHop!J1243</f>
        <v>0</v>
      </c>
      <c r="K1243">
        <f>[2]TongHop!K1243</f>
        <v>0</v>
      </c>
      <c r="L1243">
        <f>[2]TongHop!L1243</f>
        <v>0</v>
      </c>
      <c r="M1243">
        <f>[2]TongHop!M1243</f>
        <v>0</v>
      </c>
      <c r="N1243">
        <f>[2]TongHop!N1243</f>
        <v>0</v>
      </c>
    </row>
    <row r="1244" spans="1:14">
      <c r="A1244">
        <f>[2]TongHop!A1244</f>
        <v>0</v>
      </c>
      <c r="B1244">
        <f>[2]TongHop!B1244</f>
        <v>0</v>
      </c>
      <c r="C1244">
        <f>[2]TongHop!C1244</f>
        <v>0</v>
      </c>
      <c r="D1244">
        <f>[2]TongHop!D1244</f>
        <v>0</v>
      </c>
      <c r="E1244">
        <f>[2]TongHop!E1244</f>
        <v>0</v>
      </c>
      <c r="F1244">
        <f>[2]TongHop!F1244</f>
        <v>0</v>
      </c>
      <c r="G1244">
        <f>[2]TongHop!G1244</f>
        <v>0</v>
      </c>
      <c r="H1244">
        <f>[2]TongHop!H1244</f>
        <v>0</v>
      </c>
      <c r="I1244">
        <f>[2]TongHop!I1244</f>
        <v>0</v>
      </c>
      <c r="J1244">
        <f>[2]TongHop!J1244</f>
        <v>0</v>
      </c>
      <c r="K1244">
        <f>[2]TongHop!K1244</f>
        <v>0</v>
      </c>
      <c r="L1244">
        <f>[2]TongHop!L1244</f>
        <v>0</v>
      </c>
      <c r="M1244">
        <f>[2]TongHop!M1244</f>
        <v>0</v>
      </c>
      <c r="N1244">
        <f>[2]TongHop!N1244</f>
        <v>0</v>
      </c>
    </row>
    <row r="1245" spans="1:14">
      <c r="A1245">
        <f>[2]TongHop!A1245</f>
        <v>0</v>
      </c>
      <c r="B1245">
        <f>[2]TongHop!B1245</f>
        <v>0</v>
      </c>
      <c r="C1245">
        <f>[2]TongHop!C1245</f>
        <v>0</v>
      </c>
      <c r="D1245">
        <f>[2]TongHop!D1245</f>
        <v>0</v>
      </c>
      <c r="E1245">
        <f>[2]TongHop!E1245</f>
        <v>0</v>
      </c>
      <c r="F1245">
        <f>[2]TongHop!F1245</f>
        <v>0</v>
      </c>
      <c r="G1245">
        <f>[2]TongHop!G1245</f>
        <v>0</v>
      </c>
      <c r="H1245">
        <f>[2]TongHop!H1245</f>
        <v>0</v>
      </c>
      <c r="I1245">
        <f>[2]TongHop!I1245</f>
        <v>0</v>
      </c>
      <c r="J1245">
        <f>[2]TongHop!J1245</f>
        <v>0</v>
      </c>
      <c r="K1245">
        <f>[2]TongHop!K1245</f>
        <v>0</v>
      </c>
      <c r="L1245">
        <f>[2]TongHop!L1245</f>
        <v>0</v>
      </c>
      <c r="M1245">
        <f>[2]TongHop!M1245</f>
        <v>0</v>
      </c>
      <c r="N1245">
        <f>[2]TongHop!N1245</f>
        <v>0</v>
      </c>
    </row>
    <row r="1246" spans="1:14">
      <c r="A1246">
        <f>[2]TongHop!A1246</f>
        <v>0</v>
      </c>
      <c r="B1246">
        <f>[2]TongHop!B1246</f>
        <v>0</v>
      </c>
      <c r="C1246">
        <f>[2]TongHop!C1246</f>
        <v>0</v>
      </c>
      <c r="D1246">
        <f>[2]TongHop!D1246</f>
        <v>0</v>
      </c>
      <c r="E1246">
        <f>[2]TongHop!E1246</f>
        <v>0</v>
      </c>
      <c r="F1246">
        <f>[2]TongHop!F1246</f>
        <v>0</v>
      </c>
      <c r="G1246">
        <f>[2]TongHop!G1246</f>
        <v>0</v>
      </c>
      <c r="H1246">
        <f>[2]TongHop!H1246</f>
        <v>0</v>
      </c>
      <c r="I1246">
        <f>[2]TongHop!I1246</f>
        <v>0</v>
      </c>
      <c r="J1246">
        <f>[2]TongHop!J1246</f>
        <v>0</v>
      </c>
      <c r="K1246">
        <f>[2]TongHop!K1246</f>
        <v>0</v>
      </c>
      <c r="L1246">
        <f>[2]TongHop!L1246</f>
        <v>0</v>
      </c>
      <c r="M1246">
        <f>[2]TongHop!M1246</f>
        <v>0</v>
      </c>
      <c r="N1246">
        <f>[2]TongHop!N1246</f>
        <v>0</v>
      </c>
    </row>
    <row r="1247" spans="1:14">
      <c r="A1247">
        <f>[2]TongHop!A1247</f>
        <v>0</v>
      </c>
      <c r="B1247">
        <f>[2]TongHop!B1247</f>
        <v>0</v>
      </c>
      <c r="C1247">
        <f>[2]TongHop!C1247</f>
        <v>0</v>
      </c>
      <c r="D1247">
        <f>[2]TongHop!D1247</f>
        <v>0</v>
      </c>
      <c r="E1247">
        <f>[2]TongHop!E1247</f>
        <v>0</v>
      </c>
      <c r="F1247">
        <f>[2]TongHop!F1247</f>
        <v>0</v>
      </c>
      <c r="G1247">
        <f>[2]TongHop!G1247</f>
        <v>0</v>
      </c>
      <c r="H1247">
        <f>[2]TongHop!H1247</f>
        <v>0</v>
      </c>
      <c r="I1247">
        <f>[2]TongHop!I1247</f>
        <v>0</v>
      </c>
      <c r="J1247">
        <f>[2]TongHop!J1247</f>
        <v>0</v>
      </c>
      <c r="K1247">
        <f>[2]TongHop!K1247</f>
        <v>0</v>
      </c>
      <c r="L1247">
        <f>[2]TongHop!L1247</f>
        <v>0</v>
      </c>
      <c r="M1247">
        <f>[2]TongHop!M1247</f>
        <v>0</v>
      </c>
      <c r="N1247">
        <f>[2]TongHop!N1247</f>
        <v>0</v>
      </c>
    </row>
    <row r="1248" spans="1:14">
      <c r="A1248">
        <f>[2]TongHop!A1248</f>
        <v>0</v>
      </c>
      <c r="B1248">
        <f>[2]TongHop!B1248</f>
        <v>0</v>
      </c>
      <c r="C1248">
        <f>[2]TongHop!C1248</f>
        <v>0</v>
      </c>
      <c r="D1248">
        <f>[2]TongHop!D1248</f>
        <v>0</v>
      </c>
      <c r="E1248">
        <f>[2]TongHop!E1248</f>
        <v>0</v>
      </c>
      <c r="F1248">
        <f>[2]TongHop!F1248</f>
        <v>0</v>
      </c>
      <c r="G1248">
        <f>[2]TongHop!G1248</f>
        <v>0</v>
      </c>
      <c r="H1248">
        <f>[2]TongHop!H1248</f>
        <v>0</v>
      </c>
      <c r="I1248">
        <f>[2]TongHop!I1248</f>
        <v>0</v>
      </c>
      <c r="J1248">
        <f>[2]TongHop!J1248</f>
        <v>0</v>
      </c>
      <c r="K1248">
        <f>[2]TongHop!K1248</f>
        <v>0</v>
      </c>
      <c r="L1248">
        <f>[2]TongHop!L1248</f>
        <v>0</v>
      </c>
      <c r="M1248">
        <f>[2]TongHop!M1248</f>
        <v>0</v>
      </c>
      <c r="N1248">
        <f>[2]TongHop!N1248</f>
        <v>0</v>
      </c>
    </row>
    <row r="1249" spans="1:14">
      <c r="A1249">
        <f>[2]TongHop!A1249</f>
        <v>0</v>
      </c>
      <c r="B1249">
        <f>[2]TongHop!B1249</f>
        <v>0</v>
      </c>
      <c r="C1249">
        <f>[2]TongHop!C1249</f>
        <v>0</v>
      </c>
      <c r="D1249">
        <f>[2]TongHop!D1249</f>
        <v>0</v>
      </c>
      <c r="E1249">
        <f>[2]TongHop!E1249</f>
        <v>0</v>
      </c>
      <c r="F1249">
        <f>[2]TongHop!F1249</f>
        <v>0</v>
      </c>
      <c r="G1249">
        <f>[2]TongHop!G1249</f>
        <v>0</v>
      </c>
      <c r="H1249">
        <f>[2]TongHop!H1249</f>
        <v>0</v>
      </c>
      <c r="I1249">
        <f>[2]TongHop!I1249</f>
        <v>0</v>
      </c>
      <c r="J1249">
        <f>[2]TongHop!J1249</f>
        <v>0</v>
      </c>
      <c r="K1249">
        <f>[2]TongHop!K1249</f>
        <v>0</v>
      </c>
      <c r="L1249">
        <f>[2]TongHop!L1249</f>
        <v>0</v>
      </c>
      <c r="M1249">
        <f>[2]TongHop!M1249</f>
        <v>0</v>
      </c>
      <c r="N1249">
        <f>[2]TongHop!N1249</f>
        <v>0</v>
      </c>
    </row>
    <row r="1250" spans="1:14">
      <c r="A1250">
        <f>[2]TongHop!A1250</f>
        <v>0</v>
      </c>
      <c r="B1250">
        <f>[2]TongHop!B1250</f>
        <v>0</v>
      </c>
      <c r="C1250">
        <f>[2]TongHop!C1250</f>
        <v>0</v>
      </c>
      <c r="D1250">
        <f>[2]TongHop!D1250</f>
        <v>0</v>
      </c>
      <c r="E1250">
        <f>[2]TongHop!E1250</f>
        <v>0</v>
      </c>
      <c r="F1250">
        <f>[2]TongHop!F1250</f>
        <v>0</v>
      </c>
      <c r="G1250">
        <f>[2]TongHop!G1250</f>
        <v>0</v>
      </c>
      <c r="H1250">
        <f>[2]TongHop!H1250</f>
        <v>0</v>
      </c>
      <c r="I1250">
        <f>[2]TongHop!I1250</f>
        <v>0</v>
      </c>
      <c r="J1250">
        <f>[2]TongHop!J1250</f>
        <v>0</v>
      </c>
      <c r="K1250">
        <f>[2]TongHop!K1250</f>
        <v>0</v>
      </c>
      <c r="L1250">
        <f>[2]TongHop!L1250</f>
        <v>0</v>
      </c>
      <c r="M1250">
        <f>[2]TongHop!M1250</f>
        <v>0</v>
      </c>
      <c r="N1250">
        <f>[2]TongHop!N1250</f>
        <v>0</v>
      </c>
    </row>
    <row r="1251" spans="1:14">
      <c r="A1251">
        <f>[2]TongHop!A1251</f>
        <v>0</v>
      </c>
      <c r="B1251">
        <f>[2]TongHop!B1251</f>
        <v>0</v>
      </c>
      <c r="C1251">
        <f>[2]TongHop!C1251</f>
        <v>0</v>
      </c>
      <c r="D1251">
        <f>[2]TongHop!D1251</f>
        <v>0</v>
      </c>
      <c r="E1251">
        <f>[2]TongHop!E1251</f>
        <v>0</v>
      </c>
      <c r="F1251">
        <f>[2]TongHop!F1251</f>
        <v>0</v>
      </c>
      <c r="G1251">
        <f>[2]TongHop!G1251</f>
        <v>0</v>
      </c>
      <c r="H1251">
        <f>[2]TongHop!H1251</f>
        <v>0</v>
      </c>
      <c r="I1251">
        <f>[2]TongHop!I1251</f>
        <v>0</v>
      </c>
      <c r="J1251">
        <f>[2]TongHop!J1251</f>
        <v>0</v>
      </c>
      <c r="K1251">
        <f>[2]TongHop!K1251</f>
        <v>0</v>
      </c>
      <c r="L1251">
        <f>[2]TongHop!L1251</f>
        <v>0</v>
      </c>
      <c r="M1251">
        <f>[2]TongHop!M1251</f>
        <v>0</v>
      </c>
      <c r="N1251">
        <f>[2]TongHop!N1251</f>
        <v>0</v>
      </c>
    </row>
    <row r="1252" spans="1:14">
      <c r="A1252">
        <f>[2]TongHop!A1252</f>
        <v>0</v>
      </c>
      <c r="B1252">
        <f>[2]TongHop!B1252</f>
        <v>0</v>
      </c>
      <c r="C1252">
        <f>[2]TongHop!C1252</f>
        <v>0</v>
      </c>
      <c r="D1252">
        <f>[2]TongHop!D1252</f>
        <v>0</v>
      </c>
      <c r="E1252">
        <f>[2]TongHop!E1252</f>
        <v>0</v>
      </c>
      <c r="F1252">
        <f>[2]TongHop!F1252</f>
        <v>0</v>
      </c>
      <c r="G1252">
        <f>[2]TongHop!G1252</f>
        <v>0</v>
      </c>
      <c r="H1252">
        <f>[2]TongHop!H1252</f>
        <v>0</v>
      </c>
      <c r="I1252">
        <f>[2]TongHop!I1252</f>
        <v>0</v>
      </c>
      <c r="J1252">
        <f>[2]TongHop!J1252</f>
        <v>0</v>
      </c>
      <c r="K1252">
        <f>[2]TongHop!K1252</f>
        <v>0</v>
      </c>
      <c r="L1252">
        <f>[2]TongHop!L1252</f>
        <v>0</v>
      </c>
      <c r="M1252">
        <f>[2]TongHop!M1252</f>
        <v>0</v>
      </c>
      <c r="N1252">
        <f>[2]TongHop!N1252</f>
        <v>0</v>
      </c>
    </row>
    <row r="1253" spans="1:14">
      <c r="A1253">
        <f>[2]TongHop!A1253</f>
        <v>0</v>
      </c>
      <c r="B1253">
        <f>[2]TongHop!B1253</f>
        <v>0</v>
      </c>
      <c r="C1253">
        <f>[2]TongHop!C1253</f>
        <v>0</v>
      </c>
      <c r="D1253">
        <f>[2]TongHop!D1253</f>
        <v>0</v>
      </c>
      <c r="E1253">
        <f>[2]TongHop!E1253</f>
        <v>0</v>
      </c>
      <c r="F1253">
        <f>[2]TongHop!F1253</f>
        <v>0</v>
      </c>
      <c r="G1253">
        <f>[2]TongHop!G1253</f>
        <v>0</v>
      </c>
      <c r="H1253">
        <f>[2]TongHop!H1253</f>
        <v>0</v>
      </c>
      <c r="I1253">
        <f>[2]TongHop!I1253</f>
        <v>0</v>
      </c>
      <c r="J1253">
        <f>[2]TongHop!J1253</f>
        <v>0</v>
      </c>
      <c r="K1253">
        <f>[2]TongHop!K1253</f>
        <v>0</v>
      </c>
      <c r="L1253">
        <f>[2]TongHop!L1253</f>
        <v>0</v>
      </c>
      <c r="M1253">
        <f>[2]TongHop!M1253</f>
        <v>0</v>
      </c>
      <c r="N1253">
        <f>[2]TongHop!N1253</f>
        <v>0</v>
      </c>
    </row>
    <row r="1254" spans="1:14">
      <c r="A1254">
        <f>[2]TongHop!A1254</f>
        <v>0</v>
      </c>
      <c r="B1254">
        <f>[2]TongHop!B1254</f>
        <v>0</v>
      </c>
      <c r="C1254">
        <f>[2]TongHop!C1254</f>
        <v>0</v>
      </c>
      <c r="D1254">
        <f>[2]TongHop!D1254</f>
        <v>0</v>
      </c>
      <c r="E1254">
        <f>[2]TongHop!E1254</f>
        <v>0</v>
      </c>
      <c r="F1254">
        <f>[2]TongHop!F1254</f>
        <v>0</v>
      </c>
      <c r="G1254">
        <f>[2]TongHop!G1254</f>
        <v>0</v>
      </c>
      <c r="H1254">
        <f>[2]TongHop!H1254</f>
        <v>0</v>
      </c>
      <c r="I1254">
        <f>[2]TongHop!I1254</f>
        <v>0</v>
      </c>
      <c r="J1254">
        <f>[2]TongHop!J1254</f>
        <v>0</v>
      </c>
      <c r="K1254">
        <f>[2]TongHop!K1254</f>
        <v>0</v>
      </c>
      <c r="L1254">
        <f>[2]TongHop!L1254</f>
        <v>0</v>
      </c>
      <c r="M1254">
        <f>[2]TongHop!M1254</f>
        <v>0</v>
      </c>
      <c r="N1254">
        <f>[2]TongHop!N1254</f>
        <v>0</v>
      </c>
    </row>
    <row r="1255" spans="1:14">
      <c r="A1255">
        <f>[2]TongHop!A1255</f>
        <v>0</v>
      </c>
      <c r="B1255">
        <f>[2]TongHop!B1255</f>
        <v>0</v>
      </c>
      <c r="C1255">
        <f>[2]TongHop!C1255</f>
        <v>0</v>
      </c>
      <c r="D1255">
        <f>[2]TongHop!D1255</f>
        <v>0</v>
      </c>
      <c r="E1255">
        <f>[2]TongHop!E1255</f>
        <v>0</v>
      </c>
      <c r="F1255">
        <f>[2]TongHop!F1255</f>
        <v>0</v>
      </c>
      <c r="G1255">
        <f>[2]TongHop!G1255</f>
        <v>0</v>
      </c>
      <c r="H1255">
        <f>[2]TongHop!H1255</f>
        <v>0</v>
      </c>
      <c r="I1255">
        <f>[2]TongHop!I1255</f>
        <v>0</v>
      </c>
      <c r="J1255">
        <f>[2]TongHop!J1255</f>
        <v>0</v>
      </c>
      <c r="K1255">
        <f>[2]TongHop!K1255</f>
        <v>0</v>
      </c>
      <c r="L1255">
        <f>[2]TongHop!L1255</f>
        <v>0</v>
      </c>
      <c r="M1255">
        <f>[2]TongHop!M1255</f>
        <v>0</v>
      </c>
      <c r="N1255">
        <f>[2]TongHop!N1255</f>
        <v>0</v>
      </c>
    </row>
    <row r="1256" spans="1:14">
      <c r="A1256">
        <f>[2]TongHop!A1256</f>
        <v>0</v>
      </c>
      <c r="B1256">
        <f>[2]TongHop!B1256</f>
        <v>0</v>
      </c>
      <c r="C1256">
        <f>[2]TongHop!C1256</f>
        <v>0</v>
      </c>
      <c r="D1256">
        <f>[2]TongHop!D1256</f>
        <v>0</v>
      </c>
      <c r="E1256">
        <f>[2]TongHop!E1256</f>
        <v>0</v>
      </c>
      <c r="F1256">
        <f>[2]TongHop!F1256</f>
        <v>0</v>
      </c>
      <c r="G1256">
        <f>[2]TongHop!G1256</f>
        <v>0</v>
      </c>
      <c r="H1256">
        <f>[2]TongHop!H1256</f>
        <v>0</v>
      </c>
      <c r="I1256">
        <f>[2]TongHop!I1256</f>
        <v>0</v>
      </c>
      <c r="J1256">
        <f>[2]TongHop!J1256</f>
        <v>0</v>
      </c>
      <c r="K1256">
        <f>[2]TongHop!K1256</f>
        <v>0</v>
      </c>
      <c r="L1256">
        <f>[2]TongHop!L1256</f>
        <v>0</v>
      </c>
      <c r="M1256">
        <f>[2]TongHop!M1256</f>
        <v>0</v>
      </c>
      <c r="N1256">
        <f>[2]TongHop!N1256</f>
        <v>0</v>
      </c>
    </row>
    <row r="1257" spans="1:14">
      <c r="A1257">
        <f>[2]TongHop!A1257</f>
        <v>0</v>
      </c>
      <c r="B1257">
        <f>[2]TongHop!B1257</f>
        <v>0</v>
      </c>
      <c r="C1257">
        <f>[2]TongHop!C1257</f>
        <v>0</v>
      </c>
      <c r="D1257">
        <f>[2]TongHop!D1257</f>
        <v>0</v>
      </c>
      <c r="E1257">
        <f>[2]TongHop!E1257</f>
        <v>0</v>
      </c>
      <c r="F1257">
        <f>[2]TongHop!F1257</f>
        <v>0</v>
      </c>
      <c r="G1257">
        <f>[2]TongHop!G1257</f>
        <v>0</v>
      </c>
      <c r="H1257">
        <f>[2]TongHop!H1257</f>
        <v>0</v>
      </c>
      <c r="I1257">
        <f>[2]TongHop!I1257</f>
        <v>0</v>
      </c>
      <c r="J1257">
        <f>[2]TongHop!J1257</f>
        <v>0</v>
      </c>
      <c r="K1257">
        <f>[2]TongHop!K1257</f>
        <v>0</v>
      </c>
      <c r="L1257">
        <f>[2]TongHop!L1257</f>
        <v>0</v>
      </c>
      <c r="M1257">
        <f>[2]TongHop!M1257</f>
        <v>0</v>
      </c>
      <c r="N1257">
        <f>[2]TongHop!N1257</f>
        <v>0</v>
      </c>
    </row>
    <row r="1258" spans="1:14">
      <c r="A1258">
        <f>[2]TongHop!A1258</f>
        <v>0</v>
      </c>
      <c r="B1258">
        <f>[2]TongHop!B1258</f>
        <v>0</v>
      </c>
      <c r="C1258">
        <f>[2]TongHop!C1258</f>
        <v>0</v>
      </c>
      <c r="D1258">
        <f>[2]TongHop!D1258</f>
        <v>0</v>
      </c>
      <c r="E1258">
        <f>[2]TongHop!E1258</f>
        <v>0</v>
      </c>
      <c r="F1258">
        <f>[2]TongHop!F1258</f>
        <v>0</v>
      </c>
      <c r="G1258">
        <f>[2]TongHop!G1258</f>
        <v>0</v>
      </c>
      <c r="H1258">
        <f>[2]TongHop!H1258</f>
        <v>0</v>
      </c>
      <c r="I1258">
        <f>[2]TongHop!I1258</f>
        <v>0</v>
      </c>
      <c r="J1258">
        <f>[2]TongHop!J1258</f>
        <v>0</v>
      </c>
      <c r="K1258">
        <f>[2]TongHop!K1258</f>
        <v>0</v>
      </c>
      <c r="L1258">
        <f>[2]TongHop!L1258</f>
        <v>0</v>
      </c>
      <c r="M1258">
        <f>[2]TongHop!M1258</f>
        <v>0</v>
      </c>
      <c r="N1258">
        <f>[2]TongHop!N1258</f>
        <v>0</v>
      </c>
    </row>
    <row r="1259" spans="1:14">
      <c r="A1259">
        <f>[2]TongHop!A1259</f>
        <v>0</v>
      </c>
      <c r="B1259">
        <f>[2]TongHop!B1259</f>
        <v>0</v>
      </c>
      <c r="C1259">
        <f>[2]TongHop!C1259</f>
        <v>0</v>
      </c>
      <c r="D1259">
        <f>[2]TongHop!D1259</f>
        <v>0</v>
      </c>
      <c r="E1259">
        <f>[2]TongHop!E1259</f>
        <v>0</v>
      </c>
      <c r="F1259">
        <f>[2]TongHop!F1259</f>
        <v>0</v>
      </c>
      <c r="G1259">
        <f>[2]TongHop!G1259</f>
        <v>0</v>
      </c>
      <c r="H1259">
        <f>[2]TongHop!H1259</f>
        <v>0</v>
      </c>
      <c r="I1259">
        <f>[2]TongHop!I1259</f>
        <v>0</v>
      </c>
      <c r="J1259">
        <f>[2]TongHop!J1259</f>
        <v>0</v>
      </c>
      <c r="K1259">
        <f>[2]TongHop!K1259</f>
        <v>0</v>
      </c>
      <c r="L1259">
        <f>[2]TongHop!L1259</f>
        <v>0</v>
      </c>
      <c r="M1259">
        <f>[2]TongHop!M1259</f>
        <v>0</v>
      </c>
      <c r="N1259">
        <f>[2]TongHop!N1259</f>
        <v>0</v>
      </c>
    </row>
    <row r="1260" spans="1:14">
      <c r="A1260">
        <f>[2]TongHop!A1260</f>
        <v>0</v>
      </c>
      <c r="B1260">
        <f>[2]TongHop!B1260</f>
        <v>0</v>
      </c>
      <c r="C1260">
        <f>[2]TongHop!C1260</f>
        <v>0</v>
      </c>
      <c r="D1260">
        <f>[2]TongHop!D1260</f>
        <v>0</v>
      </c>
      <c r="E1260">
        <f>[2]TongHop!E1260</f>
        <v>0</v>
      </c>
      <c r="F1260">
        <f>[2]TongHop!F1260</f>
        <v>0</v>
      </c>
      <c r="G1260">
        <f>[2]TongHop!G1260</f>
        <v>0</v>
      </c>
      <c r="H1260">
        <f>[2]TongHop!H1260</f>
        <v>0</v>
      </c>
      <c r="I1260">
        <f>[2]TongHop!I1260</f>
        <v>0</v>
      </c>
      <c r="J1260">
        <f>[2]TongHop!J1260</f>
        <v>0</v>
      </c>
      <c r="K1260">
        <f>[2]TongHop!K1260</f>
        <v>0</v>
      </c>
      <c r="L1260">
        <f>[2]TongHop!L1260</f>
        <v>0</v>
      </c>
      <c r="M1260">
        <f>[2]TongHop!M1260</f>
        <v>0</v>
      </c>
      <c r="N1260">
        <f>[2]TongHop!N1260</f>
        <v>0</v>
      </c>
    </row>
    <row r="1261" spans="1:14">
      <c r="A1261">
        <f>[2]TongHop!A1261</f>
        <v>0</v>
      </c>
      <c r="B1261">
        <f>[2]TongHop!B1261</f>
        <v>0</v>
      </c>
      <c r="C1261">
        <f>[2]TongHop!C1261</f>
        <v>0</v>
      </c>
      <c r="D1261">
        <f>[2]TongHop!D1261</f>
        <v>0</v>
      </c>
      <c r="E1261">
        <f>[2]TongHop!E1261</f>
        <v>0</v>
      </c>
      <c r="F1261">
        <f>[2]TongHop!F1261</f>
        <v>0</v>
      </c>
      <c r="G1261">
        <f>[2]TongHop!G1261</f>
        <v>0</v>
      </c>
      <c r="H1261">
        <f>[2]TongHop!H1261</f>
        <v>0</v>
      </c>
      <c r="I1261">
        <f>[2]TongHop!I1261</f>
        <v>0</v>
      </c>
      <c r="J1261">
        <f>[2]TongHop!J1261</f>
        <v>0</v>
      </c>
      <c r="K1261">
        <f>[2]TongHop!K1261</f>
        <v>0</v>
      </c>
      <c r="L1261">
        <f>[2]TongHop!L1261</f>
        <v>0</v>
      </c>
      <c r="M1261">
        <f>[2]TongHop!M1261</f>
        <v>0</v>
      </c>
      <c r="N1261">
        <f>[2]TongHop!N1261</f>
        <v>0</v>
      </c>
    </row>
    <row r="1262" spans="1:14">
      <c r="A1262">
        <f>[2]TongHop!A1262</f>
        <v>0</v>
      </c>
      <c r="B1262">
        <f>[2]TongHop!B1262</f>
        <v>0</v>
      </c>
      <c r="C1262">
        <f>[2]TongHop!C1262</f>
        <v>0</v>
      </c>
      <c r="D1262">
        <f>[2]TongHop!D1262</f>
        <v>0</v>
      </c>
      <c r="E1262">
        <f>[2]TongHop!E1262</f>
        <v>0</v>
      </c>
      <c r="F1262">
        <f>[2]TongHop!F1262</f>
        <v>0</v>
      </c>
      <c r="G1262">
        <f>[2]TongHop!G1262</f>
        <v>0</v>
      </c>
      <c r="H1262">
        <f>[2]TongHop!H1262</f>
        <v>0</v>
      </c>
      <c r="I1262">
        <f>[2]TongHop!I1262</f>
        <v>0</v>
      </c>
      <c r="J1262">
        <f>[2]TongHop!J1262</f>
        <v>0</v>
      </c>
      <c r="K1262">
        <f>[2]TongHop!K1262</f>
        <v>0</v>
      </c>
      <c r="L1262">
        <f>[2]TongHop!L1262</f>
        <v>0</v>
      </c>
      <c r="M1262">
        <f>[2]TongHop!M1262</f>
        <v>0</v>
      </c>
      <c r="N1262">
        <f>[2]TongHop!N1262</f>
        <v>0</v>
      </c>
    </row>
    <row r="1263" spans="1:14">
      <c r="A1263">
        <f>[2]TongHop!A1263</f>
        <v>0</v>
      </c>
      <c r="B1263">
        <f>[2]TongHop!B1263</f>
        <v>0</v>
      </c>
      <c r="C1263">
        <f>[2]TongHop!C1263</f>
        <v>0</v>
      </c>
      <c r="D1263">
        <f>[2]TongHop!D1263</f>
        <v>0</v>
      </c>
      <c r="E1263">
        <f>[2]TongHop!E1263</f>
        <v>0</v>
      </c>
      <c r="F1263">
        <f>[2]TongHop!F1263</f>
        <v>0</v>
      </c>
      <c r="G1263">
        <f>[2]TongHop!G1263</f>
        <v>0</v>
      </c>
      <c r="H1263">
        <f>[2]TongHop!H1263</f>
        <v>0</v>
      </c>
      <c r="I1263">
        <f>[2]TongHop!I1263</f>
        <v>0</v>
      </c>
      <c r="J1263">
        <f>[2]TongHop!J1263</f>
        <v>0</v>
      </c>
      <c r="K1263">
        <f>[2]TongHop!K1263</f>
        <v>0</v>
      </c>
      <c r="L1263">
        <f>[2]TongHop!L1263</f>
        <v>0</v>
      </c>
      <c r="M1263">
        <f>[2]TongHop!M1263</f>
        <v>0</v>
      </c>
      <c r="N1263">
        <f>[2]TongHop!N1263</f>
        <v>0</v>
      </c>
    </row>
    <row r="1264" spans="1:14">
      <c r="A1264">
        <f>[2]TongHop!A1264</f>
        <v>0</v>
      </c>
      <c r="B1264">
        <f>[2]TongHop!B1264</f>
        <v>0</v>
      </c>
      <c r="C1264">
        <f>[2]TongHop!C1264</f>
        <v>0</v>
      </c>
      <c r="D1264">
        <f>[2]TongHop!D1264</f>
        <v>0</v>
      </c>
      <c r="E1264">
        <f>[2]TongHop!E1264</f>
        <v>0</v>
      </c>
      <c r="F1264">
        <f>[2]TongHop!F1264</f>
        <v>0</v>
      </c>
      <c r="G1264">
        <f>[2]TongHop!G1264</f>
        <v>0</v>
      </c>
      <c r="H1264">
        <f>[2]TongHop!H1264</f>
        <v>0</v>
      </c>
      <c r="I1264">
        <f>[2]TongHop!I1264</f>
        <v>0</v>
      </c>
      <c r="J1264">
        <f>[2]TongHop!J1264</f>
        <v>0</v>
      </c>
      <c r="K1264">
        <f>[2]TongHop!K1264</f>
        <v>0</v>
      </c>
      <c r="L1264">
        <f>[2]TongHop!L1264</f>
        <v>0</v>
      </c>
      <c r="M1264">
        <f>[2]TongHop!M1264</f>
        <v>0</v>
      </c>
      <c r="N1264">
        <f>[2]TongHop!N1264</f>
        <v>0</v>
      </c>
    </row>
    <row r="1265" spans="1:14">
      <c r="A1265">
        <f>[2]TongHop!A1265</f>
        <v>0</v>
      </c>
      <c r="B1265">
        <f>[2]TongHop!B1265</f>
        <v>0</v>
      </c>
      <c r="C1265">
        <f>[2]TongHop!C1265</f>
        <v>0</v>
      </c>
      <c r="D1265">
        <f>[2]TongHop!D1265</f>
        <v>0</v>
      </c>
      <c r="E1265">
        <f>[2]TongHop!E1265</f>
        <v>0</v>
      </c>
      <c r="F1265">
        <f>[2]TongHop!F1265</f>
        <v>0</v>
      </c>
      <c r="G1265">
        <f>[2]TongHop!G1265</f>
        <v>0</v>
      </c>
      <c r="H1265">
        <f>[2]TongHop!H1265</f>
        <v>0</v>
      </c>
      <c r="I1265">
        <f>[2]TongHop!I1265</f>
        <v>0</v>
      </c>
      <c r="J1265">
        <f>[2]TongHop!J1265</f>
        <v>0</v>
      </c>
      <c r="K1265">
        <f>[2]TongHop!K1265</f>
        <v>0</v>
      </c>
      <c r="L1265">
        <f>[2]TongHop!L1265</f>
        <v>0</v>
      </c>
      <c r="M1265">
        <f>[2]TongHop!M1265</f>
        <v>0</v>
      </c>
      <c r="N1265">
        <f>[2]TongHop!N1265</f>
        <v>0</v>
      </c>
    </row>
    <row r="1266" spans="1:14">
      <c r="A1266">
        <f>[2]TongHop!A1266</f>
        <v>0</v>
      </c>
      <c r="B1266">
        <f>[2]TongHop!B1266</f>
        <v>0</v>
      </c>
      <c r="C1266">
        <f>[2]TongHop!C1266</f>
        <v>0</v>
      </c>
      <c r="D1266">
        <f>[2]TongHop!D1266</f>
        <v>0</v>
      </c>
      <c r="E1266">
        <f>[2]TongHop!E1266</f>
        <v>0</v>
      </c>
      <c r="F1266">
        <f>[2]TongHop!F1266</f>
        <v>0</v>
      </c>
      <c r="G1266">
        <f>[2]TongHop!G1266</f>
        <v>0</v>
      </c>
      <c r="H1266">
        <f>[2]TongHop!H1266</f>
        <v>0</v>
      </c>
      <c r="I1266">
        <f>[2]TongHop!I1266</f>
        <v>0</v>
      </c>
      <c r="J1266">
        <f>[2]TongHop!J1266</f>
        <v>0</v>
      </c>
      <c r="K1266">
        <f>[2]TongHop!K1266</f>
        <v>0</v>
      </c>
      <c r="L1266">
        <f>[2]TongHop!L1266</f>
        <v>0</v>
      </c>
      <c r="M1266">
        <f>[2]TongHop!M1266</f>
        <v>0</v>
      </c>
      <c r="N1266">
        <f>[2]TongHop!N1266</f>
        <v>0</v>
      </c>
    </row>
    <row r="1267" spans="1:14">
      <c r="A1267">
        <f>[2]TongHop!A1267</f>
        <v>0</v>
      </c>
      <c r="B1267">
        <f>[2]TongHop!B1267</f>
        <v>0</v>
      </c>
      <c r="C1267">
        <f>[2]TongHop!C1267</f>
        <v>0</v>
      </c>
      <c r="D1267">
        <f>[2]TongHop!D1267</f>
        <v>0</v>
      </c>
      <c r="E1267">
        <f>[2]TongHop!E1267</f>
        <v>0</v>
      </c>
      <c r="F1267">
        <f>[2]TongHop!F1267</f>
        <v>0</v>
      </c>
      <c r="G1267">
        <f>[2]TongHop!G1267</f>
        <v>0</v>
      </c>
      <c r="H1267">
        <f>[2]TongHop!H1267</f>
        <v>0</v>
      </c>
      <c r="I1267">
        <f>[2]TongHop!I1267</f>
        <v>0</v>
      </c>
      <c r="J1267">
        <f>[2]TongHop!J1267</f>
        <v>0</v>
      </c>
      <c r="K1267">
        <f>[2]TongHop!K1267</f>
        <v>0</v>
      </c>
      <c r="L1267">
        <f>[2]TongHop!L1267</f>
        <v>0</v>
      </c>
      <c r="M1267">
        <f>[2]TongHop!M1267</f>
        <v>0</v>
      </c>
      <c r="N1267">
        <f>[2]TongHop!N1267</f>
        <v>0</v>
      </c>
    </row>
    <row r="1268" spans="1:14">
      <c r="A1268">
        <f>[2]TongHop!A1268</f>
        <v>0</v>
      </c>
      <c r="B1268">
        <f>[2]TongHop!B1268</f>
        <v>0</v>
      </c>
      <c r="C1268">
        <f>[2]TongHop!C1268</f>
        <v>0</v>
      </c>
      <c r="D1268">
        <f>[2]TongHop!D1268</f>
        <v>0</v>
      </c>
      <c r="E1268">
        <f>[2]TongHop!E1268</f>
        <v>0</v>
      </c>
      <c r="F1268">
        <f>[2]TongHop!F1268</f>
        <v>0</v>
      </c>
      <c r="G1268">
        <f>[2]TongHop!G1268</f>
        <v>0</v>
      </c>
      <c r="H1268">
        <f>[2]TongHop!H1268</f>
        <v>0</v>
      </c>
      <c r="I1268">
        <f>[2]TongHop!I1268</f>
        <v>0</v>
      </c>
      <c r="J1268">
        <f>[2]TongHop!J1268</f>
        <v>0</v>
      </c>
      <c r="K1268">
        <f>[2]TongHop!K1268</f>
        <v>0</v>
      </c>
      <c r="L1268">
        <f>[2]TongHop!L1268</f>
        <v>0</v>
      </c>
      <c r="M1268">
        <f>[2]TongHop!M1268</f>
        <v>0</v>
      </c>
      <c r="N1268">
        <f>[2]TongHop!N1268</f>
        <v>0</v>
      </c>
    </row>
    <row r="1269" spans="1:14">
      <c r="A1269">
        <f>[2]TongHop!A1269</f>
        <v>0</v>
      </c>
      <c r="B1269">
        <f>[2]TongHop!B1269</f>
        <v>0</v>
      </c>
      <c r="C1269">
        <f>[2]TongHop!C1269</f>
        <v>0</v>
      </c>
      <c r="D1269">
        <f>[2]TongHop!D1269</f>
        <v>0</v>
      </c>
      <c r="E1269">
        <f>[2]TongHop!E1269</f>
        <v>0</v>
      </c>
      <c r="F1269">
        <f>[2]TongHop!F1269</f>
        <v>0</v>
      </c>
      <c r="G1269">
        <f>[2]TongHop!G1269</f>
        <v>0</v>
      </c>
      <c r="H1269">
        <f>[2]TongHop!H1269</f>
        <v>0</v>
      </c>
      <c r="I1269">
        <f>[2]TongHop!I1269</f>
        <v>0</v>
      </c>
      <c r="J1269">
        <f>[2]TongHop!J1269</f>
        <v>0</v>
      </c>
      <c r="K1269">
        <f>[2]TongHop!K1269</f>
        <v>0</v>
      </c>
      <c r="L1269">
        <f>[2]TongHop!L1269</f>
        <v>0</v>
      </c>
      <c r="M1269">
        <f>[2]TongHop!M1269</f>
        <v>0</v>
      </c>
      <c r="N1269">
        <f>[2]TongHop!N1269</f>
        <v>0</v>
      </c>
    </row>
    <row r="1270" spans="1:14">
      <c r="A1270">
        <f>[2]TongHop!A1270</f>
        <v>0</v>
      </c>
      <c r="B1270">
        <f>[2]TongHop!B1270</f>
        <v>0</v>
      </c>
      <c r="C1270">
        <f>[2]TongHop!C1270</f>
        <v>0</v>
      </c>
      <c r="D1270">
        <f>[2]TongHop!D1270</f>
        <v>0</v>
      </c>
      <c r="E1270">
        <f>[2]TongHop!E1270</f>
        <v>0</v>
      </c>
      <c r="F1270">
        <f>[2]TongHop!F1270</f>
        <v>0</v>
      </c>
      <c r="G1270">
        <f>[2]TongHop!G1270</f>
        <v>0</v>
      </c>
      <c r="H1270">
        <f>[2]TongHop!H1270</f>
        <v>0</v>
      </c>
      <c r="I1270">
        <f>[2]TongHop!I1270</f>
        <v>0</v>
      </c>
      <c r="J1270">
        <f>[2]TongHop!J1270</f>
        <v>0</v>
      </c>
      <c r="K1270">
        <f>[2]TongHop!K1270</f>
        <v>0</v>
      </c>
      <c r="L1270">
        <f>[2]TongHop!L1270</f>
        <v>0</v>
      </c>
      <c r="M1270">
        <f>[2]TongHop!M1270</f>
        <v>0</v>
      </c>
      <c r="N1270">
        <f>[2]TongHop!N1270</f>
        <v>0</v>
      </c>
    </row>
    <row r="1271" spans="1:14">
      <c r="A1271">
        <f>[2]TongHop!A1271</f>
        <v>0</v>
      </c>
      <c r="B1271">
        <f>[2]TongHop!B1271</f>
        <v>0</v>
      </c>
      <c r="C1271">
        <f>[2]TongHop!C1271</f>
        <v>0</v>
      </c>
      <c r="D1271">
        <f>[2]TongHop!D1271</f>
        <v>0</v>
      </c>
      <c r="E1271">
        <f>[2]TongHop!E1271</f>
        <v>0</v>
      </c>
      <c r="F1271">
        <f>[2]TongHop!F1271</f>
        <v>0</v>
      </c>
      <c r="G1271">
        <f>[2]TongHop!G1271</f>
        <v>0</v>
      </c>
      <c r="H1271">
        <f>[2]TongHop!H1271</f>
        <v>0</v>
      </c>
      <c r="I1271">
        <f>[2]TongHop!I1271</f>
        <v>0</v>
      </c>
      <c r="J1271">
        <f>[2]TongHop!J1271</f>
        <v>0</v>
      </c>
      <c r="K1271">
        <f>[2]TongHop!K1271</f>
        <v>0</v>
      </c>
      <c r="L1271">
        <f>[2]TongHop!L1271</f>
        <v>0</v>
      </c>
      <c r="M1271">
        <f>[2]TongHop!M1271</f>
        <v>0</v>
      </c>
      <c r="N1271">
        <f>[2]TongHop!N1271</f>
        <v>0</v>
      </c>
    </row>
    <row r="1272" spans="1:14">
      <c r="A1272">
        <f>[2]TongHop!A1272</f>
        <v>0</v>
      </c>
      <c r="B1272">
        <f>[2]TongHop!B1272</f>
        <v>0</v>
      </c>
      <c r="C1272">
        <f>[2]TongHop!C1272</f>
        <v>0</v>
      </c>
      <c r="D1272">
        <f>[2]TongHop!D1272</f>
        <v>0</v>
      </c>
      <c r="E1272">
        <f>[2]TongHop!E1272</f>
        <v>0</v>
      </c>
      <c r="F1272">
        <f>[2]TongHop!F1272</f>
        <v>0</v>
      </c>
      <c r="G1272">
        <f>[2]TongHop!G1272</f>
        <v>0</v>
      </c>
      <c r="H1272">
        <f>[2]TongHop!H1272</f>
        <v>0</v>
      </c>
      <c r="I1272">
        <f>[2]TongHop!I1272</f>
        <v>0</v>
      </c>
      <c r="J1272">
        <f>[2]TongHop!J1272</f>
        <v>0</v>
      </c>
      <c r="K1272">
        <f>[2]TongHop!K1272</f>
        <v>0</v>
      </c>
      <c r="L1272">
        <f>[2]TongHop!L1272</f>
        <v>0</v>
      </c>
      <c r="M1272">
        <f>[2]TongHop!M1272</f>
        <v>0</v>
      </c>
      <c r="N1272">
        <f>[2]TongHop!N1272</f>
        <v>0</v>
      </c>
    </row>
    <row r="1273" spans="1:14">
      <c r="A1273">
        <f>[2]TongHop!A1273</f>
        <v>0</v>
      </c>
      <c r="B1273">
        <f>[2]TongHop!B1273</f>
        <v>0</v>
      </c>
      <c r="C1273">
        <f>[2]TongHop!C1273</f>
        <v>0</v>
      </c>
      <c r="D1273">
        <f>[2]TongHop!D1273</f>
        <v>0</v>
      </c>
      <c r="E1273">
        <f>[2]TongHop!E1273</f>
        <v>0</v>
      </c>
      <c r="F1273">
        <f>[2]TongHop!F1273</f>
        <v>0</v>
      </c>
      <c r="G1273">
        <f>[2]TongHop!G1273</f>
        <v>0</v>
      </c>
      <c r="H1273">
        <f>[2]TongHop!H1273</f>
        <v>0</v>
      </c>
      <c r="I1273">
        <f>[2]TongHop!I1273</f>
        <v>0</v>
      </c>
      <c r="J1273">
        <f>[2]TongHop!J1273</f>
        <v>0</v>
      </c>
      <c r="K1273">
        <f>[2]TongHop!K1273</f>
        <v>0</v>
      </c>
      <c r="L1273">
        <f>[2]TongHop!L1273</f>
        <v>0</v>
      </c>
      <c r="M1273">
        <f>[2]TongHop!M1273</f>
        <v>0</v>
      </c>
      <c r="N1273">
        <f>[2]TongHop!N1273</f>
        <v>0</v>
      </c>
    </row>
    <row r="1274" spans="1:14">
      <c r="A1274">
        <f>[2]TongHop!A1274</f>
        <v>0</v>
      </c>
      <c r="B1274">
        <f>[2]TongHop!B1274</f>
        <v>0</v>
      </c>
      <c r="C1274">
        <f>[2]TongHop!C1274</f>
        <v>0</v>
      </c>
      <c r="D1274">
        <f>[2]TongHop!D1274</f>
        <v>0</v>
      </c>
      <c r="E1274">
        <f>[2]TongHop!E1274</f>
        <v>0</v>
      </c>
      <c r="F1274">
        <f>[2]TongHop!F1274</f>
        <v>0</v>
      </c>
      <c r="G1274">
        <f>[2]TongHop!G1274</f>
        <v>0</v>
      </c>
      <c r="H1274">
        <f>[2]TongHop!H1274</f>
        <v>0</v>
      </c>
      <c r="I1274">
        <f>[2]TongHop!I1274</f>
        <v>0</v>
      </c>
      <c r="J1274">
        <f>[2]TongHop!J1274</f>
        <v>0</v>
      </c>
      <c r="K1274">
        <f>[2]TongHop!K1274</f>
        <v>0</v>
      </c>
      <c r="L1274">
        <f>[2]TongHop!L1274</f>
        <v>0</v>
      </c>
      <c r="M1274">
        <f>[2]TongHop!M1274</f>
        <v>0</v>
      </c>
      <c r="N1274">
        <f>[2]TongHop!N1274</f>
        <v>0</v>
      </c>
    </row>
    <row r="1275" spans="1:14">
      <c r="A1275">
        <f>[2]TongHop!A1275</f>
        <v>0</v>
      </c>
      <c r="B1275">
        <f>[2]TongHop!B1275</f>
        <v>0</v>
      </c>
      <c r="C1275">
        <f>[2]TongHop!C1275</f>
        <v>0</v>
      </c>
      <c r="D1275">
        <f>[2]TongHop!D1275</f>
        <v>0</v>
      </c>
      <c r="E1275">
        <f>[2]TongHop!E1275</f>
        <v>0</v>
      </c>
      <c r="F1275">
        <f>[2]TongHop!F1275</f>
        <v>0</v>
      </c>
      <c r="G1275">
        <f>[2]TongHop!G1275</f>
        <v>0</v>
      </c>
      <c r="H1275">
        <f>[2]TongHop!H1275</f>
        <v>0</v>
      </c>
      <c r="I1275">
        <f>[2]TongHop!I1275</f>
        <v>0</v>
      </c>
      <c r="J1275">
        <f>[2]TongHop!J1275</f>
        <v>0</v>
      </c>
      <c r="K1275">
        <f>[2]TongHop!K1275</f>
        <v>0</v>
      </c>
      <c r="L1275">
        <f>[2]TongHop!L1275</f>
        <v>0</v>
      </c>
      <c r="M1275">
        <f>[2]TongHop!M1275</f>
        <v>0</v>
      </c>
      <c r="N1275">
        <f>[2]TongHop!N1275</f>
        <v>0</v>
      </c>
    </row>
    <row r="1276" spans="1:14">
      <c r="A1276">
        <f>[2]TongHop!A1276</f>
        <v>0</v>
      </c>
      <c r="B1276">
        <f>[2]TongHop!B1276</f>
        <v>0</v>
      </c>
      <c r="C1276">
        <f>[2]TongHop!C1276</f>
        <v>0</v>
      </c>
      <c r="D1276">
        <f>[2]TongHop!D1276</f>
        <v>0</v>
      </c>
      <c r="E1276">
        <f>[2]TongHop!E1276</f>
        <v>0</v>
      </c>
      <c r="F1276">
        <f>[2]TongHop!F1276</f>
        <v>0</v>
      </c>
      <c r="G1276">
        <f>[2]TongHop!G1276</f>
        <v>0</v>
      </c>
      <c r="H1276">
        <f>[2]TongHop!H1276</f>
        <v>0</v>
      </c>
      <c r="I1276">
        <f>[2]TongHop!I1276</f>
        <v>0</v>
      </c>
      <c r="J1276">
        <f>[2]TongHop!J1276</f>
        <v>0</v>
      </c>
      <c r="K1276">
        <f>[2]TongHop!K1276</f>
        <v>0</v>
      </c>
      <c r="L1276">
        <f>[2]TongHop!L1276</f>
        <v>0</v>
      </c>
      <c r="M1276">
        <f>[2]TongHop!M1276</f>
        <v>0</v>
      </c>
      <c r="N1276">
        <f>[2]TongHop!N1276</f>
        <v>0</v>
      </c>
    </row>
    <row r="1277" spans="1:14">
      <c r="A1277">
        <f>[2]TongHop!A1277</f>
        <v>0</v>
      </c>
      <c r="B1277">
        <f>[2]TongHop!B1277</f>
        <v>0</v>
      </c>
      <c r="C1277">
        <f>[2]TongHop!C1277</f>
        <v>0</v>
      </c>
      <c r="D1277">
        <f>[2]TongHop!D1277</f>
        <v>0</v>
      </c>
      <c r="E1277">
        <f>[2]TongHop!E1277</f>
        <v>0</v>
      </c>
      <c r="F1277">
        <f>[2]TongHop!F1277</f>
        <v>0</v>
      </c>
      <c r="G1277">
        <f>[2]TongHop!G1277</f>
        <v>0</v>
      </c>
      <c r="H1277">
        <f>[2]TongHop!H1277</f>
        <v>0</v>
      </c>
      <c r="I1277">
        <f>[2]TongHop!I1277</f>
        <v>0</v>
      </c>
      <c r="J1277">
        <f>[2]TongHop!J1277</f>
        <v>0</v>
      </c>
      <c r="K1277">
        <f>[2]TongHop!K1277</f>
        <v>0</v>
      </c>
      <c r="L1277">
        <f>[2]TongHop!L1277</f>
        <v>0</v>
      </c>
      <c r="M1277">
        <f>[2]TongHop!M1277</f>
        <v>0</v>
      </c>
      <c r="N1277">
        <f>[2]TongHop!N1277</f>
        <v>0</v>
      </c>
    </row>
    <row r="1278" spans="1:14">
      <c r="A1278">
        <f>[2]TongHop!A1278</f>
        <v>0</v>
      </c>
      <c r="B1278">
        <f>[2]TongHop!B1278</f>
        <v>0</v>
      </c>
      <c r="C1278">
        <f>[2]TongHop!C1278</f>
        <v>0</v>
      </c>
      <c r="D1278">
        <f>[2]TongHop!D1278</f>
        <v>0</v>
      </c>
      <c r="E1278">
        <f>[2]TongHop!E1278</f>
        <v>0</v>
      </c>
      <c r="F1278">
        <f>[2]TongHop!F1278</f>
        <v>0</v>
      </c>
      <c r="G1278">
        <f>[2]TongHop!G1278</f>
        <v>0</v>
      </c>
      <c r="H1278">
        <f>[2]TongHop!H1278</f>
        <v>0</v>
      </c>
      <c r="I1278">
        <f>[2]TongHop!I1278</f>
        <v>0</v>
      </c>
      <c r="J1278">
        <f>[2]TongHop!J1278</f>
        <v>0</v>
      </c>
      <c r="K1278">
        <f>[2]TongHop!K1278</f>
        <v>0</v>
      </c>
      <c r="L1278">
        <f>[2]TongHop!L1278</f>
        <v>0</v>
      </c>
      <c r="M1278">
        <f>[2]TongHop!M1278</f>
        <v>0</v>
      </c>
      <c r="N1278">
        <f>[2]TongHop!N1278</f>
        <v>0</v>
      </c>
    </row>
    <row r="1279" spans="1:14">
      <c r="A1279">
        <f>[2]TongHop!A1279</f>
        <v>0</v>
      </c>
      <c r="B1279">
        <f>[2]TongHop!B1279</f>
        <v>0</v>
      </c>
      <c r="C1279">
        <f>[2]TongHop!C1279</f>
        <v>0</v>
      </c>
      <c r="D1279">
        <f>[2]TongHop!D1279</f>
        <v>0</v>
      </c>
      <c r="E1279">
        <f>[2]TongHop!E1279</f>
        <v>0</v>
      </c>
      <c r="F1279">
        <f>[2]TongHop!F1279</f>
        <v>0</v>
      </c>
      <c r="G1279">
        <f>[2]TongHop!G1279</f>
        <v>0</v>
      </c>
      <c r="H1279">
        <f>[2]TongHop!H1279</f>
        <v>0</v>
      </c>
      <c r="I1279">
        <f>[2]TongHop!I1279</f>
        <v>0</v>
      </c>
      <c r="J1279">
        <f>[2]TongHop!J1279</f>
        <v>0</v>
      </c>
      <c r="K1279">
        <f>[2]TongHop!K1279</f>
        <v>0</v>
      </c>
      <c r="L1279">
        <f>[2]TongHop!L1279</f>
        <v>0</v>
      </c>
      <c r="M1279">
        <f>[2]TongHop!M1279</f>
        <v>0</v>
      </c>
      <c r="N1279">
        <f>[2]TongHop!N1279</f>
        <v>0</v>
      </c>
    </row>
    <row r="1280" spans="1:14">
      <c r="A1280">
        <f>[2]TongHop!A1280</f>
        <v>0</v>
      </c>
      <c r="B1280">
        <f>[2]TongHop!B1280</f>
        <v>0</v>
      </c>
      <c r="C1280">
        <f>[2]TongHop!C1280</f>
        <v>0</v>
      </c>
      <c r="D1280">
        <f>[2]TongHop!D1280</f>
        <v>0</v>
      </c>
      <c r="E1280">
        <f>[2]TongHop!E1280</f>
        <v>0</v>
      </c>
      <c r="F1280">
        <f>[2]TongHop!F1280</f>
        <v>0</v>
      </c>
      <c r="G1280">
        <f>[2]TongHop!G1280</f>
        <v>0</v>
      </c>
      <c r="H1280">
        <f>[2]TongHop!H1280</f>
        <v>0</v>
      </c>
      <c r="I1280">
        <f>[2]TongHop!I1280</f>
        <v>0</v>
      </c>
      <c r="J1280">
        <f>[2]TongHop!J1280</f>
        <v>0</v>
      </c>
      <c r="K1280">
        <f>[2]TongHop!K1280</f>
        <v>0</v>
      </c>
      <c r="L1280">
        <f>[2]TongHop!L1280</f>
        <v>0</v>
      </c>
      <c r="M1280">
        <f>[2]TongHop!M1280</f>
        <v>0</v>
      </c>
      <c r="N1280">
        <f>[2]TongHop!N1280</f>
        <v>0</v>
      </c>
    </row>
    <row r="1281" spans="1:14">
      <c r="A1281">
        <f>[2]TongHop!A1281</f>
        <v>0</v>
      </c>
      <c r="B1281">
        <f>[2]TongHop!B1281</f>
        <v>0</v>
      </c>
      <c r="C1281">
        <f>[2]TongHop!C1281</f>
        <v>0</v>
      </c>
      <c r="D1281">
        <f>[2]TongHop!D1281</f>
        <v>0</v>
      </c>
      <c r="E1281">
        <f>[2]TongHop!E1281</f>
        <v>0</v>
      </c>
      <c r="F1281">
        <f>[2]TongHop!F1281</f>
        <v>0</v>
      </c>
      <c r="G1281">
        <f>[2]TongHop!G1281</f>
        <v>0</v>
      </c>
      <c r="H1281">
        <f>[2]TongHop!H1281</f>
        <v>0</v>
      </c>
      <c r="I1281">
        <f>[2]TongHop!I1281</f>
        <v>0</v>
      </c>
      <c r="J1281">
        <f>[2]TongHop!J1281</f>
        <v>0</v>
      </c>
      <c r="K1281">
        <f>[2]TongHop!K1281</f>
        <v>0</v>
      </c>
      <c r="L1281">
        <f>[2]TongHop!L1281</f>
        <v>0</v>
      </c>
      <c r="M1281">
        <f>[2]TongHop!M1281</f>
        <v>0</v>
      </c>
      <c r="N1281">
        <f>[2]TongHop!N1281</f>
        <v>0</v>
      </c>
    </row>
    <row r="1282" spans="1:14">
      <c r="A1282">
        <f>[2]TongHop!A1282</f>
        <v>0</v>
      </c>
      <c r="B1282">
        <f>[2]TongHop!B1282</f>
        <v>0</v>
      </c>
      <c r="C1282">
        <f>[2]TongHop!C1282</f>
        <v>0</v>
      </c>
      <c r="D1282">
        <f>[2]TongHop!D1282</f>
        <v>0</v>
      </c>
      <c r="E1282">
        <f>[2]TongHop!E1282</f>
        <v>0</v>
      </c>
      <c r="F1282">
        <f>[2]TongHop!F1282</f>
        <v>0</v>
      </c>
      <c r="G1282">
        <f>[2]TongHop!G1282</f>
        <v>0</v>
      </c>
      <c r="H1282">
        <f>[2]TongHop!H1282</f>
        <v>0</v>
      </c>
      <c r="I1282">
        <f>[2]TongHop!I1282</f>
        <v>0</v>
      </c>
      <c r="J1282">
        <f>[2]TongHop!J1282</f>
        <v>0</v>
      </c>
      <c r="K1282">
        <f>[2]TongHop!K1282</f>
        <v>0</v>
      </c>
      <c r="L1282">
        <f>[2]TongHop!L1282</f>
        <v>0</v>
      </c>
      <c r="M1282">
        <f>[2]TongHop!M1282</f>
        <v>0</v>
      </c>
      <c r="N1282">
        <f>[2]TongHop!N1282</f>
        <v>0</v>
      </c>
    </row>
    <row r="1283" spans="1:14">
      <c r="A1283">
        <f>[2]TongHop!A1283</f>
        <v>0</v>
      </c>
      <c r="B1283">
        <f>[2]TongHop!B1283</f>
        <v>0</v>
      </c>
      <c r="C1283">
        <f>[2]TongHop!C1283</f>
        <v>0</v>
      </c>
      <c r="D1283">
        <f>[2]TongHop!D1283</f>
        <v>0</v>
      </c>
      <c r="E1283">
        <f>[2]TongHop!E1283</f>
        <v>0</v>
      </c>
      <c r="F1283">
        <f>[2]TongHop!F1283</f>
        <v>0</v>
      </c>
      <c r="G1283">
        <f>[2]TongHop!G1283</f>
        <v>0</v>
      </c>
      <c r="H1283">
        <f>[2]TongHop!H1283</f>
        <v>0</v>
      </c>
      <c r="I1283">
        <f>[2]TongHop!I1283</f>
        <v>0</v>
      </c>
      <c r="J1283">
        <f>[2]TongHop!J1283</f>
        <v>0</v>
      </c>
      <c r="K1283">
        <f>[2]TongHop!K1283</f>
        <v>0</v>
      </c>
      <c r="L1283">
        <f>[2]TongHop!L1283</f>
        <v>0</v>
      </c>
      <c r="M1283">
        <f>[2]TongHop!M1283</f>
        <v>0</v>
      </c>
      <c r="N1283">
        <f>[2]TongHop!N1283</f>
        <v>0</v>
      </c>
    </row>
    <row r="1284" spans="1:14">
      <c r="A1284">
        <f>[2]TongHop!A1284</f>
        <v>0</v>
      </c>
      <c r="B1284">
        <f>[2]TongHop!B1284</f>
        <v>0</v>
      </c>
      <c r="C1284">
        <f>[2]TongHop!C1284</f>
        <v>0</v>
      </c>
      <c r="D1284">
        <f>[2]TongHop!D1284</f>
        <v>0</v>
      </c>
      <c r="E1284">
        <f>[2]TongHop!E1284</f>
        <v>0</v>
      </c>
      <c r="F1284">
        <f>[2]TongHop!F1284</f>
        <v>0</v>
      </c>
      <c r="G1284">
        <f>[2]TongHop!G1284</f>
        <v>0</v>
      </c>
      <c r="H1284">
        <f>[2]TongHop!H1284</f>
        <v>0</v>
      </c>
      <c r="I1284">
        <f>[2]TongHop!I1284</f>
        <v>0</v>
      </c>
      <c r="J1284">
        <f>[2]TongHop!J1284</f>
        <v>0</v>
      </c>
      <c r="K1284">
        <f>[2]TongHop!K1284</f>
        <v>0</v>
      </c>
      <c r="L1284">
        <f>[2]TongHop!L1284</f>
        <v>0</v>
      </c>
      <c r="M1284">
        <f>[2]TongHop!M1284</f>
        <v>0</v>
      </c>
      <c r="N1284">
        <f>[2]TongHop!N1284</f>
        <v>0</v>
      </c>
    </row>
    <row r="1285" spans="1:14">
      <c r="A1285">
        <f>[2]TongHop!A1285</f>
        <v>0</v>
      </c>
      <c r="B1285">
        <f>[2]TongHop!B1285</f>
        <v>0</v>
      </c>
      <c r="C1285">
        <f>[2]TongHop!C1285</f>
        <v>0</v>
      </c>
      <c r="D1285">
        <f>[2]TongHop!D1285</f>
        <v>0</v>
      </c>
      <c r="E1285">
        <f>[2]TongHop!E1285</f>
        <v>0</v>
      </c>
      <c r="F1285">
        <f>[2]TongHop!F1285</f>
        <v>0</v>
      </c>
      <c r="G1285">
        <f>[2]TongHop!G1285</f>
        <v>0</v>
      </c>
      <c r="H1285">
        <f>[2]TongHop!H1285</f>
        <v>0</v>
      </c>
      <c r="I1285">
        <f>[2]TongHop!I1285</f>
        <v>0</v>
      </c>
      <c r="J1285">
        <f>[2]TongHop!J1285</f>
        <v>0</v>
      </c>
      <c r="K1285">
        <f>[2]TongHop!K1285</f>
        <v>0</v>
      </c>
      <c r="L1285">
        <f>[2]TongHop!L1285</f>
        <v>0</v>
      </c>
      <c r="M1285">
        <f>[2]TongHop!M1285</f>
        <v>0</v>
      </c>
      <c r="N1285">
        <f>[2]TongHop!N1285</f>
        <v>0</v>
      </c>
    </row>
    <row r="1286" spans="1:14">
      <c r="A1286">
        <f>[2]TongHop!A1286</f>
        <v>0</v>
      </c>
      <c r="B1286">
        <f>[2]TongHop!B1286</f>
        <v>0</v>
      </c>
      <c r="C1286">
        <f>[2]TongHop!C1286</f>
        <v>0</v>
      </c>
      <c r="D1286">
        <f>[2]TongHop!D1286</f>
        <v>0</v>
      </c>
      <c r="E1286">
        <f>[2]TongHop!E1286</f>
        <v>0</v>
      </c>
      <c r="F1286">
        <f>[2]TongHop!F1286</f>
        <v>0</v>
      </c>
      <c r="G1286">
        <f>[2]TongHop!G1286</f>
        <v>0</v>
      </c>
      <c r="H1286">
        <f>[2]TongHop!H1286</f>
        <v>0</v>
      </c>
      <c r="I1286">
        <f>[2]TongHop!I1286</f>
        <v>0</v>
      </c>
      <c r="J1286">
        <f>[2]TongHop!J1286</f>
        <v>0</v>
      </c>
      <c r="K1286">
        <f>[2]TongHop!K1286</f>
        <v>0</v>
      </c>
      <c r="L1286">
        <f>[2]TongHop!L1286</f>
        <v>0</v>
      </c>
      <c r="M1286">
        <f>[2]TongHop!M1286</f>
        <v>0</v>
      </c>
      <c r="N1286">
        <f>[2]TongHop!N1286</f>
        <v>0</v>
      </c>
    </row>
    <row r="1287" spans="1:14">
      <c r="A1287">
        <f>[2]TongHop!A1287</f>
        <v>0</v>
      </c>
      <c r="B1287">
        <f>[2]TongHop!B1287</f>
        <v>0</v>
      </c>
      <c r="C1287">
        <f>[2]TongHop!C1287</f>
        <v>0</v>
      </c>
      <c r="D1287">
        <f>[2]TongHop!D1287</f>
        <v>0</v>
      </c>
      <c r="E1287">
        <f>[2]TongHop!E1287</f>
        <v>0</v>
      </c>
      <c r="F1287">
        <f>[2]TongHop!F1287</f>
        <v>0</v>
      </c>
      <c r="G1287">
        <f>[2]TongHop!G1287</f>
        <v>0</v>
      </c>
      <c r="H1287">
        <f>[2]TongHop!H1287</f>
        <v>0</v>
      </c>
      <c r="I1287">
        <f>[2]TongHop!I1287</f>
        <v>0</v>
      </c>
      <c r="J1287">
        <f>[2]TongHop!J1287</f>
        <v>0</v>
      </c>
      <c r="K1287">
        <f>[2]TongHop!K1287</f>
        <v>0</v>
      </c>
      <c r="L1287">
        <f>[2]TongHop!L1287</f>
        <v>0</v>
      </c>
      <c r="M1287">
        <f>[2]TongHop!M1287</f>
        <v>0</v>
      </c>
      <c r="N1287">
        <f>[2]TongHop!N1287</f>
        <v>0</v>
      </c>
    </row>
    <row r="1288" spans="1:14">
      <c r="A1288">
        <f>[2]TongHop!A1288</f>
        <v>0</v>
      </c>
      <c r="B1288">
        <f>[2]TongHop!B1288</f>
        <v>0</v>
      </c>
      <c r="C1288">
        <f>[2]TongHop!C1288</f>
        <v>0</v>
      </c>
      <c r="D1288">
        <f>[2]TongHop!D1288</f>
        <v>0</v>
      </c>
      <c r="E1288">
        <f>[2]TongHop!E1288</f>
        <v>0</v>
      </c>
      <c r="F1288">
        <f>[2]TongHop!F1288</f>
        <v>0</v>
      </c>
      <c r="G1288">
        <f>[2]TongHop!G1288</f>
        <v>0</v>
      </c>
      <c r="H1288">
        <f>[2]TongHop!H1288</f>
        <v>0</v>
      </c>
      <c r="I1288">
        <f>[2]TongHop!I1288</f>
        <v>0</v>
      </c>
      <c r="J1288">
        <f>[2]TongHop!J1288</f>
        <v>0</v>
      </c>
      <c r="K1288">
        <f>[2]TongHop!K1288</f>
        <v>0</v>
      </c>
      <c r="L1288">
        <f>[2]TongHop!L1288</f>
        <v>0</v>
      </c>
      <c r="M1288">
        <f>[2]TongHop!M1288</f>
        <v>0</v>
      </c>
      <c r="N1288">
        <f>[2]TongHop!N1288</f>
        <v>0</v>
      </c>
    </row>
    <row r="1289" spans="1:14">
      <c r="A1289">
        <f>[2]TongHop!A1289</f>
        <v>0</v>
      </c>
      <c r="B1289">
        <f>[2]TongHop!B1289</f>
        <v>0</v>
      </c>
      <c r="C1289">
        <f>[2]TongHop!C1289</f>
        <v>0</v>
      </c>
      <c r="D1289">
        <f>[2]TongHop!D1289</f>
        <v>0</v>
      </c>
      <c r="E1289">
        <f>[2]TongHop!E1289</f>
        <v>0</v>
      </c>
      <c r="F1289">
        <f>[2]TongHop!F1289</f>
        <v>0</v>
      </c>
      <c r="G1289">
        <f>[2]TongHop!G1289</f>
        <v>0</v>
      </c>
      <c r="H1289">
        <f>[2]TongHop!H1289</f>
        <v>0</v>
      </c>
      <c r="I1289">
        <f>[2]TongHop!I1289</f>
        <v>0</v>
      </c>
      <c r="J1289">
        <f>[2]TongHop!J1289</f>
        <v>0</v>
      </c>
      <c r="K1289">
        <f>[2]TongHop!K1289</f>
        <v>0</v>
      </c>
      <c r="L1289">
        <f>[2]TongHop!L1289</f>
        <v>0</v>
      </c>
      <c r="M1289">
        <f>[2]TongHop!M1289</f>
        <v>0</v>
      </c>
      <c r="N1289">
        <f>[2]TongHop!N1289</f>
        <v>0</v>
      </c>
    </row>
    <row r="1290" spans="1:14">
      <c r="A1290">
        <f>[2]TongHop!A1290</f>
        <v>0</v>
      </c>
      <c r="B1290">
        <f>[2]TongHop!B1290</f>
        <v>0</v>
      </c>
      <c r="C1290">
        <f>[2]TongHop!C1290</f>
        <v>0</v>
      </c>
      <c r="D1290">
        <f>[2]TongHop!D1290</f>
        <v>0</v>
      </c>
      <c r="E1290">
        <f>[2]TongHop!E1290</f>
        <v>0</v>
      </c>
      <c r="F1290">
        <f>[2]TongHop!F1290</f>
        <v>0</v>
      </c>
      <c r="G1290">
        <f>[2]TongHop!G1290</f>
        <v>0</v>
      </c>
      <c r="H1290">
        <f>[2]TongHop!H1290</f>
        <v>0</v>
      </c>
      <c r="I1290">
        <f>[2]TongHop!I1290</f>
        <v>0</v>
      </c>
      <c r="J1290">
        <f>[2]TongHop!J1290</f>
        <v>0</v>
      </c>
      <c r="K1290">
        <f>[2]TongHop!K1290</f>
        <v>0</v>
      </c>
      <c r="L1290">
        <f>[2]TongHop!L1290</f>
        <v>0</v>
      </c>
      <c r="M1290">
        <f>[2]TongHop!M1290</f>
        <v>0</v>
      </c>
      <c r="N1290">
        <f>[2]TongHop!N1290</f>
        <v>0</v>
      </c>
    </row>
    <row r="1291" spans="1:14">
      <c r="A1291">
        <f>[2]TongHop!A1291</f>
        <v>0</v>
      </c>
      <c r="B1291">
        <f>[2]TongHop!B1291</f>
        <v>0</v>
      </c>
      <c r="C1291">
        <f>[2]TongHop!C1291</f>
        <v>0</v>
      </c>
      <c r="D1291">
        <f>[2]TongHop!D1291</f>
        <v>0</v>
      </c>
      <c r="E1291">
        <f>[2]TongHop!E1291</f>
        <v>0</v>
      </c>
      <c r="F1291">
        <f>[2]TongHop!F1291</f>
        <v>0</v>
      </c>
      <c r="G1291">
        <f>[2]TongHop!G1291</f>
        <v>0</v>
      </c>
      <c r="H1291">
        <f>[2]TongHop!H1291</f>
        <v>0</v>
      </c>
      <c r="I1291">
        <f>[2]TongHop!I1291</f>
        <v>0</v>
      </c>
      <c r="J1291">
        <f>[2]TongHop!J1291</f>
        <v>0</v>
      </c>
      <c r="K1291">
        <f>[2]TongHop!K1291</f>
        <v>0</v>
      </c>
      <c r="L1291">
        <f>[2]TongHop!L1291</f>
        <v>0</v>
      </c>
      <c r="M1291">
        <f>[2]TongHop!M1291</f>
        <v>0</v>
      </c>
      <c r="N1291">
        <f>[2]TongHop!N1291</f>
        <v>0</v>
      </c>
    </row>
    <row r="1292" spans="1:14">
      <c r="A1292">
        <f>[2]TongHop!A1292</f>
        <v>0</v>
      </c>
      <c r="B1292">
        <f>[2]TongHop!B1292</f>
        <v>0</v>
      </c>
      <c r="C1292">
        <f>[2]TongHop!C1292</f>
        <v>0</v>
      </c>
      <c r="D1292">
        <f>[2]TongHop!D1292</f>
        <v>0</v>
      </c>
      <c r="E1292">
        <f>[2]TongHop!E1292</f>
        <v>0</v>
      </c>
      <c r="F1292">
        <f>[2]TongHop!F1292</f>
        <v>0</v>
      </c>
      <c r="G1292">
        <f>[2]TongHop!G1292</f>
        <v>0</v>
      </c>
      <c r="H1292">
        <f>[2]TongHop!H1292</f>
        <v>0</v>
      </c>
      <c r="I1292">
        <f>[2]TongHop!I1292</f>
        <v>0</v>
      </c>
      <c r="J1292">
        <f>[2]TongHop!J1292</f>
        <v>0</v>
      </c>
      <c r="K1292">
        <f>[2]TongHop!K1292</f>
        <v>0</v>
      </c>
      <c r="L1292">
        <f>[2]TongHop!L1292</f>
        <v>0</v>
      </c>
      <c r="M1292">
        <f>[2]TongHop!M1292</f>
        <v>0</v>
      </c>
      <c r="N1292">
        <f>[2]TongHop!N1292</f>
        <v>0</v>
      </c>
    </row>
    <row r="1293" spans="1:14">
      <c r="A1293">
        <f>[2]TongHop!A1293</f>
        <v>0</v>
      </c>
      <c r="B1293">
        <f>[2]TongHop!B1293</f>
        <v>0</v>
      </c>
      <c r="C1293">
        <f>[2]TongHop!C1293</f>
        <v>0</v>
      </c>
      <c r="D1293">
        <f>[2]TongHop!D1293</f>
        <v>0</v>
      </c>
      <c r="E1293">
        <f>[2]TongHop!E1293</f>
        <v>0</v>
      </c>
      <c r="F1293">
        <f>[2]TongHop!F1293</f>
        <v>0</v>
      </c>
      <c r="G1293">
        <f>[2]TongHop!G1293</f>
        <v>0</v>
      </c>
      <c r="H1293">
        <f>[2]TongHop!H1293</f>
        <v>0</v>
      </c>
      <c r="I1293">
        <f>[2]TongHop!I1293</f>
        <v>0</v>
      </c>
      <c r="J1293">
        <f>[2]TongHop!J1293</f>
        <v>0</v>
      </c>
      <c r="K1293">
        <f>[2]TongHop!K1293</f>
        <v>0</v>
      </c>
      <c r="L1293">
        <f>[2]TongHop!L1293</f>
        <v>0</v>
      </c>
      <c r="M1293">
        <f>[2]TongHop!M1293</f>
        <v>0</v>
      </c>
      <c r="N1293">
        <f>[2]TongHop!N1293</f>
        <v>0</v>
      </c>
    </row>
    <row r="1294" spans="1:14">
      <c r="A1294">
        <f>[2]TongHop!A1294</f>
        <v>0</v>
      </c>
      <c r="B1294">
        <f>[2]TongHop!B1294</f>
        <v>0</v>
      </c>
      <c r="C1294">
        <f>[2]TongHop!C1294</f>
        <v>0</v>
      </c>
      <c r="D1294">
        <f>[2]TongHop!D1294</f>
        <v>0</v>
      </c>
      <c r="E1294">
        <f>[2]TongHop!E1294</f>
        <v>0</v>
      </c>
      <c r="F1294">
        <f>[2]TongHop!F1294</f>
        <v>0</v>
      </c>
      <c r="G1294">
        <f>[2]TongHop!G1294</f>
        <v>0</v>
      </c>
      <c r="H1294">
        <f>[2]TongHop!H1294</f>
        <v>0</v>
      </c>
      <c r="I1294">
        <f>[2]TongHop!I1294</f>
        <v>0</v>
      </c>
      <c r="J1294">
        <f>[2]TongHop!J1294</f>
        <v>0</v>
      </c>
      <c r="K1294">
        <f>[2]TongHop!K1294</f>
        <v>0</v>
      </c>
      <c r="L1294">
        <f>[2]TongHop!L1294</f>
        <v>0</v>
      </c>
      <c r="M1294">
        <f>[2]TongHop!M1294</f>
        <v>0</v>
      </c>
      <c r="N1294">
        <f>[2]TongHop!N1294</f>
        <v>0</v>
      </c>
    </row>
    <row r="1295" spans="1:14">
      <c r="A1295">
        <f>[2]TongHop!A1295</f>
        <v>0</v>
      </c>
      <c r="B1295">
        <f>[2]TongHop!B1295</f>
        <v>0</v>
      </c>
      <c r="C1295">
        <f>[2]TongHop!C1295</f>
        <v>0</v>
      </c>
      <c r="D1295">
        <f>[2]TongHop!D1295</f>
        <v>0</v>
      </c>
      <c r="E1295">
        <f>[2]TongHop!E1295</f>
        <v>0</v>
      </c>
      <c r="F1295">
        <f>[2]TongHop!F1295</f>
        <v>0</v>
      </c>
      <c r="G1295">
        <f>[2]TongHop!G1295</f>
        <v>0</v>
      </c>
      <c r="H1295">
        <f>[2]TongHop!H1295</f>
        <v>0</v>
      </c>
      <c r="I1295">
        <f>[2]TongHop!I1295</f>
        <v>0</v>
      </c>
      <c r="J1295">
        <f>[2]TongHop!J1295</f>
        <v>0</v>
      </c>
      <c r="K1295">
        <f>[2]TongHop!K1295</f>
        <v>0</v>
      </c>
      <c r="L1295">
        <f>[2]TongHop!L1295</f>
        <v>0</v>
      </c>
      <c r="M1295">
        <f>[2]TongHop!M1295</f>
        <v>0</v>
      </c>
      <c r="N1295">
        <f>[2]TongHop!N1295</f>
        <v>0</v>
      </c>
    </row>
    <row r="1296" spans="1:14">
      <c r="A1296">
        <f>[2]TongHop!A1296</f>
        <v>0</v>
      </c>
      <c r="B1296">
        <f>[2]TongHop!B1296</f>
        <v>0</v>
      </c>
      <c r="C1296">
        <f>[2]TongHop!C1296</f>
        <v>0</v>
      </c>
      <c r="D1296">
        <f>[2]TongHop!D1296</f>
        <v>0</v>
      </c>
      <c r="E1296">
        <f>[2]TongHop!E1296</f>
        <v>0</v>
      </c>
      <c r="F1296">
        <f>[2]TongHop!F1296</f>
        <v>0</v>
      </c>
      <c r="G1296">
        <f>[2]TongHop!G1296</f>
        <v>0</v>
      </c>
      <c r="H1296">
        <f>[2]TongHop!H1296</f>
        <v>0</v>
      </c>
      <c r="I1296">
        <f>[2]TongHop!I1296</f>
        <v>0</v>
      </c>
      <c r="J1296">
        <f>[2]TongHop!J1296</f>
        <v>0</v>
      </c>
      <c r="K1296">
        <f>[2]TongHop!K1296</f>
        <v>0</v>
      </c>
      <c r="L1296">
        <f>[2]TongHop!L1296</f>
        <v>0</v>
      </c>
      <c r="M1296">
        <f>[2]TongHop!M1296</f>
        <v>0</v>
      </c>
      <c r="N1296">
        <f>[2]TongHop!N1296</f>
        <v>0</v>
      </c>
    </row>
    <row r="1297" spans="1:14">
      <c r="A1297">
        <f>[2]TongHop!A1297</f>
        <v>0</v>
      </c>
      <c r="B1297">
        <f>[2]TongHop!B1297</f>
        <v>0</v>
      </c>
      <c r="C1297">
        <f>[2]TongHop!C1297</f>
        <v>0</v>
      </c>
      <c r="D1297">
        <f>[2]TongHop!D1297</f>
        <v>0</v>
      </c>
      <c r="E1297">
        <f>[2]TongHop!E1297</f>
        <v>0</v>
      </c>
      <c r="F1297">
        <f>[2]TongHop!F1297</f>
        <v>0</v>
      </c>
      <c r="G1297">
        <f>[2]TongHop!G1297</f>
        <v>0</v>
      </c>
      <c r="H1297">
        <f>[2]TongHop!H1297</f>
        <v>0</v>
      </c>
      <c r="I1297">
        <f>[2]TongHop!I1297</f>
        <v>0</v>
      </c>
      <c r="J1297">
        <f>[2]TongHop!J1297</f>
        <v>0</v>
      </c>
      <c r="K1297">
        <f>[2]TongHop!K1297</f>
        <v>0</v>
      </c>
      <c r="L1297">
        <f>[2]TongHop!L1297</f>
        <v>0</v>
      </c>
      <c r="M1297">
        <f>[2]TongHop!M1297</f>
        <v>0</v>
      </c>
      <c r="N1297">
        <f>[2]TongHop!N1297</f>
        <v>0</v>
      </c>
    </row>
    <row r="1298" spans="1:14">
      <c r="A1298">
        <f>[2]TongHop!A1298</f>
        <v>0</v>
      </c>
      <c r="B1298">
        <f>[2]TongHop!B1298</f>
        <v>0</v>
      </c>
      <c r="C1298">
        <f>[2]TongHop!C1298</f>
        <v>0</v>
      </c>
      <c r="D1298">
        <f>[2]TongHop!D1298</f>
        <v>0</v>
      </c>
      <c r="E1298">
        <f>[2]TongHop!E1298</f>
        <v>0</v>
      </c>
      <c r="F1298">
        <f>[2]TongHop!F1298</f>
        <v>0</v>
      </c>
      <c r="G1298">
        <f>[2]TongHop!G1298</f>
        <v>0</v>
      </c>
      <c r="H1298">
        <f>[2]TongHop!H1298</f>
        <v>0</v>
      </c>
      <c r="I1298">
        <f>[2]TongHop!I1298</f>
        <v>0</v>
      </c>
      <c r="J1298">
        <f>[2]TongHop!J1298</f>
        <v>0</v>
      </c>
      <c r="K1298">
        <f>[2]TongHop!K1298</f>
        <v>0</v>
      </c>
      <c r="L1298">
        <f>[2]TongHop!L1298</f>
        <v>0</v>
      </c>
      <c r="M1298">
        <f>[2]TongHop!M1298</f>
        <v>0</v>
      </c>
      <c r="N1298">
        <f>[2]TongHop!N1298</f>
        <v>0</v>
      </c>
    </row>
    <row r="1299" spans="1:14">
      <c r="A1299">
        <f>[2]TongHop!A1299</f>
        <v>0</v>
      </c>
      <c r="B1299">
        <f>[2]TongHop!B1299</f>
        <v>0</v>
      </c>
      <c r="C1299">
        <f>[2]TongHop!C1299</f>
        <v>0</v>
      </c>
      <c r="D1299">
        <f>[2]TongHop!D1299</f>
        <v>0</v>
      </c>
      <c r="E1299">
        <f>[2]TongHop!E1299</f>
        <v>0</v>
      </c>
      <c r="F1299">
        <f>[2]TongHop!F1299</f>
        <v>0</v>
      </c>
      <c r="G1299">
        <f>[2]TongHop!G1299</f>
        <v>0</v>
      </c>
      <c r="H1299">
        <f>[2]TongHop!H1299</f>
        <v>0</v>
      </c>
      <c r="I1299">
        <f>[2]TongHop!I1299</f>
        <v>0</v>
      </c>
      <c r="J1299">
        <f>[2]TongHop!J1299</f>
        <v>0</v>
      </c>
      <c r="K1299">
        <f>[2]TongHop!K1299</f>
        <v>0</v>
      </c>
      <c r="L1299">
        <f>[2]TongHop!L1299</f>
        <v>0</v>
      </c>
      <c r="M1299">
        <f>[2]TongHop!M1299</f>
        <v>0</v>
      </c>
      <c r="N1299">
        <f>[2]TongHop!N1299</f>
        <v>0</v>
      </c>
    </row>
    <row r="1300" spans="1:14">
      <c r="A1300">
        <f>[2]TongHop!A1300</f>
        <v>0</v>
      </c>
      <c r="B1300">
        <f>[2]TongHop!B1300</f>
        <v>0</v>
      </c>
      <c r="C1300">
        <f>[2]TongHop!C1300</f>
        <v>0</v>
      </c>
      <c r="D1300">
        <f>[2]TongHop!D1300</f>
        <v>0</v>
      </c>
      <c r="E1300">
        <f>[2]TongHop!E1300</f>
        <v>0</v>
      </c>
      <c r="F1300">
        <f>[2]TongHop!F1300</f>
        <v>0</v>
      </c>
      <c r="G1300">
        <f>[2]TongHop!G1300</f>
        <v>0</v>
      </c>
      <c r="H1300">
        <f>[2]TongHop!H1300</f>
        <v>0</v>
      </c>
      <c r="I1300">
        <f>[2]TongHop!I1300</f>
        <v>0</v>
      </c>
      <c r="J1300">
        <f>[2]TongHop!J1300</f>
        <v>0</v>
      </c>
      <c r="K1300">
        <f>[2]TongHop!K1300</f>
        <v>0</v>
      </c>
      <c r="L1300">
        <f>[2]TongHop!L1300</f>
        <v>0</v>
      </c>
      <c r="M1300">
        <f>[2]TongHop!M1300</f>
        <v>0</v>
      </c>
      <c r="N1300">
        <f>[2]TongHop!N1300</f>
        <v>0</v>
      </c>
    </row>
    <row r="1301" spans="1:14">
      <c r="A1301">
        <f>[2]TongHop!A1301</f>
        <v>0</v>
      </c>
      <c r="B1301">
        <f>[2]TongHop!B1301</f>
        <v>0</v>
      </c>
      <c r="C1301">
        <f>[2]TongHop!C1301</f>
        <v>0</v>
      </c>
      <c r="D1301">
        <f>[2]TongHop!D1301</f>
        <v>0</v>
      </c>
      <c r="E1301">
        <f>[2]TongHop!E1301</f>
        <v>0</v>
      </c>
      <c r="F1301">
        <f>[2]TongHop!F1301</f>
        <v>0</v>
      </c>
      <c r="G1301">
        <f>[2]TongHop!G1301</f>
        <v>0</v>
      </c>
      <c r="H1301">
        <f>[2]TongHop!H1301</f>
        <v>0</v>
      </c>
      <c r="I1301">
        <f>[2]TongHop!I1301</f>
        <v>0</v>
      </c>
      <c r="J1301">
        <f>[2]TongHop!J1301</f>
        <v>0</v>
      </c>
      <c r="K1301">
        <f>[2]TongHop!K1301</f>
        <v>0</v>
      </c>
      <c r="L1301">
        <f>[2]TongHop!L1301</f>
        <v>0</v>
      </c>
      <c r="M1301">
        <f>[2]TongHop!M1301</f>
        <v>0</v>
      </c>
      <c r="N1301">
        <f>[2]TongHop!N1301</f>
        <v>0</v>
      </c>
    </row>
    <row r="1302" spans="1:14">
      <c r="A1302">
        <f>[2]TongHop!A1302</f>
        <v>0</v>
      </c>
      <c r="B1302">
        <f>[2]TongHop!B1302</f>
        <v>0</v>
      </c>
      <c r="C1302">
        <f>[2]TongHop!C1302</f>
        <v>0</v>
      </c>
      <c r="D1302">
        <f>[2]TongHop!D1302</f>
        <v>0</v>
      </c>
      <c r="E1302">
        <f>[2]TongHop!E1302</f>
        <v>0</v>
      </c>
      <c r="F1302">
        <f>[2]TongHop!F1302</f>
        <v>0</v>
      </c>
      <c r="G1302">
        <f>[2]TongHop!G1302</f>
        <v>0</v>
      </c>
      <c r="H1302">
        <f>[2]TongHop!H1302</f>
        <v>0</v>
      </c>
      <c r="I1302">
        <f>[2]TongHop!I1302</f>
        <v>0</v>
      </c>
      <c r="J1302">
        <f>[2]TongHop!J1302</f>
        <v>0</v>
      </c>
      <c r="K1302">
        <f>[2]TongHop!K1302</f>
        <v>0</v>
      </c>
      <c r="L1302">
        <f>[2]TongHop!L1302</f>
        <v>0</v>
      </c>
      <c r="M1302">
        <f>[2]TongHop!M1302</f>
        <v>0</v>
      </c>
      <c r="N1302">
        <f>[2]TongHop!N1302</f>
        <v>0</v>
      </c>
    </row>
    <row r="1303" spans="1:14">
      <c r="A1303">
        <f>[2]TongHop!A1303</f>
        <v>0</v>
      </c>
      <c r="B1303">
        <f>[2]TongHop!B1303</f>
        <v>0</v>
      </c>
      <c r="C1303">
        <f>[2]TongHop!C1303</f>
        <v>0</v>
      </c>
      <c r="D1303">
        <f>[2]TongHop!D1303</f>
        <v>0</v>
      </c>
      <c r="E1303">
        <f>[2]TongHop!E1303</f>
        <v>0</v>
      </c>
      <c r="F1303">
        <f>[2]TongHop!F1303</f>
        <v>0</v>
      </c>
      <c r="G1303">
        <f>[2]TongHop!G1303</f>
        <v>0</v>
      </c>
      <c r="H1303">
        <f>[2]TongHop!H1303</f>
        <v>0</v>
      </c>
      <c r="I1303">
        <f>[2]TongHop!I1303</f>
        <v>0</v>
      </c>
      <c r="J1303">
        <f>[2]TongHop!J1303</f>
        <v>0</v>
      </c>
      <c r="K1303">
        <f>[2]TongHop!K1303</f>
        <v>0</v>
      </c>
      <c r="L1303">
        <f>[2]TongHop!L1303</f>
        <v>0</v>
      </c>
      <c r="M1303">
        <f>[2]TongHop!M1303</f>
        <v>0</v>
      </c>
      <c r="N1303">
        <f>[2]TongHop!N1303</f>
        <v>0</v>
      </c>
    </row>
    <row r="1304" spans="1:14">
      <c r="A1304">
        <f>[2]TongHop!A1304</f>
        <v>0</v>
      </c>
      <c r="B1304">
        <f>[2]TongHop!B1304</f>
        <v>0</v>
      </c>
      <c r="C1304">
        <f>[2]TongHop!C1304</f>
        <v>0</v>
      </c>
      <c r="D1304">
        <f>[2]TongHop!D1304</f>
        <v>0</v>
      </c>
      <c r="E1304">
        <f>[2]TongHop!E1304</f>
        <v>0</v>
      </c>
      <c r="F1304">
        <f>[2]TongHop!F1304</f>
        <v>0</v>
      </c>
      <c r="G1304">
        <f>[2]TongHop!G1304</f>
        <v>0</v>
      </c>
      <c r="H1304">
        <f>[2]TongHop!H1304</f>
        <v>0</v>
      </c>
      <c r="I1304">
        <f>[2]TongHop!I1304</f>
        <v>0</v>
      </c>
      <c r="J1304">
        <f>[2]TongHop!J1304</f>
        <v>0</v>
      </c>
      <c r="K1304">
        <f>[2]TongHop!K1304</f>
        <v>0</v>
      </c>
      <c r="L1304">
        <f>[2]TongHop!L1304</f>
        <v>0</v>
      </c>
      <c r="M1304">
        <f>[2]TongHop!M1304</f>
        <v>0</v>
      </c>
      <c r="N1304">
        <f>[2]TongHop!N1304</f>
        <v>0</v>
      </c>
    </row>
    <row r="1305" spans="1:14">
      <c r="A1305">
        <f>[2]TongHop!A1305</f>
        <v>0</v>
      </c>
      <c r="B1305">
        <f>[2]TongHop!B1305</f>
        <v>0</v>
      </c>
      <c r="C1305">
        <f>[2]TongHop!C1305</f>
        <v>0</v>
      </c>
      <c r="D1305">
        <f>[2]TongHop!D1305</f>
        <v>0</v>
      </c>
      <c r="E1305">
        <f>[2]TongHop!E1305</f>
        <v>0</v>
      </c>
      <c r="F1305">
        <f>[2]TongHop!F1305</f>
        <v>0</v>
      </c>
      <c r="G1305">
        <f>[2]TongHop!G1305</f>
        <v>0</v>
      </c>
      <c r="H1305">
        <f>[2]TongHop!H1305</f>
        <v>0</v>
      </c>
      <c r="I1305">
        <f>[2]TongHop!I1305</f>
        <v>0</v>
      </c>
      <c r="J1305">
        <f>[2]TongHop!J1305</f>
        <v>0</v>
      </c>
      <c r="K1305">
        <f>[2]TongHop!K1305</f>
        <v>0</v>
      </c>
      <c r="L1305">
        <f>[2]TongHop!L1305</f>
        <v>0</v>
      </c>
      <c r="M1305">
        <f>[2]TongHop!M1305</f>
        <v>0</v>
      </c>
      <c r="N1305">
        <f>[2]TongHop!N1305</f>
        <v>0</v>
      </c>
    </row>
    <row r="1306" spans="1:14">
      <c r="A1306">
        <f>[2]TongHop!A1306</f>
        <v>0</v>
      </c>
      <c r="B1306">
        <f>[2]TongHop!B1306</f>
        <v>0</v>
      </c>
      <c r="C1306">
        <f>[2]TongHop!C1306</f>
        <v>0</v>
      </c>
      <c r="D1306">
        <f>[2]TongHop!D1306</f>
        <v>0</v>
      </c>
      <c r="E1306">
        <f>[2]TongHop!E1306</f>
        <v>0</v>
      </c>
      <c r="F1306">
        <f>[2]TongHop!F1306</f>
        <v>0</v>
      </c>
      <c r="G1306">
        <f>[2]TongHop!G1306</f>
        <v>0</v>
      </c>
      <c r="H1306">
        <f>[2]TongHop!H1306</f>
        <v>0</v>
      </c>
      <c r="I1306">
        <f>[2]TongHop!I1306</f>
        <v>0</v>
      </c>
      <c r="J1306">
        <f>[2]TongHop!J1306</f>
        <v>0</v>
      </c>
      <c r="K1306">
        <f>[2]TongHop!K1306</f>
        <v>0</v>
      </c>
      <c r="L1306">
        <f>[2]TongHop!L1306</f>
        <v>0</v>
      </c>
      <c r="M1306">
        <f>[2]TongHop!M1306</f>
        <v>0</v>
      </c>
      <c r="N1306">
        <f>[2]TongHop!N1306</f>
        <v>0</v>
      </c>
    </row>
    <row r="1307" spans="1:14">
      <c r="A1307">
        <f>[2]TongHop!A1307</f>
        <v>0</v>
      </c>
      <c r="B1307">
        <f>[2]TongHop!B1307</f>
        <v>0</v>
      </c>
      <c r="C1307">
        <f>[2]TongHop!C1307</f>
        <v>0</v>
      </c>
      <c r="D1307">
        <f>[2]TongHop!D1307</f>
        <v>0</v>
      </c>
      <c r="E1307">
        <f>[2]TongHop!E1307</f>
        <v>0</v>
      </c>
      <c r="F1307">
        <f>[2]TongHop!F1307</f>
        <v>0</v>
      </c>
      <c r="G1307">
        <f>[2]TongHop!G1307</f>
        <v>0</v>
      </c>
      <c r="H1307">
        <f>[2]TongHop!H1307</f>
        <v>0</v>
      </c>
      <c r="I1307">
        <f>[2]TongHop!I1307</f>
        <v>0</v>
      </c>
      <c r="J1307">
        <f>[2]TongHop!J1307</f>
        <v>0</v>
      </c>
      <c r="K1307">
        <f>[2]TongHop!K1307</f>
        <v>0</v>
      </c>
      <c r="L1307">
        <f>[2]TongHop!L1307</f>
        <v>0</v>
      </c>
      <c r="M1307">
        <f>[2]TongHop!M1307</f>
        <v>0</v>
      </c>
      <c r="N1307">
        <f>[2]TongHop!N1307</f>
        <v>0</v>
      </c>
    </row>
    <row r="1308" spans="1:14">
      <c r="A1308">
        <f>[2]TongHop!A1308</f>
        <v>0</v>
      </c>
      <c r="B1308">
        <f>[2]TongHop!B1308</f>
        <v>0</v>
      </c>
      <c r="C1308">
        <f>[2]TongHop!C1308</f>
        <v>0</v>
      </c>
      <c r="D1308">
        <f>[2]TongHop!D1308</f>
        <v>0</v>
      </c>
      <c r="E1308">
        <f>[2]TongHop!E1308</f>
        <v>0</v>
      </c>
      <c r="F1308">
        <f>[2]TongHop!F1308</f>
        <v>0</v>
      </c>
      <c r="G1308">
        <f>[2]TongHop!G1308</f>
        <v>0</v>
      </c>
      <c r="H1308">
        <f>[2]TongHop!H1308</f>
        <v>0</v>
      </c>
      <c r="I1308">
        <f>[2]TongHop!I1308</f>
        <v>0</v>
      </c>
      <c r="J1308">
        <f>[2]TongHop!J1308</f>
        <v>0</v>
      </c>
      <c r="K1308">
        <f>[2]TongHop!K1308</f>
        <v>0</v>
      </c>
      <c r="L1308">
        <f>[2]TongHop!L1308</f>
        <v>0</v>
      </c>
      <c r="M1308">
        <f>[2]TongHop!M1308</f>
        <v>0</v>
      </c>
      <c r="N1308">
        <f>[2]TongHop!N1308</f>
        <v>0</v>
      </c>
    </row>
    <row r="1309" spans="1:14">
      <c r="A1309">
        <f>[2]TongHop!A1309</f>
        <v>0</v>
      </c>
      <c r="B1309">
        <f>[2]TongHop!B1309</f>
        <v>0</v>
      </c>
      <c r="C1309">
        <f>[2]TongHop!C1309</f>
        <v>0</v>
      </c>
      <c r="D1309">
        <f>[2]TongHop!D1309</f>
        <v>0</v>
      </c>
      <c r="E1309">
        <f>[2]TongHop!E1309</f>
        <v>0</v>
      </c>
      <c r="F1309">
        <f>[2]TongHop!F1309</f>
        <v>0</v>
      </c>
      <c r="G1309">
        <f>[2]TongHop!G1309</f>
        <v>0</v>
      </c>
      <c r="H1309">
        <f>[2]TongHop!H1309</f>
        <v>0</v>
      </c>
      <c r="I1309">
        <f>[2]TongHop!I1309</f>
        <v>0</v>
      </c>
      <c r="J1309">
        <f>[2]TongHop!J1309</f>
        <v>0</v>
      </c>
      <c r="K1309">
        <f>[2]TongHop!K1309</f>
        <v>0</v>
      </c>
      <c r="L1309">
        <f>[2]TongHop!L1309</f>
        <v>0</v>
      </c>
      <c r="M1309">
        <f>[2]TongHop!M1309</f>
        <v>0</v>
      </c>
      <c r="N1309">
        <f>[2]TongHop!N1309</f>
        <v>0</v>
      </c>
    </row>
    <row r="1310" spans="1:14">
      <c r="A1310">
        <f>[2]TongHop!A1310</f>
        <v>0</v>
      </c>
      <c r="B1310">
        <f>[2]TongHop!B1310</f>
        <v>0</v>
      </c>
      <c r="C1310">
        <f>[2]TongHop!C1310</f>
        <v>0</v>
      </c>
      <c r="D1310">
        <f>[2]TongHop!D1310</f>
        <v>0</v>
      </c>
      <c r="E1310">
        <f>[2]TongHop!E1310</f>
        <v>0</v>
      </c>
      <c r="F1310">
        <f>[2]TongHop!F1310</f>
        <v>0</v>
      </c>
      <c r="G1310">
        <f>[2]TongHop!G1310</f>
        <v>0</v>
      </c>
      <c r="H1310">
        <f>[2]TongHop!H1310</f>
        <v>0</v>
      </c>
      <c r="I1310">
        <f>[2]TongHop!I1310</f>
        <v>0</v>
      </c>
      <c r="J1310">
        <f>[2]TongHop!J1310</f>
        <v>0</v>
      </c>
      <c r="K1310">
        <f>[2]TongHop!K1310</f>
        <v>0</v>
      </c>
      <c r="L1310">
        <f>[2]TongHop!L1310</f>
        <v>0</v>
      </c>
      <c r="M1310">
        <f>[2]TongHop!M1310</f>
        <v>0</v>
      </c>
      <c r="N1310">
        <f>[2]TongHop!N1310</f>
        <v>0</v>
      </c>
    </row>
    <row r="1311" spans="1:14">
      <c r="A1311">
        <f>[2]TongHop!A1311</f>
        <v>0</v>
      </c>
      <c r="B1311">
        <f>[2]TongHop!B1311</f>
        <v>0</v>
      </c>
      <c r="C1311">
        <f>[2]TongHop!C1311</f>
        <v>0</v>
      </c>
      <c r="D1311">
        <f>[2]TongHop!D1311</f>
        <v>0</v>
      </c>
      <c r="E1311">
        <f>[2]TongHop!E1311</f>
        <v>0</v>
      </c>
      <c r="F1311">
        <f>[2]TongHop!F1311</f>
        <v>0</v>
      </c>
      <c r="G1311">
        <f>[2]TongHop!G1311</f>
        <v>0</v>
      </c>
      <c r="H1311">
        <f>[2]TongHop!H1311</f>
        <v>0</v>
      </c>
      <c r="I1311">
        <f>[2]TongHop!I1311</f>
        <v>0</v>
      </c>
      <c r="J1311">
        <f>[2]TongHop!J1311</f>
        <v>0</v>
      </c>
      <c r="K1311">
        <f>[2]TongHop!K1311</f>
        <v>0</v>
      </c>
      <c r="L1311">
        <f>[2]TongHop!L1311</f>
        <v>0</v>
      </c>
      <c r="M1311">
        <f>[2]TongHop!M1311</f>
        <v>0</v>
      </c>
      <c r="N1311">
        <f>[2]TongHop!N1311</f>
        <v>0</v>
      </c>
    </row>
    <row r="1312" spans="1:14">
      <c r="A1312">
        <f>[2]TongHop!A1312</f>
        <v>0</v>
      </c>
      <c r="B1312">
        <f>[2]TongHop!B1312</f>
        <v>0</v>
      </c>
      <c r="C1312">
        <f>[2]TongHop!C1312</f>
        <v>0</v>
      </c>
      <c r="D1312">
        <f>[2]TongHop!D1312</f>
        <v>0</v>
      </c>
      <c r="E1312">
        <f>[2]TongHop!E1312</f>
        <v>0</v>
      </c>
      <c r="F1312">
        <f>[2]TongHop!F1312</f>
        <v>0</v>
      </c>
      <c r="G1312">
        <f>[2]TongHop!G1312</f>
        <v>0</v>
      </c>
      <c r="H1312">
        <f>[2]TongHop!H1312</f>
        <v>0</v>
      </c>
      <c r="I1312">
        <f>[2]TongHop!I1312</f>
        <v>0</v>
      </c>
      <c r="J1312">
        <f>[2]TongHop!J1312</f>
        <v>0</v>
      </c>
      <c r="K1312">
        <f>[2]TongHop!K1312</f>
        <v>0</v>
      </c>
      <c r="L1312">
        <f>[2]TongHop!L1312</f>
        <v>0</v>
      </c>
      <c r="M1312">
        <f>[2]TongHop!M1312</f>
        <v>0</v>
      </c>
      <c r="N1312">
        <f>[2]TongHop!N1312</f>
        <v>0</v>
      </c>
    </row>
    <row r="1313" spans="1:14">
      <c r="A1313">
        <f>[2]TongHop!A1313</f>
        <v>0</v>
      </c>
      <c r="B1313">
        <f>[2]TongHop!B1313</f>
        <v>0</v>
      </c>
      <c r="C1313">
        <f>[2]TongHop!C1313</f>
        <v>0</v>
      </c>
      <c r="D1313">
        <f>[2]TongHop!D1313</f>
        <v>0</v>
      </c>
      <c r="E1313">
        <f>[2]TongHop!E1313</f>
        <v>0</v>
      </c>
      <c r="F1313">
        <f>[2]TongHop!F1313</f>
        <v>0</v>
      </c>
      <c r="G1313">
        <f>[2]TongHop!G1313</f>
        <v>0</v>
      </c>
      <c r="H1313">
        <f>[2]TongHop!H1313</f>
        <v>0</v>
      </c>
      <c r="I1313">
        <f>[2]TongHop!I1313</f>
        <v>0</v>
      </c>
      <c r="J1313">
        <f>[2]TongHop!J1313</f>
        <v>0</v>
      </c>
      <c r="K1313">
        <f>[2]TongHop!K1313</f>
        <v>0</v>
      </c>
      <c r="L1313">
        <f>[2]TongHop!L1313</f>
        <v>0</v>
      </c>
      <c r="M1313">
        <f>[2]TongHop!M1313</f>
        <v>0</v>
      </c>
      <c r="N1313">
        <f>[2]TongHop!N1313</f>
        <v>0</v>
      </c>
    </row>
    <row r="1314" spans="1:14">
      <c r="A1314">
        <f>[2]TongHop!A1314</f>
        <v>0</v>
      </c>
      <c r="B1314">
        <f>[2]TongHop!B1314</f>
        <v>0</v>
      </c>
      <c r="C1314">
        <f>[2]TongHop!C1314</f>
        <v>0</v>
      </c>
      <c r="D1314">
        <f>[2]TongHop!D1314</f>
        <v>0</v>
      </c>
      <c r="E1314">
        <f>[2]TongHop!E1314</f>
        <v>0</v>
      </c>
      <c r="F1314">
        <f>[2]TongHop!F1314</f>
        <v>0</v>
      </c>
      <c r="G1314">
        <f>[2]TongHop!G1314</f>
        <v>0</v>
      </c>
      <c r="H1314">
        <f>[2]TongHop!H1314</f>
        <v>0</v>
      </c>
      <c r="I1314">
        <f>[2]TongHop!I1314</f>
        <v>0</v>
      </c>
      <c r="J1314">
        <f>[2]TongHop!J1314</f>
        <v>0</v>
      </c>
      <c r="K1314">
        <f>[2]TongHop!K1314</f>
        <v>0</v>
      </c>
      <c r="L1314">
        <f>[2]TongHop!L1314</f>
        <v>0</v>
      </c>
      <c r="M1314">
        <f>[2]TongHop!M1314</f>
        <v>0</v>
      </c>
      <c r="N1314">
        <f>[2]TongHop!N1314</f>
        <v>0</v>
      </c>
    </row>
    <row r="1315" spans="1:14">
      <c r="A1315">
        <f>[2]TongHop!A1315</f>
        <v>0</v>
      </c>
      <c r="B1315">
        <f>[2]TongHop!B1315</f>
        <v>0</v>
      </c>
      <c r="C1315">
        <f>[2]TongHop!C1315</f>
        <v>0</v>
      </c>
      <c r="D1315">
        <f>[2]TongHop!D1315</f>
        <v>0</v>
      </c>
      <c r="E1315">
        <f>[2]TongHop!E1315</f>
        <v>0</v>
      </c>
      <c r="F1315">
        <f>[2]TongHop!F1315</f>
        <v>0</v>
      </c>
      <c r="G1315">
        <f>[2]TongHop!G1315</f>
        <v>0</v>
      </c>
      <c r="H1315">
        <f>[2]TongHop!H1315</f>
        <v>0</v>
      </c>
      <c r="I1315">
        <f>[2]TongHop!I1315</f>
        <v>0</v>
      </c>
      <c r="J1315">
        <f>[2]TongHop!J1315</f>
        <v>0</v>
      </c>
      <c r="K1315">
        <f>[2]TongHop!K1315</f>
        <v>0</v>
      </c>
      <c r="L1315">
        <f>[2]TongHop!L1315</f>
        <v>0</v>
      </c>
      <c r="M1315">
        <f>[2]TongHop!M1315</f>
        <v>0</v>
      </c>
      <c r="N1315">
        <f>[2]TongHop!N1315</f>
        <v>0</v>
      </c>
    </row>
    <row r="1316" spans="1:14">
      <c r="A1316">
        <f>[2]TongHop!A1316</f>
        <v>0</v>
      </c>
      <c r="B1316">
        <f>[2]TongHop!B1316</f>
        <v>0</v>
      </c>
      <c r="C1316">
        <f>[2]TongHop!C1316</f>
        <v>0</v>
      </c>
      <c r="D1316">
        <f>[2]TongHop!D1316</f>
        <v>0</v>
      </c>
      <c r="E1316">
        <f>[2]TongHop!E1316</f>
        <v>0</v>
      </c>
      <c r="F1316">
        <f>[2]TongHop!F1316</f>
        <v>0</v>
      </c>
      <c r="G1316">
        <f>[2]TongHop!G1316</f>
        <v>0</v>
      </c>
      <c r="H1316">
        <f>[2]TongHop!H1316</f>
        <v>0</v>
      </c>
      <c r="I1316">
        <f>[2]TongHop!I1316</f>
        <v>0</v>
      </c>
      <c r="J1316">
        <f>[2]TongHop!J1316</f>
        <v>0</v>
      </c>
      <c r="K1316">
        <f>[2]TongHop!K1316</f>
        <v>0</v>
      </c>
      <c r="L1316">
        <f>[2]TongHop!L1316</f>
        <v>0</v>
      </c>
      <c r="M1316">
        <f>[2]TongHop!M1316</f>
        <v>0</v>
      </c>
      <c r="N1316">
        <f>[2]TongHop!N1316</f>
        <v>0</v>
      </c>
    </row>
    <row r="1317" spans="1:14">
      <c r="A1317">
        <f>[2]TongHop!A1317</f>
        <v>0</v>
      </c>
      <c r="B1317">
        <f>[2]TongHop!B1317</f>
        <v>0</v>
      </c>
      <c r="C1317">
        <f>[2]TongHop!C1317</f>
        <v>0</v>
      </c>
      <c r="D1317">
        <f>[2]TongHop!D1317</f>
        <v>0</v>
      </c>
      <c r="E1317">
        <f>[2]TongHop!E1317</f>
        <v>0</v>
      </c>
      <c r="F1317">
        <f>[2]TongHop!F1317</f>
        <v>0</v>
      </c>
      <c r="G1317">
        <f>[2]TongHop!G1317</f>
        <v>0</v>
      </c>
      <c r="H1317">
        <f>[2]TongHop!H1317</f>
        <v>0</v>
      </c>
      <c r="I1317">
        <f>[2]TongHop!I1317</f>
        <v>0</v>
      </c>
      <c r="J1317">
        <f>[2]TongHop!J1317</f>
        <v>0</v>
      </c>
      <c r="K1317">
        <f>[2]TongHop!K1317</f>
        <v>0</v>
      </c>
      <c r="L1317">
        <f>[2]TongHop!L1317</f>
        <v>0</v>
      </c>
      <c r="M1317">
        <f>[2]TongHop!M1317</f>
        <v>0</v>
      </c>
      <c r="N1317">
        <f>[2]TongHop!N1317</f>
        <v>0</v>
      </c>
    </row>
    <row r="1318" spans="1:14">
      <c r="A1318">
        <f>[2]TongHop!A1318</f>
        <v>0</v>
      </c>
      <c r="B1318">
        <f>[2]TongHop!B1318</f>
        <v>0</v>
      </c>
      <c r="C1318">
        <f>[2]TongHop!C1318</f>
        <v>0</v>
      </c>
      <c r="D1318">
        <f>[2]TongHop!D1318</f>
        <v>0</v>
      </c>
      <c r="E1318">
        <f>[2]TongHop!E1318</f>
        <v>0</v>
      </c>
      <c r="F1318">
        <f>[2]TongHop!F1318</f>
        <v>0</v>
      </c>
      <c r="G1318">
        <f>[2]TongHop!G1318</f>
        <v>0</v>
      </c>
      <c r="H1318">
        <f>[2]TongHop!H1318</f>
        <v>0</v>
      </c>
      <c r="I1318">
        <f>[2]TongHop!I1318</f>
        <v>0</v>
      </c>
      <c r="J1318">
        <f>[2]TongHop!J1318</f>
        <v>0</v>
      </c>
      <c r="K1318">
        <f>[2]TongHop!K1318</f>
        <v>0</v>
      </c>
      <c r="L1318">
        <f>[2]TongHop!L1318</f>
        <v>0</v>
      </c>
      <c r="M1318">
        <f>[2]TongHop!M1318</f>
        <v>0</v>
      </c>
      <c r="N1318">
        <f>[2]TongHop!N1318</f>
        <v>0</v>
      </c>
    </row>
    <row r="1319" spans="1:14">
      <c r="A1319">
        <f>[2]TongHop!A1319</f>
        <v>0</v>
      </c>
      <c r="B1319">
        <f>[2]TongHop!B1319</f>
        <v>0</v>
      </c>
      <c r="C1319">
        <f>[2]TongHop!C1319</f>
        <v>0</v>
      </c>
      <c r="D1319">
        <f>[2]TongHop!D1319</f>
        <v>0</v>
      </c>
      <c r="E1319">
        <f>[2]TongHop!E1319</f>
        <v>0</v>
      </c>
      <c r="F1319">
        <f>[2]TongHop!F1319</f>
        <v>0</v>
      </c>
      <c r="G1319">
        <f>[2]TongHop!G1319</f>
        <v>0</v>
      </c>
      <c r="H1319">
        <f>[2]TongHop!H1319</f>
        <v>0</v>
      </c>
      <c r="I1319">
        <f>[2]TongHop!I1319</f>
        <v>0</v>
      </c>
      <c r="J1319">
        <f>[2]TongHop!J1319</f>
        <v>0</v>
      </c>
      <c r="K1319">
        <f>[2]TongHop!K1319</f>
        <v>0</v>
      </c>
      <c r="L1319">
        <f>[2]TongHop!L1319</f>
        <v>0</v>
      </c>
      <c r="M1319">
        <f>[2]TongHop!M1319</f>
        <v>0</v>
      </c>
      <c r="N1319">
        <f>[2]TongHop!N1319</f>
        <v>0</v>
      </c>
    </row>
    <row r="1320" spans="1:14">
      <c r="A1320">
        <f>[2]TongHop!A1320</f>
        <v>0</v>
      </c>
      <c r="B1320">
        <f>[2]TongHop!B1320</f>
        <v>0</v>
      </c>
      <c r="C1320">
        <f>[2]TongHop!C1320</f>
        <v>0</v>
      </c>
      <c r="D1320">
        <f>[2]TongHop!D1320</f>
        <v>0</v>
      </c>
      <c r="E1320">
        <f>[2]TongHop!E1320</f>
        <v>0</v>
      </c>
      <c r="F1320">
        <f>[2]TongHop!F1320</f>
        <v>0</v>
      </c>
      <c r="G1320">
        <f>[2]TongHop!G1320</f>
        <v>0</v>
      </c>
      <c r="H1320">
        <f>[2]TongHop!H1320</f>
        <v>0</v>
      </c>
      <c r="I1320">
        <f>[2]TongHop!I1320</f>
        <v>0</v>
      </c>
      <c r="J1320">
        <f>[2]TongHop!J1320</f>
        <v>0</v>
      </c>
      <c r="K1320">
        <f>[2]TongHop!K1320</f>
        <v>0</v>
      </c>
      <c r="L1320">
        <f>[2]TongHop!L1320</f>
        <v>0</v>
      </c>
      <c r="M1320">
        <f>[2]TongHop!M1320</f>
        <v>0</v>
      </c>
      <c r="N1320">
        <f>[2]TongHop!N1320</f>
        <v>0</v>
      </c>
    </row>
    <row r="1321" spans="1:14">
      <c r="A1321">
        <f>[2]TongHop!A1321</f>
        <v>0</v>
      </c>
      <c r="B1321">
        <f>[2]TongHop!B1321</f>
        <v>0</v>
      </c>
      <c r="C1321">
        <f>[2]TongHop!C1321</f>
        <v>0</v>
      </c>
      <c r="D1321">
        <f>[2]TongHop!D1321</f>
        <v>0</v>
      </c>
      <c r="E1321">
        <f>[2]TongHop!E1321</f>
        <v>0</v>
      </c>
      <c r="F1321">
        <f>[2]TongHop!F1321</f>
        <v>0</v>
      </c>
      <c r="G1321">
        <f>[2]TongHop!G1321</f>
        <v>0</v>
      </c>
      <c r="H1321">
        <f>[2]TongHop!H1321</f>
        <v>0</v>
      </c>
      <c r="I1321">
        <f>[2]TongHop!I1321</f>
        <v>0</v>
      </c>
      <c r="J1321">
        <f>[2]TongHop!J1321</f>
        <v>0</v>
      </c>
      <c r="K1321">
        <f>[2]TongHop!K1321</f>
        <v>0</v>
      </c>
      <c r="L1321">
        <f>[2]TongHop!L1321</f>
        <v>0</v>
      </c>
      <c r="M1321">
        <f>[2]TongHop!M1321</f>
        <v>0</v>
      </c>
      <c r="N1321">
        <f>[2]TongHop!N1321</f>
        <v>0</v>
      </c>
    </row>
    <row r="1322" spans="1:14">
      <c r="A1322">
        <f>[2]TongHop!A1322</f>
        <v>0</v>
      </c>
      <c r="B1322">
        <f>[2]TongHop!B1322</f>
        <v>0</v>
      </c>
      <c r="C1322">
        <f>[2]TongHop!C1322</f>
        <v>0</v>
      </c>
      <c r="D1322">
        <f>[2]TongHop!D1322</f>
        <v>0</v>
      </c>
      <c r="E1322">
        <f>[2]TongHop!E1322</f>
        <v>0</v>
      </c>
      <c r="F1322">
        <f>[2]TongHop!F1322</f>
        <v>0</v>
      </c>
      <c r="G1322">
        <f>[2]TongHop!G1322</f>
        <v>0</v>
      </c>
      <c r="H1322">
        <f>[2]TongHop!H1322</f>
        <v>0</v>
      </c>
      <c r="I1322">
        <f>[2]TongHop!I1322</f>
        <v>0</v>
      </c>
      <c r="J1322">
        <f>[2]TongHop!J1322</f>
        <v>0</v>
      </c>
      <c r="K1322">
        <f>[2]TongHop!K1322</f>
        <v>0</v>
      </c>
      <c r="L1322">
        <f>[2]TongHop!L1322</f>
        <v>0</v>
      </c>
      <c r="M1322">
        <f>[2]TongHop!M1322</f>
        <v>0</v>
      </c>
      <c r="N1322">
        <f>[2]TongHop!N1322</f>
        <v>0</v>
      </c>
    </row>
    <row r="1323" spans="1:14">
      <c r="A1323">
        <f>[2]TongHop!A1323</f>
        <v>0</v>
      </c>
      <c r="B1323">
        <f>[2]TongHop!B1323</f>
        <v>0</v>
      </c>
      <c r="C1323">
        <f>[2]TongHop!C1323</f>
        <v>0</v>
      </c>
      <c r="D1323">
        <f>[2]TongHop!D1323</f>
        <v>0</v>
      </c>
      <c r="E1323">
        <f>[2]TongHop!E1323</f>
        <v>0</v>
      </c>
      <c r="F1323">
        <f>[2]TongHop!F1323</f>
        <v>0</v>
      </c>
      <c r="G1323">
        <f>[2]TongHop!G1323</f>
        <v>0</v>
      </c>
      <c r="H1323">
        <f>[2]TongHop!H1323</f>
        <v>0</v>
      </c>
      <c r="I1323">
        <f>[2]TongHop!I1323</f>
        <v>0</v>
      </c>
      <c r="J1323">
        <f>[2]TongHop!J1323</f>
        <v>0</v>
      </c>
      <c r="K1323">
        <f>[2]TongHop!K1323</f>
        <v>0</v>
      </c>
      <c r="L1323">
        <f>[2]TongHop!L1323</f>
        <v>0</v>
      </c>
      <c r="M1323">
        <f>[2]TongHop!M1323</f>
        <v>0</v>
      </c>
      <c r="N1323">
        <f>[2]TongHop!N1323</f>
        <v>0</v>
      </c>
    </row>
    <row r="1324" spans="1:14">
      <c r="A1324">
        <f>[2]TongHop!A1324</f>
        <v>0</v>
      </c>
      <c r="B1324">
        <f>[2]TongHop!B1324</f>
        <v>0</v>
      </c>
      <c r="C1324">
        <f>[2]TongHop!C1324</f>
        <v>0</v>
      </c>
      <c r="D1324">
        <f>[2]TongHop!D1324</f>
        <v>0</v>
      </c>
      <c r="E1324">
        <f>[2]TongHop!E1324</f>
        <v>0</v>
      </c>
      <c r="F1324">
        <f>[2]TongHop!F1324</f>
        <v>0</v>
      </c>
      <c r="G1324">
        <f>[2]TongHop!G1324</f>
        <v>0</v>
      </c>
      <c r="H1324">
        <f>[2]TongHop!H1324</f>
        <v>0</v>
      </c>
      <c r="I1324">
        <f>[2]TongHop!I1324</f>
        <v>0</v>
      </c>
      <c r="J1324">
        <f>[2]TongHop!J1324</f>
        <v>0</v>
      </c>
      <c r="K1324">
        <f>[2]TongHop!K1324</f>
        <v>0</v>
      </c>
      <c r="L1324">
        <f>[2]TongHop!L1324</f>
        <v>0</v>
      </c>
      <c r="M1324">
        <f>[2]TongHop!M1324</f>
        <v>0</v>
      </c>
      <c r="N1324">
        <f>[2]TongHop!N1324</f>
        <v>0</v>
      </c>
    </row>
    <row r="1325" spans="1:14">
      <c r="A1325">
        <f>[2]TongHop!A1325</f>
        <v>0</v>
      </c>
      <c r="B1325">
        <f>[2]TongHop!B1325</f>
        <v>0</v>
      </c>
      <c r="C1325">
        <f>[2]TongHop!C1325</f>
        <v>0</v>
      </c>
      <c r="D1325">
        <f>[2]TongHop!D1325</f>
        <v>0</v>
      </c>
      <c r="E1325">
        <f>[2]TongHop!E1325</f>
        <v>0</v>
      </c>
      <c r="F1325">
        <f>[2]TongHop!F1325</f>
        <v>0</v>
      </c>
      <c r="G1325">
        <f>[2]TongHop!G1325</f>
        <v>0</v>
      </c>
      <c r="H1325">
        <f>[2]TongHop!H1325</f>
        <v>0</v>
      </c>
      <c r="I1325">
        <f>[2]TongHop!I1325</f>
        <v>0</v>
      </c>
      <c r="J1325">
        <f>[2]TongHop!J1325</f>
        <v>0</v>
      </c>
      <c r="K1325">
        <f>[2]TongHop!K1325</f>
        <v>0</v>
      </c>
      <c r="L1325">
        <f>[2]TongHop!L1325</f>
        <v>0</v>
      </c>
      <c r="M1325">
        <f>[2]TongHop!M1325</f>
        <v>0</v>
      </c>
      <c r="N1325">
        <f>[2]TongHop!N1325</f>
        <v>0</v>
      </c>
    </row>
    <row r="1326" spans="1:14">
      <c r="A1326">
        <f>[2]TongHop!A1326</f>
        <v>0</v>
      </c>
      <c r="B1326">
        <f>[2]TongHop!B1326</f>
        <v>0</v>
      </c>
      <c r="C1326">
        <f>[2]TongHop!C1326</f>
        <v>0</v>
      </c>
      <c r="D1326">
        <f>[2]TongHop!D1326</f>
        <v>0</v>
      </c>
      <c r="E1326">
        <f>[2]TongHop!E1326</f>
        <v>0</v>
      </c>
      <c r="F1326">
        <f>[2]TongHop!F1326</f>
        <v>0</v>
      </c>
      <c r="G1326">
        <f>[2]TongHop!G1326</f>
        <v>0</v>
      </c>
      <c r="H1326">
        <f>[2]TongHop!H1326</f>
        <v>0</v>
      </c>
      <c r="I1326">
        <f>[2]TongHop!I1326</f>
        <v>0</v>
      </c>
      <c r="J1326">
        <f>[2]TongHop!J1326</f>
        <v>0</v>
      </c>
      <c r="K1326">
        <f>[2]TongHop!K1326</f>
        <v>0</v>
      </c>
      <c r="L1326">
        <f>[2]TongHop!L1326</f>
        <v>0</v>
      </c>
      <c r="M1326">
        <f>[2]TongHop!M1326</f>
        <v>0</v>
      </c>
      <c r="N1326">
        <f>[2]TongHop!N1326</f>
        <v>0</v>
      </c>
    </row>
    <row r="1327" spans="1:14">
      <c r="A1327">
        <f>[2]TongHop!A1327</f>
        <v>0</v>
      </c>
      <c r="B1327">
        <f>[2]TongHop!B1327</f>
        <v>0</v>
      </c>
      <c r="C1327">
        <f>[2]TongHop!C1327</f>
        <v>0</v>
      </c>
      <c r="D1327">
        <f>[2]TongHop!D1327</f>
        <v>0</v>
      </c>
      <c r="E1327">
        <f>[2]TongHop!E1327</f>
        <v>0</v>
      </c>
      <c r="F1327">
        <f>[2]TongHop!F1327</f>
        <v>0</v>
      </c>
      <c r="G1327">
        <f>[2]TongHop!G1327</f>
        <v>0</v>
      </c>
      <c r="H1327">
        <f>[2]TongHop!H1327</f>
        <v>0</v>
      </c>
      <c r="I1327">
        <f>[2]TongHop!I1327</f>
        <v>0</v>
      </c>
      <c r="J1327">
        <f>[2]TongHop!J1327</f>
        <v>0</v>
      </c>
      <c r="K1327">
        <f>[2]TongHop!K1327</f>
        <v>0</v>
      </c>
      <c r="L1327">
        <f>[2]TongHop!L1327</f>
        <v>0</v>
      </c>
      <c r="M1327">
        <f>[2]TongHop!M1327</f>
        <v>0</v>
      </c>
      <c r="N1327">
        <f>[2]TongHop!N1327</f>
        <v>0</v>
      </c>
    </row>
    <row r="1328" spans="1:14">
      <c r="A1328">
        <f>[2]TongHop!A1328</f>
        <v>0</v>
      </c>
      <c r="B1328">
        <f>[2]TongHop!B1328</f>
        <v>0</v>
      </c>
      <c r="C1328">
        <f>[2]TongHop!C1328</f>
        <v>0</v>
      </c>
      <c r="D1328">
        <f>[2]TongHop!D1328</f>
        <v>0</v>
      </c>
      <c r="E1328">
        <f>[2]TongHop!E1328</f>
        <v>0</v>
      </c>
      <c r="F1328">
        <f>[2]TongHop!F1328</f>
        <v>0</v>
      </c>
      <c r="G1328">
        <f>[2]TongHop!G1328</f>
        <v>0</v>
      </c>
      <c r="H1328">
        <f>[2]TongHop!H1328</f>
        <v>0</v>
      </c>
      <c r="I1328">
        <f>[2]TongHop!I1328</f>
        <v>0</v>
      </c>
      <c r="J1328">
        <f>[2]TongHop!J1328</f>
        <v>0</v>
      </c>
      <c r="K1328">
        <f>[2]TongHop!K1328</f>
        <v>0</v>
      </c>
      <c r="L1328">
        <f>[2]TongHop!L1328</f>
        <v>0</v>
      </c>
      <c r="M1328">
        <f>[2]TongHop!M1328</f>
        <v>0</v>
      </c>
      <c r="N1328">
        <f>[2]TongHop!N1328</f>
        <v>0</v>
      </c>
    </row>
    <row r="1329" spans="1:14">
      <c r="A1329">
        <f>[2]TongHop!A1329</f>
        <v>0</v>
      </c>
      <c r="B1329">
        <f>[2]TongHop!B1329</f>
        <v>0</v>
      </c>
      <c r="C1329">
        <f>[2]TongHop!C1329</f>
        <v>0</v>
      </c>
      <c r="D1329">
        <f>[2]TongHop!D1329</f>
        <v>0</v>
      </c>
      <c r="E1329">
        <f>[2]TongHop!E1329</f>
        <v>0</v>
      </c>
      <c r="F1329">
        <f>[2]TongHop!F1329</f>
        <v>0</v>
      </c>
      <c r="G1329">
        <f>[2]TongHop!G1329</f>
        <v>0</v>
      </c>
      <c r="H1329">
        <f>[2]TongHop!H1329</f>
        <v>0</v>
      </c>
      <c r="I1329">
        <f>[2]TongHop!I1329</f>
        <v>0</v>
      </c>
      <c r="J1329">
        <f>[2]TongHop!J1329</f>
        <v>0</v>
      </c>
      <c r="K1329">
        <f>[2]TongHop!K1329</f>
        <v>0</v>
      </c>
      <c r="L1329">
        <f>[2]TongHop!L1329</f>
        <v>0</v>
      </c>
      <c r="M1329">
        <f>[2]TongHop!M1329</f>
        <v>0</v>
      </c>
      <c r="N1329">
        <f>[2]TongHop!N1329</f>
        <v>0</v>
      </c>
    </row>
    <row r="1330" spans="1:14">
      <c r="A1330">
        <f>[2]TongHop!A1330</f>
        <v>0</v>
      </c>
      <c r="B1330">
        <f>[2]TongHop!B1330</f>
        <v>0</v>
      </c>
      <c r="C1330">
        <f>[2]TongHop!C1330</f>
        <v>0</v>
      </c>
      <c r="D1330">
        <f>[2]TongHop!D1330</f>
        <v>0</v>
      </c>
      <c r="E1330">
        <f>[2]TongHop!E1330</f>
        <v>0</v>
      </c>
      <c r="F1330">
        <f>[2]TongHop!F1330</f>
        <v>0</v>
      </c>
      <c r="G1330">
        <f>[2]TongHop!G1330</f>
        <v>0</v>
      </c>
      <c r="H1330">
        <f>[2]TongHop!H1330</f>
        <v>0</v>
      </c>
      <c r="I1330">
        <f>[2]TongHop!I1330</f>
        <v>0</v>
      </c>
      <c r="J1330">
        <f>[2]TongHop!J1330</f>
        <v>0</v>
      </c>
      <c r="K1330">
        <f>[2]TongHop!K1330</f>
        <v>0</v>
      </c>
      <c r="L1330">
        <f>[2]TongHop!L1330</f>
        <v>0</v>
      </c>
      <c r="M1330">
        <f>[2]TongHop!M1330</f>
        <v>0</v>
      </c>
      <c r="N1330">
        <f>[2]TongHop!N1330</f>
        <v>0</v>
      </c>
    </row>
    <row r="1331" spans="1:14">
      <c r="A1331">
        <f>[2]TongHop!A1331</f>
        <v>0</v>
      </c>
      <c r="B1331">
        <f>[2]TongHop!B1331</f>
        <v>0</v>
      </c>
      <c r="C1331">
        <f>[2]TongHop!C1331</f>
        <v>0</v>
      </c>
      <c r="D1331">
        <f>[2]TongHop!D1331</f>
        <v>0</v>
      </c>
      <c r="E1331">
        <f>[2]TongHop!E1331</f>
        <v>0</v>
      </c>
      <c r="F1331">
        <f>[2]TongHop!F1331</f>
        <v>0</v>
      </c>
      <c r="G1331">
        <f>[2]TongHop!G1331</f>
        <v>0</v>
      </c>
      <c r="H1331">
        <f>[2]TongHop!H1331</f>
        <v>0</v>
      </c>
      <c r="I1331">
        <f>[2]TongHop!I1331</f>
        <v>0</v>
      </c>
      <c r="J1331">
        <f>[2]TongHop!J1331</f>
        <v>0</v>
      </c>
      <c r="K1331">
        <f>[2]TongHop!K1331</f>
        <v>0</v>
      </c>
      <c r="L1331">
        <f>[2]TongHop!L1331</f>
        <v>0</v>
      </c>
      <c r="M1331">
        <f>[2]TongHop!M1331</f>
        <v>0</v>
      </c>
      <c r="N1331">
        <f>[2]TongHop!N1331</f>
        <v>0</v>
      </c>
    </row>
    <row r="1332" spans="1:14">
      <c r="A1332">
        <f>[2]TongHop!A1332</f>
        <v>0</v>
      </c>
      <c r="B1332">
        <f>[2]TongHop!B1332</f>
        <v>0</v>
      </c>
      <c r="C1332">
        <f>[2]TongHop!C1332</f>
        <v>0</v>
      </c>
      <c r="D1332">
        <f>[2]TongHop!D1332</f>
        <v>0</v>
      </c>
      <c r="E1332">
        <f>[2]TongHop!E1332</f>
        <v>0</v>
      </c>
      <c r="F1332">
        <f>[2]TongHop!F1332</f>
        <v>0</v>
      </c>
      <c r="G1332">
        <f>[2]TongHop!G1332</f>
        <v>0</v>
      </c>
      <c r="H1332">
        <f>[2]TongHop!H1332</f>
        <v>0</v>
      </c>
      <c r="I1332">
        <f>[2]TongHop!I1332</f>
        <v>0</v>
      </c>
      <c r="J1332">
        <f>[2]TongHop!J1332</f>
        <v>0</v>
      </c>
      <c r="K1332">
        <f>[2]TongHop!K1332</f>
        <v>0</v>
      </c>
      <c r="L1332">
        <f>[2]TongHop!L1332</f>
        <v>0</v>
      </c>
      <c r="M1332">
        <f>[2]TongHop!M1332</f>
        <v>0</v>
      </c>
      <c r="N1332">
        <f>[2]TongHop!N1332</f>
        <v>0</v>
      </c>
    </row>
    <row r="1333" spans="1:14">
      <c r="A1333">
        <f>[2]TongHop!A1333</f>
        <v>0</v>
      </c>
      <c r="B1333">
        <f>[2]TongHop!B1333</f>
        <v>0</v>
      </c>
      <c r="C1333">
        <f>[2]TongHop!C1333</f>
        <v>0</v>
      </c>
      <c r="D1333">
        <f>[2]TongHop!D1333</f>
        <v>0</v>
      </c>
      <c r="E1333">
        <f>[2]TongHop!E1333</f>
        <v>0</v>
      </c>
      <c r="F1333">
        <f>[2]TongHop!F1333</f>
        <v>0</v>
      </c>
      <c r="G1333">
        <f>[2]TongHop!G1333</f>
        <v>0</v>
      </c>
      <c r="H1333">
        <f>[2]TongHop!H1333</f>
        <v>0</v>
      </c>
      <c r="I1333">
        <f>[2]TongHop!I1333</f>
        <v>0</v>
      </c>
      <c r="J1333">
        <f>[2]TongHop!J1333</f>
        <v>0</v>
      </c>
      <c r="K1333">
        <f>[2]TongHop!K1333</f>
        <v>0</v>
      </c>
      <c r="L1333">
        <f>[2]TongHop!L1333</f>
        <v>0</v>
      </c>
      <c r="M1333">
        <f>[2]TongHop!M1333</f>
        <v>0</v>
      </c>
      <c r="N1333">
        <f>[2]TongHop!N1333</f>
        <v>0</v>
      </c>
    </row>
    <row r="1334" spans="1:14">
      <c r="A1334">
        <f>[2]TongHop!A1334</f>
        <v>0</v>
      </c>
      <c r="B1334">
        <f>[2]TongHop!B1334</f>
        <v>0</v>
      </c>
      <c r="C1334">
        <f>[2]TongHop!C1334</f>
        <v>0</v>
      </c>
      <c r="D1334">
        <f>[2]TongHop!D1334</f>
        <v>0</v>
      </c>
      <c r="E1334">
        <f>[2]TongHop!E1334</f>
        <v>0</v>
      </c>
      <c r="F1334">
        <f>[2]TongHop!F1334</f>
        <v>0</v>
      </c>
      <c r="G1334">
        <f>[2]TongHop!G1334</f>
        <v>0</v>
      </c>
      <c r="H1334">
        <f>[2]TongHop!H1334</f>
        <v>0</v>
      </c>
      <c r="I1334">
        <f>[2]TongHop!I1334</f>
        <v>0</v>
      </c>
      <c r="J1334">
        <f>[2]TongHop!J1334</f>
        <v>0</v>
      </c>
      <c r="K1334">
        <f>[2]TongHop!K1334</f>
        <v>0</v>
      </c>
      <c r="L1334">
        <f>[2]TongHop!L1334</f>
        <v>0</v>
      </c>
      <c r="M1334">
        <f>[2]TongHop!M1334</f>
        <v>0</v>
      </c>
      <c r="N1334">
        <f>[2]TongHop!N1334</f>
        <v>0</v>
      </c>
    </row>
    <row r="1335" spans="1:14">
      <c r="A1335">
        <f>[2]TongHop!A1335</f>
        <v>0</v>
      </c>
      <c r="B1335">
        <f>[2]TongHop!B1335</f>
        <v>0</v>
      </c>
      <c r="C1335">
        <f>[2]TongHop!C1335</f>
        <v>0</v>
      </c>
      <c r="D1335">
        <f>[2]TongHop!D1335</f>
        <v>0</v>
      </c>
      <c r="E1335">
        <f>[2]TongHop!E1335</f>
        <v>0</v>
      </c>
      <c r="F1335">
        <f>[2]TongHop!F1335</f>
        <v>0</v>
      </c>
      <c r="G1335">
        <f>[2]TongHop!G1335</f>
        <v>0</v>
      </c>
      <c r="H1335">
        <f>[2]TongHop!H1335</f>
        <v>0</v>
      </c>
      <c r="I1335">
        <f>[2]TongHop!I1335</f>
        <v>0</v>
      </c>
      <c r="J1335">
        <f>[2]TongHop!J1335</f>
        <v>0</v>
      </c>
      <c r="K1335">
        <f>[2]TongHop!K1335</f>
        <v>0</v>
      </c>
      <c r="L1335">
        <f>[2]TongHop!L1335</f>
        <v>0</v>
      </c>
      <c r="M1335">
        <f>[2]TongHop!M1335</f>
        <v>0</v>
      </c>
      <c r="N1335">
        <f>[2]TongHop!N1335</f>
        <v>0</v>
      </c>
    </row>
    <row r="1336" spans="1:14">
      <c r="A1336">
        <f>[2]TongHop!A1336</f>
        <v>0</v>
      </c>
      <c r="B1336">
        <f>[2]TongHop!B1336</f>
        <v>0</v>
      </c>
      <c r="C1336">
        <f>[2]TongHop!C1336</f>
        <v>0</v>
      </c>
      <c r="D1336">
        <f>[2]TongHop!D1336</f>
        <v>0</v>
      </c>
      <c r="E1336">
        <f>[2]TongHop!E1336</f>
        <v>0</v>
      </c>
      <c r="F1336">
        <f>[2]TongHop!F1336</f>
        <v>0</v>
      </c>
      <c r="G1336">
        <f>[2]TongHop!G1336</f>
        <v>0</v>
      </c>
      <c r="H1336">
        <f>[2]TongHop!H1336</f>
        <v>0</v>
      </c>
      <c r="I1336">
        <f>[2]TongHop!I1336</f>
        <v>0</v>
      </c>
      <c r="J1336">
        <f>[2]TongHop!J1336</f>
        <v>0</v>
      </c>
      <c r="K1336">
        <f>[2]TongHop!K1336</f>
        <v>0</v>
      </c>
      <c r="L1336">
        <f>[2]TongHop!L1336</f>
        <v>0</v>
      </c>
      <c r="M1336">
        <f>[2]TongHop!M1336</f>
        <v>0</v>
      </c>
      <c r="N1336">
        <f>[2]TongHop!N1336</f>
        <v>0</v>
      </c>
    </row>
    <row r="1337" spans="1:14">
      <c r="A1337">
        <f>[2]TongHop!A1337</f>
        <v>0</v>
      </c>
      <c r="B1337">
        <f>[2]TongHop!B1337</f>
        <v>0</v>
      </c>
      <c r="C1337">
        <f>[2]TongHop!C1337</f>
        <v>0</v>
      </c>
      <c r="D1337">
        <f>[2]TongHop!D1337</f>
        <v>0</v>
      </c>
      <c r="E1337">
        <f>[2]TongHop!E1337</f>
        <v>0</v>
      </c>
      <c r="F1337">
        <f>[2]TongHop!F1337</f>
        <v>0</v>
      </c>
      <c r="G1337">
        <f>[2]TongHop!G1337</f>
        <v>0</v>
      </c>
      <c r="H1337">
        <f>[2]TongHop!H1337</f>
        <v>0</v>
      </c>
      <c r="I1337">
        <f>[2]TongHop!I1337</f>
        <v>0</v>
      </c>
      <c r="J1337">
        <f>[2]TongHop!J1337</f>
        <v>0</v>
      </c>
      <c r="K1337">
        <f>[2]TongHop!K1337</f>
        <v>0</v>
      </c>
      <c r="L1337">
        <f>[2]TongHop!L1337</f>
        <v>0</v>
      </c>
      <c r="M1337">
        <f>[2]TongHop!M1337</f>
        <v>0</v>
      </c>
      <c r="N1337">
        <f>[2]TongHop!N1337</f>
        <v>0</v>
      </c>
    </row>
    <row r="1338" spans="1:14">
      <c r="A1338">
        <f>[2]TongHop!A1338</f>
        <v>0</v>
      </c>
      <c r="B1338">
        <f>[2]TongHop!B1338</f>
        <v>0</v>
      </c>
      <c r="C1338">
        <f>[2]TongHop!C1338</f>
        <v>0</v>
      </c>
      <c r="D1338">
        <f>[2]TongHop!D1338</f>
        <v>0</v>
      </c>
      <c r="E1338">
        <f>[2]TongHop!E1338</f>
        <v>0</v>
      </c>
      <c r="F1338">
        <f>[2]TongHop!F1338</f>
        <v>0</v>
      </c>
      <c r="G1338">
        <f>[2]TongHop!G1338</f>
        <v>0</v>
      </c>
      <c r="H1338">
        <f>[2]TongHop!H1338</f>
        <v>0</v>
      </c>
      <c r="I1338">
        <f>[2]TongHop!I1338</f>
        <v>0</v>
      </c>
      <c r="J1338">
        <f>[2]TongHop!J1338</f>
        <v>0</v>
      </c>
      <c r="K1338">
        <f>[2]TongHop!K1338</f>
        <v>0</v>
      </c>
      <c r="L1338">
        <f>[2]TongHop!L1338</f>
        <v>0</v>
      </c>
      <c r="M1338">
        <f>[2]TongHop!M1338</f>
        <v>0</v>
      </c>
      <c r="N1338">
        <f>[2]TongHop!N1338</f>
        <v>0</v>
      </c>
    </row>
    <row r="1339" spans="1:14">
      <c r="A1339">
        <f>[2]TongHop!A1339</f>
        <v>0</v>
      </c>
      <c r="B1339">
        <f>[2]TongHop!B1339</f>
        <v>0</v>
      </c>
      <c r="C1339">
        <f>[2]TongHop!C1339</f>
        <v>0</v>
      </c>
      <c r="D1339">
        <f>[2]TongHop!D1339</f>
        <v>0</v>
      </c>
      <c r="E1339">
        <f>[2]TongHop!E1339</f>
        <v>0</v>
      </c>
      <c r="F1339">
        <f>[2]TongHop!F1339</f>
        <v>0</v>
      </c>
      <c r="G1339">
        <f>[2]TongHop!G1339</f>
        <v>0</v>
      </c>
      <c r="H1339">
        <f>[2]TongHop!H1339</f>
        <v>0</v>
      </c>
      <c r="I1339">
        <f>[2]TongHop!I1339</f>
        <v>0</v>
      </c>
      <c r="J1339">
        <f>[2]TongHop!J1339</f>
        <v>0</v>
      </c>
      <c r="K1339">
        <f>[2]TongHop!K1339</f>
        <v>0</v>
      </c>
      <c r="L1339">
        <f>[2]TongHop!L1339</f>
        <v>0</v>
      </c>
      <c r="M1339">
        <f>[2]TongHop!M1339</f>
        <v>0</v>
      </c>
      <c r="N1339">
        <f>[2]TongHop!N1339</f>
        <v>0</v>
      </c>
    </row>
    <row r="1340" spans="1:14">
      <c r="A1340">
        <f>[2]TongHop!A1340</f>
        <v>0</v>
      </c>
      <c r="B1340">
        <f>[2]TongHop!B1340</f>
        <v>0</v>
      </c>
      <c r="C1340">
        <f>[2]TongHop!C1340</f>
        <v>0</v>
      </c>
      <c r="D1340">
        <f>[2]TongHop!D1340</f>
        <v>0</v>
      </c>
      <c r="E1340">
        <f>[2]TongHop!E1340</f>
        <v>0</v>
      </c>
      <c r="F1340">
        <f>[2]TongHop!F1340</f>
        <v>0</v>
      </c>
      <c r="G1340">
        <f>[2]TongHop!G1340</f>
        <v>0</v>
      </c>
      <c r="H1340">
        <f>[2]TongHop!H1340</f>
        <v>0</v>
      </c>
      <c r="I1340">
        <f>[2]TongHop!I1340</f>
        <v>0</v>
      </c>
      <c r="J1340">
        <f>[2]TongHop!J1340</f>
        <v>0</v>
      </c>
      <c r="K1340">
        <f>[2]TongHop!K1340</f>
        <v>0</v>
      </c>
      <c r="L1340">
        <f>[2]TongHop!L1340</f>
        <v>0</v>
      </c>
      <c r="M1340">
        <f>[2]TongHop!M1340</f>
        <v>0</v>
      </c>
      <c r="N1340">
        <f>[2]TongHop!N1340</f>
        <v>0</v>
      </c>
    </row>
    <row r="1341" spans="1:14">
      <c r="A1341">
        <f>[2]TongHop!A1341</f>
        <v>0</v>
      </c>
      <c r="B1341">
        <f>[2]TongHop!B1341</f>
        <v>0</v>
      </c>
      <c r="C1341">
        <f>[2]TongHop!C1341</f>
        <v>0</v>
      </c>
      <c r="D1341">
        <f>[2]TongHop!D1341</f>
        <v>0</v>
      </c>
      <c r="E1341">
        <f>[2]TongHop!E1341</f>
        <v>0</v>
      </c>
      <c r="F1341">
        <f>[2]TongHop!F1341</f>
        <v>0</v>
      </c>
      <c r="G1341">
        <f>[2]TongHop!G1341</f>
        <v>0</v>
      </c>
      <c r="H1341">
        <f>[2]TongHop!H1341</f>
        <v>0</v>
      </c>
      <c r="I1341">
        <f>[2]TongHop!I1341</f>
        <v>0</v>
      </c>
      <c r="J1341">
        <f>[2]TongHop!J1341</f>
        <v>0</v>
      </c>
      <c r="K1341">
        <f>[2]TongHop!K1341</f>
        <v>0</v>
      </c>
      <c r="L1341">
        <f>[2]TongHop!L1341</f>
        <v>0</v>
      </c>
      <c r="M1341">
        <f>[2]TongHop!M1341</f>
        <v>0</v>
      </c>
      <c r="N1341">
        <f>[2]TongHop!N1341</f>
        <v>0</v>
      </c>
    </row>
    <row r="1342" spans="1:14">
      <c r="A1342">
        <f>[2]TongHop!A1342</f>
        <v>0</v>
      </c>
      <c r="B1342">
        <f>[2]TongHop!B1342</f>
        <v>0</v>
      </c>
      <c r="C1342">
        <f>[2]TongHop!C1342</f>
        <v>0</v>
      </c>
      <c r="D1342">
        <f>[2]TongHop!D1342</f>
        <v>0</v>
      </c>
      <c r="E1342">
        <f>[2]TongHop!E1342</f>
        <v>0</v>
      </c>
      <c r="F1342">
        <f>[2]TongHop!F1342</f>
        <v>0</v>
      </c>
      <c r="G1342">
        <f>[2]TongHop!G1342</f>
        <v>0</v>
      </c>
      <c r="H1342">
        <f>[2]TongHop!H1342</f>
        <v>0</v>
      </c>
      <c r="I1342">
        <f>[2]TongHop!I1342</f>
        <v>0</v>
      </c>
      <c r="J1342">
        <f>[2]TongHop!J1342</f>
        <v>0</v>
      </c>
      <c r="K1342">
        <f>[2]TongHop!K1342</f>
        <v>0</v>
      </c>
      <c r="L1342">
        <f>[2]TongHop!L1342</f>
        <v>0</v>
      </c>
      <c r="M1342">
        <f>[2]TongHop!M1342</f>
        <v>0</v>
      </c>
      <c r="N1342">
        <f>[2]TongHop!N1342</f>
        <v>0</v>
      </c>
    </row>
    <row r="1343" spans="1:14">
      <c r="A1343">
        <f>[2]TongHop!A1343</f>
        <v>0</v>
      </c>
      <c r="B1343">
        <f>[2]TongHop!B1343</f>
        <v>0</v>
      </c>
      <c r="C1343">
        <f>[2]TongHop!C1343</f>
        <v>0</v>
      </c>
      <c r="D1343">
        <f>[2]TongHop!D1343</f>
        <v>0</v>
      </c>
      <c r="E1343">
        <f>[2]TongHop!E1343</f>
        <v>0</v>
      </c>
      <c r="F1343">
        <f>[2]TongHop!F1343</f>
        <v>0</v>
      </c>
      <c r="G1343">
        <f>[2]TongHop!G1343</f>
        <v>0</v>
      </c>
      <c r="H1343">
        <f>[2]TongHop!H1343</f>
        <v>0</v>
      </c>
      <c r="I1343">
        <f>[2]TongHop!I1343</f>
        <v>0</v>
      </c>
      <c r="J1343">
        <f>[2]TongHop!J1343</f>
        <v>0</v>
      </c>
      <c r="K1343">
        <f>[2]TongHop!K1343</f>
        <v>0</v>
      </c>
      <c r="L1343">
        <f>[2]TongHop!L1343</f>
        <v>0</v>
      </c>
      <c r="M1343">
        <f>[2]TongHop!M1343</f>
        <v>0</v>
      </c>
      <c r="N1343">
        <f>[2]TongHop!N1343</f>
        <v>0</v>
      </c>
    </row>
    <row r="1344" spans="1:14">
      <c r="A1344">
        <f>[2]TongHop!A1344</f>
        <v>0</v>
      </c>
      <c r="B1344">
        <f>[2]TongHop!B1344</f>
        <v>0</v>
      </c>
      <c r="C1344">
        <f>[2]TongHop!C1344</f>
        <v>0</v>
      </c>
      <c r="D1344">
        <f>[2]TongHop!D1344</f>
        <v>0</v>
      </c>
      <c r="E1344">
        <f>[2]TongHop!E1344</f>
        <v>0</v>
      </c>
      <c r="F1344">
        <f>[2]TongHop!F1344</f>
        <v>0</v>
      </c>
      <c r="G1344">
        <f>[2]TongHop!G1344</f>
        <v>0</v>
      </c>
      <c r="H1344">
        <f>[2]TongHop!H1344</f>
        <v>0</v>
      </c>
      <c r="I1344">
        <f>[2]TongHop!I1344</f>
        <v>0</v>
      </c>
      <c r="J1344">
        <f>[2]TongHop!J1344</f>
        <v>0</v>
      </c>
      <c r="K1344">
        <f>[2]TongHop!K1344</f>
        <v>0</v>
      </c>
      <c r="L1344">
        <f>[2]TongHop!L1344</f>
        <v>0</v>
      </c>
      <c r="M1344">
        <f>[2]TongHop!M1344</f>
        <v>0</v>
      </c>
      <c r="N1344">
        <f>[2]TongHop!N1344</f>
        <v>0</v>
      </c>
    </row>
    <row r="1345" spans="1:14">
      <c r="A1345">
        <f>[2]TongHop!A1345</f>
        <v>0</v>
      </c>
      <c r="B1345">
        <f>[2]TongHop!B1345</f>
        <v>0</v>
      </c>
      <c r="C1345">
        <f>[2]TongHop!C1345</f>
        <v>0</v>
      </c>
      <c r="D1345">
        <f>[2]TongHop!D1345</f>
        <v>0</v>
      </c>
      <c r="E1345">
        <f>[2]TongHop!E1345</f>
        <v>0</v>
      </c>
      <c r="F1345">
        <f>[2]TongHop!F1345</f>
        <v>0</v>
      </c>
      <c r="G1345">
        <f>[2]TongHop!G1345</f>
        <v>0</v>
      </c>
      <c r="H1345">
        <f>[2]TongHop!H1345</f>
        <v>0</v>
      </c>
      <c r="I1345">
        <f>[2]TongHop!I1345</f>
        <v>0</v>
      </c>
      <c r="J1345">
        <f>[2]TongHop!J1345</f>
        <v>0</v>
      </c>
      <c r="K1345">
        <f>[2]TongHop!K1345</f>
        <v>0</v>
      </c>
      <c r="L1345">
        <f>[2]TongHop!L1345</f>
        <v>0</v>
      </c>
      <c r="M1345">
        <f>[2]TongHop!M1345</f>
        <v>0</v>
      </c>
      <c r="N1345">
        <f>[2]TongHop!N1345</f>
        <v>0</v>
      </c>
    </row>
    <row r="1346" spans="1:14">
      <c r="A1346">
        <f>[2]TongHop!A1346</f>
        <v>0</v>
      </c>
      <c r="B1346">
        <f>[2]TongHop!B1346</f>
        <v>0</v>
      </c>
      <c r="C1346">
        <f>[2]TongHop!C1346</f>
        <v>0</v>
      </c>
      <c r="D1346">
        <f>[2]TongHop!D1346</f>
        <v>0</v>
      </c>
      <c r="E1346">
        <f>[2]TongHop!E1346</f>
        <v>0</v>
      </c>
      <c r="F1346">
        <f>[2]TongHop!F1346</f>
        <v>0</v>
      </c>
      <c r="G1346">
        <f>[2]TongHop!G1346</f>
        <v>0</v>
      </c>
      <c r="H1346">
        <f>[2]TongHop!H1346</f>
        <v>0</v>
      </c>
      <c r="I1346">
        <f>[2]TongHop!I1346</f>
        <v>0</v>
      </c>
      <c r="J1346">
        <f>[2]TongHop!J1346</f>
        <v>0</v>
      </c>
      <c r="K1346">
        <f>[2]TongHop!K1346</f>
        <v>0</v>
      </c>
      <c r="L1346">
        <f>[2]TongHop!L1346</f>
        <v>0</v>
      </c>
      <c r="M1346">
        <f>[2]TongHop!M1346</f>
        <v>0</v>
      </c>
      <c r="N1346">
        <f>[2]TongHop!N1346</f>
        <v>0</v>
      </c>
    </row>
    <row r="1347" spans="1:14">
      <c r="A1347">
        <f>[2]TongHop!A1347</f>
        <v>0</v>
      </c>
      <c r="B1347">
        <f>[2]TongHop!B1347</f>
        <v>0</v>
      </c>
      <c r="C1347">
        <f>[2]TongHop!C1347</f>
        <v>0</v>
      </c>
      <c r="D1347">
        <f>[2]TongHop!D1347</f>
        <v>0</v>
      </c>
      <c r="E1347">
        <f>[2]TongHop!E1347</f>
        <v>0</v>
      </c>
      <c r="F1347">
        <f>[2]TongHop!F1347</f>
        <v>0</v>
      </c>
      <c r="G1347">
        <f>[2]TongHop!G1347</f>
        <v>0</v>
      </c>
      <c r="H1347">
        <f>[2]TongHop!H1347</f>
        <v>0</v>
      </c>
      <c r="I1347">
        <f>[2]TongHop!I1347</f>
        <v>0</v>
      </c>
      <c r="J1347">
        <f>[2]TongHop!J1347</f>
        <v>0</v>
      </c>
      <c r="K1347">
        <f>[2]TongHop!K1347</f>
        <v>0</v>
      </c>
      <c r="L1347">
        <f>[2]TongHop!L1347</f>
        <v>0</v>
      </c>
      <c r="M1347">
        <f>[2]TongHop!M1347</f>
        <v>0</v>
      </c>
      <c r="N1347">
        <f>[2]TongHop!N1347</f>
        <v>0</v>
      </c>
    </row>
    <row r="1348" spans="1:14">
      <c r="A1348">
        <f>[2]TongHop!A1348</f>
        <v>0</v>
      </c>
      <c r="B1348">
        <f>[2]TongHop!B1348</f>
        <v>0</v>
      </c>
      <c r="C1348">
        <f>[2]TongHop!C1348</f>
        <v>0</v>
      </c>
      <c r="D1348">
        <f>[2]TongHop!D1348</f>
        <v>0</v>
      </c>
      <c r="E1348">
        <f>[2]TongHop!E1348</f>
        <v>0</v>
      </c>
      <c r="F1348">
        <f>[2]TongHop!F1348</f>
        <v>0</v>
      </c>
      <c r="G1348">
        <f>[2]TongHop!G1348</f>
        <v>0</v>
      </c>
      <c r="H1348">
        <f>[2]TongHop!H1348</f>
        <v>0</v>
      </c>
      <c r="I1348">
        <f>[2]TongHop!I1348</f>
        <v>0</v>
      </c>
      <c r="J1348">
        <f>[2]TongHop!J1348</f>
        <v>0</v>
      </c>
      <c r="K1348">
        <f>[2]TongHop!K1348</f>
        <v>0</v>
      </c>
      <c r="L1348">
        <f>[2]TongHop!L1348</f>
        <v>0</v>
      </c>
      <c r="M1348">
        <f>[2]TongHop!M1348</f>
        <v>0</v>
      </c>
      <c r="N1348">
        <f>[2]TongHop!N1348</f>
        <v>0</v>
      </c>
    </row>
    <row r="1349" spans="1:14">
      <c r="A1349">
        <f>[2]TongHop!A1349</f>
        <v>0</v>
      </c>
      <c r="B1349">
        <f>[2]TongHop!B1349</f>
        <v>0</v>
      </c>
      <c r="C1349">
        <f>[2]TongHop!C1349</f>
        <v>0</v>
      </c>
      <c r="D1349">
        <f>[2]TongHop!D1349</f>
        <v>0</v>
      </c>
      <c r="E1349">
        <f>[2]TongHop!E1349</f>
        <v>0</v>
      </c>
      <c r="F1349">
        <f>[2]TongHop!F1349</f>
        <v>0</v>
      </c>
      <c r="G1349">
        <f>[2]TongHop!G1349</f>
        <v>0</v>
      </c>
      <c r="H1349">
        <f>[2]TongHop!H1349</f>
        <v>0</v>
      </c>
      <c r="I1349">
        <f>[2]TongHop!I1349</f>
        <v>0</v>
      </c>
      <c r="J1349">
        <f>[2]TongHop!J1349</f>
        <v>0</v>
      </c>
      <c r="K1349">
        <f>[2]TongHop!K1349</f>
        <v>0</v>
      </c>
      <c r="L1349">
        <f>[2]TongHop!L1349</f>
        <v>0</v>
      </c>
      <c r="M1349">
        <f>[2]TongHop!M1349</f>
        <v>0</v>
      </c>
      <c r="N1349">
        <f>[2]TongHop!N1349</f>
        <v>0</v>
      </c>
    </row>
    <row r="1350" spans="1:14">
      <c r="A1350">
        <f>[2]TongHop!A1350</f>
        <v>0</v>
      </c>
      <c r="B1350">
        <f>[2]TongHop!B1350</f>
        <v>0</v>
      </c>
      <c r="C1350">
        <f>[2]TongHop!C1350</f>
        <v>0</v>
      </c>
      <c r="D1350">
        <f>[2]TongHop!D1350</f>
        <v>0</v>
      </c>
      <c r="E1350">
        <f>[2]TongHop!E1350</f>
        <v>0</v>
      </c>
      <c r="F1350">
        <f>[2]TongHop!F1350</f>
        <v>0</v>
      </c>
      <c r="G1350">
        <f>[2]TongHop!G1350</f>
        <v>0</v>
      </c>
      <c r="H1350">
        <f>[2]TongHop!H1350</f>
        <v>0</v>
      </c>
      <c r="I1350">
        <f>[2]TongHop!I1350</f>
        <v>0</v>
      </c>
      <c r="J1350">
        <f>[2]TongHop!J1350</f>
        <v>0</v>
      </c>
      <c r="K1350">
        <f>[2]TongHop!K1350</f>
        <v>0</v>
      </c>
      <c r="L1350">
        <f>[2]TongHop!L1350</f>
        <v>0</v>
      </c>
      <c r="M1350">
        <f>[2]TongHop!M1350</f>
        <v>0</v>
      </c>
      <c r="N1350">
        <f>[2]TongHop!N1350</f>
        <v>0</v>
      </c>
    </row>
    <row r="1351" spans="1:14">
      <c r="A1351">
        <f>[2]TongHop!A1351</f>
        <v>0</v>
      </c>
      <c r="B1351">
        <f>[2]TongHop!B1351</f>
        <v>0</v>
      </c>
      <c r="C1351">
        <f>[2]TongHop!C1351</f>
        <v>0</v>
      </c>
      <c r="D1351">
        <f>[2]TongHop!D1351</f>
        <v>0</v>
      </c>
      <c r="E1351">
        <f>[2]TongHop!E1351</f>
        <v>0</v>
      </c>
      <c r="F1351">
        <f>[2]TongHop!F1351</f>
        <v>0</v>
      </c>
      <c r="G1351">
        <f>[2]TongHop!G1351</f>
        <v>0</v>
      </c>
      <c r="H1351">
        <f>[2]TongHop!H1351</f>
        <v>0</v>
      </c>
      <c r="I1351">
        <f>[2]TongHop!I1351</f>
        <v>0</v>
      </c>
      <c r="J1351">
        <f>[2]TongHop!J1351</f>
        <v>0</v>
      </c>
      <c r="K1351">
        <f>[2]TongHop!K1351</f>
        <v>0</v>
      </c>
      <c r="L1351">
        <f>[2]TongHop!L1351</f>
        <v>0</v>
      </c>
      <c r="M1351">
        <f>[2]TongHop!M1351</f>
        <v>0</v>
      </c>
      <c r="N1351">
        <f>[2]TongHop!N1351</f>
        <v>0</v>
      </c>
    </row>
    <row r="1352" spans="1:14">
      <c r="A1352">
        <f>[2]TongHop!A1352</f>
        <v>0</v>
      </c>
      <c r="B1352">
        <f>[2]TongHop!B1352</f>
        <v>0</v>
      </c>
      <c r="C1352">
        <f>[2]TongHop!C1352</f>
        <v>0</v>
      </c>
      <c r="D1352">
        <f>[2]TongHop!D1352</f>
        <v>0</v>
      </c>
      <c r="E1352">
        <f>[2]TongHop!E1352</f>
        <v>0</v>
      </c>
      <c r="F1352">
        <f>[2]TongHop!F1352</f>
        <v>0</v>
      </c>
      <c r="G1352">
        <f>[2]TongHop!G1352</f>
        <v>0</v>
      </c>
      <c r="H1352">
        <f>[2]TongHop!H1352</f>
        <v>0</v>
      </c>
      <c r="I1352">
        <f>[2]TongHop!I1352</f>
        <v>0</v>
      </c>
      <c r="J1352">
        <f>[2]TongHop!J1352</f>
        <v>0</v>
      </c>
      <c r="K1352">
        <f>[2]TongHop!K1352</f>
        <v>0</v>
      </c>
      <c r="L1352">
        <f>[2]TongHop!L1352</f>
        <v>0</v>
      </c>
      <c r="M1352">
        <f>[2]TongHop!M1352</f>
        <v>0</v>
      </c>
      <c r="N1352">
        <f>[2]TongHop!N1352</f>
        <v>0</v>
      </c>
    </row>
    <row r="1353" spans="1:14">
      <c r="A1353">
        <f>[2]TongHop!A1353</f>
        <v>0</v>
      </c>
      <c r="B1353">
        <f>[2]TongHop!B1353</f>
        <v>0</v>
      </c>
      <c r="C1353">
        <f>[2]TongHop!C1353</f>
        <v>0</v>
      </c>
      <c r="D1353">
        <f>[2]TongHop!D1353</f>
        <v>0</v>
      </c>
      <c r="E1353">
        <f>[2]TongHop!E1353</f>
        <v>0</v>
      </c>
      <c r="F1353">
        <f>[2]TongHop!F1353</f>
        <v>0</v>
      </c>
      <c r="G1353">
        <f>[2]TongHop!G1353</f>
        <v>0</v>
      </c>
      <c r="H1353">
        <f>[2]TongHop!H1353</f>
        <v>0</v>
      </c>
      <c r="I1353">
        <f>[2]TongHop!I1353</f>
        <v>0</v>
      </c>
      <c r="J1353">
        <f>[2]TongHop!J1353</f>
        <v>0</v>
      </c>
      <c r="K1353">
        <f>[2]TongHop!K1353</f>
        <v>0</v>
      </c>
      <c r="L1353">
        <f>[2]TongHop!L1353</f>
        <v>0</v>
      </c>
      <c r="M1353">
        <f>[2]TongHop!M1353</f>
        <v>0</v>
      </c>
      <c r="N1353">
        <f>[2]TongHop!N1353</f>
        <v>0</v>
      </c>
    </row>
    <row r="1354" spans="1:14">
      <c r="A1354">
        <f>[2]TongHop!A1354</f>
        <v>0</v>
      </c>
      <c r="B1354">
        <f>[2]TongHop!B1354</f>
        <v>0</v>
      </c>
      <c r="C1354">
        <f>[2]TongHop!C1354</f>
        <v>0</v>
      </c>
      <c r="D1354">
        <f>[2]TongHop!D1354</f>
        <v>0</v>
      </c>
      <c r="E1354">
        <f>[2]TongHop!E1354</f>
        <v>0</v>
      </c>
      <c r="F1354">
        <f>[2]TongHop!F1354</f>
        <v>0</v>
      </c>
      <c r="G1354">
        <f>[2]TongHop!G1354</f>
        <v>0</v>
      </c>
      <c r="H1354">
        <f>[2]TongHop!H1354</f>
        <v>0</v>
      </c>
      <c r="I1354">
        <f>[2]TongHop!I1354</f>
        <v>0</v>
      </c>
      <c r="J1354">
        <f>[2]TongHop!J1354</f>
        <v>0</v>
      </c>
      <c r="K1354">
        <f>[2]TongHop!K1354</f>
        <v>0</v>
      </c>
      <c r="L1354">
        <f>[2]TongHop!L1354</f>
        <v>0</v>
      </c>
      <c r="M1354">
        <f>[2]TongHop!M1354</f>
        <v>0</v>
      </c>
      <c r="N1354">
        <f>[2]TongHop!N1354</f>
        <v>0</v>
      </c>
    </row>
    <row r="1355" spans="1:14">
      <c r="A1355">
        <f>[2]TongHop!A1355</f>
        <v>0</v>
      </c>
      <c r="B1355">
        <f>[2]TongHop!B1355</f>
        <v>0</v>
      </c>
      <c r="C1355">
        <f>[2]TongHop!C1355</f>
        <v>0</v>
      </c>
      <c r="D1355">
        <f>[2]TongHop!D1355</f>
        <v>0</v>
      </c>
      <c r="E1355">
        <f>[2]TongHop!E1355</f>
        <v>0</v>
      </c>
      <c r="F1355">
        <f>[2]TongHop!F1355</f>
        <v>0</v>
      </c>
      <c r="G1355">
        <f>[2]TongHop!G1355</f>
        <v>0</v>
      </c>
      <c r="H1355">
        <f>[2]TongHop!H1355</f>
        <v>0</v>
      </c>
      <c r="I1355">
        <f>[2]TongHop!I1355</f>
        <v>0</v>
      </c>
      <c r="J1355">
        <f>[2]TongHop!J1355</f>
        <v>0</v>
      </c>
      <c r="K1355">
        <f>[2]TongHop!K1355</f>
        <v>0</v>
      </c>
      <c r="L1355">
        <f>[2]TongHop!L1355</f>
        <v>0</v>
      </c>
      <c r="M1355">
        <f>[2]TongHop!M1355</f>
        <v>0</v>
      </c>
      <c r="N1355">
        <f>[2]TongHop!N1355</f>
        <v>0</v>
      </c>
    </row>
    <row r="1356" spans="1:14">
      <c r="A1356">
        <f>[2]TongHop!A1356</f>
        <v>0</v>
      </c>
      <c r="B1356">
        <f>[2]TongHop!B1356</f>
        <v>0</v>
      </c>
      <c r="C1356">
        <f>[2]TongHop!C1356</f>
        <v>0</v>
      </c>
      <c r="D1356">
        <f>[2]TongHop!D1356</f>
        <v>0</v>
      </c>
      <c r="E1356">
        <f>[2]TongHop!E1356</f>
        <v>0</v>
      </c>
      <c r="F1356">
        <f>[2]TongHop!F1356</f>
        <v>0</v>
      </c>
      <c r="G1356">
        <f>[2]TongHop!G1356</f>
        <v>0</v>
      </c>
      <c r="H1356">
        <f>[2]TongHop!H1356</f>
        <v>0</v>
      </c>
      <c r="I1356">
        <f>[2]TongHop!I1356</f>
        <v>0</v>
      </c>
      <c r="J1356">
        <f>[2]TongHop!J1356</f>
        <v>0</v>
      </c>
      <c r="K1356">
        <f>[2]TongHop!K1356</f>
        <v>0</v>
      </c>
      <c r="L1356">
        <f>[2]TongHop!L1356</f>
        <v>0</v>
      </c>
      <c r="M1356">
        <f>[2]TongHop!M1356</f>
        <v>0</v>
      </c>
      <c r="N1356">
        <f>[2]TongHop!N1356</f>
        <v>0</v>
      </c>
    </row>
    <row r="1357" spans="1:14">
      <c r="A1357">
        <f>[2]TongHop!A1357</f>
        <v>0</v>
      </c>
      <c r="B1357">
        <f>[2]TongHop!B1357</f>
        <v>0</v>
      </c>
      <c r="C1357">
        <f>[2]TongHop!C1357</f>
        <v>0</v>
      </c>
      <c r="D1357">
        <f>[2]TongHop!D1357</f>
        <v>0</v>
      </c>
      <c r="E1357">
        <f>[2]TongHop!E1357</f>
        <v>0</v>
      </c>
      <c r="F1357">
        <f>[2]TongHop!F1357</f>
        <v>0</v>
      </c>
      <c r="G1357">
        <f>[2]TongHop!G1357</f>
        <v>0</v>
      </c>
      <c r="H1357">
        <f>[2]TongHop!H1357</f>
        <v>0</v>
      </c>
      <c r="I1357">
        <f>[2]TongHop!I1357</f>
        <v>0</v>
      </c>
      <c r="J1357">
        <f>[2]TongHop!J1357</f>
        <v>0</v>
      </c>
      <c r="K1357">
        <f>[2]TongHop!K1357</f>
        <v>0</v>
      </c>
      <c r="L1357">
        <f>[2]TongHop!L1357</f>
        <v>0</v>
      </c>
      <c r="M1357">
        <f>[2]TongHop!M1357</f>
        <v>0</v>
      </c>
      <c r="N1357">
        <f>[2]TongHop!N1357</f>
        <v>0</v>
      </c>
    </row>
    <row r="1358" spans="1:14">
      <c r="A1358">
        <f>[2]TongHop!A1358</f>
        <v>0</v>
      </c>
      <c r="B1358">
        <f>[2]TongHop!B1358</f>
        <v>0</v>
      </c>
      <c r="C1358">
        <f>[2]TongHop!C1358</f>
        <v>0</v>
      </c>
      <c r="D1358">
        <f>[2]TongHop!D1358</f>
        <v>0</v>
      </c>
      <c r="E1358">
        <f>[2]TongHop!E1358</f>
        <v>0</v>
      </c>
      <c r="F1358">
        <f>[2]TongHop!F1358</f>
        <v>0</v>
      </c>
      <c r="G1358">
        <f>[2]TongHop!G1358</f>
        <v>0</v>
      </c>
      <c r="H1358">
        <f>[2]TongHop!H1358</f>
        <v>0</v>
      </c>
      <c r="I1358">
        <f>[2]TongHop!I1358</f>
        <v>0</v>
      </c>
      <c r="J1358">
        <f>[2]TongHop!J1358</f>
        <v>0</v>
      </c>
      <c r="K1358">
        <f>[2]TongHop!K1358</f>
        <v>0</v>
      </c>
      <c r="L1358">
        <f>[2]TongHop!L1358</f>
        <v>0</v>
      </c>
      <c r="M1358">
        <f>[2]TongHop!M1358</f>
        <v>0</v>
      </c>
      <c r="N1358">
        <f>[2]TongHop!N1358</f>
        <v>0</v>
      </c>
    </row>
    <row r="1359" spans="1:14">
      <c r="A1359">
        <f>[2]TongHop!A1359</f>
        <v>0</v>
      </c>
      <c r="B1359">
        <f>[2]TongHop!B1359</f>
        <v>0</v>
      </c>
      <c r="C1359">
        <f>[2]TongHop!C1359</f>
        <v>0</v>
      </c>
      <c r="D1359">
        <f>[2]TongHop!D1359</f>
        <v>0</v>
      </c>
      <c r="E1359">
        <f>[2]TongHop!E1359</f>
        <v>0</v>
      </c>
      <c r="F1359">
        <f>[2]TongHop!F1359</f>
        <v>0</v>
      </c>
      <c r="G1359">
        <f>[2]TongHop!G1359</f>
        <v>0</v>
      </c>
      <c r="H1359">
        <f>[2]TongHop!H1359</f>
        <v>0</v>
      </c>
      <c r="I1359">
        <f>[2]TongHop!I1359</f>
        <v>0</v>
      </c>
      <c r="J1359">
        <f>[2]TongHop!J1359</f>
        <v>0</v>
      </c>
      <c r="K1359">
        <f>[2]TongHop!K1359</f>
        <v>0</v>
      </c>
      <c r="L1359">
        <f>[2]TongHop!L1359</f>
        <v>0</v>
      </c>
      <c r="M1359">
        <f>[2]TongHop!M1359</f>
        <v>0</v>
      </c>
      <c r="N1359">
        <f>[2]TongHop!N1359</f>
        <v>0</v>
      </c>
    </row>
    <row r="1360" spans="1:14">
      <c r="A1360">
        <f>[2]TongHop!A1360</f>
        <v>0</v>
      </c>
      <c r="B1360">
        <f>[2]TongHop!B1360</f>
        <v>0</v>
      </c>
      <c r="C1360">
        <f>[2]TongHop!C1360</f>
        <v>0</v>
      </c>
      <c r="D1360">
        <f>[2]TongHop!D1360</f>
        <v>0</v>
      </c>
      <c r="E1360">
        <f>[2]TongHop!E1360</f>
        <v>0</v>
      </c>
      <c r="F1360">
        <f>[2]TongHop!F1360</f>
        <v>0</v>
      </c>
      <c r="G1360">
        <f>[2]TongHop!G1360</f>
        <v>0</v>
      </c>
      <c r="H1360">
        <f>[2]TongHop!H1360</f>
        <v>0</v>
      </c>
      <c r="I1360">
        <f>[2]TongHop!I1360</f>
        <v>0</v>
      </c>
      <c r="J1360">
        <f>[2]TongHop!J1360</f>
        <v>0</v>
      </c>
      <c r="K1360">
        <f>[2]TongHop!K1360</f>
        <v>0</v>
      </c>
      <c r="L1360">
        <f>[2]TongHop!L1360</f>
        <v>0</v>
      </c>
      <c r="M1360">
        <f>[2]TongHop!M1360</f>
        <v>0</v>
      </c>
      <c r="N1360">
        <f>[2]TongHop!N1360</f>
        <v>0</v>
      </c>
    </row>
    <row r="1361" spans="1:14">
      <c r="A1361">
        <f>[2]TongHop!A1361</f>
        <v>0</v>
      </c>
      <c r="B1361">
        <f>[2]TongHop!B1361</f>
        <v>0</v>
      </c>
      <c r="C1361">
        <f>[2]TongHop!C1361</f>
        <v>0</v>
      </c>
      <c r="D1361">
        <f>[2]TongHop!D1361</f>
        <v>0</v>
      </c>
      <c r="E1361">
        <f>[2]TongHop!E1361</f>
        <v>0</v>
      </c>
      <c r="F1361">
        <f>[2]TongHop!F1361</f>
        <v>0</v>
      </c>
      <c r="G1361">
        <f>[2]TongHop!G1361</f>
        <v>0</v>
      </c>
      <c r="H1361">
        <f>[2]TongHop!H1361</f>
        <v>0</v>
      </c>
      <c r="I1361">
        <f>[2]TongHop!I1361</f>
        <v>0</v>
      </c>
      <c r="J1361">
        <f>[2]TongHop!J1361</f>
        <v>0</v>
      </c>
      <c r="K1361">
        <f>[2]TongHop!K1361</f>
        <v>0</v>
      </c>
      <c r="L1361">
        <f>[2]TongHop!L1361</f>
        <v>0</v>
      </c>
      <c r="M1361">
        <f>[2]TongHop!M1361</f>
        <v>0</v>
      </c>
      <c r="N1361">
        <f>[2]TongHop!N1361</f>
        <v>0</v>
      </c>
    </row>
    <row r="1362" spans="1:14">
      <c r="A1362">
        <f>[2]TongHop!A1362</f>
        <v>0</v>
      </c>
      <c r="B1362">
        <f>[2]TongHop!B1362</f>
        <v>0</v>
      </c>
      <c r="C1362">
        <f>[2]TongHop!C1362</f>
        <v>0</v>
      </c>
      <c r="D1362">
        <f>[2]TongHop!D1362</f>
        <v>0</v>
      </c>
      <c r="E1362">
        <f>[2]TongHop!E1362</f>
        <v>0</v>
      </c>
      <c r="F1362">
        <f>[2]TongHop!F1362</f>
        <v>0</v>
      </c>
      <c r="G1362">
        <f>[2]TongHop!G1362</f>
        <v>0</v>
      </c>
      <c r="H1362">
        <f>[2]TongHop!H1362</f>
        <v>0</v>
      </c>
      <c r="I1362">
        <f>[2]TongHop!I1362</f>
        <v>0</v>
      </c>
      <c r="J1362">
        <f>[2]TongHop!J1362</f>
        <v>0</v>
      </c>
      <c r="K1362">
        <f>[2]TongHop!K1362</f>
        <v>0</v>
      </c>
      <c r="L1362">
        <f>[2]TongHop!L1362</f>
        <v>0</v>
      </c>
      <c r="M1362">
        <f>[2]TongHop!M1362</f>
        <v>0</v>
      </c>
      <c r="N1362">
        <f>[2]TongHop!N1362</f>
        <v>0</v>
      </c>
    </row>
    <row r="1363" spans="1:14">
      <c r="A1363">
        <f>[2]TongHop!A1363</f>
        <v>0</v>
      </c>
      <c r="B1363">
        <f>[2]TongHop!B1363</f>
        <v>0</v>
      </c>
      <c r="C1363">
        <f>[2]TongHop!C1363</f>
        <v>0</v>
      </c>
      <c r="D1363">
        <f>[2]TongHop!D1363</f>
        <v>0</v>
      </c>
      <c r="E1363">
        <f>[2]TongHop!E1363</f>
        <v>0</v>
      </c>
      <c r="F1363">
        <f>[2]TongHop!F1363</f>
        <v>0</v>
      </c>
      <c r="G1363">
        <f>[2]TongHop!G1363</f>
        <v>0</v>
      </c>
      <c r="H1363">
        <f>[2]TongHop!H1363</f>
        <v>0</v>
      </c>
      <c r="I1363">
        <f>[2]TongHop!I1363</f>
        <v>0</v>
      </c>
      <c r="J1363">
        <f>[2]TongHop!J1363</f>
        <v>0</v>
      </c>
      <c r="K1363">
        <f>[2]TongHop!K1363</f>
        <v>0</v>
      </c>
      <c r="L1363">
        <f>[2]TongHop!L1363</f>
        <v>0</v>
      </c>
      <c r="M1363">
        <f>[2]TongHop!M1363</f>
        <v>0</v>
      </c>
      <c r="N1363">
        <f>[2]TongHop!N1363</f>
        <v>0</v>
      </c>
    </row>
    <row r="1364" spans="1:14">
      <c r="A1364">
        <f>[2]TongHop!A1364</f>
        <v>0</v>
      </c>
      <c r="B1364">
        <f>[2]TongHop!B1364</f>
        <v>0</v>
      </c>
      <c r="C1364">
        <f>[2]TongHop!C1364</f>
        <v>0</v>
      </c>
      <c r="D1364">
        <f>[2]TongHop!D1364</f>
        <v>0</v>
      </c>
      <c r="E1364">
        <f>[2]TongHop!E1364</f>
        <v>0</v>
      </c>
      <c r="F1364">
        <f>[2]TongHop!F1364</f>
        <v>0</v>
      </c>
      <c r="G1364">
        <f>[2]TongHop!G1364</f>
        <v>0</v>
      </c>
      <c r="H1364">
        <f>[2]TongHop!H1364</f>
        <v>0</v>
      </c>
      <c r="I1364">
        <f>[2]TongHop!I1364</f>
        <v>0</v>
      </c>
      <c r="J1364">
        <f>[2]TongHop!J1364</f>
        <v>0</v>
      </c>
      <c r="K1364">
        <f>[2]TongHop!K1364</f>
        <v>0</v>
      </c>
      <c r="L1364">
        <f>[2]TongHop!L1364</f>
        <v>0</v>
      </c>
      <c r="M1364">
        <f>[2]TongHop!M1364</f>
        <v>0</v>
      </c>
      <c r="N1364">
        <f>[2]TongHop!N1364</f>
        <v>0</v>
      </c>
    </row>
    <row r="1365" spans="1:14">
      <c r="A1365">
        <f>[2]TongHop!A1365</f>
        <v>0</v>
      </c>
      <c r="B1365">
        <f>[2]TongHop!B1365</f>
        <v>0</v>
      </c>
      <c r="C1365">
        <f>[2]TongHop!C1365</f>
        <v>0</v>
      </c>
      <c r="D1365">
        <f>[2]TongHop!D1365</f>
        <v>0</v>
      </c>
      <c r="E1365">
        <f>[2]TongHop!E1365</f>
        <v>0</v>
      </c>
      <c r="F1365">
        <f>[2]TongHop!F1365</f>
        <v>0</v>
      </c>
      <c r="G1365">
        <f>[2]TongHop!G1365</f>
        <v>0</v>
      </c>
      <c r="H1365">
        <f>[2]TongHop!H1365</f>
        <v>0</v>
      </c>
      <c r="I1365">
        <f>[2]TongHop!I1365</f>
        <v>0</v>
      </c>
      <c r="J1365">
        <f>[2]TongHop!J1365</f>
        <v>0</v>
      </c>
      <c r="K1365">
        <f>[2]TongHop!K1365</f>
        <v>0</v>
      </c>
      <c r="L1365">
        <f>[2]TongHop!L1365</f>
        <v>0</v>
      </c>
      <c r="M1365">
        <f>[2]TongHop!M1365</f>
        <v>0</v>
      </c>
      <c r="N1365">
        <f>[2]TongHop!N1365</f>
        <v>0</v>
      </c>
    </row>
    <row r="1366" spans="1:14">
      <c r="A1366">
        <f>[2]TongHop!A1366</f>
        <v>0</v>
      </c>
      <c r="B1366">
        <f>[2]TongHop!B1366</f>
        <v>0</v>
      </c>
      <c r="C1366">
        <f>[2]TongHop!C1366</f>
        <v>0</v>
      </c>
      <c r="D1366">
        <f>[2]TongHop!D1366</f>
        <v>0</v>
      </c>
      <c r="E1366">
        <f>[2]TongHop!E1366</f>
        <v>0</v>
      </c>
      <c r="F1366">
        <f>[2]TongHop!F1366</f>
        <v>0</v>
      </c>
      <c r="G1366">
        <f>[2]TongHop!G1366</f>
        <v>0</v>
      </c>
      <c r="H1366">
        <f>[2]TongHop!H1366</f>
        <v>0</v>
      </c>
      <c r="I1366">
        <f>[2]TongHop!I1366</f>
        <v>0</v>
      </c>
      <c r="J1366">
        <f>[2]TongHop!J1366</f>
        <v>0</v>
      </c>
      <c r="K1366">
        <f>[2]TongHop!K1366</f>
        <v>0</v>
      </c>
      <c r="L1366">
        <f>[2]TongHop!L1366</f>
        <v>0</v>
      </c>
      <c r="M1366">
        <f>[2]TongHop!M1366</f>
        <v>0</v>
      </c>
      <c r="N1366">
        <f>[2]TongHop!N1366</f>
        <v>0</v>
      </c>
    </row>
    <row r="1367" spans="1:14">
      <c r="A1367">
        <f>[2]TongHop!A1367</f>
        <v>0</v>
      </c>
      <c r="B1367">
        <f>[2]TongHop!B1367</f>
        <v>0</v>
      </c>
      <c r="C1367">
        <f>[2]TongHop!C1367</f>
        <v>0</v>
      </c>
      <c r="D1367">
        <f>[2]TongHop!D1367</f>
        <v>0</v>
      </c>
      <c r="E1367">
        <f>[2]TongHop!E1367</f>
        <v>0</v>
      </c>
      <c r="F1367">
        <f>[2]TongHop!F1367</f>
        <v>0</v>
      </c>
      <c r="G1367">
        <f>[2]TongHop!G1367</f>
        <v>0</v>
      </c>
      <c r="H1367">
        <f>[2]TongHop!H1367</f>
        <v>0</v>
      </c>
      <c r="I1367">
        <f>[2]TongHop!I1367</f>
        <v>0</v>
      </c>
      <c r="J1367">
        <f>[2]TongHop!J1367</f>
        <v>0</v>
      </c>
      <c r="K1367">
        <f>[2]TongHop!K1367</f>
        <v>0</v>
      </c>
      <c r="L1367">
        <f>[2]TongHop!L1367</f>
        <v>0</v>
      </c>
      <c r="M1367">
        <f>[2]TongHop!M1367</f>
        <v>0</v>
      </c>
      <c r="N1367">
        <f>[2]TongHop!N1367</f>
        <v>0</v>
      </c>
    </row>
    <row r="1368" spans="1:14">
      <c r="A1368">
        <f>[2]TongHop!A1368</f>
        <v>0</v>
      </c>
      <c r="B1368">
        <f>[2]TongHop!B1368</f>
        <v>0</v>
      </c>
      <c r="C1368">
        <f>[2]TongHop!C1368</f>
        <v>0</v>
      </c>
      <c r="D1368">
        <f>[2]TongHop!D1368</f>
        <v>0</v>
      </c>
      <c r="E1368">
        <f>[2]TongHop!E1368</f>
        <v>0</v>
      </c>
      <c r="F1368">
        <f>[2]TongHop!F1368</f>
        <v>0</v>
      </c>
      <c r="G1368">
        <f>[2]TongHop!G1368</f>
        <v>0</v>
      </c>
      <c r="H1368">
        <f>[2]TongHop!H1368</f>
        <v>0</v>
      </c>
      <c r="I1368">
        <f>[2]TongHop!I1368</f>
        <v>0</v>
      </c>
      <c r="J1368">
        <f>[2]TongHop!J1368</f>
        <v>0</v>
      </c>
      <c r="K1368">
        <f>[2]TongHop!K1368</f>
        <v>0</v>
      </c>
      <c r="L1368">
        <f>[2]TongHop!L1368</f>
        <v>0</v>
      </c>
      <c r="M1368">
        <f>[2]TongHop!M1368</f>
        <v>0</v>
      </c>
      <c r="N1368">
        <f>[2]TongHop!N1368</f>
        <v>0</v>
      </c>
    </row>
    <row r="1369" spans="1:14">
      <c r="A1369">
        <f>[2]TongHop!A1369</f>
        <v>0</v>
      </c>
      <c r="B1369">
        <f>[2]TongHop!B1369</f>
        <v>0</v>
      </c>
      <c r="C1369">
        <f>[2]TongHop!C1369</f>
        <v>0</v>
      </c>
      <c r="D1369">
        <f>[2]TongHop!D1369</f>
        <v>0</v>
      </c>
      <c r="E1369">
        <f>[2]TongHop!E1369</f>
        <v>0</v>
      </c>
      <c r="F1369">
        <f>[2]TongHop!F1369</f>
        <v>0</v>
      </c>
      <c r="G1369">
        <f>[2]TongHop!G1369</f>
        <v>0</v>
      </c>
      <c r="H1369">
        <f>[2]TongHop!H1369</f>
        <v>0</v>
      </c>
      <c r="I1369">
        <f>[2]TongHop!I1369</f>
        <v>0</v>
      </c>
      <c r="J1369">
        <f>[2]TongHop!J1369</f>
        <v>0</v>
      </c>
      <c r="K1369">
        <f>[2]TongHop!K1369</f>
        <v>0</v>
      </c>
      <c r="L1369">
        <f>[2]TongHop!L1369</f>
        <v>0</v>
      </c>
      <c r="M1369">
        <f>[2]TongHop!M1369</f>
        <v>0</v>
      </c>
      <c r="N1369">
        <f>[2]TongHop!N1369</f>
        <v>0</v>
      </c>
    </row>
    <row r="1370" spans="1:14">
      <c r="A1370">
        <f>[2]TongHop!A1370</f>
        <v>0</v>
      </c>
      <c r="B1370">
        <f>[2]TongHop!B1370</f>
        <v>0</v>
      </c>
      <c r="C1370">
        <f>[2]TongHop!C1370</f>
        <v>0</v>
      </c>
      <c r="D1370">
        <f>[2]TongHop!D1370</f>
        <v>0</v>
      </c>
      <c r="E1370">
        <f>[2]TongHop!E1370</f>
        <v>0</v>
      </c>
      <c r="F1370">
        <f>[2]TongHop!F1370</f>
        <v>0</v>
      </c>
      <c r="G1370">
        <f>[2]TongHop!G1370</f>
        <v>0</v>
      </c>
      <c r="H1370">
        <f>[2]TongHop!H1370</f>
        <v>0</v>
      </c>
      <c r="I1370">
        <f>[2]TongHop!I1370</f>
        <v>0</v>
      </c>
      <c r="J1370">
        <f>[2]TongHop!J1370</f>
        <v>0</v>
      </c>
      <c r="K1370">
        <f>[2]TongHop!K1370</f>
        <v>0</v>
      </c>
      <c r="L1370">
        <f>[2]TongHop!L1370</f>
        <v>0</v>
      </c>
      <c r="M1370">
        <f>[2]TongHop!M1370</f>
        <v>0</v>
      </c>
      <c r="N1370">
        <f>[2]TongHop!N1370</f>
        <v>0</v>
      </c>
    </row>
    <row r="1371" spans="1:14">
      <c r="A1371">
        <f>[2]TongHop!A1371</f>
        <v>0</v>
      </c>
      <c r="B1371">
        <f>[2]TongHop!B1371</f>
        <v>0</v>
      </c>
      <c r="C1371">
        <f>[2]TongHop!C1371</f>
        <v>0</v>
      </c>
      <c r="D1371">
        <f>[2]TongHop!D1371</f>
        <v>0</v>
      </c>
      <c r="E1371">
        <f>[2]TongHop!E1371</f>
        <v>0</v>
      </c>
      <c r="F1371">
        <f>[2]TongHop!F1371</f>
        <v>0</v>
      </c>
      <c r="G1371">
        <f>[2]TongHop!G1371</f>
        <v>0</v>
      </c>
      <c r="H1371">
        <f>[2]TongHop!H1371</f>
        <v>0</v>
      </c>
      <c r="I1371">
        <f>[2]TongHop!I1371</f>
        <v>0</v>
      </c>
      <c r="J1371">
        <f>[2]TongHop!J1371</f>
        <v>0</v>
      </c>
      <c r="K1371">
        <f>[2]TongHop!K1371</f>
        <v>0</v>
      </c>
      <c r="L1371">
        <f>[2]TongHop!L1371</f>
        <v>0</v>
      </c>
      <c r="M1371">
        <f>[2]TongHop!M1371</f>
        <v>0</v>
      </c>
      <c r="N1371">
        <f>[2]TongHop!N1371</f>
        <v>0</v>
      </c>
    </row>
    <row r="1372" spans="1:14">
      <c r="A1372">
        <f>[2]TongHop!A1372</f>
        <v>0</v>
      </c>
      <c r="B1372">
        <f>[2]TongHop!B1372</f>
        <v>0</v>
      </c>
      <c r="C1372">
        <f>[2]TongHop!C1372</f>
        <v>0</v>
      </c>
      <c r="D1372">
        <f>[2]TongHop!D1372</f>
        <v>0</v>
      </c>
      <c r="E1372">
        <f>[2]TongHop!E1372</f>
        <v>0</v>
      </c>
      <c r="F1372">
        <f>[2]TongHop!F1372</f>
        <v>0</v>
      </c>
      <c r="G1372">
        <f>[2]TongHop!G1372</f>
        <v>0</v>
      </c>
      <c r="H1372">
        <f>[2]TongHop!H1372</f>
        <v>0</v>
      </c>
      <c r="I1372">
        <f>[2]TongHop!I1372</f>
        <v>0</v>
      </c>
      <c r="J1372">
        <f>[2]TongHop!J1372</f>
        <v>0</v>
      </c>
      <c r="K1372">
        <f>[2]TongHop!K1372</f>
        <v>0</v>
      </c>
      <c r="L1372">
        <f>[2]TongHop!L1372</f>
        <v>0</v>
      </c>
      <c r="M1372">
        <f>[2]TongHop!M1372</f>
        <v>0</v>
      </c>
      <c r="N1372">
        <f>[2]TongHop!N1372</f>
        <v>0</v>
      </c>
    </row>
    <row r="1373" spans="1:14">
      <c r="A1373">
        <f>[2]TongHop!A1373</f>
        <v>0</v>
      </c>
      <c r="B1373">
        <f>[2]TongHop!B1373</f>
        <v>0</v>
      </c>
      <c r="C1373">
        <f>[2]TongHop!C1373</f>
        <v>0</v>
      </c>
      <c r="D1373">
        <f>[2]TongHop!D1373</f>
        <v>0</v>
      </c>
      <c r="E1373">
        <f>[2]TongHop!E1373</f>
        <v>0</v>
      </c>
      <c r="F1373">
        <f>[2]TongHop!F1373</f>
        <v>0</v>
      </c>
      <c r="G1373">
        <f>[2]TongHop!G1373</f>
        <v>0</v>
      </c>
      <c r="H1373">
        <f>[2]TongHop!H1373</f>
        <v>0</v>
      </c>
      <c r="I1373">
        <f>[2]TongHop!I1373</f>
        <v>0</v>
      </c>
      <c r="J1373">
        <f>[2]TongHop!J1373</f>
        <v>0</v>
      </c>
      <c r="K1373">
        <f>[2]TongHop!K1373</f>
        <v>0</v>
      </c>
      <c r="L1373">
        <f>[2]TongHop!L1373</f>
        <v>0</v>
      </c>
      <c r="M1373">
        <f>[2]TongHop!M1373</f>
        <v>0</v>
      </c>
      <c r="N1373">
        <f>[2]TongHop!N1373</f>
        <v>0</v>
      </c>
    </row>
    <row r="1374" spans="1:14">
      <c r="A1374">
        <f>[2]TongHop!A1374</f>
        <v>0</v>
      </c>
      <c r="B1374">
        <f>[2]TongHop!B1374</f>
        <v>0</v>
      </c>
      <c r="C1374">
        <f>[2]TongHop!C1374</f>
        <v>0</v>
      </c>
      <c r="D1374">
        <f>[2]TongHop!D1374</f>
        <v>0</v>
      </c>
      <c r="E1374">
        <f>[2]TongHop!E1374</f>
        <v>0</v>
      </c>
      <c r="F1374">
        <f>[2]TongHop!F1374</f>
        <v>0</v>
      </c>
      <c r="G1374">
        <f>[2]TongHop!G1374</f>
        <v>0</v>
      </c>
      <c r="H1374">
        <f>[2]TongHop!H1374</f>
        <v>0</v>
      </c>
      <c r="I1374">
        <f>[2]TongHop!I1374</f>
        <v>0</v>
      </c>
      <c r="J1374">
        <f>[2]TongHop!J1374</f>
        <v>0</v>
      </c>
      <c r="K1374">
        <f>[2]TongHop!K1374</f>
        <v>0</v>
      </c>
      <c r="L1374">
        <f>[2]TongHop!L1374</f>
        <v>0</v>
      </c>
      <c r="M1374">
        <f>[2]TongHop!M1374</f>
        <v>0</v>
      </c>
      <c r="N1374">
        <f>[2]TongHop!N1374</f>
        <v>0</v>
      </c>
    </row>
    <row r="1375" spans="1:14">
      <c r="A1375">
        <f>[2]TongHop!A1375</f>
        <v>0</v>
      </c>
      <c r="B1375">
        <f>[2]TongHop!B1375</f>
        <v>0</v>
      </c>
      <c r="C1375">
        <f>[2]TongHop!C1375</f>
        <v>0</v>
      </c>
      <c r="D1375">
        <f>[2]TongHop!D1375</f>
        <v>0</v>
      </c>
      <c r="E1375">
        <f>[2]TongHop!E1375</f>
        <v>0</v>
      </c>
      <c r="F1375">
        <f>[2]TongHop!F1375</f>
        <v>0</v>
      </c>
      <c r="G1375">
        <f>[2]TongHop!G1375</f>
        <v>0</v>
      </c>
      <c r="H1375">
        <f>[2]TongHop!H1375</f>
        <v>0</v>
      </c>
      <c r="I1375">
        <f>[2]TongHop!I1375</f>
        <v>0</v>
      </c>
      <c r="J1375">
        <f>[2]TongHop!J1375</f>
        <v>0</v>
      </c>
      <c r="K1375">
        <f>[2]TongHop!K1375</f>
        <v>0</v>
      </c>
      <c r="L1375">
        <f>[2]TongHop!L1375</f>
        <v>0</v>
      </c>
      <c r="M1375">
        <f>[2]TongHop!M1375</f>
        <v>0</v>
      </c>
      <c r="N1375">
        <f>[2]TongHop!N1375</f>
        <v>0</v>
      </c>
    </row>
    <row r="1376" spans="1:14">
      <c r="A1376">
        <f>[2]TongHop!A1376</f>
        <v>0</v>
      </c>
      <c r="B1376">
        <f>[2]TongHop!B1376</f>
        <v>0</v>
      </c>
      <c r="C1376">
        <f>[2]TongHop!C1376</f>
        <v>0</v>
      </c>
      <c r="D1376">
        <f>[2]TongHop!D1376</f>
        <v>0</v>
      </c>
      <c r="E1376">
        <f>[2]TongHop!E1376</f>
        <v>0</v>
      </c>
      <c r="F1376">
        <f>[2]TongHop!F1376</f>
        <v>0</v>
      </c>
      <c r="G1376">
        <f>[2]TongHop!G1376</f>
        <v>0</v>
      </c>
      <c r="H1376">
        <f>[2]TongHop!H1376</f>
        <v>0</v>
      </c>
      <c r="I1376">
        <f>[2]TongHop!I1376</f>
        <v>0</v>
      </c>
      <c r="J1376">
        <f>[2]TongHop!J1376</f>
        <v>0</v>
      </c>
      <c r="K1376">
        <f>[2]TongHop!K1376</f>
        <v>0</v>
      </c>
      <c r="L1376">
        <f>[2]TongHop!L1376</f>
        <v>0</v>
      </c>
      <c r="M1376">
        <f>[2]TongHop!M1376</f>
        <v>0</v>
      </c>
      <c r="N1376">
        <f>[2]TongHop!N1376</f>
        <v>0</v>
      </c>
    </row>
    <row r="1377" spans="1:14">
      <c r="A1377">
        <f>[2]TongHop!A1377</f>
        <v>0</v>
      </c>
      <c r="B1377">
        <f>[2]TongHop!B1377</f>
        <v>0</v>
      </c>
      <c r="C1377">
        <f>[2]TongHop!C1377</f>
        <v>0</v>
      </c>
      <c r="D1377">
        <f>[2]TongHop!D1377</f>
        <v>0</v>
      </c>
      <c r="E1377">
        <f>[2]TongHop!E1377</f>
        <v>0</v>
      </c>
      <c r="F1377">
        <f>[2]TongHop!F1377</f>
        <v>0</v>
      </c>
      <c r="G1377">
        <f>[2]TongHop!G1377</f>
        <v>0</v>
      </c>
      <c r="H1377">
        <f>[2]TongHop!H1377</f>
        <v>0</v>
      </c>
      <c r="I1377">
        <f>[2]TongHop!I1377</f>
        <v>0</v>
      </c>
      <c r="J1377">
        <f>[2]TongHop!J1377</f>
        <v>0</v>
      </c>
      <c r="K1377">
        <f>[2]TongHop!K1377</f>
        <v>0</v>
      </c>
      <c r="L1377">
        <f>[2]TongHop!L1377</f>
        <v>0</v>
      </c>
      <c r="M1377">
        <f>[2]TongHop!M1377</f>
        <v>0</v>
      </c>
      <c r="N1377">
        <f>[2]TongHop!N1377</f>
        <v>0</v>
      </c>
    </row>
    <row r="1378" spans="1:14">
      <c r="A1378">
        <f>[2]TongHop!A1378</f>
        <v>0</v>
      </c>
      <c r="B1378">
        <f>[2]TongHop!B1378</f>
        <v>0</v>
      </c>
      <c r="C1378">
        <f>[2]TongHop!C1378</f>
        <v>0</v>
      </c>
      <c r="D1378">
        <f>[2]TongHop!D1378</f>
        <v>0</v>
      </c>
      <c r="E1378">
        <f>[2]TongHop!E1378</f>
        <v>0</v>
      </c>
      <c r="F1378">
        <f>[2]TongHop!F1378</f>
        <v>0</v>
      </c>
      <c r="G1378">
        <f>[2]TongHop!G1378</f>
        <v>0</v>
      </c>
      <c r="H1378">
        <f>[2]TongHop!H1378</f>
        <v>0</v>
      </c>
      <c r="I1378">
        <f>[2]TongHop!I1378</f>
        <v>0</v>
      </c>
      <c r="J1378">
        <f>[2]TongHop!J1378</f>
        <v>0</v>
      </c>
      <c r="K1378">
        <f>[2]TongHop!K1378</f>
        <v>0</v>
      </c>
      <c r="L1378">
        <f>[2]TongHop!L1378</f>
        <v>0</v>
      </c>
      <c r="M1378">
        <f>[2]TongHop!M1378</f>
        <v>0</v>
      </c>
      <c r="N1378">
        <f>[2]TongHop!N1378</f>
        <v>0</v>
      </c>
    </row>
    <row r="1379" spans="1:14">
      <c r="A1379">
        <f>[2]TongHop!A1379</f>
        <v>0</v>
      </c>
      <c r="B1379">
        <f>[2]TongHop!B1379</f>
        <v>0</v>
      </c>
      <c r="C1379">
        <f>[2]TongHop!C1379</f>
        <v>0</v>
      </c>
      <c r="D1379">
        <f>[2]TongHop!D1379</f>
        <v>0</v>
      </c>
      <c r="E1379">
        <f>[2]TongHop!E1379</f>
        <v>0</v>
      </c>
      <c r="F1379">
        <f>[2]TongHop!F1379</f>
        <v>0</v>
      </c>
      <c r="G1379">
        <f>[2]TongHop!G1379</f>
        <v>0</v>
      </c>
      <c r="H1379">
        <f>[2]TongHop!H1379</f>
        <v>0</v>
      </c>
      <c r="I1379">
        <f>[2]TongHop!I1379</f>
        <v>0</v>
      </c>
      <c r="J1379">
        <f>[2]TongHop!J1379</f>
        <v>0</v>
      </c>
      <c r="K1379">
        <f>[2]TongHop!K1379</f>
        <v>0</v>
      </c>
      <c r="L1379">
        <f>[2]TongHop!L1379</f>
        <v>0</v>
      </c>
      <c r="M1379">
        <f>[2]TongHop!M1379</f>
        <v>0</v>
      </c>
      <c r="N1379">
        <f>[2]TongHop!N1379</f>
        <v>0</v>
      </c>
    </row>
    <row r="1380" spans="1:14">
      <c r="A1380">
        <f>[2]TongHop!A1380</f>
        <v>0</v>
      </c>
      <c r="B1380">
        <f>[2]TongHop!B1380</f>
        <v>0</v>
      </c>
      <c r="C1380">
        <f>[2]TongHop!C1380</f>
        <v>0</v>
      </c>
      <c r="D1380">
        <f>[2]TongHop!D1380</f>
        <v>0</v>
      </c>
      <c r="E1380">
        <f>[2]TongHop!E1380</f>
        <v>0</v>
      </c>
      <c r="F1380">
        <f>[2]TongHop!F1380</f>
        <v>0</v>
      </c>
      <c r="G1380">
        <f>[2]TongHop!G1380</f>
        <v>0</v>
      </c>
      <c r="H1380">
        <f>[2]TongHop!H1380</f>
        <v>0</v>
      </c>
      <c r="I1380">
        <f>[2]TongHop!I1380</f>
        <v>0</v>
      </c>
      <c r="J1380">
        <f>[2]TongHop!J1380</f>
        <v>0</v>
      </c>
      <c r="K1380">
        <f>[2]TongHop!K1380</f>
        <v>0</v>
      </c>
      <c r="L1380">
        <f>[2]TongHop!L1380</f>
        <v>0</v>
      </c>
      <c r="M1380">
        <f>[2]TongHop!M1380</f>
        <v>0</v>
      </c>
      <c r="N1380">
        <f>[2]TongHop!N1380</f>
        <v>0</v>
      </c>
    </row>
    <row r="1381" spans="1:14">
      <c r="A1381">
        <f>[2]TongHop!A1381</f>
        <v>0</v>
      </c>
      <c r="B1381">
        <f>[2]TongHop!B1381</f>
        <v>0</v>
      </c>
      <c r="C1381">
        <f>[2]TongHop!C1381</f>
        <v>0</v>
      </c>
      <c r="D1381">
        <f>[2]TongHop!D1381</f>
        <v>0</v>
      </c>
      <c r="E1381">
        <f>[2]TongHop!E1381</f>
        <v>0</v>
      </c>
      <c r="F1381">
        <f>[2]TongHop!F1381</f>
        <v>0</v>
      </c>
      <c r="G1381">
        <f>[2]TongHop!G1381</f>
        <v>0</v>
      </c>
      <c r="H1381">
        <f>[2]TongHop!H1381</f>
        <v>0</v>
      </c>
      <c r="I1381">
        <f>[2]TongHop!I1381</f>
        <v>0</v>
      </c>
      <c r="J1381">
        <f>[2]TongHop!J1381</f>
        <v>0</v>
      </c>
      <c r="K1381">
        <f>[2]TongHop!K1381</f>
        <v>0</v>
      </c>
      <c r="L1381">
        <f>[2]TongHop!L1381</f>
        <v>0</v>
      </c>
      <c r="M1381">
        <f>[2]TongHop!M1381</f>
        <v>0</v>
      </c>
      <c r="N1381">
        <f>[2]TongHop!N1381</f>
        <v>0</v>
      </c>
    </row>
    <row r="1382" spans="1:14">
      <c r="A1382">
        <f>[2]TongHop!A1382</f>
        <v>0</v>
      </c>
      <c r="B1382">
        <f>[2]TongHop!B1382</f>
        <v>0</v>
      </c>
      <c r="C1382">
        <f>[2]TongHop!C1382</f>
        <v>0</v>
      </c>
      <c r="D1382">
        <f>[2]TongHop!D1382</f>
        <v>0</v>
      </c>
      <c r="E1382">
        <f>[2]TongHop!E1382</f>
        <v>0</v>
      </c>
      <c r="F1382">
        <f>[2]TongHop!F1382</f>
        <v>0</v>
      </c>
      <c r="G1382">
        <f>[2]TongHop!G1382</f>
        <v>0</v>
      </c>
      <c r="H1382">
        <f>[2]TongHop!H1382</f>
        <v>0</v>
      </c>
      <c r="I1382">
        <f>[2]TongHop!I1382</f>
        <v>0</v>
      </c>
      <c r="J1382">
        <f>[2]TongHop!J1382</f>
        <v>0</v>
      </c>
      <c r="K1382">
        <f>[2]TongHop!K1382</f>
        <v>0</v>
      </c>
      <c r="L1382">
        <f>[2]TongHop!L1382</f>
        <v>0</v>
      </c>
      <c r="M1382">
        <f>[2]TongHop!M1382</f>
        <v>0</v>
      </c>
      <c r="N1382">
        <f>[2]TongHop!N1382</f>
        <v>0</v>
      </c>
    </row>
    <row r="1383" spans="1:14">
      <c r="A1383">
        <f>[2]TongHop!A1383</f>
        <v>0</v>
      </c>
      <c r="B1383">
        <f>[2]TongHop!B1383</f>
        <v>0</v>
      </c>
      <c r="C1383">
        <f>[2]TongHop!C1383</f>
        <v>0</v>
      </c>
      <c r="D1383">
        <f>[2]TongHop!D1383</f>
        <v>0</v>
      </c>
      <c r="E1383">
        <f>[2]TongHop!E1383</f>
        <v>0</v>
      </c>
      <c r="F1383">
        <f>[2]TongHop!F1383</f>
        <v>0</v>
      </c>
      <c r="G1383">
        <f>[2]TongHop!G1383</f>
        <v>0</v>
      </c>
      <c r="H1383">
        <f>[2]TongHop!H1383</f>
        <v>0</v>
      </c>
      <c r="I1383">
        <f>[2]TongHop!I1383</f>
        <v>0</v>
      </c>
      <c r="J1383">
        <f>[2]TongHop!J1383</f>
        <v>0</v>
      </c>
      <c r="K1383">
        <f>[2]TongHop!K1383</f>
        <v>0</v>
      </c>
      <c r="L1383">
        <f>[2]TongHop!L1383</f>
        <v>0</v>
      </c>
      <c r="M1383">
        <f>[2]TongHop!M1383</f>
        <v>0</v>
      </c>
      <c r="N1383">
        <f>[2]TongHop!N1383</f>
        <v>0</v>
      </c>
    </row>
    <row r="1384" spans="1:14">
      <c r="A1384">
        <f>[2]TongHop!A1384</f>
        <v>0</v>
      </c>
      <c r="B1384">
        <f>[2]TongHop!B1384</f>
        <v>0</v>
      </c>
      <c r="C1384">
        <f>[2]TongHop!C1384</f>
        <v>0</v>
      </c>
      <c r="D1384">
        <f>[2]TongHop!D1384</f>
        <v>0</v>
      </c>
      <c r="E1384">
        <f>[2]TongHop!E1384</f>
        <v>0</v>
      </c>
      <c r="F1384">
        <f>[2]TongHop!F1384</f>
        <v>0</v>
      </c>
      <c r="G1384">
        <f>[2]TongHop!G1384</f>
        <v>0</v>
      </c>
      <c r="H1384">
        <f>[2]TongHop!H1384</f>
        <v>0</v>
      </c>
      <c r="I1384">
        <f>[2]TongHop!I1384</f>
        <v>0</v>
      </c>
      <c r="J1384">
        <f>[2]TongHop!J1384</f>
        <v>0</v>
      </c>
      <c r="K1384">
        <f>[2]TongHop!K1384</f>
        <v>0</v>
      </c>
      <c r="L1384">
        <f>[2]TongHop!L1384</f>
        <v>0</v>
      </c>
      <c r="M1384">
        <f>[2]TongHop!M1384</f>
        <v>0</v>
      </c>
      <c r="N1384">
        <f>[2]TongHop!N1384</f>
        <v>0</v>
      </c>
    </row>
    <row r="1385" spans="1:14">
      <c r="A1385">
        <f>[2]TongHop!A1385</f>
        <v>0</v>
      </c>
      <c r="B1385">
        <f>[2]TongHop!B1385</f>
        <v>0</v>
      </c>
      <c r="C1385">
        <f>[2]TongHop!C1385</f>
        <v>0</v>
      </c>
      <c r="D1385">
        <f>[2]TongHop!D1385</f>
        <v>0</v>
      </c>
      <c r="E1385">
        <f>[2]TongHop!E1385</f>
        <v>0</v>
      </c>
      <c r="F1385">
        <f>[2]TongHop!F1385</f>
        <v>0</v>
      </c>
      <c r="G1385">
        <f>[2]TongHop!G1385</f>
        <v>0</v>
      </c>
      <c r="H1385">
        <f>[2]TongHop!H1385</f>
        <v>0</v>
      </c>
      <c r="I1385">
        <f>[2]TongHop!I1385</f>
        <v>0</v>
      </c>
      <c r="J1385">
        <f>[2]TongHop!J1385</f>
        <v>0</v>
      </c>
      <c r="K1385">
        <f>[2]TongHop!K1385</f>
        <v>0</v>
      </c>
      <c r="L1385">
        <f>[2]TongHop!L1385</f>
        <v>0</v>
      </c>
      <c r="M1385">
        <f>[2]TongHop!M1385</f>
        <v>0</v>
      </c>
      <c r="N1385">
        <f>[2]TongHop!N1385</f>
        <v>0</v>
      </c>
    </row>
    <row r="1386" spans="1:14">
      <c r="A1386">
        <f>[2]TongHop!A1386</f>
        <v>0</v>
      </c>
      <c r="B1386">
        <f>[2]TongHop!B1386</f>
        <v>0</v>
      </c>
      <c r="C1386">
        <f>[2]TongHop!C1386</f>
        <v>0</v>
      </c>
      <c r="D1386">
        <f>[2]TongHop!D1386</f>
        <v>0</v>
      </c>
      <c r="E1386">
        <f>[2]TongHop!E1386</f>
        <v>0</v>
      </c>
      <c r="F1386">
        <f>[2]TongHop!F1386</f>
        <v>0</v>
      </c>
      <c r="G1386">
        <f>[2]TongHop!G1386</f>
        <v>0</v>
      </c>
      <c r="H1386">
        <f>[2]TongHop!H1386</f>
        <v>0</v>
      </c>
      <c r="I1386">
        <f>[2]TongHop!I1386</f>
        <v>0</v>
      </c>
      <c r="J1386">
        <f>[2]TongHop!J1386</f>
        <v>0</v>
      </c>
      <c r="K1386">
        <f>[2]TongHop!K1386</f>
        <v>0</v>
      </c>
      <c r="L1386">
        <f>[2]TongHop!L1386</f>
        <v>0</v>
      </c>
      <c r="M1386">
        <f>[2]TongHop!M1386</f>
        <v>0</v>
      </c>
      <c r="N1386">
        <f>[2]TongHop!N1386</f>
        <v>0</v>
      </c>
    </row>
    <row r="1387" spans="1:14">
      <c r="A1387">
        <f>[2]TongHop!A1387</f>
        <v>0</v>
      </c>
      <c r="B1387">
        <f>[2]TongHop!B1387</f>
        <v>0</v>
      </c>
      <c r="C1387">
        <f>[2]TongHop!C1387</f>
        <v>0</v>
      </c>
      <c r="D1387">
        <f>[2]TongHop!D1387</f>
        <v>0</v>
      </c>
      <c r="E1387">
        <f>[2]TongHop!E1387</f>
        <v>0</v>
      </c>
      <c r="F1387">
        <f>[2]TongHop!F1387</f>
        <v>0</v>
      </c>
      <c r="G1387">
        <f>[2]TongHop!G1387</f>
        <v>0</v>
      </c>
      <c r="H1387">
        <f>[2]TongHop!H1387</f>
        <v>0</v>
      </c>
      <c r="I1387">
        <f>[2]TongHop!I1387</f>
        <v>0</v>
      </c>
      <c r="J1387">
        <f>[2]TongHop!J1387</f>
        <v>0</v>
      </c>
      <c r="K1387">
        <f>[2]TongHop!K1387</f>
        <v>0</v>
      </c>
      <c r="L1387">
        <f>[2]TongHop!L1387</f>
        <v>0</v>
      </c>
      <c r="M1387">
        <f>[2]TongHop!M1387</f>
        <v>0</v>
      </c>
      <c r="N1387">
        <f>[2]TongHop!N1387</f>
        <v>0</v>
      </c>
    </row>
    <row r="1388" spans="1:14">
      <c r="A1388">
        <f>[2]TongHop!A1388</f>
        <v>0</v>
      </c>
      <c r="B1388">
        <f>[2]TongHop!B1388</f>
        <v>0</v>
      </c>
      <c r="C1388">
        <f>[2]TongHop!C1388</f>
        <v>0</v>
      </c>
      <c r="D1388">
        <f>[2]TongHop!D1388</f>
        <v>0</v>
      </c>
      <c r="E1388">
        <f>[2]TongHop!E1388</f>
        <v>0</v>
      </c>
      <c r="F1388">
        <f>[2]TongHop!F1388</f>
        <v>0</v>
      </c>
      <c r="G1388">
        <f>[2]TongHop!G1388</f>
        <v>0</v>
      </c>
      <c r="H1388">
        <f>[2]TongHop!H1388</f>
        <v>0</v>
      </c>
      <c r="I1388">
        <f>[2]TongHop!I1388</f>
        <v>0</v>
      </c>
      <c r="J1388">
        <f>[2]TongHop!J1388</f>
        <v>0</v>
      </c>
      <c r="K1388">
        <f>[2]TongHop!K1388</f>
        <v>0</v>
      </c>
      <c r="L1388">
        <f>[2]TongHop!L1388</f>
        <v>0</v>
      </c>
      <c r="M1388">
        <f>[2]TongHop!M1388</f>
        <v>0</v>
      </c>
      <c r="N1388">
        <f>[2]TongHop!N1388</f>
        <v>0</v>
      </c>
    </row>
    <row r="1389" spans="1:14">
      <c r="A1389">
        <f>[2]TongHop!A1389</f>
        <v>0</v>
      </c>
      <c r="B1389">
        <f>[2]TongHop!B1389</f>
        <v>0</v>
      </c>
      <c r="C1389">
        <f>[2]TongHop!C1389</f>
        <v>0</v>
      </c>
      <c r="D1389">
        <f>[2]TongHop!D1389</f>
        <v>0</v>
      </c>
      <c r="E1389">
        <f>[2]TongHop!E1389</f>
        <v>0</v>
      </c>
      <c r="F1389">
        <f>[2]TongHop!F1389</f>
        <v>0</v>
      </c>
      <c r="G1389">
        <f>[2]TongHop!G1389</f>
        <v>0</v>
      </c>
      <c r="H1389">
        <f>[2]TongHop!H1389</f>
        <v>0</v>
      </c>
      <c r="I1389">
        <f>[2]TongHop!I1389</f>
        <v>0</v>
      </c>
      <c r="J1389">
        <f>[2]TongHop!J1389</f>
        <v>0</v>
      </c>
      <c r="K1389">
        <f>[2]TongHop!K1389</f>
        <v>0</v>
      </c>
      <c r="L1389">
        <f>[2]TongHop!L1389</f>
        <v>0</v>
      </c>
      <c r="M1389">
        <f>[2]TongHop!M1389</f>
        <v>0</v>
      </c>
      <c r="N1389">
        <f>[2]TongHop!N1389</f>
        <v>0</v>
      </c>
    </row>
    <row r="1390" spans="1:14">
      <c r="A1390">
        <f>[2]TongHop!A1390</f>
        <v>0</v>
      </c>
      <c r="B1390">
        <f>[2]TongHop!B1390</f>
        <v>0</v>
      </c>
      <c r="C1390">
        <f>[2]TongHop!C1390</f>
        <v>0</v>
      </c>
      <c r="D1390">
        <f>[2]TongHop!D1390</f>
        <v>0</v>
      </c>
      <c r="E1390">
        <f>[2]TongHop!E1390</f>
        <v>0</v>
      </c>
      <c r="F1390">
        <f>[2]TongHop!F1390</f>
        <v>0</v>
      </c>
      <c r="G1390">
        <f>[2]TongHop!G1390</f>
        <v>0</v>
      </c>
      <c r="H1390">
        <f>[2]TongHop!H1390</f>
        <v>0</v>
      </c>
      <c r="I1390">
        <f>[2]TongHop!I1390</f>
        <v>0</v>
      </c>
      <c r="J1390">
        <f>[2]TongHop!J1390</f>
        <v>0</v>
      </c>
      <c r="K1390">
        <f>[2]TongHop!K1390</f>
        <v>0</v>
      </c>
      <c r="L1390">
        <f>[2]TongHop!L1390</f>
        <v>0</v>
      </c>
      <c r="M1390">
        <f>[2]TongHop!M1390</f>
        <v>0</v>
      </c>
      <c r="N1390">
        <f>[2]TongHop!N1390</f>
        <v>0</v>
      </c>
    </row>
    <row r="1391" spans="1:14">
      <c r="A1391">
        <f>[2]TongHop!A1391</f>
        <v>0</v>
      </c>
      <c r="B1391">
        <f>[2]TongHop!B1391</f>
        <v>0</v>
      </c>
      <c r="C1391">
        <f>[2]TongHop!C1391</f>
        <v>0</v>
      </c>
      <c r="D1391">
        <f>[2]TongHop!D1391</f>
        <v>0</v>
      </c>
      <c r="E1391">
        <f>[2]TongHop!E1391</f>
        <v>0</v>
      </c>
      <c r="F1391">
        <f>[2]TongHop!F1391</f>
        <v>0</v>
      </c>
      <c r="G1391">
        <f>[2]TongHop!G1391</f>
        <v>0</v>
      </c>
      <c r="H1391">
        <f>[2]TongHop!H1391</f>
        <v>0</v>
      </c>
      <c r="I1391">
        <f>[2]TongHop!I1391</f>
        <v>0</v>
      </c>
      <c r="J1391">
        <f>[2]TongHop!J1391</f>
        <v>0</v>
      </c>
      <c r="K1391">
        <f>[2]TongHop!K1391</f>
        <v>0</v>
      </c>
      <c r="L1391">
        <f>[2]TongHop!L1391</f>
        <v>0</v>
      </c>
      <c r="M1391">
        <f>[2]TongHop!M1391</f>
        <v>0</v>
      </c>
      <c r="N1391">
        <f>[2]TongHop!N1391</f>
        <v>0</v>
      </c>
    </row>
    <row r="1392" spans="1:14">
      <c r="A1392">
        <f>[2]TongHop!A1392</f>
        <v>0</v>
      </c>
      <c r="B1392">
        <f>[2]TongHop!B1392</f>
        <v>0</v>
      </c>
      <c r="C1392">
        <f>[2]TongHop!C1392</f>
        <v>0</v>
      </c>
      <c r="D1392">
        <f>[2]TongHop!D1392</f>
        <v>0</v>
      </c>
      <c r="E1392">
        <f>[2]TongHop!E1392</f>
        <v>0</v>
      </c>
      <c r="F1392">
        <f>[2]TongHop!F1392</f>
        <v>0</v>
      </c>
      <c r="G1392">
        <f>[2]TongHop!G1392</f>
        <v>0</v>
      </c>
      <c r="H1392">
        <f>[2]TongHop!H1392</f>
        <v>0</v>
      </c>
      <c r="I1392">
        <f>[2]TongHop!I1392</f>
        <v>0</v>
      </c>
      <c r="J1392">
        <f>[2]TongHop!J1392</f>
        <v>0</v>
      </c>
      <c r="K1392">
        <f>[2]TongHop!K1392</f>
        <v>0</v>
      </c>
      <c r="L1392">
        <f>[2]TongHop!L1392</f>
        <v>0</v>
      </c>
      <c r="M1392">
        <f>[2]TongHop!M1392</f>
        <v>0</v>
      </c>
      <c r="N1392">
        <f>[2]TongHop!N1392</f>
        <v>0</v>
      </c>
    </row>
    <row r="1393" spans="1:14">
      <c r="A1393">
        <f>[2]TongHop!A1393</f>
        <v>0</v>
      </c>
      <c r="B1393">
        <f>[2]TongHop!B1393</f>
        <v>0</v>
      </c>
      <c r="C1393">
        <f>[2]TongHop!C1393</f>
        <v>0</v>
      </c>
      <c r="D1393">
        <f>[2]TongHop!D1393</f>
        <v>0</v>
      </c>
      <c r="E1393">
        <f>[2]TongHop!E1393</f>
        <v>0</v>
      </c>
      <c r="F1393">
        <f>[2]TongHop!F1393</f>
        <v>0</v>
      </c>
      <c r="G1393">
        <f>[2]TongHop!G1393</f>
        <v>0</v>
      </c>
      <c r="H1393">
        <f>[2]TongHop!H1393</f>
        <v>0</v>
      </c>
      <c r="I1393">
        <f>[2]TongHop!I1393</f>
        <v>0</v>
      </c>
      <c r="J1393">
        <f>[2]TongHop!J1393</f>
        <v>0</v>
      </c>
      <c r="K1393">
        <f>[2]TongHop!K1393</f>
        <v>0</v>
      </c>
      <c r="L1393">
        <f>[2]TongHop!L1393</f>
        <v>0</v>
      </c>
      <c r="M1393">
        <f>[2]TongHop!M1393</f>
        <v>0</v>
      </c>
      <c r="N1393">
        <f>[2]TongHop!N1393</f>
        <v>0</v>
      </c>
    </row>
    <row r="1394" spans="1:14">
      <c r="A1394">
        <f>[2]TongHop!A1394</f>
        <v>0</v>
      </c>
      <c r="B1394">
        <f>[2]TongHop!B1394</f>
        <v>0</v>
      </c>
      <c r="C1394">
        <f>[2]TongHop!C1394</f>
        <v>0</v>
      </c>
      <c r="D1394">
        <f>[2]TongHop!D1394</f>
        <v>0</v>
      </c>
      <c r="E1394">
        <f>[2]TongHop!E1394</f>
        <v>0</v>
      </c>
      <c r="F1394">
        <f>[2]TongHop!F1394</f>
        <v>0</v>
      </c>
      <c r="G1394">
        <f>[2]TongHop!G1394</f>
        <v>0</v>
      </c>
      <c r="H1394">
        <f>[2]TongHop!H1394</f>
        <v>0</v>
      </c>
      <c r="I1394">
        <f>[2]TongHop!I1394</f>
        <v>0</v>
      </c>
      <c r="J1394">
        <f>[2]TongHop!J1394</f>
        <v>0</v>
      </c>
      <c r="K1394">
        <f>[2]TongHop!K1394</f>
        <v>0</v>
      </c>
      <c r="L1394">
        <f>[2]TongHop!L1394</f>
        <v>0</v>
      </c>
      <c r="M1394">
        <f>[2]TongHop!M1394</f>
        <v>0</v>
      </c>
      <c r="N1394">
        <f>[2]TongHop!N1394</f>
        <v>0</v>
      </c>
    </row>
    <row r="1395" spans="1:14">
      <c r="A1395">
        <f>[2]TongHop!A1395</f>
        <v>0</v>
      </c>
      <c r="B1395">
        <f>[2]TongHop!B1395</f>
        <v>0</v>
      </c>
      <c r="C1395">
        <f>[2]TongHop!C1395</f>
        <v>0</v>
      </c>
      <c r="D1395">
        <f>[2]TongHop!D1395</f>
        <v>0</v>
      </c>
      <c r="E1395">
        <f>[2]TongHop!E1395</f>
        <v>0</v>
      </c>
      <c r="F1395">
        <f>[2]TongHop!F1395</f>
        <v>0</v>
      </c>
      <c r="G1395">
        <f>[2]TongHop!G1395</f>
        <v>0</v>
      </c>
      <c r="H1395">
        <f>[2]TongHop!H1395</f>
        <v>0</v>
      </c>
      <c r="I1395">
        <f>[2]TongHop!I1395</f>
        <v>0</v>
      </c>
      <c r="J1395">
        <f>[2]TongHop!J1395</f>
        <v>0</v>
      </c>
      <c r="K1395">
        <f>[2]TongHop!K1395</f>
        <v>0</v>
      </c>
      <c r="L1395">
        <f>[2]TongHop!L1395</f>
        <v>0</v>
      </c>
      <c r="M1395">
        <f>[2]TongHop!M1395</f>
        <v>0</v>
      </c>
      <c r="N1395">
        <f>[2]TongHop!N1395</f>
        <v>0</v>
      </c>
    </row>
    <row r="1396" spans="1:14">
      <c r="A1396">
        <f>[2]TongHop!A1396</f>
        <v>0</v>
      </c>
      <c r="B1396">
        <f>[2]TongHop!B1396</f>
        <v>0</v>
      </c>
      <c r="C1396">
        <f>[2]TongHop!C1396</f>
        <v>0</v>
      </c>
      <c r="D1396">
        <f>[2]TongHop!D1396</f>
        <v>0</v>
      </c>
      <c r="E1396">
        <f>[2]TongHop!E1396</f>
        <v>0</v>
      </c>
      <c r="F1396">
        <f>[2]TongHop!F1396</f>
        <v>0</v>
      </c>
      <c r="G1396">
        <f>[2]TongHop!G1396</f>
        <v>0</v>
      </c>
      <c r="H1396">
        <f>[2]TongHop!H1396</f>
        <v>0</v>
      </c>
      <c r="I1396">
        <f>[2]TongHop!I1396</f>
        <v>0</v>
      </c>
      <c r="J1396">
        <f>[2]TongHop!J1396</f>
        <v>0</v>
      </c>
      <c r="K1396">
        <f>[2]TongHop!K1396</f>
        <v>0</v>
      </c>
      <c r="L1396">
        <f>[2]TongHop!L1396</f>
        <v>0</v>
      </c>
      <c r="M1396">
        <f>[2]TongHop!M1396</f>
        <v>0</v>
      </c>
      <c r="N1396">
        <f>[2]TongHop!N1396</f>
        <v>0</v>
      </c>
    </row>
    <row r="1397" spans="1:14">
      <c r="A1397">
        <f>[2]TongHop!A1397</f>
        <v>0</v>
      </c>
      <c r="B1397">
        <f>[2]TongHop!B1397</f>
        <v>0</v>
      </c>
      <c r="C1397">
        <f>[2]TongHop!C1397</f>
        <v>0</v>
      </c>
      <c r="D1397">
        <f>[2]TongHop!D1397</f>
        <v>0</v>
      </c>
      <c r="E1397">
        <f>[2]TongHop!E1397</f>
        <v>0</v>
      </c>
      <c r="F1397">
        <f>[2]TongHop!F1397</f>
        <v>0</v>
      </c>
      <c r="G1397">
        <f>[2]TongHop!G1397</f>
        <v>0</v>
      </c>
      <c r="H1397">
        <f>[2]TongHop!H1397</f>
        <v>0</v>
      </c>
      <c r="I1397">
        <f>[2]TongHop!I1397</f>
        <v>0</v>
      </c>
      <c r="J1397">
        <f>[2]TongHop!J1397</f>
        <v>0</v>
      </c>
      <c r="K1397">
        <f>[2]TongHop!K1397</f>
        <v>0</v>
      </c>
      <c r="L1397">
        <f>[2]TongHop!L1397</f>
        <v>0</v>
      </c>
      <c r="M1397">
        <f>[2]TongHop!M1397</f>
        <v>0</v>
      </c>
      <c r="N1397">
        <f>[2]TongHop!N1397</f>
        <v>0</v>
      </c>
    </row>
    <row r="1398" spans="1:14">
      <c r="A1398">
        <f>[2]TongHop!A1398</f>
        <v>0</v>
      </c>
      <c r="B1398">
        <f>[2]TongHop!B1398</f>
        <v>0</v>
      </c>
      <c r="C1398">
        <f>[2]TongHop!C1398</f>
        <v>0</v>
      </c>
      <c r="D1398">
        <f>[2]TongHop!D1398</f>
        <v>0</v>
      </c>
      <c r="E1398">
        <f>[2]TongHop!E1398</f>
        <v>0</v>
      </c>
      <c r="F1398">
        <f>[2]TongHop!F1398</f>
        <v>0</v>
      </c>
      <c r="G1398">
        <f>[2]TongHop!G1398</f>
        <v>0</v>
      </c>
      <c r="H1398">
        <f>[2]TongHop!H1398</f>
        <v>0</v>
      </c>
      <c r="I1398">
        <f>[2]TongHop!I1398</f>
        <v>0</v>
      </c>
      <c r="J1398">
        <f>[2]TongHop!J1398</f>
        <v>0</v>
      </c>
      <c r="K1398">
        <f>[2]TongHop!K1398</f>
        <v>0</v>
      </c>
      <c r="L1398">
        <f>[2]TongHop!L1398</f>
        <v>0</v>
      </c>
      <c r="M1398">
        <f>[2]TongHop!M1398</f>
        <v>0</v>
      </c>
      <c r="N1398">
        <f>[2]TongHop!N1398</f>
        <v>0</v>
      </c>
    </row>
    <row r="1399" spans="1:14">
      <c r="A1399">
        <f>[2]TongHop!A1399</f>
        <v>0</v>
      </c>
      <c r="B1399">
        <f>[2]TongHop!B1399</f>
        <v>0</v>
      </c>
      <c r="C1399">
        <f>[2]TongHop!C1399</f>
        <v>0</v>
      </c>
      <c r="D1399">
        <f>[2]TongHop!D1399</f>
        <v>0</v>
      </c>
      <c r="E1399">
        <f>[2]TongHop!E1399</f>
        <v>0</v>
      </c>
      <c r="F1399">
        <f>[2]TongHop!F1399</f>
        <v>0</v>
      </c>
      <c r="G1399">
        <f>[2]TongHop!G1399</f>
        <v>0</v>
      </c>
      <c r="H1399">
        <f>[2]TongHop!H1399</f>
        <v>0</v>
      </c>
      <c r="I1399">
        <f>[2]TongHop!I1399</f>
        <v>0</v>
      </c>
      <c r="J1399">
        <f>[2]TongHop!J1399</f>
        <v>0</v>
      </c>
      <c r="K1399">
        <f>[2]TongHop!K1399</f>
        <v>0</v>
      </c>
      <c r="L1399">
        <f>[2]TongHop!L1399</f>
        <v>0</v>
      </c>
      <c r="M1399">
        <f>[2]TongHop!M1399</f>
        <v>0</v>
      </c>
      <c r="N1399">
        <f>[2]TongHop!N1399</f>
        <v>0</v>
      </c>
    </row>
    <row r="1400" spans="1:14">
      <c r="A1400">
        <f>[2]TongHop!A1400</f>
        <v>0</v>
      </c>
      <c r="B1400">
        <f>[2]TongHop!B1400</f>
        <v>0</v>
      </c>
      <c r="C1400">
        <f>[2]TongHop!C1400</f>
        <v>0</v>
      </c>
      <c r="D1400">
        <f>[2]TongHop!D1400</f>
        <v>0</v>
      </c>
      <c r="E1400">
        <f>[2]TongHop!E1400</f>
        <v>0</v>
      </c>
      <c r="F1400">
        <f>[2]TongHop!F1400</f>
        <v>0</v>
      </c>
      <c r="G1400">
        <f>[2]TongHop!G1400</f>
        <v>0</v>
      </c>
      <c r="H1400">
        <f>[2]TongHop!H1400</f>
        <v>0</v>
      </c>
      <c r="I1400">
        <f>[2]TongHop!I1400</f>
        <v>0</v>
      </c>
      <c r="J1400">
        <f>[2]TongHop!J1400</f>
        <v>0</v>
      </c>
      <c r="K1400">
        <f>[2]TongHop!K1400</f>
        <v>0</v>
      </c>
      <c r="L1400">
        <f>[2]TongHop!L1400</f>
        <v>0</v>
      </c>
      <c r="M1400">
        <f>[2]TongHop!M1400</f>
        <v>0</v>
      </c>
      <c r="N1400">
        <f>[2]TongHop!N1400</f>
        <v>0</v>
      </c>
    </row>
    <row r="1401" spans="1:14">
      <c r="A1401">
        <f>[2]TongHop!A1401</f>
        <v>0</v>
      </c>
      <c r="B1401">
        <f>[2]TongHop!B1401</f>
        <v>0</v>
      </c>
      <c r="C1401">
        <f>[2]TongHop!C1401</f>
        <v>0</v>
      </c>
      <c r="D1401">
        <f>[2]TongHop!D1401</f>
        <v>0</v>
      </c>
      <c r="E1401">
        <f>[2]TongHop!E1401</f>
        <v>0</v>
      </c>
      <c r="F1401">
        <f>[2]TongHop!F1401</f>
        <v>0</v>
      </c>
      <c r="G1401">
        <f>[2]TongHop!G1401</f>
        <v>0</v>
      </c>
      <c r="H1401">
        <f>[2]TongHop!H1401</f>
        <v>0</v>
      </c>
      <c r="I1401">
        <f>[2]TongHop!I1401</f>
        <v>0</v>
      </c>
      <c r="J1401">
        <f>[2]TongHop!J1401</f>
        <v>0</v>
      </c>
      <c r="K1401">
        <f>[2]TongHop!K1401</f>
        <v>0</v>
      </c>
      <c r="L1401">
        <f>[2]TongHop!L1401</f>
        <v>0</v>
      </c>
      <c r="M1401">
        <f>[2]TongHop!M1401</f>
        <v>0</v>
      </c>
      <c r="N1401">
        <f>[2]TongHop!N1401</f>
        <v>0</v>
      </c>
    </row>
    <row r="1402" spans="1:14">
      <c r="A1402">
        <f>[2]TongHop!A1402</f>
        <v>0</v>
      </c>
      <c r="B1402">
        <f>[2]TongHop!B1402</f>
        <v>0</v>
      </c>
      <c r="C1402">
        <f>[2]TongHop!C1402</f>
        <v>0</v>
      </c>
      <c r="D1402">
        <f>[2]TongHop!D1402</f>
        <v>0</v>
      </c>
      <c r="E1402">
        <f>[2]TongHop!E1402</f>
        <v>0</v>
      </c>
      <c r="F1402">
        <f>[2]TongHop!F1402</f>
        <v>0</v>
      </c>
      <c r="G1402">
        <f>[2]TongHop!G1402</f>
        <v>0</v>
      </c>
      <c r="H1402">
        <f>[2]TongHop!H1402</f>
        <v>0</v>
      </c>
      <c r="I1402">
        <f>[2]TongHop!I1402</f>
        <v>0</v>
      </c>
      <c r="J1402">
        <f>[2]TongHop!J1402</f>
        <v>0</v>
      </c>
      <c r="K1402">
        <f>[2]TongHop!K1402</f>
        <v>0</v>
      </c>
      <c r="L1402">
        <f>[2]TongHop!L1402</f>
        <v>0</v>
      </c>
      <c r="M1402">
        <f>[2]TongHop!M1402</f>
        <v>0</v>
      </c>
      <c r="N1402">
        <f>[2]TongHop!N1402</f>
        <v>0</v>
      </c>
    </row>
    <row r="1403" spans="1:14">
      <c r="A1403">
        <f>[2]TongHop!A1403</f>
        <v>0</v>
      </c>
      <c r="B1403">
        <f>[2]TongHop!B1403</f>
        <v>0</v>
      </c>
      <c r="C1403">
        <f>[2]TongHop!C1403</f>
        <v>0</v>
      </c>
      <c r="D1403">
        <f>[2]TongHop!D1403</f>
        <v>0</v>
      </c>
      <c r="E1403">
        <f>[2]TongHop!E1403</f>
        <v>0</v>
      </c>
      <c r="F1403">
        <f>[2]TongHop!F1403</f>
        <v>0</v>
      </c>
      <c r="G1403">
        <f>[2]TongHop!G1403</f>
        <v>0</v>
      </c>
      <c r="H1403">
        <f>[2]TongHop!H1403</f>
        <v>0</v>
      </c>
      <c r="I1403">
        <f>[2]TongHop!I1403</f>
        <v>0</v>
      </c>
      <c r="J1403">
        <f>[2]TongHop!J1403</f>
        <v>0</v>
      </c>
      <c r="K1403">
        <f>[2]TongHop!K1403</f>
        <v>0</v>
      </c>
      <c r="L1403">
        <f>[2]TongHop!L1403</f>
        <v>0</v>
      </c>
      <c r="M1403">
        <f>[2]TongHop!M1403</f>
        <v>0</v>
      </c>
      <c r="N1403">
        <f>[2]TongHop!N1403</f>
        <v>0</v>
      </c>
    </row>
    <row r="1404" spans="1:14">
      <c r="A1404">
        <f>[2]TongHop!A1404</f>
        <v>0</v>
      </c>
      <c r="B1404">
        <f>[2]TongHop!B1404</f>
        <v>0</v>
      </c>
      <c r="C1404">
        <f>[2]TongHop!C1404</f>
        <v>0</v>
      </c>
      <c r="D1404">
        <f>[2]TongHop!D1404</f>
        <v>0</v>
      </c>
      <c r="E1404">
        <f>[2]TongHop!E1404</f>
        <v>0</v>
      </c>
      <c r="F1404">
        <f>[2]TongHop!F1404</f>
        <v>0</v>
      </c>
      <c r="G1404">
        <f>[2]TongHop!G1404</f>
        <v>0</v>
      </c>
      <c r="H1404">
        <f>[2]TongHop!H1404</f>
        <v>0</v>
      </c>
      <c r="I1404">
        <f>[2]TongHop!I1404</f>
        <v>0</v>
      </c>
      <c r="J1404">
        <f>[2]TongHop!J1404</f>
        <v>0</v>
      </c>
      <c r="K1404">
        <f>[2]TongHop!K1404</f>
        <v>0</v>
      </c>
      <c r="L1404">
        <f>[2]TongHop!L1404</f>
        <v>0</v>
      </c>
      <c r="M1404">
        <f>[2]TongHop!M1404</f>
        <v>0</v>
      </c>
      <c r="N1404">
        <f>[2]TongHop!N1404</f>
        <v>0</v>
      </c>
    </row>
    <row r="1405" spans="1:14">
      <c r="A1405">
        <f>[2]TongHop!A1405</f>
        <v>0</v>
      </c>
      <c r="B1405">
        <f>[2]TongHop!B1405</f>
        <v>0</v>
      </c>
      <c r="C1405">
        <f>[2]TongHop!C1405</f>
        <v>0</v>
      </c>
      <c r="D1405">
        <f>[2]TongHop!D1405</f>
        <v>0</v>
      </c>
      <c r="E1405">
        <f>[2]TongHop!E1405</f>
        <v>0</v>
      </c>
      <c r="F1405">
        <f>[2]TongHop!F1405</f>
        <v>0</v>
      </c>
      <c r="G1405">
        <f>[2]TongHop!G1405</f>
        <v>0</v>
      </c>
      <c r="H1405">
        <f>[2]TongHop!H1405</f>
        <v>0</v>
      </c>
      <c r="I1405">
        <f>[2]TongHop!I1405</f>
        <v>0</v>
      </c>
      <c r="J1405">
        <f>[2]TongHop!J1405</f>
        <v>0</v>
      </c>
      <c r="K1405">
        <f>[2]TongHop!K1405</f>
        <v>0</v>
      </c>
      <c r="L1405">
        <f>[2]TongHop!L1405</f>
        <v>0</v>
      </c>
      <c r="M1405">
        <f>[2]TongHop!M1405</f>
        <v>0</v>
      </c>
      <c r="N1405">
        <f>[2]TongHop!N1405</f>
        <v>0</v>
      </c>
    </row>
    <row r="1406" spans="1:14">
      <c r="A1406">
        <f>[2]TongHop!A1406</f>
        <v>0</v>
      </c>
      <c r="B1406">
        <f>[2]TongHop!B1406</f>
        <v>0</v>
      </c>
      <c r="C1406">
        <f>[2]TongHop!C1406</f>
        <v>0</v>
      </c>
      <c r="D1406">
        <f>[2]TongHop!D1406</f>
        <v>0</v>
      </c>
      <c r="E1406">
        <f>[2]TongHop!E1406</f>
        <v>0</v>
      </c>
      <c r="F1406">
        <f>[2]TongHop!F1406</f>
        <v>0</v>
      </c>
      <c r="G1406">
        <f>[2]TongHop!G1406</f>
        <v>0</v>
      </c>
      <c r="H1406">
        <f>[2]TongHop!H1406</f>
        <v>0</v>
      </c>
      <c r="I1406">
        <f>[2]TongHop!I1406</f>
        <v>0</v>
      </c>
      <c r="J1406">
        <f>[2]TongHop!J1406</f>
        <v>0</v>
      </c>
      <c r="K1406">
        <f>[2]TongHop!K1406</f>
        <v>0</v>
      </c>
      <c r="L1406">
        <f>[2]TongHop!L1406</f>
        <v>0</v>
      </c>
      <c r="M1406">
        <f>[2]TongHop!M1406</f>
        <v>0</v>
      </c>
      <c r="N1406">
        <f>[2]TongHop!N1406</f>
        <v>0</v>
      </c>
    </row>
    <row r="1407" spans="1:14">
      <c r="A1407">
        <f>[2]TongHop!A1407</f>
        <v>0</v>
      </c>
      <c r="B1407">
        <f>[2]TongHop!B1407</f>
        <v>0</v>
      </c>
      <c r="C1407">
        <f>[2]TongHop!C1407</f>
        <v>0</v>
      </c>
      <c r="D1407">
        <f>[2]TongHop!D1407</f>
        <v>0</v>
      </c>
      <c r="E1407">
        <f>[2]TongHop!E1407</f>
        <v>0</v>
      </c>
      <c r="F1407">
        <f>[2]TongHop!F1407</f>
        <v>0</v>
      </c>
      <c r="G1407">
        <f>[2]TongHop!G1407</f>
        <v>0</v>
      </c>
      <c r="H1407">
        <f>[2]TongHop!H1407</f>
        <v>0</v>
      </c>
      <c r="I1407">
        <f>[2]TongHop!I1407</f>
        <v>0</v>
      </c>
      <c r="J1407">
        <f>[2]TongHop!J1407</f>
        <v>0</v>
      </c>
      <c r="K1407">
        <f>[2]TongHop!K1407</f>
        <v>0</v>
      </c>
      <c r="L1407">
        <f>[2]TongHop!L1407</f>
        <v>0</v>
      </c>
      <c r="M1407">
        <f>[2]TongHop!M1407</f>
        <v>0</v>
      </c>
      <c r="N1407">
        <f>[2]TongHop!N1407</f>
        <v>0</v>
      </c>
    </row>
    <row r="1408" spans="1:14">
      <c r="A1408">
        <f>[2]TongHop!A1408</f>
        <v>0</v>
      </c>
      <c r="B1408">
        <f>[2]TongHop!B1408</f>
        <v>0</v>
      </c>
      <c r="C1408">
        <f>[2]TongHop!C1408</f>
        <v>0</v>
      </c>
      <c r="D1408">
        <f>[2]TongHop!D1408</f>
        <v>0</v>
      </c>
      <c r="E1408">
        <f>[2]TongHop!E1408</f>
        <v>0</v>
      </c>
      <c r="F1408">
        <f>[2]TongHop!F1408</f>
        <v>0</v>
      </c>
      <c r="G1408">
        <f>[2]TongHop!G1408</f>
        <v>0</v>
      </c>
      <c r="H1408">
        <f>[2]TongHop!H1408</f>
        <v>0</v>
      </c>
      <c r="I1408">
        <f>[2]TongHop!I1408</f>
        <v>0</v>
      </c>
      <c r="J1408">
        <f>[2]TongHop!J1408</f>
        <v>0</v>
      </c>
      <c r="K1408">
        <f>[2]TongHop!K1408</f>
        <v>0</v>
      </c>
      <c r="L1408">
        <f>[2]TongHop!L1408</f>
        <v>0</v>
      </c>
      <c r="M1408">
        <f>[2]TongHop!M1408</f>
        <v>0</v>
      </c>
      <c r="N1408">
        <f>[2]TongHop!N1408</f>
        <v>0</v>
      </c>
    </row>
    <row r="1409" spans="1:14">
      <c r="A1409">
        <f>[2]TongHop!A1409</f>
        <v>0</v>
      </c>
      <c r="B1409">
        <f>[2]TongHop!B1409</f>
        <v>0</v>
      </c>
      <c r="C1409">
        <f>[2]TongHop!C1409</f>
        <v>0</v>
      </c>
      <c r="D1409">
        <f>[2]TongHop!D1409</f>
        <v>0</v>
      </c>
      <c r="E1409">
        <f>[2]TongHop!E1409</f>
        <v>0</v>
      </c>
      <c r="F1409">
        <f>[2]TongHop!F1409</f>
        <v>0</v>
      </c>
      <c r="G1409">
        <f>[2]TongHop!G1409</f>
        <v>0</v>
      </c>
      <c r="H1409">
        <f>[2]TongHop!H1409</f>
        <v>0</v>
      </c>
      <c r="I1409">
        <f>[2]TongHop!I1409</f>
        <v>0</v>
      </c>
      <c r="J1409">
        <f>[2]TongHop!J1409</f>
        <v>0</v>
      </c>
      <c r="K1409">
        <f>[2]TongHop!K1409</f>
        <v>0</v>
      </c>
      <c r="L1409">
        <f>[2]TongHop!L1409</f>
        <v>0</v>
      </c>
      <c r="M1409">
        <f>[2]TongHop!M1409</f>
        <v>0</v>
      </c>
      <c r="N1409">
        <f>[2]TongHop!N1409</f>
        <v>0</v>
      </c>
    </row>
    <row r="1410" spans="1:14">
      <c r="A1410">
        <f>[2]TongHop!A1410</f>
        <v>0</v>
      </c>
      <c r="B1410">
        <f>[2]TongHop!B1410</f>
        <v>0</v>
      </c>
      <c r="C1410">
        <f>[2]TongHop!C1410</f>
        <v>0</v>
      </c>
      <c r="D1410">
        <f>[2]TongHop!D1410</f>
        <v>0</v>
      </c>
      <c r="E1410">
        <f>[2]TongHop!E1410</f>
        <v>0</v>
      </c>
      <c r="F1410">
        <f>[2]TongHop!F1410</f>
        <v>0</v>
      </c>
      <c r="G1410">
        <f>[2]TongHop!G1410</f>
        <v>0</v>
      </c>
      <c r="H1410">
        <f>[2]TongHop!H1410</f>
        <v>0</v>
      </c>
      <c r="I1410">
        <f>[2]TongHop!I1410</f>
        <v>0</v>
      </c>
      <c r="J1410">
        <f>[2]TongHop!J1410</f>
        <v>0</v>
      </c>
      <c r="K1410">
        <f>[2]TongHop!K1410</f>
        <v>0</v>
      </c>
      <c r="L1410">
        <f>[2]TongHop!L1410</f>
        <v>0</v>
      </c>
      <c r="M1410">
        <f>[2]TongHop!M1410</f>
        <v>0</v>
      </c>
      <c r="N1410">
        <f>[2]TongHop!N1410</f>
        <v>0</v>
      </c>
    </row>
    <row r="1411" spans="1:14">
      <c r="A1411">
        <f>[2]TongHop!A1411</f>
        <v>0</v>
      </c>
      <c r="B1411">
        <f>[2]TongHop!B1411</f>
        <v>0</v>
      </c>
      <c r="C1411">
        <f>[2]TongHop!C1411</f>
        <v>0</v>
      </c>
      <c r="D1411">
        <f>[2]TongHop!D1411</f>
        <v>0</v>
      </c>
      <c r="E1411">
        <f>[2]TongHop!E1411</f>
        <v>0</v>
      </c>
      <c r="F1411">
        <f>[2]TongHop!F1411</f>
        <v>0</v>
      </c>
      <c r="G1411">
        <f>[2]TongHop!G1411</f>
        <v>0</v>
      </c>
      <c r="H1411">
        <f>[2]TongHop!H1411</f>
        <v>0</v>
      </c>
      <c r="I1411">
        <f>[2]TongHop!I1411</f>
        <v>0</v>
      </c>
      <c r="J1411">
        <f>[2]TongHop!J1411</f>
        <v>0</v>
      </c>
      <c r="K1411">
        <f>[2]TongHop!K1411</f>
        <v>0</v>
      </c>
      <c r="L1411">
        <f>[2]TongHop!L1411</f>
        <v>0</v>
      </c>
      <c r="M1411">
        <f>[2]TongHop!M1411</f>
        <v>0</v>
      </c>
      <c r="N1411">
        <f>[2]TongHop!N1411</f>
        <v>0</v>
      </c>
    </row>
    <row r="1412" spans="1:14">
      <c r="A1412">
        <f>[2]TongHop!A1412</f>
        <v>0</v>
      </c>
      <c r="B1412">
        <f>[2]TongHop!B1412</f>
        <v>0</v>
      </c>
      <c r="C1412">
        <f>[2]TongHop!C1412</f>
        <v>0</v>
      </c>
      <c r="D1412">
        <f>[2]TongHop!D1412</f>
        <v>0</v>
      </c>
      <c r="E1412">
        <f>[2]TongHop!E1412</f>
        <v>0</v>
      </c>
      <c r="F1412">
        <f>[2]TongHop!F1412</f>
        <v>0</v>
      </c>
      <c r="G1412">
        <f>[2]TongHop!G1412</f>
        <v>0</v>
      </c>
      <c r="H1412">
        <f>[2]TongHop!H1412</f>
        <v>0</v>
      </c>
      <c r="I1412">
        <f>[2]TongHop!I1412</f>
        <v>0</v>
      </c>
      <c r="J1412">
        <f>[2]TongHop!J1412</f>
        <v>0</v>
      </c>
      <c r="K1412">
        <f>[2]TongHop!K1412</f>
        <v>0</v>
      </c>
      <c r="L1412">
        <f>[2]TongHop!L1412</f>
        <v>0</v>
      </c>
      <c r="M1412">
        <f>[2]TongHop!M1412</f>
        <v>0</v>
      </c>
      <c r="N1412">
        <f>[2]TongHop!N1412</f>
        <v>0</v>
      </c>
    </row>
    <row r="1413" spans="1:14">
      <c r="A1413">
        <f>[2]TongHop!A1413</f>
        <v>0</v>
      </c>
      <c r="B1413">
        <f>[2]TongHop!B1413</f>
        <v>0</v>
      </c>
      <c r="C1413">
        <f>[2]TongHop!C1413</f>
        <v>0</v>
      </c>
      <c r="D1413">
        <f>[2]TongHop!D1413</f>
        <v>0</v>
      </c>
      <c r="E1413">
        <f>[2]TongHop!E1413</f>
        <v>0</v>
      </c>
      <c r="F1413">
        <f>[2]TongHop!F1413</f>
        <v>0</v>
      </c>
      <c r="G1413">
        <f>[2]TongHop!G1413</f>
        <v>0</v>
      </c>
      <c r="H1413">
        <f>[2]TongHop!H1413</f>
        <v>0</v>
      </c>
      <c r="I1413">
        <f>[2]TongHop!I1413</f>
        <v>0</v>
      </c>
      <c r="J1413">
        <f>[2]TongHop!J1413</f>
        <v>0</v>
      </c>
      <c r="K1413">
        <f>[2]TongHop!K1413</f>
        <v>0</v>
      </c>
      <c r="L1413">
        <f>[2]TongHop!L1413</f>
        <v>0</v>
      </c>
      <c r="M1413">
        <f>[2]TongHop!M1413</f>
        <v>0</v>
      </c>
      <c r="N1413">
        <f>[2]TongHop!N1413</f>
        <v>0</v>
      </c>
    </row>
    <row r="1414" spans="1:14">
      <c r="A1414">
        <f>[2]TongHop!A1414</f>
        <v>0</v>
      </c>
      <c r="B1414">
        <f>[2]TongHop!B1414</f>
        <v>0</v>
      </c>
      <c r="C1414">
        <f>[2]TongHop!C1414</f>
        <v>0</v>
      </c>
      <c r="D1414">
        <f>[2]TongHop!D1414</f>
        <v>0</v>
      </c>
      <c r="E1414">
        <f>[2]TongHop!E1414</f>
        <v>0</v>
      </c>
      <c r="F1414">
        <f>[2]TongHop!F1414</f>
        <v>0</v>
      </c>
      <c r="G1414">
        <f>[2]TongHop!G1414</f>
        <v>0</v>
      </c>
      <c r="H1414">
        <f>[2]TongHop!H1414</f>
        <v>0</v>
      </c>
      <c r="I1414">
        <f>[2]TongHop!I1414</f>
        <v>0</v>
      </c>
      <c r="J1414">
        <f>[2]TongHop!J1414</f>
        <v>0</v>
      </c>
      <c r="K1414">
        <f>[2]TongHop!K1414</f>
        <v>0</v>
      </c>
      <c r="L1414">
        <f>[2]TongHop!L1414</f>
        <v>0</v>
      </c>
      <c r="M1414">
        <f>[2]TongHop!M1414</f>
        <v>0</v>
      </c>
      <c r="N1414">
        <f>[2]TongHop!N1414</f>
        <v>0</v>
      </c>
    </row>
    <row r="1415" spans="1:14">
      <c r="A1415">
        <f>[2]TongHop!A1415</f>
        <v>0</v>
      </c>
      <c r="B1415">
        <f>[2]TongHop!B1415</f>
        <v>0</v>
      </c>
      <c r="C1415">
        <f>[2]TongHop!C1415</f>
        <v>0</v>
      </c>
      <c r="D1415">
        <f>[2]TongHop!D1415</f>
        <v>0</v>
      </c>
      <c r="E1415">
        <f>[2]TongHop!E1415</f>
        <v>0</v>
      </c>
      <c r="F1415">
        <f>[2]TongHop!F1415</f>
        <v>0</v>
      </c>
      <c r="G1415">
        <f>[2]TongHop!G1415</f>
        <v>0</v>
      </c>
      <c r="H1415">
        <f>[2]TongHop!H1415</f>
        <v>0</v>
      </c>
      <c r="I1415">
        <f>[2]TongHop!I1415</f>
        <v>0</v>
      </c>
      <c r="J1415">
        <f>[2]TongHop!J1415</f>
        <v>0</v>
      </c>
      <c r="K1415">
        <f>[2]TongHop!K1415</f>
        <v>0</v>
      </c>
      <c r="L1415">
        <f>[2]TongHop!L1415</f>
        <v>0</v>
      </c>
      <c r="M1415">
        <f>[2]TongHop!M1415</f>
        <v>0</v>
      </c>
      <c r="N1415">
        <f>[2]TongHop!N1415</f>
        <v>0</v>
      </c>
    </row>
    <row r="1416" spans="1:14">
      <c r="A1416">
        <f>[2]TongHop!A1416</f>
        <v>0</v>
      </c>
      <c r="B1416">
        <f>[2]TongHop!B1416</f>
        <v>0</v>
      </c>
      <c r="C1416">
        <f>[2]TongHop!C1416</f>
        <v>0</v>
      </c>
      <c r="D1416">
        <f>[2]TongHop!D1416</f>
        <v>0</v>
      </c>
      <c r="E1416">
        <f>[2]TongHop!E1416</f>
        <v>0</v>
      </c>
      <c r="F1416">
        <f>[2]TongHop!F1416</f>
        <v>0</v>
      </c>
      <c r="G1416">
        <f>[2]TongHop!G1416</f>
        <v>0</v>
      </c>
      <c r="H1416">
        <f>[2]TongHop!H1416</f>
        <v>0</v>
      </c>
      <c r="I1416">
        <f>[2]TongHop!I1416</f>
        <v>0</v>
      </c>
      <c r="J1416">
        <f>[2]TongHop!J1416</f>
        <v>0</v>
      </c>
      <c r="K1416">
        <f>[2]TongHop!K1416</f>
        <v>0</v>
      </c>
      <c r="L1416">
        <f>[2]TongHop!L1416</f>
        <v>0</v>
      </c>
      <c r="M1416">
        <f>[2]TongHop!M1416</f>
        <v>0</v>
      </c>
      <c r="N1416">
        <f>[2]TongHop!N1416</f>
        <v>0</v>
      </c>
    </row>
    <row r="1417" spans="1:14">
      <c r="A1417">
        <f>[2]TongHop!A1417</f>
        <v>0</v>
      </c>
      <c r="B1417">
        <f>[2]TongHop!B1417</f>
        <v>0</v>
      </c>
      <c r="C1417">
        <f>[2]TongHop!C1417</f>
        <v>0</v>
      </c>
      <c r="D1417">
        <f>[2]TongHop!D1417</f>
        <v>0</v>
      </c>
      <c r="E1417">
        <f>[2]TongHop!E1417</f>
        <v>0</v>
      </c>
      <c r="F1417">
        <f>[2]TongHop!F1417</f>
        <v>0</v>
      </c>
      <c r="G1417">
        <f>[2]TongHop!G1417</f>
        <v>0</v>
      </c>
      <c r="H1417">
        <f>[2]TongHop!H1417</f>
        <v>0</v>
      </c>
      <c r="I1417">
        <f>[2]TongHop!I1417</f>
        <v>0</v>
      </c>
      <c r="J1417">
        <f>[2]TongHop!J1417</f>
        <v>0</v>
      </c>
      <c r="K1417">
        <f>[2]TongHop!K1417</f>
        <v>0</v>
      </c>
      <c r="L1417">
        <f>[2]TongHop!L1417</f>
        <v>0</v>
      </c>
      <c r="M1417">
        <f>[2]TongHop!M1417</f>
        <v>0</v>
      </c>
      <c r="N1417">
        <f>[2]TongHop!N1417</f>
        <v>0</v>
      </c>
    </row>
    <row r="1418" spans="1:14">
      <c r="A1418">
        <f>[2]TongHop!A1418</f>
        <v>0</v>
      </c>
      <c r="B1418">
        <f>[2]TongHop!B1418</f>
        <v>0</v>
      </c>
      <c r="C1418">
        <f>[2]TongHop!C1418</f>
        <v>0</v>
      </c>
      <c r="D1418">
        <f>[2]TongHop!D1418</f>
        <v>0</v>
      </c>
      <c r="E1418">
        <f>[2]TongHop!E1418</f>
        <v>0</v>
      </c>
      <c r="F1418">
        <f>[2]TongHop!F1418</f>
        <v>0</v>
      </c>
      <c r="G1418">
        <f>[2]TongHop!G1418</f>
        <v>0</v>
      </c>
      <c r="H1418">
        <f>[2]TongHop!H1418</f>
        <v>0</v>
      </c>
      <c r="I1418">
        <f>[2]TongHop!I1418</f>
        <v>0</v>
      </c>
      <c r="J1418">
        <f>[2]TongHop!J1418</f>
        <v>0</v>
      </c>
      <c r="K1418">
        <f>[2]TongHop!K1418</f>
        <v>0</v>
      </c>
      <c r="L1418">
        <f>[2]TongHop!L1418</f>
        <v>0</v>
      </c>
      <c r="M1418">
        <f>[2]TongHop!M1418</f>
        <v>0</v>
      </c>
      <c r="N1418">
        <f>[2]TongHop!N1418</f>
        <v>0</v>
      </c>
    </row>
    <row r="1419" spans="1:14">
      <c r="A1419">
        <f>[2]TongHop!A1419</f>
        <v>0</v>
      </c>
      <c r="B1419">
        <f>[2]TongHop!B1419</f>
        <v>0</v>
      </c>
      <c r="C1419">
        <f>[2]TongHop!C1419</f>
        <v>0</v>
      </c>
      <c r="D1419">
        <f>[2]TongHop!D1419</f>
        <v>0</v>
      </c>
      <c r="E1419">
        <f>[2]TongHop!E1419</f>
        <v>0</v>
      </c>
      <c r="F1419">
        <f>[2]TongHop!F1419</f>
        <v>0</v>
      </c>
      <c r="G1419">
        <f>[2]TongHop!G1419</f>
        <v>0</v>
      </c>
      <c r="H1419">
        <f>[2]TongHop!H1419</f>
        <v>0</v>
      </c>
      <c r="I1419">
        <f>[2]TongHop!I1419</f>
        <v>0</v>
      </c>
      <c r="J1419">
        <f>[2]TongHop!J1419</f>
        <v>0</v>
      </c>
      <c r="K1419">
        <f>[2]TongHop!K1419</f>
        <v>0</v>
      </c>
      <c r="L1419">
        <f>[2]TongHop!L1419</f>
        <v>0</v>
      </c>
      <c r="M1419">
        <f>[2]TongHop!M1419</f>
        <v>0</v>
      </c>
      <c r="N1419">
        <f>[2]TongHop!N1419</f>
        <v>0</v>
      </c>
    </row>
    <row r="1420" spans="1:14">
      <c r="A1420">
        <f>[2]TongHop!A1420</f>
        <v>0</v>
      </c>
      <c r="B1420">
        <f>[2]TongHop!B1420</f>
        <v>0</v>
      </c>
      <c r="C1420">
        <f>[2]TongHop!C1420</f>
        <v>0</v>
      </c>
      <c r="D1420">
        <f>[2]TongHop!D1420</f>
        <v>0</v>
      </c>
      <c r="E1420">
        <f>[2]TongHop!E1420</f>
        <v>0</v>
      </c>
      <c r="F1420">
        <f>[2]TongHop!F1420</f>
        <v>0</v>
      </c>
      <c r="G1420">
        <f>[2]TongHop!G1420</f>
        <v>0</v>
      </c>
      <c r="H1420">
        <f>[2]TongHop!H1420</f>
        <v>0</v>
      </c>
      <c r="I1420">
        <f>[2]TongHop!I1420</f>
        <v>0</v>
      </c>
      <c r="J1420">
        <f>[2]TongHop!J1420</f>
        <v>0</v>
      </c>
      <c r="K1420">
        <f>[2]TongHop!K1420</f>
        <v>0</v>
      </c>
      <c r="L1420">
        <f>[2]TongHop!L1420</f>
        <v>0</v>
      </c>
      <c r="M1420">
        <f>[2]TongHop!M1420</f>
        <v>0</v>
      </c>
      <c r="N1420">
        <f>[2]TongHop!N1420</f>
        <v>0</v>
      </c>
    </row>
    <row r="1421" spans="1:14">
      <c r="A1421">
        <f>[2]TongHop!A1421</f>
        <v>0</v>
      </c>
      <c r="B1421">
        <f>[2]TongHop!B1421</f>
        <v>0</v>
      </c>
      <c r="C1421">
        <f>[2]TongHop!C1421</f>
        <v>0</v>
      </c>
      <c r="D1421">
        <f>[2]TongHop!D1421</f>
        <v>0</v>
      </c>
      <c r="E1421">
        <f>[2]TongHop!E1421</f>
        <v>0</v>
      </c>
      <c r="F1421">
        <f>[2]TongHop!F1421</f>
        <v>0</v>
      </c>
      <c r="G1421">
        <f>[2]TongHop!G1421</f>
        <v>0</v>
      </c>
      <c r="H1421">
        <f>[2]TongHop!H1421</f>
        <v>0</v>
      </c>
      <c r="I1421">
        <f>[2]TongHop!I1421</f>
        <v>0</v>
      </c>
      <c r="J1421">
        <f>[2]TongHop!J1421</f>
        <v>0</v>
      </c>
      <c r="K1421">
        <f>[2]TongHop!K1421</f>
        <v>0</v>
      </c>
      <c r="L1421">
        <f>[2]TongHop!L1421</f>
        <v>0</v>
      </c>
      <c r="M1421">
        <f>[2]TongHop!M1421</f>
        <v>0</v>
      </c>
      <c r="N1421">
        <f>[2]TongHop!N1421</f>
        <v>0</v>
      </c>
    </row>
    <row r="1422" spans="1:14">
      <c r="A1422">
        <f>[2]TongHop!A1422</f>
        <v>0</v>
      </c>
      <c r="B1422">
        <f>[2]TongHop!B1422</f>
        <v>0</v>
      </c>
      <c r="C1422">
        <f>[2]TongHop!C1422</f>
        <v>0</v>
      </c>
      <c r="D1422">
        <f>[2]TongHop!D1422</f>
        <v>0</v>
      </c>
      <c r="E1422">
        <f>[2]TongHop!E1422</f>
        <v>0</v>
      </c>
      <c r="F1422">
        <f>[2]TongHop!F1422</f>
        <v>0</v>
      </c>
      <c r="G1422">
        <f>[2]TongHop!G1422</f>
        <v>0</v>
      </c>
      <c r="H1422">
        <f>[2]TongHop!H1422</f>
        <v>0</v>
      </c>
      <c r="I1422">
        <f>[2]TongHop!I1422</f>
        <v>0</v>
      </c>
      <c r="J1422">
        <f>[2]TongHop!J1422</f>
        <v>0</v>
      </c>
      <c r="K1422">
        <f>[2]TongHop!K1422</f>
        <v>0</v>
      </c>
      <c r="L1422">
        <f>[2]TongHop!L1422</f>
        <v>0</v>
      </c>
      <c r="M1422">
        <f>[2]TongHop!M1422</f>
        <v>0</v>
      </c>
      <c r="N1422">
        <f>[2]TongHop!N1422</f>
        <v>0</v>
      </c>
    </row>
    <row r="1423" spans="1:14">
      <c r="A1423">
        <f>[2]TongHop!A1423</f>
        <v>0</v>
      </c>
      <c r="B1423">
        <f>[2]TongHop!B1423</f>
        <v>0</v>
      </c>
      <c r="C1423">
        <f>[2]TongHop!C1423</f>
        <v>0</v>
      </c>
      <c r="D1423">
        <f>[2]TongHop!D1423</f>
        <v>0</v>
      </c>
      <c r="E1423">
        <f>[2]TongHop!E1423</f>
        <v>0</v>
      </c>
      <c r="F1423">
        <f>[2]TongHop!F1423</f>
        <v>0</v>
      </c>
      <c r="G1423">
        <f>[2]TongHop!G1423</f>
        <v>0</v>
      </c>
      <c r="H1423">
        <f>[2]TongHop!H1423</f>
        <v>0</v>
      </c>
      <c r="I1423">
        <f>[2]TongHop!I1423</f>
        <v>0</v>
      </c>
      <c r="J1423">
        <f>[2]TongHop!J1423</f>
        <v>0</v>
      </c>
      <c r="K1423">
        <f>[2]TongHop!K1423</f>
        <v>0</v>
      </c>
      <c r="L1423">
        <f>[2]TongHop!L1423</f>
        <v>0</v>
      </c>
      <c r="M1423">
        <f>[2]TongHop!M1423</f>
        <v>0</v>
      </c>
      <c r="N1423">
        <f>[2]TongHop!N1423</f>
        <v>0</v>
      </c>
    </row>
    <row r="1424" spans="1:14">
      <c r="A1424">
        <f>[2]TongHop!A1424</f>
        <v>0</v>
      </c>
      <c r="B1424">
        <f>[2]TongHop!B1424</f>
        <v>0</v>
      </c>
      <c r="C1424">
        <f>[2]TongHop!C1424</f>
        <v>0</v>
      </c>
      <c r="D1424">
        <f>[2]TongHop!D1424</f>
        <v>0</v>
      </c>
      <c r="E1424">
        <f>[2]TongHop!E1424</f>
        <v>0</v>
      </c>
      <c r="F1424">
        <f>[2]TongHop!F1424</f>
        <v>0</v>
      </c>
      <c r="G1424">
        <f>[2]TongHop!G1424</f>
        <v>0</v>
      </c>
      <c r="H1424">
        <f>[2]TongHop!H1424</f>
        <v>0</v>
      </c>
      <c r="I1424">
        <f>[2]TongHop!I1424</f>
        <v>0</v>
      </c>
      <c r="J1424">
        <f>[2]TongHop!J1424</f>
        <v>0</v>
      </c>
      <c r="K1424">
        <f>[2]TongHop!K1424</f>
        <v>0</v>
      </c>
      <c r="L1424">
        <f>[2]TongHop!L1424</f>
        <v>0</v>
      </c>
      <c r="M1424">
        <f>[2]TongHop!M1424</f>
        <v>0</v>
      </c>
      <c r="N1424">
        <f>[2]TongHop!N1424</f>
        <v>0</v>
      </c>
    </row>
    <row r="1425" spans="1:14">
      <c r="A1425">
        <f>[2]TongHop!A1425</f>
        <v>0</v>
      </c>
      <c r="B1425">
        <f>[2]TongHop!B1425</f>
        <v>0</v>
      </c>
      <c r="C1425">
        <f>[2]TongHop!C1425</f>
        <v>0</v>
      </c>
      <c r="D1425">
        <f>[2]TongHop!D1425</f>
        <v>0</v>
      </c>
      <c r="E1425">
        <f>[2]TongHop!E1425</f>
        <v>0</v>
      </c>
      <c r="F1425">
        <f>[2]TongHop!F1425</f>
        <v>0</v>
      </c>
      <c r="G1425">
        <f>[2]TongHop!G1425</f>
        <v>0</v>
      </c>
      <c r="H1425">
        <f>[2]TongHop!H1425</f>
        <v>0</v>
      </c>
      <c r="I1425">
        <f>[2]TongHop!I1425</f>
        <v>0</v>
      </c>
      <c r="J1425">
        <f>[2]TongHop!J1425</f>
        <v>0</v>
      </c>
      <c r="K1425">
        <f>[2]TongHop!K1425</f>
        <v>0</v>
      </c>
      <c r="L1425">
        <f>[2]TongHop!L1425</f>
        <v>0</v>
      </c>
      <c r="M1425">
        <f>[2]TongHop!M1425</f>
        <v>0</v>
      </c>
      <c r="N1425">
        <f>[2]TongHop!N1425</f>
        <v>0</v>
      </c>
    </row>
    <row r="1426" spans="1:14">
      <c r="A1426">
        <f>[2]TongHop!A1426</f>
        <v>0</v>
      </c>
      <c r="B1426">
        <f>[2]TongHop!B1426</f>
        <v>0</v>
      </c>
      <c r="C1426">
        <f>[2]TongHop!C1426</f>
        <v>0</v>
      </c>
      <c r="D1426">
        <f>[2]TongHop!D1426</f>
        <v>0</v>
      </c>
      <c r="E1426">
        <f>[2]TongHop!E1426</f>
        <v>0</v>
      </c>
      <c r="F1426">
        <f>[2]TongHop!F1426</f>
        <v>0</v>
      </c>
      <c r="G1426">
        <f>[2]TongHop!G1426</f>
        <v>0</v>
      </c>
      <c r="H1426">
        <f>[2]TongHop!H1426</f>
        <v>0</v>
      </c>
      <c r="I1426">
        <f>[2]TongHop!I1426</f>
        <v>0</v>
      </c>
      <c r="J1426">
        <f>[2]TongHop!J1426</f>
        <v>0</v>
      </c>
      <c r="K1426">
        <f>[2]TongHop!K1426</f>
        <v>0</v>
      </c>
      <c r="L1426">
        <f>[2]TongHop!L1426</f>
        <v>0</v>
      </c>
      <c r="M1426">
        <f>[2]TongHop!M1426</f>
        <v>0</v>
      </c>
      <c r="N1426">
        <f>[2]TongHop!N1426</f>
        <v>0</v>
      </c>
    </row>
    <row r="1427" spans="1:14">
      <c r="A1427">
        <f>[2]TongHop!A1427</f>
        <v>0</v>
      </c>
      <c r="B1427">
        <f>[2]TongHop!B1427</f>
        <v>0</v>
      </c>
      <c r="C1427">
        <f>[2]TongHop!C1427</f>
        <v>0</v>
      </c>
      <c r="D1427">
        <f>[2]TongHop!D1427</f>
        <v>0</v>
      </c>
      <c r="E1427">
        <f>[2]TongHop!E1427</f>
        <v>0</v>
      </c>
      <c r="F1427">
        <f>[2]TongHop!F1427</f>
        <v>0</v>
      </c>
      <c r="G1427">
        <f>[2]TongHop!G1427</f>
        <v>0</v>
      </c>
      <c r="H1427">
        <f>[2]TongHop!H1427</f>
        <v>0</v>
      </c>
      <c r="I1427">
        <f>[2]TongHop!I1427</f>
        <v>0</v>
      </c>
      <c r="J1427">
        <f>[2]TongHop!J1427</f>
        <v>0</v>
      </c>
      <c r="K1427">
        <f>[2]TongHop!K1427</f>
        <v>0</v>
      </c>
      <c r="L1427">
        <f>[2]TongHop!L1427</f>
        <v>0</v>
      </c>
      <c r="M1427">
        <f>[2]TongHop!M1427</f>
        <v>0</v>
      </c>
      <c r="N1427">
        <f>[2]TongHop!N1427</f>
        <v>0</v>
      </c>
    </row>
    <row r="1428" spans="1:14">
      <c r="A1428">
        <f>[2]TongHop!A1428</f>
        <v>0</v>
      </c>
      <c r="B1428">
        <f>[2]TongHop!B1428</f>
        <v>0</v>
      </c>
      <c r="C1428">
        <f>[2]TongHop!C1428</f>
        <v>0</v>
      </c>
      <c r="D1428">
        <f>[2]TongHop!D1428</f>
        <v>0</v>
      </c>
      <c r="E1428">
        <f>[2]TongHop!E1428</f>
        <v>0</v>
      </c>
      <c r="F1428">
        <f>[2]TongHop!F1428</f>
        <v>0</v>
      </c>
      <c r="G1428">
        <f>[2]TongHop!G1428</f>
        <v>0</v>
      </c>
      <c r="H1428">
        <f>[2]TongHop!H1428</f>
        <v>0</v>
      </c>
      <c r="I1428">
        <f>[2]TongHop!I1428</f>
        <v>0</v>
      </c>
      <c r="J1428">
        <f>[2]TongHop!J1428</f>
        <v>0</v>
      </c>
      <c r="K1428">
        <f>[2]TongHop!K1428</f>
        <v>0</v>
      </c>
      <c r="L1428">
        <f>[2]TongHop!L1428</f>
        <v>0</v>
      </c>
      <c r="M1428">
        <f>[2]TongHop!M1428</f>
        <v>0</v>
      </c>
      <c r="N1428">
        <f>[2]TongHop!N1428</f>
        <v>0</v>
      </c>
    </row>
    <row r="1429" spans="1:14">
      <c r="A1429">
        <f>[2]TongHop!A1429</f>
        <v>0</v>
      </c>
      <c r="B1429">
        <f>[2]TongHop!B1429</f>
        <v>0</v>
      </c>
      <c r="C1429">
        <f>[2]TongHop!C1429</f>
        <v>0</v>
      </c>
      <c r="D1429">
        <f>[2]TongHop!D1429</f>
        <v>0</v>
      </c>
      <c r="E1429">
        <f>[2]TongHop!E1429</f>
        <v>0</v>
      </c>
      <c r="F1429">
        <f>[2]TongHop!F1429</f>
        <v>0</v>
      </c>
      <c r="G1429">
        <f>[2]TongHop!G1429</f>
        <v>0</v>
      </c>
      <c r="H1429">
        <f>[2]TongHop!H1429</f>
        <v>0</v>
      </c>
      <c r="I1429">
        <f>[2]TongHop!I1429</f>
        <v>0</v>
      </c>
      <c r="J1429">
        <f>[2]TongHop!J1429</f>
        <v>0</v>
      </c>
      <c r="K1429">
        <f>[2]TongHop!K1429</f>
        <v>0</v>
      </c>
      <c r="L1429">
        <f>[2]TongHop!L1429</f>
        <v>0</v>
      </c>
      <c r="M1429">
        <f>[2]TongHop!M1429</f>
        <v>0</v>
      </c>
      <c r="N1429">
        <f>[2]TongHop!N1429</f>
        <v>0</v>
      </c>
    </row>
    <row r="1430" spans="1:14">
      <c r="A1430">
        <f>[2]TongHop!A1430</f>
        <v>0</v>
      </c>
      <c r="B1430">
        <f>[2]TongHop!B1430</f>
        <v>0</v>
      </c>
      <c r="C1430">
        <f>[2]TongHop!C1430</f>
        <v>0</v>
      </c>
      <c r="D1430">
        <f>[2]TongHop!D1430</f>
        <v>0</v>
      </c>
      <c r="E1430">
        <f>[2]TongHop!E1430</f>
        <v>0</v>
      </c>
      <c r="F1430">
        <f>[2]TongHop!F1430</f>
        <v>0</v>
      </c>
      <c r="G1430">
        <f>[2]TongHop!G1430</f>
        <v>0</v>
      </c>
      <c r="H1430">
        <f>[2]TongHop!H1430</f>
        <v>0</v>
      </c>
      <c r="I1430">
        <f>[2]TongHop!I1430</f>
        <v>0</v>
      </c>
      <c r="J1430">
        <f>[2]TongHop!J1430</f>
        <v>0</v>
      </c>
      <c r="K1430">
        <f>[2]TongHop!K1430</f>
        <v>0</v>
      </c>
      <c r="L1430">
        <f>[2]TongHop!L1430</f>
        <v>0</v>
      </c>
      <c r="M1430">
        <f>[2]TongHop!M1430</f>
        <v>0</v>
      </c>
      <c r="N1430">
        <f>[2]TongHop!N1430</f>
        <v>0</v>
      </c>
    </row>
    <row r="1431" spans="1:14">
      <c r="A1431">
        <f>[2]TongHop!A1431</f>
        <v>0</v>
      </c>
      <c r="B1431">
        <f>[2]TongHop!B1431</f>
        <v>0</v>
      </c>
      <c r="C1431">
        <f>[2]TongHop!C1431</f>
        <v>0</v>
      </c>
      <c r="D1431">
        <f>[2]TongHop!D1431</f>
        <v>0</v>
      </c>
      <c r="E1431">
        <f>[2]TongHop!E1431</f>
        <v>0</v>
      </c>
      <c r="F1431">
        <f>[2]TongHop!F1431</f>
        <v>0</v>
      </c>
      <c r="G1431">
        <f>[2]TongHop!G1431</f>
        <v>0</v>
      </c>
      <c r="H1431">
        <f>[2]TongHop!H1431</f>
        <v>0</v>
      </c>
      <c r="I1431">
        <f>[2]TongHop!I1431</f>
        <v>0</v>
      </c>
      <c r="J1431">
        <f>[2]TongHop!J1431</f>
        <v>0</v>
      </c>
      <c r="K1431">
        <f>[2]TongHop!K1431</f>
        <v>0</v>
      </c>
      <c r="L1431">
        <f>[2]TongHop!L1431</f>
        <v>0</v>
      </c>
      <c r="M1431">
        <f>[2]TongHop!M1431</f>
        <v>0</v>
      </c>
      <c r="N1431">
        <f>[2]TongHop!N1431</f>
        <v>0</v>
      </c>
    </row>
    <row r="1432" spans="1:14">
      <c r="A1432">
        <f>[2]TongHop!A1432</f>
        <v>0</v>
      </c>
      <c r="B1432">
        <f>[2]TongHop!B1432</f>
        <v>0</v>
      </c>
      <c r="C1432">
        <f>[2]TongHop!C1432</f>
        <v>0</v>
      </c>
      <c r="D1432">
        <f>[2]TongHop!D1432</f>
        <v>0</v>
      </c>
      <c r="E1432">
        <f>[2]TongHop!E1432</f>
        <v>0</v>
      </c>
      <c r="F1432">
        <f>[2]TongHop!F1432</f>
        <v>0</v>
      </c>
      <c r="G1432">
        <f>[2]TongHop!G1432</f>
        <v>0</v>
      </c>
      <c r="H1432">
        <f>[2]TongHop!H1432</f>
        <v>0</v>
      </c>
      <c r="I1432">
        <f>[2]TongHop!I1432</f>
        <v>0</v>
      </c>
      <c r="J1432">
        <f>[2]TongHop!J1432</f>
        <v>0</v>
      </c>
      <c r="K1432">
        <f>[2]TongHop!K1432</f>
        <v>0</v>
      </c>
      <c r="L1432">
        <f>[2]TongHop!L1432</f>
        <v>0</v>
      </c>
      <c r="M1432">
        <f>[2]TongHop!M1432</f>
        <v>0</v>
      </c>
      <c r="N1432">
        <f>[2]TongHop!N1432</f>
        <v>0</v>
      </c>
    </row>
    <row r="1433" spans="1:14">
      <c r="A1433">
        <f>[2]TongHop!A1433</f>
        <v>0</v>
      </c>
      <c r="B1433">
        <f>[2]TongHop!B1433</f>
        <v>0</v>
      </c>
      <c r="C1433">
        <f>[2]TongHop!C1433</f>
        <v>0</v>
      </c>
      <c r="D1433">
        <f>[2]TongHop!D1433</f>
        <v>0</v>
      </c>
      <c r="E1433">
        <f>[2]TongHop!E1433</f>
        <v>0</v>
      </c>
      <c r="F1433">
        <f>[2]TongHop!F1433</f>
        <v>0</v>
      </c>
      <c r="G1433">
        <f>[2]TongHop!G1433</f>
        <v>0</v>
      </c>
      <c r="H1433">
        <f>[2]TongHop!H1433</f>
        <v>0</v>
      </c>
      <c r="I1433">
        <f>[2]TongHop!I1433</f>
        <v>0</v>
      </c>
      <c r="J1433">
        <f>[2]TongHop!J1433</f>
        <v>0</v>
      </c>
      <c r="K1433">
        <f>[2]TongHop!K1433</f>
        <v>0</v>
      </c>
      <c r="L1433">
        <f>[2]TongHop!L1433</f>
        <v>0</v>
      </c>
      <c r="M1433">
        <f>[2]TongHop!M1433</f>
        <v>0</v>
      </c>
      <c r="N1433">
        <f>[2]TongHop!N1433</f>
        <v>0</v>
      </c>
    </row>
    <row r="1434" spans="1:14">
      <c r="A1434">
        <f>[2]TongHop!A1434</f>
        <v>0</v>
      </c>
      <c r="B1434">
        <f>[2]TongHop!B1434</f>
        <v>0</v>
      </c>
      <c r="C1434">
        <f>[2]TongHop!C1434</f>
        <v>0</v>
      </c>
      <c r="D1434">
        <f>[2]TongHop!D1434</f>
        <v>0</v>
      </c>
      <c r="E1434">
        <f>[2]TongHop!E1434</f>
        <v>0</v>
      </c>
      <c r="F1434">
        <f>[2]TongHop!F1434</f>
        <v>0</v>
      </c>
      <c r="G1434">
        <f>[2]TongHop!G1434</f>
        <v>0</v>
      </c>
      <c r="H1434">
        <f>[2]TongHop!H1434</f>
        <v>0</v>
      </c>
      <c r="I1434">
        <f>[2]TongHop!I1434</f>
        <v>0</v>
      </c>
      <c r="J1434">
        <f>[2]TongHop!J1434</f>
        <v>0</v>
      </c>
      <c r="K1434">
        <f>[2]TongHop!K1434</f>
        <v>0</v>
      </c>
      <c r="L1434">
        <f>[2]TongHop!L1434</f>
        <v>0</v>
      </c>
      <c r="M1434">
        <f>[2]TongHop!M1434</f>
        <v>0</v>
      </c>
      <c r="N1434">
        <f>[2]TongHop!N1434</f>
        <v>0</v>
      </c>
    </row>
    <row r="1435" spans="1:14">
      <c r="A1435">
        <f>[2]TongHop!A1435</f>
        <v>0</v>
      </c>
      <c r="B1435">
        <f>[2]TongHop!B1435</f>
        <v>0</v>
      </c>
      <c r="C1435">
        <f>[2]TongHop!C1435</f>
        <v>0</v>
      </c>
      <c r="D1435">
        <f>[2]TongHop!D1435</f>
        <v>0</v>
      </c>
      <c r="E1435">
        <f>[2]TongHop!E1435</f>
        <v>0</v>
      </c>
      <c r="F1435">
        <f>[2]TongHop!F1435</f>
        <v>0</v>
      </c>
      <c r="G1435">
        <f>[2]TongHop!G1435</f>
        <v>0</v>
      </c>
      <c r="H1435">
        <f>[2]TongHop!H1435</f>
        <v>0</v>
      </c>
      <c r="I1435">
        <f>[2]TongHop!I1435</f>
        <v>0</v>
      </c>
      <c r="J1435">
        <f>[2]TongHop!J1435</f>
        <v>0</v>
      </c>
      <c r="K1435">
        <f>[2]TongHop!K1435</f>
        <v>0</v>
      </c>
      <c r="L1435">
        <f>[2]TongHop!L1435</f>
        <v>0</v>
      </c>
      <c r="M1435">
        <f>[2]TongHop!M1435</f>
        <v>0</v>
      </c>
      <c r="N1435">
        <f>[2]TongHop!N1435</f>
        <v>0</v>
      </c>
    </row>
    <row r="1436" spans="1:14">
      <c r="A1436">
        <f>[2]TongHop!A1436</f>
        <v>0</v>
      </c>
      <c r="B1436">
        <f>[2]TongHop!B1436</f>
        <v>0</v>
      </c>
      <c r="C1436">
        <f>[2]TongHop!C1436</f>
        <v>0</v>
      </c>
      <c r="D1436">
        <f>[2]TongHop!D1436</f>
        <v>0</v>
      </c>
      <c r="E1436">
        <f>[2]TongHop!E1436</f>
        <v>0</v>
      </c>
      <c r="F1436">
        <f>[2]TongHop!F1436</f>
        <v>0</v>
      </c>
      <c r="G1436">
        <f>[2]TongHop!G1436</f>
        <v>0</v>
      </c>
      <c r="H1436">
        <f>[2]TongHop!H1436</f>
        <v>0</v>
      </c>
      <c r="I1436">
        <f>[2]TongHop!I1436</f>
        <v>0</v>
      </c>
      <c r="J1436">
        <f>[2]TongHop!J1436</f>
        <v>0</v>
      </c>
      <c r="K1436">
        <f>[2]TongHop!K1436</f>
        <v>0</v>
      </c>
      <c r="L1436">
        <f>[2]TongHop!L1436</f>
        <v>0</v>
      </c>
      <c r="M1436">
        <f>[2]TongHop!M1436</f>
        <v>0</v>
      </c>
      <c r="N1436">
        <f>[2]TongHop!N1436</f>
        <v>0</v>
      </c>
    </row>
    <row r="1437" spans="1:14">
      <c r="A1437">
        <f>[2]TongHop!A1437</f>
        <v>0</v>
      </c>
      <c r="B1437">
        <f>[2]TongHop!B1437</f>
        <v>0</v>
      </c>
      <c r="C1437">
        <f>[2]TongHop!C1437</f>
        <v>0</v>
      </c>
      <c r="D1437">
        <f>[2]TongHop!D1437</f>
        <v>0</v>
      </c>
      <c r="E1437">
        <f>[2]TongHop!E1437</f>
        <v>0</v>
      </c>
      <c r="F1437">
        <f>[2]TongHop!F1437</f>
        <v>0</v>
      </c>
      <c r="G1437">
        <f>[2]TongHop!G1437</f>
        <v>0</v>
      </c>
      <c r="H1437">
        <f>[2]TongHop!H1437</f>
        <v>0</v>
      </c>
      <c r="I1437">
        <f>[2]TongHop!I1437</f>
        <v>0</v>
      </c>
      <c r="J1437">
        <f>[2]TongHop!J1437</f>
        <v>0</v>
      </c>
      <c r="K1437">
        <f>[2]TongHop!K1437</f>
        <v>0</v>
      </c>
      <c r="L1437">
        <f>[2]TongHop!L1437</f>
        <v>0</v>
      </c>
      <c r="M1437">
        <f>[2]TongHop!M1437</f>
        <v>0</v>
      </c>
      <c r="N1437">
        <f>[2]TongHop!N1437</f>
        <v>0</v>
      </c>
    </row>
    <row r="1438" spans="1:14">
      <c r="A1438">
        <f>[2]TongHop!A1438</f>
        <v>0</v>
      </c>
      <c r="B1438">
        <f>[2]TongHop!B1438</f>
        <v>0</v>
      </c>
      <c r="C1438">
        <f>[2]TongHop!C1438</f>
        <v>0</v>
      </c>
      <c r="D1438">
        <f>[2]TongHop!D1438</f>
        <v>0</v>
      </c>
      <c r="E1438">
        <f>[2]TongHop!E1438</f>
        <v>0</v>
      </c>
      <c r="F1438">
        <f>[2]TongHop!F1438</f>
        <v>0</v>
      </c>
      <c r="G1438">
        <f>[2]TongHop!G1438</f>
        <v>0</v>
      </c>
      <c r="H1438">
        <f>[2]TongHop!H1438</f>
        <v>0</v>
      </c>
      <c r="I1438">
        <f>[2]TongHop!I1438</f>
        <v>0</v>
      </c>
      <c r="J1438">
        <f>[2]TongHop!J1438</f>
        <v>0</v>
      </c>
      <c r="K1438">
        <f>[2]TongHop!K1438</f>
        <v>0</v>
      </c>
      <c r="L1438">
        <f>[2]TongHop!L1438</f>
        <v>0</v>
      </c>
      <c r="M1438">
        <f>[2]TongHop!M1438</f>
        <v>0</v>
      </c>
      <c r="N1438">
        <f>[2]TongHop!N1438</f>
        <v>0</v>
      </c>
    </row>
    <row r="1439" spans="1:14">
      <c r="A1439">
        <f>[2]TongHop!A1439</f>
        <v>0</v>
      </c>
      <c r="B1439">
        <f>[2]TongHop!B1439</f>
        <v>0</v>
      </c>
      <c r="C1439">
        <f>[2]TongHop!C1439</f>
        <v>0</v>
      </c>
      <c r="D1439">
        <f>[2]TongHop!D1439</f>
        <v>0</v>
      </c>
      <c r="E1439">
        <f>[2]TongHop!E1439</f>
        <v>0</v>
      </c>
      <c r="F1439">
        <f>[2]TongHop!F1439</f>
        <v>0</v>
      </c>
      <c r="G1439">
        <f>[2]TongHop!G1439</f>
        <v>0</v>
      </c>
      <c r="H1439">
        <f>[2]TongHop!H1439</f>
        <v>0</v>
      </c>
      <c r="I1439">
        <f>[2]TongHop!I1439</f>
        <v>0</v>
      </c>
      <c r="J1439">
        <f>[2]TongHop!J1439</f>
        <v>0</v>
      </c>
      <c r="K1439">
        <f>[2]TongHop!K1439</f>
        <v>0</v>
      </c>
      <c r="L1439">
        <f>[2]TongHop!L1439</f>
        <v>0</v>
      </c>
      <c r="M1439">
        <f>[2]TongHop!M1439</f>
        <v>0</v>
      </c>
      <c r="N1439">
        <f>[2]TongHop!N1439</f>
        <v>0</v>
      </c>
    </row>
    <row r="1440" spans="1:14">
      <c r="A1440">
        <f>[2]TongHop!A1440</f>
        <v>0</v>
      </c>
      <c r="B1440">
        <f>[2]TongHop!B1440</f>
        <v>0</v>
      </c>
      <c r="C1440">
        <f>[2]TongHop!C1440</f>
        <v>0</v>
      </c>
      <c r="D1440">
        <f>[2]TongHop!D1440</f>
        <v>0</v>
      </c>
      <c r="E1440">
        <f>[2]TongHop!E1440</f>
        <v>0</v>
      </c>
      <c r="F1440">
        <f>[2]TongHop!F1440</f>
        <v>0</v>
      </c>
      <c r="G1440">
        <f>[2]TongHop!G1440</f>
        <v>0</v>
      </c>
      <c r="H1440">
        <f>[2]TongHop!H1440</f>
        <v>0</v>
      </c>
      <c r="I1440">
        <f>[2]TongHop!I1440</f>
        <v>0</v>
      </c>
      <c r="J1440">
        <f>[2]TongHop!J1440</f>
        <v>0</v>
      </c>
      <c r="K1440">
        <f>[2]TongHop!K1440</f>
        <v>0</v>
      </c>
      <c r="L1440">
        <f>[2]TongHop!L1440</f>
        <v>0</v>
      </c>
      <c r="M1440">
        <f>[2]TongHop!M1440</f>
        <v>0</v>
      </c>
      <c r="N1440">
        <f>[2]TongHop!N1440</f>
        <v>0</v>
      </c>
    </row>
    <row r="1441" spans="1:14">
      <c r="A1441">
        <f>[2]TongHop!A1441</f>
        <v>0</v>
      </c>
      <c r="B1441">
        <f>[2]TongHop!B1441</f>
        <v>0</v>
      </c>
      <c r="C1441">
        <f>[2]TongHop!C1441</f>
        <v>0</v>
      </c>
      <c r="D1441">
        <f>[2]TongHop!D1441</f>
        <v>0</v>
      </c>
      <c r="E1441">
        <f>[2]TongHop!E1441</f>
        <v>0</v>
      </c>
      <c r="F1441">
        <f>[2]TongHop!F1441</f>
        <v>0</v>
      </c>
      <c r="G1441">
        <f>[2]TongHop!G1441</f>
        <v>0</v>
      </c>
      <c r="H1441">
        <f>[2]TongHop!H1441</f>
        <v>0</v>
      </c>
      <c r="I1441">
        <f>[2]TongHop!I1441</f>
        <v>0</v>
      </c>
      <c r="J1441">
        <f>[2]TongHop!J1441</f>
        <v>0</v>
      </c>
      <c r="K1441">
        <f>[2]TongHop!K1441</f>
        <v>0</v>
      </c>
      <c r="L1441">
        <f>[2]TongHop!L1441</f>
        <v>0</v>
      </c>
      <c r="M1441">
        <f>[2]TongHop!M1441</f>
        <v>0</v>
      </c>
      <c r="N1441">
        <f>[2]TongHop!N1441</f>
        <v>0</v>
      </c>
    </row>
    <row r="1442" spans="1:14">
      <c r="A1442">
        <f>[2]TongHop!A1442</f>
        <v>0</v>
      </c>
      <c r="B1442">
        <f>[2]TongHop!B1442</f>
        <v>0</v>
      </c>
      <c r="C1442">
        <f>[2]TongHop!C1442</f>
        <v>0</v>
      </c>
      <c r="D1442">
        <f>[2]TongHop!D1442</f>
        <v>0</v>
      </c>
      <c r="E1442">
        <f>[2]TongHop!E1442</f>
        <v>0</v>
      </c>
      <c r="F1442">
        <f>[2]TongHop!F1442</f>
        <v>0</v>
      </c>
      <c r="G1442">
        <f>[2]TongHop!G1442</f>
        <v>0</v>
      </c>
      <c r="H1442">
        <f>[2]TongHop!H1442</f>
        <v>0</v>
      </c>
      <c r="I1442">
        <f>[2]TongHop!I1442</f>
        <v>0</v>
      </c>
      <c r="J1442">
        <f>[2]TongHop!J1442</f>
        <v>0</v>
      </c>
      <c r="K1442">
        <f>[2]TongHop!K1442</f>
        <v>0</v>
      </c>
      <c r="L1442">
        <f>[2]TongHop!L1442</f>
        <v>0</v>
      </c>
      <c r="M1442">
        <f>[2]TongHop!M1442</f>
        <v>0</v>
      </c>
      <c r="N1442">
        <f>[2]TongHop!N1442</f>
        <v>0</v>
      </c>
    </row>
    <row r="1443" spans="1:14">
      <c r="A1443">
        <f>[2]TongHop!A1443</f>
        <v>0</v>
      </c>
      <c r="B1443">
        <f>[2]TongHop!B1443</f>
        <v>0</v>
      </c>
      <c r="C1443">
        <f>[2]TongHop!C1443</f>
        <v>0</v>
      </c>
      <c r="D1443">
        <f>[2]TongHop!D1443</f>
        <v>0</v>
      </c>
      <c r="E1443">
        <f>[2]TongHop!E1443</f>
        <v>0</v>
      </c>
      <c r="F1443">
        <f>[2]TongHop!F1443</f>
        <v>0</v>
      </c>
      <c r="G1443">
        <f>[2]TongHop!G1443</f>
        <v>0</v>
      </c>
      <c r="H1443">
        <f>[2]TongHop!H1443</f>
        <v>0</v>
      </c>
      <c r="I1443">
        <f>[2]TongHop!I1443</f>
        <v>0</v>
      </c>
      <c r="J1443">
        <f>[2]TongHop!J1443</f>
        <v>0</v>
      </c>
      <c r="K1443">
        <f>[2]TongHop!K1443</f>
        <v>0</v>
      </c>
      <c r="L1443">
        <f>[2]TongHop!L1443</f>
        <v>0</v>
      </c>
      <c r="M1443">
        <f>[2]TongHop!M1443</f>
        <v>0</v>
      </c>
      <c r="N1443">
        <f>[2]TongHop!N1443</f>
        <v>0</v>
      </c>
    </row>
    <row r="1444" spans="1:14">
      <c r="A1444">
        <f>[2]TongHop!A1444</f>
        <v>0</v>
      </c>
      <c r="B1444">
        <f>[2]TongHop!B1444</f>
        <v>0</v>
      </c>
      <c r="C1444">
        <f>[2]TongHop!C1444</f>
        <v>0</v>
      </c>
      <c r="D1444">
        <f>[2]TongHop!D1444</f>
        <v>0</v>
      </c>
      <c r="E1444">
        <f>[2]TongHop!E1444</f>
        <v>0</v>
      </c>
      <c r="F1444">
        <f>[2]TongHop!F1444</f>
        <v>0</v>
      </c>
      <c r="G1444">
        <f>[2]TongHop!G1444</f>
        <v>0</v>
      </c>
      <c r="H1444">
        <f>[2]TongHop!H1444</f>
        <v>0</v>
      </c>
      <c r="I1444">
        <f>[2]TongHop!I1444</f>
        <v>0</v>
      </c>
      <c r="J1444">
        <f>[2]TongHop!J1444</f>
        <v>0</v>
      </c>
      <c r="K1444">
        <f>[2]TongHop!K1444</f>
        <v>0</v>
      </c>
      <c r="L1444">
        <f>[2]TongHop!L1444</f>
        <v>0</v>
      </c>
      <c r="M1444">
        <f>[2]TongHop!M1444</f>
        <v>0</v>
      </c>
      <c r="N1444">
        <f>[2]TongHop!N1444</f>
        <v>0</v>
      </c>
    </row>
    <row r="1445" spans="1:14">
      <c r="A1445">
        <f>[2]TongHop!A1445</f>
        <v>0</v>
      </c>
      <c r="B1445">
        <f>[2]TongHop!B1445</f>
        <v>0</v>
      </c>
      <c r="C1445">
        <f>[2]TongHop!C1445</f>
        <v>0</v>
      </c>
      <c r="D1445">
        <f>[2]TongHop!D1445</f>
        <v>0</v>
      </c>
      <c r="E1445">
        <f>[2]TongHop!E1445</f>
        <v>0</v>
      </c>
      <c r="F1445">
        <f>[2]TongHop!F1445</f>
        <v>0</v>
      </c>
      <c r="G1445">
        <f>[2]TongHop!G1445</f>
        <v>0</v>
      </c>
      <c r="H1445">
        <f>[2]TongHop!H1445</f>
        <v>0</v>
      </c>
      <c r="I1445">
        <f>[2]TongHop!I1445</f>
        <v>0</v>
      </c>
      <c r="J1445">
        <f>[2]TongHop!J1445</f>
        <v>0</v>
      </c>
      <c r="K1445">
        <f>[2]TongHop!K1445</f>
        <v>0</v>
      </c>
      <c r="L1445">
        <f>[2]TongHop!L1445</f>
        <v>0</v>
      </c>
      <c r="M1445">
        <f>[2]TongHop!M1445</f>
        <v>0</v>
      </c>
      <c r="N1445">
        <f>[2]TongHop!N1445</f>
        <v>0</v>
      </c>
    </row>
    <row r="1446" spans="1:14">
      <c r="A1446">
        <f>[2]TongHop!A1446</f>
        <v>0</v>
      </c>
      <c r="B1446">
        <f>[2]TongHop!B1446</f>
        <v>0</v>
      </c>
      <c r="C1446">
        <f>[2]TongHop!C1446</f>
        <v>0</v>
      </c>
      <c r="D1446">
        <f>[2]TongHop!D1446</f>
        <v>0</v>
      </c>
      <c r="E1446">
        <f>[2]TongHop!E1446</f>
        <v>0</v>
      </c>
      <c r="F1446">
        <f>[2]TongHop!F1446</f>
        <v>0</v>
      </c>
      <c r="G1446">
        <f>[2]TongHop!G1446</f>
        <v>0</v>
      </c>
      <c r="H1446">
        <f>[2]TongHop!H1446</f>
        <v>0</v>
      </c>
      <c r="I1446">
        <f>[2]TongHop!I1446</f>
        <v>0</v>
      </c>
      <c r="J1446">
        <f>[2]TongHop!J1446</f>
        <v>0</v>
      </c>
      <c r="K1446">
        <f>[2]TongHop!K1446</f>
        <v>0</v>
      </c>
      <c r="L1446">
        <f>[2]TongHop!L1446</f>
        <v>0</v>
      </c>
      <c r="M1446">
        <f>[2]TongHop!M1446</f>
        <v>0</v>
      </c>
      <c r="N1446">
        <f>[2]TongHop!N1446</f>
        <v>0</v>
      </c>
    </row>
    <row r="1447" spans="1:14">
      <c r="A1447">
        <f>[2]TongHop!A1447</f>
        <v>0</v>
      </c>
      <c r="B1447">
        <f>[2]TongHop!B1447</f>
        <v>0</v>
      </c>
      <c r="C1447">
        <f>[2]TongHop!C1447</f>
        <v>0</v>
      </c>
      <c r="D1447">
        <f>[2]TongHop!D1447</f>
        <v>0</v>
      </c>
      <c r="E1447">
        <f>[2]TongHop!E1447</f>
        <v>0</v>
      </c>
      <c r="F1447">
        <f>[2]TongHop!F1447</f>
        <v>0</v>
      </c>
      <c r="G1447">
        <f>[2]TongHop!G1447</f>
        <v>0</v>
      </c>
      <c r="H1447">
        <f>[2]TongHop!H1447</f>
        <v>0</v>
      </c>
      <c r="I1447">
        <f>[2]TongHop!I1447</f>
        <v>0</v>
      </c>
      <c r="J1447">
        <f>[2]TongHop!J1447</f>
        <v>0</v>
      </c>
      <c r="K1447">
        <f>[2]TongHop!K1447</f>
        <v>0</v>
      </c>
      <c r="L1447">
        <f>[2]TongHop!L1447</f>
        <v>0</v>
      </c>
      <c r="M1447">
        <f>[2]TongHop!M1447</f>
        <v>0</v>
      </c>
      <c r="N1447">
        <f>[2]TongHop!N1447</f>
        <v>0</v>
      </c>
    </row>
    <row r="1448" spans="1:14">
      <c r="A1448">
        <f>[2]TongHop!A1448</f>
        <v>0</v>
      </c>
      <c r="B1448">
        <f>[2]TongHop!B1448</f>
        <v>0</v>
      </c>
      <c r="C1448">
        <f>[2]TongHop!C1448</f>
        <v>0</v>
      </c>
      <c r="D1448">
        <f>[2]TongHop!D1448</f>
        <v>0</v>
      </c>
      <c r="E1448">
        <f>[2]TongHop!E1448</f>
        <v>0</v>
      </c>
      <c r="F1448">
        <f>[2]TongHop!F1448</f>
        <v>0</v>
      </c>
      <c r="G1448">
        <f>[2]TongHop!G1448</f>
        <v>0</v>
      </c>
      <c r="H1448">
        <f>[2]TongHop!H1448</f>
        <v>0</v>
      </c>
      <c r="I1448">
        <f>[2]TongHop!I1448</f>
        <v>0</v>
      </c>
      <c r="J1448">
        <f>[2]TongHop!J1448</f>
        <v>0</v>
      </c>
      <c r="K1448">
        <f>[2]TongHop!K1448</f>
        <v>0</v>
      </c>
      <c r="L1448">
        <f>[2]TongHop!L1448</f>
        <v>0</v>
      </c>
      <c r="M1448">
        <f>[2]TongHop!M1448</f>
        <v>0</v>
      </c>
      <c r="N1448">
        <f>[2]TongHop!N1448</f>
        <v>0</v>
      </c>
    </row>
    <row r="1449" spans="1:14">
      <c r="A1449">
        <f>[2]TongHop!A1449</f>
        <v>0</v>
      </c>
      <c r="B1449">
        <f>[2]TongHop!B1449</f>
        <v>0</v>
      </c>
      <c r="C1449">
        <f>[2]TongHop!C1449</f>
        <v>0</v>
      </c>
      <c r="D1449">
        <f>[2]TongHop!D1449</f>
        <v>0</v>
      </c>
      <c r="E1449">
        <f>[2]TongHop!E1449</f>
        <v>0</v>
      </c>
      <c r="F1449">
        <f>[2]TongHop!F1449</f>
        <v>0</v>
      </c>
      <c r="G1449">
        <f>[2]TongHop!G1449</f>
        <v>0</v>
      </c>
      <c r="H1449">
        <f>[2]TongHop!H1449</f>
        <v>0</v>
      </c>
      <c r="I1449">
        <f>[2]TongHop!I1449</f>
        <v>0</v>
      </c>
      <c r="J1449">
        <f>[2]TongHop!J1449</f>
        <v>0</v>
      </c>
      <c r="K1449">
        <f>[2]TongHop!K1449</f>
        <v>0</v>
      </c>
      <c r="L1449">
        <f>[2]TongHop!L1449</f>
        <v>0</v>
      </c>
      <c r="M1449">
        <f>[2]TongHop!M1449</f>
        <v>0</v>
      </c>
      <c r="N1449">
        <f>[2]TongHop!N1449</f>
        <v>0</v>
      </c>
    </row>
    <row r="1450" spans="1:14">
      <c r="A1450">
        <f>[2]TongHop!A1450</f>
        <v>0</v>
      </c>
      <c r="B1450">
        <f>[2]TongHop!B1450</f>
        <v>0</v>
      </c>
      <c r="C1450">
        <f>[2]TongHop!C1450</f>
        <v>0</v>
      </c>
      <c r="D1450">
        <f>[2]TongHop!D1450</f>
        <v>0</v>
      </c>
      <c r="E1450">
        <f>[2]TongHop!E1450</f>
        <v>0</v>
      </c>
      <c r="F1450">
        <f>[2]TongHop!F1450</f>
        <v>0</v>
      </c>
      <c r="G1450">
        <f>[2]TongHop!G1450</f>
        <v>0</v>
      </c>
      <c r="H1450">
        <f>[2]TongHop!H1450</f>
        <v>0</v>
      </c>
      <c r="I1450">
        <f>[2]TongHop!I1450</f>
        <v>0</v>
      </c>
      <c r="J1450">
        <f>[2]TongHop!J1450</f>
        <v>0</v>
      </c>
      <c r="K1450">
        <f>[2]TongHop!K1450</f>
        <v>0</v>
      </c>
      <c r="L1450">
        <f>[2]TongHop!L1450</f>
        <v>0</v>
      </c>
      <c r="M1450">
        <f>[2]TongHop!M1450</f>
        <v>0</v>
      </c>
      <c r="N1450">
        <f>[2]TongHop!N1450</f>
        <v>0</v>
      </c>
    </row>
    <row r="1451" spans="1:14">
      <c r="A1451">
        <f>[2]TongHop!A1451</f>
        <v>0</v>
      </c>
      <c r="B1451">
        <f>[2]TongHop!B1451</f>
        <v>0</v>
      </c>
      <c r="C1451">
        <f>[2]TongHop!C1451</f>
        <v>0</v>
      </c>
      <c r="D1451">
        <f>[2]TongHop!D1451</f>
        <v>0</v>
      </c>
      <c r="E1451">
        <f>[2]TongHop!E1451</f>
        <v>0</v>
      </c>
      <c r="F1451">
        <f>[2]TongHop!F1451</f>
        <v>0</v>
      </c>
      <c r="G1451">
        <f>[2]TongHop!G1451</f>
        <v>0</v>
      </c>
      <c r="H1451">
        <f>[2]TongHop!H1451</f>
        <v>0</v>
      </c>
      <c r="I1451">
        <f>[2]TongHop!I1451</f>
        <v>0</v>
      </c>
      <c r="J1451">
        <f>[2]TongHop!J1451</f>
        <v>0</v>
      </c>
      <c r="K1451">
        <f>[2]TongHop!K1451</f>
        <v>0</v>
      </c>
      <c r="L1451">
        <f>[2]TongHop!L1451</f>
        <v>0</v>
      </c>
      <c r="M1451">
        <f>[2]TongHop!M1451</f>
        <v>0</v>
      </c>
      <c r="N1451">
        <f>[2]TongHop!N1451</f>
        <v>0</v>
      </c>
    </row>
    <row r="1452" spans="1:14">
      <c r="A1452">
        <f>[2]TongHop!A1452</f>
        <v>0</v>
      </c>
      <c r="B1452">
        <f>[2]TongHop!B1452</f>
        <v>0</v>
      </c>
      <c r="C1452">
        <f>[2]TongHop!C1452</f>
        <v>0</v>
      </c>
      <c r="D1452">
        <f>[2]TongHop!D1452</f>
        <v>0</v>
      </c>
      <c r="E1452">
        <f>[2]TongHop!E1452</f>
        <v>0</v>
      </c>
      <c r="F1452">
        <f>[2]TongHop!F1452</f>
        <v>0</v>
      </c>
      <c r="G1452">
        <f>[2]TongHop!G1452</f>
        <v>0</v>
      </c>
      <c r="H1452">
        <f>[2]TongHop!H1452</f>
        <v>0</v>
      </c>
      <c r="I1452">
        <f>[2]TongHop!I1452</f>
        <v>0</v>
      </c>
      <c r="J1452">
        <f>[2]TongHop!J1452</f>
        <v>0</v>
      </c>
      <c r="K1452">
        <f>[2]TongHop!K1452</f>
        <v>0</v>
      </c>
      <c r="L1452">
        <f>[2]TongHop!L1452</f>
        <v>0</v>
      </c>
      <c r="M1452">
        <f>[2]TongHop!M1452</f>
        <v>0</v>
      </c>
      <c r="N1452">
        <f>[2]TongHop!N1452</f>
        <v>0</v>
      </c>
    </row>
    <row r="1453" spans="1:14">
      <c r="A1453">
        <f>[2]TongHop!A1453</f>
        <v>0</v>
      </c>
      <c r="B1453">
        <f>[2]TongHop!B1453</f>
        <v>0</v>
      </c>
      <c r="C1453">
        <f>[2]TongHop!C1453</f>
        <v>0</v>
      </c>
      <c r="D1453">
        <f>[2]TongHop!D1453</f>
        <v>0</v>
      </c>
      <c r="E1453">
        <f>[2]TongHop!E1453</f>
        <v>0</v>
      </c>
      <c r="F1453">
        <f>[2]TongHop!F1453</f>
        <v>0</v>
      </c>
      <c r="G1453">
        <f>[2]TongHop!G1453</f>
        <v>0</v>
      </c>
      <c r="H1453">
        <f>[2]TongHop!H1453</f>
        <v>0</v>
      </c>
      <c r="I1453">
        <f>[2]TongHop!I1453</f>
        <v>0</v>
      </c>
      <c r="J1453">
        <f>[2]TongHop!J1453</f>
        <v>0</v>
      </c>
      <c r="K1453">
        <f>[2]TongHop!K1453</f>
        <v>0</v>
      </c>
      <c r="L1453">
        <f>[2]TongHop!L1453</f>
        <v>0</v>
      </c>
      <c r="M1453">
        <f>[2]TongHop!M1453</f>
        <v>0</v>
      </c>
      <c r="N1453">
        <f>[2]TongHop!N1453</f>
        <v>0</v>
      </c>
    </row>
    <row r="1454" spans="1:14">
      <c r="A1454">
        <f>[2]TongHop!A1454</f>
        <v>0</v>
      </c>
      <c r="B1454">
        <f>[2]TongHop!B1454</f>
        <v>0</v>
      </c>
      <c r="C1454">
        <f>[2]TongHop!C1454</f>
        <v>0</v>
      </c>
      <c r="D1454">
        <f>[2]TongHop!D1454</f>
        <v>0</v>
      </c>
      <c r="E1454">
        <f>[2]TongHop!E1454</f>
        <v>0</v>
      </c>
      <c r="F1454">
        <f>[2]TongHop!F1454</f>
        <v>0</v>
      </c>
      <c r="G1454">
        <f>[2]TongHop!G1454</f>
        <v>0</v>
      </c>
      <c r="H1454">
        <f>[2]TongHop!H1454</f>
        <v>0</v>
      </c>
      <c r="I1454">
        <f>[2]TongHop!I1454</f>
        <v>0</v>
      </c>
      <c r="J1454">
        <f>[2]TongHop!J1454</f>
        <v>0</v>
      </c>
      <c r="K1454">
        <f>[2]TongHop!K1454</f>
        <v>0</v>
      </c>
      <c r="L1454">
        <f>[2]TongHop!L1454</f>
        <v>0</v>
      </c>
      <c r="M1454">
        <f>[2]TongHop!M1454</f>
        <v>0</v>
      </c>
      <c r="N1454">
        <f>[2]TongHop!N1454</f>
        <v>0</v>
      </c>
    </row>
    <row r="1455" spans="1:14">
      <c r="A1455">
        <f>[2]TongHop!A1455</f>
        <v>0</v>
      </c>
      <c r="B1455">
        <f>[2]TongHop!B1455</f>
        <v>0</v>
      </c>
      <c r="C1455">
        <f>[2]TongHop!C1455</f>
        <v>0</v>
      </c>
      <c r="D1455">
        <f>[2]TongHop!D1455</f>
        <v>0</v>
      </c>
      <c r="E1455">
        <f>[2]TongHop!E1455</f>
        <v>0</v>
      </c>
      <c r="F1455">
        <f>[2]TongHop!F1455</f>
        <v>0</v>
      </c>
      <c r="G1455">
        <f>[2]TongHop!G1455</f>
        <v>0</v>
      </c>
      <c r="H1455">
        <f>[2]TongHop!H1455</f>
        <v>0</v>
      </c>
      <c r="I1455">
        <f>[2]TongHop!I1455</f>
        <v>0</v>
      </c>
      <c r="J1455">
        <f>[2]TongHop!J1455</f>
        <v>0</v>
      </c>
      <c r="K1455">
        <f>[2]TongHop!K1455</f>
        <v>0</v>
      </c>
      <c r="L1455">
        <f>[2]TongHop!L1455</f>
        <v>0</v>
      </c>
      <c r="M1455">
        <f>[2]TongHop!M1455</f>
        <v>0</v>
      </c>
      <c r="N1455">
        <f>[2]TongHop!N1455</f>
        <v>0</v>
      </c>
    </row>
    <row r="1456" spans="1:14">
      <c r="A1456">
        <f>[2]TongHop!A1456</f>
        <v>0</v>
      </c>
      <c r="B1456">
        <f>[2]TongHop!B1456</f>
        <v>0</v>
      </c>
      <c r="C1456">
        <f>[2]TongHop!C1456</f>
        <v>0</v>
      </c>
      <c r="D1456">
        <f>[2]TongHop!D1456</f>
        <v>0</v>
      </c>
      <c r="E1456">
        <f>[2]TongHop!E1456</f>
        <v>0</v>
      </c>
      <c r="F1456">
        <f>[2]TongHop!F1456</f>
        <v>0</v>
      </c>
      <c r="G1456">
        <f>[2]TongHop!G1456</f>
        <v>0</v>
      </c>
      <c r="H1456">
        <f>[2]TongHop!H1456</f>
        <v>0</v>
      </c>
      <c r="I1456">
        <f>[2]TongHop!I1456</f>
        <v>0</v>
      </c>
      <c r="J1456">
        <f>[2]TongHop!J1456</f>
        <v>0</v>
      </c>
      <c r="K1456">
        <f>[2]TongHop!K1456</f>
        <v>0</v>
      </c>
      <c r="L1456">
        <f>[2]TongHop!L1456</f>
        <v>0</v>
      </c>
      <c r="M1456">
        <f>[2]TongHop!M1456</f>
        <v>0</v>
      </c>
      <c r="N1456">
        <f>[2]TongHop!N1456</f>
        <v>0</v>
      </c>
    </row>
    <row r="1457" spans="1:14">
      <c r="A1457">
        <f>[2]TongHop!A1457</f>
        <v>0</v>
      </c>
      <c r="B1457">
        <f>[2]TongHop!B1457</f>
        <v>0</v>
      </c>
      <c r="C1457">
        <f>[2]TongHop!C1457</f>
        <v>0</v>
      </c>
      <c r="D1457">
        <f>[2]TongHop!D1457</f>
        <v>0</v>
      </c>
      <c r="E1457">
        <f>[2]TongHop!E1457</f>
        <v>0</v>
      </c>
      <c r="F1457">
        <f>[2]TongHop!F1457</f>
        <v>0</v>
      </c>
      <c r="G1457">
        <f>[2]TongHop!G1457</f>
        <v>0</v>
      </c>
      <c r="H1457">
        <f>[2]TongHop!H1457</f>
        <v>0</v>
      </c>
      <c r="I1457">
        <f>[2]TongHop!I1457</f>
        <v>0</v>
      </c>
      <c r="J1457">
        <f>[2]TongHop!J1457</f>
        <v>0</v>
      </c>
      <c r="K1457">
        <f>[2]TongHop!K1457</f>
        <v>0</v>
      </c>
      <c r="L1457">
        <f>[2]TongHop!L1457</f>
        <v>0</v>
      </c>
      <c r="M1457">
        <f>[2]TongHop!M1457</f>
        <v>0</v>
      </c>
      <c r="N1457">
        <f>[2]TongHop!N1457</f>
        <v>0</v>
      </c>
    </row>
    <row r="1458" spans="1:14">
      <c r="A1458">
        <f>[2]TongHop!A1458</f>
        <v>0</v>
      </c>
      <c r="B1458">
        <f>[2]TongHop!B1458</f>
        <v>0</v>
      </c>
      <c r="C1458">
        <f>[2]TongHop!C1458</f>
        <v>0</v>
      </c>
      <c r="D1458">
        <f>[2]TongHop!D1458</f>
        <v>0</v>
      </c>
      <c r="E1458">
        <f>[2]TongHop!E1458</f>
        <v>0</v>
      </c>
      <c r="F1458">
        <f>[2]TongHop!F1458</f>
        <v>0</v>
      </c>
      <c r="G1458">
        <f>[2]TongHop!G1458</f>
        <v>0</v>
      </c>
      <c r="H1458">
        <f>[2]TongHop!H1458</f>
        <v>0</v>
      </c>
      <c r="I1458">
        <f>[2]TongHop!I1458</f>
        <v>0</v>
      </c>
      <c r="J1458">
        <f>[2]TongHop!J1458</f>
        <v>0</v>
      </c>
      <c r="K1458">
        <f>[2]TongHop!K1458</f>
        <v>0</v>
      </c>
      <c r="L1458">
        <f>[2]TongHop!L1458</f>
        <v>0</v>
      </c>
      <c r="M1458">
        <f>[2]TongHop!M1458</f>
        <v>0</v>
      </c>
      <c r="N1458">
        <f>[2]TongHop!N1458</f>
        <v>0</v>
      </c>
    </row>
    <row r="1459" spans="1:14">
      <c r="A1459">
        <f>[2]TongHop!A1459</f>
        <v>0</v>
      </c>
      <c r="B1459">
        <f>[2]TongHop!B1459</f>
        <v>0</v>
      </c>
      <c r="C1459">
        <f>[2]TongHop!C1459</f>
        <v>0</v>
      </c>
      <c r="D1459">
        <f>[2]TongHop!D1459</f>
        <v>0</v>
      </c>
      <c r="E1459">
        <f>[2]TongHop!E1459</f>
        <v>0</v>
      </c>
      <c r="F1459">
        <f>[2]TongHop!F1459</f>
        <v>0</v>
      </c>
      <c r="G1459">
        <f>[2]TongHop!G1459</f>
        <v>0</v>
      </c>
      <c r="H1459">
        <f>[2]TongHop!H1459</f>
        <v>0</v>
      </c>
      <c r="I1459">
        <f>[2]TongHop!I1459</f>
        <v>0</v>
      </c>
      <c r="J1459">
        <f>[2]TongHop!J1459</f>
        <v>0</v>
      </c>
      <c r="K1459">
        <f>[2]TongHop!K1459</f>
        <v>0</v>
      </c>
      <c r="L1459">
        <f>[2]TongHop!L1459</f>
        <v>0</v>
      </c>
      <c r="M1459">
        <f>[2]TongHop!M1459</f>
        <v>0</v>
      </c>
      <c r="N1459">
        <f>[2]TongHop!N1459</f>
        <v>0</v>
      </c>
    </row>
    <row r="1460" spans="1:14">
      <c r="A1460">
        <f>[2]TongHop!A1460</f>
        <v>0</v>
      </c>
      <c r="B1460">
        <f>[2]TongHop!B1460</f>
        <v>0</v>
      </c>
      <c r="C1460">
        <f>[2]TongHop!C1460</f>
        <v>0</v>
      </c>
      <c r="D1460">
        <f>[2]TongHop!D1460</f>
        <v>0</v>
      </c>
      <c r="E1460">
        <f>[2]TongHop!E1460</f>
        <v>0</v>
      </c>
      <c r="F1460">
        <f>[2]TongHop!F1460</f>
        <v>0</v>
      </c>
      <c r="G1460">
        <f>[2]TongHop!G1460</f>
        <v>0</v>
      </c>
      <c r="H1460">
        <f>[2]TongHop!H1460</f>
        <v>0</v>
      </c>
      <c r="I1460">
        <f>[2]TongHop!I1460</f>
        <v>0</v>
      </c>
      <c r="J1460">
        <f>[2]TongHop!J1460</f>
        <v>0</v>
      </c>
      <c r="K1460">
        <f>[2]TongHop!K1460</f>
        <v>0</v>
      </c>
      <c r="L1460">
        <f>[2]TongHop!L1460</f>
        <v>0</v>
      </c>
      <c r="M1460">
        <f>[2]TongHop!M1460</f>
        <v>0</v>
      </c>
      <c r="N1460">
        <f>[2]TongHop!N1460</f>
        <v>0</v>
      </c>
    </row>
    <row r="1461" spans="1:14">
      <c r="A1461">
        <f>[2]TongHop!A1461</f>
        <v>0</v>
      </c>
      <c r="B1461">
        <f>[2]TongHop!B1461</f>
        <v>0</v>
      </c>
      <c r="C1461">
        <f>[2]TongHop!C1461</f>
        <v>0</v>
      </c>
      <c r="D1461">
        <f>[2]TongHop!D1461</f>
        <v>0</v>
      </c>
      <c r="E1461">
        <f>[2]TongHop!E1461</f>
        <v>0</v>
      </c>
      <c r="F1461">
        <f>[2]TongHop!F1461</f>
        <v>0</v>
      </c>
      <c r="G1461">
        <f>[2]TongHop!G1461</f>
        <v>0</v>
      </c>
      <c r="H1461">
        <f>[2]TongHop!H1461</f>
        <v>0</v>
      </c>
      <c r="I1461">
        <f>[2]TongHop!I1461</f>
        <v>0</v>
      </c>
      <c r="J1461">
        <f>[2]TongHop!J1461</f>
        <v>0</v>
      </c>
      <c r="K1461">
        <f>[2]TongHop!K1461</f>
        <v>0</v>
      </c>
      <c r="L1461">
        <f>[2]TongHop!L1461</f>
        <v>0</v>
      </c>
      <c r="M1461">
        <f>[2]TongHop!M1461</f>
        <v>0</v>
      </c>
      <c r="N1461">
        <f>[2]TongHop!N1461</f>
        <v>0</v>
      </c>
    </row>
    <row r="1462" spans="1:14">
      <c r="A1462">
        <f>[2]TongHop!A1462</f>
        <v>0</v>
      </c>
      <c r="B1462">
        <f>[2]TongHop!B1462</f>
        <v>0</v>
      </c>
      <c r="C1462">
        <f>[2]TongHop!C1462</f>
        <v>0</v>
      </c>
      <c r="D1462">
        <f>[2]TongHop!D1462</f>
        <v>0</v>
      </c>
      <c r="E1462">
        <f>[2]TongHop!E1462</f>
        <v>0</v>
      </c>
      <c r="F1462">
        <f>[2]TongHop!F1462</f>
        <v>0</v>
      </c>
      <c r="G1462">
        <f>[2]TongHop!G1462</f>
        <v>0</v>
      </c>
      <c r="H1462">
        <f>[2]TongHop!H1462</f>
        <v>0</v>
      </c>
      <c r="I1462">
        <f>[2]TongHop!I1462</f>
        <v>0</v>
      </c>
      <c r="J1462">
        <f>[2]TongHop!J1462</f>
        <v>0</v>
      </c>
      <c r="K1462">
        <f>[2]TongHop!K1462</f>
        <v>0</v>
      </c>
      <c r="L1462">
        <f>[2]TongHop!L1462</f>
        <v>0</v>
      </c>
      <c r="M1462">
        <f>[2]TongHop!M1462</f>
        <v>0</v>
      </c>
      <c r="N1462">
        <f>[2]TongHop!N1462</f>
        <v>0</v>
      </c>
    </row>
    <row r="1463" spans="1:14">
      <c r="A1463">
        <f>[2]TongHop!A1463</f>
        <v>0</v>
      </c>
      <c r="B1463">
        <f>[2]TongHop!B1463</f>
        <v>0</v>
      </c>
      <c r="C1463">
        <f>[2]TongHop!C1463</f>
        <v>0</v>
      </c>
      <c r="D1463">
        <f>[2]TongHop!D1463</f>
        <v>0</v>
      </c>
      <c r="E1463">
        <f>[2]TongHop!E1463</f>
        <v>0</v>
      </c>
      <c r="F1463">
        <f>[2]TongHop!F1463</f>
        <v>0</v>
      </c>
      <c r="G1463">
        <f>[2]TongHop!G1463</f>
        <v>0</v>
      </c>
      <c r="H1463">
        <f>[2]TongHop!H1463</f>
        <v>0</v>
      </c>
      <c r="I1463">
        <f>[2]TongHop!I1463</f>
        <v>0</v>
      </c>
      <c r="J1463">
        <f>[2]TongHop!J1463</f>
        <v>0</v>
      </c>
      <c r="K1463">
        <f>[2]TongHop!K1463</f>
        <v>0</v>
      </c>
      <c r="L1463">
        <f>[2]TongHop!L1463</f>
        <v>0</v>
      </c>
      <c r="M1463">
        <f>[2]TongHop!M1463</f>
        <v>0</v>
      </c>
      <c r="N1463">
        <f>[2]TongHop!N1463</f>
        <v>0</v>
      </c>
    </row>
    <row r="1464" spans="1:14">
      <c r="A1464">
        <f>[2]TongHop!A1464</f>
        <v>0</v>
      </c>
      <c r="B1464">
        <f>[2]TongHop!B1464</f>
        <v>0</v>
      </c>
      <c r="C1464">
        <f>[2]TongHop!C1464</f>
        <v>0</v>
      </c>
      <c r="D1464">
        <f>[2]TongHop!D1464</f>
        <v>0</v>
      </c>
      <c r="E1464">
        <f>[2]TongHop!E1464</f>
        <v>0</v>
      </c>
      <c r="F1464">
        <f>[2]TongHop!F1464</f>
        <v>0</v>
      </c>
      <c r="G1464">
        <f>[2]TongHop!G1464</f>
        <v>0</v>
      </c>
      <c r="H1464">
        <f>[2]TongHop!H1464</f>
        <v>0</v>
      </c>
      <c r="I1464">
        <f>[2]TongHop!I1464</f>
        <v>0</v>
      </c>
      <c r="J1464">
        <f>[2]TongHop!J1464</f>
        <v>0</v>
      </c>
      <c r="K1464">
        <f>[2]TongHop!K1464</f>
        <v>0</v>
      </c>
      <c r="L1464">
        <f>[2]TongHop!L1464</f>
        <v>0</v>
      </c>
      <c r="M1464">
        <f>[2]TongHop!M1464</f>
        <v>0</v>
      </c>
      <c r="N1464">
        <f>[2]TongHop!N1464</f>
        <v>0</v>
      </c>
    </row>
    <row r="1465" spans="1:14">
      <c r="A1465">
        <f>[2]TongHop!A1465</f>
        <v>0</v>
      </c>
      <c r="B1465">
        <f>[2]TongHop!B1465</f>
        <v>0</v>
      </c>
      <c r="C1465">
        <f>[2]TongHop!C1465</f>
        <v>0</v>
      </c>
      <c r="D1465">
        <f>[2]TongHop!D1465</f>
        <v>0</v>
      </c>
      <c r="E1465">
        <f>[2]TongHop!E1465</f>
        <v>0</v>
      </c>
      <c r="F1465">
        <f>[2]TongHop!F1465</f>
        <v>0</v>
      </c>
      <c r="G1465">
        <f>[2]TongHop!G1465</f>
        <v>0</v>
      </c>
      <c r="H1465">
        <f>[2]TongHop!H1465</f>
        <v>0</v>
      </c>
      <c r="I1465">
        <f>[2]TongHop!I1465</f>
        <v>0</v>
      </c>
      <c r="J1465">
        <f>[2]TongHop!J1465</f>
        <v>0</v>
      </c>
      <c r="K1465">
        <f>[2]TongHop!K1465</f>
        <v>0</v>
      </c>
      <c r="L1465">
        <f>[2]TongHop!L1465</f>
        <v>0</v>
      </c>
      <c r="M1465">
        <f>[2]TongHop!M1465</f>
        <v>0</v>
      </c>
      <c r="N1465">
        <f>[2]TongHop!N1465</f>
        <v>0</v>
      </c>
    </row>
    <row r="1466" spans="1:14">
      <c r="A1466">
        <f>[2]TongHop!A1466</f>
        <v>0</v>
      </c>
      <c r="B1466">
        <f>[2]TongHop!B1466</f>
        <v>0</v>
      </c>
      <c r="C1466">
        <f>[2]TongHop!C1466</f>
        <v>0</v>
      </c>
      <c r="D1466">
        <f>[2]TongHop!D1466</f>
        <v>0</v>
      </c>
      <c r="E1466">
        <f>[2]TongHop!E1466</f>
        <v>0</v>
      </c>
      <c r="F1466">
        <f>[2]TongHop!F1466</f>
        <v>0</v>
      </c>
      <c r="G1466">
        <f>[2]TongHop!G1466</f>
        <v>0</v>
      </c>
      <c r="H1466">
        <f>[2]TongHop!H1466</f>
        <v>0</v>
      </c>
      <c r="I1466">
        <f>[2]TongHop!I1466</f>
        <v>0</v>
      </c>
      <c r="J1466">
        <f>[2]TongHop!J1466</f>
        <v>0</v>
      </c>
      <c r="K1466">
        <f>[2]TongHop!K1466</f>
        <v>0</v>
      </c>
      <c r="L1466">
        <f>[2]TongHop!L1466</f>
        <v>0</v>
      </c>
      <c r="M1466">
        <f>[2]TongHop!M1466</f>
        <v>0</v>
      </c>
      <c r="N1466">
        <f>[2]TongHop!N1466</f>
        <v>0</v>
      </c>
    </row>
    <row r="1467" spans="1:14">
      <c r="A1467">
        <f>[2]TongHop!A1467</f>
        <v>0</v>
      </c>
      <c r="B1467">
        <f>[2]TongHop!B1467</f>
        <v>0</v>
      </c>
      <c r="C1467">
        <f>[2]TongHop!C1467</f>
        <v>0</v>
      </c>
      <c r="D1467">
        <f>[2]TongHop!D1467</f>
        <v>0</v>
      </c>
      <c r="E1467">
        <f>[2]TongHop!E1467</f>
        <v>0</v>
      </c>
      <c r="F1467">
        <f>[2]TongHop!F1467</f>
        <v>0</v>
      </c>
      <c r="G1467">
        <f>[2]TongHop!G1467</f>
        <v>0</v>
      </c>
      <c r="H1467">
        <f>[2]TongHop!H1467</f>
        <v>0</v>
      </c>
      <c r="I1467">
        <f>[2]TongHop!I1467</f>
        <v>0</v>
      </c>
      <c r="J1467">
        <f>[2]TongHop!J1467</f>
        <v>0</v>
      </c>
      <c r="K1467">
        <f>[2]TongHop!K1467</f>
        <v>0</v>
      </c>
      <c r="L1467">
        <f>[2]TongHop!L1467</f>
        <v>0</v>
      </c>
      <c r="M1467">
        <f>[2]TongHop!M1467</f>
        <v>0</v>
      </c>
      <c r="N1467">
        <f>[2]TongHop!N1467</f>
        <v>0</v>
      </c>
    </row>
    <row r="1468" spans="1:14">
      <c r="A1468">
        <f>[2]TongHop!A1468</f>
        <v>0</v>
      </c>
      <c r="B1468">
        <f>[2]TongHop!B1468</f>
        <v>0</v>
      </c>
      <c r="C1468">
        <f>[2]TongHop!C1468</f>
        <v>0</v>
      </c>
      <c r="D1468">
        <f>[2]TongHop!D1468</f>
        <v>0</v>
      </c>
      <c r="E1468">
        <f>[2]TongHop!E1468</f>
        <v>0</v>
      </c>
      <c r="F1468">
        <f>[2]TongHop!F1468</f>
        <v>0</v>
      </c>
      <c r="G1468">
        <f>[2]TongHop!G1468</f>
        <v>0</v>
      </c>
      <c r="H1468">
        <f>[2]TongHop!H1468</f>
        <v>0</v>
      </c>
      <c r="I1468">
        <f>[2]TongHop!I1468</f>
        <v>0</v>
      </c>
      <c r="J1468">
        <f>[2]TongHop!J1468</f>
        <v>0</v>
      </c>
      <c r="K1468">
        <f>[2]TongHop!K1468</f>
        <v>0</v>
      </c>
      <c r="L1468">
        <f>[2]TongHop!L1468</f>
        <v>0</v>
      </c>
      <c r="M1468">
        <f>[2]TongHop!M1468</f>
        <v>0</v>
      </c>
      <c r="N1468">
        <f>[2]TongHop!N1468</f>
        <v>0</v>
      </c>
    </row>
    <row r="1469" spans="1:14">
      <c r="A1469">
        <f>[2]TongHop!A1469</f>
        <v>0</v>
      </c>
      <c r="B1469">
        <f>[2]TongHop!B1469</f>
        <v>0</v>
      </c>
      <c r="C1469">
        <f>[2]TongHop!C1469</f>
        <v>0</v>
      </c>
      <c r="D1469">
        <f>[2]TongHop!D1469</f>
        <v>0</v>
      </c>
      <c r="E1469">
        <f>[2]TongHop!E1469</f>
        <v>0</v>
      </c>
      <c r="F1469">
        <f>[2]TongHop!F1469</f>
        <v>0</v>
      </c>
      <c r="G1469">
        <f>[2]TongHop!G1469</f>
        <v>0</v>
      </c>
      <c r="H1469">
        <f>[2]TongHop!H1469</f>
        <v>0</v>
      </c>
      <c r="I1469">
        <f>[2]TongHop!I1469</f>
        <v>0</v>
      </c>
      <c r="J1469">
        <f>[2]TongHop!J1469</f>
        <v>0</v>
      </c>
      <c r="K1469">
        <f>[2]TongHop!K1469</f>
        <v>0</v>
      </c>
      <c r="L1469">
        <f>[2]TongHop!L1469</f>
        <v>0</v>
      </c>
      <c r="M1469">
        <f>[2]TongHop!M1469</f>
        <v>0</v>
      </c>
      <c r="N1469">
        <f>[2]TongHop!N1469</f>
        <v>0</v>
      </c>
    </row>
    <row r="1470" spans="1:14">
      <c r="A1470">
        <f>[2]TongHop!A1470</f>
        <v>0</v>
      </c>
      <c r="B1470">
        <f>[2]TongHop!B1470</f>
        <v>0</v>
      </c>
      <c r="C1470">
        <f>[2]TongHop!C1470</f>
        <v>0</v>
      </c>
      <c r="D1470">
        <f>[2]TongHop!D1470</f>
        <v>0</v>
      </c>
      <c r="E1470">
        <f>[2]TongHop!E1470</f>
        <v>0</v>
      </c>
      <c r="F1470">
        <f>[2]TongHop!F1470</f>
        <v>0</v>
      </c>
      <c r="G1470">
        <f>[2]TongHop!G1470</f>
        <v>0</v>
      </c>
      <c r="H1470">
        <f>[2]TongHop!H1470</f>
        <v>0</v>
      </c>
      <c r="I1470">
        <f>[2]TongHop!I1470</f>
        <v>0</v>
      </c>
      <c r="J1470">
        <f>[2]TongHop!J1470</f>
        <v>0</v>
      </c>
      <c r="K1470">
        <f>[2]TongHop!K1470</f>
        <v>0</v>
      </c>
      <c r="L1470">
        <f>[2]TongHop!L1470</f>
        <v>0</v>
      </c>
      <c r="M1470">
        <f>[2]TongHop!M1470</f>
        <v>0</v>
      </c>
      <c r="N1470">
        <f>[2]TongHop!N1470</f>
        <v>0</v>
      </c>
    </row>
    <row r="1471" spans="1:14">
      <c r="A1471">
        <f>[2]TongHop!A1471</f>
        <v>0</v>
      </c>
      <c r="B1471">
        <f>[2]TongHop!B1471</f>
        <v>0</v>
      </c>
      <c r="C1471">
        <f>[2]TongHop!C1471</f>
        <v>0</v>
      </c>
      <c r="D1471">
        <f>[2]TongHop!D1471</f>
        <v>0</v>
      </c>
      <c r="E1471">
        <f>[2]TongHop!E1471</f>
        <v>0</v>
      </c>
      <c r="F1471">
        <f>[2]TongHop!F1471</f>
        <v>0</v>
      </c>
      <c r="G1471">
        <f>[2]TongHop!G1471</f>
        <v>0</v>
      </c>
      <c r="H1471">
        <f>[2]TongHop!H1471</f>
        <v>0</v>
      </c>
      <c r="I1471">
        <f>[2]TongHop!I1471</f>
        <v>0</v>
      </c>
      <c r="J1471">
        <f>[2]TongHop!J1471</f>
        <v>0</v>
      </c>
      <c r="K1471">
        <f>[2]TongHop!K1471</f>
        <v>0</v>
      </c>
      <c r="L1471">
        <f>[2]TongHop!L1471</f>
        <v>0</v>
      </c>
      <c r="M1471">
        <f>[2]TongHop!M1471</f>
        <v>0</v>
      </c>
      <c r="N1471">
        <f>[2]TongHop!N1471</f>
        <v>0</v>
      </c>
    </row>
    <row r="1472" spans="1:14">
      <c r="A1472">
        <f>[2]TongHop!A1472</f>
        <v>0</v>
      </c>
      <c r="B1472">
        <f>[2]TongHop!B1472</f>
        <v>0</v>
      </c>
      <c r="C1472">
        <f>[2]TongHop!C1472</f>
        <v>0</v>
      </c>
      <c r="D1472">
        <f>[2]TongHop!D1472</f>
        <v>0</v>
      </c>
      <c r="E1472">
        <f>[2]TongHop!E1472</f>
        <v>0</v>
      </c>
      <c r="F1472">
        <f>[2]TongHop!F1472</f>
        <v>0</v>
      </c>
      <c r="G1472">
        <f>[2]TongHop!G1472</f>
        <v>0</v>
      </c>
      <c r="H1472">
        <f>[2]TongHop!H1472</f>
        <v>0</v>
      </c>
      <c r="I1472">
        <f>[2]TongHop!I1472</f>
        <v>0</v>
      </c>
      <c r="J1472">
        <f>[2]TongHop!J1472</f>
        <v>0</v>
      </c>
      <c r="K1472">
        <f>[2]TongHop!K1472</f>
        <v>0</v>
      </c>
      <c r="L1472">
        <f>[2]TongHop!L1472</f>
        <v>0</v>
      </c>
      <c r="M1472">
        <f>[2]TongHop!M1472</f>
        <v>0</v>
      </c>
      <c r="N1472">
        <f>[2]TongHop!N1472</f>
        <v>0</v>
      </c>
    </row>
    <row r="1473" spans="1:14">
      <c r="A1473">
        <f>[2]TongHop!A1473</f>
        <v>0</v>
      </c>
      <c r="B1473">
        <f>[2]TongHop!B1473</f>
        <v>0</v>
      </c>
      <c r="C1473">
        <f>[2]TongHop!C1473</f>
        <v>0</v>
      </c>
      <c r="D1473">
        <f>[2]TongHop!D1473</f>
        <v>0</v>
      </c>
      <c r="E1473">
        <f>[2]TongHop!E1473</f>
        <v>0</v>
      </c>
      <c r="F1473">
        <f>[2]TongHop!F1473</f>
        <v>0</v>
      </c>
      <c r="G1473">
        <f>[2]TongHop!G1473</f>
        <v>0</v>
      </c>
      <c r="H1473">
        <f>[2]TongHop!H1473</f>
        <v>0</v>
      </c>
      <c r="I1473">
        <f>[2]TongHop!I1473</f>
        <v>0</v>
      </c>
      <c r="J1473">
        <f>[2]TongHop!J1473</f>
        <v>0</v>
      </c>
      <c r="K1473">
        <f>[2]TongHop!K1473</f>
        <v>0</v>
      </c>
      <c r="L1473">
        <f>[2]TongHop!L1473</f>
        <v>0</v>
      </c>
      <c r="M1473">
        <f>[2]TongHop!M1473</f>
        <v>0</v>
      </c>
      <c r="N1473">
        <f>[2]TongHop!N1473</f>
        <v>0</v>
      </c>
    </row>
    <row r="1474" spans="1:14">
      <c r="A1474">
        <f>[2]TongHop!A1474</f>
        <v>0</v>
      </c>
      <c r="B1474">
        <f>[2]TongHop!B1474</f>
        <v>0</v>
      </c>
      <c r="C1474">
        <f>[2]TongHop!C1474</f>
        <v>0</v>
      </c>
      <c r="D1474">
        <f>[2]TongHop!D1474</f>
        <v>0</v>
      </c>
      <c r="E1474">
        <f>[2]TongHop!E1474</f>
        <v>0</v>
      </c>
      <c r="F1474">
        <f>[2]TongHop!F1474</f>
        <v>0</v>
      </c>
      <c r="G1474">
        <f>[2]TongHop!G1474</f>
        <v>0</v>
      </c>
      <c r="H1474">
        <f>[2]TongHop!H1474</f>
        <v>0</v>
      </c>
      <c r="I1474">
        <f>[2]TongHop!I1474</f>
        <v>0</v>
      </c>
      <c r="J1474">
        <f>[2]TongHop!J1474</f>
        <v>0</v>
      </c>
      <c r="K1474">
        <f>[2]TongHop!K1474</f>
        <v>0</v>
      </c>
      <c r="L1474">
        <f>[2]TongHop!L1474</f>
        <v>0</v>
      </c>
      <c r="M1474">
        <f>[2]TongHop!M1474</f>
        <v>0</v>
      </c>
      <c r="N1474">
        <f>[2]TongHop!N1474</f>
        <v>0</v>
      </c>
    </row>
    <row r="1475" spans="1:14">
      <c r="A1475">
        <f>[2]TongHop!A1475</f>
        <v>0</v>
      </c>
      <c r="B1475">
        <f>[2]TongHop!B1475</f>
        <v>0</v>
      </c>
      <c r="C1475">
        <f>[2]TongHop!C1475</f>
        <v>0</v>
      </c>
      <c r="D1475">
        <f>[2]TongHop!D1475</f>
        <v>0</v>
      </c>
      <c r="E1475">
        <f>[2]TongHop!E1475</f>
        <v>0</v>
      </c>
      <c r="F1475">
        <f>[2]TongHop!F1475</f>
        <v>0</v>
      </c>
      <c r="G1475">
        <f>[2]TongHop!G1475</f>
        <v>0</v>
      </c>
      <c r="H1475">
        <f>[2]TongHop!H1475</f>
        <v>0</v>
      </c>
      <c r="I1475">
        <f>[2]TongHop!I1475</f>
        <v>0</v>
      </c>
      <c r="J1475">
        <f>[2]TongHop!J1475</f>
        <v>0</v>
      </c>
      <c r="K1475">
        <f>[2]TongHop!K1475</f>
        <v>0</v>
      </c>
      <c r="L1475">
        <f>[2]TongHop!L1475</f>
        <v>0</v>
      </c>
      <c r="M1475">
        <f>[2]TongHop!M1475</f>
        <v>0</v>
      </c>
      <c r="N1475">
        <f>[2]TongHop!N1475</f>
        <v>0</v>
      </c>
    </row>
    <row r="1476" spans="1:14">
      <c r="A1476">
        <f>[2]TongHop!A1476</f>
        <v>0</v>
      </c>
      <c r="B1476">
        <f>[2]TongHop!B1476</f>
        <v>0</v>
      </c>
      <c r="C1476">
        <f>[2]TongHop!C1476</f>
        <v>0</v>
      </c>
      <c r="D1476">
        <f>[2]TongHop!D1476</f>
        <v>0</v>
      </c>
      <c r="E1476">
        <f>[2]TongHop!E1476</f>
        <v>0</v>
      </c>
      <c r="F1476">
        <f>[2]TongHop!F1476</f>
        <v>0</v>
      </c>
      <c r="G1476">
        <f>[2]TongHop!G1476</f>
        <v>0</v>
      </c>
      <c r="H1476">
        <f>[2]TongHop!H1476</f>
        <v>0</v>
      </c>
      <c r="I1476">
        <f>[2]TongHop!I1476</f>
        <v>0</v>
      </c>
      <c r="J1476">
        <f>[2]TongHop!J1476</f>
        <v>0</v>
      </c>
      <c r="K1476">
        <f>[2]TongHop!K1476</f>
        <v>0</v>
      </c>
      <c r="L1476">
        <f>[2]TongHop!L1476</f>
        <v>0</v>
      </c>
      <c r="M1476">
        <f>[2]TongHop!M1476</f>
        <v>0</v>
      </c>
      <c r="N1476">
        <f>[2]TongHop!N1476</f>
        <v>0</v>
      </c>
    </row>
    <row r="1477" spans="1:14">
      <c r="A1477">
        <f>[2]TongHop!A1477</f>
        <v>0</v>
      </c>
      <c r="B1477">
        <f>[2]TongHop!B1477</f>
        <v>0</v>
      </c>
      <c r="C1477">
        <f>[2]TongHop!C1477</f>
        <v>0</v>
      </c>
      <c r="D1477">
        <f>[2]TongHop!D1477</f>
        <v>0</v>
      </c>
      <c r="E1477">
        <f>[2]TongHop!E1477</f>
        <v>0</v>
      </c>
      <c r="F1477">
        <f>[2]TongHop!F1477</f>
        <v>0</v>
      </c>
      <c r="G1477">
        <f>[2]TongHop!G1477</f>
        <v>0</v>
      </c>
      <c r="H1477">
        <f>[2]TongHop!H1477</f>
        <v>0</v>
      </c>
      <c r="I1477">
        <f>[2]TongHop!I1477</f>
        <v>0</v>
      </c>
      <c r="J1477">
        <f>[2]TongHop!J1477</f>
        <v>0</v>
      </c>
      <c r="K1477">
        <f>[2]TongHop!K1477</f>
        <v>0</v>
      </c>
      <c r="L1477">
        <f>[2]TongHop!L1477</f>
        <v>0</v>
      </c>
      <c r="M1477">
        <f>[2]TongHop!M1477</f>
        <v>0</v>
      </c>
      <c r="N1477">
        <f>[2]TongHop!N1477</f>
        <v>0</v>
      </c>
    </row>
    <row r="1478" spans="1:14">
      <c r="A1478">
        <f>[2]TongHop!A1478</f>
        <v>0</v>
      </c>
      <c r="B1478">
        <f>[2]TongHop!B1478</f>
        <v>0</v>
      </c>
      <c r="C1478">
        <f>[2]TongHop!C1478</f>
        <v>0</v>
      </c>
      <c r="D1478">
        <f>[2]TongHop!D1478</f>
        <v>0</v>
      </c>
      <c r="E1478">
        <f>[2]TongHop!E1478</f>
        <v>0</v>
      </c>
      <c r="F1478">
        <f>[2]TongHop!F1478</f>
        <v>0</v>
      </c>
      <c r="G1478">
        <f>[2]TongHop!G1478</f>
        <v>0</v>
      </c>
      <c r="H1478">
        <f>[2]TongHop!H1478</f>
        <v>0</v>
      </c>
      <c r="I1478">
        <f>[2]TongHop!I1478</f>
        <v>0</v>
      </c>
      <c r="J1478">
        <f>[2]TongHop!J1478</f>
        <v>0</v>
      </c>
      <c r="K1478">
        <f>[2]TongHop!K1478</f>
        <v>0</v>
      </c>
      <c r="L1478">
        <f>[2]TongHop!L1478</f>
        <v>0</v>
      </c>
      <c r="M1478">
        <f>[2]TongHop!M1478</f>
        <v>0</v>
      </c>
      <c r="N1478">
        <f>[2]TongHop!N1478</f>
        <v>0</v>
      </c>
    </row>
    <row r="1479" spans="1:14">
      <c r="A1479">
        <f>[2]TongHop!A1479</f>
        <v>0</v>
      </c>
      <c r="B1479">
        <f>[2]TongHop!B1479</f>
        <v>0</v>
      </c>
      <c r="C1479">
        <f>[2]TongHop!C1479</f>
        <v>0</v>
      </c>
      <c r="D1479">
        <f>[2]TongHop!D1479</f>
        <v>0</v>
      </c>
      <c r="E1479">
        <f>[2]TongHop!E1479</f>
        <v>0</v>
      </c>
      <c r="F1479">
        <f>[2]TongHop!F1479</f>
        <v>0</v>
      </c>
      <c r="G1479">
        <f>[2]TongHop!G1479</f>
        <v>0</v>
      </c>
      <c r="H1479">
        <f>[2]TongHop!H1479</f>
        <v>0</v>
      </c>
      <c r="I1479">
        <f>[2]TongHop!I1479</f>
        <v>0</v>
      </c>
      <c r="J1479">
        <f>[2]TongHop!J1479</f>
        <v>0</v>
      </c>
      <c r="K1479">
        <f>[2]TongHop!K1479</f>
        <v>0</v>
      </c>
      <c r="L1479">
        <f>[2]TongHop!L1479</f>
        <v>0</v>
      </c>
      <c r="M1479">
        <f>[2]TongHop!M1479</f>
        <v>0</v>
      </c>
      <c r="N1479">
        <f>[2]TongHop!N1479</f>
        <v>0</v>
      </c>
    </row>
    <row r="1480" spans="1:14">
      <c r="A1480">
        <f>[2]TongHop!A1480</f>
        <v>0</v>
      </c>
      <c r="B1480">
        <f>[2]TongHop!B1480</f>
        <v>0</v>
      </c>
      <c r="C1480">
        <f>[2]TongHop!C1480</f>
        <v>0</v>
      </c>
      <c r="D1480">
        <f>[2]TongHop!D1480</f>
        <v>0</v>
      </c>
      <c r="E1480">
        <f>[2]TongHop!E1480</f>
        <v>0</v>
      </c>
      <c r="F1480">
        <f>[2]TongHop!F1480</f>
        <v>0</v>
      </c>
      <c r="G1480">
        <f>[2]TongHop!G1480</f>
        <v>0</v>
      </c>
      <c r="H1480">
        <f>[2]TongHop!H1480</f>
        <v>0</v>
      </c>
      <c r="I1480">
        <f>[2]TongHop!I1480</f>
        <v>0</v>
      </c>
      <c r="J1480">
        <f>[2]TongHop!J1480</f>
        <v>0</v>
      </c>
      <c r="K1480">
        <f>[2]TongHop!K1480</f>
        <v>0</v>
      </c>
      <c r="L1480">
        <f>[2]TongHop!L1480</f>
        <v>0</v>
      </c>
      <c r="M1480">
        <f>[2]TongHop!M1480</f>
        <v>0</v>
      </c>
      <c r="N1480">
        <f>[2]TongHop!N1480</f>
        <v>0</v>
      </c>
    </row>
    <row r="1481" spans="1:14">
      <c r="A1481">
        <f>[2]TongHop!A1481</f>
        <v>0</v>
      </c>
      <c r="B1481">
        <f>[2]TongHop!B1481</f>
        <v>0</v>
      </c>
      <c r="C1481">
        <f>[2]TongHop!C1481</f>
        <v>0</v>
      </c>
      <c r="D1481">
        <f>[2]TongHop!D1481</f>
        <v>0</v>
      </c>
      <c r="E1481">
        <f>[2]TongHop!E1481</f>
        <v>0</v>
      </c>
      <c r="F1481">
        <f>[2]TongHop!F1481</f>
        <v>0</v>
      </c>
      <c r="G1481">
        <f>[2]TongHop!G1481</f>
        <v>0</v>
      </c>
      <c r="H1481">
        <f>[2]TongHop!H1481</f>
        <v>0</v>
      </c>
      <c r="I1481">
        <f>[2]TongHop!I1481</f>
        <v>0</v>
      </c>
      <c r="J1481">
        <f>[2]TongHop!J1481</f>
        <v>0</v>
      </c>
      <c r="K1481">
        <f>[2]TongHop!K1481</f>
        <v>0</v>
      </c>
      <c r="L1481">
        <f>[2]TongHop!L1481</f>
        <v>0</v>
      </c>
      <c r="M1481">
        <f>[2]TongHop!M1481</f>
        <v>0</v>
      </c>
      <c r="N1481">
        <f>[2]TongHop!N1481</f>
        <v>0</v>
      </c>
    </row>
    <row r="1482" spans="1:14">
      <c r="A1482">
        <f>[2]TongHop!A1482</f>
        <v>0</v>
      </c>
      <c r="B1482">
        <f>[2]TongHop!B1482</f>
        <v>0</v>
      </c>
      <c r="C1482">
        <f>[2]TongHop!C1482</f>
        <v>0</v>
      </c>
      <c r="D1482">
        <f>[2]TongHop!D1482</f>
        <v>0</v>
      </c>
      <c r="E1482">
        <f>[2]TongHop!E1482</f>
        <v>0</v>
      </c>
      <c r="F1482">
        <f>[2]TongHop!F1482</f>
        <v>0</v>
      </c>
      <c r="G1482">
        <f>[2]TongHop!G1482</f>
        <v>0</v>
      </c>
      <c r="H1482">
        <f>[2]TongHop!H1482</f>
        <v>0</v>
      </c>
      <c r="I1482">
        <f>[2]TongHop!I1482</f>
        <v>0</v>
      </c>
      <c r="J1482">
        <f>[2]TongHop!J1482</f>
        <v>0</v>
      </c>
      <c r="K1482">
        <f>[2]TongHop!K1482</f>
        <v>0</v>
      </c>
      <c r="L1482">
        <f>[2]TongHop!L1482</f>
        <v>0</v>
      </c>
      <c r="M1482">
        <f>[2]TongHop!M1482</f>
        <v>0</v>
      </c>
      <c r="N1482">
        <f>[2]TongHop!N1482</f>
        <v>0</v>
      </c>
    </row>
    <row r="1483" spans="1:14">
      <c r="A1483">
        <f>[2]TongHop!A1483</f>
        <v>0</v>
      </c>
      <c r="B1483">
        <f>[2]TongHop!B1483</f>
        <v>0</v>
      </c>
      <c r="C1483">
        <f>[2]TongHop!C1483</f>
        <v>0</v>
      </c>
      <c r="D1483">
        <f>[2]TongHop!D1483</f>
        <v>0</v>
      </c>
      <c r="E1483">
        <f>[2]TongHop!E1483</f>
        <v>0</v>
      </c>
      <c r="F1483">
        <f>[2]TongHop!F1483</f>
        <v>0</v>
      </c>
      <c r="G1483">
        <f>[2]TongHop!G1483</f>
        <v>0</v>
      </c>
      <c r="H1483">
        <f>[2]TongHop!H1483</f>
        <v>0</v>
      </c>
      <c r="I1483">
        <f>[2]TongHop!I1483</f>
        <v>0</v>
      </c>
      <c r="J1483">
        <f>[2]TongHop!J1483</f>
        <v>0</v>
      </c>
      <c r="K1483">
        <f>[2]TongHop!K1483</f>
        <v>0</v>
      </c>
      <c r="L1483">
        <f>[2]TongHop!L1483</f>
        <v>0</v>
      </c>
      <c r="M1483">
        <f>[2]TongHop!M1483</f>
        <v>0</v>
      </c>
      <c r="N1483">
        <f>[2]TongHop!N1483</f>
        <v>0</v>
      </c>
    </row>
    <row r="1484" spans="1:14">
      <c r="A1484">
        <f>[2]TongHop!A1484</f>
        <v>0</v>
      </c>
      <c r="B1484">
        <f>[2]TongHop!B1484</f>
        <v>0</v>
      </c>
      <c r="C1484">
        <f>[2]TongHop!C1484</f>
        <v>0</v>
      </c>
      <c r="D1484">
        <f>[2]TongHop!D1484</f>
        <v>0</v>
      </c>
      <c r="E1484">
        <f>[2]TongHop!E1484</f>
        <v>0</v>
      </c>
      <c r="F1484">
        <f>[2]TongHop!F1484</f>
        <v>0</v>
      </c>
      <c r="G1484">
        <f>[2]TongHop!G1484</f>
        <v>0</v>
      </c>
      <c r="H1484">
        <f>[2]TongHop!H1484</f>
        <v>0</v>
      </c>
      <c r="I1484">
        <f>[2]TongHop!I1484</f>
        <v>0</v>
      </c>
      <c r="J1484">
        <f>[2]TongHop!J1484</f>
        <v>0</v>
      </c>
      <c r="K1484">
        <f>[2]TongHop!K1484</f>
        <v>0</v>
      </c>
      <c r="L1484">
        <f>[2]TongHop!L1484</f>
        <v>0</v>
      </c>
      <c r="M1484">
        <f>[2]TongHop!M1484</f>
        <v>0</v>
      </c>
      <c r="N1484">
        <f>[2]TongHop!N1484</f>
        <v>0</v>
      </c>
    </row>
    <row r="1485" spans="1:14">
      <c r="A1485">
        <f>[2]TongHop!A1485</f>
        <v>0</v>
      </c>
      <c r="B1485">
        <f>[2]TongHop!B1485</f>
        <v>0</v>
      </c>
      <c r="C1485">
        <f>[2]TongHop!C1485</f>
        <v>0</v>
      </c>
      <c r="D1485">
        <f>[2]TongHop!D1485</f>
        <v>0</v>
      </c>
      <c r="E1485">
        <f>[2]TongHop!E1485</f>
        <v>0</v>
      </c>
      <c r="F1485">
        <f>[2]TongHop!F1485</f>
        <v>0</v>
      </c>
      <c r="G1485">
        <f>[2]TongHop!G1485</f>
        <v>0</v>
      </c>
      <c r="H1485">
        <f>[2]TongHop!H1485</f>
        <v>0</v>
      </c>
      <c r="I1485">
        <f>[2]TongHop!I1485</f>
        <v>0</v>
      </c>
      <c r="J1485">
        <f>[2]TongHop!J1485</f>
        <v>0</v>
      </c>
      <c r="K1485">
        <f>[2]TongHop!K1485</f>
        <v>0</v>
      </c>
      <c r="L1485">
        <f>[2]TongHop!L1485</f>
        <v>0</v>
      </c>
      <c r="M1485">
        <f>[2]TongHop!M1485</f>
        <v>0</v>
      </c>
      <c r="N1485">
        <f>[2]TongHop!N1485</f>
        <v>0</v>
      </c>
    </row>
    <row r="1486" spans="1:14">
      <c r="A1486">
        <f>[2]TongHop!A1486</f>
        <v>0</v>
      </c>
      <c r="B1486">
        <f>[2]TongHop!B1486</f>
        <v>0</v>
      </c>
      <c r="C1486">
        <f>[2]TongHop!C1486</f>
        <v>0</v>
      </c>
      <c r="D1486">
        <f>[2]TongHop!D1486</f>
        <v>0</v>
      </c>
      <c r="E1486">
        <f>[2]TongHop!E1486</f>
        <v>0</v>
      </c>
      <c r="F1486">
        <f>[2]TongHop!F1486</f>
        <v>0</v>
      </c>
      <c r="G1486">
        <f>[2]TongHop!G1486</f>
        <v>0</v>
      </c>
      <c r="H1486">
        <f>[2]TongHop!H1486</f>
        <v>0</v>
      </c>
      <c r="I1486">
        <f>[2]TongHop!I1486</f>
        <v>0</v>
      </c>
      <c r="J1486">
        <f>[2]TongHop!J1486</f>
        <v>0</v>
      </c>
      <c r="K1486">
        <f>[2]TongHop!K1486</f>
        <v>0</v>
      </c>
      <c r="L1486">
        <f>[2]TongHop!L1486</f>
        <v>0</v>
      </c>
      <c r="M1486">
        <f>[2]TongHop!M1486</f>
        <v>0</v>
      </c>
      <c r="N1486">
        <f>[2]TongHop!N1486</f>
        <v>0</v>
      </c>
    </row>
    <row r="1487" spans="1:14">
      <c r="A1487">
        <f>[2]TongHop!A1487</f>
        <v>0</v>
      </c>
      <c r="B1487">
        <f>[2]TongHop!B1487</f>
        <v>0</v>
      </c>
      <c r="C1487">
        <f>[2]TongHop!C1487</f>
        <v>0</v>
      </c>
      <c r="D1487">
        <f>[2]TongHop!D1487</f>
        <v>0</v>
      </c>
      <c r="E1487">
        <f>[2]TongHop!E1487</f>
        <v>0</v>
      </c>
      <c r="F1487">
        <f>[2]TongHop!F1487</f>
        <v>0</v>
      </c>
      <c r="G1487">
        <f>[2]TongHop!G1487</f>
        <v>0</v>
      </c>
      <c r="H1487">
        <f>[2]TongHop!H1487</f>
        <v>0</v>
      </c>
      <c r="I1487">
        <f>[2]TongHop!I1487</f>
        <v>0</v>
      </c>
      <c r="J1487">
        <f>[2]TongHop!J1487</f>
        <v>0</v>
      </c>
      <c r="K1487">
        <f>[2]TongHop!K1487</f>
        <v>0</v>
      </c>
      <c r="L1487">
        <f>[2]TongHop!L1487</f>
        <v>0</v>
      </c>
      <c r="M1487">
        <f>[2]TongHop!M1487</f>
        <v>0</v>
      </c>
      <c r="N1487">
        <f>[2]TongHop!N1487</f>
        <v>0</v>
      </c>
    </row>
    <row r="1488" spans="1:14">
      <c r="A1488">
        <f>[2]TongHop!A1488</f>
        <v>0</v>
      </c>
      <c r="B1488">
        <f>[2]TongHop!B1488</f>
        <v>0</v>
      </c>
      <c r="C1488">
        <f>[2]TongHop!C1488</f>
        <v>0</v>
      </c>
      <c r="D1488">
        <f>[2]TongHop!D1488</f>
        <v>0</v>
      </c>
      <c r="E1488">
        <f>[2]TongHop!E1488</f>
        <v>0</v>
      </c>
      <c r="F1488">
        <f>[2]TongHop!F1488</f>
        <v>0</v>
      </c>
      <c r="G1488">
        <f>[2]TongHop!G1488</f>
        <v>0</v>
      </c>
      <c r="H1488">
        <f>[2]TongHop!H1488</f>
        <v>0</v>
      </c>
      <c r="I1488">
        <f>[2]TongHop!I1488</f>
        <v>0</v>
      </c>
      <c r="J1488">
        <f>[2]TongHop!J1488</f>
        <v>0</v>
      </c>
      <c r="K1488">
        <f>[2]TongHop!K1488</f>
        <v>0</v>
      </c>
      <c r="L1488">
        <f>[2]TongHop!L1488</f>
        <v>0</v>
      </c>
      <c r="M1488">
        <f>[2]TongHop!M1488</f>
        <v>0</v>
      </c>
      <c r="N1488">
        <f>[2]TongHop!N1488</f>
        <v>0</v>
      </c>
    </row>
    <row r="1489" spans="1:14">
      <c r="A1489">
        <f>[2]TongHop!A1489</f>
        <v>0</v>
      </c>
      <c r="B1489">
        <f>[2]TongHop!B1489</f>
        <v>0</v>
      </c>
      <c r="C1489">
        <f>[2]TongHop!C1489</f>
        <v>0</v>
      </c>
      <c r="D1489">
        <f>[2]TongHop!D1489</f>
        <v>0</v>
      </c>
      <c r="E1489">
        <f>[2]TongHop!E1489</f>
        <v>0</v>
      </c>
      <c r="F1489">
        <f>[2]TongHop!F1489</f>
        <v>0</v>
      </c>
      <c r="G1489">
        <f>[2]TongHop!G1489</f>
        <v>0</v>
      </c>
      <c r="H1489">
        <f>[2]TongHop!H1489</f>
        <v>0</v>
      </c>
      <c r="I1489">
        <f>[2]TongHop!I1489</f>
        <v>0</v>
      </c>
      <c r="J1489">
        <f>[2]TongHop!J1489</f>
        <v>0</v>
      </c>
      <c r="K1489">
        <f>[2]TongHop!K1489</f>
        <v>0</v>
      </c>
      <c r="L1489">
        <f>[2]TongHop!L1489</f>
        <v>0</v>
      </c>
      <c r="M1489">
        <f>[2]TongHop!M1489</f>
        <v>0</v>
      </c>
      <c r="N1489">
        <f>[2]TongHop!N1489</f>
        <v>0</v>
      </c>
    </row>
    <row r="1490" spans="1:14">
      <c r="A1490">
        <f>[2]TongHop!A1490</f>
        <v>0</v>
      </c>
      <c r="B1490">
        <f>[2]TongHop!B1490</f>
        <v>0</v>
      </c>
      <c r="C1490">
        <f>[2]TongHop!C1490</f>
        <v>0</v>
      </c>
      <c r="D1490">
        <f>[2]TongHop!D1490</f>
        <v>0</v>
      </c>
      <c r="E1490">
        <f>[2]TongHop!E1490</f>
        <v>0</v>
      </c>
      <c r="F1490">
        <f>[2]TongHop!F1490</f>
        <v>0</v>
      </c>
      <c r="G1490">
        <f>[2]TongHop!G1490</f>
        <v>0</v>
      </c>
      <c r="H1490">
        <f>[2]TongHop!H1490</f>
        <v>0</v>
      </c>
      <c r="I1490">
        <f>[2]TongHop!I1490</f>
        <v>0</v>
      </c>
      <c r="J1490">
        <f>[2]TongHop!J1490</f>
        <v>0</v>
      </c>
      <c r="K1490">
        <f>[2]TongHop!K1490</f>
        <v>0</v>
      </c>
      <c r="L1490">
        <f>[2]TongHop!L1490</f>
        <v>0</v>
      </c>
      <c r="M1490">
        <f>[2]TongHop!M1490</f>
        <v>0</v>
      </c>
      <c r="N1490">
        <f>[2]TongHop!N1490</f>
        <v>0</v>
      </c>
    </row>
    <row r="1491" spans="1:14">
      <c r="A1491">
        <f>[2]TongHop!A1491</f>
        <v>0</v>
      </c>
      <c r="B1491">
        <f>[2]TongHop!B1491</f>
        <v>0</v>
      </c>
      <c r="C1491">
        <f>[2]TongHop!C1491</f>
        <v>0</v>
      </c>
      <c r="D1491">
        <f>[2]TongHop!D1491</f>
        <v>0</v>
      </c>
      <c r="E1491">
        <f>[2]TongHop!E1491</f>
        <v>0</v>
      </c>
      <c r="F1491">
        <f>[2]TongHop!F1491</f>
        <v>0</v>
      </c>
      <c r="G1491">
        <f>[2]TongHop!G1491</f>
        <v>0</v>
      </c>
      <c r="H1491">
        <f>[2]TongHop!H1491</f>
        <v>0</v>
      </c>
      <c r="I1491">
        <f>[2]TongHop!I1491</f>
        <v>0</v>
      </c>
      <c r="J1491">
        <f>[2]TongHop!J1491</f>
        <v>0</v>
      </c>
      <c r="K1491">
        <f>[2]TongHop!K1491</f>
        <v>0</v>
      </c>
      <c r="L1491">
        <f>[2]TongHop!L1491</f>
        <v>0</v>
      </c>
      <c r="M1491">
        <f>[2]TongHop!M1491</f>
        <v>0</v>
      </c>
      <c r="N1491">
        <f>[2]TongHop!N1491</f>
        <v>0</v>
      </c>
    </row>
    <row r="1492" spans="1:14">
      <c r="A1492">
        <f>[2]TongHop!A1492</f>
        <v>0</v>
      </c>
      <c r="B1492">
        <f>[2]TongHop!B1492</f>
        <v>0</v>
      </c>
      <c r="C1492">
        <f>[2]TongHop!C1492</f>
        <v>0</v>
      </c>
      <c r="D1492">
        <f>[2]TongHop!D1492</f>
        <v>0</v>
      </c>
      <c r="E1492">
        <f>[2]TongHop!E1492</f>
        <v>0</v>
      </c>
      <c r="F1492">
        <f>[2]TongHop!F1492</f>
        <v>0</v>
      </c>
      <c r="G1492">
        <f>[2]TongHop!G1492</f>
        <v>0</v>
      </c>
      <c r="H1492">
        <f>[2]TongHop!H1492</f>
        <v>0</v>
      </c>
      <c r="I1492">
        <f>[2]TongHop!I1492</f>
        <v>0</v>
      </c>
      <c r="J1492">
        <f>[2]TongHop!J1492</f>
        <v>0</v>
      </c>
      <c r="K1492">
        <f>[2]TongHop!K1492</f>
        <v>0</v>
      </c>
      <c r="L1492">
        <f>[2]TongHop!L1492</f>
        <v>0</v>
      </c>
      <c r="M1492">
        <f>[2]TongHop!M1492</f>
        <v>0</v>
      </c>
      <c r="N1492">
        <f>[2]TongHop!N1492</f>
        <v>0</v>
      </c>
    </row>
    <row r="1493" spans="1:14">
      <c r="A1493">
        <f>[2]TongHop!A1493</f>
        <v>0</v>
      </c>
      <c r="B1493">
        <f>[2]TongHop!B1493</f>
        <v>0</v>
      </c>
      <c r="C1493">
        <f>[2]TongHop!C1493</f>
        <v>0</v>
      </c>
      <c r="D1493">
        <f>[2]TongHop!D1493</f>
        <v>0</v>
      </c>
      <c r="E1493">
        <f>[2]TongHop!E1493</f>
        <v>0</v>
      </c>
      <c r="F1493">
        <f>[2]TongHop!F1493</f>
        <v>0</v>
      </c>
      <c r="G1493">
        <f>[2]TongHop!G1493</f>
        <v>0</v>
      </c>
      <c r="H1493">
        <f>[2]TongHop!H1493</f>
        <v>0</v>
      </c>
      <c r="I1493">
        <f>[2]TongHop!I1493</f>
        <v>0</v>
      </c>
      <c r="J1493">
        <f>[2]TongHop!J1493</f>
        <v>0</v>
      </c>
      <c r="K1493">
        <f>[2]TongHop!K1493</f>
        <v>0</v>
      </c>
      <c r="L1493">
        <f>[2]TongHop!L1493</f>
        <v>0</v>
      </c>
      <c r="M1493">
        <f>[2]TongHop!M1493</f>
        <v>0</v>
      </c>
      <c r="N1493">
        <f>[2]TongHop!N1493</f>
        <v>0</v>
      </c>
    </row>
    <row r="1494" spans="1:14">
      <c r="A1494">
        <f>[2]TongHop!A1494</f>
        <v>0</v>
      </c>
      <c r="B1494">
        <f>[2]TongHop!B1494</f>
        <v>0</v>
      </c>
      <c r="C1494">
        <f>[2]TongHop!C1494</f>
        <v>0</v>
      </c>
      <c r="D1494">
        <f>[2]TongHop!D1494</f>
        <v>0</v>
      </c>
      <c r="E1494">
        <f>[2]TongHop!E1494</f>
        <v>0</v>
      </c>
      <c r="F1494">
        <f>[2]TongHop!F1494</f>
        <v>0</v>
      </c>
      <c r="G1494">
        <f>[2]TongHop!G1494</f>
        <v>0</v>
      </c>
      <c r="H1494">
        <f>[2]TongHop!H1494</f>
        <v>0</v>
      </c>
      <c r="I1494">
        <f>[2]TongHop!I1494</f>
        <v>0</v>
      </c>
      <c r="J1494">
        <f>[2]TongHop!J1494</f>
        <v>0</v>
      </c>
      <c r="K1494">
        <f>[2]TongHop!K1494</f>
        <v>0</v>
      </c>
      <c r="L1494">
        <f>[2]TongHop!L1494</f>
        <v>0</v>
      </c>
      <c r="M1494">
        <f>[2]TongHop!M1494</f>
        <v>0</v>
      </c>
      <c r="N1494">
        <f>[2]TongHop!N1494</f>
        <v>0</v>
      </c>
    </row>
    <row r="1495" spans="1:14">
      <c r="A1495">
        <f>[2]TongHop!A1495</f>
        <v>0</v>
      </c>
      <c r="B1495">
        <f>[2]TongHop!B1495</f>
        <v>0</v>
      </c>
      <c r="C1495">
        <f>[2]TongHop!C1495</f>
        <v>0</v>
      </c>
      <c r="D1495">
        <f>[2]TongHop!D1495</f>
        <v>0</v>
      </c>
      <c r="E1495">
        <f>[2]TongHop!E1495</f>
        <v>0</v>
      </c>
      <c r="F1495">
        <f>[2]TongHop!F1495</f>
        <v>0</v>
      </c>
      <c r="G1495">
        <f>[2]TongHop!G1495</f>
        <v>0</v>
      </c>
      <c r="H1495">
        <f>[2]TongHop!H1495</f>
        <v>0</v>
      </c>
      <c r="I1495">
        <f>[2]TongHop!I1495</f>
        <v>0</v>
      </c>
      <c r="J1495">
        <f>[2]TongHop!J1495</f>
        <v>0</v>
      </c>
      <c r="K1495">
        <f>[2]TongHop!K1495</f>
        <v>0</v>
      </c>
      <c r="L1495">
        <f>[2]TongHop!L1495</f>
        <v>0</v>
      </c>
      <c r="M1495">
        <f>[2]TongHop!M1495</f>
        <v>0</v>
      </c>
      <c r="N1495">
        <f>[2]TongHop!N1495</f>
        <v>0</v>
      </c>
    </row>
    <row r="1496" spans="1:14">
      <c r="A1496">
        <f>[2]TongHop!A1496</f>
        <v>0</v>
      </c>
      <c r="B1496">
        <f>[2]TongHop!B1496</f>
        <v>0</v>
      </c>
      <c r="C1496">
        <f>[2]TongHop!C1496</f>
        <v>0</v>
      </c>
      <c r="D1496">
        <f>[2]TongHop!D1496</f>
        <v>0</v>
      </c>
      <c r="E1496">
        <f>[2]TongHop!E1496</f>
        <v>0</v>
      </c>
      <c r="F1496">
        <f>[2]TongHop!F1496</f>
        <v>0</v>
      </c>
      <c r="G1496">
        <f>[2]TongHop!G1496</f>
        <v>0</v>
      </c>
      <c r="H1496">
        <f>[2]TongHop!H1496</f>
        <v>0</v>
      </c>
      <c r="I1496">
        <f>[2]TongHop!I1496</f>
        <v>0</v>
      </c>
      <c r="J1496">
        <f>[2]TongHop!J1496</f>
        <v>0</v>
      </c>
      <c r="K1496">
        <f>[2]TongHop!K1496</f>
        <v>0</v>
      </c>
      <c r="L1496">
        <f>[2]TongHop!L1496</f>
        <v>0</v>
      </c>
      <c r="M1496">
        <f>[2]TongHop!M1496</f>
        <v>0</v>
      </c>
      <c r="N1496">
        <f>[2]TongHop!N1496</f>
        <v>0</v>
      </c>
    </row>
    <row r="1497" spans="1:14">
      <c r="A1497">
        <f>[2]TongHop!A1497</f>
        <v>0</v>
      </c>
      <c r="B1497">
        <f>[2]TongHop!B1497</f>
        <v>0</v>
      </c>
      <c r="C1497">
        <f>[2]TongHop!C1497</f>
        <v>0</v>
      </c>
      <c r="D1497">
        <f>[2]TongHop!D1497</f>
        <v>0</v>
      </c>
      <c r="E1497">
        <f>[2]TongHop!E1497</f>
        <v>0</v>
      </c>
      <c r="F1497">
        <f>[2]TongHop!F1497</f>
        <v>0</v>
      </c>
      <c r="G1497">
        <f>[2]TongHop!G1497</f>
        <v>0</v>
      </c>
      <c r="H1497">
        <f>[2]TongHop!H1497</f>
        <v>0</v>
      </c>
      <c r="I1497">
        <f>[2]TongHop!I1497</f>
        <v>0</v>
      </c>
      <c r="J1497">
        <f>[2]TongHop!J1497</f>
        <v>0</v>
      </c>
      <c r="K1497">
        <f>[2]TongHop!K1497</f>
        <v>0</v>
      </c>
      <c r="L1497">
        <f>[2]TongHop!L1497</f>
        <v>0</v>
      </c>
      <c r="M1497">
        <f>[2]TongHop!M1497</f>
        <v>0</v>
      </c>
      <c r="N1497">
        <f>[2]TongHop!N1497</f>
        <v>0</v>
      </c>
    </row>
    <row r="1498" spans="1:14">
      <c r="A1498">
        <f>[2]TongHop!A1498</f>
        <v>0</v>
      </c>
      <c r="B1498">
        <f>[2]TongHop!B1498</f>
        <v>0</v>
      </c>
      <c r="C1498">
        <f>[2]TongHop!C1498</f>
        <v>0</v>
      </c>
      <c r="D1498">
        <f>[2]TongHop!D1498</f>
        <v>0</v>
      </c>
      <c r="E1498">
        <f>[2]TongHop!E1498</f>
        <v>0</v>
      </c>
      <c r="F1498">
        <f>[2]TongHop!F1498</f>
        <v>0</v>
      </c>
      <c r="G1498">
        <f>[2]TongHop!G1498</f>
        <v>0</v>
      </c>
      <c r="H1498">
        <f>[2]TongHop!H1498</f>
        <v>0</v>
      </c>
      <c r="I1498">
        <f>[2]TongHop!I1498</f>
        <v>0</v>
      </c>
      <c r="J1498">
        <f>[2]TongHop!J1498</f>
        <v>0</v>
      </c>
      <c r="K1498">
        <f>[2]TongHop!K1498</f>
        <v>0</v>
      </c>
      <c r="L1498">
        <f>[2]TongHop!L1498</f>
        <v>0</v>
      </c>
      <c r="M1498">
        <f>[2]TongHop!M1498</f>
        <v>0</v>
      </c>
      <c r="N1498">
        <f>[2]TongHop!N1498</f>
        <v>0</v>
      </c>
    </row>
    <row r="1499" spans="1:14">
      <c r="A1499">
        <f>[2]TongHop!A1499</f>
        <v>0</v>
      </c>
      <c r="B1499">
        <f>[2]TongHop!B1499</f>
        <v>0</v>
      </c>
      <c r="C1499">
        <f>[2]TongHop!C1499</f>
        <v>0</v>
      </c>
      <c r="D1499">
        <f>[2]TongHop!D1499</f>
        <v>0</v>
      </c>
      <c r="E1499">
        <f>[2]TongHop!E1499</f>
        <v>0</v>
      </c>
      <c r="F1499">
        <f>[2]TongHop!F1499</f>
        <v>0</v>
      </c>
      <c r="G1499">
        <f>[2]TongHop!G1499</f>
        <v>0</v>
      </c>
      <c r="H1499">
        <f>[2]TongHop!H1499</f>
        <v>0</v>
      </c>
      <c r="I1499">
        <f>[2]TongHop!I1499</f>
        <v>0</v>
      </c>
      <c r="J1499">
        <f>[2]TongHop!J1499</f>
        <v>0</v>
      </c>
      <c r="K1499">
        <f>[2]TongHop!K1499</f>
        <v>0</v>
      </c>
      <c r="L1499">
        <f>[2]TongHop!L1499</f>
        <v>0</v>
      </c>
      <c r="M1499">
        <f>[2]TongHop!M1499</f>
        <v>0</v>
      </c>
      <c r="N1499">
        <f>[2]TongHop!N1499</f>
        <v>0</v>
      </c>
    </row>
    <row r="1500" spans="1:14">
      <c r="A1500">
        <f>[2]TongHop!A1500</f>
        <v>0</v>
      </c>
      <c r="B1500">
        <f>[2]TongHop!B1500</f>
        <v>0</v>
      </c>
      <c r="C1500">
        <f>[2]TongHop!C1500</f>
        <v>0</v>
      </c>
      <c r="D1500">
        <f>[2]TongHop!D1500</f>
        <v>0</v>
      </c>
      <c r="E1500">
        <f>[2]TongHop!E1500</f>
        <v>0</v>
      </c>
      <c r="F1500">
        <f>[2]TongHop!F1500</f>
        <v>0</v>
      </c>
      <c r="G1500">
        <f>[2]TongHop!G1500</f>
        <v>0</v>
      </c>
      <c r="H1500">
        <f>[2]TongHop!H1500</f>
        <v>0</v>
      </c>
      <c r="I1500">
        <f>[2]TongHop!I1500</f>
        <v>0</v>
      </c>
      <c r="J1500">
        <f>[2]TongHop!J1500</f>
        <v>0</v>
      </c>
      <c r="K1500">
        <f>[2]TongHop!K1500</f>
        <v>0</v>
      </c>
      <c r="L1500">
        <f>[2]TongHop!L1500</f>
        <v>0</v>
      </c>
      <c r="M1500">
        <f>[2]TongHop!M1500</f>
        <v>0</v>
      </c>
      <c r="N1500">
        <f>[2]TongHop!N1500</f>
        <v>0</v>
      </c>
    </row>
    <row r="1501" spans="1:14">
      <c r="A1501">
        <f>[2]TongHop!A1501</f>
        <v>0</v>
      </c>
      <c r="B1501">
        <f>[2]TongHop!B1501</f>
        <v>0</v>
      </c>
      <c r="C1501">
        <f>[2]TongHop!C1501</f>
        <v>0</v>
      </c>
      <c r="D1501">
        <f>[2]TongHop!D1501</f>
        <v>0</v>
      </c>
      <c r="E1501">
        <f>[2]TongHop!E1501</f>
        <v>0</v>
      </c>
      <c r="F1501">
        <f>[2]TongHop!F1501</f>
        <v>0</v>
      </c>
      <c r="G1501">
        <f>[2]TongHop!G1501</f>
        <v>0</v>
      </c>
      <c r="H1501">
        <f>[2]TongHop!H1501</f>
        <v>0</v>
      </c>
      <c r="I1501">
        <f>[2]TongHop!I1501</f>
        <v>0</v>
      </c>
      <c r="J1501">
        <f>[2]TongHop!J1501</f>
        <v>0</v>
      </c>
      <c r="K1501">
        <f>[2]TongHop!K1501</f>
        <v>0</v>
      </c>
      <c r="L1501">
        <f>[2]TongHop!L1501</f>
        <v>0</v>
      </c>
      <c r="M1501">
        <f>[2]TongHop!M1501</f>
        <v>0</v>
      </c>
      <c r="N1501">
        <f>[2]TongHop!N1501</f>
        <v>0</v>
      </c>
    </row>
    <row r="1502" spans="1:14">
      <c r="A1502">
        <f>[2]TongHop!A1502</f>
        <v>0</v>
      </c>
      <c r="B1502">
        <f>[2]TongHop!B1502</f>
        <v>0</v>
      </c>
      <c r="C1502">
        <f>[2]TongHop!C1502</f>
        <v>0</v>
      </c>
      <c r="D1502">
        <f>[2]TongHop!D1502</f>
        <v>0</v>
      </c>
      <c r="E1502">
        <f>[2]TongHop!E1502</f>
        <v>0</v>
      </c>
      <c r="F1502">
        <f>[2]TongHop!F1502</f>
        <v>0</v>
      </c>
      <c r="G1502">
        <f>[2]TongHop!G1502</f>
        <v>0</v>
      </c>
      <c r="H1502">
        <f>[2]TongHop!H1502</f>
        <v>0</v>
      </c>
      <c r="I1502">
        <f>[2]TongHop!I1502</f>
        <v>0</v>
      </c>
      <c r="J1502">
        <f>[2]TongHop!J1502</f>
        <v>0</v>
      </c>
      <c r="K1502">
        <f>[2]TongHop!K1502</f>
        <v>0</v>
      </c>
      <c r="L1502">
        <f>[2]TongHop!L1502</f>
        <v>0</v>
      </c>
      <c r="M1502">
        <f>[2]TongHop!M1502</f>
        <v>0</v>
      </c>
      <c r="N1502">
        <f>[2]TongHop!N1502</f>
        <v>0</v>
      </c>
    </row>
    <row r="1503" spans="1:14">
      <c r="A1503">
        <f>[2]TongHop!A1503</f>
        <v>0</v>
      </c>
      <c r="B1503">
        <f>[2]TongHop!B1503</f>
        <v>0</v>
      </c>
      <c r="C1503">
        <f>[2]TongHop!C1503</f>
        <v>0</v>
      </c>
      <c r="D1503">
        <f>[2]TongHop!D1503</f>
        <v>0</v>
      </c>
      <c r="E1503">
        <f>[2]TongHop!E1503</f>
        <v>0</v>
      </c>
      <c r="F1503">
        <f>[2]TongHop!F1503</f>
        <v>0</v>
      </c>
      <c r="G1503">
        <f>[2]TongHop!G1503</f>
        <v>0</v>
      </c>
      <c r="H1503">
        <f>[2]TongHop!H1503</f>
        <v>0</v>
      </c>
      <c r="I1503">
        <f>[2]TongHop!I1503</f>
        <v>0</v>
      </c>
      <c r="J1503">
        <f>[2]TongHop!J1503</f>
        <v>0</v>
      </c>
      <c r="K1503">
        <f>[2]TongHop!K1503</f>
        <v>0</v>
      </c>
      <c r="L1503">
        <f>[2]TongHop!L1503</f>
        <v>0</v>
      </c>
      <c r="M1503">
        <f>[2]TongHop!M1503</f>
        <v>0</v>
      </c>
      <c r="N1503">
        <f>[2]TongHop!N1503</f>
        <v>0</v>
      </c>
    </row>
    <row r="1504" spans="1:14">
      <c r="A1504">
        <f>[2]TongHop!A1504</f>
        <v>0</v>
      </c>
      <c r="B1504">
        <f>[2]TongHop!B1504</f>
        <v>0</v>
      </c>
      <c r="C1504">
        <f>[2]TongHop!C1504</f>
        <v>0</v>
      </c>
      <c r="D1504">
        <f>[2]TongHop!D1504</f>
        <v>0</v>
      </c>
      <c r="E1504">
        <f>[2]TongHop!E1504</f>
        <v>0</v>
      </c>
      <c r="F1504">
        <f>[2]TongHop!F1504</f>
        <v>0</v>
      </c>
      <c r="G1504">
        <f>[2]TongHop!G1504</f>
        <v>0</v>
      </c>
      <c r="H1504">
        <f>[2]TongHop!H1504</f>
        <v>0</v>
      </c>
      <c r="I1504">
        <f>[2]TongHop!I1504</f>
        <v>0</v>
      </c>
      <c r="J1504">
        <f>[2]TongHop!J1504</f>
        <v>0</v>
      </c>
      <c r="K1504">
        <f>[2]TongHop!K1504</f>
        <v>0</v>
      </c>
      <c r="L1504">
        <f>[2]TongHop!L1504</f>
        <v>0</v>
      </c>
      <c r="M1504">
        <f>[2]TongHop!M1504</f>
        <v>0</v>
      </c>
      <c r="N1504">
        <f>[2]TongHop!N1504</f>
        <v>0</v>
      </c>
    </row>
    <row r="1505" spans="1:14">
      <c r="A1505">
        <f>[2]TongHop!A1505</f>
        <v>0</v>
      </c>
      <c r="B1505">
        <f>[2]TongHop!B1505</f>
        <v>0</v>
      </c>
      <c r="C1505">
        <f>[2]TongHop!C1505</f>
        <v>0</v>
      </c>
      <c r="D1505">
        <f>[2]TongHop!D1505</f>
        <v>0</v>
      </c>
      <c r="E1505">
        <f>[2]TongHop!E1505</f>
        <v>0</v>
      </c>
      <c r="F1505">
        <f>[2]TongHop!F1505</f>
        <v>0</v>
      </c>
      <c r="G1505">
        <f>[2]TongHop!G1505</f>
        <v>0</v>
      </c>
      <c r="H1505">
        <f>[2]TongHop!H1505</f>
        <v>0</v>
      </c>
      <c r="I1505">
        <f>[2]TongHop!I1505</f>
        <v>0</v>
      </c>
      <c r="J1505">
        <f>[2]TongHop!J1505</f>
        <v>0</v>
      </c>
      <c r="K1505">
        <f>[2]TongHop!K1505</f>
        <v>0</v>
      </c>
      <c r="L1505">
        <f>[2]TongHop!L1505</f>
        <v>0</v>
      </c>
      <c r="M1505">
        <f>[2]TongHop!M1505</f>
        <v>0</v>
      </c>
      <c r="N1505">
        <f>[2]TongHop!N1505</f>
        <v>0</v>
      </c>
    </row>
    <row r="1506" spans="1:14">
      <c r="A1506">
        <f>[2]TongHop!A1506</f>
        <v>0</v>
      </c>
      <c r="B1506">
        <f>[2]TongHop!B1506</f>
        <v>0</v>
      </c>
      <c r="C1506">
        <f>[2]TongHop!C1506</f>
        <v>0</v>
      </c>
      <c r="D1506">
        <f>[2]TongHop!D1506</f>
        <v>0</v>
      </c>
      <c r="E1506">
        <f>[2]TongHop!E1506</f>
        <v>0</v>
      </c>
      <c r="F1506">
        <f>[2]TongHop!F1506</f>
        <v>0</v>
      </c>
      <c r="G1506">
        <f>[2]TongHop!G1506</f>
        <v>0</v>
      </c>
      <c r="H1506">
        <f>[2]TongHop!H1506</f>
        <v>0</v>
      </c>
      <c r="I1506">
        <f>[2]TongHop!I1506</f>
        <v>0</v>
      </c>
      <c r="J1506">
        <f>[2]TongHop!J1506</f>
        <v>0</v>
      </c>
      <c r="K1506">
        <f>[2]TongHop!K1506</f>
        <v>0</v>
      </c>
      <c r="L1506">
        <f>[2]TongHop!L1506</f>
        <v>0</v>
      </c>
      <c r="M1506">
        <f>[2]TongHop!M1506</f>
        <v>0</v>
      </c>
      <c r="N1506">
        <f>[2]TongHop!N1506</f>
        <v>0</v>
      </c>
    </row>
    <row r="1507" spans="1:14">
      <c r="A1507">
        <f>[2]TongHop!A1507</f>
        <v>0</v>
      </c>
      <c r="B1507">
        <f>[2]TongHop!B1507</f>
        <v>0</v>
      </c>
      <c r="C1507">
        <f>[2]TongHop!C1507</f>
        <v>0</v>
      </c>
      <c r="D1507">
        <f>[2]TongHop!D1507</f>
        <v>0</v>
      </c>
      <c r="E1507">
        <f>[2]TongHop!E1507</f>
        <v>0</v>
      </c>
      <c r="F1507">
        <f>[2]TongHop!F1507</f>
        <v>0</v>
      </c>
      <c r="G1507">
        <f>[2]TongHop!G1507</f>
        <v>0</v>
      </c>
      <c r="H1507">
        <f>[2]TongHop!H1507</f>
        <v>0</v>
      </c>
      <c r="I1507">
        <f>[2]TongHop!I1507</f>
        <v>0</v>
      </c>
      <c r="J1507">
        <f>[2]TongHop!J1507</f>
        <v>0</v>
      </c>
      <c r="K1507">
        <f>[2]TongHop!K1507</f>
        <v>0</v>
      </c>
      <c r="L1507">
        <f>[2]TongHop!L1507</f>
        <v>0</v>
      </c>
      <c r="M1507">
        <f>[2]TongHop!M1507</f>
        <v>0</v>
      </c>
      <c r="N1507">
        <f>[2]TongHop!N1507</f>
        <v>0</v>
      </c>
    </row>
    <row r="1508" spans="1:14">
      <c r="A1508">
        <f>[2]TongHop!A1508</f>
        <v>0</v>
      </c>
      <c r="B1508">
        <f>[2]TongHop!B1508</f>
        <v>0</v>
      </c>
      <c r="C1508">
        <f>[2]TongHop!C1508</f>
        <v>0</v>
      </c>
      <c r="D1508">
        <f>[2]TongHop!D1508</f>
        <v>0</v>
      </c>
      <c r="E1508">
        <f>[2]TongHop!E1508</f>
        <v>0</v>
      </c>
      <c r="F1508">
        <f>[2]TongHop!F1508</f>
        <v>0</v>
      </c>
      <c r="G1508">
        <f>[2]TongHop!G1508</f>
        <v>0</v>
      </c>
      <c r="H1508">
        <f>[2]TongHop!H1508</f>
        <v>0</v>
      </c>
      <c r="I1508">
        <f>[2]TongHop!I1508</f>
        <v>0</v>
      </c>
      <c r="J1508">
        <f>[2]TongHop!J1508</f>
        <v>0</v>
      </c>
      <c r="K1508">
        <f>[2]TongHop!K1508</f>
        <v>0</v>
      </c>
      <c r="L1508">
        <f>[2]TongHop!L1508</f>
        <v>0</v>
      </c>
      <c r="M1508">
        <f>[2]TongHop!M1508</f>
        <v>0</v>
      </c>
      <c r="N1508">
        <f>[2]TongHop!N1508</f>
        <v>0</v>
      </c>
    </row>
    <row r="1509" spans="1:14">
      <c r="A1509">
        <f>[2]TongHop!A1509</f>
        <v>0</v>
      </c>
      <c r="B1509">
        <f>[2]TongHop!B1509</f>
        <v>0</v>
      </c>
      <c r="C1509">
        <f>[2]TongHop!C1509</f>
        <v>0</v>
      </c>
      <c r="D1509">
        <f>[2]TongHop!D1509</f>
        <v>0</v>
      </c>
      <c r="E1509">
        <f>[2]TongHop!E1509</f>
        <v>0</v>
      </c>
      <c r="F1509">
        <f>[2]TongHop!F1509</f>
        <v>0</v>
      </c>
      <c r="G1509">
        <f>[2]TongHop!G1509</f>
        <v>0</v>
      </c>
      <c r="H1509">
        <f>[2]TongHop!H1509</f>
        <v>0</v>
      </c>
      <c r="I1509">
        <f>[2]TongHop!I1509</f>
        <v>0</v>
      </c>
      <c r="J1509">
        <f>[2]TongHop!J1509</f>
        <v>0</v>
      </c>
      <c r="K1509">
        <f>[2]TongHop!K1509</f>
        <v>0</v>
      </c>
      <c r="L1509">
        <f>[2]TongHop!L1509</f>
        <v>0</v>
      </c>
      <c r="M1509">
        <f>[2]TongHop!M1509</f>
        <v>0</v>
      </c>
      <c r="N1509">
        <f>[2]TongHop!N1509</f>
        <v>0</v>
      </c>
    </row>
    <row r="1510" spans="1:14">
      <c r="A1510">
        <f>[2]TongHop!A1510</f>
        <v>0</v>
      </c>
      <c r="B1510">
        <f>[2]TongHop!B1510</f>
        <v>0</v>
      </c>
      <c r="C1510">
        <f>[2]TongHop!C1510</f>
        <v>0</v>
      </c>
      <c r="D1510">
        <f>[2]TongHop!D1510</f>
        <v>0</v>
      </c>
      <c r="E1510">
        <f>[2]TongHop!E1510</f>
        <v>0</v>
      </c>
      <c r="F1510">
        <f>[2]TongHop!F1510</f>
        <v>0</v>
      </c>
      <c r="G1510">
        <f>[2]TongHop!G1510</f>
        <v>0</v>
      </c>
      <c r="H1510">
        <f>[2]TongHop!H1510</f>
        <v>0</v>
      </c>
      <c r="I1510">
        <f>[2]TongHop!I1510</f>
        <v>0</v>
      </c>
      <c r="J1510">
        <f>[2]TongHop!J1510</f>
        <v>0</v>
      </c>
      <c r="K1510">
        <f>[2]TongHop!K1510</f>
        <v>0</v>
      </c>
      <c r="L1510">
        <f>[2]TongHop!L1510</f>
        <v>0</v>
      </c>
      <c r="M1510">
        <f>[2]TongHop!M1510</f>
        <v>0</v>
      </c>
      <c r="N1510">
        <f>[2]TongHop!N1510</f>
        <v>0</v>
      </c>
    </row>
    <row r="1511" spans="1:14">
      <c r="A1511">
        <f>[2]TongHop!A1511</f>
        <v>0</v>
      </c>
      <c r="B1511">
        <f>[2]TongHop!B1511</f>
        <v>0</v>
      </c>
      <c r="C1511">
        <f>[2]TongHop!C1511</f>
        <v>0</v>
      </c>
      <c r="D1511">
        <f>[2]TongHop!D1511</f>
        <v>0</v>
      </c>
      <c r="E1511">
        <f>[2]TongHop!E1511</f>
        <v>0</v>
      </c>
      <c r="F1511">
        <f>[2]TongHop!F1511</f>
        <v>0</v>
      </c>
      <c r="G1511">
        <f>[2]TongHop!G1511</f>
        <v>0</v>
      </c>
      <c r="H1511">
        <f>[2]TongHop!H1511</f>
        <v>0</v>
      </c>
      <c r="I1511">
        <f>[2]TongHop!I1511</f>
        <v>0</v>
      </c>
      <c r="J1511">
        <f>[2]TongHop!J1511</f>
        <v>0</v>
      </c>
      <c r="K1511">
        <f>[2]TongHop!K1511</f>
        <v>0</v>
      </c>
      <c r="L1511">
        <f>[2]TongHop!L1511</f>
        <v>0</v>
      </c>
      <c r="M1511">
        <f>[2]TongHop!M1511</f>
        <v>0</v>
      </c>
      <c r="N1511">
        <f>[2]TongHop!N1511</f>
        <v>0</v>
      </c>
    </row>
    <row r="1512" spans="1:14">
      <c r="A1512">
        <f>[2]TongHop!A1512</f>
        <v>0</v>
      </c>
      <c r="B1512">
        <f>[2]TongHop!B1512</f>
        <v>0</v>
      </c>
      <c r="C1512">
        <f>[2]TongHop!C1512</f>
        <v>0</v>
      </c>
      <c r="D1512">
        <f>[2]TongHop!D1512</f>
        <v>0</v>
      </c>
      <c r="E1512">
        <f>[2]TongHop!E1512</f>
        <v>0</v>
      </c>
      <c r="F1512">
        <f>[2]TongHop!F1512</f>
        <v>0</v>
      </c>
      <c r="G1512">
        <f>[2]TongHop!G1512</f>
        <v>0</v>
      </c>
      <c r="H1512">
        <f>[2]TongHop!H1512</f>
        <v>0</v>
      </c>
      <c r="I1512">
        <f>[2]TongHop!I1512</f>
        <v>0</v>
      </c>
      <c r="J1512">
        <f>[2]TongHop!J1512</f>
        <v>0</v>
      </c>
      <c r="K1512">
        <f>[2]TongHop!K1512</f>
        <v>0</v>
      </c>
      <c r="L1512">
        <f>[2]TongHop!L1512</f>
        <v>0</v>
      </c>
      <c r="M1512">
        <f>[2]TongHop!M1512</f>
        <v>0</v>
      </c>
      <c r="N1512">
        <f>[2]TongHop!N1512</f>
        <v>0</v>
      </c>
    </row>
    <row r="1513" spans="1:14">
      <c r="A1513">
        <f>[2]TongHop!A1513</f>
        <v>0</v>
      </c>
      <c r="B1513">
        <f>[2]TongHop!B1513</f>
        <v>0</v>
      </c>
      <c r="C1513">
        <f>[2]TongHop!C1513</f>
        <v>0</v>
      </c>
      <c r="D1513">
        <f>[2]TongHop!D1513</f>
        <v>0</v>
      </c>
      <c r="E1513">
        <f>[2]TongHop!E1513</f>
        <v>0</v>
      </c>
      <c r="F1513">
        <f>[2]TongHop!F1513</f>
        <v>0</v>
      </c>
      <c r="G1513">
        <f>[2]TongHop!G1513</f>
        <v>0</v>
      </c>
      <c r="H1513">
        <f>[2]TongHop!H1513</f>
        <v>0</v>
      </c>
      <c r="I1513">
        <f>[2]TongHop!I1513</f>
        <v>0</v>
      </c>
      <c r="J1513">
        <f>[2]TongHop!J1513</f>
        <v>0</v>
      </c>
      <c r="K1513">
        <f>[2]TongHop!K1513</f>
        <v>0</v>
      </c>
      <c r="L1513">
        <f>[2]TongHop!L1513</f>
        <v>0</v>
      </c>
      <c r="M1513">
        <f>[2]TongHop!M1513</f>
        <v>0</v>
      </c>
      <c r="N1513">
        <f>[2]TongHop!N1513</f>
        <v>0</v>
      </c>
    </row>
    <row r="1514" spans="1:14">
      <c r="A1514">
        <f>[2]TongHop!A1514</f>
        <v>0</v>
      </c>
      <c r="B1514">
        <f>[2]TongHop!B1514</f>
        <v>0</v>
      </c>
      <c r="C1514">
        <f>[2]TongHop!C1514</f>
        <v>0</v>
      </c>
      <c r="D1514">
        <f>[2]TongHop!D1514</f>
        <v>0</v>
      </c>
      <c r="E1514">
        <f>[2]TongHop!E1514</f>
        <v>0</v>
      </c>
      <c r="F1514">
        <f>[2]TongHop!F1514</f>
        <v>0</v>
      </c>
      <c r="G1514">
        <f>[2]TongHop!G1514</f>
        <v>0</v>
      </c>
      <c r="H1514">
        <f>[2]TongHop!H1514</f>
        <v>0</v>
      </c>
      <c r="I1514">
        <f>[2]TongHop!I1514</f>
        <v>0</v>
      </c>
      <c r="J1514">
        <f>[2]TongHop!J1514</f>
        <v>0</v>
      </c>
      <c r="K1514">
        <f>[2]TongHop!K1514</f>
        <v>0</v>
      </c>
      <c r="L1514">
        <f>[2]TongHop!L1514</f>
        <v>0</v>
      </c>
      <c r="M1514">
        <f>[2]TongHop!M1514</f>
        <v>0</v>
      </c>
      <c r="N1514">
        <f>[2]TongHop!N1514</f>
        <v>0</v>
      </c>
    </row>
    <row r="1515" spans="1:14">
      <c r="A1515">
        <f>[2]TongHop!A1515</f>
        <v>0</v>
      </c>
      <c r="B1515">
        <f>[2]TongHop!B1515</f>
        <v>0</v>
      </c>
      <c r="C1515">
        <f>[2]TongHop!C1515</f>
        <v>0</v>
      </c>
      <c r="D1515">
        <f>[2]TongHop!D1515</f>
        <v>0</v>
      </c>
      <c r="E1515">
        <f>[2]TongHop!E1515</f>
        <v>0</v>
      </c>
      <c r="F1515">
        <f>[2]TongHop!F1515</f>
        <v>0</v>
      </c>
      <c r="G1515">
        <f>[2]TongHop!G1515</f>
        <v>0</v>
      </c>
      <c r="H1515">
        <f>[2]TongHop!H1515</f>
        <v>0</v>
      </c>
      <c r="I1515">
        <f>[2]TongHop!I1515</f>
        <v>0</v>
      </c>
      <c r="J1515">
        <f>[2]TongHop!J1515</f>
        <v>0</v>
      </c>
      <c r="K1515">
        <f>[2]TongHop!K1515</f>
        <v>0</v>
      </c>
      <c r="L1515">
        <f>[2]TongHop!L1515</f>
        <v>0</v>
      </c>
      <c r="M1515">
        <f>[2]TongHop!M1515</f>
        <v>0</v>
      </c>
      <c r="N1515">
        <f>[2]TongHop!N1515</f>
        <v>0</v>
      </c>
    </row>
    <row r="1516" spans="1:14">
      <c r="A1516">
        <f>[2]TongHop!A1516</f>
        <v>0</v>
      </c>
      <c r="B1516">
        <f>[2]TongHop!B1516</f>
        <v>0</v>
      </c>
      <c r="C1516">
        <f>[2]TongHop!C1516</f>
        <v>0</v>
      </c>
      <c r="D1516">
        <f>[2]TongHop!D1516</f>
        <v>0</v>
      </c>
      <c r="E1516">
        <f>[2]TongHop!E1516</f>
        <v>0</v>
      </c>
      <c r="F1516">
        <f>[2]TongHop!F1516</f>
        <v>0</v>
      </c>
      <c r="G1516">
        <f>[2]TongHop!G1516</f>
        <v>0</v>
      </c>
      <c r="H1516">
        <f>[2]TongHop!H1516</f>
        <v>0</v>
      </c>
      <c r="I1516">
        <f>[2]TongHop!I1516</f>
        <v>0</v>
      </c>
      <c r="J1516">
        <f>[2]TongHop!J1516</f>
        <v>0</v>
      </c>
      <c r="K1516">
        <f>[2]TongHop!K1516</f>
        <v>0</v>
      </c>
      <c r="L1516">
        <f>[2]TongHop!L1516</f>
        <v>0</v>
      </c>
      <c r="M1516">
        <f>[2]TongHop!M1516</f>
        <v>0</v>
      </c>
      <c r="N1516">
        <f>[2]TongHop!N1516</f>
        <v>0</v>
      </c>
    </row>
    <row r="1517" spans="1:14">
      <c r="A1517">
        <f>[2]TongHop!A1517</f>
        <v>0</v>
      </c>
      <c r="B1517">
        <f>[2]TongHop!B1517</f>
        <v>0</v>
      </c>
      <c r="C1517">
        <f>[2]TongHop!C1517</f>
        <v>0</v>
      </c>
      <c r="D1517">
        <f>[2]TongHop!D1517</f>
        <v>0</v>
      </c>
      <c r="E1517">
        <f>[2]TongHop!E1517</f>
        <v>0</v>
      </c>
      <c r="F1517">
        <f>[2]TongHop!F1517</f>
        <v>0</v>
      </c>
      <c r="G1517">
        <f>[2]TongHop!G1517</f>
        <v>0</v>
      </c>
      <c r="H1517">
        <f>[2]TongHop!H1517</f>
        <v>0</v>
      </c>
      <c r="I1517">
        <f>[2]TongHop!I1517</f>
        <v>0</v>
      </c>
      <c r="J1517">
        <f>[2]TongHop!J1517</f>
        <v>0</v>
      </c>
      <c r="K1517">
        <f>[2]TongHop!K1517</f>
        <v>0</v>
      </c>
      <c r="L1517">
        <f>[2]TongHop!L1517</f>
        <v>0</v>
      </c>
      <c r="M1517">
        <f>[2]TongHop!M1517</f>
        <v>0</v>
      </c>
      <c r="N1517">
        <f>[2]TongHop!N1517</f>
        <v>0</v>
      </c>
    </row>
    <row r="1518" spans="1:14">
      <c r="A1518">
        <f>[2]TongHop!A1518</f>
        <v>0</v>
      </c>
      <c r="B1518">
        <f>[2]TongHop!B1518</f>
        <v>0</v>
      </c>
      <c r="C1518">
        <f>[2]TongHop!C1518</f>
        <v>0</v>
      </c>
      <c r="D1518">
        <f>[2]TongHop!D1518</f>
        <v>0</v>
      </c>
      <c r="E1518">
        <f>[2]TongHop!E1518</f>
        <v>0</v>
      </c>
      <c r="F1518">
        <f>[2]TongHop!F1518</f>
        <v>0</v>
      </c>
      <c r="G1518">
        <f>[2]TongHop!G1518</f>
        <v>0</v>
      </c>
      <c r="H1518">
        <f>[2]TongHop!H1518</f>
        <v>0</v>
      </c>
      <c r="I1518">
        <f>[2]TongHop!I1518</f>
        <v>0</v>
      </c>
      <c r="J1518">
        <f>[2]TongHop!J1518</f>
        <v>0</v>
      </c>
      <c r="K1518">
        <f>[2]TongHop!K1518</f>
        <v>0</v>
      </c>
      <c r="L1518">
        <f>[2]TongHop!L1518</f>
        <v>0</v>
      </c>
      <c r="M1518">
        <f>[2]TongHop!M1518</f>
        <v>0</v>
      </c>
      <c r="N1518">
        <f>[2]TongHop!N1518</f>
        <v>0</v>
      </c>
    </row>
    <row r="1519" spans="1:14">
      <c r="A1519">
        <f>[2]TongHop!A1519</f>
        <v>0</v>
      </c>
      <c r="B1519">
        <f>[2]TongHop!B1519</f>
        <v>0</v>
      </c>
      <c r="C1519">
        <f>[2]TongHop!C1519</f>
        <v>0</v>
      </c>
      <c r="D1519">
        <f>[2]TongHop!D1519</f>
        <v>0</v>
      </c>
      <c r="E1519">
        <f>[2]TongHop!E1519</f>
        <v>0</v>
      </c>
      <c r="F1519">
        <f>[2]TongHop!F1519</f>
        <v>0</v>
      </c>
      <c r="G1519">
        <f>[2]TongHop!G1519</f>
        <v>0</v>
      </c>
      <c r="H1519">
        <f>[2]TongHop!H1519</f>
        <v>0</v>
      </c>
      <c r="I1519">
        <f>[2]TongHop!I1519</f>
        <v>0</v>
      </c>
      <c r="J1519">
        <f>[2]TongHop!J1519</f>
        <v>0</v>
      </c>
      <c r="K1519">
        <f>[2]TongHop!K1519</f>
        <v>0</v>
      </c>
      <c r="L1519">
        <f>[2]TongHop!L1519</f>
        <v>0</v>
      </c>
      <c r="M1519">
        <f>[2]TongHop!M1519</f>
        <v>0</v>
      </c>
      <c r="N1519">
        <f>[2]TongHop!N1519</f>
        <v>0</v>
      </c>
    </row>
    <row r="1520" spans="1:14">
      <c r="A1520">
        <f>[2]TongHop!A1520</f>
        <v>0</v>
      </c>
      <c r="B1520">
        <f>[2]TongHop!B1520</f>
        <v>0</v>
      </c>
      <c r="C1520">
        <f>[2]TongHop!C1520</f>
        <v>0</v>
      </c>
      <c r="D1520">
        <f>[2]TongHop!D1520</f>
        <v>0</v>
      </c>
      <c r="E1520">
        <f>[2]TongHop!E1520</f>
        <v>0</v>
      </c>
      <c r="F1520">
        <f>[2]TongHop!F1520</f>
        <v>0</v>
      </c>
      <c r="G1520">
        <f>[2]TongHop!G1520</f>
        <v>0</v>
      </c>
      <c r="H1520">
        <f>[2]TongHop!H1520</f>
        <v>0</v>
      </c>
      <c r="I1520">
        <f>[2]TongHop!I1520</f>
        <v>0</v>
      </c>
      <c r="J1520">
        <f>[2]TongHop!J1520</f>
        <v>0</v>
      </c>
      <c r="K1520">
        <f>[2]TongHop!K1520</f>
        <v>0</v>
      </c>
      <c r="L1520">
        <f>[2]TongHop!L1520</f>
        <v>0</v>
      </c>
      <c r="M1520">
        <f>[2]TongHop!M1520</f>
        <v>0</v>
      </c>
      <c r="N1520">
        <f>[2]TongHop!N1520</f>
        <v>0</v>
      </c>
    </row>
    <row r="1521" spans="1:14">
      <c r="A1521">
        <f>[2]TongHop!A1521</f>
        <v>0</v>
      </c>
      <c r="B1521">
        <f>[2]TongHop!B1521</f>
        <v>0</v>
      </c>
      <c r="C1521">
        <f>[2]TongHop!C1521</f>
        <v>0</v>
      </c>
      <c r="D1521">
        <f>[2]TongHop!D1521</f>
        <v>0</v>
      </c>
      <c r="E1521">
        <f>[2]TongHop!E1521</f>
        <v>0</v>
      </c>
      <c r="F1521">
        <f>[2]TongHop!F1521</f>
        <v>0</v>
      </c>
      <c r="G1521">
        <f>[2]TongHop!G1521</f>
        <v>0</v>
      </c>
      <c r="H1521">
        <f>[2]TongHop!H1521</f>
        <v>0</v>
      </c>
      <c r="I1521">
        <f>[2]TongHop!I1521</f>
        <v>0</v>
      </c>
      <c r="J1521">
        <f>[2]TongHop!J1521</f>
        <v>0</v>
      </c>
      <c r="K1521">
        <f>[2]TongHop!K1521</f>
        <v>0</v>
      </c>
      <c r="L1521">
        <f>[2]TongHop!L1521</f>
        <v>0</v>
      </c>
      <c r="M1521">
        <f>[2]TongHop!M1521</f>
        <v>0</v>
      </c>
      <c r="N1521">
        <f>[2]TongHop!N1521</f>
        <v>0</v>
      </c>
    </row>
    <row r="1522" spans="1:14">
      <c r="A1522">
        <f>[2]TongHop!A1522</f>
        <v>0</v>
      </c>
      <c r="B1522">
        <f>[2]TongHop!B1522</f>
        <v>0</v>
      </c>
      <c r="C1522">
        <f>[2]TongHop!C1522</f>
        <v>0</v>
      </c>
      <c r="D1522">
        <f>[2]TongHop!D1522</f>
        <v>0</v>
      </c>
      <c r="E1522">
        <f>[2]TongHop!E1522</f>
        <v>0</v>
      </c>
      <c r="F1522">
        <f>[2]TongHop!F1522</f>
        <v>0</v>
      </c>
      <c r="G1522">
        <f>[2]TongHop!G1522</f>
        <v>0</v>
      </c>
      <c r="H1522">
        <f>[2]TongHop!H1522</f>
        <v>0</v>
      </c>
      <c r="I1522">
        <f>[2]TongHop!I1522</f>
        <v>0</v>
      </c>
      <c r="J1522">
        <f>[2]TongHop!J1522</f>
        <v>0</v>
      </c>
      <c r="K1522">
        <f>[2]TongHop!K1522</f>
        <v>0</v>
      </c>
      <c r="L1522">
        <f>[2]TongHop!L1522</f>
        <v>0</v>
      </c>
      <c r="M1522">
        <f>[2]TongHop!M1522</f>
        <v>0</v>
      </c>
      <c r="N1522">
        <f>[2]TongHop!N1522</f>
        <v>0</v>
      </c>
    </row>
    <row r="1523" spans="1:14">
      <c r="A1523">
        <f>[2]TongHop!A1523</f>
        <v>0</v>
      </c>
      <c r="B1523">
        <f>[2]TongHop!B1523</f>
        <v>0</v>
      </c>
      <c r="C1523">
        <f>[2]TongHop!C1523</f>
        <v>0</v>
      </c>
      <c r="D1523">
        <f>[2]TongHop!D1523</f>
        <v>0</v>
      </c>
      <c r="E1523">
        <f>[2]TongHop!E1523</f>
        <v>0</v>
      </c>
      <c r="F1523">
        <f>[2]TongHop!F1523</f>
        <v>0</v>
      </c>
      <c r="G1523">
        <f>[2]TongHop!G1523</f>
        <v>0</v>
      </c>
      <c r="H1523">
        <f>[2]TongHop!H1523</f>
        <v>0</v>
      </c>
      <c r="I1523">
        <f>[2]TongHop!I1523</f>
        <v>0</v>
      </c>
      <c r="J1523">
        <f>[2]TongHop!J1523</f>
        <v>0</v>
      </c>
      <c r="K1523">
        <f>[2]TongHop!K1523</f>
        <v>0</v>
      </c>
      <c r="L1523">
        <f>[2]TongHop!L1523</f>
        <v>0</v>
      </c>
      <c r="M1523">
        <f>[2]TongHop!M1523</f>
        <v>0</v>
      </c>
      <c r="N1523">
        <f>[2]TongHop!N1523</f>
        <v>0</v>
      </c>
    </row>
    <row r="1524" spans="1:14">
      <c r="A1524">
        <f>[2]TongHop!A1524</f>
        <v>0</v>
      </c>
      <c r="B1524">
        <f>[2]TongHop!B1524</f>
        <v>0</v>
      </c>
      <c r="C1524">
        <f>[2]TongHop!C1524</f>
        <v>0</v>
      </c>
      <c r="D1524">
        <f>[2]TongHop!D1524</f>
        <v>0</v>
      </c>
      <c r="E1524">
        <f>[2]TongHop!E1524</f>
        <v>0</v>
      </c>
      <c r="F1524">
        <f>[2]TongHop!F1524</f>
        <v>0</v>
      </c>
      <c r="G1524">
        <f>[2]TongHop!G1524</f>
        <v>0</v>
      </c>
      <c r="H1524">
        <f>[2]TongHop!H1524</f>
        <v>0</v>
      </c>
      <c r="I1524">
        <f>[2]TongHop!I1524</f>
        <v>0</v>
      </c>
      <c r="J1524">
        <f>[2]TongHop!J1524</f>
        <v>0</v>
      </c>
      <c r="K1524">
        <f>[2]TongHop!K1524</f>
        <v>0</v>
      </c>
      <c r="L1524">
        <f>[2]TongHop!L1524</f>
        <v>0</v>
      </c>
      <c r="M1524">
        <f>[2]TongHop!M1524</f>
        <v>0</v>
      </c>
      <c r="N1524">
        <f>[2]TongHop!N1524</f>
        <v>0</v>
      </c>
    </row>
    <row r="1525" spans="1:14">
      <c r="A1525">
        <f>[2]TongHop!A1525</f>
        <v>0</v>
      </c>
      <c r="B1525">
        <f>[2]TongHop!B1525</f>
        <v>0</v>
      </c>
      <c r="C1525">
        <f>[2]TongHop!C1525</f>
        <v>0</v>
      </c>
      <c r="D1525">
        <f>[2]TongHop!D1525</f>
        <v>0</v>
      </c>
      <c r="E1525">
        <f>[2]TongHop!E1525</f>
        <v>0</v>
      </c>
      <c r="F1525">
        <f>[2]TongHop!F1525</f>
        <v>0</v>
      </c>
      <c r="G1525">
        <f>[2]TongHop!G1525</f>
        <v>0</v>
      </c>
      <c r="H1525">
        <f>[2]TongHop!H1525</f>
        <v>0</v>
      </c>
      <c r="I1525">
        <f>[2]TongHop!I1525</f>
        <v>0</v>
      </c>
      <c r="J1525">
        <f>[2]TongHop!J1525</f>
        <v>0</v>
      </c>
      <c r="K1525">
        <f>[2]TongHop!K1525</f>
        <v>0</v>
      </c>
      <c r="L1525">
        <f>[2]TongHop!L1525</f>
        <v>0</v>
      </c>
      <c r="M1525">
        <f>[2]TongHop!M1525</f>
        <v>0</v>
      </c>
      <c r="N1525">
        <f>[2]TongHop!N1525</f>
        <v>0</v>
      </c>
    </row>
    <row r="1526" spans="1:14">
      <c r="A1526">
        <f>[2]TongHop!A1526</f>
        <v>0</v>
      </c>
      <c r="B1526">
        <f>[2]TongHop!B1526</f>
        <v>0</v>
      </c>
      <c r="C1526">
        <f>[2]TongHop!C1526</f>
        <v>0</v>
      </c>
      <c r="D1526">
        <f>[2]TongHop!D1526</f>
        <v>0</v>
      </c>
      <c r="E1526">
        <f>[2]TongHop!E1526</f>
        <v>0</v>
      </c>
      <c r="F1526">
        <f>[2]TongHop!F1526</f>
        <v>0</v>
      </c>
      <c r="G1526">
        <f>[2]TongHop!G1526</f>
        <v>0</v>
      </c>
      <c r="H1526">
        <f>[2]TongHop!H1526</f>
        <v>0</v>
      </c>
      <c r="I1526">
        <f>[2]TongHop!I1526</f>
        <v>0</v>
      </c>
      <c r="J1526">
        <f>[2]TongHop!J1526</f>
        <v>0</v>
      </c>
      <c r="K1526">
        <f>[2]TongHop!K1526</f>
        <v>0</v>
      </c>
      <c r="L1526">
        <f>[2]TongHop!L1526</f>
        <v>0</v>
      </c>
      <c r="M1526">
        <f>[2]TongHop!M1526</f>
        <v>0</v>
      </c>
      <c r="N1526">
        <f>[2]TongHop!N1526</f>
        <v>0</v>
      </c>
    </row>
    <row r="1527" spans="1:14">
      <c r="A1527">
        <f>[2]TongHop!A1527</f>
        <v>0</v>
      </c>
      <c r="B1527">
        <f>[2]TongHop!B1527</f>
        <v>0</v>
      </c>
      <c r="C1527">
        <f>[2]TongHop!C1527</f>
        <v>0</v>
      </c>
      <c r="D1527">
        <f>[2]TongHop!D1527</f>
        <v>0</v>
      </c>
      <c r="E1527">
        <f>[2]TongHop!E1527</f>
        <v>0</v>
      </c>
      <c r="F1527">
        <f>[2]TongHop!F1527</f>
        <v>0</v>
      </c>
      <c r="G1527">
        <f>[2]TongHop!G1527</f>
        <v>0</v>
      </c>
      <c r="H1527">
        <f>[2]TongHop!H1527</f>
        <v>0</v>
      </c>
      <c r="I1527">
        <f>[2]TongHop!I1527</f>
        <v>0</v>
      </c>
      <c r="J1527">
        <f>[2]TongHop!J1527</f>
        <v>0</v>
      </c>
      <c r="K1527">
        <f>[2]TongHop!K1527</f>
        <v>0</v>
      </c>
      <c r="L1527">
        <f>[2]TongHop!L1527</f>
        <v>0</v>
      </c>
      <c r="M1527">
        <f>[2]TongHop!M1527</f>
        <v>0</v>
      </c>
      <c r="N1527">
        <f>[2]TongHop!N1527</f>
        <v>0</v>
      </c>
    </row>
    <row r="1528" spans="1:14">
      <c r="A1528">
        <f>[2]TongHop!A1528</f>
        <v>0</v>
      </c>
      <c r="B1528">
        <f>[2]TongHop!B1528</f>
        <v>0</v>
      </c>
      <c r="C1528">
        <f>[2]TongHop!C1528</f>
        <v>0</v>
      </c>
      <c r="D1528">
        <f>[2]TongHop!D1528</f>
        <v>0</v>
      </c>
      <c r="E1528">
        <f>[2]TongHop!E1528</f>
        <v>0</v>
      </c>
      <c r="F1528">
        <f>[2]TongHop!F1528</f>
        <v>0</v>
      </c>
      <c r="G1528">
        <f>[2]TongHop!G1528</f>
        <v>0</v>
      </c>
      <c r="H1528">
        <f>[2]TongHop!H1528</f>
        <v>0</v>
      </c>
      <c r="I1528">
        <f>[2]TongHop!I1528</f>
        <v>0</v>
      </c>
      <c r="J1528">
        <f>[2]TongHop!J1528</f>
        <v>0</v>
      </c>
      <c r="K1528">
        <f>[2]TongHop!K1528</f>
        <v>0</v>
      </c>
      <c r="L1528">
        <f>[2]TongHop!L1528</f>
        <v>0</v>
      </c>
      <c r="M1528">
        <f>[2]TongHop!M1528</f>
        <v>0</v>
      </c>
      <c r="N1528">
        <f>[2]TongHop!N1528</f>
        <v>0</v>
      </c>
    </row>
    <row r="1529" spans="1:14">
      <c r="A1529">
        <f>[2]TongHop!A1529</f>
        <v>0</v>
      </c>
      <c r="B1529">
        <f>[2]TongHop!B1529</f>
        <v>0</v>
      </c>
      <c r="C1529">
        <f>[2]TongHop!C1529</f>
        <v>0</v>
      </c>
      <c r="D1529">
        <f>[2]TongHop!D1529</f>
        <v>0</v>
      </c>
      <c r="E1529">
        <f>[2]TongHop!E1529</f>
        <v>0</v>
      </c>
      <c r="F1529">
        <f>[2]TongHop!F1529</f>
        <v>0</v>
      </c>
      <c r="G1529">
        <f>[2]TongHop!G1529</f>
        <v>0</v>
      </c>
      <c r="H1529">
        <f>[2]TongHop!H1529</f>
        <v>0</v>
      </c>
      <c r="I1529">
        <f>[2]TongHop!I1529</f>
        <v>0</v>
      </c>
      <c r="J1529">
        <f>[2]TongHop!J1529</f>
        <v>0</v>
      </c>
      <c r="K1529">
        <f>[2]TongHop!K1529</f>
        <v>0</v>
      </c>
      <c r="L1529">
        <f>[2]TongHop!L1529</f>
        <v>0</v>
      </c>
      <c r="M1529">
        <f>[2]TongHop!M1529</f>
        <v>0</v>
      </c>
      <c r="N1529">
        <f>[2]TongHop!N1529</f>
        <v>0</v>
      </c>
    </row>
    <row r="1530" spans="1:14">
      <c r="A1530">
        <f>[2]TongHop!A1530</f>
        <v>0</v>
      </c>
      <c r="B1530">
        <f>[2]TongHop!B1530</f>
        <v>0</v>
      </c>
      <c r="C1530">
        <f>[2]TongHop!C1530</f>
        <v>0</v>
      </c>
      <c r="D1530">
        <f>[2]TongHop!D1530</f>
        <v>0</v>
      </c>
      <c r="E1530">
        <f>[2]TongHop!E1530</f>
        <v>0</v>
      </c>
      <c r="F1530">
        <f>[2]TongHop!F1530</f>
        <v>0</v>
      </c>
      <c r="G1530">
        <f>[2]TongHop!G1530</f>
        <v>0</v>
      </c>
      <c r="H1530">
        <f>[2]TongHop!H1530</f>
        <v>0</v>
      </c>
      <c r="I1530">
        <f>[2]TongHop!I1530</f>
        <v>0</v>
      </c>
      <c r="J1530">
        <f>[2]TongHop!J1530</f>
        <v>0</v>
      </c>
      <c r="K1530">
        <f>[2]TongHop!K1530</f>
        <v>0</v>
      </c>
      <c r="L1530">
        <f>[2]TongHop!L1530</f>
        <v>0</v>
      </c>
      <c r="M1530">
        <f>[2]TongHop!M1530</f>
        <v>0</v>
      </c>
      <c r="N1530">
        <f>[2]TongHop!N1530</f>
        <v>0</v>
      </c>
    </row>
    <row r="1531" spans="1:14">
      <c r="A1531">
        <f>[2]TongHop!A1531</f>
        <v>0</v>
      </c>
      <c r="B1531">
        <f>[2]TongHop!B1531</f>
        <v>0</v>
      </c>
      <c r="C1531">
        <f>[2]TongHop!C1531</f>
        <v>0</v>
      </c>
      <c r="D1531">
        <f>[2]TongHop!D1531</f>
        <v>0</v>
      </c>
      <c r="E1531">
        <f>[2]TongHop!E1531</f>
        <v>0</v>
      </c>
      <c r="F1531">
        <f>[2]TongHop!F1531</f>
        <v>0</v>
      </c>
      <c r="G1531">
        <f>[2]TongHop!G1531</f>
        <v>0</v>
      </c>
      <c r="H1531">
        <f>[2]TongHop!H1531</f>
        <v>0</v>
      </c>
      <c r="I1531">
        <f>[2]TongHop!I1531</f>
        <v>0</v>
      </c>
      <c r="J1531">
        <f>[2]TongHop!J1531</f>
        <v>0</v>
      </c>
      <c r="K1531">
        <f>[2]TongHop!K1531</f>
        <v>0</v>
      </c>
      <c r="L1531">
        <f>[2]TongHop!L1531</f>
        <v>0</v>
      </c>
      <c r="M1531">
        <f>[2]TongHop!M1531</f>
        <v>0</v>
      </c>
      <c r="N1531">
        <f>[2]TongHop!N1531</f>
        <v>0</v>
      </c>
    </row>
    <row r="1532" spans="1:14">
      <c r="A1532">
        <f>[2]TongHop!A1532</f>
        <v>0</v>
      </c>
      <c r="B1532">
        <f>[2]TongHop!B1532</f>
        <v>0</v>
      </c>
      <c r="C1532">
        <f>[2]TongHop!C1532</f>
        <v>0</v>
      </c>
      <c r="D1532">
        <f>[2]TongHop!D1532</f>
        <v>0</v>
      </c>
      <c r="E1532">
        <f>[2]TongHop!E1532</f>
        <v>0</v>
      </c>
      <c r="F1532">
        <f>[2]TongHop!F1532</f>
        <v>0</v>
      </c>
      <c r="G1532">
        <f>[2]TongHop!G1532</f>
        <v>0</v>
      </c>
      <c r="H1532">
        <f>[2]TongHop!H1532</f>
        <v>0</v>
      </c>
      <c r="I1532">
        <f>[2]TongHop!I1532</f>
        <v>0</v>
      </c>
      <c r="J1532">
        <f>[2]TongHop!J1532</f>
        <v>0</v>
      </c>
      <c r="K1532">
        <f>[2]TongHop!K1532</f>
        <v>0</v>
      </c>
      <c r="L1532">
        <f>[2]TongHop!L1532</f>
        <v>0</v>
      </c>
      <c r="M1532">
        <f>[2]TongHop!M1532</f>
        <v>0</v>
      </c>
      <c r="N1532">
        <f>[2]TongHop!N1532</f>
        <v>0</v>
      </c>
    </row>
    <row r="1533" spans="1:14">
      <c r="A1533">
        <f>[2]TongHop!A1533</f>
        <v>0</v>
      </c>
      <c r="B1533">
        <f>[2]TongHop!B1533</f>
        <v>0</v>
      </c>
      <c r="C1533">
        <f>[2]TongHop!C1533</f>
        <v>0</v>
      </c>
      <c r="D1533">
        <f>[2]TongHop!D1533</f>
        <v>0</v>
      </c>
      <c r="E1533">
        <f>[2]TongHop!E1533</f>
        <v>0</v>
      </c>
      <c r="F1533">
        <f>[2]TongHop!F1533</f>
        <v>0</v>
      </c>
      <c r="G1533">
        <f>[2]TongHop!G1533</f>
        <v>0</v>
      </c>
      <c r="H1533">
        <f>[2]TongHop!H1533</f>
        <v>0</v>
      </c>
      <c r="I1533">
        <f>[2]TongHop!I1533</f>
        <v>0</v>
      </c>
      <c r="J1533">
        <f>[2]TongHop!J1533</f>
        <v>0</v>
      </c>
      <c r="K1533">
        <f>[2]TongHop!K1533</f>
        <v>0</v>
      </c>
      <c r="L1533">
        <f>[2]TongHop!L1533</f>
        <v>0</v>
      </c>
      <c r="M1533">
        <f>[2]TongHop!M1533</f>
        <v>0</v>
      </c>
      <c r="N1533">
        <f>[2]TongHop!N1533</f>
        <v>0</v>
      </c>
    </row>
    <row r="1534" spans="1:14">
      <c r="A1534">
        <f>[2]TongHop!A1534</f>
        <v>0</v>
      </c>
      <c r="B1534">
        <f>[2]TongHop!B1534</f>
        <v>0</v>
      </c>
      <c r="C1534">
        <f>[2]TongHop!C1534</f>
        <v>0</v>
      </c>
      <c r="D1534">
        <f>[2]TongHop!D1534</f>
        <v>0</v>
      </c>
      <c r="E1534">
        <f>[2]TongHop!E1534</f>
        <v>0</v>
      </c>
      <c r="F1534">
        <f>[2]TongHop!F1534</f>
        <v>0</v>
      </c>
      <c r="G1534">
        <f>[2]TongHop!G1534</f>
        <v>0</v>
      </c>
      <c r="H1534">
        <f>[2]TongHop!H1534</f>
        <v>0</v>
      </c>
      <c r="I1534">
        <f>[2]TongHop!I1534</f>
        <v>0</v>
      </c>
      <c r="J1534">
        <f>[2]TongHop!J1534</f>
        <v>0</v>
      </c>
      <c r="K1534">
        <f>[2]TongHop!K1534</f>
        <v>0</v>
      </c>
      <c r="L1534">
        <f>[2]TongHop!L1534</f>
        <v>0</v>
      </c>
      <c r="M1534">
        <f>[2]TongHop!M1534</f>
        <v>0</v>
      </c>
      <c r="N1534">
        <f>[2]TongHop!N1534</f>
        <v>0</v>
      </c>
    </row>
    <row r="1535" spans="1:14">
      <c r="A1535">
        <f>[2]TongHop!A1535</f>
        <v>0</v>
      </c>
      <c r="B1535">
        <f>[2]TongHop!B1535</f>
        <v>0</v>
      </c>
      <c r="C1535">
        <f>[2]TongHop!C1535</f>
        <v>0</v>
      </c>
      <c r="D1535">
        <f>[2]TongHop!D1535</f>
        <v>0</v>
      </c>
      <c r="E1535">
        <f>[2]TongHop!E1535</f>
        <v>0</v>
      </c>
      <c r="F1535">
        <f>[2]TongHop!F1535</f>
        <v>0</v>
      </c>
      <c r="G1535">
        <f>[2]TongHop!G1535</f>
        <v>0</v>
      </c>
      <c r="H1535">
        <f>[2]TongHop!H1535</f>
        <v>0</v>
      </c>
      <c r="I1535">
        <f>[2]TongHop!I1535</f>
        <v>0</v>
      </c>
      <c r="J1535">
        <f>[2]TongHop!J1535</f>
        <v>0</v>
      </c>
      <c r="K1535">
        <f>[2]TongHop!K1535</f>
        <v>0</v>
      </c>
      <c r="L1535">
        <f>[2]TongHop!L1535</f>
        <v>0</v>
      </c>
      <c r="M1535">
        <f>[2]TongHop!M1535</f>
        <v>0</v>
      </c>
      <c r="N1535">
        <f>[2]TongHop!N1535</f>
        <v>0</v>
      </c>
    </row>
    <row r="1536" spans="1:14">
      <c r="A1536">
        <f>[2]TongHop!A1536</f>
        <v>0</v>
      </c>
      <c r="B1536">
        <f>[2]TongHop!B1536</f>
        <v>0</v>
      </c>
      <c r="C1536">
        <f>[2]TongHop!C1536</f>
        <v>0</v>
      </c>
      <c r="D1536">
        <f>[2]TongHop!D1536</f>
        <v>0</v>
      </c>
      <c r="E1536">
        <f>[2]TongHop!E1536</f>
        <v>0</v>
      </c>
      <c r="F1536">
        <f>[2]TongHop!F1536</f>
        <v>0</v>
      </c>
      <c r="G1536">
        <f>[2]TongHop!G1536</f>
        <v>0</v>
      </c>
      <c r="H1536">
        <f>[2]TongHop!H1536</f>
        <v>0</v>
      </c>
      <c r="I1536">
        <f>[2]TongHop!I1536</f>
        <v>0</v>
      </c>
      <c r="J1536">
        <f>[2]TongHop!J1536</f>
        <v>0</v>
      </c>
      <c r="K1536">
        <f>[2]TongHop!K1536</f>
        <v>0</v>
      </c>
      <c r="L1536">
        <f>[2]TongHop!L1536</f>
        <v>0</v>
      </c>
      <c r="M1536">
        <f>[2]TongHop!M1536</f>
        <v>0</v>
      </c>
      <c r="N1536">
        <f>[2]TongHop!N1536</f>
        <v>0</v>
      </c>
    </row>
    <row r="1537" spans="1:14">
      <c r="A1537">
        <f>[2]TongHop!A1537</f>
        <v>0</v>
      </c>
      <c r="B1537">
        <f>[2]TongHop!B1537</f>
        <v>0</v>
      </c>
      <c r="C1537">
        <f>[2]TongHop!C1537</f>
        <v>0</v>
      </c>
      <c r="D1537">
        <f>[2]TongHop!D1537</f>
        <v>0</v>
      </c>
      <c r="E1537">
        <f>[2]TongHop!E1537</f>
        <v>0</v>
      </c>
      <c r="F1537">
        <f>[2]TongHop!F1537</f>
        <v>0</v>
      </c>
      <c r="G1537">
        <f>[2]TongHop!G1537</f>
        <v>0</v>
      </c>
      <c r="H1537">
        <f>[2]TongHop!H1537</f>
        <v>0</v>
      </c>
      <c r="I1537">
        <f>[2]TongHop!I1537</f>
        <v>0</v>
      </c>
      <c r="J1537">
        <f>[2]TongHop!J1537</f>
        <v>0</v>
      </c>
      <c r="K1537">
        <f>[2]TongHop!K1537</f>
        <v>0</v>
      </c>
      <c r="L1537">
        <f>[2]TongHop!L1537</f>
        <v>0</v>
      </c>
      <c r="M1537">
        <f>[2]TongHop!M1537</f>
        <v>0</v>
      </c>
      <c r="N1537">
        <f>[2]TongHop!N1537</f>
        <v>0</v>
      </c>
    </row>
    <row r="1538" spans="1:14">
      <c r="A1538">
        <f>[2]TongHop!A1538</f>
        <v>0</v>
      </c>
      <c r="B1538">
        <f>[2]TongHop!B1538</f>
        <v>0</v>
      </c>
      <c r="C1538">
        <f>[2]TongHop!C1538</f>
        <v>0</v>
      </c>
      <c r="D1538">
        <f>[2]TongHop!D1538</f>
        <v>0</v>
      </c>
      <c r="E1538">
        <f>[2]TongHop!E1538</f>
        <v>0</v>
      </c>
      <c r="F1538">
        <f>[2]TongHop!F1538</f>
        <v>0</v>
      </c>
      <c r="G1538">
        <f>[2]TongHop!G1538</f>
        <v>0</v>
      </c>
      <c r="H1538">
        <f>[2]TongHop!H1538</f>
        <v>0</v>
      </c>
      <c r="I1538">
        <f>[2]TongHop!I1538</f>
        <v>0</v>
      </c>
      <c r="J1538">
        <f>[2]TongHop!J1538</f>
        <v>0</v>
      </c>
      <c r="K1538">
        <f>[2]TongHop!K1538</f>
        <v>0</v>
      </c>
      <c r="L1538">
        <f>[2]TongHop!L1538</f>
        <v>0</v>
      </c>
      <c r="M1538">
        <f>[2]TongHop!M1538</f>
        <v>0</v>
      </c>
      <c r="N1538">
        <f>[2]TongHop!N1538</f>
        <v>0</v>
      </c>
    </row>
    <row r="1539" spans="1:14">
      <c r="A1539">
        <f>[2]TongHop!A1539</f>
        <v>0</v>
      </c>
      <c r="B1539">
        <f>[2]TongHop!B1539</f>
        <v>0</v>
      </c>
      <c r="C1539">
        <f>[2]TongHop!C1539</f>
        <v>0</v>
      </c>
      <c r="D1539">
        <f>[2]TongHop!D1539</f>
        <v>0</v>
      </c>
      <c r="E1539">
        <f>[2]TongHop!E1539</f>
        <v>0</v>
      </c>
      <c r="F1539">
        <f>[2]TongHop!F1539</f>
        <v>0</v>
      </c>
      <c r="G1539">
        <f>[2]TongHop!G1539</f>
        <v>0</v>
      </c>
      <c r="H1539">
        <f>[2]TongHop!H1539</f>
        <v>0</v>
      </c>
      <c r="I1539">
        <f>[2]TongHop!I1539</f>
        <v>0</v>
      </c>
      <c r="J1539">
        <f>[2]TongHop!J1539</f>
        <v>0</v>
      </c>
      <c r="K1539">
        <f>[2]TongHop!K1539</f>
        <v>0</v>
      </c>
      <c r="L1539">
        <f>[2]TongHop!L1539</f>
        <v>0</v>
      </c>
      <c r="M1539">
        <f>[2]TongHop!M1539</f>
        <v>0</v>
      </c>
      <c r="N1539">
        <f>[2]TongHop!N1539</f>
        <v>0</v>
      </c>
    </row>
    <row r="1540" spans="1:14">
      <c r="A1540">
        <f>[2]TongHop!A1540</f>
        <v>0</v>
      </c>
      <c r="B1540">
        <f>[2]TongHop!B1540</f>
        <v>0</v>
      </c>
      <c r="C1540">
        <f>[2]TongHop!C1540</f>
        <v>0</v>
      </c>
      <c r="D1540">
        <f>[2]TongHop!D1540</f>
        <v>0</v>
      </c>
      <c r="E1540">
        <f>[2]TongHop!E1540</f>
        <v>0</v>
      </c>
      <c r="F1540">
        <f>[2]TongHop!F1540</f>
        <v>0</v>
      </c>
      <c r="G1540">
        <f>[2]TongHop!G1540</f>
        <v>0</v>
      </c>
      <c r="H1540">
        <f>[2]TongHop!H1540</f>
        <v>0</v>
      </c>
      <c r="I1540">
        <f>[2]TongHop!I1540</f>
        <v>0</v>
      </c>
      <c r="J1540">
        <f>[2]TongHop!J1540</f>
        <v>0</v>
      </c>
      <c r="K1540">
        <f>[2]TongHop!K1540</f>
        <v>0</v>
      </c>
      <c r="L1540">
        <f>[2]TongHop!L1540</f>
        <v>0</v>
      </c>
      <c r="M1540">
        <f>[2]TongHop!M1540</f>
        <v>0</v>
      </c>
      <c r="N1540">
        <f>[2]TongHop!N1540</f>
        <v>0</v>
      </c>
    </row>
    <row r="1541" spans="1:14">
      <c r="A1541">
        <f>[2]TongHop!A1541</f>
        <v>0</v>
      </c>
      <c r="B1541">
        <f>[2]TongHop!B1541</f>
        <v>0</v>
      </c>
      <c r="C1541">
        <f>[2]TongHop!C1541</f>
        <v>0</v>
      </c>
      <c r="D1541">
        <f>[2]TongHop!D1541</f>
        <v>0</v>
      </c>
      <c r="E1541">
        <f>[2]TongHop!E1541</f>
        <v>0</v>
      </c>
      <c r="F1541">
        <f>[2]TongHop!F1541</f>
        <v>0</v>
      </c>
      <c r="G1541">
        <f>[2]TongHop!G1541</f>
        <v>0</v>
      </c>
      <c r="H1541">
        <f>[2]TongHop!H1541</f>
        <v>0</v>
      </c>
      <c r="I1541">
        <f>[2]TongHop!I1541</f>
        <v>0</v>
      </c>
      <c r="J1541">
        <f>[2]TongHop!J1541</f>
        <v>0</v>
      </c>
      <c r="K1541">
        <f>[2]TongHop!K1541</f>
        <v>0</v>
      </c>
      <c r="L1541">
        <f>[2]TongHop!L1541</f>
        <v>0</v>
      </c>
      <c r="M1541">
        <f>[2]TongHop!M1541</f>
        <v>0</v>
      </c>
      <c r="N1541">
        <f>[2]TongHop!N1541</f>
        <v>0</v>
      </c>
    </row>
    <row r="1542" spans="1:14">
      <c r="A1542">
        <f>[2]TongHop!A1542</f>
        <v>0</v>
      </c>
      <c r="B1542">
        <f>[2]TongHop!B1542</f>
        <v>0</v>
      </c>
      <c r="C1542">
        <f>[2]TongHop!C1542</f>
        <v>0</v>
      </c>
      <c r="D1542">
        <f>[2]TongHop!D1542</f>
        <v>0</v>
      </c>
      <c r="E1542">
        <f>[2]TongHop!E1542</f>
        <v>0</v>
      </c>
      <c r="F1542">
        <f>[2]TongHop!F1542</f>
        <v>0</v>
      </c>
      <c r="G1542">
        <f>[2]TongHop!G1542</f>
        <v>0</v>
      </c>
      <c r="H1542">
        <f>[2]TongHop!H1542</f>
        <v>0</v>
      </c>
      <c r="I1542">
        <f>[2]TongHop!I1542</f>
        <v>0</v>
      </c>
      <c r="J1542">
        <f>[2]TongHop!J1542</f>
        <v>0</v>
      </c>
      <c r="K1542">
        <f>[2]TongHop!K1542</f>
        <v>0</v>
      </c>
      <c r="L1542">
        <f>[2]TongHop!L1542</f>
        <v>0</v>
      </c>
      <c r="M1542">
        <f>[2]TongHop!M1542</f>
        <v>0</v>
      </c>
      <c r="N1542">
        <f>[2]TongHop!N1542</f>
        <v>0</v>
      </c>
    </row>
    <row r="1543" spans="1:14">
      <c r="A1543">
        <f>[2]TongHop!A1543</f>
        <v>0</v>
      </c>
      <c r="B1543">
        <f>[2]TongHop!B1543</f>
        <v>0</v>
      </c>
      <c r="C1543">
        <f>[2]TongHop!C1543</f>
        <v>0</v>
      </c>
      <c r="D1543">
        <f>[2]TongHop!D1543</f>
        <v>0</v>
      </c>
      <c r="E1543">
        <f>[2]TongHop!E1543</f>
        <v>0</v>
      </c>
      <c r="F1543">
        <f>[2]TongHop!F1543</f>
        <v>0</v>
      </c>
      <c r="G1543">
        <f>[2]TongHop!G1543</f>
        <v>0</v>
      </c>
      <c r="H1543">
        <f>[2]TongHop!H1543</f>
        <v>0</v>
      </c>
      <c r="I1543">
        <f>[2]TongHop!I1543</f>
        <v>0</v>
      </c>
      <c r="J1543">
        <f>[2]TongHop!J1543</f>
        <v>0</v>
      </c>
      <c r="K1543">
        <f>[2]TongHop!K1543</f>
        <v>0</v>
      </c>
      <c r="L1543">
        <f>[2]TongHop!L1543</f>
        <v>0</v>
      </c>
      <c r="M1543">
        <f>[2]TongHop!M1543</f>
        <v>0</v>
      </c>
      <c r="N1543">
        <f>[2]TongHop!N1543</f>
        <v>0</v>
      </c>
    </row>
    <row r="1544" spans="1:14">
      <c r="A1544">
        <f>[2]TongHop!A1544</f>
        <v>0</v>
      </c>
      <c r="B1544">
        <f>[2]TongHop!B1544</f>
        <v>0</v>
      </c>
      <c r="C1544">
        <f>[2]TongHop!C1544</f>
        <v>0</v>
      </c>
      <c r="D1544">
        <f>[2]TongHop!D1544</f>
        <v>0</v>
      </c>
      <c r="E1544">
        <f>[2]TongHop!E1544</f>
        <v>0</v>
      </c>
      <c r="F1544">
        <f>[2]TongHop!F1544</f>
        <v>0</v>
      </c>
      <c r="G1544">
        <f>[2]TongHop!G1544</f>
        <v>0</v>
      </c>
      <c r="H1544">
        <f>[2]TongHop!H1544</f>
        <v>0</v>
      </c>
      <c r="I1544">
        <f>[2]TongHop!I1544</f>
        <v>0</v>
      </c>
      <c r="J1544">
        <f>[2]TongHop!J1544</f>
        <v>0</v>
      </c>
      <c r="K1544">
        <f>[2]TongHop!K1544</f>
        <v>0</v>
      </c>
      <c r="L1544">
        <f>[2]TongHop!L1544</f>
        <v>0</v>
      </c>
      <c r="M1544">
        <f>[2]TongHop!M1544</f>
        <v>0</v>
      </c>
      <c r="N1544">
        <f>[2]TongHop!N1544</f>
        <v>0</v>
      </c>
    </row>
    <row r="1545" spans="1:14">
      <c r="A1545">
        <f>[2]TongHop!A1545</f>
        <v>0</v>
      </c>
      <c r="B1545">
        <f>[2]TongHop!B1545</f>
        <v>0</v>
      </c>
      <c r="C1545">
        <f>[2]TongHop!C1545</f>
        <v>0</v>
      </c>
      <c r="D1545">
        <f>[2]TongHop!D1545</f>
        <v>0</v>
      </c>
      <c r="E1545">
        <f>[2]TongHop!E1545</f>
        <v>0</v>
      </c>
      <c r="F1545">
        <f>[2]TongHop!F1545</f>
        <v>0</v>
      </c>
      <c r="G1545">
        <f>[2]TongHop!G1545</f>
        <v>0</v>
      </c>
      <c r="H1545">
        <f>[2]TongHop!H1545</f>
        <v>0</v>
      </c>
      <c r="I1545">
        <f>[2]TongHop!I1545</f>
        <v>0</v>
      </c>
      <c r="J1545">
        <f>[2]TongHop!J1545</f>
        <v>0</v>
      </c>
      <c r="K1545">
        <f>[2]TongHop!K1545</f>
        <v>0</v>
      </c>
      <c r="L1545">
        <f>[2]TongHop!L1545</f>
        <v>0</v>
      </c>
      <c r="M1545">
        <f>[2]TongHop!M1545</f>
        <v>0</v>
      </c>
      <c r="N1545">
        <f>[2]TongHop!N1545</f>
        <v>0</v>
      </c>
    </row>
    <row r="1546" spans="1:14">
      <c r="A1546">
        <f>[2]TongHop!A1546</f>
        <v>0</v>
      </c>
      <c r="B1546">
        <f>[2]TongHop!B1546</f>
        <v>0</v>
      </c>
      <c r="C1546">
        <f>[2]TongHop!C1546</f>
        <v>0</v>
      </c>
      <c r="D1546">
        <f>[2]TongHop!D1546</f>
        <v>0</v>
      </c>
      <c r="E1546">
        <f>[2]TongHop!E1546</f>
        <v>0</v>
      </c>
      <c r="F1546">
        <f>[2]TongHop!F1546</f>
        <v>0</v>
      </c>
      <c r="G1546">
        <f>[2]TongHop!G1546</f>
        <v>0</v>
      </c>
      <c r="H1546">
        <f>[2]TongHop!H1546</f>
        <v>0</v>
      </c>
      <c r="I1546">
        <f>[2]TongHop!I1546</f>
        <v>0</v>
      </c>
      <c r="J1546">
        <f>[2]TongHop!J1546</f>
        <v>0</v>
      </c>
      <c r="K1546">
        <f>[2]TongHop!K1546</f>
        <v>0</v>
      </c>
      <c r="L1546">
        <f>[2]TongHop!L1546</f>
        <v>0</v>
      </c>
      <c r="M1546">
        <f>[2]TongHop!M1546</f>
        <v>0</v>
      </c>
      <c r="N1546">
        <f>[2]TongHop!N1546</f>
        <v>0</v>
      </c>
    </row>
    <row r="1547" spans="1:14">
      <c r="A1547">
        <f>[2]TongHop!A1547</f>
        <v>0</v>
      </c>
      <c r="B1547">
        <f>[2]TongHop!B1547</f>
        <v>0</v>
      </c>
      <c r="C1547">
        <f>[2]TongHop!C1547</f>
        <v>0</v>
      </c>
      <c r="D1547">
        <f>[2]TongHop!D1547</f>
        <v>0</v>
      </c>
      <c r="E1547">
        <f>[2]TongHop!E1547</f>
        <v>0</v>
      </c>
      <c r="F1547">
        <f>[2]TongHop!F1547</f>
        <v>0</v>
      </c>
      <c r="G1547">
        <f>[2]TongHop!G1547</f>
        <v>0</v>
      </c>
      <c r="H1547">
        <f>[2]TongHop!H1547</f>
        <v>0</v>
      </c>
      <c r="I1547">
        <f>[2]TongHop!I1547</f>
        <v>0</v>
      </c>
      <c r="J1547">
        <f>[2]TongHop!J1547</f>
        <v>0</v>
      </c>
      <c r="K1547">
        <f>[2]TongHop!K1547</f>
        <v>0</v>
      </c>
      <c r="L1547">
        <f>[2]TongHop!L1547</f>
        <v>0</v>
      </c>
      <c r="M1547">
        <f>[2]TongHop!M1547</f>
        <v>0</v>
      </c>
      <c r="N1547">
        <f>[2]TongHop!N1547</f>
        <v>0</v>
      </c>
    </row>
    <row r="1548" spans="1:14">
      <c r="A1548">
        <f>[2]TongHop!A1548</f>
        <v>0</v>
      </c>
      <c r="B1548">
        <f>[2]TongHop!B1548</f>
        <v>0</v>
      </c>
      <c r="C1548">
        <f>[2]TongHop!C1548</f>
        <v>0</v>
      </c>
      <c r="D1548">
        <f>[2]TongHop!D1548</f>
        <v>0</v>
      </c>
      <c r="E1548">
        <f>[2]TongHop!E1548</f>
        <v>0</v>
      </c>
      <c r="F1548">
        <f>[2]TongHop!F1548</f>
        <v>0</v>
      </c>
      <c r="G1548">
        <f>[2]TongHop!G1548</f>
        <v>0</v>
      </c>
      <c r="H1548">
        <f>[2]TongHop!H1548</f>
        <v>0</v>
      </c>
      <c r="I1548">
        <f>[2]TongHop!I1548</f>
        <v>0</v>
      </c>
      <c r="J1548">
        <f>[2]TongHop!J1548</f>
        <v>0</v>
      </c>
      <c r="K1548">
        <f>[2]TongHop!K1548</f>
        <v>0</v>
      </c>
      <c r="L1548">
        <f>[2]TongHop!L1548</f>
        <v>0</v>
      </c>
      <c r="M1548">
        <f>[2]TongHop!M1548</f>
        <v>0</v>
      </c>
      <c r="N1548">
        <f>[2]TongHop!N1548</f>
        <v>0</v>
      </c>
    </row>
    <row r="1549" spans="1:14">
      <c r="A1549">
        <f>[2]TongHop!A1549</f>
        <v>0</v>
      </c>
      <c r="B1549">
        <f>[2]TongHop!B1549</f>
        <v>0</v>
      </c>
      <c r="C1549">
        <f>[2]TongHop!C1549</f>
        <v>0</v>
      </c>
      <c r="D1549">
        <f>[2]TongHop!D1549</f>
        <v>0</v>
      </c>
      <c r="E1549">
        <f>[2]TongHop!E1549</f>
        <v>0</v>
      </c>
      <c r="F1549">
        <f>[2]TongHop!F1549</f>
        <v>0</v>
      </c>
      <c r="G1549">
        <f>[2]TongHop!G1549</f>
        <v>0</v>
      </c>
      <c r="H1549">
        <f>[2]TongHop!H1549</f>
        <v>0</v>
      </c>
      <c r="I1549">
        <f>[2]TongHop!I1549</f>
        <v>0</v>
      </c>
      <c r="J1549">
        <f>[2]TongHop!J1549</f>
        <v>0</v>
      </c>
      <c r="K1549">
        <f>[2]TongHop!K1549</f>
        <v>0</v>
      </c>
      <c r="L1549">
        <f>[2]TongHop!L1549</f>
        <v>0</v>
      </c>
      <c r="M1549">
        <f>[2]TongHop!M1549</f>
        <v>0</v>
      </c>
      <c r="N1549">
        <f>[2]TongHop!N1549</f>
        <v>0</v>
      </c>
    </row>
    <row r="1550" spans="1:14">
      <c r="A1550">
        <f>[2]TongHop!A1550</f>
        <v>0</v>
      </c>
      <c r="B1550">
        <f>[2]TongHop!B1550</f>
        <v>0</v>
      </c>
      <c r="C1550">
        <f>[2]TongHop!C1550</f>
        <v>0</v>
      </c>
      <c r="D1550">
        <f>[2]TongHop!D1550</f>
        <v>0</v>
      </c>
      <c r="E1550">
        <f>[2]TongHop!E1550</f>
        <v>0</v>
      </c>
      <c r="F1550">
        <f>[2]TongHop!F1550</f>
        <v>0</v>
      </c>
      <c r="G1550">
        <f>[2]TongHop!G1550</f>
        <v>0</v>
      </c>
      <c r="H1550">
        <f>[2]TongHop!H1550</f>
        <v>0</v>
      </c>
      <c r="I1550">
        <f>[2]TongHop!I1550</f>
        <v>0</v>
      </c>
      <c r="J1550">
        <f>[2]TongHop!J1550</f>
        <v>0</v>
      </c>
      <c r="K1550">
        <f>[2]TongHop!K1550</f>
        <v>0</v>
      </c>
      <c r="L1550">
        <f>[2]TongHop!L1550</f>
        <v>0</v>
      </c>
      <c r="M1550">
        <f>[2]TongHop!M1550</f>
        <v>0</v>
      </c>
      <c r="N1550">
        <f>[2]TongHop!N1550</f>
        <v>0</v>
      </c>
    </row>
    <row r="1551" spans="1:14">
      <c r="A1551">
        <f>[2]TongHop!A1551</f>
        <v>0</v>
      </c>
      <c r="B1551">
        <f>[2]TongHop!B1551</f>
        <v>0</v>
      </c>
      <c r="C1551">
        <f>[2]TongHop!C1551</f>
        <v>0</v>
      </c>
      <c r="D1551">
        <f>[2]TongHop!D1551</f>
        <v>0</v>
      </c>
      <c r="E1551">
        <f>[2]TongHop!E1551</f>
        <v>0</v>
      </c>
      <c r="F1551">
        <f>[2]TongHop!F1551</f>
        <v>0</v>
      </c>
      <c r="G1551">
        <f>[2]TongHop!G1551</f>
        <v>0</v>
      </c>
      <c r="H1551">
        <f>[2]TongHop!H1551</f>
        <v>0</v>
      </c>
      <c r="I1551">
        <f>[2]TongHop!I1551</f>
        <v>0</v>
      </c>
      <c r="J1551">
        <f>[2]TongHop!J1551</f>
        <v>0</v>
      </c>
      <c r="K1551">
        <f>[2]TongHop!K1551</f>
        <v>0</v>
      </c>
      <c r="L1551">
        <f>[2]TongHop!L1551</f>
        <v>0</v>
      </c>
      <c r="M1551">
        <f>[2]TongHop!M1551</f>
        <v>0</v>
      </c>
      <c r="N1551">
        <f>[2]TongHop!N1551</f>
        <v>0</v>
      </c>
    </row>
    <row r="1552" spans="1:14">
      <c r="A1552">
        <f>[2]TongHop!A1552</f>
        <v>0</v>
      </c>
      <c r="B1552">
        <f>[2]TongHop!B1552</f>
        <v>0</v>
      </c>
      <c r="C1552">
        <f>[2]TongHop!C1552</f>
        <v>0</v>
      </c>
      <c r="D1552">
        <f>[2]TongHop!D1552</f>
        <v>0</v>
      </c>
      <c r="E1552">
        <f>[2]TongHop!E1552</f>
        <v>0</v>
      </c>
      <c r="F1552">
        <f>[2]TongHop!F1552</f>
        <v>0</v>
      </c>
      <c r="G1552">
        <f>[2]TongHop!G1552</f>
        <v>0</v>
      </c>
      <c r="H1552">
        <f>[2]TongHop!H1552</f>
        <v>0</v>
      </c>
      <c r="I1552">
        <f>[2]TongHop!I1552</f>
        <v>0</v>
      </c>
      <c r="J1552">
        <f>[2]TongHop!J1552</f>
        <v>0</v>
      </c>
      <c r="K1552">
        <f>[2]TongHop!K1552</f>
        <v>0</v>
      </c>
      <c r="L1552">
        <f>[2]TongHop!L1552</f>
        <v>0</v>
      </c>
      <c r="M1552">
        <f>[2]TongHop!M1552</f>
        <v>0</v>
      </c>
      <c r="N1552">
        <f>[2]TongHop!N1552</f>
        <v>0</v>
      </c>
    </row>
    <row r="1553" spans="1:14">
      <c r="A1553">
        <f>[2]TongHop!A1553</f>
        <v>0</v>
      </c>
      <c r="B1553">
        <f>[2]TongHop!B1553</f>
        <v>0</v>
      </c>
      <c r="C1553">
        <f>[2]TongHop!C1553</f>
        <v>0</v>
      </c>
      <c r="D1553">
        <f>[2]TongHop!D1553</f>
        <v>0</v>
      </c>
      <c r="E1553">
        <f>[2]TongHop!E1553</f>
        <v>0</v>
      </c>
      <c r="F1553">
        <f>[2]TongHop!F1553</f>
        <v>0</v>
      </c>
      <c r="G1553">
        <f>[2]TongHop!G1553</f>
        <v>0</v>
      </c>
      <c r="H1553">
        <f>[2]TongHop!H1553</f>
        <v>0</v>
      </c>
      <c r="I1553">
        <f>[2]TongHop!I1553</f>
        <v>0</v>
      </c>
      <c r="J1553">
        <f>[2]TongHop!J1553</f>
        <v>0</v>
      </c>
      <c r="K1553">
        <f>[2]TongHop!K1553</f>
        <v>0</v>
      </c>
      <c r="L1553">
        <f>[2]TongHop!L1553</f>
        <v>0</v>
      </c>
      <c r="M1553">
        <f>[2]TongHop!M1553</f>
        <v>0</v>
      </c>
      <c r="N1553">
        <f>[2]TongHop!N1553</f>
        <v>0</v>
      </c>
    </row>
    <row r="1554" spans="1:14">
      <c r="A1554">
        <f>[2]TongHop!A1554</f>
        <v>0</v>
      </c>
      <c r="B1554">
        <f>[2]TongHop!B1554</f>
        <v>0</v>
      </c>
      <c r="C1554">
        <f>[2]TongHop!C1554</f>
        <v>0</v>
      </c>
      <c r="D1554">
        <f>[2]TongHop!D1554</f>
        <v>0</v>
      </c>
      <c r="E1554">
        <f>[2]TongHop!E1554</f>
        <v>0</v>
      </c>
      <c r="F1554">
        <f>[2]TongHop!F1554</f>
        <v>0</v>
      </c>
      <c r="G1554">
        <f>[2]TongHop!G1554</f>
        <v>0</v>
      </c>
      <c r="H1554">
        <f>[2]TongHop!H1554</f>
        <v>0</v>
      </c>
      <c r="I1554">
        <f>[2]TongHop!I1554</f>
        <v>0</v>
      </c>
      <c r="J1554">
        <f>[2]TongHop!J1554</f>
        <v>0</v>
      </c>
      <c r="K1554">
        <f>[2]TongHop!K1554</f>
        <v>0</v>
      </c>
      <c r="L1554">
        <f>[2]TongHop!L1554</f>
        <v>0</v>
      </c>
      <c r="M1554">
        <f>[2]TongHop!M1554</f>
        <v>0</v>
      </c>
      <c r="N1554">
        <f>[2]TongHop!N1554</f>
        <v>0</v>
      </c>
    </row>
    <row r="1555" spans="1:14">
      <c r="A1555">
        <f>[2]TongHop!A1555</f>
        <v>0</v>
      </c>
      <c r="B1555">
        <f>[2]TongHop!B1555</f>
        <v>0</v>
      </c>
      <c r="C1555">
        <f>[2]TongHop!C1555</f>
        <v>0</v>
      </c>
      <c r="D1555">
        <f>[2]TongHop!D1555</f>
        <v>0</v>
      </c>
      <c r="E1555">
        <f>[2]TongHop!E1555</f>
        <v>0</v>
      </c>
      <c r="F1555">
        <f>[2]TongHop!F1555</f>
        <v>0</v>
      </c>
      <c r="G1555">
        <f>[2]TongHop!G1555</f>
        <v>0</v>
      </c>
      <c r="H1555">
        <f>[2]TongHop!H1555</f>
        <v>0</v>
      </c>
      <c r="I1555">
        <f>[2]TongHop!I1555</f>
        <v>0</v>
      </c>
      <c r="J1555">
        <f>[2]TongHop!J1555</f>
        <v>0</v>
      </c>
      <c r="K1555">
        <f>[2]TongHop!K1555</f>
        <v>0</v>
      </c>
      <c r="L1555">
        <f>[2]TongHop!L1555</f>
        <v>0</v>
      </c>
      <c r="M1555">
        <f>[2]TongHop!M1555</f>
        <v>0</v>
      </c>
      <c r="N1555">
        <f>[2]TongHop!N1555</f>
        <v>0</v>
      </c>
    </row>
    <row r="1556" spans="1:14">
      <c r="A1556">
        <f>[2]TongHop!A1556</f>
        <v>0</v>
      </c>
      <c r="B1556">
        <f>[2]TongHop!B1556</f>
        <v>0</v>
      </c>
      <c r="C1556">
        <f>[2]TongHop!C1556</f>
        <v>0</v>
      </c>
      <c r="D1556">
        <f>[2]TongHop!D1556</f>
        <v>0</v>
      </c>
      <c r="E1556">
        <f>[2]TongHop!E1556</f>
        <v>0</v>
      </c>
      <c r="F1556">
        <f>[2]TongHop!F1556</f>
        <v>0</v>
      </c>
      <c r="G1556">
        <f>[2]TongHop!G1556</f>
        <v>0</v>
      </c>
      <c r="H1556">
        <f>[2]TongHop!H1556</f>
        <v>0</v>
      </c>
      <c r="I1556">
        <f>[2]TongHop!I1556</f>
        <v>0</v>
      </c>
      <c r="J1556">
        <f>[2]TongHop!J1556</f>
        <v>0</v>
      </c>
      <c r="K1556">
        <f>[2]TongHop!K1556</f>
        <v>0</v>
      </c>
      <c r="L1556">
        <f>[2]TongHop!L1556</f>
        <v>0</v>
      </c>
      <c r="M1556">
        <f>[2]TongHop!M1556</f>
        <v>0</v>
      </c>
      <c r="N1556">
        <f>[2]TongHop!N1556</f>
        <v>0</v>
      </c>
    </row>
    <row r="1557" spans="1:14">
      <c r="A1557">
        <f>[2]TongHop!A1557</f>
        <v>0</v>
      </c>
      <c r="B1557">
        <f>[2]TongHop!B1557</f>
        <v>0</v>
      </c>
      <c r="C1557">
        <f>[2]TongHop!C1557</f>
        <v>0</v>
      </c>
      <c r="D1557">
        <f>[2]TongHop!D1557</f>
        <v>0</v>
      </c>
      <c r="E1557">
        <f>[2]TongHop!E1557</f>
        <v>0</v>
      </c>
      <c r="F1557">
        <f>[2]TongHop!F1557</f>
        <v>0</v>
      </c>
      <c r="G1557">
        <f>[2]TongHop!G1557</f>
        <v>0</v>
      </c>
      <c r="H1557">
        <f>[2]TongHop!H1557</f>
        <v>0</v>
      </c>
      <c r="I1557">
        <f>[2]TongHop!I1557</f>
        <v>0</v>
      </c>
      <c r="J1557">
        <f>[2]TongHop!J1557</f>
        <v>0</v>
      </c>
      <c r="K1557">
        <f>[2]TongHop!K1557</f>
        <v>0</v>
      </c>
      <c r="L1557">
        <f>[2]TongHop!L1557</f>
        <v>0</v>
      </c>
      <c r="M1557">
        <f>[2]TongHop!M1557</f>
        <v>0</v>
      </c>
      <c r="N1557">
        <f>[2]TongHop!N1557</f>
        <v>0</v>
      </c>
    </row>
    <row r="1558" spans="1:14">
      <c r="A1558">
        <f>[2]TongHop!A1558</f>
        <v>0</v>
      </c>
      <c r="B1558">
        <f>[2]TongHop!B1558</f>
        <v>0</v>
      </c>
      <c r="C1558">
        <f>[2]TongHop!C1558</f>
        <v>0</v>
      </c>
      <c r="D1558">
        <f>[2]TongHop!D1558</f>
        <v>0</v>
      </c>
      <c r="E1558">
        <f>[2]TongHop!E1558</f>
        <v>0</v>
      </c>
      <c r="F1558">
        <f>[2]TongHop!F1558</f>
        <v>0</v>
      </c>
      <c r="G1558">
        <f>[2]TongHop!G1558</f>
        <v>0</v>
      </c>
      <c r="H1558">
        <f>[2]TongHop!H1558</f>
        <v>0</v>
      </c>
      <c r="I1558">
        <f>[2]TongHop!I1558</f>
        <v>0</v>
      </c>
      <c r="J1558">
        <f>[2]TongHop!J1558</f>
        <v>0</v>
      </c>
      <c r="K1558">
        <f>[2]TongHop!K1558</f>
        <v>0</v>
      </c>
      <c r="L1558">
        <f>[2]TongHop!L1558</f>
        <v>0</v>
      </c>
      <c r="M1558">
        <f>[2]TongHop!M1558</f>
        <v>0</v>
      </c>
      <c r="N1558">
        <f>[2]TongHop!N1558</f>
        <v>0</v>
      </c>
    </row>
    <row r="1559" spans="1:14">
      <c r="A1559">
        <f>[2]TongHop!A1559</f>
        <v>0</v>
      </c>
      <c r="B1559">
        <f>[2]TongHop!B1559</f>
        <v>0</v>
      </c>
      <c r="C1559">
        <f>[2]TongHop!C1559</f>
        <v>0</v>
      </c>
      <c r="D1559">
        <f>[2]TongHop!D1559</f>
        <v>0</v>
      </c>
      <c r="E1559">
        <f>[2]TongHop!E1559</f>
        <v>0</v>
      </c>
      <c r="F1559">
        <f>[2]TongHop!F1559</f>
        <v>0</v>
      </c>
      <c r="G1559">
        <f>[2]TongHop!G1559</f>
        <v>0</v>
      </c>
      <c r="H1559">
        <f>[2]TongHop!H1559</f>
        <v>0</v>
      </c>
      <c r="I1559">
        <f>[2]TongHop!I1559</f>
        <v>0</v>
      </c>
      <c r="J1559">
        <f>[2]TongHop!J1559</f>
        <v>0</v>
      </c>
      <c r="K1559">
        <f>[2]TongHop!K1559</f>
        <v>0</v>
      </c>
      <c r="L1559">
        <f>[2]TongHop!L1559</f>
        <v>0</v>
      </c>
      <c r="M1559">
        <f>[2]TongHop!M1559</f>
        <v>0</v>
      </c>
      <c r="N1559">
        <f>[2]TongHop!N1559</f>
        <v>0</v>
      </c>
    </row>
    <row r="1560" spans="1:14">
      <c r="A1560">
        <f>[2]TongHop!A1560</f>
        <v>0</v>
      </c>
      <c r="B1560">
        <f>[2]TongHop!B1560</f>
        <v>0</v>
      </c>
      <c r="C1560">
        <f>[2]TongHop!C1560</f>
        <v>0</v>
      </c>
      <c r="D1560">
        <f>[2]TongHop!D1560</f>
        <v>0</v>
      </c>
      <c r="E1560">
        <f>[2]TongHop!E1560</f>
        <v>0</v>
      </c>
      <c r="F1560">
        <f>[2]TongHop!F1560</f>
        <v>0</v>
      </c>
      <c r="G1560">
        <f>[2]TongHop!G1560</f>
        <v>0</v>
      </c>
      <c r="H1560">
        <f>[2]TongHop!H1560</f>
        <v>0</v>
      </c>
      <c r="I1560">
        <f>[2]TongHop!I1560</f>
        <v>0</v>
      </c>
      <c r="J1560">
        <f>[2]TongHop!J1560</f>
        <v>0</v>
      </c>
      <c r="K1560">
        <f>[2]TongHop!K1560</f>
        <v>0</v>
      </c>
      <c r="L1560">
        <f>[2]TongHop!L1560</f>
        <v>0</v>
      </c>
      <c r="M1560">
        <f>[2]TongHop!M1560</f>
        <v>0</v>
      </c>
      <c r="N1560">
        <f>[2]TongHop!N1560</f>
        <v>0</v>
      </c>
    </row>
    <row r="1561" spans="1:14">
      <c r="A1561">
        <f>[2]TongHop!A1561</f>
        <v>0</v>
      </c>
      <c r="B1561">
        <f>[2]TongHop!B1561</f>
        <v>0</v>
      </c>
      <c r="C1561">
        <f>[2]TongHop!C1561</f>
        <v>0</v>
      </c>
      <c r="D1561">
        <f>[2]TongHop!D1561</f>
        <v>0</v>
      </c>
      <c r="E1561">
        <f>[2]TongHop!E1561</f>
        <v>0</v>
      </c>
      <c r="F1561">
        <f>[2]TongHop!F1561</f>
        <v>0</v>
      </c>
      <c r="G1561">
        <f>[2]TongHop!G1561</f>
        <v>0</v>
      </c>
      <c r="H1561">
        <f>[2]TongHop!H1561</f>
        <v>0</v>
      </c>
      <c r="I1561">
        <f>[2]TongHop!I1561</f>
        <v>0</v>
      </c>
      <c r="J1561">
        <f>[2]TongHop!J1561</f>
        <v>0</v>
      </c>
      <c r="K1561">
        <f>[2]TongHop!K1561</f>
        <v>0</v>
      </c>
      <c r="L1561">
        <f>[2]TongHop!L1561</f>
        <v>0</v>
      </c>
      <c r="M1561">
        <f>[2]TongHop!M1561</f>
        <v>0</v>
      </c>
      <c r="N1561">
        <f>[2]TongHop!N1561</f>
        <v>0</v>
      </c>
    </row>
    <row r="1562" spans="1:14">
      <c r="A1562">
        <f>[2]TongHop!A1562</f>
        <v>0</v>
      </c>
      <c r="B1562">
        <f>[2]TongHop!B1562</f>
        <v>0</v>
      </c>
      <c r="C1562">
        <f>[2]TongHop!C1562</f>
        <v>0</v>
      </c>
      <c r="D1562">
        <f>[2]TongHop!D1562</f>
        <v>0</v>
      </c>
      <c r="E1562">
        <f>[2]TongHop!E1562</f>
        <v>0</v>
      </c>
      <c r="F1562">
        <f>[2]TongHop!F1562</f>
        <v>0</v>
      </c>
      <c r="G1562">
        <f>[2]TongHop!G1562</f>
        <v>0</v>
      </c>
      <c r="H1562">
        <f>[2]TongHop!H1562</f>
        <v>0</v>
      </c>
      <c r="I1562">
        <f>[2]TongHop!I1562</f>
        <v>0</v>
      </c>
      <c r="J1562">
        <f>[2]TongHop!J1562</f>
        <v>0</v>
      </c>
      <c r="K1562">
        <f>[2]TongHop!K1562</f>
        <v>0</v>
      </c>
      <c r="L1562">
        <f>[2]TongHop!L1562</f>
        <v>0</v>
      </c>
      <c r="M1562">
        <f>[2]TongHop!M1562</f>
        <v>0</v>
      </c>
      <c r="N1562">
        <f>[2]TongHop!N1562</f>
        <v>0</v>
      </c>
    </row>
    <row r="1563" spans="1:14">
      <c r="A1563">
        <f>[2]TongHop!A1563</f>
        <v>0</v>
      </c>
      <c r="B1563">
        <f>[2]TongHop!B1563</f>
        <v>0</v>
      </c>
      <c r="C1563">
        <f>[2]TongHop!C1563</f>
        <v>0</v>
      </c>
      <c r="D1563">
        <f>[2]TongHop!D1563</f>
        <v>0</v>
      </c>
      <c r="E1563">
        <f>[2]TongHop!E1563</f>
        <v>0</v>
      </c>
      <c r="F1563">
        <f>[2]TongHop!F1563</f>
        <v>0</v>
      </c>
      <c r="G1563">
        <f>[2]TongHop!G1563</f>
        <v>0</v>
      </c>
      <c r="H1563">
        <f>[2]TongHop!H1563</f>
        <v>0</v>
      </c>
      <c r="I1563">
        <f>[2]TongHop!I1563</f>
        <v>0</v>
      </c>
      <c r="J1563">
        <f>[2]TongHop!J1563</f>
        <v>0</v>
      </c>
      <c r="K1563">
        <f>[2]TongHop!K1563</f>
        <v>0</v>
      </c>
      <c r="L1563">
        <f>[2]TongHop!L1563</f>
        <v>0</v>
      </c>
      <c r="M1563">
        <f>[2]TongHop!M1563</f>
        <v>0</v>
      </c>
      <c r="N1563">
        <f>[2]TongHop!N1563</f>
        <v>0</v>
      </c>
    </row>
    <row r="1564" spans="1:14">
      <c r="A1564">
        <f>[2]TongHop!A1564</f>
        <v>0</v>
      </c>
      <c r="B1564">
        <f>[2]TongHop!B1564</f>
        <v>0</v>
      </c>
      <c r="C1564">
        <f>[2]TongHop!C1564</f>
        <v>0</v>
      </c>
      <c r="D1564">
        <f>[2]TongHop!D1564</f>
        <v>0</v>
      </c>
      <c r="E1564">
        <f>[2]TongHop!E1564</f>
        <v>0</v>
      </c>
      <c r="F1564">
        <f>[2]TongHop!F1564</f>
        <v>0</v>
      </c>
      <c r="G1564">
        <f>[2]TongHop!G1564</f>
        <v>0</v>
      </c>
      <c r="H1564">
        <f>[2]TongHop!H1564</f>
        <v>0</v>
      </c>
      <c r="I1564">
        <f>[2]TongHop!I1564</f>
        <v>0</v>
      </c>
      <c r="J1564">
        <f>[2]TongHop!J1564</f>
        <v>0</v>
      </c>
      <c r="K1564">
        <f>[2]TongHop!K1564</f>
        <v>0</v>
      </c>
      <c r="L1564">
        <f>[2]TongHop!L1564</f>
        <v>0</v>
      </c>
      <c r="M1564">
        <f>[2]TongHop!M1564</f>
        <v>0</v>
      </c>
      <c r="N1564">
        <f>[2]TongHop!N1564</f>
        <v>0</v>
      </c>
    </row>
    <row r="1565" spans="1:14">
      <c r="A1565">
        <f>[2]TongHop!A1565</f>
        <v>0</v>
      </c>
      <c r="B1565">
        <f>[2]TongHop!B1565</f>
        <v>0</v>
      </c>
      <c r="C1565">
        <f>[2]TongHop!C1565</f>
        <v>0</v>
      </c>
      <c r="D1565">
        <f>[2]TongHop!D1565</f>
        <v>0</v>
      </c>
      <c r="E1565">
        <f>[2]TongHop!E1565</f>
        <v>0</v>
      </c>
      <c r="F1565">
        <f>[2]TongHop!F1565</f>
        <v>0</v>
      </c>
      <c r="G1565">
        <f>[2]TongHop!G1565</f>
        <v>0</v>
      </c>
      <c r="H1565">
        <f>[2]TongHop!H1565</f>
        <v>0</v>
      </c>
      <c r="I1565">
        <f>[2]TongHop!I1565</f>
        <v>0</v>
      </c>
      <c r="J1565">
        <f>[2]TongHop!J1565</f>
        <v>0</v>
      </c>
      <c r="K1565">
        <f>[2]TongHop!K1565</f>
        <v>0</v>
      </c>
      <c r="L1565">
        <f>[2]TongHop!L1565</f>
        <v>0</v>
      </c>
      <c r="M1565">
        <f>[2]TongHop!M1565</f>
        <v>0</v>
      </c>
      <c r="N1565">
        <f>[2]TongHop!N1565</f>
        <v>0</v>
      </c>
    </row>
    <row r="1566" spans="1:14">
      <c r="A1566">
        <f>[2]TongHop!A1566</f>
        <v>0</v>
      </c>
      <c r="B1566">
        <f>[2]TongHop!B1566</f>
        <v>0</v>
      </c>
      <c r="C1566">
        <f>[2]TongHop!C1566</f>
        <v>0</v>
      </c>
      <c r="D1566">
        <f>[2]TongHop!D1566</f>
        <v>0</v>
      </c>
      <c r="E1566">
        <f>[2]TongHop!E1566</f>
        <v>0</v>
      </c>
      <c r="F1566">
        <f>[2]TongHop!F1566</f>
        <v>0</v>
      </c>
      <c r="G1566">
        <f>[2]TongHop!G1566</f>
        <v>0</v>
      </c>
      <c r="H1566">
        <f>[2]TongHop!H1566</f>
        <v>0</v>
      </c>
      <c r="I1566">
        <f>[2]TongHop!I1566</f>
        <v>0</v>
      </c>
      <c r="J1566">
        <f>[2]TongHop!J1566</f>
        <v>0</v>
      </c>
      <c r="K1566">
        <f>[2]TongHop!K1566</f>
        <v>0</v>
      </c>
      <c r="L1566">
        <f>[2]TongHop!L1566</f>
        <v>0</v>
      </c>
      <c r="M1566">
        <f>[2]TongHop!M1566</f>
        <v>0</v>
      </c>
      <c r="N1566">
        <f>[2]TongHop!N1566</f>
        <v>0</v>
      </c>
    </row>
    <row r="1567" spans="1:14">
      <c r="A1567">
        <f>[2]TongHop!A1567</f>
        <v>0</v>
      </c>
      <c r="B1567">
        <f>[2]TongHop!B1567</f>
        <v>0</v>
      </c>
      <c r="C1567">
        <f>[2]TongHop!C1567</f>
        <v>0</v>
      </c>
      <c r="D1567">
        <f>[2]TongHop!D1567</f>
        <v>0</v>
      </c>
      <c r="E1567">
        <f>[2]TongHop!E1567</f>
        <v>0</v>
      </c>
      <c r="F1567">
        <f>[2]TongHop!F1567</f>
        <v>0</v>
      </c>
      <c r="G1567">
        <f>[2]TongHop!G1567</f>
        <v>0</v>
      </c>
      <c r="H1567">
        <f>[2]TongHop!H1567</f>
        <v>0</v>
      </c>
      <c r="I1567">
        <f>[2]TongHop!I1567</f>
        <v>0</v>
      </c>
      <c r="J1567">
        <f>[2]TongHop!J1567</f>
        <v>0</v>
      </c>
      <c r="K1567">
        <f>[2]TongHop!K1567</f>
        <v>0</v>
      </c>
      <c r="L1567">
        <f>[2]TongHop!L1567</f>
        <v>0</v>
      </c>
      <c r="M1567">
        <f>[2]TongHop!M1567</f>
        <v>0</v>
      </c>
      <c r="N1567">
        <f>[2]TongHop!N1567</f>
        <v>0</v>
      </c>
    </row>
    <row r="1568" spans="1:14">
      <c r="A1568">
        <f>[2]TongHop!A1568</f>
        <v>0</v>
      </c>
      <c r="B1568">
        <f>[2]TongHop!B1568</f>
        <v>0</v>
      </c>
      <c r="C1568">
        <f>[2]TongHop!C1568</f>
        <v>0</v>
      </c>
      <c r="D1568">
        <f>[2]TongHop!D1568</f>
        <v>0</v>
      </c>
      <c r="E1568">
        <f>[2]TongHop!E1568</f>
        <v>0</v>
      </c>
      <c r="F1568">
        <f>[2]TongHop!F1568</f>
        <v>0</v>
      </c>
      <c r="G1568">
        <f>[2]TongHop!G1568</f>
        <v>0</v>
      </c>
      <c r="H1568">
        <f>[2]TongHop!H1568</f>
        <v>0</v>
      </c>
      <c r="I1568">
        <f>[2]TongHop!I1568</f>
        <v>0</v>
      </c>
      <c r="J1568">
        <f>[2]TongHop!J1568</f>
        <v>0</v>
      </c>
      <c r="K1568">
        <f>[2]TongHop!K1568</f>
        <v>0</v>
      </c>
      <c r="L1568">
        <f>[2]TongHop!L1568</f>
        <v>0</v>
      </c>
      <c r="M1568">
        <f>[2]TongHop!M1568</f>
        <v>0</v>
      </c>
      <c r="N1568">
        <f>[2]TongHop!N1568</f>
        <v>0</v>
      </c>
    </row>
    <row r="1569" spans="1:14">
      <c r="A1569">
        <f>[2]TongHop!A1569</f>
        <v>0</v>
      </c>
      <c r="B1569">
        <f>[2]TongHop!B1569</f>
        <v>0</v>
      </c>
      <c r="C1569">
        <f>[2]TongHop!C1569</f>
        <v>0</v>
      </c>
      <c r="D1569">
        <f>[2]TongHop!D1569</f>
        <v>0</v>
      </c>
      <c r="E1569">
        <f>[2]TongHop!E1569</f>
        <v>0</v>
      </c>
      <c r="F1569">
        <f>[2]TongHop!F1569</f>
        <v>0</v>
      </c>
      <c r="G1569">
        <f>[2]TongHop!G1569</f>
        <v>0</v>
      </c>
      <c r="H1569">
        <f>[2]TongHop!H1569</f>
        <v>0</v>
      </c>
      <c r="I1569">
        <f>[2]TongHop!I1569</f>
        <v>0</v>
      </c>
      <c r="J1569">
        <f>[2]TongHop!J1569</f>
        <v>0</v>
      </c>
      <c r="K1569">
        <f>[2]TongHop!K1569</f>
        <v>0</v>
      </c>
      <c r="L1569">
        <f>[2]TongHop!L1569</f>
        <v>0</v>
      </c>
      <c r="M1569">
        <f>[2]TongHop!M1569</f>
        <v>0</v>
      </c>
      <c r="N1569">
        <f>[2]TongHop!N1569</f>
        <v>0</v>
      </c>
    </row>
    <row r="1570" spans="1:14">
      <c r="A1570">
        <f>[2]TongHop!A1570</f>
        <v>0</v>
      </c>
      <c r="B1570">
        <f>[2]TongHop!B1570</f>
        <v>0</v>
      </c>
      <c r="C1570">
        <f>[2]TongHop!C1570</f>
        <v>0</v>
      </c>
      <c r="D1570">
        <f>[2]TongHop!D1570</f>
        <v>0</v>
      </c>
      <c r="E1570">
        <f>[2]TongHop!E1570</f>
        <v>0</v>
      </c>
      <c r="F1570">
        <f>[2]TongHop!F1570</f>
        <v>0</v>
      </c>
      <c r="G1570">
        <f>[2]TongHop!G1570</f>
        <v>0</v>
      </c>
      <c r="H1570">
        <f>[2]TongHop!H1570</f>
        <v>0</v>
      </c>
      <c r="I1570">
        <f>[2]TongHop!I1570</f>
        <v>0</v>
      </c>
      <c r="J1570">
        <f>[2]TongHop!J1570</f>
        <v>0</v>
      </c>
      <c r="K1570">
        <f>[2]TongHop!K1570</f>
        <v>0</v>
      </c>
      <c r="L1570">
        <f>[2]TongHop!L1570</f>
        <v>0</v>
      </c>
      <c r="M1570">
        <f>[2]TongHop!M1570</f>
        <v>0</v>
      </c>
      <c r="N1570">
        <f>[2]TongHop!N1570</f>
        <v>0</v>
      </c>
    </row>
    <row r="1571" spans="1:14">
      <c r="A1571">
        <f>[2]TongHop!A1571</f>
        <v>0</v>
      </c>
      <c r="B1571">
        <f>[2]TongHop!B1571</f>
        <v>0</v>
      </c>
      <c r="C1571">
        <f>[2]TongHop!C1571</f>
        <v>0</v>
      </c>
      <c r="D1571">
        <f>[2]TongHop!D1571</f>
        <v>0</v>
      </c>
      <c r="E1571">
        <f>[2]TongHop!E1571</f>
        <v>0</v>
      </c>
      <c r="F1571">
        <f>[2]TongHop!F1571</f>
        <v>0</v>
      </c>
      <c r="G1571">
        <f>[2]TongHop!G1571</f>
        <v>0</v>
      </c>
      <c r="H1571">
        <f>[2]TongHop!H1571</f>
        <v>0</v>
      </c>
      <c r="I1571">
        <f>[2]TongHop!I1571</f>
        <v>0</v>
      </c>
      <c r="J1571">
        <f>[2]TongHop!J1571</f>
        <v>0</v>
      </c>
      <c r="K1571">
        <f>[2]TongHop!K1571</f>
        <v>0</v>
      </c>
      <c r="L1571">
        <f>[2]TongHop!L1571</f>
        <v>0</v>
      </c>
      <c r="M1571">
        <f>[2]TongHop!M1571</f>
        <v>0</v>
      </c>
      <c r="N1571">
        <f>[2]TongHop!N1571</f>
        <v>0</v>
      </c>
    </row>
    <row r="1572" spans="1:14">
      <c r="A1572">
        <f>[2]TongHop!A1572</f>
        <v>0</v>
      </c>
      <c r="B1572">
        <f>[2]TongHop!B1572</f>
        <v>0</v>
      </c>
      <c r="C1572">
        <f>[2]TongHop!C1572</f>
        <v>0</v>
      </c>
      <c r="D1572">
        <f>[2]TongHop!D1572</f>
        <v>0</v>
      </c>
      <c r="E1572">
        <f>[2]TongHop!E1572</f>
        <v>0</v>
      </c>
      <c r="F1572">
        <f>[2]TongHop!F1572</f>
        <v>0</v>
      </c>
      <c r="G1572">
        <f>[2]TongHop!G1572</f>
        <v>0</v>
      </c>
      <c r="H1572">
        <f>[2]TongHop!H1572</f>
        <v>0</v>
      </c>
      <c r="I1572">
        <f>[2]TongHop!I1572</f>
        <v>0</v>
      </c>
      <c r="J1572">
        <f>[2]TongHop!J1572</f>
        <v>0</v>
      </c>
      <c r="K1572">
        <f>[2]TongHop!K1572</f>
        <v>0</v>
      </c>
      <c r="L1572">
        <f>[2]TongHop!L1572</f>
        <v>0</v>
      </c>
      <c r="M1572">
        <f>[2]TongHop!M1572</f>
        <v>0</v>
      </c>
      <c r="N1572">
        <f>[2]TongHop!N1572</f>
        <v>0</v>
      </c>
    </row>
    <row r="1573" spans="1:14">
      <c r="A1573">
        <f>[2]TongHop!A1573</f>
        <v>0</v>
      </c>
      <c r="B1573">
        <f>[2]TongHop!B1573</f>
        <v>0</v>
      </c>
      <c r="C1573">
        <f>[2]TongHop!C1573</f>
        <v>0</v>
      </c>
      <c r="D1573">
        <f>[2]TongHop!D1573</f>
        <v>0</v>
      </c>
      <c r="E1573">
        <f>[2]TongHop!E1573</f>
        <v>0</v>
      </c>
      <c r="F1573">
        <f>[2]TongHop!F1573</f>
        <v>0</v>
      </c>
      <c r="G1573">
        <f>[2]TongHop!G1573</f>
        <v>0</v>
      </c>
      <c r="H1573">
        <f>[2]TongHop!H1573</f>
        <v>0</v>
      </c>
      <c r="I1573">
        <f>[2]TongHop!I1573</f>
        <v>0</v>
      </c>
      <c r="J1573">
        <f>[2]TongHop!J1573</f>
        <v>0</v>
      </c>
      <c r="K1573">
        <f>[2]TongHop!K1573</f>
        <v>0</v>
      </c>
      <c r="L1573">
        <f>[2]TongHop!L1573</f>
        <v>0</v>
      </c>
      <c r="M1573">
        <f>[2]TongHop!M1573</f>
        <v>0</v>
      </c>
      <c r="N1573">
        <f>[2]TongHop!N1573</f>
        <v>0</v>
      </c>
    </row>
    <row r="1574" spans="1:14">
      <c r="A1574">
        <f>[2]TongHop!A1574</f>
        <v>0</v>
      </c>
      <c r="B1574">
        <f>[2]TongHop!B1574</f>
        <v>0</v>
      </c>
      <c r="C1574">
        <f>[2]TongHop!C1574</f>
        <v>0</v>
      </c>
      <c r="D1574">
        <f>[2]TongHop!D1574</f>
        <v>0</v>
      </c>
      <c r="E1574">
        <f>[2]TongHop!E1574</f>
        <v>0</v>
      </c>
      <c r="F1574">
        <f>[2]TongHop!F1574</f>
        <v>0</v>
      </c>
      <c r="G1574">
        <f>[2]TongHop!G1574</f>
        <v>0</v>
      </c>
      <c r="H1574">
        <f>[2]TongHop!H1574</f>
        <v>0</v>
      </c>
      <c r="I1574">
        <f>[2]TongHop!I1574</f>
        <v>0</v>
      </c>
      <c r="J1574">
        <f>[2]TongHop!J1574</f>
        <v>0</v>
      </c>
      <c r="K1574">
        <f>[2]TongHop!K1574</f>
        <v>0</v>
      </c>
      <c r="L1574">
        <f>[2]TongHop!L1574</f>
        <v>0</v>
      </c>
      <c r="M1574">
        <f>[2]TongHop!M1574</f>
        <v>0</v>
      </c>
      <c r="N1574">
        <f>[2]TongHop!N1574</f>
        <v>0</v>
      </c>
    </row>
    <row r="1575" spans="1:14">
      <c r="A1575">
        <f>[2]TongHop!A1575</f>
        <v>0</v>
      </c>
      <c r="B1575">
        <f>[2]TongHop!B1575</f>
        <v>0</v>
      </c>
      <c r="C1575">
        <f>[2]TongHop!C1575</f>
        <v>0</v>
      </c>
      <c r="D1575">
        <f>[2]TongHop!D1575</f>
        <v>0</v>
      </c>
      <c r="E1575">
        <f>[2]TongHop!E1575</f>
        <v>0</v>
      </c>
      <c r="F1575">
        <f>[2]TongHop!F1575</f>
        <v>0</v>
      </c>
      <c r="G1575">
        <f>[2]TongHop!G1575</f>
        <v>0</v>
      </c>
      <c r="H1575">
        <f>[2]TongHop!H1575</f>
        <v>0</v>
      </c>
      <c r="I1575">
        <f>[2]TongHop!I1575</f>
        <v>0</v>
      </c>
      <c r="J1575">
        <f>[2]TongHop!J1575</f>
        <v>0</v>
      </c>
      <c r="K1575">
        <f>[2]TongHop!K1575</f>
        <v>0</v>
      </c>
      <c r="L1575">
        <f>[2]TongHop!L1575</f>
        <v>0</v>
      </c>
      <c r="M1575">
        <f>[2]TongHop!M1575</f>
        <v>0</v>
      </c>
      <c r="N1575">
        <f>[2]TongHop!N1575</f>
        <v>0</v>
      </c>
    </row>
    <row r="1576" spans="1:14">
      <c r="A1576">
        <f>[2]TongHop!A1576</f>
        <v>0</v>
      </c>
      <c r="B1576">
        <f>[2]TongHop!B1576</f>
        <v>0</v>
      </c>
      <c r="C1576">
        <f>[2]TongHop!C1576</f>
        <v>0</v>
      </c>
      <c r="D1576">
        <f>[2]TongHop!D1576</f>
        <v>0</v>
      </c>
      <c r="E1576">
        <f>[2]TongHop!E1576</f>
        <v>0</v>
      </c>
      <c r="F1576">
        <f>[2]TongHop!F1576</f>
        <v>0</v>
      </c>
      <c r="G1576">
        <f>[2]TongHop!G1576</f>
        <v>0</v>
      </c>
      <c r="H1576">
        <f>[2]TongHop!H1576</f>
        <v>0</v>
      </c>
      <c r="I1576">
        <f>[2]TongHop!I1576</f>
        <v>0</v>
      </c>
      <c r="J1576">
        <f>[2]TongHop!J1576</f>
        <v>0</v>
      </c>
      <c r="K1576">
        <f>[2]TongHop!K1576</f>
        <v>0</v>
      </c>
      <c r="L1576">
        <f>[2]TongHop!L1576</f>
        <v>0</v>
      </c>
      <c r="M1576">
        <f>[2]TongHop!M1576</f>
        <v>0</v>
      </c>
      <c r="N1576">
        <f>[2]TongHop!N1576</f>
        <v>0</v>
      </c>
    </row>
    <row r="1577" spans="1:14">
      <c r="A1577">
        <f>[2]TongHop!A1577</f>
        <v>0</v>
      </c>
      <c r="B1577">
        <f>[2]TongHop!B1577</f>
        <v>0</v>
      </c>
      <c r="C1577">
        <f>[2]TongHop!C1577</f>
        <v>0</v>
      </c>
      <c r="D1577">
        <f>[2]TongHop!D1577</f>
        <v>0</v>
      </c>
      <c r="E1577">
        <f>[2]TongHop!E1577</f>
        <v>0</v>
      </c>
      <c r="F1577">
        <f>[2]TongHop!F1577</f>
        <v>0</v>
      </c>
      <c r="G1577">
        <f>[2]TongHop!G1577</f>
        <v>0</v>
      </c>
      <c r="H1577">
        <f>[2]TongHop!H1577</f>
        <v>0</v>
      </c>
      <c r="I1577">
        <f>[2]TongHop!I1577</f>
        <v>0</v>
      </c>
      <c r="J1577">
        <f>[2]TongHop!J1577</f>
        <v>0</v>
      </c>
      <c r="K1577">
        <f>[2]TongHop!K1577</f>
        <v>0</v>
      </c>
      <c r="L1577">
        <f>[2]TongHop!L1577</f>
        <v>0</v>
      </c>
      <c r="M1577">
        <f>[2]TongHop!M1577</f>
        <v>0</v>
      </c>
      <c r="N1577">
        <f>[2]TongHop!N1577</f>
        <v>0</v>
      </c>
    </row>
    <row r="1578" spans="1:14">
      <c r="A1578">
        <f>[2]TongHop!A1578</f>
        <v>0</v>
      </c>
      <c r="B1578">
        <f>[2]TongHop!B1578</f>
        <v>0</v>
      </c>
      <c r="C1578">
        <f>[2]TongHop!C1578</f>
        <v>0</v>
      </c>
      <c r="D1578">
        <f>[2]TongHop!D1578</f>
        <v>0</v>
      </c>
      <c r="E1578">
        <f>[2]TongHop!E1578</f>
        <v>0</v>
      </c>
      <c r="F1578">
        <f>[2]TongHop!F1578</f>
        <v>0</v>
      </c>
      <c r="G1578">
        <f>[2]TongHop!G1578</f>
        <v>0</v>
      </c>
      <c r="H1578">
        <f>[2]TongHop!H1578</f>
        <v>0</v>
      </c>
      <c r="I1578">
        <f>[2]TongHop!I1578</f>
        <v>0</v>
      </c>
      <c r="J1578">
        <f>[2]TongHop!J1578</f>
        <v>0</v>
      </c>
      <c r="K1578">
        <f>[2]TongHop!K1578</f>
        <v>0</v>
      </c>
      <c r="L1578">
        <f>[2]TongHop!L1578</f>
        <v>0</v>
      </c>
      <c r="M1578">
        <f>[2]TongHop!M1578</f>
        <v>0</v>
      </c>
      <c r="N1578">
        <f>[2]TongHop!N1578</f>
        <v>0</v>
      </c>
    </row>
    <row r="1579" spans="1:14">
      <c r="A1579">
        <f>[2]TongHop!A1579</f>
        <v>0</v>
      </c>
      <c r="B1579">
        <f>[2]TongHop!B1579</f>
        <v>0</v>
      </c>
      <c r="C1579">
        <f>[2]TongHop!C1579</f>
        <v>0</v>
      </c>
      <c r="D1579">
        <f>[2]TongHop!D1579</f>
        <v>0</v>
      </c>
      <c r="E1579">
        <f>[2]TongHop!E1579</f>
        <v>0</v>
      </c>
      <c r="F1579">
        <f>[2]TongHop!F1579</f>
        <v>0</v>
      </c>
      <c r="G1579">
        <f>[2]TongHop!G1579</f>
        <v>0</v>
      </c>
      <c r="H1579">
        <f>[2]TongHop!H1579</f>
        <v>0</v>
      </c>
      <c r="I1579">
        <f>[2]TongHop!I1579</f>
        <v>0</v>
      </c>
      <c r="J1579">
        <f>[2]TongHop!J1579</f>
        <v>0</v>
      </c>
      <c r="K1579">
        <f>[2]TongHop!K1579</f>
        <v>0</v>
      </c>
      <c r="L1579">
        <f>[2]TongHop!L1579</f>
        <v>0</v>
      </c>
      <c r="M1579">
        <f>[2]TongHop!M1579</f>
        <v>0</v>
      </c>
      <c r="N1579">
        <f>[2]TongHop!N1579</f>
        <v>0</v>
      </c>
    </row>
    <row r="1580" spans="1:14">
      <c r="A1580">
        <f>[2]TongHop!A1580</f>
        <v>0</v>
      </c>
      <c r="B1580">
        <f>[2]TongHop!B1580</f>
        <v>0</v>
      </c>
      <c r="C1580">
        <f>[2]TongHop!C1580</f>
        <v>0</v>
      </c>
      <c r="D1580">
        <f>[2]TongHop!D1580</f>
        <v>0</v>
      </c>
      <c r="E1580">
        <f>[2]TongHop!E1580</f>
        <v>0</v>
      </c>
      <c r="F1580">
        <f>[2]TongHop!F1580</f>
        <v>0</v>
      </c>
      <c r="G1580">
        <f>[2]TongHop!G1580</f>
        <v>0</v>
      </c>
      <c r="H1580">
        <f>[2]TongHop!H1580</f>
        <v>0</v>
      </c>
      <c r="I1580">
        <f>[2]TongHop!I1580</f>
        <v>0</v>
      </c>
      <c r="J1580">
        <f>[2]TongHop!J1580</f>
        <v>0</v>
      </c>
      <c r="K1580">
        <f>[2]TongHop!K1580</f>
        <v>0</v>
      </c>
      <c r="L1580">
        <f>[2]TongHop!L1580</f>
        <v>0</v>
      </c>
      <c r="M1580">
        <f>[2]TongHop!M1580</f>
        <v>0</v>
      </c>
      <c r="N1580">
        <f>[2]TongHop!N1580</f>
        <v>0</v>
      </c>
    </row>
    <row r="1581" spans="1:14">
      <c r="A1581">
        <f>[2]TongHop!A1581</f>
        <v>0</v>
      </c>
      <c r="B1581">
        <f>[2]TongHop!B1581</f>
        <v>0</v>
      </c>
      <c r="C1581">
        <f>[2]TongHop!C1581</f>
        <v>0</v>
      </c>
      <c r="D1581">
        <f>[2]TongHop!D1581</f>
        <v>0</v>
      </c>
      <c r="E1581">
        <f>[2]TongHop!E1581</f>
        <v>0</v>
      </c>
      <c r="F1581">
        <f>[2]TongHop!F1581</f>
        <v>0</v>
      </c>
      <c r="G1581">
        <f>[2]TongHop!G1581</f>
        <v>0</v>
      </c>
      <c r="H1581">
        <f>[2]TongHop!H1581</f>
        <v>0</v>
      </c>
      <c r="I1581">
        <f>[2]TongHop!I1581</f>
        <v>0</v>
      </c>
      <c r="J1581">
        <f>[2]TongHop!J1581</f>
        <v>0</v>
      </c>
      <c r="K1581">
        <f>[2]TongHop!K1581</f>
        <v>0</v>
      </c>
      <c r="L1581">
        <f>[2]TongHop!L1581</f>
        <v>0</v>
      </c>
      <c r="M1581">
        <f>[2]TongHop!M1581</f>
        <v>0</v>
      </c>
      <c r="N1581">
        <f>[2]TongHop!N1581</f>
        <v>0</v>
      </c>
    </row>
    <row r="1582" spans="1:14">
      <c r="A1582">
        <f>[2]TongHop!A1582</f>
        <v>0</v>
      </c>
      <c r="B1582">
        <f>[2]TongHop!B1582</f>
        <v>0</v>
      </c>
      <c r="C1582">
        <f>[2]TongHop!C1582</f>
        <v>0</v>
      </c>
      <c r="D1582">
        <f>[2]TongHop!D1582</f>
        <v>0</v>
      </c>
      <c r="E1582">
        <f>[2]TongHop!E1582</f>
        <v>0</v>
      </c>
      <c r="F1582">
        <f>[2]TongHop!F1582</f>
        <v>0</v>
      </c>
      <c r="G1582">
        <f>[2]TongHop!G1582</f>
        <v>0</v>
      </c>
      <c r="H1582">
        <f>[2]TongHop!H1582</f>
        <v>0</v>
      </c>
      <c r="I1582">
        <f>[2]TongHop!I1582</f>
        <v>0</v>
      </c>
      <c r="J1582">
        <f>[2]TongHop!J1582</f>
        <v>0</v>
      </c>
      <c r="K1582">
        <f>[2]TongHop!K1582</f>
        <v>0</v>
      </c>
      <c r="L1582">
        <f>[2]TongHop!L1582</f>
        <v>0</v>
      </c>
      <c r="M1582">
        <f>[2]TongHop!M1582</f>
        <v>0</v>
      </c>
      <c r="N1582">
        <f>[2]TongHop!N1582</f>
        <v>0</v>
      </c>
    </row>
    <row r="1583" spans="1:14">
      <c r="A1583">
        <f>[2]TongHop!A1583</f>
        <v>0</v>
      </c>
      <c r="B1583">
        <f>[2]TongHop!B1583</f>
        <v>0</v>
      </c>
      <c r="C1583">
        <f>[2]TongHop!C1583</f>
        <v>0</v>
      </c>
      <c r="D1583">
        <f>[2]TongHop!D1583</f>
        <v>0</v>
      </c>
      <c r="E1583">
        <f>[2]TongHop!E1583</f>
        <v>0</v>
      </c>
      <c r="F1583">
        <f>[2]TongHop!F1583</f>
        <v>0</v>
      </c>
      <c r="G1583">
        <f>[2]TongHop!G1583</f>
        <v>0</v>
      </c>
      <c r="H1583">
        <f>[2]TongHop!H1583</f>
        <v>0</v>
      </c>
      <c r="I1583">
        <f>[2]TongHop!I1583</f>
        <v>0</v>
      </c>
      <c r="J1583">
        <f>[2]TongHop!J1583</f>
        <v>0</v>
      </c>
      <c r="K1583">
        <f>[2]TongHop!K1583</f>
        <v>0</v>
      </c>
      <c r="L1583">
        <f>[2]TongHop!L1583</f>
        <v>0</v>
      </c>
      <c r="M1583">
        <f>[2]TongHop!M1583</f>
        <v>0</v>
      </c>
      <c r="N1583">
        <f>[2]TongHop!N1583</f>
        <v>0</v>
      </c>
    </row>
    <row r="1584" spans="1:14">
      <c r="A1584">
        <f>[2]TongHop!A1584</f>
        <v>0</v>
      </c>
      <c r="B1584">
        <f>[2]TongHop!B1584</f>
        <v>0</v>
      </c>
      <c r="C1584">
        <f>[2]TongHop!C1584</f>
        <v>0</v>
      </c>
      <c r="D1584">
        <f>[2]TongHop!D1584</f>
        <v>0</v>
      </c>
      <c r="E1584">
        <f>[2]TongHop!E1584</f>
        <v>0</v>
      </c>
      <c r="F1584">
        <f>[2]TongHop!F1584</f>
        <v>0</v>
      </c>
      <c r="G1584">
        <f>[2]TongHop!G1584</f>
        <v>0</v>
      </c>
      <c r="H1584">
        <f>[2]TongHop!H1584</f>
        <v>0</v>
      </c>
      <c r="I1584">
        <f>[2]TongHop!I1584</f>
        <v>0</v>
      </c>
      <c r="J1584">
        <f>[2]TongHop!J1584</f>
        <v>0</v>
      </c>
      <c r="K1584">
        <f>[2]TongHop!K1584</f>
        <v>0</v>
      </c>
      <c r="L1584">
        <f>[2]TongHop!L1584</f>
        <v>0</v>
      </c>
      <c r="M1584">
        <f>[2]TongHop!M1584</f>
        <v>0</v>
      </c>
      <c r="N1584">
        <f>[2]TongHop!N1584</f>
        <v>0</v>
      </c>
    </row>
    <row r="1585" spans="1:14">
      <c r="A1585">
        <f>[2]TongHop!A1585</f>
        <v>0</v>
      </c>
      <c r="B1585">
        <f>[2]TongHop!B1585</f>
        <v>0</v>
      </c>
      <c r="C1585">
        <f>[2]TongHop!C1585</f>
        <v>0</v>
      </c>
      <c r="D1585">
        <f>[2]TongHop!D1585</f>
        <v>0</v>
      </c>
      <c r="E1585">
        <f>[2]TongHop!E1585</f>
        <v>0</v>
      </c>
      <c r="F1585">
        <f>[2]TongHop!F1585</f>
        <v>0</v>
      </c>
      <c r="G1585">
        <f>[2]TongHop!G1585</f>
        <v>0</v>
      </c>
      <c r="H1585">
        <f>[2]TongHop!H1585</f>
        <v>0</v>
      </c>
      <c r="I1585">
        <f>[2]TongHop!I1585</f>
        <v>0</v>
      </c>
      <c r="J1585">
        <f>[2]TongHop!J1585</f>
        <v>0</v>
      </c>
      <c r="K1585">
        <f>[2]TongHop!K1585</f>
        <v>0</v>
      </c>
      <c r="L1585">
        <f>[2]TongHop!L1585</f>
        <v>0</v>
      </c>
      <c r="M1585">
        <f>[2]TongHop!M1585</f>
        <v>0</v>
      </c>
      <c r="N1585">
        <f>[2]TongHop!N1585</f>
        <v>0</v>
      </c>
    </row>
    <row r="1586" spans="1:14">
      <c r="A1586">
        <f>[2]TongHop!A1586</f>
        <v>0</v>
      </c>
      <c r="B1586">
        <f>[2]TongHop!B1586</f>
        <v>0</v>
      </c>
      <c r="C1586">
        <f>[2]TongHop!C1586</f>
        <v>0</v>
      </c>
      <c r="D1586">
        <f>[2]TongHop!D1586</f>
        <v>0</v>
      </c>
      <c r="E1586">
        <f>[2]TongHop!E1586</f>
        <v>0</v>
      </c>
      <c r="F1586">
        <f>[2]TongHop!F1586</f>
        <v>0</v>
      </c>
      <c r="G1586">
        <f>[2]TongHop!G1586</f>
        <v>0</v>
      </c>
      <c r="H1586">
        <f>[2]TongHop!H1586</f>
        <v>0</v>
      </c>
      <c r="I1586">
        <f>[2]TongHop!I1586</f>
        <v>0</v>
      </c>
      <c r="J1586">
        <f>[2]TongHop!J1586</f>
        <v>0</v>
      </c>
      <c r="K1586">
        <f>[2]TongHop!K1586</f>
        <v>0</v>
      </c>
      <c r="L1586">
        <f>[2]TongHop!L1586</f>
        <v>0</v>
      </c>
      <c r="M1586">
        <f>[2]TongHop!M1586</f>
        <v>0</v>
      </c>
      <c r="N1586">
        <f>[2]TongHop!N1586</f>
        <v>0</v>
      </c>
    </row>
    <row r="1587" spans="1:14">
      <c r="A1587">
        <f>[2]TongHop!A1587</f>
        <v>0</v>
      </c>
      <c r="B1587">
        <f>[2]TongHop!B1587</f>
        <v>0</v>
      </c>
      <c r="C1587">
        <f>[2]TongHop!C1587</f>
        <v>0</v>
      </c>
      <c r="D1587">
        <f>[2]TongHop!D1587</f>
        <v>0</v>
      </c>
      <c r="E1587">
        <f>[2]TongHop!E1587</f>
        <v>0</v>
      </c>
      <c r="F1587">
        <f>[2]TongHop!F1587</f>
        <v>0</v>
      </c>
      <c r="G1587">
        <f>[2]TongHop!G1587</f>
        <v>0</v>
      </c>
      <c r="H1587">
        <f>[2]TongHop!H1587</f>
        <v>0</v>
      </c>
      <c r="I1587">
        <f>[2]TongHop!I1587</f>
        <v>0</v>
      </c>
      <c r="J1587">
        <f>[2]TongHop!J1587</f>
        <v>0</v>
      </c>
      <c r="K1587">
        <f>[2]TongHop!K1587</f>
        <v>0</v>
      </c>
      <c r="L1587">
        <f>[2]TongHop!L1587</f>
        <v>0</v>
      </c>
      <c r="M1587">
        <f>[2]TongHop!M1587</f>
        <v>0</v>
      </c>
      <c r="N1587">
        <f>[2]TongHop!N1587</f>
        <v>0</v>
      </c>
    </row>
    <row r="1588" spans="1:14">
      <c r="A1588">
        <f>[2]TongHop!A1588</f>
        <v>0</v>
      </c>
      <c r="B1588">
        <f>[2]TongHop!B1588</f>
        <v>0</v>
      </c>
      <c r="C1588">
        <f>[2]TongHop!C1588</f>
        <v>0</v>
      </c>
      <c r="D1588">
        <f>[2]TongHop!D1588</f>
        <v>0</v>
      </c>
      <c r="E1588">
        <f>[2]TongHop!E1588</f>
        <v>0</v>
      </c>
      <c r="F1588">
        <f>[2]TongHop!F1588</f>
        <v>0</v>
      </c>
      <c r="G1588">
        <f>[2]TongHop!G1588</f>
        <v>0</v>
      </c>
      <c r="H1588">
        <f>[2]TongHop!H1588</f>
        <v>0</v>
      </c>
      <c r="I1588">
        <f>[2]TongHop!I1588</f>
        <v>0</v>
      </c>
      <c r="J1588">
        <f>[2]TongHop!J1588</f>
        <v>0</v>
      </c>
      <c r="K1588">
        <f>[2]TongHop!K1588</f>
        <v>0</v>
      </c>
      <c r="L1588">
        <f>[2]TongHop!L1588</f>
        <v>0</v>
      </c>
      <c r="M1588">
        <f>[2]TongHop!M1588</f>
        <v>0</v>
      </c>
      <c r="N1588">
        <f>[2]TongHop!N1588</f>
        <v>0</v>
      </c>
    </row>
    <row r="1589" spans="1:14">
      <c r="A1589">
        <f>[2]TongHop!A1589</f>
        <v>0</v>
      </c>
      <c r="B1589">
        <f>[2]TongHop!B1589</f>
        <v>0</v>
      </c>
      <c r="C1589">
        <f>[2]TongHop!C1589</f>
        <v>0</v>
      </c>
      <c r="D1589">
        <f>[2]TongHop!D1589</f>
        <v>0</v>
      </c>
      <c r="E1589">
        <f>[2]TongHop!E1589</f>
        <v>0</v>
      </c>
      <c r="F1589">
        <f>[2]TongHop!F1589</f>
        <v>0</v>
      </c>
      <c r="G1589">
        <f>[2]TongHop!G1589</f>
        <v>0</v>
      </c>
      <c r="H1589">
        <f>[2]TongHop!H1589</f>
        <v>0</v>
      </c>
      <c r="I1589">
        <f>[2]TongHop!I1589</f>
        <v>0</v>
      </c>
      <c r="J1589">
        <f>[2]TongHop!J1589</f>
        <v>0</v>
      </c>
      <c r="K1589">
        <f>[2]TongHop!K1589</f>
        <v>0</v>
      </c>
      <c r="L1589">
        <f>[2]TongHop!L1589</f>
        <v>0</v>
      </c>
      <c r="M1589">
        <f>[2]TongHop!M1589</f>
        <v>0</v>
      </c>
      <c r="N1589">
        <f>[2]TongHop!N1589</f>
        <v>0</v>
      </c>
    </row>
    <row r="1590" spans="1:14">
      <c r="A1590">
        <f>[2]TongHop!A1590</f>
        <v>0</v>
      </c>
      <c r="B1590">
        <f>[2]TongHop!B1590</f>
        <v>0</v>
      </c>
      <c r="C1590">
        <f>[2]TongHop!C1590</f>
        <v>0</v>
      </c>
      <c r="D1590">
        <f>[2]TongHop!D1590</f>
        <v>0</v>
      </c>
      <c r="E1590">
        <f>[2]TongHop!E1590</f>
        <v>0</v>
      </c>
      <c r="F1590">
        <f>[2]TongHop!F1590</f>
        <v>0</v>
      </c>
      <c r="G1590">
        <f>[2]TongHop!G1590</f>
        <v>0</v>
      </c>
      <c r="H1590">
        <f>[2]TongHop!H1590</f>
        <v>0</v>
      </c>
      <c r="I1590">
        <f>[2]TongHop!I1590</f>
        <v>0</v>
      </c>
      <c r="J1590">
        <f>[2]TongHop!J1590</f>
        <v>0</v>
      </c>
      <c r="K1590">
        <f>[2]TongHop!K1590</f>
        <v>0</v>
      </c>
      <c r="L1590">
        <f>[2]TongHop!L1590</f>
        <v>0</v>
      </c>
      <c r="M1590">
        <f>[2]TongHop!M1590</f>
        <v>0</v>
      </c>
      <c r="N1590">
        <f>[2]TongHop!N1590</f>
        <v>0</v>
      </c>
    </row>
    <row r="1591" spans="1:14">
      <c r="A1591">
        <f>[2]TongHop!A1591</f>
        <v>0</v>
      </c>
      <c r="B1591">
        <f>[2]TongHop!B1591</f>
        <v>0</v>
      </c>
      <c r="C1591">
        <f>[2]TongHop!C1591</f>
        <v>0</v>
      </c>
      <c r="D1591">
        <f>[2]TongHop!D1591</f>
        <v>0</v>
      </c>
      <c r="E1591">
        <f>[2]TongHop!E1591</f>
        <v>0</v>
      </c>
      <c r="F1591">
        <f>[2]TongHop!F1591</f>
        <v>0</v>
      </c>
      <c r="G1591">
        <f>[2]TongHop!G1591</f>
        <v>0</v>
      </c>
      <c r="H1591">
        <f>[2]TongHop!H1591</f>
        <v>0</v>
      </c>
      <c r="I1591">
        <f>[2]TongHop!I1591</f>
        <v>0</v>
      </c>
      <c r="J1591">
        <f>[2]TongHop!J1591</f>
        <v>0</v>
      </c>
      <c r="K1591">
        <f>[2]TongHop!K1591</f>
        <v>0</v>
      </c>
      <c r="L1591">
        <f>[2]TongHop!L1591</f>
        <v>0</v>
      </c>
      <c r="M1591">
        <f>[2]TongHop!M1591</f>
        <v>0</v>
      </c>
      <c r="N1591">
        <f>[2]TongHop!N1591</f>
        <v>0</v>
      </c>
    </row>
    <row r="1592" spans="1:14">
      <c r="A1592">
        <f>[2]TongHop!A1592</f>
        <v>0</v>
      </c>
      <c r="B1592">
        <f>[2]TongHop!B1592</f>
        <v>0</v>
      </c>
      <c r="C1592">
        <f>[2]TongHop!C1592</f>
        <v>0</v>
      </c>
      <c r="D1592">
        <f>[2]TongHop!D1592</f>
        <v>0</v>
      </c>
      <c r="E1592">
        <f>[2]TongHop!E1592</f>
        <v>0</v>
      </c>
      <c r="F1592">
        <f>[2]TongHop!F1592</f>
        <v>0</v>
      </c>
      <c r="G1592">
        <f>[2]TongHop!G1592</f>
        <v>0</v>
      </c>
      <c r="H1592">
        <f>[2]TongHop!H1592</f>
        <v>0</v>
      </c>
      <c r="I1592">
        <f>[2]TongHop!I1592</f>
        <v>0</v>
      </c>
      <c r="J1592">
        <f>[2]TongHop!J1592</f>
        <v>0</v>
      </c>
      <c r="K1592">
        <f>[2]TongHop!K1592</f>
        <v>0</v>
      </c>
      <c r="L1592">
        <f>[2]TongHop!L1592</f>
        <v>0</v>
      </c>
      <c r="M1592">
        <f>[2]TongHop!M1592</f>
        <v>0</v>
      </c>
      <c r="N1592">
        <f>[2]TongHop!N1592</f>
        <v>0</v>
      </c>
    </row>
    <row r="1593" spans="1:14">
      <c r="A1593">
        <f>[2]TongHop!A1593</f>
        <v>0</v>
      </c>
      <c r="B1593">
        <f>[2]TongHop!B1593</f>
        <v>0</v>
      </c>
      <c r="C1593">
        <f>[2]TongHop!C1593</f>
        <v>0</v>
      </c>
      <c r="D1593">
        <f>[2]TongHop!D1593</f>
        <v>0</v>
      </c>
      <c r="E1593">
        <f>[2]TongHop!E1593</f>
        <v>0</v>
      </c>
      <c r="F1593">
        <f>[2]TongHop!F1593</f>
        <v>0</v>
      </c>
      <c r="G1593">
        <f>[2]TongHop!G1593</f>
        <v>0</v>
      </c>
      <c r="H1593">
        <f>[2]TongHop!H1593</f>
        <v>0</v>
      </c>
      <c r="I1593">
        <f>[2]TongHop!I1593</f>
        <v>0</v>
      </c>
      <c r="J1593">
        <f>[2]TongHop!J1593</f>
        <v>0</v>
      </c>
      <c r="K1593">
        <f>[2]TongHop!K1593</f>
        <v>0</v>
      </c>
      <c r="L1593">
        <f>[2]TongHop!L1593</f>
        <v>0</v>
      </c>
      <c r="M1593">
        <f>[2]TongHop!M1593</f>
        <v>0</v>
      </c>
      <c r="N1593">
        <f>[2]TongHop!N1593</f>
        <v>0</v>
      </c>
    </row>
    <row r="1594" spans="1:14">
      <c r="A1594">
        <f>[2]TongHop!A1594</f>
        <v>0</v>
      </c>
      <c r="B1594">
        <f>[2]TongHop!B1594</f>
        <v>0</v>
      </c>
      <c r="C1594">
        <f>[2]TongHop!C1594</f>
        <v>0</v>
      </c>
      <c r="D1594">
        <f>[2]TongHop!D1594</f>
        <v>0</v>
      </c>
      <c r="E1594">
        <f>[2]TongHop!E1594</f>
        <v>0</v>
      </c>
      <c r="F1594">
        <f>[2]TongHop!F1594</f>
        <v>0</v>
      </c>
      <c r="G1594">
        <f>[2]TongHop!G1594</f>
        <v>0</v>
      </c>
      <c r="H1594">
        <f>[2]TongHop!H1594</f>
        <v>0</v>
      </c>
      <c r="I1594">
        <f>[2]TongHop!I1594</f>
        <v>0</v>
      </c>
      <c r="J1594">
        <f>[2]TongHop!J1594</f>
        <v>0</v>
      </c>
      <c r="K1594">
        <f>[2]TongHop!K1594</f>
        <v>0</v>
      </c>
      <c r="L1594">
        <f>[2]TongHop!L1594</f>
        <v>0</v>
      </c>
      <c r="M1594">
        <f>[2]TongHop!M1594</f>
        <v>0</v>
      </c>
      <c r="N1594">
        <f>[2]TongHop!N1594</f>
        <v>0</v>
      </c>
    </row>
    <row r="1595" spans="1:14">
      <c r="A1595">
        <f>[2]TongHop!A1595</f>
        <v>0</v>
      </c>
      <c r="B1595">
        <f>[2]TongHop!B1595</f>
        <v>0</v>
      </c>
      <c r="C1595">
        <f>[2]TongHop!C1595</f>
        <v>0</v>
      </c>
      <c r="D1595">
        <f>[2]TongHop!D1595</f>
        <v>0</v>
      </c>
      <c r="E1595">
        <f>[2]TongHop!E1595</f>
        <v>0</v>
      </c>
      <c r="F1595">
        <f>[2]TongHop!F1595</f>
        <v>0</v>
      </c>
      <c r="G1595">
        <f>[2]TongHop!G1595</f>
        <v>0</v>
      </c>
      <c r="H1595">
        <f>[2]TongHop!H1595</f>
        <v>0</v>
      </c>
      <c r="I1595">
        <f>[2]TongHop!I1595</f>
        <v>0</v>
      </c>
      <c r="J1595">
        <f>[2]TongHop!J1595</f>
        <v>0</v>
      </c>
      <c r="K1595">
        <f>[2]TongHop!K1595</f>
        <v>0</v>
      </c>
      <c r="L1595">
        <f>[2]TongHop!L1595</f>
        <v>0</v>
      </c>
      <c r="M1595">
        <f>[2]TongHop!M1595</f>
        <v>0</v>
      </c>
      <c r="N1595">
        <f>[2]TongHop!N1595</f>
        <v>0</v>
      </c>
    </row>
    <row r="1596" spans="1:14">
      <c r="A1596">
        <f>[2]TongHop!A1596</f>
        <v>0</v>
      </c>
      <c r="B1596">
        <f>[2]TongHop!B1596</f>
        <v>0</v>
      </c>
      <c r="C1596">
        <f>[2]TongHop!C1596</f>
        <v>0</v>
      </c>
      <c r="D1596">
        <f>[2]TongHop!D1596</f>
        <v>0</v>
      </c>
      <c r="E1596">
        <f>[2]TongHop!E1596</f>
        <v>0</v>
      </c>
      <c r="F1596">
        <f>[2]TongHop!F1596</f>
        <v>0</v>
      </c>
      <c r="G1596">
        <f>[2]TongHop!G1596</f>
        <v>0</v>
      </c>
      <c r="H1596">
        <f>[2]TongHop!H1596</f>
        <v>0</v>
      </c>
      <c r="I1596">
        <f>[2]TongHop!I1596</f>
        <v>0</v>
      </c>
      <c r="J1596">
        <f>[2]TongHop!J1596</f>
        <v>0</v>
      </c>
      <c r="K1596">
        <f>[2]TongHop!K1596</f>
        <v>0</v>
      </c>
      <c r="L1596">
        <f>[2]TongHop!L1596</f>
        <v>0</v>
      </c>
      <c r="M1596">
        <f>[2]TongHop!M1596</f>
        <v>0</v>
      </c>
      <c r="N1596">
        <f>[2]TongHop!N1596</f>
        <v>0</v>
      </c>
    </row>
    <row r="1597" spans="1:14">
      <c r="A1597">
        <f>[2]TongHop!A1597</f>
        <v>0</v>
      </c>
      <c r="B1597">
        <f>[2]TongHop!B1597</f>
        <v>0</v>
      </c>
      <c r="C1597">
        <f>[2]TongHop!C1597</f>
        <v>0</v>
      </c>
      <c r="D1597">
        <f>[2]TongHop!D1597</f>
        <v>0</v>
      </c>
      <c r="E1597">
        <f>[2]TongHop!E1597</f>
        <v>0</v>
      </c>
      <c r="F1597">
        <f>[2]TongHop!F1597</f>
        <v>0</v>
      </c>
      <c r="G1597">
        <f>[2]TongHop!G1597</f>
        <v>0</v>
      </c>
      <c r="H1597">
        <f>[2]TongHop!H1597</f>
        <v>0</v>
      </c>
      <c r="I1597">
        <f>[2]TongHop!I1597</f>
        <v>0</v>
      </c>
      <c r="J1597">
        <f>[2]TongHop!J1597</f>
        <v>0</v>
      </c>
      <c r="K1597">
        <f>[2]TongHop!K1597</f>
        <v>0</v>
      </c>
      <c r="L1597">
        <f>[2]TongHop!L1597</f>
        <v>0</v>
      </c>
      <c r="M1597">
        <f>[2]TongHop!M1597</f>
        <v>0</v>
      </c>
      <c r="N1597">
        <f>[2]TongHop!N1597</f>
        <v>0</v>
      </c>
    </row>
    <row r="1598" spans="1:14">
      <c r="A1598">
        <f>[2]TongHop!A1598</f>
        <v>0</v>
      </c>
      <c r="B1598">
        <f>[2]TongHop!B1598</f>
        <v>0</v>
      </c>
      <c r="C1598">
        <f>[2]TongHop!C1598</f>
        <v>0</v>
      </c>
      <c r="D1598">
        <f>[2]TongHop!D1598</f>
        <v>0</v>
      </c>
      <c r="E1598">
        <f>[2]TongHop!E1598</f>
        <v>0</v>
      </c>
      <c r="F1598">
        <f>[2]TongHop!F1598</f>
        <v>0</v>
      </c>
      <c r="G1598">
        <f>[2]TongHop!G1598</f>
        <v>0</v>
      </c>
      <c r="H1598">
        <f>[2]TongHop!H1598</f>
        <v>0</v>
      </c>
      <c r="I1598">
        <f>[2]TongHop!I1598</f>
        <v>0</v>
      </c>
      <c r="J1598">
        <f>[2]TongHop!J1598</f>
        <v>0</v>
      </c>
      <c r="K1598">
        <f>[2]TongHop!K1598</f>
        <v>0</v>
      </c>
      <c r="L1598">
        <f>[2]TongHop!L1598</f>
        <v>0</v>
      </c>
      <c r="M1598">
        <f>[2]TongHop!M1598</f>
        <v>0</v>
      </c>
      <c r="N1598">
        <f>[2]TongHop!N1598</f>
        <v>0</v>
      </c>
    </row>
    <row r="1599" spans="1:14">
      <c r="A1599">
        <f>[2]TongHop!A1599</f>
        <v>0</v>
      </c>
      <c r="B1599">
        <f>[2]TongHop!B1599</f>
        <v>0</v>
      </c>
      <c r="C1599">
        <f>[2]TongHop!C1599</f>
        <v>0</v>
      </c>
      <c r="D1599">
        <f>[2]TongHop!D1599</f>
        <v>0</v>
      </c>
      <c r="E1599">
        <f>[2]TongHop!E1599</f>
        <v>0</v>
      </c>
      <c r="F1599">
        <f>[2]TongHop!F1599</f>
        <v>0</v>
      </c>
      <c r="G1599">
        <f>[2]TongHop!G1599</f>
        <v>0</v>
      </c>
      <c r="H1599">
        <f>[2]TongHop!H1599</f>
        <v>0</v>
      </c>
      <c r="I1599">
        <f>[2]TongHop!I1599</f>
        <v>0</v>
      </c>
      <c r="J1599">
        <f>[2]TongHop!J1599</f>
        <v>0</v>
      </c>
      <c r="K1599">
        <f>[2]TongHop!K1599</f>
        <v>0</v>
      </c>
      <c r="L1599">
        <f>[2]TongHop!L1599</f>
        <v>0</v>
      </c>
      <c r="M1599">
        <f>[2]TongHop!M1599</f>
        <v>0</v>
      </c>
      <c r="N1599">
        <f>[2]TongHop!N1599</f>
        <v>0</v>
      </c>
    </row>
    <row r="1600" spans="1:14">
      <c r="A1600">
        <f>[2]TongHop!A1600</f>
        <v>0</v>
      </c>
      <c r="B1600">
        <f>[2]TongHop!B1600</f>
        <v>0</v>
      </c>
      <c r="C1600">
        <f>[2]TongHop!C1600</f>
        <v>0</v>
      </c>
      <c r="D1600">
        <f>[2]TongHop!D1600</f>
        <v>0</v>
      </c>
      <c r="E1600">
        <f>[2]TongHop!E1600</f>
        <v>0</v>
      </c>
      <c r="F1600">
        <f>[2]TongHop!F1600</f>
        <v>0</v>
      </c>
      <c r="G1600">
        <f>[2]TongHop!G1600</f>
        <v>0</v>
      </c>
      <c r="H1600">
        <f>[2]TongHop!H1600</f>
        <v>0</v>
      </c>
      <c r="I1600">
        <f>[2]TongHop!I1600</f>
        <v>0</v>
      </c>
      <c r="J1600">
        <f>[2]TongHop!J1600</f>
        <v>0</v>
      </c>
      <c r="K1600">
        <f>[2]TongHop!K1600</f>
        <v>0</v>
      </c>
      <c r="L1600">
        <f>[2]TongHop!L1600</f>
        <v>0</v>
      </c>
      <c r="M1600">
        <f>[2]TongHop!M1600</f>
        <v>0</v>
      </c>
      <c r="N1600">
        <f>[2]TongHop!N1600</f>
        <v>0</v>
      </c>
    </row>
    <row r="1601" spans="1:14">
      <c r="A1601">
        <f>[2]TongHop!A1601</f>
        <v>0</v>
      </c>
      <c r="B1601">
        <f>[2]TongHop!B1601</f>
        <v>0</v>
      </c>
      <c r="C1601">
        <f>[2]TongHop!C1601</f>
        <v>0</v>
      </c>
      <c r="D1601">
        <f>[2]TongHop!D1601</f>
        <v>0</v>
      </c>
      <c r="E1601">
        <f>[2]TongHop!E1601</f>
        <v>0</v>
      </c>
      <c r="F1601">
        <f>[2]TongHop!F1601</f>
        <v>0</v>
      </c>
      <c r="G1601">
        <f>[2]TongHop!G1601</f>
        <v>0</v>
      </c>
      <c r="H1601">
        <f>[2]TongHop!H1601</f>
        <v>0</v>
      </c>
      <c r="I1601">
        <f>[2]TongHop!I1601</f>
        <v>0</v>
      </c>
      <c r="J1601">
        <f>[2]TongHop!J1601</f>
        <v>0</v>
      </c>
      <c r="K1601">
        <f>[2]TongHop!K1601</f>
        <v>0</v>
      </c>
      <c r="L1601">
        <f>[2]TongHop!L1601</f>
        <v>0</v>
      </c>
      <c r="M1601">
        <f>[2]TongHop!M1601</f>
        <v>0</v>
      </c>
      <c r="N1601">
        <f>[2]TongHop!N1601</f>
        <v>0</v>
      </c>
    </row>
    <row r="1602" spans="1:14">
      <c r="A1602">
        <f>[2]TongHop!A1602</f>
        <v>0</v>
      </c>
      <c r="B1602">
        <f>[2]TongHop!B1602</f>
        <v>0</v>
      </c>
      <c r="C1602">
        <f>[2]TongHop!C1602</f>
        <v>0</v>
      </c>
      <c r="D1602">
        <f>[2]TongHop!D1602</f>
        <v>0</v>
      </c>
      <c r="E1602">
        <f>[2]TongHop!E1602</f>
        <v>0</v>
      </c>
      <c r="F1602">
        <f>[2]TongHop!F1602</f>
        <v>0</v>
      </c>
      <c r="G1602">
        <f>[2]TongHop!G1602</f>
        <v>0</v>
      </c>
      <c r="H1602">
        <f>[2]TongHop!H1602</f>
        <v>0</v>
      </c>
      <c r="I1602">
        <f>[2]TongHop!I1602</f>
        <v>0</v>
      </c>
      <c r="J1602">
        <f>[2]TongHop!J1602</f>
        <v>0</v>
      </c>
      <c r="K1602">
        <f>[2]TongHop!K1602</f>
        <v>0</v>
      </c>
      <c r="L1602">
        <f>[2]TongHop!L1602</f>
        <v>0</v>
      </c>
      <c r="M1602">
        <f>[2]TongHop!M1602</f>
        <v>0</v>
      </c>
      <c r="N1602">
        <f>[2]TongHop!N1602</f>
        <v>0</v>
      </c>
    </row>
    <row r="1603" spans="1:14">
      <c r="A1603">
        <f>[2]TongHop!A1603</f>
        <v>0</v>
      </c>
      <c r="B1603">
        <f>[2]TongHop!B1603</f>
        <v>0</v>
      </c>
      <c r="C1603">
        <f>[2]TongHop!C1603</f>
        <v>0</v>
      </c>
      <c r="D1603">
        <f>[2]TongHop!D1603</f>
        <v>0</v>
      </c>
      <c r="E1603">
        <f>[2]TongHop!E1603</f>
        <v>0</v>
      </c>
      <c r="F1603">
        <f>[2]TongHop!F1603</f>
        <v>0</v>
      </c>
      <c r="G1603">
        <f>[2]TongHop!G1603</f>
        <v>0</v>
      </c>
      <c r="H1603">
        <f>[2]TongHop!H1603</f>
        <v>0</v>
      </c>
      <c r="I1603">
        <f>[2]TongHop!I1603</f>
        <v>0</v>
      </c>
      <c r="J1603">
        <f>[2]TongHop!J1603</f>
        <v>0</v>
      </c>
      <c r="K1603">
        <f>[2]TongHop!K1603</f>
        <v>0</v>
      </c>
      <c r="L1603">
        <f>[2]TongHop!L1603</f>
        <v>0</v>
      </c>
      <c r="M1603">
        <f>[2]TongHop!M1603</f>
        <v>0</v>
      </c>
      <c r="N1603">
        <f>[2]TongHop!N1603</f>
        <v>0</v>
      </c>
    </row>
    <row r="1604" spans="1:14">
      <c r="A1604">
        <f>[2]TongHop!A1604</f>
        <v>0</v>
      </c>
      <c r="B1604">
        <f>[2]TongHop!B1604</f>
        <v>0</v>
      </c>
      <c r="C1604">
        <f>[2]TongHop!C1604</f>
        <v>0</v>
      </c>
      <c r="D1604">
        <f>[2]TongHop!D1604</f>
        <v>0</v>
      </c>
      <c r="E1604">
        <f>[2]TongHop!E1604</f>
        <v>0</v>
      </c>
      <c r="F1604">
        <f>[2]TongHop!F1604</f>
        <v>0</v>
      </c>
      <c r="G1604">
        <f>[2]TongHop!G1604</f>
        <v>0</v>
      </c>
      <c r="H1604">
        <f>[2]TongHop!H1604</f>
        <v>0</v>
      </c>
      <c r="I1604">
        <f>[2]TongHop!I1604</f>
        <v>0</v>
      </c>
      <c r="J1604">
        <f>[2]TongHop!J1604</f>
        <v>0</v>
      </c>
      <c r="K1604">
        <f>[2]TongHop!K1604</f>
        <v>0</v>
      </c>
      <c r="L1604">
        <f>[2]TongHop!L1604</f>
        <v>0</v>
      </c>
      <c r="M1604">
        <f>[2]TongHop!M1604</f>
        <v>0</v>
      </c>
      <c r="N1604">
        <f>[2]TongHop!N1604</f>
        <v>0</v>
      </c>
    </row>
    <row r="1605" spans="1:14">
      <c r="A1605">
        <f>[2]TongHop!A1605</f>
        <v>0</v>
      </c>
      <c r="B1605">
        <f>[2]TongHop!B1605</f>
        <v>0</v>
      </c>
      <c r="C1605">
        <f>[2]TongHop!C1605</f>
        <v>0</v>
      </c>
      <c r="D1605">
        <f>[2]TongHop!D1605</f>
        <v>0</v>
      </c>
      <c r="E1605">
        <f>[2]TongHop!E1605</f>
        <v>0</v>
      </c>
      <c r="F1605">
        <f>[2]TongHop!F1605</f>
        <v>0</v>
      </c>
      <c r="G1605">
        <f>[2]TongHop!G1605</f>
        <v>0</v>
      </c>
      <c r="H1605">
        <f>[2]TongHop!H1605</f>
        <v>0</v>
      </c>
      <c r="I1605">
        <f>[2]TongHop!I1605</f>
        <v>0</v>
      </c>
      <c r="J1605">
        <f>[2]TongHop!J1605</f>
        <v>0</v>
      </c>
      <c r="K1605">
        <f>[2]TongHop!K1605</f>
        <v>0</v>
      </c>
      <c r="L1605">
        <f>[2]TongHop!L1605</f>
        <v>0</v>
      </c>
      <c r="M1605">
        <f>[2]TongHop!M1605</f>
        <v>0</v>
      </c>
      <c r="N1605">
        <f>[2]TongHop!N1605</f>
        <v>0</v>
      </c>
    </row>
    <row r="1606" spans="1:14">
      <c r="A1606">
        <f>[2]TongHop!A1606</f>
        <v>0</v>
      </c>
      <c r="B1606">
        <f>[2]TongHop!B1606</f>
        <v>0</v>
      </c>
      <c r="C1606">
        <f>[2]TongHop!C1606</f>
        <v>0</v>
      </c>
      <c r="D1606">
        <f>[2]TongHop!D1606</f>
        <v>0</v>
      </c>
      <c r="E1606">
        <f>[2]TongHop!E1606</f>
        <v>0</v>
      </c>
      <c r="F1606">
        <f>[2]TongHop!F1606</f>
        <v>0</v>
      </c>
      <c r="G1606">
        <f>[2]TongHop!G1606</f>
        <v>0</v>
      </c>
      <c r="H1606">
        <f>[2]TongHop!H1606</f>
        <v>0</v>
      </c>
      <c r="I1606">
        <f>[2]TongHop!I1606</f>
        <v>0</v>
      </c>
      <c r="J1606">
        <f>[2]TongHop!J1606</f>
        <v>0</v>
      </c>
      <c r="K1606">
        <f>[2]TongHop!K1606</f>
        <v>0</v>
      </c>
      <c r="L1606">
        <f>[2]TongHop!L1606</f>
        <v>0</v>
      </c>
      <c r="M1606">
        <f>[2]TongHop!M1606</f>
        <v>0</v>
      </c>
      <c r="N1606">
        <f>[2]TongHop!N1606</f>
        <v>0</v>
      </c>
    </row>
    <row r="1607" spans="1:14">
      <c r="A1607">
        <f>[2]TongHop!A1607</f>
        <v>0</v>
      </c>
      <c r="B1607">
        <f>[2]TongHop!B1607</f>
        <v>0</v>
      </c>
      <c r="C1607">
        <f>[2]TongHop!C1607</f>
        <v>0</v>
      </c>
      <c r="D1607">
        <f>[2]TongHop!D1607</f>
        <v>0</v>
      </c>
      <c r="E1607">
        <f>[2]TongHop!E1607</f>
        <v>0</v>
      </c>
      <c r="F1607">
        <f>[2]TongHop!F1607</f>
        <v>0</v>
      </c>
      <c r="G1607">
        <f>[2]TongHop!G1607</f>
        <v>0</v>
      </c>
      <c r="H1607">
        <f>[2]TongHop!H1607</f>
        <v>0</v>
      </c>
      <c r="I1607">
        <f>[2]TongHop!I1607</f>
        <v>0</v>
      </c>
      <c r="J1607">
        <f>[2]TongHop!J1607</f>
        <v>0</v>
      </c>
      <c r="K1607">
        <f>[2]TongHop!K1607</f>
        <v>0</v>
      </c>
      <c r="L1607">
        <f>[2]TongHop!L1607</f>
        <v>0</v>
      </c>
      <c r="M1607">
        <f>[2]TongHop!M1607</f>
        <v>0</v>
      </c>
      <c r="N1607">
        <f>[2]TongHop!N1607</f>
        <v>0</v>
      </c>
    </row>
    <row r="1608" spans="1:14">
      <c r="A1608">
        <f>[2]TongHop!A1608</f>
        <v>0</v>
      </c>
      <c r="B1608">
        <f>[2]TongHop!B1608</f>
        <v>0</v>
      </c>
      <c r="C1608">
        <f>[2]TongHop!C1608</f>
        <v>0</v>
      </c>
      <c r="D1608">
        <f>[2]TongHop!D1608</f>
        <v>0</v>
      </c>
      <c r="E1608">
        <f>[2]TongHop!E1608</f>
        <v>0</v>
      </c>
      <c r="F1608">
        <f>[2]TongHop!F1608</f>
        <v>0</v>
      </c>
      <c r="G1608">
        <f>[2]TongHop!G1608</f>
        <v>0</v>
      </c>
      <c r="H1608">
        <f>[2]TongHop!H1608</f>
        <v>0</v>
      </c>
      <c r="I1608">
        <f>[2]TongHop!I1608</f>
        <v>0</v>
      </c>
      <c r="J1608">
        <f>[2]TongHop!J1608</f>
        <v>0</v>
      </c>
      <c r="K1608">
        <f>[2]TongHop!K1608</f>
        <v>0</v>
      </c>
      <c r="L1608">
        <f>[2]TongHop!L1608</f>
        <v>0</v>
      </c>
      <c r="M1608">
        <f>[2]TongHop!M1608</f>
        <v>0</v>
      </c>
      <c r="N1608">
        <f>[2]TongHop!N1608</f>
        <v>0</v>
      </c>
    </row>
    <row r="1609" spans="1:14">
      <c r="A1609">
        <f>[2]TongHop!A1609</f>
        <v>0</v>
      </c>
      <c r="B1609">
        <f>[2]TongHop!B1609</f>
        <v>0</v>
      </c>
      <c r="C1609">
        <f>[2]TongHop!C1609</f>
        <v>0</v>
      </c>
      <c r="D1609">
        <f>[2]TongHop!D1609</f>
        <v>0</v>
      </c>
      <c r="E1609">
        <f>[2]TongHop!E1609</f>
        <v>0</v>
      </c>
      <c r="F1609">
        <f>[2]TongHop!F1609</f>
        <v>0</v>
      </c>
      <c r="G1609">
        <f>[2]TongHop!G1609</f>
        <v>0</v>
      </c>
      <c r="H1609">
        <f>[2]TongHop!H1609</f>
        <v>0</v>
      </c>
      <c r="I1609">
        <f>[2]TongHop!I1609</f>
        <v>0</v>
      </c>
      <c r="J1609">
        <f>[2]TongHop!J1609</f>
        <v>0</v>
      </c>
      <c r="K1609">
        <f>[2]TongHop!K1609</f>
        <v>0</v>
      </c>
      <c r="L1609">
        <f>[2]TongHop!L1609</f>
        <v>0</v>
      </c>
      <c r="M1609">
        <f>[2]TongHop!M1609</f>
        <v>0</v>
      </c>
      <c r="N1609">
        <f>[2]TongHop!N1609</f>
        <v>0</v>
      </c>
    </row>
    <row r="1610" spans="1:14">
      <c r="A1610">
        <f>[2]TongHop!A1610</f>
        <v>0</v>
      </c>
      <c r="B1610">
        <f>[2]TongHop!B1610</f>
        <v>0</v>
      </c>
      <c r="C1610">
        <f>[2]TongHop!C1610</f>
        <v>0</v>
      </c>
      <c r="D1610">
        <f>[2]TongHop!D1610</f>
        <v>0</v>
      </c>
      <c r="E1610">
        <f>[2]TongHop!E1610</f>
        <v>0</v>
      </c>
      <c r="F1610">
        <f>[2]TongHop!F1610</f>
        <v>0</v>
      </c>
      <c r="G1610">
        <f>[2]TongHop!G1610</f>
        <v>0</v>
      </c>
      <c r="H1610">
        <f>[2]TongHop!H1610</f>
        <v>0</v>
      </c>
      <c r="I1610">
        <f>[2]TongHop!I1610</f>
        <v>0</v>
      </c>
      <c r="J1610">
        <f>[2]TongHop!J1610</f>
        <v>0</v>
      </c>
      <c r="K1610">
        <f>[2]TongHop!K1610</f>
        <v>0</v>
      </c>
      <c r="L1610">
        <f>[2]TongHop!L1610</f>
        <v>0</v>
      </c>
      <c r="M1610">
        <f>[2]TongHop!M1610</f>
        <v>0</v>
      </c>
      <c r="N1610">
        <f>[2]TongHop!N1610</f>
        <v>0</v>
      </c>
    </row>
    <row r="1611" spans="1:14">
      <c r="A1611">
        <f>[2]TongHop!A1611</f>
        <v>0</v>
      </c>
      <c r="B1611">
        <f>[2]TongHop!B1611</f>
        <v>0</v>
      </c>
      <c r="C1611">
        <f>[2]TongHop!C1611</f>
        <v>0</v>
      </c>
      <c r="D1611">
        <f>[2]TongHop!D1611</f>
        <v>0</v>
      </c>
      <c r="E1611">
        <f>[2]TongHop!E1611</f>
        <v>0</v>
      </c>
      <c r="F1611">
        <f>[2]TongHop!F1611</f>
        <v>0</v>
      </c>
      <c r="G1611">
        <f>[2]TongHop!G1611</f>
        <v>0</v>
      </c>
      <c r="H1611">
        <f>[2]TongHop!H1611</f>
        <v>0</v>
      </c>
      <c r="I1611">
        <f>[2]TongHop!I1611</f>
        <v>0</v>
      </c>
      <c r="J1611">
        <f>[2]TongHop!J1611</f>
        <v>0</v>
      </c>
      <c r="K1611">
        <f>[2]TongHop!K1611</f>
        <v>0</v>
      </c>
      <c r="L1611">
        <f>[2]TongHop!L1611</f>
        <v>0</v>
      </c>
      <c r="M1611">
        <f>[2]TongHop!M1611</f>
        <v>0</v>
      </c>
      <c r="N1611">
        <f>[2]TongHop!N1611</f>
        <v>0</v>
      </c>
    </row>
    <row r="1612" spans="1:14">
      <c r="A1612">
        <f>[2]TongHop!A1612</f>
        <v>0</v>
      </c>
      <c r="B1612">
        <f>[2]TongHop!B1612</f>
        <v>0</v>
      </c>
      <c r="C1612">
        <f>[2]TongHop!C1612</f>
        <v>0</v>
      </c>
      <c r="D1612">
        <f>[2]TongHop!D1612</f>
        <v>0</v>
      </c>
      <c r="E1612">
        <f>[2]TongHop!E1612</f>
        <v>0</v>
      </c>
      <c r="F1612">
        <f>[2]TongHop!F1612</f>
        <v>0</v>
      </c>
      <c r="G1612">
        <f>[2]TongHop!G1612</f>
        <v>0</v>
      </c>
      <c r="H1612">
        <f>[2]TongHop!H1612</f>
        <v>0</v>
      </c>
      <c r="I1612">
        <f>[2]TongHop!I1612</f>
        <v>0</v>
      </c>
      <c r="J1612">
        <f>[2]TongHop!J1612</f>
        <v>0</v>
      </c>
      <c r="K1612">
        <f>[2]TongHop!K1612</f>
        <v>0</v>
      </c>
      <c r="L1612">
        <f>[2]TongHop!L1612</f>
        <v>0</v>
      </c>
      <c r="M1612">
        <f>[2]TongHop!M1612</f>
        <v>0</v>
      </c>
      <c r="N1612">
        <f>[2]TongHop!N1612</f>
        <v>0</v>
      </c>
    </row>
    <row r="1613" spans="1:14">
      <c r="A1613">
        <f>[2]TongHop!A1613</f>
        <v>0</v>
      </c>
      <c r="B1613">
        <f>[2]TongHop!B1613</f>
        <v>0</v>
      </c>
      <c r="C1613">
        <f>[2]TongHop!C1613</f>
        <v>0</v>
      </c>
      <c r="D1613">
        <f>[2]TongHop!D1613</f>
        <v>0</v>
      </c>
      <c r="E1613">
        <f>[2]TongHop!E1613</f>
        <v>0</v>
      </c>
      <c r="F1613">
        <f>[2]TongHop!F1613</f>
        <v>0</v>
      </c>
      <c r="G1613">
        <f>[2]TongHop!G1613</f>
        <v>0</v>
      </c>
      <c r="H1613">
        <f>[2]TongHop!H1613</f>
        <v>0</v>
      </c>
      <c r="I1613">
        <f>[2]TongHop!I1613</f>
        <v>0</v>
      </c>
      <c r="J1613">
        <f>[2]TongHop!J1613</f>
        <v>0</v>
      </c>
      <c r="K1613">
        <f>[2]TongHop!K1613</f>
        <v>0</v>
      </c>
      <c r="L1613">
        <f>[2]TongHop!L1613</f>
        <v>0</v>
      </c>
      <c r="M1613">
        <f>[2]TongHop!M1613</f>
        <v>0</v>
      </c>
      <c r="N1613">
        <f>[2]TongHop!N1613</f>
        <v>0</v>
      </c>
    </row>
    <row r="1614" spans="1:14">
      <c r="A1614">
        <f>[2]TongHop!A1614</f>
        <v>0</v>
      </c>
      <c r="B1614">
        <f>[2]TongHop!B1614</f>
        <v>0</v>
      </c>
      <c r="C1614">
        <f>[2]TongHop!C1614</f>
        <v>0</v>
      </c>
      <c r="D1614">
        <f>[2]TongHop!D1614</f>
        <v>0</v>
      </c>
      <c r="E1614">
        <f>[2]TongHop!E1614</f>
        <v>0</v>
      </c>
      <c r="F1614">
        <f>[2]TongHop!F1614</f>
        <v>0</v>
      </c>
      <c r="G1614">
        <f>[2]TongHop!G1614</f>
        <v>0</v>
      </c>
      <c r="H1614">
        <f>[2]TongHop!H1614</f>
        <v>0</v>
      </c>
      <c r="I1614">
        <f>[2]TongHop!I1614</f>
        <v>0</v>
      </c>
      <c r="J1614">
        <f>[2]TongHop!J1614</f>
        <v>0</v>
      </c>
      <c r="K1614">
        <f>[2]TongHop!K1614</f>
        <v>0</v>
      </c>
      <c r="L1614">
        <f>[2]TongHop!L1614</f>
        <v>0</v>
      </c>
      <c r="M1614">
        <f>[2]TongHop!M1614</f>
        <v>0</v>
      </c>
      <c r="N1614">
        <f>[2]TongHop!N1614</f>
        <v>0</v>
      </c>
    </row>
    <row r="1615" spans="1:14">
      <c r="A1615">
        <f>[2]TongHop!A1615</f>
        <v>0</v>
      </c>
      <c r="B1615">
        <f>[2]TongHop!B1615</f>
        <v>0</v>
      </c>
      <c r="C1615">
        <f>[2]TongHop!C1615</f>
        <v>0</v>
      </c>
      <c r="D1615">
        <f>[2]TongHop!D1615</f>
        <v>0</v>
      </c>
      <c r="E1615">
        <f>[2]TongHop!E1615</f>
        <v>0</v>
      </c>
      <c r="F1615">
        <f>[2]TongHop!F1615</f>
        <v>0</v>
      </c>
      <c r="G1615">
        <f>[2]TongHop!G1615</f>
        <v>0</v>
      </c>
      <c r="H1615">
        <f>[2]TongHop!H1615</f>
        <v>0</v>
      </c>
      <c r="I1615">
        <f>[2]TongHop!I1615</f>
        <v>0</v>
      </c>
      <c r="J1615">
        <f>[2]TongHop!J1615</f>
        <v>0</v>
      </c>
      <c r="K1615">
        <f>[2]TongHop!K1615</f>
        <v>0</v>
      </c>
      <c r="L1615">
        <f>[2]TongHop!L1615</f>
        <v>0</v>
      </c>
      <c r="M1615">
        <f>[2]TongHop!M1615</f>
        <v>0</v>
      </c>
      <c r="N1615">
        <f>[2]TongHop!N1615</f>
        <v>0</v>
      </c>
    </row>
    <row r="1616" spans="1:14">
      <c r="A1616">
        <f>[2]TongHop!A1616</f>
        <v>0</v>
      </c>
      <c r="B1616">
        <f>[2]TongHop!B1616</f>
        <v>0</v>
      </c>
      <c r="C1616">
        <f>[2]TongHop!C1616</f>
        <v>0</v>
      </c>
      <c r="D1616">
        <f>[2]TongHop!D1616</f>
        <v>0</v>
      </c>
      <c r="E1616">
        <f>[2]TongHop!E1616</f>
        <v>0</v>
      </c>
      <c r="F1616">
        <f>[2]TongHop!F1616</f>
        <v>0</v>
      </c>
      <c r="G1616">
        <f>[2]TongHop!G1616</f>
        <v>0</v>
      </c>
      <c r="H1616">
        <f>[2]TongHop!H1616</f>
        <v>0</v>
      </c>
      <c r="I1616">
        <f>[2]TongHop!I1616</f>
        <v>0</v>
      </c>
      <c r="J1616">
        <f>[2]TongHop!J1616</f>
        <v>0</v>
      </c>
      <c r="K1616">
        <f>[2]TongHop!K1616</f>
        <v>0</v>
      </c>
      <c r="L1616">
        <f>[2]TongHop!L1616</f>
        <v>0</v>
      </c>
      <c r="M1616">
        <f>[2]TongHop!M1616</f>
        <v>0</v>
      </c>
      <c r="N1616">
        <f>[2]TongHop!N1616</f>
        <v>0</v>
      </c>
    </row>
    <row r="1617" spans="1:14">
      <c r="A1617">
        <f>[2]TongHop!A1617</f>
        <v>0</v>
      </c>
      <c r="B1617">
        <f>[2]TongHop!B1617</f>
        <v>0</v>
      </c>
      <c r="C1617">
        <f>[2]TongHop!C1617</f>
        <v>0</v>
      </c>
      <c r="D1617">
        <f>[2]TongHop!D1617</f>
        <v>0</v>
      </c>
      <c r="E1617">
        <f>[2]TongHop!E1617</f>
        <v>0</v>
      </c>
      <c r="F1617">
        <f>[2]TongHop!F1617</f>
        <v>0</v>
      </c>
      <c r="G1617">
        <f>[2]TongHop!G1617</f>
        <v>0</v>
      </c>
      <c r="H1617">
        <f>[2]TongHop!H1617</f>
        <v>0</v>
      </c>
      <c r="I1617">
        <f>[2]TongHop!I1617</f>
        <v>0</v>
      </c>
      <c r="J1617">
        <f>[2]TongHop!J1617</f>
        <v>0</v>
      </c>
      <c r="K1617">
        <f>[2]TongHop!K1617</f>
        <v>0</v>
      </c>
      <c r="L1617">
        <f>[2]TongHop!L1617</f>
        <v>0</v>
      </c>
      <c r="M1617">
        <f>[2]TongHop!M1617</f>
        <v>0</v>
      </c>
      <c r="N1617">
        <f>[2]TongHop!N1617</f>
        <v>0</v>
      </c>
    </row>
    <row r="1618" spans="1:14">
      <c r="A1618">
        <f>[2]TongHop!A1618</f>
        <v>0</v>
      </c>
      <c r="B1618">
        <f>[2]TongHop!B1618</f>
        <v>0</v>
      </c>
      <c r="C1618">
        <f>[2]TongHop!C1618</f>
        <v>0</v>
      </c>
      <c r="D1618">
        <f>[2]TongHop!D1618</f>
        <v>0</v>
      </c>
      <c r="E1618">
        <f>[2]TongHop!E1618</f>
        <v>0</v>
      </c>
      <c r="F1618">
        <f>[2]TongHop!F1618</f>
        <v>0</v>
      </c>
      <c r="G1618">
        <f>[2]TongHop!G1618</f>
        <v>0</v>
      </c>
      <c r="H1618">
        <f>[2]TongHop!H1618</f>
        <v>0</v>
      </c>
      <c r="I1618">
        <f>[2]TongHop!I1618</f>
        <v>0</v>
      </c>
      <c r="J1618">
        <f>[2]TongHop!J1618</f>
        <v>0</v>
      </c>
      <c r="K1618">
        <f>[2]TongHop!K1618</f>
        <v>0</v>
      </c>
      <c r="L1618">
        <f>[2]TongHop!L1618</f>
        <v>0</v>
      </c>
      <c r="M1618">
        <f>[2]TongHop!M1618</f>
        <v>0</v>
      </c>
      <c r="N1618">
        <f>[2]TongHop!N1618</f>
        <v>0</v>
      </c>
    </row>
    <row r="1619" spans="1:14">
      <c r="A1619">
        <f>[2]TongHop!A1619</f>
        <v>0</v>
      </c>
      <c r="B1619">
        <f>[2]TongHop!B1619</f>
        <v>0</v>
      </c>
      <c r="C1619">
        <f>[2]TongHop!C1619</f>
        <v>0</v>
      </c>
      <c r="D1619">
        <f>[2]TongHop!D1619</f>
        <v>0</v>
      </c>
      <c r="E1619">
        <f>[2]TongHop!E1619</f>
        <v>0</v>
      </c>
      <c r="F1619">
        <f>[2]TongHop!F1619</f>
        <v>0</v>
      </c>
      <c r="G1619">
        <f>[2]TongHop!G1619</f>
        <v>0</v>
      </c>
      <c r="H1619">
        <f>[2]TongHop!H1619</f>
        <v>0</v>
      </c>
      <c r="I1619">
        <f>[2]TongHop!I1619</f>
        <v>0</v>
      </c>
      <c r="J1619">
        <f>[2]TongHop!J1619</f>
        <v>0</v>
      </c>
      <c r="K1619">
        <f>[2]TongHop!K1619</f>
        <v>0</v>
      </c>
      <c r="L1619">
        <f>[2]TongHop!L1619</f>
        <v>0</v>
      </c>
      <c r="M1619">
        <f>[2]TongHop!M1619</f>
        <v>0</v>
      </c>
      <c r="N1619">
        <f>[2]TongHop!N1619</f>
        <v>0</v>
      </c>
    </row>
    <row r="1620" spans="1:14">
      <c r="A1620">
        <f>[2]TongHop!A1620</f>
        <v>0</v>
      </c>
      <c r="B1620">
        <f>[2]TongHop!B1620</f>
        <v>0</v>
      </c>
      <c r="C1620">
        <f>[2]TongHop!C1620</f>
        <v>0</v>
      </c>
      <c r="D1620">
        <f>[2]TongHop!D1620</f>
        <v>0</v>
      </c>
      <c r="E1620">
        <f>[2]TongHop!E1620</f>
        <v>0</v>
      </c>
      <c r="F1620">
        <f>[2]TongHop!F1620</f>
        <v>0</v>
      </c>
      <c r="G1620">
        <f>[2]TongHop!G1620</f>
        <v>0</v>
      </c>
      <c r="H1620">
        <f>[2]TongHop!H1620</f>
        <v>0</v>
      </c>
      <c r="I1620">
        <f>[2]TongHop!I1620</f>
        <v>0</v>
      </c>
      <c r="J1620">
        <f>[2]TongHop!J1620</f>
        <v>0</v>
      </c>
      <c r="K1620">
        <f>[2]TongHop!K1620</f>
        <v>0</v>
      </c>
      <c r="L1620">
        <f>[2]TongHop!L1620</f>
        <v>0</v>
      </c>
      <c r="M1620">
        <f>[2]TongHop!M1620</f>
        <v>0</v>
      </c>
      <c r="N1620">
        <f>[2]TongHop!N1620</f>
        <v>0</v>
      </c>
    </row>
    <row r="1621" spans="1:14">
      <c r="A1621">
        <f>[2]TongHop!A1621</f>
        <v>0</v>
      </c>
      <c r="B1621">
        <f>[2]TongHop!B1621</f>
        <v>0</v>
      </c>
      <c r="C1621">
        <f>[2]TongHop!C1621</f>
        <v>0</v>
      </c>
      <c r="D1621">
        <f>[2]TongHop!D1621</f>
        <v>0</v>
      </c>
      <c r="E1621">
        <f>[2]TongHop!E1621</f>
        <v>0</v>
      </c>
      <c r="F1621">
        <f>[2]TongHop!F1621</f>
        <v>0</v>
      </c>
      <c r="G1621">
        <f>[2]TongHop!G1621</f>
        <v>0</v>
      </c>
      <c r="H1621">
        <f>[2]TongHop!H1621</f>
        <v>0</v>
      </c>
      <c r="I1621">
        <f>[2]TongHop!I1621</f>
        <v>0</v>
      </c>
      <c r="J1621">
        <f>[2]TongHop!J1621</f>
        <v>0</v>
      </c>
      <c r="K1621">
        <f>[2]TongHop!K1621</f>
        <v>0</v>
      </c>
      <c r="L1621">
        <f>[2]TongHop!L1621</f>
        <v>0</v>
      </c>
      <c r="M1621">
        <f>[2]TongHop!M1621</f>
        <v>0</v>
      </c>
      <c r="N1621">
        <f>[2]TongHop!N1621</f>
        <v>0</v>
      </c>
    </row>
    <row r="1622" spans="1:14">
      <c r="A1622">
        <f>[2]TongHop!A1622</f>
        <v>0</v>
      </c>
      <c r="B1622">
        <f>[2]TongHop!B1622</f>
        <v>0</v>
      </c>
      <c r="C1622">
        <f>[2]TongHop!C1622</f>
        <v>0</v>
      </c>
      <c r="D1622">
        <f>[2]TongHop!D1622</f>
        <v>0</v>
      </c>
      <c r="E1622">
        <f>[2]TongHop!E1622</f>
        <v>0</v>
      </c>
      <c r="F1622">
        <f>[2]TongHop!F1622</f>
        <v>0</v>
      </c>
      <c r="G1622">
        <f>[2]TongHop!G1622</f>
        <v>0</v>
      </c>
      <c r="H1622">
        <f>[2]TongHop!H1622</f>
        <v>0</v>
      </c>
      <c r="I1622">
        <f>[2]TongHop!I1622</f>
        <v>0</v>
      </c>
      <c r="J1622">
        <f>[2]TongHop!J1622</f>
        <v>0</v>
      </c>
      <c r="K1622">
        <f>[2]TongHop!K1622</f>
        <v>0</v>
      </c>
      <c r="L1622">
        <f>[2]TongHop!L1622</f>
        <v>0</v>
      </c>
      <c r="M1622">
        <f>[2]TongHop!M1622</f>
        <v>0</v>
      </c>
      <c r="N1622">
        <f>[2]TongHop!N1622</f>
        <v>0</v>
      </c>
    </row>
    <row r="1623" spans="1:14">
      <c r="A1623">
        <f>[2]TongHop!A1623</f>
        <v>0</v>
      </c>
      <c r="B1623">
        <f>[2]TongHop!B1623</f>
        <v>0</v>
      </c>
      <c r="C1623">
        <f>[2]TongHop!C1623</f>
        <v>0</v>
      </c>
      <c r="D1623">
        <f>[2]TongHop!D1623</f>
        <v>0</v>
      </c>
      <c r="E1623">
        <f>[2]TongHop!E1623</f>
        <v>0</v>
      </c>
      <c r="F1623">
        <f>[2]TongHop!F1623</f>
        <v>0</v>
      </c>
      <c r="G1623">
        <f>[2]TongHop!G1623</f>
        <v>0</v>
      </c>
      <c r="H1623">
        <f>[2]TongHop!H1623</f>
        <v>0</v>
      </c>
      <c r="I1623">
        <f>[2]TongHop!I1623</f>
        <v>0</v>
      </c>
      <c r="J1623">
        <f>[2]TongHop!J1623</f>
        <v>0</v>
      </c>
      <c r="K1623">
        <f>[2]TongHop!K1623</f>
        <v>0</v>
      </c>
      <c r="L1623">
        <f>[2]TongHop!L1623</f>
        <v>0</v>
      </c>
      <c r="M1623">
        <f>[2]TongHop!M1623</f>
        <v>0</v>
      </c>
      <c r="N1623">
        <f>[2]TongHop!N1623</f>
        <v>0</v>
      </c>
    </row>
    <row r="1624" spans="1:14">
      <c r="A1624">
        <f>[2]TongHop!A1624</f>
        <v>0</v>
      </c>
      <c r="B1624">
        <f>[2]TongHop!B1624</f>
        <v>0</v>
      </c>
      <c r="C1624">
        <f>[2]TongHop!C1624</f>
        <v>0</v>
      </c>
      <c r="D1624">
        <f>[2]TongHop!D1624</f>
        <v>0</v>
      </c>
      <c r="E1624">
        <f>[2]TongHop!E1624</f>
        <v>0</v>
      </c>
      <c r="F1624">
        <f>[2]TongHop!F1624</f>
        <v>0</v>
      </c>
      <c r="G1624">
        <f>[2]TongHop!G1624</f>
        <v>0</v>
      </c>
      <c r="H1624">
        <f>[2]TongHop!H1624</f>
        <v>0</v>
      </c>
      <c r="I1624">
        <f>[2]TongHop!I1624</f>
        <v>0</v>
      </c>
      <c r="J1624">
        <f>[2]TongHop!J1624</f>
        <v>0</v>
      </c>
      <c r="K1624">
        <f>[2]TongHop!K1624</f>
        <v>0</v>
      </c>
      <c r="L1624">
        <f>[2]TongHop!L1624</f>
        <v>0</v>
      </c>
      <c r="M1624">
        <f>[2]TongHop!M1624</f>
        <v>0</v>
      </c>
      <c r="N1624">
        <f>[2]TongHop!N1624</f>
        <v>0</v>
      </c>
    </row>
    <row r="1625" spans="1:14">
      <c r="A1625">
        <f>[2]TongHop!A1625</f>
        <v>0</v>
      </c>
      <c r="B1625">
        <f>[2]TongHop!B1625</f>
        <v>0</v>
      </c>
      <c r="C1625">
        <f>[2]TongHop!C1625</f>
        <v>0</v>
      </c>
      <c r="D1625">
        <f>[2]TongHop!D1625</f>
        <v>0</v>
      </c>
      <c r="E1625">
        <f>[2]TongHop!E1625</f>
        <v>0</v>
      </c>
      <c r="F1625">
        <f>[2]TongHop!F1625</f>
        <v>0</v>
      </c>
      <c r="G1625">
        <f>[2]TongHop!G1625</f>
        <v>0</v>
      </c>
      <c r="H1625">
        <f>[2]TongHop!H1625</f>
        <v>0</v>
      </c>
      <c r="I1625">
        <f>[2]TongHop!I1625</f>
        <v>0</v>
      </c>
      <c r="J1625">
        <f>[2]TongHop!J1625</f>
        <v>0</v>
      </c>
      <c r="K1625">
        <f>[2]TongHop!K1625</f>
        <v>0</v>
      </c>
      <c r="L1625">
        <f>[2]TongHop!L1625</f>
        <v>0</v>
      </c>
      <c r="M1625">
        <f>[2]TongHop!M1625</f>
        <v>0</v>
      </c>
      <c r="N1625">
        <f>[2]TongHop!N1625</f>
        <v>0</v>
      </c>
    </row>
    <row r="1626" spans="1:14">
      <c r="A1626">
        <f>[2]TongHop!A1626</f>
        <v>0</v>
      </c>
      <c r="B1626">
        <f>[2]TongHop!B1626</f>
        <v>0</v>
      </c>
      <c r="C1626">
        <f>[2]TongHop!C1626</f>
        <v>0</v>
      </c>
      <c r="D1626">
        <f>[2]TongHop!D1626</f>
        <v>0</v>
      </c>
      <c r="E1626">
        <f>[2]TongHop!E1626</f>
        <v>0</v>
      </c>
      <c r="F1626">
        <f>[2]TongHop!F1626</f>
        <v>0</v>
      </c>
      <c r="G1626">
        <f>[2]TongHop!G1626</f>
        <v>0</v>
      </c>
      <c r="H1626">
        <f>[2]TongHop!H1626</f>
        <v>0</v>
      </c>
      <c r="I1626">
        <f>[2]TongHop!I1626</f>
        <v>0</v>
      </c>
      <c r="J1626">
        <f>[2]TongHop!J1626</f>
        <v>0</v>
      </c>
      <c r="K1626">
        <f>[2]TongHop!K1626</f>
        <v>0</v>
      </c>
      <c r="L1626">
        <f>[2]TongHop!L1626</f>
        <v>0</v>
      </c>
      <c r="M1626">
        <f>[2]TongHop!M1626</f>
        <v>0</v>
      </c>
      <c r="N1626">
        <f>[2]TongHop!N1626</f>
        <v>0</v>
      </c>
    </row>
    <row r="1627" spans="1:14">
      <c r="A1627">
        <f>[2]TongHop!A1627</f>
        <v>0</v>
      </c>
      <c r="B1627">
        <f>[2]TongHop!B1627</f>
        <v>0</v>
      </c>
      <c r="C1627">
        <f>[2]TongHop!C1627</f>
        <v>0</v>
      </c>
      <c r="D1627">
        <f>[2]TongHop!D1627</f>
        <v>0</v>
      </c>
      <c r="E1627">
        <f>[2]TongHop!E1627</f>
        <v>0</v>
      </c>
      <c r="F1627">
        <f>[2]TongHop!F1627</f>
        <v>0</v>
      </c>
      <c r="G1627">
        <f>[2]TongHop!G1627</f>
        <v>0</v>
      </c>
      <c r="H1627">
        <f>[2]TongHop!H1627</f>
        <v>0</v>
      </c>
      <c r="I1627">
        <f>[2]TongHop!I1627</f>
        <v>0</v>
      </c>
      <c r="J1627">
        <f>[2]TongHop!J1627</f>
        <v>0</v>
      </c>
      <c r="K1627">
        <f>[2]TongHop!K1627</f>
        <v>0</v>
      </c>
      <c r="L1627">
        <f>[2]TongHop!L1627</f>
        <v>0</v>
      </c>
      <c r="M1627">
        <f>[2]TongHop!M1627</f>
        <v>0</v>
      </c>
      <c r="N1627">
        <f>[2]TongHop!N1627</f>
        <v>0</v>
      </c>
    </row>
    <row r="1628" spans="1:14">
      <c r="A1628">
        <f>[2]TongHop!A1628</f>
        <v>0</v>
      </c>
      <c r="B1628">
        <f>[2]TongHop!B1628</f>
        <v>0</v>
      </c>
      <c r="C1628">
        <f>[2]TongHop!C1628</f>
        <v>0</v>
      </c>
      <c r="D1628">
        <f>[2]TongHop!D1628</f>
        <v>0</v>
      </c>
      <c r="E1628">
        <f>[2]TongHop!E1628</f>
        <v>0</v>
      </c>
      <c r="F1628">
        <f>[2]TongHop!F1628</f>
        <v>0</v>
      </c>
      <c r="G1628">
        <f>[2]TongHop!G1628</f>
        <v>0</v>
      </c>
      <c r="H1628">
        <f>[2]TongHop!H1628</f>
        <v>0</v>
      </c>
      <c r="I1628">
        <f>[2]TongHop!I1628</f>
        <v>0</v>
      </c>
      <c r="J1628">
        <f>[2]TongHop!J1628</f>
        <v>0</v>
      </c>
      <c r="K1628">
        <f>[2]TongHop!K1628</f>
        <v>0</v>
      </c>
      <c r="L1628">
        <f>[2]TongHop!L1628</f>
        <v>0</v>
      </c>
      <c r="M1628">
        <f>[2]TongHop!M1628</f>
        <v>0</v>
      </c>
      <c r="N1628">
        <f>[2]TongHop!N1628</f>
        <v>0</v>
      </c>
    </row>
    <row r="1629" spans="1:14">
      <c r="A1629">
        <f>[2]TongHop!A1629</f>
        <v>0</v>
      </c>
      <c r="B1629">
        <f>[2]TongHop!B1629</f>
        <v>0</v>
      </c>
      <c r="C1629">
        <f>[2]TongHop!C1629</f>
        <v>0</v>
      </c>
      <c r="D1629">
        <f>[2]TongHop!D1629</f>
        <v>0</v>
      </c>
      <c r="E1629">
        <f>[2]TongHop!E1629</f>
        <v>0</v>
      </c>
      <c r="F1629">
        <f>[2]TongHop!F1629</f>
        <v>0</v>
      </c>
      <c r="G1629">
        <f>[2]TongHop!G1629</f>
        <v>0</v>
      </c>
      <c r="H1629">
        <f>[2]TongHop!H1629</f>
        <v>0</v>
      </c>
      <c r="I1629">
        <f>[2]TongHop!I1629</f>
        <v>0</v>
      </c>
      <c r="J1629">
        <f>[2]TongHop!J1629</f>
        <v>0</v>
      </c>
      <c r="K1629">
        <f>[2]TongHop!K1629</f>
        <v>0</v>
      </c>
      <c r="L1629">
        <f>[2]TongHop!L1629</f>
        <v>0</v>
      </c>
      <c r="M1629">
        <f>[2]TongHop!M1629</f>
        <v>0</v>
      </c>
      <c r="N1629">
        <f>[2]TongHop!N1629</f>
        <v>0</v>
      </c>
    </row>
    <row r="1630" spans="1:14">
      <c r="A1630">
        <f>[2]TongHop!A1630</f>
        <v>0</v>
      </c>
      <c r="B1630">
        <f>[2]TongHop!B1630</f>
        <v>0</v>
      </c>
      <c r="C1630">
        <f>[2]TongHop!C1630</f>
        <v>0</v>
      </c>
      <c r="D1630">
        <f>[2]TongHop!D1630</f>
        <v>0</v>
      </c>
      <c r="E1630">
        <f>[2]TongHop!E1630</f>
        <v>0</v>
      </c>
      <c r="F1630">
        <f>[2]TongHop!F1630</f>
        <v>0</v>
      </c>
      <c r="G1630">
        <f>[2]TongHop!G1630</f>
        <v>0</v>
      </c>
      <c r="H1630">
        <f>[2]TongHop!H1630</f>
        <v>0</v>
      </c>
      <c r="I1630">
        <f>[2]TongHop!I1630</f>
        <v>0</v>
      </c>
      <c r="J1630">
        <f>[2]TongHop!J1630</f>
        <v>0</v>
      </c>
      <c r="K1630">
        <f>[2]TongHop!K1630</f>
        <v>0</v>
      </c>
      <c r="L1630">
        <f>[2]TongHop!L1630</f>
        <v>0</v>
      </c>
      <c r="M1630">
        <f>[2]TongHop!M1630</f>
        <v>0</v>
      </c>
      <c r="N1630">
        <f>[2]TongHop!N1630</f>
        <v>0</v>
      </c>
    </row>
    <row r="1631" spans="1:14">
      <c r="A1631">
        <f>[2]TongHop!A1631</f>
        <v>0</v>
      </c>
      <c r="B1631">
        <f>[2]TongHop!B1631</f>
        <v>0</v>
      </c>
      <c r="C1631">
        <f>[2]TongHop!C1631</f>
        <v>0</v>
      </c>
      <c r="D1631">
        <f>[2]TongHop!D1631</f>
        <v>0</v>
      </c>
      <c r="E1631">
        <f>[2]TongHop!E1631</f>
        <v>0</v>
      </c>
      <c r="F1631">
        <f>[2]TongHop!F1631</f>
        <v>0</v>
      </c>
      <c r="G1631">
        <f>[2]TongHop!G1631</f>
        <v>0</v>
      </c>
      <c r="H1631">
        <f>[2]TongHop!H1631</f>
        <v>0</v>
      </c>
      <c r="I1631">
        <f>[2]TongHop!I1631</f>
        <v>0</v>
      </c>
      <c r="J1631">
        <f>[2]TongHop!J1631</f>
        <v>0</v>
      </c>
      <c r="K1631">
        <f>[2]TongHop!K1631</f>
        <v>0</v>
      </c>
      <c r="L1631">
        <f>[2]TongHop!L1631</f>
        <v>0</v>
      </c>
      <c r="M1631">
        <f>[2]TongHop!M1631</f>
        <v>0</v>
      </c>
      <c r="N1631">
        <f>[2]TongHop!N1631</f>
        <v>0</v>
      </c>
    </row>
    <row r="1632" spans="1:14">
      <c r="A1632">
        <f>[2]TongHop!A1632</f>
        <v>0</v>
      </c>
      <c r="B1632">
        <f>[2]TongHop!B1632</f>
        <v>0</v>
      </c>
      <c r="C1632">
        <f>[2]TongHop!C1632</f>
        <v>0</v>
      </c>
      <c r="D1632">
        <f>[2]TongHop!D1632</f>
        <v>0</v>
      </c>
      <c r="E1632">
        <f>[2]TongHop!E1632</f>
        <v>0</v>
      </c>
      <c r="F1632">
        <f>[2]TongHop!F1632</f>
        <v>0</v>
      </c>
      <c r="G1632">
        <f>[2]TongHop!G1632</f>
        <v>0</v>
      </c>
      <c r="H1632">
        <f>[2]TongHop!H1632</f>
        <v>0</v>
      </c>
      <c r="I1632">
        <f>[2]TongHop!I1632</f>
        <v>0</v>
      </c>
      <c r="J1632">
        <f>[2]TongHop!J1632</f>
        <v>0</v>
      </c>
      <c r="K1632">
        <f>[2]TongHop!K1632</f>
        <v>0</v>
      </c>
      <c r="L1632">
        <f>[2]TongHop!L1632</f>
        <v>0</v>
      </c>
      <c r="M1632">
        <f>[2]TongHop!M1632</f>
        <v>0</v>
      </c>
      <c r="N1632">
        <f>[2]TongHop!N1632</f>
        <v>0</v>
      </c>
    </row>
    <row r="1633" spans="1:14">
      <c r="A1633">
        <f>[2]TongHop!A1633</f>
        <v>0</v>
      </c>
      <c r="B1633">
        <f>[2]TongHop!B1633</f>
        <v>0</v>
      </c>
      <c r="C1633">
        <f>[2]TongHop!C1633</f>
        <v>0</v>
      </c>
      <c r="D1633">
        <f>[2]TongHop!D1633</f>
        <v>0</v>
      </c>
      <c r="E1633">
        <f>[2]TongHop!E1633</f>
        <v>0</v>
      </c>
      <c r="F1633">
        <f>[2]TongHop!F1633</f>
        <v>0</v>
      </c>
      <c r="G1633">
        <f>[2]TongHop!G1633</f>
        <v>0</v>
      </c>
      <c r="H1633">
        <f>[2]TongHop!H1633</f>
        <v>0</v>
      </c>
      <c r="I1633">
        <f>[2]TongHop!I1633</f>
        <v>0</v>
      </c>
      <c r="J1633">
        <f>[2]TongHop!J1633</f>
        <v>0</v>
      </c>
      <c r="K1633">
        <f>[2]TongHop!K1633</f>
        <v>0</v>
      </c>
      <c r="L1633">
        <f>[2]TongHop!L1633</f>
        <v>0</v>
      </c>
      <c r="M1633">
        <f>[2]TongHop!M1633</f>
        <v>0</v>
      </c>
      <c r="N1633">
        <f>[2]TongHop!N1633</f>
        <v>0</v>
      </c>
    </row>
    <row r="1634" spans="1:14">
      <c r="A1634">
        <f>[2]TongHop!A1634</f>
        <v>0</v>
      </c>
      <c r="B1634">
        <f>[2]TongHop!B1634</f>
        <v>0</v>
      </c>
      <c r="C1634">
        <f>[2]TongHop!C1634</f>
        <v>0</v>
      </c>
      <c r="D1634">
        <f>[2]TongHop!D1634</f>
        <v>0</v>
      </c>
      <c r="E1634">
        <f>[2]TongHop!E1634</f>
        <v>0</v>
      </c>
      <c r="F1634">
        <f>[2]TongHop!F1634</f>
        <v>0</v>
      </c>
      <c r="G1634">
        <f>[2]TongHop!G1634</f>
        <v>0</v>
      </c>
      <c r="H1634">
        <f>[2]TongHop!H1634</f>
        <v>0</v>
      </c>
      <c r="I1634">
        <f>[2]TongHop!I1634</f>
        <v>0</v>
      </c>
      <c r="J1634">
        <f>[2]TongHop!J1634</f>
        <v>0</v>
      </c>
      <c r="K1634">
        <f>[2]TongHop!K1634</f>
        <v>0</v>
      </c>
      <c r="L1634">
        <f>[2]TongHop!L1634</f>
        <v>0</v>
      </c>
      <c r="M1634">
        <f>[2]TongHop!M1634</f>
        <v>0</v>
      </c>
      <c r="N1634">
        <f>[2]TongHop!N1634</f>
        <v>0</v>
      </c>
    </row>
    <row r="1635" spans="1:14">
      <c r="A1635">
        <f>[2]TongHop!A1635</f>
        <v>0</v>
      </c>
      <c r="B1635">
        <f>[2]TongHop!B1635</f>
        <v>0</v>
      </c>
      <c r="C1635">
        <f>[2]TongHop!C1635</f>
        <v>0</v>
      </c>
      <c r="D1635">
        <f>[2]TongHop!D1635</f>
        <v>0</v>
      </c>
      <c r="E1635">
        <f>[2]TongHop!E1635</f>
        <v>0</v>
      </c>
      <c r="F1635">
        <f>[2]TongHop!F1635</f>
        <v>0</v>
      </c>
      <c r="G1635">
        <f>[2]TongHop!G1635</f>
        <v>0</v>
      </c>
      <c r="H1635">
        <f>[2]TongHop!H1635</f>
        <v>0</v>
      </c>
      <c r="I1635">
        <f>[2]TongHop!I1635</f>
        <v>0</v>
      </c>
      <c r="J1635">
        <f>[2]TongHop!J1635</f>
        <v>0</v>
      </c>
      <c r="K1635">
        <f>[2]TongHop!K1635</f>
        <v>0</v>
      </c>
      <c r="L1635">
        <f>[2]TongHop!L1635</f>
        <v>0</v>
      </c>
      <c r="M1635">
        <f>[2]TongHop!M1635</f>
        <v>0</v>
      </c>
      <c r="N1635">
        <f>[2]TongHop!N1635</f>
        <v>0</v>
      </c>
    </row>
    <row r="1636" spans="1:14">
      <c r="A1636">
        <f>[2]TongHop!A1636</f>
        <v>0</v>
      </c>
      <c r="B1636">
        <f>[2]TongHop!B1636</f>
        <v>0</v>
      </c>
      <c r="C1636">
        <f>[2]TongHop!C1636</f>
        <v>0</v>
      </c>
      <c r="D1636">
        <f>[2]TongHop!D1636</f>
        <v>0</v>
      </c>
      <c r="E1636">
        <f>[2]TongHop!E1636</f>
        <v>0</v>
      </c>
      <c r="F1636">
        <f>[2]TongHop!F1636</f>
        <v>0</v>
      </c>
      <c r="G1636">
        <f>[2]TongHop!G1636</f>
        <v>0</v>
      </c>
      <c r="H1636">
        <f>[2]TongHop!H1636</f>
        <v>0</v>
      </c>
      <c r="I1636">
        <f>[2]TongHop!I1636</f>
        <v>0</v>
      </c>
      <c r="J1636">
        <f>[2]TongHop!J1636</f>
        <v>0</v>
      </c>
      <c r="K1636">
        <f>[2]TongHop!K1636</f>
        <v>0</v>
      </c>
      <c r="L1636">
        <f>[2]TongHop!L1636</f>
        <v>0</v>
      </c>
      <c r="M1636">
        <f>[2]TongHop!M1636</f>
        <v>0</v>
      </c>
      <c r="N1636">
        <f>[2]TongHop!N1636</f>
        <v>0</v>
      </c>
    </row>
    <row r="1637" spans="1:14">
      <c r="A1637">
        <f>[2]TongHop!A1637</f>
        <v>0</v>
      </c>
      <c r="B1637">
        <f>[2]TongHop!B1637</f>
        <v>0</v>
      </c>
      <c r="C1637">
        <f>[2]TongHop!C1637</f>
        <v>0</v>
      </c>
      <c r="D1637">
        <f>[2]TongHop!D1637</f>
        <v>0</v>
      </c>
      <c r="E1637">
        <f>[2]TongHop!E1637</f>
        <v>0</v>
      </c>
      <c r="F1637">
        <f>[2]TongHop!F1637</f>
        <v>0</v>
      </c>
      <c r="G1637">
        <f>[2]TongHop!G1637</f>
        <v>0</v>
      </c>
      <c r="H1637">
        <f>[2]TongHop!H1637</f>
        <v>0</v>
      </c>
      <c r="I1637">
        <f>[2]TongHop!I1637</f>
        <v>0</v>
      </c>
      <c r="J1637">
        <f>[2]TongHop!J1637</f>
        <v>0</v>
      </c>
      <c r="K1637">
        <f>[2]TongHop!K1637</f>
        <v>0</v>
      </c>
      <c r="L1637">
        <f>[2]TongHop!L1637</f>
        <v>0</v>
      </c>
      <c r="M1637">
        <f>[2]TongHop!M1637</f>
        <v>0</v>
      </c>
      <c r="N1637">
        <f>[2]TongHop!N1637</f>
        <v>0</v>
      </c>
    </row>
    <row r="1638" spans="1:14">
      <c r="A1638">
        <f>[2]TongHop!A1638</f>
        <v>0</v>
      </c>
      <c r="B1638">
        <f>[2]TongHop!B1638</f>
        <v>0</v>
      </c>
      <c r="C1638">
        <f>[2]TongHop!C1638</f>
        <v>0</v>
      </c>
      <c r="D1638">
        <f>[2]TongHop!D1638</f>
        <v>0</v>
      </c>
      <c r="E1638">
        <f>[2]TongHop!E1638</f>
        <v>0</v>
      </c>
      <c r="F1638">
        <f>[2]TongHop!F1638</f>
        <v>0</v>
      </c>
      <c r="G1638">
        <f>[2]TongHop!G1638</f>
        <v>0</v>
      </c>
      <c r="H1638">
        <f>[2]TongHop!H1638</f>
        <v>0</v>
      </c>
      <c r="I1638">
        <f>[2]TongHop!I1638</f>
        <v>0</v>
      </c>
      <c r="J1638">
        <f>[2]TongHop!J1638</f>
        <v>0</v>
      </c>
      <c r="K1638">
        <f>[2]TongHop!K1638</f>
        <v>0</v>
      </c>
      <c r="L1638">
        <f>[2]TongHop!L1638</f>
        <v>0</v>
      </c>
      <c r="M1638">
        <f>[2]TongHop!M1638</f>
        <v>0</v>
      </c>
      <c r="N1638">
        <f>[2]TongHop!N1638</f>
        <v>0</v>
      </c>
    </row>
    <row r="1639" spans="1:14">
      <c r="A1639">
        <f>[2]TongHop!A1639</f>
        <v>0</v>
      </c>
      <c r="B1639">
        <f>[2]TongHop!B1639</f>
        <v>0</v>
      </c>
      <c r="C1639">
        <f>[2]TongHop!C1639</f>
        <v>0</v>
      </c>
      <c r="D1639">
        <f>[2]TongHop!D1639</f>
        <v>0</v>
      </c>
      <c r="E1639">
        <f>[2]TongHop!E1639</f>
        <v>0</v>
      </c>
      <c r="F1639">
        <f>[2]TongHop!F1639</f>
        <v>0</v>
      </c>
      <c r="G1639">
        <f>[2]TongHop!G1639</f>
        <v>0</v>
      </c>
      <c r="H1639">
        <f>[2]TongHop!H1639</f>
        <v>0</v>
      </c>
      <c r="I1639">
        <f>[2]TongHop!I1639</f>
        <v>0</v>
      </c>
      <c r="J1639">
        <f>[2]TongHop!J1639</f>
        <v>0</v>
      </c>
      <c r="K1639">
        <f>[2]TongHop!K1639</f>
        <v>0</v>
      </c>
      <c r="L1639">
        <f>[2]TongHop!L1639</f>
        <v>0</v>
      </c>
      <c r="M1639">
        <f>[2]TongHop!M1639</f>
        <v>0</v>
      </c>
      <c r="N1639">
        <f>[2]TongHop!N1639</f>
        <v>0</v>
      </c>
    </row>
    <row r="1640" spans="1:14">
      <c r="A1640">
        <f>[2]TongHop!A1640</f>
        <v>0</v>
      </c>
      <c r="B1640">
        <f>[2]TongHop!B1640</f>
        <v>0</v>
      </c>
      <c r="C1640">
        <f>[2]TongHop!C1640</f>
        <v>0</v>
      </c>
      <c r="D1640">
        <f>[2]TongHop!D1640</f>
        <v>0</v>
      </c>
      <c r="E1640">
        <f>[2]TongHop!E1640</f>
        <v>0</v>
      </c>
      <c r="F1640">
        <f>[2]TongHop!F1640</f>
        <v>0</v>
      </c>
      <c r="G1640">
        <f>[2]TongHop!G1640</f>
        <v>0</v>
      </c>
      <c r="H1640">
        <f>[2]TongHop!H1640</f>
        <v>0</v>
      </c>
      <c r="I1640">
        <f>[2]TongHop!I1640</f>
        <v>0</v>
      </c>
      <c r="J1640">
        <f>[2]TongHop!J1640</f>
        <v>0</v>
      </c>
      <c r="K1640">
        <f>[2]TongHop!K1640</f>
        <v>0</v>
      </c>
      <c r="L1640">
        <f>[2]TongHop!L1640</f>
        <v>0</v>
      </c>
      <c r="M1640">
        <f>[2]TongHop!M1640</f>
        <v>0</v>
      </c>
      <c r="N1640">
        <f>[2]TongHop!N1640</f>
        <v>0</v>
      </c>
    </row>
    <row r="1641" spans="1:14">
      <c r="A1641">
        <f>[2]TongHop!A1641</f>
        <v>0</v>
      </c>
      <c r="B1641">
        <f>[2]TongHop!B1641</f>
        <v>0</v>
      </c>
      <c r="C1641">
        <f>[2]TongHop!C1641</f>
        <v>0</v>
      </c>
      <c r="D1641">
        <f>[2]TongHop!D1641</f>
        <v>0</v>
      </c>
      <c r="E1641">
        <f>[2]TongHop!E1641</f>
        <v>0</v>
      </c>
      <c r="F1641">
        <f>[2]TongHop!F1641</f>
        <v>0</v>
      </c>
      <c r="G1641">
        <f>[2]TongHop!G1641</f>
        <v>0</v>
      </c>
      <c r="H1641">
        <f>[2]TongHop!H1641</f>
        <v>0</v>
      </c>
      <c r="I1641">
        <f>[2]TongHop!I1641</f>
        <v>0</v>
      </c>
      <c r="J1641">
        <f>[2]TongHop!J1641</f>
        <v>0</v>
      </c>
      <c r="K1641">
        <f>[2]TongHop!K1641</f>
        <v>0</v>
      </c>
      <c r="L1641">
        <f>[2]TongHop!L1641</f>
        <v>0</v>
      </c>
      <c r="M1641">
        <f>[2]TongHop!M1641</f>
        <v>0</v>
      </c>
      <c r="N1641">
        <f>[2]TongHop!N1641</f>
        <v>0</v>
      </c>
    </row>
    <row r="1642" spans="1:14">
      <c r="A1642">
        <f>[2]TongHop!A1642</f>
        <v>0</v>
      </c>
      <c r="B1642">
        <f>[2]TongHop!B1642</f>
        <v>0</v>
      </c>
      <c r="C1642">
        <f>[2]TongHop!C1642</f>
        <v>0</v>
      </c>
      <c r="D1642">
        <f>[2]TongHop!D1642</f>
        <v>0</v>
      </c>
      <c r="E1642">
        <f>[2]TongHop!E1642</f>
        <v>0</v>
      </c>
      <c r="F1642">
        <f>[2]TongHop!F1642</f>
        <v>0</v>
      </c>
      <c r="G1642">
        <f>[2]TongHop!G1642</f>
        <v>0</v>
      </c>
      <c r="H1642">
        <f>[2]TongHop!H1642</f>
        <v>0</v>
      </c>
      <c r="I1642">
        <f>[2]TongHop!I1642</f>
        <v>0</v>
      </c>
      <c r="J1642">
        <f>[2]TongHop!J1642</f>
        <v>0</v>
      </c>
      <c r="K1642">
        <f>[2]TongHop!K1642</f>
        <v>0</v>
      </c>
      <c r="L1642">
        <f>[2]TongHop!L1642</f>
        <v>0</v>
      </c>
      <c r="M1642">
        <f>[2]TongHop!M1642</f>
        <v>0</v>
      </c>
      <c r="N1642">
        <f>[2]TongHop!N1642</f>
        <v>0</v>
      </c>
    </row>
    <row r="1643" spans="1:14">
      <c r="A1643">
        <f>[2]TongHop!A1643</f>
        <v>0</v>
      </c>
      <c r="B1643">
        <f>[2]TongHop!B1643</f>
        <v>0</v>
      </c>
      <c r="C1643">
        <f>[2]TongHop!C1643</f>
        <v>0</v>
      </c>
      <c r="D1643">
        <f>[2]TongHop!D1643</f>
        <v>0</v>
      </c>
      <c r="E1643">
        <f>[2]TongHop!E1643</f>
        <v>0</v>
      </c>
      <c r="F1643">
        <f>[2]TongHop!F1643</f>
        <v>0</v>
      </c>
      <c r="G1643">
        <f>[2]TongHop!G1643</f>
        <v>0</v>
      </c>
      <c r="H1643">
        <f>[2]TongHop!H1643</f>
        <v>0</v>
      </c>
      <c r="I1643">
        <f>[2]TongHop!I1643</f>
        <v>0</v>
      </c>
      <c r="J1643">
        <f>[2]TongHop!J1643</f>
        <v>0</v>
      </c>
      <c r="K1643">
        <f>[2]TongHop!K1643</f>
        <v>0</v>
      </c>
      <c r="L1643">
        <f>[2]TongHop!L1643</f>
        <v>0</v>
      </c>
      <c r="M1643">
        <f>[2]TongHop!M1643</f>
        <v>0</v>
      </c>
      <c r="N1643">
        <f>[2]TongHop!N1643</f>
        <v>0</v>
      </c>
    </row>
    <row r="1644" spans="1:14">
      <c r="A1644">
        <f>[2]TongHop!A1644</f>
        <v>0</v>
      </c>
      <c r="B1644">
        <f>[2]TongHop!B1644</f>
        <v>0</v>
      </c>
      <c r="C1644">
        <f>[2]TongHop!C1644</f>
        <v>0</v>
      </c>
      <c r="D1644">
        <f>[2]TongHop!D1644</f>
        <v>0</v>
      </c>
      <c r="E1644">
        <f>[2]TongHop!E1644</f>
        <v>0</v>
      </c>
      <c r="F1644">
        <f>[2]TongHop!F1644</f>
        <v>0</v>
      </c>
      <c r="G1644">
        <f>[2]TongHop!G1644</f>
        <v>0</v>
      </c>
      <c r="H1644">
        <f>[2]TongHop!H1644</f>
        <v>0</v>
      </c>
      <c r="I1644">
        <f>[2]TongHop!I1644</f>
        <v>0</v>
      </c>
      <c r="J1644">
        <f>[2]TongHop!J1644</f>
        <v>0</v>
      </c>
      <c r="K1644">
        <f>[2]TongHop!K1644</f>
        <v>0</v>
      </c>
      <c r="L1644">
        <f>[2]TongHop!L1644</f>
        <v>0</v>
      </c>
      <c r="M1644">
        <f>[2]TongHop!M1644</f>
        <v>0</v>
      </c>
      <c r="N1644">
        <f>[2]TongHop!N1644</f>
        <v>0</v>
      </c>
    </row>
    <row r="1645" spans="1:14">
      <c r="A1645">
        <f>[2]TongHop!A1645</f>
        <v>0</v>
      </c>
      <c r="B1645">
        <f>[2]TongHop!B1645</f>
        <v>0</v>
      </c>
      <c r="C1645">
        <f>[2]TongHop!C1645</f>
        <v>0</v>
      </c>
      <c r="D1645">
        <f>[2]TongHop!D1645</f>
        <v>0</v>
      </c>
      <c r="E1645">
        <f>[2]TongHop!E1645</f>
        <v>0</v>
      </c>
      <c r="F1645">
        <f>[2]TongHop!F1645</f>
        <v>0</v>
      </c>
      <c r="G1645">
        <f>[2]TongHop!G1645</f>
        <v>0</v>
      </c>
      <c r="H1645">
        <f>[2]TongHop!H1645</f>
        <v>0</v>
      </c>
      <c r="I1645">
        <f>[2]TongHop!I1645</f>
        <v>0</v>
      </c>
      <c r="J1645">
        <f>[2]TongHop!J1645</f>
        <v>0</v>
      </c>
      <c r="K1645">
        <f>[2]TongHop!K1645</f>
        <v>0</v>
      </c>
      <c r="L1645">
        <f>[2]TongHop!L1645</f>
        <v>0</v>
      </c>
      <c r="M1645">
        <f>[2]TongHop!M1645</f>
        <v>0</v>
      </c>
      <c r="N1645">
        <f>[2]TongHop!N1645</f>
        <v>0</v>
      </c>
    </row>
    <row r="1646" spans="1:14">
      <c r="A1646">
        <f>[2]TongHop!A1646</f>
        <v>0</v>
      </c>
      <c r="B1646">
        <f>[2]TongHop!B1646</f>
        <v>0</v>
      </c>
      <c r="C1646">
        <f>[2]TongHop!C1646</f>
        <v>0</v>
      </c>
      <c r="D1646">
        <f>[2]TongHop!D1646</f>
        <v>0</v>
      </c>
      <c r="E1646">
        <f>[2]TongHop!E1646</f>
        <v>0</v>
      </c>
      <c r="F1646">
        <f>[2]TongHop!F1646</f>
        <v>0</v>
      </c>
      <c r="G1646">
        <f>[2]TongHop!G1646</f>
        <v>0</v>
      </c>
      <c r="H1646">
        <f>[2]TongHop!H1646</f>
        <v>0</v>
      </c>
      <c r="I1646">
        <f>[2]TongHop!I1646</f>
        <v>0</v>
      </c>
      <c r="J1646">
        <f>[2]TongHop!J1646</f>
        <v>0</v>
      </c>
      <c r="K1646">
        <f>[2]TongHop!K1646</f>
        <v>0</v>
      </c>
      <c r="L1646">
        <f>[2]TongHop!L1646</f>
        <v>0</v>
      </c>
      <c r="M1646">
        <f>[2]TongHop!M1646</f>
        <v>0</v>
      </c>
      <c r="N1646">
        <f>[2]TongHop!N1646</f>
        <v>0</v>
      </c>
    </row>
    <row r="1647" spans="1:14">
      <c r="A1647">
        <f>[2]TongHop!A1647</f>
        <v>0</v>
      </c>
      <c r="B1647">
        <f>[2]TongHop!B1647</f>
        <v>0</v>
      </c>
      <c r="C1647">
        <f>[2]TongHop!C1647</f>
        <v>0</v>
      </c>
      <c r="D1647">
        <f>[2]TongHop!D1647</f>
        <v>0</v>
      </c>
      <c r="E1647">
        <f>[2]TongHop!E1647</f>
        <v>0</v>
      </c>
      <c r="F1647">
        <f>[2]TongHop!F1647</f>
        <v>0</v>
      </c>
      <c r="G1647">
        <f>[2]TongHop!G1647</f>
        <v>0</v>
      </c>
      <c r="H1647">
        <f>[2]TongHop!H1647</f>
        <v>0</v>
      </c>
      <c r="I1647">
        <f>[2]TongHop!I1647</f>
        <v>0</v>
      </c>
      <c r="J1647">
        <f>[2]TongHop!J1647</f>
        <v>0</v>
      </c>
      <c r="K1647">
        <f>[2]TongHop!K1647</f>
        <v>0</v>
      </c>
      <c r="L1647">
        <f>[2]TongHop!L1647</f>
        <v>0</v>
      </c>
      <c r="M1647">
        <f>[2]TongHop!M1647</f>
        <v>0</v>
      </c>
      <c r="N1647">
        <f>[2]TongHop!N1647</f>
        <v>0</v>
      </c>
    </row>
    <row r="1648" spans="1:14">
      <c r="A1648">
        <f>[2]TongHop!A1648</f>
        <v>0</v>
      </c>
      <c r="B1648">
        <f>[2]TongHop!B1648</f>
        <v>0</v>
      </c>
      <c r="C1648">
        <f>[2]TongHop!C1648</f>
        <v>0</v>
      </c>
      <c r="D1648">
        <f>[2]TongHop!D1648</f>
        <v>0</v>
      </c>
      <c r="E1648">
        <f>[2]TongHop!E1648</f>
        <v>0</v>
      </c>
      <c r="F1648">
        <f>[2]TongHop!F1648</f>
        <v>0</v>
      </c>
      <c r="G1648">
        <f>[2]TongHop!G1648</f>
        <v>0</v>
      </c>
      <c r="H1648">
        <f>[2]TongHop!H1648</f>
        <v>0</v>
      </c>
      <c r="I1648">
        <f>[2]TongHop!I1648</f>
        <v>0</v>
      </c>
      <c r="J1648">
        <f>[2]TongHop!J1648</f>
        <v>0</v>
      </c>
      <c r="K1648">
        <f>[2]TongHop!K1648</f>
        <v>0</v>
      </c>
      <c r="L1648">
        <f>[2]TongHop!L1648</f>
        <v>0</v>
      </c>
      <c r="M1648">
        <f>[2]TongHop!M1648</f>
        <v>0</v>
      </c>
      <c r="N1648">
        <f>[2]TongHop!N1648</f>
        <v>0</v>
      </c>
    </row>
    <row r="1649" spans="1:14">
      <c r="A1649">
        <f>[2]TongHop!A1649</f>
        <v>0</v>
      </c>
      <c r="B1649">
        <f>[2]TongHop!B1649</f>
        <v>0</v>
      </c>
      <c r="C1649">
        <f>[2]TongHop!C1649</f>
        <v>0</v>
      </c>
      <c r="D1649">
        <f>[2]TongHop!D1649</f>
        <v>0</v>
      </c>
      <c r="E1649">
        <f>[2]TongHop!E1649</f>
        <v>0</v>
      </c>
      <c r="F1649">
        <f>[2]TongHop!F1649</f>
        <v>0</v>
      </c>
      <c r="G1649">
        <f>[2]TongHop!G1649</f>
        <v>0</v>
      </c>
      <c r="H1649">
        <f>[2]TongHop!H1649</f>
        <v>0</v>
      </c>
      <c r="I1649">
        <f>[2]TongHop!I1649</f>
        <v>0</v>
      </c>
      <c r="J1649">
        <f>[2]TongHop!J1649</f>
        <v>0</v>
      </c>
      <c r="K1649">
        <f>[2]TongHop!K1649</f>
        <v>0</v>
      </c>
      <c r="L1649">
        <f>[2]TongHop!L1649</f>
        <v>0</v>
      </c>
      <c r="M1649">
        <f>[2]TongHop!M1649</f>
        <v>0</v>
      </c>
      <c r="N1649">
        <f>[2]TongHop!N1649</f>
        <v>0</v>
      </c>
    </row>
    <row r="1650" spans="1:14">
      <c r="A1650">
        <f>[2]TongHop!A1650</f>
        <v>0</v>
      </c>
      <c r="B1650">
        <f>[2]TongHop!B1650</f>
        <v>0</v>
      </c>
      <c r="C1650">
        <f>[2]TongHop!C1650</f>
        <v>0</v>
      </c>
      <c r="D1650">
        <f>[2]TongHop!D1650</f>
        <v>0</v>
      </c>
      <c r="E1650">
        <f>[2]TongHop!E1650</f>
        <v>0</v>
      </c>
      <c r="F1650">
        <f>[2]TongHop!F1650</f>
        <v>0</v>
      </c>
      <c r="G1650">
        <f>[2]TongHop!G1650</f>
        <v>0</v>
      </c>
      <c r="H1650">
        <f>[2]TongHop!H1650</f>
        <v>0</v>
      </c>
      <c r="I1650">
        <f>[2]TongHop!I1650</f>
        <v>0</v>
      </c>
      <c r="J1650">
        <f>[2]TongHop!J1650</f>
        <v>0</v>
      </c>
      <c r="K1650">
        <f>[2]TongHop!K1650</f>
        <v>0</v>
      </c>
      <c r="L1650">
        <f>[2]TongHop!L1650</f>
        <v>0</v>
      </c>
      <c r="M1650">
        <f>[2]TongHop!M1650</f>
        <v>0</v>
      </c>
      <c r="N1650">
        <f>[2]TongHop!N1650</f>
        <v>0</v>
      </c>
    </row>
    <row r="1651" spans="1:14">
      <c r="A1651">
        <f>[2]TongHop!A1651</f>
        <v>0</v>
      </c>
      <c r="B1651">
        <f>[2]TongHop!B1651</f>
        <v>0</v>
      </c>
      <c r="C1651">
        <f>[2]TongHop!C1651</f>
        <v>0</v>
      </c>
      <c r="D1651">
        <f>[2]TongHop!D1651</f>
        <v>0</v>
      </c>
      <c r="E1651">
        <f>[2]TongHop!E1651</f>
        <v>0</v>
      </c>
      <c r="F1651">
        <f>[2]TongHop!F1651</f>
        <v>0</v>
      </c>
      <c r="G1651">
        <f>[2]TongHop!G1651</f>
        <v>0</v>
      </c>
      <c r="H1651">
        <f>[2]TongHop!H1651</f>
        <v>0</v>
      </c>
      <c r="I1651">
        <f>[2]TongHop!I1651</f>
        <v>0</v>
      </c>
      <c r="J1651">
        <f>[2]TongHop!J1651</f>
        <v>0</v>
      </c>
      <c r="K1651">
        <f>[2]TongHop!K1651</f>
        <v>0</v>
      </c>
      <c r="L1651">
        <f>[2]TongHop!L1651</f>
        <v>0</v>
      </c>
      <c r="M1651">
        <f>[2]TongHop!M1651</f>
        <v>0</v>
      </c>
      <c r="N1651">
        <f>[2]TongHop!N1651</f>
        <v>0</v>
      </c>
    </row>
    <row r="1652" spans="1:14">
      <c r="A1652">
        <f>[2]TongHop!A1652</f>
        <v>0</v>
      </c>
      <c r="B1652">
        <f>[2]TongHop!B1652</f>
        <v>0</v>
      </c>
      <c r="C1652">
        <f>[2]TongHop!C1652</f>
        <v>0</v>
      </c>
      <c r="D1652">
        <f>[2]TongHop!D1652</f>
        <v>0</v>
      </c>
      <c r="E1652">
        <f>[2]TongHop!E1652</f>
        <v>0</v>
      </c>
      <c r="F1652">
        <f>[2]TongHop!F1652</f>
        <v>0</v>
      </c>
      <c r="G1652">
        <f>[2]TongHop!G1652</f>
        <v>0</v>
      </c>
      <c r="H1652">
        <f>[2]TongHop!H1652</f>
        <v>0</v>
      </c>
      <c r="I1652">
        <f>[2]TongHop!I1652</f>
        <v>0</v>
      </c>
      <c r="J1652">
        <f>[2]TongHop!J1652</f>
        <v>0</v>
      </c>
      <c r="K1652">
        <f>[2]TongHop!K1652</f>
        <v>0</v>
      </c>
      <c r="L1652">
        <f>[2]TongHop!L1652</f>
        <v>0</v>
      </c>
      <c r="M1652">
        <f>[2]TongHop!M1652</f>
        <v>0</v>
      </c>
      <c r="N1652">
        <f>[2]TongHop!N1652</f>
        <v>0</v>
      </c>
    </row>
    <row r="1653" spans="1:14">
      <c r="A1653">
        <f>[2]TongHop!A1653</f>
        <v>0</v>
      </c>
      <c r="B1653">
        <f>[2]TongHop!B1653</f>
        <v>0</v>
      </c>
      <c r="C1653">
        <f>[2]TongHop!C1653</f>
        <v>0</v>
      </c>
      <c r="D1653">
        <f>[2]TongHop!D1653</f>
        <v>0</v>
      </c>
      <c r="E1653">
        <f>[2]TongHop!E1653</f>
        <v>0</v>
      </c>
      <c r="F1653">
        <f>[2]TongHop!F1653</f>
        <v>0</v>
      </c>
      <c r="G1653">
        <f>[2]TongHop!G1653</f>
        <v>0</v>
      </c>
      <c r="H1653">
        <f>[2]TongHop!H1653</f>
        <v>0</v>
      </c>
      <c r="I1653">
        <f>[2]TongHop!I1653</f>
        <v>0</v>
      </c>
      <c r="J1653">
        <f>[2]TongHop!J1653</f>
        <v>0</v>
      </c>
      <c r="K1653">
        <f>[2]TongHop!K1653</f>
        <v>0</v>
      </c>
      <c r="L1653">
        <f>[2]TongHop!L1653</f>
        <v>0</v>
      </c>
      <c r="M1653">
        <f>[2]TongHop!M1653</f>
        <v>0</v>
      </c>
      <c r="N1653">
        <f>[2]TongHop!N1653</f>
        <v>0</v>
      </c>
    </row>
    <row r="1654" spans="1:14">
      <c r="A1654">
        <f>[2]TongHop!A1654</f>
        <v>0</v>
      </c>
      <c r="B1654">
        <f>[2]TongHop!B1654</f>
        <v>0</v>
      </c>
      <c r="C1654">
        <f>[2]TongHop!C1654</f>
        <v>0</v>
      </c>
      <c r="D1654">
        <f>[2]TongHop!D1654</f>
        <v>0</v>
      </c>
      <c r="E1654">
        <f>[2]TongHop!E1654</f>
        <v>0</v>
      </c>
      <c r="F1654">
        <f>[2]TongHop!F1654</f>
        <v>0</v>
      </c>
      <c r="G1654">
        <f>[2]TongHop!G1654</f>
        <v>0</v>
      </c>
      <c r="H1654">
        <f>[2]TongHop!H1654</f>
        <v>0</v>
      </c>
      <c r="I1654">
        <f>[2]TongHop!I1654</f>
        <v>0</v>
      </c>
      <c r="J1654">
        <f>[2]TongHop!J1654</f>
        <v>0</v>
      </c>
      <c r="K1654">
        <f>[2]TongHop!K1654</f>
        <v>0</v>
      </c>
      <c r="L1654">
        <f>[2]TongHop!L1654</f>
        <v>0</v>
      </c>
      <c r="M1654">
        <f>[2]TongHop!M1654</f>
        <v>0</v>
      </c>
      <c r="N1654">
        <f>[2]TongHop!N1654</f>
        <v>0</v>
      </c>
    </row>
    <row r="1655" spans="1:14">
      <c r="A1655">
        <f>[2]TongHop!A1655</f>
        <v>0</v>
      </c>
      <c r="B1655">
        <f>[2]TongHop!B1655</f>
        <v>0</v>
      </c>
      <c r="C1655">
        <f>[2]TongHop!C1655</f>
        <v>0</v>
      </c>
      <c r="D1655">
        <f>[2]TongHop!D1655</f>
        <v>0</v>
      </c>
      <c r="E1655">
        <f>[2]TongHop!E1655</f>
        <v>0</v>
      </c>
      <c r="F1655">
        <f>[2]TongHop!F1655</f>
        <v>0</v>
      </c>
      <c r="G1655">
        <f>[2]TongHop!G1655</f>
        <v>0</v>
      </c>
      <c r="H1655">
        <f>[2]TongHop!H1655</f>
        <v>0</v>
      </c>
      <c r="I1655">
        <f>[2]TongHop!I1655</f>
        <v>0</v>
      </c>
      <c r="J1655">
        <f>[2]TongHop!J1655</f>
        <v>0</v>
      </c>
      <c r="K1655">
        <f>[2]TongHop!K1655</f>
        <v>0</v>
      </c>
      <c r="L1655">
        <f>[2]TongHop!L1655</f>
        <v>0</v>
      </c>
      <c r="M1655">
        <f>[2]TongHop!M1655</f>
        <v>0</v>
      </c>
      <c r="N1655">
        <f>[2]TongHop!N1655</f>
        <v>0</v>
      </c>
    </row>
    <row r="1656" spans="1:14">
      <c r="A1656">
        <f>[2]TongHop!A1656</f>
        <v>0</v>
      </c>
      <c r="B1656">
        <f>[2]TongHop!B1656</f>
        <v>0</v>
      </c>
      <c r="C1656">
        <f>[2]TongHop!C1656</f>
        <v>0</v>
      </c>
      <c r="D1656">
        <f>[2]TongHop!D1656</f>
        <v>0</v>
      </c>
      <c r="E1656">
        <f>[2]TongHop!E1656</f>
        <v>0</v>
      </c>
      <c r="F1656">
        <f>[2]TongHop!F1656</f>
        <v>0</v>
      </c>
      <c r="G1656">
        <f>[2]TongHop!G1656</f>
        <v>0</v>
      </c>
      <c r="H1656">
        <f>[2]TongHop!H1656</f>
        <v>0</v>
      </c>
      <c r="I1656">
        <f>[2]TongHop!I1656</f>
        <v>0</v>
      </c>
      <c r="J1656">
        <f>[2]TongHop!J1656</f>
        <v>0</v>
      </c>
      <c r="K1656">
        <f>[2]TongHop!K1656</f>
        <v>0</v>
      </c>
      <c r="L1656">
        <f>[2]TongHop!L1656</f>
        <v>0</v>
      </c>
      <c r="M1656">
        <f>[2]TongHop!M1656</f>
        <v>0</v>
      </c>
      <c r="N1656">
        <f>[2]TongHop!N1656</f>
        <v>0</v>
      </c>
    </row>
    <row r="1657" spans="1:14">
      <c r="A1657">
        <f>[2]TongHop!A1657</f>
        <v>0</v>
      </c>
      <c r="B1657">
        <f>[2]TongHop!B1657</f>
        <v>0</v>
      </c>
      <c r="C1657">
        <f>[2]TongHop!C1657</f>
        <v>0</v>
      </c>
      <c r="D1657">
        <f>[2]TongHop!D1657</f>
        <v>0</v>
      </c>
      <c r="E1657">
        <f>[2]TongHop!E1657</f>
        <v>0</v>
      </c>
      <c r="F1657">
        <f>[2]TongHop!F1657</f>
        <v>0</v>
      </c>
      <c r="G1657">
        <f>[2]TongHop!G1657</f>
        <v>0</v>
      </c>
      <c r="H1657">
        <f>[2]TongHop!H1657</f>
        <v>0</v>
      </c>
      <c r="I1657">
        <f>[2]TongHop!I1657</f>
        <v>0</v>
      </c>
      <c r="J1657">
        <f>[2]TongHop!J1657</f>
        <v>0</v>
      </c>
      <c r="K1657">
        <f>[2]TongHop!K1657</f>
        <v>0</v>
      </c>
      <c r="L1657">
        <f>[2]TongHop!L1657</f>
        <v>0</v>
      </c>
      <c r="M1657">
        <f>[2]TongHop!M1657</f>
        <v>0</v>
      </c>
      <c r="N1657">
        <f>[2]TongHop!N1657</f>
        <v>0</v>
      </c>
    </row>
    <row r="1658" spans="1:14">
      <c r="A1658">
        <f>[2]TongHop!A1658</f>
        <v>0</v>
      </c>
      <c r="B1658">
        <f>[2]TongHop!B1658</f>
        <v>0</v>
      </c>
      <c r="C1658">
        <f>[2]TongHop!C1658</f>
        <v>0</v>
      </c>
      <c r="D1658">
        <f>[2]TongHop!D1658</f>
        <v>0</v>
      </c>
      <c r="E1658">
        <f>[2]TongHop!E1658</f>
        <v>0</v>
      </c>
      <c r="F1658">
        <f>[2]TongHop!F1658</f>
        <v>0</v>
      </c>
      <c r="G1658">
        <f>[2]TongHop!G1658</f>
        <v>0</v>
      </c>
      <c r="H1658">
        <f>[2]TongHop!H1658</f>
        <v>0</v>
      </c>
      <c r="I1658">
        <f>[2]TongHop!I1658</f>
        <v>0</v>
      </c>
      <c r="J1658">
        <f>[2]TongHop!J1658</f>
        <v>0</v>
      </c>
      <c r="K1658">
        <f>[2]TongHop!K1658</f>
        <v>0</v>
      </c>
      <c r="L1658">
        <f>[2]TongHop!L1658</f>
        <v>0</v>
      </c>
      <c r="M1658">
        <f>[2]TongHop!M1658</f>
        <v>0</v>
      </c>
      <c r="N1658">
        <f>[2]TongHop!N1658</f>
        <v>0</v>
      </c>
    </row>
    <row r="1659" spans="1:14">
      <c r="A1659">
        <f>[2]TongHop!A1659</f>
        <v>0</v>
      </c>
      <c r="B1659">
        <f>[2]TongHop!B1659</f>
        <v>0</v>
      </c>
      <c r="C1659">
        <f>[2]TongHop!C1659</f>
        <v>0</v>
      </c>
      <c r="D1659">
        <f>[2]TongHop!D1659</f>
        <v>0</v>
      </c>
      <c r="E1659">
        <f>[2]TongHop!E1659</f>
        <v>0</v>
      </c>
      <c r="F1659">
        <f>[2]TongHop!F1659</f>
        <v>0</v>
      </c>
      <c r="G1659">
        <f>[2]TongHop!G1659</f>
        <v>0</v>
      </c>
      <c r="H1659">
        <f>[2]TongHop!H1659</f>
        <v>0</v>
      </c>
      <c r="I1659">
        <f>[2]TongHop!I1659</f>
        <v>0</v>
      </c>
      <c r="J1659">
        <f>[2]TongHop!J1659</f>
        <v>0</v>
      </c>
      <c r="K1659">
        <f>[2]TongHop!K1659</f>
        <v>0</v>
      </c>
      <c r="L1659">
        <f>[2]TongHop!L1659</f>
        <v>0</v>
      </c>
      <c r="M1659">
        <f>[2]TongHop!M1659</f>
        <v>0</v>
      </c>
      <c r="N1659">
        <f>[2]TongHop!N1659</f>
        <v>0</v>
      </c>
    </row>
    <row r="1660" spans="1:14">
      <c r="A1660">
        <f>[2]TongHop!A1660</f>
        <v>0</v>
      </c>
      <c r="B1660">
        <f>[2]TongHop!B1660</f>
        <v>0</v>
      </c>
      <c r="C1660">
        <f>[2]TongHop!C1660</f>
        <v>0</v>
      </c>
      <c r="D1660">
        <f>[2]TongHop!D1660</f>
        <v>0</v>
      </c>
      <c r="E1660">
        <f>[2]TongHop!E1660</f>
        <v>0</v>
      </c>
      <c r="F1660">
        <f>[2]TongHop!F1660</f>
        <v>0</v>
      </c>
      <c r="G1660">
        <f>[2]TongHop!G1660</f>
        <v>0</v>
      </c>
      <c r="H1660">
        <f>[2]TongHop!H1660</f>
        <v>0</v>
      </c>
      <c r="I1660">
        <f>[2]TongHop!I1660</f>
        <v>0</v>
      </c>
      <c r="J1660">
        <f>[2]TongHop!J1660</f>
        <v>0</v>
      </c>
      <c r="K1660">
        <f>[2]TongHop!K1660</f>
        <v>0</v>
      </c>
      <c r="L1660">
        <f>[2]TongHop!L1660</f>
        <v>0</v>
      </c>
      <c r="M1660">
        <f>[2]TongHop!M1660</f>
        <v>0</v>
      </c>
      <c r="N1660">
        <f>[2]TongHop!N1660</f>
        <v>0</v>
      </c>
    </row>
    <row r="1661" spans="1:14">
      <c r="A1661">
        <f>[2]TongHop!A1661</f>
        <v>0</v>
      </c>
      <c r="B1661">
        <f>[2]TongHop!B1661</f>
        <v>0</v>
      </c>
      <c r="C1661">
        <f>[2]TongHop!C1661</f>
        <v>0</v>
      </c>
      <c r="D1661">
        <f>[2]TongHop!D1661</f>
        <v>0</v>
      </c>
      <c r="E1661">
        <f>[2]TongHop!E1661</f>
        <v>0</v>
      </c>
      <c r="F1661">
        <f>[2]TongHop!F1661</f>
        <v>0</v>
      </c>
      <c r="G1661">
        <f>[2]TongHop!G1661</f>
        <v>0</v>
      </c>
      <c r="H1661">
        <f>[2]TongHop!H1661</f>
        <v>0</v>
      </c>
      <c r="I1661">
        <f>[2]TongHop!I1661</f>
        <v>0</v>
      </c>
      <c r="J1661">
        <f>[2]TongHop!J1661</f>
        <v>0</v>
      </c>
      <c r="K1661">
        <f>[2]TongHop!K1661</f>
        <v>0</v>
      </c>
      <c r="L1661">
        <f>[2]TongHop!L1661</f>
        <v>0</v>
      </c>
      <c r="M1661">
        <f>[2]TongHop!M1661</f>
        <v>0</v>
      </c>
      <c r="N1661">
        <f>[2]TongHop!N1661</f>
        <v>0</v>
      </c>
    </row>
    <row r="1662" spans="1:14">
      <c r="A1662">
        <f>[2]TongHop!A1662</f>
        <v>0</v>
      </c>
      <c r="B1662">
        <f>[2]TongHop!B1662</f>
        <v>0</v>
      </c>
      <c r="C1662">
        <f>[2]TongHop!C1662</f>
        <v>0</v>
      </c>
      <c r="D1662">
        <f>[2]TongHop!D1662</f>
        <v>0</v>
      </c>
      <c r="E1662">
        <f>[2]TongHop!E1662</f>
        <v>0</v>
      </c>
      <c r="F1662">
        <f>[2]TongHop!F1662</f>
        <v>0</v>
      </c>
      <c r="G1662">
        <f>[2]TongHop!G1662</f>
        <v>0</v>
      </c>
      <c r="H1662">
        <f>[2]TongHop!H1662</f>
        <v>0</v>
      </c>
      <c r="I1662">
        <f>[2]TongHop!I1662</f>
        <v>0</v>
      </c>
      <c r="J1662">
        <f>[2]TongHop!J1662</f>
        <v>0</v>
      </c>
      <c r="K1662">
        <f>[2]TongHop!K1662</f>
        <v>0</v>
      </c>
      <c r="L1662">
        <f>[2]TongHop!L1662</f>
        <v>0</v>
      </c>
      <c r="M1662">
        <f>[2]TongHop!M1662</f>
        <v>0</v>
      </c>
      <c r="N1662">
        <f>[2]TongHop!N1662</f>
        <v>0</v>
      </c>
    </row>
    <row r="1663" spans="1:14">
      <c r="A1663">
        <f>[2]TongHop!A1663</f>
        <v>0</v>
      </c>
      <c r="B1663">
        <f>[2]TongHop!B1663</f>
        <v>0</v>
      </c>
      <c r="C1663">
        <f>[2]TongHop!C1663</f>
        <v>0</v>
      </c>
      <c r="D1663">
        <f>[2]TongHop!D1663</f>
        <v>0</v>
      </c>
      <c r="E1663">
        <f>[2]TongHop!E1663</f>
        <v>0</v>
      </c>
      <c r="F1663">
        <f>[2]TongHop!F1663</f>
        <v>0</v>
      </c>
      <c r="G1663">
        <f>[2]TongHop!G1663</f>
        <v>0</v>
      </c>
      <c r="H1663">
        <f>[2]TongHop!H1663</f>
        <v>0</v>
      </c>
      <c r="I1663">
        <f>[2]TongHop!I1663</f>
        <v>0</v>
      </c>
      <c r="J1663">
        <f>[2]TongHop!J1663</f>
        <v>0</v>
      </c>
      <c r="K1663">
        <f>[2]TongHop!K1663</f>
        <v>0</v>
      </c>
      <c r="L1663">
        <f>[2]TongHop!L1663</f>
        <v>0</v>
      </c>
      <c r="M1663">
        <f>[2]TongHop!M1663</f>
        <v>0</v>
      </c>
      <c r="N1663">
        <f>[2]TongHop!N1663</f>
        <v>0</v>
      </c>
    </row>
    <row r="1664" spans="1:14">
      <c r="A1664">
        <f>[2]TongHop!A1664</f>
        <v>0</v>
      </c>
      <c r="B1664">
        <f>[2]TongHop!B1664</f>
        <v>0</v>
      </c>
      <c r="C1664">
        <f>[2]TongHop!C1664</f>
        <v>0</v>
      </c>
      <c r="D1664">
        <f>[2]TongHop!D1664</f>
        <v>0</v>
      </c>
      <c r="E1664">
        <f>[2]TongHop!E1664</f>
        <v>0</v>
      </c>
      <c r="F1664">
        <f>[2]TongHop!F1664</f>
        <v>0</v>
      </c>
      <c r="G1664">
        <f>[2]TongHop!G1664</f>
        <v>0</v>
      </c>
      <c r="H1664">
        <f>[2]TongHop!H1664</f>
        <v>0</v>
      </c>
      <c r="I1664">
        <f>[2]TongHop!I1664</f>
        <v>0</v>
      </c>
      <c r="J1664">
        <f>[2]TongHop!J1664</f>
        <v>0</v>
      </c>
      <c r="K1664">
        <f>[2]TongHop!K1664</f>
        <v>0</v>
      </c>
      <c r="L1664">
        <f>[2]TongHop!L1664</f>
        <v>0</v>
      </c>
      <c r="M1664">
        <f>[2]TongHop!M1664</f>
        <v>0</v>
      </c>
      <c r="N1664">
        <f>[2]TongHop!N1664</f>
        <v>0</v>
      </c>
    </row>
    <row r="1665" spans="1:14">
      <c r="A1665">
        <f>[2]TongHop!A1665</f>
        <v>0</v>
      </c>
      <c r="B1665">
        <f>[2]TongHop!B1665</f>
        <v>0</v>
      </c>
      <c r="C1665">
        <f>[2]TongHop!C1665</f>
        <v>0</v>
      </c>
      <c r="D1665">
        <f>[2]TongHop!D1665</f>
        <v>0</v>
      </c>
      <c r="E1665">
        <f>[2]TongHop!E1665</f>
        <v>0</v>
      </c>
      <c r="F1665">
        <f>[2]TongHop!F1665</f>
        <v>0</v>
      </c>
      <c r="G1665">
        <f>[2]TongHop!G1665</f>
        <v>0</v>
      </c>
      <c r="H1665">
        <f>[2]TongHop!H1665</f>
        <v>0</v>
      </c>
      <c r="I1665">
        <f>[2]TongHop!I1665</f>
        <v>0</v>
      </c>
      <c r="J1665">
        <f>[2]TongHop!J1665</f>
        <v>0</v>
      </c>
      <c r="K1665">
        <f>[2]TongHop!K1665</f>
        <v>0</v>
      </c>
      <c r="L1665">
        <f>[2]TongHop!L1665</f>
        <v>0</v>
      </c>
      <c r="M1665">
        <f>[2]TongHop!M1665</f>
        <v>0</v>
      </c>
      <c r="N1665">
        <f>[2]TongHop!N1665</f>
        <v>0</v>
      </c>
    </row>
    <row r="1666" spans="1:14">
      <c r="A1666">
        <f>[2]TongHop!A1666</f>
        <v>0</v>
      </c>
      <c r="B1666">
        <f>[2]TongHop!B1666</f>
        <v>0</v>
      </c>
      <c r="C1666">
        <f>[2]TongHop!C1666</f>
        <v>0</v>
      </c>
      <c r="D1666">
        <f>[2]TongHop!D1666</f>
        <v>0</v>
      </c>
      <c r="E1666">
        <f>[2]TongHop!E1666</f>
        <v>0</v>
      </c>
      <c r="F1666">
        <f>[2]TongHop!F1666</f>
        <v>0</v>
      </c>
      <c r="G1666">
        <f>[2]TongHop!G1666</f>
        <v>0</v>
      </c>
      <c r="H1666">
        <f>[2]TongHop!H1666</f>
        <v>0</v>
      </c>
      <c r="I1666">
        <f>[2]TongHop!I1666</f>
        <v>0</v>
      </c>
      <c r="J1666">
        <f>[2]TongHop!J1666</f>
        <v>0</v>
      </c>
      <c r="K1666">
        <f>[2]TongHop!K1666</f>
        <v>0</v>
      </c>
      <c r="L1666">
        <f>[2]TongHop!L1666</f>
        <v>0</v>
      </c>
      <c r="M1666">
        <f>[2]TongHop!M1666</f>
        <v>0</v>
      </c>
      <c r="N1666">
        <f>[2]TongHop!N1666</f>
        <v>0</v>
      </c>
    </row>
    <row r="1667" spans="1:14">
      <c r="A1667">
        <f>[2]TongHop!A1667</f>
        <v>0</v>
      </c>
      <c r="B1667">
        <f>[2]TongHop!B1667</f>
        <v>0</v>
      </c>
      <c r="C1667">
        <f>[2]TongHop!C1667</f>
        <v>0</v>
      </c>
      <c r="D1667">
        <f>[2]TongHop!D1667</f>
        <v>0</v>
      </c>
      <c r="E1667">
        <f>[2]TongHop!E1667</f>
        <v>0</v>
      </c>
      <c r="F1667">
        <f>[2]TongHop!F1667</f>
        <v>0</v>
      </c>
      <c r="G1667">
        <f>[2]TongHop!G1667</f>
        <v>0</v>
      </c>
      <c r="H1667">
        <f>[2]TongHop!H1667</f>
        <v>0</v>
      </c>
      <c r="I1667">
        <f>[2]TongHop!I1667</f>
        <v>0</v>
      </c>
      <c r="J1667">
        <f>[2]TongHop!J1667</f>
        <v>0</v>
      </c>
      <c r="K1667">
        <f>[2]TongHop!K1667</f>
        <v>0</v>
      </c>
      <c r="L1667">
        <f>[2]TongHop!L1667</f>
        <v>0</v>
      </c>
      <c r="M1667">
        <f>[2]TongHop!M1667</f>
        <v>0</v>
      </c>
      <c r="N1667">
        <f>[2]TongHop!N1667</f>
        <v>0</v>
      </c>
    </row>
    <row r="1668" spans="1:14">
      <c r="A1668">
        <f>[2]TongHop!A1668</f>
        <v>0</v>
      </c>
      <c r="B1668">
        <f>[2]TongHop!B1668</f>
        <v>0</v>
      </c>
      <c r="C1668">
        <f>[2]TongHop!C1668</f>
        <v>0</v>
      </c>
      <c r="D1668">
        <f>[2]TongHop!D1668</f>
        <v>0</v>
      </c>
      <c r="E1668">
        <f>[2]TongHop!E1668</f>
        <v>0</v>
      </c>
      <c r="F1668">
        <f>[2]TongHop!F1668</f>
        <v>0</v>
      </c>
      <c r="G1668">
        <f>[2]TongHop!G1668</f>
        <v>0</v>
      </c>
      <c r="H1668">
        <f>[2]TongHop!H1668</f>
        <v>0</v>
      </c>
      <c r="I1668">
        <f>[2]TongHop!I1668</f>
        <v>0</v>
      </c>
      <c r="J1668">
        <f>[2]TongHop!J1668</f>
        <v>0</v>
      </c>
      <c r="K1668">
        <f>[2]TongHop!K1668</f>
        <v>0</v>
      </c>
      <c r="L1668">
        <f>[2]TongHop!L1668</f>
        <v>0</v>
      </c>
      <c r="M1668">
        <f>[2]TongHop!M1668</f>
        <v>0</v>
      </c>
      <c r="N1668">
        <f>[2]TongHop!N1668</f>
        <v>0</v>
      </c>
    </row>
    <row r="1669" spans="1:14">
      <c r="A1669">
        <f>[2]TongHop!A1669</f>
        <v>0</v>
      </c>
      <c r="B1669">
        <f>[2]TongHop!B1669</f>
        <v>0</v>
      </c>
      <c r="C1669">
        <f>[2]TongHop!C1669</f>
        <v>0</v>
      </c>
      <c r="D1669">
        <f>[2]TongHop!D1669</f>
        <v>0</v>
      </c>
      <c r="E1669">
        <f>[2]TongHop!E1669</f>
        <v>0</v>
      </c>
      <c r="F1669">
        <f>[2]TongHop!F1669</f>
        <v>0</v>
      </c>
      <c r="G1669">
        <f>[2]TongHop!G1669</f>
        <v>0</v>
      </c>
      <c r="H1669">
        <f>[2]TongHop!H1669</f>
        <v>0</v>
      </c>
      <c r="I1669">
        <f>[2]TongHop!I1669</f>
        <v>0</v>
      </c>
      <c r="J1669">
        <f>[2]TongHop!J1669</f>
        <v>0</v>
      </c>
      <c r="K1669">
        <f>[2]TongHop!K1669</f>
        <v>0</v>
      </c>
      <c r="L1669">
        <f>[2]TongHop!L1669</f>
        <v>0</v>
      </c>
      <c r="M1669">
        <f>[2]TongHop!M1669</f>
        <v>0</v>
      </c>
      <c r="N1669">
        <f>[2]TongHop!N1669</f>
        <v>0</v>
      </c>
    </row>
    <row r="1670" spans="1:14">
      <c r="A1670">
        <f>[2]TongHop!A1670</f>
        <v>0</v>
      </c>
      <c r="B1670">
        <f>[2]TongHop!B1670</f>
        <v>0</v>
      </c>
      <c r="C1670">
        <f>[2]TongHop!C1670</f>
        <v>0</v>
      </c>
      <c r="D1670">
        <f>[2]TongHop!D1670</f>
        <v>0</v>
      </c>
      <c r="E1670">
        <f>[2]TongHop!E1670</f>
        <v>0</v>
      </c>
      <c r="F1670">
        <f>[2]TongHop!F1670</f>
        <v>0</v>
      </c>
      <c r="G1670">
        <f>[2]TongHop!G1670</f>
        <v>0</v>
      </c>
      <c r="H1670">
        <f>[2]TongHop!H1670</f>
        <v>0</v>
      </c>
      <c r="I1670">
        <f>[2]TongHop!I1670</f>
        <v>0</v>
      </c>
      <c r="J1670">
        <f>[2]TongHop!J1670</f>
        <v>0</v>
      </c>
      <c r="K1670">
        <f>[2]TongHop!K1670</f>
        <v>0</v>
      </c>
      <c r="L1670">
        <f>[2]TongHop!L1670</f>
        <v>0</v>
      </c>
      <c r="M1670">
        <f>[2]TongHop!M1670</f>
        <v>0</v>
      </c>
      <c r="N1670">
        <f>[2]TongHop!N1670</f>
        <v>0</v>
      </c>
    </row>
    <row r="1671" spans="1:14">
      <c r="A1671">
        <f>[2]TongHop!A1671</f>
        <v>0</v>
      </c>
      <c r="B1671">
        <f>[2]TongHop!B1671</f>
        <v>0</v>
      </c>
      <c r="C1671">
        <f>[2]TongHop!C1671</f>
        <v>0</v>
      </c>
      <c r="D1671">
        <f>[2]TongHop!D1671</f>
        <v>0</v>
      </c>
      <c r="E1671">
        <f>[2]TongHop!E1671</f>
        <v>0</v>
      </c>
      <c r="F1671">
        <f>[2]TongHop!F1671</f>
        <v>0</v>
      </c>
      <c r="G1671">
        <f>[2]TongHop!G1671</f>
        <v>0</v>
      </c>
      <c r="H1671">
        <f>[2]TongHop!H1671</f>
        <v>0</v>
      </c>
      <c r="I1671">
        <f>[2]TongHop!I1671</f>
        <v>0</v>
      </c>
      <c r="J1671">
        <f>[2]TongHop!J1671</f>
        <v>0</v>
      </c>
      <c r="K1671">
        <f>[2]TongHop!K1671</f>
        <v>0</v>
      </c>
      <c r="L1671">
        <f>[2]TongHop!L1671</f>
        <v>0</v>
      </c>
      <c r="M1671">
        <f>[2]TongHop!M1671</f>
        <v>0</v>
      </c>
      <c r="N1671">
        <f>[2]TongHop!N1671</f>
        <v>0</v>
      </c>
    </row>
    <row r="1672" spans="1:14">
      <c r="A1672">
        <f>[2]TongHop!A1672</f>
        <v>0</v>
      </c>
      <c r="B1672">
        <f>[2]TongHop!B1672</f>
        <v>0</v>
      </c>
      <c r="C1672">
        <f>[2]TongHop!C1672</f>
        <v>0</v>
      </c>
      <c r="D1672">
        <f>[2]TongHop!D1672</f>
        <v>0</v>
      </c>
      <c r="E1672">
        <f>[2]TongHop!E1672</f>
        <v>0</v>
      </c>
      <c r="F1672">
        <f>[2]TongHop!F1672</f>
        <v>0</v>
      </c>
      <c r="G1672">
        <f>[2]TongHop!G1672</f>
        <v>0</v>
      </c>
      <c r="H1672">
        <f>[2]TongHop!H1672</f>
        <v>0</v>
      </c>
      <c r="I1672">
        <f>[2]TongHop!I1672</f>
        <v>0</v>
      </c>
      <c r="J1672">
        <f>[2]TongHop!J1672</f>
        <v>0</v>
      </c>
      <c r="K1672">
        <f>[2]TongHop!K1672</f>
        <v>0</v>
      </c>
      <c r="L1672">
        <f>[2]TongHop!L1672</f>
        <v>0</v>
      </c>
      <c r="M1672">
        <f>[2]TongHop!M1672</f>
        <v>0</v>
      </c>
      <c r="N1672">
        <f>[2]TongHop!N1672</f>
        <v>0</v>
      </c>
    </row>
    <row r="1673" spans="1:14">
      <c r="A1673">
        <f>[2]TongHop!A1673</f>
        <v>0</v>
      </c>
      <c r="B1673">
        <f>[2]TongHop!B1673</f>
        <v>0</v>
      </c>
      <c r="C1673">
        <f>[2]TongHop!C1673</f>
        <v>0</v>
      </c>
      <c r="D1673">
        <f>[2]TongHop!D1673</f>
        <v>0</v>
      </c>
      <c r="E1673">
        <f>[2]TongHop!E1673</f>
        <v>0</v>
      </c>
      <c r="F1673">
        <f>[2]TongHop!F1673</f>
        <v>0</v>
      </c>
      <c r="G1673">
        <f>[2]TongHop!G1673</f>
        <v>0</v>
      </c>
      <c r="H1673">
        <f>[2]TongHop!H1673</f>
        <v>0</v>
      </c>
      <c r="I1673">
        <f>[2]TongHop!I1673</f>
        <v>0</v>
      </c>
      <c r="J1673">
        <f>[2]TongHop!J1673</f>
        <v>0</v>
      </c>
      <c r="K1673">
        <f>[2]TongHop!K1673</f>
        <v>0</v>
      </c>
      <c r="L1673">
        <f>[2]TongHop!L1673</f>
        <v>0</v>
      </c>
      <c r="M1673">
        <f>[2]TongHop!M1673</f>
        <v>0</v>
      </c>
      <c r="N1673">
        <f>[2]TongHop!N1673</f>
        <v>0</v>
      </c>
    </row>
    <row r="1674" spans="1:14">
      <c r="A1674">
        <f>[2]TongHop!A1674</f>
        <v>0</v>
      </c>
      <c r="B1674">
        <f>[2]TongHop!B1674</f>
        <v>0</v>
      </c>
      <c r="C1674">
        <f>[2]TongHop!C1674</f>
        <v>0</v>
      </c>
      <c r="D1674">
        <f>[2]TongHop!D1674</f>
        <v>0</v>
      </c>
      <c r="E1674">
        <f>[2]TongHop!E1674</f>
        <v>0</v>
      </c>
      <c r="F1674">
        <f>[2]TongHop!F1674</f>
        <v>0</v>
      </c>
      <c r="G1674">
        <f>[2]TongHop!G1674</f>
        <v>0</v>
      </c>
      <c r="H1674">
        <f>[2]TongHop!H1674</f>
        <v>0</v>
      </c>
      <c r="I1674">
        <f>[2]TongHop!I1674</f>
        <v>0</v>
      </c>
      <c r="J1674">
        <f>[2]TongHop!J1674</f>
        <v>0</v>
      </c>
      <c r="K1674">
        <f>[2]TongHop!K1674</f>
        <v>0</v>
      </c>
      <c r="L1674">
        <f>[2]TongHop!L1674</f>
        <v>0</v>
      </c>
      <c r="M1674">
        <f>[2]TongHop!M1674</f>
        <v>0</v>
      </c>
      <c r="N1674">
        <f>[2]TongHop!N1674</f>
        <v>0</v>
      </c>
    </row>
    <row r="1675" spans="1:14">
      <c r="A1675">
        <f>[2]TongHop!A1675</f>
        <v>0</v>
      </c>
      <c r="B1675">
        <f>[2]TongHop!B1675</f>
        <v>0</v>
      </c>
      <c r="C1675">
        <f>[2]TongHop!C1675</f>
        <v>0</v>
      </c>
      <c r="D1675">
        <f>[2]TongHop!D1675</f>
        <v>0</v>
      </c>
      <c r="E1675">
        <f>[2]TongHop!E1675</f>
        <v>0</v>
      </c>
      <c r="F1675">
        <f>[2]TongHop!F1675</f>
        <v>0</v>
      </c>
      <c r="G1675">
        <f>[2]TongHop!G1675</f>
        <v>0</v>
      </c>
      <c r="H1675">
        <f>[2]TongHop!H1675</f>
        <v>0</v>
      </c>
      <c r="I1675">
        <f>[2]TongHop!I1675</f>
        <v>0</v>
      </c>
      <c r="J1675">
        <f>[2]TongHop!J1675</f>
        <v>0</v>
      </c>
      <c r="K1675">
        <f>[2]TongHop!K1675</f>
        <v>0</v>
      </c>
      <c r="L1675">
        <f>[2]TongHop!L1675</f>
        <v>0</v>
      </c>
      <c r="M1675">
        <f>[2]TongHop!M1675</f>
        <v>0</v>
      </c>
      <c r="N1675">
        <f>[2]TongHop!N1675</f>
        <v>0</v>
      </c>
    </row>
    <row r="1676" spans="1:14">
      <c r="A1676">
        <f>[2]TongHop!A1676</f>
        <v>0</v>
      </c>
      <c r="B1676">
        <f>[2]TongHop!B1676</f>
        <v>0</v>
      </c>
      <c r="C1676">
        <f>[2]TongHop!C1676</f>
        <v>0</v>
      </c>
      <c r="D1676">
        <f>[2]TongHop!D1676</f>
        <v>0</v>
      </c>
      <c r="E1676">
        <f>[2]TongHop!E1676</f>
        <v>0</v>
      </c>
      <c r="F1676">
        <f>[2]TongHop!F1676</f>
        <v>0</v>
      </c>
      <c r="G1676">
        <f>[2]TongHop!G1676</f>
        <v>0</v>
      </c>
      <c r="H1676">
        <f>[2]TongHop!H1676</f>
        <v>0</v>
      </c>
      <c r="I1676">
        <f>[2]TongHop!I1676</f>
        <v>0</v>
      </c>
      <c r="J1676">
        <f>[2]TongHop!J1676</f>
        <v>0</v>
      </c>
      <c r="K1676">
        <f>[2]TongHop!K1676</f>
        <v>0</v>
      </c>
      <c r="L1676">
        <f>[2]TongHop!L1676</f>
        <v>0</v>
      </c>
      <c r="M1676">
        <f>[2]TongHop!M1676</f>
        <v>0</v>
      </c>
      <c r="N1676">
        <f>[2]TongHop!N1676</f>
        <v>0</v>
      </c>
    </row>
    <row r="1677" spans="1:14">
      <c r="A1677">
        <f>[2]TongHop!A1677</f>
        <v>0</v>
      </c>
      <c r="B1677">
        <f>[2]TongHop!B1677</f>
        <v>0</v>
      </c>
      <c r="C1677">
        <f>[2]TongHop!C1677</f>
        <v>0</v>
      </c>
      <c r="D1677">
        <f>[2]TongHop!D1677</f>
        <v>0</v>
      </c>
      <c r="E1677">
        <f>[2]TongHop!E1677</f>
        <v>0</v>
      </c>
      <c r="F1677">
        <f>[2]TongHop!F1677</f>
        <v>0</v>
      </c>
      <c r="G1677">
        <f>[2]TongHop!G1677</f>
        <v>0</v>
      </c>
      <c r="H1677">
        <f>[2]TongHop!H1677</f>
        <v>0</v>
      </c>
      <c r="I1677">
        <f>[2]TongHop!I1677</f>
        <v>0</v>
      </c>
      <c r="J1677">
        <f>[2]TongHop!J1677</f>
        <v>0</v>
      </c>
      <c r="K1677">
        <f>[2]TongHop!K1677</f>
        <v>0</v>
      </c>
      <c r="L1677">
        <f>[2]TongHop!L1677</f>
        <v>0</v>
      </c>
      <c r="M1677">
        <f>[2]TongHop!M1677</f>
        <v>0</v>
      </c>
      <c r="N1677">
        <f>[2]TongHop!N1677</f>
        <v>0</v>
      </c>
    </row>
    <row r="1678" spans="1:14">
      <c r="A1678">
        <f>[2]TongHop!A1678</f>
        <v>0</v>
      </c>
      <c r="B1678">
        <f>[2]TongHop!B1678</f>
        <v>0</v>
      </c>
      <c r="C1678">
        <f>[2]TongHop!C1678</f>
        <v>0</v>
      </c>
      <c r="D1678">
        <f>[2]TongHop!D1678</f>
        <v>0</v>
      </c>
      <c r="E1678">
        <f>[2]TongHop!E1678</f>
        <v>0</v>
      </c>
      <c r="F1678">
        <f>[2]TongHop!F1678</f>
        <v>0</v>
      </c>
      <c r="G1678">
        <f>[2]TongHop!G1678</f>
        <v>0</v>
      </c>
      <c r="H1678">
        <f>[2]TongHop!H1678</f>
        <v>0</v>
      </c>
      <c r="I1678">
        <f>[2]TongHop!I1678</f>
        <v>0</v>
      </c>
      <c r="J1678">
        <f>[2]TongHop!J1678</f>
        <v>0</v>
      </c>
      <c r="K1678">
        <f>[2]TongHop!K1678</f>
        <v>0</v>
      </c>
      <c r="L1678">
        <f>[2]TongHop!L1678</f>
        <v>0</v>
      </c>
      <c r="M1678">
        <f>[2]TongHop!M1678</f>
        <v>0</v>
      </c>
      <c r="N1678">
        <f>[2]TongHop!N1678</f>
        <v>0</v>
      </c>
    </row>
    <row r="1679" spans="1:14">
      <c r="A1679">
        <f>[2]TongHop!A1679</f>
        <v>0</v>
      </c>
      <c r="B1679">
        <f>[2]TongHop!B1679</f>
        <v>0</v>
      </c>
      <c r="C1679">
        <f>[2]TongHop!C1679</f>
        <v>0</v>
      </c>
      <c r="D1679">
        <f>[2]TongHop!D1679</f>
        <v>0</v>
      </c>
      <c r="E1679">
        <f>[2]TongHop!E1679</f>
        <v>0</v>
      </c>
      <c r="F1679">
        <f>[2]TongHop!F1679</f>
        <v>0</v>
      </c>
      <c r="G1679">
        <f>[2]TongHop!G1679</f>
        <v>0</v>
      </c>
      <c r="H1679">
        <f>[2]TongHop!H1679</f>
        <v>0</v>
      </c>
      <c r="I1679">
        <f>[2]TongHop!I1679</f>
        <v>0</v>
      </c>
      <c r="J1679">
        <f>[2]TongHop!J1679</f>
        <v>0</v>
      </c>
      <c r="K1679">
        <f>[2]TongHop!K1679</f>
        <v>0</v>
      </c>
      <c r="L1679">
        <f>[2]TongHop!L1679</f>
        <v>0</v>
      </c>
      <c r="M1679">
        <f>[2]TongHop!M1679</f>
        <v>0</v>
      </c>
      <c r="N1679">
        <f>[2]TongHop!N1679</f>
        <v>0</v>
      </c>
    </row>
    <row r="1680" spans="1:14">
      <c r="A1680">
        <f>[2]TongHop!A1680</f>
        <v>0</v>
      </c>
      <c r="B1680">
        <f>[2]TongHop!B1680</f>
        <v>0</v>
      </c>
      <c r="C1680">
        <f>[2]TongHop!C1680</f>
        <v>0</v>
      </c>
      <c r="D1680">
        <f>[2]TongHop!D1680</f>
        <v>0</v>
      </c>
      <c r="E1680">
        <f>[2]TongHop!E1680</f>
        <v>0</v>
      </c>
      <c r="F1680">
        <f>[2]TongHop!F1680</f>
        <v>0</v>
      </c>
      <c r="G1680">
        <f>[2]TongHop!G1680</f>
        <v>0</v>
      </c>
      <c r="H1680">
        <f>[2]TongHop!H1680</f>
        <v>0</v>
      </c>
      <c r="I1680">
        <f>[2]TongHop!I1680</f>
        <v>0</v>
      </c>
      <c r="J1680">
        <f>[2]TongHop!J1680</f>
        <v>0</v>
      </c>
      <c r="K1680">
        <f>[2]TongHop!K1680</f>
        <v>0</v>
      </c>
      <c r="L1680">
        <f>[2]TongHop!L1680</f>
        <v>0</v>
      </c>
      <c r="M1680">
        <f>[2]TongHop!M1680</f>
        <v>0</v>
      </c>
      <c r="N1680">
        <f>[2]TongHop!N1680</f>
        <v>0</v>
      </c>
    </row>
    <row r="1681" spans="1:14">
      <c r="A1681">
        <f>[2]TongHop!A1681</f>
        <v>0</v>
      </c>
      <c r="B1681">
        <f>[2]TongHop!B1681</f>
        <v>0</v>
      </c>
      <c r="C1681">
        <f>[2]TongHop!C1681</f>
        <v>0</v>
      </c>
      <c r="D1681">
        <f>[2]TongHop!D1681</f>
        <v>0</v>
      </c>
      <c r="E1681">
        <f>[2]TongHop!E1681</f>
        <v>0</v>
      </c>
      <c r="F1681">
        <f>[2]TongHop!F1681</f>
        <v>0</v>
      </c>
      <c r="G1681">
        <f>[2]TongHop!G1681</f>
        <v>0</v>
      </c>
      <c r="H1681">
        <f>[2]TongHop!H1681</f>
        <v>0</v>
      </c>
      <c r="I1681">
        <f>[2]TongHop!I1681</f>
        <v>0</v>
      </c>
      <c r="J1681">
        <f>[2]TongHop!J1681</f>
        <v>0</v>
      </c>
      <c r="K1681">
        <f>[2]TongHop!K1681</f>
        <v>0</v>
      </c>
      <c r="L1681">
        <f>[2]TongHop!L1681</f>
        <v>0</v>
      </c>
      <c r="M1681">
        <f>[2]TongHop!M1681</f>
        <v>0</v>
      </c>
      <c r="N1681">
        <f>[2]TongHop!N1681</f>
        <v>0</v>
      </c>
    </row>
    <row r="1682" spans="1:14">
      <c r="A1682">
        <f>[2]TongHop!A1682</f>
        <v>0</v>
      </c>
      <c r="B1682">
        <f>[2]TongHop!B1682</f>
        <v>0</v>
      </c>
      <c r="C1682">
        <f>[2]TongHop!C1682</f>
        <v>0</v>
      </c>
      <c r="D1682">
        <f>[2]TongHop!D1682</f>
        <v>0</v>
      </c>
      <c r="E1682">
        <f>[2]TongHop!E1682</f>
        <v>0</v>
      </c>
      <c r="F1682">
        <f>[2]TongHop!F1682</f>
        <v>0</v>
      </c>
      <c r="G1682">
        <f>[2]TongHop!G1682</f>
        <v>0</v>
      </c>
      <c r="H1682">
        <f>[2]TongHop!H1682</f>
        <v>0</v>
      </c>
      <c r="I1682">
        <f>[2]TongHop!I1682</f>
        <v>0</v>
      </c>
      <c r="J1682">
        <f>[2]TongHop!J1682</f>
        <v>0</v>
      </c>
      <c r="K1682">
        <f>[2]TongHop!K1682</f>
        <v>0</v>
      </c>
      <c r="L1682">
        <f>[2]TongHop!L1682</f>
        <v>0</v>
      </c>
      <c r="M1682">
        <f>[2]TongHop!M1682</f>
        <v>0</v>
      </c>
      <c r="N1682">
        <f>[2]TongHop!N1682</f>
        <v>0</v>
      </c>
    </row>
    <row r="1683" spans="1:14">
      <c r="A1683">
        <f>[2]TongHop!A1683</f>
        <v>0</v>
      </c>
      <c r="B1683">
        <f>[2]TongHop!B1683</f>
        <v>0</v>
      </c>
      <c r="C1683">
        <f>[2]TongHop!C1683</f>
        <v>0</v>
      </c>
      <c r="D1683">
        <f>[2]TongHop!D1683</f>
        <v>0</v>
      </c>
      <c r="E1683">
        <f>[2]TongHop!E1683</f>
        <v>0</v>
      </c>
      <c r="F1683">
        <f>[2]TongHop!F1683</f>
        <v>0</v>
      </c>
      <c r="G1683">
        <f>[2]TongHop!G1683</f>
        <v>0</v>
      </c>
      <c r="H1683">
        <f>[2]TongHop!H1683</f>
        <v>0</v>
      </c>
      <c r="I1683">
        <f>[2]TongHop!I1683</f>
        <v>0</v>
      </c>
      <c r="J1683">
        <f>[2]TongHop!J1683</f>
        <v>0</v>
      </c>
      <c r="K1683">
        <f>[2]TongHop!K1683</f>
        <v>0</v>
      </c>
      <c r="L1683">
        <f>[2]TongHop!L1683</f>
        <v>0</v>
      </c>
      <c r="M1683">
        <f>[2]TongHop!M1683</f>
        <v>0</v>
      </c>
      <c r="N1683">
        <f>[2]TongHop!N1683</f>
        <v>0</v>
      </c>
    </row>
    <row r="1684" spans="1:14">
      <c r="A1684">
        <f>[2]TongHop!A1684</f>
        <v>0</v>
      </c>
      <c r="B1684">
        <f>[2]TongHop!B1684</f>
        <v>0</v>
      </c>
      <c r="C1684">
        <f>[2]TongHop!C1684</f>
        <v>0</v>
      </c>
      <c r="D1684">
        <f>[2]TongHop!D1684</f>
        <v>0</v>
      </c>
      <c r="E1684">
        <f>[2]TongHop!E1684</f>
        <v>0</v>
      </c>
      <c r="F1684">
        <f>[2]TongHop!F1684</f>
        <v>0</v>
      </c>
      <c r="G1684">
        <f>[2]TongHop!G1684</f>
        <v>0</v>
      </c>
      <c r="H1684">
        <f>[2]TongHop!H1684</f>
        <v>0</v>
      </c>
      <c r="I1684">
        <f>[2]TongHop!I1684</f>
        <v>0</v>
      </c>
      <c r="J1684">
        <f>[2]TongHop!J1684</f>
        <v>0</v>
      </c>
      <c r="K1684">
        <f>[2]TongHop!K1684</f>
        <v>0</v>
      </c>
      <c r="L1684">
        <f>[2]TongHop!L1684</f>
        <v>0</v>
      </c>
      <c r="M1684">
        <f>[2]TongHop!M1684</f>
        <v>0</v>
      </c>
      <c r="N1684">
        <f>[2]TongHop!N1684</f>
        <v>0</v>
      </c>
    </row>
    <row r="1685" spans="1:14">
      <c r="A1685">
        <f>[2]TongHop!A1685</f>
        <v>0</v>
      </c>
      <c r="B1685">
        <f>[2]TongHop!B1685</f>
        <v>0</v>
      </c>
      <c r="C1685">
        <f>[2]TongHop!C1685</f>
        <v>0</v>
      </c>
      <c r="D1685">
        <f>[2]TongHop!D1685</f>
        <v>0</v>
      </c>
      <c r="E1685">
        <f>[2]TongHop!E1685</f>
        <v>0</v>
      </c>
      <c r="F1685">
        <f>[2]TongHop!F1685</f>
        <v>0</v>
      </c>
      <c r="G1685">
        <f>[2]TongHop!G1685</f>
        <v>0</v>
      </c>
      <c r="H1685">
        <f>[2]TongHop!H1685</f>
        <v>0</v>
      </c>
      <c r="I1685">
        <f>[2]TongHop!I1685</f>
        <v>0</v>
      </c>
      <c r="J1685">
        <f>[2]TongHop!J1685</f>
        <v>0</v>
      </c>
      <c r="K1685">
        <f>[2]TongHop!K1685</f>
        <v>0</v>
      </c>
      <c r="L1685">
        <f>[2]TongHop!L1685</f>
        <v>0</v>
      </c>
      <c r="M1685">
        <f>[2]TongHop!M1685</f>
        <v>0</v>
      </c>
      <c r="N1685">
        <f>[2]TongHop!N1685</f>
        <v>0</v>
      </c>
    </row>
    <row r="1686" spans="1:14">
      <c r="A1686">
        <f>[2]TongHop!A1686</f>
        <v>0</v>
      </c>
      <c r="B1686">
        <f>[2]TongHop!B1686</f>
        <v>0</v>
      </c>
      <c r="C1686">
        <f>[2]TongHop!C1686</f>
        <v>0</v>
      </c>
      <c r="D1686">
        <f>[2]TongHop!D1686</f>
        <v>0</v>
      </c>
      <c r="E1686">
        <f>[2]TongHop!E1686</f>
        <v>0</v>
      </c>
      <c r="F1686">
        <f>[2]TongHop!F1686</f>
        <v>0</v>
      </c>
      <c r="G1686">
        <f>[2]TongHop!G1686</f>
        <v>0</v>
      </c>
      <c r="H1686">
        <f>[2]TongHop!H1686</f>
        <v>0</v>
      </c>
      <c r="I1686">
        <f>[2]TongHop!I1686</f>
        <v>0</v>
      </c>
      <c r="J1686">
        <f>[2]TongHop!J1686</f>
        <v>0</v>
      </c>
      <c r="K1686">
        <f>[2]TongHop!K1686</f>
        <v>0</v>
      </c>
      <c r="L1686">
        <f>[2]TongHop!L1686</f>
        <v>0</v>
      </c>
      <c r="M1686">
        <f>[2]TongHop!M1686</f>
        <v>0</v>
      </c>
      <c r="N1686">
        <f>[2]TongHop!N1686</f>
        <v>0</v>
      </c>
    </row>
    <row r="1687" spans="1:14">
      <c r="A1687">
        <f>[2]TongHop!A1687</f>
        <v>0</v>
      </c>
      <c r="B1687">
        <f>[2]TongHop!B1687</f>
        <v>0</v>
      </c>
      <c r="C1687">
        <f>[2]TongHop!C1687</f>
        <v>0</v>
      </c>
      <c r="D1687">
        <f>[2]TongHop!D1687</f>
        <v>0</v>
      </c>
      <c r="E1687">
        <f>[2]TongHop!E1687</f>
        <v>0</v>
      </c>
      <c r="F1687">
        <f>[2]TongHop!F1687</f>
        <v>0</v>
      </c>
      <c r="G1687">
        <f>[2]TongHop!G1687</f>
        <v>0</v>
      </c>
      <c r="H1687">
        <f>[2]TongHop!H1687</f>
        <v>0</v>
      </c>
      <c r="I1687">
        <f>[2]TongHop!I1687</f>
        <v>0</v>
      </c>
      <c r="J1687">
        <f>[2]TongHop!J1687</f>
        <v>0</v>
      </c>
      <c r="K1687">
        <f>[2]TongHop!K1687</f>
        <v>0</v>
      </c>
      <c r="L1687">
        <f>[2]TongHop!L1687</f>
        <v>0</v>
      </c>
      <c r="M1687">
        <f>[2]TongHop!M1687</f>
        <v>0</v>
      </c>
      <c r="N1687">
        <f>[2]TongHop!N1687</f>
        <v>0</v>
      </c>
    </row>
    <row r="1688" spans="1:14">
      <c r="A1688">
        <f>[2]TongHop!A1688</f>
        <v>0</v>
      </c>
      <c r="B1688">
        <f>[2]TongHop!B1688</f>
        <v>0</v>
      </c>
      <c r="C1688">
        <f>[2]TongHop!C1688</f>
        <v>0</v>
      </c>
      <c r="D1688">
        <f>[2]TongHop!D1688</f>
        <v>0</v>
      </c>
      <c r="E1688">
        <f>[2]TongHop!E1688</f>
        <v>0</v>
      </c>
      <c r="F1688">
        <f>[2]TongHop!F1688</f>
        <v>0</v>
      </c>
      <c r="G1688">
        <f>[2]TongHop!G1688</f>
        <v>0</v>
      </c>
      <c r="H1688">
        <f>[2]TongHop!H1688</f>
        <v>0</v>
      </c>
      <c r="I1688">
        <f>[2]TongHop!I1688</f>
        <v>0</v>
      </c>
      <c r="J1688">
        <f>[2]TongHop!J1688</f>
        <v>0</v>
      </c>
      <c r="K1688">
        <f>[2]TongHop!K1688</f>
        <v>0</v>
      </c>
      <c r="L1688">
        <f>[2]TongHop!L1688</f>
        <v>0</v>
      </c>
      <c r="M1688">
        <f>[2]TongHop!M1688</f>
        <v>0</v>
      </c>
      <c r="N1688">
        <f>[2]TongHop!N1688</f>
        <v>0</v>
      </c>
    </row>
    <row r="1689" spans="1:14">
      <c r="A1689">
        <f>[2]TongHop!A1689</f>
        <v>0</v>
      </c>
      <c r="B1689">
        <f>[2]TongHop!B1689</f>
        <v>0</v>
      </c>
      <c r="C1689">
        <f>[2]TongHop!C1689</f>
        <v>0</v>
      </c>
      <c r="D1689">
        <f>[2]TongHop!D1689</f>
        <v>0</v>
      </c>
      <c r="E1689">
        <f>[2]TongHop!E1689</f>
        <v>0</v>
      </c>
      <c r="F1689">
        <f>[2]TongHop!F1689</f>
        <v>0</v>
      </c>
      <c r="G1689">
        <f>[2]TongHop!G1689</f>
        <v>0</v>
      </c>
      <c r="H1689">
        <f>[2]TongHop!H1689</f>
        <v>0</v>
      </c>
      <c r="I1689">
        <f>[2]TongHop!I1689</f>
        <v>0</v>
      </c>
      <c r="J1689">
        <f>[2]TongHop!J1689</f>
        <v>0</v>
      </c>
      <c r="K1689">
        <f>[2]TongHop!K1689</f>
        <v>0</v>
      </c>
      <c r="L1689">
        <f>[2]TongHop!L1689</f>
        <v>0</v>
      </c>
      <c r="M1689">
        <f>[2]TongHop!M1689</f>
        <v>0</v>
      </c>
      <c r="N1689">
        <f>[2]TongHop!N1689</f>
        <v>0</v>
      </c>
    </row>
    <row r="1690" spans="1:14">
      <c r="A1690">
        <f>[2]TongHop!A1690</f>
        <v>0</v>
      </c>
      <c r="B1690">
        <f>[2]TongHop!B1690</f>
        <v>0</v>
      </c>
      <c r="C1690">
        <f>[2]TongHop!C1690</f>
        <v>0</v>
      </c>
      <c r="D1690">
        <f>[2]TongHop!D1690</f>
        <v>0</v>
      </c>
      <c r="E1690">
        <f>[2]TongHop!E1690</f>
        <v>0</v>
      </c>
      <c r="F1690">
        <f>[2]TongHop!F1690</f>
        <v>0</v>
      </c>
      <c r="G1690">
        <f>[2]TongHop!G1690</f>
        <v>0</v>
      </c>
      <c r="H1690">
        <f>[2]TongHop!H1690</f>
        <v>0</v>
      </c>
      <c r="I1690">
        <f>[2]TongHop!I1690</f>
        <v>0</v>
      </c>
      <c r="J1690">
        <f>[2]TongHop!J1690</f>
        <v>0</v>
      </c>
      <c r="K1690">
        <f>[2]TongHop!K1690</f>
        <v>0</v>
      </c>
      <c r="L1690">
        <f>[2]TongHop!L1690</f>
        <v>0</v>
      </c>
      <c r="M1690">
        <f>[2]TongHop!M1690</f>
        <v>0</v>
      </c>
      <c r="N1690">
        <f>[2]TongHop!N1690</f>
        <v>0</v>
      </c>
    </row>
    <row r="1691" spans="1:14">
      <c r="A1691">
        <f>[2]TongHop!A1691</f>
        <v>0</v>
      </c>
      <c r="B1691">
        <f>[2]TongHop!B1691</f>
        <v>0</v>
      </c>
      <c r="C1691">
        <f>[2]TongHop!C1691</f>
        <v>0</v>
      </c>
      <c r="D1691">
        <f>[2]TongHop!D1691</f>
        <v>0</v>
      </c>
      <c r="E1691">
        <f>[2]TongHop!E1691</f>
        <v>0</v>
      </c>
      <c r="F1691">
        <f>[2]TongHop!F1691</f>
        <v>0</v>
      </c>
      <c r="G1691">
        <f>[2]TongHop!G1691</f>
        <v>0</v>
      </c>
      <c r="H1691">
        <f>[2]TongHop!H1691</f>
        <v>0</v>
      </c>
      <c r="I1691">
        <f>[2]TongHop!I1691</f>
        <v>0</v>
      </c>
      <c r="J1691">
        <f>[2]TongHop!J1691</f>
        <v>0</v>
      </c>
      <c r="K1691">
        <f>[2]TongHop!K1691</f>
        <v>0</v>
      </c>
      <c r="L1691">
        <f>[2]TongHop!L1691</f>
        <v>0</v>
      </c>
      <c r="M1691">
        <f>[2]TongHop!M1691</f>
        <v>0</v>
      </c>
      <c r="N1691">
        <f>[2]TongHop!N1691</f>
        <v>0</v>
      </c>
    </row>
    <row r="1692" spans="1:14">
      <c r="A1692">
        <f>[2]TongHop!A1692</f>
        <v>0</v>
      </c>
      <c r="B1692">
        <f>[2]TongHop!B1692</f>
        <v>0</v>
      </c>
      <c r="C1692">
        <f>[2]TongHop!C1692</f>
        <v>0</v>
      </c>
      <c r="D1692">
        <f>[2]TongHop!D1692</f>
        <v>0</v>
      </c>
      <c r="E1692">
        <f>[2]TongHop!E1692</f>
        <v>0</v>
      </c>
      <c r="F1692">
        <f>[2]TongHop!F1692</f>
        <v>0</v>
      </c>
      <c r="G1692">
        <f>[2]TongHop!G1692</f>
        <v>0</v>
      </c>
      <c r="H1692">
        <f>[2]TongHop!H1692</f>
        <v>0</v>
      </c>
      <c r="I1692">
        <f>[2]TongHop!I1692</f>
        <v>0</v>
      </c>
      <c r="J1692">
        <f>[2]TongHop!J1692</f>
        <v>0</v>
      </c>
      <c r="K1692">
        <f>[2]TongHop!K1692</f>
        <v>0</v>
      </c>
      <c r="L1692">
        <f>[2]TongHop!L1692</f>
        <v>0</v>
      </c>
      <c r="M1692">
        <f>[2]TongHop!M1692</f>
        <v>0</v>
      </c>
      <c r="N1692">
        <f>[2]TongHop!N1692</f>
        <v>0</v>
      </c>
    </row>
    <row r="1693" spans="1:14">
      <c r="A1693">
        <f>[2]TongHop!A1693</f>
        <v>0</v>
      </c>
      <c r="B1693">
        <f>[2]TongHop!B1693</f>
        <v>0</v>
      </c>
      <c r="C1693">
        <f>[2]TongHop!C1693</f>
        <v>0</v>
      </c>
      <c r="D1693">
        <f>[2]TongHop!D1693</f>
        <v>0</v>
      </c>
      <c r="E1693">
        <f>[2]TongHop!E1693</f>
        <v>0</v>
      </c>
      <c r="F1693">
        <f>[2]TongHop!F1693</f>
        <v>0</v>
      </c>
      <c r="G1693">
        <f>[2]TongHop!G1693</f>
        <v>0</v>
      </c>
      <c r="H1693">
        <f>[2]TongHop!H1693</f>
        <v>0</v>
      </c>
      <c r="I1693">
        <f>[2]TongHop!I1693</f>
        <v>0</v>
      </c>
      <c r="J1693">
        <f>[2]TongHop!J1693</f>
        <v>0</v>
      </c>
      <c r="K1693">
        <f>[2]TongHop!K1693</f>
        <v>0</v>
      </c>
      <c r="L1693">
        <f>[2]TongHop!L1693</f>
        <v>0</v>
      </c>
      <c r="M1693">
        <f>[2]TongHop!M1693</f>
        <v>0</v>
      </c>
      <c r="N1693">
        <f>[2]TongHop!N1693</f>
        <v>0</v>
      </c>
    </row>
    <row r="1694" spans="1:14">
      <c r="A1694">
        <f>[2]TongHop!A1694</f>
        <v>0</v>
      </c>
      <c r="B1694">
        <f>[2]TongHop!B1694</f>
        <v>0</v>
      </c>
      <c r="C1694">
        <f>[2]TongHop!C1694</f>
        <v>0</v>
      </c>
      <c r="D1694">
        <f>[2]TongHop!D1694</f>
        <v>0</v>
      </c>
      <c r="E1694">
        <f>[2]TongHop!E1694</f>
        <v>0</v>
      </c>
      <c r="F1694">
        <f>[2]TongHop!F1694</f>
        <v>0</v>
      </c>
      <c r="G1694">
        <f>[2]TongHop!G1694</f>
        <v>0</v>
      </c>
      <c r="H1694">
        <f>[2]TongHop!H1694</f>
        <v>0</v>
      </c>
      <c r="I1694">
        <f>[2]TongHop!I1694</f>
        <v>0</v>
      </c>
      <c r="J1694">
        <f>[2]TongHop!J1694</f>
        <v>0</v>
      </c>
      <c r="K1694">
        <f>[2]TongHop!K1694</f>
        <v>0</v>
      </c>
      <c r="L1694">
        <f>[2]TongHop!L1694</f>
        <v>0</v>
      </c>
      <c r="M1694">
        <f>[2]TongHop!M1694</f>
        <v>0</v>
      </c>
      <c r="N1694">
        <f>[2]TongHop!N1694</f>
        <v>0</v>
      </c>
    </row>
    <row r="1695" spans="1:14">
      <c r="A1695">
        <f>[2]TongHop!A1695</f>
        <v>0</v>
      </c>
      <c r="B1695">
        <f>[2]TongHop!B1695</f>
        <v>0</v>
      </c>
      <c r="C1695">
        <f>[2]TongHop!C1695</f>
        <v>0</v>
      </c>
      <c r="D1695">
        <f>[2]TongHop!D1695</f>
        <v>0</v>
      </c>
      <c r="E1695">
        <f>[2]TongHop!E1695</f>
        <v>0</v>
      </c>
      <c r="F1695">
        <f>[2]TongHop!F1695</f>
        <v>0</v>
      </c>
      <c r="G1695">
        <f>[2]TongHop!G1695</f>
        <v>0</v>
      </c>
      <c r="H1695">
        <f>[2]TongHop!H1695</f>
        <v>0</v>
      </c>
      <c r="I1695">
        <f>[2]TongHop!I1695</f>
        <v>0</v>
      </c>
      <c r="J1695">
        <f>[2]TongHop!J1695</f>
        <v>0</v>
      </c>
      <c r="K1695">
        <f>[2]TongHop!K1695</f>
        <v>0</v>
      </c>
      <c r="L1695">
        <f>[2]TongHop!L1695</f>
        <v>0</v>
      </c>
      <c r="M1695">
        <f>[2]TongHop!M1695</f>
        <v>0</v>
      </c>
      <c r="N1695">
        <f>[2]TongHop!N1695</f>
        <v>0</v>
      </c>
    </row>
    <row r="1696" spans="1:14">
      <c r="A1696">
        <f>[2]TongHop!A1696</f>
        <v>0</v>
      </c>
      <c r="B1696">
        <f>[2]TongHop!B1696</f>
        <v>0</v>
      </c>
      <c r="C1696">
        <f>[2]TongHop!C1696</f>
        <v>0</v>
      </c>
      <c r="D1696">
        <f>[2]TongHop!D1696</f>
        <v>0</v>
      </c>
      <c r="E1696">
        <f>[2]TongHop!E1696</f>
        <v>0</v>
      </c>
      <c r="F1696">
        <f>[2]TongHop!F1696</f>
        <v>0</v>
      </c>
      <c r="G1696">
        <f>[2]TongHop!G1696</f>
        <v>0</v>
      </c>
      <c r="H1696">
        <f>[2]TongHop!H1696</f>
        <v>0</v>
      </c>
      <c r="I1696">
        <f>[2]TongHop!I1696</f>
        <v>0</v>
      </c>
      <c r="J1696">
        <f>[2]TongHop!J1696</f>
        <v>0</v>
      </c>
      <c r="K1696">
        <f>[2]TongHop!K1696</f>
        <v>0</v>
      </c>
      <c r="L1696">
        <f>[2]TongHop!L1696</f>
        <v>0</v>
      </c>
      <c r="M1696">
        <f>[2]TongHop!M1696</f>
        <v>0</v>
      </c>
      <c r="N1696">
        <f>[2]TongHop!N1696</f>
        <v>0</v>
      </c>
    </row>
    <row r="1697" spans="1:14">
      <c r="A1697">
        <f>[2]TongHop!A1697</f>
        <v>0</v>
      </c>
      <c r="B1697">
        <f>[2]TongHop!B1697</f>
        <v>0</v>
      </c>
      <c r="C1697">
        <f>[2]TongHop!C1697</f>
        <v>0</v>
      </c>
      <c r="D1697">
        <f>[2]TongHop!D1697</f>
        <v>0</v>
      </c>
      <c r="E1697">
        <f>[2]TongHop!E1697</f>
        <v>0</v>
      </c>
      <c r="F1697">
        <f>[2]TongHop!F1697</f>
        <v>0</v>
      </c>
      <c r="G1697">
        <f>[2]TongHop!G1697</f>
        <v>0</v>
      </c>
      <c r="H1697">
        <f>[2]TongHop!H1697</f>
        <v>0</v>
      </c>
      <c r="I1697">
        <f>[2]TongHop!I1697</f>
        <v>0</v>
      </c>
      <c r="J1697">
        <f>[2]TongHop!J1697</f>
        <v>0</v>
      </c>
      <c r="K1697">
        <f>[2]TongHop!K1697</f>
        <v>0</v>
      </c>
      <c r="L1697">
        <f>[2]TongHop!L1697</f>
        <v>0</v>
      </c>
      <c r="M1697">
        <f>[2]TongHop!M1697</f>
        <v>0</v>
      </c>
      <c r="N1697">
        <f>[2]TongHop!N1697</f>
        <v>0</v>
      </c>
    </row>
    <row r="1698" spans="1:14">
      <c r="A1698">
        <f>[2]TongHop!A1698</f>
        <v>0</v>
      </c>
      <c r="B1698">
        <f>[2]TongHop!B1698</f>
        <v>0</v>
      </c>
      <c r="C1698">
        <f>[2]TongHop!C1698</f>
        <v>0</v>
      </c>
      <c r="D1698">
        <f>[2]TongHop!D1698</f>
        <v>0</v>
      </c>
      <c r="E1698">
        <f>[2]TongHop!E1698</f>
        <v>0</v>
      </c>
      <c r="F1698">
        <f>[2]TongHop!F1698</f>
        <v>0</v>
      </c>
      <c r="G1698">
        <f>[2]TongHop!G1698</f>
        <v>0</v>
      </c>
      <c r="H1698">
        <f>[2]TongHop!H1698</f>
        <v>0</v>
      </c>
      <c r="I1698">
        <f>[2]TongHop!I1698</f>
        <v>0</v>
      </c>
      <c r="J1698">
        <f>[2]TongHop!J1698</f>
        <v>0</v>
      </c>
      <c r="K1698">
        <f>[2]TongHop!K1698</f>
        <v>0</v>
      </c>
      <c r="L1698">
        <f>[2]TongHop!L1698</f>
        <v>0</v>
      </c>
      <c r="M1698">
        <f>[2]TongHop!M1698</f>
        <v>0</v>
      </c>
      <c r="N1698">
        <f>[2]TongHop!N1698</f>
        <v>0</v>
      </c>
    </row>
    <row r="1699" spans="1:14">
      <c r="A1699">
        <f>[2]TongHop!A1699</f>
        <v>0</v>
      </c>
      <c r="B1699">
        <f>[2]TongHop!B1699</f>
        <v>0</v>
      </c>
      <c r="C1699">
        <f>[2]TongHop!C1699</f>
        <v>0</v>
      </c>
      <c r="D1699">
        <f>[2]TongHop!D1699</f>
        <v>0</v>
      </c>
      <c r="E1699">
        <f>[2]TongHop!E1699</f>
        <v>0</v>
      </c>
      <c r="F1699">
        <f>[2]TongHop!F1699</f>
        <v>0</v>
      </c>
      <c r="G1699">
        <f>[2]TongHop!G1699</f>
        <v>0</v>
      </c>
      <c r="H1699">
        <f>[2]TongHop!H1699</f>
        <v>0</v>
      </c>
      <c r="I1699">
        <f>[2]TongHop!I1699</f>
        <v>0</v>
      </c>
      <c r="J1699">
        <f>[2]TongHop!J1699</f>
        <v>0</v>
      </c>
      <c r="K1699">
        <f>[2]TongHop!K1699</f>
        <v>0</v>
      </c>
      <c r="L1699">
        <f>[2]TongHop!L1699</f>
        <v>0</v>
      </c>
      <c r="M1699">
        <f>[2]TongHop!M1699</f>
        <v>0</v>
      </c>
      <c r="N1699">
        <f>[2]TongHop!N1699</f>
        <v>0</v>
      </c>
    </row>
    <row r="1700" spans="1:14">
      <c r="A1700">
        <f>[2]TongHop!A1700</f>
        <v>0</v>
      </c>
      <c r="B1700">
        <f>[2]TongHop!B1700</f>
        <v>0</v>
      </c>
      <c r="C1700">
        <f>[2]TongHop!C1700</f>
        <v>0</v>
      </c>
      <c r="D1700">
        <f>[2]TongHop!D1700</f>
        <v>0</v>
      </c>
      <c r="E1700">
        <f>[2]TongHop!E1700</f>
        <v>0</v>
      </c>
      <c r="F1700">
        <f>[2]TongHop!F1700</f>
        <v>0</v>
      </c>
      <c r="G1700">
        <f>[2]TongHop!G1700</f>
        <v>0</v>
      </c>
      <c r="H1700">
        <f>[2]TongHop!H1700</f>
        <v>0</v>
      </c>
      <c r="I1700">
        <f>[2]TongHop!I1700</f>
        <v>0</v>
      </c>
      <c r="J1700">
        <f>[2]TongHop!J1700</f>
        <v>0</v>
      </c>
      <c r="K1700">
        <f>[2]TongHop!K1700</f>
        <v>0</v>
      </c>
      <c r="L1700">
        <f>[2]TongHop!L1700</f>
        <v>0</v>
      </c>
      <c r="M1700">
        <f>[2]TongHop!M1700</f>
        <v>0</v>
      </c>
      <c r="N1700">
        <f>[2]TongHop!N1700</f>
        <v>0</v>
      </c>
    </row>
    <row r="1701" spans="1:14">
      <c r="A1701">
        <f>[2]TongHop!A1701</f>
        <v>0</v>
      </c>
      <c r="B1701">
        <f>[2]TongHop!B1701</f>
        <v>0</v>
      </c>
      <c r="C1701">
        <f>[2]TongHop!C1701</f>
        <v>0</v>
      </c>
      <c r="D1701">
        <f>[2]TongHop!D1701</f>
        <v>0</v>
      </c>
      <c r="E1701">
        <f>[2]TongHop!E1701</f>
        <v>0</v>
      </c>
      <c r="F1701">
        <f>[2]TongHop!F1701</f>
        <v>0</v>
      </c>
      <c r="G1701">
        <f>[2]TongHop!G1701</f>
        <v>0</v>
      </c>
      <c r="H1701">
        <f>[2]TongHop!H1701</f>
        <v>0</v>
      </c>
      <c r="I1701">
        <f>[2]TongHop!I1701</f>
        <v>0</v>
      </c>
      <c r="J1701">
        <f>[2]TongHop!J1701</f>
        <v>0</v>
      </c>
      <c r="K1701">
        <f>[2]TongHop!K1701</f>
        <v>0</v>
      </c>
      <c r="L1701">
        <f>[2]TongHop!L1701</f>
        <v>0</v>
      </c>
      <c r="M1701">
        <f>[2]TongHop!M1701</f>
        <v>0</v>
      </c>
      <c r="N1701">
        <f>[2]TongHop!N1701</f>
        <v>0</v>
      </c>
    </row>
    <row r="1702" spans="1:14">
      <c r="A1702">
        <f>[2]TongHop!A1702</f>
        <v>0</v>
      </c>
      <c r="B1702">
        <f>[2]TongHop!B1702</f>
        <v>0</v>
      </c>
      <c r="C1702">
        <f>[2]TongHop!C1702</f>
        <v>0</v>
      </c>
      <c r="D1702">
        <f>[2]TongHop!D1702</f>
        <v>0</v>
      </c>
      <c r="E1702">
        <f>[2]TongHop!E1702</f>
        <v>0</v>
      </c>
      <c r="F1702">
        <f>[2]TongHop!F1702</f>
        <v>0</v>
      </c>
      <c r="G1702">
        <f>[2]TongHop!G1702</f>
        <v>0</v>
      </c>
      <c r="H1702">
        <f>[2]TongHop!H1702</f>
        <v>0</v>
      </c>
      <c r="I1702">
        <f>[2]TongHop!I1702</f>
        <v>0</v>
      </c>
      <c r="J1702">
        <f>[2]TongHop!J1702</f>
        <v>0</v>
      </c>
      <c r="K1702">
        <f>[2]TongHop!K1702</f>
        <v>0</v>
      </c>
      <c r="L1702">
        <f>[2]TongHop!L1702</f>
        <v>0</v>
      </c>
      <c r="M1702">
        <f>[2]TongHop!M1702</f>
        <v>0</v>
      </c>
      <c r="N1702">
        <f>[2]TongHop!N1702</f>
        <v>0</v>
      </c>
    </row>
    <row r="1703" spans="1:14">
      <c r="A1703">
        <f>[2]TongHop!A1703</f>
        <v>0</v>
      </c>
      <c r="B1703">
        <f>[2]TongHop!B1703</f>
        <v>0</v>
      </c>
      <c r="C1703">
        <f>[2]TongHop!C1703</f>
        <v>0</v>
      </c>
      <c r="D1703">
        <f>[2]TongHop!D1703</f>
        <v>0</v>
      </c>
      <c r="E1703">
        <f>[2]TongHop!E1703</f>
        <v>0</v>
      </c>
      <c r="F1703">
        <f>[2]TongHop!F1703</f>
        <v>0</v>
      </c>
      <c r="G1703">
        <f>[2]TongHop!G1703</f>
        <v>0</v>
      </c>
      <c r="H1703">
        <f>[2]TongHop!H1703</f>
        <v>0</v>
      </c>
      <c r="I1703">
        <f>[2]TongHop!I1703</f>
        <v>0</v>
      </c>
      <c r="J1703">
        <f>[2]TongHop!J1703</f>
        <v>0</v>
      </c>
      <c r="K1703">
        <f>[2]TongHop!K1703</f>
        <v>0</v>
      </c>
      <c r="L1703">
        <f>[2]TongHop!L1703</f>
        <v>0</v>
      </c>
      <c r="M1703">
        <f>[2]TongHop!M1703</f>
        <v>0</v>
      </c>
      <c r="N1703">
        <f>[2]TongHop!N1703</f>
        <v>0</v>
      </c>
    </row>
    <row r="1704" spans="1:14">
      <c r="A1704">
        <f>[2]TongHop!A1704</f>
        <v>0</v>
      </c>
      <c r="B1704">
        <f>[2]TongHop!B1704</f>
        <v>0</v>
      </c>
      <c r="C1704">
        <f>[2]TongHop!C1704</f>
        <v>0</v>
      </c>
      <c r="D1704">
        <f>[2]TongHop!D1704</f>
        <v>0</v>
      </c>
      <c r="E1704">
        <f>[2]TongHop!E1704</f>
        <v>0</v>
      </c>
      <c r="F1704">
        <f>[2]TongHop!F1704</f>
        <v>0</v>
      </c>
      <c r="G1704">
        <f>[2]TongHop!G1704</f>
        <v>0</v>
      </c>
      <c r="H1704">
        <f>[2]TongHop!H1704</f>
        <v>0</v>
      </c>
      <c r="I1704">
        <f>[2]TongHop!I1704</f>
        <v>0</v>
      </c>
      <c r="J1704">
        <f>[2]TongHop!J1704</f>
        <v>0</v>
      </c>
      <c r="K1704">
        <f>[2]TongHop!K1704</f>
        <v>0</v>
      </c>
      <c r="L1704">
        <f>[2]TongHop!L1704</f>
        <v>0</v>
      </c>
      <c r="M1704">
        <f>[2]TongHop!M1704</f>
        <v>0</v>
      </c>
      <c r="N1704">
        <f>[2]TongHop!N1704</f>
        <v>0</v>
      </c>
    </row>
    <row r="1705" spans="1:14">
      <c r="A1705">
        <f>[2]TongHop!A1705</f>
        <v>0</v>
      </c>
      <c r="B1705">
        <f>[2]TongHop!B1705</f>
        <v>0</v>
      </c>
      <c r="C1705">
        <f>[2]TongHop!C1705</f>
        <v>0</v>
      </c>
      <c r="D1705">
        <f>[2]TongHop!D1705</f>
        <v>0</v>
      </c>
      <c r="E1705">
        <f>[2]TongHop!E1705</f>
        <v>0</v>
      </c>
      <c r="F1705">
        <f>[2]TongHop!F1705</f>
        <v>0</v>
      </c>
      <c r="G1705">
        <f>[2]TongHop!G1705</f>
        <v>0</v>
      </c>
      <c r="H1705">
        <f>[2]TongHop!H1705</f>
        <v>0</v>
      </c>
      <c r="I1705">
        <f>[2]TongHop!I1705</f>
        <v>0</v>
      </c>
      <c r="J1705">
        <f>[2]TongHop!J1705</f>
        <v>0</v>
      </c>
      <c r="K1705">
        <f>[2]TongHop!K1705</f>
        <v>0</v>
      </c>
      <c r="L1705">
        <f>[2]TongHop!L1705</f>
        <v>0</v>
      </c>
      <c r="M1705">
        <f>[2]TongHop!M1705</f>
        <v>0</v>
      </c>
      <c r="N1705">
        <f>[2]TongHop!N1705</f>
        <v>0</v>
      </c>
    </row>
    <row r="1706" spans="1:14">
      <c r="A1706">
        <f>[2]TongHop!A1706</f>
        <v>0</v>
      </c>
      <c r="B1706">
        <f>[2]TongHop!B1706</f>
        <v>0</v>
      </c>
      <c r="C1706">
        <f>[2]TongHop!C1706</f>
        <v>0</v>
      </c>
      <c r="D1706">
        <f>[2]TongHop!D1706</f>
        <v>0</v>
      </c>
      <c r="E1706">
        <f>[2]TongHop!E1706</f>
        <v>0</v>
      </c>
      <c r="F1706">
        <f>[2]TongHop!F1706</f>
        <v>0</v>
      </c>
      <c r="G1706">
        <f>[2]TongHop!G1706</f>
        <v>0</v>
      </c>
      <c r="H1706">
        <f>[2]TongHop!H1706</f>
        <v>0</v>
      </c>
      <c r="I1706">
        <f>[2]TongHop!I1706</f>
        <v>0</v>
      </c>
      <c r="J1706">
        <f>[2]TongHop!J1706</f>
        <v>0</v>
      </c>
      <c r="K1706">
        <f>[2]TongHop!K1706</f>
        <v>0</v>
      </c>
      <c r="L1706">
        <f>[2]TongHop!L1706</f>
        <v>0</v>
      </c>
      <c r="M1706">
        <f>[2]TongHop!M1706</f>
        <v>0</v>
      </c>
      <c r="N1706">
        <f>[2]TongHop!N1706</f>
        <v>0</v>
      </c>
    </row>
    <row r="1707" spans="1:14">
      <c r="A1707">
        <f>[2]TongHop!A1707</f>
        <v>0</v>
      </c>
      <c r="B1707">
        <f>[2]TongHop!B1707</f>
        <v>0</v>
      </c>
      <c r="C1707">
        <f>[2]TongHop!C1707</f>
        <v>0</v>
      </c>
      <c r="D1707">
        <f>[2]TongHop!D1707</f>
        <v>0</v>
      </c>
      <c r="E1707">
        <f>[2]TongHop!E1707</f>
        <v>0</v>
      </c>
      <c r="F1707">
        <f>[2]TongHop!F1707</f>
        <v>0</v>
      </c>
      <c r="G1707">
        <f>[2]TongHop!G1707</f>
        <v>0</v>
      </c>
      <c r="H1707">
        <f>[2]TongHop!H1707</f>
        <v>0</v>
      </c>
      <c r="I1707">
        <f>[2]TongHop!I1707</f>
        <v>0</v>
      </c>
      <c r="J1707">
        <f>[2]TongHop!J1707</f>
        <v>0</v>
      </c>
      <c r="K1707">
        <f>[2]TongHop!K1707</f>
        <v>0</v>
      </c>
      <c r="L1707">
        <f>[2]TongHop!L1707</f>
        <v>0</v>
      </c>
      <c r="M1707">
        <f>[2]TongHop!M1707</f>
        <v>0</v>
      </c>
      <c r="N1707">
        <f>[2]TongHop!N1707</f>
        <v>0</v>
      </c>
    </row>
    <row r="1708" spans="1:14">
      <c r="A1708">
        <f>[2]TongHop!A1708</f>
        <v>0</v>
      </c>
      <c r="B1708">
        <f>[2]TongHop!B1708</f>
        <v>0</v>
      </c>
      <c r="C1708">
        <f>[2]TongHop!C1708</f>
        <v>0</v>
      </c>
      <c r="D1708">
        <f>[2]TongHop!D1708</f>
        <v>0</v>
      </c>
      <c r="E1708">
        <f>[2]TongHop!E1708</f>
        <v>0</v>
      </c>
      <c r="F1708">
        <f>[2]TongHop!F1708</f>
        <v>0</v>
      </c>
      <c r="G1708">
        <f>[2]TongHop!G1708</f>
        <v>0</v>
      </c>
      <c r="H1708">
        <f>[2]TongHop!H1708</f>
        <v>0</v>
      </c>
      <c r="I1708">
        <f>[2]TongHop!I1708</f>
        <v>0</v>
      </c>
      <c r="J1708">
        <f>[2]TongHop!J1708</f>
        <v>0</v>
      </c>
      <c r="K1708">
        <f>[2]TongHop!K1708</f>
        <v>0</v>
      </c>
      <c r="L1708">
        <f>[2]TongHop!L1708</f>
        <v>0</v>
      </c>
      <c r="M1708">
        <f>[2]TongHop!M1708</f>
        <v>0</v>
      </c>
      <c r="N1708">
        <f>[2]TongHop!N1708</f>
        <v>0</v>
      </c>
    </row>
    <row r="1709" spans="1:14">
      <c r="A1709">
        <f>[2]TongHop!A1709</f>
        <v>0</v>
      </c>
      <c r="B1709">
        <f>[2]TongHop!B1709</f>
        <v>0</v>
      </c>
      <c r="C1709">
        <f>[2]TongHop!C1709</f>
        <v>0</v>
      </c>
      <c r="D1709">
        <f>[2]TongHop!D1709</f>
        <v>0</v>
      </c>
      <c r="E1709">
        <f>[2]TongHop!E1709</f>
        <v>0</v>
      </c>
      <c r="F1709">
        <f>[2]TongHop!F1709</f>
        <v>0</v>
      </c>
      <c r="G1709">
        <f>[2]TongHop!G1709</f>
        <v>0</v>
      </c>
      <c r="H1709">
        <f>[2]TongHop!H1709</f>
        <v>0</v>
      </c>
      <c r="I1709">
        <f>[2]TongHop!I1709</f>
        <v>0</v>
      </c>
      <c r="J1709">
        <f>[2]TongHop!J1709</f>
        <v>0</v>
      </c>
      <c r="K1709">
        <f>[2]TongHop!K1709</f>
        <v>0</v>
      </c>
      <c r="L1709">
        <f>[2]TongHop!L1709</f>
        <v>0</v>
      </c>
      <c r="M1709">
        <f>[2]TongHop!M1709</f>
        <v>0</v>
      </c>
      <c r="N1709">
        <f>[2]TongHop!N1709</f>
        <v>0</v>
      </c>
    </row>
    <row r="1710" spans="1:14">
      <c r="A1710">
        <f>[2]TongHop!A1710</f>
        <v>0</v>
      </c>
      <c r="B1710">
        <f>[2]TongHop!B1710</f>
        <v>0</v>
      </c>
      <c r="C1710">
        <f>[2]TongHop!C1710</f>
        <v>0</v>
      </c>
      <c r="D1710">
        <f>[2]TongHop!D1710</f>
        <v>0</v>
      </c>
      <c r="E1710">
        <f>[2]TongHop!E1710</f>
        <v>0</v>
      </c>
      <c r="F1710">
        <f>[2]TongHop!F1710</f>
        <v>0</v>
      </c>
      <c r="G1710">
        <f>[2]TongHop!G1710</f>
        <v>0</v>
      </c>
      <c r="H1710">
        <f>[2]TongHop!H1710</f>
        <v>0</v>
      </c>
      <c r="I1710">
        <f>[2]TongHop!I1710</f>
        <v>0</v>
      </c>
      <c r="J1710">
        <f>[2]TongHop!J1710</f>
        <v>0</v>
      </c>
      <c r="K1710">
        <f>[2]TongHop!K1710</f>
        <v>0</v>
      </c>
      <c r="L1710">
        <f>[2]TongHop!L1710</f>
        <v>0</v>
      </c>
      <c r="M1710">
        <f>[2]TongHop!M1710</f>
        <v>0</v>
      </c>
      <c r="N1710">
        <f>[2]TongHop!N1710</f>
        <v>0</v>
      </c>
    </row>
    <row r="1711" spans="1:14">
      <c r="A1711">
        <f>[2]TongHop!A1711</f>
        <v>0</v>
      </c>
      <c r="B1711">
        <f>[2]TongHop!B1711</f>
        <v>0</v>
      </c>
      <c r="C1711">
        <f>[2]TongHop!C1711</f>
        <v>0</v>
      </c>
      <c r="D1711">
        <f>[2]TongHop!D1711</f>
        <v>0</v>
      </c>
      <c r="E1711">
        <f>[2]TongHop!E1711</f>
        <v>0</v>
      </c>
      <c r="F1711">
        <f>[2]TongHop!F1711</f>
        <v>0</v>
      </c>
      <c r="G1711">
        <f>[2]TongHop!G1711</f>
        <v>0</v>
      </c>
      <c r="H1711">
        <f>[2]TongHop!H1711</f>
        <v>0</v>
      </c>
      <c r="I1711">
        <f>[2]TongHop!I1711</f>
        <v>0</v>
      </c>
      <c r="J1711">
        <f>[2]TongHop!J1711</f>
        <v>0</v>
      </c>
      <c r="K1711">
        <f>[2]TongHop!K1711</f>
        <v>0</v>
      </c>
      <c r="L1711">
        <f>[2]TongHop!L1711</f>
        <v>0</v>
      </c>
      <c r="M1711">
        <f>[2]TongHop!M1711</f>
        <v>0</v>
      </c>
      <c r="N1711">
        <f>[2]TongHop!N1711</f>
        <v>0</v>
      </c>
    </row>
    <row r="1712" spans="1:14">
      <c r="A1712">
        <f>[2]TongHop!A1712</f>
        <v>0</v>
      </c>
      <c r="B1712">
        <f>[2]TongHop!B1712</f>
        <v>0</v>
      </c>
      <c r="C1712">
        <f>[2]TongHop!C1712</f>
        <v>0</v>
      </c>
      <c r="D1712">
        <f>[2]TongHop!D1712</f>
        <v>0</v>
      </c>
      <c r="E1712">
        <f>[2]TongHop!E1712</f>
        <v>0</v>
      </c>
      <c r="F1712">
        <f>[2]TongHop!F1712</f>
        <v>0</v>
      </c>
      <c r="G1712">
        <f>[2]TongHop!G1712</f>
        <v>0</v>
      </c>
      <c r="H1712">
        <f>[2]TongHop!H1712</f>
        <v>0</v>
      </c>
      <c r="I1712">
        <f>[2]TongHop!I1712</f>
        <v>0</v>
      </c>
      <c r="J1712">
        <f>[2]TongHop!J1712</f>
        <v>0</v>
      </c>
      <c r="K1712">
        <f>[2]TongHop!K1712</f>
        <v>0</v>
      </c>
      <c r="L1712">
        <f>[2]TongHop!L1712</f>
        <v>0</v>
      </c>
      <c r="M1712">
        <f>[2]TongHop!M1712</f>
        <v>0</v>
      </c>
      <c r="N1712">
        <f>[2]TongHop!N1712</f>
        <v>0</v>
      </c>
    </row>
    <row r="1713" spans="1:14">
      <c r="A1713">
        <f>[2]TongHop!A1713</f>
        <v>0</v>
      </c>
      <c r="B1713">
        <f>[2]TongHop!B1713</f>
        <v>0</v>
      </c>
      <c r="C1713">
        <f>[2]TongHop!C1713</f>
        <v>0</v>
      </c>
      <c r="D1713">
        <f>[2]TongHop!D1713</f>
        <v>0</v>
      </c>
      <c r="E1713">
        <f>[2]TongHop!E1713</f>
        <v>0</v>
      </c>
      <c r="F1713">
        <f>[2]TongHop!F1713</f>
        <v>0</v>
      </c>
      <c r="G1713">
        <f>[2]TongHop!G1713</f>
        <v>0</v>
      </c>
      <c r="H1713">
        <f>[2]TongHop!H1713</f>
        <v>0</v>
      </c>
      <c r="I1713">
        <f>[2]TongHop!I1713</f>
        <v>0</v>
      </c>
      <c r="J1713">
        <f>[2]TongHop!J1713</f>
        <v>0</v>
      </c>
      <c r="K1713">
        <f>[2]TongHop!K1713</f>
        <v>0</v>
      </c>
      <c r="L1713">
        <f>[2]TongHop!L1713</f>
        <v>0</v>
      </c>
      <c r="M1713">
        <f>[2]TongHop!M1713</f>
        <v>0</v>
      </c>
      <c r="N1713">
        <f>[2]TongHop!N1713</f>
        <v>0</v>
      </c>
    </row>
    <row r="1714" spans="1:14">
      <c r="A1714">
        <f>[2]TongHop!A1714</f>
        <v>0</v>
      </c>
      <c r="B1714">
        <f>[2]TongHop!B1714</f>
        <v>0</v>
      </c>
      <c r="C1714">
        <f>[2]TongHop!C1714</f>
        <v>0</v>
      </c>
      <c r="D1714">
        <f>[2]TongHop!D1714</f>
        <v>0</v>
      </c>
      <c r="E1714">
        <f>[2]TongHop!E1714</f>
        <v>0</v>
      </c>
      <c r="F1714">
        <f>[2]TongHop!F1714</f>
        <v>0</v>
      </c>
      <c r="G1714">
        <f>[2]TongHop!G1714</f>
        <v>0</v>
      </c>
      <c r="H1714">
        <f>[2]TongHop!H1714</f>
        <v>0</v>
      </c>
      <c r="I1714">
        <f>[2]TongHop!I1714</f>
        <v>0</v>
      </c>
      <c r="J1714">
        <f>[2]TongHop!J1714</f>
        <v>0</v>
      </c>
      <c r="K1714">
        <f>[2]TongHop!K1714</f>
        <v>0</v>
      </c>
      <c r="L1714">
        <f>[2]TongHop!L1714</f>
        <v>0</v>
      </c>
      <c r="M1714">
        <f>[2]TongHop!M1714</f>
        <v>0</v>
      </c>
      <c r="N1714">
        <f>[2]TongHop!N1714</f>
        <v>0</v>
      </c>
    </row>
    <row r="1715" spans="1:14">
      <c r="A1715">
        <f>[2]TongHop!A1715</f>
        <v>0</v>
      </c>
      <c r="B1715">
        <f>[2]TongHop!B1715</f>
        <v>0</v>
      </c>
      <c r="C1715">
        <f>[2]TongHop!C1715</f>
        <v>0</v>
      </c>
      <c r="D1715">
        <f>[2]TongHop!D1715</f>
        <v>0</v>
      </c>
      <c r="E1715">
        <f>[2]TongHop!E1715</f>
        <v>0</v>
      </c>
      <c r="F1715">
        <f>[2]TongHop!F1715</f>
        <v>0</v>
      </c>
      <c r="G1715">
        <f>[2]TongHop!G1715</f>
        <v>0</v>
      </c>
      <c r="H1715">
        <f>[2]TongHop!H1715</f>
        <v>0</v>
      </c>
      <c r="I1715">
        <f>[2]TongHop!I1715</f>
        <v>0</v>
      </c>
      <c r="J1715">
        <f>[2]TongHop!J1715</f>
        <v>0</v>
      </c>
      <c r="K1715">
        <f>[2]TongHop!K1715</f>
        <v>0</v>
      </c>
      <c r="L1715">
        <f>[2]TongHop!L1715</f>
        <v>0</v>
      </c>
      <c r="M1715">
        <f>[2]TongHop!M1715</f>
        <v>0</v>
      </c>
      <c r="N1715">
        <f>[2]TongHop!N1715</f>
        <v>0</v>
      </c>
    </row>
    <row r="1716" spans="1:14">
      <c r="A1716">
        <f>[2]TongHop!A1716</f>
        <v>0</v>
      </c>
      <c r="B1716">
        <f>[2]TongHop!B1716</f>
        <v>0</v>
      </c>
      <c r="C1716">
        <f>[2]TongHop!C1716</f>
        <v>0</v>
      </c>
      <c r="D1716">
        <f>[2]TongHop!D1716</f>
        <v>0</v>
      </c>
      <c r="E1716">
        <f>[2]TongHop!E1716</f>
        <v>0</v>
      </c>
      <c r="F1716">
        <f>[2]TongHop!F1716</f>
        <v>0</v>
      </c>
      <c r="G1716">
        <f>[2]TongHop!G1716</f>
        <v>0</v>
      </c>
      <c r="H1716">
        <f>[2]TongHop!H1716</f>
        <v>0</v>
      </c>
      <c r="I1716">
        <f>[2]TongHop!I1716</f>
        <v>0</v>
      </c>
      <c r="J1716">
        <f>[2]TongHop!J1716</f>
        <v>0</v>
      </c>
      <c r="K1716">
        <f>[2]TongHop!K1716</f>
        <v>0</v>
      </c>
      <c r="L1716">
        <f>[2]TongHop!L1716</f>
        <v>0</v>
      </c>
      <c r="M1716">
        <f>[2]TongHop!M1716</f>
        <v>0</v>
      </c>
      <c r="N1716">
        <f>[2]TongHop!N1716</f>
        <v>0</v>
      </c>
    </row>
    <row r="1717" spans="1:14">
      <c r="A1717">
        <f>[2]TongHop!A1717</f>
        <v>0</v>
      </c>
      <c r="B1717">
        <f>[2]TongHop!B1717</f>
        <v>0</v>
      </c>
      <c r="C1717">
        <f>[2]TongHop!C1717</f>
        <v>0</v>
      </c>
      <c r="D1717">
        <f>[2]TongHop!D1717</f>
        <v>0</v>
      </c>
      <c r="E1717">
        <f>[2]TongHop!E1717</f>
        <v>0</v>
      </c>
      <c r="F1717">
        <f>[2]TongHop!F1717</f>
        <v>0</v>
      </c>
      <c r="G1717">
        <f>[2]TongHop!G1717</f>
        <v>0</v>
      </c>
      <c r="H1717">
        <f>[2]TongHop!H1717</f>
        <v>0</v>
      </c>
      <c r="I1717">
        <f>[2]TongHop!I1717</f>
        <v>0</v>
      </c>
      <c r="J1717">
        <f>[2]TongHop!J1717</f>
        <v>0</v>
      </c>
      <c r="K1717">
        <f>[2]TongHop!K1717</f>
        <v>0</v>
      </c>
      <c r="L1717">
        <f>[2]TongHop!L1717</f>
        <v>0</v>
      </c>
      <c r="M1717">
        <f>[2]TongHop!M1717</f>
        <v>0</v>
      </c>
      <c r="N1717">
        <f>[2]TongHop!N1717</f>
        <v>0</v>
      </c>
    </row>
    <row r="1718" spans="1:14">
      <c r="A1718">
        <f>[2]TongHop!A1718</f>
        <v>0</v>
      </c>
      <c r="B1718">
        <f>[2]TongHop!B1718</f>
        <v>0</v>
      </c>
      <c r="C1718">
        <f>[2]TongHop!C1718</f>
        <v>0</v>
      </c>
      <c r="D1718">
        <f>[2]TongHop!D1718</f>
        <v>0</v>
      </c>
      <c r="E1718">
        <f>[2]TongHop!E1718</f>
        <v>0</v>
      </c>
      <c r="F1718">
        <f>[2]TongHop!F1718</f>
        <v>0</v>
      </c>
      <c r="G1718">
        <f>[2]TongHop!G1718</f>
        <v>0</v>
      </c>
      <c r="H1718">
        <f>[2]TongHop!H1718</f>
        <v>0</v>
      </c>
      <c r="I1718">
        <f>[2]TongHop!I1718</f>
        <v>0</v>
      </c>
      <c r="J1718">
        <f>[2]TongHop!J1718</f>
        <v>0</v>
      </c>
      <c r="K1718">
        <f>[2]TongHop!K1718</f>
        <v>0</v>
      </c>
      <c r="L1718">
        <f>[2]TongHop!L1718</f>
        <v>0</v>
      </c>
      <c r="M1718">
        <f>[2]TongHop!M1718</f>
        <v>0</v>
      </c>
      <c r="N1718">
        <f>[2]TongHop!N1718</f>
        <v>0</v>
      </c>
    </row>
    <row r="1719" spans="1:14">
      <c r="A1719">
        <f>[2]TongHop!A1719</f>
        <v>0</v>
      </c>
      <c r="B1719">
        <f>[2]TongHop!B1719</f>
        <v>0</v>
      </c>
      <c r="C1719">
        <f>[2]TongHop!C1719</f>
        <v>0</v>
      </c>
      <c r="D1719">
        <f>[2]TongHop!D1719</f>
        <v>0</v>
      </c>
      <c r="E1719">
        <f>[2]TongHop!E1719</f>
        <v>0</v>
      </c>
      <c r="F1719">
        <f>[2]TongHop!F1719</f>
        <v>0</v>
      </c>
      <c r="G1719">
        <f>[2]TongHop!G1719</f>
        <v>0</v>
      </c>
      <c r="H1719">
        <f>[2]TongHop!H1719</f>
        <v>0</v>
      </c>
      <c r="I1719">
        <f>[2]TongHop!I1719</f>
        <v>0</v>
      </c>
      <c r="J1719">
        <f>[2]TongHop!J1719</f>
        <v>0</v>
      </c>
      <c r="K1719">
        <f>[2]TongHop!K1719</f>
        <v>0</v>
      </c>
      <c r="L1719">
        <f>[2]TongHop!L1719</f>
        <v>0</v>
      </c>
      <c r="M1719">
        <f>[2]TongHop!M1719</f>
        <v>0</v>
      </c>
      <c r="N1719">
        <f>[2]TongHop!N1719</f>
        <v>0</v>
      </c>
    </row>
    <row r="1720" spans="1:14">
      <c r="A1720">
        <f>[2]TongHop!A1720</f>
        <v>0</v>
      </c>
      <c r="B1720">
        <f>[2]TongHop!B1720</f>
        <v>0</v>
      </c>
      <c r="C1720">
        <f>[2]TongHop!C1720</f>
        <v>0</v>
      </c>
      <c r="D1720">
        <f>[2]TongHop!D1720</f>
        <v>0</v>
      </c>
      <c r="E1720">
        <f>[2]TongHop!E1720</f>
        <v>0</v>
      </c>
      <c r="F1720">
        <f>[2]TongHop!F1720</f>
        <v>0</v>
      </c>
      <c r="G1720">
        <f>[2]TongHop!G1720</f>
        <v>0</v>
      </c>
      <c r="H1720">
        <f>[2]TongHop!H1720</f>
        <v>0</v>
      </c>
      <c r="I1720">
        <f>[2]TongHop!I1720</f>
        <v>0</v>
      </c>
      <c r="J1720">
        <f>[2]TongHop!J1720</f>
        <v>0</v>
      </c>
      <c r="K1720">
        <f>[2]TongHop!K1720</f>
        <v>0</v>
      </c>
      <c r="L1720">
        <f>[2]TongHop!L1720</f>
        <v>0</v>
      </c>
      <c r="M1720">
        <f>[2]TongHop!M1720</f>
        <v>0</v>
      </c>
      <c r="N1720">
        <f>[2]TongHop!N1720</f>
        <v>0</v>
      </c>
    </row>
    <row r="1721" spans="1:14">
      <c r="A1721">
        <f>[2]TongHop!A1721</f>
        <v>0</v>
      </c>
      <c r="B1721">
        <f>[2]TongHop!B1721</f>
        <v>0</v>
      </c>
      <c r="C1721">
        <f>[2]TongHop!C1721</f>
        <v>0</v>
      </c>
      <c r="D1721">
        <f>[2]TongHop!D1721</f>
        <v>0</v>
      </c>
      <c r="E1721">
        <f>[2]TongHop!E1721</f>
        <v>0</v>
      </c>
      <c r="F1721">
        <f>[2]TongHop!F1721</f>
        <v>0</v>
      </c>
      <c r="G1721">
        <f>[2]TongHop!G1721</f>
        <v>0</v>
      </c>
      <c r="H1721">
        <f>[2]TongHop!H1721</f>
        <v>0</v>
      </c>
      <c r="I1721">
        <f>[2]TongHop!I1721</f>
        <v>0</v>
      </c>
      <c r="J1721">
        <f>[2]TongHop!J1721</f>
        <v>0</v>
      </c>
      <c r="K1721">
        <f>[2]TongHop!K1721</f>
        <v>0</v>
      </c>
      <c r="L1721">
        <f>[2]TongHop!L1721</f>
        <v>0</v>
      </c>
      <c r="M1721">
        <f>[2]TongHop!M1721</f>
        <v>0</v>
      </c>
      <c r="N1721">
        <f>[2]TongHop!N1721</f>
        <v>0</v>
      </c>
    </row>
    <row r="1722" spans="1:14">
      <c r="A1722">
        <f>[2]TongHop!A1722</f>
        <v>0</v>
      </c>
      <c r="B1722">
        <f>[2]TongHop!B1722</f>
        <v>0</v>
      </c>
      <c r="C1722">
        <f>[2]TongHop!C1722</f>
        <v>0</v>
      </c>
      <c r="D1722">
        <f>[2]TongHop!D1722</f>
        <v>0</v>
      </c>
      <c r="E1722">
        <f>[2]TongHop!E1722</f>
        <v>0</v>
      </c>
      <c r="F1722">
        <f>[2]TongHop!F1722</f>
        <v>0</v>
      </c>
      <c r="G1722">
        <f>[2]TongHop!G1722</f>
        <v>0</v>
      </c>
      <c r="H1722">
        <f>[2]TongHop!H1722</f>
        <v>0</v>
      </c>
      <c r="I1722">
        <f>[2]TongHop!I1722</f>
        <v>0</v>
      </c>
      <c r="J1722">
        <f>[2]TongHop!J1722</f>
        <v>0</v>
      </c>
      <c r="K1722">
        <f>[2]TongHop!K1722</f>
        <v>0</v>
      </c>
      <c r="L1722">
        <f>[2]TongHop!L1722</f>
        <v>0</v>
      </c>
      <c r="M1722">
        <f>[2]TongHop!M1722</f>
        <v>0</v>
      </c>
      <c r="N1722">
        <f>[2]TongHop!N1722</f>
        <v>0</v>
      </c>
    </row>
    <row r="1723" spans="1:14">
      <c r="A1723">
        <f>[2]TongHop!A1723</f>
        <v>0</v>
      </c>
      <c r="B1723">
        <f>[2]TongHop!B1723</f>
        <v>0</v>
      </c>
      <c r="C1723">
        <f>[2]TongHop!C1723</f>
        <v>0</v>
      </c>
      <c r="D1723">
        <f>[2]TongHop!D1723</f>
        <v>0</v>
      </c>
      <c r="E1723">
        <f>[2]TongHop!E1723</f>
        <v>0</v>
      </c>
      <c r="F1723">
        <f>[2]TongHop!F1723</f>
        <v>0</v>
      </c>
      <c r="G1723">
        <f>[2]TongHop!G1723</f>
        <v>0</v>
      </c>
      <c r="H1723">
        <f>[2]TongHop!H1723</f>
        <v>0</v>
      </c>
      <c r="I1723">
        <f>[2]TongHop!I1723</f>
        <v>0</v>
      </c>
      <c r="J1723">
        <f>[2]TongHop!J1723</f>
        <v>0</v>
      </c>
      <c r="K1723">
        <f>[2]TongHop!K1723</f>
        <v>0</v>
      </c>
      <c r="L1723">
        <f>[2]TongHop!L1723</f>
        <v>0</v>
      </c>
      <c r="M1723">
        <f>[2]TongHop!M1723</f>
        <v>0</v>
      </c>
      <c r="N1723">
        <f>[2]TongHop!N1723</f>
        <v>0</v>
      </c>
    </row>
    <row r="1724" spans="1:14">
      <c r="A1724">
        <f>[2]TongHop!A1724</f>
        <v>0</v>
      </c>
      <c r="B1724">
        <f>[2]TongHop!B1724</f>
        <v>0</v>
      </c>
      <c r="C1724">
        <f>[2]TongHop!C1724</f>
        <v>0</v>
      </c>
      <c r="D1724">
        <f>[2]TongHop!D1724</f>
        <v>0</v>
      </c>
      <c r="E1724">
        <f>[2]TongHop!E1724</f>
        <v>0</v>
      </c>
      <c r="F1724">
        <f>[2]TongHop!F1724</f>
        <v>0</v>
      </c>
      <c r="G1724">
        <f>[2]TongHop!G1724</f>
        <v>0</v>
      </c>
      <c r="H1724">
        <f>[2]TongHop!H1724</f>
        <v>0</v>
      </c>
      <c r="I1724">
        <f>[2]TongHop!I1724</f>
        <v>0</v>
      </c>
      <c r="J1724">
        <f>[2]TongHop!J1724</f>
        <v>0</v>
      </c>
      <c r="K1724">
        <f>[2]TongHop!K1724</f>
        <v>0</v>
      </c>
      <c r="L1724">
        <f>[2]TongHop!L1724</f>
        <v>0</v>
      </c>
      <c r="M1724">
        <f>[2]TongHop!M1724</f>
        <v>0</v>
      </c>
      <c r="N1724">
        <f>[2]TongHop!N1724</f>
        <v>0</v>
      </c>
    </row>
    <row r="1725" spans="1:14">
      <c r="A1725">
        <f>[2]TongHop!A1725</f>
        <v>0</v>
      </c>
      <c r="B1725">
        <f>[2]TongHop!B1725</f>
        <v>0</v>
      </c>
      <c r="C1725">
        <f>[2]TongHop!C1725</f>
        <v>0</v>
      </c>
      <c r="D1725">
        <f>[2]TongHop!D1725</f>
        <v>0</v>
      </c>
      <c r="E1725">
        <f>[2]TongHop!E1725</f>
        <v>0</v>
      </c>
      <c r="F1725">
        <f>[2]TongHop!F1725</f>
        <v>0</v>
      </c>
      <c r="G1725">
        <f>[2]TongHop!G1725</f>
        <v>0</v>
      </c>
      <c r="H1725">
        <f>[2]TongHop!H1725</f>
        <v>0</v>
      </c>
      <c r="I1725">
        <f>[2]TongHop!I1725</f>
        <v>0</v>
      </c>
      <c r="J1725">
        <f>[2]TongHop!J1725</f>
        <v>0</v>
      </c>
      <c r="K1725">
        <f>[2]TongHop!K1725</f>
        <v>0</v>
      </c>
      <c r="L1725">
        <f>[2]TongHop!L1725</f>
        <v>0</v>
      </c>
      <c r="M1725">
        <f>[2]TongHop!M1725</f>
        <v>0</v>
      </c>
      <c r="N1725">
        <f>[2]TongHop!N1725</f>
        <v>0</v>
      </c>
    </row>
    <row r="1726" spans="1:14">
      <c r="A1726">
        <f>[2]TongHop!A1726</f>
        <v>0</v>
      </c>
      <c r="B1726">
        <f>[2]TongHop!B1726</f>
        <v>0</v>
      </c>
      <c r="C1726">
        <f>[2]TongHop!C1726</f>
        <v>0</v>
      </c>
      <c r="D1726">
        <f>[2]TongHop!D1726</f>
        <v>0</v>
      </c>
      <c r="E1726">
        <f>[2]TongHop!E1726</f>
        <v>0</v>
      </c>
      <c r="F1726">
        <f>[2]TongHop!F1726</f>
        <v>0</v>
      </c>
      <c r="G1726">
        <f>[2]TongHop!G1726</f>
        <v>0</v>
      </c>
      <c r="H1726">
        <f>[2]TongHop!H1726</f>
        <v>0</v>
      </c>
      <c r="I1726">
        <f>[2]TongHop!I1726</f>
        <v>0</v>
      </c>
      <c r="J1726">
        <f>[2]TongHop!J1726</f>
        <v>0</v>
      </c>
      <c r="K1726">
        <f>[2]TongHop!K1726</f>
        <v>0</v>
      </c>
      <c r="L1726">
        <f>[2]TongHop!L1726</f>
        <v>0</v>
      </c>
      <c r="M1726">
        <f>[2]TongHop!M1726</f>
        <v>0</v>
      </c>
      <c r="N1726">
        <f>[2]TongHop!N1726</f>
        <v>0</v>
      </c>
    </row>
    <row r="1727" spans="1:14">
      <c r="A1727">
        <f>[2]TongHop!A1727</f>
        <v>0</v>
      </c>
      <c r="B1727">
        <f>[2]TongHop!B1727</f>
        <v>0</v>
      </c>
      <c r="C1727">
        <f>[2]TongHop!C1727</f>
        <v>0</v>
      </c>
      <c r="D1727">
        <f>[2]TongHop!D1727</f>
        <v>0</v>
      </c>
      <c r="E1727">
        <f>[2]TongHop!E1727</f>
        <v>0</v>
      </c>
      <c r="F1727">
        <f>[2]TongHop!F1727</f>
        <v>0</v>
      </c>
      <c r="G1727">
        <f>[2]TongHop!G1727</f>
        <v>0</v>
      </c>
      <c r="H1727">
        <f>[2]TongHop!H1727</f>
        <v>0</v>
      </c>
      <c r="I1727">
        <f>[2]TongHop!I1727</f>
        <v>0</v>
      </c>
      <c r="J1727">
        <f>[2]TongHop!J1727</f>
        <v>0</v>
      </c>
      <c r="K1727">
        <f>[2]TongHop!K1727</f>
        <v>0</v>
      </c>
      <c r="L1727">
        <f>[2]TongHop!L1727</f>
        <v>0</v>
      </c>
      <c r="M1727">
        <f>[2]TongHop!M1727</f>
        <v>0</v>
      </c>
      <c r="N1727">
        <f>[2]TongHop!N1727</f>
        <v>0</v>
      </c>
    </row>
    <row r="1728" spans="1:14">
      <c r="A1728">
        <f>[2]TongHop!A1728</f>
        <v>0</v>
      </c>
      <c r="B1728">
        <f>[2]TongHop!B1728</f>
        <v>0</v>
      </c>
      <c r="C1728">
        <f>[2]TongHop!C1728</f>
        <v>0</v>
      </c>
      <c r="D1728">
        <f>[2]TongHop!D1728</f>
        <v>0</v>
      </c>
      <c r="E1728">
        <f>[2]TongHop!E1728</f>
        <v>0</v>
      </c>
      <c r="F1728">
        <f>[2]TongHop!F1728</f>
        <v>0</v>
      </c>
      <c r="G1728">
        <f>[2]TongHop!G1728</f>
        <v>0</v>
      </c>
      <c r="H1728">
        <f>[2]TongHop!H1728</f>
        <v>0</v>
      </c>
      <c r="I1728">
        <f>[2]TongHop!I1728</f>
        <v>0</v>
      </c>
      <c r="J1728">
        <f>[2]TongHop!J1728</f>
        <v>0</v>
      </c>
      <c r="K1728">
        <f>[2]TongHop!K1728</f>
        <v>0</v>
      </c>
      <c r="L1728">
        <f>[2]TongHop!L1728</f>
        <v>0</v>
      </c>
      <c r="M1728">
        <f>[2]TongHop!M1728</f>
        <v>0</v>
      </c>
      <c r="N1728">
        <f>[2]TongHop!N1728</f>
        <v>0</v>
      </c>
    </row>
    <row r="1729" spans="1:14">
      <c r="A1729">
        <f>[2]TongHop!A1729</f>
        <v>0</v>
      </c>
      <c r="B1729">
        <f>[2]TongHop!B1729</f>
        <v>0</v>
      </c>
      <c r="C1729">
        <f>[2]TongHop!C1729</f>
        <v>0</v>
      </c>
      <c r="D1729">
        <f>[2]TongHop!D1729</f>
        <v>0</v>
      </c>
      <c r="E1729">
        <f>[2]TongHop!E1729</f>
        <v>0</v>
      </c>
      <c r="F1729">
        <f>[2]TongHop!F1729</f>
        <v>0</v>
      </c>
      <c r="G1729">
        <f>[2]TongHop!G1729</f>
        <v>0</v>
      </c>
      <c r="H1729">
        <f>[2]TongHop!H1729</f>
        <v>0</v>
      </c>
      <c r="I1729">
        <f>[2]TongHop!I1729</f>
        <v>0</v>
      </c>
      <c r="J1729">
        <f>[2]TongHop!J1729</f>
        <v>0</v>
      </c>
      <c r="K1729">
        <f>[2]TongHop!K1729</f>
        <v>0</v>
      </c>
      <c r="L1729">
        <f>[2]TongHop!L1729</f>
        <v>0</v>
      </c>
      <c r="M1729">
        <f>[2]TongHop!M1729</f>
        <v>0</v>
      </c>
      <c r="N1729">
        <f>[2]TongHop!N1729</f>
        <v>0</v>
      </c>
    </row>
    <row r="1730" spans="1:14">
      <c r="A1730">
        <f>[2]TongHop!A1730</f>
        <v>0</v>
      </c>
      <c r="B1730">
        <f>[2]TongHop!B1730</f>
        <v>0</v>
      </c>
      <c r="C1730">
        <f>[2]TongHop!C1730</f>
        <v>0</v>
      </c>
      <c r="D1730">
        <f>[2]TongHop!D1730</f>
        <v>0</v>
      </c>
      <c r="E1730">
        <f>[2]TongHop!E1730</f>
        <v>0</v>
      </c>
      <c r="F1730">
        <f>[2]TongHop!F1730</f>
        <v>0</v>
      </c>
      <c r="G1730">
        <f>[2]TongHop!G1730</f>
        <v>0</v>
      </c>
      <c r="H1730">
        <f>[2]TongHop!H1730</f>
        <v>0</v>
      </c>
      <c r="I1730">
        <f>[2]TongHop!I1730</f>
        <v>0</v>
      </c>
      <c r="J1730">
        <f>[2]TongHop!J1730</f>
        <v>0</v>
      </c>
      <c r="K1730">
        <f>[2]TongHop!K1730</f>
        <v>0</v>
      </c>
      <c r="L1730">
        <f>[2]TongHop!L1730</f>
        <v>0</v>
      </c>
      <c r="M1730">
        <f>[2]TongHop!M1730</f>
        <v>0</v>
      </c>
      <c r="N1730">
        <f>[2]TongHop!N1730</f>
        <v>0</v>
      </c>
    </row>
    <row r="1731" spans="1:14">
      <c r="A1731">
        <f>[2]TongHop!A1731</f>
        <v>0</v>
      </c>
      <c r="B1731">
        <f>[2]TongHop!B1731</f>
        <v>0</v>
      </c>
      <c r="C1731">
        <f>[2]TongHop!C1731</f>
        <v>0</v>
      </c>
      <c r="D1731">
        <f>[2]TongHop!D1731</f>
        <v>0</v>
      </c>
      <c r="E1731">
        <f>[2]TongHop!E1731</f>
        <v>0</v>
      </c>
      <c r="F1731">
        <f>[2]TongHop!F1731</f>
        <v>0</v>
      </c>
      <c r="G1731">
        <f>[2]TongHop!G1731</f>
        <v>0</v>
      </c>
      <c r="H1731">
        <f>[2]TongHop!H1731</f>
        <v>0</v>
      </c>
      <c r="I1731">
        <f>[2]TongHop!I1731</f>
        <v>0</v>
      </c>
      <c r="J1731">
        <f>[2]TongHop!J1731</f>
        <v>0</v>
      </c>
      <c r="K1731">
        <f>[2]TongHop!K1731</f>
        <v>0</v>
      </c>
      <c r="L1731">
        <f>[2]TongHop!L1731</f>
        <v>0</v>
      </c>
      <c r="M1731">
        <f>[2]TongHop!M1731</f>
        <v>0</v>
      </c>
      <c r="N1731">
        <f>[2]TongHop!N1731</f>
        <v>0</v>
      </c>
    </row>
    <row r="1732" spans="1:14">
      <c r="A1732">
        <f>[2]TongHop!A1732</f>
        <v>0</v>
      </c>
      <c r="B1732">
        <f>[2]TongHop!B1732</f>
        <v>0</v>
      </c>
      <c r="C1732">
        <f>[2]TongHop!C1732</f>
        <v>0</v>
      </c>
      <c r="D1732">
        <f>[2]TongHop!D1732</f>
        <v>0</v>
      </c>
      <c r="E1732">
        <f>[2]TongHop!E1732</f>
        <v>0</v>
      </c>
      <c r="F1732">
        <f>[2]TongHop!F1732</f>
        <v>0</v>
      </c>
      <c r="G1732">
        <f>[2]TongHop!G1732</f>
        <v>0</v>
      </c>
      <c r="H1732">
        <f>[2]TongHop!H1732</f>
        <v>0</v>
      </c>
      <c r="I1732">
        <f>[2]TongHop!I1732</f>
        <v>0</v>
      </c>
      <c r="J1732">
        <f>[2]TongHop!J1732</f>
        <v>0</v>
      </c>
      <c r="K1732">
        <f>[2]TongHop!K1732</f>
        <v>0</v>
      </c>
      <c r="L1732">
        <f>[2]TongHop!L1732</f>
        <v>0</v>
      </c>
      <c r="M1732">
        <f>[2]TongHop!M1732</f>
        <v>0</v>
      </c>
      <c r="N1732">
        <f>[2]TongHop!N1732</f>
        <v>0</v>
      </c>
    </row>
    <row r="1733" spans="1:14">
      <c r="A1733">
        <f>[2]TongHop!A1733</f>
        <v>0</v>
      </c>
      <c r="B1733">
        <f>[2]TongHop!B1733</f>
        <v>0</v>
      </c>
      <c r="C1733">
        <f>[2]TongHop!C1733</f>
        <v>0</v>
      </c>
      <c r="D1733">
        <f>[2]TongHop!D1733</f>
        <v>0</v>
      </c>
      <c r="E1733">
        <f>[2]TongHop!E1733</f>
        <v>0</v>
      </c>
      <c r="F1733">
        <f>[2]TongHop!F1733</f>
        <v>0</v>
      </c>
      <c r="G1733">
        <f>[2]TongHop!G1733</f>
        <v>0</v>
      </c>
      <c r="H1733">
        <f>[2]TongHop!H1733</f>
        <v>0</v>
      </c>
      <c r="I1733">
        <f>[2]TongHop!I1733</f>
        <v>0</v>
      </c>
      <c r="J1733">
        <f>[2]TongHop!J1733</f>
        <v>0</v>
      </c>
      <c r="K1733">
        <f>[2]TongHop!K1733</f>
        <v>0</v>
      </c>
      <c r="L1733">
        <f>[2]TongHop!L1733</f>
        <v>0</v>
      </c>
      <c r="M1733">
        <f>[2]TongHop!M1733</f>
        <v>0</v>
      </c>
      <c r="N1733">
        <f>[2]TongHop!N1733</f>
        <v>0</v>
      </c>
    </row>
    <row r="1734" spans="1:14">
      <c r="A1734">
        <f>[2]TongHop!A1734</f>
        <v>0</v>
      </c>
      <c r="B1734">
        <f>[2]TongHop!B1734</f>
        <v>0</v>
      </c>
      <c r="C1734">
        <f>[2]TongHop!C1734</f>
        <v>0</v>
      </c>
      <c r="D1734">
        <f>[2]TongHop!D1734</f>
        <v>0</v>
      </c>
      <c r="E1734">
        <f>[2]TongHop!E1734</f>
        <v>0</v>
      </c>
      <c r="F1734">
        <f>[2]TongHop!F1734</f>
        <v>0</v>
      </c>
      <c r="G1734">
        <f>[2]TongHop!G1734</f>
        <v>0</v>
      </c>
      <c r="H1734">
        <f>[2]TongHop!H1734</f>
        <v>0</v>
      </c>
      <c r="I1734">
        <f>[2]TongHop!I1734</f>
        <v>0</v>
      </c>
      <c r="J1734">
        <f>[2]TongHop!J1734</f>
        <v>0</v>
      </c>
      <c r="K1734">
        <f>[2]TongHop!K1734</f>
        <v>0</v>
      </c>
      <c r="L1734">
        <f>[2]TongHop!L1734</f>
        <v>0</v>
      </c>
      <c r="M1734">
        <f>[2]TongHop!M1734</f>
        <v>0</v>
      </c>
      <c r="N1734">
        <f>[2]TongHop!N1734</f>
        <v>0</v>
      </c>
    </row>
    <row r="1735" spans="1:14">
      <c r="A1735">
        <f>[2]TongHop!A1735</f>
        <v>0</v>
      </c>
      <c r="B1735">
        <f>[2]TongHop!B1735</f>
        <v>0</v>
      </c>
      <c r="C1735">
        <f>[2]TongHop!C1735</f>
        <v>0</v>
      </c>
      <c r="D1735">
        <f>[2]TongHop!D1735</f>
        <v>0</v>
      </c>
      <c r="E1735">
        <f>[2]TongHop!E1735</f>
        <v>0</v>
      </c>
      <c r="F1735">
        <f>[2]TongHop!F1735</f>
        <v>0</v>
      </c>
      <c r="G1735">
        <f>[2]TongHop!G1735</f>
        <v>0</v>
      </c>
      <c r="H1735">
        <f>[2]TongHop!H1735</f>
        <v>0</v>
      </c>
      <c r="I1735">
        <f>[2]TongHop!I1735</f>
        <v>0</v>
      </c>
      <c r="J1735">
        <f>[2]TongHop!J1735</f>
        <v>0</v>
      </c>
      <c r="K1735">
        <f>[2]TongHop!K1735</f>
        <v>0</v>
      </c>
      <c r="L1735">
        <f>[2]TongHop!L1735</f>
        <v>0</v>
      </c>
      <c r="M1735">
        <f>[2]TongHop!M1735</f>
        <v>0</v>
      </c>
      <c r="N1735">
        <f>[2]TongHop!N1735</f>
        <v>0</v>
      </c>
    </row>
    <row r="1736" spans="1:14">
      <c r="A1736">
        <f>[2]TongHop!A1736</f>
        <v>0</v>
      </c>
      <c r="B1736">
        <f>[2]TongHop!B1736</f>
        <v>0</v>
      </c>
      <c r="C1736">
        <f>[2]TongHop!C1736</f>
        <v>0</v>
      </c>
      <c r="D1736">
        <f>[2]TongHop!D1736</f>
        <v>0</v>
      </c>
      <c r="E1736">
        <f>[2]TongHop!E1736</f>
        <v>0</v>
      </c>
      <c r="F1736">
        <f>[2]TongHop!F1736</f>
        <v>0</v>
      </c>
      <c r="G1736">
        <f>[2]TongHop!G1736</f>
        <v>0</v>
      </c>
      <c r="H1736">
        <f>[2]TongHop!H1736</f>
        <v>0</v>
      </c>
      <c r="I1736">
        <f>[2]TongHop!I1736</f>
        <v>0</v>
      </c>
      <c r="J1736">
        <f>[2]TongHop!J1736</f>
        <v>0</v>
      </c>
      <c r="K1736">
        <f>[2]TongHop!K1736</f>
        <v>0</v>
      </c>
      <c r="L1736">
        <f>[2]TongHop!L1736</f>
        <v>0</v>
      </c>
      <c r="M1736">
        <f>[2]TongHop!M1736</f>
        <v>0</v>
      </c>
      <c r="N1736">
        <f>[2]TongHop!N1736</f>
        <v>0</v>
      </c>
    </row>
    <row r="1737" spans="1:14">
      <c r="A1737">
        <f>[2]TongHop!A1737</f>
        <v>0</v>
      </c>
      <c r="B1737">
        <f>[2]TongHop!B1737</f>
        <v>0</v>
      </c>
      <c r="C1737">
        <f>[2]TongHop!C1737</f>
        <v>0</v>
      </c>
      <c r="D1737">
        <f>[2]TongHop!D1737</f>
        <v>0</v>
      </c>
      <c r="E1737">
        <f>[2]TongHop!E1737</f>
        <v>0</v>
      </c>
      <c r="F1737">
        <f>[2]TongHop!F1737</f>
        <v>0</v>
      </c>
      <c r="G1737">
        <f>[2]TongHop!G1737</f>
        <v>0</v>
      </c>
      <c r="H1737">
        <f>[2]TongHop!H1737</f>
        <v>0</v>
      </c>
      <c r="I1737">
        <f>[2]TongHop!I1737</f>
        <v>0</v>
      </c>
      <c r="J1737">
        <f>[2]TongHop!J1737</f>
        <v>0</v>
      </c>
      <c r="K1737">
        <f>[2]TongHop!K1737</f>
        <v>0</v>
      </c>
      <c r="L1737">
        <f>[2]TongHop!L1737</f>
        <v>0</v>
      </c>
      <c r="M1737">
        <f>[2]TongHop!M1737</f>
        <v>0</v>
      </c>
      <c r="N1737">
        <f>[2]TongHop!N1737</f>
        <v>0</v>
      </c>
    </row>
    <row r="1738" spans="1:14">
      <c r="A1738">
        <f>[2]TongHop!A1738</f>
        <v>0</v>
      </c>
      <c r="B1738">
        <f>[2]TongHop!B1738</f>
        <v>0</v>
      </c>
      <c r="C1738">
        <f>[2]TongHop!C1738</f>
        <v>0</v>
      </c>
      <c r="D1738">
        <f>[2]TongHop!D1738</f>
        <v>0</v>
      </c>
      <c r="E1738">
        <f>[2]TongHop!E1738</f>
        <v>0</v>
      </c>
      <c r="F1738">
        <f>[2]TongHop!F1738</f>
        <v>0</v>
      </c>
      <c r="G1738">
        <f>[2]TongHop!G1738</f>
        <v>0</v>
      </c>
      <c r="H1738">
        <f>[2]TongHop!H1738</f>
        <v>0</v>
      </c>
      <c r="I1738">
        <f>[2]TongHop!I1738</f>
        <v>0</v>
      </c>
      <c r="J1738">
        <f>[2]TongHop!J1738</f>
        <v>0</v>
      </c>
      <c r="K1738">
        <f>[2]TongHop!K1738</f>
        <v>0</v>
      </c>
      <c r="L1738">
        <f>[2]TongHop!L1738</f>
        <v>0</v>
      </c>
      <c r="M1738">
        <f>[2]TongHop!M1738</f>
        <v>0</v>
      </c>
      <c r="N1738">
        <f>[2]TongHop!N1738</f>
        <v>0</v>
      </c>
    </row>
    <row r="1739" spans="1:14">
      <c r="A1739">
        <f>[2]TongHop!A1739</f>
        <v>0</v>
      </c>
      <c r="B1739">
        <f>[2]TongHop!B1739</f>
        <v>0</v>
      </c>
      <c r="C1739">
        <f>[2]TongHop!C1739</f>
        <v>0</v>
      </c>
      <c r="D1739">
        <f>[2]TongHop!D1739</f>
        <v>0</v>
      </c>
      <c r="E1739">
        <f>[2]TongHop!E1739</f>
        <v>0</v>
      </c>
      <c r="F1739">
        <f>[2]TongHop!F1739</f>
        <v>0</v>
      </c>
      <c r="G1739">
        <f>[2]TongHop!G1739</f>
        <v>0</v>
      </c>
      <c r="H1739">
        <f>[2]TongHop!H1739</f>
        <v>0</v>
      </c>
      <c r="I1739">
        <f>[2]TongHop!I1739</f>
        <v>0</v>
      </c>
      <c r="J1739">
        <f>[2]TongHop!J1739</f>
        <v>0</v>
      </c>
      <c r="K1739">
        <f>[2]TongHop!K1739</f>
        <v>0</v>
      </c>
      <c r="L1739">
        <f>[2]TongHop!L1739</f>
        <v>0</v>
      </c>
      <c r="M1739">
        <f>[2]TongHop!M1739</f>
        <v>0</v>
      </c>
      <c r="N1739">
        <f>[2]TongHop!N1739</f>
        <v>0</v>
      </c>
    </row>
    <row r="1740" spans="1:14">
      <c r="A1740">
        <f>[2]TongHop!A1740</f>
        <v>0</v>
      </c>
      <c r="B1740">
        <f>[2]TongHop!B1740</f>
        <v>0</v>
      </c>
      <c r="C1740">
        <f>[2]TongHop!C1740</f>
        <v>0</v>
      </c>
      <c r="D1740">
        <f>[2]TongHop!D1740</f>
        <v>0</v>
      </c>
      <c r="E1740">
        <f>[2]TongHop!E1740</f>
        <v>0</v>
      </c>
      <c r="F1740">
        <f>[2]TongHop!F1740</f>
        <v>0</v>
      </c>
      <c r="G1740">
        <f>[2]TongHop!G1740</f>
        <v>0</v>
      </c>
      <c r="H1740">
        <f>[2]TongHop!H1740</f>
        <v>0</v>
      </c>
      <c r="I1740">
        <f>[2]TongHop!I1740</f>
        <v>0</v>
      </c>
      <c r="J1740">
        <f>[2]TongHop!J1740</f>
        <v>0</v>
      </c>
      <c r="K1740">
        <f>[2]TongHop!K1740</f>
        <v>0</v>
      </c>
      <c r="L1740">
        <f>[2]TongHop!L1740</f>
        <v>0</v>
      </c>
      <c r="M1740">
        <f>[2]TongHop!M1740</f>
        <v>0</v>
      </c>
      <c r="N1740">
        <f>[2]TongHop!N1740</f>
        <v>0</v>
      </c>
    </row>
    <row r="1741" spans="1:14">
      <c r="A1741">
        <f>[2]TongHop!A1741</f>
        <v>0</v>
      </c>
      <c r="B1741">
        <f>[2]TongHop!B1741</f>
        <v>0</v>
      </c>
      <c r="C1741">
        <f>[2]TongHop!C1741</f>
        <v>0</v>
      </c>
      <c r="D1741">
        <f>[2]TongHop!D1741</f>
        <v>0</v>
      </c>
      <c r="E1741">
        <f>[2]TongHop!E1741</f>
        <v>0</v>
      </c>
      <c r="F1741">
        <f>[2]TongHop!F1741</f>
        <v>0</v>
      </c>
      <c r="G1741">
        <f>[2]TongHop!G1741</f>
        <v>0</v>
      </c>
      <c r="H1741">
        <f>[2]TongHop!H1741</f>
        <v>0</v>
      </c>
      <c r="I1741">
        <f>[2]TongHop!I1741</f>
        <v>0</v>
      </c>
      <c r="J1741">
        <f>[2]TongHop!J1741</f>
        <v>0</v>
      </c>
      <c r="K1741">
        <f>[2]TongHop!K1741</f>
        <v>0</v>
      </c>
      <c r="L1741">
        <f>[2]TongHop!L1741</f>
        <v>0</v>
      </c>
      <c r="M1741">
        <f>[2]TongHop!M1741</f>
        <v>0</v>
      </c>
      <c r="N1741">
        <f>[2]TongHop!N1741</f>
        <v>0</v>
      </c>
    </row>
    <row r="1742" spans="1:14">
      <c r="A1742">
        <f>[2]TongHop!A1742</f>
        <v>0</v>
      </c>
      <c r="B1742">
        <f>[2]TongHop!B1742</f>
        <v>0</v>
      </c>
      <c r="C1742">
        <f>[2]TongHop!C1742</f>
        <v>0</v>
      </c>
      <c r="D1742">
        <f>[2]TongHop!D1742</f>
        <v>0</v>
      </c>
      <c r="E1742">
        <f>[2]TongHop!E1742</f>
        <v>0</v>
      </c>
      <c r="F1742">
        <f>[2]TongHop!F1742</f>
        <v>0</v>
      </c>
      <c r="G1742">
        <f>[2]TongHop!G1742</f>
        <v>0</v>
      </c>
      <c r="H1742">
        <f>[2]TongHop!H1742</f>
        <v>0</v>
      </c>
      <c r="I1742">
        <f>[2]TongHop!I1742</f>
        <v>0</v>
      </c>
      <c r="J1742">
        <f>[2]TongHop!J1742</f>
        <v>0</v>
      </c>
      <c r="K1742">
        <f>[2]TongHop!K1742</f>
        <v>0</v>
      </c>
      <c r="L1742">
        <f>[2]TongHop!L1742</f>
        <v>0</v>
      </c>
      <c r="M1742">
        <f>[2]TongHop!M1742</f>
        <v>0</v>
      </c>
      <c r="N1742">
        <f>[2]TongHop!N1742</f>
        <v>0</v>
      </c>
    </row>
    <row r="1743" spans="1:14">
      <c r="A1743">
        <f>[2]TongHop!A1743</f>
        <v>0</v>
      </c>
      <c r="B1743">
        <f>[2]TongHop!B1743</f>
        <v>0</v>
      </c>
      <c r="C1743">
        <f>[2]TongHop!C1743</f>
        <v>0</v>
      </c>
      <c r="D1743">
        <f>[2]TongHop!D1743</f>
        <v>0</v>
      </c>
      <c r="E1743">
        <f>[2]TongHop!E1743</f>
        <v>0</v>
      </c>
      <c r="F1743">
        <f>[2]TongHop!F1743</f>
        <v>0</v>
      </c>
      <c r="G1743">
        <f>[2]TongHop!G1743</f>
        <v>0</v>
      </c>
      <c r="H1743">
        <f>[2]TongHop!H1743</f>
        <v>0</v>
      </c>
      <c r="I1743">
        <f>[2]TongHop!I1743</f>
        <v>0</v>
      </c>
      <c r="J1743">
        <f>[2]TongHop!J1743</f>
        <v>0</v>
      </c>
      <c r="K1743">
        <f>[2]TongHop!K1743</f>
        <v>0</v>
      </c>
      <c r="L1743">
        <f>[2]TongHop!L1743</f>
        <v>0</v>
      </c>
      <c r="M1743">
        <f>[2]TongHop!M1743</f>
        <v>0</v>
      </c>
      <c r="N1743">
        <f>[2]TongHop!N1743</f>
        <v>0</v>
      </c>
    </row>
    <row r="1744" spans="1:14">
      <c r="A1744">
        <f>[2]TongHop!A1744</f>
        <v>0</v>
      </c>
      <c r="B1744">
        <f>[2]TongHop!B1744</f>
        <v>0</v>
      </c>
      <c r="C1744">
        <f>[2]TongHop!C1744</f>
        <v>0</v>
      </c>
      <c r="D1744">
        <f>[2]TongHop!D1744</f>
        <v>0</v>
      </c>
      <c r="E1744">
        <f>[2]TongHop!E1744</f>
        <v>0</v>
      </c>
      <c r="F1744">
        <f>[2]TongHop!F1744</f>
        <v>0</v>
      </c>
      <c r="G1744">
        <f>[2]TongHop!G1744</f>
        <v>0</v>
      </c>
      <c r="H1744">
        <f>[2]TongHop!H1744</f>
        <v>0</v>
      </c>
      <c r="I1744">
        <f>[2]TongHop!I1744</f>
        <v>0</v>
      </c>
      <c r="J1744">
        <f>[2]TongHop!J1744</f>
        <v>0</v>
      </c>
      <c r="K1744">
        <f>[2]TongHop!K1744</f>
        <v>0</v>
      </c>
      <c r="L1744">
        <f>[2]TongHop!L1744</f>
        <v>0</v>
      </c>
      <c r="M1744">
        <f>[2]TongHop!M1744</f>
        <v>0</v>
      </c>
      <c r="N1744">
        <f>[2]TongHop!N1744</f>
        <v>0</v>
      </c>
    </row>
    <row r="1745" spans="1:14">
      <c r="A1745">
        <f>[2]TongHop!A1745</f>
        <v>0</v>
      </c>
      <c r="B1745">
        <f>[2]TongHop!B1745</f>
        <v>0</v>
      </c>
      <c r="C1745">
        <f>[2]TongHop!C1745</f>
        <v>0</v>
      </c>
      <c r="D1745">
        <f>[2]TongHop!D1745</f>
        <v>0</v>
      </c>
      <c r="E1745">
        <f>[2]TongHop!E1745</f>
        <v>0</v>
      </c>
      <c r="F1745">
        <f>[2]TongHop!F1745</f>
        <v>0</v>
      </c>
      <c r="G1745">
        <f>[2]TongHop!G1745</f>
        <v>0</v>
      </c>
      <c r="H1745">
        <f>[2]TongHop!H1745</f>
        <v>0</v>
      </c>
      <c r="I1745">
        <f>[2]TongHop!I1745</f>
        <v>0</v>
      </c>
      <c r="J1745">
        <f>[2]TongHop!J1745</f>
        <v>0</v>
      </c>
      <c r="K1745">
        <f>[2]TongHop!K1745</f>
        <v>0</v>
      </c>
      <c r="L1745">
        <f>[2]TongHop!L1745</f>
        <v>0</v>
      </c>
      <c r="M1745">
        <f>[2]TongHop!M1745</f>
        <v>0</v>
      </c>
      <c r="N1745">
        <f>[2]TongHop!N1745</f>
        <v>0</v>
      </c>
    </row>
    <row r="1746" spans="1:14">
      <c r="A1746">
        <f>[2]TongHop!A1746</f>
        <v>0</v>
      </c>
      <c r="B1746">
        <f>[2]TongHop!B1746</f>
        <v>0</v>
      </c>
      <c r="C1746">
        <f>[2]TongHop!C1746</f>
        <v>0</v>
      </c>
      <c r="D1746">
        <f>[2]TongHop!D1746</f>
        <v>0</v>
      </c>
      <c r="E1746">
        <f>[2]TongHop!E1746</f>
        <v>0</v>
      </c>
      <c r="F1746">
        <f>[2]TongHop!F1746</f>
        <v>0</v>
      </c>
      <c r="G1746">
        <f>[2]TongHop!G1746</f>
        <v>0</v>
      </c>
      <c r="H1746">
        <f>[2]TongHop!H1746</f>
        <v>0</v>
      </c>
      <c r="I1746">
        <f>[2]TongHop!I1746</f>
        <v>0</v>
      </c>
      <c r="J1746">
        <f>[2]TongHop!J1746</f>
        <v>0</v>
      </c>
      <c r="K1746">
        <f>[2]TongHop!K1746</f>
        <v>0</v>
      </c>
      <c r="L1746">
        <f>[2]TongHop!L1746</f>
        <v>0</v>
      </c>
      <c r="M1746">
        <f>[2]TongHop!M1746</f>
        <v>0</v>
      </c>
      <c r="N1746">
        <f>[2]TongHop!N1746</f>
        <v>0</v>
      </c>
    </row>
    <row r="1747" spans="1:14">
      <c r="A1747">
        <f>[2]TongHop!A1747</f>
        <v>0</v>
      </c>
      <c r="B1747">
        <f>[2]TongHop!B1747</f>
        <v>0</v>
      </c>
      <c r="C1747">
        <f>[2]TongHop!C1747</f>
        <v>0</v>
      </c>
      <c r="D1747">
        <f>[2]TongHop!D1747</f>
        <v>0</v>
      </c>
      <c r="E1747">
        <f>[2]TongHop!E1747</f>
        <v>0</v>
      </c>
      <c r="F1747">
        <f>[2]TongHop!F1747</f>
        <v>0</v>
      </c>
      <c r="G1747">
        <f>[2]TongHop!G1747</f>
        <v>0</v>
      </c>
      <c r="H1747">
        <f>[2]TongHop!H1747</f>
        <v>0</v>
      </c>
      <c r="I1747">
        <f>[2]TongHop!I1747</f>
        <v>0</v>
      </c>
      <c r="J1747">
        <f>[2]TongHop!J1747</f>
        <v>0</v>
      </c>
      <c r="K1747">
        <f>[2]TongHop!K1747</f>
        <v>0</v>
      </c>
      <c r="L1747">
        <f>[2]TongHop!L1747</f>
        <v>0</v>
      </c>
      <c r="M1747">
        <f>[2]TongHop!M1747</f>
        <v>0</v>
      </c>
      <c r="N1747">
        <f>[2]TongHop!N1747</f>
        <v>0</v>
      </c>
    </row>
    <row r="1748" spans="1:14">
      <c r="A1748">
        <f>[2]TongHop!A1748</f>
        <v>0</v>
      </c>
      <c r="B1748">
        <f>[2]TongHop!B1748</f>
        <v>0</v>
      </c>
      <c r="C1748">
        <f>[2]TongHop!C1748</f>
        <v>0</v>
      </c>
      <c r="D1748">
        <f>[2]TongHop!D1748</f>
        <v>0</v>
      </c>
      <c r="E1748">
        <f>[2]TongHop!E1748</f>
        <v>0</v>
      </c>
      <c r="F1748">
        <f>[2]TongHop!F1748</f>
        <v>0</v>
      </c>
      <c r="G1748">
        <f>[2]TongHop!G1748</f>
        <v>0</v>
      </c>
      <c r="H1748">
        <f>[2]TongHop!H1748</f>
        <v>0</v>
      </c>
      <c r="I1748">
        <f>[2]TongHop!I1748</f>
        <v>0</v>
      </c>
      <c r="J1748">
        <f>[2]TongHop!J1748</f>
        <v>0</v>
      </c>
      <c r="K1748">
        <f>[2]TongHop!K1748</f>
        <v>0</v>
      </c>
      <c r="L1748">
        <f>[2]TongHop!L1748</f>
        <v>0</v>
      </c>
      <c r="M1748">
        <f>[2]TongHop!M1748</f>
        <v>0</v>
      </c>
      <c r="N1748">
        <f>[2]TongHop!N1748</f>
        <v>0</v>
      </c>
    </row>
    <row r="1749" spans="1:14">
      <c r="A1749">
        <f>[2]TongHop!A1749</f>
        <v>0</v>
      </c>
      <c r="B1749">
        <f>[2]TongHop!B1749</f>
        <v>0</v>
      </c>
      <c r="C1749">
        <f>[2]TongHop!C1749</f>
        <v>0</v>
      </c>
      <c r="D1749">
        <f>[2]TongHop!D1749</f>
        <v>0</v>
      </c>
      <c r="E1749">
        <f>[2]TongHop!E1749</f>
        <v>0</v>
      </c>
      <c r="F1749">
        <f>[2]TongHop!F1749</f>
        <v>0</v>
      </c>
      <c r="G1749">
        <f>[2]TongHop!G1749</f>
        <v>0</v>
      </c>
      <c r="H1749">
        <f>[2]TongHop!H1749</f>
        <v>0</v>
      </c>
      <c r="I1749">
        <f>[2]TongHop!I1749</f>
        <v>0</v>
      </c>
      <c r="J1749">
        <f>[2]TongHop!J1749</f>
        <v>0</v>
      </c>
      <c r="K1749">
        <f>[2]TongHop!K1749</f>
        <v>0</v>
      </c>
      <c r="L1749">
        <f>[2]TongHop!L1749</f>
        <v>0</v>
      </c>
      <c r="M1749">
        <f>[2]TongHop!M1749</f>
        <v>0</v>
      </c>
      <c r="N1749">
        <f>[2]TongHop!N1749</f>
        <v>0</v>
      </c>
    </row>
    <row r="1750" spans="1:14">
      <c r="A1750">
        <f>[2]TongHop!A1750</f>
        <v>0</v>
      </c>
      <c r="B1750">
        <f>[2]TongHop!B1750</f>
        <v>0</v>
      </c>
      <c r="C1750">
        <f>[2]TongHop!C1750</f>
        <v>0</v>
      </c>
      <c r="D1750">
        <f>[2]TongHop!D1750</f>
        <v>0</v>
      </c>
      <c r="E1750">
        <f>[2]TongHop!E1750</f>
        <v>0</v>
      </c>
      <c r="F1750">
        <f>[2]TongHop!F1750</f>
        <v>0</v>
      </c>
      <c r="G1750">
        <f>[2]TongHop!G1750</f>
        <v>0</v>
      </c>
      <c r="H1750">
        <f>[2]TongHop!H1750</f>
        <v>0</v>
      </c>
      <c r="I1750">
        <f>[2]TongHop!I1750</f>
        <v>0</v>
      </c>
      <c r="J1750">
        <f>[2]TongHop!J1750</f>
        <v>0</v>
      </c>
      <c r="K1750">
        <f>[2]TongHop!K1750</f>
        <v>0</v>
      </c>
      <c r="L1750">
        <f>[2]TongHop!L1750</f>
        <v>0</v>
      </c>
      <c r="M1750">
        <f>[2]TongHop!M1750</f>
        <v>0</v>
      </c>
      <c r="N1750">
        <f>[2]TongHop!N1750</f>
        <v>0</v>
      </c>
    </row>
    <row r="1751" spans="1:14">
      <c r="A1751">
        <f>[2]TongHop!A1751</f>
        <v>0</v>
      </c>
      <c r="B1751">
        <f>[2]TongHop!B1751</f>
        <v>0</v>
      </c>
      <c r="C1751">
        <f>[2]TongHop!C1751</f>
        <v>0</v>
      </c>
      <c r="D1751">
        <f>[2]TongHop!D1751</f>
        <v>0</v>
      </c>
      <c r="E1751">
        <f>[2]TongHop!E1751</f>
        <v>0</v>
      </c>
      <c r="F1751">
        <f>[2]TongHop!F1751</f>
        <v>0</v>
      </c>
      <c r="G1751">
        <f>[2]TongHop!G1751</f>
        <v>0</v>
      </c>
      <c r="H1751">
        <f>[2]TongHop!H1751</f>
        <v>0</v>
      </c>
      <c r="I1751">
        <f>[2]TongHop!I1751</f>
        <v>0</v>
      </c>
      <c r="J1751">
        <f>[2]TongHop!J1751</f>
        <v>0</v>
      </c>
      <c r="K1751">
        <f>[2]TongHop!K1751</f>
        <v>0</v>
      </c>
      <c r="L1751">
        <f>[2]TongHop!L1751</f>
        <v>0</v>
      </c>
      <c r="M1751">
        <f>[2]TongHop!M1751</f>
        <v>0</v>
      </c>
      <c r="N1751">
        <f>[2]TongHop!N1751</f>
        <v>0</v>
      </c>
    </row>
    <row r="1752" spans="1:14">
      <c r="A1752">
        <f>[2]TongHop!A1752</f>
        <v>0</v>
      </c>
      <c r="B1752">
        <f>[2]TongHop!B1752</f>
        <v>0</v>
      </c>
      <c r="C1752">
        <f>[2]TongHop!C1752</f>
        <v>0</v>
      </c>
      <c r="D1752">
        <f>[2]TongHop!D1752</f>
        <v>0</v>
      </c>
      <c r="E1752">
        <f>[2]TongHop!E1752</f>
        <v>0</v>
      </c>
      <c r="F1752">
        <f>[2]TongHop!F1752</f>
        <v>0</v>
      </c>
      <c r="G1752">
        <f>[2]TongHop!G1752</f>
        <v>0</v>
      </c>
      <c r="H1752">
        <f>[2]TongHop!H1752</f>
        <v>0</v>
      </c>
      <c r="I1752">
        <f>[2]TongHop!I1752</f>
        <v>0</v>
      </c>
      <c r="J1752">
        <f>[2]TongHop!J1752</f>
        <v>0</v>
      </c>
      <c r="K1752">
        <f>[2]TongHop!K1752</f>
        <v>0</v>
      </c>
      <c r="L1752">
        <f>[2]TongHop!L1752</f>
        <v>0</v>
      </c>
      <c r="M1752">
        <f>[2]TongHop!M1752</f>
        <v>0</v>
      </c>
      <c r="N1752">
        <f>[2]TongHop!N1752</f>
        <v>0</v>
      </c>
    </row>
    <row r="1753" spans="1:14">
      <c r="A1753">
        <f>[2]TongHop!A1753</f>
        <v>0</v>
      </c>
      <c r="B1753">
        <f>[2]TongHop!B1753</f>
        <v>0</v>
      </c>
      <c r="C1753">
        <f>[2]TongHop!C1753</f>
        <v>0</v>
      </c>
      <c r="D1753">
        <f>[2]TongHop!D1753</f>
        <v>0</v>
      </c>
      <c r="E1753">
        <f>[2]TongHop!E1753</f>
        <v>0</v>
      </c>
      <c r="F1753">
        <f>[2]TongHop!F1753</f>
        <v>0</v>
      </c>
      <c r="G1753">
        <f>[2]TongHop!G1753</f>
        <v>0</v>
      </c>
      <c r="H1753">
        <f>[2]TongHop!H1753</f>
        <v>0</v>
      </c>
      <c r="I1753">
        <f>[2]TongHop!I1753</f>
        <v>0</v>
      </c>
      <c r="J1753">
        <f>[2]TongHop!J1753</f>
        <v>0</v>
      </c>
      <c r="K1753">
        <f>[2]TongHop!K1753</f>
        <v>0</v>
      </c>
      <c r="L1753">
        <f>[2]TongHop!L1753</f>
        <v>0</v>
      </c>
      <c r="M1753">
        <f>[2]TongHop!M1753</f>
        <v>0</v>
      </c>
      <c r="N1753">
        <f>[2]TongHop!N1753</f>
        <v>0</v>
      </c>
    </row>
    <row r="1754" spans="1:14">
      <c r="A1754">
        <f>[2]TongHop!A1754</f>
        <v>0</v>
      </c>
      <c r="B1754">
        <f>[2]TongHop!B1754</f>
        <v>0</v>
      </c>
      <c r="C1754">
        <f>[2]TongHop!C1754</f>
        <v>0</v>
      </c>
      <c r="D1754">
        <f>[2]TongHop!D1754</f>
        <v>0</v>
      </c>
      <c r="E1754">
        <f>[2]TongHop!E1754</f>
        <v>0</v>
      </c>
      <c r="F1754">
        <f>[2]TongHop!F1754</f>
        <v>0</v>
      </c>
      <c r="G1754">
        <f>[2]TongHop!G1754</f>
        <v>0</v>
      </c>
      <c r="H1754">
        <f>[2]TongHop!H1754</f>
        <v>0</v>
      </c>
      <c r="I1754">
        <f>[2]TongHop!I1754</f>
        <v>0</v>
      </c>
      <c r="J1754">
        <f>[2]TongHop!J1754</f>
        <v>0</v>
      </c>
      <c r="K1754">
        <f>[2]TongHop!K1754</f>
        <v>0</v>
      </c>
      <c r="L1754">
        <f>[2]TongHop!L1754</f>
        <v>0</v>
      </c>
      <c r="M1754">
        <f>[2]TongHop!M1754</f>
        <v>0</v>
      </c>
      <c r="N1754">
        <f>[2]TongHop!N1754</f>
        <v>0</v>
      </c>
    </row>
    <row r="1755" spans="1:14">
      <c r="A1755">
        <f>[2]TongHop!A1755</f>
        <v>0</v>
      </c>
      <c r="B1755">
        <f>[2]TongHop!B1755</f>
        <v>0</v>
      </c>
      <c r="C1755">
        <f>[2]TongHop!C1755</f>
        <v>0</v>
      </c>
      <c r="D1755">
        <f>[2]TongHop!D1755</f>
        <v>0</v>
      </c>
      <c r="E1755">
        <f>[2]TongHop!E1755</f>
        <v>0</v>
      </c>
      <c r="F1755">
        <f>[2]TongHop!F1755</f>
        <v>0</v>
      </c>
      <c r="G1755">
        <f>[2]TongHop!G1755</f>
        <v>0</v>
      </c>
      <c r="H1755">
        <f>[2]TongHop!H1755</f>
        <v>0</v>
      </c>
      <c r="I1755">
        <f>[2]TongHop!I1755</f>
        <v>0</v>
      </c>
      <c r="J1755">
        <f>[2]TongHop!J1755</f>
        <v>0</v>
      </c>
      <c r="K1755">
        <f>[2]TongHop!K1755</f>
        <v>0</v>
      </c>
      <c r="L1755">
        <f>[2]TongHop!L1755</f>
        <v>0</v>
      </c>
      <c r="M1755">
        <f>[2]TongHop!M1755</f>
        <v>0</v>
      </c>
      <c r="N1755">
        <f>[2]TongHop!N1755</f>
        <v>0</v>
      </c>
    </row>
    <row r="1756" spans="1:14">
      <c r="A1756">
        <f>[2]TongHop!A1756</f>
        <v>0</v>
      </c>
      <c r="B1756">
        <f>[2]TongHop!B1756</f>
        <v>0</v>
      </c>
      <c r="C1756">
        <f>[2]TongHop!C1756</f>
        <v>0</v>
      </c>
      <c r="D1756">
        <f>[2]TongHop!D1756</f>
        <v>0</v>
      </c>
      <c r="E1756">
        <f>[2]TongHop!E1756</f>
        <v>0</v>
      </c>
      <c r="F1756">
        <f>[2]TongHop!F1756</f>
        <v>0</v>
      </c>
      <c r="G1756">
        <f>[2]TongHop!G1756</f>
        <v>0</v>
      </c>
      <c r="H1756">
        <f>[2]TongHop!H1756</f>
        <v>0</v>
      </c>
      <c r="I1756">
        <f>[2]TongHop!I1756</f>
        <v>0</v>
      </c>
      <c r="J1756">
        <f>[2]TongHop!J1756</f>
        <v>0</v>
      </c>
      <c r="K1756">
        <f>[2]TongHop!K1756</f>
        <v>0</v>
      </c>
      <c r="L1756">
        <f>[2]TongHop!L1756</f>
        <v>0</v>
      </c>
      <c r="M1756">
        <f>[2]TongHop!M1756</f>
        <v>0</v>
      </c>
      <c r="N1756">
        <f>[2]TongHop!N1756</f>
        <v>0</v>
      </c>
    </row>
    <row r="1757" spans="1:14">
      <c r="A1757">
        <f>[2]TongHop!A1757</f>
        <v>0</v>
      </c>
      <c r="B1757">
        <f>[2]TongHop!B1757</f>
        <v>0</v>
      </c>
      <c r="C1757">
        <f>[2]TongHop!C1757</f>
        <v>0</v>
      </c>
      <c r="D1757">
        <f>[2]TongHop!D1757</f>
        <v>0</v>
      </c>
      <c r="E1757">
        <f>[2]TongHop!E1757</f>
        <v>0</v>
      </c>
      <c r="F1757">
        <f>[2]TongHop!F1757</f>
        <v>0</v>
      </c>
      <c r="G1757">
        <f>[2]TongHop!G1757</f>
        <v>0</v>
      </c>
      <c r="H1757">
        <f>[2]TongHop!H1757</f>
        <v>0</v>
      </c>
      <c r="I1757">
        <f>[2]TongHop!I1757</f>
        <v>0</v>
      </c>
      <c r="J1757">
        <f>[2]TongHop!J1757</f>
        <v>0</v>
      </c>
      <c r="K1757">
        <f>[2]TongHop!K1757</f>
        <v>0</v>
      </c>
      <c r="L1757">
        <f>[2]TongHop!L1757</f>
        <v>0</v>
      </c>
      <c r="M1757">
        <f>[2]TongHop!M1757</f>
        <v>0</v>
      </c>
      <c r="N1757">
        <f>[2]TongHop!N1757</f>
        <v>0</v>
      </c>
    </row>
    <row r="1758" spans="1:14">
      <c r="A1758">
        <f>[2]TongHop!A1758</f>
        <v>0</v>
      </c>
      <c r="B1758">
        <f>[2]TongHop!B1758</f>
        <v>0</v>
      </c>
      <c r="C1758">
        <f>[2]TongHop!C1758</f>
        <v>0</v>
      </c>
      <c r="D1758">
        <f>[2]TongHop!D1758</f>
        <v>0</v>
      </c>
      <c r="E1758">
        <f>[2]TongHop!E1758</f>
        <v>0</v>
      </c>
      <c r="F1758">
        <f>[2]TongHop!F1758</f>
        <v>0</v>
      </c>
      <c r="G1758">
        <f>[2]TongHop!G1758</f>
        <v>0</v>
      </c>
      <c r="H1758">
        <f>[2]TongHop!H1758</f>
        <v>0</v>
      </c>
      <c r="I1758">
        <f>[2]TongHop!I1758</f>
        <v>0</v>
      </c>
      <c r="J1758">
        <f>[2]TongHop!J1758</f>
        <v>0</v>
      </c>
      <c r="K1758">
        <f>[2]TongHop!K1758</f>
        <v>0</v>
      </c>
      <c r="L1758">
        <f>[2]TongHop!L1758</f>
        <v>0</v>
      </c>
      <c r="M1758">
        <f>[2]TongHop!M1758</f>
        <v>0</v>
      </c>
      <c r="N1758">
        <f>[2]TongHop!N1758</f>
        <v>0</v>
      </c>
    </row>
    <row r="1759" spans="1:14">
      <c r="A1759">
        <f>[2]TongHop!A1759</f>
        <v>0</v>
      </c>
      <c r="B1759">
        <f>[2]TongHop!B1759</f>
        <v>0</v>
      </c>
      <c r="C1759">
        <f>[2]TongHop!C1759</f>
        <v>0</v>
      </c>
      <c r="D1759">
        <f>[2]TongHop!D1759</f>
        <v>0</v>
      </c>
      <c r="E1759">
        <f>[2]TongHop!E1759</f>
        <v>0</v>
      </c>
      <c r="F1759">
        <f>[2]TongHop!F1759</f>
        <v>0</v>
      </c>
      <c r="G1759">
        <f>[2]TongHop!G1759</f>
        <v>0</v>
      </c>
      <c r="H1759">
        <f>[2]TongHop!H1759</f>
        <v>0</v>
      </c>
      <c r="I1759">
        <f>[2]TongHop!I1759</f>
        <v>0</v>
      </c>
      <c r="J1759">
        <f>[2]TongHop!J1759</f>
        <v>0</v>
      </c>
      <c r="K1759">
        <f>[2]TongHop!K1759</f>
        <v>0</v>
      </c>
      <c r="L1759">
        <f>[2]TongHop!L1759</f>
        <v>0</v>
      </c>
      <c r="M1759">
        <f>[2]TongHop!M1759</f>
        <v>0</v>
      </c>
      <c r="N1759">
        <f>[2]TongHop!N1759</f>
        <v>0</v>
      </c>
    </row>
    <row r="1760" spans="1:14">
      <c r="A1760">
        <f>[2]TongHop!A1760</f>
        <v>0</v>
      </c>
      <c r="B1760">
        <f>[2]TongHop!B1760</f>
        <v>0</v>
      </c>
      <c r="C1760">
        <f>[2]TongHop!C1760</f>
        <v>0</v>
      </c>
      <c r="D1760">
        <f>[2]TongHop!D1760</f>
        <v>0</v>
      </c>
      <c r="E1760">
        <f>[2]TongHop!E1760</f>
        <v>0</v>
      </c>
      <c r="F1760">
        <f>[2]TongHop!F1760</f>
        <v>0</v>
      </c>
      <c r="G1760">
        <f>[2]TongHop!G1760</f>
        <v>0</v>
      </c>
      <c r="H1760">
        <f>[2]TongHop!H1760</f>
        <v>0</v>
      </c>
      <c r="I1760">
        <f>[2]TongHop!I1760</f>
        <v>0</v>
      </c>
      <c r="J1760">
        <f>[2]TongHop!J1760</f>
        <v>0</v>
      </c>
      <c r="K1760">
        <f>[2]TongHop!K1760</f>
        <v>0</v>
      </c>
      <c r="L1760">
        <f>[2]TongHop!L1760</f>
        <v>0</v>
      </c>
      <c r="M1760">
        <f>[2]TongHop!M1760</f>
        <v>0</v>
      </c>
      <c r="N1760">
        <f>[2]TongHop!N1760</f>
        <v>0</v>
      </c>
    </row>
    <row r="1761" spans="1:14">
      <c r="A1761">
        <f>[2]TongHop!A1761</f>
        <v>0</v>
      </c>
      <c r="B1761">
        <f>[2]TongHop!B1761</f>
        <v>0</v>
      </c>
      <c r="C1761">
        <f>[2]TongHop!C1761</f>
        <v>0</v>
      </c>
      <c r="D1761">
        <f>[2]TongHop!D1761</f>
        <v>0</v>
      </c>
      <c r="E1761">
        <f>[2]TongHop!E1761</f>
        <v>0</v>
      </c>
      <c r="F1761">
        <f>[2]TongHop!F1761</f>
        <v>0</v>
      </c>
      <c r="G1761">
        <f>[2]TongHop!G1761</f>
        <v>0</v>
      </c>
      <c r="H1761">
        <f>[2]TongHop!H1761</f>
        <v>0</v>
      </c>
      <c r="I1761">
        <f>[2]TongHop!I1761</f>
        <v>0</v>
      </c>
      <c r="J1761">
        <f>[2]TongHop!J1761</f>
        <v>0</v>
      </c>
      <c r="K1761">
        <f>[2]TongHop!K1761</f>
        <v>0</v>
      </c>
      <c r="L1761">
        <f>[2]TongHop!L1761</f>
        <v>0</v>
      </c>
      <c r="M1761">
        <f>[2]TongHop!M1761</f>
        <v>0</v>
      </c>
      <c r="N1761">
        <f>[2]TongHop!N1761</f>
        <v>0</v>
      </c>
    </row>
    <row r="1762" spans="1:14">
      <c r="A1762">
        <f>[2]TongHop!A1762</f>
        <v>0</v>
      </c>
      <c r="B1762">
        <f>[2]TongHop!B1762</f>
        <v>0</v>
      </c>
      <c r="C1762">
        <f>[2]TongHop!C1762</f>
        <v>0</v>
      </c>
      <c r="D1762">
        <f>[2]TongHop!D1762</f>
        <v>0</v>
      </c>
      <c r="E1762">
        <f>[2]TongHop!E1762</f>
        <v>0</v>
      </c>
      <c r="F1762">
        <f>[2]TongHop!F1762</f>
        <v>0</v>
      </c>
      <c r="G1762">
        <f>[2]TongHop!G1762</f>
        <v>0</v>
      </c>
      <c r="H1762">
        <f>[2]TongHop!H1762</f>
        <v>0</v>
      </c>
      <c r="I1762">
        <f>[2]TongHop!I1762</f>
        <v>0</v>
      </c>
      <c r="J1762">
        <f>[2]TongHop!J1762</f>
        <v>0</v>
      </c>
      <c r="K1762">
        <f>[2]TongHop!K1762</f>
        <v>0</v>
      </c>
      <c r="L1762">
        <f>[2]TongHop!L1762</f>
        <v>0</v>
      </c>
      <c r="M1762">
        <f>[2]TongHop!M1762</f>
        <v>0</v>
      </c>
      <c r="N1762">
        <f>[2]TongHop!N1762</f>
        <v>0</v>
      </c>
    </row>
    <row r="1763" spans="1:14">
      <c r="A1763">
        <f>[2]TongHop!A1763</f>
        <v>0</v>
      </c>
      <c r="B1763">
        <f>[2]TongHop!B1763</f>
        <v>0</v>
      </c>
      <c r="C1763">
        <f>[2]TongHop!C1763</f>
        <v>0</v>
      </c>
      <c r="D1763">
        <f>[2]TongHop!D1763</f>
        <v>0</v>
      </c>
      <c r="E1763">
        <f>[2]TongHop!E1763</f>
        <v>0</v>
      </c>
      <c r="F1763">
        <f>[2]TongHop!F1763</f>
        <v>0</v>
      </c>
      <c r="G1763">
        <f>[2]TongHop!G1763</f>
        <v>0</v>
      </c>
      <c r="H1763">
        <f>[2]TongHop!H1763</f>
        <v>0</v>
      </c>
      <c r="I1763">
        <f>[2]TongHop!I1763</f>
        <v>0</v>
      </c>
      <c r="J1763">
        <f>[2]TongHop!J1763</f>
        <v>0</v>
      </c>
      <c r="K1763">
        <f>[2]TongHop!K1763</f>
        <v>0</v>
      </c>
      <c r="L1763">
        <f>[2]TongHop!L1763</f>
        <v>0</v>
      </c>
      <c r="M1763">
        <f>[2]TongHop!M1763</f>
        <v>0</v>
      </c>
      <c r="N1763">
        <f>[2]TongHop!N1763</f>
        <v>0</v>
      </c>
    </row>
    <row r="1764" spans="1:14">
      <c r="A1764">
        <f>[2]TongHop!A1764</f>
        <v>0</v>
      </c>
      <c r="B1764">
        <f>[2]TongHop!B1764</f>
        <v>0</v>
      </c>
      <c r="C1764">
        <f>[2]TongHop!C1764</f>
        <v>0</v>
      </c>
      <c r="D1764">
        <f>[2]TongHop!D1764</f>
        <v>0</v>
      </c>
      <c r="E1764">
        <f>[2]TongHop!E1764</f>
        <v>0</v>
      </c>
      <c r="F1764">
        <f>[2]TongHop!F1764</f>
        <v>0</v>
      </c>
      <c r="G1764">
        <f>[2]TongHop!G1764</f>
        <v>0</v>
      </c>
      <c r="H1764">
        <f>[2]TongHop!H1764</f>
        <v>0</v>
      </c>
      <c r="I1764">
        <f>[2]TongHop!I1764</f>
        <v>0</v>
      </c>
      <c r="J1764">
        <f>[2]TongHop!J1764</f>
        <v>0</v>
      </c>
      <c r="K1764">
        <f>[2]TongHop!K1764</f>
        <v>0</v>
      </c>
      <c r="L1764">
        <f>[2]TongHop!L1764</f>
        <v>0</v>
      </c>
      <c r="M1764">
        <f>[2]TongHop!M1764</f>
        <v>0</v>
      </c>
      <c r="N1764">
        <f>[2]TongHop!N1764</f>
        <v>0</v>
      </c>
    </row>
    <row r="1765" spans="1:14">
      <c r="A1765">
        <f>[2]TongHop!A1765</f>
        <v>0</v>
      </c>
      <c r="B1765">
        <f>[2]TongHop!B1765</f>
        <v>0</v>
      </c>
      <c r="C1765">
        <f>[2]TongHop!C1765</f>
        <v>0</v>
      </c>
      <c r="D1765">
        <f>[2]TongHop!D1765</f>
        <v>0</v>
      </c>
      <c r="E1765">
        <f>[2]TongHop!E1765</f>
        <v>0</v>
      </c>
      <c r="F1765">
        <f>[2]TongHop!F1765</f>
        <v>0</v>
      </c>
      <c r="G1765">
        <f>[2]TongHop!G1765</f>
        <v>0</v>
      </c>
      <c r="H1765">
        <f>[2]TongHop!H1765</f>
        <v>0</v>
      </c>
      <c r="I1765">
        <f>[2]TongHop!I1765</f>
        <v>0</v>
      </c>
      <c r="J1765">
        <f>[2]TongHop!J1765</f>
        <v>0</v>
      </c>
      <c r="K1765">
        <f>[2]TongHop!K1765</f>
        <v>0</v>
      </c>
      <c r="L1765">
        <f>[2]TongHop!L1765</f>
        <v>0</v>
      </c>
      <c r="M1765">
        <f>[2]TongHop!M1765</f>
        <v>0</v>
      </c>
      <c r="N1765">
        <f>[2]TongHop!N1765</f>
        <v>0</v>
      </c>
    </row>
    <row r="1766" spans="1:14">
      <c r="A1766">
        <f>[2]TongHop!A1766</f>
        <v>0</v>
      </c>
      <c r="B1766">
        <f>[2]TongHop!B1766</f>
        <v>0</v>
      </c>
      <c r="C1766">
        <f>[2]TongHop!C1766</f>
        <v>0</v>
      </c>
      <c r="D1766">
        <f>[2]TongHop!D1766</f>
        <v>0</v>
      </c>
      <c r="E1766">
        <f>[2]TongHop!E1766</f>
        <v>0</v>
      </c>
      <c r="F1766">
        <f>[2]TongHop!F1766</f>
        <v>0</v>
      </c>
      <c r="G1766">
        <f>[2]TongHop!G1766</f>
        <v>0</v>
      </c>
      <c r="H1766">
        <f>[2]TongHop!H1766</f>
        <v>0</v>
      </c>
      <c r="I1766">
        <f>[2]TongHop!I1766</f>
        <v>0</v>
      </c>
      <c r="J1766">
        <f>[2]TongHop!J1766</f>
        <v>0</v>
      </c>
      <c r="K1766">
        <f>[2]TongHop!K1766</f>
        <v>0</v>
      </c>
      <c r="L1766">
        <f>[2]TongHop!L1766</f>
        <v>0</v>
      </c>
      <c r="M1766">
        <f>[2]TongHop!M1766</f>
        <v>0</v>
      </c>
      <c r="N1766">
        <f>[2]TongHop!N1766</f>
        <v>0</v>
      </c>
    </row>
    <row r="1767" spans="1:14">
      <c r="A1767">
        <f>[2]TongHop!A1767</f>
        <v>0</v>
      </c>
      <c r="B1767">
        <f>[2]TongHop!B1767</f>
        <v>0</v>
      </c>
      <c r="C1767">
        <f>[2]TongHop!C1767</f>
        <v>0</v>
      </c>
      <c r="D1767">
        <f>[2]TongHop!D1767</f>
        <v>0</v>
      </c>
      <c r="E1767">
        <f>[2]TongHop!E1767</f>
        <v>0</v>
      </c>
      <c r="F1767">
        <f>[2]TongHop!F1767</f>
        <v>0</v>
      </c>
      <c r="G1767">
        <f>[2]TongHop!G1767</f>
        <v>0</v>
      </c>
      <c r="H1767">
        <f>[2]TongHop!H1767</f>
        <v>0</v>
      </c>
      <c r="I1767">
        <f>[2]TongHop!I1767</f>
        <v>0</v>
      </c>
      <c r="J1767">
        <f>[2]TongHop!J1767</f>
        <v>0</v>
      </c>
      <c r="K1767">
        <f>[2]TongHop!K1767</f>
        <v>0</v>
      </c>
      <c r="L1767">
        <f>[2]TongHop!L1767</f>
        <v>0</v>
      </c>
      <c r="M1767">
        <f>[2]TongHop!M1767</f>
        <v>0</v>
      </c>
      <c r="N1767">
        <f>[2]TongHop!N1767</f>
        <v>0</v>
      </c>
    </row>
    <row r="1768" spans="1:14">
      <c r="A1768">
        <f>[2]TongHop!A1768</f>
        <v>0</v>
      </c>
      <c r="B1768">
        <f>[2]TongHop!B1768</f>
        <v>0</v>
      </c>
      <c r="C1768">
        <f>[2]TongHop!C1768</f>
        <v>0</v>
      </c>
      <c r="D1768">
        <f>[2]TongHop!D1768</f>
        <v>0</v>
      </c>
      <c r="E1768">
        <f>[2]TongHop!E1768</f>
        <v>0</v>
      </c>
      <c r="F1768">
        <f>[2]TongHop!F1768</f>
        <v>0</v>
      </c>
      <c r="G1768">
        <f>[2]TongHop!G1768</f>
        <v>0</v>
      </c>
      <c r="H1768">
        <f>[2]TongHop!H1768</f>
        <v>0</v>
      </c>
      <c r="I1768">
        <f>[2]TongHop!I1768</f>
        <v>0</v>
      </c>
      <c r="J1768">
        <f>[2]TongHop!J1768</f>
        <v>0</v>
      </c>
      <c r="K1768">
        <f>[2]TongHop!K1768</f>
        <v>0</v>
      </c>
      <c r="L1768">
        <f>[2]TongHop!L1768</f>
        <v>0</v>
      </c>
      <c r="M1768">
        <f>[2]TongHop!M1768</f>
        <v>0</v>
      </c>
      <c r="N1768">
        <f>[2]TongHop!N1768</f>
        <v>0</v>
      </c>
    </row>
    <row r="1769" spans="1:14">
      <c r="A1769">
        <f>[2]TongHop!A1769</f>
        <v>0</v>
      </c>
      <c r="B1769">
        <f>[2]TongHop!B1769</f>
        <v>0</v>
      </c>
      <c r="C1769">
        <f>[2]TongHop!C1769</f>
        <v>0</v>
      </c>
      <c r="D1769">
        <f>[2]TongHop!D1769</f>
        <v>0</v>
      </c>
      <c r="E1769">
        <f>[2]TongHop!E1769</f>
        <v>0</v>
      </c>
      <c r="F1769">
        <f>[2]TongHop!F1769</f>
        <v>0</v>
      </c>
      <c r="G1769">
        <f>[2]TongHop!G1769</f>
        <v>0</v>
      </c>
      <c r="H1769">
        <f>[2]TongHop!H1769</f>
        <v>0</v>
      </c>
      <c r="I1769">
        <f>[2]TongHop!I1769</f>
        <v>0</v>
      </c>
      <c r="J1769">
        <f>[2]TongHop!J1769</f>
        <v>0</v>
      </c>
      <c r="K1769">
        <f>[2]TongHop!K1769</f>
        <v>0</v>
      </c>
      <c r="L1769">
        <f>[2]TongHop!L1769</f>
        <v>0</v>
      </c>
      <c r="M1769">
        <f>[2]TongHop!M1769</f>
        <v>0</v>
      </c>
      <c r="N1769">
        <f>[2]TongHop!N1769</f>
        <v>0</v>
      </c>
    </row>
    <row r="1770" spans="1:14">
      <c r="A1770">
        <f>[2]TongHop!A1770</f>
        <v>0</v>
      </c>
      <c r="B1770">
        <f>[2]TongHop!B1770</f>
        <v>0</v>
      </c>
      <c r="C1770">
        <f>[2]TongHop!C1770</f>
        <v>0</v>
      </c>
      <c r="D1770">
        <f>[2]TongHop!D1770</f>
        <v>0</v>
      </c>
      <c r="E1770">
        <f>[2]TongHop!E1770</f>
        <v>0</v>
      </c>
      <c r="F1770">
        <f>[2]TongHop!F1770</f>
        <v>0</v>
      </c>
      <c r="G1770">
        <f>[2]TongHop!G1770</f>
        <v>0</v>
      </c>
      <c r="H1770">
        <f>[2]TongHop!H1770</f>
        <v>0</v>
      </c>
      <c r="I1770">
        <f>[2]TongHop!I1770</f>
        <v>0</v>
      </c>
      <c r="J1770">
        <f>[2]TongHop!J1770</f>
        <v>0</v>
      </c>
      <c r="K1770">
        <f>[2]TongHop!K1770</f>
        <v>0</v>
      </c>
      <c r="L1770">
        <f>[2]TongHop!L1770</f>
        <v>0</v>
      </c>
      <c r="M1770">
        <f>[2]TongHop!M1770</f>
        <v>0</v>
      </c>
      <c r="N1770">
        <f>[2]TongHop!N1770</f>
        <v>0</v>
      </c>
    </row>
    <row r="1771" spans="1:14">
      <c r="A1771">
        <f>[2]TongHop!A1771</f>
        <v>0</v>
      </c>
      <c r="B1771">
        <f>[2]TongHop!B1771</f>
        <v>0</v>
      </c>
      <c r="C1771">
        <f>[2]TongHop!C1771</f>
        <v>0</v>
      </c>
      <c r="D1771">
        <f>[2]TongHop!D1771</f>
        <v>0</v>
      </c>
      <c r="E1771">
        <f>[2]TongHop!E1771</f>
        <v>0</v>
      </c>
      <c r="F1771">
        <f>[2]TongHop!F1771</f>
        <v>0</v>
      </c>
      <c r="G1771">
        <f>[2]TongHop!G1771</f>
        <v>0</v>
      </c>
      <c r="H1771">
        <f>[2]TongHop!H1771</f>
        <v>0</v>
      </c>
      <c r="I1771">
        <f>[2]TongHop!I1771</f>
        <v>0</v>
      </c>
      <c r="J1771">
        <f>[2]TongHop!J1771</f>
        <v>0</v>
      </c>
      <c r="K1771">
        <f>[2]TongHop!K1771</f>
        <v>0</v>
      </c>
      <c r="L1771">
        <f>[2]TongHop!L1771</f>
        <v>0</v>
      </c>
      <c r="M1771">
        <f>[2]TongHop!M1771</f>
        <v>0</v>
      </c>
      <c r="N1771">
        <f>[2]TongHop!N1771</f>
        <v>0</v>
      </c>
    </row>
    <row r="1772" spans="1:14">
      <c r="A1772">
        <f>[2]TongHop!A1772</f>
        <v>0</v>
      </c>
      <c r="B1772">
        <f>[2]TongHop!B1772</f>
        <v>0</v>
      </c>
      <c r="C1772">
        <f>[2]TongHop!C1772</f>
        <v>0</v>
      </c>
      <c r="D1772">
        <f>[2]TongHop!D1772</f>
        <v>0</v>
      </c>
      <c r="E1772">
        <f>[2]TongHop!E1772</f>
        <v>0</v>
      </c>
      <c r="F1772">
        <f>[2]TongHop!F1772</f>
        <v>0</v>
      </c>
      <c r="G1772">
        <f>[2]TongHop!G1772</f>
        <v>0</v>
      </c>
      <c r="H1772">
        <f>[2]TongHop!H1772</f>
        <v>0</v>
      </c>
      <c r="I1772">
        <f>[2]TongHop!I1772</f>
        <v>0</v>
      </c>
      <c r="J1772">
        <f>[2]TongHop!J1772</f>
        <v>0</v>
      </c>
      <c r="K1772">
        <f>[2]TongHop!K1772</f>
        <v>0</v>
      </c>
      <c r="L1772">
        <f>[2]TongHop!L1772</f>
        <v>0</v>
      </c>
      <c r="M1772">
        <f>[2]TongHop!M1772</f>
        <v>0</v>
      </c>
      <c r="N1772">
        <f>[2]TongHop!N1772</f>
        <v>0</v>
      </c>
    </row>
    <row r="1773" spans="1:14">
      <c r="A1773">
        <f>[2]TongHop!A1773</f>
        <v>0</v>
      </c>
      <c r="B1773">
        <f>[2]TongHop!B1773</f>
        <v>0</v>
      </c>
      <c r="C1773">
        <f>[2]TongHop!C1773</f>
        <v>0</v>
      </c>
      <c r="D1773">
        <f>[2]TongHop!D1773</f>
        <v>0</v>
      </c>
      <c r="E1773">
        <f>[2]TongHop!E1773</f>
        <v>0</v>
      </c>
      <c r="F1773">
        <f>[2]TongHop!F1773</f>
        <v>0</v>
      </c>
      <c r="G1773">
        <f>[2]TongHop!G1773</f>
        <v>0</v>
      </c>
      <c r="H1773">
        <f>[2]TongHop!H1773</f>
        <v>0</v>
      </c>
      <c r="I1773">
        <f>[2]TongHop!I1773</f>
        <v>0</v>
      </c>
      <c r="J1773">
        <f>[2]TongHop!J1773</f>
        <v>0</v>
      </c>
      <c r="K1773">
        <f>[2]TongHop!K1773</f>
        <v>0</v>
      </c>
      <c r="L1773">
        <f>[2]TongHop!L1773</f>
        <v>0</v>
      </c>
      <c r="M1773">
        <f>[2]TongHop!M1773</f>
        <v>0</v>
      </c>
      <c r="N1773">
        <f>[2]TongHop!N1773</f>
        <v>0</v>
      </c>
    </row>
    <row r="1774" spans="1:14">
      <c r="A1774">
        <f>[2]TongHop!A1774</f>
        <v>0</v>
      </c>
      <c r="B1774">
        <f>[2]TongHop!B1774</f>
        <v>0</v>
      </c>
      <c r="C1774">
        <f>[2]TongHop!C1774</f>
        <v>0</v>
      </c>
      <c r="D1774">
        <f>[2]TongHop!D1774</f>
        <v>0</v>
      </c>
      <c r="E1774">
        <f>[2]TongHop!E1774</f>
        <v>0</v>
      </c>
      <c r="F1774">
        <f>[2]TongHop!F1774</f>
        <v>0</v>
      </c>
      <c r="G1774">
        <f>[2]TongHop!G1774</f>
        <v>0</v>
      </c>
      <c r="H1774">
        <f>[2]TongHop!H1774</f>
        <v>0</v>
      </c>
      <c r="I1774">
        <f>[2]TongHop!I1774</f>
        <v>0</v>
      </c>
      <c r="J1774">
        <f>[2]TongHop!J1774</f>
        <v>0</v>
      </c>
      <c r="K1774">
        <f>[2]TongHop!K1774</f>
        <v>0</v>
      </c>
      <c r="L1774">
        <f>[2]TongHop!L1774</f>
        <v>0</v>
      </c>
      <c r="M1774">
        <f>[2]TongHop!M1774</f>
        <v>0</v>
      </c>
      <c r="N1774">
        <f>[2]TongHop!N1774</f>
        <v>0</v>
      </c>
    </row>
    <row r="1775" spans="1:14">
      <c r="A1775">
        <f>[2]TongHop!A1775</f>
        <v>0</v>
      </c>
      <c r="B1775">
        <f>[2]TongHop!B1775</f>
        <v>0</v>
      </c>
      <c r="C1775">
        <f>[2]TongHop!C1775</f>
        <v>0</v>
      </c>
      <c r="D1775">
        <f>[2]TongHop!D1775</f>
        <v>0</v>
      </c>
      <c r="E1775">
        <f>[2]TongHop!E1775</f>
        <v>0</v>
      </c>
      <c r="F1775">
        <f>[2]TongHop!F1775</f>
        <v>0</v>
      </c>
      <c r="G1775">
        <f>[2]TongHop!G1775</f>
        <v>0</v>
      </c>
      <c r="H1775">
        <f>[2]TongHop!H1775</f>
        <v>0</v>
      </c>
      <c r="I1775">
        <f>[2]TongHop!I1775</f>
        <v>0</v>
      </c>
      <c r="J1775">
        <f>[2]TongHop!J1775</f>
        <v>0</v>
      </c>
      <c r="K1775">
        <f>[2]TongHop!K1775</f>
        <v>0</v>
      </c>
      <c r="L1775">
        <f>[2]TongHop!L1775</f>
        <v>0</v>
      </c>
      <c r="M1775">
        <f>[2]TongHop!M1775</f>
        <v>0</v>
      </c>
      <c r="N1775">
        <f>[2]TongHop!N1775</f>
        <v>0</v>
      </c>
    </row>
    <row r="1776" spans="1:14">
      <c r="A1776">
        <f>[2]TongHop!A1776</f>
        <v>0</v>
      </c>
      <c r="B1776">
        <f>[2]TongHop!B1776</f>
        <v>0</v>
      </c>
      <c r="C1776">
        <f>[2]TongHop!C1776</f>
        <v>0</v>
      </c>
      <c r="D1776">
        <f>[2]TongHop!D1776</f>
        <v>0</v>
      </c>
      <c r="E1776">
        <f>[2]TongHop!E1776</f>
        <v>0</v>
      </c>
      <c r="F1776">
        <f>[2]TongHop!F1776</f>
        <v>0</v>
      </c>
      <c r="G1776">
        <f>[2]TongHop!G1776</f>
        <v>0</v>
      </c>
      <c r="H1776">
        <f>[2]TongHop!H1776</f>
        <v>0</v>
      </c>
      <c r="I1776">
        <f>[2]TongHop!I1776</f>
        <v>0</v>
      </c>
      <c r="J1776">
        <f>[2]TongHop!J1776</f>
        <v>0</v>
      </c>
      <c r="K1776">
        <f>[2]TongHop!K1776</f>
        <v>0</v>
      </c>
      <c r="L1776">
        <f>[2]TongHop!L1776</f>
        <v>0</v>
      </c>
      <c r="M1776">
        <f>[2]TongHop!M1776</f>
        <v>0</v>
      </c>
      <c r="N1776">
        <f>[2]TongHop!N1776</f>
        <v>0</v>
      </c>
    </row>
    <row r="1777" spans="1:14">
      <c r="A1777">
        <f>[2]TongHop!A1777</f>
        <v>0</v>
      </c>
      <c r="B1777">
        <f>[2]TongHop!B1777</f>
        <v>0</v>
      </c>
      <c r="C1777">
        <f>[2]TongHop!C1777</f>
        <v>0</v>
      </c>
      <c r="D1777">
        <f>[2]TongHop!D1777</f>
        <v>0</v>
      </c>
      <c r="E1777">
        <f>[2]TongHop!E1777</f>
        <v>0</v>
      </c>
      <c r="F1777">
        <f>[2]TongHop!F1777</f>
        <v>0</v>
      </c>
      <c r="G1777">
        <f>[2]TongHop!G1777</f>
        <v>0</v>
      </c>
      <c r="H1777">
        <f>[2]TongHop!H1777</f>
        <v>0</v>
      </c>
      <c r="I1777">
        <f>[2]TongHop!I1777</f>
        <v>0</v>
      </c>
      <c r="J1777">
        <f>[2]TongHop!J1777</f>
        <v>0</v>
      </c>
      <c r="K1777">
        <f>[2]TongHop!K1777</f>
        <v>0</v>
      </c>
      <c r="L1777">
        <f>[2]TongHop!L1777</f>
        <v>0</v>
      </c>
      <c r="M1777">
        <f>[2]TongHop!M1777</f>
        <v>0</v>
      </c>
      <c r="N1777">
        <f>[2]TongHop!N1777</f>
        <v>0</v>
      </c>
    </row>
    <row r="1778" spans="1:14">
      <c r="A1778">
        <f>[2]TongHop!A1778</f>
        <v>0</v>
      </c>
      <c r="B1778">
        <f>[2]TongHop!B1778</f>
        <v>0</v>
      </c>
      <c r="C1778">
        <f>[2]TongHop!C1778</f>
        <v>0</v>
      </c>
      <c r="D1778">
        <f>[2]TongHop!D1778</f>
        <v>0</v>
      </c>
      <c r="E1778">
        <f>[2]TongHop!E1778</f>
        <v>0</v>
      </c>
      <c r="F1778">
        <f>[2]TongHop!F1778</f>
        <v>0</v>
      </c>
      <c r="G1778">
        <f>[2]TongHop!G1778</f>
        <v>0</v>
      </c>
      <c r="H1778">
        <f>[2]TongHop!H1778</f>
        <v>0</v>
      </c>
      <c r="I1778">
        <f>[2]TongHop!I1778</f>
        <v>0</v>
      </c>
      <c r="J1778">
        <f>[2]TongHop!J1778</f>
        <v>0</v>
      </c>
      <c r="K1778">
        <f>[2]TongHop!K1778</f>
        <v>0</v>
      </c>
      <c r="L1778">
        <f>[2]TongHop!L1778</f>
        <v>0</v>
      </c>
      <c r="M1778">
        <f>[2]TongHop!M1778</f>
        <v>0</v>
      </c>
      <c r="N1778">
        <f>[2]TongHop!N1778</f>
        <v>0</v>
      </c>
    </row>
    <row r="1779" spans="1:14">
      <c r="A1779">
        <f>[2]TongHop!A1779</f>
        <v>0</v>
      </c>
      <c r="B1779">
        <f>[2]TongHop!B1779</f>
        <v>0</v>
      </c>
      <c r="C1779">
        <f>[2]TongHop!C1779</f>
        <v>0</v>
      </c>
      <c r="D1779">
        <f>[2]TongHop!D1779</f>
        <v>0</v>
      </c>
      <c r="E1779">
        <f>[2]TongHop!E1779</f>
        <v>0</v>
      </c>
      <c r="F1779">
        <f>[2]TongHop!F1779</f>
        <v>0</v>
      </c>
      <c r="G1779">
        <f>[2]TongHop!G1779</f>
        <v>0</v>
      </c>
      <c r="H1779">
        <f>[2]TongHop!H1779</f>
        <v>0</v>
      </c>
      <c r="I1779">
        <f>[2]TongHop!I1779</f>
        <v>0</v>
      </c>
      <c r="J1779">
        <f>[2]TongHop!J1779</f>
        <v>0</v>
      </c>
      <c r="K1779">
        <f>[2]TongHop!K1779</f>
        <v>0</v>
      </c>
      <c r="L1779">
        <f>[2]TongHop!L1779</f>
        <v>0</v>
      </c>
      <c r="M1779">
        <f>[2]TongHop!M1779</f>
        <v>0</v>
      </c>
      <c r="N1779">
        <f>[2]TongHop!N1779</f>
        <v>0</v>
      </c>
    </row>
    <row r="1780" spans="1:14">
      <c r="A1780">
        <f>[2]TongHop!A1780</f>
        <v>0</v>
      </c>
      <c r="B1780">
        <f>[2]TongHop!B1780</f>
        <v>0</v>
      </c>
      <c r="C1780">
        <f>[2]TongHop!C1780</f>
        <v>0</v>
      </c>
      <c r="D1780">
        <f>[2]TongHop!D1780</f>
        <v>0</v>
      </c>
      <c r="E1780">
        <f>[2]TongHop!E1780</f>
        <v>0</v>
      </c>
      <c r="F1780">
        <f>[2]TongHop!F1780</f>
        <v>0</v>
      </c>
      <c r="G1780">
        <f>[2]TongHop!G1780</f>
        <v>0</v>
      </c>
      <c r="H1780">
        <f>[2]TongHop!H1780</f>
        <v>0</v>
      </c>
      <c r="I1780">
        <f>[2]TongHop!I1780</f>
        <v>0</v>
      </c>
      <c r="J1780">
        <f>[2]TongHop!J1780</f>
        <v>0</v>
      </c>
      <c r="K1780">
        <f>[2]TongHop!K1780</f>
        <v>0</v>
      </c>
      <c r="L1780">
        <f>[2]TongHop!L1780</f>
        <v>0</v>
      </c>
      <c r="M1780">
        <f>[2]TongHop!M1780</f>
        <v>0</v>
      </c>
      <c r="N1780">
        <f>[2]TongHop!N1780</f>
        <v>0</v>
      </c>
    </row>
    <row r="1781" spans="1:14">
      <c r="A1781">
        <f>[2]TongHop!A1781</f>
        <v>0</v>
      </c>
      <c r="B1781">
        <f>[2]TongHop!B1781</f>
        <v>0</v>
      </c>
      <c r="C1781">
        <f>[2]TongHop!C1781</f>
        <v>0</v>
      </c>
      <c r="D1781">
        <f>[2]TongHop!D1781</f>
        <v>0</v>
      </c>
      <c r="E1781">
        <f>[2]TongHop!E1781</f>
        <v>0</v>
      </c>
      <c r="F1781">
        <f>[2]TongHop!F1781</f>
        <v>0</v>
      </c>
      <c r="G1781">
        <f>[2]TongHop!G1781</f>
        <v>0</v>
      </c>
      <c r="H1781">
        <f>[2]TongHop!H1781</f>
        <v>0</v>
      </c>
      <c r="I1781">
        <f>[2]TongHop!I1781</f>
        <v>0</v>
      </c>
      <c r="J1781">
        <f>[2]TongHop!J1781</f>
        <v>0</v>
      </c>
      <c r="K1781">
        <f>[2]TongHop!K1781</f>
        <v>0</v>
      </c>
      <c r="L1781">
        <f>[2]TongHop!L1781</f>
        <v>0</v>
      </c>
      <c r="M1781">
        <f>[2]TongHop!M1781</f>
        <v>0</v>
      </c>
      <c r="N1781">
        <f>[2]TongHop!N1781</f>
        <v>0</v>
      </c>
    </row>
    <row r="1782" spans="1:14">
      <c r="A1782">
        <f>[2]TongHop!A1782</f>
        <v>0</v>
      </c>
      <c r="B1782">
        <f>[2]TongHop!B1782</f>
        <v>0</v>
      </c>
      <c r="C1782">
        <f>[2]TongHop!C1782</f>
        <v>0</v>
      </c>
      <c r="D1782">
        <f>[2]TongHop!D1782</f>
        <v>0</v>
      </c>
      <c r="E1782">
        <f>[2]TongHop!E1782</f>
        <v>0</v>
      </c>
      <c r="F1782">
        <f>[2]TongHop!F1782</f>
        <v>0</v>
      </c>
      <c r="G1782">
        <f>[2]TongHop!G1782</f>
        <v>0</v>
      </c>
      <c r="H1782">
        <f>[2]TongHop!H1782</f>
        <v>0</v>
      </c>
      <c r="I1782">
        <f>[2]TongHop!I1782</f>
        <v>0</v>
      </c>
      <c r="J1782">
        <f>[2]TongHop!J1782</f>
        <v>0</v>
      </c>
      <c r="K1782">
        <f>[2]TongHop!K1782</f>
        <v>0</v>
      </c>
      <c r="L1782">
        <f>[2]TongHop!L1782</f>
        <v>0</v>
      </c>
      <c r="M1782">
        <f>[2]TongHop!M1782</f>
        <v>0</v>
      </c>
      <c r="N1782">
        <f>[2]TongHop!N1782</f>
        <v>0</v>
      </c>
    </row>
    <row r="1783" spans="1:14">
      <c r="A1783">
        <f>[2]TongHop!A1783</f>
        <v>0</v>
      </c>
      <c r="B1783">
        <f>[2]TongHop!B1783</f>
        <v>0</v>
      </c>
      <c r="C1783">
        <f>[2]TongHop!C1783</f>
        <v>0</v>
      </c>
      <c r="D1783">
        <f>[2]TongHop!D1783</f>
        <v>0</v>
      </c>
      <c r="E1783">
        <f>[2]TongHop!E1783</f>
        <v>0</v>
      </c>
      <c r="F1783">
        <f>[2]TongHop!F1783</f>
        <v>0</v>
      </c>
      <c r="G1783">
        <f>[2]TongHop!G1783</f>
        <v>0</v>
      </c>
      <c r="H1783">
        <f>[2]TongHop!H1783</f>
        <v>0</v>
      </c>
      <c r="I1783">
        <f>[2]TongHop!I1783</f>
        <v>0</v>
      </c>
      <c r="J1783">
        <f>[2]TongHop!J1783</f>
        <v>0</v>
      </c>
      <c r="K1783">
        <f>[2]TongHop!K1783</f>
        <v>0</v>
      </c>
      <c r="L1783">
        <f>[2]TongHop!L1783</f>
        <v>0</v>
      </c>
      <c r="M1783">
        <f>[2]TongHop!M1783</f>
        <v>0</v>
      </c>
      <c r="N1783">
        <f>[2]TongHop!N1783</f>
        <v>0</v>
      </c>
    </row>
    <row r="1784" spans="1:14">
      <c r="A1784">
        <f>[2]TongHop!A1784</f>
        <v>0</v>
      </c>
      <c r="B1784">
        <f>[2]TongHop!B1784</f>
        <v>0</v>
      </c>
      <c r="C1784">
        <f>[2]TongHop!C1784</f>
        <v>0</v>
      </c>
      <c r="D1784">
        <f>[2]TongHop!D1784</f>
        <v>0</v>
      </c>
      <c r="E1784">
        <f>[2]TongHop!E1784</f>
        <v>0</v>
      </c>
      <c r="F1784">
        <f>[2]TongHop!F1784</f>
        <v>0</v>
      </c>
      <c r="G1784">
        <f>[2]TongHop!G1784</f>
        <v>0</v>
      </c>
      <c r="H1784">
        <f>[2]TongHop!H1784</f>
        <v>0</v>
      </c>
      <c r="I1784">
        <f>[2]TongHop!I1784</f>
        <v>0</v>
      </c>
      <c r="J1784">
        <f>[2]TongHop!J1784</f>
        <v>0</v>
      </c>
      <c r="K1784">
        <f>[2]TongHop!K1784</f>
        <v>0</v>
      </c>
      <c r="L1784">
        <f>[2]TongHop!L1784</f>
        <v>0</v>
      </c>
      <c r="M1784">
        <f>[2]TongHop!M1784</f>
        <v>0</v>
      </c>
      <c r="N1784">
        <f>[2]TongHop!N1784</f>
        <v>0</v>
      </c>
    </row>
    <row r="1785" spans="1:14">
      <c r="A1785">
        <f>[2]TongHop!A1785</f>
        <v>0</v>
      </c>
      <c r="B1785">
        <f>[2]TongHop!B1785</f>
        <v>0</v>
      </c>
      <c r="C1785">
        <f>[2]TongHop!C1785</f>
        <v>0</v>
      </c>
      <c r="D1785">
        <f>[2]TongHop!D1785</f>
        <v>0</v>
      </c>
      <c r="E1785">
        <f>[2]TongHop!E1785</f>
        <v>0</v>
      </c>
      <c r="F1785">
        <f>[2]TongHop!F1785</f>
        <v>0</v>
      </c>
      <c r="G1785">
        <f>[2]TongHop!G1785</f>
        <v>0</v>
      </c>
      <c r="H1785">
        <f>[2]TongHop!H1785</f>
        <v>0</v>
      </c>
      <c r="I1785">
        <f>[2]TongHop!I1785</f>
        <v>0</v>
      </c>
      <c r="J1785">
        <f>[2]TongHop!J1785</f>
        <v>0</v>
      </c>
      <c r="K1785">
        <f>[2]TongHop!K1785</f>
        <v>0</v>
      </c>
      <c r="L1785">
        <f>[2]TongHop!L1785</f>
        <v>0</v>
      </c>
      <c r="M1785">
        <f>[2]TongHop!M1785</f>
        <v>0</v>
      </c>
      <c r="N1785">
        <f>[2]TongHop!N1785</f>
        <v>0</v>
      </c>
    </row>
    <row r="1786" spans="1:14">
      <c r="A1786">
        <f>[2]TongHop!A1786</f>
        <v>0</v>
      </c>
      <c r="B1786">
        <f>[2]TongHop!B1786</f>
        <v>0</v>
      </c>
      <c r="C1786">
        <f>[2]TongHop!C1786</f>
        <v>0</v>
      </c>
      <c r="D1786">
        <f>[2]TongHop!D1786</f>
        <v>0</v>
      </c>
      <c r="E1786">
        <f>[2]TongHop!E1786</f>
        <v>0</v>
      </c>
      <c r="F1786">
        <f>[2]TongHop!F1786</f>
        <v>0</v>
      </c>
      <c r="G1786">
        <f>[2]TongHop!G1786</f>
        <v>0</v>
      </c>
      <c r="H1786">
        <f>[2]TongHop!H1786</f>
        <v>0</v>
      </c>
      <c r="I1786">
        <f>[2]TongHop!I1786</f>
        <v>0</v>
      </c>
      <c r="J1786">
        <f>[2]TongHop!J1786</f>
        <v>0</v>
      </c>
      <c r="K1786">
        <f>[2]TongHop!K1786</f>
        <v>0</v>
      </c>
      <c r="L1786">
        <f>[2]TongHop!L1786</f>
        <v>0</v>
      </c>
      <c r="M1786">
        <f>[2]TongHop!M1786</f>
        <v>0</v>
      </c>
      <c r="N1786">
        <f>[2]TongHop!N1786</f>
        <v>0</v>
      </c>
    </row>
    <row r="1787" spans="1:14">
      <c r="A1787">
        <f>[2]TongHop!A1787</f>
        <v>0</v>
      </c>
      <c r="B1787">
        <f>[2]TongHop!B1787</f>
        <v>0</v>
      </c>
      <c r="C1787">
        <f>[2]TongHop!C1787</f>
        <v>0</v>
      </c>
      <c r="D1787">
        <f>[2]TongHop!D1787</f>
        <v>0</v>
      </c>
      <c r="E1787">
        <f>[2]TongHop!E1787</f>
        <v>0</v>
      </c>
      <c r="F1787">
        <f>[2]TongHop!F1787</f>
        <v>0</v>
      </c>
      <c r="G1787">
        <f>[2]TongHop!G1787</f>
        <v>0</v>
      </c>
      <c r="H1787">
        <f>[2]TongHop!H1787</f>
        <v>0</v>
      </c>
      <c r="I1787">
        <f>[2]TongHop!I1787</f>
        <v>0</v>
      </c>
      <c r="J1787">
        <f>[2]TongHop!J1787</f>
        <v>0</v>
      </c>
      <c r="K1787">
        <f>[2]TongHop!K1787</f>
        <v>0</v>
      </c>
      <c r="L1787">
        <f>[2]TongHop!L1787</f>
        <v>0</v>
      </c>
      <c r="M1787">
        <f>[2]TongHop!M1787</f>
        <v>0</v>
      </c>
      <c r="N1787">
        <f>[2]TongHop!N1787</f>
        <v>0</v>
      </c>
    </row>
    <row r="1788" spans="1:14">
      <c r="A1788">
        <f>[2]TongHop!A1788</f>
        <v>0</v>
      </c>
      <c r="B1788">
        <f>[2]TongHop!B1788</f>
        <v>0</v>
      </c>
      <c r="C1788">
        <f>[2]TongHop!C1788</f>
        <v>0</v>
      </c>
      <c r="D1788">
        <f>[2]TongHop!D1788</f>
        <v>0</v>
      </c>
      <c r="E1788">
        <f>[2]TongHop!E1788</f>
        <v>0</v>
      </c>
      <c r="F1788">
        <f>[2]TongHop!F1788</f>
        <v>0</v>
      </c>
      <c r="G1788">
        <f>[2]TongHop!G1788</f>
        <v>0</v>
      </c>
      <c r="H1788">
        <f>[2]TongHop!H1788</f>
        <v>0</v>
      </c>
      <c r="I1788">
        <f>[2]TongHop!I1788</f>
        <v>0</v>
      </c>
      <c r="J1788">
        <f>[2]TongHop!J1788</f>
        <v>0</v>
      </c>
      <c r="K1788">
        <f>[2]TongHop!K1788</f>
        <v>0</v>
      </c>
      <c r="L1788">
        <f>[2]TongHop!L1788</f>
        <v>0</v>
      </c>
      <c r="M1788">
        <f>[2]TongHop!M1788</f>
        <v>0</v>
      </c>
      <c r="N1788">
        <f>[2]TongHop!N1788</f>
        <v>0</v>
      </c>
    </row>
    <row r="1789" spans="1:14">
      <c r="A1789">
        <f>[2]TongHop!A1789</f>
        <v>0</v>
      </c>
      <c r="B1789">
        <f>[2]TongHop!B1789</f>
        <v>0</v>
      </c>
      <c r="C1789">
        <f>[2]TongHop!C1789</f>
        <v>0</v>
      </c>
      <c r="D1789">
        <f>[2]TongHop!D1789</f>
        <v>0</v>
      </c>
      <c r="E1789">
        <f>[2]TongHop!E1789</f>
        <v>0</v>
      </c>
      <c r="F1789">
        <f>[2]TongHop!F1789</f>
        <v>0</v>
      </c>
      <c r="G1789">
        <f>[2]TongHop!G1789</f>
        <v>0</v>
      </c>
      <c r="H1789">
        <f>[2]TongHop!H1789</f>
        <v>0</v>
      </c>
      <c r="I1789">
        <f>[2]TongHop!I1789</f>
        <v>0</v>
      </c>
      <c r="J1789">
        <f>[2]TongHop!J1789</f>
        <v>0</v>
      </c>
      <c r="K1789">
        <f>[2]TongHop!K1789</f>
        <v>0</v>
      </c>
      <c r="L1789">
        <f>[2]TongHop!L1789</f>
        <v>0</v>
      </c>
      <c r="M1789">
        <f>[2]TongHop!M1789</f>
        <v>0</v>
      </c>
      <c r="N1789">
        <f>[2]TongHop!N1789</f>
        <v>0</v>
      </c>
    </row>
    <row r="1790" spans="1:14">
      <c r="A1790">
        <f>[2]TongHop!A1790</f>
        <v>0</v>
      </c>
      <c r="B1790">
        <f>[2]TongHop!B1790</f>
        <v>0</v>
      </c>
      <c r="C1790">
        <f>[2]TongHop!C1790</f>
        <v>0</v>
      </c>
      <c r="D1790">
        <f>[2]TongHop!D1790</f>
        <v>0</v>
      </c>
      <c r="E1790">
        <f>[2]TongHop!E1790</f>
        <v>0</v>
      </c>
      <c r="F1790">
        <f>[2]TongHop!F1790</f>
        <v>0</v>
      </c>
      <c r="G1790">
        <f>[2]TongHop!G1790</f>
        <v>0</v>
      </c>
      <c r="H1790">
        <f>[2]TongHop!H1790</f>
        <v>0</v>
      </c>
      <c r="I1790">
        <f>[2]TongHop!I1790</f>
        <v>0</v>
      </c>
      <c r="J1790">
        <f>[2]TongHop!J1790</f>
        <v>0</v>
      </c>
      <c r="K1790">
        <f>[2]TongHop!K1790</f>
        <v>0</v>
      </c>
      <c r="L1790">
        <f>[2]TongHop!L1790</f>
        <v>0</v>
      </c>
      <c r="M1790">
        <f>[2]TongHop!M1790</f>
        <v>0</v>
      </c>
      <c r="N1790">
        <f>[2]TongHop!N1790</f>
        <v>0</v>
      </c>
    </row>
    <row r="1791" spans="1:14">
      <c r="A1791">
        <f>[2]TongHop!A1791</f>
        <v>0</v>
      </c>
      <c r="B1791">
        <f>[2]TongHop!B1791</f>
        <v>0</v>
      </c>
      <c r="C1791">
        <f>[2]TongHop!C1791</f>
        <v>0</v>
      </c>
      <c r="D1791">
        <f>[2]TongHop!D1791</f>
        <v>0</v>
      </c>
      <c r="E1791">
        <f>[2]TongHop!E1791</f>
        <v>0</v>
      </c>
      <c r="F1791">
        <f>[2]TongHop!F1791</f>
        <v>0</v>
      </c>
      <c r="G1791">
        <f>[2]TongHop!G1791</f>
        <v>0</v>
      </c>
      <c r="H1791">
        <f>[2]TongHop!H1791</f>
        <v>0</v>
      </c>
      <c r="I1791">
        <f>[2]TongHop!I1791</f>
        <v>0</v>
      </c>
      <c r="J1791">
        <f>[2]TongHop!J1791</f>
        <v>0</v>
      </c>
      <c r="K1791">
        <f>[2]TongHop!K1791</f>
        <v>0</v>
      </c>
      <c r="L1791">
        <f>[2]TongHop!L1791</f>
        <v>0</v>
      </c>
      <c r="M1791">
        <f>[2]TongHop!M1791</f>
        <v>0</v>
      </c>
      <c r="N1791">
        <f>[2]TongHop!N1791</f>
        <v>0</v>
      </c>
    </row>
    <row r="1792" spans="1:14">
      <c r="A1792">
        <f>[2]TongHop!A1792</f>
        <v>0</v>
      </c>
      <c r="B1792">
        <f>[2]TongHop!B1792</f>
        <v>0</v>
      </c>
      <c r="C1792">
        <f>[2]TongHop!C1792</f>
        <v>0</v>
      </c>
      <c r="D1792">
        <f>[2]TongHop!D1792</f>
        <v>0</v>
      </c>
      <c r="E1792">
        <f>[2]TongHop!E1792</f>
        <v>0</v>
      </c>
      <c r="F1792">
        <f>[2]TongHop!F1792</f>
        <v>0</v>
      </c>
      <c r="G1792">
        <f>[2]TongHop!G1792</f>
        <v>0</v>
      </c>
      <c r="H1792">
        <f>[2]TongHop!H1792</f>
        <v>0</v>
      </c>
      <c r="I1792">
        <f>[2]TongHop!I1792</f>
        <v>0</v>
      </c>
      <c r="J1792">
        <f>[2]TongHop!J1792</f>
        <v>0</v>
      </c>
      <c r="K1792">
        <f>[2]TongHop!K1792</f>
        <v>0</v>
      </c>
      <c r="L1792">
        <f>[2]TongHop!L1792</f>
        <v>0</v>
      </c>
      <c r="M1792">
        <f>[2]TongHop!M1792</f>
        <v>0</v>
      </c>
      <c r="N1792">
        <f>[2]TongHop!N1792</f>
        <v>0</v>
      </c>
    </row>
    <row r="1793" spans="1:14">
      <c r="A1793">
        <f>[2]TongHop!A1793</f>
        <v>0</v>
      </c>
      <c r="B1793">
        <f>[2]TongHop!B1793</f>
        <v>0</v>
      </c>
      <c r="C1793">
        <f>[2]TongHop!C1793</f>
        <v>0</v>
      </c>
      <c r="D1793">
        <f>[2]TongHop!D1793</f>
        <v>0</v>
      </c>
      <c r="E1793">
        <f>[2]TongHop!E1793</f>
        <v>0</v>
      </c>
      <c r="F1793">
        <f>[2]TongHop!F1793</f>
        <v>0</v>
      </c>
      <c r="G1793">
        <f>[2]TongHop!G1793</f>
        <v>0</v>
      </c>
      <c r="H1793">
        <f>[2]TongHop!H1793</f>
        <v>0</v>
      </c>
      <c r="I1793">
        <f>[2]TongHop!I1793</f>
        <v>0</v>
      </c>
      <c r="J1793">
        <f>[2]TongHop!J1793</f>
        <v>0</v>
      </c>
      <c r="K1793">
        <f>[2]TongHop!K1793</f>
        <v>0</v>
      </c>
      <c r="L1793">
        <f>[2]TongHop!L1793</f>
        <v>0</v>
      </c>
      <c r="M1793">
        <f>[2]TongHop!M1793</f>
        <v>0</v>
      </c>
      <c r="N1793">
        <f>[2]TongHop!N1793</f>
        <v>0</v>
      </c>
    </row>
    <row r="1794" spans="1:14">
      <c r="A1794">
        <f>[2]TongHop!A1794</f>
        <v>0</v>
      </c>
      <c r="B1794">
        <f>[2]TongHop!B1794</f>
        <v>0</v>
      </c>
      <c r="C1794">
        <f>[2]TongHop!C1794</f>
        <v>0</v>
      </c>
      <c r="D1794">
        <f>[2]TongHop!D1794</f>
        <v>0</v>
      </c>
      <c r="E1794">
        <f>[2]TongHop!E1794</f>
        <v>0</v>
      </c>
      <c r="F1794">
        <f>[2]TongHop!F1794</f>
        <v>0</v>
      </c>
      <c r="G1794">
        <f>[2]TongHop!G1794</f>
        <v>0</v>
      </c>
      <c r="H1794">
        <f>[2]TongHop!H1794</f>
        <v>0</v>
      </c>
      <c r="I1794">
        <f>[2]TongHop!I1794</f>
        <v>0</v>
      </c>
      <c r="J1794">
        <f>[2]TongHop!J1794</f>
        <v>0</v>
      </c>
      <c r="K1794">
        <f>[2]TongHop!K1794</f>
        <v>0</v>
      </c>
      <c r="L1794">
        <f>[2]TongHop!L1794</f>
        <v>0</v>
      </c>
      <c r="M1794">
        <f>[2]TongHop!M1794</f>
        <v>0</v>
      </c>
      <c r="N1794">
        <f>[2]TongHop!N1794</f>
        <v>0</v>
      </c>
    </row>
    <row r="1795" spans="1:14">
      <c r="A1795">
        <f>[2]TongHop!A1795</f>
        <v>0</v>
      </c>
      <c r="B1795">
        <f>[2]TongHop!B1795</f>
        <v>0</v>
      </c>
      <c r="C1795">
        <f>[2]TongHop!C1795</f>
        <v>0</v>
      </c>
      <c r="D1795">
        <f>[2]TongHop!D1795</f>
        <v>0</v>
      </c>
      <c r="E1795">
        <f>[2]TongHop!E1795</f>
        <v>0</v>
      </c>
      <c r="F1795">
        <f>[2]TongHop!F1795</f>
        <v>0</v>
      </c>
      <c r="G1795">
        <f>[2]TongHop!G1795</f>
        <v>0</v>
      </c>
      <c r="H1795">
        <f>[2]TongHop!H1795</f>
        <v>0</v>
      </c>
      <c r="I1795">
        <f>[2]TongHop!I1795</f>
        <v>0</v>
      </c>
      <c r="J1795">
        <f>[2]TongHop!J1795</f>
        <v>0</v>
      </c>
      <c r="K1795">
        <f>[2]TongHop!K1795</f>
        <v>0</v>
      </c>
      <c r="L1795">
        <f>[2]TongHop!L1795</f>
        <v>0</v>
      </c>
      <c r="M1795">
        <f>[2]TongHop!M1795</f>
        <v>0</v>
      </c>
      <c r="N1795">
        <f>[2]TongHop!N1795</f>
        <v>0</v>
      </c>
    </row>
    <row r="1796" spans="1:14">
      <c r="A1796">
        <f>[2]TongHop!A1796</f>
        <v>0</v>
      </c>
      <c r="B1796">
        <f>[2]TongHop!B1796</f>
        <v>0</v>
      </c>
      <c r="C1796">
        <f>[2]TongHop!C1796</f>
        <v>0</v>
      </c>
      <c r="D1796">
        <f>[2]TongHop!D1796</f>
        <v>0</v>
      </c>
      <c r="E1796">
        <f>[2]TongHop!E1796</f>
        <v>0</v>
      </c>
      <c r="F1796">
        <f>[2]TongHop!F1796</f>
        <v>0</v>
      </c>
      <c r="G1796">
        <f>[2]TongHop!G1796</f>
        <v>0</v>
      </c>
      <c r="H1796">
        <f>[2]TongHop!H1796</f>
        <v>0</v>
      </c>
      <c r="I1796">
        <f>[2]TongHop!I1796</f>
        <v>0</v>
      </c>
      <c r="J1796">
        <f>[2]TongHop!J1796</f>
        <v>0</v>
      </c>
      <c r="K1796">
        <f>[2]TongHop!K1796</f>
        <v>0</v>
      </c>
      <c r="L1796">
        <f>[2]TongHop!L1796</f>
        <v>0</v>
      </c>
      <c r="M1796">
        <f>[2]TongHop!M1796</f>
        <v>0</v>
      </c>
      <c r="N1796">
        <f>[2]TongHop!N1796</f>
        <v>0</v>
      </c>
    </row>
    <row r="1797" spans="1:14">
      <c r="A1797">
        <f>[2]TongHop!A1797</f>
        <v>0</v>
      </c>
      <c r="B1797">
        <f>[2]TongHop!B1797</f>
        <v>0</v>
      </c>
      <c r="C1797">
        <f>[2]TongHop!C1797</f>
        <v>0</v>
      </c>
      <c r="D1797">
        <f>[2]TongHop!D1797</f>
        <v>0</v>
      </c>
      <c r="E1797">
        <f>[2]TongHop!E1797</f>
        <v>0</v>
      </c>
      <c r="F1797">
        <f>[2]TongHop!F1797</f>
        <v>0</v>
      </c>
      <c r="G1797">
        <f>[2]TongHop!G1797</f>
        <v>0</v>
      </c>
      <c r="H1797">
        <f>[2]TongHop!H1797</f>
        <v>0</v>
      </c>
      <c r="I1797">
        <f>[2]TongHop!I1797</f>
        <v>0</v>
      </c>
      <c r="J1797">
        <f>[2]TongHop!J1797</f>
        <v>0</v>
      </c>
      <c r="K1797">
        <f>[2]TongHop!K1797</f>
        <v>0</v>
      </c>
      <c r="L1797">
        <f>[2]TongHop!L1797</f>
        <v>0</v>
      </c>
      <c r="M1797">
        <f>[2]TongHop!M1797</f>
        <v>0</v>
      </c>
      <c r="N1797">
        <f>[2]TongHop!N1797</f>
        <v>0</v>
      </c>
    </row>
    <row r="1798" spans="1:14">
      <c r="A1798">
        <f>[2]TongHop!A1798</f>
        <v>0</v>
      </c>
      <c r="B1798">
        <f>[2]TongHop!B1798</f>
        <v>0</v>
      </c>
      <c r="C1798">
        <f>[2]TongHop!C1798</f>
        <v>0</v>
      </c>
      <c r="D1798">
        <f>[2]TongHop!D1798</f>
        <v>0</v>
      </c>
      <c r="E1798">
        <f>[2]TongHop!E1798</f>
        <v>0</v>
      </c>
      <c r="F1798">
        <f>[2]TongHop!F1798</f>
        <v>0</v>
      </c>
      <c r="G1798">
        <f>[2]TongHop!G1798</f>
        <v>0</v>
      </c>
      <c r="H1798">
        <f>[2]TongHop!H1798</f>
        <v>0</v>
      </c>
      <c r="I1798">
        <f>[2]TongHop!I1798</f>
        <v>0</v>
      </c>
      <c r="J1798">
        <f>[2]TongHop!J1798</f>
        <v>0</v>
      </c>
      <c r="K1798">
        <f>[2]TongHop!K1798</f>
        <v>0</v>
      </c>
      <c r="L1798">
        <f>[2]TongHop!L1798</f>
        <v>0</v>
      </c>
      <c r="M1798">
        <f>[2]TongHop!M1798</f>
        <v>0</v>
      </c>
      <c r="N1798">
        <f>[2]TongHop!N1798</f>
        <v>0</v>
      </c>
    </row>
    <row r="1799" spans="1:14">
      <c r="A1799">
        <f>[2]TongHop!A1799</f>
        <v>0</v>
      </c>
      <c r="B1799">
        <f>[2]TongHop!B1799</f>
        <v>0</v>
      </c>
      <c r="C1799">
        <f>[2]TongHop!C1799</f>
        <v>0</v>
      </c>
      <c r="D1799">
        <f>[2]TongHop!D1799</f>
        <v>0</v>
      </c>
      <c r="E1799">
        <f>[2]TongHop!E1799</f>
        <v>0</v>
      </c>
      <c r="F1799">
        <f>[2]TongHop!F1799</f>
        <v>0</v>
      </c>
      <c r="G1799">
        <f>[2]TongHop!G1799</f>
        <v>0</v>
      </c>
      <c r="H1799">
        <f>[2]TongHop!H1799</f>
        <v>0</v>
      </c>
      <c r="I1799">
        <f>[2]TongHop!I1799</f>
        <v>0</v>
      </c>
      <c r="J1799">
        <f>[2]TongHop!J1799</f>
        <v>0</v>
      </c>
      <c r="K1799">
        <f>[2]TongHop!K1799</f>
        <v>0</v>
      </c>
      <c r="L1799">
        <f>[2]TongHop!L1799</f>
        <v>0</v>
      </c>
      <c r="M1799">
        <f>[2]TongHop!M1799</f>
        <v>0</v>
      </c>
      <c r="N1799">
        <f>[2]TongHop!N1799</f>
        <v>0</v>
      </c>
    </row>
    <row r="1800" spans="1:14">
      <c r="A1800">
        <f>[2]TongHop!A1800</f>
        <v>0</v>
      </c>
      <c r="B1800">
        <f>[2]TongHop!B1800</f>
        <v>0</v>
      </c>
      <c r="C1800">
        <f>[2]TongHop!C1800</f>
        <v>0</v>
      </c>
      <c r="D1800">
        <f>[2]TongHop!D1800</f>
        <v>0</v>
      </c>
      <c r="E1800">
        <f>[2]TongHop!E1800</f>
        <v>0</v>
      </c>
      <c r="F1800">
        <f>[2]TongHop!F1800</f>
        <v>0</v>
      </c>
      <c r="G1800">
        <f>[2]TongHop!G1800</f>
        <v>0</v>
      </c>
      <c r="H1800">
        <f>[2]TongHop!H1800</f>
        <v>0</v>
      </c>
      <c r="I1800">
        <f>[2]TongHop!I1800</f>
        <v>0</v>
      </c>
      <c r="J1800">
        <f>[2]TongHop!J1800</f>
        <v>0</v>
      </c>
      <c r="K1800">
        <f>[2]TongHop!K1800</f>
        <v>0</v>
      </c>
      <c r="L1800">
        <f>[2]TongHop!L1800</f>
        <v>0</v>
      </c>
      <c r="M1800">
        <f>[2]TongHop!M1800</f>
        <v>0</v>
      </c>
      <c r="N1800">
        <f>[2]TongHop!N1800</f>
        <v>0</v>
      </c>
    </row>
    <row r="1801" spans="1:14">
      <c r="A1801">
        <f>[2]TongHop!A1801</f>
        <v>0</v>
      </c>
      <c r="B1801">
        <f>[2]TongHop!B1801</f>
        <v>0</v>
      </c>
      <c r="C1801">
        <f>[2]TongHop!C1801</f>
        <v>0</v>
      </c>
      <c r="D1801">
        <f>[2]TongHop!D1801</f>
        <v>0</v>
      </c>
      <c r="E1801">
        <f>[2]TongHop!E1801</f>
        <v>0</v>
      </c>
      <c r="F1801">
        <f>[2]TongHop!F1801</f>
        <v>0</v>
      </c>
      <c r="G1801">
        <f>[2]TongHop!G1801</f>
        <v>0</v>
      </c>
      <c r="H1801">
        <f>[2]TongHop!H1801</f>
        <v>0</v>
      </c>
      <c r="I1801">
        <f>[2]TongHop!I1801</f>
        <v>0</v>
      </c>
      <c r="J1801">
        <f>[2]TongHop!J1801</f>
        <v>0</v>
      </c>
      <c r="K1801">
        <f>[2]TongHop!K1801</f>
        <v>0</v>
      </c>
      <c r="L1801">
        <f>[2]TongHop!L1801</f>
        <v>0</v>
      </c>
      <c r="M1801">
        <f>[2]TongHop!M1801</f>
        <v>0</v>
      </c>
      <c r="N1801">
        <f>[2]TongHop!N1801</f>
        <v>0</v>
      </c>
    </row>
    <row r="1802" spans="1:14">
      <c r="A1802">
        <f>[2]TongHop!A1802</f>
        <v>0</v>
      </c>
      <c r="B1802">
        <f>[2]TongHop!B1802</f>
        <v>0</v>
      </c>
      <c r="C1802">
        <f>[2]TongHop!C1802</f>
        <v>0</v>
      </c>
      <c r="D1802">
        <f>[2]TongHop!D1802</f>
        <v>0</v>
      </c>
      <c r="E1802">
        <f>[2]TongHop!E1802</f>
        <v>0</v>
      </c>
      <c r="F1802">
        <f>[2]TongHop!F1802</f>
        <v>0</v>
      </c>
      <c r="G1802">
        <f>[2]TongHop!G1802</f>
        <v>0</v>
      </c>
      <c r="H1802">
        <f>[2]TongHop!H1802</f>
        <v>0</v>
      </c>
      <c r="I1802">
        <f>[2]TongHop!I1802</f>
        <v>0</v>
      </c>
      <c r="J1802">
        <f>[2]TongHop!J1802</f>
        <v>0</v>
      </c>
      <c r="K1802">
        <f>[2]TongHop!K1802</f>
        <v>0</v>
      </c>
      <c r="L1802">
        <f>[2]TongHop!L1802</f>
        <v>0</v>
      </c>
      <c r="M1802">
        <f>[2]TongHop!M1802</f>
        <v>0</v>
      </c>
      <c r="N1802">
        <f>[2]TongHop!N1802</f>
        <v>0</v>
      </c>
    </row>
    <row r="1803" spans="1:14">
      <c r="A1803">
        <f>[2]TongHop!A1803</f>
        <v>0</v>
      </c>
      <c r="B1803">
        <f>[2]TongHop!B1803</f>
        <v>0</v>
      </c>
      <c r="C1803">
        <f>[2]TongHop!C1803</f>
        <v>0</v>
      </c>
      <c r="D1803">
        <f>[2]TongHop!D1803</f>
        <v>0</v>
      </c>
      <c r="E1803">
        <f>[2]TongHop!E1803</f>
        <v>0</v>
      </c>
      <c r="F1803">
        <f>[2]TongHop!F1803</f>
        <v>0</v>
      </c>
      <c r="G1803">
        <f>[2]TongHop!G1803</f>
        <v>0</v>
      </c>
      <c r="H1803">
        <f>[2]TongHop!H1803</f>
        <v>0</v>
      </c>
      <c r="I1803">
        <f>[2]TongHop!I1803</f>
        <v>0</v>
      </c>
      <c r="J1803">
        <f>[2]TongHop!J1803</f>
        <v>0</v>
      </c>
      <c r="K1803">
        <f>[2]TongHop!K1803</f>
        <v>0</v>
      </c>
      <c r="L1803">
        <f>[2]TongHop!L1803</f>
        <v>0</v>
      </c>
      <c r="M1803">
        <f>[2]TongHop!M1803</f>
        <v>0</v>
      </c>
      <c r="N1803">
        <f>[2]TongHop!N1803</f>
        <v>0</v>
      </c>
    </row>
    <row r="1804" spans="1:14">
      <c r="A1804">
        <f>[2]TongHop!A1804</f>
        <v>0</v>
      </c>
      <c r="B1804">
        <f>[2]TongHop!B1804</f>
        <v>0</v>
      </c>
      <c r="C1804">
        <f>[2]TongHop!C1804</f>
        <v>0</v>
      </c>
      <c r="D1804">
        <f>[2]TongHop!D1804</f>
        <v>0</v>
      </c>
      <c r="E1804">
        <f>[2]TongHop!E1804</f>
        <v>0</v>
      </c>
      <c r="F1804">
        <f>[2]TongHop!F1804</f>
        <v>0</v>
      </c>
      <c r="G1804">
        <f>[2]TongHop!G1804</f>
        <v>0</v>
      </c>
      <c r="H1804">
        <f>[2]TongHop!H1804</f>
        <v>0</v>
      </c>
      <c r="I1804">
        <f>[2]TongHop!I1804</f>
        <v>0</v>
      </c>
      <c r="J1804">
        <f>[2]TongHop!J1804</f>
        <v>0</v>
      </c>
      <c r="K1804">
        <f>[2]TongHop!K1804</f>
        <v>0</v>
      </c>
      <c r="L1804">
        <f>[2]TongHop!L1804</f>
        <v>0</v>
      </c>
      <c r="M1804">
        <f>[2]TongHop!M1804</f>
        <v>0</v>
      </c>
      <c r="N1804">
        <f>[2]TongHop!N1804</f>
        <v>0</v>
      </c>
    </row>
    <row r="1805" spans="1:14">
      <c r="A1805">
        <f>[2]TongHop!A1805</f>
        <v>0</v>
      </c>
      <c r="B1805">
        <f>[2]TongHop!B1805</f>
        <v>0</v>
      </c>
      <c r="C1805">
        <f>[2]TongHop!C1805</f>
        <v>0</v>
      </c>
      <c r="D1805">
        <f>[2]TongHop!D1805</f>
        <v>0</v>
      </c>
      <c r="E1805">
        <f>[2]TongHop!E1805</f>
        <v>0</v>
      </c>
      <c r="F1805">
        <f>[2]TongHop!F1805</f>
        <v>0</v>
      </c>
      <c r="G1805">
        <f>[2]TongHop!G1805</f>
        <v>0</v>
      </c>
      <c r="H1805">
        <f>[2]TongHop!H1805</f>
        <v>0</v>
      </c>
      <c r="I1805">
        <f>[2]TongHop!I1805</f>
        <v>0</v>
      </c>
      <c r="J1805">
        <f>[2]TongHop!J1805</f>
        <v>0</v>
      </c>
      <c r="K1805">
        <f>[2]TongHop!K1805</f>
        <v>0</v>
      </c>
      <c r="L1805">
        <f>[2]TongHop!L1805</f>
        <v>0</v>
      </c>
      <c r="M1805">
        <f>[2]TongHop!M1805</f>
        <v>0</v>
      </c>
      <c r="N1805">
        <f>[2]TongHop!N1805</f>
        <v>0</v>
      </c>
    </row>
    <row r="1806" spans="1:14">
      <c r="A1806">
        <f>[2]TongHop!A1806</f>
        <v>0</v>
      </c>
      <c r="B1806">
        <f>[2]TongHop!B1806</f>
        <v>0</v>
      </c>
      <c r="C1806">
        <f>[2]TongHop!C1806</f>
        <v>0</v>
      </c>
      <c r="D1806">
        <f>[2]TongHop!D1806</f>
        <v>0</v>
      </c>
      <c r="E1806">
        <f>[2]TongHop!E1806</f>
        <v>0</v>
      </c>
      <c r="F1806">
        <f>[2]TongHop!F1806</f>
        <v>0</v>
      </c>
      <c r="G1806">
        <f>[2]TongHop!G1806</f>
        <v>0</v>
      </c>
      <c r="H1806">
        <f>[2]TongHop!H1806</f>
        <v>0</v>
      </c>
      <c r="I1806">
        <f>[2]TongHop!I1806</f>
        <v>0</v>
      </c>
      <c r="J1806">
        <f>[2]TongHop!J1806</f>
        <v>0</v>
      </c>
      <c r="K1806">
        <f>[2]TongHop!K1806</f>
        <v>0</v>
      </c>
      <c r="L1806">
        <f>[2]TongHop!L1806</f>
        <v>0</v>
      </c>
      <c r="M1806">
        <f>[2]TongHop!M1806</f>
        <v>0</v>
      </c>
      <c r="N1806">
        <f>[2]TongHop!N1806</f>
        <v>0</v>
      </c>
    </row>
    <row r="1807" spans="1:14">
      <c r="A1807">
        <f>[2]TongHop!A1807</f>
        <v>0</v>
      </c>
      <c r="B1807">
        <f>[2]TongHop!B1807</f>
        <v>0</v>
      </c>
      <c r="C1807">
        <f>[2]TongHop!C1807</f>
        <v>0</v>
      </c>
      <c r="D1807">
        <f>[2]TongHop!D1807</f>
        <v>0</v>
      </c>
      <c r="E1807">
        <f>[2]TongHop!E1807</f>
        <v>0</v>
      </c>
      <c r="F1807">
        <f>[2]TongHop!F1807</f>
        <v>0</v>
      </c>
      <c r="G1807">
        <f>[2]TongHop!G1807</f>
        <v>0</v>
      </c>
      <c r="H1807">
        <f>[2]TongHop!H1807</f>
        <v>0</v>
      </c>
      <c r="I1807">
        <f>[2]TongHop!I1807</f>
        <v>0</v>
      </c>
      <c r="J1807">
        <f>[2]TongHop!J1807</f>
        <v>0</v>
      </c>
      <c r="K1807">
        <f>[2]TongHop!K1807</f>
        <v>0</v>
      </c>
      <c r="L1807">
        <f>[2]TongHop!L1807</f>
        <v>0</v>
      </c>
      <c r="M1807">
        <f>[2]TongHop!M1807</f>
        <v>0</v>
      </c>
      <c r="N1807">
        <f>[2]TongHop!N1807</f>
        <v>0</v>
      </c>
    </row>
    <row r="1808" spans="1:14">
      <c r="A1808">
        <f>[2]TongHop!A1808</f>
        <v>0</v>
      </c>
      <c r="B1808">
        <f>[2]TongHop!B1808</f>
        <v>0</v>
      </c>
      <c r="C1808">
        <f>[2]TongHop!C1808</f>
        <v>0</v>
      </c>
      <c r="D1808">
        <f>[2]TongHop!D1808</f>
        <v>0</v>
      </c>
      <c r="E1808">
        <f>[2]TongHop!E1808</f>
        <v>0</v>
      </c>
      <c r="F1808">
        <f>[2]TongHop!F1808</f>
        <v>0</v>
      </c>
      <c r="G1808">
        <f>[2]TongHop!G1808</f>
        <v>0</v>
      </c>
      <c r="H1808">
        <f>[2]TongHop!H1808</f>
        <v>0</v>
      </c>
      <c r="I1808">
        <f>[2]TongHop!I1808</f>
        <v>0</v>
      </c>
      <c r="J1808">
        <f>[2]TongHop!J1808</f>
        <v>0</v>
      </c>
      <c r="K1808">
        <f>[2]TongHop!K1808</f>
        <v>0</v>
      </c>
      <c r="L1808">
        <f>[2]TongHop!L1808</f>
        <v>0</v>
      </c>
      <c r="M1808">
        <f>[2]TongHop!M1808</f>
        <v>0</v>
      </c>
      <c r="N1808">
        <f>[2]TongHop!N1808</f>
        <v>0</v>
      </c>
    </row>
    <row r="1809" spans="1:14">
      <c r="A1809">
        <f>[2]TongHop!A1809</f>
        <v>0</v>
      </c>
      <c r="B1809">
        <f>[2]TongHop!B1809</f>
        <v>0</v>
      </c>
      <c r="C1809">
        <f>[2]TongHop!C1809</f>
        <v>0</v>
      </c>
      <c r="D1809">
        <f>[2]TongHop!D1809</f>
        <v>0</v>
      </c>
      <c r="E1809">
        <f>[2]TongHop!E1809</f>
        <v>0</v>
      </c>
      <c r="F1809">
        <f>[2]TongHop!F1809</f>
        <v>0</v>
      </c>
      <c r="G1809">
        <f>[2]TongHop!G1809</f>
        <v>0</v>
      </c>
      <c r="H1809">
        <f>[2]TongHop!H1809</f>
        <v>0</v>
      </c>
      <c r="I1809">
        <f>[2]TongHop!I1809</f>
        <v>0</v>
      </c>
      <c r="J1809">
        <f>[2]TongHop!J1809</f>
        <v>0</v>
      </c>
      <c r="K1809">
        <f>[2]TongHop!K1809</f>
        <v>0</v>
      </c>
      <c r="L1809">
        <f>[2]TongHop!L1809</f>
        <v>0</v>
      </c>
      <c r="M1809">
        <f>[2]TongHop!M1809</f>
        <v>0</v>
      </c>
      <c r="N1809">
        <f>[2]TongHop!N1809</f>
        <v>0</v>
      </c>
    </row>
    <row r="1810" spans="1:14">
      <c r="A1810">
        <f>[2]TongHop!A1810</f>
        <v>0</v>
      </c>
      <c r="B1810">
        <f>[2]TongHop!B1810</f>
        <v>0</v>
      </c>
      <c r="C1810">
        <f>[2]TongHop!C1810</f>
        <v>0</v>
      </c>
      <c r="D1810">
        <f>[2]TongHop!D1810</f>
        <v>0</v>
      </c>
      <c r="E1810">
        <f>[2]TongHop!E1810</f>
        <v>0</v>
      </c>
      <c r="F1810">
        <f>[2]TongHop!F1810</f>
        <v>0</v>
      </c>
      <c r="G1810">
        <f>[2]TongHop!G1810</f>
        <v>0</v>
      </c>
      <c r="H1810">
        <f>[2]TongHop!H1810</f>
        <v>0</v>
      </c>
      <c r="I1810">
        <f>[2]TongHop!I1810</f>
        <v>0</v>
      </c>
      <c r="J1810">
        <f>[2]TongHop!J1810</f>
        <v>0</v>
      </c>
      <c r="K1810">
        <f>[2]TongHop!K1810</f>
        <v>0</v>
      </c>
      <c r="L1810">
        <f>[2]TongHop!L1810</f>
        <v>0</v>
      </c>
      <c r="M1810">
        <f>[2]TongHop!M1810</f>
        <v>0</v>
      </c>
      <c r="N1810">
        <f>[2]TongHop!N1810</f>
        <v>0</v>
      </c>
    </row>
    <row r="1811" spans="1:14">
      <c r="A1811">
        <f>[2]TongHop!A1811</f>
        <v>0</v>
      </c>
      <c r="B1811">
        <f>[2]TongHop!B1811</f>
        <v>0</v>
      </c>
      <c r="C1811">
        <f>[2]TongHop!C1811</f>
        <v>0</v>
      </c>
      <c r="D1811">
        <f>[2]TongHop!D1811</f>
        <v>0</v>
      </c>
      <c r="E1811">
        <f>[2]TongHop!E1811</f>
        <v>0</v>
      </c>
      <c r="F1811">
        <f>[2]TongHop!F1811</f>
        <v>0</v>
      </c>
      <c r="G1811">
        <f>[2]TongHop!G1811</f>
        <v>0</v>
      </c>
      <c r="H1811">
        <f>[2]TongHop!H1811</f>
        <v>0</v>
      </c>
      <c r="I1811">
        <f>[2]TongHop!I1811</f>
        <v>0</v>
      </c>
      <c r="J1811">
        <f>[2]TongHop!J1811</f>
        <v>0</v>
      </c>
      <c r="K1811">
        <f>[2]TongHop!K1811</f>
        <v>0</v>
      </c>
      <c r="L1811">
        <f>[2]TongHop!L1811</f>
        <v>0</v>
      </c>
      <c r="M1811">
        <f>[2]TongHop!M1811</f>
        <v>0</v>
      </c>
      <c r="N1811">
        <f>[2]TongHop!N1811</f>
        <v>0</v>
      </c>
    </row>
    <row r="1812" spans="1:14">
      <c r="A1812">
        <f>[2]TongHop!A1812</f>
        <v>0</v>
      </c>
      <c r="B1812">
        <f>[2]TongHop!B1812</f>
        <v>0</v>
      </c>
      <c r="C1812">
        <f>[2]TongHop!C1812</f>
        <v>0</v>
      </c>
      <c r="D1812">
        <f>[2]TongHop!D1812</f>
        <v>0</v>
      </c>
      <c r="E1812">
        <f>[2]TongHop!E1812</f>
        <v>0</v>
      </c>
      <c r="F1812">
        <f>[2]TongHop!F1812</f>
        <v>0</v>
      </c>
      <c r="G1812">
        <f>[2]TongHop!G1812</f>
        <v>0</v>
      </c>
      <c r="H1812">
        <f>[2]TongHop!H1812</f>
        <v>0</v>
      </c>
      <c r="I1812">
        <f>[2]TongHop!I1812</f>
        <v>0</v>
      </c>
      <c r="J1812">
        <f>[2]TongHop!J1812</f>
        <v>0</v>
      </c>
      <c r="K1812">
        <f>[2]TongHop!K1812</f>
        <v>0</v>
      </c>
      <c r="L1812">
        <f>[2]TongHop!L1812</f>
        <v>0</v>
      </c>
      <c r="M1812">
        <f>[2]TongHop!M1812</f>
        <v>0</v>
      </c>
      <c r="N1812">
        <f>[2]TongHop!N1812</f>
        <v>0</v>
      </c>
    </row>
    <row r="1813" spans="1:14">
      <c r="A1813">
        <f>[2]TongHop!A1813</f>
        <v>0</v>
      </c>
      <c r="B1813">
        <f>[2]TongHop!B1813</f>
        <v>0</v>
      </c>
      <c r="C1813">
        <f>[2]TongHop!C1813</f>
        <v>0</v>
      </c>
      <c r="D1813">
        <f>[2]TongHop!D1813</f>
        <v>0</v>
      </c>
      <c r="E1813">
        <f>[2]TongHop!E1813</f>
        <v>0</v>
      </c>
      <c r="F1813">
        <f>[2]TongHop!F1813</f>
        <v>0</v>
      </c>
      <c r="G1813">
        <f>[2]TongHop!G1813</f>
        <v>0</v>
      </c>
      <c r="H1813">
        <f>[2]TongHop!H1813</f>
        <v>0</v>
      </c>
      <c r="I1813">
        <f>[2]TongHop!I1813</f>
        <v>0</v>
      </c>
      <c r="J1813">
        <f>[2]TongHop!J1813</f>
        <v>0</v>
      </c>
      <c r="K1813">
        <f>[2]TongHop!K1813</f>
        <v>0</v>
      </c>
      <c r="L1813">
        <f>[2]TongHop!L1813</f>
        <v>0</v>
      </c>
      <c r="M1813">
        <f>[2]TongHop!M1813</f>
        <v>0</v>
      </c>
      <c r="N1813">
        <f>[2]TongHop!N1813</f>
        <v>0</v>
      </c>
    </row>
    <row r="1814" spans="1:14">
      <c r="A1814">
        <f>[2]TongHop!A1814</f>
        <v>0</v>
      </c>
      <c r="B1814">
        <f>[2]TongHop!B1814</f>
        <v>0</v>
      </c>
      <c r="C1814">
        <f>[2]TongHop!C1814</f>
        <v>0</v>
      </c>
      <c r="D1814">
        <f>[2]TongHop!D1814</f>
        <v>0</v>
      </c>
      <c r="E1814">
        <f>[2]TongHop!E1814</f>
        <v>0</v>
      </c>
      <c r="F1814">
        <f>[2]TongHop!F1814</f>
        <v>0</v>
      </c>
      <c r="G1814">
        <f>[2]TongHop!G1814</f>
        <v>0</v>
      </c>
      <c r="H1814">
        <f>[2]TongHop!H1814</f>
        <v>0</v>
      </c>
      <c r="I1814">
        <f>[2]TongHop!I1814</f>
        <v>0</v>
      </c>
      <c r="J1814">
        <f>[2]TongHop!J1814</f>
        <v>0</v>
      </c>
      <c r="K1814">
        <f>[2]TongHop!K1814</f>
        <v>0</v>
      </c>
      <c r="L1814">
        <f>[2]TongHop!L1814</f>
        <v>0</v>
      </c>
      <c r="M1814">
        <f>[2]TongHop!M1814</f>
        <v>0</v>
      </c>
      <c r="N1814">
        <f>[2]TongHop!N1814</f>
        <v>0</v>
      </c>
    </row>
    <row r="1815" spans="1:14">
      <c r="A1815">
        <f>[2]TongHop!A1815</f>
        <v>0</v>
      </c>
      <c r="B1815">
        <f>[2]TongHop!B1815</f>
        <v>0</v>
      </c>
      <c r="C1815">
        <f>[2]TongHop!C1815</f>
        <v>0</v>
      </c>
      <c r="D1815">
        <f>[2]TongHop!D1815</f>
        <v>0</v>
      </c>
      <c r="E1815">
        <f>[2]TongHop!E1815</f>
        <v>0</v>
      </c>
      <c r="F1815">
        <f>[2]TongHop!F1815</f>
        <v>0</v>
      </c>
      <c r="G1815">
        <f>[2]TongHop!G1815</f>
        <v>0</v>
      </c>
      <c r="H1815">
        <f>[2]TongHop!H1815</f>
        <v>0</v>
      </c>
      <c r="I1815">
        <f>[2]TongHop!I1815</f>
        <v>0</v>
      </c>
      <c r="J1815">
        <f>[2]TongHop!J1815</f>
        <v>0</v>
      </c>
      <c r="K1815">
        <f>[2]TongHop!K1815</f>
        <v>0</v>
      </c>
      <c r="L1815">
        <f>[2]TongHop!L1815</f>
        <v>0</v>
      </c>
      <c r="M1815">
        <f>[2]TongHop!M1815</f>
        <v>0</v>
      </c>
      <c r="N1815">
        <f>[2]TongHop!N1815</f>
        <v>0</v>
      </c>
    </row>
    <row r="1816" spans="1:14">
      <c r="A1816">
        <f>[2]TongHop!A1816</f>
        <v>0</v>
      </c>
      <c r="B1816">
        <f>[2]TongHop!B1816</f>
        <v>0</v>
      </c>
      <c r="C1816">
        <f>[2]TongHop!C1816</f>
        <v>0</v>
      </c>
      <c r="D1816">
        <f>[2]TongHop!D1816</f>
        <v>0</v>
      </c>
      <c r="E1816">
        <f>[2]TongHop!E1816</f>
        <v>0</v>
      </c>
      <c r="F1816">
        <f>[2]TongHop!F1816</f>
        <v>0</v>
      </c>
      <c r="G1816">
        <f>[2]TongHop!G1816</f>
        <v>0</v>
      </c>
      <c r="H1816">
        <f>[2]TongHop!H1816</f>
        <v>0</v>
      </c>
      <c r="I1816">
        <f>[2]TongHop!I1816</f>
        <v>0</v>
      </c>
      <c r="J1816">
        <f>[2]TongHop!J1816</f>
        <v>0</v>
      </c>
      <c r="K1816">
        <f>[2]TongHop!K1816</f>
        <v>0</v>
      </c>
      <c r="L1816">
        <f>[2]TongHop!L1816</f>
        <v>0</v>
      </c>
      <c r="M1816">
        <f>[2]TongHop!M1816</f>
        <v>0</v>
      </c>
      <c r="N1816">
        <f>[2]TongHop!N1816</f>
        <v>0</v>
      </c>
    </row>
    <row r="1817" spans="1:14">
      <c r="A1817">
        <f>[2]TongHop!A1817</f>
        <v>0</v>
      </c>
      <c r="B1817">
        <f>[2]TongHop!B1817</f>
        <v>0</v>
      </c>
      <c r="C1817">
        <f>[2]TongHop!C1817</f>
        <v>0</v>
      </c>
      <c r="D1817">
        <f>[2]TongHop!D1817</f>
        <v>0</v>
      </c>
      <c r="E1817">
        <f>[2]TongHop!E1817</f>
        <v>0</v>
      </c>
      <c r="F1817">
        <f>[2]TongHop!F1817</f>
        <v>0</v>
      </c>
      <c r="G1817">
        <f>[2]TongHop!G1817</f>
        <v>0</v>
      </c>
      <c r="H1817">
        <f>[2]TongHop!H1817</f>
        <v>0</v>
      </c>
      <c r="I1817">
        <f>[2]TongHop!I1817</f>
        <v>0</v>
      </c>
      <c r="J1817">
        <f>[2]TongHop!J1817</f>
        <v>0</v>
      </c>
      <c r="K1817">
        <f>[2]TongHop!K1817</f>
        <v>0</v>
      </c>
      <c r="L1817">
        <f>[2]TongHop!L1817</f>
        <v>0</v>
      </c>
      <c r="M1817">
        <f>[2]TongHop!M1817</f>
        <v>0</v>
      </c>
      <c r="N1817">
        <f>[2]TongHop!N1817</f>
        <v>0</v>
      </c>
    </row>
    <row r="1818" spans="1:14">
      <c r="A1818">
        <f>[2]TongHop!A1818</f>
        <v>0</v>
      </c>
      <c r="B1818">
        <f>[2]TongHop!B1818</f>
        <v>0</v>
      </c>
      <c r="C1818">
        <f>[2]TongHop!C1818</f>
        <v>0</v>
      </c>
      <c r="D1818">
        <f>[2]TongHop!D1818</f>
        <v>0</v>
      </c>
      <c r="E1818">
        <f>[2]TongHop!E1818</f>
        <v>0</v>
      </c>
      <c r="F1818">
        <f>[2]TongHop!F1818</f>
        <v>0</v>
      </c>
      <c r="G1818">
        <f>[2]TongHop!G1818</f>
        <v>0</v>
      </c>
      <c r="H1818">
        <f>[2]TongHop!H1818</f>
        <v>0</v>
      </c>
      <c r="I1818">
        <f>[2]TongHop!I1818</f>
        <v>0</v>
      </c>
      <c r="J1818">
        <f>[2]TongHop!J1818</f>
        <v>0</v>
      </c>
      <c r="K1818">
        <f>[2]TongHop!K1818</f>
        <v>0</v>
      </c>
      <c r="L1818">
        <f>[2]TongHop!L1818</f>
        <v>0</v>
      </c>
      <c r="M1818">
        <f>[2]TongHop!M1818</f>
        <v>0</v>
      </c>
      <c r="N1818">
        <f>[2]TongHop!N1818</f>
        <v>0</v>
      </c>
    </row>
    <row r="1819" spans="1:14">
      <c r="A1819">
        <f>[2]TongHop!A1819</f>
        <v>0</v>
      </c>
      <c r="B1819">
        <f>[2]TongHop!B1819</f>
        <v>0</v>
      </c>
      <c r="C1819">
        <f>[2]TongHop!C1819</f>
        <v>0</v>
      </c>
      <c r="D1819">
        <f>[2]TongHop!D1819</f>
        <v>0</v>
      </c>
      <c r="E1819">
        <f>[2]TongHop!E1819</f>
        <v>0</v>
      </c>
      <c r="F1819">
        <f>[2]TongHop!F1819</f>
        <v>0</v>
      </c>
      <c r="G1819">
        <f>[2]TongHop!G1819</f>
        <v>0</v>
      </c>
      <c r="H1819">
        <f>[2]TongHop!H1819</f>
        <v>0</v>
      </c>
      <c r="I1819">
        <f>[2]TongHop!I1819</f>
        <v>0</v>
      </c>
      <c r="J1819">
        <f>[2]TongHop!J1819</f>
        <v>0</v>
      </c>
      <c r="K1819">
        <f>[2]TongHop!K1819</f>
        <v>0</v>
      </c>
      <c r="L1819">
        <f>[2]TongHop!L1819</f>
        <v>0</v>
      </c>
      <c r="M1819">
        <f>[2]TongHop!M1819</f>
        <v>0</v>
      </c>
      <c r="N1819">
        <f>[2]TongHop!N1819</f>
        <v>0</v>
      </c>
    </row>
    <row r="1820" spans="1:14">
      <c r="A1820">
        <f>[2]TongHop!A1820</f>
        <v>0</v>
      </c>
      <c r="B1820">
        <f>[2]TongHop!B1820</f>
        <v>0</v>
      </c>
      <c r="C1820">
        <f>[2]TongHop!C1820</f>
        <v>0</v>
      </c>
      <c r="D1820">
        <f>[2]TongHop!D1820</f>
        <v>0</v>
      </c>
      <c r="E1820">
        <f>[2]TongHop!E1820</f>
        <v>0</v>
      </c>
      <c r="F1820">
        <f>[2]TongHop!F1820</f>
        <v>0</v>
      </c>
      <c r="G1820">
        <f>[2]TongHop!G1820</f>
        <v>0</v>
      </c>
      <c r="H1820">
        <f>[2]TongHop!H1820</f>
        <v>0</v>
      </c>
      <c r="I1820">
        <f>[2]TongHop!I1820</f>
        <v>0</v>
      </c>
      <c r="J1820">
        <f>[2]TongHop!J1820</f>
        <v>0</v>
      </c>
      <c r="K1820">
        <f>[2]TongHop!K1820</f>
        <v>0</v>
      </c>
      <c r="L1820">
        <f>[2]TongHop!L1820</f>
        <v>0</v>
      </c>
      <c r="M1820">
        <f>[2]TongHop!M1820</f>
        <v>0</v>
      </c>
      <c r="N1820">
        <f>[2]TongHop!N1820</f>
        <v>0</v>
      </c>
    </row>
    <row r="1821" spans="1:14">
      <c r="A1821">
        <f>[2]TongHop!A1821</f>
        <v>0</v>
      </c>
      <c r="B1821">
        <f>[2]TongHop!B1821</f>
        <v>0</v>
      </c>
      <c r="C1821">
        <f>[2]TongHop!C1821</f>
        <v>0</v>
      </c>
      <c r="D1821">
        <f>[2]TongHop!D1821</f>
        <v>0</v>
      </c>
      <c r="E1821">
        <f>[2]TongHop!E1821</f>
        <v>0</v>
      </c>
      <c r="F1821">
        <f>[2]TongHop!F1821</f>
        <v>0</v>
      </c>
      <c r="G1821">
        <f>[2]TongHop!G1821</f>
        <v>0</v>
      </c>
      <c r="H1821">
        <f>[2]TongHop!H1821</f>
        <v>0</v>
      </c>
      <c r="I1821">
        <f>[2]TongHop!I1821</f>
        <v>0</v>
      </c>
      <c r="J1821">
        <f>[2]TongHop!J1821</f>
        <v>0</v>
      </c>
      <c r="K1821">
        <f>[2]TongHop!K1821</f>
        <v>0</v>
      </c>
      <c r="L1821">
        <f>[2]TongHop!L1821</f>
        <v>0</v>
      </c>
      <c r="M1821">
        <f>[2]TongHop!M1821</f>
        <v>0</v>
      </c>
      <c r="N1821">
        <f>[2]TongHop!N1821</f>
        <v>0</v>
      </c>
    </row>
    <row r="1822" spans="1:14">
      <c r="A1822">
        <f>[2]TongHop!A1822</f>
        <v>0</v>
      </c>
      <c r="B1822">
        <f>[2]TongHop!B1822</f>
        <v>0</v>
      </c>
      <c r="C1822">
        <f>[2]TongHop!C1822</f>
        <v>0</v>
      </c>
      <c r="D1822">
        <f>[2]TongHop!D1822</f>
        <v>0</v>
      </c>
      <c r="E1822">
        <f>[2]TongHop!E1822</f>
        <v>0</v>
      </c>
      <c r="F1822">
        <f>[2]TongHop!F1822</f>
        <v>0</v>
      </c>
      <c r="G1822">
        <f>[2]TongHop!G1822</f>
        <v>0</v>
      </c>
      <c r="H1822">
        <f>[2]TongHop!H1822</f>
        <v>0</v>
      </c>
      <c r="I1822">
        <f>[2]TongHop!I1822</f>
        <v>0</v>
      </c>
      <c r="J1822">
        <f>[2]TongHop!J1822</f>
        <v>0</v>
      </c>
      <c r="K1822">
        <f>[2]TongHop!K1822</f>
        <v>0</v>
      </c>
      <c r="L1822">
        <f>[2]TongHop!L1822</f>
        <v>0</v>
      </c>
      <c r="M1822">
        <f>[2]TongHop!M1822</f>
        <v>0</v>
      </c>
      <c r="N1822">
        <f>[2]TongHop!N1822</f>
        <v>0</v>
      </c>
    </row>
    <row r="1823" spans="1:14">
      <c r="A1823">
        <f>[2]TongHop!A1823</f>
        <v>0</v>
      </c>
      <c r="B1823">
        <f>[2]TongHop!B1823</f>
        <v>0</v>
      </c>
      <c r="C1823">
        <f>[2]TongHop!C1823</f>
        <v>0</v>
      </c>
      <c r="D1823">
        <f>[2]TongHop!D1823</f>
        <v>0</v>
      </c>
      <c r="E1823">
        <f>[2]TongHop!E1823</f>
        <v>0</v>
      </c>
      <c r="F1823">
        <f>[2]TongHop!F1823</f>
        <v>0</v>
      </c>
      <c r="G1823">
        <f>[2]TongHop!G1823</f>
        <v>0</v>
      </c>
      <c r="H1823">
        <f>[2]TongHop!H1823</f>
        <v>0</v>
      </c>
      <c r="I1823">
        <f>[2]TongHop!I1823</f>
        <v>0</v>
      </c>
      <c r="J1823">
        <f>[2]TongHop!J1823</f>
        <v>0</v>
      </c>
      <c r="K1823">
        <f>[2]TongHop!K1823</f>
        <v>0</v>
      </c>
      <c r="L1823">
        <f>[2]TongHop!L1823</f>
        <v>0</v>
      </c>
      <c r="M1823">
        <f>[2]TongHop!M1823</f>
        <v>0</v>
      </c>
      <c r="N1823">
        <f>[2]TongHop!N1823</f>
        <v>0</v>
      </c>
    </row>
    <row r="1824" spans="1:14">
      <c r="A1824">
        <f>[2]TongHop!A1824</f>
        <v>0</v>
      </c>
      <c r="B1824">
        <f>[2]TongHop!B1824</f>
        <v>0</v>
      </c>
      <c r="C1824">
        <f>[2]TongHop!C1824</f>
        <v>0</v>
      </c>
      <c r="D1824">
        <f>[2]TongHop!D1824</f>
        <v>0</v>
      </c>
      <c r="E1824">
        <f>[2]TongHop!E1824</f>
        <v>0</v>
      </c>
      <c r="F1824">
        <f>[2]TongHop!F1824</f>
        <v>0</v>
      </c>
      <c r="G1824">
        <f>[2]TongHop!G1824</f>
        <v>0</v>
      </c>
      <c r="H1824">
        <f>[2]TongHop!H1824</f>
        <v>0</v>
      </c>
      <c r="I1824">
        <f>[2]TongHop!I1824</f>
        <v>0</v>
      </c>
      <c r="J1824">
        <f>[2]TongHop!J1824</f>
        <v>0</v>
      </c>
      <c r="K1824">
        <f>[2]TongHop!K1824</f>
        <v>0</v>
      </c>
      <c r="L1824">
        <f>[2]TongHop!L1824</f>
        <v>0</v>
      </c>
      <c r="M1824">
        <f>[2]TongHop!M1824</f>
        <v>0</v>
      </c>
      <c r="N1824">
        <f>[2]TongHop!N1824</f>
        <v>0</v>
      </c>
    </row>
    <row r="1825" spans="1:14">
      <c r="A1825">
        <f>[2]TongHop!A1825</f>
        <v>0</v>
      </c>
      <c r="B1825">
        <f>[2]TongHop!B1825</f>
        <v>0</v>
      </c>
      <c r="C1825">
        <f>[2]TongHop!C1825</f>
        <v>0</v>
      </c>
      <c r="D1825">
        <f>[2]TongHop!D1825</f>
        <v>0</v>
      </c>
      <c r="E1825">
        <f>[2]TongHop!E1825</f>
        <v>0</v>
      </c>
      <c r="F1825">
        <f>[2]TongHop!F1825</f>
        <v>0</v>
      </c>
      <c r="G1825">
        <f>[2]TongHop!G1825</f>
        <v>0</v>
      </c>
      <c r="H1825">
        <f>[2]TongHop!H1825</f>
        <v>0</v>
      </c>
      <c r="I1825">
        <f>[2]TongHop!I1825</f>
        <v>0</v>
      </c>
      <c r="J1825">
        <f>[2]TongHop!J1825</f>
        <v>0</v>
      </c>
      <c r="K1825">
        <f>[2]TongHop!K1825</f>
        <v>0</v>
      </c>
      <c r="L1825">
        <f>[2]TongHop!L1825</f>
        <v>0</v>
      </c>
      <c r="M1825">
        <f>[2]TongHop!M1825</f>
        <v>0</v>
      </c>
      <c r="N1825">
        <f>[2]TongHop!N1825</f>
        <v>0</v>
      </c>
    </row>
    <row r="1826" spans="1:14">
      <c r="A1826">
        <f>[2]TongHop!A1826</f>
        <v>0</v>
      </c>
      <c r="B1826">
        <f>[2]TongHop!B1826</f>
        <v>0</v>
      </c>
      <c r="C1826">
        <f>[2]TongHop!C1826</f>
        <v>0</v>
      </c>
      <c r="D1826">
        <f>[2]TongHop!D1826</f>
        <v>0</v>
      </c>
      <c r="E1826">
        <f>[2]TongHop!E1826</f>
        <v>0</v>
      </c>
      <c r="F1826">
        <f>[2]TongHop!F1826</f>
        <v>0</v>
      </c>
      <c r="G1826">
        <f>[2]TongHop!G1826</f>
        <v>0</v>
      </c>
      <c r="H1826">
        <f>[2]TongHop!H1826</f>
        <v>0</v>
      </c>
      <c r="I1826">
        <f>[2]TongHop!I1826</f>
        <v>0</v>
      </c>
      <c r="J1826">
        <f>[2]TongHop!J1826</f>
        <v>0</v>
      </c>
      <c r="K1826">
        <f>[2]TongHop!K1826</f>
        <v>0</v>
      </c>
      <c r="L1826">
        <f>[2]TongHop!L1826</f>
        <v>0</v>
      </c>
      <c r="M1826">
        <f>[2]TongHop!M1826</f>
        <v>0</v>
      </c>
      <c r="N1826">
        <f>[2]TongHop!N1826</f>
        <v>0</v>
      </c>
    </row>
    <row r="1827" spans="1:14">
      <c r="A1827">
        <f>[2]TongHop!A1827</f>
        <v>0</v>
      </c>
      <c r="B1827">
        <f>[2]TongHop!B1827</f>
        <v>0</v>
      </c>
      <c r="C1827">
        <f>[2]TongHop!C1827</f>
        <v>0</v>
      </c>
      <c r="D1827">
        <f>[2]TongHop!D1827</f>
        <v>0</v>
      </c>
      <c r="E1827">
        <f>[2]TongHop!E1827</f>
        <v>0</v>
      </c>
      <c r="F1827">
        <f>[2]TongHop!F1827</f>
        <v>0</v>
      </c>
      <c r="G1827">
        <f>[2]TongHop!G1827</f>
        <v>0</v>
      </c>
      <c r="H1827">
        <f>[2]TongHop!H1827</f>
        <v>0</v>
      </c>
      <c r="I1827">
        <f>[2]TongHop!I1827</f>
        <v>0</v>
      </c>
      <c r="J1827">
        <f>[2]TongHop!J1827</f>
        <v>0</v>
      </c>
      <c r="K1827">
        <f>[2]TongHop!K1827</f>
        <v>0</v>
      </c>
      <c r="L1827">
        <f>[2]TongHop!L1827</f>
        <v>0</v>
      </c>
      <c r="M1827">
        <f>[2]TongHop!M1827</f>
        <v>0</v>
      </c>
      <c r="N1827">
        <f>[2]TongHop!N1827</f>
        <v>0</v>
      </c>
    </row>
    <row r="1828" spans="1:14">
      <c r="A1828">
        <f>[2]TongHop!A1828</f>
        <v>0</v>
      </c>
      <c r="B1828">
        <f>[2]TongHop!B1828</f>
        <v>0</v>
      </c>
      <c r="C1828">
        <f>[2]TongHop!C1828</f>
        <v>0</v>
      </c>
      <c r="D1828">
        <f>[2]TongHop!D1828</f>
        <v>0</v>
      </c>
      <c r="E1828">
        <f>[2]TongHop!E1828</f>
        <v>0</v>
      </c>
      <c r="F1828">
        <f>[2]TongHop!F1828</f>
        <v>0</v>
      </c>
      <c r="G1828">
        <f>[2]TongHop!G1828</f>
        <v>0</v>
      </c>
      <c r="H1828">
        <f>[2]TongHop!H1828</f>
        <v>0</v>
      </c>
      <c r="I1828">
        <f>[2]TongHop!I1828</f>
        <v>0</v>
      </c>
      <c r="J1828">
        <f>[2]TongHop!J1828</f>
        <v>0</v>
      </c>
      <c r="K1828">
        <f>[2]TongHop!K1828</f>
        <v>0</v>
      </c>
      <c r="L1828">
        <f>[2]TongHop!L1828</f>
        <v>0</v>
      </c>
      <c r="M1828">
        <f>[2]TongHop!M1828</f>
        <v>0</v>
      </c>
      <c r="N1828">
        <f>[2]TongHop!N1828</f>
        <v>0</v>
      </c>
    </row>
    <row r="1829" spans="1:14">
      <c r="A1829">
        <f>[2]TongHop!A1829</f>
        <v>0</v>
      </c>
      <c r="B1829">
        <f>[2]TongHop!B1829</f>
        <v>0</v>
      </c>
      <c r="C1829">
        <f>[2]TongHop!C1829</f>
        <v>0</v>
      </c>
      <c r="D1829">
        <f>[2]TongHop!D1829</f>
        <v>0</v>
      </c>
      <c r="E1829">
        <f>[2]TongHop!E1829</f>
        <v>0</v>
      </c>
      <c r="F1829">
        <f>[2]TongHop!F1829</f>
        <v>0</v>
      </c>
      <c r="G1829">
        <f>[2]TongHop!G1829</f>
        <v>0</v>
      </c>
      <c r="H1829">
        <f>[2]TongHop!H1829</f>
        <v>0</v>
      </c>
      <c r="I1829">
        <f>[2]TongHop!I1829</f>
        <v>0</v>
      </c>
      <c r="J1829">
        <f>[2]TongHop!J1829</f>
        <v>0</v>
      </c>
      <c r="K1829">
        <f>[2]TongHop!K1829</f>
        <v>0</v>
      </c>
      <c r="L1829">
        <f>[2]TongHop!L1829</f>
        <v>0</v>
      </c>
      <c r="M1829">
        <f>[2]TongHop!M1829</f>
        <v>0</v>
      </c>
      <c r="N1829">
        <f>[2]TongHop!N1829</f>
        <v>0</v>
      </c>
    </row>
    <row r="1830" spans="1:14">
      <c r="A1830">
        <f>[2]TongHop!A1830</f>
        <v>0</v>
      </c>
      <c r="B1830">
        <f>[2]TongHop!B1830</f>
        <v>0</v>
      </c>
      <c r="C1830">
        <f>[2]TongHop!C1830</f>
        <v>0</v>
      </c>
      <c r="D1830">
        <f>[2]TongHop!D1830</f>
        <v>0</v>
      </c>
      <c r="E1830">
        <f>[2]TongHop!E1830</f>
        <v>0</v>
      </c>
      <c r="F1830">
        <f>[2]TongHop!F1830</f>
        <v>0</v>
      </c>
      <c r="G1830">
        <f>[2]TongHop!G1830</f>
        <v>0</v>
      </c>
      <c r="H1830">
        <f>[2]TongHop!H1830</f>
        <v>0</v>
      </c>
      <c r="I1830">
        <f>[2]TongHop!I1830</f>
        <v>0</v>
      </c>
      <c r="J1830">
        <f>[2]TongHop!J1830</f>
        <v>0</v>
      </c>
      <c r="K1830">
        <f>[2]TongHop!K1830</f>
        <v>0</v>
      </c>
      <c r="L1830">
        <f>[2]TongHop!L1830</f>
        <v>0</v>
      </c>
      <c r="M1830">
        <f>[2]TongHop!M1830</f>
        <v>0</v>
      </c>
      <c r="N1830">
        <f>[2]TongHop!N1830</f>
        <v>0</v>
      </c>
    </row>
    <row r="1831" spans="1:14">
      <c r="A1831">
        <f>[2]TongHop!A1831</f>
        <v>0</v>
      </c>
      <c r="B1831">
        <f>[2]TongHop!B1831</f>
        <v>0</v>
      </c>
      <c r="C1831">
        <f>[2]TongHop!C1831</f>
        <v>0</v>
      </c>
      <c r="D1831">
        <f>[2]TongHop!D1831</f>
        <v>0</v>
      </c>
      <c r="E1831">
        <f>[2]TongHop!E1831</f>
        <v>0</v>
      </c>
      <c r="F1831">
        <f>[2]TongHop!F1831</f>
        <v>0</v>
      </c>
      <c r="G1831">
        <f>[2]TongHop!G1831</f>
        <v>0</v>
      </c>
      <c r="H1831">
        <f>[2]TongHop!H1831</f>
        <v>0</v>
      </c>
      <c r="I1831">
        <f>[2]TongHop!I1831</f>
        <v>0</v>
      </c>
      <c r="J1831">
        <f>[2]TongHop!J1831</f>
        <v>0</v>
      </c>
      <c r="K1831">
        <f>[2]TongHop!K1831</f>
        <v>0</v>
      </c>
      <c r="L1831">
        <f>[2]TongHop!L1831</f>
        <v>0</v>
      </c>
      <c r="M1831">
        <f>[2]TongHop!M1831</f>
        <v>0</v>
      </c>
      <c r="N1831">
        <f>[2]TongHop!N1831</f>
        <v>0</v>
      </c>
    </row>
    <row r="1832" spans="1:14">
      <c r="A1832">
        <f>[2]TongHop!A1832</f>
        <v>0</v>
      </c>
      <c r="B1832">
        <f>[2]TongHop!B1832</f>
        <v>0</v>
      </c>
      <c r="C1832">
        <f>[2]TongHop!C1832</f>
        <v>0</v>
      </c>
      <c r="D1832">
        <f>[2]TongHop!D1832</f>
        <v>0</v>
      </c>
      <c r="E1832">
        <f>[2]TongHop!E1832</f>
        <v>0</v>
      </c>
      <c r="F1832">
        <f>[2]TongHop!F1832</f>
        <v>0</v>
      </c>
      <c r="G1832">
        <f>[2]TongHop!G1832</f>
        <v>0</v>
      </c>
      <c r="H1832">
        <f>[2]TongHop!H1832</f>
        <v>0</v>
      </c>
      <c r="I1832">
        <f>[2]TongHop!I1832</f>
        <v>0</v>
      </c>
      <c r="J1832">
        <f>[2]TongHop!J1832</f>
        <v>0</v>
      </c>
      <c r="K1832">
        <f>[2]TongHop!K1832</f>
        <v>0</v>
      </c>
      <c r="L1832">
        <f>[2]TongHop!L1832</f>
        <v>0</v>
      </c>
      <c r="M1832">
        <f>[2]TongHop!M1832</f>
        <v>0</v>
      </c>
      <c r="N1832">
        <f>[2]TongHop!N1832</f>
        <v>0</v>
      </c>
    </row>
    <row r="1833" spans="1:14">
      <c r="A1833">
        <f>[2]TongHop!A1833</f>
        <v>0</v>
      </c>
      <c r="B1833">
        <f>[2]TongHop!B1833</f>
        <v>0</v>
      </c>
      <c r="C1833">
        <f>[2]TongHop!C1833</f>
        <v>0</v>
      </c>
      <c r="D1833">
        <f>[2]TongHop!D1833</f>
        <v>0</v>
      </c>
      <c r="E1833">
        <f>[2]TongHop!E1833</f>
        <v>0</v>
      </c>
      <c r="F1833">
        <f>[2]TongHop!F1833</f>
        <v>0</v>
      </c>
      <c r="G1833">
        <f>[2]TongHop!G1833</f>
        <v>0</v>
      </c>
      <c r="H1833">
        <f>[2]TongHop!H1833</f>
        <v>0</v>
      </c>
      <c r="I1833">
        <f>[2]TongHop!I1833</f>
        <v>0</v>
      </c>
      <c r="J1833">
        <f>[2]TongHop!J1833</f>
        <v>0</v>
      </c>
      <c r="K1833">
        <f>[2]TongHop!K1833</f>
        <v>0</v>
      </c>
      <c r="L1833">
        <f>[2]TongHop!L1833</f>
        <v>0</v>
      </c>
      <c r="M1833">
        <f>[2]TongHop!M1833</f>
        <v>0</v>
      </c>
      <c r="N1833">
        <f>[2]TongHop!N1833</f>
        <v>0</v>
      </c>
    </row>
    <row r="1834" spans="1:14">
      <c r="A1834">
        <f>[2]TongHop!A1834</f>
        <v>0</v>
      </c>
      <c r="B1834">
        <f>[2]TongHop!B1834</f>
        <v>0</v>
      </c>
      <c r="C1834">
        <f>[2]TongHop!C1834</f>
        <v>0</v>
      </c>
      <c r="D1834">
        <f>[2]TongHop!D1834</f>
        <v>0</v>
      </c>
      <c r="E1834">
        <f>[2]TongHop!E1834</f>
        <v>0</v>
      </c>
      <c r="F1834">
        <f>[2]TongHop!F1834</f>
        <v>0</v>
      </c>
      <c r="G1834">
        <f>[2]TongHop!G1834</f>
        <v>0</v>
      </c>
      <c r="H1834">
        <f>[2]TongHop!H1834</f>
        <v>0</v>
      </c>
      <c r="I1834">
        <f>[2]TongHop!I1834</f>
        <v>0</v>
      </c>
      <c r="J1834">
        <f>[2]TongHop!J1834</f>
        <v>0</v>
      </c>
      <c r="K1834">
        <f>[2]TongHop!K1834</f>
        <v>0</v>
      </c>
      <c r="L1834">
        <f>[2]TongHop!L1834</f>
        <v>0</v>
      </c>
      <c r="M1834">
        <f>[2]TongHop!M1834</f>
        <v>0</v>
      </c>
      <c r="N1834">
        <f>[2]TongHop!N1834</f>
        <v>0</v>
      </c>
    </row>
    <row r="1835" spans="1:14">
      <c r="A1835">
        <f>[2]TongHop!A1835</f>
        <v>0</v>
      </c>
      <c r="B1835">
        <f>[2]TongHop!B1835</f>
        <v>0</v>
      </c>
      <c r="C1835">
        <f>[2]TongHop!C1835</f>
        <v>0</v>
      </c>
      <c r="D1835">
        <f>[2]TongHop!D1835</f>
        <v>0</v>
      </c>
      <c r="E1835">
        <f>[2]TongHop!E1835</f>
        <v>0</v>
      </c>
      <c r="F1835">
        <f>[2]TongHop!F1835</f>
        <v>0</v>
      </c>
      <c r="G1835">
        <f>[2]TongHop!G1835</f>
        <v>0</v>
      </c>
      <c r="H1835">
        <f>[2]TongHop!H1835</f>
        <v>0</v>
      </c>
      <c r="I1835">
        <f>[2]TongHop!I1835</f>
        <v>0</v>
      </c>
      <c r="J1835">
        <f>[2]TongHop!J1835</f>
        <v>0</v>
      </c>
      <c r="K1835">
        <f>[2]TongHop!K1835</f>
        <v>0</v>
      </c>
      <c r="L1835">
        <f>[2]TongHop!L1835</f>
        <v>0</v>
      </c>
      <c r="M1835">
        <f>[2]TongHop!M1835</f>
        <v>0</v>
      </c>
      <c r="N1835">
        <f>[2]TongHop!N1835</f>
        <v>0</v>
      </c>
    </row>
    <row r="1836" spans="1:14">
      <c r="A1836">
        <f>[2]TongHop!A1836</f>
        <v>0</v>
      </c>
      <c r="B1836">
        <f>[2]TongHop!B1836</f>
        <v>0</v>
      </c>
      <c r="C1836">
        <f>[2]TongHop!C1836</f>
        <v>0</v>
      </c>
      <c r="D1836">
        <f>[2]TongHop!D1836</f>
        <v>0</v>
      </c>
      <c r="E1836">
        <f>[2]TongHop!E1836</f>
        <v>0</v>
      </c>
      <c r="F1836">
        <f>[2]TongHop!F1836</f>
        <v>0</v>
      </c>
      <c r="G1836">
        <f>[2]TongHop!G1836</f>
        <v>0</v>
      </c>
      <c r="H1836">
        <f>[2]TongHop!H1836</f>
        <v>0</v>
      </c>
      <c r="I1836">
        <f>[2]TongHop!I1836</f>
        <v>0</v>
      </c>
      <c r="J1836">
        <f>[2]TongHop!J1836</f>
        <v>0</v>
      </c>
      <c r="K1836">
        <f>[2]TongHop!K1836</f>
        <v>0</v>
      </c>
      <c r="L1836">
        <f>[2]TongHop!L1836</f>
        <v>0</v>
      </c>
      <c r="M1836">
        <f>[2]TongHop!M1836</f>
        <v>0</v>
      </c>
      <c r="N1836">
        <f>[2]TongHop!N1836</f>
        <v>0</v>
      </c>
    </row>
    <row r="1837" spans="1:14">
      <c r="A1837">
        <f>[2]TongHop!A1837</f>
        <v>0</v>
      </c>
      <c r="B1837">
        <f>[2]TongHop!B1837</f>
        <v>0</v>
      </c>
      <c r="C1837">
        <f>[2]TongHop!C1837</f>
        <v>0</v>
      </c>
      <c r="D1837">
        <f>[2]TongHop!D1837</f>
        <v>0</v>
      </c>
      <c r="E1837">
        <f>[2]TongHop!E1837</f>
        <v>0</v>
      </c>
      <c r="F1837">
        <f>[2]TongHop!F1837</f>
        <v>0</v>
      </c>
      <c r="G1837">
        <f>[2]TongHop!G1837</f>
        <v>0</v>
      </c>
      <c r="H1837">
        <f>[2]TongHop!H1837</f>
        <v>0</v>
      </c>
      <c r="I1837">
        <f>[2]TongHop!I1837</f>
        <v>0</v>
      </c>
      <c r="J1837">
        <f>[2]TongHop!J1837</f>
        <v>0</v>
      </c>
      <c r="K1837">
        <f>[2]TongHop!K1837</f>
        <v>0</v>
      </c>
      <c r="L1837">
        <f>[2]TongHop!L1837</f>
        <v>0</v>
      </c>
      <c r="M1837">
        <f>[2]TongHop!M1837</f>
        <v>0</v>
      </c>
      <c r="N1837">
        <f>[2]TongHop!N1837</f>
        <v>0</v>
      </c>
    </row>
    <row r="1838" spans="1:14">
      <c r="A1838">
        <f>[2]TongHop!A1838</f>
        <v>0</v>
      </c>
      <c r="B1838">
        <f>[2]TongHop!B1838</f>
        <v>0</v>
      </c>
      <c r="C1838">
        <f>[2]TongHop!C1838</f>
        <v>0</v>
      </c>
      <c r="D1838">
        <f>[2]TongHop!D1838</f>
        <v>0</v>
      </c>
      <c r="E1838">
        <f>[2]TongHop!E1838</f>
        <v>0</v>
      </c>
      <c r="F1838">
        <f>[2]TongHop!F1838</f>
        <v>0</v>
      </c>
      <c r="G1838">
        <f>[2]TongHop!G1838</f>
        <v>0</v>
      </c>
      <c r="H1838">
        <f>[2]TongHop!H1838</f>
        <v>0</v>
      </c>
      <c r="I1838">
        <f>[2]TongHop!I1838</f>
        <v>0</v>
      </c>
      <c r="J1838">
        <f>[2]TongHop!J1838</f>
        <v>0</v>
      </c>
      <c r="K1838">
        <f>[2]TongHop!K1838</f>
        <v>0</v>
      </c>
      <c r="L1838">
        <f>[2]TongHop!L1838</f>
        <v>0</v>
      </c>
      <c r="M1838">
        <f>[2]TongHop!M1838</f>
        <v>0</v>
      </c>
      <c r="N1838">
        <f>[2]TongHop!N1838</f>
        <v>0</v>
      </c>
    </row>
    <row r="1839" spans="1:14">
      <c r="A1839">
        <f>[2]TongHop!A1839</f>
        <v>0</v>
      </c>
      <c r="B1839">
        <f>[2]TongHop!B1839</f>
        <v>0</v>
      </c>
      <c r="C1839">
        <f>[2]TongHop!C1839</f>
        <v>0</v>
      </c>
      <c r="D1839">
        <f>[2]TongHop!D1839</f>
        <v>0</v>
      </c>
      <c r="E1839">
        <f>[2]TongHop!E1839</f>
        <v>0</v>
      </c>
      <c r="F1839">
        <f>[2]TongHop!F1839</f>
        <v>0</v>
      </c>
      <c r="G1839">
        <f>[2]TongHop!G1839</f>
        <v>0</v>
      </c>
      <c r="H1839">
        <f>[2]TongHop!H1839</f>
        <v>0</v>
      </c>
      <c r="I1839">
        <f>[2]TongHop!I1839</f>
        <v>0</v>
      </c>
      <c r="J1839">
        <f>[2]TongHop!J1839</f>
        <v>0</v>
      </c>
      <c r="K1839">
        <f>[2]TongHop!K1839</f>
        <v>0</v>
      </c>
      <c r="L1839">
        <f>[2]TongHop!L1839</f>
        <v>0</v>
      </c>
      <c r="M1839">
        <f>[2]TongHop!M1839</f>
        <v>0</v>
      </c>
      <c r="N1839">
        <f>[2]TongHop!N1839</f>
        <v>0</v>
      </c>
    </row>
    <row r="1840" spans="1:14">
      <c r="A1840">
        <f>[2]TongHop!A1840</f>
        <v>0</v>
      </c>
      <c r="B1840">
        <f>[2]TongHop!B1840</f>
        <v>0</v>
      </c>
      <c r="C1840">
        <f>[2]TongHop!C1840</f>
        <v>0</v>
      </c>
      <c r="D1840">
        <f>[2]TongHop!D1840</f>
        <v>0</v>
      </c>
      <c r="E1840">
        <f>[2]TongHop!E1840</f>
        <v>0</v>
      </c>
      <c r="F1840">
        <f>[2]TongHop!F1840</f>
        <v>0</v>
      </c>
      <c r="G1840">
        <f>[2]TongHop!G1840</f>
        <v>0</v>
      </c>
      <c r="H1840">
        <f>[2]TongHop!H1840</f>
        <v>0</v>
      </c>
      <c r="I1840">
        <f>[2]TongHop!I1840</f>
        <v>0</v>
      </c>
      <c r="J1840">
        <f>[2]TongHop!J1840</f>
        <v>0</v>
      </c>
      <c r="K1840">
        <f>[2]TongHop!K1840</f>
        <v>0</v>
      </c>
      <c r="L1840">
        <f>[2]TongHop!L1840</f>
        <v>0</v>
      </c>
      <c r="M1840">
        <f>[2]TongHop!M1840</f>
        <v>0</v>
      </c>
      <c r="N1840">
        <f>[2]TongHop!N1840</f>
        <v>0</v>
      </c>
    </row>
    <row r="1841" spans="1:14">
      <c r="A1841">
        <f>[2]TongHop!A1841</f>
        <v>0</v>
      </c>
      <c r="B1841">
        <f>[2]TongHop!B1841</f>
        <v>0</v>
      </c>
      <c r="C1841">
        <f>[2]TongHop!C1841</f>
        <v>0</v>
      </c>
      <c r="D1841">
        <f>[2]TongHop!D1841</f>
        <v>0</v>
      </c>
      <c r="E1841">
        <f>[2]TongHop!E1841</f>
        <v>0</v>
      </c>
      <c r="F1841">
        <f>[2]TongHop!F1841</f>
        <v>0</v>
      </c>
      <c r="G1841">
        <f>[2]TongHop!G1841</f>
        <v>0</v>
      </c>
      <c r="H1841">
        <f>[2]TongHop!H1841</f>
        <v>0</v>
      </c>
      <c r="I1841">
        <f>[2]TongHop!I1841</f>
        <v>0</v>
      </c>
      <c r="J1841">
        <f>[2]TongHop!J1841</f>
        <v>0</v>
      </c>
      <c r="K1841">
        <f>[2]TongHop!K1841</f>
        <v>0</v>
      </c>
      <c r="L1841">
        <f>[2]TongHop!L1841</f>
        <v>0</v>
      </c>
      <c r="M1841">
        <f>[2]TongHop!M1841</f>
        <v>0</v>
      </c>
      <c r="N1841">
        <f>[2]TongHop!N1841</f>
        <v>0</v>
      </c>
    </row>
    <row r="1842" spans="1:14">
      <c r="A1842">
        <f>[2]TongHop!A1842</f>
        <v>0</v>
      </c>
      <c r="B1842">
        <f>[2]TongHop!B1842</f>
        <v>0</v>
      </c>
      <c r="C1842">
        <f>[2]TongHop!C1842</f>
        <v>0</v>
      </c>
      <c r="D1842">
        <f>[2]TongHop!D1842</f>
        <v>0</v>
      </c>
      <c r="E1842">
        <f>[2]TongHop!E1842</f>
        <v>0</v>
      </c>
      <c r="F1842">
        <f>[2]TongHop!F1842</f>
        <v>0</v>
      </c>
      <c r="G1842">
        <f>[2]TongHop!G1842</f>
        <v>0</v>
      </c>
      <c r="H1842">
        <f>[2]TongHop!H1842</f>
        <v>0</v>
      </c>
      <c r="I1842">
        <f>[2]TongHop!I1842</f>
        <v>0</v>
      </c>
      <c r="J1842">
        <f>[2]TongHop!J1842</f>
        <v>0</v>
      </c>
      <c r="K1842">
        <f>[2]TongHop!K1842</f>
        <v>0</v>
      </c>
      <c r="L1842">
        <f>[2]TongHop!L1842</f>
        <v>0</v>
      </c>
      <c r="M1842">
        <f>[2]TongHop!M1842</f>
        <v>0</v>
      </c>
      <c r="N1842">
        <f>[2]TongHop!N1842</f>
        <v>0</v>
      </c>
    </row>
    <row r="1843" spans="1:14">
      <c r="A1843">
        <f>[2]TongHop!A1843</f>
        <v>0</v>
      </c>
      <c r="B1843">
        <f>[2]TongHop!B1843</f>
        <v>0</v>
      </c>
      <c r="C1843">
        <f>[2]TongHop!C1843</f>
        <v>0</v>
      </c>
      <c r="D1843">
        <f>[2]TongHop!D1843</f>
        <v>0</v>
      </c>
      <c r="E1843">
        <f>[2]TongHop!E1843</f>
        <v>0</v>
      </c>
      <c r="F1843">
        <f>[2]TongHop!F1843</f>
        <v>0</v>
      </c>
      <c r="G1843">
        <f>[2]TongHop!G1843</f>
        <v>0</v>
      </c>
      <c r="H1843">
        <f>[2]TongHop!H1843</f>
        <v>0</v>
      </c>
      <c r="I1843">
        <f>[2]TongHop!I1843</f>
        <v>0</v>
      </c>
      <c r="J1843">
        <f>[2]TongHop!J1843</f>
        <v>0</v>
      </c>
      <c r="K1843">
        <f>[2]TongHop!K1843</f>
        <v>0</v>
      </c>
      <c r="L1843">
        <f>[2]TongHop!L1843</f>
        <v>0</v>
      </c>
      <c r="M1843">
        <f>[2]TongHop!M1843</f>
        <v>0</v>
      </c>
      <c r="N1843">
        <f>[2]TongHop!N1843</f>
        <v>0</v>
      </c>
    </row>
    <row r="1844" spans="1:14">
      <c r="A1844">
        <f>[2]TongHop!A1844</f>
        <v>0</v>
      </c>
      <c r="B1844">
        <f>[2]TongHop!B1844</f>
        <v>0</v>
      </c>
      <c r="C1844">
        <f>[2]TongHop!C1844</f>
        <v>0</v>
      </c>
      <c r="D1844">
        <f>[2]TongHop!D1844</f>
        <v>0</v>
      </c>
      <c r="E1844">
        <f>[2]TongHop!E1844</f>
        <v>0</v>
      </c>
      <c r="F1844">
        <f>[2]TongHop!F1844</f>
        <v>0</v>
      </c>
      <c r="G1844">
        <f>[2]TongHop!G1844</f>
        <v>0</v>
      </c>
      <c r="H1844">
        <f>[2]TongHop!H1844</f>
        <v>0</v>
      </c>
      <c r="I1844">
        <f>[2]TongHop!I1844</f>
        <v>0</v>
      </c>
      <c r="J1844">
        <f>[2]TongHop!J1844</f>
        <v>0</v>
      </c>
      <c r="K1844">
        <f>[2]TongHop!K1844</f>
        <v>0</v>
      </c>
      <c r="L1844">
        <f>[2]TongHop!L1844</f>
        <v>0</v>
      </c>
      <c r="M1844">
        <f>[2]TongHop!M1844</f>
        <v>0</v>
      </c>
      <c r="N1844">
        <f>[2]TongHop!N1844</f>
        <v>0</v>
      </c>
    </row>
    <row r="1845" spans="1:14">
      <c r="A1845">
        <f>[2]TongHop!A1845</f>
        <v>0</v>
      </c>
      <c r="B1845">
        <f>[2]TongHop!B1845</f>
        <v>0</v>
      </c>
      <c r="C1845">
        <f>[2]TongHop!C1845</f>
        <v>0</v>
      </c>
      <c r="D1845">
        <f>[2]TongHop!D1845</f>
        <v>0</v>
      </c>
      <c r="E1845">
        <f>[2]TongHop!E1845</f>
        <v>0</v>
      </c>
      <c r="F1845">
        <f>[2]TongHop!F1845</f>
        <v>0</v>
      </c>
      <c r="G1845">
        <f>[2]TongHop!G1845</f>
        <v>0</v>
      </c>
      <c r="H1845">
        <f>[2]TongHop!H1845</f>
        <v>0</v>
      </c>
      <c r="I1845">
        <f>[2]TongHop!I1845</f>
        <v>0</v>
      </c>
      <c r="J1845">
        <f>[2]TongHop!J1845</f>
        <v>0</v>
      </c>
      <c r="K1845">
        <f>[2]TongHop!K1845</f>
        <v>0</v>
      </c>
      <c r="L1845">
        <f>[2]TongHop!L1845</f>
        <v>0</v>
      </c>
      <c r="M1845">
        <f>[2]TongHop!M1845</f>
        <v>0</v>
      </c>
      <c r="N1845">
        <f>[2]TongHop!N1845</f>
        <v>0</v>
      </c>
    </row>
    <row r="1846" spans="1:14">
      <c r="A1846">
        <f>[2]TongHop!A1846</f>
        <v>0</v>
      </c>
      <c r="B1846">
        <f>[2]TongHop!B1846</f>
        <v>0</v>
      </c>
      <c r="C1846">
        <f>[2]TongHop!C1846</f>
        <v>0</v>
      </c>
      <c r="D1846">
        <f>[2]TongHop!D1846</f>
        <v>0</v>
      </c>
      <c r="E1846">
        <f>[2]TongHop!E1846</f>
        <v>0</v>
      </c>
      <c r="F1846">
        <f>[2]TongHop!F1846</f>
        <v>0</v>
      </c>
      <c r="G1846">
        <f>[2]TongHop!G1846</f>
        <v>0</v>
      </c>
      <c r="H1846">
        <f>[2]TongHop!H1846</f>
        <v>0</v>
      </c>
      <c r="I1846">
        <f>[2]TongHop!I1846</f>
        <v>0</v>
      </c>
      <c r="J1846">
        <f>[2]TongHop!J1846</f>
        <v>0</v>
      </c>
      <c r="K1846">
        <f>[2]TongHop!K1846</f>
        <v>0</v>
      </c>
      <c r="L1846">
        <f>[2]TongHop!L1846</f>
        <v>0</v>
      </c>
      <c r="M1846">
        <f>[2]TongHop!M1846</f>
        <v>0</v>
      </c>
      <c r="N1846">
        <f>[2]TongHop!N1846</f>
        <v>0</v>
      </c>
    </row>
    <row r="1847" spans="1:14">
      <c r="A1847">
        <f>[2]TongHop!A1847</f>
        <v>0</v>
      </c>
      <c r="B1847">
        <f>[2]TongHop!B1847</f>
        <v>0</v>
      </c>
      <c r="C1847">
        <f>[2]TongHop!C1847</f>
        <v>0</v>
      </c>
      <c r="D1847">
        <f>[2]TongHop!D1847</f>
        <v>0</v>
      </c>
      <c r="E1847">
        <f>[2]TongHop!E1847</f>
        <v>0</v>
      </c>
      <c r="F1847">
        <f>[2]TongHop!F1847</f>
        <v>0</v>
      </c>
      <c r="G1847">
        <f>[2]TongHop!G1847</f>
        <v>0</v>
      </c>
      <c r="H1847">
        <f>[2]TongHop!H1847</f>
        <v>0</v>
      </c>
      <c r="I1847">
        <f>[2]TongHop!I1847</f>
        <v>0</v>
      </c>
      <c r="J1847">
        <f>[2]TongHop!J1847</f>
        <v>0</v>
      </c>
      <c r="K1847">
        <f>[2]TongHop!K1847</f>
        <v>0</v>
      </c>
      <c r="L1847">
        <f>[2]TongHop!L1847</f>
        <v>0</v>
      </c>
      <c r="M1847">
        <f>[2]TongHop!M1847</f>
        <v>0</v>
      </c>
      <c r="N1847">
        <f>[2]TongHop!N1847</f>
        <v>0</v>
      </c>
    </row>
    <row r="1848" spans="1:14">
      <c r="A1848">
        <f>[2]TongHop!A1848</f>
        <v>0</v>
      </c>
      <c r="B1848">
        <f>[2]TongHop!B1848</f>
        <v>0</v>
      </c>
      <c r="C1848">
        <f>[2]TongHop!C1848</f>
        <v>0</v>
      </c>
      <c r="D1848">
        <f>[2]TongHop!D1848</f>
        <v>0</v>
      </c>
      <c r="E1848">
        <f>[2]TongHop!E1848</f>
        <v>0</v>
      </c>
      <c r="F1848">
        <f>[2]TongHop!F1848</f>
        <v>0</v>
      </c>
      <c r="G1848">
        <f>[2]TongHop!G1848</f>
        <v>0</v>
      </c>
      <c r="H1848">
        <f>[2]TongHop!H1848</f>
        <v>0</v>
      </c>
      <c r="I1848">
        <f>[2]TongHop!I1848</f>
        <v>0</v>
      </c>
      <c r="J1848">
        <f>[2]TongHop!J1848</f>
        <v>0</v>
      </c>
      <c r="K1848">
        <f>[2]TongHop!K1848</f>
        <v>0</v>
      </c>
      <c r="L1848">
        <f>[2]TongHop!L1848</f>
        <v>0</v>
      </c>
      <c r="M1848">
        <f>[2]TongHop!M1848</f>
        <v>0</v>
      </c>
      <c r="N1848">
        <f>[2]TongHop!N1848</f>
        <v>0</v>
      </c>
    </row>
    <row r="1849" spans="1:14">
      <c r="A1849">
        <f>[2]TongHop!A1849</f>
        <v>0</v>
      </c>
      <c r="B1849">
        <f>[2]TongHop!B1849</f>
        <v>0</v>
      </c>
      <c r="C1849">
        <f>[2]TongHop!C1849</f>
        <v>0</v>
      </c>
      <c r="D1849">
        <f>[2]TongHop!D1849</f>
        <v>0</v>
      </c>
      <c r="E1849">
        <f>[2]TongHop!E1849</f>
        <v>0</v>
      </c>
      <c r="F1849">
        <f>[2]TongHop!F1849</f>
        <v>0</v>
      </c>
      <c r="G1849">
        <f>[2]TongHop!G1849</f>
        <v>0</v>
      </c>
      <c r="H1849">
        <f>[2]TongHop!H1849</f>
        <v>0</v>
      </c>
      <c r="I1849">
        <f>[2]TongHop!I1849</f>
        <v>0</v>
      </c>
      <c r="J1849">
        <f>[2]TongHop!J1849</f>
        <v>0</v>
      </c>
      <c r="K1849">
        <f>[2]TongHop!K1849</f>
        <v>0</v>
      </c>
      <c r="L1849">
        <f>[2]TongHop!L1849</f>
        <v>0</v>
      </c>
      <c r="M1849">
        <f>[2]TongHop!M1849</f>
        <v>0</v>
      </c>
      <c r="N1849">
        <f>[2]TongHop!N1849</f>
        <v>0</v>
      </c>
    </row>
    <row r="1850" spans="1:14">
      <c r="A1850">
        <f>[2]TongHop!A1850</f>
        <v>0</v>
      </c>
      <c r="B1850">
        <f>[2]TongHop!B1850</f>
        <v>0</v>
      </c>
      <c r="C1850">
        <f>[2]TongHop!C1850</f>
        <v>0</v>
      </c>
      <c r="D1850">
        <f>[2]TongHop!D1850</f>
        <v>0</v>
      </c>
      <c r="E1850">
        <f>[2]TongHop!E1850</f>
        <v>0</v>
      </c>
      <c r="F1850">
        <f>[2]TongHop!F1850</f>
        <v>0</v>
      </c>
      <c r="G1850">
        <f>[2]TongHop!G1850</f>
        <v>0</v>
      </c>
      <c r="H1850">
        <f>[2]TongHop!H1850</f>
        <v>0</v>
      </c>
      <c r="I1850">
        <f>[2]TongHop!I1850</f>
        <v>0</v>
      </c>
      <c r="J1850">
        <f>[2]TongHop!J1850</f>
        <v>0</v>
      </c>
      <c r="K1850">
        <f>[2]TongHop!K1850</f>
        <v>0</v>
      </c>
      <c r="L1850">
        <f>[2]TongHop!L1850</f>
        <v>0</v>
      </c>
      <c r="M1850">
        <f>[2]TongHop!M1850</f>
        <v>0</v>
      </c>
      <c r="N1850">
        <f>[2]TongHop!N1850</f>
        <v>0</v>
      </c>
    </row>
    <row r="1851" spans="1:14">
      <c r="A1851">
        <f>[2]TongHop!A1851</f>
        <v>0</v>
      </c>
      <c r="B1851">
        <f>[2]TongHop!B1851</f>
        <v>0</v>
      </c>
      <c r="C1851">
        <f>[2]TongHop!C1851</f>
        <v>0</v>
      </c>
      <c r="D1851">
        <f>[2]TongHop!D1851</f>
        <v>0</v>
      </c>
      <c r="E1851">
        <f>[2]TongHop!E1851</f>
        <v>0</v>
      </c>
      <c r="F1851">
        <f>[2]TongHop!F1851</f>
        <v>0</v>
      </c>
      <c r="G1851">
        <f>[2]TongHop!G1851</f>
        <v>0</v>
      </c>
      <c r="H1851">
        <f>[2]TongHop!H1851</f>
        <v>0</v>
      </c>
      <c r="I1851">
        <f>[2]TongHop!I1851</f>
        <v>0</v>
      </c>
      <c r="J1851">
        <f>[2]TongHop!J1851</f>
        <v>0</v>
      </c>
      <c r="K1851">
        <f>[2]TongHop!K1851</f>
        <v>0</v>
      </c>
      <c r="L1851">
        <f>[2]TongHop!L1851</f>
        <v>0</v>
      </c>
      <c r="M1851">
        <f>[2]TongHop!M1851</f>
        <v>0</v>
      </c>
      <c r="N1851">
        <f>[2]TongHop!N1851</f>
        <v>0</v>
      </c>
    </row>
    <row r="1852" spans="1:14">
      <c r="A1852">
        <f>[2]TongHop!A1852</f>
        <v>0</v>
      </c>
      <c r="B1852">
        <f>[2]TongHop!B1852</f>
        <v>0</v>
      </c>
      <c r="C1852">
        <f>[2]TongHop!C1852</f>
        <v>0</v>
      </c>
      <c r="D1852">
        <f>[2]TongHop!D1852</f>
        <v>0</v>
      </c>
      <c r="E1852">
        <f>[2]TongHop!E1852</f>
        <v>0</v>
      </c>
      <c r="F1852">
        <f>[2]TongHop!F1852</f>
        <v>0</v>
      </c>
      <c r="G1852">
        <f>[2]TongHop!G1852</f>
        <v>0</v>
      </c>
      <c r="H1852">
        <f>[2]TongHop!H1852</f>
        <v>0</v>
      </c>
      <c r="I1852">
        <f>[2]TongHop!I1852</f>
        <v>0</v>
      </c>
      <c r="J1852">
        <f>[2]TongHop!J1852</f>
        <v>0</v>
      </c>
      <c r="K1852">
        <f>[2]TongHop!K1852</f>
        <v>0</v>
      </c>
      <c r="L1852">
        <f>[2]TongHop!L1852</f>
        <v>0</v>
      </c>
      <c r="M1852">
        <f>[2]TongHop!M1852</f>
        <v>0</v>
      </c>
      <c r="N1852">
        <f>[2]TongHop!N1852</f>
        <v>0</v>
      </c>
    </row>
    <row r="1853" spans="1:14">
      <c r="A1853">
        <f>[2]TongHop!A1853</f>
        <v>0</v>
      </c>
      <c r="B1853">
        <f>[2]TongHop!B1853</f>
        <v>0</v>
      </c>
      <c r="C1853">
        <f>[2]TongHop!C1853</f>
        <v>0</v>
      </c>
      <c r="D1853">
        <f>[2]TongHop!D1853</f>
        <v>0</v>
      </c>
      <c r="E1853">
        <f>[2]TongHop!E1853</f>
        <v>0</v>
      </c>
      <c r="F1853">
        <f>[2]TongHop!F1853</f>
        <v>0</v>
      </c>
      <c r="G1853">
        <f>[2]TongHop!G1853</f>
        <v>0</v>
      </c>
      <c r="H1853">
        <f>[2]TongHop!H1853</f>
        <v>0</v>
      </c>
      <c r="I1853">
        <f>[2]TongHop!I1853</f>
        <v>0</v>
      </c>
      <c r="J1853">
        <f>[2]TongHop!J1853</f>
        <v>0</v>
      </c>
      <c r="K1853">
        <f>[2]TongHop!K1853</f>
        <v>0</v>
      </c>
      <c r="L1853">
        <f>[2]TongHop!L1853</f>
        <v>0</v>
      </c>
      <c r="M1853">
        <f>[2]TongHop!M1853</f>
        <v>0</v>
      </c>
      <c r="N1853">
        <f>[2]TongHop!N1853</f>
        <v>0</v>
      </c>
    </row>
    <row r="1854" spans="1:14">
      <c r="A1854">
        <f>[2]TongHop!A1854</f>
        <v>0</v>
      </c>
      <c r="B1854">
        <f>[2]TongHop!B1854</f>
        <v>0</v>
      </c>
      <c r="C1854">
        <f>[2]TongHop!C1854</f>
        <v>0</v>
      </c>
      <c r="D1854">
        <f>[2]TongHop!D1854</f>
        <v>0</v>
      </c>
      <c r="E1854">
        <f>[2]TongHop!E1854</f>
        <v>0</v>
      </c>
      <c r="F1854">
        <f>[2]TongHop!F1854</f>
        <v>0</v>
      </c>
      <c r="G1854">
        <f>[2]TongHop!G1854</f>
        <v>0</v>
      </c>
      <c r="H1854">
        <f>[2]TongHop!H1854</f>
        <v>0</v>
      </c>
      <c r="I1854">
        <f>[2]TongHop!I1854</f>
        <v>0</v>
      </c>
      <c r="J1854">
        <f>[2]TongHop!J1854</f>
        <v>0</v>
      </c>
      <c r="K1854">
        <f>[2]TongHop!K1854</f>
        <v>0</v>
      </c>
      <c r="L1854">
        <f>[2]TongHop!L1854</f>
        <v>0</v>
      </c>
      <c r="M1854">
        <f>[2]TongHop!M1854</f>
        <v>0</v>
      </c>
      <c r="N1854">
        <f>[2]TongHop!N1854</f>
        <v>0</v>
      </c>
    </row>
    <row r="1855" spans="1:14">
      <c r="A1855">
        <f>[2]TongHop!A1855</f>
        <v>0</v>
      </c>
      <c r="B1855">
        <f>[2]TongHop!B1855</f>
        <v>0</v>
      </c>
      <c r="C1855">
        <f>[2]TongHop!C1855</f>
        <v>0</v>
      </c>
      <c r="D1855">
        <f>[2]TongHop!D1855</f>
        <v>0</v>
      </c>
      <c r="E1855">
        <f>[2]TongHop!E1855</f>
        <v>0</v>
      </c>
      <c r="F1855">
        <f>[2]TongHop!F1855</f>
        <v>0</v>
      </c>
      <c r="G1855">
        <f>[2]TongHop!G1855</f>
        <v>0</v>
      </c>
      <c r="H1855">
        <f>[2]TongHop!H1855</f>
        <v>0</v>
      </c>
      <c r="I1855">
        <f>[2]TongHop!I1855</f>
        <v>0</v>
      </c>
      <c r="J1855">
        <f>[2]TongHop!J1855</f>
        <v>0</v>
      </c>
      <c r="K1855">
        <f>[2]TongHop!K1855</f>
        <v>0</v>
      </c>
      <c r="L1855">
        <f>[2]TongHop!L1855</f>
        <v>0</v>
      </c>
      <c r="M1855">
        <f>[2]TongHop!M1855</f>
        <v>0</v>
      </c>
      <c r="N1855">
        <f>[2]TongHop!N1855</f>
        <v>0</v>
      </c>
    </row>
    <row r="1856" spans="1:14">
      <c r="A1856">
        <f>[2]TongHop!A1856</f>
        <v>0</v>
      </c>
      <c r="B1856">
        <f>[2]TongHop!B1856</f>
        <v>0</v>
      </c>
      <c r="C1856">
        <f>[2]TongHop!C1856</f>
        <v>0</v>
      </c>
      <c r="D1856">
        <f>[2]TongHop!D1856</f>
        <v>0</v>
      </c>
      <c r="E1856">
        <f>[2]TongHop!E1856</f>
        <v>0</v>
      </c>
      <c r="F1856">
        <f>[2]TongHop!F1856</f>
        <v>0</v>
      </c>
      <c r="G1856">
        <f>[2]TongHop!G1856</f>
        <v>0</v>
      </c>
      <c r="H1856">
        <f>[2]TongHop!H1856</f>
        <v>0</v>
      </c>
      <c r="I1856">
        <f>[2]TongHop!I1856</f>
        <v>0</v>
      </c>
      <c r="J1856">
        <f>[2]TongHop!J1856</f>
        <v>0</v>
      </c>
      <c r="K1856">
        <f>[2]TongHop!K1856</f>
        <v>0</v>
      </c>
      <c r="L1856">
        <f>[2]TongHop!L1856</f>
        <v>0</v>
      </c>
      <c r="M1856">
        <f>[2]TongHop!M1856</f>
        <v>0</v>
      </c>
      <c r="N1856">
        <f>[2]TongHop!N1856</f>
        <v>0</v>
      </c>
    </row>
    <row r="1857" spans="1:14">
      <c r="A1857">
        <f>[2]TongHop!A1857</f>
        <v>0</v>
      </c>
      <c r="B1857">
        <f>[2]TongHop!B1857</f>
        <v>0</v>
      </c>
      <c r="C1857">
        <f>[2]TongHop!C1857</f>
        <v>0</v>
      </c>
      <c r="D1857">
        <f>[2]TongHop!D1857</f>
        <v>0</v>
      </c>
      <c r="E1857">
        <f>[2]TongHop!E1857</f>
        <v>0</v>
      </c>
      <c r="F1857">
        <f>[2]TongHop!F1857</f>
        <v>0</v>
      </c>
      <c r="G1857">
        <f>[2]TongHop!G1857</f>
        <v>0</v>
      </c>
      <c r="H1857">
        <f>[2]TongHop!H1857</f>
        <v>0</v>
      </c>
      <c r="I1857">
        <f>[2]TongHop!I1857</f>
        <v>0</v>
      </c>
      <c r="J1857">
        <f>[2]TongHop!J1857</f>
        <v>0</v>
      </c>
      <c r="K1857">
        <f>[2]TongHop!K1857</f>
        <v>0</v>
      </c>
      <c r="L1857">
        <f>[2]TongHop!L1857</f>
        <v>0</v>
      </c>
      <c r="M1857">
        <f>[2]TongHop!M1857</f>
        <v>0</v>
      </c>
      <c r="N1857">
        <f>[2]TongHop!N1857</f>
        <v>0</v>
      </c>
    </row>
    <row r="1858" spans="1:14">
      <c r="A1858">
        <f>[2]TongHop!A1858</f>
        <v>0</v>
      </c>
      <c r="B1858">
        <f>[2]TongHop!B1858</f>
        <v>0</v>
      </c>
      <c r="C1858">
        <f>[2]TongHop!C1858</f>
        <v>0</v>
      </c>
      <c r="D1858">
        <f>[2]TongHop!D1858</f>
        <v>0</v>
      </c>
      <c r="E1858">
        <f>[2]TongHop!E1858</f>
        <v>0</v>
      </c>
      <c r="F1858">
        <f>[2]TongHop!F1858</f>
        <v>0</v>
      </c>
      <c r="G1858">
        <f>[2]TongHop!G1858</f>
        <v>0</v>
      </c>
      <c r="H1858">
        <f>[2]TongHop!H1858</f>
        <v>0</v>
      </c>
      <c r="I1858">
        <f>[2]TongHop!I1858</f>
        <v>0</v>
      </c>
      <c r="J1858">
        <f>[2]TongHop!J1858</f>
        <v>0</v>
      </c>
      <c r="K1858">
        <f>[2]TongHop!K1858</f>
        <v>0</v>
      </c>
      <c r="L1858">
        <f>[2]TongHop!L1858</f>
        <v>0</v>
      </c>
      <c r="M1858">
        <f>[2]TongHop!M1858</f>
        <v>0</v>
      </c>
      <c r="N1858">
        <f>[2]TongHop!N1858</f>
        <v>0</v>
      </c>
    </row>
    <row r="1859" spans="1:14">
      <c r="A1859">
        <f>[2]TongHop!A1859</f>
        <v>0</v>
      </c>
      <c r="B1859">
        <f>[2]TongHop!B1859</f>
        <v>0</v>
      </c>
      <c r="C1859">
        <f>[2]TongHop!C1859</f>
        <v>0</v>
      </c>
      <c r="D1859">
        <f>[2]TongHop!D1859</f>
        <v>0</v>
      </c>
      <c r="E1859">
        <f>[2]TongHop!E1859</f>
        <v>0</v>
      </c>
      <c r="F1859">
        <f>[2]TongHop!F1859</f>
        <v>0</v>
      </c>
      <c r="G1859">
        <f>[2]TongHop!G1859</f>
        <v>0</v>
      </c>
      <c r="H1859">
        <f>[2]TongHop!H1859</f>
        <v>0</v>
      </c>
      <c r="I1859">
        <f>[2]TongHop!I1859</f>
        <v>0</v>
      </c>
      <c r="J1859">
        <f>[2]TongHop!J1859</f>
        <v>0</v>
      </c>
      <c r="K1859">
        <f>[2]TongHop!K1859</f>
        <v>0</v>
      </c>
      <c r="L1859">
        <f>[2]TongHop!L1859</f>
        <v>0</v>
      </c>
      <c r="M1859">
        <f>[2]TongHop!M1859</f>
        <v>0</v>
      </c>
      <c r="N1859">
        <f>[2]TongHop!N1859</f>
        <v>0</v>
      </c>
    </row>
    <row r="1860" spans="1:14">
      <c r="A1860">
        <f>[2]TongHop!A1860</f>
        <v>0</v>
      </c>
      <c r="B1860">
        <f>[2]TongHop!B1860</f>
        <v>0</v>
      </c>
      <c r="C1860">
        <f>[2]TongHop!C1860</f>
        <v>0</v>
      </c>
      <c r="D1860">
        <f>[2]TongHop!D1860</f>
        <v>0</v>
      </c>
      <c r="E1860">
        <f>[2]TongHop!E1860</f>
        <v>0</v>
      </c>
      <c r="F1860">
        <f>[2]TongHop!F1860</f>
        <v>0</v>
      </c>
      <c r="G1860">
        <f>[2]TongHop!G1860</f>
        <v>0</v>
      </c>
      <c r="H1860">
        <f>[2]TongHop!H1860</f>
        <v>0</v>
      </c>
      <c r="I1860">
        <f>[2]TongHop!I1860</f>
        <v>0</v>
      </c>
      <c r="J1860">
        <f>[2]TongHop!J1860</f>
        <v>0</v>
      </c>
      <c r="K1860">
        <f>[2]TongHop!K1860</f>
        <v>0</v>
      </c>
      <c r="L1860">
        <f>[2]TongHop!L1860</f>
        <v>0</v>
      </c>
      <c r="M1860">
        <f>[2]TongHop!M1860</f>
        <v>0</v>
      </c>
      <c r="N1860">
        <f>[2]TongHop!N1860</f>
        <v>0</v>
      </c>
    </row>
    <row r="1861" spans="1:14">
      <c r="A1861">
        <f>[2]TongHop!A1861</f>
        <v>0</v>
      </c>
      <c r="B1861">
        <f>[2]TongHop!B1861</f>
        <v>0</v>
      </c>
      <c r="C1861">
        <f>[2]TongHop!C1861</f>
        <v>0</v>
      </c>
      <c r="D1861">
        <f>[2]TongHop!D1861</f>
        <v>0</v>
      </c>
      <c r="E1861">
        <f>[2]TongHop!E1861</f>
        <v>0</v>
      </c>
      <c r="F1861">
        <f>[2]TongHop!F1861</f>
        <v>0</v>
      </c>
      <c r="G1861">
        <f>[2]TongHop!G1861</f>
        <v>0</v>
      </c>
      <c r="H1861">
        <f>[2]TongHop!H1861</f>
        <v>0</v>
      </c>
      <c r="I1861">
        <f>[2]TongHop!I1861</f>
        <v>0</v>
      </c>
      <c r="J1861">
        <f>[2]TongHop!J1861</f>
        <v>0</v>
      </c>
      <c r="K1861">
        <f>[2]TongHop!K1861</f>
        <v>0</v>
      </c>
      <c r="L1861">
        <f>[2]TongHop!L1861</f>
        <v>0</v>
      </c>
      <c r="M1861">
        <f>[2]TongHop!M1861</f>
        <v>0</v>
      </c>
      <c r="N1861">
        <f>[2]TongHop!N1861</f>
        <v>0</v>
      </c>
    </row>
    <row r="1862" spans="1:14">
      <c r="A1862">
        <f>[2]TongHop!A1862</f>
        <v>0</v>
      </c>
      <c r="B1862">
        <f>[2]TongHop!B1862</f>
        <v>0</v>
      </c>
      <c r="C1862">
        <f>[2]TongHop!C1862</f>
        <v>0</v>
      </c>
      <c r="D1862">
        <f>[2]TongHop!D1862</f>
        <v>0</v>
      </c>
      <c r="E1862">
        <f>[2]TongHop!E1862</f>
        <v>0</v>
      </c>
      <c r="F1862">
        <f>[2]TongHop!F1862</f>
        <v>0</v>
      </c>
      <c r="G1862">
        <f>[2]TongHop!G1862</f>
        <v>0</v>
      </c>
      <c r="H1862">
        <f>[2]TongHop!H1862</f>
        <v>0</v>
      </c>
      <c r="I1862">
        <f>[2]TongHop!I1862</f>
        <v>0</v>
      </c>
      <c r="J1862">
        <f>[2]TongHop!J1862</f>
        <v>0</v>
      </c>
      <c r="K1862">
        <f>[2]TongHop!K1862</f>
        <v>0</v>
      </c>
      <c r="L1862">
        <f>[2]TongHop!L1862</f>
        <v>0</v>
      </c>
      <c r="M1862">
        <f>[2]TongHop!M1862</f>
        <v>0</v>
      </c>
      <c r="N1862">
        <f>[2]TongHop!N1862</f>
        <v>0</v>
      </c>
    </row>
    <row r="1863" spans="1:14">
      <c r="A1863">
        <f>[2]TongHop!A1863</f>
        <v>0</v>
      </c>
      <c r="B1863">
        <f>[2]TongHop!B1863</f>
        <v>0</v>
      </c>
      <c r="C1863">
        <f>[2]TongHop!C1863</f>
        <v>0</v>
      </c>
      <c r="D1863">
        <f>[2]TongHop!D1863</f>
        <v>0</v>
      </c>
      <c r="E1863">
        <f>[2]TongHop!E1863</f>
        <v>0</v>
      </c>
      <c r="F1863">
        <f>[2]TongHop!F1863</f>
        <v>0</v>
      </c>
      <c r="G1863">
        <f>[2]TongHop!G1863</f>
        <v>0</v>
      </c>
      <c r="H1863">
        <f>[2]TongHop!H1863</f>
        <v>0</v>
      </c>
      <c r="I1863">
        <f>[2]TongHop!I1863</f>
        <v>0</v>
      </c>
      <c r="J1863">
        <f>[2]TongHop!J1863</f>
        <v>0</v>
      </c>
      <c r="K1863">
        <f>[2]TongHop!K1863</f>
        <v>0</v>
      </c>
      <c r="L1863">
        <f>[2]TongHop!L1863</f>
        <v>0</v>
      </c>
      <c r="M1863">
        <f>[2]TongHop!M1863</f>
        <v>0</v>
      </c>
      <c r="N1863">
        <f>[2]TongHop!N1863</f>
        <v>0</v>
      </c>
    </row>
    <row r="1864" spans="1:14">
      <c r="A1864">
        <f>[2]TongHop!A1864</f>
        <v>0</v>
      </c>
      <c r="B1864">
        <f>[2]TongHop!B1864</f>
        <v>0</v>
      </c>
      <c r="C1864">
        <f>[2]TongHop!C1864</f>
        <v>0</v>
      </c>
      <c r="D1864">
        <f>[2]TongHop!D1864</f>
        <v>0</v>
      </c>
      <c r="E1864">
        <f>[2]TongHop!E1864</f>
        <v>0</v>
      </c>
      <c r="F1864">
        <f>[2]TongHop!F1864</f>
        <v>0</v>
      </c>
      <c r="G1864">
        <f>[2]TongHop!G1864</f>
        <v>0</v>
      </c>
      <c r="H1864">
        <f>[2]TongHop!H1864</f>
        <v>0</v>
      </c>
      <c r="I1864">
        <f>[2]TongHop!I1864</f>
        <v>0</v>
      </c>
      <c r="J1864">
        <f>[2]TongHop!J1864</f>
        <v>0</v>
      </c>
      <c r="K1864">
        <f>[2]TongHop!K1864</f>
        <v>0</v>
      </c>
      <c r="L1864">
        <f>[2]TongHop!L1864</f>
        <v>0</v>
      </c>
      <c r="M1864">
        <f>[2]TongHop!M1864</f>
        <v>0</v>
      </c>
      <c r="N1864">
        <f>[2]TongHop!N1864</f>
        <v>0</v>
      </c>
    </row>
    <row r="1865" spans="1:14">
      <c r="A1865">
        <f>[2]TongHop!A1865</f>
        <v>0</v>
      </c>
      <c r="B1865">
        <f>[2]TongHop!B1865</f>
        <v>0</v>
      </c>
      <c r="C1865">
        <f>[2]TongHop!C1865</f>
        <v>0</v>
      </c>
      <c r="D1865">
        <f>[2]TongHop!D1865</f>
        <v>0</v>
      </c>
      <c r="E1865">
        <f>[2]TongHop!E1865</f>
        <v>0</v>
      </c>
      <c r="F1865">
        <f>[2]TongHop!F1865</f>
        <v>0</v>
      </c>
      <c r="G1865">
        <f>[2]TongHop!G1865</f>
        <v>0</v>
      </c>
      <c r="H1865">
        <f>[2]TongHop!H1865</f>
        <v>0</v>
      </c>
      <c r="I1865">
        <f>[2]TongHop!I1865</f>
        <v>0</v>
      </c>
      <c r="J1865">
        <f>[2]TongHop!J1865</f>
        <v>0</v>
      </c>
      <c r="K1865">
        <f>[2]TongHop!K1865</f>
        <v>0</v>
      </c>
      <c r="L1865">
        <f>[2]TongHop!L1865</f>
        <v>0</v>
      </c>
      <c r="M1865">
        <f>[2]TongHop!M1865</f>
        <v>0</v>
      </c>
      <c r="N1865">
        <f>[2]TongHop!N1865</f>
        <v>0</v>
      </c>
    </row>
    <row r="1866" spans="1:14">
      <c r="A1866">
        <f>[2]TongHop!A1866</f>
        <v>0</v>
      </c>
      <c r="B1866">
        <f>[2]TongHop!B1866</f>
        <v>0</v>
      </c>
      <c r="C1866">
        <f>[2]TongHop!C1866</f>
        <v>0</v>
      </c>
      <c r="D1866">
        <f>[2]TongHop!D1866</f>
        <v>0</v>
      </c>
      <c r="E1866">
        <f>[2]TongHop!E1866</f>
        <v>0</v>
      </c>
      <c r="F1866">
        <f>[2]TongHop!F1866</f>
        <v>0</v>
      </c>
      <c r="G1866">
        <f>[2]TongHop!G1866</f>
        <v>0</v>
      </c>
      <c r="H1866">
        <f>[2]TongHop!H1866</f>
        <v>0</v>
      </c>
      <c r="I1866">
        <f>[2]TongHop!I1866</f>
        <v>0</v>
      </c>
      <c r="J1866">
        <f>[2]TongHop!J1866</f>
        <v>0</v>
      </c>
      <c r="K1866">
        <f>[2]TongHop!K1866</f>
        <v>0</v>
      </c>
      <c r="L1866">
        <f>[2]TongHop!L1866</f>
        <v>0</v>
      </c>
      <c r="M1866">
        <f>[2]TongHop!M1866</f>
        <v>0</v>
      </c>
      <c r="N1866">
        <f>[2]TongHop!N1866</f>
        <v>0</v>
      </c>
    </row>
    <row r="1867" spans="1:14">
      <c r="A1867">
        <f>[2]TongHop!A1867</f>
        <v>0</v>
      </c>
      <c r="B1867">
        <f>[2]TongHop!B1867</f>
        <v>0</v>
      </c>
      <c r="C1867">
        <f>[2]TongHop!C1867</f>
        <v>0</v>
      </c>
      <c r="D1867">
        <f>[2]TongHop!D1867</f>
        <v>0</v>
      </c>
      <c r="E1867">
        <f>[2]TongHop!E1867</f>
        <v>0</v>
      </c>
      <c r="F1867">
        <f>[2]TongHop!F1867</f>
        <v>0</v>
      </c>
      <c r="G1867">
        <f>[2]TongHop!G1867</f>
        <v>0</v>
      </c>
      <c r="H1867">
        <f>[2]TongHop!H1867</f>
        <v>0</v>
      </c>
      <c r="I1867">
        <f>[2]TongHop!I1867</f>
        <v>0</v>
      </c>
      <c r="J1867">
        <f>[2]TongHop!J1867</f>
        <v>0</v>
      </c>
      <c r="K1867">
        <f>[2]TongHop!K1867</f>
        <v>0</v>
      </c>
      <c r="L1867">
        <f>[2]TongHop!L1867</f>
        <v>0</v>
      </c>
      <c r="M1867">
        <f>[2]TongHop!M1867</f>
        <v>0</v>
      </c>
      <c r="N1867">
        <f>[2]TongHop!N1867</f>
        <v>0</v>
      </c>
    </row>
    <row r="1868" spans="1:14">
      <c r="A1868">
        <f>[2]TongHop!A1868</f>
        <v>0</v>
      </c>
      <c r="B1868">
        <f>[2]TongHop!B1868</f>
        <v>0</v>
      </c>
      <c r="C1868">
        <f>[2]TongHop!C1868</f>
        <v>0</v>
      </c>
      <c r="D1868">
        <f>[2]TongHop!D1868</f>
        <v>0</v>
      </c>
      <c r="E1868">
        <f>[2]TongHop!E1868</f>
        <v>0</v>
      </c>
      <c r="F1868">
        <f>[2]TongHop!F1868</f>
        <v>0</v>
      </c>
      <c r="G1868">
        <f>[2]TongHop!G1868</f>
        <v>0</v>
      </c>
      <c r="H1868">
        <f>[2]TongHop!H1868</f>
        <v>0</v>
      </c>
      <c r="I1868">
        <f>[2]TongHop!I1868</f>
        <v>0</v>
      </c>
      <c r="J1868">
        <f>[2]TongHop!J1868</f>
        <v>0</v>
      </c>
      <c r="K1868">
        <f>[2]TongHop!K1868</f>
        <v>0</v>
      </c>
      <c r="L1868">
        <f>[2]TongHop!L1868</f>
        <v>0</v>
      </c>
      <c r="M1868">
        <f>[2]TongHop!M1868</f>
        <v>0</v>
      </c>
      <c r="N1868">
        <f>[2]TongHop!N1868</f>
        <v>0</v>
      </c>
    </row>
    <row r="1869" spans="1:14">
      <c r="A1869">
        <f>[2]TongHop!A1869</f>
        <v>0</v>
      </c>
      <c r="B1869">
        <f>[2]TongHop!B1869</f>
        <v>0</v>
      </c>
      <c r="C1869">
        <f>[2]TongHop!C1869</f>
        <v>0</v>
      </c>
      <c r="D1869">
        <f>[2]TongHop!D1869</f>
        <v>0</v>
      </c>
      <c r="E1869">
        <f>[2]TongHop!E1869</f>
        <v>0</v>
      </c>
      <c r="F1869">
        <f>[2]TongHop!F1869</f>
        <v>0</v>
      </c>
      <c r="G1869">
        <f>[2]TongHop!G1869</f>
        <v>0</v>
      </c>
      <c r="H1869">
        <f>[2]TongHop!H1869</f>
        <v>0</v>
      </c>
      <c r="I1869">
        <f>[2]TongHop!I1869</f>
        <v>0</v>
      </c>
      <c r="J1869">
        <f>[2]TongHop!J1869</f>
        <v>0</v>
      </c>
      <c r="K1869">
        <f>[2]TongHop!K1869</f>
        <v>0</v>
      </c>
      <c r="L1869">
        <f>[2]TongHop!L1869</f>
        <v>0</v>
      </c>
      <c r="M1869">
        <f>[2]TongHop!M1869</f>
        <v>0</v>
      </c>
      <c r="N1869">
        <f>[2]TongHop!N1869</f>
        <v>0</v>
      </c>
    </row>
    <row r="1870" spans="1:14">
      <c r="A1870">
        <f>[2]TongHop!A1870</f>
        <v>0</v>
      </c>
      <c r="B1870">
        <f>[2]TongHop!B1870</f>
        <v>0</v>
      </c>
      <c r="C1870">
        <f>[2]TongHop!C1870</f>
        <v>0</v>
      </c>
      <c r="D1870">
        <f>[2]TongHop!D1870</f>
        <v>0</v>
      </c>
      <c r="E1870">
        <f>[2]TongHop!E1870</f>
        <v>0</v>
      </c>
      <c r="F1870">
        <f>[2]TongHop!F1870</f>
        <v>0</v>
      </c>
      <c r="G1870">
        <f>[2]TongHop!G1870</f>
        <v>0</v>
      </c>
      <c r="H1870">
        <f>[2]TongHop!H1870</f>
        <v>0</v>
      </c>
      <c r="I1870">
        <f>[2]TongHop!I1870</f>
        <v>0</v>
      </c>
      <c r="J1870">
        <f>[2]TongHop!J1870</f>
        <v>0</v>
      </c>
      <c r="K1870">
        <f>[2]TongHop!K1870</f>
        <v>0</v>
      </c>
      <c r="L1870">
        <f>[2]TongHop!L1870</f>
        <v>0</v>
      </c>
      <c r="M1870">
        <f>[2]TongHop!M1870</f>
        <v>0</v>
      </c>
      <c r="N1870">
        <f>[2]TongHop!N1870</f>
        <v>0</v>
      </c>
    </row>
    <row r="1871" spans="1:14">
      <c r="A1871">
        <f>[2]TongHop!A1871</f>
        <v>0</v>
      </c>
      <c r="B1871">
        <f>[2]TongHop!B1871</f>
        <v>0</v>
      </c>
      <c r="C1871">
        <f>[2]TongHop!C1871</f>
        <v>0</v>
      </c>
      <c r="D1871">
        <f>[2]TongHop!D1871</f>
        <v>0</v>
      </c>
      <c r="E1871">
        <f>[2]TongHop!E1871</f>
        <v>0</v>
      </c>
      <c r="F1871">
        <f>[2]TongHop!F1871</f>
        <v>0</v>
      </c>
      <c r="G1871">
        <f>[2]TongHop!G1871</f>
        <v>0</v>
      </c>
      <c r="H1871">
        <f>[2]TongHop!H1871</f>
        <v>0</v>
      </c>
      <c r="I1871">
        <f>[2]TongHop!I1871</f>
        <v>0</v>
      </c>
      <c r="J1871">
        <f>[2]TongHop!J1871</f>
        <v>0</v>
      </c>
      <c r="K1871">
        <f>[2]TongHop!K1871</f>
        <v>0</v>
      </c>
      <c r="L1871">
        <f>[2]TongHop!L1871</f>
        <v>0</v>
      </c>
      <c r="M1871">
        <f>[2]TongHop!M1871</f>
        <v>0</v>
      </c>
      <c r="N1871">
        <f>[2]TongHop!N1871</f>
        <v>0</v>
      </c>
    </row>
    <row r="1872" spans="1:14">
      <c r="A1872">
        <f>[2]TongHop!A1872</f>
        <v>0</v>
      </c>
      <c r="B1872">
        <f>[2]TongHop!B1872</f>
        <v>0</v>
      </c>
      <c r="C1872">
        <f>[2]TongHop!C1872</f>
        <v>0</v>
      </c>
      <c r="D1872">
        <f>[2]TongHop!D1872</f>
        <v>0</v>
      </c>
      <c r="E1872">
        <f>[2]TongHop!E1872</f>
        <v>0</v>
      </c>
      <c r="F1872">
        <f>[2]TongHop!F1872</f>
        <v>0</v>
      </c>
      <c r="G1872">
        <f>[2]TongHop!G1872</f>
        <v>0</v>
      </c>
      <c r="H1872">
        <f>[2]TongHop!H1872</f>
        <v>0</v>
      </c>
      <c r="I1872">
        <f>[2]TongHop!I1872</f>
        <v>0</v>
      </c>
      <c r="J1872">
        <f>[2]TongHop!J1872</f>
        <v>0</v>
      </c>
      <c r="K1872">
        <f>[2]TongHop!K1872</f>
        <v>0</v>
      </c>
      <c r="L1872">
        <f>[2]TongHop!L1872</f>
        <v>0</v>
      </c>
      <c r="M1872">
        <f>[2]TongHop!M1872</f>
        <v>0</v>
      </c>
      <c r="N1872">
        <f>[2]TongHop!N1872</f>
        <v>0</v>
      </c>
    </row>
    <row r="1873" spans="1:14">
      <c r="A1873">
        <f>[2]TongHop!A1873</f>
        <v>0</v>
      </c>
      <c r="B1873">
        <f>[2]TongHop!B1873</f>
        <v>0</v>
      </c>
      <c r="C1873">
        <f>[2]TongHop!C1873</f>
        <v>0</v>
      </c>
      <c r="D1873">
        <f>[2]TongHop!D1873</f>
        <v>0</v>
      </c>
      <c r="E1873">
        <f>[2]TongHop!E1873</f>
        <v>0</v>
      </c>
      <c r="F1873">
        <f>[2]TongHop!F1873</f>
        <v>0</v>
      </c>
      <c r="G1873">
        <f>[2]TongHop!G1873</f>
        <v>0</v>
      </c>
      <c r="H1873">
        <f>[2]TongHop!H1873</f>
        <v>0</v>
      </c>
      <c r="I1873">
        <f>[2]TongHop!I1873</f>
        <v>0</v>
      </c>
      <c r="J1873">
        <f>[2]TongHop!J1873</f>
        <v>0</v>
      </c>
      <c r="K1873">
        <f>[2]TongHop!K1873</f>
        <v>0</v>
      </c>
      <c r="L1873">
        <f>[2]TongHop!L1873</f>
        <v>0</v>
      </c>
      <c r="M1873">
        <f>[2]TongHop!M1873</f>
        <v>0</v>
      </c>
      <c r="N1873">
        <f>[2]TongHop!N1873</f>
        <v>0</v>
      </c>
    </row>
    <row r="1874" spans="1:14">
      <c r="A1874">
        <f>[2]TongHop!A1874</f>
        <v>0</v>
      </c>
      <c r="B1874">
        <f>[2]TongHop!B1874</f>
        <v>0</v>
      </c>
      <c r="C1874">
        <f>[2]TongHop!C1874</f>
        <v>0</v>
      </c>
      <c r="D1874">
        <f>[2]TongHop!D1874</f>
        <v>0</v>
      </c>
      <c r="E1874">
        <f>[2]TongHop!E1874</f>
        <v>0</v>
      </c>
      <c r="F1874">
        <f>[2]TongHop!F1874</f>
        <v>0</v>
      </c>
      <c r="G1874">
        <f>[2]TongHop!G1874</f>
        <v>0</v>
      </c>
      <c r="H1874">
        <f>[2]TongHop!H1874</f>
        <v>0</v>
      </c>
      <c r="I1874">
        <f>[2]TongHop!I1874</f>
        <v>0</v>
      </c>
      <c r="J1874">
        <f>[2]TongHop!J1874</f>
        <v>0</v>
      </c>
      <c r="K1874">
        <f>[2]TongHop!K1874</f>
        <v>0</v>
      </c>
      <c r="L1874">
        <f>[2]TongHop!L1874</f>
        <v>0</v>
      </c>
      <c r="M1874">
        <f>[2]TongHop!M1874</f>
        <v>0</v>
      </c>
      <c r="N1874">
        <f>[2]TongHop!N1874</f>
        <v>0</v>
      </c>
    </row>
    <row r="1875" spans="1:14">
      <c r="A1875">
        <f>[2]TongHop!A1875</f>
        <v>0</v>
      </c>
      <c r="B1875">
        <f>[2]TongHop!B1875</f>
        <v>0</v>
      </c>
      <c r="C1875">
        <f>[2]TongHop!C1875</f>
        <v>0</v>
      </c>
      <c r="D1875">
        <f>[2]TongHop!D1875</f>
        <v>0</v>
      </c>
      <c r="E1875">
        <f>[2]TongHop!E1875</f>
        <v>0</v>
      </c>
      <c r="F1875">
        <f>[2]TongHop!F1875</f>
        <v>0</v>
      </c>
      <c r="G1875">
        <f>[2]TongHop!G1875</f>
        <v>0</v>
      </c>
      <c r="H1875">
        <f>[2]TongHop!H1875</f>
        <v>0</v>
      </c>
      <c r="I1875">
        <f>[2]TongHop!I1875</f>
        <v>0</v>
      </c>
      <c r="J1875">
        <f>[2]TongHop!J1875</f>
        <v>0</v>
      </c>
      <c r="K1875">
        <f>[2]TongHop!K1875</f>
        <v>0</v>
      </c>
      <c r="L1875">
        <f>[2]TongHop!L1875</f>
        <v>0</v>
      </c>
      <c r="M1875">
        <f>[2]TongHop!M1875</f>
        <v>0</v>
      </c>
      <c r="N1875">
        <f>[2]TongHop!N1875</f>
        <v>0</v>
      </c>
    </row>
    <row r="1876" spans="1:14">
      <c r="A1876">
        <f>[2]TongHop!A1876</f>
        <v>0</v>
      </c>
      <c r="B1876">
        <f>[2]TongHop!B1876</f>
        <v>0</v>
      </c>
      <c r="C1876">
        <f>[2]TongHop!C1876</f>
        <v>0</v>
      </c>
      <c r="D1876">
        <f>[2]TongHop!D1876</f>
        <v>0</v>
      </c>
      <c r="E1876">
        <f>[2]TongHop!E1876</f>
        <v>0</v>
      </c>
      <c r="F1876">
        <f>[2]TongHop!F1876</f>
        <v>0</v>
      </c>
      <c r="G1876">
        <f>[2]TongHop!G1876</f>
        <v>0</v>
      </c>
      <c r="H1876">
        <f>[2]TongHop!H1876</f>
        <v>0</v>
      </c>
      <c r="I1876">
        <f>[2]TongHop!I1876</f>
        <v>0</v>
      </c>
      <c r="J1876">
        <f>[2]TongHop!J1876</f>
        <v>0</v>
      </c>
      <c r="K1876">
        <f>[2]TongHop!K1876</f>
        <v>0</v>
      </c>
      <c r="L1876">
        <f>[2]TongHop!L1876</f>
        <v>0</v>
      </c>
      <c r="M1876">
        <f>[2]TongHop!M1876</f>
        <v>0</v>
      </c>
      <c r="N1876">
        <f>[2]TongHop!N1876</f>
        <v>0</v>
      </c>
    </row>
    <row r="1877" spans="1:14">
      <c r="A1877">
        <f>[2]TongHop!A1877</f>
        <v>0</v>
      </c>
      <c r="B1877">
        <f>[2]TongHop!B1877</f>
        <v>0</v>
      </c>
      <c r="C1877">
        <f>[2]TongHop!C1877</f>
        <v>0</v>
      </c>
      <c r="D1877">
        <f>[2]TongHop!D1877</f>
        <v>0</v>
      </c>
      <c r="E1877">
        <f>[2]TongHop!E1877</f>
        <v>0</v>
      </c>
      <c r="F1877">
        <f>[2]TongHop!F1877</f>
        <v>0</v>
      </c>
      <c r="G1877">
        <f>[2]TongHop!G1877</f>
        <v>0</v>
      </c>
      <c r="H1877">
        <f>[2]TongHop!H1877</f>
        <v>0</v>
      </c>
      <c r="I1877">
        <f>[2]TongHop!I1877</f>
        <v>0</v>
      </c>
      <c r="J1877">
        <f>[2]TongHop!J1877</f>
        <v>0</v>
      </c>
      <c r="K1877">
        <f>[2]TongHop!K1877</f>
        <v>0</v>
      </c>
      <c r="L1877">
        <f>[2]TongHop!L1877</f>
        <v>0</v>
      </c>
      <c r="M1877">
        <f>[2]TongHop!M1877</f>
        <v>0</v>
      </c>
      <c r="N1877">
        <f>[2]TongHop!N1877</f>
        <v>0</v>
      </c>
    </row>
    <row r="1878" spans="1:14">
      <c r="A1878">
        <f>[2]TongHop!A1878</f>
        <v>0</v>
      </c>
      <c r="B1878">
        <f>[2]TongHop!B1878</f>
        <v>0</v>
      </c>
      <c r="C1878">
        <f>[2]TongHop!C1878</f>
        <v>0</v>
      </c>
      <c r="D1878">
        <f>[2]TongHop!D1878</f>
        <v>0</v>
      </c>
      <c r="E1878">
        <f>[2]TongHop!E1878</f>
        <v>0</v>
      </c>
      <c r="F1878">
        <f>[2]TongHop!F1878</f>
        <v>0</v>
      </c>
      <c r="G1878">
        <f>[2]TongHop!G1878</f>
        <v>0</v>
      </c>
      <c r="H1878">
        <f>[2]TongHop!H1878</f>
        <v>0</v>
      </c>
      <c r="I1878">
        <f>[2]TongHop!I1878</f>
        <v>0</v>
      </c>
      <c r="J1878">
        <f>[2]TongHop!J1878</f>
        <v>0</v>
      </c>
      <c r="K1878">
        <f>[2]TongHop!K1878</f>
        <v>0</v>
      </c>
      <c r="L1878">
        <f>[2]TongHop!L1878</f>
        <v>0</v>
      </c>
      <c r="M1878">
        <f>[2]TongHop!M1878</f>
        <v>0</v>
      </c>
      <c r="N1878">
        <f>[2]TongHop!N1878</f>
        <v>0</v>
      </c>
    </row>
    <row r="1879" spans="1:14">
      <c r="A1879">
        <f>[2]TongHop!A1879</f>
        <v>0</v>
      </c>
      <c r="B1879">
        <f>[2]TongHop!B1879</f>
        <v>0</v>
      </c>
      <c r="C1879">
        <f>[2]TongHop!C1879</f>
        <v>0</v>
      </c>
      <c r="D1879">
        <f>[2]TongHop!D1879</f>
        <v>0</v>
      </c>
      <c r="E1879">
        <f>[2]TongHop!E1879</f>
        <v>0</v>
      </c>
      <c r="F1879">
        <f>[2]TongHop!F1879</f>
        <v>0</v>
      </c>
      <c r="G1879">
        <f>[2]TongHop!G1879</f>
        <v>0</v>
      </c>
      <c r="H1879">
        <f>[2]TongHop!H1879</f>
        <v>0</v>
      </c>
      <c r="I1879">
        <f>[2]TongHop!I1879</f>
        <v>0</v>
      </c>
      <c r="J1879">
        <f>[2]TongHop!J1879</f>
        <v>0</v>
      </c>
      <c r="K1879">
        <f>[2]TongHop!K1879</f>
        <v>0</v>
      </c>
      <c r="L1879">
        <f>[2]TongHop!L1879</f>
        <v>0</v>
      </c>
      <c r="M1879">
        <f>[2]TongHop!M1879</f>
        <v>0</v>
      </c>
      <c r="N1879">
        <f>[2]TongHop!N1879</f>
        <v>0</v>
      </c>
    </row>
    <row r="1880" spans="1:14">
      <c r="A1880">
        <f>[2]TongHop!A1880</f>
        <v>0</v>
      </c>
      <c r="B1880">
        <f>[2]TongHop!B1880</f>
        <v>0</v>
      </c>
      <c r="C1880">
        <f>[2]TongHop!C1880</f>
        <v>0</v>
      </c>
      <c r="D1880">
        <f>[2]TongHop!D1880</f>
        <v>0</v>
      </c>
      <c r="E1880">
        <f>[2]TongHop!E1880</f>
        <v>0</v>
      </c>
      <c r="F1880">
        <f>[2]TongHop!F1880</f>
        <v>0</v>
      </c>
      <c r="G1880">
        <f>[2]TongHop!G1880</f>
        <v>0</v>
      </c>
      <c r="H1880">
        <f>[2]TongHop!H1880</f>
        <v>0</v>
      </c>
      <c r="I1880">
        <f>[2]TongHop!I1880</f>
        <v>0</v>
      </c>
      <c r="J1880">
        <f>[2]TongHop!J1880</f>
        <v>0</v>
      </c>
      <c r="K1880">
        <f>[2]TongHop!K1880</f>
        <v>0</v>
      </c>
      <c r="L1880">
        <f>[2]TongHop!L1880</f>
        <v>0</v>
      </c>
      <c r="M1880">
        <f>[2]TongHop!M1880</f>
        <v>0</v>
      </c>
      <c r="N1880">
        <f>[2]TongHop!N1880</f>
        <v>0</v>
      </c>
    </row>
    <row r="1881" spans="1:14">
      <c r="A1881">
        <f>[2]TongHop!A1881</f>
        <v>0</v>
      </c>
      <c r="B1881">
        <f>[2]TongHop!B1881</f>
        <v>0</v>
      </c>
      <c r="C1881">
        <f>[2]TongHop!C1881</f>
        <v>0</v>
      </c>
      <c r="D1881">
        <f>[2]TongHop!D1881</f>
        <v>0</v>
      </c>
      <c r="E1881">
        <f>[2]TongHop!E1881</f>
        <v>0</v>
      </c>
      <c r="F1881">
        <f>[2]TongHop!F1881</f>
        <v>0</v>
      </c>
      <c r="G1881">
        <f>[2]TongHop!G1881</f>
        <v>0</v>
      </c>
      <c r="H1881">
        <f>[2]TongHop!H1881</f>
        <v>0</v>
      </c>
      <c r="I1881">
        <f>[2]TongHop!I1881</f>
        <v>0</v>
      </c>
      <c r="J1881">
        <f>[2]TongHop!J1881</f>
        <v>0</v>
      </c>
      <c r="K1881">
        <f>[2]TongHop!K1881</f>
        <v>0</v>
      </c>
      <c r="L1881">
        <f>[2]TongHop!L1881</f>
        <v>0</v>
      </c>
      <c r="M1881">
        <f>[2]TongHop!M1881</f>
        <v>0</v>
      </c>
      <c r="N1881">
        <f>[2]TongHop!N1881</f>
        <v>0</v>
      </c>
    </row>
    <row r="1882" spans="1:14">
      <c r="A1882">
        <f>[2]TongHop!A1882</f>
        <v>0</v>
      </c>
      <c r="B1882">
        <f>[2]TongHop!B1882</f>
        <v>0</v>
      </c>
      <c r="C1882">
        <f>[2]TongHop!C1882</f>
        <v>0</v>
      </c>
      <c r="D1882">
        <f>[2]TongHop!D1882</f>
        <v>0</v>
      </c>
      <c r="E1882">
        <f>[2]TongHop!E1882</f>
        <v>0</v>
      </c>
      <c r="F1882">
        <f>[2]TongHop!F1882</f>
        <v>0</v>
      </c>
      <c r="G1882">
        <f>[2]TongHop!G1882</f>
        <v>0</v>
      </c>
      <c r="H1882">
        <f>[2]TongHop!H1882</f>
        <v>0</v>
      </c>
      <c r="I1882">
        <f>[2]TongHop!I1882</f>
        <v>0</v>
      </c>
      <c r="J1882">
        <f>[2]TongHop!J1882</f>
        <v>0</v>
      </c>
      <c r="K1882">
        <f>[2]TongHop!K1882</f>
        <v>0</v>
      </c>
      <c r="L1882">
        <f>[2]TongHop!L1882</f>
        <v>0</v>
      </c>
      <c r="M1882">
        <f>[2]TongHop!M1882</f>
        <v>0</v>
      </c>
      <c r="N1882">
        <f>[2]TongHop!N1882</f>
        <v>0</v>
      </c>
    </row>
    <row r="1883" spans="1:14">
      <c r="A1883">
        <f>[2]TongHop!A1883</f>
        <v>0</v>
      </c>
      <c r="B1883">
        <f>[2]TongHop!B1883</f>
        <v>0</v>
      </c>
      <c r="C1883">
        <f>[2]TongHop!C1883</f>
        <v>0</v>
      </c>
      <c r="D1883">
        <f>[2]TongHop!D1883</f>
        <v>0</v>
      </c>
      <c r="E1883">
        <f>[2]TongHop!E1883</f>
        <v>0</v>
      </c>
      <c r="F1883">
        <f>[2]TongHop!F1883</f>
        <v>0</v>
      </c>
      <c r="G1883">
        <f>[2]TongHop!G1883</f>
        <v>0</v>
      </c>
      <c r="H1883">
        <f>[2]TongHop!H1883</f>
        <v>0</v>
      </c>
      <c r="I1883">
        <f>[2]TongHop!I1883</f>
        <v>0</v>
      </c>
      <c r="J1883">
        <f>[2]TongHop!J1883</f>
        <v>0</v>
      </c>
      <c r="K1883">
        <f>[2]TongHop!K1883</f>
        <v>0</v>
      </c>
      <c r="L1883">
        <f>[2]TongHop!L1883</f>
        <v>0</v>
      </c>
      <c r="M1883">
        <f>[2]TongHop!M1883</f>
        <v>0</v>
      </c>
      <c r="N1883">
        <f>[2]TongHop!N1883</f>
        <v>0</v>
      </c>
    </row>
    <row r="1884" spans="1:14">
      <c r="A1884">
        <f>[2]TongHop!A1884</f>
        <v>0</v>
      </c>
      <c r="B1884">
        <f>[2]TongHop!B1884</f>
        <v>0</v>
      </c>
      <c r="C1884">
        <f>[2]TongHop!C1884</f>
        <v>0</v>
      </c>
      <c r="D1884">
        <f>[2]TongHop!D1884</f>
        <v>0</v>
      </c>
      <c r="E1884">
        <f>[2]TongHop!E1884</f>
        <v>0</v>
      </c>
      <c r="F1884">
        <f>[2]TongHop!F1884</f>
        <v>0</v>
      </c>
      <c r="G1884">
        <f>[2]TongHop!G1884</f>
        <v>0</v>
      </c>
      <c r="H1884">
        <f>[2]TongHop!H1884</f>
        <v>0</v>
      </c>
      <c r="I1884">
        <f>[2]TongHop!I1884</f>
        <v>0</v>
      </c>
      <c r="J1884">
        <f>[2]TongHop!J1884</f>
        <v>0</v>
      </c>
      <c r="K1884">
        <f>[2]TongHop!K1884</f>
        <v>0</v>
      </c>
      <c r="L1884">
        <f>[2]TongHop!L1884</f>
        <v>0</v>
      </c>
      <c r="M1884">
        <f>[2]TongHop!M1884</f>
        <v>0</v>
      </c>
      <c r="N1884">
        <f>[2]TongHop!N1884</f>
        <v>0</v>
      </c>
    </row>
    <row r="1885" spans="1:14">
      <c r="A1885">
        <f>[2]TongHop!A1885</f>
        <v>0</v>
      </c>
      <c r="B1885">
        <f>[2]TongHop!B1885</f>
        <v>0</v>
      </c>
      <c r="C1885">
        <f>[2]TongHop!C1885</f>
        <v>0</v>
      </c>
      <c r="D1885">
        <f>[2]TongHop!D1885</f>
        <v>0</v>
      </c>
      <c r="E1885">
        <f>[2]TongHop!E1885</f>
        <v>0</v>
      </c>
      <c r="F1885">
        <f>[2]TongHop!F1885</f>
        <v>0</v>
      </c>
      <c r="G1885">
        <f>[2]TongHop!G1885</f>
        <v>0</v>
      </c>
      <c r="H1885">
        <f>[2]TongHop!H1885</f>
        <v>0</v>
      </c>
      <c r="I1885">
        <f>[2]TongHop!I1885</f>
        <v>0</v>
      </c>
      <c r="J1885">
        <f>[2]TongHop!J1885</f>
        <v>0</v>
      </c>
      <c r="K1885">
        <f>[2]TongHop!K1885</f>
        <v>0</v>
      </c>
      <c r="L1885">
        <f>[2]TongHop!L1885</f>
        <v>0</v>
      </c>
      <c r="M1885">
        <f>[2]TongHop!M1885</f>
        <v>0</v>
      </c>
      <c r="N1885">
        <f>[2]TongHop!N1885</f>
        <v>0</v>
      </c>
    </row>
    <row r="1886" spans="1:14">
      <c r="A1886">
        <f>[2]TongHop!A1886</f>
        <v>0</v>
      </c>
      <c r="B1886">
        <f>[2]TongHop!B1886</f>
        <v>0</v>
      </c>
      <c r="C1886">
        <f>[2]TongHop!C1886</f>
        <v>0</v>
      </c>
      <c r="D1886">
        <f>[2]TongHop!D1886</f>
        <v>0</v>
      </c>
      <c r="E1886">
        <f>[2]TongHop!E1886</f>
        <v>0</v>
      </c>
      <c r="F1886">
        <f>[2]TongHop!F1886</f>
        <v>0</v>
      </c>
      <c r="G1886">
        <f>[2]TongHop!G1886</f>
        <v>0</v>
      </c>
      <c r="H1886">
        <f>[2]TongHop!H1886</f>
        <v>0</v>
      </c>
      <c r="I1886">
        <f>[2]TongHop!I1886</f>
        <v>0</v>
      </c>
      <c r="J1886">
        <f>[2]TongHop!J1886</f>
        <v>0</v>
      </c>
      <c r="K1886">
        <f>[2]TongHop!K1886</f>
        <v>0</v>
      </c>
      <c r="L1886">
        <f>[2]TongHop!L1886</f>
        <v>0</v>
      </c>
      <c r="M1886">
        <f>[2]TongHop!M1886</f>
        <v>0</v>
      </c>
      <c r="N1886">
        <f>[2]TongHop!N1886</f>
        <v>0</v>
      </c>
    </row>
    <row r="1887" spans="1:14">
      <c r="A1887">
        <f>[2]TongHop!A1887</f>
        <v>0</v>
      </c>
      <c r="B1887">
        <f>[2]TongHop!B1887</f>
        <v>0</v>
      </c>
      <c r="C1887">
        <f>[2]TongHop!C1887</f>
        <v>0</v>
      </c>
      <c r="D1887">
        <f>[2]TongHop!D1887</f>
        <v>0</v>
      </c>
      <c r="E1887">
        <f>[2]TongHop!E1887</f>
        <v>0</v>
      </c>
      <c r="F1887">
        <f>[2]TongHop!F1887</f>
        <v>0</v>
      </c>
      <c r="G1887">
        <f>[2]TongHop!G1887</f>
        <v>0</v>
      </c>
      <c r="H1887">
        <f>[2]TongHop!H1887</f>
        <v>0</v>
      </c>
      <c r="I1887">
        <f>[2]TongHop!I1887</f>
        <v>0</v>
      </c>
      <c r="J1887">
        <f>[2]TongHop!J1887</f>
        <v>0</v>
      </c>
      <c r="K1887">
        <f>[2]TongHop!K1887</f>
        <v>0</v>
      </c>
      <c r="L1887">
        <f>[2]TongHop!L1887</f>
        <v>0</v>
      </c>
      <c r="M1887">
        <f>[2]TongHop!M1887</f>
        <v>0</v>
      </c>
      <c r="N1887">
        <f>[2]TongHop!N1887</f>
        <v>0</v>
      </c>
    </row>
    <row r="1888" spans="1:14">
      <c r="A1888">
        <f>[2]TongHop!A1888</f>
        <v>0</v>
      </c>
      <c r="B1888">
        <f>[2]TongHop!B1888</f>
        <v>0</v>
      </c>
      <c r="C1888">
        <f>[2]TongHop!C1888</f>
        <v>0</v>
      </c>
      <c r="D1888">
        <f>[2]TongHop!D1888</f>
        <v>0</v>
      </c>
      <c r="E1888">
        <f>[2]TongHop!E1888</f>
        <v>0</v>
      </c>
      <c r="F1888">
        <f>[2]TongHop!F1888</f>
        <v>0</v>
      </c>
      <c r="G1888">
        <f>[2]TongHop!G1888</f>
        <v>0</v>
      </c>
      <c r="H1888">
        <f>[2]TongHop!H1888</f>
        <v>0</v>
      </c>
      <c r="I1888">
        <f>[2]TongHop!I1888</f>
        <v>0</v>
      </c>
      <c r="J1888">
        <f>[2]TongHop!J1888</f>
        <v>0</v>
      </c>
      <c r="K1888">
        <f>[2]TongHop!K1888</f>
        <v>0</v>
      </c>
      <c r="L1888">
        <f>[2]TongHop!L1888</f>
        <v>0</v>
      </c>
      <c r="M1888">
        <f>[2]TongHop!M1888</f>
        <v>0</v>
      </c>
      <c r="N1888">
        <f>[2]TongHop!N1888</f>
        <v>0</v>
      </c>
    </row>
    <row r="1889" spans="1:14">
      <c r="A1889">
        <f>[2]TongHop!A1889</f>
        <v>0</v>
      </c>
      <c r="B1889">
        <f>[2]TongHop!B1889</f>
        <v>0</v>
      </c>
      <c r="C1889">
        <f>[2]TongHop!C1889</f>
        <v>0</v>
      </c>
      <c r="D1889">
        <f>[2]TongHop!D1889</f>
        <v>0</v>
      </c>
      <c r="E1889">
        <f>[2]TongHop!E1889</f>
        <v>0</v>
      </c>
      <c r="F1889">
        <f>[2]TongHop!F1889</f>
        <v>0</v>
      </c>
      <c r="G1889">
        <f>[2]TongHop!G1889</f>
        <v>0</v>
      </c>
      <c r="H1889">
        <f>[2]TongHop!H1889</f>
        <v>0</v>
      </c>
      <c r="I1889">
        <f>[2]TongHop!I1889</f>
        <v>0</v>
      </c>
      <c r="J1889">
        <f>[2]TongHop!J1889</f>
        <v>0</v>
      </c>
      <c r="K1889">
        <f>[2]TongHop!K1889</f>
        <v>0</v>
      </c>
      <c r="L1889">
        <f>[2]TongHop!L1889</f>
        <v>0</v>
      </c>
      <c r="M1889">
        <f>[2]TongHop!M1889</f>
        <v>0</v>
      </c>
      <c r="N1889">
        <f>[2]TongHop!N1889</f>
        <v>0</v>
      </c>
    </row>
    <row r="1890" spans="1:14">
      <c r="A1890">
        <f>[2]TongHop!A1890</f>
        <v>0</v>
      </c>
      <c r="B1890">
        <f>[2]TongHop!B1890</f>
        <v>0</v>
      </c>
      <c r="C1890">
        <f>[2]TongHop!C1890</f>
        <v>0</v>
      </c>
      <c r="D1890">
        <f>[2]TongHop!D1890</f>
        <v>0</v>
      </c>
      <c r="E1890">
        <f>[2]TongHop!E1890</f>
        <v>0</v>
      </c>
      <c r="F1890">
        <f>[2]TongHop!F1890</f>
        <v>0</v>
      </c>
      <c r="G1890">
        <f>[2]TongHop!G1890</f>
        <v>0</v>
      </c>
      <c r="H1890">
        <f>[2]TongHop!H1890</f>
        <v>0</v>
      </c>
      <c r="I1890">
        <f>[2]TongHop!I1890</f>
        <v>0</v>
      </c>
      <c r="J1890">
        <f>[2]TongHop!J1890</f>
        <v>0</v>
      </c>
      <c r="K1890">
        <f>[2]TongHop!K1890</f>
        <v>0</v>
      </c>
      <c r="L1890">
        <f>[2]TongHop!L1890</f>
        <v>0</v>
      </c>
      <c r="M1890">
        <f>[2]TongHop!M1890</f>
        <v>0</v>
      </c>
      <c r="N1890">
        <f>[2]TongHop!N1890</f>
        <v>0</v>
      </c>
    </row>
    <row r="1891" spans="1:14">
      <c r="A1891">
        <f>[2]TongHop!A1891</f>
        <v>0</v>
      </c>
      <c r="B1891">
        <f>[2]TongHop!B1891</f>
        <v>0</v>
      </c>
      <c r="C1891">
        <f>[2]TongHop!C1891</f>
        <v>0</v>
      </c>
      <c r="D1891">
        <f>[2]TongHop!D1891</f>
        <v>0</v>
      </c>
      <c r="E1891">
        <f>[2]TongHop!E1891</f>
        <v>0</v>
      </c>
      <c r="F1891">
        <f>[2]TongHop!F1891</f>
        <v>0</v>
      </c>
      <c r="G1891">
        <f>[2]TongHop!G1891</f>
        <v>0</v>
      </c>
      <c r="H1891">
        <f>[2]TongHop!H1891</f>
        <v>0</v>
      </c>
      <c r="I1891">
        <f>[2]TongHop!I1891</f>
        <v>0</v>
      </c>
      <c r="J1891">
        <f>[2]TongHop!J1891</f>
        <v>0</v>
      </c>
      <c r="K1891">
        <f>[2]TongHop!K1891</f>
        <v>0</v>
      </c>
      <c r="L1891">
        <f>[2]TongHop!L1891</f>
        <v>0</v>
      </c>
      <c r="M1891">
        <f>[2]TongHop!M1891</f>
        <v>0</v>
      </c>
      <c r="N1891">
        <f>[2]TongHop!N1891</f>
        <v>0</v>
      </c>
    </row>
    <row r="1892" spans="1:14">
      <c r="A1892">
        <f>[2]TongHop!A1892</f>
        <v>0</v>
      </c>
      <c r="B1892">
        <f>[2]TongHop!B1892</f>
        <v>0</v>
      </c>
      <c r="C1892">
        <f>[2]TongHop!C1892</f>
        <v>0</v>
      </c>
      <c r="D1892">
        <f>[2]TongHop!D1892</f>
        <v>0</v>
      </c>
      <c r="E1892">
        <f>[2]TongHop!E1892</f>
        <v>0</v>
      </c>
      <c r="F1892">
        <f>[2]TongHop!F1892</f>
        <v>0</v>
      </c>
      <c r="G1892">
        <f>[2]TongHop!G1892</f>
        <v>0</v>
      </c>
      <c r="H1892">
        <f>[2]TongHop!H1892</f>
        <v>0</v>
      </c>
      <c r="I1892">
        <f>[2]TongHop!I1892</f>
        <v>0</v>
      </c>
      <c r="J1892">
        <f>[2]TongHop!J1892</f>
        <v>0</v>
      </c>
      <c r="K1892">
        <f>[2]TongHop!K1892</f>
        <v>0</v>
      </c>
      <c r="L1892">
        <f>[2]TongHop!L1892</f>
        <v>0</v>
      </c>
      <c r="M1892">
        <f>[2]TongHop!M1892</f>
        <v>0</v>
      </c>
      <c r="N1892">
        <f>[2]TongHop!N1892</f>
        <v>0</v>
      </c>
    </row>
    <row r="1893" spans="1:14">
      <c r="A1893">
        <f>[2]TongHop!A1893</f>
        <v>0</v>
      </c>
      <c r="B1893">
        <f>[2]TongHop!B1893</f>
        <v>0</v>
      </c>
      <c r="C1893">
        <f>[2]TongHop!C1893</f>
        <v>0</v>
      </c>
      <c r="D1893">
        <f>[2]TongHop!D1893</f>
        <v>0</v>
      </c>
      <c r="E1893">
        <f>[2]TongHop!E1893</f>
        <v>0</v>
      </c>
      <c r="F1893">
        <f>[2]TongHop!F1893</f>
        <v>0</v>
      </c>
      <c r="G1893">
        <f>[2]TongHop!G1893</f>
        <v>0</v>
      </c>
      <c r="H1893">
        <f>[2]TongHop!H1893</f>
        <v>0</v>
      </c>
      <c r="I1893">
        <f>[2]TongHop!I1893</f>
        <v>0</v>
      </c>
      <c r="J1893">
        <f>[2]TongHop!J1893</f>
        <v>0</v>
      </c>
      <c r="K1893">
        <f>[2]TongHop!K1893</f>
        <v>0</v>
      </c>
      <c r="L1893">
        <f>[2]TongHop!L1893</f>
        <v>0</v>
      </c>
      <c r="M1893">
        <f>[2]TongHop!M1893</f>
        <v>0</v>
      </c>
      <c r="N1893">
        <f>[2]TongHop!N1893</f>
        <v>0</v>
      </c>
    </row>
    <row r="1894" spans="1:14">
      <c r="A1894">
        <f>[2]TongHop!A1894</f>
        <v>0</v>
      </c>
      <c r="B1894">
        <f>[2]TongHop!B1894</f>
        <v>0</v>
      </c>
      <c r="C1894">
        <f>[2]TongHop!C1894</f>
        <v>0</v>
      </c>
      <c r="D1894">
        <f>[2]TongHop!D1894</f>
        <v>0</v>
      </c>
      <c r="E1894">
        <f>[2]TongHop!E1894</f>
        <v>0</v>
      </c>
      <c r="F1894">
        <f>[2]TongHop!F1894</f>
        <v>0</v>
      </c>
      <c r="G1894">
        <f>[2]TongHop!G1894</f>
        <v>0</v>
      </c>
      <c r="H1894">
        <f>[2]TongHop!H1894</f>
        <v>0</v>
      </c>
      <c r="I1894">
        <f>[2]TongHop!I1894</f>
        <v>0</v>
      </c>
      <c r="J1894">
        <f>[2]TongHop!J1894</f>
        <v>0</v>
      </c>
      <c r="K1894">
        <f>[2]TongHop!K1894</f>
        <v>0</v>
      </c>
      <c r="L1894">
        <f>[2]TongHop!L1894</f>
        <v>0</v>
      </c>
      <c r="M1894">
        <f>[2]TongHop!M1894</f>
        <v>0</v>
      </c>
      <c r="N1894">
        <f>[2]TongHop!N1894</f>
        <v>0</v>
      </c>
    </row>
    <row r="1895" spans="1:14">
      <c r="A1895">
        <f>[2]TongHop!A1895</f>
        <v>0</v>
      </c>
      <c r="B1895">
        <f>[2]TongHop!B1895</f>
        <v>0</v>
      </c>
      <c r="C1895">
        <f>[2]TongHop!C1895</f>
        <v>0</v>
      </c>
      <c r="D1895">
        <f>[2]TongHop!D1895</f>
        <v>0</v>
      </c>
      <c r="E1895">
        <f>[2]TongHop!E1895</f>
        <v>0</v>
      </c>
      <c r="F1895">
        <f>[2]TongHop!F1895</f>
        <v>0</v>
      </c>
      <c r="G1895">
        <f>[2]TongHop!G1895</f>
        <v>0</v>
      </c>
      <c r="H1895">
        <f>[2]TongHop!H1895</f>
        <v>0</v>
      </c>
      <c r="I1895">
        <f>[2]TongHop!I1895</f>
        <v>0</v>
      </c>
      <c r="J1895">
        <f>[2]TongHop!J1895</f>
        <v>0</v>
      </c>
      <c r="K1895">
        <f>[2]TongHop!K1895</f>
        <v>0</v>
      </c>
      <c r="L1895">
        <f>[2]TongHop!L1895</f>
        <v>0</v>
      </c>
      <c r="M1895">
        <f>[2]TongHop!M1895</f>
        <v>0</v>
      </c>
      <c r="N1895">
        <f>[2]TongHop!N1895</f>
        <v>0</v>
      </c>
    </row>
    <row r="1896" spans="1:14">
      <c r="A1896">
        <f>[2]TongHop!A1896</f>
        <v>0</v>
      </c>
      <c r="B1896">
        <f>[2]TongHop!B1896</f>
        <v>0</v>
      </c>
      <c r="C1896">
        <f>[2]TongHop!C1896</f>
        <v>0</v>
      </c>
      <c r="D1896">
        <f>[2]TongHop!D1896</f>
        <v>0</v>
      </c>
      <c r="E1896">
        <f>[2]TongHop!E1896</f>
        <v>0</v>
      </c>
      <c r="F1896">
        <f>[2]TongHop!F1896</f>
        <v>0</v>
      </c>
      <c r="G1896">
        <f>[2]TongHop!G1896</f>
        <v>0</v>
      </c>
      <c r="H1896">
        <f>[2]TongHop!H1896</f>
        <v>0</v>
      </c>
      <c r="I1896">
        <f>[2]TongHop!I1896</f>
        <v>0</v>
      </c>
      <c r="J1896">
        <f>[2]TongHop!J1896</f>
        <v>0</v>
      </c>
      <c r="K1896">
        <f>[2]TongHop!K1896</f>
        <v>0</v>
      </c>
      <c r="L1896">
        <f>[2]TongHop!L1896</f>
        <v>0</v>
      </c>
      <c r="M1896">
        <f>[2]TongHop!M1896</f>
        <v>0</v>
      </c>
      <c r="N1896">
        <f>[2]TongHop!N1896</f>
        <v>0</v>
      </c>
    </row>
    <row r="1897" spans="1:14">
      <c r="A1897">
        <f>[2]TongHop!A1897</f>
        <v>0</v>
      </c>
      <c r="B1897">
        <f>[2]TongHop!B1897</f>
        <v>0</v>
      </c>
      <c r="C1897">
        <f>[2]TongHop!C1897</f>
        <v>0</v>
      </c>
      <c r="D1897">
        <f>[2]TongHop!D1897</f>
        <v>0</v>
      </c>
      <c r="E1897">
        <f>[2]TongHop!E1897</f>
        <v>0</v>
      </c>
      <c r="F1897">
        <f>[2]TongHop!F1897</f>
        <v>0</v>
      </c>
      <c r="G1897">
        <f>[2]TongHop!G1897</f>
        <v>0</v>
      </c>
      <c r="H1897">
        <f>[2]TongHop!H1897</f>
        <v>0</v>
      </c>
      <c r="I1897">
        <f>[2]TongHop!I1897</f>
        <v>0</v>
      </c>
      <c r="J1897">
        <f>[2]TongHop!J1897</f>
        <v>0</v>
      </c>
      <c r="K1897">
        <f>[2]TongHop!K1897</f>
        <v>0</v>
      </c>
      <c r="L1897">
        <f>[2]TongHop!L1897</f>
        <v>0</v>
      </c>
      <c r="M1897">
        <f>[2]TongHop!M1897</f>
        <v>0</v>
      </c>
      <c r="N1897">
        <f>[2]TongHop!N1897</f>
        <v>0</v>
      </c>
    </row>
    <row r="1898" spans="1:14">
      <c r="A1898">
        <f>[2]TongHop!A1898</f>
        <v>0</v>
      </c>
      <c r="B1898">
        <f>[2]TongHop!B1898</f>
        <v>0</v>
      </c>
      <c r="C1898">
        <f>[2]TongHop!C1898</f>
        <v>0</v>
      </c>
      <c r="D1898">
        <f>[2]TongHop!D1898</f>
        <v>0</v>
      </c>
      <c r="E1898">
        <f>[2]TongHop!E1898</f>
        <v>0</v>
      </c>
      <c r="F1898">
        <f>[2]TongHop!F1898</f>
        <v>0</v>
      </c>
      <c r="G1898">
        <f>[2]TongHop!G1898</f>
        <v>0</v>
      </c>
      <c r="H1898">
        <f>[2]TongHop!H1898</f>
        <v>0</v>
      </c>
      <c r="I1898">
        <f>[2]TongHop!I1898</f>
        <v>0</v>
      </c>
      <c r="J1898">
        <f>[2]TongHop!J1898</f>
        <v>0</v>
      </c>
      <c r="K1898">
        <f>[2]TongHop!K1898</f>
        <v>0</v>
      </c>
      <c r="L1898">
        <f>[2]TongHop!L1898</f>
        <v>0</v>
      </c>
      <c r="M1898">
        <f>[2]TongHop!M1898</f>
        <v>0</v>
      </c>
      <c r="N1898">
        <f>[2]TongHop!N1898</f>
        <v>0</v>
      </c>
    </row>
    <row r="1899" spans="1:14">
      <c r="A1899">
        <f>[2]TongHop!A1899</f>
        <v>0</v>
      </c>
      <c r="B1899">
        <f>[2]TongHop!B1899</f>
        <v>0</v>
      </c>
      <c r="C1899">
        <f>[2]TongHop!C1899</f>
        <v>0</v>
      </c>
      <c r="D1899">
        <f>[2]TongHop!D1899</f>
        <v>0</v>
      </c>
      <c r="E1899">
        <f>[2]TongHop!E1899</f>
        <v>0</v>
      </c>
      <c r="F1899">
        <f>[2]TongHop!F1899</f>
        <v>0</v>
      </c>
      <c r="G1899">
        <f>[2]TongHop!G1899</f>
        <v>0</v>
      </c>
      <c r="H1899">
        <f>[2]TongHop!H1899</f>
        <v>0</v>
      </c>
      <c r="I1899">
        <f>[2]TongHop!I1899</f>
        <v>0</v>
      </c>
      <c r="J1899">
        <f>[2]TongHop!J1899</f>
        <v>0</v>
      </c>
      <c r="K1899">
        <f>[2]TongHop!K1899</f>
        <v>0</v>
      </c>
      <c r="L1899">
        <f>[2]TongHop!L1899</f>
        <v>0</v>
      </c>
      <c r="M1899">
        <f>[2]TongHop!M1899</f>
        <v>0</v>
      </c>
      <c r="N1899">
        <f>[2]TongHop!N1899</f>
        <v>0</v>
      </c>
    </row>
    <row r="1900" spans="1:14">
      <c r="A1900">
        <f>[2]TongHop!A1900</f>
        <v>0</v>
      </c>
      <c r="B1900">
        <f>[2]TongHop!B1900</f>
        <v>0</v>
      </c>
      <c r="C1900">
        <f>[2]TongHop!C1900</f>
        <v>0</v>
      </c>
      <c r="D1900">
        <f>[2]TongHop!D1900</f>
        <v>0</v>
      </c>
      <c r="E1900">
        <f>[2]TongHop!E1900</f>
        <v>0</v>
      </c>
      <c r="F1900">
        <f>[2]TongHop!F1900</f>
        <v>0</v>
      </c>
      <c r="G1900">
        <f>[2]TongHop!G1900</f>
        <v>0</v>
      </c>
      <c r="H1900">
        <f>[2]TongHop!H1900</f>
        <v>0</v>
      </c>
      <c r="I1900">
        <f>[2]TongHop!I1900</f>
        <v>0</v>
      </c>
      <c r="J1900">
        <f>[2]TongHop!J1900</f>
        <v>0</v>
      </c>
      <c r="K1900">
        <f>[2]TongHop!K1900</f>
        <v>0</v>
      </c>
      <c r="L1900">
        <f>[2]TongHop!L1900</f>
        <v>0</v>
      </c>
      <c r="M1900">
        <f>[2]TongHop!M1900</f>
        <v>0</v>
      </c>
      <c r="N1900">
        <f>[2]TongHop!N1900</f>
        <v>0</v>
      </c>
    </row>
    <row r="1901" spans="1:14">
      <c r="A1901">
        <f>[2]TongHop!A1901</f>
        <v>0</v>
      </c>
      <c r="B1901">
        <f>[2]TongHop!B1901</f>
        <v>0</v>
      </c>
      <c r="C1901">
        <f>[2]TongHop!C1901</f>
        <v>0</v>
      </c>
      <c r="D1901">
        <f>[2]TongHop!D1901</f>
        <v>0</v>
      </c>
      <c r="E1901">
        <f>[2]TongHop!E1901</f>
        <v>0</v>
      </c>
      <c r="F1901">
        <f>[2]TongHop!F1901</f>
        <v>0</v>
      </c>
      <c r="G1901">
        <f>[2]TongHop!G1901</f>
        <v>0</v>
      </c>
      <c r="H1901">
        <f>[2]TongHop!H1901</f>
        <v>0</v>
      </c>
      <c r="I1901">
        <f>[2]TongHop!I1901</f>
        <v>0</v>
      </c>
      <c r="J1901">
        <f>[2]TongHop!J1901</f>
        <v>0</v>
      </c>
      <c r="K1901">
        <f>[2]TongHop!K1901</f>
        <v>0</v>
      </c>
      <c r="L1901">
        <f>[2]TongHop!L1901</f>
        <v>0</v>
      </c>
      <c r="M1901">
        <f>[2]TongHop!M1901</f>
        <v>0</v>
      </c>
      <c r="N1901">
        <f>[2]TongHop!N1901</f>
        <v>0</v>
      </c>
    </row>
    <row r="1902" spans="1:14">
      <c r="A1902">
        <f>[2]TongHop!A1902</f>
        <v>0</v>
      </c>
      <c r="B1902">
        <f>[2]TongHop!B1902</f>
        <v>0</v>
      </c>
      <c r="C1902">
        <f>[2]TongHop!C1902</f>
        <v>0</v>
      </c>
      <c r="D1902">
        <f>[2]TongHop!D1902</f>
        <v>0</v>
      </c>
      <c r="E1902">
        <f>[2]TongHop!E1902</f>
        <v>0</v>
      </c>
      <c r="F1902">
        <f>[2]TongHop!F1902</f>
        <v>0</v>
      </c>
      <c r="G1902">
        <f>[2]TongHop!G1902</f>
        <v>0</v>
      </c>
      <c r="H1902">
        <f>[2]TongHop!H1902</f>
        <v>0</v>
      </c>
      <c r="I1902">
        <f>[2]TongHop!I1902</f>
        <v>0</v>
      </c>
      <c r="J1902">
        <f>[2]TongHop!J1902</f>
        <v>0</v>
      </c>
      <c r="K1902">
        <f>[2]TongHop!K1902</f>
        <v>0</v>
      </c>
      <c r="L1902">
        <f>[2]TongHop!L1902</f>
        <v>0</v>
      </c>
      <c r="M1902">
        <f>[2]TongHop!M1902</f>
        <v>0</v>
      </c>
      <c r="N1902">
        <f>[2]TongHop!N1902</f>
        <v>0</v>
      </c>
    </row>
    <row r="1903" spans="1:14">
      <c r="A1903">
        <f>[2]TongHop!A1903</f>
        <v>0</v>
      </c>
      <c r="B1903">
        <f>[2]TongHop!B1903</f>
        <v>0</v>
      </c>
      <c r="C1903">
        <f>[2]TongHop!C1903</f>
        <v>0</v>
      </c>
      <c r="D1903">
        <f>[2]TongHop!D1903</f>
        <v>0</v>
      </c>
      <c r="E1903">
        <f>[2]TongHop!E1903</f>
        <v>0</v>
      </c>
      <c r="F1903">
        <f>[2]TongHop!F1903</f>
        <v>0</v>
      </c>
      <c r="G1903">
        <f>[2]TongHop!G1903</f>
        <v>0</v>
      </c>
      <c r="H1903">
        <f>[2]TongHop!H1903</f>
        <v>0</v>
      </c>
      <c r="I1903">
        <f>[2]TongHop!I1903</f>
        <v>0</v>
      </c>
      <c r="J1903">
        <f>[2]TongHop!J1903</f>
        <v>0</v>
      </c>
      <c r="K1903">
        <f>[2]TongHop!K1903</f>
        <v>0</v>
      </c>
      <c r="L1903">
        <f>[2]TongHop!L1903</f>
        <v>0</v>
      </c>
      <c r="M1903">
        <f>[2]TongHop!M1903</f>
        <v>0</v>
      </c>
      <c r="N1903">
        <f>[2]TongHop!N1903</f>
        <v>0</v>
      </c>
    </row>
    <row r="1904" spans="1:14">
      <c r="A1904">
        <f>[2]TongHop!A1904</f>
        <v>0</v>
      </c>
      <c r="B1904">
        <f>[2]TongHop!B1904</f>
        <v>0</v>
      </c>
      <c r="C1904">
        <f>[2]TongHop!C1904</f>
        <v>0</v>
      </c>
      <c r="D1904">
        <f>[2]TongHop!D1904</f>
        <v>0</v>
      </c>
      <c r="E1904">
        <f>[2]TongHop!E1904</f>
        <v>0</v>
      </c>
      <c r="F1904">
        <f>[2]TongHop!F1904</f>
        <v>0</v>
      </c>
      <c r="G1904">
        <f>[2]TongHop!G1904</f>
        <v>0</v>
      </c>
      <c r="H1904">
        <f>[2]TongHop!H1904</f>
        <v>0</v>
      </c>
      <c r="I1904">
        <f>[2]TongHop!I1904</f>
        <v>0</v>
      </c>
      <c r="J1904">
        <f>[2]TongHop!J1904</f>
        <v>0</v>
      </c>
      <c r="K1904">
        <f>[2]TongHop!K1904</f>
        <v>0</v>
      </c>
      <c r="L1904">
        <f>[2]TongHop!L1904</f>
        <v>0</v>
      </c>
      <c r="M1904">
        <f>[2]TongHop!M1904</f>
        <v>0</v>
      </c>
      <c r="N1904">
        <f>[2]TongHop!N1904</f>
        <v>0</v>
      </c>
    </row>
    <row r="1905" spans="1:14">
      <c r="A1905">
        <f>[2]TongHop!A1905</f>
        <v>0</v>
      </c>
      <c r="B1905">
        <f>[2]TongHop!B1905</f>
        <v>0</v>
      </c>
      <c r="C1905">
        <f>[2]TongHop!C1905</f>
        <v>0</v>
      </c>
      <c r="D1905">
        <f>[2]TongHop!D1905</f>
        <v>0</v>
      </c>
      <c r="E1905">
        <f>[2]TongHop!E1905</f>
        <v>0</v>
      </c>
      <c r="F1905">
        <f>[2]TongHop!F1905</f>
        <v>0</v>
      </c>
      <c r="G1905">
        <f>[2]TongHop!G1905</f>
        <v>0</v>
      </c>
      <c r="H1905">
        <f>[2]TongHop!H1905</f>
        <v>0</v>
      </c>
      <c r="I1905">
        <f>[2]TongHop!I1905</f>
        <v>0</v>
      </c>
      <c r="J1905">
        <f>[2]TongHop!J1905</f>
        <v>0</v>
      </c>
      <c r="K1905">
        <f>[2]TongHop!K1905</f>
        <v>0</v>
      </c>
      <c r="L1905">
        <f>[2]TongHop!L1905</f>
        <v>0</v>
      </c>
      <c r="M1905">
        <f>[2]TongHop!M1905</f>
        <v>0</v>
      </c>
      <c r="N1905">
        <f>[2]TongHop!N1905</f>
        <v>0</v>
      </c>
    </row>
    <row r="1906" spans="1:14">
      <c r="A1906">
        <f>[2]TongHop!A1906</f>
        <v>0</v>
      </c>
      <c r="B1906">
        <f>[2]TongHop!B1906</f>
        <v>0</v>
      </c>
      <c r="C1906">
        <f>[2]TongHop!C1906</f>
        <v>0</v>
      </c>
      <c r="D1906">
        <f>[2]TongHop!D1906</f>
        <v>0</v>
      </c>
      <c r="E1906">
        <f>[2]TongHop!E1906</f>
        <v>0</v>
      </c>
      <c r="F1906">
        <f>[2]TongHop!F1906</f>
        <v>0</v>
      </c>
      <c r="G1906">
        <f>[2]TongHop!G1906</f>
        <v>0</v>
      </c>
      <c r="H1906">
        <f>[2]TongHop!H1906</f>
        <v>0</v>
      </c>
      <c r="I1906">
        <f>[2]TongHop!I1906</f>
        <v>0</v>
      </c>
      <c r="J1906">
        <f>[2]TongHop!J1906</f>
        <v>0</v>
      </c>
      <c r="K1906">
        <f>[2]TongHop!K1906</f>
        <v>0</v>
      </c>
      <c r="L1906">
        <f>[2]TongHop!L1906</f>
        <v>0</v>
      </c>
      <c r="M1906">
        <f>[2]TongHop!M1906</f>
        <v>0</v>
      </c>
      <c r="N1906">
        <f>[2]TongHop!N1906</f>
        <v>0</v>
      </c>
    </row>
    <row r="1907" spans="1:14">
      <c r="A1907">
        <f>[2]TongHop!A1907</f>
        <v>0</v>
      </c>
      <c r="B1907">
        <f>[2]TongHop!B1907</f>
        <v>0</v>
      </c>
      <c r="C1907">
        <f>[2]TongHop!C1907</f>
        <v>0</v>
      </c>
      <c r="D1907">
        <f>[2]TongHop!D1907</f>
        <v>0</v>
      </c>
      <c r="E1907">
        <f>[2]TongHop!E1907</f>
        <v>0</v>
      </c>
      <c r="F1907">
        <f>[2]TongHop!F1907</f>
        <v>0</v>
      </c>
      <c r="G1907">
        <f>[2]TongHop!G1907</f>
        <v>0</v>
      </c>
      <c r="H1907">
        <f>[2]TongHop!H1907</f>
        <v>0</v>
      </c>
      <c r="I1907">
        <f>[2]TongHop!I1907</f>
        <v>0</v>
      </c>
      <c r="J1907">
        <f>[2]TongHop!J1907</f>
        <v>0</v>
      </c>
      <c r="K1907">
        <f>[2]TongHop!K1907</f>
        <v>0</v>
      </c>
      <c r="L1907">
        <f>[2]TongHop!L1907</f>
        <v>0</v>
      </c>
      <c r="M1907">
        <f>[2]TongHop!M1907</f>
        <v>0</v>
      </c>
      <c r="N1907">
        <f>[2]TongHop!N1907</f>
        <v>0</v>
      </c>
    </row>
    <row r="1908" spans="1:14">
      <c r="A1908">
        <f>[2]TongHop!A1908</f>
        <v>0</v>
      </c>
      <c r="B1908">
        <f>[2]TongHop!B1908</f>
        <v>0</v>
      </c>
      <c r="C1908">
        <f>[2]TongHop!C1908</f>
        <v>0</v>
      </c>
      <c r="D1908">
        <f>[2]TongHop!D1908</f>
        <v>0</v>
      </c>
      <c r="E1908">
        <f>[2]TongHop!E1908</f>
        <v>0</v>
      </c>
      <c r="F1908">
        <f>[2]TongHop!F1908</f>
        <v>0</v>
      </c>
      <c r="G1908">
        <f>[2]TongHop!G1908</f>
        <v>0</v>
      </c>
      <c r="H1908">
        <f>[2]TongHop!H1908</f>
        <v>0</v>
      </c>
      <c r="I1908">
        <f>[2]TongHop!I1908</f>
        <v>0</v>
      </c>
      <c r="J1908">
        <f>[2]TongHop!J1908</f>
        <v>0</v>
      </c>
      <c r="K1908">
        <f>[2]TongHop!K1908</f>
        <v>0</v>
      </c>
      <c r="L1908">
        <f>[2]TongHop!L1908</f>
        <v>0</v>
      </c>
      <c r="M1908">
        <f>[2]TongHop!M1908</f>
        <v>0</v>
      </c>
      <c r="N1908">
        <f>[2]TongHop!N1908</f>
        <v>0</v>
      </c>
    </row>
    <row r="1909" spans="1:14">
      <c r="A1909">
        <f>[2]TongHop!A1909</f>
        <v>0</v>
      </c>
      <c r="B1909">
        <f>[2]TongHop!B1909</f>
        <v>0</v>
      </c>
      <c r="C1909">
        <f>[2]TongHop!C1909</f>
        <v>0</v>
      </c>
      <c r="D1909">
        <f>[2]TongHop!D1909</f>
        <v>0</v>
      </c>
      <c r="E1909">
        <f>[2]TongHop!E1909</f>
        <v>0</v>
      </c>
      <c r="F1909">
        <f>[2]TongHop!F1909</f>
        <v>0</v>
      </c>
      <c r="G1909">
        <f>[2]TongHop!G1909</f>
        <v>0</v>
      </c>
      <c r="H1909">
        <f>[2]TongHop!H1909</f>
        <v>0</v>
      </c>
      <c r="I1909">
        <f>[2]TongHop!I1909</f>
        <v>0</v>
      </c>
      <c r="J1909">
        <f>[2]TongHop!J1909</f>
        <v>0</v>
      </c>
      <c r="K1909">
        <f>[2]TongHop!K1909</f>
        <v>0</v>
      </c>
      <c r="L1909">
        <f>[2]TongHop!L1909</f>
        <v>0</v>
      </c>
      <c r="M1909">
        <f>[2]TongHop!M1909</f>
        <v>0</v>
      </c>
      <c r="N1909">
        <f>[2]TongHop!N1909</f>
        <v>0</v>
      </c>
    </row>
    <row r="1910" spans="1:14">
      <c r="A1910">
        <f>[2]TongHop!A1910</f>
        <v>0</v>
      </c>
      <c r="B1910">
        <f>[2]TongHop!B1910</f>
        <v>0</v>
      </c>
      <c r="C1910">
        <f>[2]TongHop!C1910</f>
        <v>0</v>
      </c>
      <c r="D1910">
        <f>[2]TongHop!D1910</f>
        <v>0</v>
      </c>
      <c r="E1910">
        <f>[2]TongHop!E1910</f>
        <v>0</v>
      </c>
      <c r="F1910">
        <f>[2]TongHop!F1910</f>
        <v>0</v>
      </c>
      <c r="G1910">
        <f>[2]TongHop!G1910</f>
        <v>0</v>
      </c>
      <c r="H1910">
        <f>[2]TongHop!H1910</f>
        <v>0</v>
      </c>
      <c r="I1910">
        <f>[2]TongHop!I1910</f>
        <v>0</v>
      </c>
      <c r="J1910">
        <f>[2]TongHop!J1910</f>
        <v>0</v>
      </c>
      <c r="K1910">
        <f>[2]TongHop!K1910</f>
        <v>0</v>
      </c>
      <c r="L1910">
        <f>[2]TongHop!L1910</f>
        <v>0</v>
      </c>
      <c r="M1910">
        <f>[2]TongHop!M1910</f>
        <v>0</v>
      </c>
      <c r="N1910">
        <f>[2]TongHop!N1910</f>
        <v>0</v>
      </c>
    </row>
    <row r="1911" spans="1:14">
      <c r="A1911">
        <f>[2]TongHop!A1911</f>
        <v>0</v>
      </c>
      <c r="B1911">
        <f>[2]TongHop!B1911</f>
        <v>0</v>
      </c>
      <c r="C1911">
        <f>[2]TongHop!C1911</f>
        <v>0</v>
      </c>
      <c r="D1911">
        <f>[2]TongHop!D1911</f>
        <v>0</v>
      </c>
      <c r="E1911">
        <f>[2]TongHop!E1911</f>
        <v>0</v>
      </c>
      <c r="F1911">
        <f>[2]TongHop!F1911</f>
        <v>0</v>
      </c>
      <c r="G1911">
        <f>[2]TongHop!G1911</f>
        <v>0</v>
      </c>
      <c r="H1911">
        <f>[2]TongHop!H1911</f>
        <v>0</v>
      </c>
      <c r="I1911">
        <f>[2]TongHop!I1911</f>
        <v>0</v>
      </c>
      <c r="J1911">
        <f>[2]TongHop!J1911</f>
        <v>0</v>
      </c>
      <c r="K1911">
        <f>[2]TongHop!K1911</f>
        <v>0</v>
      </c>
      <c r="L1911">
        <f>[2]TongHop!L1911</f>
        <v>0</v>
      </c>
      <c r="M1911">
        <f>[2]TongHop!M1911</f>
        <v>0</v>
      </c>
      <c r="N1911">
        <f>[2]TongHop!N1911</f>
        <v>0</v>
      </c>
    </row>
    <row r="1912" spans="1:14">
      <c r="A1912">
        <f>[2]TongHop!A1912</f>
        <v>0</v>
      </c>
      <c r="B1912">
        <f>[2]TongHop!B1912</f>
        <v>0</v>
      </c>
      <c r="C1912">
        <f>[2]TongHop!C1912</f>
        <v>0</v>
      </c>
      <c r="D1912">
        <f>[2]TongHop!D1912</f>
        <v>0</v>
      </c>
      <c r="E1912">
        <f>[2]TongHop!E1912</f>
        <v>0</v>
      </c>
      <c r="F1912">
        <f>[2]TongHop!F1912</f>
        <v>0</v>
      </c>
      <c r="G1912">
        <f>[2]TongHop!G1912</f>
        <v>0</v>
      </c>
      <c r="H1912">
        <f>[2]TongHop!H1912</f>
        <v>0</v>
      </c>
      <c r="I1912">
        <f>[2]TongHop!I1912</f>
        <v>0</v>
      </c>
      <c r="J1912">
        <f>[2]TongHop!J1912</f>
        <v>0</v>
      </c>
      <c r="K1912">
        <f>[2]TongHop!K1912</f>
        <v>0</v>
      </c>
      <c r="L1912">
        <f>[2]TongHop!L1912</f>
        <v>0</v>
      </c>
      <c r="M1912">
        <f>[2]TongHop!M1912</f>
        <v>0</v>
      </c>
      <c r="N1912">
        <f>[2]TongHop!N1912</f>
        <v>0</v>
      </c>
    </row>
    <row r="1913" spans="1:14">
      <c r="A1913">
        <f>[2]TongHop!A1913</f>
        <v>0</v>
      </c>
      <c r="B1913">
        <f>[2]TongHop!B1913</f>
        <v>0</v>
      </c>
      <c r="C1913">
        <f>[2]TongHop!C1913</f>
        <v>0</v>
      </c>
      <c r="D1913">
        <f>[2]TongHop!D1913</f>
        <v>0</v>
      </c>
      <c r="E1913">
        <f>[2]TongHop!E1913</f>
        <v>0</v>
      </c>
      <c r="F1913">
        <f>[2]TongHop!F1913</f>
        <v>0</v>
      </c>
      <c r="G1913">
        <f>[2]TongHop!G1913</f>
        <v>0</v>
      </c>
      <c r="H1913">
        <f>[2]TongHop!H1913</f>
        <v>0</v>
      </c>
      <c r="I1913">
        <f>[2]TongHop!I1913</f>
        <v>0</v>
      </c>
      <c r="J1913">
        <f>[2]TongHop!J1913</f>
        <v>0</v>
      </c>
      <c r="K1913">
        <f>[2]TongHop!K1913</f>
        <v>0</v>
      </c>
      <c r="L1913">
        <f>[2]TongHop!L1913</f>
        <v>0</v>
      </c>
      <c r="M1913">
        <f>[2]TongHop!M1913</f>
        <v>0</v>
      </c>
      <c r="N1913">
        <f>[2]TongHop!N1913</f>
        <v>0</v>
      </c>
    </row>
    <row r="1914" spans="1:14">
      <c r="A1914">
        <f>[2]TongHop!A1914</f>
        <v>0</v>
      </c>
      <c r="B1914">
        <f>[2]TongHop!B1914</f>
        <v>0</v>
      </c>
      <c r="C1914">
        <f>[2]TongHop!C1914</f>
        <v>0</v>
      </c>
      <c r="D1914">
        <f>[2]TongHop!D1914</f>
        <v>0</v>
      </c>
      <c r="E1914">
        <f>[2]TongHop!E1914</f>
        <v>0</v>
      </c>
      <c r="F1914">
        <f>[2]TongHop!F1914</f>
        <v>0</v>
      </c>
      <c r="G1914">
        <f>[2]TongHop!G1914</f>
        <v>0</v>
      </c>
      <c r="H1914">
        <f>[2]TongHop!H1914</f>
        <v>0</v>
      </c>
      <c r="I1914">
        <f>[2]TongHop!I1914</f>
        <v>0</v>
      </c>
      <c r="J1914">
        <f>[2]TongHop!J1914</f>
        <v>0</v>
      </c>
      <c r="K1914">
        <f>[2]TongHop!K1914</f>
        <v>0</v>
      </c>
      <c r="L1914">
        <f>[2]TongHop!L1914</f>
        <v>0</v>
      </c>
      <c r="M1914">
        <f>[2]TongHop!M1914</f>
        <v>0</v>
      </c>
      <c r="N1914">
        <f>[2]TongHop!N1914</f>
        <v>0</v>
      </c>
    </row>
    <row r="1915" spans="1:14">
      <c r="A1915">
        <f>[2]TongHop!A1915</f>
        <v>0</v>
      </c>
      <c r="B1915">
        <f>[2]TongHop!B1915</f>
        <v>0</v>
      </c>
      <c r="C1915">
        <f>[2]TongHop!C1915</f>
        <v>0</v>
      </c>
      <c r="D1915">
        <f>[2]TongHop!D1915</f>
        <v>0</v>
      </c>
      <c r="E1915">
        <f>[2]TongHop!E1915</f>
        <v>0</v>
      </c>
      <c r="F1915">
        <f>[2]TongHop!F1915</f>
        <v>0</v>
      </c>
      <c r="G1915">
        <f>[2]TongHop!G1915</f>
        <v>0</v>
      </c>
      <c r="H1915">
        <f>[2]TongHop!H1915</f>
        <v>0</v>
      </c>
      <c r="I1915">
        <f>[2]TongHop!I1915</f>
        <v>0</v>
      </c>
      <c r="J1915">
        <f>[2]TongHop!J1915</f>
        <v>0</v>
      </c>
      <c r="K1915">
        <f>[2]TongHop!K1915</f>
        <v>0</v>
      </c>
      <c r="L1915">
        <f>[2]TongHop!L1915</f>
        <v>0</v>
      </c>
      <c r="M1915">
        <f>[2]TongHop!M1915</f>
        <v>0</v>
      </c>
      <c r="N1915">
        <f>[2]TongHop!N1915</f>
        <v>0</v>
      </c>
    </row>
    <row r="1916" spans="1:14">
      <c r="A1916">
        <f>[2]TongHop!A1916</f>
        <v>0</v>
      </c>
      <c r="B1916">
        <f>[2]TongHop!B1916</f>
        <v>0</v>
      </c>
      <c r="C1916">
        <f>[2]TongHop!C1916</f>
        <v>0</v>
      </c>
      <c r="D1916">
        <f>[2]TongHop!D1916</f>
        <v>0</v>
      </c>
      <c r="E1916">
        <f>[2]TongHop!E1916</f>
        <v>0</v>
      </c>
      <c r="F1916">
        <f>[2]TongHop!F1916</f>
        <v>0</v>
      </c>
      <c r="G1916">
        <f>[2]TongHop!G1916</f>
        <v>0</v>
      </c>
      <c r="H1916">
        <f>[2]TongHop!H1916</f>
        <v>0</v>
      </c>
      <c r="I1916">
        <f>[2]TongHop!I1916</f>
        <v>0</v>
      </c>
      <c r="J1916">
        <f>[2]TongHop!J1916</f>
        <v>0</v>
      </c>
      <c r="K1916">
        <f>[2]TongHop!K1916</f>
        <v>0</v>
      </c>
      <c r="L1916">
        <f>[2]TongHop!L1916</f>
        <v>0</v>
      </c>
      <c r="M1916">
        <f>[2]TongHop!M1916</f>
        <v>0</v>
      </c>
      <c r="N1916">
        <f>[2]TongHop!N1916</f>
        <v>0</v>
      </c>
    </row>
    <row r="1917" spans="1:14">
      <c r="A1917">
        <f>[2]TongHop!A1917</f>
        <v>0</v>
      </c>
      <c r="B1917">
        <f>[2]TongHop!B1917</f>
        <v>0</v>
      </c>
      <c r="C1917">
        <f>[2]TongHop!C1917</f>
        <v>0</v>
      </c>
      <c r="D1917">
        <f>[2]TongHop!D1917</f>
        <v>0</v>
      </c>
      <c r="E1917">
        <f>[2]TongHop!E1917</f>
        <v>0</v>
      </c>
      <c r="F1917">
        <f>[2]TongHop!F1917</f>
        <v>0</v>
      </c>
      <c r="G1917">
        <f>[2]TongHop!G1917</f>
        <v>0</v>
      </c>
      <c r="H1917">
        <f>[2]TongHop!H1917</f>
        <v>0</v>
      </c>
      <c r="I1917">
        <f>[2]TongHop!I1917</f>
        <v>0</v>
      </c>
      <c r="J1917">
        <f>[2]TongHop!J1917</f>
        <v>0</v>
      </c>
      <c r="K1917">
        <f>[2]TongHop!K1917</f>
        <v>0</v>
      </c>
      <c r="L1917">
        <f>[2]TongHop!L1917</f>
        <v>0</v>
      </c>
      <c r="M1917">
        <f>[2]TongHop!M1917</f>
        <v>0</v>
      </c>
      <c r="N1917">
        <f>[2]TongHop!N1917</f>
        <v>0</v>
      </c>
    </row>
    <row r="1918" spans="1:14">
      <c r="A1918">
        <f>[2]TongHop!A1918</f>
        <v>0</v>
      </c>
      <c r="B1918">
        <f>[2]TongHop!B1918</f>
        <v>0</v>
      </c>
      <c r="C1918">
        <f>[2]TongHop!C1918</f>
        <v>0</v>
      </c>
      <c r="D1918">
        <f>[2]TongHop!D1918</f>
        <v>0</v>
      </c>
      <c r="E1918">
        <f>[2]TongHop!E1918</f>
        <v>0</v>
      </c>
      <c r="F1918">
        <f>[2]TongHop!F1918</f>
        <v>0</v>
      </c>
      <c r="G1918">
        <f>[2]TongHop!G1918</f>
        <v>0</v>
      </c>
      <c r="H1918">
        <f>[2]TongHop!H1918</f>
        <v>0</v>
      </c>
      <c r="I1918">
        <f>[2]TongHop!I1918</f>
        <v>0</v>
      </c>
      <c r="J1918">
        <f>[2]TongHop!J1918</f>
        <v>0</v>
      </c>
      <c r="K1918">
        <f>[2]TongHop!K1918</f>
        <v>0</v>
      </c>
      <c r="L1918">
        <f>[2]TongHop!L1918</f>
        <v>0</v>
      </c>
      <c r="M1918">
        <f>[2]TongHop!M1918</f>
        <v>0</v>
      </c>
      <c r="N1918">
        <f>[2]TongHop!N1918</f>
        <v>0</v>
      </c>
    </row>
    <row r="1919" spans="1:14">
      <c r="A1919">
        <f>[2]TongHop!A1919</f>
        <v>0</v>
      </c>
      <c r="B1919">
        <f>[2]TongHop!B1919</f>
        <v>0</v>
      </c>
      <c r="C1919">
        <f>[2]TongHop!C1919</f>
        <v>0</v>
      </c>
      <c r="D1919">
        <f>[2]TongHop!D1919</f>
        <v>0</v>
      </c>
      <c r="E1919">
        <f>[2]TongHop!E1919</f>
        <v>0</v>
      </c>
      <c r="F1919">
        <f>[2]TongHop!F1919</f>
        <v>0</v>
      </c>
      <c r="G1919">
        <f>[2]TongHop!G1919</f>
        <v>0</v>
      </c>
      <c r="H1919">
        <f>[2]TongHop!H1919</f>
        <v>0</v>
      </c>
      <c r="I1919">
        <f>[2]TongHop!I1919</f>
        <v>0</v>
      </c>
      <c r="J1919">
        <f>[2]TongHop!J1919</f>
        <v>0</v>
      </c>
      <c r="K1919">
        <f>[2]TongHop!K1919</f>
        <v>0</v>
      </c>
      <c r="L1919">
        <f>[2]TongHop!L1919</f>
        <v>0</v>
      </c>
      <c r="M1919">
        <f>[2]TongHop!M1919</f>
        <v>0</v>
      </c>
      <c r="N1919">
        <f>[2]TongHop!N1919</f>
        <v>0</v>
      </c>
    </row>
    <row r="1920" spans="1:14">
      <c r="A1920">
        <f>[2]TongHop!A1920</f>
        <v>0</v>
      </c>
      <c r="B1920">
        <f>[2]TongHop!B1920</f>
        <v>0</v>
      </c>
      <c r="C1920">
        <f>[2]TongHop!C1920</f>
        <v>0</v>
      </c>
      <c r="D1920">
        <f>[2]TongHop!D1920</f>
        <v>0</v>
      </c>
      <c r="E1920">
        <f>[2]TongHop!E1920</f>
        <v>0</v>
      </c>
      <c r="F1920">
        <f>[2]TongHop!F1920</f>
        <v>0</v>
      </c>
      <c r="G1920">
        <f>[2]TongHop!G1920</f>
        <v>0</v>
      </c>
      <c r="H1920">
        <f>[2]TongHop!H1920</f>
        <v>0</v>
      </c>
      <c r="I1920">
        <f>[2]TongHop!I1920</f>
        <v>0</v>
      </c>
      <c r="J1920">
        <f>[2]TongHop!J1920</f>
        <v>0</v>
      </c>
      <c r="K1920">
        <f>[2]TongHop!K1920</f>
        <v>0</v>
      </c>
      <c r="L1920">
        <f>[2]TongHop!L1920</f>
        <v>0</v>
      </c>
      <c r="M1920">
        <f>[2]TongHop!M1920</f>
        <v>0</v>
      </c>
      <c r="N1920">
        <f>[2]TongHop!N1920</f>
        <v>0</v>
      </c>
    </row>
    <row r="1921" spans="1:14">
      <c r="A1921">
        <f>[2]TongHop!A1921</f>
        <v>0</v>
      </c>
      <c r="B1921">
        <f>[2]TongHop!B1921</f>
        <v>0</v>
      </c>
      <c r="C1921">
        <f>[2]TongHop!C1921</f>
        <v>0</v>
      </c>
      <c r="D1921">
        <f>[2]TongHop!D1921</f>
        <v>0</v>
      </c>
      <c r="E1921">
        <f>[2]TongHop!E1921</f>
        <v>0</v>
      </c>
      <c r="F1921">
        <f>[2]TongHop!F1921</f>
        <v>0</v>
      </c>
      <c r="G1921">
        <f>[2]TongHop!G1921</f>
        <v>0</v>
      </c>
      <c r="H1921">
        <f>[2]TongHop!H1921</f>
        <v>0</v>
      </c>
      <c r="I1921">
        <f>[2]TongHop!I1921</f>
        <v>0</v>
      </c>
      <c r="J1921">
        <f>[2]TongHop!J1921</f>
        <v>0</v>
      </c>
      <c r="K1921">
        <f>[2]TongHop!K1921</f>
        <v>0</v>
      </c>
      <c r="L1921">
        <f>[2]TongHop!L1921</f>
        <v>0</v>
      </c>
      <c r="M1921">
        <f>[2]TongHop!M1921</f>
        <v>0</v>
      </c>
      <c r="N1921">
        <f>[2]TongHop!N1921</f>
        <v>0</v>
      </c>
    </row>
    <row r="1922" spans="1:14">
      <c r="A1922">
        <f>[2]TongHop!A1922</f>
        <v>0</v>
      </c>
      <c r="B1922">
        <f>[2]TongHop!B1922</f>
        <v>0</v>
      </c>
      <c r="C1922">
        <f>[2]TongHop!C1922</f>
        <v>0</v>
      </c>
      <c r="D1922">
        <f>[2]TongHop!D1922</f>
        <v>0</v>
      </c>
      <c r="E1922">
        <f>[2]TongHop!E1922</f>
        <v>0</v>
      </c>
      <c r="F1922">
        <f>[2]TongHop!F1922</f>
        <v>0</v>
      </c>
      <c r="G1922">
        <f>[2]TongHop!G1922</f>
        <v>0</v>
      </c>
      <c r="H1922">
        <f>[2]TongHop!H1922</f>
        <v>0</v>
      </c>
      <c r="I1922">
        <f>[2]TongHop!I1922</f>
        <v>0</v>
      </c>
      <c r="J1922">
        <f>[2]TongHop!J1922</f>
        <v>0</v>
      </c>
      <c r="K1922">
        <f>[2]TongHop!K1922</f>
        <v>0</v>
      </c>
      <c r="L1922">
        <f>[2]TongHop!L1922</f>
        <v>0</v>
      </c>
      <c r="M1922">
        <f>[2]TongHop!M1922</f>
        <v>0</v>
      </c>
      <c r="N1922">
        <f>[2]TongHop!N1922</f>
        <v>0</v>
      </c>
    </row>
    <row r="1923" spans="1:14">
      <c r="A1923">
        <f>[2]TongHop!A1923</f>
        <v>0</v>
      </c>
      <c r="B1923">
        <f>[2]TongHop!B1923</f>
        <v>0</v>
      </c>
      <c r="C1923">
        <f>[2]TongHop!C1923</f>
        <v>0</v>
      </c>
      <c r="D1923">
        <f>[2]TongHop!D1923</f>
        <v>0</v>
      </c>
      <c r="E1923">
        <f>[2]TongHop!E1923</f>
        <v>0</v>
      </c>
      <c r="F1923">
        <f>[2]TongHop!F1923</f>
        <v>0</v>
      </c>
      <c r="G1923">
        <f>[2]TongHop!G1923</f>
        <v>0</v>
      </c>
      <c r="H1923">
        <f>[2]TongHop!H1923</f>
        <v>0</v>
      </c>
      <c r="I1923">
        <f>[2]TongHop!I1923</f>
        <v>0</v>
      </c>
      <c r="J1923">
        <f>[2]TongHop!J1923</f>
        <v>0</v>
      </c>
      <c r="K1923">
        <f>[2]TongHop!K1923</f>
        <v>0</v>
      </c>
      <c r="L1923">
        <f>[2]TongHop!L1923</f>
        <v>0</v>
      </c>
      <c r="M1923">
        <f>[2]TongHop!M1923</f>
        <v>0</v>
      </c>
      <c r="N1923">
        <f>[2]TongHop!N1923</f>
        <v>0</v>
      </c>
    </row>
    <row r="1924" spans="1:14">
      <c r="A1924">
        <f>[2]TongHop!A1924</f>
        <v>0</v>
      </c>
      <c r="B1924">
        <f>[2]TongHop!B1924</f>
        <v>0</v>
      </c>
      <c r="C1924">
        <f>[2]TongHop!C1924</f>
        <v>0</v>
      </c>
      <c r="D1924">
        <f>[2]TongHop!D1924</f>
        <v>0</v>
      </c>
      <c r="E1924">
        <f>[2]TongHop!E1924</f>
        <v>0</v>
      </c>
      <c r="F1924">
        <f>[2]TongHop!F1924</f>
        <v>0</v>
      </c>
      <c r="G1924">
        <f>[2]TongHop!G1924</f>
        <v>0</v>
      </c>
      <c r="H1924">
        <f>[2]TongHop!H1924</f>
        <v>0</v>
      </c>
      <c r="I1924">
        <f>[2]TongHop!I1924</f>
        <v>0</v>
      </c>
      <c r="J1924">
        <f>[2]TongHop!J1924</f>
        <v>0</v>
      </c>
      <c r="K1924">
        <f>[2]TongHop!K1924</f>
        <v>0</v>
      </c>
      <c r="L1924">
        <f>[2]TongHop!L1924</f>
        <v>0</v>
      </c>
      <c r="M1924">
        <f>[2]TongHop!M1924</f>
        <v>0</v>
      </c>
      <c r="N1924">
        <f>[2]TongHop!N1924</f>
        <v>0</v>
      </c>
    </row>
    <row r="1925" spans="1:14">
      <c r="A1925">
        <f>[2]TongHop!A1925</f>
        <v>0</v>
      </c>
      <c r="B1925">
        <f>[2]TongHop!B1925</f>
        <v>0</v>
      </c>
      <c r="C1925">
        <f>[2]TongHop!C1925</f>
        <v>0</v>
      </c>
      <c r="D1925">
        <f>[2]TongHop!D1925</f>
        <v>0</v>
      </c>
      <c r="E1925">
        <f>[2]TongHop!E1925</f>
        <v>0</v>
      </c>
      <c r="F1925">
        <f>[2]TongHop!F1925</f>
        <v>0</v>
      </c>
      <c r="G1925">
        <f>[2]TongHop!G1925</f>
        <v>0</v>
      </c>
      <c r="H1925">
        <f>[2]TongHop!H1925</f>
        <v>0</v>
      </c>
      <c r="I1925">
        <f>[2]TongHop!I1925</f>
        <v>0</v>
      </c>
      <c r="J1925">
        <f>[2]TongHop!J1925</f>
        <v>0</v>
      </c>
      <c r="K1925">
        <f>[2]TongHop!K1925</f>
        <v>0</v>
      </c>
      <c r="L1925">
        <f>[2]TongHop!L1925</f>
        <v>0</v>
      </c>
      <c r="M1925">
        <f>[2]TongHop!M1925</f>
        <v>0</v>
      </c>
      <c r="N1925">
        <f>[2]TongHop!N1925</f>
        <v>0</v>
      </c>
    </row>
    <row r="1926" spans="1:14">
      <c r="A1926">
        <f>[2]TongHop!A1926</f>
        <v>0</v>
      </c>
      <c r="B1926">
        <f>[2]TongHop!B1926</f>
        <v>0</v>
      </c>
      <c r="C1926">
        <f>[2]TongHop!C1926</f>
        <v>0</v>
      </c>
      <c r="D1926">
        <f>[2]TongHop!D1926</f>
        <v>0</v>
      </c>
      <c r="E1926">
        <f>[2]TongHop!E1926</f>
        <v>0</v>
      </c>
      <c r="F1926">
        <f>[2]TongHop!F1926</f>
        <v>0</v>
      </c>
      <c r="G1926">
        <f>[2]TongHop!G1926</f>
        <v>0</v>
      </c>
      <c r="H1926">
        <f>[2]TongHop!H1926</f>
        <v>0</v>
      </c>
      <c r="I1926">
        <f>[2]TongHop!I1926</f>
        <v>0</v>
      </c>
      <c r="J1926">
        <f>[2]TongHop!J1926</f>
        <v>0</v>
      </c>
      <c r="K1926">
        <f>[2]TongHop!K1926</f>
        <v>0</v>
      </c>
      <c r="L1926">
        <f>[2]TongHop!L1926</f>
        <v>0</v>
      </c>
      <c r="M1926">
        <f>[2]TongHop!M1926</f>
        <v>0</v>
      </c>
      <c r="N1926">
        <f>[2]TongHop!N1926</f>
        <v>0</v>
      </c>
    </row>
    <row r="1927" spans="1:14">
      <c r="A1927">
        <f>[2]TongHop!A1927</f>
        <v>0</v>
      </c>
      <c r="B1927">
        <f>[2]TongHop!B1927</f>
        <v>0</v>
      </c>
      <c r="C1927">
        <f>[2]TongHop!C1927</f>
        <v>0</v>
      </c>
      <c r="D1927">
        <f>[2]TongHop!D1927</f>
        <v>0</v>
      </c>
      <c r="E1927">
        <f>[2]TongHop!E1927</f>
        <v>0</v>
      </c>
      <c r="F1927">
        <f>[2]TongHop!F1927</f>
        <v>0</v>
      </c>
      <c r="G1927">
        <f>[2]TongHop!G1927</f>
        <v>0</v>
      </c>
      <c r="H1927">
        <f>[2]TongHop!H1927</f>
        <v>0</v>
      </c>
      <c r="I1927">
        <f>[2]TongHop!I1927</f>
        <v>0</v>
      </c>
      <c r="J1927">
        <f>[2]TongHop!J1927</f>
        <v>0</v>
      </c>
      <c r="K1927">
        <f>[2]TongHop!K1927</f>
        <v>0</v>
      </c>
      <c r="L1927">
        <f>[2]TongHop!L1927</f>
        <v>0</v>
      </c>
      <c r="M1927">
        <f>[2]TongHop!M1927</f>
        <v>0</v>
      </c>
      <c r="N1927">
        <f>[2]TongHop!N1927</f>
        <v>0</v>
      </c>
    </row>
    <row r="1928" spans="1:14">
      <c r="A1928">
        <f>[2]TongHop!A1928</f>
        <v>0</v>
      </c>
      <c r="B1928">
        <f>[2]TongHop!B1928</f>
        <v>0</v>
      </c>
      <c r="C1928">
        <f>[2]TongHop!C1928</f>
        <v>0</v>
      </c>
      <c r="D1928">
        <f>[2]TongHop!D1928</f>
        <v>0</v>
      </c>
      <c r="E1928">
        <f>[2]TongHop!E1928</f>
        <v>0</v>
      </c>
      <c r="F1928">
        <f>[2]TongHop!F1928</f>
        <v>0</v>
      </c>
      <c r="G1928">
        <f>[2]TongHop!G1928</f>
        <v>0</v>
      </c>
      <c r="H1928">
        <f>[2]TongHop!H1928</f>
        <v>0</v>
      </c>
      <c r="I1928">
        <f>[2]TongHop!I1928</f>
        <v>0</v>
      </c>
      <c r="J1928">
        <f>[2]TongHop!J1928</f>
        <v>0</v>
      </c>
      <c r="K1928">
        <f>[2]TongHop!K1928</f>
        <v>0</v>
      </c>
      <c r="L1928">
        <f>[2]TongHop!L1928</f>
        <v>0</v>
      </c>
      <c r="M1928">
        <f>[2]TongHop!M1928</f>
        <v>0</v>
      </c>
      <c r="N1928">
        <f>[2]TongHop!N1928</f>
        <v>0</v>
      </c>
    </row>
    <row r="1929" spans="1:14">
      <c r="A1929">
        <f>[2]TongHop!A1929</f>
        <v>0</v>
      </c>
      <c r="B1929">
        <f>[2]TongHop!B1929</f>
        <v>0</v>
      </c>
      <c r="C1929">
        <f>[2]TongHop!C1929</f>
        <v>0</v>
      </c>
      <c r="D1929">
        <f>[2]TongHop!D1929</f>
        <v>0</v>
      </c>
      <c r="E1929">
        <f>[2]TongHop!E1929</f>
        <v>0</v>
      </c>
      <c r="F1929">
        <f>[2]TongHop!F1929</f>
        <v>0</v>
      </c>
      <c r="G1929">
        <f>[2]TongHop!G1929</f>
        <v>0</v>
      </c>
      <c r="H1929">
        <f>[2]TongHop!H1929</f>
        <v>0</v>
      </c>
      <c r="I1929">
        <f>[2]TongHop!I1929</f>
        <v>0</v>
      </c>
      <c r="J1929">
        <f>[2]TongHop!J1929</f>
        <v>0</v>
      </c>
      <c r="K1929">
        <f>[2]TongHop!K1929</f>
        <v>0</v>
      </c>
      <c r="L1929">
        <f>[2]TongHop!L1929</f>
        <v>0</v>
      </c>
      <c r="M1929">
        <f>[2]TongHop!M1929</f>
        <v>0</v>
      </c>
      <c r="N1929">
        <f>[2]TongHop!N1929</f>
        <v>0</v>
      </c>
    </row>
    <row r="1930" spans="1:14">
      <c r="A1930">
        <f>[2]TongHop!A1930</f>
        <v>0</v>
      </c>
      <c r="B1930">
        <f>[2]TongHop!B1930</f>
        <v>0</v>
      </c>
      <c r="C1930">
        <f>[2]TongHop!C1930</f>
        <v>0</v>
      </c>
      <c r="D1930">
        <f>[2]TongHop!D1930</f>
        <v>0</v>
      </c>
      <c r="E1930">
        <f>[2]TongHop!E1930</f>
        <v>0</v>
      </c>
      <c r="F1930">
        <f>[2]TongHop!F1930</f>
        <v>0</v>
      </c>
      <c r="G1930">
        <f>[2]TongHop!G1930</f>
        <v>0</v>
      </c>
      <c r="H1930">
        <f>[2]TongHop!H1930</f>
        <v>0</v>
      </c>
      <c r="I1930">
        <f>[2]TongHop!I1930</f>
        <v>0</v>
      </c>
      <c r="J1930">
        <f>[2]TongHop!J1930</f>
        <v>0</v>
      </c>
      <c r="K1930">
        <f>[2]TongHop!K1930</f>
        <v>0</v>
      </c>
      <c r="L1930">
        <f>[2]TongHop!L1930</f>
        <v>0</v>
      </c>
      <c r="M1930">
        <f>[2]TongHop!M1930</f>
        <v>0</v>
      </c>
      <c r="N1930">
        <f>[2]TongHop!N1930</f>
        <v>0</v>
      </c>
    </row>
    <row r="1931" spans="1:14">
      <c r="A1931">
        <f>[2]TongHop!A1931</f>
        <v>0</v>
      </c>
      <c r="B1931">
        <f>[2]TongHop!B1931</f>
        <v>0</v>
      </c>
      <c r="C1931">
        <f>[2]TongHop!C1931</f>
        <v>0</v>
      </c>
      <c r="D1931">
        <f>[2]TongHop!D1931</f>
        <v>0</v>
      </c>
      <c r="E1931">
        <f>[2]TongHop!E1931</f>
        <v>0</v>
      </c>
      <c r="F1931">
        <f>[2]TongHop!F1931</f>
        <v>0</v>
      </c>
      <c r="G1931">
        <f>[2]TongHop!G1931</f>
        <v>0</v>
      </c>
      <c r="H1931">
        <f>[2]TongHop!H1931</f>
        <v>0</v>
      </c>
      <c r="I1931">
        <f>[2]TongHop!I1931</f>
        <v>0</v>
      </c>
      <c r="J1931">
        <f>[2]TongHop!J1931</f>
        <v>0</v>
      </c>
      <c r="K1931">
        <f>[2]TongHop!K1931</f>
        <v>0</v>
      </c>
      <c r="L1931">
        <f>[2]TongHop!L1931</f>
        <v>0</v>
      </c>
      <c r="M1931">
        <f>[2]TongHop!M1931</f>
        <v>0</v>
      </c>
      <c r="N1931">
        <f>[2]TongHop!N1931</f>
        <v>0</v>
      </c>
    </row>
    <row r="1932" spans="1:14">
      <c r="A1932">
        <f>[2]TongHop!A1932</f>
        <v>0</v>
      </c>
      <c r="B1932">
        <f>[2]TongHop!B1932</f>
        <v>0</v>
      </c>
      <c r="C1932">
        <f>[2]TongHop!C1932</f>
        <v>0</v>
      </c>
      <c r="D1932">
        <f>[2]TongHop!D1932</f>
        <v>0</v>
      </c>
      <c r="E1932">
        <f>[2]TongHop!E1932</f>
        <v>0</v>
      </c>
      <c r="F1932">
        <f>[2]TongHop!F1932</f>
        <v>0</v>
      </c>
      <c r="G1932">
        <f>[2]TongHop!G1932</f>
        <v>0</v>
      </c>
      <c r="H1932">
        <f>[2]TongHop!H1932</f>
        <v>0</v>
      </c>
      <c r="I1932">
        <f>[2]TongHop!I1932</f>
        <v>0</v>
      </c>
      <c r="J1932">
        <f>[2]TongHop!J1932</f>
        <v>0</v>
      </c>
      <c r="K1932">
        <f>[2]TongHop!K1932</f>
        <v>0</v>
      </c>
      <c r="L1932">
        <f>[2]TongHop!L1932</f>
        <v>0</v>
      </c>
      <c r="M1932">
        <f>[2]TongHop!M1932</f>
        <v>0</v>
      </c>
      <c r="N1932">
        <f>[2]TongHop!N1932</f>
        <v>0</v>
      </c>
    </row>
    <row r="1933" spans="1:14">
      <c r="A1933">
        <f>[2]TongHop!A1933</f>
        <v>0</v>
      </c>
      <c r="B1933">
        <f>[2]TongHop!B1933</f>
        <v>0</v>
      </c>
      <c r="C1933">
        <f>[2]TongHop!C1933</f>
        <v>0</v>
      </c>
      <c r="D1933">
        <f>[2]TongHop!D1933</f>
        <v>0</v>
      </c>
      <c r="E1933">
        <f>[2]TongHop!E1933</f>
        <v>0</v>
      </c>
      <c r="F1933">
        <f>[2]TongHop!F1933</f>
        <v>0</v>
      </c>
      <c r="G1933">
        <f>[2]TongHop!G1933</f>
        <v>0</v>
      </c>
      <c r="H1933">
        <f>[2]TongHop!H1933</f>
        <v>0</v>
      </c>
      <c r="I1933">
        <f>[2]TongHop!I1933</f>
        <v>0</v>
      </c>
      <c r="J1933">
        <f>[2]TongHop!J1933</f>
        <v>0</v>
      </c>
      <c r="K1933">
        <f>[2]TongHop!K1933</f>
        <v>0</v>
      </c>
      <c r="L1933">
        <f>[2]TongHop!L1933</f>
        <v>0</v>
      </c>
      <c r="M1933">
        <f>[2]TongHop!M1933</f>
        <v>0</v>
      </c>
      <c r="N1933">
        <f>[2]TongHop!N1933</f>
        <v>0</v>
      </c>
    </row>
    <row r="1934" spans="1:14">
      <c r="A1934">
        <f>[2]TongHop!A1934</f>
        <v>0</v>
      </c>
      <c r="B1934">
        <f>[2]TongHop!B1934</f>
        <v>0</v>
      </c>
      <c r="C1934">
        <f>[2]TongHop!C1934</f>
        <v>0</v>
      </c>
      <c r="D1934">
        <f>[2]TongHop!D1934</f>
        <v>0</v>
      </c>
      <c r="E1934">
        <f>[2]TongHop!E1934</f>
        <v>0</v>
      </c>
      <c r="F1934">
        <f>[2]TongHop!F1934</f>
        <v>0</v>
      </c>
      <c r="G1934">
        <f>[2]TongHop!G1934</f>
        <v>0</v>
      </c>
      <c r="H1934">
        <f>[2]TongHop!H1934</f>
        <v>0</v>
      </c>
      <c r="I1934">
        <f>[2]TongHop!I1934</f>
        <v>0</v>
      </c>
      <c r="J1934">
        <f>[2]TongHop!J1934</f>
        <v>0</v>
      </c>
      <c r="K1934">
        <f>[2]TongHop!K1934</f>
        <v>0</v>
      </c>
      <c r="L1934">
        <f>[2]TongHop!L1934</f>
        <v>0</v>
      </c>
      <c r="M1934">
        <f>[2]TongHop!M1934</f>
        <v>0</v>
      </c>
      <c r="N1934">
        <f>[2]TongHop!N1934</f>
        <v>0</v>
      </c>
    </row>
    <row r="1935" spans="1:14">
      <c r="A1935">
        <f>[2]TongHop!A1935</f>
        <v>0</v>
      </c>
      <c r="B1935">
        <f>[2]TongHop!B1935</f>
        <v>0</v>
      </c>
      <c r="C1935">
        <f>[2]TongHop!C1935</f>
        <v>0</v>
      </c>
      <c r="D1935">
        <f>[2]TongHop!D1935</f>
        <v>0</v>
      </c>
      <c r="E1935">
        <f>[2]TongHop!E1935</f>
        <v>0</v>
      </c>
      <c r="F1935">
        <f>[2]TongHop!F1935</f>
        <v>0</v>
      </c>
      <c r="G1935">
        <f>[2]TongHop!G1935</f>
        <v>0</v>
      </c>
      <c r="H1935">
        <f>[2]TongHop!H1935</f>
        <v>0</v>
      </c>
      <c r="I1935">
        <f>[2]TongHop!I1935</f>
        <v>0</v>
      </c>
      <c r="J1935">
        <f>[2]TongHop!J1935</f>
        <v>0</v>
      </c>
      <c r="K1935">
        <f>[2]TongHop!K1935</f>
        <v>0</v>
      </c>
      <c r="L1935">
        <f>[2]TongHop!L1935</f>
        <v>0</v>
      </c>
      <c r="M1935">
        <f>[2]TongHop!M1935</f>
        <v>0</v>
      </c>
      <c r="N1935">
        <f>[2]TongHop!N1935</f>
        <v>0</v>
      </c>
    </row>
    <row r="1936" spans="1:14">
      <c r="A1936">
        <f>[2]TongHop!A1936</f>
        <v>0</v>
      </c>
      <c r="B1936">
        <f>[2]TongHop!B1936</f>
        <v>0</v>
      </c>
      <c r="C1936">
        <f>[2]TongHop!C1936</f>
        <v>0</v>
      </c>
      <c r="D1936">
        <f>[2]TongHop!D1936</f>
        <v>0</v>
      </c>
      <c r="E1936">
        <f>[2]TongHop!E1936</f>
        <v>0</v>
      </c>
      <c r="F1936">
        <f>[2]TongHop!F1936</f>
        <v>0</v>
      </c>
      <c r="G1936">
        <f>[2]TongHop!G1936</f>
        <v>0</v>
      </c>
      <c r="H1936">
        <f>[2]TongHop!H1936</f>
        <v>0</v>
      </c>
      <c r="I1936">
        <f>[2]TongHop!I1936</f>
        <v>0</v>
      </c>
      <c r="J1936">
        <f>[2]TongHop!J1936</f>
        <v>0</v>
      </c>
      <c r="K1936">
        <f>[2]TongHop!K1936</f>
        <v>0</v>
      </c>
      <c r="L1936">
        <f>[2]TongHop!L1936</f>
        <v>0</v>
      </c>
      <c r="M1936">
        <f>[2]TongHop!M1936</f>
        <v>0</v>
      </c>
      <c r="N1936">
        <f>[2]TongHop!N1936</f>
        <v>0</v>
      </c>
    </row>
    <row r="1937" spans="1:14">
      <c r="A1937">
        <f>[2]TongHop!A1937</f>
        <v>0</v>
      </c>
      <c r="B1937">
        <f>[2]TongHop!B1937</f>
        <v>0</v>
      </c>
      <c r="C1937">
        <f>[2]TongHop!C1937</f>
        <v>0</v>
      </c>
      <c r="D1937">
        <f>[2]TongHop!D1937</f>
        <v>0</v>
      </c>
      <c r="E1937">
        <f>[2]TongHop!E1937</f>
        <v>0</v>
      </c>
      <c r="F1937">
        <f>[2]TongHop!F1937</f>
        <v>0</v>
      </c>
      <c r="G1937">
        <f>[2]TongHop!G1937</f>
        <v>0</v>
      </c>
      <c r="H1937">
        <f>[2]TongHop!H1937</f>
        <v>0</v>
      </c>
      <c r="I1937">
        <f>[2]TongHop!I1937</f>
        <v>0</v>
      </c>
      <c r="J1937">
        <f>[2]TongHop!J1937</f>
        <v>0</v>
      </c>
      <c r="K1937">
        <f>[2]TongHop!K1937</f>
        <v>0</v>
      </c>
      <c r="L1937">
        <f>[2]TongHop!L1937</f>
        <v>0</v>
      </c>
      <c r="M1937">
        <f>[2]TongHop!M1937</f>
        <v>0</v>
      </c>
      <c r="N1937">
        <f>[2]TongHop!N1937</f>
        <v>0</v>
      </c>
    </row>
    <row r="1938" spans="1:14">
      <c r="A1938">
        <f>[2]TongHop!A1938</f>
        <v>0</v>
      </c>
      <c r="B1938">
        <f>[2]TongHop!B1938</f>
        <v>0</v>
      </c>
      <c r="C1938">
        <f>[2]TongHop!C1938</f>
        <v>0</v>
      </c>
      <c r="D1938">
        <f>[2]TongHop!D1938</f>
        <v>0</v>
      </c>
      <c r="E1938">
        <f>[2]TongHop!E1938</f>
        <v>0</v>
      </c>
      <c r="F1938">
        <f>[2]TongHop!F1938</f>
        <v>0</v>
      </c>
      <c r="G1938">
        <f>[2]TongHop!G1938</f>
        <v>0</v>
      </c>
      <c r="H1938">
        <f>[2]TongHop!H1938</f>
        <v>0</v>
      </c>
      <c r="I1938">
        <f>[2]TongHop!I1938</f>
        <v>0</v>
      </c>
      <c r="J1938">
        <f>[2]TongHop!J1938</f>
        <v>0</v>
      </c>
      <c r="K1938">
        <f>[2]TongHop!K1938</f>
        <v>0</v>
      </c>
      <c r="L1938">
        <f>[2]TongHop!L1938</f>
        <v>0</v>
      </c>
      <c r="M1938">
        <f>[2]TongHop!M1938</f>
        <v>0</v>
      </c>
      <c r="N1938">
        <f>[2]TongHop!N1938</f>
        <v>0</v>
      </c>
    </row>
    <row r="1939" spans="1:14">
      <c r="A1939">
        <f>[2]TongHop!A1939</f>
        <v>0</v>
      </c>
      <c r="B1939">
        <f>[2]TongHop!B1939</f>
        <v>0</v>
      </c>
      <c r="C1939">
        <f>[2]TongHop!C1939</f>
        <v>0</v>
      </c>
      <c r="D1939">
        <f>[2]TongHop!D1939</f>
        <v>0</v>
      </c>
      <c r="E1939">
        <f>[2]TongHop!E1939</f>
        <v>0</v>
      </c>
      <c r="F1939">
        <f>[2]TongHop!F1939</f>
        <v>0</v>
      </c>
      <c r="G1939">
        <f>[2]TongHop!G1939</f>
        <v>0</v>
      </c>
      <c r="H1939">
        <f>[2]TongHop!H1939</f>
        <v>0</v>
      </c>
      <c r="I1939">
        <f>[2]TongHop!I1939</f>
        <v>0</v>
      </c>
      <c r="J1939">
        <f>[2]TongHop!J1939</f>
        <v>0</v>
      </c>
      <c r="K1939">
        <f>[2]TongHop!K1939</f>
        <v>0</v>
      </c>
      <c r="L1939">
        <f>[2]TongHop!L1939</f>
        <v>0</v>
      </c>
      <c r="M1939">
        <f>[2]TongHop!M1939</f>
        <v>0</v>
      </c>
      <c r="N1939">
        <f>[2]TongHop!N1939</f>
        <v>0</v>
      </c>
    </row>
    <row r="1940" spans="1:14">
      <c r="A1940">
        <f>[2]TongHop!A1940</f>
        <v>0</v>
      </c>
      <c r="B1940">
        <f>[2]TongHop!B1940</f>
        <v>0</v>
      </c>
      <c r="C1940">
        <f>[2]TongHop!C1940</f>
        <v>0</v>
      </c>
      <c r="D1940">
        <f>[2]TongHop!D1940</f>
        <v>0</v>
      </c>
      <c r="E1940">
        <f>[2]TongHop!E1940</f>
        <v>0</v>
      </c>
      <c r="F1940">
        <f>[2]TongHop!F1940</f>
        <v>0</v>
      </c>
      <c r="G1940">
        <f>[2]TongHop!G1940</f>
        <v>0</v>
      </c>
      <c r="H1940">
        <f>[2]TongHop!H1940</f>
        <v>0</v>
      </c>
      <c r="I1940">
        <f>[2]TongHop!I1940</f>
        <v>0</v>
      </c>
      <c r="J1940">
        <f>[2]TongHop!J1940</f>
        <v>0</v>
      </c>
      <c r="K1940">
        <f>[2]TongHop!K1940</f>
        <v>0</v>
      </c>
      <c r="L1940">
        <f>[2]TongHop!L1940</f>
        <v>0</v>
      </c>
      <c r="M1940">
        <f>[2]TongHop!M1940</f>
        <v>0</v>
      </c>
      <c r="N1940">
        <f>[2]TongHop!N1940</f>
        <v>0</v>
      </c>
    </row>
    <row r="1941" spans="1:14">
      <c r="A1941">
        <f>[2]TongHop!A1941</f>
        <v>0</v>
      </c>
      <c r="B1941">
        <f>[2]TongHop!B1941</f>
        <v>0</v>
      </c>
      <c r="C1941">
        <f>[2]TongHop!C1941</f>
        <v>0</v>
      </c>
      <c r="D1941">
        <f>[2]TongHop!D1941</f>
        <v>0</v>
      </c>
      <c r="E1941">
        <f>[2]TongHop!E1941</f>
        <v>0</v>
      </c>
      <c r="F1941">
        <f>[2]TongHop!F1941</f>
        <v>0</v>
      </c>
      <c r="G1941">
        <f>[2]TongHop!G1941</f>
        <v>0</v>
      </c>
      <c r="H1941">
        <f>[2]TongHop!H1941</f>
        <v>0</v>
      </c>
      <c r="I1941">
        <f>[2]TongHop!I1941</f>
        <v>0</v>
      </c>
      <c r="J1941">
        <f>[2]TongHop!J1941</f>
        <v>0</v>
      </c>
      <c r="K1941">
        <f>[2]TongHop!K1941</f>
        <v>0</v>
      </c>
      <c r="L1941">
        <f>[2]TongHop!L1941</f>
        <v>0</v>
      </c>
      <c r="M1941">
        <f>[2]TongHop!M1941</f>
        <v>0</v>
      </c>
      <c r="N1941">
        <f>[2]TongHop!N1941</f>
        <v>0</v>
      </c>
    </row>
    <row r="1942" spans="1:14">
      <c r="A1942">
        <f>[2]TongHop!A1942</f>
        <v>0</v>
      </c>
      <c r="B1942">
        <f>[2]TongHop!B1942</f>
        <v>0</v>
      </c>
      <c r="C1942">
        <f>[2]TongHop!C1942</f>
        <v>0</v>
      </c>
      <c r="D1942">
        <f>[2]TongHop!D1942</f>
        <v>0</v>
      </c>
      <c r="E1942">
        <f>[2]TongHop!E1942</f>
        <v>0</v>
      </c>
      <c r="F1942">
        <f>[2]TongHop!F1942</f>
        <v>0</v>
      </c>
      <c r="G1942">
        <f>[2]TongHop!G1942</f>
        <v>0</v>
      </c>
      <c r="H1942">
        <f>[2]TongHop!H1942</f>
        <v>0</v>
      </c>
      <c r="I1942">
        <f>[2]TongHop!I1942</f>
        <v>0</v>
      </c>
      <c r="J1942">
        <f>[2]TongHop!J1942</f>
        <v>0</v>
      </c>
      <c r="K1942">
        <f>[2]TongHop!K1942</f>
        <v>0</v>
      </c>
      <c r="L1942">
        <f>[2]TongHop!L1942</f>
        <v>0</v>
      </c>
      <c r="M1942">
        <f>[2]TongHop!M1942</f>
        <v>0</v>
      </c>
      <c r="N1942">
        <f>[2]TongHop!N1942</f>
        <v>0</v>
      </c>
    </row>
    <row r="1943" spans="1:14">
      <c r="A1943">
        <f>[2]TongHop!A1943</f>
        <v>0</v>
      </c>
      <c r="B1943">
        <f>[2]TongHop!B1943</f>
        <v>0</v>
      </c>
      <c r="C1943">
        <f>[2]TongHop!C1943</f>
        <v>0</v>
      </c>
      <c r="D1943">
        <f>[2]TongHop!D1943</f>
        <v>0</v>
      </c>
      <c r="E1943">
        <f>[2]TongHop!E1943</f>
        <v>0</v>
      </c>
      <c r="F1943">
        <f>[2]TongHop!F1943</f>
        <v>0</v>
      </c>
      <c r="G1943">
        <f>[2]TongHop!G1943</f>
        <v>0</v>
      </c>
      <c r="H1943">
        <f>[2]TongHop!H1943</f>
        <v>0</v>
      </c>
      <c r="I1943">
        <f>[2]TongHop!I1943</f>
        <v>0</v>
      </c>
      <c r="J1943">
        <f>[2]TongHop!J1943</f>
        <v>0</v>
      </c>
      <c r="K1943">
        <f>[2]TongHop!K1943</f>
        <v>0</v>
      </c>
      <c r="L1943">
        <f>[2]TongHop!L1943</f>
        <v>0</v>
      </c>
      <c r="M1943">
        <f>[2]TongHop!M1943</f>
        <v>0</v>
      </c>
      <c r="N1943">
        <f>[2]TongHop!N1943</f>
        <v>0</v>
      </c>
    </row>
    <row r="1944" spans="1:14">
      <c r="A1944">
        <f>[2]TongHop!A1944</f>
        <v>0</v>
      </c>
      <c r="B1944">
        <f>[2]TongHop!B1944</f>
        <v>0</v>
      </c>
      <c r="C1944">
        <f>[2]TongHop!C1944</f>
        <v>0</v>
      </c>
      <c r="D1944">
        <f>[2]TongHop!D1944</f>
        <v>0</v>
      </c>
      <c r="E1944">
        <f>[2]TongHop!E1944</f>
        <v>0</v>
      </c>
      <c r="F1944">
        <f>[2]TongHop!F1944</f>
        <v>0</v>
      </c>
      <c r="G1944">
        <f>[2]TongHop!G1944</f>
        <v>0</v>
      </c>
      <c r="H1944">
        <f>[2]TongHop!H1944</f>
        <v>0</v>
      </c>
      <c r="I1944">
        <f>[2]TongHop!I1944</f>
        <v>0</v>
      </c>
      <c r="J1944">
        <f>[2]TongHop!J1944</f>
        <v>0</v>
      </c>
      <c r="K1944">
        <f>[2]TongHop!K1944</f>
        <v>0</v>
      </c>
      <c r="L1944">
        <f>[2]TongHop!L1944</f>
        <v>0</v>
      </c>
      <c r="M1944">
        <f>[2]TongHop!M1944</f>
        <v>0</v>
      </c>
      <c r="N1944">
        <f>[2]TongHop!N1944</f>
        <v>0</v>
      </c>
    </row>
    <row r="1945" spans="1:14">
      <c r="A1945">
        <f>[2]TongHop!A1945</f>
        <v>0</v>
      </c>
      <c r="B1945">
        <f>[2]TongHop!B1945</f>
        <v>0</v>
      </c>
      <c r="C1945">
        <f>[2]TongHop!C1945</f>
        <v>0</v>
      </c>
      <c r="D1945">
        <f>[2]TongHop!D1945</f>
        <v>0</v>
      </c>
      <c r="E1945">
        <f>[2]TongHop!E1945</f>
        <v>0</v>
      </c>
      <c r="F1945">
        <f>[2]TongHop!F1945</f>
        <v>0</v>
      </c>
      <c r="G1945">
        <f>[2]TongHop!G1945</f>
        <v>0</v>
      </c>
      <c r="H1945">
        <f>[2]TongHop!H1945</f>
        <v>0</v>
      </c>
      <c r="I1945">
        <f>[2]TongHop!I1945</f>
        <v>0</v>
      </c>
      <c r="J1945">
        <f>[2]TongHop!J1945</f>
        <v>0</v>
      </c>
      <c r="K1945">
        <f>[2]TongHop!K1945</f>
        <v>0</v>
      </c>
      <c r="L1945">
        <f>[2]TongHop!L1945</f>
        <v>0</v>
      </c>
      <c r="M1945">
        <f>[2]TongHop!M1945</f>
        <v>0</v>
      </c>
      <c r="N1945">
        <f>[2]TongHop!N1945</f>
        <v>0</v>
      </c>
    </row>
    <row r="1946" spans="1:14">
      <c r="A1946">
        <f>[2]TongHop!A1946</f>
        <v>0</v>
      </c>
      <c r="B1946">
        <f>[2]TongHop!B1946</f>
        <v>0</v>
      </c>
      <c r="C1946">
        <f>[2]TongHop!C1946</f>
        <v>0</v>
      </c>
      <c r="D1946">
        <f>[2]TongHop!D1946</f>
        <v>0</v>
      </c>
      <c r="E1946">
        <f>[2]TongHop!E1946</f>
        <v>0</v>
      </c>
      <c r="F1946">
        <f>[2]TongHop!F1946</f>
        <v>0</v>
      </c>
      <c r="G1946">
        <f>[2]TongHop!G1946</f>
        <v>0</v>
      </c>
      <c r="H1946">
        <f>[2]TongHop!H1946</f>
        <v>0</v>
      </c>
      <c r="I1946">
        <f>[2]TongHop!I1946</f>
        <v>0</v>
      </c>
      <c r="J1946">
        <f>[2]TongHop!J1946</f>
        <v>0</v>
      </c>
      <c r="K1946">
        <f>[2]TongHop!K1946</f>
        <v>0</v>
      </c>
      <c r="L1946">
        <f>[2]TongHop!L1946</f>
        <v>0</v>
      </c>
      <c r="M1946">
        <f>[2]TongHop!M1946</f>
        <v>0</v>
      </c>
      <c r="N1946">
        <f>[2]TongHop!N1946</f>
        <v>0</v>
      </c>
    </row>
    <row r="1947" spans="1:14">
      <c r="A1947">
        <f>[2]TongHop!A1947</f>
        <v>0</v>
      </c>
      <c r="B1947">
        <f>[2]TongHop!B1947</f>
        <v>0</v>
      </c>
      <c r="C1947">
        <f>[2]TongHop!C1947</f>
        <v>0</v>
      </c>
      <c r="D1947">
        <f>[2]TongHop!D1947</f>
        <v>0</v>
      </c>
      <c r="E1947">
        <f>[2]TongHop!E1947</f>
        <v>0</v>
      </c>
      <c r="F1947">
        <f>[2]TongHop!F1947</f>
        <v>0</v>
      </c>
      <c r="G1947">
        <f>[2]TongHop!G1947</f>
        <v>0</v>
      </c>
      <c r="H1947">
        <f>[2]TongHop!H1947</f>
        <v>0</v>
      </c>
      <c r="I1947">
        <f>[2]TongHop!I1947</f>
        <v>0</v>
      </c>
      <c r="J1947">
        <f>[2]TongHop!J1947</f>
        <v>0</v>
      </c>
      <c r="K1947">
        <f>[2]TongHop!K1947</f>
        <v>0</v>
      </c>
      <c r="L1947">
        <f>[2]TongHop!L1947</f>
        <v>0</v>
      </c>
      <c r="M1947">
        <f>[2]TongHop!M1947</f>
        <v>0</v>
      </c>
      <c r="N1947">
        <f>[2]TongHop!N1947</f>
        <v>0</v>
      </c>
    </row>
    <row r="1948" spans="1:14">
      <c r="A1948">
        <f>[2]TongHop!A1948</f>
        <v>0</v>
      </c>
      <c r="B1948">
        <f>[2]TongHop!B1948</f>
        <v>0</v>
      </c>
      <c r="C1948">
        <f>[2]TongHop!C1948</f>
        <v>0</v>
      </c>
      <c r="D1948">
        <f>[2]TongHop!D1948</f>
        <v>0</v>
      </c>
      <c r="E1948">
        <f>[2]TongHop!E1948</f>
        <v>0</v>
      </c>
      <c r="F1948">
        <f>[2]TongHop!F1948</f>
        <v>0</v>
      </c>
      <c r="G1948">
        <f>[2]TongHop!G1948</f>
        <v>0</v>
      </c>
      <c r="H1948">
        <f>[2]TongHop!H1948</f>
        <v>0</v>
      </c>
      <c r="I1948">
        <f>[2]TongHop!I1948</f>
        <v>0</v>
      </c>
      <c r="J1948">
        <f>[2]TongHop!J1948</f>
        <v>0</v>
      </c>
      <c r="K1948">
        <f>[2]TongHop!K1948</f>
        <v>0</v>
      </c>
      <c r="L1948">
        <f>[2]TongHop!L1948</f>
        <v>0</v>
      </c>
      <c r="M1948">
        <f>[2]TongHop!M1948</f>
        <v>0</v>
      </c>
      <c r="N1948">
        <f>[2]TongHop!N1948</f>
        <v>0</v>
      </c>
    </row>
    <row r="1949" spans="1:14">
      <c r="A1949">
        <f>[2]TongHop!A1949</f>
        <v>0</v>
      </c>
      <c r="B1949">
        <f>[2]TongHop!B1949</f>
        <v>0</v>
      </c>
      <c r="C1949">
        <f>[2]TongHop!C1949</f>
        <v>0</v>
      </c>
      <c r="D1949">
        <f>[2]TongHop!D1949</f>
        <v>0</v>
      </c>
      <c r="E1949">
        <f>[2]TongHop!E1949</f>
        <v>0</v>
      </c>
      <c r="F1949">
        <f>[2]TongHop!F1949</f>
        <v>0</v>
      </c>
      <c r="G1949">
        <f>[2]TongHop!G1949</f>
        <v>0</v>
      </c>
      <c r="H1949">
        <f>[2]TongHop!H1949</f>
        <v>0</v>
      </c>
      <c r="I1949">
        <f>[2]TongHop!I1949</f>
        <v>0</v>
      </c>
      <c r="J1949">
        <f>[2]TongHop!J1949</f>
        <v>0</v>
      </c>
      <c r="K1949">
        <f>[2]TongHop!K1949</f>
        <v>0</v>
      </c>
      <c r="L1949">
        <f>[2]TongHop!L1949</f>
        <v>0</v>
      </c>
      <c r="M1949">
        <f>[2]TongHop!M1949</f>
        <v>0</v>
      </c>
      <c r="N1949">
        <f>[2]TongHop!N1949</f>
        <v>0</v>
      </c>
    </row>
    <row r="1950" spans="1:14">
      <c r="A1950">
        <f>[2]TongHop!A1950</f>
        <v>0</v>
      </c>
      <c r="B1950">
        <f>[2]TongHop!B1950</f>
        <v>0</v>
      </c>
      <c r="C1950">
        <f>[2]TongHop!C1950</f>
        <v>0</v>
      </c>
      <c r="D1950">
        <f>[2]TongHop!D1950</f>
        <v>0</v>
      </c>
      <c r="E1950">
        <f>[2]TongHop!E1950</f>
        <v>0</v>
      </c>
      <c r="F1950">
        <f>[2]TongHop!F1950</f>
        <v>0</v>
      </c>
      <c r="G1950">
        <f>[2]TongHop!G1950</f>
        <v>0</v>
      </c>
      <c r="H1950">
        <f>[2]TongHop!H1950</f>
        <v>0</v>
      </c>
      <c r="I1950">
        <f>[2]TongHop!I1950</f>
        <v>0</v>
      </c>
      <c r="J1950">
        <f>[2]TongHop!J1950</f>
        <v>0</v>
      </c>
      <c r="K1950">
        <f>[2]TongHop!K1950</f>
        <v>0</v>
      </c>
      <c r="L1950">
        <f>[2]TongHop!L1950</f>
        <v>0</v>
      </c>
      <c r="M1950">
        <f>[2]TongHop!M1950</f>
        <v>0</v>
      </c>
      <c r="N1950">
        <f>[2]TongHop!N1950</f>
        <v>0</v>
      </c>
    </row>
    <row r="1951" spans="1:14">
      <c r="A1951">
        <f>[2]TongHop!A1951</f>
        <v>0</v>
      </c>
      <c r="B1951">
        <f>[2]TongHop!B1951</f>
        <v>0</v>
      </c>
      <c r="C1951">
        <f>[2]TongHop!C1951</f>
        <v>0</v>
      </c>
      <c r="D1951">
        <f>[2]TongHop!D1951</f>
        <v>0</v>
      </c>
      <c r="E1951">
        <f>[2]TongHop!E1951</f>
        <v>0</v>
      </c>
      <c r="F1951">
        <f>[2]TongHop!F1951</f>
        <v>0</v>
      </c>
      <c r="G1951">
        <f>[2]TongHop!G1951</f>
        <v>0</v>
      </c>
      <c r="H1951">
        <f>[2]TongHop!H1951</f>
        <v>0</v>
      </c>
      <c r="I1951">
        <f>[2]TongHop!I1951</f>
        <v>0</v>
      </c>
      <c r="J1951">
        <f>[2]TongHop!J1951</f>
        <v>0</v>
      </c>
      <c r="K1951">
        <f>[2]TongHop!K1951</f>
        <v>0</v>
      </c>
      <c r="L1951">
        <f>[2]TongHop!L1951</f>
        <v>0</v>
      </c>
      <c r="M1951">
        <f>[2]TongHop!M1951</f>
        <v>0</v>
      </c>
      <c r="N1951">
        <f>[2]TongHop!N1951</f>
        <v>0</v>
      </c>
    </row>
    <row r="1952" spans="1:14">
      <c r="A1952">
        <f>[2]TongHop!A1952</f>
        <v>0</v>
      </c>
      <c r="B1952">
        <f>[2]TongHop!B1952</f>
        <v>0</v>
      </c>
      <c r="C1952">
        <f>[2]TongHop!C1952</f>
        <v>0</v>
      </c>
      <c r="D1952">
        <f>[2]TongHop!D1952</f>
        <v>0</v>
      </c>
      <c r="E1952">
        <f>[2]TongHop!E1952</f>
        <v>0</v>
      </c>
      <c r="F1952">
        <f>[2]TongHop!F1952</f>
        <v>0</v>
      </c>
      <c r="G1952">
        <f>[2]TongHop!G1952</f>
        <v>0</v>
      </c>
      <c r="H1952">
        <f>[2]TongHop!H1952</f>
        <v>0</v>
      </c>
      <c r="I1952">
        <f>[2]TongHop!I1952</f>
        <v>0</v>
      </c>
      <c r="J1952">
        <f>[2]TongHop!J1952</f>
        <v>0</v>
      </c>
      <c r="K1952">
        <f>[2]TongHop!K1952</f>
        <v>0</v>
      </c>
      <c r="L1952">
        <f>[2]TongHop!L1952</f>
        <v>0</v>
      </c>
      <c r="M1952">
        <f>[2]TongHop!M1952</f>
        <v>0</v>
      </c>
      <c r="N1952">
        <f>[2]TongHop!N1952</f>
        <v>0</v>
      </c>
    </row>
    <row r="1953" spans="1:14">
      <c r="A1953">
        <f>[2]TongHop!A1953</f>
        <v>0</v>
      </c>
      <c r="B1953">
        <f>[2]TongHop!B1953</f>
        <v>0</v>
      </c>
      <c r="C1953">
        <f>[2]TongHop!C1953</f>
        <v>0</v>
      </c>
      <c r="D1953">
        <f>[2]TongHop!D1953</f>
        <v>0</v>
      </c>
      <c r="E1953">
        <f>[2]TongHop!E1953</f>
        <v>0</v>
      </c>
      <c r="F1953">
        <f>[2]TongHop!F1953</f>
        <v>0</v>
      </c>
      <c r="G1953">
        <f>[2]TongHop!G1953</f>
        <v>0</v>
      </c>
      <c r="H1953">
        <f>[2]TongHop!H1953</f>
        <v>0</v>
      </c>
      <c r="I1953">
        <f>[2]TongHop!I1953</f>
        <v>0</v>
      </c>
      <c r="J1953">
        <f>[2]TongHop!J1953</f>
        <v>0</v>
      </c>
      <c r="K1953">
        <f>[2]TongHop!K1953</f>
        <v>0</v>
      </c>
      <c r="L1953">
        <f>[2]TongHop!L1953</f>
        <v>0</v>
      </c>
      <c r="M1953">
        <f>[2]TongHop!M1953</f>
        <v>0</v>
      </c>
      <c r="N1953">
        <f>[2]TongHop!N1953</f>
        <v>0</v>
      </c>
    </row>
    <row r="1954" spans="1:14">
      <c r="A1954">
        <f>[2]TongHop!A1954</f>
        <v>0</v>
      </c>
      <c r="B1954">
        <f>[2]TongHop!B1954</f>
        <v>0</v>
      </c>
      <c r="C1954">
        <f>[2]TongHop!C1954</f>
        <v>0</v>
      </c>
      <c r="D1954">
        <f>[2]TongHop!D1954</f>
        <v>0</v>
      </c>
      <c r="E1954">
        <f>[2]TongHop!E1954</f>
        <v>0</v>
      </c>
      <c r="F1954">
        <f>[2]TongHop!F1954</f>
        <v>0</v>
      </c>
      <c r="G1954">
        <f>[2]TongHop!G1954</f>
        <v>0</v>
      </c>
      <c r="H1954">
        <f>[2]TongHop!H1954</f>
        <v>0</v>
      </c>
      <c r="I1954">
        <f>[2]TongHop!I1954</f>
        <v>0</v>
      </c>
      <c r="J1954">
        <f>[2]TongHop!J1954</f>
        <v>0</v>
      </c>
      <c r="K1954">
        <f>[2]TongHop!K1954</f>
        <v>0</v>
      </c>
      <c r="L1954">
        <f>[2]TongHop!L1954</f>
        <v>0</v>
      </c>
      <c r="M1954">
        <f>[2]TongHop!M1954</f>
        <v>0</v>
      </c>
      <c r="N1954">
        <f>[2]TongHop!N1954</f>
        <v>0</v>
      </c>
    </row>
    <row r="1955" spans="1:14">
      <c r="A1955">
        <f>[2]TongHop!A1955</f>
        <v>0</v>
      </c>
      <c r="B1955">
        <f>[2]TongHop!B1955</f>
        <v>0</v>
      </c>
      <c r="C1955">
        <f>[2]TongHop!C1955</f>
        <v>0</v>
      </c>
      <c r="D1955">
        <f>[2]TongHop!D1955</f>
        <v>0</v>
      </c>
      <c r="E1955">
        <f>[2]TongHop!E1955</f>
        <v>0</v>
      </c>
      <c r="F1955">
        <f>[2]TongHop!F1955</f>
        <v>0</v>
      </c>
      <c r="G1955">
        <f>[2]TongHop!G1955</f>
        <v>0</v>
      </c>
      <c r="H1955">
        <f>[2]TongHop!H1955</f>
        <v>0</v>
      </c>
      <c r="I1955">
        <f>[2]TongHop!I1955</f>
        <v>0</v>
      </c>
      <c r="J1955">
        <f>[2]TongHop!J1955</f>
        <v>0</v>
      </c>
      <c r="K1955">
        <f>[2]TongHop!K1955</f>
        <v>0</v>
      </c>
      <c r="L1955">
        <f>[2]TongHop!L1955</f>
        <v>0</v>
      </c>
      <c r="M1955">
        <f>[2]TongHop!M1955</f>
        <v>0</v>
      </c>
      <c r="N1955">
        <f>[2]TongHop!N1955</f>
        <v>0</v>
      </c>
    </row>
    <row r="1956" spans="1:14">
      <c r="A1956">
        <f>[2]TongHop!A1956</f>
        <v>0</v>
      </c>
      <c r="B1956">
        <f>[2]TongHop!B1956</f>
        <v>0</v>
      </c>
      <c r="C1956">
        <f>[2]TongHop!C1956</f>
        <v>0</v>
      </c>
      <c r="D1956">
        <f>[2]TongHop!D1956</f>
        <v>0</v>
      </c>
      <c r="E1956">
        <f>[2]TongHop!E1956</f>
        <v>0</v>
      </c>
      <c r="F1956">
        <f>[2]TongHop!F1956</f>
        <v>0</v>
      </c>
      <c r="G1956">
        <f>[2]TongHop!G1956</f>
        <v>0</v>
      </c>
      <c r="H1956">
        <f>[2]TongHop!H1956</f>
        <v>0</v>
      </c>
      <c r="I1956">
        <f>[2]TongHop!I1956</f>
        <v>0</v>
      </c>
      <c r="J1956">
        <f>[2]TongHop!J1956</f>
        <v>0</v>
      </c>
      <c r="K1956">
        <f>[2]TongHop!K1956</f>
        <v>0</v>
      </c>
      <c r="L1956">
        <f>[2]TongHop!L1956</f>
        <v>0</v>
      </c>
      <c r="M1956">
        <f>[2]TongHop!M1956</f>
        <v>0</v>
      </c>
      <c r="N1956">
        <f>[2]TongHop!N1956</f>
        <v>0</v>
      </c>
    </row>
    <row r="1957" spans="1:14">
      <c r="A1957">
        <f>[2]TongHop!A1957</f>
        <v>0</v>
      </c>
      <c r="B1957">
        <f>[2]TongHop!B1957</f>
        <v>0</v>
      </c>
      <c r="C1957">
        <f>[2]TongHop!C1957</f>
        <v>0</v>
      </c>
      <c r="D1957">
        <f>[2]TongHop!D1957</f>
        <v>0</v>
      </c>
      <c r="E1957">
        <f>[2]TongHop!E1957</f>
        <v>0</v>
      </c>
      <c r="F1957">
        <f>[2]TongHop!F1957</f>
        <v>0</v>
      </c>
      <c r="G1957">
        <f>[2]TongHop!G1957</f>
        <v>0</v>
      </c>
      <c r="H1957">
        <f>[2]TongHop!H1957</f>
        <v>0</v>
      </c>
      <c r="I1957">
        <f>[2]TongHop!I1957</f>
        <v>0</v>
      </c>
      <c r="J1957">
        <f>[2]TongHop!J1957</f>
        <v>0</v>
      </c>
      <c r="K1957">
        <f>[2]TongHop!K1957</f>
        <v>0</v>
      </c>
      <c r="L1957">
        <f>[2]TongHop!L1957</f>
        <v>0</v>
      </c>
      <c r="M1957">
        <f>[2]TongHop!M1957</f>
        <v>0</v>
      </c>
      <c r="N1957">
        <f>[2]TongHop!N1957</f>
        <v>0</v>
      </c>
    </row>
    <row r="1958" spans="1:14">
      <c r="A1958">
        <f>[2]TongHop!A1958</f>
        <v>0</v>
      </c>
      <c r="B1958">
        <f>[2]TongHop!B1958</f>
        <v>0</v>
      </c>
      <c r="C1958">
        <f>[2]TongHop!C1958</f>
        <v>0</v>
      </c>
      <c r="D1958">
        <f>[2]TongHop!D1958</f>
        <v>0</v>
      </c>
      <c r="E1958">
        <f>[2]TongHop!E1958</f>
        <v>0</v>
      </c>
      <c r="F1958">
        <f>[2]TongHop!F1958</f>
        <v>0</v>
      </c>
      <c r="G1958">
        <f>[2]TongHop!G1958</f>
        <v>0</v>
      </c>
      <c r="H1958">
        <f>[2]TongHop!H1958</f>
        <v>0</v>
      </c>
      <c r="I1958">
        <f>[2]TongHop!I1958</f>
        <v>0</v>
      </c>
      <c r="J1958">
        <f>[2]TongHop!J1958</f>
        <v>0</v>
      </c>
      <c r="K1958">
        <f>[2]TongHop!K1958</f>
        <v>0</v>
      </c>
      <c r="L1958">
        <f>[2]TongHop!L1958</f>
        <v>0</v>
      </c>
      <c r="M1958">
        <f>[2]TongHop!M1958</f>
        <v>0</v>
      </c>
      <c r="N1958">
        <f>[2]TongHop!N1958</f>
        <v>0</v>
      </c>
    </row>
    <row r="1959" spans="1:14">
      <c r="A1959">
        <f>[2]TongHop!A1959</f>
        <v>0</v>
      </c>
      <c r="B1959">
        <f>[2]TongHop!B1959</f>
        <v>0</v>
      </c>
      <c r="C1959">
        <f>[2]TongHop!C1959</f>
        <v>0</v>
      </c>
      <c r="D1959">
        <f>[2]TongHop!D1959</f>
        <v>0</v>
      </c>
      <c r="E1959">
        <f>[2]TongHop!E1959</f>
        <v>0</v>
      </c>
      <c r="F1959">
        <f>[2]TongHop!F1959</f>
        <v>0</v>
      </c>
      <c r="G1959">
        <f>[2]TongHop!G1959</f>
        <v>0</v>
      </c>
      <c r="H1959">
        <f>[2]TongHop!H1959</f>
        <v>0</v>
      </c>
      <c r="I1959">
        <f>[2]TongHop!I1959</f>
        <v>0</v>
      </c>
      <c r="J1959">
        <f>[2]TongHop!J1959</f>
        <v>0</v>
      </c>
      <c r="K1959">
        <f>[2]TongHop!K1959</f>
        <v>0</v>
      </c>
      <c r="L1959">
        <f>[2]TongHop!L1959</f>
        <v>0</v>
      </c>
      <c r="M1959">
        <f>[2]TongHop!M1959</f>
        <v>0</v>
      </c>
      <c r="N1959">
        <f>[2]TongHop!N1959</f>
        <v>0</v>
      </c>
    </row>
    <row r="1960" spans="1:14">
      <c r="A1960">
        <f>[2]TongHop!A1960</f>
        <v>0</v>
      </c>
      <c r="B1960">
        <f>[2]TongHop!B1960</f>
        <v>0</v>
      </c>
      <c r="C1960">
        <f>[2]TongHop!C1960</f>
        <v>0</v>
      </c>
      <c r="D1960">
        <f>[2]TongHop!D1960</f>
        <v>0</v>
      </c>
      <c r="E1960">
        <f>[2]TongHop!E1960</f>
        <v>0</v>
      </c>
      <c r="F1960">
        <f>[2]TongHop!F1960</f>
        <v>0</v>
      </c>
      <c r="G1960">
        <f>[2]TongHop!G1960</f>
        <v>0</v>
      </c>
      <c r="H1960">
        <f>[2]TongHop!H1960</f>
        <v>0</v>
      </c>
      <c r="I1960">
        <f>[2]TongHop!I1960</f>
        <v>0</v>
      </c>
      <c r="J1960">
        <f>[2]TongHop!J1960</f>
        <v>0</v>
      </c>
      <c r="K1960">
        <f>[2]TongHop!K1960</f>
        <v>0</v>
      </c>
      <c r="L1960">
        <f>[2]TongHop!L1960</f>
        <v>0</v>
      </c>
      <c r="M1960">
        <f>[2]TongHop!M1960</f>
        <v>0</v>
      </c>
      <c r="N1960">
        <f>[2]TongHop!N1960</f>
        <v>0</v>
      </c>
    </row>
    <row r="1961" spans="1:14">
      <c r="A1961">
        <f>[2]TongHop!A1961</f>
        <v>0</v>
      </c>
      <c r="B1961">
        <f>[2]TongHop!B1961</f>
        <v>0</v>
      </c>
      <c r="C1961">
        <f>[2]TongHop!C1961</f>
        <v>0</v>
      </c>
      <c r="D1961">
        <f>[2]TongHop!D1961</f>
        <v>0</v>
      </c>
      <c r="E1961">
        <f>[2]TongHop!E1961</f>
        <v>0</v>
      </c>
      <c r="F1961">
        <f>[2]TongHop!F1961</f>
        <v>0</v>
      </c>
      <c r="G1961">
        <f>[2]TongHop!G1961</f>
        <v>0</v>
      </c>
      <c r="H1961">
        <f>[2]TongHop!H1961</f>
        <v>0</v>
      </c>
      <c r="I1961">
        <f>[2]TongHop!I1961</f>
        <v>0</v>
      </c>
      <c r="J1961">
        <f>[2]TongHop!J1961</f>
        <v>0</v>
      </c>
      <c r="K1961">
        <f>[2]TongHop!K1961</f>
        <v>0</v>
      </c>
      <c r="L1961">
        <f>[2]TongHop!L1961</f>
        <v>0</v>
      </c>
      <c r="M1961">
        <f>[2]TongHop!M1961</f>
        <v>0</v>
      </c>
      <c r="N1961">
        <f>[2]TongHop!N1961</f>
        <v>0</v>
      </c>
    </row>
    <row r="1962" spans="1:14">
      <c r="A1962">
        <f>[2]TongHop!A1962</f>
        <v>0</v>
      </c>
      <c r="B1962">
        <f>[2]TongHop!B1962</f>
        <v>0</v>
      </c>
      <c r="C1962">
        <f>[2]TongHop!C1962</f>
        <v>0</v>
      </c>
      <c r="D1962">
        <f>[2]TongHop!D1962</f>
        <v>0</v>
      </c>
      <c r="E1962">
        <f>[2]TongHop!E1962</f>
        <v>0</v>
      </c>
      <c r="F1962">
        <f>[2]TongHop!F1962</f>
        <v>0</v>
      </c>
      <c r="G1962">
        <f>[2]TongHop!G1962</f>
        <v>0</v>
      </c>
      <c r="H1962">
        <f>[2]TongHop!H1962</f>
        <v>0</v>
      </c>
      <c r="I1962">
        <f>[2]TongHop!I1962</f>
        <v>0</v>
      </c>
      <c r="J1962">
        <f>[2]TongHop!J1962</f>
        <v>0</v>
      </c>
      <c r="K1962">
        <f>[2]TongHop!K1962</f>
        <v>0</v>
      </c>
      <c r="L1962">
        <f>[2]TongHop!L1962</f>
        <v>0</v>
      </c>
      <c r="M1962">
        <f>[2]TongHop!M1962</f>
        <v>0</v>
      </c>
      <c r="N1962">
        <f>[2]TongHop!N1962</f>
        <v>0</v>
      </c>
    </row>
    <row r="1963" spans="1:14">
      <c r="A1963">
        <f>[2]TongHop!A1963</f>
        <v>0</v>
      </c>
      <c r="B1963">
        <f>[2]TongHop!B1963</f>
        <v>0</v>
      </c>
      <c r="C1963">
        <f>[2]TongHop!C1963</f>
        <v>0</v>
      </c>
      <c r="D1963">
        <f>[2]TongHop!D1963</f>
        <v>0</v>
      </c>
      <c r="E1963">
        <f>[2]TongHop!E1963</f>
        <v>0</v>
      </c>
      <c r="F1963">
        <f>[2]TongHop!F1963</f>
        <v>0</v>
      </c>
      <c r="G1963">
        <f>[2]TongHop!G1963</f>
        <v>0</v>
      </c>
      <c r="H1963">
        <f>[2]TongHop!H1963</f>
        <v>0</v>
      </c>
      <c r="I1963">
        <f>[2]TongHop!I1963</f>
        <v>0</v>
      </c>
      <c r="J1963">
        <f>[2]TongHop!J1963</f>
        <v>0</v>
      </c>
      <c r="K1963">
        <f>[2]TongHop!K1963</f>
        <v>0</v>
      </c>
      <c r="L1963">
        <f>[2]TongHop!L1963</f>
        <v>0</v>
      </c>
      <c r="M1963">
        <f>[2]TongHop!M1963</f>
        <v>0</v>
      </c>
      <c r="N1963">
        <f>[2]TongHop!N1963</f>
        <v>0</v>
      </c>
    </row>
    <row r="1964" spans="1:14">
      <c r="A1964">
        <f>[2]TongHop!A1964</f>
        <v>0</v>
      </c>
      <c r="B1964">
        <f>[2]TongHop!B1964</f>
        <v>0</v>
      </c>
      <c r="C1964">
        <f>[2]TongHop!C1964</f>
        <v>0</v>
      </c>
      <c r="D1964">
        <f>[2]TongHop!D1964</f>
        <v>0</v>
      </c>
      <c r="E1964">
        <f>[2]TongHop!E1964</f>
        <v>0</v>
      </c>
      <c r="F1964">
        <f>[2]TongHop!F1964</f>
        <v>0</v>
      </c>
      <c r="G1964">
        <f>[2]TongHop!G1964</f>
        <v>0</v>
      </c>
      <c r="H1964">
        <f>[2]TongHop!H1964</f>
        <v>0</v>
      </c>
      <c r="I1964">
        <f>[2]TongHop!I1964</f>
        <v>0</v>
      </c>
      <c r="J1964">
        <f>[2]TongHop!J1964</f>
        <v>0</v>
      </c>
      <c r="K1964">
        <f>[2]TongHop!K1964</f>
        <v>0</v>
      </c>
      <c r="L1964">
        <f>[2]TongHop!L1964</f>
        <v>0</v>
      </c>
      <c r="M1964">
        <f>[2]TongHop!M1964</f>
        <v>0</v>
      </c>
      <c r="N1964">
        <f>[2]TongHop!N1964</f>
        <v>0</v>
      </c>
    </row>
    <row r="1965" spans="1:14">
      <c r="A1965">
        <f>[2]TongHop!A1965</f>
        <v>0</v>
      </c>
      <c r="B1965">
        <f>[2]TongHop!B1965</f>
        <v>0</v>
      </c>
      <c r="C1965">
        <f>[2]TongHop!C1965</f>
        <v>0</v>
      </c>
      <c r="D1965">
        <f>[2]TongHop!D1965</f>
        <v>0</v>
      </c>
      <c r="E1965">
        <f>[2]TongHop!E1965</f>
        <v>0</v>
      </c>
      <c r="F1965">
        <f>[2]TongHop!F1965</f>
        <v>0</v>
      </c>
      <c r="G1965">
        <f>[2]TongHop!G1965</f>
        <v>0</v>
      </c>
      <c r="H1965">
        <f>[2]TongHop!H1965</f>
        <v>0</v>
      </c>
      <c r="I1965">
        <f>[2]TongHop!I1965</f>
        <v>0</v>
      </c>
      <c r="J1965">
        <f>[2]TongHop!J1965</f>
        <v>0</v>
      </c>
      <c r="K1965">
        <f>[2]TongHop!K1965</f>
        <v>0</v>
      </c>
      <c r="L1965">
        <f>[2]TongHop!L1965</f>
        <v>0</v>
      </c>
      <c r="M1965">
        <f>[2]TongHop!M1965</f>
        <v>0</v>
      </c>
      <c r="N1965">
        <f>[2]TongHop!N1965</f>
        <v>0</v>
      </c>
    </row>
    <row r="1966" spans="1:14">
      <c r="A1966">
        <f>[2]TongHop!A1966</f>
        <v>0</v>
      </c>
      <c r="B1966">
        <f>[2]TongHop!B1966</f>
        <v>0</v>
      </c>
      <c r="C1966">
        <f>[2]TongHop!C1966</f>
        <v>0</v>
      </c>
      <c r="D1966">
        <f>[2]TongHop!D1966</f>
        <v>0</v>
      </c>
      <c r="E1966">
        <f>[2]TongHop!E1966</f>
        <v>0</v>
      </c>
      <c r="F1966">
        <f>[2]TongHop!F1966</f>
        <v>0</v>
      </c>
      <c r="G1966">
        <f>[2]TongHop!G1966</f>
        <v>0</v>
      </c>
      <c r="H1966">
        <f>[2]TongHop!H1966</f>
        <v>0</v>
      </c>
      <c r="I1966">
        <f>[2]TongHop!I1966</f>
        <v>0</v>
      </c>
      <c r="J1966">
        <f>[2]TongHop!J1966</f>
        <v>0</v>
      </c>
      <c r="K1966">
        <f>[2]TongHop!K1966</f>
        <v>0</v>
      </c>
      <c r="L1966">
        <f>[2]TongHop!L1966</f>
        <v>0</v>
      </c>
      <c r="M1966">
        <f>[2]TongHop!M1966</f>
        <v>0</v>
      </c>
      <c r="N1966">
        <f>[2]TongHop!N1966</f>
        <v>0</v>
      </c>
    </row>
    <row r="1967" spans="1:14">
      <c r="A1967">
        <f>[2]TongHop!A1967</f>
        <v>0</v>
      </c>
      <c r="B1967">
        <f>[2]TongHop!B1967</f>
        <v>0</v>
      </c>
      <c r="C1967">
        <f>[2]TongHop!C1967</f>
        <v>0</v>
      </c>
      <c r="D1967">
        <f>[2]TongHop!D1967</f>
        <v>0</v>
      </c>
      <c r="E1967">
        <f>[2]TongHop!E1967</f>
        <v>0</v>
      </c>
      <c r="F1967">
        <f>[2]TongHop!F1967</f>
        <v>0</v>
      </c>
      <c r="G1967">
        <f>[2]TongHop!G1967</f>
        <v>0</v>
      </c>
      <c r="H1967">
        <f>[2]TongHop!H1967</f>
        <v>0</v>
      </c>
      <c r="I1967">
        <f>[2]TongHop!I1967</f>
        <v>0</v>
      </c>
      <c r="J1967">
        <f>[2]TongHop!J1967</f>
        <v>0</v>
      </c>
      <c r="K1967">
        <f>[2]TongHop!K1967</f>
        <v>0</v>
      </c>
      <c r="L1967">
        <f>[2]TongHop!L1967</f>
        <v>0</v>
      </c>
      <c r="M1967">
        <f>[2]TongHop!M1967</f>
        <v>0</v>
      </c>
      <c r="N1967">
        <f>[2]TongHop!N1967</f>
        <v>0</v>
      </c>
    </row>
    <row r="1968" spans="1:14">
      <c r="A1968">
        <f>[2]TongHop!A1968</f>
        <v>0</v>
      </c>
      <c r="B1968">
        <f>[2]TongHop!B1968</f>
        <v>0</v>
      </c>
      <c r="C1968">
        <f>[2]TongHop!C1968</f>
        <v>0</v>
      </c>
      <c r="D1968">
        <f>[2]TongHop!D1968</f>
        <v>0</v>
      </c>
      <c r="E1968">
        <f>[2]TongHop!E1968</f>
        <v>0</v>
      </c>
      <c r="F1968">
        <f>[2]TongHop!F1968</f>
        <v>0</v>
      </c>
      <c r="G1968">
        <f>[2]TongHop!G1968</f>
        <v>0</v>
      </c>
      <c r="H1968">
        <f>[2]TongHop!H1968</f>
        <v>0</v>
      </c>
      <c r="I1968">
        <f>[2]TongHop!I1968</f>
        <v>0</v>
      </c>
      <c r="J1968">
        <f>[2]TongHop!J1968</f>
        <v>0</v>
      </c>
      <c r="K1968">
        <f>[2]TongHop!K1968</f>
        <v>0</v>
      </c>
      <c r="L1968">
        <f>[2]TongHop!L1968</f>
        <v>0</v>
      </c>
      <c r="M1968">
        <f>[2]TongHop!M1968</f>
        <v>0</v>
      </c>
      <c r="N1968">
        <f>[2]TongHop!N1968</f>
        <v>0</v>
      </c>
    </row>
    <row r="1969" spans="1:14">
      <c r="A1969">
        <f>[2]TongHop!A1969</f>
        <v>0</v>
      </c>
      <c r="B1969">
        <f>[2]TongHop!B1969</f>
        <v>0</v>
      </c>
      <c r="C1969">
        <f>[2]TongHop!C1969</f>
        <v>0</v>
      </c>
      <c r="D1969">
        <f>[2]TongHop!D1969</f>
        <v>0</v>
      </c>
      <c r="E1969">
        <f>[2]TongHop!E1969</f>
        <v>0</v>
      </c>
      <c r="F1969">
        <f>[2]TongHop!F1969</f>
        <v>0</v>
      </c>
      <c r="G1969">
        <f>[2]TongHop!G1969</f>
        <v>0</v>
      </c>
      <c r="H1969">
        <f>[2]TongHop!H1969</f>
        <v>0</v>
      </c>
      <c r="I1969">
        <f>[2]TongHop!I1969</f>
        <v>0</v>
      </c>
      <c r="J1969">
        <f>[2]TongHop!J1969</f>
        <v>0</v>
      </c>
      <c r="K1969">
        <f>[2]TongHop!K1969</f>
        <v>0</v>
      </c>
      <c r="L1969">
        <f>[2]TongHop!L1969</f>
        <v>0</v>
      </c>
      <c r="M1969">
        <f>[2]TongHop!M1969</f>
        <v>0</v>
      </c>
      <c r="N1969">
        <f>[2]TongHop!N1969</f>
        <v>0</v>
      </c>
    </row>
    <row r="1970" spans="1:14">
      <c r="A1970">
        <f>[2]TongHop!A1970</f>
        <v>0</v>
      </c>
      <c r="B1970">
        <f>[2]TongHop!B1970</f>
        <v>0</v>
      </c>
      <c r="C1970">
        <f>[2]TongHop!C1970</f>
        <v>0</v>
      </c>
      <c r="D1970">
        <f>[2]TongHop!D1970</f>
        <v>0</v>
      </c>
      <c r="E1970">
        <f>[2]TongHop!E1970</f>
        <v>0</v>
      </c>
      <c r="F1970">
        <f>[2]TongHop!F1970</f>
        <v>0</v>
      </c>
      <c r="G1970">
        <f>[2]TongHop!G1970</f>
        <v>0</v>
      </c>
      <c r="H1970">
        <f>[2]TongHop!H1970</f>
        <v>0</v>
      </c>
      <c r="I1970">
        <f>[2]TongHop!I1970</f>
        <v>0</v>
      </c>
      <c r="J1970">
        <f>[2]TongHop!J1970</f>
        <v>0</v>
      </c>
      <c r="K1970">
        <f>[2]TongHop!K1970</f>
        <v>0</v>
      </c>
      <c r="L1970">
        <f>[2]TongHop!L1970</f>
        <v>0</v>
      </c>
      <c r="M1970">
        <f>[2]TongHop!M1970</f>
        <v>0</v>
      </c>
      <c r="N1970">
        <f>[2]TongHop!N1970</f>
        <v>0</v>
      </c>
    </row>
    <row r="1971" spans="1:14">
      <c r="A1971">
        <f>[2]TongHop!A1971</f>
        <v>0</v>
      </c>
      <c r="B1971">
        <f>[2]TongHop!B1971</f>
        <v>0</v>
      </c>
      <c r="C1971">
        <f>[2]TongHop!C1971</f>
        <v>0</v>
      </c>
      <c r="D1971">
        <f>[2]TongHop!D1971</f>
        <v>0</v>
      </c>
      <c r="E1971">
        <f>[2]TongHop!E1971</f>
        <v>0</v>
      </c>
      <c r="F1971">
        <f>[2]TongHop!F1971</f>
        <v>0</v>
      </c>
      <c r="G1971">
        <f>[2]TongHop!G1971</f>
        <v>0</v>
      </c>
      <c r="H1971">
        <f>[2]TongHop!H1971</f>
        <v>0</v>
      </c>
      <c r="I1971">
        <f>[2]TongHop!I1971</f>
        <v>0</v>
      </c>
      <c r="J1971">
        <f>[2]TongHop!J1971</f>
        <v>0</v>
      </c>
      <c r="K1971">
        <f>[2]TongHop!K1971</f>
        <v>0</v>
      </c>
      <c r="L1971">
        <f>[2]TongHop!L1971</f>
        <v>0</v>
      </c>
      <c r="M1971">
        <f>[2]TongHop!M1971</f>
        <v>0</v>
      </c>
      <c r="N1971">
        <f>[2]TongHop!N1971</f>
        <v>0</v>
      </c>
    </row>
    <row r="1972" spans="1:14">
      <c r="A1972">
        <f>[2]TongHop!A1972</f>
        <v>0</v>
      </c>
      <c r="B1972">
        <f>[2]TongHop!B1972</f>
        <v>0</v>
      </c>
      <c r="C1972">
        <f>[2]TongHop!C1972</f>
        <v>0</v>
      </c>
      <c r="D1972">
        <f>[2]TongHop!D1972</f>
        <v>0</v>
      </c>
      <c r="E1972">
        <f>[2]TongHop!E1972</f>
        <v>0</v>
      </c>
      <c r="F1972">
        <f>[2]TongHop!F1972</f>
        <v>0</v>
      </c>
      <c r="G1972">
        <f>[2]TongHop!G1972</f>
        <v>0</v>
      </c>
      <c r="H1972">
        <f>[2]TongHop!H1972</f>
        <v>0</v>
      </c>
      <c r="I1972">
        <f>[2]TongHop!I1972</f>
        <v>0</v>
      </c>
      <c r="J1972">
        <f>[2]TongHop!J1972</f>
        <v>0</v>
      </c>
      <c r="K1972">
        <f>[2]TongHop!K1972</f>
        <v>0</v>
      </c>
      <c r="L1972">
        <f>[2]TongHop!L1972</f>
        <v>0</v>
      </c>
      <c r="M1972">
        <f>[2]TongHop!M1972</f>
        <v>0</v>
      </c>
      <c r="N1972">
        <f>[2]TongHop!N1972</f>
        <v>0</v>
      </c>
    </row>
    <row r="1973" spans="1:14">
      <c r="A1973">
        <f>[2]TongHop!A1973</f>
        <v>0</v>
      </c>
      <c r="B1973">
        <f>[2]TongHop!B1973</f>
        <v>0</v>
      </c>
      <c r="C1973">
        <f>[2]TongHop!C1973</f>
        <v>0</v>
      </c>
      <c r="D1973">
        <f>[2]TongHop!D1973</f>
        <v>0</v>
      </c>
      <c r="E1973">
        <f>[2]TongHop!E1973</f>
        <v>0</v>
      </c>
      <c r="F1973">
        <f>[2]TongHop!F1973</f>
        <v>0</v>
      </c>
      <c r="G1973">
        <f>[2]TongHop!G1973</f>
        <v>0</v>
      </c>
      <c r="H1973">
        <f>[2]TongHop!H1973</f>
        <v>0</v>
      </c>
      <c r="I1973">
        <f>[2]TongHop!I1973</f>
        <v>0</v>
      </c>
      <c r="J1973">
        <f>[2]TongHop!J1973</f>
        <v>0</v>
      </c>
      <c r="K1973">
        <f>[2]TongHop!K1973</f>
        <v>0</v>
      </c>
      <c r="L1973">
        <f>[2]TongHop!L1973</f>
        <v>0</v>
      </c>
      <c r="M1973">
        <f>[2]TongHop!M1973</f>
        <v>0</v>
      </c>
      <c r="N1973">
        <f>[2]TongHop!N1973</f>
        <v>0</v>
      </c>
    </row>
    <row r="1974" spans="1:14">
      <c r="A1974">
        <f>[2]TongHop!A1974</f>
        <v>0</v>
      </c>
      <c r="B1974">
        <f>[2]TongHop!B1974</f>
        <v>0</v>
      </c>
      <c r="C1974">
        <f>[2]TongHop!C1974</f>
        <v>0</v>
      </c>
      <c r="D1974">
        <f>[2]TongHop!D1974</f>
        <v>0</v>
      </c>
      <c r="E1974">
        <f>[2]TongHop!E1974</f>
        <v>0</v>
      </c>
      <c r="F1974">
        <f>[2]TongHop!F1974</f>
        <v>0</v>
      </c>
      <c r="G1974">
        <f>[2]TongHop!G1974</f>
        <v>0</v>
      </c>
      <c r="H1974">
        <f>[2]TongHop!H1974</f>
        <v>0</v>
      </c>
      <c r="I1974">
        <f>[2]TongHop!I1974</f>
        <v>0</v>
      </c>
      <c r="J1974">
        <f>[2]TongHop!J1974</f>
        <v>0</v>
      </c>
      <c r="K1974">
        <f>[2]TongHop!K1974</f>
        <v>0</v>
      </c>
      <c r="L1974">
        <f>[2]TongHop!L1974</f>
        <v>0</v>
      </c>
      <c r="M1974">
        <f>[2]TongHop!M1974</f>
        <v>0</v>
      </c>
      <c r="N1974">
        <f>[2]TongHop!N1974</f>
        <v>0</v>
      </c>
    </row>
    <row r="1975" spans="1:14">
      <c r="A1975">
        <f>[2]TongHop!A1975</f>
        <v>0</v>
      </c>
      <c r="B1975">
        <f>[2]TongHop!B1975</f>
        <v>0</v>
      </c>
      <c r="C1975">
        <f>[2]TongHop!C1975</f>
        <v>0</v>
      </c>
      <c r="D1975">
        <f>[2]TongHop!D1975</f>
        <v>0</v>
      </c>
      <c r="E1975">
        <f>[2]TongHop!E1975</f>
        <v>0</v>
      </c>
      <c r="F1975">
        <f>[2]TongHop!F1975</f>
        <v>0</v>
      </c>
      <c r="G1975">
        <f>[2]TongHop!G1975</f>
        <v>0</v>
      </c>
      <c r="H1975">
        <f>[2]TongHop!H1975</f>
        <v>0</v>
      </c>
      <c r="I1975">
        <f>[2]TongHop!I1975</f>
        <v>0</v>
      </c>
      <c r="J1975">
        <f>[2]TongHop!J1975</f>
        <v>0</v>
      </c>
      <c r="K1975">
        <f>[2]TongHop!K1975</f>
        <v>0</v>
      </c>
      <c r="L1975">
        <f>[2]TongHop!L1975</f>
        <v>0</v>
      </c>
      <c r="M1975">
        <f>[2]TongHop!M1975</f>
        <v>0</v>
      </c>
      <c r="N1975">
        <f>[2]TongHop!N1975</f>
        <v>0</v>
      </c>
    </row>
    <row r="1976" spans="1:14">
      <c r="A1976">
        <f>[2]TongHop!A1976</f>
        <v>0</v>
      </c>
      <c r="B1976">
        <f>[2]TongHop!B1976</f>
        <v>0</v>
      </c>
      <c r="C1976">
        <f>[2]TongHop!C1976</f>
        <v>0</v>
      </c>
      <c r="D1976">
        <f>[2]TongHop!D1976</f>
        <v>0</v>
      </c>
      <c r="E1976">
        <f>[2]TongHop!E1976</f>
        <v>0</v>
      </c>
      <c r="F1976">
        <f>[2]TongHop!F1976</f>
        <v>0</v>
      </c>
      <c r="G1976">
        <f>[2]TongHop!G1976</f>
        <v>0</v>
      </c>
      <c r="H1976">
        <f>[2]TongHop!H1976</f>
        <v>0</v>
      </c>
      <c r="I1976">
        <f>[2]TongHop!I1976</f>
        <v>0</v>
      </c>
      <c r="J1976">
        <f>[2]TongHop!J1976</f>
        <v>0</v>
      </c>
      <c r="K1976">
        <f>[2]TongHop!K1976</f>
        <v>0</v>
      </c>
      <c r="L1976">
        <f>[2]TongHop!L1976</f>
        <v>0</v>
      </c>
      <c r="M1976">
        <f>[2]TongHop!M1976</f>
        <v>0</v>
      </c>
      <c r="N1976">
        <f>[2]TongHop!N1976</f>
        <v>0</v>
      </c>
    </row>
    <row r="1977" spans="1:14">
      <c r="A1977">
        <f>[2]TongHop!A1977</f>
        <v>0</v>
      </c>
      <c r="B1977">
        <f>[2]TongHop!B1977</f>
        <v>0</v>
      </c>
      <c r="C1977">
        <f>[2]TongHop!C1977</f>
        <v>0</v>
      </c>
      <c r="D1977">
        <f>[2]TongHop!D1977</f>
        <v>0</v>
      </c>
      <c r="E1977">
        <f>[2]TongHop!E1977</f>
        <v>0</v>
      </c>
      <c r="F1977">
        <f>[2]TongHop!F1977</f>
        <v>0</v>
      </c>
      <c r="G1977">
        <f>[2]TongHop!G1977</f>
        <v>0</v>
      </c>
      <c r="H1977">
        <f>[2]TongHop!H1977</f>
        <v>0</v>
      </c>
      <c r="I1977">
        <f>[2]TongHop!I1977</f>
        <v>0</v>
      </c>
      <c r="J1977">
        <f>[2]TongHop!J1977</f>
        <v>0</v>
      </c>
      <c r="K1977">
        <f>[2]TongHop!K1977</f>
        <v>0</v>
      </c>
      <c r="L1977">
        <f>[2]TongHop!L1977</f>
        <v>0</v>
      </c>
      <c r="M1977">
        <f>[2]TongHop!M1977</f>
        <v>0</v>
      </c>
      <c r="N1977">
        <f>[2]TongHop!N1977</f>
        <v>0</v>
      </c>
    </row>
    <row r="1978" spans="1:14">
      <c r="A1978">
        <f>[2]TongHop!A1978</f>
        <v>0</v>
      </c>
      <c r="B1978">
        <f>[2]TongHop!B1978</f>
        <v>0</v>
      </c>
      <c r="C1978">
        <f>[2]TongHop!C1978</f>
        <v>0</v>
      </c>
      <c r="D1978">
        <f>[2]TongHop!D1978</f>
        <v>0</v>
      </c>
      <c r="E1978">
        <f>[2]TongHop!E1978</f>
        <v>0</v>
      </c>
      <c r="F1978">
        <f>[2]TongHop!F1978</f>
        <v>0</v>
      </c>
      <c r="G1978">
        <f>[2]TongHop!G1978</f>
        <v>0</v>
      </c>
      <c r="H1978">
        <f>[2]TongHop!H1978</f>
        <v>0</v>
      </c>
      <c r="I1978">
        <f>[2]TongHop!I1978</f>
        <v>0</v>
      </c>
      <c r="J1978">
        <f>[2]TongHop!J1978</f>
        <v>0</v>
      </c>
      <c r="K1978">
        <f>[2]TongHop!K1978</f>
        <v>0</v>
      </c>
      <c r="L1978">
        <f>[2]TongHop!L1978</f>
        <v>0</v>
      </c>
      <c r="M1978">
        <f>[2]TongHop!M1978</f>
        <v>0</v>
      </c>
      <c r="N1978">
        <f>[2]TongHop!N1978</f>
        <v>0</v>
      </c>
    </row>
    <row r="1979" spans="1:14">
      <c r="A1979">
        <f>[2]TongHop!A1979</f>
        <v>0</v>
      </c>
      <c r="B1979">
        <f>[2]TongHop!B1979</f>
        <v>0</v>
      </c>
      <c r="C1979">
        <f>[2]TongHop!C1979</f>
        <v>0</v>
      </c>
      <c r="D1979">
        <f>[2]TongHop!D1979</f>
        <v>0</v>
      </c>
      <c r="E1979">
        <f>[2]TongHop!E1979</f>
        <v>0</v>
      </c>
      <c r="F1979">
        <f>[2]TongHop!F1979</f>
        <v>0</v>
      </c>
      <c r="G1979">
        <f>[2]TongHop!G1979</f>
        <v>0</v>
      </c>
      <c r="H1979">
        <f>[2]TongHop!H1979</f>
        <v>0</v>
      </c>
      <c r="I1979">
        <f>[2]TongHop!I1979</f>
        <v>0</v>
      </c>
      <c r="J1979">
        <f>[2]TongHop!J1979</f>
        <v>0</v>
      </c>
      <c r="K1979">
        <f>[2]TongHop!K1979</f>
        <v>0</v>
      </c>
      <c r="L1979">
        <f>[2]TongHop!L1979</f>
        <v>0</v>
      </c>
      <c r="M1979">
        <f>[2]TongHop!M1979</f>
        <v>0</v>
      </c>
      <c r="N1979">
        <f>[2]TongHop!N1979</f>
        <v>0</v>
      </c>
    </row>
    <row r="1980" spans="1:14">
      <c r="A1980">
        <f>[2]TongHop!A1980</f>
        <v>0</v>
      </c>
      <c r="B1980">
        <f>[2]TongHop!B1980</f>
        <v>0</v>
      </c>
      <c r="C1980">
        <f>[2]TongHop!C1980</f>
        <v>0</v>
      </c>
      <c r="D1980">
        <f>[2]TongHop!D1980</f>
        <v>0</v>
      </c>
      <c r="E1980">
        <f>[2]TongHop!E1980</f>
        <v>0</v>
      </c>
      <c r="F1980">
        <f>[2]TongHop!F1980</f>
        <v>0</v>
      </c>
      <c r="G1980">
        <f>[2]TongHop!G1980</f>
        <v>0</v>
      </c>
      <c r="H1980">
        <f>[2]TongHop!H1980</f>
        <v>0</v>
      </c>
      <c r="I1980">
        <f>[2]TongHop!I1980</f>
        <v>0</v>
      </c>
      <c r="J1980">
        <f>[2]TongHop!J1980</f>
        <v>0</v>
      </c>
      <c r="K1980">
        <f>[2]TongHop!K1980</f>
        <v>0</v>
      </c>
      <c r="L1980">
        <f>[2]TongHop!L1980</f>
        <v>0</v>
      </c>
      <c r="M1980">
        <f>[2]TongHop!M1980</f>
        <v>0</v>
      </c>
      <c r="N1980">
        <f>[2]TongHop!N1980</f>
        <v>0</v>
      </c>
    </row>
    <row r="1981" spans="1:14">
      <c r="A1981">
        <f>[2]TongHop!A1981</f>
        <v>0</v>
      </c>
      <c r="B1981">
        <f>[2]TongHop!B1981</f>
        <v>0</v>
      </c>
      <c r="C1981">
        <f>[2]TongHop!C1981</f>
        <v>0</v>
      </c>
      <c r="D1981">
        <f>[2]TongHop!D1981</f>
        <v>0</v>
      </c>
      <c r="E1981">
        <f>[2]TongHop!E1981</f>
        <v>0</v>
      </c>
      <c r="F1981">
        <f>[2]TongHop!F1981</f>
        <v>0</v>
      </c>
      <c r="G1981">
        <f>[2]TongHop!G1981</f>
        <v>0</v>
      </c>
      <c r="H1981">
        <f>[2]TongHop!H1981</f>
        <v>0</v>
      </c>
      <c r="I1981">
        <f>[2]TongHop!I1981</f>
        <v>0</v>
      </c>
      <c r="J1981">
        <f>[2]TongHop!J1981</f>
        <v>0</v>
      </c>
      <c r="K1981">
        <f>[2]TongHop!K1981</f>
        <v>0</v>
      </c>
      <c r="L1981">
        <f>[2]TongHop!L1981</f>
        <v>0</v>
      </c>
      <c r="M1981">
        <f>[2]TongHop!M1981</f>
        <v>0</v>
      </c>
      <c r="N1981">
        <f>[2]TongHop!N1981</f>
        <v>0</v>
      </c>
    </row>
    <row r="1982" spans="1:14">
      <c r="A1982">
        <f>[2]TongHop!A1982</f>
        <v>0</v>
      </c>
      <c r="B1982">
        <f>[2]TongHop!B1982</f>
        <v>0</v>
      </c>
      <c r="C1982">
        <f>[2]TongHop!C1982</f>
        <v>0</v>
      </c>
      <c r="D1982">
        <f>[2]TongHop!D1982</f>
        <v>0</v>
      </c>
      <c r="E1982">
        <f>[2]TongHop!E1982</f>
        <v>0</v>
      </c>
      <c r="F1982">
        <f>[2]TongHop!F1982</f>
        <v>0</v>
      </c>
      <c r="G1982">
        <f>[2]TongHop!G1982</f>
        <v>0</v>
      </c>
      <c r="H1982">
        <f>[2]TongHop!H1982</f>
        <v>0</v>
      </c>
      <c r="I1982">
        <f>[2]TongHop!I1982</f>
        <v>0</v>
      </c>
      <c r="J1982">
        <f>[2]TongHop!J1982</f>
        <v>0</v>
      </c>
      <c r="K1982">
        <f>[2]TongHop!K1982</f>
        <v>0</v>
      </c>
      <c r="L1982">
        <f>[2]TongHop!L1982</f>
        <v>0</v>
      </c>
      <c r="M1982">
        <f>[2]TongHop!M1982</f>
        <v>0</v>
      </c>
      <c r="N1982">
        <f>[2]TongHop!N1982</f>
        <v>0</v>
      </c>
    </row>
    <row r="1983" spans="1:14">
      <c r="A1983">
        <f>[2]TongHop!A1983</f>
        <v>0</v>
      </c>
      <c r="B1983">
        <f>[2]TongHop!B1983</f>
        <v>0</v>
      </c>
      <c r="C1983">
        <f>[2]TongHop!C1983</f>
        <v>0</v>
      </c>
      <c r="D1983">
        <f>[2]TongHop!D1983</f>
        <v>0</v>
      </c>
      <c r="E1983">
        <f>[2]TongHop!E1983</f>
        <v>0</v>
      </c>
      <c r="F1983">
        <f>[2]TongHop!F1983</f>
        <v>0</v>
      </c>
      <c r="G1983">
        <f>[2]TongHop!G1983</f>
        <v>0</v>
      </c>
      <c r="H1983">
        <f>[2]TongHop!H1983</f>
        <v>0</v>
      </c>
      <c r="I1983">
        <f>[2]TongHop!I1983</f>
        <v>0</v>
      </c>
      <c r="J1983">
        <f>[2]TongHop!J1983</f>
        <v>0</v>
      </c>
      <c r="K1983">
        <f>[2]TongHop!K1983</f>
        <v>0</v>
      </c>
      <c r="L1983">
        <f>[2]TongHop!L1983</f>
        <v>0</v>
      </c>
      <c r="M1983">
        <f>[2]TongHop!M1983</f>
        <v>0</v>
      </c>
      <c r="N1983">
        <f>[2]TongHop!N1983</f>
        <v>0</v>
      </c>
    </row>
    <row r="1984" spans="1:14">
      <c r="A1984">
        <f>[2]TongHop!A1984</f>
        <v>0</v>
      </c>
      <c r="B1984">
        <f>[2]TongHop!B1984</f>
        <v>0</v>
      </c>
      <c r="C1984">
        <f>[2]TongHop!C1984</f>
        <v>0</v>
      </c>
      <c r="D1984">
        <f>[2]TongHop!D1984</f>
        <v>0</v>
      </c>
      <c r="E1984">
        <f>[2]TongHop!E1984</f>
        <v>0</v>
      </c>
      <c r="F1984">
        <f>[2]TongHop!F1984</f>
        <v>0</v>
      </c>
      <c r="G1984">
        <f>[2]TongHop!G1984</f>
        <v>0</v>
      </c>
      <c r="H1984">
        <f>[2]TongHop!H1984</f>
        <v>0</v>
      </c>
      <c r="I1984">
        <f>[2]TongHop!I1984</f>
        <v>0</v>
      </c>
      <c r="J1984">
        <f>[2]TongHop!J1984</f>
        <v>0</v>
      </c>
      <c r="K1984">
        <f>[2]TongHop!K1984</f>
        <v>0</v>
      </c>
      <c r="L1984">
        <f>[2]TongHop!L1984</f>
        <v>0</v>
      </c>
      <c r="M1984">
        <f>[2]TongHop!M1984</f>
        <v>0</v>
      </c>
      <c r="N1984">
        <f>[2]TongHop!N1984</f>
        <v>0</v>
      </c>
    </row>
    <row r="1985" spans="1:14">
      <c r="A1985">
        <f>[2]TongHop!A1985</f>
        <v>0</v>
      </c>
      <c r="B1985">
        <f>[2]TongHop!B1985</f>
        <v>0</v>
      </c>
      <c r="C1985">
        <f>[2]TongHop!C1985</f>
        <v>0</v>
      </c>
      <c r="D1985">
        <f>[2]TongHop!D1985</f>
        <v>0</v>
      </c>
      <c r="E1985">
        <f>[2]TongHop!E1985</f>
        <v>0</v>
      </c>
      <c r="F1985">
        <f>[2]TongHop!F1985</f>
        <v>0</v>
      </c>
      <c r="G1985">
        <f>[2]TongHop!G1985</f>
        <v>0</v>
      </c>
      <c r="H1985">
        <f>[2]TongHop!H1985</f>
        <v>0</v>
      </c>
      <c r="I1985">
        <f>[2]TongHop!I1985</f>
        <v>0</v>
      </c>
      <c r="J1985">
        <f>[2]TongHop!J1985</f>
        <v>0</v>
      </c>
      <c r="K1985">
        <f>[2]TongHop!K1985</f>
        <v>0</v>
      </c>
      <c r="L1985">
        <f>[2]TongHop!L1985</f>
        <v>0</v>
      </c>
      <c r="M1985">
        <f>[2]TongHop!M1985</f>
        <v>0</v>
      </c>
      <c r="N1985">
        <f>[2]TongHop!N1985</f>
        <v>0</v>
      </c>
    </row>
    <row r="1986" spans="1:14">
      <c r="A1986">
        <f>[2]TongHop!A1986</f>
        <v>0</v>
      </c>
      <c r="B1986">
        <f>[2]TongHop!B1986</f>
        <v>0</v>
      </c>
      <c r="C1986">
        <f>[2]TongHop!C1986</f>
        <v>0</v>
      </c>
      <c r="D1986">
        <f>[2]TongHop!D1986</f>
        <v>0</v>
      </c>
      <c r="E1986">
        <f>[2]TongHop!E1986</f>
        <v>0</v>
      </c>
      <c r="F1986">
        <f>[2]TongHop!F1986</f>
        <v>0</v>
      </c>
      <c r="G1986">
        <f>[2]TongHop!G1986</f>
        <v>0</v>
      </c>
      <c r="H1986">
        <f>[2]TongHop!H1986</f>
        <v>0</v>
      </c>
      <c r="I1986">
        <f>[2]TongHop!I1986</f>
        <v>0</v>
      </c>
      <c r="J1986">
        <f>[2]TongHop!J1986</f>
        <v>0</v>
      </c>
      <c r="K1986">
        <f>[2]TongHop!K1986</f>
        <v>0</v>
      </c>
      <c r="L1986">
        <f>[2]TongHop!L1986</f>
        <v>0</v>
      </c>
      <c r="M1986">
        <f>[2]TongHop!M1986</f>
        <v>0</v>
      </c>
      <c r="N1986">
        <f>[2]TongHop!N1986</f>
        <v>0</v>
      </c>
    </row>
    <row r="1987" spans="1:14">
      <c r="A1987">
        <f>[2]TongHop!A1987</f>
        <v>0</v>
      </c>
      <c r="B1987">
        <f>[2]TongHop!B1987</f>
        <v>0</v>
      </c>
      <c r="C1987">
        <f>[2]TongHop!C1987</f>
        <v>0</v>
      </c>
      <c r="D1987">
        <f>[2]TongHop!D1987</f>
        <v>0</v>
      </c>
      <c r="E1987">
        <f>[2]TongHop!E1987</f>
        <v>0</v>
      </c>
      <c r="F1987">
        <f>[2]TongHop!F1987</f>
        <v>0</v>
      </c>
      <c r="G1987">
        <f>[2]TongHop!G1987</f>
        <v>0</v>
      </c>
      <c r="H1987">
        <f>[2]TongHop!H1987</f>
        <v>0</v>
      </c>
      <c r="I1987">
        <f>[2]TongHop!I1987</f>
        <v>0</v>
      </c>
      <c r="J1987">
        <f>[2]TongHop!J1987</f>
        <v>0</v>
      </c>
      <c r="K1987">
        <f>[2]TongHop!K1987</f>
        <v>0</v>
      </c>
      <c r="L1987">
        <f>[2]TongHop!L1987</f>
        <v>0</v>
      </c>
      <c r="M1987">
        <f>[2]TongHop!M1987</f>
        <v>0</v>
      </c>
      <c r="N1987">
        <f>[2]TongHop!N1987</f>
        <v>0</v>
      </c>
    </row>
    <row r="1988" spans="1:14">
      <c r="A1988">
        <f>[2]TongHop!A1988</f>
        <v>0</v>
      </c>
      <c r="B1988">
        <f>[2]TongHop!B1988</f>
        <v>0</v>
      </c>
      <c r="C1988">
        <f>[2]TongHop!C1988</f>
        <v>0</v>
      </c>
      <c r="D1988">
        <f>[2]TongHop!D1988</f>
        <v>0</v>
      </c>
      <c r="E1988">
        <f>[2]TongHop!E1988</f>
        <v>0</v>
      </c>
      <c r="F1988">
        <f>[2]TongHop!F1988</f>
        <v>0</v>
      </c>
      <c r="G1988">
        <f>[2]TongHop!G1988</f>
        <v>0</v>
      </c>
      <c r="H1988">
        <f>[2]TongHop!H1988</f>
        <v>0</v>
      </c>
      <c r="I1988">
        <f>[2]TongHop!I1988</f>
        <v>0</v>
      </c>
      <c r="J1988">
        <f>[2]TongHop!J1988</f>
        <v>0</v>
      </c>
      <c r="K1988">
        <f>[2]TongHop!K1988</f>
        <v>0</v>
      </c>
      <c r="L1988">
        <f>[2]TongHop!L1988</f>
        <v>0</v>
      </c>
      <c r="M1988">
        <f>[2]TongHop!M1988</f>
        <v>0</v>
      </c>
      <c r="N1988">
        <f>[2]TongHop!N1988</f>
        <v>0</v>
      </c>
    </row>
    <row r="1989" spans="1:14">
      <c r="A1989">
        <f>[2]TongHop!A1989</f>
        <v>0</v>
      </c>
      <c r="B1989">
        <f>[2]TongHop!B1989</f>
        <v>0</v>
      </c>
      <c r="C1989">
        <f>[2]TongHop!C1989</f>
        <v>0</v>
      </c>
      <c r="D1989">
        <f>[2]TongHop!D1989</f>
        <v>0</v>
      </c>
      <c r="E1989">
        <f>[2]TongHop!E1989</f>
        <v>0</v>
      </c>
      <c r="F1989">
        <f>[2]TongHop!F1989</f>
        <v>0</v>
      </c>
      <c r="G1989">
        <f>[2]TongHop!G1989</f>
        <v>0</v>
      </c>
      <c r="H1989">
        <f>[2]TongHop!H1989</f>
        <v>0</v>
      </c>
      <c r="I1989">
        <f>[2]TongHop!I1989</f>
        <v>0</v>
      </c>
      <c r="J1989">
        <f>[2]TongHop!J1989</f>
        <v>0</v>
      </c>
      <c r="K1989">
        <f>[2]TongHop!K1989</f>
        <v>0</v>
      </c>
      <c r="L1989">
        <f>[2]TongHop!L1989</f>
        <v>0</v>
      </c>
      <c r="M1989">
        <f>[2]TongHop!M1989</f>
        <v>0</v>
      </c>
      <c r="N1989">
        <f>[2]TongHop!N1989</f>
        <v>0</v>
      </c>
    </row>
    <row r="1990" spans="1:14">
      <c r="A1990">
        <f>[2]TongHop!A1990</f>
        <v>0</v>
      </c>
      <c r="B1990">
        <f>[2]TongHop!B1990</f>
        <v>0</v>
      </c>
      <c r="C1990">
        <f>[2]TongHop!C1990</f>
        <v>0</v>
      </c>
      <c r="D1990">
        <f>[2]TongHop!D1990</f>
        <v>0</v>
      </c>
      <c r="E1990">
        <f>[2]TongHop!E1990</f>
        <v>0</v>
      </c>
      <c r="F1990">
        <f>[2]TongHop!F1990</f>
        <v>0</v>
      </c>
      <c r="G1990">
        <f>[2]TongHop!G1990</f>
        <v>0</v>
      </c>
      <c r="H1990">
        <f>[2]TongHop!H1990</f>
        <v>0</v>
      </c>
      <c r="I1990">
        <f>[2]TongHop!I1990</f>
        <v>0</v>
      </c>
      <c r="J1990">
        <f>[2]TongHop!J1990</f>
        <v>0</v>
      </c>
      <c r="K1990">
        <f>[2]TongHop!K1990</f>
        <v>0</v>
      </c>
      <c r="L1990">
        <f>[2]TongHop!L1990</f>
        <v>0</v>
      </c>
      <c r="M1990">
        <f>[2]TongHop!M1990</f>
        <v>0</v>
      </c>
      <c r="N1990">
        <f>[2]TongHop!N1990</f>
        <v>0</v>
      </c>
    </row>
    <row r="1991" spans="1:14">
      <c r="A1991">
        <f>[2]TongHop!A1991</f>
        <v>0</v>
      </c>
      <c r="B1991">
        <f>[2]TongHop!B1991</f>
        <v>0</v>
      </c>
      <c r="C1991">
        <f>[2]TongHop!C1991</f>
        <v>0</v>
      </c>
      <c r="D1991">
        <f>[2]TongHop!D1991</f>
        <v>0</v>
      </c>
      <c r="E1991">
        <f>[2]TongHop!E1991</f>
        <v>0</v>
      </c>
      <c r="F1991">
        <f>[2]TongHop!F1991</f>
        <v>0</v>
      </c>
      <c r="G1991">
        <f>[2]TongHop!G1991</f>
        <v>0</v>
      </c>
      <c r="H1991">
        <f>[2]TongHop!H1991</f>
        <v>0</v>
      </c>
      <c r="I1991">
        <f>[2]TongHop!I1991</f>
        <v>0</v>
      </c>
      <c r="J1991">
        <f>[2]TongHop!J1991</f>
        <v>0</v>
      </c>
      <c r="K1991">
        <f>[2]TongHop!K1991</f>
        <v>0</v>
      </c>
      <c r="L1991">
        <f>[2]TongHop!L1991</f>
        <v>0</v>
      </c>
      <c r="M1991">
        <f>[2]TongHop!M1991</f>
        <v>0</v>
      </c>
      <c r="N1991">
        <f>[2]TongHop!N1991</f>
        <v>0</v>
      </c>
    </row>
    <row r="1992" spans="1:14">
      <c r="A1992">
        <f>[2]TongHop!A1992</f>
        <v>0</v>
      </c>
      <c r="B1992">
        <f>[2]TongHop!B1992</f>
        <v>0</v>
      </c>
      <c r="C1992">
        <f>[2]TongHop!C1992</f>
        <v>0</v>
      </c>
      <c r="D1992">
        <f>[2]TongHop!D1992</f>
        <v>0</v>
      </c>
      <c r="E1992">
        <f>[2]TongHop!E1992</f>
        <v>0</v>
      </c>
      <c r="F1992">
        <f>[2]TongHop!F1992</f>
        <v>0</v>
      </c>
      <c r="G1992">
        <f>[2]TongHop!G1992</f>
        <v>0</v>
      </c>
      <c r="H1992">
        <f>[2]TongHop!H1992</f>
        <v>0</v>
      </c>
      <c r="I1992">
        <f>[2]TongHop!I1992</f>
        <v>0</v>
      </c>
      <c r="J1992">
        <f>[2]TongHop!J1992</f>
        <v>0</v>
      </c>
      <c r="K1992">
        <f>[2]TongHop!K1992</f>
        <v>0</v>
      </c>
      <c r="L1992">
        <f>[2]TongHop!L1992</f>
        <v>0</v>
      </c>
      <c r="M1992">
        <f>[2]TongHop!M1992</f>
        <v>0</v>
      </c>
      <c r="N1992">
        <f>[2]TongHop!N1992</f>
        <v>0</v>
      </c>
    </row>
    <row r="1993" spans="1:14">
      <c r="A1993">
        <f>[2]TongHop!A1993</f>
        <v>0</v>
      </c>
      <c r="B1993">
        <f>[2]TongHop!B1993</f>
        <v>0</v>
      </c>
      <c r="C1993">
        <f>[2]TongHop!C1993</f>
        <v>0</v>
      </c>
      <c r="D1993">
        <f>[2]TongHop!D1993</f>
        <v>0</v>
      </c>
      <c r="E1993">
        <f>[2]TongHop!E1993</f>
        <v>0</v>
      </c>
      <c r="F1993">
        <f>[2]TongHop!F1993</f>
        <v>0</v>
      </c>
      <c r="G1993">
        <f>[2]TongHop!G1993</f>
        <v>0</v>
      </c>
      <c r="H1993">
        <f>[2]TongHop!H1993</f>
        <v>0</v>
      </c>
      <c r="I1993">
        <f>[2]TongHop!I1993</f>
        <v>0</v>
      </c>
      <c r="J1993">
        <f>[2]TongHop!J1993</f>
        <v>0</v>
      </c>
      <c r="K1993">
        <f>[2]TongHop!K1993</f>
        <v>0</v>
      </c>
      <c r="L1993">
        <f>[2]TongHop!L1993</f>
        <v>0</v>
      </c>
      <c r="M1993">
        <f>[2]TongHop!M1993</f>
        <v>0</v>
      </c>
      <c r="N1993">
        <f>[2]TongHop!N1993</f>
        <v>0</v>
      </c>
    </row>
    <row r="1994" spans="1:14">
      <c r="A1994">
        <f>[2]TongHop!A1994</f>
        <v>0</v>
      </c>
      <c r="B1994">
        <f>[2]TongHop!B1994</f>
        <v>0</v>
      </c>
      <c r="C1994">
        <f>[2]TongHop!C1994</f>
        <v>0</v>
      </c>
      <c r="D1994">
        <f>[2]TongHop!D1994</f>
        <v>0</v>
      </c>
      <c r="E1994">
        <f>[2]TongHop!E1994</f>
        <v>0</v>
      </c>
      <c r="F1994">
        <f>[2]TongHop!F1994</f>
        <v>0</v>
      </c>
      <c r="G1994">
        <f>[2]TongHop!G1994</f>
        <v>0</v>
      </c>
      <c r="H1994">
        <f>[2]TongHop!H1994</f>
        <v>0</v>
      </c>
      <c r="I1994">
        <f>[2]TongHop!I1994</f>
        <v>0</v>
      </c>
      <c r="J1994">
        <f>[2]TongHop!J1994</f>
        <v>0</v>
      </c>
      <c r="K1994">
        <f>[2]TongHop!K1994</f>
        <v>0</v>
      </c>
      <c r="L1994">
        <f>[2]TongHop!L1994</f>
        <v>0</v>
      </c>
      <c r="M1994">
        <f>[2]TongHop!M1994</f>
        <v>0</v>
      </c>
      <c r="N1994">
        <f>[2]TongHop!N1994</f>
        <v>0</v>
      </c>
    </row>
    <row r="1995" spans="1:14">
      <c r="A1995">
        <f>[2]TongHop!A1995</f>
        <v>0</v>
      </c>
      <c r="B1995">
        <f>[2]TongHop!B1995</f>
        <v>0</v>
      </c>
      <c r="C1995">
        <f>[2]TongHop!C1995</f>
        <v>0</v>
      </c>
      <c r="D1995">
        <f>[2]TongHop!D1995</f>
        <v>0</v>
      </c>
      <c r="E1995">
        <f>[2]TongHop!E1995</f>
        <v>0</v>
      </c>
      <c r="F1995">
        <f>[2]TongHop!F1995</f>
        <v>0</v>
      </c>
      <c r="G1995">
        <f>[2]TongHop!G1995</f>
        <v>0</v>
      </c>
      <c r="H1995">
        <f>[2]TongHop!H1995</f>
        <v>0</v>
      </c>
      <c r="I1995">
        <f>[2]TongHop!I1995</f>
        <v>0</v>
      </c>
      <c r="J1995">
        <f>[2]TongHop!J1995</f>
        <v>0</v>
      </c>
      <c r="K1995">
        <f>[2]TongHop!K1995</f>
        <v>0</v>
      </c>
      <c r="L1995">
        <f>[2]TongHop!L1995</f>
        <v>0</v>
      </c>
      <c r="M1995">
        <f>[2]TongHop!M1995</f>
        <v>0</v>
      </c>
      <c r="N1995">
        <f>[2]TongHop!N1995</f>
        <v>0</v>
      </c>
    </row>
    <row r="1996" spans="1:14">
      <c r="A1996">
        <f>[2]TongHop!A1996</f>
        <v>0</v>
      </c>
      <c r="B1996">
        <f>[2]TongHop!B1996</f>
        <v>0</v>
      </c>
      <c r="C1996">
        <f>[2]TongHop!C1996</f>
        <v>0</v>
      </c>
      <c r="D1996">
        <f>[2]TongHop!D1996</f>
        <v>0</v>
      </c>
      <c r="E1996">
        <f>[2]TongHop!E1996</f>
        <v>0</v>
      </c>
      <c r="F1996">
        <f>[2]TongHop!F1996</f>
        <v>0</v>
      </c>
      <c r="G1996">
        <f>[2]TongHop!G1996</f>
        <v>0</v>
      </c>
      <c r="H1996">
        <f>[2]TongHop!H1996</f>
        <v>0</v>
      </c>
      <c r="I1996">
        <f>[2]TongHop!I1996</f>
        <v>0</v>
      </c>
      <c r="J1996">
        <f>[2]TongHop!J1996</f>
        <v>0</v>
      </c>
      <c r="K1996">
        <f>[2]TongHop!K1996</f>
        <v>0</v>
      </c>
      <c r="L1996">
        <f>[2]TongHop!L1996</f>
        <v>0</v>
      </c>
      <c r="M1996">
        <f>[2]TongHop!M1996</f>
        <v>0</v>
      </c>
      <c r="N1996">
        <f>[2]TongHop!N1996</f>
        <v>0</v>
      </c>
    </row>
    <row r="1997" spans="1:14">
      <c r="A1997">
        <f>[2]TongHop!A1997</f>
        <v>0</v>
      </c>
      <c r="B1997">
        <f>[2]TongHop!B1997</f>
        <v>0</v>
      </c>
      <c r="C1997">
        <f>[2]TongHop!C1997</f>
        <v>0</v>
      </c>
      <c r="D1997">
        <f>[2]TongHop!D1997</f>
        <v>0</v>
      </c>
      <c r="E1997">
        <f>[2]TongHop!E1997</f>
        <v>0</v>
      </c>
      <c r="F1997">
        <f>[2]TongHop!F1997</f>
        <v>0</v>
      </c>
      <c r="G1997">
        <f>[2]TongHop!G1997</f>
        <v>0</v>
      </c>
      <c r="H1997">
        <f>[2]TongHop!H1997</f>
        <v>0</v>
      </c>
      <c r="I1997">
        <f>[2]TongHop!I1997</f>
        <v>0</v>
      </c>
      <c r="J1997">
        <f>[2]TongHop!J1997</f>
        <v>0</v>
      </c>
      <c r="K1997">
        <f>[2]TongHop!K1997</f>
        <v>0</v>
      </c>
      <c r="L1997">
        <f>[2]TongHop!L1997</f>
        <v>0</v>
      </c>
      <c r="M1997">
        <f>[2]TongHop!M1997</f>
        <v>0</v>
      </c>
      <c r="N1997">
        <f>[2]TongHop!N1997</f>
        <v>0</v>
      </c>
    </row>
    <row r="1998" spans="1:14">
      <c r="A1998">
        <f>[2]TongHop!A1998</f>
        <v>0</v>
      </c>
      <c r="B1998">
        <f>[2]TongHop!B1998</f>
        <v>0</v>
      </c>
      <c r="C1998">
        <f>[2]TongHop!C1998</f>
        <v>0</v>
      </c>
      <c r="D1998">
        <f>[2]TongHop!D1998</f>
        <v>0</v>
      </c>
      <c r="E1998">
        <f>[2]TongHop!E1998</f>
        <v>0</v>
      </c>
      <c r="F1998">
        <f>[2]TongHop!F1998</f>
        <v>0</v>
      </c>
      <c r="G1998">
        <f>[2]TongHop!G1998</f>
        <v>0</v>
      </c>
      <c r="H1998">
        <f>[2]TongHop!H1998</f>
        <v>0</v>
      </c>
      <c r="I1998">
        <f>[2]TongHop!I1998</f>
        <v>0</v>
      </c>
      <c r="J1998">
        <f>[2]TongHop!J1998</f>
        <v>0</v>
      </c>
      <c r="K1998">
        <f>[2]TongHop!K1998</f>
        <v>0</v>
      </c>
      <c r="L1998">
        <f>[2]TongHop!L1998</f>
        <v>0</v>
      </c>
      <c r="M1998">
        <f>[2]TongHop!M1998</f>
        <v>0</v>
      </c>
      <c r="N1998">
        <f>[2]TongHop!N1998</f>
        <v>0</v>
      </c>
    </row>
    <row r="1999" spans="1:14">
      <c r="A1999">
        <f>[2]TongHop!A1999</f>
        <v>0</v>
      </c>
      <c r="B1999">
        <f>[2]TongHop!B1999</f>
        <v>0</v>
      </c>
      <c r="C1999">
        <f>[2]TongHop!C1999</f>
        <v>0</v>
      </c>
      <c r="D1999">
        <f>[2]TongHop!D1999</f>
        <v>0</v>
      </c>
      <c r="E1999">
        <f>[2]TongHop!E1999</f>
        <v>0</v>
      </c>
      <c r="F1999">
        <f>[2]TongHop!F1999</f>
        <v>0</v>
      </c>
      <c r="G1999">
        <f>[2]TongHop!G1999</f>
        <v>0</v>
      </c>
      <c r="H1999">
        <f>[2]TongHop!H1999</f>
        <v>0</v>
      </c>
      <c r="I1999">
        <f>[2]TongHop!I1999</f>
        <v>0</v>
      </c>
      <c r="J1999">
        <f>[2]TongHop!J1999</f>
        <v>0</v>
      </c>
      <c r="K1999">
        <f>[2]TongHop!K1999</f>
        <v>0</v>
      </c>
      <c r="L1999">
        <f>[2]TongHop!L1999</f>
        <v>0</v>
      </c>
      <c r="M1999">
        <f>[2]TongHop!M1999</f>
        <v>0</v>
      </c>
      <c r="N1999">
        <f>[2]TongHop!N1999</f>
        <v>0</v>
      </c>
    </row>
    <row r="2000" spans="1:14">
      <c r="A2000">
        <f>[2]TongHop!A2000</f>
        <v>0</v>
      </c>
      <c r="B2000">
        <f>[2]TongHop!B2000</f>
        <v>0</v>
      </c>
      <c r="C2000">
        <f>[2]TongHop!C2000</f>
        <v>0</v>
      </c>
      <c r="D2000">
        <f>[2]TongHop!D2000</f>
        <v>0</v>
      </c>
      <c r="E2000">
        <f>[2]TongHop!E2000</f>
        <v>0</v>
      </c>
      <c r="F2000">
        <f>[2]TongHop!F2000</f>
        <v>0</v>
      </c>
      <c r="G2000">
        <f>[2]TongHop!G2000</f>
        <v>0</v>
      </c>
      <c r="H2000">
        <f>[2]TongHop!H2000</f>
        <v>0</v>
      </c>
      <c r="I2000">
        <f>[2]TongHop!I2000</f>
        <v>0</v>
      </c>
      <c r="J2000">
        <f>[2]TongHop!J2000</f>
        <v>0</v>
      </c>
      <c r="K2000">
        <f>[2]TongHop!K2000</f>
        <v>0</v>
      </c>
      <c r="L2000">
        <f>[2]TongHop!L2000</f>
        <v>0</v>
      </c>
      <c r="M2000">
        <f>[2]TongHop!M2000</f>
        <v>0</v>
      </c>
      <c r="N2000">
        <f>[2]TongHop!N2000</f>
        <v>0</v>
      </c>
    </row>
    <row r="2001" spans="1:14">
      <c r="A2001">
        <f>[2]TongHop!A2001</f>
        <v>0</v>
      </c>
      <c r="B2001">
        <f>[2]TongHop!B2001</f>
        <v>0</v>
      </c>
      <c r="C2001">
        <f>[2]TongHop!C2001</f>
        <v>0</v>
      </c>
      <c r="D2001">
        <f>[2]TongHop!D2001</f>
        <v>0</v>
      </c>
      <c r="E2001">
        <f>[2]TongHop!E2001</f>
        <v>0</v>
      </c>
      <c r="F2001">
        <f>[2]TongHop!F2001</f>
        <v>0</v>
      </c>
      <c r="G2001">
        <f>[2]TongHop!G2001</f>
        <v>0</v>
      </c>
      <c r="H2001">
        <f>[2]TongHop!H2001</f>
        <v>0</v>
      </c>
      <c r="I2001">
        <f>[2]TongHop!I2001</f>
        <v>0</v>
      </c>
      <c r="J2001">
        <f>[2]TongHop!J2001</f>
        <v>0</v>
      </c>
      <c r="K2001">
        <f>[2]TongHop!K2001</f>
        <v>0</v>
      </c>
      <c r="L2001">
        <f>[2]TongHop!L2001</f>
        <v>0</v>
      </c>
      <c r="M2001">
        <f>[2]TongHop!M2001</f>
        <v>0</v>
      </c>
      <c r="N2001">
        <f>[2]TongHop!N2001</f>
        <v>0</v>
      </c>
    </row>
    <row r="2002" spans="1:14">
      <c r="A2002">
        <f>[2]TongHop!A2002</f>
        <v>0</v>
      </c>
      <c r="B2002">
        <f>[2]TongHop!B2002</f>
        <v>0</v>
      </c>
      <c r="C2002">
        <f>[2]TongHop!C2002</f>
        <v>0</v>
      </c>
      <c r="D2002">
        <f>[2]TongHop!D2002</f>
        <v>0</v>
      </c>
      <c r="E2002">
        <f>[2]TongHop!E2002</f>
        <v>0</v>
      </c>
      <c r="F2002">
        <f>[2]TongHop!F2002</f>
        <v>0</v>
      </c>
      <c r="G2002">
        <f>[2]TongHop!G2002</f>
        <v>0</v>
      </c>
      <c r="H2002">
        <f>[2]TongHop!H2002</f>
        <v>0</v>
      </c>
      <c r="I2002">
        <f>[2]TongHop!I2002</f>
        <v>0</v>
      </c>
      <c r="J2002">
        <f>[2]TongHop!J2002</f>
        <v>0</v>
      </c>
      <c r="K2002">
        <f>[2]TongHop!K2002</f>
        <v>0</v>
      </c>
      <c r="L2002">
        <f>[2]TongHop!L2002</f>
        <v>0</v>
      </c>
      <c r="M2002">
        <f>[2]TongHop!M2002</f>
        <v>0</v>
      </c>
      <c r="N2002">
        <f>[2]TongHop!N2002</f>
        <v>0</v>
      </c>
    </row>
    <row r="2003" spans="1:14">
      <c r="A2003">
        <f>[2]TongHop!A2003</f>
        <v>0</v>
      </c>
      <c r="B2003">
        <f>[2]TongHop!B2003</f>
        <v>0</v>
      </c>
      <c r="C2003">
        <f>[2]TongHop!C2003</f>
        <v>0</v>
      </c>
      <c r="D2003">
        <f>[2]TongHop!D2003</f>
        <v>0</v>
      </c>
      <c r="E2003">
        <f>[2]TongHop!E2003</f>
        <v>0</v>
      </c>
      <c r="F2003">
        <f>[2]TongHop!F2003</f>
        <v>0</v>
      </c>
      <c r="G2003">
        <f>[2]TongHop!G2003</f>
        <v>0</v>
      </c>
      <c r="H2003">
        <f>[2]TongHop!H2003</f>
        <v>0</v>
      </c>
      <c r="I2003">
        <f>[2]TongHop!I2003</f>
        <v>0</v>
      </c>
      <c r="J2003">
        <f>[2]TongHop!J2003</f>
        <v>0</v>
      </c>
      <c r="K2003">
        <f>[2]TongHop!K2003</f>
        <v>0</v>
      </c>
      <c r="L2003">
        <f>[2]TongHop!L2003</f>
        <v>0</v>
      </c>
      <c r="M2003">
        <f>[2]TongHop!M2003</f>
        <v>0</v>
      </c>
      <c r="N2003">
        <f>[2]TongHop!N2003</f>
        <v>0</v>
      </c>
    </row>
    <row r="2004" spans="1:14">
      <c r="A2004">
        <f>[2]TongHop!A2004</f>
        <v>0</v>
      </c>
      <c r="B2004">
        <f>[2]TongHop!B2004</f>
        <v>0</v>
      </c>
      <c r="C2004">
        <f>[2]TongHop!C2004</f>
        <v>0</v>
      </c>
      <c r="D2004">
        <f>[2]TongHop!D2004</f>
        <v>0</v>
      </c>
      <c r="E2004">
        <f>[2]TongHop!E2004</f>
        <v>0</v>
      </c>
      <c r="F2004">
        <f>[2]TongHop!F2004</f>
        <v>0</v>
      </c>
      <c r="G2004">
        <f>[2]TongHop!G2004</f>
        <v>0</v>
      </c>
      <c r="H2004">
        <f>[2]TongHop!H2004</f>
        <v>0</v>
      </c>
      <c r="I2004">
        <f>[2]TongHop!I2004</f>
        <v>0</v>
      </c>
      <c r="J2004">
        <f>[2]TongHop!J2004</f>
        <v>0</v>
      </c>
      <c r="K2004">
        <f>[2]TongHop!K2004</f>
        <v>0</v>
      </c>
      <c r="L2004">
        <f>[2]TongHop!L2004</f>
        <v>0</v>
      </c>
      <c r="M2004">
        <f>[2]TongHop!M2004</f>
        <v>0</v>
      </c>
      <c r="N2004">
        <f>[2]TongHop!N2004</f>
        <v>0</v>
      </c>
    </row>
    <row r="2005" spans="1:14">
      <c r="A2005">
        <f>[2]TongHop!A2005</f>
        <v>0</v>
      </c>
      <c r="B2005">
        <f>[2]TongHop!B2005</f>
        <v>0</v>
      </c>
      <c r="C2005">
        <f>[2]TongHop!C2005</f>
        <v>0</v>
      </c>
      <c r="D2005">
        <f>[2]TongHop!D2005</f>
        <v>0</v>
      </c>
      <c r="E2005">
        <f>[2]TongHop!E2005</f>
        <v>0</v>
      </c>
      <c r="F2005">
        <f>[2]TongHop!F2005</f>
        <v>0</v>
      </c>
      <c r="G2005">
        <f>[2]TongHop!G2005</f>
        <v>0</v>
      </c>
      <c r="H2005">
        <f>[2]TongHop!H2005</f>
        <v>0</v>
      </c>
      <c r="I2005">
        <f>[2]TongHop!I2005</f>
        <v>0</v>
      </c>
      <c r="J2005">
        <f>[2]TongHop!J2005</f>
        <v>0</v>
      </c>
      <c r="K2005">
        <f>[2]TongHop!K2005</f>
        <v>0</v>
      </c>
      <c r="L2005">
        <f>[2]TongHop!L2005</f>
        <v>0</v>
      </c>
      <c r="M2005">
        <f>[2]TongHop!M2005</f>
        <v>0</v>
      </c>
      <c r="N2005">
        <f>[2]TongHop!N2005</f>
        <v>0</v>
      </c>
    </row>
    <row r="2006" spans="1:14">
      <c r="A2006">
        <f>[2]TongHop!A2006</f>
        <v>0</v>
      </c>
      <c r="B2006">
        <f>[2]TongHop!B2006</f>
        <v>0</v>
      </c>
      <c r="C2006">
        <f>[2]TongHop!C2006</f>
        <v>0</v>
      </c>
      <c r="D2006">
        <f>[2]TongHop!D2006</f>
        <v>0</v>
      </c>
      <c r="E2006">
        <f>[2]TongHop!E2006</f>
        <v>0</v>
      </c>
      <c r="F2006">
        <f>[2]TongHop!F2006</f>
        <v>0</v>
      </c>
      <c r="G2006">
        <f>[2]TongHop!G2006</f>
        <v>0</v>
      </c>
      <c r="H2006">
        <f>[2]TongHop!H2006</f>
        <v>0</v>
      </c>
      <c r="I2006">
        <f>[2]TongHop!I2006</f>
        <v>0</v>
      </c>
      <c r="J2006">
        <f>[2]TongHop!J2006</f>
        <v>0</v>
      </c>
      <c r="K2006">
        <f>[2]TongHop!K2006</f>
        <v>0</v>
      </c>
      <c r="L2006">
        <f>[2]TongHop!L2006</f>
        <v>0</v>
      </c>
      <c r="M2006">
        <f>[2]TongHop!M2006</f>
        <v>0</v>
      </c>
      <c r="N2006">
        <f>[2]TongHop!N2006</f>
        <v>0</v>
      </c>
    </row>
    <row r="2007" spans="1:14">
      <c r="A2007">
        <f>[2]TongHop!A2007</f>
        <v>0</v>
      </c>
      <c r="B2007">
        <f>[2]TongHop!B2007</f>
        <v>0</v>
      </c>
      <c r="C2007">
        <f>[2]TongHop!C2007</f>
        <v>0</v>
      </c>
      <c r="D2007">
        <f>[2]TongHop!D2007</f>
        <v>0</v>
      </c>
      <c r="E2007">
        <f>[2]TongHop!E2007</f>
        <v>0</v>
      </c>
      <c r="F2007">
        <f>[2]TongHop!F2007</f>
        <v>0</v>
      </c>
      <c r="G2007">
        <f>[2]TongHop!G2007</f>
        <v>0</v>
      </c>
      <c r="H2007">
        <f>[2]TongHop!H2007</f>
        <v>0</v>
      </c>
      <c r="I2007">
        <f>[2]TongHop!I2007</f>
        <v>0</v>
      </c>
      <c r="J2007">
        <f>[2]TongHop!J2007</f>
        <v>0</v>
      </c>
      <c r="K2007">
        <f>[2]TongHop!K2007</f>
        <v>0</v>
      </c>
      <c r="L2007">
        <f>[2]TongHop!L2007</f>
        <v>0</v>
      </c>
      <c r="M2007">
        <f>[2]TongHop!M2007</f>
        <v>0</v>
      </c>
      <c r="N2007">
        <f>[2]TongHop!N2007</f>
        <v>0</v>
      </c>
    </row>
    <row r="2008" spans="1:14">
      <c r="A2008">
        <f>[2]TongHop!A2008</f>
        <v>0</v>
      </c>
      <c r="B2008">
        <f>[2]TongHop!B2008</f>
        <v>0</v>
      </c>
      <c r="C2008">
        <f>[2]TongHop!C2008</f>
        <v>0</v>
      </c>
      <c r="D2008">
        <f>[2]TongHop!D2008</f>
        <v>0</v>
      </c>
      <c r="E2008">
        <f>[2]TongHop!E2008</f>
        <v>0</v>
      </c>
      <c r="F2008">
        <f>[2]TongHop!F2008</f>
        <v>0</v>
      </c>
      <c r="G2008">
        <f>[2]TongHop!G2008</f>
        <v>0</v>
      </c>
      <c r="H2008">
        <f>[2]TongHop!H2008</f>
        <v>0</v>
      </c>
      <c r="I2008">
        <f>[2]TongHop!I2008</f>
        <v>0</v>
      </c>
      <c r="J2008">
        <f>[2]TongHop!J2008</f>
        <v>0</v>
      </c>
      <c r="K2008">
        <f>[2]TongHop!K2008</f>
        <v>0</v>
      </c>
      <c r="L2008">
        <f>[2]TongHop!L2008</f>
        <v>0</v>
      </c>
      <c r="M2008">
        <f>[2]TongHop!M2008</f>
        <v>0</v>
      </c>
      <c r="N2008">
        <f>[2]TongHop!N2008</f>
        <v>0</v>
      </c>
    </row>
    <row r="2009" spans="1:14">
      <c r="A2009">
        <f>[2]TongHop!A2009</f>
        <v>0</v>
      </c>
      <c r="B2009">
        <f>[2]TongHop!B2009</f>
        <v>0</v>
      </c>
      <c r="C2009">
        <f>[2]TongHop!C2009</f>
        <v>0</v>
      </c>
      <c r="D2009">
        <f>[2]TongHop!D2009</f>
        <v>0</v>
      </c>
      <c r="E2009">
        <f>[2]TongHop!E2009</f>
        <v>0</v>
      </c>
      <c r="F2009">
        <f>[2]TongHop!F2009</f>
        <v>0</v>
      </c>
      <c r="G2009">
        <f>[2]TongHop!G2009</f>
        <v>0</v>
      </c>
      <c r="H2009">
        <f>[2]TongHop!H2009</f>
        <v>0</v>
      </c>
      <c r="I2009">
        <f>[2]TongHop!I2009</f>
        <v>0</v>
      </c>
      <c r="J2009">
        <f>[2]TongHop!J2009</f>
        <v>0</v>
      </c>
      <c r="K2009">
        <f>[2]TongHop!K2009</f>
        <v>0</v>
      </c>
      <c r="L2009">
        <f>[2]TongHop!L2009</f>
        <v>0</v>
      </c>
      <c r="M2009">
        <f>[2]TongHop!M2009</f>
        <v>0</v>
      </c>
      <c r="N2009">
        <f>[2]TongHop!N2009</f>
        <v>0</v>
      </c>
    </row>
    <row r="2010" spans="1:14">
      <c r="A2010">
        <f>[2]TongHop!A2010</f>
        <v>0</v>
      </c>
      <c r="B2010">
        <f>[2]TongHop!B2010</f>
        <v>0</v>
      </c>
      <c r="C2010">
        <f>[2]TongHop!C2010</f>
        <v>0</v>
      </c>
      <c r="D2010">
        <f>[2]TongHop!D2010</f>
        <v>0</v>
      </c>
      <c r="E2010">
        <f>[2]TongHop!E2010</f>
        <v>0</v>
      </c>
      <c r="F2010">
        <f>[2]TongHop!F2010</f>
        <v>0</v>
      </c>
      <c r="G2010">
        <f>[2]TongHop!G2010</f>
        <v>0</v>
      </c>
      <c r="H2010">
        <f>[2]TongHop!H2010</f>
        <v>0</v>
      </c>
      <c r="I2010">
        <f>[2]TongHop!I2010</f>
        <v>0</v>
      </c>
      <c r="J2010">
        <f>[2]TongHop!J2010</f>
        <v>0</v>
      </c>
      <c r="K2010">
        <f>[2]TongHop!K2010</f>
        <v>0</v>
      </c>
      <c r="L2010">
        <f>[2]TongHop!L2010</f>
        <v>0</v>
      </c>
      <c r="M2010">
        <f>[2]TongHop!M2010</f>
        <v>0</v>
      </c>
      <c r="N2010">
        <f>[2]TongHop!N2010</f>
        <v>0</v>
      </c>
    </row>
    <row r="2011" spans="1:14">
      <c r="A2011">
        <f>[2]TongHop!A2011</f>
        <v>0</v>
      </c>
      <c r="B2011">
        <f>[2]TongHop!B2011</f>
        <v>0</v>
      </c>
      <c r="C2011">
        <f>[2]TongHop!C2011</f>
        <v>0</v>
      </c>
      <c r="D2011">
        <f>[2]TongHop!D2011</f>
        <v>0</v>
      </c>
      <c r="E2011">
        <f>[2]TongHop!E2011</f>
        <v>0</v>
      </c>
      <c r="F2011">
        <f>[2]TongHop!F2011</f>
        <v>0</v>
      </c>
      <c r="G2011">
        <f>[2]TongHop!G2011</f>
        <v>0</v>
      </c>
      <c r="H2011">
        <f>[2]TongHop!H2011</f>
        <v>0</v>
      </c>
      <c r="I2011">
        <f>[2]TongHop!I2011</f>
        <v>0</v>
      </c>
      <c r="J2011">
        <f>[2]TongHop!J2011</f>
        <v>0</v>
      </c>
      <c r="K2011">
        <f>[2]TongHop!K2011</f>
        <v>0</v>
      </c>
      <c r="L2011">
        <f>[2]TongHop!L2011</f>
        <v>0</v>
      </c>
      <c r="M2011">
        <f>[2]TongHop!M2011</f>
        <v>0</v>
      </c>
      <c r="N2011">
        <f>[2]TongHop!N2011</f>
        <v>0</v>
      </c>
    </row>
    <row r="2012" spans="1:14">
      <c r="A2012">
        <f>[2]TongHop!A2012</f>
        <v>0</v>
      </c>
      <c r="B2012">
        <f>[2]TongHop!B2012</f>
        <v>0</v>
      </c>
      <c r="C2012">
        <f>[2]TongHop!C2012</f>
        <v>0</v>
      </c>
      <c r="D2012">
        <f>[2]TongHop!D2012</f>
        <v>0</v>
      </c>
      <c r="E2012">
        <f>[2]TongHop!E2012</f>
        <v>0</v>
      </c>
      <c r="F2012">
        <f>[2]TongHop!F2012</f>
        <v>0</v>
      </c>
      <c r="G2012">
        <f>[2]TongHop!G2012</f>
        <v>0</v>
      </c>
      <c r="H2012">
        <f>[2]TongHop!H2012</f>
        <v>0</v>
      </c>
      <c r="I2012">
        <f>[2]TongHop!I2012</f>
        <v>0</v>
      </c>
      <c r="J2012">
        <f>[2]TongHop!J2012</f>
        <v>0</v>
      </c>
      <c r="K2012">
        <f>[2]TongHop!K2012</f>
        <v>0</v>
      </c>
      <c r="L2012">
        <f>[2]TongHop!L2012</f>
        <v>0</v>
      </c>
      <c r="M2012">
        <f>[2]TongHop!M2012</f>
        <v>0</v>
      </c>
      <c r="N2012">
        <f>[2]TongHop!N2012</f>
        <v>0</v>
      </c>
    </row>
    <row r="2013" spans="1:14">
      <c r="A2013">
        <f>[2]TongHop!A2013</f>
        <v>0</v>
      </c>
      <c r="B2013">
        <f>[2]TongHop!B2013</f>
        <v>0</v>
      </c>
      <c r="C2013">
        <f>[2]TongHop!C2013</f>
        <v>0</v>
      </c>
      <c r="D2013">
        <f>[2]TongHop!D2013</f>
        <v>0</v>
      </c>
      <c r="E2013">
        <f>[2]TongHop!E2013</f>
        <v>0</v>
      </c>
      <c r="F2013">
        <f>[2]TongHop!F2013</f>
        <v>0</v>
      </c>
      <c r="G2013">
        <f>[2]TongHop!G2013</f>
        <v>0</v>
      </c>
      <c r="H2013">
        <f>[2]TongHop!H2013</f>
        <v>0</v>
      </c>
      <c r="I2013">
        <f>[2]TongHop!I2013</f>
        <v>0</v>
      </c>
      <c r="J2013">
        <f>[2]TongHop!J2013</f>
        <v>0</v>
      </c>
      <c r="K2013">
        <f>[2]TongHop!K2013</f>
        <v>0</v>
      </c>
      <c r="L2013">
        <f>[2]TongHop!L2013</f>
        <v>0</v>
      </c>
      <c r="M2013">
        <f>[2]TongHop!M2013</f>
        <v>0</v>
      </c>
      <c r="N2013">
        <f>[2]TongHop!N2013</f>
        <v>0</v>
      </c>
    </row>
    <row r="2014" spans="1:14">
      <c r="A2014">
        <f>[2]TongHop!A2014</f>
        <v>0</v>
      </c>
      <c r="B2014">
        <f>[2]TongHop!B2014</f>
        <v>0</v>
      </c>
      <c r="C2014">
        <f>[2]TongHop!C2014</f>
        <v>0</v>
      </c>
      <c r="D2014">
        <f>[2]TongHop!D2014</f>
        <v>0</v>
      </c>
      <c r="E2014">
        <f>[2]TongHop!E2014</f>
        <v>0</v>
      </c>
      <c r="F2014">
        <f>[2]TongHop!F2014</f>
        <v>0</v>
      </c>
      <c r="G2014">
        <f>[2]TongHop!G2014</f>
        <v>0</v>
      </c>
      <c r="H2014">
        <f>[2]TongHop!H2014</f>
        <v>0</v>
      </c>
      <c r="I2014">
        <f>[2]TongHop!I2014</f>
        <v>0</v>
      </c>
      <c r="J2014">
        <f>[2]TongHop!J2014</f>
        <v>0</v>
      </c>
      <c r="K2014">
        <f>[2]TongHop!K2014</f>
        <v>0</v>
      </c>
      <c r="L2014">
        <f>[2]TongHop!L2014</f>
        <v>0</v>
      </c>
      <c r="M2014">
        <f>[2]TongHop!M2014</f>
        <v>0</v>
      </c>
      <c r="N2014">
        <f>[2]TongHop!N2014</f>
        <v>0</v>
      </c>
    </row>
    <row r="2015" spans="1:14">
      <c r="A2015">
        <f>[2]TongHop!A2015</f>
        <v>0</v>
      </c>
      <c r="B2015">
        <f>[2]TongHop!B2015</f>
        <v>0</v>
      </c>
      <c r="C2015">
        <f>[2]TongHop!C2015</f>
        <v>0</v>
      </c>
      <c r="D2015">
        <f>[2]TongHop!D2015</f>
        <v>0</v>
      </c>
      <c r="E2015">
        <f>[2]TongHop!E2015</f>
        <v>0</v>
      </c>
      <c r="F2015">
        <f>[2]TongHop!F2015</f>
        <v>0</v>
      </c>
      <c r="G2015">
        <f>[2]TongHop!G2015</f>
        <v>0</v>
      </c>
      <c r="H2015">
        <f>[2]TongHop!H2015</f>
        <v>0</v>
      </c>
      <c r="I2015">
        <f>[2]TongHop!I2015</f>
        <v>0</v>
      </c>
      <c r="J2015">
        <f>[2]TongHop!J2015</f>
        <v>0</v>
      </c>
      <c r="K2015">
        <f>[2]TongHop!K2015</f>
        <v>0</v>
      </c>
      <c r="L2015">
        <f>[2]TongHop!L2015</f>
        <v>0</v>
      </c>
      <c r="M2015">
        <f>[2]TongHop!M2015</f>
        <v>0</v>
      </c>
      <c r="N2015">
        <f>[2]TongHop!N2015</f>
        <v>0</v>
      </c>
    </row>
    <row r="2016" spans="1:14">
      <c r="A2016">
        <f>[2]TongHop!A2016</f>
        <v>0</v>
      </c>
      <c r="B2016">
        <f>[2]TongHop!B2016</f>
        <v>0</v>
      </c>
      <c r="C2016">
        <f>[2]TongHop!C2016</f>
        <v>0</v>
      </c>
      <c r="D2016">
        <f>[2]TongHop!D2016</f>
        <v>0</v>
      </c>
      <c r="E2016">
        <f>[2]TongHop!E2016</f>
        <v>0</v>
      </c>
      <c r="F2016">
        <f>[2]TongHop!F2016</f>
        <v>0</v>
      </c>
      <c r="G2016">
        <f>[2]TongHop!G2016</f>
        <v>0</v>
      </c>
      <c r="H2016">
        <f>[2]TongHop!H2016</f>
        <v>0</v>
      </c>
      <c r="I2016">
        <f>[2]TongHop!I2016</f>
        <v>0</v>
      </c>
      <c r="J2016">
        <f>[2]TongHop!J2016</f>
        <v>0</v>
      </c>
      <c r="K2016">
        <f>[2]TongHop!K2016</f>
        <v>0</v>
      </c>
      <c r="L2016">
        <f>[2]TongHop!L2016</f>
        <v>0</v>
      </c>
      <c r="M2016">
        <f>[2]TongHop!M2016</f>
        <v>0</v>
      </c>
      <c r="N2016">
        <f>[2]TongHop!N2016</f>
        <v>0</v>
      </c>
    </row>
    <row r="2017" spans="1:14">
      <c r="A2017">
        <f>[2]TongHop!A2017</f>
        <v>0</v>
      </c>
      <c r="B2017">
        <f>[2]TongHop!B2017</f>
        <v>0</v>
      </c>
      <c r="C2017">
        <f>[2]TongHop!C2017</f>
        <v>0</v>
      </c>
      <c r="D2017">
        <f>[2]TongHop!D2017</f>
        <v>0</v>
      </c>
      <c r="E2017">
        <f>[2]TongHop!E2017</f>
        <v>0</v>
      </c>
      <c r="F2017">
        <f>[2]TongHop!F2017</f>
        <v>0</v>
      </c>
      <c r="G2017">
        <f>[2]TongHop!G2017</f>
        <v>0</v>
      </c>
      <c r="H2017">
        <f>[2]TongHop!H2017</f>
        <v>0</v>
      </c>
      <c r="I2017">
        <f>[2]TongHop!I2017</f>
        <v>0</v>
      </c>
      <c r="J2017">
        <f>[2]TongHop!J2017</f>
        <v>0</v>
      </c>
      <c r="K2017">
        <f>[2]TongHop!K2017</f>
        <v>0</v>
      </c>
      <c r="L2017">
        <f>[2]TongHop!L2017</f>
        <v>0</v>
      </c>
      <c r="M2017">
        <f>[2]TongHop!M2017</f>
        <v>0</v>
      </c>
      <c r="N2017">
        <f>[2]TongHop!N2017</f>
        <v>0</v>
      </c>
    </row>
    <row r="2018" spans="1:14">
      <c r="A2018">
        <f>[2]TongHop!A2018</f>
        <v>0</v>
      </c>
      <c r="B2018">
        <f>[2]TongHop!B2018</f>
        <v>0</v>
      </c>
      <c r="C2018">
        <f>[2]TongHop!C2018</f>
        <v>0</v>
      </c>
      <c r="D2018">
        <f>[2]TongHop!D2018</f>
        <v>0</v>
      </c>
      <c r="E2018">
        <f>[2]TongHop!E2018</f>
        <v>0</v>
      </c>
      <c r="F2018">
        <f>[2]TongHop!F2018</f>
        <v>0</v>
      </c>
      <c r="G2018">
        <f>[2]TongHop!G2018</f>
        <v>0</v>
      </c>
      <c r="H2018">
        <f>[2]TongHop!H2018</f>
        <v>0</v>
      </c>
      <c r="I2018">
        <f>[2]TongHop!I2018</f>
        <v>0</v>
      </c>
      <c r="J2018">
        <f>[2]TongHop!J2018</f>
        <v>0</v>
      </c>
      <c r="K2018">
        <f>[2]TongHop!K2018</f>
        <v>0</v>
      </c>
      <c r="L2018">
        <f>[2]TongHop!L2018</f>
        <v>0</v>
      </c>
      <c r="M2018">
        <f>[2]TongHop!M2018</f>
        <v>0</v>
      </c>
      <c r="N2018">
        <f>[2]TongHop!N2018</f>
        <v>0</v>
      </c>
    </row>
    <row r="2019" spans="1:14">
      <c r="A2019">
        <f>[2]TongHop!A2019</f>
        <v>0</v>
      </c>
      <c r="B2019">
        <f>[2]TongHop!B2019</f>
        <v>0</v>
      </c>
      <c r="C2019">
        <f>[2]TongHop!C2019</f>
        <v>0</v>
      </c>
      <c r="D2019">
        <f>[2]TongHop!D2019</f>
        <v>0</v>
      </c>
      <c r="E2019">
        <f>[2]TongHop!E2019</f>
        <v>0</v>
      </c>
      <c r="F2019">
        <f>[2]TongHop!F2019</f>
        <v>0</v>
      </c>
      <c r="G2019">
        <f>[2]TongHop!G2019</f>
        <v>0</v>
      </c>
      <c r="H2019">
        <f>[2]TongHop!H2019</f>
        <v>0</v>
      </c>
      <c r="I2019">
        <f>[2]TongHop!I2019</f>
        <v>0</v>
      </c>
      <c r="J2019">
        <f>[2]TongHop!J2019</f>
        <v>0</v>
      </c>
      <c r="K2019">
        <f>[2]TongHop!K2019</f>
        <v>0</v>
      </c>
      <c r="L2019">
        <f>[2]TongHop!L2019</f>
        <v>0</v>
      </c>
      <c r="M2019">
        <f>[2]TongHop!M2019</f>
        <v>0</v>
      </c>
      <c r="N2019">
        <f>[2]TongHop!N2019</f>
        <v>0</v>
      </c>
    </row>
    <row r="2020" spans="1:14">
      <c r="A2020">
        <f>[2]TongHop!A2020</f>
        <v>0</v>
      </c>
      <c r="B2020">
        <f>[2]TongHop!B2020</f>
        <v>0</v>
      </c>
      <c r="C2020">
        <f>[2]TongHop!C2020</f>
        <v>0</v>
      </c>
      <c r="D2020">
        <f>[2]TongHop!D2020</f>
        <v>0</v>
      </c>
      <c r="E2020">
        <f>[2]TongHop!E2020</f>
        <v>0</v>
      </c>
      <c r="F2020">
        <f>[2]TongHop!F2020</f>
        <v>0</v>
      </c>
      <c r="G2020">
        <f>[2]TongHop!G2020</f>
        <v>0</v>
      </c>
      <c r="H2020">
        <f>[2]TongHop!H2020</f>
        <v>0</v>
      </c>
      <c r="I2020">
        <f>[2]TongHop!I2020</f>
        <v>0</v>
      </c>
      <c r="J2020">
        <f>[2]TongHop!J2020</f>
        <v>0</v>
      </c>
      <c r="K2020">
        <f>[2]TongHop!K2020</f>
        <v>0</v>
      </c>
      <c r="L2020">
        <f>[2]TongHop!L2020</f>
        <v>0</v>
      </c>
      <c r="M2020">
        <f>[2]TongHop!M2020</f>
        <v>0</v>
      </c>
      <c r="N2020">
        <f>[2]TongHop!N2020</f>
        <v>0</v>
      </c>
    </row>
    <row r="2021" spans="1:14">
      <c r="A2021">
        <f>[2]TongHop!A2021</f>
        <v>0</v>
      </c>
      <c r="B2021">
        <f>[2]TongHop!B2021</f>
        <v>0</v>
      </c>
      <c r="C2021">
        <f>[2]TongHop!C2021</f>
        <v>0</v>
      </c>
      <c r="D2021">
        <f>[2]TongHop!D2021</f>
        <v>0</v>
      </c>
      <c r="E2021">
        <f>[2]TongHop!E2021</f>
        <v>0</v>
      </c>
      <c r="F2021">
        <f>[2]TongHop!F2021</f>
        <v>0</v>
      </c>
      <c r="G2021">
        <f>[2]TongHop!G2021</f>
        <v>0</v>
      </c>
      <c r="H2021">
        <f>[2]TongHop!H2021</f>
        <v>0</v>
      </c>
      <c r="I2021">
        <f>[2]TongHop!I2021</f>
        <v>0</v>
      </c>
      <c r="J2021">
        <f>[2]TongHop!J2021</f>
        <v>0</v>
      </c>
      <c r="K2021">
        <f>[2]TongHop!K2021</f>
        <v>0</v>
      </c>
      <c r="L2021">
        <f>[2]TongHop!L2021</f>
        <v>0</v>
      </c>
      <c r="M2021">
        <f>[2]TongHop!M2021</f>
        <v>0</v>
      </c>
      <c r="N2021">
        <f>[2]TongHop!N2021</f>
        <v>0</v>
      </c>
    </row>
    <row r="2022" spans="1:14">
      <c r="A2022">
        <f>[2]TongHop!A2022</f>
        <v>0</v>
      </c>
      <c r="B2022">
        <f>[2]TongHop!B2022</f>
        <v>0</v>
      </c>
      <c r="C2022">
        <f>[2]TongHop!C2022</f>
        <v>0</v>
      </c>
      <c r="D2022">
        <f>[2]TongHop!D2022</f>
        <v>0</v>
      </c>
      <c r="E2022">
        <f>[2]TongHop!E2022</f>
        <v>0</v>
      </c>
      <c r="F2022">
        <f>[2]TongHop!F2022</f>
        <v>0</v>
      </c>
      <c r="G2022">
        <f>[2]TongHop!G2022</f>
        <v>0</v>
      </c>
      <c r="H2022">
        <f>[2]TongHop!H2022</f>
        <v>0</v>
      </c>
      <c r="I2022">
        <f>[2]TongHop!I2022</f>
        <v>0</v>
      </c>
      <c r="J2022">
        <f>[2]TongHop!J2022</f>
        <v>0</v>
      </c>
      <c r="K2022">
        <f>[2]TongHop!K2022</f>
        <v>0</v>
      </c>
      <c r="L2022">
        <f>[2]TongHop!L2022</f>
        <v>0</v>
      </c>
      <c r="M2022">
        <f>[2]TongHop!M2022</f>
        <v>0</v>
      </c>
      <c r="N2022">
        <f>[2]TongHop!N2022</f>
        <v>0</v>
      </c>
    </row>
    <row r="2023" spans="1:14">
      <c r="A2023">
        <f>[2]TongHop!A2023</f>
        <v>0</v>
      </c>
      <c r="B2023">
        <f>[2]TongHop!B2023</f>
        <v>0</v>
      </c>
      <c r="C2023">
        <f>[2]TongHop!C2023</f>
        <v>0</v>
      </c>
      <c r="D2023">
        <f>[2]TongHop!D2023</f>
        <v>0</v>
      </c>
      <c r="E2023">
        <f>[2]TongHop!E2023</f>
        <v>0</v>
      </c>
      <c r="F2023">
        <f>[2]TongHop!F2023</f>
        <v>0</v>
      </c>
      <c r="G2023">
        <f>[2]TongHop!G2023</f>
        <v>0</v>
      </c>
      <c r="H2023">
        <f>[2]TongHop!H2023</f>
        <v>0</v>
      </c>
      <c r="I2023">
        <f>[2]TongHop!I2023</f>
        <v>0</v>
      </c>
      <c r="J2023">
        <f>[2]TongHop!J2023</f>
        <v>0</v>
      </c>
      <c r="K2023">
        <f>[2]TongHop!K2023</f>
        <v>0</v>
      </c>
      <c r="L2023">
        <f>[2]TongHop!L2023</f>
        <v>0</v>
      </c>
      <c r="M2023">
        <f>[2]TongHop!M2023</f>
        <v>0</v>
      </c>
      <c r="N2023">
        <f>[2]TongHop!N2023</f>
        <v>0</v>
      </c>
    </row>
    <row r="2024" spans="1:14">
      <c r="A2024">
        <f>[2]TongHop!A2024</f>
        <v>0</v>
      </c>
      <c r="B2024">
        <f>[2]TongHop!B2024</f>
        <v>0</v>
      </c>
      <c r="C2024">
        <f>[2]TongHop!C2024</f>
        <v>0</v>
      </c>
      <c r="D2024">
        <f>[2]TongHop!D2024</f>
        <v>0</v>
      </c>
      <c r="E2024">
        <f>[2]TongHop!E2024</f>
        <v>0</v>
      </c>
      <c r="F2024">
        <f>[2]TongHop!F2024</f>
        <v>0</v>
      </c>
      <c r="G2024">
        <f>[2]TongHop!G2024</f>
        <v>0</v>
      </c>
      <c r="H2024">
        <f>[2]TongHop!H2024</f>
        <v>0</v>
      </c>
      <c r="I2024">
        <f>[2]TongHop!I2024</f>
        <v>0</v>
      </c>
      <c r="J2024">
        <f>[2]TongHop!J2024</f>
        <v>0</v>
      </c>
      <c r="K2024">
        <f>[2]TongHop!K2024</f>
        <v>0</v>
      </c>
      <c r="L2024">
        <f>[2]TongHop!L2024</f>
        <v>0</v>
      </c>
      <c r="M2024">
        <f>[2]TongHop!M2024</f>
        <v>0</v>
      </c>
      <c r="N2024">
        <f>[2]TongHop!N2024</f>
        <v>0</v>
      </c>
    </row>
    <row r="2025" spans="1:14">
      <c r="A2025">
        <f>[2]TongHop!A2025</f>
        <v>0</v>
      </c>
      <c r="B2025">
        <f>[2]TongHop!B2025</f>
        <v>0</v>
      </c>
      <c r="C2025">
        <f>[2]TongHop!C2025</f>
        <v>0</v>
      </c>
      <c r="D2025">
        <f>[2]TongHop!D2025</f>
        <v>0</v>
      </c>
      <c r="E2025">
        <f>[2]TongHop!E2025</f>
        <v>0</v>
      </c>
      <c r="F2025">
        <f>[2]TongHop!F2025</f>
        <v>0</v>
      </c>
      <c r="G2025">
        <f>[2]TongHop!G2025</f>
        <v>0</v>
      </c>
      <c r="H2025">
        <f>[2]TongHop!H2025</f>
        <v>0</v>
      </c>
      <c r="I2025">
        <f>[2]TongHop!I2025</f>
        <v>0</v>
      </c>
      <c r="J2025">
        <f>[2]TongHop!J2025</f>
        <v>0</v>
      </c>
      <c r="K2025">
        <f>[2]TongHop!K2025</f>
        <v>0</v>
      </c>
      <c r="L2025">
        <f>[2]TongHop!L2025</f>
        <v>0</v>
      </c>
      <c r="M2025">
        <f>[2]TongHop!M2025</f>
        <v>0</v>
      </c>
      <c r="N2025">
        <f>[2]TongHop!N2025</f>
        <v>0</v>
      </c>
    </row>
    <row r="2026" spans="1:14">
      <c r="A2026">
        <f>[2]TongHop!A2026</f>
        <v>0</v>
      </c>
      <c r="B2026">
        <f>[2]TongHop!B2026</f>
        <v>0</v>
      </c>
      <c r="C2026">
        <f>[2]TongHop!C2026</f>
        <v>0</v>
      </c>
      <c r="D2026">
        <f>[2]TongHop!D2026</f>
        <v>0</v>
      </c>
      <c r="E2026">
        <f>[2]TongHop!E2026</f>
        <v>0</v>
      </c>
      <c r="F2026">
        <f>[2]TongHop!F2026</f>
        <v>0</v>
      </c>
      <c r="G2026">
        <f>[2]TongHop!G2026</f>
        <v>0</v>
      </c>
      <c r="H2026">
        <f>[2]TongHop!H2026</f>
        <v>0</v>
      </c>
      <c r="I2026">
        <f>[2]TongHop!I2026</f>
        <v>0</v>
      </c>
      <c r="J2026">
        <f>[2]TongHop!J2026</f>
        <v>0</v>
      </c>
      <c r="K2026">
        <f>[2]TongHop!K2026</f>
        <v>0</v>
      </c>
      <c r="L2026">
        <f>[2]TongHop!L2026</f>
        <v>0</v>
      </c>
      <c r="M2026">
        <f>[2]TongHop!M2026</f>
        <v>0</v>
      </c>
      <c r="N2026">
        <f>[2]TongHop!N2026</f>
        <v>0</v>
      </c>
    </row>
    <row r="2027" spans="1:14">
      <c r="A2027">
        <f>[2]TongHop!A2027</f>
        <v>0</v>
      </c>
      <c r="B2027">
        <f>[2]TongHop!B2027</f>
        <v>0</v>
      </c>
      <c r="C2027">
        <f>[2]TongHop!C2027</f>
        <v>0</v>
      </c>
      <c r="D2027">
        <f>[2]TongHop!D2027</f>
        <v>0</v>
      </c>
      <c r="E2027">
        <f>[2]TongHop!E2027</f>
        <v>0</v>
      </c>
      <c r="F2027">
        <f>[2]TongHop!F2027</f>
        <v>0</v>
      </c>
      <c r="G2027">
        <f>[2]TongHop!G2027</f>
        <v>0</v>
      </c>
      <c r="H2027">
        <f>[2]TongHop!H2027</f>
        <v>0</v>
      </c>
      <c r="I2027">
        <f>[2]TongHop!I2027</f>
        <v>0</v>
      </c>
      <c r="J2027">
        <f>[2]TongHop!J2027</f>
        <v>0</v>
      </c>
      <c r="K2027">
        <f>[2]TongHop!K2027</f>
        <v>0</v>
      </c>
      <c r="L2027">
        <f>[2]TongHop!L2027</f>
        <v>0</v>
      </c>
      <c r="M2027">
        <f>[2]TongHop!M2027</f>
        <v>0</v>
      </c>
      <c r="N2027">
        <f>[2]TongHop!N2027</f>
        <v>0</v>
      </c>
    </row>
    <row r="2028" spans="1:14">
      <c r="A2028">
        <f>[2]TongHop!A2028</f>
        <v>0</v>
      </c>
      <c r="B2028">
        <f>[2]TongHop!B2028</f>
        <v>0</v>
      </c>
      <c r="C2028">
        <f>[2]TongHop!C2028</f>
        <v>0</v>
      </c>
      <c r="D2028">
        <f>[2]TongHop!D2028</f>
        <v>0</v>
      </c>
      <c r="E2028">
        <f>[2]TongHop!E2028</f>
        <v>0</v>
      </c>
      <c r="F2028">
        <f>[2]TongHop!F2028</f>
        <v>0</v>
      </c>
      <c r="G2028">
        <f>[2]TongHop!G2028</f>
        <v>0</v>
      </c>
      <c r="H2028">
        <f>[2]TongHop!H2028</f>
        <v>0</v>
      </c>
      <c r="I2028">
        <f>[2]TongHop!I2028</f>
        <v>0</v>
      </c>
      <c r="J2028">
        <f>[2]TongHop!J2028</f>
        <v>0</v>
      </c>
      <c r="K2028">
        <f>[2]TongHop!K2028</f>
        <v>0</v>
      </c>
      <c r="L2028">
        <f>[2]TongHop!L2028</f>
        <v>0</v>
      </c>
      <c r="M2028">
        <f>[2]TongHop!M2028</f>
        <v>0</v>
      </c>
      <c r="N2028">
        <f>[2]TongHop!N2028</f>
        <v>0</v>
      </c>
    </row>
    <row r="2029" spans="1:14">
      <c r="A2029">
        <f>[2]TongHop!A2029</f>
        <v>0</v>
      </c>
      <c r="B2029">
        <f>[2]TongHop!B2029</f>
        <v>0</v>
      </c>
      <c r="C2029">
        <f>[2]TongHop!C2029</f>
        <v>0</v>
      </c>
      <c r="D2029">
        <f>[2]TongHop!D2029</f>
        <v>0</v>
      </c>
      <c r="E2029">
        <f>[2]TongHop!E2029</f>
        <v>0</v>
      </c>
      <c r="F2029">
        <f>[2]TongHop!F2029</f>
        <v>0</v>
      </c>
      <c r="G2029">
        <f>[2]TongHop!G2029</f>
        <v>0</v>
      </c>
      <c r="H2029">
        <f>[2]TongHop!H2029</f>
        <v>0</v>
      </c>
      <c r="I2029">
        <f>[2]TongHop!I2029</f>
        <v>0</v>
      </c>
      <c r="J2029">
        <f>[2]TongHop!J2029</f>
        <v>0</v>
      </c>
      <c r="K2029">
        <f>[2]TongHop!K2029</f>
        <v>0</v>
      </c>
      <c r="L2029">
        <f>[2]TongHop!L2029</f>
        <v>0</v>
      </c>
      <c r="M2029">
        <f>[2]TongHop!M2029</f>
        <v>0</v>
      </c>
      <c r="N2029">
        <f>[2]TongHop!N2029</f>
        <v>0</v>
      </c>
    </row>
    <row r="2030" spans="1:14">
      <c r="A2030">
        <f>[2]TongHop!A2030</f>
        <v>0</v>
      </c>
      <c r="B2030">
        <f>[2]TongHop!B2030</f>
        <v>0</v>
      </c>
      <c r="C2030">
        <f>[2]TongHop!C2030</f>
        <v>0</v>
      </c>
      <c r="D2030">
        <f>[2]TongHop!D2030</f>
        <v>0</v>
      </c>
      <c r="E2030">
        <f>[2]TongHop!E2030</f>
        <v>0</v>
      </c>
      <c r="F2030">
        <f>[2]TongHop!F2030</f>
        <v>0</v>
      </c>
      <c r="G2030">
        <f>[2]TongHop!G2030</f>
        <v>0</v>
      </c>
      <c r="H2030">
        <f>[2]TongHop!H2030</f>
        <v>0</v>
      </c>
      <c r="I2030">
        <f>[2]TongHop!I2030</f>
        <v>0</v>
      </c>
      <c r="J2030">
        <f>[2]TongHop!J2030</f>
        <v>0</v>
      </c>
      <c r="K2030">
        <f>[2]TongHop!K2030</f>
        <v>0</v>
      </c>
      <c r="L2030">
        <f>[2]TongHop!L2030</f>
        <v>0</v>
      </c>
      <c r="M2030">
        <f>[2]TongHop!M2030</f>
        <v>0</v>
      </c>
      <c r="N2030">
        <f>[2]TongHop!N2030</f>
        <v>0</v>
      </c>
    </row>
    <row r="2031" spans="1:14">
      <c r="A2031">
        <f>[2]TongHop!A2031</f>
        <v>0</v>
      </c>
      <c r="B2031">
        <f>[2]TongHop!B2031</f>
        <v>0</v>
      </c>
      <c r="C2031">
        <f>[2]TongHop!C2031</f>
        <v>0</v>
      </c>
      <c r="D2031">
        <f>[2]TongHop!D2031</f>
        <v>0</v>
      </c>
      <c r="E2031">
        <f>[2]TongHop!E2031</f>
        <v>0</v>
      </c>
      <c r="F2031">
        <f>[2]TongHop!F2031</f>
        <v>0</v>
      </c>
      <c r="G2031">
        <f>[2]TongHop!G2031</f>
        <v>0</v>
      </c>
      <c r="H2031">
        <f>[2]TongHop!H2031</f>
        <v>0</v>
      </c>
      <c r="I2031">
        <f>[2]TongHop!I2031</f>
        <v>0</v>
      </c>
      <c r="J2031">
        <f>[2]TongHop!J2031</f>
        <v>0</v>
      </c>
      <c r="K2031">
        <f>[2]TongHop!K2031</f>
        <v>0</v>
      </c>
      <c r="L2031">
        <f>[2]TongHop!L2031</f>
        <v>0</v>
      </c>
      <c r="M2031">
        <f>[2]TongHop!M2031</f>
        <v>0</v>
      </c>
      <c r="N2031">
        <f>[2]TongHop!N2031</f>
        <v>0</v>
      </c>
    </row>
    <row r="2032" spans="1:14">
      <c r="A2032">
        <f>[2]TongHop!A2032</f>
        <v>0</v>
      </c>
      <c r="B2032">
        <f>[2]TongHop!B2032</f>
        <v>0</v>
      </c>
      <c r="C2032">
        <f>[2]TongHop!C2032</f>
        <v>0</v>
      </c>
      <c r="D2032">
        <f>[2]TongHop!D2032</f>
        <v>0</v>
      </c>
      <c r="E2032">
        <f>[2]TongHop!E2032</f>
        <v>0</v>
      </c>
      <c r="F2032">
        <f>[2]TongHop!F2032</f>
        <v>0</v>
      </c>
      <c r="G2032">
        <f>[2]TongHop!G2032</f>
        <v>0</v>
      </c>
      <c r="H2032">
        <f>[2]TongHop!H2032</f>
        <v>0</v>
      </c>
      <c r="I2032">
        <f>[2]TongHop!I2032</f>
        <v>0</v>
      </c>
      <c r="J2032">
        <f>[2]TongHop!J2032</f>
        <v>0</v>
      </c>
      <c r="K2032">
        <f>[2]TongHop!K2032</f>
        <v>0</v>
      </c>
      <c r="L2032">
        <f>[2]TongHop!L2032</f>
        <v>0</v>
      </c>
      <c r="M2032">
        <f>[2]TongHop!M2032</f>
        <v>0</v>
      </c>
      <c r="N2032">
        <f>[2]TongHop!N2032</f>
        <v>0</v>
      </c>
    </row>
    <row r="2033" spans="1:14">
      <c r="A2033">
        <f>[2]TongHop!A2033</f>
        <v>0</v>
      </c>
      <c r="B2033">
        <f>[2]TongHop!B2033</f>
        <v>0</v>
      </c>
      <c r="C2033">
        <f>[2]TongHop!C2033</f>
        <v>0</v>
      </c>
      <c r="D2033">
        <f>[2]TongHop!D2033</f>
        <v>0</v>
      </c>
      <c r="E2033">
        <f>[2]TongHop!E2033</f>
        <v>0</v>
      </c>
      <c r="F2033">
        <f>[2]TongHop!F2033</f>
        <v>0</v>
      </c>
      <c r="G2033">
        <f>[2]TongHop!G2033</f>
        <v>0</v>
      </c>
      <c r="H2033">
        <f>[2]TongHop!H2033</f>
        <v>0</v>
      </c>
      <c r="I2033">
        <f>[2]TongHop!I2033</f>
        <v>0</v>
      </c>
      <c r="J2033">
        <f>[2]TongHop!J2033</f>
        <v>0</v>
      </c>
      <c r="K2033">
        <f>[2]TongHop!K2033</f>
        <v>0</v>
      </c>
      <c r="L2033">
        <f>[2]TongHop!L2033</f>
        <v>0</v>
      </c>
      <c r="M2033">
        <f>[2]TongHop!M2033</f>
        <v>0</v>
      </c>
      <c r="N2033">
        <f>[2]TongHop!N2033</f>
        <v>0</v>
      </c>
    </row>
    <row r="2034" spans="1:14">
      <c r="A2034">
        <f>[2]TongHop!A2034</f>
        <v>0</v>
      </c>
      <c r="B2034">
        <f>[2]TongHop!B2034</f>
        <v>0</v>
      </c>
      <c r="C2034">
        <f>[2]TongHop!C2034</f>
        <v>0</v>
      </c>
      <c r="D2034">
        <f>[2]TongHop!D2034</f>
        <v>0</v>
      </c>
      <c r="E2034">
        <f>[2]TongHop!E2034</f>
        <v>0</v>
      </c>
      <c r="F2034">
        <f>[2]TongHop!F2034</f>
        <v>0</v>
      </c>
      <c r="G2034">
        <f>[2]TongHop!G2034</f>
        <v>0</v>
      </c>
      <c r="H2034">
        <f>[2]TongHop!H2034</f>
        <v>0</v>
      </c>
      <c r="I2034">
        <f>[2]TongHop!I2034</f>
        <v>0</v>
      </c>
      <c r="J2034">
        <f>[2]TongHop!J2034</f>
        <v>0</v>
      </c>
      <c r="K2034">
        <f>[2]TongHop!K2034</f>
        <v>0</v>
      </c>
      <c r="L2034">
        <f>[2]TongHop!L2034</f>
        <v>0</v>
      </c>
      <c r="M2034">
        <f>[2]TongHop!M2034</f>
        <v>0</v>
      </c>
      <c r="N2034">
        <f>[2]TongHop!N2034</f>
        <v>0</v>
      </c>
    </row>
    <row r="2035" spans="1:14">
      <c r="A2035">
        <f>[2]TongHop!A2035</f>
        <v>0</v>
      </c>
      <c r="B2035">
        <f>[2]TongHop!B2035</f>
        <v>0</v>
      </c>
      <c r="C2035">
        <f>[2]TongHop!C2035</f>
        <v>0</v>
      </c>
      <c r="D2035">
        <f>[2]TongHop!D2035</f>
        <v>0</v>
      </c>
      <c r="E2035">
        <f>[2]TongHop!E2035</f>
        <v>0</v>
      </c>
      <c r="F2035">
        <f>[2]TongHop!F2035</f>
        <v>0</v>
      </c>
      <c r="G2035">
        <f>[2]TongHop!G2035</f>
        <v>0</v>
      </c>
      <c r="H2035">
        <f>[2]TongHop!H2035</f>
        <v>0</v>
      </c>
      <c r="I2035">
        <f>[2]TongHop!I2035</f>
        <v>0</v>
      </c>
      <c r="J2035">
        <f>[2]TongHop!J2035</f>
        <v>0</v>
      </c>
      <c r="K2035">
        <f>[2]TongHop!K2035</f>
        <v>0</v>
      </c>
      <c r="L2035">
        <f>[2]TongHop!L2035</f>
        <v>0</v>
      </c>
      <c r="M2035">
        <f>[2]TongHop!M2035</f>
        <v>0</v>
      </c>
      <c r="N2035">
        <f>[2]TongHop!N2035</f>
        <v>0</v>
      </c>
    </row>
    <row r="2036" spans="1:14">
      <c r="A2036">
        <f>[2]TongHop!A2036</f>
        <v>0</v>
      </c>
      <c r="B2036">
        <f>[2]TongHop!B2036</f>
        <v>0</v>
      </c>
      <c r="C2036">
        <f>[2]TongHop!C2036</f>
        <v>0</v>
      </c>
      <c r="D2036">
        <f>[2]TongHop!D2036</f>
        <v>0</v>
      </c>
      <c r="E2036">
        <f>[2]TongHop!E2036</f>
        <v>0</v>
      </c>
      <c r="F2036">
        <f>[2]TongHop!F2036</f>
        <v>0</v>
      </c>
      <c r="G2036">
        <f>[2]TongHop!G2036</f>
        <v>0</v>
      </c>
      <c r="H2036">
        <f>[2]TongHop!H2036</f>
        <v>0</v>
      </c>
      <c r="I2036">
        <f>[2]TongHop!I2036</f>
        <v>0</v>
      </c>
      <c r="J2036">
        <f>[2]TongHop!J2036</f>
        <v>0</v>
      </c>
      <c r="K2036">
        <f>[2]TongHop!K2036</f>
        <v>0</v>
      </c>
      <c r="L2036">
        <f>[2]TongHop!L2036</f>
        <v>0</v>
      </c>
      <c r="M2036">
        <f>[2]TongHop!M2036</f>
        <v>0</v>
      </c>
      <c r="N2036">
        <f>[2]TongHop!N2036</f>
        <v>0</v>
      </c>
    </row>
    <row r="2037" spans="1:14">
      <c r="A2037">
        <f>[2]TongHop!A2037</f>
        <v>0</v>
      </c>
      <c r="B2037">
        <f>[2]TongHop!B2037</f>
        <v>0</v>
      </c>
      <c r="C2037">
        <f>[2]TongHop!C2037</f>
        <v>0</v>
      </c>
      <c r="D2037">
        <f>[2]TongHop!D2037</f>
        <v>0</v>
      </c>
      <c r="E2037">
        <f>[2]TongHop!E2037</f>
        <v>0</v>
      </c>
      <c r="F2037">
        <f>[2]TongHop!F2037</f>
        <v>0</v>
      </c>
      <c r="G2037">
        <f>[2]TongHop!G2037</f>
        <v>0</v>
      </c>
      <c r="H2037">
        <f>[2]TongHop!H2037</f>
        <v>0</v>
      </c>
      <c r="I2037">
        <f>[2]TongHop!I2037</f>
        <v>0</v>
      </c>
      <c r="J2037">
        <f>[2]TongHop!J2037</f>
        <v>0</v>
      </c>
      <c r="K2037">
        <f>[2]TongHop!K2037</f>
        <v>0</v>
      </c>
      <c r="L2037">
        <f>[2]TongHop!L2037</f>
        <v>0</v>
      </c>
      <c r="M2037">
        <f>[2]TongHop!M2037</f>
        <v>0</v>
      </c>
      <c r="N2037">
        <f>[2]TongHop!N2037</f>
        <v>0</v>
      </c>
    </row>
    <row r="2038" spans="1:14">
      <c r="A2038">
        <f>[2]TongHop!A2038</f>
        <v>0</v>
      </c>
      <c r="B2038">
        <f>[2]TongHop!B2038</f>
        <v>0</v>
      </c>
      <c r="C2038">
        <f>[2]TongHop!C2038</f>
        <v>0</v>
      </c>
      <c r="D2038">
        <f>[2]TongHop!D2038</f>
        <v>0</v>
      </c>
      <c r="E2038">
        <f>[2]TongHop!E2038</f>
        <v>0</v>
      </c>
      <c r="F2038">
        <f>[2]TongHop!F2038</f>
        <v>0</v>
      </c>
      <c r="G2038">
        <f>[2]TongHop!G2038</f>
        <v>0</v>
      </c>
      <c r="H2038">
        <f>[2]TongHop!H2038</f>
        <v>0</v>
      </c>
      <c r="I2038">
        <f>[2]TongHop!I2038</f>
        <v>0</v>
      </c>
      <c r="J2038">
        <f>[2]TongHop!J2038</f>
        <v>0</v>
      </c>
      <c r="K2038">
        <f>[2]TongHop!K2038</f>
        <v>0</v>
      </c>
      <c r="L2038">
        <f>[2]TongHop!L2038</f>
        <v>0</v>
      </c>
      <c r="M2038">
        <f>[2]TongHop!M2038</f>
        <v>0</v>
      </c>
      <c r="N2038">
        <f>[2]TongHop!N2038</f>
        <v>0</v>
      </c>
    </row>
    <row r="2039" spans="1:14">
      <c r="A2039">
        <f>[2]TongHop!A2039</f>
        <v>0</v>
      </c>
      <c r="B2039">
        <f>[2]TongHop!B2039</f>
        <v>0</v>
      </c>
      <c r="C2039">
        <f>[2]TongHop!C2039</f>
        <v>0</v>
      </c>
      <c r="D2039">
        <f>[2]TongHop!D2039</f>
        <v>0</v>
      </c>
      <c r="E2039">
        <f>[2]TongHop!E2039</f>
        <v>0</v>
      </c>
      <c r="F2039">
        <f>[2]TongHop!F2039</f>
        <v>0</v>
      </c>
      <c r="G2039">
        <f>[2]TongHop!G2039</f>
        <v>0</v>
      </c>
      <c r="H2039">
        <f>[2]TongHop!H2039</f>
        <v>0</v>
      </c>
      <c r="I2039">
        <f>[2]TongHop!I2039</f>
        <v>0</v>
      </c>
      <c r="J2039">
        <f>[2]TongHop!J2039</f>
        <v>0</v>
      </c>
      <c r="K2039">
        <f>[2]TongHop!K2039</f>
        <v>0</v>
      </c>
      <c r="L2039">
        <f>[2]TongHop!L2039</f>
        <v>0</v>
      </c>
      <c r="M2039">
        <f>[2]TongHop!M2039</f>
        <v>0</v>
      </c>
      <c r="N2039">
        <f>[2]TongHop!N2039</f>
        <v>0</v>
      </c>
    </row>
    <row r="2040" spans="1:14">
      <c r="A2040">
        <f>[2]TongHop!A2040</f>
        <v>0</v>
      </c>
      <c r="B2040">
        <f>[2]TongHop!B2040</f>
        <v>0</v>
      </c>
      <c r="C2040">
        <f>[2]TongHop!C2040</f>
        <v>0</v>
      </c>
      <c r="D2040">
        <f>[2]TongHop!D2040</f>
        <v>0</v>
      </c>
      <c r="E2040">
        <f>[2]TongHop!E2040</f>
        <v>0</v>
      </c>
      <c r="F2040">
        <f>[2]TongHop!F2040</f>
        <v>0</v>
      </c>
      <c r="G2040">
        <f>[2]TongHop!G2040</f>
        <v>0</v>
      </c>
      <c r="H2040">
        <f>[2]TongHop!H2040</f>
        <v>0</v>
      </c>
      <c r="I2040">
        <f>[2]TongHop!I2040</f>
        <v>0</v>
      </c>
      <c r="J2040">
        <f>[2]TongHop!J2040</f>
        <v>0</v>
      </c>
      <c r="K2040">
        <f>[2]TongHop!K2040</f>
        <v>0</v>
      </c>
      <c r="L2040">
        <f>[2]TongHop!L2040</f>
        <v>0</v>
      </c>
      <c r="M2040">
        <f>[2]TongHop!M2040</f>
        <v>0</v>
      </c>
      <c r="N2040">
        <f>[2]TongHop!N2040</f>
        <v>0</v>
      </c>
    </row>
    <row r="2041" spans="1:14">
      <c r="A2041">
        <f>[2]TongHop!A2041</f>
        <v>0</v>
      </c>
      <c r="B2041">
        <f>[2]TongHop!B2041</f>
        <v>0</v>
      </c>
      <c r="C2041">
        <f>[2]TongHop!C2041</f>
        <v>0</v>
      </c>
      <c r="D2041">
        <f>[2]TongHop!D2041</f>
        <v>0</v>
      </c>
      <c r="E2041">
        <f>[2]TongHop!E2041</f>
        <v>0</v>
      </c>
      <c r="F2041">
        <f>[2]TongHop!F2041</f>
        <v>0</v>
      </c>
      <c r="G2041">
        <f>[2]TongHop!G2041</f>
        <v>0</v>
      </c>
      <c r="H2041">
        <f>[2]TongHop!H2041</f>
        <v>0</v>
      </c>
      <c r="I2041">
        <f>[2]TongHop!I2041</f>
        <v>0</v>
      </c>
      <c r="J2041">
        <f>[2]TongHop!J2041</f>
        <v>0</v>
      </c>
      <c r="K2041">
        <f>[2]TongHop!K2041</f>
        <v>0</v>
      </c>
      <c r="L2041">
        <f>[2]TongHop!L2041</f>
        <v>0</v>
      </c>
      <c r="M2041">
        <f>[2]TongHop!M2041</f>
        <v>0</v>
      </c>
      <c r="N2041">
        <f>[2]TongHop!N2041</f>
        <v>0</v>
      </c>
    </row>
    <row r="2042" spans="1:14">
      <c r="A2042">
        <f>[2]TongHop!A2042</f>
        <v>0</v>
      </c>
      <c r="B2042">
        <f>[2]TongHop!B2042</f>
        <v>0</v>
      </c>
      <c r="C2042">
        <f>[2]TongHop!C2042</f>
        <v>0</v>
      </c>
      <c r="D2042">
        <f>[2]TongHop!D2042</f>
        <v>0</v>
      </c>
      <c r="E2042">
        <f>[2]TongHop!E2042</f>
        <v>0</v>
      </c>
      <c r="F2042">
        <f>[2]TongHop!F2042</f>
        <v>0</v>
      </c>
      <c r="G2042">
        <f>[2]TongHop!G2042</f>
        <v>0</v>
      </c>
      <c r="H2042">
        <f>[2]TongHop!H2042</f>
        <v>0</v>
      </c>
      <c r="I2042">
        <f>[2]TongHop!I2042</f>
        <v>0</v>
      </c>
      <c r="J2042">
        <f>[2]TongHop!J2042</f>
        <v>0</v>
      </c>
      <c r="K2042">
        <f>[2]TongHop!K2042</f>
        <v>0</v>
      </c>
      <c r="L2042">
        <f>[2]TongHop!L2042</f>
        <v>0</v>
      </c>
      <c r="M2042">
        <f>[2]TongHop!M2042</f>
        <v>0</v>
      </c>
      <c r="N2042">
        <f>[2]TongHop!N2042</f>
        <v>0</v>
      </c>
    </row>
    <row r="2043" spans="1:14">
      <c r="A2043">
        <f>[2]TongHop!A2043</f>
        <v>0</v>
      </c>
      <c r="B2043">
        <f>[2]TongHop!B2043</f>
        <v>0</v>
      </c>
      <c r="C2043">
        <f>[2]TongHop!C2043</f>
        <v>0</v>
      </c>
      <c r="D2043">
        <f>[2]TongHop!D2043</f>
        <v>0</v>
      </c>
      <c r="E2043">
        <f>[2]TongHop!E2043</f>
        <v>0</v>
      </c>
      <c r="F2043">
        <f>[2]TongHop!F2043</f>
        <v>0</v>
      </c>
      <c r="G2043">
        <f>[2]TongHop!G2043</f>
        <v>0</v>
      </c>
      <c r="H2043">
        <f>[2]TongHop!H2043</f>
        <v>0</v>
      </c>
      <c r="I2043">
        <f>[2]TongHop!I2043</f>
        <v>0</v>
      </c>
      <c r="J2043">
        <f>[2]TongHop!J2043</f>
        <v>0</v>
      </c>
      <c r="K2043">
        <f>[2]TongHop!K2043</f>
        <v>0</v>
      </c>
      <c r="L2043">
        <f>[2]TongHop!L2043</f>
        <v>0</v>
      </c>
      <c r="M2043">
        <f>[2]TongHop!M2043</f>
        <v>0</v>
      </c>
      <c r="N2043">
        <f>[2]TongHop!N2043</f>
        <v>0</v>
      </c>
    </row>
    <row r="2044" spans="1:14">
      <c r="A2044">
        <f>[2]TongHop!A2044</f>
        <v>0</v>
      </c>
      <c r="B2044">
        <f>[2]TongHop!B2044</f>
        <v>0</v>
      </c>
      <c r="C2044">
        <f>[2]TongHop!C2044</f>
        <v>0</v>
      </c>
      <c r="D2044">
        <f>[2]TongHop!D2044</f>
        <v>0</v>
      </c>
      <c r="E2044">
        <f>[2]TongHop!E2044</f>
        <v>0</v>
      </c>
      <c r="F2044">
        <f>[2]TongHop!F2044</f>
        <v>0</v>
      </c>
      <c r="G2044">
        <f>[2]TongHop!G2044</f>
        <v>0</v>
      </c>
      <c r="H2044">
        <f>[2]TongHop!H2044</f>
        <v>0</v>
      </c>
      <c r="I2044">
        <f>[2]TongHop!I2044</f>
        <v>0</v>
      </c>
      <c r="J2044">
        <f>[2]TongHop!J2044</f>
        <v>0</v>
      </c>
      <c r="K2044">
        <f>[2]TongHop!K2044</f>
        <v>0</v>
      </c>
      <c r="L2044">
        <f>[2]TongHop!L2044</f>
        <v>0</v>
      </c>
      <c r="M2044">
        <f>[2]TongHop!M2044</f>
        <v>0</v>
      </c>
      <c r="N2044">
        <f>[2]TongHop!N2044</f>
        <v>0</v>
      </c>
    </row>
    <row r="2045" spans="1:14">
      <c r="A2045">
        <f>[2]TongHop!A2045</f>
        <v>0</v>
      </c>
      <c r="B2045">
        <f>[2]TongHop!B2045</f>
        <v>0</v>
      </c>
      <c r="C2045">
        <f>[2]TongHop!C2045</f>
        <v>0</v>
      </c>
      <c r="D2045">
        <f>[2]TongHop!D2045</f>
        <v>0</v>
      </c>
      <c r="E2045">
        <f>[2]TongHop!E2045</f>
        <v>0</v>
      </c>
      <c r="F2045">
        <f>[2]TongHop!F2045</f>
        <v>0</v>
      </c>
      <c r="G2045">
        <f>[2]TongHop!G2045</f>
        <v>0</v>
      </c>
      <c r="H2045">
        <f>[2]TongHop!H2045</f>
        <v>0</v>
      </c>
      <c r="I2045">
        <f>[2]TongHop!I2045</f>
        <v>0</v>
      </c>
      <c r="J2045">
        <f>[2]TongHop!J2045</f>
        <v>0</v>
      </c>
      <c r="K2045">
        <f>[2]TongHop!K2045</f>
        <v>0</v>
      </c>
      <c r="L2045">
        <f>[2]TongHop!L2045</f>
        <v>0</v>
      </c>
      <c r="M2045">
        <f>[2]TongHop!M2045</f>
        <v>0</v>
      </c>
      <c r="N2045">
        <f>[2]TongHop!N2045</f>
        <v>0</v>
      </c>
    </row>
    <row r="2046" spans="1:14">
      <c r="A2046">
        <f>[2]TongHop!A2046</f>
        <v>0</v>
      </c>
      <c r="B2046">
        <f>[2]TongHop!B2046</f>
        <v>0</v>
      </c>
      <c r="C2046">
        <f>[2]TongHop!C2046</f>
        <v>0</v>
      </c>
      <c r="D2046">
        <f>[2]TongHop!D2046</f>
        <v>0</v>
      </c>
      <c r="E2046">
        <f>[2]TongHop!E2046</f>
        <v>0</v>
      </c>
      <c r="F2046">
        <f>[2]TongHop!F2046</f>
        <v>0</v>
      </c>
      <c r="G2046">
        <f>[2]TongHop!G2046</f>
        <v>0</v>
      </c>
      <c r="H2046">
        <f>[2]TongHop!H2046</f>
        <v>0</v>
      </c>
      <c r="I2046">
        <f>[2]TongHop!I2046</f>
        <v>0</v>
      </c>
      <c r="J2046">
        <f>[2]TongHop!J2046</f>
        <v>0</v>
      </c>
      <c r="K2046">
        <f>[2]TongHop!K2046</f>
        <v>0</v>
      </c>
      <c r="L2046">
        <f>[2]TongHop!L2046</f>
        <v>0</v>
      </c>
      <c r="M2046">
        <f>[2]TongHop!M2046</f>
        <v>0</v>
      </c>
      <c r="N2046">
        <f>[2]TongHop!N2046</f>
        <v>0</v>
      </c>
    </row>
    <row r="2047" spans="1:14">
      <c r="A2047">
        <f>[2]TongHop!A2047</f>
        <v>0</v>
      </c>
      <c r="B2047">
        <f>[2]TongHop!B2047</f>
        <v>0</v>
      </c>
      <c r="C2047">
        <f>[2]TongHop!C2047</f>
        <v>0</v>
      </c>
      <c r="D2047">
        <f>[2]TongHop!D2047</f>
        <v>0</v>
      </c>
      <c r="E2047">
        <f>[2]TongHop!E2047</f>
        <v>0</v>
      </c>
      <c r="F2047">
        <f>[2]TongHop!F2047</f>
        <v>0</v>
      </c>
      <c r="G2047">
        <f>[2]TongHop!G2047</f>
        <v>0</v>
      </c>
      <c r="H2047">
        <f>[2]TongHop!H2047</f>
        <v>0</v>
      </c>
      <c r="I2047">
        <f>[2]TongHop!I2047</f>
        <v>0</v>
      </c>
      <c r="J2047">
        <f>[2]TongHop!J2047</f>
        <v>0</v>
      </c>
      <c r="K2047">
        <f>[2]TongHop!K2047</f>
        <v>0</v>
      </c>
      <c r="L2047">
        <f>[2]TongHop!L2047</f>
        <v>0</v>
      </c>
      <c r="M2047">
        <f>[2]TongHop!M2047</f>
        <v>0</v>
      </c>
      <c r="N2047">
        <f>[2]TongHop!N2047</f>
        <v>0</v>
      </c>
    </row>
    <row r="2048" spans="1:14">
      <c r="A2048">
        <f>[2]TongHop!A2048</f>
        <v>0</v>
      </c>
      <c r="B2048">
        <f>[2]TongHop!B2048</f>
        <v>0</v>
      </c>
      <c r="C2048">
        <f>[2]TongHop!C2048</f>
        <v>0</v>
      </c>
      <c r="D2048">
        <f>[2]TongHop!D2048</f>
        <v>0</v>
      </c>
      <c r="E2048">
        <f>[2]TongHop!E2048</f>
        <v>0</v>
      </c>
      <c r="F2048">
        <f>[2]TongHop!F2048</f>
        <v>0</v>
      </c>
      <c r="G2048">
        <f>[2]TongHop!G2048</f>
        <v>0</v>
      </c>
      <c r="H2048">
        <f>[2]TongHop!H2048</f>
        <v>0</v>
      </c>
      <c r="I2048">
        <f>[2]TongHop!I2048</f>
        <v>0</v>
      </c>
      <c r="J2048">
        <f>[2]TongHop!J2048</f>
        <v>0</v>
      </c>
      <c r="K2048">
        <f>[2]TongHop!K2048</f>
        <v>0</v>
      </c>
      <c r="L2048">
        <f>[2]TongHop!L2048</f>
        <v>0</v>
      </c>
      <c r="M2048">
        <f>[2]TongHop!M2048</f>
        <v>0</v>
      </c>
      <c r="N2048">
        <f>[2]TongHop!N2048</f>
        <v>0</v>
      </c>
    </row>
    <row r="2049" spans="1:14">
      <c r="A2049">
        <f>[2]TongHop!A2049</f>
        <v>0</v>
      </c>
      <c r="B2049">
        <f>[2]TongHop!B2049</f>
        <v>0</v>
      </c>
      <c r="C2049">
        <f>[2]TongHop!C2049</f>
        <v>0</v>
      </c>
      <c r="D2049">
        <f>[2]TongHop!D2049</f>
        <v>0</v>
      </c>
      <c r="E2049">
        <f>[2]TongHop!E2049</f>
        <v>0</v>
      </c>
      <c r="F2049">
        <f>[2]TongHop!F2049</f>
        <v>0</v>
      </c>
      <c r="G2049">
        <f>[2]TongHop!G2049</f>
        <v>0</v>
      </c>
      <c r="H2049">
        <f>[2]TongHop!H2049</f>
        <v>0</v>
      </c>
      <c r="I2049">
        <f>[2]TongHop!I2049</f>
        <v>0</v>
      </c>
      <c r="J2049">
        <f>[2]TongHop!J2049</f>
        <v>0</v>
      </c>
      <c r="K2049">
        <f>[2]TongHop!K2049</f>
        <v>0</v>
      </c>
      <c r="L2049">
        <f>[2]TongHop!L2049</f>
        <v>0</v>
      </c>
      <c r="M2049">
        <f>[2]TongHop!M2049</f>
        <v>0</v>
      </c>
      <c r="N2049">
        <f>[2]TongHop!N2049</f>
        <v>0</v>
      </c>
    </row>
    <row r="2050" spans="1:14">
      <c r="A2050">
        <f>[2]TongHop!A2050</f>
        <v>0</v>
      </c>
      <c r="B2050">
        <f>[2]TongHop!B2050</f>
        <v>0</v>
      </c>
      <c r="C2050">
        <f>[2]TongHop!C2050</f>
        <v>0</v>
      </c>
      <c r="D2050">
        <f>[2]TongHop!D2050</f>
        <v>0</v>
      </c>
      <c r="E2050">
        <f>[2]TongHop!E2050</f>
        <v>0</v>
      </c>
      <c r="F2050">
        <f>[2]TongHop!F2050</f>
        <v>0</v>
      </c>
      <c r="G2050">
        <f>[2]TongHop!G2050</f>
        <v>0</v>
      </c>
      <c r="H2050">
        <f>[2]TongHop!H2050</f>
        <v>0</v>
      </c>
      <c r="I2050">
        <f>[2]TongHop!I2050</f>
        <v>0</v>
      </c>
      <c r="J2050">
        <f>[2]TongHop!J2050</f>
        <v>0</v>
      </c>
      <c r="K2050">
        <f>[2]TongHop!K2050</f>
        <v>0</v>
      </c>
      <c r="L2050">
        <f>[2]TongHop!L2050</f>
        <v>0</v>
      </c>
      <c r="M2050">
        <f>[2]TongHop!M2050</f>
        <v>0</v>
      </c>
      <c r="N2050">
        <f>[2]TongHop!N2050</f>
        <v>0</v>
      </c>
    </row>
    <row r="2051" spans="1:14">
      <c r="A2051">
        <f>[2]TongHop!A2051</f>
        <v>0</v>
      </c>
      <c r="B2051">
        <f>[2]TongHop!B2051</f>
        <v>0</v>
      </c>
      <c r="C2051">
        <f>[2]TongHop!C2051</f>
        <v>0</v>
      </c>
      <c r="D2051">
        <f>[2]TongHop!D2051</f>
        <v>0</v>
      </c>
      <c r="E2051">
        <f>[2]TongHop!E2051</f>
        <v>0</v>
      </c>
      <c r="F2051">
        <f>[2]TongHop!F2051</f>
        <v>0</v>
      </c>
      <c r="G2051">
        <f>[2]TongHop!G2051</f>
        <v>0</v>
      </c>
      <c r="H2051">
        <f>[2]TongHop!H2051</f>
        <v>0</v>
      </c>
      <c r="I2051">
        <f>[2]TongHop!I2051</f>
        <v>0</v>
      </c>
      <c r="J2051">
        <f>[2]TongHop!J2051</f>
        <v>0</v>
      </c>
      <c r="K2051">
        <f>[2]TongHop!K2051</f>
        <v>0</v>
      </c>
      <c r="L2051">
        <f>[2]TongHop!L2051</f>
        <v>0</v>
      </c>
      <c r="M2051">
        <f>[2]TongHop!M2051</f>
        <v>0</v>
      </c>
      <c r="N2051">
        <f>[2]TongHop!N2051</f>
        <v>0</v>
      </c>
    </row>
    <row r="2052" spans="1:14">
      <c r="A2052">
        <f>[2]TongHop!A2052</f>
        <v>0</v>
      </c>
      <c r="B2052">
        <f>[2]TongHop!B2052</f>
        <v>0</v>
      </c>
      <c r="C2052">
        <f>[2]TongHop!C2052</f>
        <v>0</v>
      </c>
      <c r="D2052">
        <f>[2]TongHop!D2052</f>
        <v>0</v>
      </c>
      <c r="E2052">
        <f>[2]TongHop!E2052</f>
        <v>0</v>
      </c>
      <c r="F2052">
        <f>[2]TongHop!F2052</f>
        <v>0</v>
      </c>
      <c r="G2052">
        <f>[2]TongHop!G2052</f>
        <v>0</v>
      </c>
      <c r="H2052">
        <f>[2]TongHop!H2052</f>
        <v>0</v>
      </c>
      <c r="I2052">
        <f>[2]TongHop!I2052</f>
        <v>0</v>
      </c>
      <c r="J2052">
        <f>[2]TongHop!J2052</f>
        <v>0</v>
      </c>
      <c r="K2052">
        <f>[2]TongHop!K2052</f>
        <v>0</v>
      </c>
      <c r="L2052">
        <f>[2]TongHop!L2052</f>
        <v>0</v>
      </c>
      <c r="M2052">
        <f>[2]TongHop!M2052</f>
        <v>0</v>
      </c>
      <c r="N2052">
        <f>[2]TongHop!N2052</f>
        <v>0</v>
      </c>
    </row>
    <row r="2053" spans="1:14">
      <c r="A2053">
        <f>[2]TongHop!A2053</f>
        <v>0</v>
      </c>
      <c r="B2053">
        <f>[2]TongHop!B2053</f>
        <v>0</v>
      </c>
      <c r="C2053">
        <f>[2]TongHop!C2053</f>
        <v>0</v>
      </c>
      <c r="D2053">
        <f>[2]TongHop!D2053</f>
        <v>0</v>
      </c>
      <c r="E2053">
        <f>[2]TongHop!E2053</f>
        <v>0</v>
      </c>
      <c r="F2053">
        <f>[2]TongHop!F2053</f>
        <v>0</v>
      </c>
      <c r="G2053">
        <f>[2]TongHop!G2053</f>
        <v>0</v>
      </c>
      <c r="H2053">
        <f>[2]TongHop!H2053</f>
        <v>0</v>
      </c>
      <c r="I2053">
        <f>[2]TongHop!I2053</f>
        <v>0</v>
      </c>
      <c r="J2053">
        <f>[2]TongHop!J2053</f>
        <v>0</v>
      </c>
      <c r="K2053">
        <f>[2]TongHop!K2053</f>
        <v>0</v>
      </c>
      <c r="L2053">
        <f>[2]TongHop!L2053</f>
        <v>0</v>
      </c>
      <c r="M2053">
        <f>[2]TongHop!M2053</f>
        <v>0</v>
      </c>
      <c r="N2053">
        <f>[2]TongHop!N2053</f>
        <v>0</v>
      </c>
    </row>
    <row r="2054" spans="1:14">
      <c r="A2054">
        <f>[2]TongHop!A2054</f>
        <v>0</v>
      </c>
      <c r="B2054">
        <f>[2]TongHop!B2054</f>
        <v>0</v>
      </c>
      <c r="C2054">
        <f>[2]TongHop!C2054</f>
        <v>0</v>
      </c>
      <c r="D2054">
        <f>[2]TongHop!D2054</f>
        <v>0</v>
      </c>
      <c r="E2054">
        <f>[2]TongHop!E2054</f>
        <v>0</v>
      </c>
      <c r="F2054">
        <f>[2]TongHop!F2054</f>
        <v>0</v>
      </c>
      <c r="G2054">
        <f>[2]TongHop!G2054</f>
        <v>0</v>
      </c>
      <c r="H2054">
        <f>[2]TongHop!H2054</f>
        <v>0</v>
      </c>
      <c r="I2054">
        <f>[2]TongHop!I2054</f>
        <v>0</v>
      </c>
      <c r="J2054">
        <f>[2]TongHop!J2054</f>
        <v>0</v>
      </c>
      <c r="K2054">
        <f>[2]TongHop!K2054</f>
        <v>0</v>
      </c>
      <c r="L2054">
        <f>[2]TongHop!L2054</f>
        <v>0</v>
      </c>
      <c r="M2054">
        <f>[2]TongHop!M2054</f>
        <v>0</v>
      </c>
      <c r="N2054">
        <f>[2]TongHop!N2054</f>
        <v>0</v>
      </c>
    </row>
    <row r="2055" spans="1:14">
      <c r="A2055">
        <f>[2]TongHop!A2055</f>
        <v>0</v>
      </c>
      <c r="B2055">
        <f>[2]TongHop!B2055</f>
        <v>0</v>
      </c>
      <c r="C2055">
        <f>[2]TongHop!C2055</f>
        <v>0</v>
      </c>
      <c r="D2055">
        <f>[2]TongHop!D2055</f>
        <v>0</v>
      </c>
      <c r="E2055">
        <f>[2]TongHop!E2055</f>
        <v>0</v>
      </c>
      <c r="F2055">
        <f>[2]TongHop!F2055</f>
        <v>0</v>
      </c>
      <c r="G2055">
        <f>[2]TongHop!G2055</f>
        <v>0</v>
      </c>
      <c r="H2055">
        <f>[2]TongHop!H2055</f>
        <v>0</v>
      </c>
      <c r="I2055">
        <f>[2]TongHop!I2055</f>
        <v>0</v>
      </c>
      <c r="J2055">
        <f>[2]TongHop!J2055</f>
        <v>0</v>
      </c>
      <c r="K2055">
        <f>[2]TongHop!K2055</f>
        <v>0</v>
      </c>
      <c r="L2055">
        <f>[2]TongHop!L2055</f>
        <v>0</v>
      </c>
      <c r="M2055">
        <f>[2]TongHop!M2055</f>
        <v>0</v>
      </c>
      <c r="N2055">
        <f>[2]TongHop!N2055</f>
        <v>0</v>
      </c>
    </row>
    <row r="2056" spans="1:14">
      <c r="A2056">
        <f>[2]TongHop!A2056</f>
        <v>0</v>
      </c>
      <c r="B2056">
        <f>[2]TongHop!B2056</f>
        <v>0</v>
      </c>
      <c r="C2056">
        <f>[2]TongHop!C2056</f>
        <v>0</v>
      </c>
      <c r="D2056">
        <f>[2]TongHop!D2056</f>
        <v>0</v>
      </c>
      <c r="E2056">
        <f>[2]TongHop!E2056</f>
        <v>0</v>
      </c>
      <c r="F2056">
        <f>[2]TongHop!F2056</f>
        <v>0</v>
      </c>
      <c r="G2056">
        <f>[2]TongHop!G2056</f>
        <v>0</v>
      </c>
      <c r="H2056">
        <f>[2]TongHop!H2056</f>
        <v>0</v>
      </c>
      <c r="I2056">
        <f>[2]TongHop!I2056</f>
        <v>0</v>
      </c>
      <c r="J2056">
        <f>[2]TongHop!J2056</f>
        <v>0</v>
      </c>
      <c r="K2056">
        <f>[2]TongHop!K2056</f>
        <v>0</v>
      </c>
      <c r="L2056">
        <f>[2]TongHop!L2056</f>
        <v>0</v>
      </c>
      <c r="M2056">
        <f>[2]TongHop!M2056</f>
        <v>0</v>
      </c>
      <c r="N2056">
        <f>[2]TongHop!N2056</f>
        <v>0</v>
      </c>
    </row>
    <row r="2057" spans="1:14">
      <c r="A2057">
        <f>[2]TongHop!A2057</f>
        <v>0</v>
      </c>
      <c r="B2057">
        <f>[2]TongHop!B2057</f>
        <v>0</v>
      </c>
      <c r="C2057">
        <f>[2]TongHop!C2057</f>
        <v>0</v>
      </c>
      <c r="D2057">
        <f>[2]TongHop!D2057</f>
        <v>0</v>
      </c>
      <c r="E2057">
        <f>[2]TongHop!E2057</f>
        <v>0</v>
      </c>
      <c r="F2057">
        <f>[2]TongHop!F2057</f>
        <v>0</v>
      </c>
      <c r="G2057">
        <f>[2]TongHop!G2057</f>
        <v>0</v>
      </c>
      <c r="H2057">
        <f>[2]TongHop!H2057</f>
        <v>0</v>
      </c>
      <c r="I2057">
        <f>[2]TongHop!I2057</f>
        <v>0</v>
      </c>
      <c r="J2057">
        <f>[2]TongHop!J2057</f>
        <v>0</v>
      </c>
      <c r="K2057">
        <f>[2]TongHop!K2057</f>
        <v>0</v>
      </c>
      <c r="L2057">
        <f>[2]TongHop!L2057</f>
        <v>0</v>
      </c>
      <c r="M2057">
        <f>[2]TongHop!M2057</f>
        <v>0</v>
      </c>
      <c r="N2057">
        <f>[2]TongHop!N2057</f>
        <v>0</v>
      </c>
    </row>
    <row r="2058" spans="1:14">
      <c r="A2058">
        <f>[2]TongHop!A2058</f>
        <v>0</v>
      </c>
      <c r="B2058">
        <f>[2]TongHop!B2058</f>
        <v>0</v>
      </c>
      <c r="C2058">
        <f>[2]TongHop!C2058</f>
        <v>0</v>
      </c>
      <c r="D2058">
        <f>[2]TongHop!D2058</f>
        <v>0</v>
      </c>
      <c r="E2058">
        <f>[2]TongHop!E2058</f>
        <v>0</v>
      </c>
      <c r="F2058">
        <f>[2]TongHop!F2058</f>
        <v>0</v>
      </c>
      <c r="G2058">
        <f>[2]TongHop!G2058</f>
        <v>0</v>
      </c>
      <c r="H2058">
        <f>[2]TongHop!H2058</f>
        <v>0</v>
      </c>
      <c r="I2058">
        <f>[2]TongHop!I2058</f>
        <v>0</v>
      </c>
      <c r="J2058">
        <f>[2]TongHop!J2058</f>
        <v>0</v>
      </c>
      <c r="K2058">
        <f>[2]TongHop!K2058</f>
        <v>0</v>
      </c>
      <c r="L2058">
        <f>[2]TongHop!L2058</f>
        <v>0</v>
      </c>
      <c r="M2058">
        <f>[2]TongHop!M2058</f>
        <v>0</v>
      </c>
      <c r="N2058">
        <f>[2]TongHop!N2058</f>
        <v>0</v>
      </c>
    </row>
    <row r="2059" spans="1:14">
      <c r="A2059">
        <f>[2]TongHop!A2059</f>
        <v>0</v>
      </c>
      <c r="B2059">
        <f>[2]TongHop!B2059</f>
        <v>0</v>
      </c>
      <c r="C2059">
        <f>[2]TongHop!C2059</f>
        <v>0</v>
      </c>
      <c r="D2059">
        <f>[2]TongHop!D2059</f>
        <v>0</v>
      </c>
      <c r="E2059">
        <f>[2]TongHop!E2059</f>
        <v>0</v>
      </c>
      <c r="F2059">
        <f>[2]TongHop!F2059</f>
        <v>0</v>
      </c>
      <c r="G2059">
        <f>[2]TongHop!G2059</f>
        <v>0</v>
      </c>
      <c r="H2059">
        <f>[2]TongHop!H2059</f>
        <v>0</v>
      </c>
      <c r="I2059">
        <f>[2]TongHop!I2059</f>
        <v>0</v>
      </c>
      <c r="J2059">
        <f>[2]TongHop!J2059</f>
        <v>0</v>
      </c>
      <c r="K2059">
        <f>[2]TongHop!K2059</f>
        <v>0</v>
      </c>
      <c r="L2059">
        <f>[2]TongHop!L2059</f>
        <v>0</v>
      </c>
      <c r="M2059">
        <f>[2]TongHop!M2059</f>
        <v>0</v>
      </c>
      <c r="N2059">
        <f>[2]TongHop!N2059</f>
        <v>0</v>
      </c>
    </row>
    <row r="2060" spans="1:14">
      <c r="A2060">
        <f>[2]TongHop!A2060</f>
        <v>0</v>
      </c>
      <c r="B2060">
        <f>[2]TongHop!B2060</f>
        <v>0</v>
      </c>
      <c r="C2060">
        <f>[2]TongHop!C2060</f>
        <v>0</v>
      </c>
      <c r="D2060">
        <f>[2]TongHop!D2060</f>
        <v>0</v>
      </c>
      <c r="E2060">
        <f>[2]TongHop!E2060</f>
        <v>0</v>
      </c>
      <c r="F2060">
        <f>[2]TongHop!F2060</f>
        <v>0</v>
      </c>
      <c r="G2060">
        <f>[2]TongHop!G2060</f>
        <v>0</v>
      </c>
      <c r="H2060">
        <f>[2]TongHop!H2060</f>
        <v>0</v>
      </c>
      <c r="I2060">
        <f>[2]TongHop!I2060</f>
        <v>0</v>
      </c>
      <c r="J2060">
        <f>[2]TongHop!J2060</f>
        <v>0</v>
      </c>
      <c r="K2060">
        <f>[2]TongHop!K2060</f>
        <v>0</v>
      </c>
      <c r="L2060">
        <f>[2]TongHop!L2060</f>
        <v>0</v>
      </c>
      <c r="M2060">
        <f>[2]TongHop!M2060</f>
        <v>0</v>
      </c>
      <c r="N2060">
        <f>[2]TongHop!N2060</f>
        <v>0</v>
      </c>
    </row>
    <row r="2061" spans="1:14">
      <c r="A2061">
        <f>[2]TongHop!A2061</f>
        <v>0</v>
      </c>
      <c r="B2061">
        <f>[2]TongHop!B2061</f>
        <v>0</v>
      </c>
      <c r="C2061">
        <f>[2]TongHop!C2061</f>
        <v>0</v>
      </c>
      <c r="D2061">
        <f>[2]TongHop!D2061</f>
        <v>0</v>
      </c>
      <c r="E2061">
        <f>[2]TongHop!E2061</f>
        <v>0</v>
      </c>
      <c r="F2061">
        <f>[2]TongHop!F2061</f>
        <v>0</v>
      </c>
      <c r="G2061">
        <f>[2]TongHop!G2061</f>
        <v>0</v>
      </c>
      <c r="H2061">
        <f>[2]TongHop!H2061</f>
        <v>0</v>
      </c>
      <c r="I2061">
        <f>[2]TongHop!I2061</f>
        <v>0</v>
      </c>
      <c r="J2061">
        <f>[2]TongHop!J2061</f>
        <v>0</v>
      </c>
      <c r="K2061">
        <f>[2]TongHop!K2061</f>
        <v>0</v>
      </c>
      <c r="L2061">
        <f>[2]TongHop!L2061</f>
        <v>0</v>
      </c>
      <c r="M2061">
        <f>[2]TongHop!M2061</f>
        <v>0</v>
      </c>
      <c r="N2061">
        <f>[2]TongHop!N2061</f>
        <v>0</v>
      </c>
    </row>
    <row r="2062" spans="1:14">
      <c r="A2062">
        <f>[2]TongHop!A2062</f>
        <v>0</v>
      </c>
      <c r="B2062">
        <f>[2]TongHop!B2062</f>
        <v>0</v>
      </c>
      <c r="C2062">
        <f>[2]TongHop!C2062</f>
        <v>0</v>
      </c>
      <c r="D2062">
        <f>[2]TongHop!D2062</f>
        <v>0</v>
      </c>
      <c r="E2062">
        <f>[2]TongHop!E2062</f>
        <v>0</v>
      </c>
      <c r="F2062">
        <f>[2]TongHop!F2062</f>
        <v>0</v>
      </c>
      <c r="G2062">
        <f>[2]TongHop!G2062</f>
        <v>0</v>
      </c>
      <c r="H2062">
        <f>[2]TongHop!H2062</f>
        <v>0</v>
      </c>
      <c r="I2062">
        <f>[2]TongHop!I2062</f>
        <v>0</v>
      </c>
      <c r="J2062">
        <f>[2]TongHop!J2062</f>
        <v>0</v>
      </c>
      <c r="K2062">
        <f>[2]TongHop!K2062</f>
        <v>0</v>
      </c>
      <c r="L2062">
        <f>[2]TongHop!L2062</f>
        <v>0</v>
      </c>
      <c r="M2062">
        <f>[2]TongHop!M2062</f>
        <v>0</v>
      </c>
      <c r="N2062">
        <f>[2]TongHop!N2062</f>
        <v>0</v>
      </c>
    </row>
    <row r="2063" spans="1:14">
      <c r="A2063">
        <f>[2]TongHop!A2063</f>
        <v>0</v>
      </c>
      <c r="B2063">
        <f>[2]TongHop!B2063</f>
        <v>0</v>
      </c>
      <c r="C2063">
        <f>[2]TongHop!C2063</f>
        <v>0</v>
      </c>
      <c r="D2063">
        <f>[2]TongHop!D2063</f>
        <v>0</v>
      </c>
      <c r="E2063">
        <f>[2]TongHop!E2063</f>
        <v>0</v>
      </c>
      <c r="F2063">
        <f>[2]TongHop!F2063</f>
        <v>0</v>
      </c>
      <c r="G2063">
        <f>[2]TongHop!G2063</f>
        <v>0</v>
      </c>
      <c r="H2063">
        <f>[2]TongHop!H2063</f>
        <v>0</v>
      </c>
      <c r="I2063">
        <f>[2]TongHop!I2063</f>
        <v>0</v>
      </c>
      <c r="J2063">
        <f>[2]TongHop!J2063</f>
        <v>0</v>
      </c>
      <c r="K2063">
        <f>[2]TongHop!K2063</f>
        <v>0</v>
      </c>
      <c r="L2063">
        <f>[2]TongHop!L2063</f>
        <v>0</v>
      </c>
      <c r="M2063">
        <f>[2]TongHop!M2063</f>
        <v>0</v>
      </c>
      <c r="N2063">
        <f>[2]TongHop!N2063</f>
        <v>0</v>
      </c>
    </row>
    <row r="2064" spans="1:14">
      <c r="A2064">
        <f>[2]TongHop!A2064</f>
        <v>0</v>
      </c>
      <c r="B2064">
        <f>[2]TongHop!B2064</f>
        <v>0</v>
      </c>
      <c r="C2064">
        <f>[2]TongHop!C2064</f>
        <v>0</v>
      </c>
      <c r="D2064">
        <f>[2]TongHop!D2064</f>
        <v>0</v>
      </c>
      <c r="E2064">
        <f>[2]TongHop!E2064</f>
        <v>0</v>
      </c>
      <c r="F2064">
        <f>[2]TongHop!F2064</f>
        <v>0</v>
      </c>
      <c r="G2064">
        <f>[2]TongHop!G2064</f>
        <v>0</v>
      </c>
      <c r="H2064">
        <f>[2]TongHop!H2064</f>
        <v>0</v>
      </c>
      <c r="I2064">
        <f>[2]TongHop!I2064</f>
        <v>0</v>
      </c>
      <c r="J2064">
        <f>[2]TongHop!J2064</f>
        <v>0</v>
      </c>
      <c r="K2064">
        <f>[2]TongHop!K2064</f>
        <v>0</v>
      </c>
      <c r="L2064">
        <f>[2]TongHop!L2064</f>
        <v>0</v>
      </c>
      <c r="M2064">
        <f>[2]TongHop!M2064</f>
        <v>0</v>
      </c>
      <c r="N2064">
        <f>[2]TongHop!N2064</f>
        <v>0</v>
      </c>
    </row>
    <row r="2065" spans="1:14">
      <c r="A2065">
        <f>[2]TongHop!A2065</f>
        <v>0</v>
      </c>
      <c r="B2065">
        <f>[2]TongHop!B2065</f>
        <v>0</v>
      </c>
      <c r="C2065">
        <f>[2]TongHop!C2065</f>
        <v>0</v>
      </c>
      <c r="D2065">
        <f>[2]TongHop!D2065</f>
        <v>0</v>
      </c>
      <c r="E2065">
        <f>[2]TongHop!E2065</f>
        <v>0</v>
      </c>
      <c r="F2065">
        <f>[2]TongHop!F2065</f>
        <v>0</v>
      </c>
      <c r="G2065">
        <f>[2]TongHop!G2065</f>
        <v>0</v>
      </c>
      <c r="H2065">
        <f>[2]TongHop!H2065</f>
        <v>0</v>
      </c>
      <c r="I2065">
        <f>[2]TongHop!I2065</f>
        <v>0</v>
      </c>
      <c r="J2065">
        <f>[2]TongHop!J2065</f>
        <v>0</v>
      </c>
      <c r="K2065">
        <f>[2]TongHop!K2065</f>
        <v>0</v>
      </c>
      <c r="L2065">
        <f>[2]TongHop!L2065</f>
        <v>0</v>
      </c>
      <c r="M2065">
        <f>[2]TongHop!M2065</f>
        <v>0</v>
      </c>
      <c r="N2065">
        <f>[2]TongHop!N2065</f>
        <v>0</v>
      </c>
    </row>
    <row r="2066" spans="1:14">
      <c r="A2066">
        <f>[2]TongHop!A2066</f>
        <v>0</v>
      </c>
      <c r="B2066">
        <f>[2]TongHop!B2066</f>
        <v>0</v>
      </c>
      <c r="C2066">
        <f>[2]TongHop!C2066</f>
        <v>0</v>
      </c>
      <c r="D2066">
        <f>[2]TongHop!D2066</f>
        <v>0</v>
      </c>
      <c r="E2066">
        <f>[2]TongHop!E2066</f>
        <v>0</v>
      </c>
      <c r="F2066">
        <f>[2]TongHop!F2066</f>
        <v>0</v>
      </c>
      <c r="G2066">
        <f>[2]TongHop!G2066</f>
        <v>0</v>
      </c>
      <c r="H2066">
        <f>[2]TongHop!H2066</f>
        <v>0</v>
      </c>
      <c r="I2066">
        <f>[2]TongHop!I2066</f>
        <v>0</v>
      </c>
      <c r="J2066">
        <f>[2]TongHop!J2066</f>
        <v>0</v>
      </c>
      <c r="K2066">
        <f>[2]TongHop!K2066</f>
        <v>0</v>
      </c>
      <c r="L2066">
        <f>[2]TongHop!L2066</f>
        <v>0</v>
      </c>
      <c r="M2066">
        <f>[2]TongHop!M2066</f>
        <v>0</v>
      </c>
      <c r="N2066">
        <f>[2]TongHop!N2066</f>
        <v>0</v>
      </c>
    </row>
    <row r="2067" spans="1:14">
      <c r="A2067">
        <f>[2]TongHop!A2067</f>
        <v>0</v>
      </c>
      <c r="B2067">
        <f>[2]TongHop!B2067</f>
        <v>0</v>
      </c>
      <c r="C2067">
        <f>[2]TongHop!C2067</f>
        <v>0</v>
      </c>
      <c r="D2067">
        <f>[2]TongHop!D2067</f>
        <v>0</v>
      </c>
      <c r="E2067">
        <f>[2]TongHop!E2067</f>
        <v>0</v>
      </c>
      <c r="F2067">
        <f>[2]TongHop!F2067</f>
        <v>0</v>
      </c>
      <c r="G2067">
        <f>[2]TongHop!G2067</f>
        <v>0</v>
      </c>
      <c r="H2067">
        <f>[2]TongHop!H2067</f>
        <v>0</v>
      </c>
      <c r="I2067">
        <f>[2]TongHop!I2067</f>
        <v>0</v>
      </c>
      <c r="J2067">
        <f>[2]TongHop!J2067</f>
        <v>0</v>
      </c>
      <c r="K2067">
        <f>[2]TongHop!K2067</f>
        <v>0</v>
      </c>
      <c r="L2067">
        <f>[2]TongHop!L2067</f>
        <v>0</v>
      </c>
      <c r="M2067">
        <f>[2]TongHop!M2067</f>
        <v>0</v>
      </c>
      <c r="N2067">
        <f>[2]TongHop!N2067</f>
        <v>0</v>
      </c>
    </row>
    <row r="2068" spans="1:14">
      <c r="A2068">
        <f>[2]TongHop!A2068</f>
        <v>0</v>
      </c>
      <c r="B2068">
        <f>[2]TongHop!B2068</f>
        <v>0</v>
      </c>
      <c r="C2068">
        <f>[2]TongHop!C2068</f>
        <v>0</v>
      </c>
      <c r="D2068">
        <f>[2]TongHop!D2068</f>
        <v>0</v>
      </c>
      <c r="E2068">
        <f>[2]TongHop!E2068</f>
        <v>0</v>
      </c>
      <c r="F2068">
        <f>[2]TongHop!F2068</f>
        <v>0</v>
      </c>
      <c r="G2068">
        <f>[2]TongHop!G2068</f>
        <v>0</v>
      </c>
      <c r="H2068">
        <f>[2]TongHop!H2068</f>
        <v>0</v>
      </c>
      <c r="I2068">
        <f>[2]TongHop!I2068</f>
        <v>0</v>
      </c>
      <c r="J2068">
        <f>[2]TongHop!J2068</f>
        <v>0</v>
      </c>
      <c r="K2068">
        <f>[2]TongHop!K2068</f>
        <v>0</v>
      </c>
      <c r="L2068">
        <f>[2]TongHop!L2068</f>
        <v>0</v>
      </c>
      <c r="M2068">
        <f>[2]TongHop!M2068</f>
        <v>0</v>
      </c>
      <c r="N2068">
        <f>[2]TongHop!N2068</f>
        <v>0</v>
      </c>
    </row>
    <row r="2069" spans="1:14">
      <c r="A2069">
        <f>[2]TongHop!A2069</f>
        <v>0</v>
      </c>
      <c r="B2069">
        <f>[2]TongHop!B2069</f>
        <v>0</v>
      </c>
      <c r="C2069">
        <f>[2]TongHop!C2069</f>
        <v>0</v>
      </c>
      <c r="D2069">
        <f>[2]TongHop!D2069</f>
        <v>0</v>
      </c>
      <c r="E2069">
        <f>[2]TongHop!E2069</f>
        <v>0</v>
      </c>
      <c r="F2069">
        <f>[2]TongHop!F2069</f>
        <v>0</v>
      </c>
      <c r="G2069">
        <f>[2]TongHop!G2069</f>
        <v>0</v>
      </c>
      <c r="H2069">
        <f>[2]TongHop!H2069</f>
        <v>0</v>
      </c>
      <c r="I2069">
        <f>[2]TongHop!I2069</f>
        <v>0</v>
      </c>
      <c r="J2069">
        <f>[2]TongHop!J2069</f>
        <v>0</v>
      </c>
      <c r="K2069">
        <f>[2]TongHop!K2069</f>
        <v>0</v>
      </c>
      <c r="L2069">
        <f>[2]TongHop!L2069</f>
        <v>0</v>
      </c>
      <c r="M2069">
        <f>[2]TongHop!M2069</f>
        <v>0</v>
      </c>
      <c r="N2069">
        <f>[2]TongHop!N2069</f>
        <v>0</v>
      </c>
    </row>
    <row r="2070" spans="1:14">
      <c r="A2070">
        <f>[2]TongHop!A2070</f>
        <v>0</v>
      </c>
      <c r="B2070">
        <f>[2]TongHop!B2070</f>
        <v>0</v>
      </c>
      <c r="C2070">
        <f>[2]TongHop!C2070</f>
        <v>0</v>
      </c>
      <c r="D2070">
        <f>[2]TongHop!D2070</f>
        <v>0</v>
      </c>
      <c r="E2070">
        <f>[2]TongHop!E2070</f>
        <v>0</v>
      </c>
      <c r="F2070">
        <f>[2]TongHop!F2070</f>
        <v>0</v>
      </c>
      <c r="G2070">
        <f>[2]TongHop!G2070</f>
        <v>0</v>
      </c>
      <c r="H2070">
        <f>[2]TongHop!H2070</f>
        <v>0</v>
      </c>
      <c r="I2070">
        <f>[2]TongHop!I2070</f>
        <v>0</v>
      </c>
      <c r="J2070">
        <f>[2]TongHop!J2070</f>
        <v>0</v>
      </c>
      <c r="K2070">
        <f>[2]TongHop!K2070</f>
        <v>0</v>
      </c>
      <c r="L2070">
        <f>[2]TongHop!L2070</f>
        <v>0</v>
      </c>
      <c r="M2070">
        <f>[2]TongHop!M2070</f>
        <v>0</v>
      </c>
      <c r="N2070">
        <f>[2]TongHop!N2070</f>
        <v>0</v>
      </c>
    </row>
    <row r="2071" spans="1:14">
      <c r="A2071">
        <f>[2]TongHop!A2071</f>
        <v>0</v>
      </c>
      <c r="B2071">
        <f>[2]TongHop!B2071</f>
        <v>0</v>
      </c>
      <c r="C2071">
        <f>[2]TongHop!C2071</f>
        <v>0</v>
      </c>
      <c r="D2071">
        <f>[2]TongHop!D2071</f>
        <v>0</v>
      </c>
      <c r="E2071">
        <f>[2]TongHop!E2071</f>
        <v>0</v>
      </c>
      <c r="F2071">
        <f>[2]TongHop!F2071</f>
        <v>0</v>
      </c>
      <c r="G2071">
        <f>[2]TongHop!G2071</f>
        <v>0</v>
      </c>
      <c r="H2071">
        <f>[2]TongHop!H2071</f>
        <v>0</v>
      </c>
      <c r="I2071">
        <f>[2]TongHop!I2071</f>
        <v>0</v>
      </c>
      <c r="J2071">
        <f>[2]TongHop!J2071</f>
        <v>0</v>
      </c>
      <c r="K2071">
        <f>[2]TongHop!K2071</f>
        <v>0</v>
      </c>
      <c r="L2071">
        <f>[2]TongHop!L2071</f>
        <v>0</v>
      </c>
      <c r="M2071">
        <f>[2]TongHop!M2071</f>
        <v>0</v>
      </c>
      <c r="N2071">
        <f>[2]TongHop!N2071</f>
        <v>0</v>
      </c>
    </row>
    <row r="2072" spans="1:14">
      <c r="A2072">
        <f>[2]TongHop!A2072</f>
        <v>0</v>
      </c>
      <c r="B2072">
        <f>[2]TongHop!B2072</f>
        <v>0</v>
      </c>
      <c r="C2072">
        <f>[2]TongHop!C2072</f>
        <v>0</v>
      </c>
      <c r="D2072">
        <f>[2]TongHop!D2072</f>
        <v>0</v>
      </c>
      <c r="E2072">
        <f>[2]TongHop!E2072</f>
        <v>0</v>
      </c>
      <c r="F2072">
        <f>[2]TongHop!F2072</f>
        <v>0</v>
      </c>
      <c r="G2072">
        <f>[2]TongHop!G2072</f>
        <v>0</v>
      </c>
      <c r="H2072">
        <f>[2]TongHop!H2072</f>
        <v>0</v>
      </c>
      <c r="I2072">
        <f>[2]TongHop!I2072</f>
        <v>0</v>
      </c>
      <c r="J2072">
        <f>[2]TongHop!J2072</f>
        <v>0</v>
      </c>
      <c r="K2072">
        <f>[2]TongHop!K2072</f>
        <v>0</v>
      </c>
      <c r="L2072">
        <f>[2]TongHop!L2072</f>
        <v>0</v>
      </c>
      <c r="M2072">
        <f>[2]TongHop!M2072</f>
        <v>0</v>
      </c>
      <c r="N2072">
        <f>[2]TongHop!N2072</f>
        <v>0</v>
      </c>
    </row>
    <row r="2073" spans="1:14">
      <c r="A2073">
        <f>[2]TongHop!A2073</f>
        <v>0</v>
      </c>
      <c r="B2073">
        <f>[2]TongHop!B2073</f>
        <v>0</v>
      </c>
      <c r="C2073">
        <f>[2]TongHop!C2073</f>
        <v>0</v>
      </c>
      <c r="D2073">
        <f>[2]TongHop!D2073</f>
        <v>0</v>
      </c>
      <c r="E2073">
        <f>[2]TongHop!E2073</f>
        <v>0</v>
      </c>
      <c r="F2073">
        <f>[2]TongHop!F2073</f>
        <v>0</v>
      </c>
      <c r="G2073">
        <f>[2]TongHop!G2073</f>
        <v>0</v>
      </c>
      <c r="H2073">
        <f>[2]TongHop!H2073</f>
        <v>0</v>
      </c>
      <c r="I2073">
        <f>[2]TongHop!I2073</f>
        <v>0</v>
      </c>
      <c r="J2073">
        <f>[2]TongHop!J2073</f>
        <v>0</v>
      </c>
      <c r="K2073">
        <f>[2]TongHop!K2073</f>
        <v>0</v>
      </c>
      <c r="L2073">
        <f>[2]TongHop!L2073</f>
        <v>0</v>
      </c>
      <c r="M2073">
        <f>[2]TongHop!M2073</f>
        <v>0</v>
      </c>
      <c r="N2073">
        <f>[2]TongHop!N2073</f>
        <v>0</v>
      </c>
    </row>
    <row r="2074" spans="1:14">
      <c r="A2074">
        <f>[2]TongHop!A2074</f>
        <v>0</v>
      </c>
      <c r="B2074">
        <f>[2]TongHop!B2074</f>
        <v>0</v>
      </c>
      <c r="C2074">
        <f>[2]TongHop!C2074</f>
        <v>0</v>
      </c>
      <c r="D2074">
        <f>[2]TongHop!D2074</f>
        <v>0</v>
      </c>
      <c r="E2074">
        <f>[2]TongHop!E2074</f>
        <v>0</v>
      </c>
      <c r="F2074">
        <f>[2]TongHop!F2074</f>
        <v>0</v>
      </c>
      <c r="G2074">
        <f>[2]TongHop!G2074</f>
        <v>0</v>
      </c>
      <c r="H2074">
        <f>[2]TongHop!H2074</f>
        <v>0</v>
      </c>
      <c r="I2074">
        <f>[2]TongHop!I2074</f>
        <v>0</v>
      </c>
      <c r="J2074">
        <f>[2]TongHop!J2074</f>
        <v>0</v>
      </c>
      <c r="K2074">
        <f>[2]TongHop!K2074</f>
        <v>0</v>
      </c>
      <c r="L2074">
        <f>[2]TongHop!L2074</f>
        <v>0</v>
      </c>
      <c r="M2074">
        <f>[2]TongHop!M2074</f>
        <v>0</v>
      </c>
      <c r="N2074">
        <f>[2]TongHop!N2074</f>
        <v>0</v>
      </c>
    </row>
    <row r="2075" spans="1:14">
      <c r="A2075">
        <f>[2]TongHop!A2075</f>
        <v>0</v>
      </c>
      <c r="B2075">
        <f>[2]TongHop!B2075</f>
        <v>0</v>
      </c>
      <c r="C2075">
        <f>[2]TongHop!C2075</f>
        <v>0</v>
      </c>
      <c r="D2075">
        <f>[2]TongHop!D2075</f>
        <v>0</v>
      </c>
      <c r="E2075">
        <f>[2]TongHop!E2075</f>
        <v>0</v>
      </c>
      <c r="F2075">
        <f>[2]TongHop!F2075</f>
        <v>0</v>
      </c>
      <c r="G2075">
        <f>[2]TongHop!G2075</f>
        <v>0</v>
      </c>
      <c r="H2075">
        <f>[2]TongHop!H2075</f>
        <v>0</v>
      </c>
      <c r="I2075">
        <f>[2]TongHop!I2075</f>
        <v>0</v>
      </c>
      <c r="J2075">
        <f>[2]TongHop!J2075</f>
        <v>0</v>
      </c>
      <c r="K2075">
        <f>[2]TongHop!K2075</f>
        <v>0</v>
      </c>
      <c r="L2075">
        <f>[2]TongHop!L2075</f>
        <v>0</v>
      </c>
      <c r="M2075">
        <f>[2]TongHop!M2075</f>
        <v>0</v>
      </c>
      <c r="N2075">
        <f>[2]TongHop!N2075</f>
        <v>0</v>
      </c>
    </row>
    <row r="2076" spans="1:14">
      <c r="A2076">
        <f>[2]TongHop!A2076</f>
        <v>0</v>
      </c>
      <c r="B2076">
        <f>[2]TongHop!B2076</f>
        <v>0</v>
      </c>
      <c r="C2076">
        <f>[2]TongHop!C2076</f>
        <v>0</v>
      </c>
      <c r="D2076">
        <f>[2]TongHop!D2076</f>
        <v>0</v>
      </c>
      <c r="E2076">
        <f>[2]TongHop!E2076</f>
        <v>0</v>
      </c>
      <c r="F2076">
        <f>[2]TongHop!F2076</f>
        <v>0</v>
      </c>
      <c r="G2076">
        <f>[2]TongHop!G2076</f>
        <v>0</v>
      </c>
      <c r="H2076">
        <f>[2]TongHop!H2076</f>
        <v>0</v>
      </c>
      <c r="I2076">
        <f>[2]TongHop!I2076</f>
        <v>0</v>
      </c>
      <c r="J2076">
        <f>[2]TongHop!J2076</f>
        <v>0</v>
      </c>
      <c r="K2076">
        <f>[2]TongHop!K2076</f>
        <v>0</v>
      </c>
      <c r="L2076">
        <f>[2]TongHop!L2076</f>
        <v>0</v>
      </c>
      <c r="M2076">
        <f>[2]TongHop!M2076</f>
        <v>0</v>
      </c>
      <c r="N2076">
        <f>[2]TongHop!N2076</f>
        <v>0</v>
      </c>
    </row>
    <row r="2077" spans="1:14">
      <c r="A2077">
        <f>[2]TongHop!A2077</f>
        <v>0</v>
      </c>
      <c r="B2077">
        <f>[2]TongHop!B2077</f>
        <v>0</v>
      </c>
      <c r="C2077">
        <f>[2]TongHop!C2077</f>
        <v>0</v>
      </c>
      <c r="D2077">
        <f>[2]TongHop!D2077</f>
        <v>0</v>
      </c>
      <c r="E2077">
        <f>[2]TongHop!E2077</f>
        <v>0</v>
      </c>
      <c r="F2077">
        <f>[2]TongHop!F2077</f>
        <v>0</v>
      </c>
      <c r="G2077">
        <f>[2]TongHop!G2077</f>
        <v>0</v>
      </c>
      <c r="H2077">
        <f>[2]TongHop!H2077</f>
        <v>0</v>
      </c>
      <c r="I2077">
        <f>[2]TongHop!I2077</f>
        <v>0</v>
      </c>
      <c r="J2077">
        <f>[2]TongHop!J2077</f>
        <v>0</v>
      </c>
      <c r="K2077">
        <f>[2]TongHop!K2077</f>
        <v>0</v>
      </c>
      <c r="L2077">
        <f>[2]TongHop!L2077</f>
        <v>0</v>
      </c>
      <c r="M2077">
        <f>[2]TongHop!M2077</f>
        <v>0</v>
      </c>
      <c r="N2077">
        <f>[2]TongHop!N2077</f>
        <v>0</v>
      </c>
    </row>
    <row r="2078" spans="1:14">
      <c r="A2078">
        <f>[2]TongHop!A2078</f>
        <v>0</v>
      </c>
      <c r="B2078">
        <f>[2]TongHop!B2078</f>
        <v>0</v>
      </c>
      <c r="C2078">
        <f>[2]TongHop!C2078</f>
        <v>0</v>
      </c>
      <c r="D2078">
        <f>[2]TongHop!D2078</f>
        <v>0</v>
      </c>
      <c r="E2078">
        <f>[2]TongHop!E2078</f>
        <v>0</v>
      </c>
      <c r="F2078">
        <f>[2]TongHop!F2078</f>
        <v>0</v>
      </c>
      <c r="G2078">
        <f>[2]TongHop!G2078</f>
        <v>0</v>
      </c>
      <c r="H2078">
        <f>[2]TongHop!H2078</f>
        <v>0</v>
      </c>
      <c r="I2078">
        <f>[2]TongHop!I2078</f>
        <v>0</v>
      </c>
      <c r="J2078">
        <f>[2]TongHop!J2078</f>
        <v>0</v>
      </c>
      <c r="K2078">
        <f>[2]TongHop!K2078</f>
        <v>0</v>
      </c>
      <c r="L2078">
        <f>[2]TongHop!L2078</f>
        <v>0</v>
      </c>
      <c r="M2078">
        <f>[2]TongHop!M2078</f>
        <v>0</v>
      </c>
      <c r="N2078">
        <f>[2]TongHop!N2078</f>
        <v>0</v>
      </c>
    </row>
    <row r="2079" spans="1:14">
      <c r="A2079">
        <f>[2]TongHop!A2079</f>
        <v>0</v>
      </c>
      <c r="B2079">
        <f>[2]TongHop!B2079</f>
        <v>0</v>
      </c>
      <c r="C2079">
        <f>[2]TongHop!C2079</f>
        <v>0</v>
      </c>
      <c r="D2079">
        <f>[2]TongHop!D2079</f>
        <v>0</v>
      </c>
      <c r="E2079">
        <f>[2]TongHop!E2079</f>
        <v>0</v>
      </c>
      <c r="F2079">
        <f>[2]TongHop!F2079</f>
        <v>0</v>
      </c>
      <c r="G2079">
        <f>[2]TongHop!G2079</f>
        <v>0</v>
      </c>
      <c r="H2079">
        <f>[2]TongHop!H2079</f>
        <v>0</v>
      </c>
      <c r="I2079">
        <f>[2]TongHop!I2079</f>
        <v>0</v>
      </c>
      <c r="J2079">
        <f>[2]TongHop!J2079</f>
        <v>0</v>
      </c>
      <c r="K2079">
        <f>[2]TongHop!K2079</f>
        <v>0</v>
      </c>
      <c r="L2079">
        <f>[2]TongHop!L2079</f>
        <v>0</v>
      </c>
      <c r="M2079">
        <f>[2]TongHop!M2079</f>
        <v>0</v>
      </c>
      <c r="N2079">
        <f>[2]TongHop!N2079</f>
        <v>0</v>
      </c>
    </row>
    <row r="2080" spans="1:14">
      <c r="A2080">
        <f>[2]TongHop!A2080</f>
        <v>0</v>
      </c>
      <c r="B2080">
        <f>[2]TongHop!B2080</f>
        <v>0</v>
      </c>
      <c r="C2080">
        <f>[2]TongHop!C2080</f>
        <v>0</v>
      </c>
      <c r="D2080">
        <f>[2]TongHop!D2080</f>
        <v>0</v>
      </c>
      <c r="E2080">
        <f>[2]TongHop!E2080</f>
        <v>0</v>
      </c>
      <c r="F2080">
        <f>[2]TongHop!F2080</f>
        <v>0</v>
      </c>
      <c r="G2080">
        <f>[2]TongHop!G2080</f>
        <v>0</v>
      </c>
      <c r="H2080">
        <f>[2]TongHop!H2080</f>
        <v>0</v>
      </c>
      <c r="I2080">
        <f>[2]TongHop!I2080</f>
        <v>0</v>
      </c>
      <c r="J2080">
        <f>[2]TongHop!J2080</f>
        <v>0</v>
      </c>
      <c r="K2080">
        <f>[2]TongHop!K2080</f>
        <v>0</v>
      </c>
      <c r="L2080">
        <f>[2]TongHop!L2080</f>
        <v>0</v>
      </c>
      <c r="M2080">
        <f>[2]TongHop!M2080</f>
        <v>0</v>
      </c>
      <c r="N2080">
        <f>[2]TongHop!N2080</f>
        <v>0</v>
      </c>
    </row>
    <row r="2081" spans="1:14">
      <c r="A2081">
        <f>[2]TongHop!A2081</f>
        <v>0</v>
      </c>
      <c r="B2081">
        <f>[2]TongHop!B2081</f>
        <v>0</v>
      </c>
      <c r="C2081">
        <f>[2]TongHop!C2081</f>
        <v>0</v>
      </c>
      <c r="D2081">
        <f>[2]TongHop!D2081</f>
        <v>0</v>
      </c>
      <c r="E2081">
        <f>[2]TongHop!E2081</f>
        <v>0</v>
      </c>
      <c r="F2081">
        <f>[2]TongHop!F2081</f>
        <v>0</v>
      </c>
      <c r="G2081">
        <f>[2]TongHop!G2081</f>
        <v>0</v>
      </c>
      <c r="H2081">
        <f>[2]TongHop!H2081</f>
        <v>0</v>
      </c>
      <c r="I2081">
        <f>[2]TongHop!I2081</f>
        <v>0</v>
      </c>
      <c r="J2081">
        <f>[2]TongHop!J2081</f>
        <v>0</v>
      </c>
      <c r="K2081">
        <f>[2]TongHop!K2081</f>
        <v>0</v>
      </c>
      <c r="L2081">
        <f>[2]TongHop!L2081</f>
        <v>0</v>
      </c>
      <c r="M2081">
        <f>[2]TongHop!M2081</f>
        <v>0</v>
      </c>
      <c r="N2081">
        <f>[2]TongHop!N2081</f>
        <v>0</v>
      </c>
    </row>
    <row r="2082" spans="1:14">
      <c r="A2082">
        <f>[2]TongHop!A2082</f>
        <v>0</v>
      </c>
      <c r="B2082">
        <f>[2]TongHop!B2082</f>
        <v>0</v>
      </c>
      <c r="C2082">
        <f>[2]TongHop!C2082</f>
        <v>0</v>
      </c>
      <c r="D2082">
        <f>[2]TongHop!D2082</f>
        <v>0</v>
      </c>
      <c r="E2082">
        <f>[2]TongHop!E2082</f>
        <v>0</v>
      </c>
      <c r="F2082">
        <f>[2]TongHop!F2082</f>
        <v>0</v>
      </c>
      <c r="G2082">
        <f>[2]TongHop!G2082</f>
        <v>0</v>
      </c>
      <c r="H2082">
        <f>[2]TongHop!H2082</f>
        <v>0</v>
      </c>
      <c r="I2082">
        <f>[2]TongHop!I2082</f>
        <v>0</v>
      </c>
      <c r="J2082">
        <f>[2]TongHop!J2082</f>
        <v>0</v>
      </c>
      <c r="K2082">
        <f>[2]TongHop!K2082</f>
        <v>0</v>
      </c>
      <c r="L2082">
        <f>[2]TongHop!L2082</f>
        <v>0</v>
      </c>
      <c r="M2082">
        <f>[2]TongHop!M2082</f>
        <v>0</v>
      </c>
      <c r="N2082">
        <f>[2]TongHop!N2082</f>
        <v>0</v>
      </c>
    </row>
    <row r="2083" spans="1:14">
      <c r="A2083">
        <f>[2]TongHop!A2083</f>
        <v>0</v>
      </c>
      <c r="B2083">
        <f>[2]TongHop!B2083</f>
        <v>0</v>
      </c>
      <c r="C2083">
        <f>[2]TongHop!C2083</f>
        <v>0</v>
      </c>
      <c r="D2083">
        <f>[2]TongHop!D2083</f>
        <v>0</v>
      </c>
      <c r="E2083">
        <f>[2]TongHop!E2083</f>
        <v>0</v>
      </c>
      <c r="F2083">
        <f>[2]TongHop!F2083</f>
        <v>0</v>
      </c>
      <c r="G2083">
        <f>[2]TongHop!G2083</f>
        <v>0</v>
      </c>
      <c r="H2083">
        <f>[2]TongHop!H2083</f>
        <v>0</v>
      </c>
      <c r="I2083">
        <f>[2]TongHop!I2083</f>
        <v>0</v>
      </c>
      <c r="J2083">
        <f>[2]TongHop!J2083</f>
        <v>0</v>
      </c>
      <c r="K2083">
        <f>[2]TongHop!K2083</f>
        <v>0</v>
      </c>
      <c r="L2083">
        <f>[2]TongHop!L2083</f>
        <v>0</v>
      </c>
      <c r="M2083">
        <f>[2]TongHop!M2083</f>
        <v>0</v>
      </c>
      <c r="N2083">
        <f>[2]TongHop!N2083</f>
        <v>0</v>
      </c>
    </row>
    <row r="2084" spans="1:14">
      <c r="A2084">
        <f>[2]TongHop!A2084</f>
        <v>0</v>
      </c>
      <c r="B2084">
        <f>[2]TongHop!B2084</f>
        <v>0</v>
      </c>
      <c r="C2084">
        <f>[2]TongHop!C2084</f>
        <v>0</v>
      </c>
      <c r="D2084">
        <f>[2]TongHop!D2084</f>
        <v>0</v>
      </c>
      <c r="E2084">
        <f>[2]TongHop!E2084</f>
        <v>0</v>
      </c>
      <c r="F2084">
        <f>[2]TongHop!F2084</f>
        <v>0</v>
      </c>
      <c r="G2084">
        <f>[2]TongHop!G2084</f>
        <v>0</v>
      </c>
      <c r="H2084">
        <f>[2]TongHop!H2084</f>
        <v>0</v>
      </c>
      <c r="I2084">
        <f>[2]TongHop!I2084</f>
        <v>0</v>
      </c>
      <c r="J2084">
        <f>[2]TongHop!J2084</f>
        <v>0</v>
      </c>
      <c r="K2084">
        <f>[2]TongHop!K2084</f>
        <v>0</v>
      </c>
      <c r="L2084">
        <f>[2]TongHop!L2084</f>
        <v>0</v>
      </c>
      <c r="M2084">
        <f>[2]TongHop!M2084</f>
        <v>0</v>
      </c>
      <c r="N2084">
        <f>[2]TongHop!N2084</f>
        <v>0</v>
      </c>
    </row>
    <row r="2085" spans="1:14">
      <c r="A2085">
        <f>[2]TongHop!A2085</f>
        <v>0</v>
      </c>
      <c r="B2085">
        <f>[2]TongHop!B2085</f>
        <v>0</v>
      </c>
      <c r="C2085">
        <f>[2]TongHop!C2085</f>
        <v>0</v>
      </c>
      <c r="D2085">
        <f>[2]TongHop!D2085</f>
        <v>0</v>
      </c>
      <c r="E2085">
        <f>[2]TongHop!E2085</f>
        <v>0</v>
      </c>
      <c r="F2085">
        <f>[2]TongHop!F2085</f>
        <v>0</v>
      </c>
      <c r="G2085">
        <f>[2]TongHop!G2085</f>
        <v>0</v>
      </c>
      <c r="H2085">
        <f>[2]TongHop!H2085</f>
        <v>0</v>
      </c>
      <c r="I2085">
        <f>[2]TongHop!I2085</f>
        <v>0</v>
      </c>
      <c r="J2085">
        <f>[2]TongHop!J2085</f>
        <v>0</v>
      </c>
      <c r="K2085">
        <f>[2]TongHop!K2085</f>
        <v>0</v>
      </c>
      <c r="L2085">
        <f>[2]TongHop!L2085</f>
        <v>0</v>
      </c>
      <c r="M2085">
        <f>[2]TongHop!M2085</f>
        <v>0</v>
      </c>
      <c r="N2085">
        <f>[2]TongHop!N2085</f>
        <v>0</v>
      </c>
    </row>
    <row r="2086" spans="1:14">
      <c r="A2086">
        <f>[2]TongHop!A2086</f>
        <v>0</v>
      </c>
      <c r="B2086">
        <f>[2]TongHop!B2086</f>
        <v>0</v>
      </c>
      <c r="C2086">
        <f>[2]TongHop!C2086</f>
        <v>0</v>
      </c>
      <c r="D2086">
        <f>[2]TongHop!D2086</f>
        <v>0</v>
      </c>
      <c r="E2086">
        <f>[2]TongHop!E2086</f>
        <v>0</v>
      </c>
      <c r="F2086">
        <f>[2]TongHop!F2086</f>
        <v>0</v>
      </c>
      <c r="G2086">
        <f>[2]TongHop!G2086</f>
        <v>0</v>
      </c>
      <c r="H2086">
        <f>[2]TongHop!H2086</f>
        <v>0</v>
      </c>
      <c r="I2086">
        <f>[2]TongHop!I2086</f>
        <v>0</v>
      </c>
      <c r="J2086">
        <f>[2]TongHop!J2086</f>
        <v>0</v>
      </c>
      <c r="K2086">
        <f>[2]TongHop!K2086</f>
        <v>0</v>
      </c>
      <c r="L2086">
        <f>[2]TongHop!L2086</f>
        <v>0</v>
      </c>
      <c r="M2086">
        <f>[2]TongHop!M2086</f>
        <v>0</v>
      </c>
      <c r="N2086">
        <f>[2]TongHop!N2086</f>
        <v>0</v>
      </c>
    </row>
    <row r="2087" spans="1:14">
      <c r="A2087">
        <f>[2]TongHop!A2087</f>
        <v>0</v>
      </c>
      <c r="B2087">
        <f>[2]TongHop!B2087</f>
        <v>0</v>
      </c>
      <c r="C2087">
        <f>[2]TongHop!C2087</f>
        <v>0</v>
      </c>
      <c r="D2087">
        <f>[2]TongHop!D2087</f>
        <v>0</v>
      </c>
      <c r="E2087">
        <f>[2]TongHop!E2087</f>
        <v>0</v>
      </c>
      <c r="F2087">
        <f>[2]TongHop!F2087</f>
        <v>0</v>
      </c>
      <c r="G2087">
        <f>[2]TongHop!G2087</f>
        <v>0</v>
      </c>
      <c r="H2087">
        <f>[2]TongHop!H2087</f>
        <v>0</v>
      </c>
      <c r="I2087">
        <f>[2]TongHop!I2087</f>
        <v>0</v>
      </c>
      <c r="J2087">
        <f>[2]TongHop!J2087</f>
        <v>0</v>
      </c>
      <c r="K2087">
        <f>[2]TongHop!K2087</f>
        <v>0</v>
      </c>
      <c r="L2087">
        <f>[2]TongHop!L2087</f>
        <v>0</v>
      </c>
      <c r="M2087">
        <f>[2]TongHop!M2087</f>
        <v>0</v>
      </c>
      <c r="N2087">
        <f>[2]TongHop!N2087</f>
        <v>0</v>
      </c>
    </row>
    <row r="2088" spans="1:14">
      <c r="A2088">
        <f>[2]TongHop!A2088</f>
        <v>0</v>
      </c>
      <c r="B2088">
        <f>[2]TongHop!B2088</f>
        <v>0</v>
      </c>
      <c r="C2088">
        <f>[2]TongHop!C2088</f>
        <v>0</v>
      </c>
      <c r="D2088">
        <f>[2]TongHop!D2088</f>
        <v>0</v>
      </c>
      <c r="E2088">
        <f>[2]TongHop!E2088</f>
        <v>0</v>
      </c>
      <c r="F2088">
        <f>[2]TongHop!F2088</f>
        <v>0</v>
      </c>
      <c r="G2088">
        <f>[2]TongHop!G2088</f>
        <v>0</v>
      </c>
      <c r="H2088">
        <f>[2]TongHop!H2088</f>
        <v>0</v>
      </c>
      <c r="I2088">
        <f>[2]TongHop!I2088</f>
        <v>0</v>
      </c>
      <c r="J2088">
        <f>[2]TongHop!J2088</f>
        <v>0</v>
      </c>
      <c r="K2088">
        <f>[2]TongHop!K2088</f>
        <v>0</v>
      </c>
      <c r="L2088">
        <f>[2]TongHop!L2088</f>
        <v>0</v>
      </c>
      <c r="M2088">
        <f>[2]TongHop!M2088</f>
        <v>0</v>
      </c>
      <c r="N2088">
        <f>[2]TongHop!N2088</f>
        <v>0</v>
      </c>
    </row>
    <row r="2089" spans="1:14">
      <c r="A2089">
        <f>[2]TongHop!A2089</f>
        <v>0</v>
      </c>
      <c r="B2089">
        <f>[2]TongHop!B2089</f>
        <v>0</v>
      </c>
      <c r="C2089">
        <f>[2]TongHop!C2089</f>
        <v>0</v>
      </c>
      <c r="D2089">
        <f>[2]TongHop!D2089</f>
        <v>0</v>
      </c>
      <c r="E2089">
        <f>[2]TongHop!E2089</f>
        <v>0</v>
      </c>
      <c r="F2089">
        <f>[2]TongHop!F2089</f>
        <v>0</v>
      </c>
      <c r="G2089">
        <f>[2]TongHop!G2089</f>
        <v>0</v>
      </c>
      <c r="H2089">
        <f>[2]TongHop!H2089</f>
        <v>0</v>
      </c>
      <c r="I2089">
        <f>[2]TongHop!I2089</f>
        <v>0</v>
      </c>
      <c r="J2089">
        <f>[2]TongHop!J2089</f>
        <v>0</v>
      </c>
      <c r="K2089">
        <f>[2]TongHop!K2089</f>
        <v>0</v>
      </c>
      <c r="L2089">
        <f>[2]TongHop!L2089</f>
        <v>0</v>
      </c>
      <c r="M2089">
        <f>[2]TongHop!M2089</f>
        <v>0</v>
      </c>
      <c r="N2089">
        <f>[2]TongHop!N2089</f>
        <v>0</v>
      </c>
    </row>
    <row r="2090" spans="1:14">
      <c r="A2090">
        <f>[2]TongHop!A2090</f>
        <v>0</v>
      </c>
      <c r="B2090">
        <f>[2]TongHop!B2090</f>
        <v>0</v>
      </c>
      <c r="C2090">
        <f>[2]TongHop!C2090</f>
        <v>0</v>
      </c>
      <c r="D2090">
        <f>[2]TongHop!D2090</f>
        <v>0</v>
      </c>
      <c r="E2090">
        <f>[2]TongHop!E2090</f>
        <v>0</v>
      </c>
      <c r="F2090">
        <f>[2]TongHop!F2090</f>
        <v>0</v>
      </c>
      <c r="G2090">
        <f>[2]TongHop!G2090</f>
        <v>0</v>
      </c>
      <c r="H2090">
        <f>[2]TongHop!H2090</f>
        <v>0</v>
      </c>
      <c r="I2090">
        <f>[2]TongHop!I2090</f>
        <v>0</v>
      </c>
      <c r="J2090">
        <f>[2]TongHop!J2090</f>
        <v>0</v>
      </c>
      <c r="K2090">
        <f>[2]TongHop!K2090</f>
        <v>0</v>
      </c>
      <c r="L2090">
        <f>[2]TongHop!L2090</f>
        <v>0</v>
      </c>
      <c r="M2090">
        <f>[2]TongHop!M2090</f>
        <v>0</v>
      </c>
      <c r="N2090">
        <f>[2]TongHop!N2090</f>
        <v>0</v>
      </c>
    </row>
    <row r="2091" spans="1:14">
      <c r="A2091">
        <f>[2]TongHop!A2091</f>
        <v>0</v>
      </c>
      <c r="B2091">
        <f>[2]TongHop!B2091</f>
        <v>0</v>
      </c>
      <c r="C2091">
        <f>[2]TongHop!C2091</f>
        <v>0</v>
      </c>
      <c r="D2091">
        <f>[2]TongHop!D2091</f>
        <v>0</v>
      </c>
      <c r="E2091">
        <f>[2]TongHop!E2091</f>
        <v>0</v>
      </c>
      <c r="F2091">
        <f>[2]TongHop!F2091</f>
        <v>0</v>
      </c>
      <c r="G2091">
        <f>[2]TongHop!G2091</f>
        <v>0</v>
      </c>
      <c r="H2091">
        <f>[2]TongHop!H2091</f>
        <v>0</v>
      </c>
      <c r="I2091">
        <f>[2]TongHop!I2091</f>
        <v>0</v>
      </c>
      <c r="J2091">
        <f>[2]TongHop!J2091</f>
        <v>0</v>
      </c>
      <c r="K2091">
        <f>[2]TongHop!K2091</f>
        <v>0</v>
      </c>
      <c r="L2091">
        <f>[2]TongHop!L2091</f>
        <v>0</v>
      </c>
      <c r="M2091">
        <f>[2]TongHop!M2091</f>
        <v>0</v>
      </c>
      <c r="N2091">
        <f>[2]TongHop!N2091</f>
        <v>0</v>
      </c>
    </row>
    <row r="2092" spans="1:14">
      <c r="A2092">
        <f>[2]TongHop!A2092</f>
        <v>0</v>
      </c>
      <c r="B2092">
        <f>[2]TongHop!B2092</f>
        <v>0</v>
      </c>
      <c r="C2092">
        <f>[2]TongHop!C2092</f>
        <v>0</v>
      </c>
      <c r="D2092">
        <f>[2]TongHop!D2092</f>
        <v>0</v>
      </c>
      <c r="E2092">
        <f>[2]TongHop!E2092</f>
        <v>0</v>
      </c>
      <c r="F2092">
        <f>[2]TongHop!F2092</f>
        <v>0</v>
      </c>
      <c r="G2092">
        <f>[2]TongHop!G2092</f>
        <v>0</v>
      </c>
      <c r="H2092">
        <f>[2]TongHop!H2092</f>
        <v>0</v>
      </c>
      <c r="I2092">
        <f>[2]TongHop!I2092</f>
        <v>0</v>
      </c>
      <c r="J2092">
        <f>[2]TongHop!J2092</f>
        <v>0</v>
      </c>
      <c r="K2092">
        <f>[2]TongHop!K2092</f>
        <v>0</v>
      </c>
      <c r="L2092">
        <f>[2]TongHop!L2092</f>
        <v>0</v>
      </c>
      <c r="M2092">
        <f>[2]TongHop!M2092</f>
        <v>0</v>
      </c>
      <c r="N2092">
        <f>[2]TongHop!N2092</f>
        <v>0</v>
      </c>
    </row>
    <row r="2093" spans="1:14">
      <c r="A2093">
        <f>[2]TongHop!A2093</f>
        <v>0</v>
      </c>
      <c r="B2093">
        <f>[2]TongHop!B2093</f>
        <v>0</v>
      </c>
      <c r="C2093">
        <f>[2]TongHop!C2093</f>
        <v>0</v>
      </c>
      <c r="D2093">
        <f>[2]TongHop!D2093</f>
        <v>0</v>
      </c>
      <c r="E2093">
        <f>[2]TongHop!E2093</f>
        <v>0</v>
      </c>
      <c r="F2093">
        <f>[2]TongHop!F2093</f>
        <v>0</v>
      </c>
      <c r="G2093">
        <f>[2]TongHop!G2093</f>
        <v>0</v>
      </c>
      <c r="H2093">
        <f>[2]TongHop!H2093</f>
        <v>0</v>
      </c>
      <c r="I2093">
        <f>[2]TongHop!I2093</f>
        <v>0</v>
      </c>
      <c r="J2093">
        <f>[2]TongHop!J2093</f>
        <v>0</v>
      </c>
      <c r="K2093">
        <f>[2]TongHop!K2093</f>
        <v>0</v>
      </c>
      <c r="L2093">
        <f>[2]TongHop!L2093</f>
        <v>0</v>
      </c>
      <c r="M2093">
        <f>[2]TongHop!M2093</f>
        <v>0</v>
      </c>
      <c r="N2093">
        <f>[2]TongHop!N2093</f>
        <v>0</v>
      </c>
    </row>
    <row r="2094" spans="1:14">
      <c r="A2094">
        <f>[2]TongHop!A2094</f>
        <v>0</v>
      </c>
      <c r="B2094">
        <f>[2]TongHop!B2094</f>
        <v>0</v>
      </c>
      <c r="C2094">
        <f>[2]TongHop!C2094</f>
        <v>0</v>
      </c>
      <c r="D2094">
        <f>[2]TongHop!D2094</f>
        <v>0</v>
      </c>
      <c r="E2094">
        <f>[2]TongHop!E2094</f>
        <v>0</v>
      </c>
      <c r="F2094">
        <f>[2]TongHop!F2094</f>
        <v>0</v>
      </c>
      <c r="G2094">
        <f>[2]TongHop!G2094</f>
        <v>0</v>
      </c>
      <c r="H2094">
        <f>[2]TongHop!H2094</f>
        <v>0</v>
      </c>
      <c r="I2094">
        <f>[2]TongHop!I2094</f>
        <v>0</v>
      </c>
      <c r="J2094">
        <f>[2]TongHop!J2094</f>
        <v>0</v>
      </c>
      <c r="K2094">
        <f>[2]TongHop!K2094</f>
        <v>0</v>
      </c>
      <c r="L2094">
        <f>[2]TongHop!L2094</f>
        <v>0</v>
      </c>
      <c r="M2094">
        <f>[2]TongHop!M2094</f>
        <v>0</v>
      </c>
      <c r="N2094">
        <f>[2]TongHop!N2094</f>
        <v>0</v>
      </c>
    </row>
    <row r="2095" spans="1:14">
      <c r="A2095">
        <f>[2]TongHop!A2095</f>
        <v>0</v>
      </c>
      <c r="B2095">
        <f>[2]TongHop!B2095</f>
        <v>0</v>
      </c>
      <c r="C2095">
        <f>[2]TongHop!C2095</f>
        <v>0</v>
      </c>
      <c r="D2095">
        <f>[2]TongHop!D2095</f>
        <v>0</v>
      </c>
      <c r="E2095">
        <f>[2]TongHop!E2095</f>
        <v>0</v>
      </c>
      <c r="F2095">
        <f>[2]TongHop!F2095</f>
        <v>0</v>
      </c>
      <c r="G2095">
        <f>[2]TongHop!G2095</f>
        <v>0</v>
      </c>
      <c r="H2095">
        <f>[2]TongHop!H2095</f>
        <v>0</v>
      </c>
      <c r="I2095">
        <f>[2]TongHop!I2095</f>
        <v>0</v>
      </c>
      <c r="J2095">
        <f>[2]TongHop!J2095</f>
        <v>0</v>
      </c>
      <c r="K2095">
        <f>[2]TongHop!K2095</f>
        <v>0</v>
      </c>
      <c r="L2095">
        <f>[2]TongHop!L2095</f>
        <v>0</v>
      </c>
      <c r="M2095">
        <f>[2]TongHop!M2095</f>
        <v>0</v>
      </c>
      <c r="N2095">
        <f>[2]TongHop!N2095</f>
        <v>0</v>
      </c>
    </row>
    <row r="2096" spans="1:14">
      <c r="A2096">
        <f>[2]TongHop!A2096</f>
        <v>0</v>
      </c>
      <c r="B2096">
        <f>[2]TongHop!B2096</f>
        <v>0</v>
      </c>
      <c r="C2096">
        <f>[2]TongHop!C2096</f>
        <v>0</v>
      </c>
      <c r="D2096">
        <f>[2]TongHop!D2096</f>
        <v>0</v>
      </c>
      <c r="E2096">
        <f>[2]TongHop!E2096</f>
        <v>0</v>
      </c>
      <c r="F2096">
        <f>[2]TongHop!F2096</f>
        <v>0</v>
      </c>
      <c r="G2096">
        <f>[2]TongHop!G2096</f>
        <v>0</v>
      </c>
      <c r="H2096">
        <f>[2]TongHop!H2096</f>
        <v>0</v>
      </c>
      <c r="I2096">
        <f>[2]TongHop!I2096</f>
        <v>0</v>
      </c>
      <c r="J2096">
        <f>[2]TongHop!J2096</f>
        <v>0</v>
      </c>
      <c r="K2096">
        <f>[2]TongHop!K2096</f>
        <v>0</v>
      </c>
      <c r="L2096">
        <f>[2]TongHop!L2096</f>
        <v>0</v>
      </c>
      <c r="M2096">
        <f>[2]TongHop!M2096</f>
        <v>0</v>
      </c>
      <c r="N2096">
        <f>[2]TongHop!N2096</f>
        <v>0</v>
      </c>
    </row>
    <row r="2097" spans="1:14">
      <c r="A2097">
        <f>[2]TongHop!A2097</f>
        <v>0</v>
      </c>
      <c r="B2097">
        <f>[2]TongHop!B2097</f>
        <v>0</v>
      </c>
      <c r="C2097">
        <f>[2]TongHop!C2097</f>
        <v>0</v>
      </c>
      <c r="D2097">
        <f>[2]TongHop!D2097</f>
        <v>0</v>
      </c>
      <c r="E2097">
        <f>[2]TongHop!E2097</f>
        <v>0</v>
      </c>
      <c r="F2097">
        <f>[2]TongHop!F2097</f>
        <v>0</v>
      </c>
      <c r="G2097">
        <f>[2]TongHop!G2097</f>
        <v>0</v>
      </c>
      <c r="H2097">
        <f>[2]TongHop!H2097</f>
        <v>0</v>
      </c>
      <c r="I2097">
        <f>[2]TongHop!I2097</f>
        <v>0</v>
      </c>
      <c r="J2097">
        <f>[2]TongHop!J2097</f>
        <v>0</v>
      </c>
      <c r="K2097">
        <f>[2]TongHop!K2097</f>
        <v>0</v>
      </c>
      <c r="L2097">
        <f>[2]TongHop!L2097</f>
        <v>0</v>
      </c>
      <c r="M2097">
        <f>[2]TongHop!M2097</f>
        <v>0</v>
      </c>
      <c r="N2097">
        <f>[2]TongHop!N2097</f>
        <v>0</v>
      </c>
    </row>
    <row r="2098" spans="1:14">
      <c r="A2098">
        <f>[2]TongHop!A2098</f>
        <v>0</v>
      </c>
      <c r="B2098">
        <f>[2]TongHop!B2098</f>
        <v>0</v>
      </c>
      <c r="C2098">
        <f>[2]TongHop!C2098</f>
        <v>0</v>
      </c>
      <c r="D2098">
        <f>[2]TongHop!D2098</f>
        <v>0</v>
      </c>
      <c r="E2098">
        <f>[2]TongHop!E2098</f>
        <v>0</v>
      </c>
      <c r="F2098">
        <f>[2]TongHop!F2098</f>
        <v>0</v>
      </c>
      <c r="G2098">
        <f>[2]TongHop!G2098</f>
        <v>0</v>
      </c>
      <c r="H2098">
        <f>[2]TongHop!H2098</f>
        <v>0</v>
      </c>
      <c r="I2098">
        <f>[2]TongHop!I2098</f>
        <v>0</v>
      </c>
      <c r="J2098">
        <f>[2]TongHop!J2098</f>
        <v>0</v>
      </c>
      <c r="K2098">
        <f>[2]TongHop!K2098</f>
        <v>0</v>
      </c>
      <c r="L2098">
        <f>[2]TongHop!L2098</f>
        <v>0</v>
      </c>
      <c r="M2098">
        <f>[2]TongHop!M2098</f>
        <v>0</v>
      </c>
      <c r="N2098">
        <f>[2]TongHop!N2098</f>
        <v>0</v>
      </c>
    </row>
    <row r="2099" spans="1:14">
      <c r="A2099">
        <f>[2]TongHop!A2099</f>
        <v>0</v>
      </c>
      <c r="B2099">
        <f>[2]TongHop!B2099</f>
        <v>0</v>
      </c>
      <c r="C2099">
        <f>[2]TongHop!C2099</f>
        <v>0</v>
      </c>
      <c r="D2099">
        <f>[2]TongHop!D2099</f>
        <v>0</v>
      </c>
      <c r="E2099">
        <f>[2]TongHop!E2099</f>
        <v>0</v>
      </c>
      <c r="F2099">
        <f>[2]TongHop!F2099</f>
        <v>0</v>
      </c>
      <c r="G2099">
        <f>[2]TongHop!G2099</f>
        <v>0</v>
      </c>
      <c r="H2099">
        <f>[2]TongHop!H2099</f>
        <v>0</v>
      </c>
      <c r="I2099">
        <f>[2]TongHop!I2099</f>
        <v>0</v>
      </c>
      <c r="J2099">
        <f>[2]TongHop!J2099</f>
        <v>0</v>
      </c>
      <c r="K2099">
        <f>[2]TongHop!K2099</f>
        <v>0</v>
      </c>
      <c r="L2099">
        <f>[2]TongHop!L2099</f>
        <v>0</v>
      </c>
      <c r="M2099">
        <f>[2]TongHop!M2099</f>
        <v>0</v>
      </c>
      <c r="N2099">
        <f>[2]TongHop!N2099</f>
        <v>0</v>
      </c>
    </row>
    <row r="2100" spans="1:14">
      <c r="A2100">
        <f>[2]TongHop!A2100</f>
        <v>0</v>
      </c>
      <c r="B2100">
        <f>[2]TongHop!B2100</f>
        <v>0</v>
      </c>
      <c r="C2100">
        <f>[2]TongHop!C2100</f>
        <v>0</v>
      </c>
      <c r="D2100">
        <f>[2]TongHop!D2100</f>
        <v>0</v>
      </c>
      <c r="E2100">
        <f>[2]TongHop!E2100</f>
        <v>0</v>
      </c>
      <c r="F2100">
        <f>[2]TongHop!F2100</f>
        <v>0</v>
      </c>
      <c r="G2100">
        <f>[2]TongHop!G2100</f>
        <v>0</v>
      </c>
      <c r="H2100">
        <f>[2]TongHop!H2100</f>
        <v>0</v>
      </c>
      <c r="I2100">
        <f>[2]TongHop!I2100</f>
        <v>0</v>
      </c>
      <c r="J2100">
        <f>[2]TongHop!J2100</f>
        <v>0</v>
      </c>
      <c r="K2100">
        <f>[2]TongHop!K2100</f>
        <v>0</v>
      </c>
      <c r="L2100">
        <f>[2]TongHop!L2100</f>
        <v>0</v>
      </c>
      <c r="M2100">
        <f>[2]TongHop!M2100</f>
        <v>0</v>
      </c>
      <c r="N2100">
        <f>[2]TongHop!N2100</f>
        <v>0</v>
      </c>
    </row>
    <row r="2101" spans="1:14">
      <c r="A2101">
        <f>[2]TongHop!A2101</f>
        <v>0</v>
      </c>
      <c r="B2101">
        <f>[2]TongHop!B2101</f>
        <v>0</v>
      </c>
      <c r="C2101">
        <f>[2]TongHop!C2101</f>
        <v>0</v>
      </c>
      <c r="D2101">
        <f>[2]TongHop!D2101</f>
        <v>0</v>
      </c>
      <c r="E2101">
        <f>[2]TongHop!E2101</f>
        <v>0</v>
      </c>
      <c r="F2101">
        <f>[2]TongHop!F2101</f>
        <v>0</v>
      </c>
      <c r="G2101">
        <f>[2]TongHop!G2101</f>
        <v>0</v>
      </c>
      <c r="H2101">
        <f>[2]TongHop!H2101</f>
        <v>0</v>
      </c>
      <c r="I2101">
        <f>[2]TongHop!I2101</f>
        <v>0</v>
      </c>
      <c r="J2101">
        <f>[2]TongHop!J2101</f>
        <v>0</v>
      </c>
      <c r="K2101">
        <f>[2]TongHop!K2101</f>
        <v>0</v>
      </c>
      <c r="L2101">
        <f>[2]TongHop!L2101</f>
        <v>0</v>
      </c>
      <c r="M2101">
        <f>[2]TongHop!M2101</f>
        <v>0</v>
      </c>
      <c r="N2101">
        <f>[2]TongHop!N2101</f>
        <v>0</v>
      </c>
    </row>
    <row r="2102" spans="1:14">
      <c r="A2102">
        <f>[2]TongHop!A2102</f>
        <v>0</v>
      </c>
      <c r="B2102">
        <f>[2]TongHop!B2102</f>
        <v>0</v>
      </c>
      <c r="C2102">
        <f>[2]TongHop!C2102</f>
        <v>0</v>
      </c>
      <c r="D2102">
        <f>[2]TongHop!D2102</f>
        <v>0</v>
      </c>
      <c r="E2102">
        <f>[2]TongHop!E2102</f>
        <v>0</v>
      </c>
      <c r="F2102">
        <f>[2]TongHop!F2102</f>
        <v>0</v>
      </c>
      <c r="G2102">
        <f>[2]TongHop!G2102</f>
        <v>0</v>
      </c>
      <c r="H2102">
        <f>[2]TongHop!H2102</f>
        <v>0</v>
      </c>
      <c r="I2102">
        <f>[2]TongHop!I2102</f>
        <v>0</v>
      </c>
      <c r="J2102">
        <f>[2]TongHop!J2102</f>
        <v>0</v>
      </c>
      <c r="K2102">
        <f>[2]TongHop!K2102</f>
        <v>0</v>
      </c>
      <c r="L2102">
        <f>[2]TongHop!L2102</f>
        <v>0</v>
      </c>
      <c r="M2102">
        <f>[2]TongHop!M2102</f>
        <v>0</v>
      </c>
      <c r="N2102">
        <f>[2]TongHop!N2102</f>
        <v>0</v>
      </c>
    </row>
    <row r="2103" spans="1:14">
      <c r="A2103">
        <f>[2]TongHop!A2103</f>
        <v>0</v>
      </c>
      <c r="B2103">
        <f>[2]TongHop!B2103</f>
        <v>0</v>
      </c>
      <c r="C2103">
        <f>[2]TongHop!C2103</f>
        <v>0</v>
      </c>
      <c r="D2103">
        <f>[2]TongHop!D2103</f>
        <v>0</v>
      </c>
      <c r="E2103">
        <f>[2]TongHop!E2103</f>
        <v>0</v>
      </c>
      <c r="F2103">
        <f>[2]TongHop!F2103</f>
        <v>0</v>
      </c>
      <c r="G2103">
        <f>[2]TongHop!G2103</f>
        <v>0</v>
      </c>
      <c r="H2103">
        <f>[2]TongHop!H2103</f>
        <v>0</v>
      </c>
      <c r="I2103">
        <f>[2]TongHop!I2103</f>
        <v>0</v>
      </c>
      <c r="J2103">
        <f>[2]TongHop!J2103</f>
        <v>0</v>
      </c>
      <c r="K2103">
        <f>[2]TongHop!K2103</f>
        <v>0</v>
      </c>
      <c r="L2103">
        <f>[2]TongHop!L2103</f>
        <v>0</v>
      </c>
      <c r="M2103">
        <f>[2]TongHop!M2103</f>
        <v>0</v>
      </c>
      <c r="N2103">
        <f>[2]TongHop!N2103</f>
        <v>0</v>
      </c>
    </row>
    <row r="2104" spans="1:14">
      <c r="A2104">
        <f>[2]TongHop!A2104</f>
        <v>0</v>
      </c>
      <c r="B2104">
        <f>[2]TongHop!B2104</f>
        <v>0</v>
      </c>
      <c r="C2104">
        <f>[2]TongHop!C2104</f>
        <v>0</v>
      </c>
      <c r="D2104">
        <f>[2]TongHop!D2104</f>
        <v>0</v>
      </c>
      <c r="E2104">
        <f>[2]TongHop!E2104</f>
        <v>0</v>
      </c>
      <c r="F2104">
        <f>[2]TongHop!F2104</f>
        <v>0</v>
      </c>
      <c r="G2104">
        <f>[2]TongHop!G2104</f>
        <v>0</v>
      </c>
      <c r="H2104">
        <f>[2]TongHop!H2104</f>
        <v>0</v>
      </c>
      <c r="I2104">
        <f>[2]TongHop!I2104</f>
        <v>0</v>
      </c>
      <c r="J2104">
        <f>[2]TongHop!J2104</f>
        <v>0</v>
      </c>
      <c r="K2104">
        <f>[2]TongHop!K2104</f>
        <v>0</v>
      </c>
      <c r="L2104">
        <f>[2]TongHop!L2104</f>
        <v>0</v>
      </c>
      <c r="M2104">
        <f>[2]TongHop!M2104</f>
        <v>0</v>
      </c>
      <c r="N2104">
        <f>[2]TongHop!N2104</f>
        <v>0</v>
      </c>
    </row>
    <row r="2105" spans="1:14">
      <c r="A2105">
        <f>[2]TongHop!A2105</f>
        <v>0</v>
      </c>
      <c r="B2105">
        <f>[2]TongHop!B2105</f>
        <v>0</v>
      </c>
      <c r="C2105">
        <f>[2]TongHop!C2105</f>
        <v>0</v>
      </c>
      <c r="D2105">
        <f>[2]TongHop!D2105</f>
        <v>0</v>
      </c>
      <c r="E2105">
        <f>[2]TongHop!E2105</f>
        <v>0</v>
      </c>
      <c r="F2105">
        <f>[2]TongHop!F2105</f>
        <v>0</v>
      </c>
      <c r="G2105">
        <f>[2]TongHop!G2105</f>
        <v>0</v>
      </c>
      <c r="H2105">
        <f>[2]TongHop!H2105</f>
        <v>0</v>
      </c>
      <c r="I2105">
        <f>[2]TongHop!I2105</f>
        <v>0</v>
      </c>
      <c r="J2105">
        <f>[2]TongHop!J2105</f>
        <v>0</v>
      </c>
      <c r="K2105">
        <f>[2]TongHop!K2105</f>
        <v>0</v>
      </c>
      <c r="L2105">
        <f>[2]TongHop!L2105</f>
        <v>0</v>
      </c>
      <c r="M2105">
        <f>[2]TongHop!M2105</f>
        <v>0</v>
      </c>
      <c r="N2105">
        <f>[2]TongHop!N2105</f>
        <v>0</v>
      </c>
    </row>
    <row r="2106" spans="1:14">
      <c r="A2106">
        <f>[2]TongHop!A2106</f>
        <v>0</v>
      </c>
      <c r="B2106">
        <f>[2]TongHop!B2106</f>
        <v>0</v>
      </c>
      <c r="C2106">
        <f>[2]TongHop!C2106</f>
        <v>0</v>
      </c>
      <c r="D2106">
        <f>[2]TongHop!D2106</f>
        <v>0</v>
      </c>
      <c r="E2106">
        <f>[2]TongHop!E2106</f>
        <v>0</v>
      </c>
      <c r="F2106">
        <f>[2]TongHop!F2106</f>
        <v>0</v>
      </c>
      <c r="G2106">
        <f>[2]TongHop!G2106</f>
        <v>0</v>
      </c>
      <c r="H2106">
        <f>[2]TongHop!H2106</f>
        <v>0</v>
      </c>
      <c r="I2106">
        <f>[2]TongHop!I2106</f>
        <v>0</v>
      </c>
      <c r="J2106">
        <f>[2]TongHop!J2106</f>
        <v>0</v>
      </c>
      <c r="K2106">
        <f>[2]TongHop!K2106</f>
        <v>0</v>
      </c>
      <c r="L2106">
        <f>[2]TongHop!L2106</f>
        <v>0</v>
      </c>
      <c r="M2106">
        <f>[2]TongHop!M2106</f>
        <v>0</v>
      </c>
      <c r="N2106">
        <f>[2]TongHop!N2106</f>
        <v>0</v>
      </c>
    </row>
    <row r="2107" spans="1:14">
      <c r="A2107">
        <f>[2]TongHop!A2107</f>
        <v>0</v>
      </c>
      <c r="B2107">
        <f>[2]TongHop!B2107</f>
        <v>0</v>
      </c>
      <c r="C2107">
        <f>[2]TongHop!C2107</f>
        <v>0</v>
      </c>
      <c r="D2107">
        <f>[2]TongHop!D2107</f>
        <v>0</v>
      </c>
      <c r="E2107">
        <f>[2]TongHop!E2107</f>
        <v>0</v>
      </c>
      <c r="F2107">
        <f>[2]TongHop!F2107</f>
        <v>0</v>
      </c>
      <c r="G2107">
        <f>[2]TongHop!G2107</f>
        <v>0</v>
      </c>
      <c r="H2107">
        <f>[2]TongHop!H2107</f>
        <v>0</v>
      </c>
      <c r="I2107">
        <f>[2]TongHop!I2107</f>
        <v>0</v>
      </c>
      <c r="J2107">
        <f>[2]TongHop!J2107</f>
        <v>0</v>
      </c>
      <c r="K2107">
        <f>[2]TongHop!K2107</f>
        <v>0</v>
      </c>
      <c r="L2107">
        <f>[2]TongHop!L2107</f>
        <v>0</v>
      </c>
      <c r="M2107">
        <f>[2]TongHop!M2107</f>
        <v>0</v>
      </c>
      <c r="N2107">
        <f>[2]TongHop!N2107</f>
        <v>0</v>
      </c>
    </row>
    <row r="2108" spans="1:14">
      <c r="A2108">
        <f>[2]TongHop!A2108</f>
        <v>0</v>
      </c>
      <c r="B2108">
        <f>[2]TongHop!B2108</f>
        <v>0</v>
      </c>
      <c r="C2108">
        <f>[2]TongHop!C2108</f>
        <v>0</v>
      </c>
      <c r="D2108">
        <f>[2]TongHop!D2108</f>
        <v>0</v>
      </c>
      <c r="E2108">
        <f>[2]TongHop!E2108</f>
        <v>0</v>
      </c>
      <c r="F2108">
        <f>[2]TongHop!F2108</f>
        <v>0</v>
      </c>
      <c r="G2108">
        <f>[2]TongHop!G2108</f>
        <v>0</v>
      </c>
      <c r="H2108">
        <f>[2]TongHop!H2108</f>
        <v>0</v>
      </c>
      <c r="I2108">
        <f>[2]TongHop!I2108</f>
        <v>0</v>
      </c>
      <c r="J2108">
        <f>[2]TongHop!J2108</f>
        <v>0</v>
      </c>
      <c r="K2108">
        <f>[2]TongHop!K2108</f>
        <v>0</v>
      </c>
      <c r="L2108">
        <f>[2]TongHop!L2108</f>
        <v>0</v>
      </c>
      <c r="M2108">
        <f>[2]TongHop!M2108</f>
        <v>0</v>
      </c>
      <c r="N2108">
        <f>[2]TongHop!N2108</f>
        <v>0</v>
      </c>
    </row>
    <row r="2109" spans="1:14">
      <c r="A2109">
        <f>[2]TongHop!A2109</f>
        <v>0</v>
      </c>
      <c r="B2109">
        <f>[2]TongHop!B2109</f>
        <v>0</v>
      </c>
      <c r="C2109">
        <f>[2]TongHop!C2109</f>
        <v>0</v>
      </c>
      <c r="D2109">
        <f>[2]TongHop!D2109</f>
        <v>0</v>
      </c>
      <c r="E2109">
        <f>[2]TongHop!E2109</f>
        <v>0</v>
      </c>
      <c r="F2109">
        <f>[2]TongHop!F2109</f>
        <v>0</v>
      </c>
      <c r="G2109">
        <f>[2]TongHop!G2109</f>
        <v>0</v>
      </c>
      <c r="H2109">
        <f>[2]TongHop!H2109</f>
        <v>0</v>
      </c>
      <c r="I2109">
        <f>[2]TongHop!I2109</f>
        <v>0</v>
      </c>
      <c r="J2109">
        <f>[2]TongHop!J2109</f>
        <v>0</v>
      </c>
      <c r="K2109">
        <f>[2]TongHop!K2109</f>
        <v>0</v>
      </c>
      <c r="L2109">
        <f>[2]TongHop!L2109</f>
        <v>0</v>
      </c>
      <c r="M2109">
        <f>[2]TongHop!M2109</f>
        <v>0</v>
      </c>
      <c r="N2109">
        <f>[2]TongHop!N2109</f>
        <v>0</v>
      </c>
    </row>
    <row r="2110" spans="1:14">
      <c r="A2110">
        <f>[2]TongHop!A2110</f>
        <v>0</v>
      </c>
      <c r="B2110">
        <f>[2]TongHop!B2110</f>
        <v>0</v>
      </c>
      <c r="C2110">
        <f>[2]TongHop!C2110</f>
        <v>0</v>
      </c>
      <c r="D2110">
        <f>[2]TongHop!D2110</f>
        <v>0</v>
      </c>
      <c r="E2110">
        <f>[2]TongHop!E2110</f>
        <v>0</v>
      </c>
      <c r="F2110">
        <f>[2]TongHop!F2110</f>
        <v>0</v>
      </c>
      <c r="G2110">
        <f>[2]TongHop!G2110</f>
        <v>0</v>
      </c>
      <c r="H2110">
        <f>[2]TongHop!H2110</f>
        <v>0</v>
      </c>
      <c r="I2110">
        <f>[2]TongHop!I2110</f>
        <v>0</v>
      </c>
      <c r="J2110">
        <f>[2]TongHop!J2110</f>
        <v>0</v>
      </c>
      <c r="K2110">
        <f>[2]TongHop!K2110</f>
        <v>0</v>
      </c>
      <c r="L2110">
        <f>[2]TongHop!L2110</f>
        <v>0</v>
      </c>
      <c r="M2110">
        <f>[2]TongHop!M2110</f>
        <v>0</v>
      </c>
      <c r="N2110">
        <f>[2]TongHop!N2110</f>
        <v>0</v>
      </c>
    </row>
    <row r="2111" spans="1:14">
      <c r="A2111">
        <f>[2]TongHop!A2111</f>
        <v>0</v>
      </c>
      <c r="B2111">
        <f>[2]TongHop!B2111</f>
        <v>0</v>
      </c>
      <c r="C2111">
        <f>[2]TongHop!C2111</f>
        <v>0</v>
      </c>
      <c r="D2111">
        <f>[2]TongHop!D2111</f>
        <v>0</v>
      </c>
      <c r="E2111">
        <f>[2]TongHop!E2111</f>
        <v>0</v>
      </c>
      <c r="F2111">
        <f>[2]TongHop!F2111</f>
        <v>0</v>
      </c>
      <c r="G2111">
        <f>[2]TongHop!G2111</f>
        <v>0</v>
      </c>
      <c r="H2111">
        <f>[2]TongHop!H2111</f>
        <v>0</v>
      </c>
      <c r="I2111">
        <f>[2]TongHop!I2111</f>
        <v>0</v>
      </c>
      <c r="J2111">
        <f>[2]TongHop!J2111</f>
        <v>0</v>
      </c>
      <c r="K2111">
        <f>[2]TongHop!K2111</f>
        <v>0</v>
      </c>
      <c r="L2111">
        <f>[2]TongHop!L2111</f>
        <v>0</v>
      </c>
      <c r="M2111">
        <f>[2]TongHop!M2111</f>
        <v>0</v>
      </c>
      <c r="N2111">
        <f>[2]TongHop!N2111</f>
        <v>0</v>
      </c>
    </row>
    <row r="2112" spans="1:14">
      <c r="A2112">
        <f>[2]TongHop!A2112</f>
        <v>0</v>
      </c>
      <c r="B2112">
        <f>[2]TongHop!B2112</f>
        <v>0</v>
      </c>
      <c r="C2112">
        <f>[2]TongHop!C2112</f>
        <v>0</v>
      </c>
      <c r="D2112">
        <f>[2]TongHop!D2112</f>
        <v>0</v>
      </c>
      <c r="E2112">
        <f>[2]TongHop!E2112</f>
        <v>0</v>
      </c>
      <c r="F2112">
        <f>[2]TongHop!F2112</f>
        <v>0</v>
      </c>
      <c r="G2112">
        <f>[2]TongHop!G2112</f>
        <v>0</v>
      </c>
      <c r="H2112">
        <f>[2]TongHop!H2112</f>
        <v>0</v>
      </c>
      <c r="I2112">
        <f>[2]TongHop!I2112</f>
        <v>0</v>
      </c>
      <c r="J2112">
        <f>[2]TongHop!J2112</f>
        <v>0</v>
      </c>
      <c r="K2112">
        <f>[2]TongHop!K2112</f>
        <v>0</v>
      </c>
      <c r="L2112">
        <f>[2]TongHop!L2112</f>
        <v>0</v>
      </c>
      <c r="M2112">
        <f>[2]TongHop!M2112</f>
        <v>0</v>
      </c>
      <c r="N2112">
        <f>[2]TongHop!N2112</f>
        <v>0</v>
      </c>
    </row>
    <row r="2113" spans="1:14">
      <c r="A2113">
        <f>[2]TongHop!A2113</f>
        <v>0</v>
      </c>
      <c r="B2113">
        <f>[2]TongHop!B2113</f>
        <v>0</v>
      </c>
      <c r="C2113">
        <f>[2]TongHop!C2113</f>
        <v>0</v>
      </c>
      <c r="D2113">
        <f>[2]TongHop!D2113</f>
        <v>0</v>
      </c>
      <c r="E2113">
        <f>[2]TongHop!E2113</f>
        <v>0</v>
      </c>
      <c r="F2113">
        <f>[2]TongHop!F2113</f>
        <v>0</v>
      </c>
      <c r="G2113">
        <f>[2]TongHop!G2113</f>
        <v>0</v>
      </c>
      <c r="H2113">
        <f>[2]TongHop!H2113</f>
        <v>0</v>
      </c>
      <c r="I2113">
        <f>[2]TongHop!I2113</f>
        <v>0</v>
      </c>
      <c r="J2113">
        <f>[2]TongHop!J2113</f>
        <v>0</v>
      </c>
      <c r="K2113">
        <f>[2]TongHop!K2113</f>
        <v>0</v>
      </c>
      <c r="L2113">
        <f>[2]TongHop!L2113</f>
        <v>0</v>
      </c>
      <c r="M2113">
        <f>[2]TongHop!M2113</f>
        <v>0</v>
      </c>
      <c r="N2113">
        <f>[2]TongHop!N2113</f>
        <v>0</v>
      </c>
    </row>
    <row r="2114" spans="1:14">
      <c r="A2114">
        <f>[2]TongHop!A2114</f>
        <v>0</v>
      </c>
      <c r="B2114">
        <f>[2]TongHop!B2114</f>
        <v>0</v>
      </c>
      <c r="C2114">
        <f>[2]TongHop!C2114</f>
        <v>0</v>
      </c>
      <c r="D2114">
        <f>[2]TongHop!D2114</f>
        <v>0</v>
      </c>
      <c r="E2114">
        <f>[2]TongHop!E2114</f>
        <v>0</v>
      </c>
      <c r="F2114">
        <f>[2]TongHop!F2114</f>
        <v>0</v>
      </c>
      <c r="G2114">
        <f>[2]TongHop!G2114</f>
        <v>0</v>
      </c>
      <c r="H2114">
        <f>[2]TongHop!H2114</f>
        <v>0</v>
      </c>
      <c r="I2114">
        <f>[2]TongHop!I2114</f>
        <v>0</v>
      </c>
      <c r="J2114">
        <f>[2]TongHop!J2114</f>
        <v>0</v>
      </c>
      <c r="K2114">
        <f>[2]TongHop!K2114</f>
        <v>0</v>
      </c>
      <c r="L2114">
        <f>[2]TongHop!L2114</f>
        <v>0</v>
      </c>
      <c r="M2114">
        <f>[2]TongHop!M2114</f>
        <v>0</v>
      </c>
      <c r="N2114">
        <f>[2]TongHop!N2114</f>
        <v>0</v>
      </c>
    </row>
    <row r="2115" spans="1:14">
      <c r="A2115">
        <f>[2]TongHop!A2115</f>
        <v>0</v>
      </c>
      <c r="B2115">
        <f>[2]TongHop!B2115</f>
        <v>0</v>
      </c>
      <c r="C2115">
        <f>[2]TongHop!C2115</f>
        <v>0</v>
      </c>
      <c r="D2115">
        <f>[2]TongHop!D2115</f>
        <v>0</v>
      </c>
      <c r="E2115">
        <f>[2]TongHop!E2115</f>
        <v>0</v>
      </c>
      <c r="F2115">
        <f>[2]TongHop!F2115</f>
        <v>0</v>
      </c>
      <c r="G2115">
        <f>[2]TongHop!G2115</f>
        <v>0</v>
      </c>
      <c r="H2115">
        <f>[2]TongHop!H2115</f>
        <v>0</v>
      </c>
      <c r="I2115">
        <f>[2]TongHop!I2115</f>
        <v>0</v>
      </c>
      <c r="J2115">
        <f>[2]TongHop!J2115</f>
        <v>0</v>
      </c>
      <c r="K2115">
        <f>[2]TongHop!K2115</f>
        <v>0</v>
      </c>
      <c r="L2115">
        <f>[2]TongHop!L2115</f>
        <v>0</v>
      </c>
      <c r="M2115">
        <f>[2]TongHop!M2115</f>
        <v>0</v>
      </c>
      <c r="N2115">
        <f>[2]TongHop!N2115</f>
        <v>0</v>
      </c>
    </row>
    <row r="2116" spans="1:14">
      <c r="A2116">
        <f>[2]TongHop!A2116</f>
        <v>0</v>
      </c>
      <c r="B2116">
        <f>[2]TongHop!B2116</f>
        <v>0</v>
      </c>
      <c r="C2116">
        <f>[2]TongHop!C2116</f>
        <v>0</v>
      </c>
      <c r="D2116">
        <f>[2]TongHop!D2116</f>
        <v>0</v>
      </c>
      <c r="E2116">
        <f>[2]TongHop!E2116</f>
        <v>0</v>
      </c>
      <c r="F2116">
        <f>[2]TongHop!F2116</f>
        <v>0</v>
      </c>
      <c r="G2116">
        <f>[2]TongHop!G2116</f>
        <v>0</v>
      </c>
      <c r="H2116">
        <f>[2]TongHop!H2116</f>
        <v>0</v>
      </c>
      <c r="I2116">
        <f>[2]TongHop!I2116</f>
        <v>0</v>
      </c>
      <c r="J2116">
        <f>[2]TongHop!J2116</f>
        <v>0</v>
      </c>
      <c r="K2116">
        <f>[2]TongHop!K2116</f>
        <v>0</v>
      </c>
      <c r="L2116">
        <f>[2]TongHop!L2116</f>
        <v>0</v>
      </c>
      <c r="M2116">
        <f>[2]TongHop!M2116</f>
        <v>0</v>
      </c>
      <c r="N2116">
        <f>[2]TongHop!N2116</f>
        <v>0</v>
      </c>
    </row>
    <row r="2117" spans="1:14">
      <c r="A2117">
        <f>[2]TongHop!A2117</f>
        <v>0</v>
      </c>
      <c r="B2117">
        <f>[2]TongHop!B2117</f>
        <v>0</v>
      </c>
      <c r="C2117">
        <f>[2]TongHop!C2117</f>
        <v>0</v>
      </c>
      <c r="D2117">
        <f>[2]TongHop!D2117</f>
        <v>0</v>
      </c>
      <c r="E2117">
        <f>[2]TongHop!E2117</f>
        <v>0</v>
      </c>
      <c r="F2117">
        <f>[2]TongHop!F2117</f>
        <v>0</v>
      </c>
      <c r="G2117">
        <f>[2]TongHop!G2117</f>
        <v>0</v>
      </c>
      <c r="H2117">
        <f>[2]TongHop!H2117</f>
        <v>0</v>
      </c>
      <c r="I2117">
        <f>[2]TongHop!I2117</f>
        <v>0</v>
      </c>
      <c r="J2117">
        <f>[2]TongHop!J2117</f>
        <v>0</v>
      </c>
      <c r="K2117">
        <f>[2]TongHop!K2117</f>
        <v>0</v>
      </c>
      <c r="L2117">
        <f>[2]TongHop!L2117</f>
        <v>0</v>
      </c>
      <c r="M2117">
        <f>[2]TongHop!M2117</f>
        <v>0</v>
      </c>
      <c r="N2117">
        <f>[2]TongHop!N2117</f>
        <v>0</v>
      </c>
    </row>
    <row r="2118" spans="1:14">
      <c r="A2118">
        <f>[2]TongHop!A2118</f>
        <v>0</v>
      </c>
      <c r="B2118">
        <f>[2]TongHop!B2118</f>
        <v>0</v>
      </c>
      <c r="C2118">
        <f>[2]TongHop!C2118</f>
        <v>0</v>
      </c>
      <c r="D2118">
        <f>[2]TongHop!D2118</f>
        <v>0</v>
      </c>
      <c r="E2118">
        <f>[2]TongHop!E2118</f>
        <v>0</v>
      </c>
      <c r="F2118">
        <f>[2]TongHop!F2118</f>
        <v>0</v>
      </c>
      <c r="G2118">
        <f>[2]TongHop!G2118</f>
        <v>0</v>
      </c>
      <c r="H2118">
        <f>[2]TongHop!H2118</f>
        <v>0</v>
      </c>
      <c r="I2118">
        <f>[2]TongHop!I2118</f>
        <v>0</v>
      </c>
      <c r="J2118">
        <f>[2]TongHop!J2118</f>
        <v>0</v>
      </c>
      <c r="K2118">
        <f>[2]TongHop!K2118</f>
        <v>0</v>
      </c>
      <c r="L2118">
        <f>[2]TongHop!L2118</f>
        <v>0</v>
      </c>
      <c r="M2118">
        <f>[2]TongHop!M2118</f>
        <v>0</v>
      </c>
      <c r="N2118">
        <f>[2]TongHop!N2118</f>
        <v>0</v>
      </c>
    </row>
    <row r="2119" spans="1:14">
      <c r="A2119">
        <f>[2]TongHop!A2119</f>
        <v>0</v>
      </c>
      <c r="B2119">
        <f>[2]TongHop!B2119</f>
        <v>0</v>
      </c>
      <c r="C2119">
        <f>[2]TongHop!C2119</f>
        <v>0</v>
      </c>
      <c r="D2119">
        <f>[2]TongHop!D2119</f>
        <v>0</v>
      </c>
      <c r="E2119">
        <f>[2]TongHop!E2119</f>
        <v>0</v>
      </c>
      <c r="F2119">
        <f>[2]TongHop!F2119</f>
        <v>0</v>
      </c>
      <c r="G2119">
        <f>[2]TongHop!G2119</f>
        <v>0</v>
      </c>
      <c r="H2119">
        <f>[2]TongHop!H2119</f>
        <v>0</v>
      </c>
      <c r="I2119">
        <f>[2]TongHop!I2119</f>
        <v>0</v>
      </c>
      <c r="J2119">
        <f>[2]TongHop!J2119</f>
        <v>0</v>
      </c>
      <c r="K2119">
        <f>[2]TongHop!K2119</f>
        <v>0</v>
      </c>
      <c r="L2119">
        <f>[2]TongHop!L2119</f>
        <v>0</v>
      </c>
      <c r="M2119">
        <f>[2]TongHop!M2119</f>
        <v>0</v>
      </c>
      <c r="N2119">
        <f>[2]TongHop!N2119</f>
        <v>0</v>
      </c>
    </row>
    <row r="2120" spans="1:14">
      <c r="A2120">
        <f>[2]TongHop!A2120</f>
        <v>0</v>
      </c>
      <c r="B2120">
        <f>[2]TongHop!B2120</f>
        <v>0</v>
      </c>
      <c r="C2120">
        <f>[2]TongHop!C2120</f>
        <v>0</v>
      </c>
      <c r="D2120">
        <f>[2]TongHop!D2120</f>
        <v>0</v>
      </c>
      <c r="E2120">
        <f>[2]TongHop!E2120</f>
        <v>0</v>
      </c>
      <c r="F2120">
        <f>[2]TongHop!F2120</f>
        <v>0</v>
      </c>
      <c r="G2120">
        <f>[2]TongHop!G2120</f>
        <v>0</v>
      </c>
      <c r="H2120">
        <f>[2]TongHop!H2120</f>
        <v>0</v>
      </c>
      <c r="I2120">
        <f>[2]TongHop!I2120</f>
        <v>0</v>
      </c>
      <c r="J2120">
        <f>[2]TongHop!J2120</f>
        <v>0</v>
      </c>
      <c r="K2120">
        <f>[2]TongHop!K2120</f>
        <v>0</v>
      </c>
      <c r="L2120">
        <f>[2]TongHop!L2120</f>
        <v>0</v>
      </c>
      <c r="M2120">
        <f>[2]TongHop!M2120</f>
        <v>0</v>
      </c>
      <c r="N2120">
        <f>[2]TongHop!N2120</f>
        <v>0</v>
      </c>
    </row>
    <row r="2121" spans="1:14">
      <c r="A2121">
        <f>[2]TongHop!A2121</f>
        <v>0</v>
      </c>
      <c r="B2121">
        <f>[2]TongHop!B2121</f>
        <v>0</v>
      </c>
      <c r="C2121">
        <f>[2]TongHop!C2121</f>
        <v>0</v>
      </c>
      <c r="D2121">
        <f>[2]TongHop!D2121</f>
        <v>0</v>
      </c>
      <c r="E2121">
        <f>[2]TongHop!E2121</f>
        <v>0</v>
      </c>
      <c r="F2121">
        <f>[2]TongHop!F2121</f>
        <v>0</v>
      </c>
      <c r="G2121">
        <f>[2]TongHop!G2121</f>
        <v>0</v>
      </c>
      <c r="H2121">
        <f>[2]TongHop!H2121</f>
        <v>0</v>
      </c>
      <c r="I2121">
        <f>[2]TongHop!I2121</f>
        <v>0</v>
      </c>
      <c r="J2121">
        <f>[2]TongHop!J2121</f>
        <v>0</v>
      </c>
      <c r="K2121">
        <f>[2]TongHop!K2121</f>
        <v>0</v>
      </c>
      <c r="L2121">
        <f>[2]TongHop!L2121</f>
        <v>0</v>
      </c>
      <c r="M2121">
        <f>[2]TongHop!M2121</f>
        <v>0</v>
      </c>
      <c r="N2121">
        <f>[2]TongHop!N2121</f>
        <v>0</v>
      </c>
    </row>
    <row r="2122" spans="1:14">
      <c r="A2122">
        <f>[2]TongHop!A2122</f>
        <v>0</v>
      </c>
      <c r="B2122">
        <f>[2]TongHop!B2122</f>
        <v>0</v>
      </c>
      <c r="C2122">
        <f>[2]TongHop!C2122</f>
        <v>0</v>
      </c>
      <c r="D2122">
        <f>[2]TongHop!D2122</f>
        <v>0</v>
      </c>
      <c r="E2122">
        <f>[2]TongHop!E2122</f>
        <v>0</v>
      </c>
      <c r="F2122">
        <f>[2]TongHop!F2122</f>
        <v>0</v>
      </c>
      <c r="G2122">
        <f>[2]TongHop!G2122</f>
        <v>0</v>
      </c>
      <c r="H2122">
        <f>[2]TongHop!H2122</f>
        <v>0</v>
      </c>
      <c r="I2122">
        <f>[2]TongHop!I2122</f>
        <v>0</v>
      </c>
      <c r="J2122">
        <f>[2]TongHop!J2122</f>
        <v>0</v>
      </c>
      <c r="K2122">
        <f>[2]TongHop!K2122</f>
        <v>0</v>
      </c>
      <c r="L2122">
        <f>[2]TongHop!L2122</f>
        <v>0</v>
      </c>
      <c r="M2122">
        <f>[2]TongHop!M2122</f>
        <v>0</v>
      </c>
      <c r="N2122">
        <f>[2]TongHop!N2122</f>
        <v>0</v>
      </c>
    </row>
    <row r="2123" spans="1:14">
      <c r="A2123">
        <f>[2]TongHop!A2123</f>
        <v>0</v>
      </c>
      <c r="B2123">
        <f>[2]TongHop!B2123</f>
        <v>0</v>
      </c>
      <c r="C2123">
        <f>[2]TongHop!C2123</f>
        <v>0</v>
      </c>
      <c r="D2123">
        <f>[2]TongHop!D2123</f>
        <v>0</v>
      </c>
      <c r="E2123">
        <f>[2]TongHop!E2123</f>
        <v>0</v>
      </c>
      <c r="F2123">
        <f>[2]TongHop!F2123</f>
        <v>0</v>
      </c>
      <c r="G2123">
        <f>[2]TongHop!G2123</f>
        <v>0</v>
      </c>
      <c r="H2123">
        <f>[2]TongHop!H2123</f>
        <v>0</v>
      </c>
      <c r="I2123">
        <f>[2]TongHop!I2123</f>
        <v>0</v>
      </c>
      <c r="J2123">
        <f>[2]TongHop!J2123</f>
        <v>0</v>
      </c>
      <c r="K2123">
        <f>[2]TongHop!K2123</f>
        <v>0</v>
      </c>
      <c r="L2123">
        <f>[2]TongHop!L2123</f>
        <v>0</v>
      </c>
      <c r="M2123">
        <f>[2]TongHop!M2123</f>
        <v>0</v>
      </c>
      <c r="N2123">
        <f>[2]TongHop!N2123</f>
        <v>0</v>
      </c>
    </row>
    <row r="2124" spans="1:14">
      <c r="A2124">
        <f>[2]TongHop!A2124</f>
        <v>0</v>
      </c>
      <c r="B2124">
        <f>[2]TongHop!B2124</f>
        <v>0</v>
      </c>
      <c r="C2124">
        <f>[2]TongHop!C2124</f>
        <v>0</v>
      </c>
      <c r="D2124">
        <f>[2]TongHop!D2124</f>
        <v>0</v>
      </c>
      <c r="E2124">
        <f>[2]TongHop!E2124</f>
        <v>0</v>
      </c>
      <c r="F2124">
        <f>[2]TongHop!F2124</f>
        <v>0</v>
      </c>
      <c r="G2124">
        <f>[2]TongHop!G2124</f>
        <v>0</v>
      </c>
      <c r="H2124">
        <f>[2]TongHop!H2124</f>
        <v>0</v>
      </c>
      <c r="I2124">
        <f>[2]TongHop!I2124</f>
        <v>0</v>
      </c>
      <c r="J2124">
        <f>[2]TongHop!J2124</f>
        <v>0</v>
      </c>
      <c r="K2124">
        <f>[2]TongHop!K2124</f>
        <v>0</v>
      </c>
      <c r="L2124">
        <f>[2]TongHop!L2124</f>
        <v>0</v>
      </c>
      <c r="M2124">
        <f>[2]TongHop!M2124</f>
        <v>0</v>
      </c>
      <c r="N2124">
        <f>[2]TongHop!N2124</f>
        <v>0</v>
      </c>
    </row>
    <row r="2125" spans="1:14">
      <c r="A2125">
        <f>[2]TongHop!A2125</f>
        <v>0</v>
      </c>
      <c r="B2125">
        <f>[2]TongHop!B2125</f>
        <v>0</v>
      </c>
      <c r="C2125">
        <f>[2]TongHop!C2125</f>
        <v>0</v>
      </c>
      <c r="D2125">
        <f>[2]TongHop!D2125</f>
        <v>0</v>
      </c>
      <c r="E2125">
        <f>[2]TongHop!E2125</f>
        <v>0</v>
      </c>
      <c r="F2125">
        <f>[2]TongHop!F2125</f>
        <v>0</v>
      </c>
      <c r="G2125">
        <f>[2]TongHop!G2125</f>
        <v>0</v>
      </c>
      <c r="H2125">
        <f>[2]TongHop!H2125</f>
        <v>0</v>
      </c>
      <c r="I2125">
        <f>[2]TongHop!I2125</f>
        <v>0</v>
      </c>
      <c r="J2125">
        <f>[2]TongHop!J2125</f>
        <v>0</v>
      </c>
      <c r="K2125">
        <f>[2]TongHop!K2125</f>
        <v>0</v>
      </c>
      <c r="L2125">
        <f>[2]TongHop!L2125</f>
        <v>0</v>
      </c>
      <c r="M2125">
        <f>[2]TongHop!M2125</f>
        <v>0</v>
      </c>
      <c r="N2125">
        <f>[2]TongHop!N2125</f>
        <v>0</v>
      </c>
    </row>
    <row r="2126" spans="1:14">
      <c r="A2126">
        <f>[2]TongHop!A2126</f>
        <v>0</v>
      </c>
      <c r="B2126">
        <f>[2]TongHop!B2126</f>
        <v>0</v>
      </c>
      <c r="C2126">
        <f>[2]TongHop!C2126</f>
        <v>0</v>
      </c>
      <c r="D2126">
        <f>[2]TongHop!D2126</f>
        <v>0</v>
      </c>
      <c r="E2126">
        <f>[2]TongHop!E2126</f>
        <v>0</v>
      </c>
      <c r="F2126">
        <f>[2]TongHop!F2126</f>
        <v>0</v>
      </c>
      <c r="G2126">
        <f>[2]TongHop!G2126</f>
        <v>0</v>
      </c>
      <c r="H2126">
        <f>[2]TongHop!H2126</f>
        <v>0</v>
      </c>
      <c r="I2126">
        <f>[2]TongHop!I2126</f>
        <v>0</v>
      </c>
      <c r="J2126">
        <f>[2]TongHop!J2126</f>
        <v>0</v>
      </c>
      <c r="K2126">
        <f>[2]TongHop!K2126</f>
        <v>0</v>
      </c>
      <c r="L2126">
        <f>[2]TongHop!L2126</f>
        <v>0</v>
      </c>
      <c r="M2126">
        <f>[2]TongHop!M2126</f>
        <v>0</v>
      </c>
      <c r="N2126">
        <f>[2]TongHop!N2126</f>
        <v>0</v>
      </c>
    </row>
    <row r="2127" spans="1:14">
      <c r="A2127">
        <f>[2]TongHop!A2127</f>
        <v>0</v>
      </c>
      <c r="B2127">
        <f>[2]TongHop!B2127</f>
        <v>0</v>
      </c>
      <c r="C2127">
        <f>[2]TongHop!C2127</f>
        <v>0</v>
      </c>
      <c r="D2127">
        <f>[2]TongHop!D2127</f>
        <v>0</v>
      </c>
      <c r="E2127">
        <f>[2]TongHop!E2127</f>
        <v>0</v>
      </c>
      <c r="F2127">
        <f>[2]TongHop!F2127</f>
        <v>0</v>
      </c>
      <c r="G2127">
        <f>[2]TongHop!G2127</f>
        <v>0</v>
      </c>
      <c r="H2127">
        <f>[2]TongHop!H2127</f>
        <v>0</v>
      </c>
      <c r="I2127">
        <f>[2]TongHop!I2127</f>
        <v>0</v>
      </c>
      <c r="J2127">
        <f>[2]TongHop!J2127</f>
        <v>0</v>
      </c>
      <c r="K2127">
        <f>[2]TongHop!K2127</f>
        <v>0</v>
      </c>
      <c r="L2127">
        <f>[2]TongHop!L2127</f>
        <v>0</v>
      </c>
      <c r="M2127">
        <f>[2]TongHop!M2127</f>
        <v>0</v>
      </c>
      <c r="N2127">
        <f>[2]TongHop!N2127</f>
        <v>0</v>
      </c>
    </row>
    <row r="2128" spans="1:14">
      <c r="A2128">
        <f>[2]TongHop!A2128</f>
        <v>0</v>
      </c>
      <c r="B2128">
        <f>[2]TongHop!B2128</f>
        <v>0</v>
      </c>
      <c r="C2128">
        <f>[2]TongHop!C2128</f>
        <v>0</v>
      </c>
      <c r="D2128">
        <f>[2]TongHop!D2128</f>
        <v>0</v>
      </c>
      <c r="E2128">
        <f>[2]TongHop!E2128</f>
        <v>0</v>
      </c>
      <c r="F2128">
        <f>[2]TongHop!F2128</f>
        <v>0</v>
      </c>
      <c r="G2128">
        <f>[2]TongHop!G2128</f>
        <v>0</v>
      </c>
      <c r="H2128">
        <f>[2]TongHop!H2128</f>
        <v>0</v>
      </c>
      <c r="I2128">
        <f>[2]TongHop!I2128</f>
        <v>0</v>
      </c>
      <c r="J2128">
        <f>[2]TongHop!J2128</f>
        <v>0</v>
      </c>
      <c r="K2128">
        <f>[2]TongHop!K2128</f>
        <v>0</v>
      </c>
      <c r="L2128">
        <f>[2]TongHop!L2128</f>
        <v>0</v>
      </c>
      <c r="M2128">
        <f>[2]TongHop!M2128</f>
        <v>0</v>
      </c>
      <c r="N2128">
        <f>[2]TongHop!N2128</f>
        <v>0</v>
      </c>
    </row>
    <row r="2129" spans="1:14">
      <c r="A2129">
        <f>[2]TongHop!A2129</f>
        <v>0</v>
      </c>
      <c r="B2129">
        <f>[2]TongHop!B2129</f>
        <v>0</v>
      </c>
      <c r="C2129">
        <f>[2]TongHop!C2129</f>
        <v>0</v>
      </c>
      <c r="D2129">
        <f>[2]TongHop!D2129</f>
        <v>0</v>
      </c>
      <c r="E2129">
        <f>[2]TongHop!E2129</f>
        <v>0</v>
      </c>
      <c r="F2129">
        <f>[2]TongHop!F2129</f>
        <v>0</v>
      </c>
      <c r="G2129">
        <f>[2]TongHop!G2129</f>
        <v>0</v>
      </c>
      <c r="H2129">
        <f>[2]TongHop!H2129</f>
        <v>0</v>
      </c>
      <c r="I2129">
        <f>[2]TongHop!I2129</f>
        <v>0</v>
      </c>
      <c r="J2129">
        <f>[2]TongHop!J2129</f>
        <v>0</v>
      </c>
      <c r="K2129">
        <f>[2]TongHop!K2129</f>
        <v>0</v>
      </c>
      <c r="L2129">
        <f>[2]TongHop!L2129</f>
        <v>0</v>
      </c>
      <c r="M2129">
        <f>[2]TongHop!M2129</f>
        <v>0</v>
      </c>
      <c r="N2129">
        <f>[2]TongHop!N2129</f>
        <v>0</v>
      </c>
    </row>
    <row r="2130" spans="1:14">
      <c r="A2130">
        <f>[2]TongHop!A2130</f>
        <v>0</v>
      </c>
      <c r="B2130">
        <f>[2]TongHop!B2130</f>
        <v>0</v>
      </c>
      <c r="C2130">
        <f>[2]TongHop!C2130</f>
        <v>0</v>
      </c>
      <c r="D2130">
        <f>[2]TongHop!D2130</f>
        <v>0</v>
      </c>
      <c r="E2130">
        <f>[2]TongHop!E2130</f>
        <v>0</v>
      </c>
      <c r="F2130">
        <f>[2]TongHop!F2130</f>
        <v>0</v>
      </c>
      <c r="G2130">
        <f>[2]TongHop!G2130</f>
        <v>0</v>
      </c>
      <c r="H2130">
        <f>[2]TongHop!H2130</f>
        <v>0</v>
      </c>
      <c r="I2130">
        <f>[2]TongHop!I2130</f>
        <v>0</v>
      </c>
      <c r="J2130">
        <f>[2]TongHop!J2130</f>
        <v>0</v>
      </c>
      <c r="K2130">
        <f>[2]TongHop!K2130</f>
        <v>0</v>
      </c>
      <c r="L2130">
        <f>[2]TongHop!L2130</f>
        <v>0</v>
      </c>
      <c r="M2130">
        <f>[2]TongHop!M2130</f>
        <v>0</v>
      </c>
      <c r="N2130">
        <f>[2]TongHop!N2130</f>
        <v>0</v>
      </c>
    </row>
    <row r="2131" spans="1:14">
      <c r="A2131">
        <f>[2]TongHop!A2131</f>
        <v>0</v>
      </c>
      <c r="B2131">
        <f>[2]TongHop!B2131</f>
        <v>0</v>
      </c>
      <c r="C2131">
        <f>[2]TongHop!C2131</f>
        <v>0</v>
      </c>
      <c r="D2131">
        <f>[2]TongHop!D2131</f>
        <v>0</v>
      </c>
      <c r="E2131">
        <f>[2]TongHop!E2131</f>
        <v>0</v>
      </c>
      <c r="F2131">
        <f>[2]TongHop!F2131</f>
        <v>0</v>
      </c>
      <c r="G2131">
        <f>[2]TongHop!G2131</f>
        <v>0</v>
      </c>
      <c r="H2131">
        <f>[2]TongHop!H2131</f>
        <v>0</v>
      </c>
      <c r="I2131">
        <f>[2]TongHop!I2131</f>
        <v>0</v>
      </c>
      <c r="J2131">
        <f>[2]TongHop!J2131</f>
        <v>0</v>
      </c>
      <c r="K2131">
        <f>[2]TongHop!K2131</f>
        <v>0</v>
      </c>
      <c r="L2131">
        <f>[2]TongHop!L2131</f>
        <v>0</v>
      </c>
      <c r="M2131">
        <f>[2]TongHop!M2131</f>
        <v>0</v>
      </c>
      <c r="N2131">
        <f>[2]TongHop!N2131</f>
        <v>0</v>
      </c>
    </row>
    <row r="2132" spans="1:14">
      <c r="A2132">
        <f>[2]TongHop!A2132</f>
        <v>0</v>
      </c>
      <c r="B2132">
        <f>[2]TongHop!B2132</f>
        <v>0</v>
      </c>
      <c r="C2132">
        <f>[2]TongHop!C2132</f>
        <v>0</v>
      </c>
      <c r="D2132">
        <f>[2]TongHop!D2132</f>
        <v>0</v>
      </c>
      <c r="E2132">
        <f>[2]TongHop!E2132</f>
        <v>0</v>
      </c>
      <c r="F2132">
        <f>[2]TongHop!F2132</f>
        <v>0</v>
      </c>
      <c r="G2132">
        <f>[2]TongHop!G2132</f>
        <v>0</v>
      </c>
      <c r="H2132">
        <f>[2]TongHop!H2132</f>
        <v>0</v>
      </c>
      <c r="I2132">
        <f>[2]TongHop!I2132</f>
        <v>0</v>
      </c>
      <c r="J2132">
        <f>[2]TongHop!J2132</f>
        <v>0</v>
      </c>
      <c r="K2132">
        <f>[2]TongHop!K2132</f>
        <v>0</v>
      </c>
      <c r="L2132">
        <f>[2]TongHop!L2132</f>
        <v>0</v>
      </c>
      <c r="M2132">
        <f>[2]TongHop!M2132</f>
        <v>0</v>
      </c>
      <c r="N2132">
        <f>[2]TongHop!N2132</f>
        <v>0</v>
      </c>
    </row>
    <row r="2133" spans="1:14">
      <c r="A2133">
        <f>[2]TongHop!A2133</f>
        <v>0</v>
      </c>
      <c r="B2133">
        <f>[2]TongHop!B2133</f>
        <v>0</v>
      </c>
      <c r="C2133">
        <f>[2]TongHop!C2133</f>
        <v>0</v>
      </c>
      <c r="D2133">
        <f>[2]TongHop!D2133</f>
        <v>0</v>
      </c>
      <c r="E2133">
        <f>[2]TongHop!E2133</f>
        <v>0</v>
      </c>
      <c r="F2133">
        <f>[2]TongHop!F2133</f>
        <v>0</v>
      </c>
      <c r="G2133">
        <f>[2]TongHop!G2133</f>
        <v>0</v>
      </c>
      <c r="H2133">
        <f>[2]TongHop!H2133</f>
        <v>0</v>
      </c>
      <c r="I2133">
        <f>[2]TongHop!I2133</f>
        <v>0</v>
      </c>
      <c r="J2133">
        <f>[2]TongHop!J2133</f>
        <v>0</v>
      </c>
      <c r="K2133">
        <f>[2]TongHop!K2133</f>
        <v>0</v>
      </c>
      <c r="L2133">
        <f>[2]TongHop!L2133</f>
        <v>0</v>
      </c>
      <c r="M2133">
        <f>[2]TongHop!M2133</f>
        <v>0</v>
      </c>
      <c r="N2133">
        <f>[2]TongHop!N2133</f>
        <v>0</v>
      </c>
    </row>
    <row r="2134" spans="1:14">
      <c r="A2134">
        <f>[2]TongHop!A2134</f>
        <v>0</v>
      </c>
      <c r="B2134">
        <f>[2]TongHop!B2134</f>
        <v>0</v>
      </c>
      <c r="C2134">
        <f>[2]TongHop!C2134</f>
        <v>0</v>
      </c>
      <c r="D2134">
        <f>[2]TongHop!D2134</f>
        <v>0</v>
      </c>
      <c r="E2134">
        <f>[2]TongHop!E2134</f>
        <v>0</v>
      </c>
      <c r="F2134">
        <f>[2]TongHop!F2134</f>
        <v>0</v>
      </c>
      <c r="G2134">
        <f>[2]TongHop!G2134</f>
        <v>0</v>
      </c>
      <c r="H2134">
        <f>[2]TongHop!H2134</f>
        <v>0</v>
      </c>
      <c r="I2134">
        <f>[2]TongHop!I2134</f>
        <v>0</v>
      </c>
      <c r="J2134">
        <f>[2]TongHop!J2134</f>
        <v>0</v>
      </c>
      <c r="K2134">
        <f>[2]TongHop!K2134</f>
        <v>0</v>
      </c>
      <c r="L2134">
        <f>[2]TongHop!L2134</f>
        <v>0</v>
      </c>
      <c r="M2134">
        <f>[2]TongHop!M2134</f>
        <v>0</v>
      </c>
      <c r="N2134">
        <f>[2]TongHop!N2134</f>
        <v>0</v>
      </c>
    </row>
    <row r="2135" spans="1:14">
      <c r="A2135">
        <f>[2]TongHop!A2135</f>
        <v>0</v>
      </c>
      <c r="B2135">
        <f>[2]TongHop!B2135</f>
        <v>0</v>
      </c>
      <c r="C2135">
        <f>[2]TongHop!C2135</f>
        <v>0</v>
      </c>
      <c r="D2135">
        <f>[2]TongHop!D2135</f>
        <v>0</v>
      </c>
      <c r="E2135">
        <f>[2]TongHop!E2135</f>
        <v>0</v>
      </c>
      <c r="F2135">
        <f>[2]TongHop!F2135</f>
        <v>0</v>
      </c>
      <c r="G2135">
        <f>[2]TongHop!G2135</f>
        <v>0</v>
      </c>
      <c r="H2135">
        <f>[2]TongHop!H2135</f>
        <v>0</v>
      </c>
      <c r="I2135">
        <f>[2]TongHop!I2135</f>
        <v>0</v>
      </c>
      <c r="J2135">
        <f>[2]TongHop!J2135</f>
        <v>0</v>
      </c>
      <c r="K2135">
        <f>[2]TongHop!K2135</f>
        <v>0</v>
      </c>
      <c r="L2135">
        <f>[2]TongHop!L2135</f>
        <v>0</v>
      </c>
      <c r="M2135">
        <f>[2]TongHop!M2135</f>
        <v>0</v>
      </c>
      <c r="N2135">
        <f>[2]TongHop!N2135</f>
        <v>0</v>
      </c>
    </row>
    <row r="2136" spans="1:14">
      <c r="A2136">
        <f>[2]TongHop!A2136</f>
        <v>0</v>
      </c>
      <c r="B2136">
        <f>[2]TongHop!B2136</f>
        <v>0</v>
      </c>
      <c r="C2136">
        <f>[2]TongHop!C2136</f>
        <v>0</v>
      </c>
      <c r="D2136">
        <f>[2]TongHop!D2136</f>
        <v>0</v>
      </c>
      <c r="E2136">
        <f>[2]TongHop!E2136</f>
        <v>0</v>
      </c>
      <c r="F2136">
        <f>[2]TongHop!F2136</f>
        <v>0</v>
      </c>
      <c r="G2136">
        <f>[2]TongHop!G2136</f>
        <v>0</v>
      </c>
      <c r="H2136">
        <f>[2]TongHop!H2136</f>
        <v>0</v>
      </c>
      <c r="I2136">
        <f>[2]TongHop!I2136</f>
        <v>0</v>
      </c>
      <c r="J2136">
        <f>[2]TongHop!J2136</f>
        <v>0</v>
      </c>
      <c r="K2136">
        <f>[2]TongHop!K2136</f>
        <v>0</v>
      </c>
      <c r="L2136">
        <f>[2]TongHop!L2136</f>
        <v>0</v>
      </c>
      <c r="M2136">
        <f>[2]TongHop!M2136</f>
        <v>0</v>
      </c>
      <c r="N2136">
        <f>[2]TongHop!N2136</f>
        <v>0</v>
      </c>
    </row>
    <row r="2137" spans="1:14">
      <c r="A2137">
        <f>[2]TongHop!A2137</f>
        <v>0</v>
      </c>
      <c r="B2137">
        <f>[2]TongHop!B2137</f>
        <v>0</v>
      </c>
      <c r="C2137">
        <f>[2]TongHop!C2137</f>
        <v>0</v>
      </c>
      <c r="D2137">
        <f>[2]TongHop!D2137</f>
        <v>0</v>
      </c>
      <c r="E2137">
        <f>[2]TongHop!E2137</f>
        <v>0</v>
      </c>
      <c r="F2137">
        <f>[2]TongHop!F2137</f>
        <v>0</v>
      </c>
      <c r="G2137">
        <f>[2]TongHop!G2137</f>
        <v>0</v>
      </c>
      <c r="H2137">
        <f>[2]TongHop!H2137</f>
        <v>0</v>
      </c>
      <c r="I2137">
        <f>[2]TongHop!I2137</f>
        <v>0</v>
      </c>
      <c r="J2137">
        <f>[2]TongHop!J2137</f>
        <v>0</v>
      </c>
      <c r="K2137">
        <f>[2]TongHop!K2137</f>
        <v>0</v>
      </c>
      <c r="L2137">
        <f>[2]TongHop!L2137</f>
        <v>0</v>
      </c>
      <c r="M2137">
        <f>[2]TongHop!M2137</f>
        <v>0</v>
      </c>
      <c r="N2137">
        <f>[2]TongHop!N2137</f>
        <v>0</v>
      </c>
    </row>
    <row r="2138" spans="1:14">
      <c r="A2138">
        <f>[2]TongHop!A2138</f>
        <v>0</v>
      </c>
      <c r="B2138">
        <f>[2]TongHop!B2138</f>
        <v>0</v>
      </c>
      <c r="C2138">
        <f>[2]TongHop!C2138</f>
        <v>0</v>
      </c>
      <c r="D2138">
        <f>[2]TongHop!D2138</f>
        <v>0</v>
      </c>
      <c r="E2138">
        <f>[2]TongHop!E2138</f>
        <v>0</v>
      </c>
      <c r="F2138">
        <f>[2]TongHop!F2138</f>
        <v>0</v>
      </c>
      <c r="G2138">
        <f>[2]TongHop!G2138</f>
        <v>0</v>
      </c>
      <c r="H2138">
        <f>[2]TongHop!H2138</f>
        <v>0</v>
      </c>
      <c r="I2138">
        <f>[2]TongHop!I2138</f>
        <v>0</v>
      </c>
      <c r="J2138">
        <f>[2]TongHop!J2138</f>
        <v>0</v>
      </c>
      <c r="K2138">
        <f>[2]TongHop!K2138</f>
        <v>0</v>
      </c>
      <c r="L2138">
        <f>[2]TongHop!L2138</f>
        <v>0</v>
      </c>
      <c r="M2138">
        <f>[2]TongHop!M2138</f>
        <v>0</v>
      </c>
      <c r="N2138">
        <f>[2]TongHop!N2138</f>
        <v>0</v>
      </c>
    </row>
    <row r="2139" spans="1:14">
      <c r="A2139">
        <f>[2]TongHop!A2139</f>
        <v>0</v>
      </c>
      <c r="B2139">
        <f>[2]TongHop!B2139</f>
        <v>0</v>
      </c>
      <c r="C2139">
        <f>[2]TongHop!C2139</f>
        <v>0</v>
      </c>
      <c r="D2139">
        <f>[2]TongHop!D2139</f>
        <v>0</v>
      </c>
      <c r="E2139">
        <f>[2]TongHop!E2139</f>
        <v>0</v>
      </c>
      <c r="F2139">
        <f>[2]TongHop!F2139</f>
        <v>0</v>
      </c>
      <c r="G2139">
        <f>[2]TongHop!G2139</f>
        <v>0</v>
      </c>
      <c r="H2139">
        <f>[2]TongHop!H2139</f>
        <v>0</v>
      </c>
      <c r="I2139">
        <f>[2]TongHop!I2139</f>
        <v>0</v>
      </c>
      <c r="J2139">
        <f>[2]TongHop!J2139</f>
        <v>0</v>
      </c>
      <c r="K2139">
        <f>[2]TongHop!K2139</f>
        <v>0</v>
      </c>
      <c r="L2139">
        <f>[2]TongHop!L2139</f>
        <v>0</v>
      </c>
      <c r="M2139">
        <f>[2]TongHop!M2139</f>
        <v>0</v>
      </c>
      <c r="N2139">
        <f>[2]TongHop!N2139</f>
        <v>0</v>
      </c>
    </row>
    <row r="2140" spans="1:14">
      <c r="A2140">
        <f>[2]TongHop!A2140</f>
        <v>0</v>
      </c>
      <c r="B2140">
        <f>[2]TongHop!B2140</f>
        <v>0</v>
      </c>
      <c r="C2140">
        <f>[2]TongHop!C2140</f>
        <v>0</v>
      </c>
      <c r="D2140">
        <f>[2]TongHop!D2140</f>
        <v>0</v>
      </c>
      <c r="E2140">
        <f>[2]TongHop!E2140</f>
        <v>0</v>
      </c>
      <c r="F2140">
        <f>[2]TongHop!F2140</f>
        <v>0</v>
      </c>
      <c r="G2140">
        <f>[2]TongHop!G2140</f>
        <v>0</v>
      </c>
      <c r="H2140">
        <f>[2]TongHop!H2140</f>
        <v>0</v>
      </c>
      <c r="I2140">
        <f>[2]TongHop!I2140</f>
        <v>0</v>
      </c>
      <c r="J2140">
        <f>[2]TongHop!J2140</f>
        <v>0</v>
      </c>
      <c r="K2140">
        <f>[2]TongHop!K2140</f>
        <v>0</v>
      </c>
      <c r="L2140">
        <f>[2]TongHop!L2140</f>
        <v>0</v>
      </c>
      <c r="M2140">
        <f>[2]TongHop!M2140</f>
        <v>0</v>
      </c>
      <c r="N2140">
        <f>[2]TongHop!N2140</f>
        <v>0</v>
      </c>
    </row>
    <row r="2141" spans="1:14">
      <c r="A2141">
        <f>[2]TongHop!A2141</f>
        <v>0</v>
      </c>
      <c r="B2141">
        <f>[2]TongHop!B2141</f>
        <v>0</v>
      </c>
      <c r="C2141">
        <f>[2]TongHop!C2141</f>
        <v>0</v>
      </c>
      <c r="D2141">
        <f>[2]TongHop!D2141</f>
        <v>0</v>
      </c>
      <c r="E2141">
        <f>[2]TongHop!E2141</f>
        <v>0</v>
      </c>
      <c r="F2141">
        <f>[2]TongHop!F2141</f>
        <v>0</v>
      </c>
      <c r="G2141">
        <f>[2]TongHop!G2141</f>
        <v>0</v>
      </c>
      <c r="H2141">
        <f>[2]TongHop!H2141</f>
        <v>0</v>
      </c>
      <c r="I2141">
        <f>[2]TongHop!I2141</f>
        <v>0</v>
      </c>
      <c r="J2141">
        <f>[2]TongHop!J2141</f>
        <v>0</v>
      </c>
      <c r="K2141">
        <f>[2]TongHop!K2141</f>
        <v>0</v>
      </c>
      <c r="L2141">
        <f>[2]TongHop!L2141</f>
        <v>0</v>
      </c>
      <c r="M2141">
        <f>[2]TongHop!M2141</f>
        <v>0</v>
      </c>
      <c r="N2141">
        <f>[2]TongHop!N2141</f>
        <v>0</v>
      </c>
    </row>
    <row r="2142" spans="1:14">
      <c r="A2142">
        <f>[2]TongHop!A2142</f>
        <v>0</v>
      </c>
      <c r="B2142">
        <f>[2]TongHop!B2142</f>
        <v>0</v>
      </c>
      <c r="C2142">
        <f>[2]TongHop!C2142</f>
        <v>0</v>
      </c>
      <c r="D2142">
        <f>[2]TongHop!D2142</f>
        <v>0</v>
      </c>
      <c r="E2142">
        <f>[2]TongHop!E2142</f>
        <v>0</v>
      </c>
      <c r="F2142">
        <f>[2]TongHop!F2142</f>
        <v>0</v>
      </c>
      <c r="G2142">
        <f>[2]TongHop!G2142</f>
        <v>0</v>
      </c>
      <c r="H2142">
        <f>[2]TongHop!H2142</f>
        <v>0</v>
      </c>
      <c r="I2142">
        <f>[2]TongHop!I2142</f>
        <v>0</v>
      </c>
      <c r="J2142">
        <f>[2]TongHop!J2142</f>
        <v>0</v>
      </c>
      <c r="K2142">
        <f>[2]TongHop!K2142</f>
        <v>0</v>
      </c>
      <c r="L2142">
        <f>[2]TongHop!L2142</f>
        <v>0</v>
      </c>
      <c r="M2142">
        <f>[2]TongHop!M2142</f>
        <v>0</v>
      </c>
      <c r="N2142">
        <f>[2]TongHop!N2142</f>
        <v>0</v>
      </c>
    </row>
    <row r="2143" spans="1:14">
      <c r="A2143">
        <f>[2]TongHop!A2143</f>
        <v>0</v>
      </c>
      <c r="B2143">
        <f>[2]TongHop!B2143</f>
        <v>0</v>
      </c>
      <c r="C2143">
        <f>[2]TongHop!C2143</f>
        <v>0</v>
      </c>
      <c r="D2143">
        <f>[2]TongHop!D2143</f>
        <v>0</v>
      </c>
      <c r="E2143">
        <f>[2]TongHop!E2143</f>
        <v>0</v>
      </c>
      <c r="F2143">
        <f>[2]TongHop!F2143</f>
        <v>0</v>
      </c>
      <c r="G2143">
        <f>[2]TongHop!G2143</f>
        <v>0</v>
      </c>
      <c r="H2143">
        <f>[2]TongHop!H2143</f>
        <v>0</v>
      </c>
      <c r="I2143">
        <f>[2]TongHop!I2143</f>
        <v>0</v>
      </c>
      <c r="J2143">
        <f>[2]TongHop!J2143</f>
        <v>0</v>
      </c>
      <c r="K2143">
        <f>[2]TongHop!K2143</f>
        <v>0</v>
      </c>
      <c r="L2143">
        <f>[2]TongHop!L2143</f>
        <v>0</v>
      </c>
      <c r="M2143">
        <f>[2]TongHop!M2143</f>
        <v>0</v>
      </c>
      <c r="N2143">
        <f>[2]TongHop!N2143</f>
        <v>0</v>
      </c>
    </row>
    <row r="2144" spans="1:14">
      <c r="A2144">
        <f>[2]TongHop!A2144</f>
        <v>0</v>
      </c>
      <c r="B2144">
        <f>[2]TongHop!B2144</f>
        <v>0</v>
      </c>
      <c r="C2144">
        <f>[2]TongHop!C2144</f>
        <v>0</v>
      </c>
      <c r="D2144">
        <f>[2]TongHop!D2144</f>
        <v>0</v>
      </c>
      <c r="E2144">
        <f>[2]TongHop!E2144</f>
        <v>0</v>
      </c>
      <c r="F2144">
        <f>[2]TongHop!F2144</f>
        <v>0</v>
      </c>
      <c r="G2144">
        <f>[2]TongHop!G2144</f>
        <v>0</v>
      </c>
      <c r="H2144">
        <f>[2]TongHop!H2144</f>
        <v>0</v>
      </c>
      <c r="I2144">
        <f>[2]TongHop!I2144</f>
        <v>0</v>
      </c>
      <c r="J2144">
        <f>[2]TongHop!J2144</f>
        <v>0</v>
      </c>
      <c r="K2144">
        <f>[2]TongHop!K2144</f>
        <v>0</v>
      </c>
      <c r="L2144">
        <f>[2]TongHop!L2144</f>
        <v>0</v>
      </c>
      <c r="M2144">
        <f>[2]TongHop!M2144</f>
        <v>0</v>
      </c>
      <c r="N2144">
        <f>[2]TongHop!N2144</f>
        <v>0</v>
      </c>
    </row>
    <row r="2145" spans="1:14">
      <c r="A2145">
        <f>[2]TongHop!A2145</f>
        <v>0</v>
      </c>
      <c r="B2145">
        <f>[2]TongHop!B2145</f>
        <v>0</v>
      </c>
      <c r="C2145">
        <f>[2]TongHop!C2145</f>
        <v>0</v>
      </c>
      <c r="D2145">
        <f>[2]TongHop!D2145</f>
        <v>0</v>
      </c>
      <c r="E2145">
        <f>[2]TongHop!E2145</f>
        <v>0</v>
      </c>
      <c r="F2145">
        <f>[2]TongHop!F2145</f>
        <v>0</v>
      </c>
      <c r="G2145">
        <f>[2]TongHop!G2145</f>
        <v>0</v>
      </c>
      <c r="H2145">
        <f>[2]TongHop!H2145</f>
        <v>0</v>
      </c>
      <c r="I2145">
        <f>[2]TongHop!I2145</f>
        <v>0</v>
      </c>
      <c r="J2145">
        <f>[2]TongHop!J2145</f>
        <v>0</v>
      </c>
      <c r="K2145">
        <f>[2]TongHop!K2145</f>
        <v>0</v>
      </c>
      <c r="L2145">
        <f>[2]TongHop!L2145</f>
        <v>0</v>
      </c>
      <c r="M2145">
        <f>[2]TongHop!M2145</f>
        <v>0</v>
      </c>
      <c r="N2145">
        <f>[2]TongHop!N2145</f>
        <v>0</v>
      </c>
    </row>
    <row r="2146" spans="1:14">
      <c r="A2146">
        <f>[2]TongHop!A2146</f>
        <v>0</v>
      </c>
      <c r="B2146">
        <f>[2]TongHop!B2146</f>
        <v>0</v>
      </c>
      <c r="C2146">
        <f>[2]TongHop!C2146</f>
        <v>0</v>
      </c>
      <c r="D2146">
        <f>[2]TongHop!D2146</f>
        <v>0</v>
      </c>
      <c r="E2146">
        <f>[2]TongHop!E2146</f>
        <v>0</v>
      </c>
      <c r="F2146">
        <f>[2]TongHop!F2146</f>
        <v>0</v>
      </c>
      <c r="G2146">
        <f>[2]TongHop!G2146</f>
        <v>0</v>
      </c>
      <c r="H2146">
        <f>[2]TongHop!H2146</f>
        <v>0</v>
      </c>
      <c r="I2146">
        <f>[2]TongHop!I2146</f>
        <v>0</v>
      </c>
      <c r="J2146">
        <f>[2]TongHop!J2146</f>
        <v>0</v>
      </c>
      <c r="K2146">
        <f>[2]TongHop!K2146</f>
        <v>0</v>
      </c>
      <c r="L2146">
        <f>[2]TongHop!L2146</f>
        <v>0</v>
      </c>
      <c r="M2146">
        <f>[2]TongHop!M2146</f>
        <v>0</v>
      </c>
      <c r="N2146">
        <f>[2]TongHop!N2146</f>
        <v>0</v>
      </c>
    </row>
    <row r="2147" spans="1:14">
      <c r="A2147">
        <f>[2]TongHop!A2147</f>
        <v>0</v>
      </c>
      <c r="B2147">
        <f>[2]TongHop!B2147</f>
        <v>0</v>
      </c>
      <c r="C2147">
        <f>[2]TongHop!C2147</f>
        <v>0</v>
      </c>
      <c r="D2147">
        <f>[2]TongHop!D2147</f>
        <v>0</v>
      </c>
      <c r="E2147">
        <f>[2]TongHop!E2147</f>
        <v>0</v>
      </c>
      <c r="F2147">
        <f>[2]TongHop!F2147</f>
        <v>0</v>
      </c>
      <c r="G2147">
        <f>[2]TongHop!G2147</f>
        <v>0</v>
      </c>
      <c r="H2147">
        <f>[2]TongHop!H2147</f>
        <v>0</v>
      </c>
      <c r="I2147">
        <f>[2]TongHop!I2147</f>
        <v>0</v>
      </c>
      <c r="J2147">
        <f>[2]TongHop!J2147</f>
        <v>0</v>
      </c>
      <c r="K2147">
        <f>[2]TongHop!K2147</f>
        <v>0</v>
      </c>
      <c r="L2147">
        <f>[2]TongHop!L2147</f>
        <v>0</v>
      </c>
      <c r="M2147">
        <f>[2]TongHop!M2147</f>
        <v>0</v>
      </c>
      <c r="N2147">
        <f>[2]TongHop!N2147</f>
        <v>0</v>
      </c>
    </row>
    <row r="2148" spans="1:14">
      <c r="A2148">
        <f>[2]TongHop!A2148</f>
        <v>0</v>
      </c>
      <c r="B2148">
        <f>[2]TongHop!B2148</f>
        <v>0</v>
      </c>
      <c r="C2148">
        <f>[2]TongHop!C2148</f>
        <v>0</v>
      </c>
      <c r="D2148">
        <f>[2]TongHop!D2148</f>
        <v>0</v>
      </c>
      <c r="E2148">
        <f>[2]TongHop!E2148</f>
        <v>0</v>
      </c>
      <c r="F2148">
        <f>[2]TongHop!F2148</f>
        <v>0</v>
      </c>
      <c r="G2148">
        <f>[2]TongHop!G2148</f>
        <v>0</v>
      </c>
      <c r="H2148">
        <f>[2]TongHop!H2148</f>
        <v>0</v>
      </c>
      <c r="I2148">
        <f>[2]TongHop!I2148</f>
        <v>0</v>
      </c>
      <c r="J2148">
        <f>[2]TongHop!J2148</f>
        <v>0</v>
      </c>
      <c r="K2148">
        <f>[2]TongHop!K2148</f>
        <v>0</v>
      </c>
      <c r="L2148">
        <f>[2]TongHop!L2148</f>
        <v>0</v>
      </c>
      <c r="M2148">
        <f>[2]TongHop!M2148</f>
        <v>0</v>
      </c>
      <c r="N2148">
        <f>[2]TongHop!N2148</f>
        <v>0</v>
      </c>
    </row>
    <row r="2149" spans="1:14">
      <c r="A2149">
        <f>[2]TongHop!A2149</f>
        <v>0</v>
      </c>
      <c r="B2149">
        <f>[2]TongHop!B2149</f>
        <v>0</v>
      </c>
      <c r="C2149">
        <f>[2]TongHop!C2149</f>
        <v>0</v>
      </c>
      <c r="D2149">
        <f>[2]TongHop!D2149</f>
        <v>0</v>
      </c>
      <c r="E2149">
        <f>[2]TongHop!E2149</f>
        <v>0</v>
      </c>
      <c r="F2149">
        <f>[2]TongHop!F2149</f>
        <v>0</v>
      </c>
      <c r="G2149">
        <f>[2]TongHop!G2149</f>
        <v>0</v>
      </c>
      <c r="H2149">
        <f>[2]TongHop!H2149</f>
        <v>0</v>
      </c>
      <c r="I2149">
        <f>[2]TongHop!I2149</f>
        <v>0</v>
      </c>
      <c r="J2149">
        <f>[2]TongHop!J2149</f>
        <v>0</v>
      </c>
      <c r="K2149">
        <f>[2]TongHop!K2149</f>
        <v>0</v>
      </c>
      <c r="L2149">
        <f>[2]TongHop!L2149</f>
        <v>0</v>
      </c>
      <c r="M2149">
        <f>[2]TongHop!M2149</f>
        <v>0</v>
      </c>
      <c r="N2149">
        <f>[2]TongHop!N2149</f>
        <v>0</v>
      </c>
    </row>
    <row r="2150" spans="1:14">
      <c r="A2150">
        <f>[2]TongHop!A2150</f>
        <v>0</v>
      </c>
      <c r="B2150">
        <f>[2]TongHop!B2150</f>
        <v>0</v>
      </c>
      <c r="C2150">
        <f>[2]TongHop!C2150</f>
        <v>0</v>
      </c>
      <c r="D2150">
        <f>[2]TongHop!D2150</f>
        <v>0</v>
      </c>
      <c r="E2150">
        <f>[2]TongHop!E2150</f>
        <v>0</v>
      </c>
      <c r="F2150">
        <f>[2]TongHop!F2150</f>
        <v>0</v>
      </c>
      <c r="G2150">
        <f>[2]TongHop!G2150</f>
        <v>0</v>
      </c>
      <c r="H2150">
        <f>[2]TongHop!H2150</f>
        <v>0</v>
      </c>
      <c r="I2150">
        <f>[2]TongHop!I2150</f>
        <v>0</v>
      </c>
      <c r="J2150">
        <f>[2]TongHop!J2150</f>
        <v>0</v>
      </c>
      <c r="K2150">
        <f>[2]TongHop!K2150</f>
        <v>0</v>
      </c>
      <c r="L2150">
        <f>[2]TongHop!L2150</f>
        <v>0</v>
      </c>
      <c r="M2150">
        <f>[2]TongHop!M2150</f>
        <v>0</v>
      </c>
      <c r="N2150">
        <f>[2]TongHop!N2150</f>
        <v>0</v>
      </c>
    </row>
    <row r="2151" spans="1:14">
      <c r="A2151">
        <f>[2]TongHop!A2151</f>
        <v>0</v>
      </c>
      <c r="B2151">
        <f>[2]TongHop!B2151</f>
        <v>0</v>
      </c>
      <c r="C2151">
        <f>[2]TongHop!C2151</f>
        <v>0</v>
      </c>
      <c r="D2151">
        <f>[2]TongHop!D2151</f>
        <v>0</v>
      </c>
      <c r="E2151">
        <f>[2]TongHop!E2151</f>
        <v>0</v>
      </c>
      <c r="F2151">
        <f>[2]TongHop!F2151</f>
        <v>0</v>
      </c>
      <c r="G2151">
        <f>[2]TongHop!G2151</f>
        <v>0</v>
      </c>
      <c r="H2151">
        <f>[2]TongHop!H2151</f>
        <v>0</v>
      </c>
      <c r="I2151">
        <f>[2]TongHop!I2151</f>
        <v>0</v>
      </c>
      <c r="J2151">
        <f>[2]TongHop!J2151</f>
        <v>0</v>
      </c>
      <c r="K2151">
        <f>[2]TongHop!K2151</f>
        <v>0</v>
      </c>
      <c r="L2151">
        <f>[2]TongHop!L2151</f>
        <v>0</v>
      </c>
      <c r="M2151">
        <f>[2]TongHop!M2151</f>
        <v>0</v>
      </c>
      <c r="N2151">
        <f>[2]TongHop!N2151</f>
        <v>0</v>
      </c>
    </row>
    <row r="2152" spans="1:14">
      <c r="A2152">
        <f>[2]TongHop!A2152</f>
        <v>0</v>
      </c>
      <c r="B2152">
        <f>[2]TongHop!B2152</f>
        <v>0</v>
      </c>
      <c r="C2152">
        <f>[2]TongHop!C2152</f>
        <v>0</v>
      </c>
      <c r="D2152">
        <f>[2]TongHop!D2152</f>
        <v>0</v>
      </c>
      <c r="E2152">
        <f>[2]TongHop!E2152</f>
        <v>0</v>
      </c>
      <c r="F2152">
        <f>[2]TongHop!F2152</f>
        <v>0</v>
      </c>
      <c r="G2152">
        <f>[2]TongHop!G2152</f>
        <v>0</v>
      </c>
      <c r="H2152">
        <f>[2]TongHop!H2152</f>
        <v>0</v>
      </c>
      <c r="I2152">
        <f>[2]TongHop!I2152</f>
        <v>0</v>
      </c>
      <c r="J2152">
        <f>[2]TongHop!J2152</f>
        <v>0</v>
      </c>
      <c r="K2152">
        <f>[2]TongHop!K2152</f>
        <v>0</v>
      </c>
      <c r="L2152">
        <f>[2]TongHop!L2152</f>
        <v>0</v>
      </c>
      <c r="M2152">
        <f>[2]TongHop!M2152</f>
        <v>0</v>
      </c>
      <c r="N2152">
        <f>[2]TongHop!N2152</f>
        <v>0</v>
      </c>
    </row>
    <row r="2153" spans="1:14">
      <c r="A2153">
        <f>[2]TongHop!A2153</f>
        <v>0</v>
      </c>
      <c r="B2153">
        <f>[2]TongHop!B2153</f>
        <v>0</v>
      </c>
      <c r="C2153">
        <f>[2]TongHop!C2153</f>
        <v>0</v>
      </c>
      <c r="D2153">
        <f>[2]TongHop!D2153</f>
        <v>0</v>
      </c>
      <c r="E2153">
        <f>[2]TongHop!E2153</f>
        <v>0</v>
      </c>
      <c r="F2153">
        <f>[2]TongHop!F2153</f>
        <v>0</v>
      </c>
      <c r="G2153">
        <f>[2]TongHop!G2153</f>
        <v>0</v>
      </c>
      <c r="H2153">
        <f>[2]TongHop!H2153</f>
        <v>0</v>
      </c>
      <c r="I2153">
        <f>[2]TongHop!I2153</f>
        <v>0</v>
      </c>
      <c r="J2153">
        <f>[2]TongHop!J2153</f>
        <v>0</v>
      </c>
      <c r="K2153">
        <f>[2]TongHop!K2153</f>
        <v>0</v>
      </c>
      <c r="L2153">
        <f>[2]TongHop!L2153</f>
        <v>0</v>
      </c>
      <c r="M2153">
        <f>[2]TongHop!M2153</f>
        <v>0</v>
      </c>
      <c r="N2153">
        <f>[2]TongHop!N2153</f>
        <v>0</v>
      </c>
    </row>
    <row r="2154" spans="1:14">
      <c r="A2154">
        <f>[2]TongHop!A2154</f>
        <v>0</v>
      </c>
      <c r="B2154">
        <f>[2]TongHop!B2154</f>
        <v>0</v>
      </c>
      <c r="C2154">
        <f>[2]TongHop!C2154</f>
        <v>0</v>
      </c>
      <c r="D2154">
        <f>[2]TongHop!D2154</f>
        <v>0</v>
      </c>
      <c r="E2154">
        <f>[2]TongHop!E2154</f>
        <v>0</v>
      </c>
      <c r="F2154">
        <f>[2]TongHop!F2154</f>
        <v>0</v>
      </c>
      <c r="G2154">
        <f>[2]TongHop!G2154</f>
        <v>0</v>
      </c>
      <c r="H2154">
        <f>[2]TongHop!H2154</f>
        <v>0</v>
      </c>
      <c r="I2154">
        <f>[2]TongHop!I2154</f>
        <v>0</v>
      </c>
      <c r="J2154">
        <f>[2]TongHop!J2154</f>
        <v>0</v>
      </c>
      <c r="K2154">
        <f>[2]TongHop!K2154</f>
        <v>0</v>
      </c>
      <c r="L2154">
        <f>[2]TongHop!L2154</f>
        <v>0</v>
      </c>
      <c r="M2154">
        <f>[2]TongHop!M2154</f>
        <v>0</v>
      </c>
      <c r="N2154">
        <f>[2]TongHop!N2154</f>
        <v>0</v>
      </c>
    </row>
    <row r="2155" spans="1:14">
      <c r="A2155">
        <f>[2]TongHop!A2155</f>
        <v>0</v>
      </c>
      <c r="B2155">
        <f>[2]TongHop!B2155</f>
        <v>0</v>
      </c>
      <c r="C2155">
        <f>[2]TongHop!C2155</f>
        <v>0</v>
      </c>
      <c r="D2155">
        <f>[2]TongHop!D2155</f>
        <v>0</v>
      </c>
      <c r="E2155">
        <f>[2]TongHop!E2155</f>
        <v>0</v>
      </c>
      <c r="F2155">
        <f>[2]TongHop!F2155</f>
        <v>0</v>
      </c>
      <c r="G2155">
        <f>[2]TongHop!G2155</f>
        <v>0</v>
      </c>
      <c r="H2155">
        <f>[2]TongHop!H2155</f>
        <v>0</v>
      </c>
      <c r="I2155">
        <f>[2]TongHop!I2155</f>
        <v>0</v>
      </c>
      <c r="J2155">
        <f>[2]TongHop!J2155</f>
        <v>0</v>
      </c>
      <c r="K2155">
        <f>[2]TongHop!K2155</f>
        <v>0</v>
      </c>
      <c r="L2155">
        <f>[2]TongHop!L2155</f>
        <v>0</v>
      </c>
      <c r="M2155">
        <f>[2]TongHop!M2155</f>
        <v>0</v>
      </c>
      <c r="N2155">
        <f>[2]TongHop!N2155</f>
        <v>0</v>
      </c>
    </row>
    <row r="2156" spans="1:14">
      <c r="A2156">
        <f>[2]TongHop!A2156</f>
        <v>0</v>
      </c>
      <c r="B2156">
        <f>[2]TongHop!B2156</f>
        <v>0</v>
      </c>
      <c r="C2156">
        <f>[2]TongHop!C2156</f>
        <v>0</v>
      </c>
      <c r="D2156">
        <f>[2]TongHop!D2156</f>
        <v>0</v>
      </c>
      <c r="E2156">
        <f>[2]TongHop!E2156</f>
        <v>0</v>
      </c>
      <c r="F2156">
        <f>[2]TongHop!F2156</f>
        <v>0</v>
      </c>
      <c r="G2156">
        <f>[2]TongHop!G2156</f>
        <v>0</v>
      </c>
      <c r="H2156">
        <f>[2]TongHop!H2156</f>
        <v>0</v>
      </c>
      <c r="I2156">
        <f>[2]TongHop!I2156</f>
        <v>0</v>
      </c>
      <c r="J2156">
        <f>[2]TongHop!J2156</f>
        <v>0</v>
      </c>
      <c r="K2156">
        <f>[2]TongHop!K2156</f>
        <v>0</v>
      </c>
      <c r="L2156">
        <f>[2]TongHop!L2156</f>
        <v>0</v>
      </c>
      <c r="M2156">
        <f>[2]TongHop!M2156</f>
        <v>0</v>
      </c>
      <c r="N2156">
        <f>[2]TongHop!N2156</f>
        <v>0</v>
      </c>
    </row>
    <row r="2157" spans="1:14">
      <c r="A2157">
        <f>[2]TongHop!A2157</f>
        <v>0</v>
      </c>
      <c r="B2157">
        <f>[2]TongHop!B2157</f>
        <v>0</v>
      </c>
      <c r="C2157">
        <f>[2]TongHop!C2157</f>
        <v>0</v>
      </c>
      <c r="D2157">
        <f>[2]TongHop!D2157</f>
        <v>0</v>
      </c>
      <c r="E2157">
        <f>[2]TongHop!E2157</f>
        <v>0</v>
      </c>
      <c r="F2157">
        <f>[2]TongHop!F2157</f>
        <v>0</v>
      </c>
      <c r="G2157">
        <f>[2]TongHop!G2157</f>
        <v>0</v>
      </c>
      <c r="H2157">
        <f>[2]TongHop!H2157</f>
        <v>0</v>
      </c>
      <c r="I2157">
        <f>[2]TongHop!I2157</f>
        <v>0</v>
      </c>
      <c r="J2157">
        <f>[2]TongHop!J2157</f>
        <v>0</v>
      </c>
      <c r="K2157">
        <f>[2]TongHop!K2157</f>
        <v>0</v>
      </c>
      <c r="L2157">
        <f>[2]TongHop!L2157</f>
        <v>0</v>
      </c>
      <c r="M2157">
        <f>[2]TongHop!M2157</f>
        <v>0</v>
      </c>
      <c r="N2157">
        <f>[2]TongHop!N2157</f>
        <v>0</v>
      </c>
    </row>
    <row r="2158" spans="1:14">
      <c r="A2158">
        <f>[2]TongHop!A2158</f>
        <v>0</v>
      </c>
      <c r="B2158">
        <f>[2]TongHop!B2158</f>
        <v>0</v>
      </c>
      <c r="C2158">
        <f>[2]TongHop!C2158</f>
        <v>0</v>
      </c>
      <c r="D2158">
        <f>[2]TongHop!D2158</f>
        <v>0</v>
      </c>
      <c r="E2158">
        <f>[2]TongHop!E2158</f>
        <v>0</v>
      </c>
      <c r="F2158">
        <f>[2]TongHop!F2158</f>
        <v>0</v>
      </c>
      <c r="G2158">
        <f>[2]TongHop!G2158</f>
        <v>0</v>
      </c>
      <c r="H2158">
        <f>[2]TongHop!H2158</f>
        <v>0</v>
      </c>
      <c r="I2158">
        <f>[2]TongHop!I2158</f>
        <v>0</v>
      </c>
      <c r="J2158">
        <f>[2]TongHop!J2158</f>
        <v>0</v>
      </c>
      <c r="K2158">
        <f>[2]TongHop!K2158</f>
        <v>0</v>
      </c>
      <c r="L2158">
        <f>[2]TongHop!L2158</f>
        <v>0</v>
      </c>
      <c r="M2158">
        <f>[2]TongHop!M2158</f>
        <v>0</v>
      </c>
      <c r="N2158">
        <f>[2]TongHop!N2158</f>
        <v>0</v>
      </c>
    </row>
    <row r="2159" spans="1:14">
      <c r="A2159">
        <f>[2]TongHop!A2159</f>
        <v>0</v>
      </c>
      <c r="B2159">
        <f>[2]TongHop!B2159</f>
        <v>0</v>
      </c>
      <c r="C2159">
        <f>[2]TongHop!C2159</f>
        <v>0</v>
      </c>
      <c r="D2159">
        <f>[2]TongHop!D2159</f>
        <v>0</v>
      </c>
      <c r="E2159">
        <f>[2]TongHop!E2159</f>
        <v>0</v>
      </c>
      <c r="F2159">
        <f>[2]TongHop!F2159</f>
        <v>0</v>
      </c>
      <c r="G2159">
        <f>[2]TongHop!G2159</f>
        <v>0</v>
      </c>
      <c r="H2159">
        <f>[2]TongHop!H2159</f>
        <v>0</v>
      </c>
      <c r="I2159">
        <f>[2]TongHop!I2159</f>
        <v>0</v>
      </c>
      <c r="J2159">
        <f>[2]TongHop!J2159</f>
        <v>0</v>
      </c>
      <c r="K2159">
        <f>[2]TongHop!K2159</f>
        <v>0</v>
      </c>
      <c r="L2159">
        <f>[2]TongHop!L2159</f>
        <v>0</v>
      </c>
      <c r="M2159">
        <f>[2]TongHop!M2159</f>
        <v>0</v>
      </c>
      <c r="N2159">
        <f>[2]TongHop!N2159</f>
        <v>0</v>
      </c>
    </row>
    <row r="2160" spans="1:14">
      <c r="A2160">
        <f>[2]TongHop!A2160</f>
        <v>0</v>
      </c>
      <c r="B2160">
        <f>[2]TongHop!B2160</f>
        <v>0</v>
      </c>
      <c r="C2160">
        <f>[2]TongHop!C2160</f>
        <v>0</v>
      </c>
      <c r="D2160">
        <f>[2]TongHop!D2160</f>
        <v>0</v>
      </c>
      <c r="E2160">
        <f>[2]TongHop!E2160</f>
        <v>0</v>
      </c>
      <c r="F2160">
        <f>[2]TongHop!F2160</f>
        <v>0</v>
      </c>
      <c r="G2160">
        <f>[2]TongHop!G2160</f>
        <v>0</v>
      </c>
      <c r="H2160">
        <f>[2]TongHop!H2160</f>
        <v>0</v>
      </c>
      <c r="I2160">
        <f>[2]TongHop!I2160</f>
        <v>0</v>
      </c>
      <c r="J2160">
        <f>[2]TongHop!J2160</f>
        <v>0</v>
      </c>
      <c r="K2160">
        <f>[2]TongHop!K2160</f>
        <v>0</v>
      </c>
      <c r="L2160">
        <f>[2]TongHop!L2160</f>
        <v>0</v>
      </c>
      <c r="M2160">
        <f>[2]TongHop!M2160</f>
        <v>0</v>
      </c>
      <c r="N2160">
        <f>[2]TongHop!N2160</f>
        <v>0</v>
      </c>
    </row>
    <row r="2161" spans="1:14">
      <c r="A2161">
        <f>[2]TongHop!A2161</f>
        <v>0</v>
      </c>
      <c r="B2161">
        <f>[2]TongHop!B2161</f>
        <v>0</v>
      </c>
      <c r="C2161">
        <f>[2]TongHop!C2161</f>
        <v>0</v>
      </c>
      <c r="D2161">
        <f>[2]TongHop!D2161</f>
        <v>0</v>
      </c>
      <c r="E2161">
        <f>[2]TongHop!E2161</f>
        <v>0</v>
      </c>
      <c r="F2161">
        <f>[2]TongHop!F2161</f>
        <v>0</v>
      </c>
      <c r="G2161">
        <f>[2]TongHop!G2161</f>
        <v>0</v>
      </c>
      <c r="H2161">
        <f>[2]TongHop!H2161</f>
        <v>0</v>
      </c>
      <c r="I2161">
        <f>[2]TongHop!I2161</f>
        <v>0</v>
      </c>
      <c r="J2161">
        <f>[2]TongHop!J2161</f>
        <v>0</v>
      </c>
      <c r="K2161">
        <f>[2]TongHop!K2161</f>
        <v>0</v>
      </c>
      <c r="L2161">
        <f>[2]TongHop!L2161</f>
        <v>0</v>
      </c>
      <c r="M2161">
        <f>[2]TongHop!M2161</f>
        <v>0</v>
      </c>
      <c r="N2161">
        <f>[2]TongHop!N2161</f>
        <v>0</v>
      </c>
    </row>
    <row r="2162" spans="1:14">
      <c r="A2162">
        <f>[2]TongHop!A2162</f>
        <v>0</v>
      </c>
      <c r="B2162">
        <f>[2]TongHop!B2162</f>
        <v>0</v>
      </c>
      <c r="C2162">
        <f>[2]TongHop!C2162</f>
        <v>0</v>
      </c>
      <c r="D2162">
        <f>[2]TongHop!D2162</f>
        <v>0</v>
      </c>
      <c r="E2162">
        <f>[2]TongHop!E2162</f>
        <v>0</v>
      </c>
      <c r="F2162">
        <f>[2]TongHop!F2162</f>
        <v>0</v>
      </c>
      <c r="G2162">
        <f>[2]TongHop!G2162</f>
        <v>0</v>
      </c>
      <c r="H2162">
        <f>[2]TongHop!H2162</f>
        <v>0</v>
      </c>
      <c r="I2162">
        <f>[2]TongHop!I2162</f>
        <v>0</v>
      </c>
      <c r="J2162">
        <f>[2]TongHop!J2162</f>
        <v>0</v>
      </c>
      <c r="K2162">
        <f>[2]TongHop!K2162</f>
        <v>0</v>
      </c>
      <c r="L2162">
        <f>[2]TongHop!L2162</f>
        <v>0</v>
      </c>
      <c r="M2162">
        <f>[2]TongHop!M2162</f>
        <v>0</v>
      </c>
      <c r="N2162">
        <f>[2]TongHop!N2162</f>
        <v>0</v>
      </c>
    </row>
    <row r="2163" spans="1:14">
      <c r="A2163">
        <f>[2]TongHop!A2163</f>
        <v>0</v>
      </c>
      <c r="B2163">
        <f>[2]TongHop!B2163</f>
        <v>0</v>
      </c>
      <c r="C2163">
        <f>[2]TongHop!C2163</f>
        <v>0</v>
      </c>
      <c r="D2163">
        <f>[2]TongHop!D2163</f>
        <v>0</v>
      </c>
      <c r="E2163">
        <f>[2]TongHop!E2163</f>
        <v>0</v>
      </c>
      <c r="F2163">
        <f>[2]TongHop!F2163</f>
        <v>0</v>
      </c>
      <c r="G2163">
        <f>[2]TongHop!G2163</f>
        <v>0</v>
      </c>
      <c r="H2163">
        <f>[2]TongHop!H2163</f>
        <v>0</v>
      </c>
      <c r="I2163">
        <f>[2]TongHop!I2163</f>
        <v>0</v>
      </c>
      <c r="J2163">
        <f>[2]TongHop!J2163</f>
        <v>0</v>
      </c>
      <c r="K2163">
        <f>[2]TongHop!K2163</f>
        <v>0</v>
      </c>
      <c r="L2163">
        <f>[2]TongHop!L2163</f>
        <v>0</v>
      </c>
      <c r="M2163">
        <f>[2]TongHop!M2163</f>
        <v>0</v>
      </c>
      <c r="N2163">
        <f>[2]TongHop!N2163</f>
        <v>0</v>
      </c>
    </row>
    <row r="2164" spans="1:14">
      <c r="A2164">
        <f>[2]TongHop!A2164</f>
        <v>0</v>
      </c>
      <c r="B2164">
        <f>[2]TongHop!B2164</f>
        <v>0</v>
      </c>
      <c r="C2164">
        <f>[2]TongHop!C2164</f>
        <v>0</v>
      </c>
      <c r="D2164">
        <f>[2]TongHop!D2164</f>
        <v>0</v>
      </c>
      <c r="E2164">
        <f>[2]TongHop!E2164</f>
        <v>0</v>
      </c>
      <c r="F2164">
        <f>[2]TongHop!F2164</f>
        <v>0</v>
      </c>
      <c r="G2164">
        <f>[2]TongHop!G2164</f>
        <v>0</v>
      </c>
      <c r="H2164">
        <f>[2]TongHop!H2164</f>
        <v>0</v>
      </c>
      <c r="I2164">
        <f>[2]TongHop!I2164</f>
        <v>0</v>
      </c>
      <c r="J2164">
        <f>[2]TongHop!J2164</f>
        <v>0</v>
      </c>
      <c r="K2164">
        <f>[2]TongHop!K2164</f>
        <v>0</v>
      </c>
      <c r="L2164">
        <f>[2]TongHop!L2164</f>
        <v>0</v>
      </c>
      <c r="M2164">
        <f>[2]TongHop!M2164</f>
        <v>0</v>
      </c>
      <c r="N2164">
        <f>[2]TongHop!N2164</f>
        <v>0</v>
      </c>
    </row>
    <row r="2165" spans="1:14">
      <c r="A2165">
        <f>[2]TongHop!A2165</f>
        <v>0</v>
      </c>
      <c r="B2165">
        <f>[2]TongHop!B2165</f>
        <v>0</v>
      </c>
      <c r="C2165">
        <f>[2]TongHop!C2165</f>
        <v>0</v>
      </c>
      <c r="D2165">
        <f>[2]TongHop!D2165</f>
        <v>0</v>
      </c>
      <c r="E2165">
        <f>[2]TongHop!E2165</f>
        <v>0</v>
      </c>
      <c r="F2165">
        <f>[2]TongHop!F2165</f>
        <v>0</v>
      </c>
      <c r="G2165">
        <f>[2]TongHop!G2165</f>
        <v>0</v>
      </c>
      <c r="H2165">
        <f>[2]TongHop!H2165</f>
        <v>0</v>
      </c>
      <c r="I2165">
        <f>[2]TongHop!I2165</f>
        <v>0</v>
      </c>
      <c r="J2165">
        <f>[2]TongHop!J2165</f>
        <v>0</v>
      </c>
      <c r="K2165">
        <f>[2]TongHop!K2165</f>
        <v>0</v>
      </c>
      <c r="L2165">
        <f>[2]TongHop!L2165</f>
        <v>0</v>
      </c>
      <c r="M2165">
        <f>[2]TongHop!M2165</f>
        <v>0</v>
      </c>
      <c r="N2165">
        <f>[2]TongHop!N2165</f>
        <v>0</v>
      </c>
    </row>
    <row r="2166" spans="1:14">
      <c r="A2166">
        <f>[2]TongHop!A2166</f>
        <v>0</v>
      </c>
      <c r="B2166">
        <f>[2]TongHop!B2166</f>
        <v>0</v>
      </c>
      <c r="C2166">
        <f>[2]TongHop!C2166</f>
        <v>0</v>
      </c>
      <c r="D2166">
        <f>[2]TongHop!D2166</f>
        <v>0</v>
      </c>
      <c r="E2166">
        <f>[2]TongHop!E2166</f>
        <v>0</v>
      </c>
      <c r="F2166">
        <f>[2]TongHop!F2166</f>
        <v>0</v>
      </c>
      <c r="G2166">
        <f>[2]TongHop!G2166</f>
        <v>0</v>
      </c>
      <c r="H2166">
        <f>[2]TongHop!H2166</f>
        <v>0</v>
      </c>
      <c r="I2166">
        <f>[2]TongHop!I2166</f>
        <v>0</v>
      </c>
      <c r="J2166">
        <f>[2]TongHop!J2166</f>
        <v>0</v>
      </c>
      <c r="K2166">
        <f>[2]TongHop!K2166</f>
        <v>0</v>
      </c>
      <c r="L2166">
        <f>[2]TongHop!L2166</f>
        <v>0</v>
      </c>
      <c r="M2166">
        <f>[2]TongHop!M2166</f>
        <v>0</v>
      </c>
      <c r="N2166">
        <f>[2]TongHop!N2166</f>
        <v>0</v>
      </c>
    </row>
    <row r="2167" spans="1:14">
      <c r="A2167">
        <f>[2]TongHop!A2167</f>
        <v>0</v>
      </c>
      <c r="B2167">
        <f>[2]TongHop!B2167</f>
        <v>0</v>
      </c>
      <c r="C2167">
        <f>[2]TongHop!C2167</f>
        <v>0</v>
      </c>
      <c r="D2167">
        <f>[2]TongHop!D2167</f>
        <v>0</v>
      </c>
      <c r="E2167">
        <f>[2]TongHop!E2167</f>
        <v>0</v>
      </c>
      <c r="F2167">
        <f>[2]TongHop!F2167</f>
        <v>0</v>
      </c>
      <c r="G2167">
        <f>[2]TongHop!G2167</f>
        <v>0</v>
      </c>
      <c r="H2167">
        <f>[2]TongHop!H2167</f>
        <v>0</v>
      </c>
      <c r="I2167">
        <f>[2]TongHop!I2167</f>
        <v>0</v>
      </c>
      <c r="J2167">
        <f>[2]TongHop!J2167</f>
        <v>0</v>
      </c>
      <c r="K2167">
        <f>[2]TongHop!K2167</f>
        <v>0</v>
      </c>
      <c r="L2167">
        <f>[2]TongHop!L2167</f>
        <v>0</v>
      </c>
      <c r="M2167">
        <f>[2]TongHop!M2167</f>
        <v>0</v>
      </c>
      <c r="N2167">
        <f>[2]TongHop!N2167</f>
        <v>0</v>
      </c>
    </row>
    <row r="2168" spans="1:14">
      <c r="A2168">
        <f>[2]TongHop!A2168</f>
        <v>0</v>
      </c>
      <c r="B2168">
        <f>[2]TongHop!B2168</f>
        <v>0</v>
      </c>
      <c r="C2168">
        <f>[2]TongHop!C2168</f>
        <v>0</v>
      </c>
      <c r="D2168">
        <f>[2]TongHop!D2168</f>
        <v>0</v>
      </c>
      <c r="E2168">
        <f>[2]TongHop!E2168</f>
        <v>0</v>
      </c>
      <c r="F2168">
        <f>[2]TongHop!F2168</f>
        <v>0</v>
      </c>
      <c r="G2168">
        <f>[2]TongHop!G2168</f>
        <v>0</v>
      </c>
      <c r="H2168">
        <f>[2]TongHop!H2168</f>
        <v>0</v>
      </c>
      <c r="I2168">
        <f>[2]TongHop!I2168</f>
        <v>0</v>
      </c>
      <c r="J2168">
        <f>[2]TongHop!J2168</f>
        <v>0</v>
      </c>
      <c r="K2168">
        <f>[2]TongHop!K2168</f>
        <v>0</v>
      </c>
      <c r="L2168">
        <f>[2]TongHop!L2168</f>
        <v>0</v>
      </c>
      <c r="M2168">
        <f>[2]TongHop!M2168</f>
        <v>0</v>
      </c>
      <c r="N2168">
        <f>[2]TongHop!N2168</f>
        <v>0</v>
      </c>
    </row>
    <row r="2169" spans="1:14">
      <c r="A2169">
        <f>[2]TongHop!A2169</f>
        <v>0</v>
      </c>
      <c r="B2169">
        <f>[2]TongHop!B2169</f>
        <v>0</v>
      </c>
      <c r="C2169">
        <f>[2]TongHop!C2169</f>
        <v>0</v>
      </c>
      <c r="D2169">
        <f>[2]TongHop!D2169</f>
        <v>0</v>
      </c>
      <c r="E2169">
        <f>[2]TongHop!E2169</f>
        <v>0</v>
      </c>
      <c r="F2169">
        <f>[2]TongHop!F2169</f>
        <v>0</v>
      </c>
      <c r="G2169">
        <f>[2]TongHop!G2169</f>
        <v>0</v>
      </c>
      <c r="H2169">
        <f>[2]TongHop!H2169</f>
        <v>0</v>
      </c>
      <c r="I2169">
        <f>[2]TongHop!I2169</f>
        <v>0</v>
      </c>
      <c r="J2169">
        <f>[2]TongHop!J2169</f>
        <v>0</v>
      </c>
      <c r="K2169">
        <f>[2]TongHop!K2169</f>
        <v>0</v>
      </c>
      <c r="L2169">
        <f>[2]TongHop!L2169</f>
        <v>0</v>
      </c>
      <c r="M2169">
        <f>[2]TongHop!M2169</f>
        <v>0</v>
      </c>
      <c r="N2169">
        <f>[2]TongHop!N2169</f>
        <v>0</v>
      </c>
    </row>
    <row r="2170" spans="1:14">
      <c r="A2170">
        <f>[2]TongHop!A2170</f>
        <v>0</v>
      </c>
      <c r="B2170">
        <f>[2]TongHop!B2170</f>
        <v>0</v>
      </c>
      <c r="C2170">
        <f>[2]TongHop!C2170</f>
        <v>0</v>
      </c>
      <c r="D2170">
        <f>[2]TongHop!D2170</f>
        <v>0</v>
      </c>
      <c r="E2170">
        <f>[2]TongHop!E2170</f>
        <v>0</v>
      </c>
      <c r="F2170">
        <f>[2]TongHop!F2170</f>
        <v>0</v>
      </c>
      <c r="G2170">
        <f>[2]TongHop!G2170</f>
        <v>0</v>
      </c>
      <c r="H2170">
        <f>[2]TongHop!H2170</f>
        <v>0</v>
      </c>
      <c r="I2170">
        <f>[2]TongHop!I2170</f>
        <v>0</v>
      </c>
      <c r="J2170">
        <f>[2]TongHop!J2170</f>
        <v>0</v>
      </c>
      <c r="K2170">
        <f>[2]TongHop!K2170</f>
        <v>0</v>
      </c>
      <c r="L2170">
        <f>[2]TongHop!L2170</f>
        <v>0</v>
      </c>
      <c r="M2170">
        <f>[2]TongHop!M2170</f>
        <v>0</v>
      </c>
      <c r="N2170">
        <f>[2]TongHop!N2170</f>
        <v>0</v>
      </c>
    </row>
    <row r="2171" spans="1:14">
      <c r="A2171">
        <f>[2]TongHop!A2171</f>
        <v>0</v>
      </c>
      <c r="B2171">
        <f>[2]TongHop!B2171</f>
        <v>0</v>
      </c>
      <c r="C2171">
        <f>[2]TongHop!C2171</f>
        <v>0</v>
      </c>
      <c r="D2171">
        <f>[2]TongHop!D2171</f>
        <v>0</v>
      </c>
      <c r="E2171">
        <f>[2]TongHop!E2171</f>
        <v>0</v>
      </c>
      <c r="F2171">
        <f>[2]TongHop!F2171</f>
        <v>0</v>
      </c>
      <c r="G2171">
        <f>[2]TongHop!G2171</f>
        <v>0</v>
      </c>
      <c r="H2171">
        <f>[2]TongHop!H2171</f>
        <v>0</v>
      </c>
      <c r="I2171">
        <f>[2]TongHop!I2171</f>
        <v>0</v>
      </c>
      <c r="J2171">
        <f>[2]TongHop!J2171</f>
        <v>0</v>
      </c>
      <c r="K2171">
        <f>[2]TongHop!K2171</f>
        <v>0</v>
      </c>
      <c r="L2171">
        <f>[2]TongHop!L2171</f>
        <v>0</v>
      </c>
      <c r="M2171">
        <f>[2]TongHop!M2171</f>
        <v>0</v>
      </c>
      <c r="N2171">
        <f>[2]TongHop!N2171</f>
        <v>0</v>
      </c>
    </row>
    <row r="2172" spans="1:14">
      <c r="A2172">
        <f>[2]TongHop!A2172</f>
        <v>0</v>
      </c>
      <c r="B2172">
        <f>[2]TongHop!B2172</f>
        <v>0</v>
      </c>
      <c r="C2172">
        <f>[2]TongHop!C2172</f>
        <v>0</v>
      </c>
      <c r="D2172">
        <f>[2]TongHop!D2172</f>
        <v>0</v>
      </c>
      <c r="E2172">
        <f>[2]TongHop!E2172</f>
        <v>0</v>
      </c>
      <c r="F2172">
        <f>[2]TongHop!F2172</f>
        <v>0</v>
      </c>
      <c r="G2172">
        <f>[2]TongHop!G2172</f>
        <v>0</v>
      </c>
      <c r="H2172">
        <f>[2]TongHop!H2172</f>
        <v>0</v>
      </c>
      <c r="I2172">
        <f>[2]TongHop!I2172</f>
        <v>0</v>
      </c>
      <c r="J2172">
        <f>[2]TongHop!J2172</f>
        <v>0</v>
      </c>
      <c r="K2172">
        <f>[2]TongHop!K2172</f>
        <v>0</v>
      </c>
      <c r="L2172">
        <f>[2]TongHop!L2172</f>
        <v>0</v>
      </c>
      <c r="M2172">
        <f>[2]TongHop!M2172</f>
        <v>0</v>
      </c>
      <c r="N2172">
        <f>[2]TongHop!N2172</f>
        <v>0</v>
      </c>
    </row>
    <row r="2173" spans="1:14">
      <c r="A2173">
        <f>[2]TongHop!A2173</f>
        <v>0</v>
      </c>
      <c r="B2173">
        <f>[2]TongHop!B2173</f>
        <v>0</v>
      </c>
      <c r="C2173">
        <f>[2]TongHop!C2173</f>
        <v>0</v>
      </c>
      <c r="D2173">
        <f>[2]TongHop!D2173</f>
        <v>0</v>
      </c>
      <c r="E2173">
        <f>[2]TongHop!E2173</f>
        <v>0</v>
      </c>
      <c r="F2173">
        <f>[2]TongHop!F2173</f>
        <v>0</v>
      </c>
      <c r="G2173">
        <f>[2]TongHop!G2173</f>
        <v>0</v>
      </c>
      <c r="H2173">
        <f>[2]TongHop!H2173</f>
        <v>0</v>
      </c>
      <c r="I2173">
        <f>[2]TongHop!I2173</f>
        <v>0</v>
      </c>
      <c r="J2173">
        <f>[2]TongHop!J2173</f>
        <v>0</v>
      </c>
      <c r="K2173">
        <f>[2]TongHop!K2173</f>
        <v>0</v>
      </c>
      <c r="L2173">
        <f>[2]TongHop!L2173</f>
        <v>0</v>
      </c>
      <c r="M2173">
        <f>[2]TongHop!M2173</f>
        <v>0</v>
      </c>
      <c r="N2173">
        <f>[2]TongHop!N2173</f>
        <v>0</v>
      </c>
    </row>
    <row r="2174" spans="1:14">
      <c r="A2174">
        <f>[2]TongHop!A2174</f>
        <v>0</v>
      </c>
      <c r="B2174">
        <f>[2]TongHop!B2174</f>
        <v>0</v>
      </c>
      <c r="C2174">
        <f>[2]TongHop!C2174</f>
        <v>0</v>
      </c>
      <c r="D2174">
        <f>[2]TongHop!D2174</f>
        <v>0</v>
      </c>
      <c r="E2174">
        <f>[2]TongHop!E2174</f>
        <v>0</v>
      </c>
      <c r="F2174">
        <f>[2]TongHop!F2174</f>
        <v>0</v>
      </c>
      <c r="G2174">
        <f>[2]TongHop!G2174</f>
        <v>0</v>
      </c>
      <c r="H2174">
        <f>[2]TongHop!H2174</f>
        <v>0</v>
      </c>
      <c r="I2174">
        <f>[2]TongHop!I2174</f>
        <v>0</v>
      </c>
      <c r="J2174">
        <f>[2]TongHop!J2174</f>
        <v>0</v>
      </c>
      <c r="K2174">
        <f>[2]TongHop!K2174</f>
        <v>0</v>
      </c>
      <c r="L2174">
        <f>[2]TongHop!L2174</f>
        <v>0</v>
      </c>
      <c r="M2174">
        <f>[2]TongHop!M2174</f>
        <v>0</v>
      </c>
      <c r="N2174">
        <f>[2]TongHop!N2174</f>
        <v>0</v>
      </c>
    </row>
    <row r="2175" spans="1:14">
      <c r="A2175">
        <f>[2]TongHop!A2175</f>
        <v>0</v>
      </c>
      <c r="B2175">
        <f>[2]TongHop!B2175</f>
        <v>0</v>
      </c>
      <c r="C2175">
        <f>[2]TongHop!C2175</f>
        <v>0</v>
      </c>
      <c r="D2175">
        <f>[2]TongHop!D2175</f>
        <v>0</v>
      </c>
      <c r="E2175">
        <f>[2]TongHop!E2175</f>
        <v>0</v>
      </c>
      <c r="F2175">
        <f>[2]TongHop!F2175</f>
        <v>0</v>
      </c>
      <c r="G2175">
        <f>[2]TongHop!G2175</f>
        <v>0</v>
      </c>
      <c r="H2175">
        <f>[2]TongHop!H2175</f>
        <v>0</v>
      </c>
      <c r="I2175">
        <f>[2]TongHop!I2175</f>
        <v>0</v>
      </c>
      <c r="J2175">
        <f>[2]TongHop!J2175</f>
        <v>0</v>
      </c>
      <c r="K2175">
        <f>[2]TongHop!K2175</f>
        <v>0</v>
      </c>
      <c r="L2175">
        <f>[2]TongHop!L2175</f>
        <v>0</v>
      </c>
      <c r="M2175">
        <f>[2]TongHop!M2175</f>
        <v>0</v>
      </c>
      <c r="N2175">
        <f>[2]TongHop!N2175</f>
        <v>0</v>
      </c>
    </row>
    <row r="2176" spans="1:14">
      <c r="A2176">
        <f>[2]TongHop!A2176</f>
        <v>0</v>
      </c>
      <c r="B2176">
        <f>[2]TongHop!B2176</f>
        <v>0</v>
      </c>
      <c r="C2176">
        <f>[2]TongHop!C2176</f>
        <v>0</v>
      </c>
      <c r="D2176">
        <f>[2]TongHop!D2176</f>
        <v>0</v>
      </c>
      <c r="E2176">
        <f>[2]TongHop!E2176</f>
        <v>0</v>
      </c>
      <c r="F2176">
        <f>[2]TongHop!F2176</f>
        <v>0</v>
      </c>
      <c r="G2176">
        <f>[2]TongHop!G2176</f>
        <v>0</v>
      </c>
      <c r="H2176">
        <f>[2]TongHop!H2176</f>
        <v>0</v>
      </c>
      <c r="I2176">
        <f>[2]TongHop!I2176</f>
        <v>0</v>
      </c>
      <c r="J2176">
        <f>[2]TongHop!J2176</f>
        <v>0</v>
      </c>
      <c r="K2176">
        <f>[2]TongHop!K2176</f>
        <v>0</v>
      </c>
      <c r="L2176">
        <f>[2]TongHop!L2176</f>
        <v>0</v>
      </c>
      <c r="M2176">
        <f>[2]TongHop!M2176</f>
        <v>0</v>
      </c>
      <c r="N2176">
        <f>[2]TongHop!N2176</f>
        <v>0</v>
      </c>
    </row>
    <row r="2177" spans="1:14">
      <c r="A2177">
        <f>[2]TongHop!A2177</f>
        <v>0</v>
      </c>
      <c r="B2177">
        <f>[2]TongHop!B2177</f>
        <v>0</v>
      </c>
      <c r="C2177">
        <f>[2]TongHop!C2177</f>
        <v>0</v>
      </c>
      <c r="D2177">
        <f>[2]TongHop!D2177</f>
        <v>0</v>
      </c>
      <c r="E2177">
        <f>[2]TongHop!E2177</f>
        <v>0</v>
      </c>
      <c r="F2177">
        <f>[2]TongHop!F2177</f>
        <v>0</v>
      </c>
      <c r="G2177">
        <f>[2]TongHop!G2177</f>
        <v>0</v>
      </c>
      <c r="H2177">
        <f>[2]TongHop!H2177</f>
        <v>0</v>
      </c>
      <c r="I2177">
        <f>[2]TongHop!I2177</f>
        <v>0</v>
      </c>
      <c r="J2177">
        <f>[2]TongHop!J2177</f>
        <v>0</v>
      </c>
      <c r="K2177">
        <f>[2]TongHop!K2177</f>
        <v>0</v>
      </c>
      <c r="L2177">
        <f>[2]TongHop!L2177</f>
        <v>0</v>
      </c>
      <c r="M2177">
        <f>[2]TongHop!M2177</f>
        <v>0</v>
      </c>
      <c r="N2177">
        <f>[2]TongHop!N2177</f>
        <v>0</v>
      </c>
    </row>
    <row r="2178" spans="1:14">
      <c r="A2178">
        <f>[2]TongHop!A2178</f>
        <v>0</v>
      </c>
      <c r="B2178">
        <f>[2]TongHop!B2178</f>
        <v>0</v>
      </c>
      <c r="C2178">
        <f>[2]TongHop!C2178</f>
        <v>0</v>
      </c>
      <c r="D2178">
        <f>[2]TongHop!D2178</f>
        <v>0</v>
      </c>
      <c r="E2178">
        <f>[2]TongHop!E2178</f>
        <v>0</v>
      </c>
      <c r="F2178">
        <f>[2]TongHop!F2178</f>
        <v>0</v>
      </c>
      <c r="G2178">
        <f>[2]TongHop!G2178</f>
        <v>0</v>
      </c>
      <c r="H2178">
        <f>[2]TongHop!H2178</f>
        <v>0</v>
      </c>
      <c r="I2178">
        <f>[2]TongHop!I2178</f>
        <v>0</v>
      </c>
      <c r="J2178">
        <f>[2]TongHop!J2178</f>
        <v>0</v>
      </c>
      <c r="K2178">
        <f>[2]TongHop!K2178</f>
        <v>0</v>
      </c>
      <c r="L2178">
        <f>[2]TongHop!L2178</f>
        <v>0</v>
      </c>
      <c r="M2178">
        <f>[2]TongHop!M2178</f>
        <v>0</v>
      </c>
      <c r="N2178">
        <f>[2]TongHop!N2178</f>
        <v>0</v>
      </c>
    </row>
    <row r="2179" spans="1:14">
      <c r="A2179">
        <f>[2]TongHop!A2179</f>
        <v>0</v>
      </c>
      <c r="B2179">
        <f>[2]TongHop!B2179</f>
        <v>0</v>
      </c>
      <c r="C2179">
        <f>[2]TongHop!C2179</f>
        <v>0</v>
      </c>
      <c r="D2179">
        <f>[2]TongHop!D2179</f>
        <v>0</v>
      </c>
      <c r="E2179">
        <f>[2]TongHop!E2179</f>
        <v>0</v>
      </c>
      <c r="F2179">
        <f>[2]TongHop!F2179</f>
        <v>0</v>
      </c>
      <c r="G2179">
        <f>[2]TongHop!G2179</f>
        <v>0</v>
      </c>
      <c r="H2179">
        <f>[2]TongHop!H2179</f>
        <v>0</v>
      </c>
      <c r="I2179">
        <f>[2]TongHop!I2179</f>
        <v>0</v>
      </c>
      <c r="J2179">
        <f>[2]TongHop!J2179</f>
        <v>0</v>
      </c>
      <c r="K2179">
        <f>[2]TongHop!K2179</f>
        <v>0</v>
      </c>
      <c r="L2179">
        <f>[2]TongHop!L2179</f>
        <v>0</v>
      </c>
      <c r="M2179">
        <f>[2]TongHop!M2179</f>
        <v>0</v>
      </c>
      <c r="N2179">
        <f>[2]TongHop!N2179</f>
        <v>0</v>
      </c>
    </row>
    <row r="2180" spans="1:14">
      <c r="A2180">
        <f>[2]TongHop!A2180</f>
        <v>0</v>
      </c>
      <c r="B2180">
        <f>[2]TongHop!B2180</f>
        <v>0</v>
      </c>
      <c r="C2180">
        <f>[2]TongHop!C2180</f>
        <v>0</v>
      </c>
      <c r="D2180">
        <f>[2]TongHop!D2180</f>
        <v>0</v>
      </c>
      <c r="E2180">
        <f>[2]TongHop!E2180</f>
        <v>0</v>
      </c>
      <c r="F2180">
        <f>[2]TongHop!F2180</f>
        <v>0</v>
      </c>
      <c r="G2180">
        <f>[2]TongHop!G2180</f>
        <v>0</v>
      </c>
      <c r="H2180">
        <f>[2]TongHop!H2180</f>
        <v>0</v>
      </c>
      <c r="I2180">
        <f>[2]TongHop!I2180</f>
        <v>0</v>
      </c>
      <c r="J2180">
        <f>[2]TongHop!J2180</f>
        <v>0</v>
      </c>
      <c r="K2180">
        <f>[2]TongHop!K2180</f>
        <v>0</v>
      </c>
      <c r="L2180">
        <f>[2]TongHop!L2180</f>
        <v>0</v>
      </c>
      <c r="M2180">
        <f>[2]TongHop!M2180</f>
        <v>0</v>
      </c>
      <c r="N2180">
        <f>[2]TongHop!N2180</f>
        <v>0</v>
      </c>
    </row>
    <row r="2181" spans="1:14">
      <c r="A2181">
        <f>[2]TongHop!A2181</f>
        <v>0</v>
      </c>
      <c r="B2181">
        <f>[2]TongHop!B2181</f>
        <v>0</v>
      </c>
      <c r="C2181">
        <f>[2]TongHop!C2181</f>
        <v>0</v>
      </c>
      <c r="D2181">
        <f>[2]TongHop!D2181</f>
        <v>0</v>
      </c>
      <c r="E2181">
        <f>[2]TongHop!E2181</f>
        <v>0</v>
      </c>
      <c r="F2181">
        <f>[2]TongHop!F2181</f>
        <v>0</v>
      </c>
      <c r="G2181">
        <f>[2]TongHop!G2181</f>
        <v>0</v>
      </c>
      <c r="H2181">
        <f>[2]TongHop!H2181</f>
        <v>0</v>
      </c>
      <c r="I2181">
        <f>[2]TongHop!I2181</f>
        <v>0</v>
      </c>
      <c r="J2181">
        <f>[2]TongHop!J2181</f>
        <v>0</v>
      </c>
      <c r="K2181">
        <f>[2]TongHop!K2181</f>
        <v>0</v>
      </c>
      <c r="L2181">
        <f>[2]TongHop!L2181</f>
        <v>0</v>
      </c>
      <c r="M2181">
        <f>[2]TongHop!M2181</f>
        <v>0</v>
      </c>
      <c r="N2181">
        <f>[2]TongHop!N2181</f>
        <v>0</v>
      </c>
    </row>
    <row r="2182" spans="1:14">
      <c r="A2182">
        <f>[2]TongHop!A2182</f>
        <v>0</v>
      </c>
      <c r="B2182">
        <f>[2]TongHop!B2182</f>
        <v>0</v>
      </c>
      <c r="C2182">
        <f>[2]TongHop!C2182</f>
        <v>0</v>
      </c>
      <c r="D2182">
        <f>[2]TongHop!D2182</f>
        <v>0</v>
      </c>
      <c r="E2182">
        <f>[2]TongHop!E2182</f>
        <v>0</v>
      </c>
      <c r="F2182">
        <f>[2]TongHop!F2182</f>
        <v>0</v>
      </c>
      <c r="G2182">
        <f>[2]TongHop!G2182</f>
        <v>0</v>
      </c>
      <c r="H2182">
        <f>[2]TongHop!H2182</f>
        <v>0</v>
      </c>
      <c r="I2182">
        <f>[2]TongHop!I2182</f>
        <v>0</v>
      </c>
      <c r="J2182">
        <f>[2]TongHop!J2182</f>
        <v>0</v>
      </c>
      <c r="K2182">
        <f>[2]TongHop!K2182</f>
        <v>0</v>
      </c>
      <c r="L2182">
        <f>[2]TongHop!L2182</f>
        <v>0</v>
      </c>
      <c r="M2182">
        <f>[2]TongHop!M2182</f>
        <v>0</v>
      </c>
      <c r="N2182">
        <f>[2]TongHop!N2182</f>
        <v>0</v>
      </c>
    </row>
    <row r="2183" spans="1:14">
      <c r="A2183">
        <f>[2]TongHop!A2183</f>
        <v>0</v>
      </c>
      <c r="B2183">
        <f>[2]TongHop!B2183</f>
        <v>0</v>
      </c>
      <c r="C2183">
        <f>[2]TongHop!C2183</f>
        <v>0</v>
      </c>
      <c r="D2183">
        <f>[2]TongHop!D2183</f>
        <v>0</v>
      </c>
      <c r="E2183">
        <f>[2]TongHop!E2183</f>
        <v>0</v>
      </c>
      <c r="F2183">
        <f>[2]TongHop!F2183</f>
        <v>0</v>
      </c>
      <c r="G2183">
        <f>[2]TongHop!G2183</f>
        <v>0</v>
      </c>
      <c r="H2183">
        <f>[2]TongHop!H2183</f>
        <v>0</v>
      </c>
      <c r="I2183">
        <f>[2]TongHop!I2183</f>
        <v>0</v>
      </c>
      <c r="J2183">
        <f>[2]TongHop!J2183</f>
        <v>0</v>
      </c>
      <c r="K2183">
        <f>[2]TongHop!K2183</f>
        <v>0</v>
      </c>
      <c r="L2183">
        <f>[2]TongHop!L2183</f>
        <v>0</v>
      </c>
      <c r="M2183">
        <f>[2]TongHop!M2183</f>
        <v>0</v>
      </c>
      <c r="N2183">
        <f>[2]TongHop!N2183</f>
        <v>0</v>
      </c>
    </row>
    <row r="2184" spans="1:14">
      <c r="A2184">
        <f>[2]TongHop!A2184</f>
        <v>0</v>
      </c>
      <c r="B2184">
        <f>[2]TongHop!B2184</f>
        <v>0</v>
      </c>
      <c r="C2184">
        <f>[2]TongHop!C2184</f>
        <v>0</v>
      </c>
      <c r="D2184">
        <f>[2]TongHop!D2184</f>
        <v>0</v>
      </c>
      <c r="E2184">
        <f>[2]TongHop!E2184</f>
        <v>0</v>
      </c>
      <c r="F2184">
        <f>[2]TongHop!F2184</f>
        <v>0</v>
      </c>
      <c r="G2184">
        <f>[2]TongHop!G2184</f>
        <v>0</v>
      </c>
      <c r="H2184">
        <f>[2]TongHop!H2184</f>
        <v>0</v>
      </c>
      <c r="I2184">
        <f>[2]TongHop!I2184</f>
        <v>0</v>
      </c>
      <c r="J2184">
        <f>[2]TongHop!J2184</f>
        <v>0</v>
      </c>
      <c r="K2184">
        <f>[2]TongHop!K2184</f>
        <v>0</v>
      </c>
      <c r="L2184">
        <f>[2]TongHop!L2184</f>
        <v>0</v>
      </c>
      <c r="M2184">
        <f>[2]TongHop!M2184</f>
        <v>0</v>
      </c>
      <c r="N2184">
        <f>[2]TongHop!N2184</f>
        <v>0</v>
      </c>
    </row>
    <row r="2185" spans="1:14">
      <c r="A2185">
        <f>[2]TongHop!A2185</f>
        <v>0</v>
      </c>
      <c r="B2185">
        <f>[2]TongHop!B2185</f>
        <v>0</v>
      </c>
      <c r="C2185">
        <f>[2]TongHop!C2185</f>
        <v>0</v>
      </c>
      <c r="D2185">
        <f>[2]TongHop!D2185</f>
        <v>0</v>
      </c>
      <c r="E2185">
        <f>[2]TongHop!E2185</f>
        <v>0</v>
      </c>
      <c r="F2185">
        <f>[2]TongHop!F2185</f>
        <v>0</v>
      </c>
      <c r="G2185">
        <f>[2]TongHop!G2185</f>
        <v>0</v>
      </c>
      <c r="H2185">
        <f>[2]TongHop!H2185</f>
        <v>0</v>
      </c>
      <c r="I2185">
        <f>[2]TongHop!I2185</f>
        <v>0</v>
      </c>
      <c r="J2185">
        <f>[2]TongHop!J2185</f>
        <v>0</v>
      </c>
      <c r="K2185">
        <f>[2]TongHop!K2185</f>
        <v>0</v>
      </c>
      <c r="L2185">
        <f>[2]TongHop!L2185</f>
        <v>0</v>
      </c>
      <c r="M2185">
        <f>[2]TongHop!M2185</f>
        <v>0</v>
      </c>
      <c r="N2185">
        <f>[2]TongHop!N2185</f>
        <v>0</v>
      </c>
    </row>
    <row r="2186" spans="1:14">
      <c r="A2186">
        <f>[2]TongHop!A2186</f>
        <v>0</v>
      </c>
      <c r="B2186">
        <f>[2]TongHop!B2186</f>
        <v>0</v>
      </c>
      <c r="C2186">
        <f>[2]TongHop!C2186</f>
        <v>0</v>
      </c>
      <c r="D2186">
        <f>[2]TongHop!D2186</f>
        <v>0</v>
      </c>
      <c r="E2186">
        <f>[2]TongHop!E2186</f>
        <v>0</v>
      </c>
      <c r="F2186">
        <f>[2]TongHop!F2186</f>
        <v>0</v>
      </c>
      <c r="G2186">
        <f>[2]TongHop!G2186</f>
        <v>0</v>
      </c>
      <c r="H2186">
        <f>[2]TongHop!H2186</f>
        <v>0</v>
      </c>
      <c r="I2186">
        <f>[2]TongHop!I2186</f>
        <v>0</v>
      </c>
      <c r="J2186">
        <f>[2]TongHop!J2186</f>
        <v>0</v>
      </c>
      <c r="K2186">
        <f>[2]TongHop!K2186</f>
        <v>0</v>
      </c>
      <c r="L2186">
        <f>[2]TongHop!L2186</f>
        <v>0</v>
      </c>
      <c r="M2186">
        <f>[2]TongHop!M2186</f>
        <v>0</v>
      </c>
      <c r="N2186">
        <f>[2]TongHop!N2186</f>
        <v>0</v>
      </c>
    </row>
    <row r="2187" spans="1:14">
      <c r="A2187">
        <f>[2]TongHop!A2187</f>
        <v>0</v>
      </c>
      <c r="B2187">
        <f>[2]TongHop!B2187</f>
        <v>0</v>
      </c>
      <c r="C2187">
        <f>[2]TongHop!C2187</f>
        <v>0</v>
      </c>
      <c r="D2187">
        <f>[2]TongHop!D2187</f>
        <v>0</v>
      </c>
      <c r="E2187">
        <f>[2]TongHop!E2187</f>
        <v>0</v>
      </c>
      <c r="F2187">
        <f>[2]TongHop!F2187</f>
        <v>0</v>
      </c>
      <c r="G2187">
        <f>[2]TongHop!G2187</f>
        <v>0</v>
      </c>
      <c r="H2187">
        <f>[2]TongHop!H2187</f>
        <v>0</v>
      </c>
      <c r="I2187">
        <f>[2]TongHop!I2187</f>
        <v>0</v>
      </c>
      <c r="J2187">
        <f>[2]TongHop!J2187</f>
        <v>0</v>
      </c>
      <c r="K2187">
        <f>[2]TongHop!K2187</f>
        <v>0</v>
      </c>
      <c r="L2187">
        <f>[2]TongHop!L2187</f>
        <v>0</v>
      </c>
      <c r="M2187">
        <f>[2]TongHop!M2187</f>
        <v>0</v>
      </c>
      <c r="N2187">
        <f>[2]TongHop!N2187</f>
        <v>0</v>
      </c>
    </row>
    <row r="2188" spans="1:14">
      <c r="A2188">
        <f>[2]TongHop!A2188</f>
        <v>0</v>
      </c>
      <c r="B2188">
        <f>[2]TongHop!B2188</f>
        <v>0</v>
      </c>
      <c r="C2188">
        <f>[2]TongHop!C2188</f>
        <v>0</v>
      </c>
      <c r="D2188">
        <f>[2]TongHop!D2188</f>
        <v>0</v>
      </c>
      <c r="E2188">
        <f>[2]TongHop!E2188</f>
        <v>0</v>
      </c>
      <c r="F2188">
        <f>[2]TongHop!F2188</f>
        <v>0</v>
      </c>
      <c r="G2188">
        <f>[2]TongHop!G2188</f>
        <v>0</v>
      </c>
      <c r="H2188">
        <f>[2]TongHop!H2188</f>
        <v>0</v>
      </c>
      <c r="I2188">
        <f>[2]TongHop!I2188</f>
        <v>0</v>
      </c>
      <c r="J2188">
        <f>[2]TongHop!J2188</f>
        <v>0</v>
      </c>
      <c r="K2188">
        <f>[2]TongHop!K2188</f>
        <v>0</v>
      </c>
      <c r="L2188">
        <f>[2]TongHop!L2188</f>
        <v>0</v>
      </c>
      <c r="M2188">
        <f>[2]TongHop!M2188</f>
        <v>0</v>
      </c>
      <c r="N2188">
        <f>[2]TongHop!N2188</f>
        <v>0</v>
      </c>
    </row>
    <row r="2189" spans="1:14">
      <c r="A2189">
        <f>[2]TongHop!A2189</f>
        <v>0</v>
      </c>
      <c r="B2189">
        <f>[2]TongHop!B2189</f>
        <v>0</v>
      </c>
      <c r="C2189">
        <f>[2]TongHop!C2189</f>
        <v>0</v>
      </c>
      <c r="D2189">
        <f>[2]TongHop!D2189</f>
        <v>0</v>
      </c>
      <c r="E2189">
        <f>[2]TongHop!E2189</f>
        <v>0</v>
      </c>
      <c r="F2189">
        <f>[2]TongHop!F2189</f>
        <v>0</v>
      </c>
      <c r="G2189">
        <f>[2]TongHop!G2189</f>
        <v>0</v>
      </c>
      <c r="H2189">
        <f>[2]TongHop!H2189</f>
        <v>0</v>
      </c>
      <c r="I2189">
        <f>[2]TongHop!I2189</f>
        <v>0</v>
      </c>
      <c r="J2189">
        <f>[2]TongHop!J2189</f>
        <v>0</v>
      </c>
      <c r="K2189">
        <f>[2]TongHop!K2189</f>
        <v>0</v>
      </c>
      <c r="L2189">
        <f>[2]TongHop!L2189</f>
        <v>0</v>
      </c>
      <c r="M2189">
        <f>[2]TongHop!M2189</f>
        <v>0</v>
      </c>
      <c r="N2189">
        <f>[2]TongHop!N2189</f>
        <v>0</v>
      </c>
    </row>
    <row r="2190" spans="1:14">
      <c r="A2190">
        <f>[2]TongHop!A2190</f>
        <v>0</v>
      </c>
      <c r="B2190">
        <f>[2]TongHop!B2190</f>
        <v>0</v>
      </c>
      <c r="C2190">
        <f>[2]TongHop!C2190</f>
        <v>0</v>
      </c>
      <c r="D2190">
        <f>[2]TongHop!D2190</f>
        <v>0</v>
      </c>
      <c r="E2190">
        <f>[2]TongHop!E2190</f>
        <v>0</v>
      </c>
      <c r="F2190">
        <f>[2]TongHop!F2190</f>
        <v>0</v>
      </c>
      <c r="G2190">
        <f>[2]TongHop!G2190</f>
        <v>0</v>
      </c>
      <c r="H2190">
        <f>[2]TongHop!H2190</f>
        <v>0</v>
      </c>
      <c r="I2190">
        <f>[2]TongHop!I2190</f>
        <v>0</v>
      </c>
      <c r="J2190">
        <f>[2]TongHop!J2190</f>
        <v>0</v>
      </c>
      <c r="K2190">
        <f>[2]TongHop!K2190</f>
        <v>0</v>
      </c>
      <c r="L2190">
        <f>[2]TongHop!L2190</f>
        <v>0</v>
      </c>
      <c r="M2190">
        <f>[2]TongHop!M2190</f>
        <v>0</v>
      </c>
      <c r="N2190">
        <f>[2]TongHop!N2190</f>
        <v>0</v>
      </c>
    </row>
    <row r="2191" spans="1:14">
      <c r="A2191">
        <f>[2]TongHop!A2191</f>
        <v>0</v>
      </c>
      <c r="B2191">
        <f>[2]TongHop!B2191</f>
        <v>0</v>
      </c>
      <c r="C2191">
        <f>[2]TongHop!C2191</f>
        <v>0</v>
      </c>
      <c r="D2191">
        <f>[2]TongHop!D2191</f>
        <v>0</v>
      </c>
      <c r="E2191">
        <f>[2]TongHop!E2191</f>
        <v>0</v>
      </c>
      <c r="F2191">
        <f>[2]TongHop!F2191</f>
        <v>0</v>
      </c>
      <c r="G2191">
        <f>[2]TongHop!G2191</f>
        <v>0</v>
      </c>
      <c r="H2191">
        <f>[2]TongHop!H2191</f>
        <v>0</v>
      </c>
      <c r="I2191">
        <f>[2]TongHop!I2191</f>
        <v>0</v>
      </c>
      <c r="J2191">
        <f>[2]TongHop!J2191</f>
        <v>0</v>
      </c>
      <c r="K2191">
        <f>[2]TongHop!K2191</f>
        <v>0</v>
      </c>
      <c r="L2191">
        <f>[2]TongHop!L2191</f>
        <v>0</v>
      </c>
      <c r="M2191">
        <f>[2]TongHop!M2191</f>
        <v>0</v>
      </c>
      <c r="N2191">
        <f>[2]TongHop!N2191</f>
        <v>0</v>
      </c>
    </row>
    <row r="2192" spans="1:14">
      <c r="A2192">
        <f>[2]TongHop!A2192</f>
        <v>0</v>
      </c>
      <c r="B2192">
        <f>[2]TongHop!B2192</f>
        <v>0</v>
      </c>
      <c r="C2192">
        <f>[2]TongHop!C2192</f>
        <v>0</v>
      </c>
      <c r="D2192">
        <f>[2]TongHop!D2192</f>
        <v>0</v>
      </c>
      <c r="E2192">
        <f>[2]TongHop!E2192</f>
        <v>0</v>
      </c>
      <c r="F2192">
        <f>[2]TongHop!F2192</f>
        <v>0</v>
      </c>
      <c r="G2192">
        <f>[2]TongHop!G2192</f>
        <v>0</v>
      </c>
      <c r="H2192">
        <f>[2]TongHop!H2192</f>
        <v>0</v>
      </c>
      <c r="I2192">
        <f>[2]TongHop!I2192</f>
        <v>0</v>
      </c>
      <c r="J2192">
        <f>[2]TongHop!J2192</f>
        <v>0</v>
      </c>
      <c r="K2192">
        <f>[2]TongHop!K2192</f>
        <v>0</v>
      </c>
      <c r="L2192">
        <f>[2]TongHop!L2192</f>
        <v>0</v>
      </c>
      <c r="M2192">
        <f>[2]TongHop!M2192</f>
        <v>0</v>
      </c>
      <c r="N2192">
        <f>[2]TongHop!N2192</f>
        <v>0</v>
      </c>
    </row>
    <row r="2193" spans="1:14">
      <c r="A2193">
        <f>[2]TongHop!A2193</f>
        <v>0</v>
      </c>
      <c r="B2193">
        <f>[2]TongHop!B2193</f>
        <v>0</v>
      </c>
      <c r="C2193">
        <f>[2]TongHop!C2193</f>
        <v>0</v>
      </c>
      <c r="D2193">
        <f>[2]TongHop!D2193</f>
        <v>0</v>
      </c>
      <c r="E2193">
        <f>[2]TongHop!E2193</f>
        <v>0</v>
      </c>
      <c r="F2193">
        <f>[2]TongHop!F2193</f>
        <v>0</v>
      </c>
      <c r="G2193">
        <f>[2]TongHop!G2193</f>
        <v>0</v>
      </c>
      <c r="H2193">
        <f>[2]TongHop!H2193</f>
        <v>0</v>
      </c>
      <c r="I2193">
        <f>[2]TongHop!I2193</f>
        <v>0</v>
      </c>
      <c r="J2193">
        <f>[2]TongHop!J2193</f>
        <v>0</v>
      </c>
      <c r="K2193">
        <f>[2]TongHop!K2193</f>
        <v>0</v>
      </c>
      <c r="L2193">
        <f>[2]TongHop!L2193</f>
        <v>0</v>
      </c>
      <c r="M2193">
        <f>[2]TongHop!M2193</f>
        <v>0</v>
      </c>
      <c r="N2193">
        <f>[2]TongHop!N2193</f>
        <v>0</v>
      </c>
    </row>
    <row r="2194" spans="1:14">
      <c r="A2194">
        <f>[2]TongHop!A2194</f>
        <v>0</v>
      </c>
      <c r="B2194">
        <f>[2]TongHop!B2194</f>
        <v>0</v>
      </c>
      <c r="C2194">
        <f>[2]TongHop!C2194</f>
        <v>0</v>
      </c>
      <c r="D2194">
        <f>[2]TongHop!D2194</f>
        <v>0</v>
      </c>
      <c r="E2194">
        <f>[2]TongHop!E2194</f>
        <v>0</v>
      </c>
      <c r="F2194">
        <f>[2]TongHop!F2194</f>
        <v>0</v>
      </c>
      <c r="G2194">
        <f>[2]TongHop!G2194</f>
        <v>0</v>
      </c>
      <c r="H2194">
        <f>[2]TongHop!H2194</f>
        <v>0</v>
      </c>
      <c r="I2194">
        <f>[2]TongHop!I2194</f>
        <v>0</v>
      </c>
      <c r="J2194">
        <f>[2]TongHop!J2194</f>
        <v>0</v>
      </c>
      <c r="K2194">
        <f>[2]TongHop!K2194</f>
        <v>0</v>
      </c>
      <c r="L2194">
        <f>[2]TongHop!L2194</f>
        <v>0</v>
      </c>
      <c r="M2194">
        <f>[2]TongHop!M2194</f>
        <v>0</v>
      </c>
      <c r="N2194">
        <f>[2]TongHop!N2194</f>
        <v>0</v>
      </c>
    </row>
    <row r="2195" spans="1:14">
      <c r="A2195">
        <f>[2]TongHop!A2195</f>
        <v>0</v>
      </c>
      <c r="B2195">
        <f>[2]TongHop!B2195</f>
        <v>0</v>
      </c>
      <c r="C2195">
        <f>[2]TongHop!C2195</f>
        <v>0</v>
      </c>
      <c r="D2195">
        <f>[2]TongHop!D2195</f>
        <v>0</v>
      </c>
      <c r="E2195">
        <f>[2]TongHop!E2195</f>
        <v>0</v>
      </c>
      <c r="F2195">
        <f>[2]TongHop!F2195</f>
        <v>0</v>
      </c>
      <c r="G2195">
        <f>[2]TongHop!G2195</f>
        <v>0</v>
      </c>
      <c r="H2195">
        <f>[2]TongHop!H2195</f>
        <v>0</v>
      </c>
      <c r="I2195">
        <f>[2]TongHop!I2195</f>
        <v>0</v>
      </c>
      <c r="J2195">
        <f>[2]TongHop!J2195</f>
        <v>0</v>
      </c>
      <c r="K2195">
        <f>[2]TongHop!K2195</f>
        <v>0</v>
      </c>
      <c r="L2195">
        <f>[2]TongHop!L2195</f>
        <v>0</v>
      </c>
      <c r="M2195">
        <f>[2]TongHop!M2195</f>
        <v>0</v>
      </c>
      <c r="N2195">
        <f>[2]TongHop!N2195</f>
        <v>0</v>
      </c>
    </row>
    <row r="2196" spans="1:14">
      <c r="A2196">
        <f>[2]TongHop!A2196</f>
        <v>0</v>
      </c>
      <c r="B2196">
        <f>[2]TongHop!B2196</f>
        <v>0</v>
      </c>
      <c r="C2196">
        <f>[2]TongHop!C2196</f>
        <v>0</v>
      </c>
      <c r="D2196">
        <f>[2]TongHop!D2196</f>
        <v>0</v>
      </c>
      <c r="E2196">
        <f>[2]TongHop!E2196</f>
        <v>0</v>
      </c>
      <c r="F2196">
        <f>[2]TongHop!F2196</f>
        <v>0</v>
      </c>
      <c r="G2196">
        <f>[2]TongHop!G2196</f>
        <v>0</v>
      </c>
      <c r="H2196">
        <f>[2]TongHop!H2196</f>
        <v>0</v>
      </c>
      <c r="I2196">
        <f>[2]TongHop!I2196</f>
        <v>0</v>
      </c>
      <c r="J2196">
        <f>[2]TongHop!J2196</f>
        <v>0</v>
      </c>
      <c r="K2196">
        <f>[2]TongHop!K2196</f>
        <v>0</v>
      </c>
      <c r="L2196">
        <f>[2]TongHop!L2196</f>
        <v>0</v>
      </c>
      <c r="M2196">
        <f>[2]TongHop!M2196</f>
        <v>0</v>
      </c>
      <c r="N2196">
        <f>[2]TongHop!N2196</f>
        <v>0</v>
      </c>
    </row>
    <row r="2197" spans="1:14">
      <c r="A2197">
        <f>[2]TongHop!A2197</f>
        <v>0</v>
      </c>
      <c r="B2197">
        <f>[2]TongHop!B2197</f>
        <v>0</v>
      </c>
      <c r="C2197">
        <f>[2]TongHop!C2197</f>
        <v>0</v>
      </c>
      <c r="D2197">
        <f>[2]TongHop!D2197</f>
        <v>0</v>
      </c>
      <c r="E2197">
        <f>[2]TongHop!E2197</f>
        <v>0</v>
      </c>
      <c r="F2197">
        <f>[2]TongHop!F2197</f>
        <v>0</v>
      </c>
      <c r="G2197">
        <f>[2]TongHop!G2197</f>
        <v>0</v>
      </c>
      <c r="H2197">
        <f>[2]TongHop!H2197</f>
        <v>0</v>
      </c>
      <c r="I2197">
        <f>[2]TongHop!I2197</f>
        <v>0</v>
      </c>
      <c r="J2197">
        <f>[2]TongHop!J2197</f>
        <v>0</v>
      </c>
      <c r="K2197">
        <f>[2]TongHop!K2197</f>
        <v>0</v>
      </c>
      <c r="L2197">
        <f>[2]TongHop!L2197</f>
        <v>0</v>
      </c>
      <c r="M2197">
        <f>[2]TongHop!M2197</f>
        <v>0</v>
      </c>
      <c r="N2197">
        <f>[2]TongHop!N2197</f>
        <v>0</v>
      </c>
    </row>
    <row r="2198" spans="1:14">
      <c r="A2198">
        <f>[2]TongHop!A2198</f>
        <v>0</v>
      </c>
      <c r="B2198">
        <f>[2]TongHop!B2198</f>
        <v>0</v>
      </c>
      <c r="C2198">
        <f>[2]TongHop!C2198</f>
        <v>0</v>
      </c>
      <c r="D2198">
        <f>[2]TongHop!D2198</f>
        <v>0</v>
      </c>
      <c r="E2198">
        <f>[2]TongHop!E2198</f>
        <v>0</v>
      </c>
      <c r="F2198">
        <f>[2]TongHop!F2198</f>
        <v>0</v>
      </c>
      <c r="G2198">
        <f>[2]TongHop!G2198</f>
        <v>0</v>
      </c>
      <c r="H2198">
        <f>[2]TongHop!H2198</f>
        <v>0</v>
      </c>
      <c r="I2198">
        <f>[2]TongHop!I2198</f>
        <v>0</v>
      </c>
      <c r="J2198">
        <f>[2]TongHop!J2198</f>
        <v>0</v>
      </c>
      <c r="K2198">
        <f>[2]TongHop!K2198</f>
        <v>0</v>
      </c>
      <c r="L2198">
        <f>[2]TongHop!L2198</f>
        <v>0</v>
      </c>
      <c r="M2198">
        <f>[2]TongHop!M2198</f>
        <v>0</v>
      </c>
      <c r="N2198">
        <f>[2]TongHop!N2198</f>
        <v>0</v>
      </c>
    </row>
    <row r="2199" spans="1:14">
      <c r="A2199">
        <f>[2]TongHop!A2199</f>
        <v>0</v>
      </c>
      <c r="B2199">
        <f>[2]TongHop!B2199</f>
        <v>0</v>
      </c>
      <c r="C2199">
        <f>[2]TongHop!C2199</f>
        <v>0</v>
      </c>
      <c r="D2199">
        <f>[2]TongHop!D2199</f>
        <v>0</v>
      </c>
      <c r="E2199">
        <f>[2]TongHop!E2199</f>
        <v>0</v>
      </c>
      <c r="F2199">
        <f>[2]TongHop!F2199</f>
        <v>0</v>
      </c>
      <c r="G2199">
        <f>[2]TongHop!G2199</f>
        <v>0</v>
      </c>
      <c r="H2199">
        <f>[2]TongHop!H2199</f>
        <v>0</v>
      </c>
      <c r="I2199">
        <f>[2]TongHop!I2199</f>
        <v>0</v>
      </c>
      <c r="J2199">
        <f>[2]TongHop!J2199</f>
        <v>0</v>
      </c>
      <c r="K2199">
        <f>[2]TongHop!K2199</f>
        <v>0</v>
      </c>
      <c r="L2199">
        <f>[2]TongHop!L2199</f>
        <v>0</v>
      </c>
      <c r="M2199">
        <f>[2]TongHop!M2199</f>
        <v>0</v>
      </c>
      <c r="N2199">
        <f>[2]TongHop!N2199</f>
        <v>0</v>
      </c>
    </row>
    <row r="2200" spans="1:14">
      <c r="A2200">
        <f>[2]TongHop!A2200</f>
        <v>0</v>
      </c>
      <c r="B2200">
        <f>[2]TongHop!B2200</f>
        <v>0</v>
      </c>
      <c r="C2200">
        <f>[2]TongHop!C2200</f>
        <v>0</v>
      </c>
      <c r="D2200">
        <f>[2]TongHop!D2200</f>
        <v>0</v>
      </c>
      <c r="E2200">
        <f>[2]TongHop!E2200</f>
        <v>0</v>
      </c>
      <c r="F2200">
        <f>[2]TongHop!F2200</f>
        <v>0</v>
      </c>
      <c r="G2200">
        <f>[2]TongHop!G2200</f>
        <v>0</v>
      </c>
      <c r="H2200">
        <f>[2]TongHop!H2200</f>
        <v>0</v>
      </c>
      <c r="I2200">
        <f>[2]TongHop!I2200</f>
        <v>0</v>
      </c>
      <c r="J2200">
        <f>[2]TongHop!J2200</f>
        <v>0</v>
      </c>
      <c r="K2200">
        <f>[2]TongHop!K2200</f>
        <v>0</v>
      </c>
      <c r="L2200">
        <f>[2]TongHop!L2200</f>
        <v>0</v>
      </c>
      <c r="M2200">
        <f>[2]TongHop!M2200</f>
        <v>0</v>
      </c>
      <c r="N2200">
        <f>[2]TongHop!N2200</f>
        <v>0</v>
      </c>
    </row>
    <row r="2201" spans="1:14">
      <c r="A2201">
        <f>[2]TongHop!A2201</f>
        <v>0</v>
      </c>
      <c r="B2201">
        <f>[2]TongHop!B2201</f>
        <v>0</v>
      </c>
      <c r="C2201">
        <f>[2]TongHop!C2201</f>
        <v>0</v>
      </c>
      <c r="D2201">
        <f>[2]TongHop!D2201</f>
        <v>0</v>
      </c>
      <c r="E2201">
        <f>[2]TongHop!E2201</f>
        <v>0</v>
      </c>
      <c r="F2201">
        <f>[2]TongHop!F2201</f>
        <v>0</v>
      </c>
      <c r="G2201">
        <f>[2]TongHop!G2201</f>
        <v>0</v>
      </c>
      <c r="H2201">
        <f>[2]TongHop!H2201</f>
        <v>0</v>
      </c>
      <c r="I2201">
        <f>[2]TongHop!I2201</f>
        <v>0</v>
      </c>
      <c r="J2201">
        <f>[2]TongHop!J2201</f>
        <v>0</v>
      </c>
      <c r="K2201">
        <f>[2]TongHop!K2201</f>
        <v>0</v>
      </c>
      <c r="L2201">
        <f>[2]TongHop!L2201</f>
        <v>0</v>
      </c>
      <c r="M2201">
        <f>[2]TongHop!M2201</f>
        <v>0</v>
      </c>
      <c r="N2201">
        <f>[2]TongHop!N2201</f>
        <v>0</v>
      </c>
    </row>
    <row r="2202" spans="1:14">
      <c r="A2202">
        <f>[2]TongHop!A2202</f>
        <v>0</v>
      </c>
      <c r="B2202">
        <f>[2]TongHop!B2202</f>
        <v>0</v>
      </c>
      <c r="C2202">
        <f>[2]TongHop!C2202</f>
        <v>0</v>
      </c>
      <c r="D2202">
        <f>[2]TongHop!D2202</f>
        <v>0</v>
      </c>
      <c r="E2202">
        <f>[2]TongHop!E2202</f>
        <v>0</v>
      </c>
      <c r="F2202">
        <f>[2]TongHop!F2202</f>
        <v>0</v>
      </c>
      <c r="G2202">
        <f>[2]TongHop!G2202</f>
        <v>0</v>
      </c>
      <c r="H2202">
        <f>[2]TongHop!H2202</f>
        <v>0</v>
      </c>
      <c r="I2202">
        <f>[2]TongHop!I2202</f>
        <v>0</v>
      </c>
      <c r="J2202">
        <f>[2]TongHop!J2202</f>
        <v>0</v>
      </c>
      <c r="K2202">
        <f>[2]TongHop!K2202</f>
        <v>0</v>
      </c>
      <c r="L2202">
        <f>[2]TongHop!L2202</f>
        <v>0</v>
      </c>
      <c r="M2202">
        <f>[2]TongHop!M2202</f>
        <v>0</v>
      </c>
      <c r="N2202">
        <f>[2]TongHop!N2202</f>
        <v>0</v>
      </c>
    </row>
    <row r="2203" spans="1:14">
      <c r="A2203">
        <f>[2]TongHop!A2203</f>
        <v>0</v>
      </c>
      <c r="B2203">
        <f>[2]TongHop!B2203</f>
        <v>0</v>
      </c>
      <c r="C2203">
        <f>[2]TongHop!C2203</f>
        <v>0</v>
      </c>
      <c r="D2203">
        <f>[2]TongHop!D2203</f>
        <v>0</v>
      </c>
      <c r="E2203">
        <f>[2]TongHop!E2203</f>
        <v>0</v>
      </c>
      <c r="F2203">
        <f>[2]TongHop!F2203</f>
        <v>0</v>
      </c>
      <c r="G2203">
        <f>[2]TongHop!G2203</f>
        <v>0</v>
      </c>
      <c r="H2203">
        <f>[2]TongHop!H2203</f>
        <v>0</v>
      </c>
      <c r="I2203">
        <f>[2]TongHop!I2203</f>
        <v>0</v>
      </c>
      <c r="J2203">
        <f>[2]TongHop!J2203</f>
        <v>0</v>
      </c>
      <c r="K2203">
        <f>[2]TongHop!K2203</f>
        <v>0</v>
      </c>
      <c r="L2203">
        <f>[2]TongHop!L2203</f>
        <v>0</v>
      </c>
      <c r="M2203">
        <f>[2]TongHop!M2203</f>
        <v>0</v>
      </c>
      <c r="N2203">
        <f>[2]TongHop!N2203</f>
        <v>0</v>
      </c>
    </row>
    <row r="2204" spans="1:14">
      <c r="A2204">
        <f>[2]TongHop!A2204</f>
        <v>0</v>
      </c>
      <c r="B2204">
        <f>[2]TongHop!B2204</f>
        <v>0</v>
      </c>
      <c r="C2204">
        <f>[2]TongHop!C2204</f>
        <v>0</v>
      </c>
      <c r="D2204">
        <f>[2]TongHop!D2204</f>
        <v>0</v>
      </c>
      <c r="E2204">
        <f>[2]TongHop!E2204</f>
        <v>0</v>
      </c>
      <c r="F2204">
        <f>[2]TongHop!F2204</f>
        <v>0</v>
      </c>
      <c r="G2204">
        <f>[2]TongHop!G2204</f>
        <v>0</v>
      </c>
      <c r="H2204">
        <f>[2]TongHop!H2204</f>
        <v>0</v>
      </c>
      <c r="I2204">
        <f>[2]TongHop!I2204</f>
        <v>0</v>
      </c>
      <c r="J2204">
        <f>[2]TongHop!J2204</f>
        <v>0</v>
      </c>
      <c r="K2204">
        <f>[2]TongHop!K2204</f>
        <v>0</v>
      </c>
      <c r="L2204">
        <f>[2]TongHop!L2204</f>
        <v>0</v>
      </c>
      <c r="M2204">
        <f>[2]TongHop!M2204</f>
        <v>0</v>
      </c>
      <c r="N2204">
        <f>[2]TongHop!N2204</f>
        <v>0</v>
      </c>
    </row>
    <row r="2205" spans="1:14">
      <c r="A2205">
        <f>[2]TongHop!A2205</f>
        <v>0</v>
      </c>
      <c r="B2205">
        <f>[2]TongHop!B2205</f>
        <v>0</v>
      </c>
      <c r="C2205">
        <f>[2]TongHop!C2205</f>
        <v>0</v>
      </c>
      <c r="D2205">
        <f>[2]TongHop!D2205</f>
        <v>0</v>
      </c>
      <c r="E2205">
        <f>[2]TongHop!E2205</f>
        <v>0</v>
      </c>
      <c r="F2205">
        <f>[2]TongHop!F2205</f>
        <v>0</v>
      </c>
      <c r="G2205">
        <f>[2]TongHop!G2205</f>
        <v>0</v>
      </c>
      <c r="H2205">
        <f>[2]TongHop!H2205</f>
        <v>0</v>
      </c>
      <c r="I2205">
        <f>[2]TongHop!I2205</f>
        <v>0</v>
      </c>
      <c r="J2205">
        <f>[2]TongHop!J2205</f>
        <v>0</v>
      </c>
      <c r="K2205">
        <f>[2]TongHop!K2205</f>
        <v>0</v>
      </c>
      <c r="L2205">
        <f>[2]TongHop!L2205</f>
        <v>0</v>
      </c>
      <c r="M2205">
        <f>[2]TongHop!M2205</f>
        <v>0</v>
      </c>
      <c r="N2205">
        <f>[2]TongHop!N2205</f>
        <v>0</v>
      </c>
    </row>
    <row r="2206" spans="1:14">
      <c r="A2206">
        <f>[2]TongHop!A2206</f>
        <v>0</v>
      </c>
      <c r="B2206">
        <f>[2]TongHop!B2206</f>
        <v>0</v>
      </c>
      <c r="C2206">
        <f>[2]TongHop!C2206</f>
        <v>0</v>
      </c>
      <c r="D2206">
        <f>[2]TongHop!D2206</f>
        <v>0</v>
      </c>
      <c r="E2206">
        <f>[2]TongHop!E2206</f>
        <v>0</v>
      </c>
      <c r="F2206">
        <f>[2]TongHop!F2206</f>
        <v>0</v>
      </c>
      <c r="G2206">
        <f>[2]TongHop!G2206</f>
        <v>0</v>
      </c>
      <c r="H2206">
        <f>[2]TongHop!H2206</f>
        <v>0</v>
      </c>
      <c r="I2206">
        <f>[2]TongHop!I2206</f>
        <v>0</v>
      </c>
      <c r="J2206">
        <f>[2]TongHop!J2206</f>
        <v>0</v>
      </c>
      <c r="K2206">
        <f>[2]TongHop!K2206</f>
        <v>0</v>
      </c>
      <c r="L2206">
        <f>[2]TongHop!L2206</f>
        <v>0</v>
      </c>
      <c r="M2206">
        <f>[2]TongHop!M2206</f>
        <v>0</v>
      </c>
      <c r="N2206">
        <f>[2]TongHop!N2206</f>
        <v>0</v>
      </c>
    </row>
    <row r="2207" spans="1:14">
      <c r="A2207">
        <f>[2]TongHop!A2207</f>
        <v>0</v>
      </c>
      <c r="B2207">
        <f>[2]TongHop!B2207</f>
        <v>0</v>
      </c>
      <c r="C2207">
        <f>[2]TongHop!C2207</f>
        <v>0</v>
      </c>
      <c r="D2207">
        <f>[2]TongHop!D2207</f>
        <v>0</v>
      </c>
      <c r="E2207">
        <f>[2]TongHop!E2207</f>
        <v>0</v>
      </c>
      <c r="F2207">
        <f>[2]TongHop!F2207</f>
        <v>0</v>
      </c>
      <c r="G2207">
        <f>[2]TongHop!G2207</f>
        <v>0</v>
      </c>
      <c r="H2207">
        <f>[2]TongHop!H2207</f>
        <v>0</v>
      </c>
      <c r="I2207">
        <f>[2]TongHop!I2207</f>
        <v>0</v>
      </c>
      <c r="J2207">
        <f>[2]TongHop!J2207</f>
        <v>0</v>
      </c>
      <c r="K2207">
        <f>[2]TongHop!K2207</f>
        <v>0</v>
      </c>
      <c r="L2207">
        <f>[2]TongHop!L2207</f>
        <v>0</v>
      </c>
      <c r="M2207">
        <f>[2]TongHop!M2207</f>
        <v>0</v>
      </c>
      <c r="N2207">
        <f>[2]TongHop!N2207</f>
        <v>0</v>
      </c>
    </row>
    <row r="2208" spans="1:14">
      <c r="A2208">
        <f>[2]TongHop!A2208</f>
        <v>0</v>
      </c>
      <c r="B2208">
        <f>[2]TongHop!B2208</f>
        <v>0</v>
      </c>
      <c r="C2208">
        <f>[2]TongHop!C2208</f>
        <v>0</v>
      </c>
      <c r="D2208">
        <f>[2]TongHop!D2208</f>
        <v>0</v>
      </c>
      <c r="E2208">
        <f>[2]TongHop!E2208</f>
        <v>0</v>
      </c>
      <c r="F2208">
        <f>[2]TongHop!F2208</f>
        <v>0</v>
      </c>
      <c r="G2208">
        <f>[2]TongHop!G2208</f>
        <v>0</v>
      </c>
      <c r="H2208">
        <f>[2]TongHop!H2208</f>
        <v>0</v>
      </c>
      <c r="I2208">
        <f>[2]TongHop!I2208</f>
        <v>0</v>
      </c>
      <c r="J2208">
        <f>[2]TongHop!J2208</f>
        <v>0</v>
      </c>
      <c r="K2208">
        <f>[2]TongHop!K2208</f>
        <v>0</v>
      </c>
      <c r="L2208">
        <f>[2]TongHop!L2208</f>
        <v>0</v>
      </c>
      <c r="M2208">
        <f>[2]TongHop!M2208</f>
        <v>0</v>
      </c>
      <c r="N2208">
        <f>[2]TongHop!N2208</f>
        <v>0</v>
      </c>
    </row>
    <row r="2209" spans="1:14">
      <c r="A2209">
        <f>[2]TongHop!A2209</f>
        <v>0</v>
      </c>
      <c r="B2209">
        <f>[2]TongHop!B2209</f>
        <v>0</v>
      </c>
      <c r="C2209">
        <f>[2]TongHop!C2209</f>
        <v>0</v>
      </c>
      <c r="D2209">
        <f>[2]TongHop!D2209</f>
        <v>0</v>
      </c>
      <c r="E2209">
        <f>[2]TongHop!E2209</f>
        <v>0</v>
      </c>
      <c r="F2209">
        <f>[2]TongHop!F2209</f>
        <v>0</v>
      </c>
      <c r="G2209">
        <f>[2]TongHop!G2209</f>
        <v>0</v>
      </c>
      <c r="H2209">
        <f>[2]TongHop!H2209</f>
        <v>0</v>
      </c>
      <c r="I2209">
        <f>[2]TongHop!I2209</f>
        <v>0</v>
      </c>
      <c r="J2209">
        <f>[2]TongHop!J2209</f>
        <v>0</v>
      </c>
      <c r="K2209">
        <f>[2]TongHop!K2209</f>
        <v>0</v>
      </c>
      <c r="L2209">
        <f>[2]TongHop!L2209</f>
        <v>0</v>
      </c>
      <c r="M2209">
        <f>[2]TongHop!M2209</f>
        <v>0</v>
      </c>
      <c r="N2209">
        <f>[2]TongHop!N2209</f>
        <v>0</v>
      </c>
    </row>
    <row r="2210" spans="1:14">
      <c r="A2210">
        <f>[2]TongHop!A2210</f>
        <v>0</v>
      </c>
      <c r="B2210">
        <f>[2]TongHop!B2210</f>
        <v>0</v>
      </c>
      <c r="C2210">
        <f>[2]TongHop!C2210</f>
        <v>0</v>
      </c>
      <c r="D2210">
        <f>[2]TongHop!D2210</f>
        <v>0</v>
      </c>
      <c r="E2210">
        <f>[2]TongHop!E2210</f>
        <v>0</v>
      </c>
      <c r="F2210">
        <f>[2]TongHop!F2210</f>
        <v>0</v>
      </c>
      <c r="G2210">
        <f>[2]TongHop!G2210</f>
        <v>0</v>
      </c>
      <c r="H2210">
        <f>[2]TongHop!H2210</f>
        <v>0</v>
      </c>
      <c r="I2210">
        <f>[2]TongHop!I2210</f>
        <v>0</v>
      </c>
      <c r="J2210">
        <f>[2]TongHop!J2210</f>
        <v>0</v>
      </c>
      <c r="K2210">
        <f>[2]TongHop!K2210</f>
        <v>0</v>
      </c>
      <c r="L2210">
        <f>[2]TongHop!L2210</f>
        <v>0</v>
      </c>
      <c r="M2210">
        <f>[2]TongHop!M2210</f>
        <v>0</v>
      </c>
      <c r="N2210">
        <f>[2]TongHop!N2210</f>
        <v>0</v>
      </c>
    </row>
    <row r="2211" spans="1:14">
      <c r="A2211">
        <f>[2]TongHop!A2211</f>
        <v>0</v>
      </c>
      <c r="B2211">
        <f>[2]TongHop!B2211</f>
        <v>0</v>
      </c>
      <c r="C2211">
        <f>[2]TongHop!C2211</f>
        <v>0</v>
      </c>
      <c r="D2211">
        <f>[2]TongHop!D2211</f>
        <v>0</v>
      </c>
      <c r="E2211">
        <f>[2]TongHop!E2211</f>
        <v>0</v>
      </c>
      <c r="F2211">
        <f>[2]TongHop!F2211</f>
        <v>0</v>
      </c>
      <c r="G2211">
        <f>[2]TongHop!G2211</f>
        <v>0</v>
      </c>
      <c r="H2211">
        <f>[2]TongHop!H2211</f>
        <v>0</v>
      </c>
      <c r="I2211">
        <f>[2]TongHop!I2211</f>
        <v>0</v>
      </c>
      <c r="J2211">
        <f>[2]TongHop!J2211</f>
        <v>0</v>
      </c>
      <c r="K2211">
        <f>[2]TongHop!K2211</f>
        <v>0</v>
      </c>
      <c r="L2211">
        <f>[2]TongHop!L2211</f>
        <v>0</v>
      </c>
      <c r="M2211">
        <f>[2]TongHop!M2211</f>
        <v>0</v>
      </c>
      <c r="N2211">
        <f>[2]TongHop!N2211</f>
        <v>0</v>
      </c>
    </row>
    <row r="2212" spans="1:14">
      <c r="A2212">
        <f>[2]TongHop!A2212</f>
        <v>0</v>
      </c>
      <c r="B2212">
        <f>[2]TongHop!B2212</f>
        <v>0</v>
      </c>
      <c r="C2212">
        <f>[2]TongHop!C2212</f>
        <v>0</v>
      </c>
      <c r="D2212">
        <f>[2]TongHop!D2212</f>
        <v>0</v>
      </c>
      <c r="E2212">
        <f>[2]TongHop!E2212</f>
        <v>0</v>
      </c>
      <c r="F2212">
        <f>[2]TongHop!F2212</f>
        <v>0</v>
      </c>
      <c r="G2212">
        <f>[2]TongHop!G2212</f>
        <v>0</v>
      </c>
      <c r="H2212">
        <f>[2]TongHop!H2212</f>
        <v>0</v>
      </c>
      <c r="I2212">
        <f>[2]TongHop!I2212</f>
        <v>0</v>
      </c>
      <c r="J2212">
        <f>[2]TongHop!J2212</f>
        <v>0</v>
      </c>
      <c r="K2212">
        <f>[2]TongHop!K2212</f>
        <v>0</v>
      </c>
      <c r="L2212">
        <f>[2]TongHop!L2212</f>
        <v>0</v>
      </c>
      <c r="M2212">
        <f>[2]TongHop!M2212</f>
        <v>0</v>
      </c>
      <c r="N2212">
        <f>[2]TongHop!N2212</f>
        <v>0</v>
      </c>
    </row>
    <row r="2213" spans="1:14">
      <c r="A2213">
        <f>[2]TongHop!A2213</f>
        <v>0</v>
      </c>
      <c r="B2213">
        <f>[2]TongHop!B2213</f>
        <v>0</v>
      </c>
      <c r="C2213">
        <f>[2]TongHop!C2213</f>
        <v>0</v>
      </c>
      <c r="D2213">
        <f>[2]TongHop!D2213</f>
        <v>0</v>
      </c>
      <c r="E2213">
        <f>[2]TongHop!E2213</f>
        <v>0</v>
      </c>
      <c r="F2213">
        <f>[2]TongHop!F2213</f>
        <v>0</v>
      </c>
      <c r="G2213">
        <f>[2]TongHop!G2213</f>
        <v>0</v>
      </c>
      <c r="H2213">
        <f>[2]TongHop!H2213</f>
        <v>0</v>
      </c>
      <c r="I2213">
        <f>[2]TongHop!I2213</f>
        <v>0</v>
      </c>
      <c r="J2213">
        <f>[2]TongHop!J2213</f>
        <v>0</v>
      </c>
      <c r="K2213">
        <f>[2]TongHop!K2213</f>
        <v>0</v>
      </c>
      <c r="L2213">
        <f>[2]TongHop!L2213</f>
        <v>0</v>
      </c>
      <c r="M2213">
        <f>[2]TongHop!M2213</f>
        <v>0</v>
      </c>
      <c r="N2213">
        <f>[2]TongHop!N2213</f>
        <v>0</v>
      </c>
    </row>
    <row r="2214" spans="1:14">
      <c r="A2214">
        <f>[2]TongHop!A2214</f>
        <v>0</v>
      </c>
      <c r="B2214">
        <f>[2]TongHop!B2214</f>
        <v>0</v>
      </c>
      <c r="C2214">
        <f>[2]TongHop!C2214</f>
        <v>0</v>
      </c>
      <c r="D2214">
        <f>[2]TongHop!D2214</f>
        <v>0</v>
      </c>
      <c r="E2214">
        <f>[2]TongHop!E2214</f>
        <v>0</v>
      </c>
      <c r="F2214">
        <f>[2]TongHop!F2214</f>
        <v>0</v>
      </c>
      <c r="G2214">
        <f>[2]TongHop!G2214</f>
        <v>0</v>
      </c>
      <c r="H2214">
        <f>[2]TongHop!H2214</f>
        <v>0</v>
      </c>
      <c r="I2214">
        <f>[2]TongHop!I2214</f>
        <v>0</v>
      </c>
      <c r="J2214">
        <f>[2]TongHop!J2214</f>
        <v>0</v>
      </c>
      <c r="K2214">
        <f>[2]TongHop!K2214</f>
        <v>0</v>
      </c>
      <c r="L2214">
        <f>[2]TongHop!L2214</f>
        <v>0</v>
      </c>
      <c r="M2214">
        <f>[2]TongHop!M2214</f>
        <v>0</v>
      </c>
      <c r="N2214">
        <f>[2]TongHop!N2214</f>
        <v>0</v>
      </c>
    </row>
    <row r="2215" spans="1:14">
      <c r="A2215">
        <f>[2]TongHop!A2215</f>
        <v>0</v>
      </c>
      <c r="B2215">
        <f>[2]TongHop!B2215</f>
        <v>0</v>
      </c>
      <c r="C2215">
        <f>[2]TongHop!C2215</f>
        <v>0</v>
      </c>
      <c r="D2215">
        <f>[2]TongHop!D2215</f>
        <v>0</v>
      </c>
      <c r="E2215">
        <f>[2]TongHop!E2215</f>
        <v>0</v>
      </c>
      <c r="F2215">
        <f>[2]TongHop!F2215</f>
        <v>0</v>
      </c>
      <c r="G2215">
        <f>[2]TongHop!G2215</f>
        <v>0</v>
      </c>
      <c r="H2215">
        <f>[2]TongHop!H2215</f>
        <v>0</v>
      </c>
      <c r="I2215">
        <f>[2]TongHop!I2215</f>
        <v>0</v>
      </c>
      <c r="J2215">
        <f>[2]TongHop!J2215</f>
        <v>0</v>
      </c>
      <c r="K2215">
        <f>[2]TongHop!K2215</f>
        <v>0</v>
      </c>
      <c r="L2215">
        <f>[2]TongHop!L2215</f>
        <v>0</v>
      </c>
      <c r="M2215">
        <f>[2]TongHop!M2215</f>
        <v>0</v>
      </c>
      <c r="N2215">
        <f>[2]TongHop!N2215</f>
        <v>0</v>
      </c>
    </row>
    <row r="2216" spans="1:14">
      <c r="A2216">
        <f>[2]TongHop!A2216</f>
        <v>0</v>
      </c>
      <c r="B2216">
        <f>[2]TongHop!B2216</f>
        <v>0</v>
      </c>
      <c r="C2216">
        <f>[2]TongHop!C2216</f>
        <v>0</v>
      </c>
      <c r="D2216">
        <f>[2]TongHop!D2216</f>
        <v>0</v>
      </c>
      <c r="E2216">
        <f>[2]TongHop!E2216</f>
        <v>0</v>
      </c>
      <c r="F2216">
        <f>[2]TongHop!F2216</f>
        <v>0</v>
      </c>
      <c r="G2216">
        <f>[2]TongHop!G2216</f>
        <v>0</v>
      </c>
      <c r="H2216">
        <f>[2]TongHop!H2216</f>
        <v>0</v>
      </c>
      <c r="I2216">
        <f>[2]TongHop!I2216</f>
        <v>0</v>
      </c>
      <c r="J2216">
        <f>[2]TongHop!J2216</f>
        <v>0</v>
      </c>
      <c r="K2216">
        <f>[2]TongHop!K2216</f>
        <v>0</v>
      </c>
      <c r="L2216">
        <f>[2]TongHop!L2216</f>
        <v>0</v>
      </c>
      <c r="M2216">
        <f>[2]TongHop!M2216</f>
        <v>0</v>
      </c>
      <c r="N2216">
        <f>[2]TongHop!N2216</f>
        <v>0</v>
      </c>
    </row>
    <row r="2217" spans="1:14">
      <c r="A2217">
        <f>[2]TongHop!A2217</f>
        <v>0</v>
      </c>
      <c r="B2217">
        <f>[2]TongHop!B2217</f>
        <v>0</v>
      </c>
      <c r="C2217">
        <f>[2]TongHop!C2217</f>
        <v>0</v>
      </c>
      <c r="D2217">
        <f>[2]TongHop!D2217</f>
        <v>0</v>
      </c>
      <c r="E2217">
        <f>[2]TongHop!E2217</f>
        <v>0</v>
      </c>
      <c r="F2217">
        <f>[2]TongHop!F2217</f>
        <v>0</v>
      </c>
      <c r="G2217">
        <f>[2]TongHop!G2217</f>
        <v>0</v>
      </c>
      <c r="H2217">
        <f>[2]TongHop!H2217</f>
        <v>0</v>
      </c>
      <c r="I2217">
        <f>[2]TongHop!I2217</f>
        <v>0</v>
      </c>
      <c r="J2217">
        <f>[2]TongHop!J2217</f>
        <v>0</v>
      </c>
      <c r="K2217">
        <f>[2]TongHop!K2217</f>
        <v>0</v>
      </c>
      <c r="L2217">
        <f>[2]TongHop!L2217</f>
        <v>0</v>
      </c>
      <c r="M2217">
        <f>[2]TongHop!M2217</f>
        <v>0</v>
      </c>
      <c r="N2217">
        <f>[2]TongHop!N2217</f>
        <v>0</v>
      </c>
    </row>
    <row r="2218" spans="1:14">
      <c r="A2218">
        <f>[2]TongHop!A2218</f>
        <v>0</v>
      </c>
      <c r="B2218">
        <f>[2]TongHop!B2218</f>
        <v>0</v>
      </c>
      <c r="C2218">
        <f>[2]TongHop!C2218</f>
        <v>0</v>
      </c>
      <c r="D2218">
        <f>[2]TongHop!D2218</f>
        <v>0</v>
      </c>
      <c r="E2218">
        <f>[2]TongHop!E2218</f>
        <v>0</v>
      </c>
      <c r="F2218">
        <f>[2]TongHop!F2218</f>
        <v>0</v>
      </c>
      <c r="G2218">
        <f>[2]TongHop!G2218</f>
        <v>0</v>
      </c>
      <c r="H2218">
        <f>[2]TongHop!H2218</f>
        <v>0</v>
      </c>
      <c r="I2218">
        <f>[2]TongHop!I2218</f>
        <v>0</v>
      </c>
      <c r="J2218">
        <f>[2]TongHop!J2218</f>
        <v>0</v>
      </c>
      <c r="K2218">
        <f>[2]TongHop!K2218</f>
        <v>0</v>
      </c>
      <c r="L2218">
        <f>[2]TongHop!L2218</f>
        <v>0</v>
      </c>
      <c r="M2218">
        <f>[2]TongHop!M2218</f>
        <v>0</v>
      </c>
      <c r="N2218">
        <f>[2]TongHop!N2218</f>
        <v>0</v>
      </c>
    </row>
    <row r="2219" spans="1:14">
      <c r="A2219">
        <f>[2]TongHop!A2219</f>
        <v>0</v>
      </c>
      <c r="B2219">
        <f>[2]TongHop!B2219</f>
        <v>0</v>
      </c>
      <c r="C2219">
        <f>[2]TongHop!C2219</f>
        <v>0</v>
      </c>
      <c r="D2219">
        <f>[2]TongHop!D2219</f>
        <v>0</v>
      </c>
      <c r="E2219">
        <f>[2]TongHop!E2219</f>
        <v>0</v>
      </c>
      <c r="F2219">
        <f>[2]TongHop!F2219</f>
        <v>0</v>
      </c>
      <c r="G2219">
        <f>[2]TongHop!G2219</f>
        <v>0</v>
      </c>
      <c r="H2219">
        <f>[2]TongHop!H2219</f>
        <v>0</v>
      </c>
      <c r="I2219">
        <f>[2]TongHop!I2219</f>
        <v>0</v>
      </c>
      <c r="J2219">
        <f>[2]TongHop!J2219</f>
        <v>0</v>
      </c>
      <c r="K2219">
        <f>[2]TongHop!K2219</f>
        <v>0</v>
      </c>
      <c r="L2219">
        <f>[2]TongHop!L2219</f>
        <v>0</v>
      </c>
      <c r="M2219">
        <f>[2]TongHop!M2219</f>
        <v>0</v>
      </c>
      <c r="N2219">
        <f>[2]TongHop!N2219</f>
        <v>0</v>
      </c>
    </row>
    <row r="2220" spans="1:14">
      <c r="A2220">
        <f>[2]TongHop!A2220</f>
        <v>0</v>
      </c>
      <c r="B2220">
        <f>[2]TongHop!B2220</f>
        <v>0</v>
      </c>
      <c r="C2220">
        <f>[2]TongHop!C2220</f>
        <v>0</v>
      </c>
      <c r="D2220">
        <f>[2]TongHop!D2220</f>
        <v>0</v>
      </c>
      <c r="E2220">
        <f>[2]TongHop!E2220</f>
        <v>0</v>
      </c>
      <c r="F2220">
        <f>[2]TongHop!F2220</f>
        <v>0</v>
      </c>
      <c r="G2220">
        <f>[2]TongHop!G2220</f>
        <v>0</v>
      </c>
      <c r="H2220">
        <f>[2]TongHop!H2220</f>
        <v>0</v>
      </c>
      <c r="I2220">
        <f>[2]TongHop!I2220</f>
        <v>0</v>
      </c>
      <c r="J2220">
        <f>[2]TongHop!J2220</f>
        <v>0</v>
      </c>
      <c r="K2220">
        <f>[2]TongHop!K2220</f>
        <v>0</v>
      </c>
      <c r="L2220">
        <f>[2]TongHop!L2220</f>
        <v>0</v>
      </c>
      <c r="M2220">
        <f>[2]TongHop!M2220</f>
        <v>0</v>
      </c>
      <c r="N2220">
        <f>[2]TongHop!N2220</f>
        <v>0</v>
      </c>
    </row>
    <row r="2221" spans="1:14">
      <c r="A2221">
        <f>[2]TongHop!A2221</f>
        <v>0</v>
      </c>
      <c r="B2221">
        <f>[2]TongHop!B2221</f>
        <v>0</v>
      </c>
      <c r="C2221">
        <f>[2]TongHop!C2221</f>
        <v>0</v>
      </c>
      <c r="D2221">
        <f>[2]TongHop!D2221</f>
        <v>0</v>
      </c>
      <c r="E2221">
        <f>[2]TongHop!E2221</f>
        <v>0</v>
      </c>
      <c r="F2221">
        <f>[2]TongHop!F2221</f>
        <v>0</v>
      </c>
      <c r="G2221">
        <f>[2]TongHop!G2221</f>
        <v>0</v>
      </c>
      <c r="H2221">
        <f>[2]TongHop!H2221</f>
        <v>0</v>
      </c>
      <c r="I2221">
        <f>[2]TongHop!I2221</f>
        <v>0</v>
      </c>
      <c r="J2221">
        <f>[2]TongHop!J2221</f>
        <v>0</v>
      </c>
      <c r="K2221">
        <f>[2]TongHop!K2221</f>
        <v>0</v>
      </c>
      <c r="L2221">
        <f>[2]TongHop!L2221</f>
        <v>0</v>
      </c>
      <c r="M2221">
        <f>[2]TongHop!M2221</f>
        <v>0</v>
      </c>
      <c r="N2221">
        <f>[2]TongHop!N2221</f>
        <v>0</v>
      </c>
    </row>
    <row r="2222" spans="1:14">
      <c r="A2222">
        <f>[2]TongHop!A2222</f>
        <v>0</v>
      </c>
      <c r="B2222">
        <f>[2]TongHop!B2222</f>
        <v>0</v>
      </c>
      <c r="C2222">
        <f>[2]TongHop!C2222</f>
        <v>0</v>
      </c>
      <c r="D2222">
        <f>[2]TongHop!D2222</f>
        <v>0</v>
      </c>
      <c r="E2222">
        <f>[2]TongHop!E2222</f>
        <v>0</v>
      </c>
      <c r="F2222">
        <f>[2]TongHop!F2222</f>
        <v>0</v>
      </c>
      <c r="G2222">
        <f>[2]TongHop!G2222</f>
        <v>0</v>
      </c>
      <c r="H2222">
        <f>[2]TongHop!H2222</f>
        <v>0</v>
      </c>
      <c r="I2222">
        <f>[2]TongHop!I2222</f>
        <v>0</v>
      </c>
      <c r="J2222">
        <f>[2]TongHop!J2222</f>
        <v>0</v>
      </c>
      <c r="K2222">
        <f>[2]TongHop!K2222</f>
        <v>0</v>
      </c>
      <c r="L2222">
        <f>[2]TongHop!L2222</f>
        <v>0</v>
      </c>
      <c r="M2222">
        <f>[2]TongHop!M2222</f>
        <v>0</v>
      </c>
      <c r="N2222">
        <f>[2]TongHop!N2222</f>
        <v>0</v>
      </c>
    </row>
    <row r="2223" spans="1:14">
      <c r="A2223">
        <f>[2]TongHop!A2223</f>
        <v>0</v>
      </c>
      <c r="B2223">
        <f>[2]TongHop!B2223</f>
        <v>0</v>
      </c>
      <c r="C2223">
        <f>[2]TongHop!C2223</f>
        <v>0</v>
      </c>
      <c r="D2223">
        <f>[2]TongHop!D2223</f>
        <v>0</v>
      </c>
      <c r="E2223">
        <f>[2]TongHop!E2223</f>
        <v>0</v>
      </c>
      <c r="F2223">
        <f>[2]TongHop!F2223</f>
        <v>0</v>
      </c>
      <c r="G2223">
        <f>[2]TongHop!G2223</f>
        <v>0</v>
      </c>
      <c r="H2223">
        <f>[2]TongHop!H2223</f>
        <v>0</v>
      </c>
      <c r="I2223">
        <f>[2]TongHop!I2223</f>
        <v>0</v>
      </c>
      <c r="J2223">
        <f>[2]TongHop!J2223</f>
        <v>0</v>
      </c>
      <c r="K2223">
        <f>[2]TongHop!K2223</f>
        <v>0</v>
      </c>
      <c r="L2223">
        <f>[2]TongHop!L2223</f>
        <v>0</v>
      </c>
      <c r="M2223">
        <f>[2]TongHop!M2223</f>
        <v>0</v>
      </c>
      <c r="N2223">
        <f>[2]TongHop!N2223</f>
        <v>0</v>
      </c>
    </row>
    <row r="2224" spans="1:14">
      <c r="A2224">
        <f>[2]TongHop!A2224</f>
        <v>0</v>
      </c>
      <c r="B2224">
        <f>[2]TongHop!B2224</f>
        <v>0</v>
      </c>
      <c r="C2224">
        <f>[2]TongHop!C2224</f>
        <v>0</v>
      </c>
      <c r="D2224">
        <f>[2]TongHop!D2224</f>
        <v>0</v>
      </c>
      <c r="E2224">
        <f>[2]TongHop!E2224</f>
        <v>0</v>
      </c>
      <c r="F2224">
        <f>[2]TongHop!F2224</f>
        <v>0</v>
      </c>
      <c r="G2224">
        <f>[2]TongHop!G2224</f>
        <v>0</v>
      </c>
      <c r="H2224">
        <f>[2]TongHop!H2224</f>
        <v>0</v>
      </c>
      <c r="I2224">
        <f>[2]TongHop!I2224</f>
        <v>0</v>
      </c>
      <c r="J2224">
        <f>[2]TongHop!J2224</f>
        <v>0</v>
      </c>
      <c r="K2224">
        <f>[2]TongHop!K2224</f>
        <v>0</v>
      </c>
      <c r="L2224">
        <f>[2]TongHop!L2224</f>
        <v>0</v>
      </c>
      <c r="M2224">
        <f>[2]TongHop!M2224</f>
        <v>0</v>
      </c>
      <c r="N2224">
        <f>[2]TongHop!N2224</f>
        <v>0</v>
      </c>
    </row>
    <row r="2225" spans="1:14">
      <c r="A2225">
        <f>[2]TongHop!A2225</f>
        <v>0</v>
      </c>
      <c r="B2225">
        <f>[2]TongHop!B2225</f>
        <v>0</v>
      </c>
      <c r="C2225">
        <f>[2]TongHop!C2225</f>
        <v>0</v>
      </c>
      <c r="D2225">
        <f>[2]TongHop!D2225</f>
        <v>0</v>
      </c>
      <c r="E2225">
        <f>[2]TongHop!E2225</f>
        <v>0</v>
      </c>
      <c r="F2225">
        <f>[2]TongHop!F2225</f>
        <v>0</v>
      </c>
      <c r="G2225">
        <f>[2]TongHop!G2225</f>
        <v>0</v>
      </c>
      <c r="H2225">
        <f>[2]TongHop!H2225</f>
        <v>0</v>
      </c>
      <c r="I2225">
        <f>[2]TongHop!I2225</f>
        <v>0</v>
      </c>
      <c r="J2225">
        <f>[2]TongHop!J2225</f>
        <v>0</v>
      </c>
      <c r="K2225">
        <f>[2]TongHop!K2225</f>
        <v>0</v>
      </c>
      <c r="L2225">
        <f>[2]TongHop!L2225</f>
        <v>0</v>
      </c>
      <c r="M2225">
        <f>[2]TongHop!M2225</f>
        <v>0</v>
      </c>
      <c r="N2225">
        <f>[2]TongHop!N2225</f>
        <v>0</v>
      </c>
    </row>
    <row r="2226" spans="1:14">
      <c r="A2226">
        <f>[2]TongHop!A2226</f>
        <v>0</v>
      </c>
      <c r="B2226">
        <f>[2]TongHop!B2226</f>
        <v>0</v>
      </c>
      <c r="C2226">
        <f>[2]TongHop!C2226</f>
        <v>0</v>
      </c>
      <c r="D2226">
        <f>[2]TongHop!D2226</f>
        <v>0</v>
      </c>
      <c r="E2226">
        <f>[2]TongHop!E2226</f>
        <v>0</v>
      </c>
      <c r="F2226">
        <f>[2]TongHop!F2226</f>
        <v>0</v>
      </c>
      <c r="G2226">
        <f>[2]TongHop!G2226</f>
        <v>0</v>
      </c>
      <c r="H2226">
        <f>[2]TongHop!H2226</f>
        <v>0</v>
      </c>
      <c r="I2226">
        <f>[2]TongHop!I2226</f>
        <v>0</v>
      </c>
      <c r="J2226">
        <f>[2]TongHop!J2226</f>
        <v>0</v>
      </c>
      <c r="K2226">
        <f>[2]TongHop!K2226</f>
        <v>0</v>
      </c>
      <c r="L2226">
        <f>[2]TongHop!L2226</f>
        <v>0</v>
      </c>
      <c r="M2226">
        <f>[2]TongHop!M2226</f>
        <v>0</v>
      </c>
      <c r="N2226">
        <f>[2]TongHop!N2226</f>
        <v>0</v>
      </c>
    </row>
    <row r="2227" spans="1:14">
      <c r="A2227">
        <f>[2]TongHop!A2227</f>
        <v>0</v>
      </c>
      <c r="B2227">
        <f>[2]TongHop!B2227</f>
        <v>0</v>
      </c>
      <c r="C2227">
        <f>[2]TongHop!C2227</f>
        <v>0</v>
      </c>
      <c r="D2227">
        <f>[2]TongHop!D2227</f>
        <v>0</v>
      </c>
      <c r="E2227">
        <f>[2]TongHop!E2227</f>
        <v>0</v>
      </c>
      <c r="F2227">
        <f>[2]TongHop!F2227</f>
        <v>0</v>
      </c>
      <c r="G2227">
        <f>[2]TongHop!G2227</f>
        <v>0</v>
      </c>
      <c r="H2227">
        <f>[2]TongHop!H2227</f>
        <v>0</v>
      </c>
      <c r="I2227">
        <f>[2]TongHop!I2227</f>
        <v>0</v>
      </c>
      <c r="J2227">
        <f>[2]TongHop!J2227</f>
        <v>0</v>
      </c>
      <c r="K2227">
        <f>[2]TongHop!K2227</f>
        <v>0</v>
      </c>
      <c r="L2227">
        <f>[2]TongHop!L2227</f>
        <v>0</v>
      </c>
      <c r="M2227">
        <f>[2]TongHop!M2227</f>
        <v>0</v>
      </c>
      <c r="N2227">
        <f>[2]TongHop!N2227</f>
        <v>0</v>
      </c>
    </row>
    <row r="2228" spans="1:14">
      <c r="A2228">
        <f>[2]TongHop!A2228</f>
        <v>0</v>
      </c>
      <c r="B2228">
        <f>[2]TongHop!B2228</f>
        <v>0</v>
      </c>
      <c r="C2228">
        <f>[2]TongHop!C2228</f>
        <v>0</v>
      </c>
      <c r="D2228">
        <f>[2]TongHop!D2228</f>
        <v>0</v>
      </c>
      <c r="E2228">
        <f>[2]TongHop!E2228</f>
        <v>0</v>
      </c>
      <c r="F2228">
        <f>[2]TongHop!F2228</f>
        <v>0</v>
      </c>
      <c r="G2228">
        <f>[2]TongHop!G2228</f>
        <v>0</v>
      </c>
      <c r="H2228">
        <f>[2]TongHop!H2228</f>
        <v>0</v>
      </c>
      <c r="I2228">
        <f>[2]TongHop!I2228</f>
        <v>0</v>
      </c>
      <c r="J2228">
        <f>[2]TongHop!J2228</f>
        <v>0</v>
      </c>
      <c r="K2228">
        <f>[2]TongHop!K2228</f>
        <v>0</v>
      </c>
      <c r="L2228">
        <f>[2]TongHop!L2228</f>
        <v>0</v>
      </c>
      <c r="M2228">
        <f>[2]TongHop!M2228</f>
        <v>0</v>
      </c>
      <c r="N2228">
        <f>[2]TongHop!N2228</f>
        <v>0</v>
      </c>
    </row>
    <row r="2229" spans="1:14">
      <c r="A2229">
        <f>[2]TongHop!A2229</f>
        <v>0</v>
      </c>
      <c r="B2229">
        <f>[2]TongHop!B2229</f>
        <v>0</v>
      </c>
      <c r="C2229">
        <f>[2]TongHop!C2229</f>
        <v>0</v>
      </c>
      <c r="D2229">
        <f>[2]TongHop!D2229</f>
        <v>0</v>
      </c>
      <c r="E2229">
        <f>[2]TongHop!E2229</f>
        <v>0</v>
      </c>
      <c r="F2229">
        <f>[2]TongHop!F2229</f>
        <v>0</v>
      </c>
      <c r="G2229">
        <f>[2]TongHop!G2229</f>
        <v>0</v>
      </c>
      <c r="H2229">
        <f>[2]TongHop!H2229</f>
        <v>0</v>
      </c>
      <c r="I2229">
        <f>[2]TongHop!I2229</f>
        <v>0</v>
      </c>
      <c r="J2229">
        <f>[2]TongHop!J2229</f>
        <v>0</v>
      </c>
      <c r="K2229">
        <f>[2]TongHop!K2229</f>
        <v>0</v>
      </c>
      <c r="L2229">
        <f>[2]TongHop!L2229</f>
        <v>0</v>
      </c>
      <c r="M2229">
        <f>[2]TongHop!M2229</f>
        <v>0</v>
      </c>
      <c r="N2229">
        <f>[2]TongHop!N2229</f>
        <v>0</v>
      </c>
    </row>
    <row r="2230" spans="1:14">
      <c r="A2230">
        <f>[2]TongHop!A2230</f>
        <v>0</v>
      </c>
      <c r="B2230">
        <f>[2]TongHop!B2230</f>
        <v>0</v>
      </c>
      <c r="C2230">
        <f>[2]TongHop!C2230</f>
        <v>0</v>
      </c>
      <c r="D2230">
        <f>[2]TongHop!D2230</f>
        <v>0</v>
      </c>
      <c r="E2230">
        <f>[2]TongHop!E2230</f>
        <v>0</v>
      </c>
      <c r="F2230">
        <f>[2]TongHop!F2230</f>
        <v>0</v>
      </c>
      <c r="G2230">
        <f>[2]TongHop!G2230</f>
        <v>0</v>
      </c>
      <c r="H2230">
        <f>[2]TongHop!H2230</f>
        <v>0</v>
      </c>
      <c r="I2230">
        <f>[2]TongHop!I2230</f>
        <v>0</v>
      </c>
      <c r="J2230">
        <f>[2]TongHop!J2230</f>
        <v>0</v>
      </c>
      <c r="K2230">
        <f>[2]TongHop!K2230</f>
        <v>0</v>
      </c>
      <c r="L2230">
        <f>[2]TongHop!L2230</f>
        <v>0</v>
      </c>
      <c r="M2230">
        <f>[2]TongHop!M2230</f>
        <v>0</v>
      </c>
      <c r="N2230">
        <f>[2]TongHop!N2230</f>
        <v>0</v>
      </c>
    </row>
    <row r="2231" spans="1:14">
      <c r="A2231">
        <f>[2]TongHop!A2231</f>
        <v>0</v>
      </c>
      <c r="B2231">
        <f>[2]TongHop!B2231</f>
        <v>0</v>
      </c>
      <c r="C2231">
        <f>[2]TongHop!C2231</f>
        <v>0</v>
      </c>
      <c r="D2231">
        <f>[2]TongHop!D2231</f>
        <v>0</v>
      </c>
      <c r="E2231">
        <f>[2]TongHop!E2231</f>
        <v>0</v>
      </c>
      <c r="F2231">
        <f>[2]TongHop!F2231</f>
        <v>0</v>
      </c>
      <c r="G2231">
        <f>[2]TongHop!G2231</f>
        <v>0</v>
      </c>
      <c r="H2231">
        <f>[2]TongHop!H2231</f>
        <v>0</v>
      </c>
      <c r="I2231">
        <f>[2]TongHop!I2231</f>
        <v>0</v>
      </c>
      <c r="J2231">
        <f>[2]TongHop!J2231</f>
        <v>0</v>
      </c>
      <c r="K2231">
        <f>[2]TongHop!K2231</f>
        <v>0</v>
      </c>
      <c r="L2231">
        <f>[2]TongHop!L2231</f>
        <v>0</v>
      </c>
      <c r="M2231">
        <f>[2]TongHop!M2231</f>
        <v>0</v>
      </c>
      <c r="N2231">
        <f>[2]TongHop!N2231</f>
        <v>0</v>
      </c>
    </row>
    <row r="2232" spans="1:14">
      <c r="A2232">
        <f>[2]TongHop!A2232</f>
        <v>0</v>
      </c>
      <c r="B2232">
        <f>[2]TongHop!B2232</f>
        <v>0</v>
      </c>
      <c r="C2232">
        <f>[2]TongHop!C2232</f>
        <v>0</v>
      </c>
      <c r="D2232">
        <f>[2]TongHop!D2232</f>
        <v>0</v>
      </c>
      <c r="E2232">
        <f>[2]TongHop!E2232</f>
        <v>0</v>
      </c>
      <c r="F2232">
        <f>[2]TongHop!F2232</f>
        <v>0</v>
      </c>
      <c r="G2232">
        <f>[2]TongHop!G2232</f>
        <v>0</v>
      </c>
      <c r="H2232">
        <f>[2]TongHop!H2232</f>
        <v>0</v>
      </c>
      <c r="I2232">
        <f>[2]TongHop!I2232</f>
        <v>0</v>
      </c>
      <c r="J2232">
        <f>[2]TongHop!J2232</f>
        <v>0</v>
      </c>
      <c r="K2232">
        <f>[2]TongHop!K2232</f>
        <v>0</v>
      </c>
      <c r="L2232">
        <f>[2]TongHop!L2232</f>
        <v>0</v>
      </c>
      <c r="M2232">
        <f>[2]TongHop!M2232</f>
        <v>0</v>
      </c>
      <c r="N2232">
        <f>[2]TongHop!N2232</f>
        <v>0</v>
      </c>
    </row>
    <row r="2233" spans="1:14">
      <c r="A2233">
        <f>[2]TongHop!A2233</f>
        <v>0</v>
      </c>
      <c r="B2233">
        <f>[2]TongHop!B2233</f>
        <v>0</v>
      </c>
      <c r="C2233">
        <f>[2]TongHop!C2233</f>
        <v>0</v>
      </c>
      <c r="D2233">
        <f>[2]TongHop!D2233</f>
        <v>0</v>
      </c>
      <c r="E2233">
        <f>[2]TongHop!E2233</f>
        <v>0</v>
      </c>
      <c r="F2233">
        <f>[2]TongHop!F2233</f>
        <v>0</v>
      </c>
      <c r="G2233">
        <f>[2]TongHop!G2233</f>
        <v>0</v>
      </c>
      <c r="H2233">
        <f>[2]TongHop!H2233</f>
        <v>0</v>
      </c>
      <c r="I2233">
        <f>[2]TongHop!I2233</f>
        <v>0</v>
      </c>
      <c r="J2233">
        <f>[2]TongHop!J2233</f>
        <v>0</v>
      </c>
      <c r="K2233">
        <f>[2]TongHop!K2233</f>
        <v>0</v>
      </c>
      <c r="L2233">
        <f>[2]TongHop!L2233</f>
        <v>0</v>
      </c>
      <c r="M2233">
        <f>[2]TongHop!M2233</f>
        <v>0</v>
      </c>
      <c r="N2233">
        <f>[2]TongHop!N2233</f>
        <v>0</v>
      </c>
    </row>
    <row r="2234" spans="1:14">
      <c r="A2234">
        <f>[2]TongHop!A2234</f>
        <v>0</v>
      </c>
      <c r="B2234">
        <f>[2]TongHop!B2234</f>
        <v>0</v>
      </c>
      <c r="C2234">
        <f>[2]TongHop!C2234</f>
        <v>0</v>
      </c>
      <c r="D2234">
        <f>[2]TongHop!D2234</f>
        <v>0</v>
      </c>
      <c r="E2234">
        <f>[2]TongHop!E2234</f>
        <v>0</v>
      </c>
      <c r="F2234">
        <f>[2]TongHop!F2234</f>
        <v>0</v>
      </c>
      <c r="G2234">
        <f>[2]TongHop!G2234</f>
        <v>0</v>
      </c>
      <c r="H2234">
        <f>[2]TongHop!H2234</f>
        <v>0</v>
      </c>
      <c r="I2234">
        <f>[2]TongHop!I2234</f>
        <v>0</v>
      </c>
      <c r="J2234">
        <f>[2]TongHop!J2234</f>
        <v>0</v>
      </c>
      <c r="K2234">
        <f>[2]TongHop!K2234</f>
        <v>0</v>
      </c>
      <c r="L2234">
        <f>[2]TongHop!L2234</f>
        <v>0</v>
      </c>
      <c r="M2234">
        <f>[2]TongHop!M2234</f>
        <v>0</v>
      </c>
      <c r="N2234">
        <f>[2]TongHop!N2234</f>
        <v>0</v>
      </c>
    </row>
    <row r="2235" spans="1:14">
      <c r="A2235">
        <f>[2]TongHop!A2235</f>
        <v>0</v>
      </c>
      <c r="B2235">
        <f>[2]TongHop!B2235</f>
        <v>0</v>
      </c>
      <c r="C2235">
        <f>[2]TongHop!C2235</f>
        <v>0</v>
      </c>
      <c r="D2235">
        <f>[2]TongHop!D2235</f>
        <v>0</v>
      </c>
      <c r="E2235">
        <f>[2]TongHop!E2235</f>
        <v>0</v>
      </c>
      <c r="F2235">
        <f>[2]TongHop!F2235</f>
        <v>0</v>
      </c>
      <c r="G2235">
        <f>[2]TongHop!G2235</f>
        <v>0</v>
      </c>
      <c r="H2235">
        <f>[2]TongHop!H2235</f>
        <v>0</v>
      </c>
      <c r="I2235">
        <f>[2]TongHop!I2235</f>
        <v>0</v>
      </c>
      <c r="J2235">
        <f>[2]TongHop!J2235</f>
        <v>0</v>
      </c>
      <c r="K2235">
        <f>[2]TongHop!K2235</f>
        <v>0</v>
      </c>
      <c r="L2235">
        <f>[2]TongHop!L2235</f>
        <v>0</v>
      </c>
      <c r="M2235">
        <f>[2]TongHop!M2235</f>
        <v>0</v>
      </c>
      <c r="N2235">
        <f>[2]TongHop!N2235</f>
        <v>0</v>
      </c>
    </row>
    <row r="2236" spans="1:14">
      <c r="A2236">
        <f>[2]TongHop!A2236</f>
        <v>0</v>
      </c>
      <c r="B2236">
        <f>[2]TongHop!B2236</f>
        <v>0</v>
      </c>
      <c r="C2236">
        <f>[2]TongHop!C2236</f>
        <v>0</v>
      </c>
      <c r="D2236">
        <f>[2]TongHop!D2236</f>
        <v>0</v>
      </c>
      <c r="E2236">
        <f>[2]TongHop!E2236</f>
        <v>0</v>
      </c>
      <c r="F2236">
        <f>[2]TongHop!F2236</f>
        <v>0</v>
      </c>
      <c r="G2236">
        <f>[2]TongHop!G2236</f>
        <v>0</v>
      </c>
      <c r="H2236">
        <f>[2]TongHop!H2236</f>
        <v>0</v>
      </c>
      <c r="I2236">
        <f>[2]TongHop!I2236</f>
        <v>0</v>
      </c>
      <c r="J2236">
        <f>[2]TongHop!J2236</f>
        <v>0</v>
      </c>
      <c r="K2236">
        <f>[2]TongHop!K2236</f>
        <v>0</v>
      </c>
      <c r="L2236">
        <f>[2]TongHop!L2236</f>
        <v>0</v>
      </c>
      <c r="M2236">
        <f>[2]TongHop!M2236</f>
        <v>0</v>
      </c>
      <c r="N2236">
        <f>[2]TongHop!N2236</f>
        <v>0</v>
      </c>
    </row>
    <row r="2237" spans="1:14">
      <c r="A2237">
        <f>[2]TongHop!A2237</f>
        <v>0</v>
      </c>
      <c r="B2237">
        <f>[2]TongHop!B2237</f>
        <v>0</v>
      </c>
      <c r="C2237">
        <f>[2]TongHop!C2237</f>
        <v>0</v>
      </c>
      <c r="D2237">
        <f>[2]TongHop!D2237</f>
        <v>0</v>
      </c>
      <c r="E2237">
        <f>[2]TongHop!E2237</f>
        <v>0</v>
      </c>
      <c r="F2237">
        <f>[2]TongHop!F2237</f>
        <v>0</v>
      </c>
      <c r="G2237">
        <f>[2]TongHop!G2237</f>
        <v>0</v>
      </c>
      <c r="H2237">
        <f>[2]TongHop!H2237</f>
        <v>0</v>
      </c>
      <c r="I2237">
        <f>[2]TongHop!I2237</f>
        <v>0</v>
      </c>
      <c r="J2237">
        <f>[2]TongHop!J2237</f>
        <v>0</v>
      </c>
      <c r="K2237">
        <f>[2]TongHop!K2237</f>
        <v>0</v>
      </c>
      <c r="L2237">
        <f>[2]TongHop!L2237</f>
        <v>0</v>
      </c>
      <c r="M2237">
        <f>[2]TongHop!M2237</f>
        <v>0</v>
      </c>
      <c r="N2237">
        <f>[2]TongHop!N2237</f>
        <v>0</v>
      </c>
    </row>
    <row r="2238" spans="1:14">
      <c r="A2238">
        <f>[2]TongHop!A2238</f>
        <v>0</v>
      </c>
      <c r="B2238">
        <f>[2]TongHop!B2238</f>
        <v>0</v>
      </c>
      <c r="C2238">
        <f>[2]TongHop!C2238</f>
        <v>0</v>
      </c>
      <c r="D2238">
        <f>[2]TongHop!D2238</f>
        <v>0</v>
      </c>
      <c r="E2238">
        <f>[2]TongHop!E2238</f>
        <v>0</v>
      </c>
      <c r="F2238">
        <f>[2]TongHop!F2238</f>
        <v>0</v>
      </c>
      <c r="G2238">
        <f>[2]TongHop!G2238</f>
        <v>0</v>
      </c>
      <c r="H2238">
        <f>[2]TongHop!H2238</f>
        <v>0</v>
      </c>
      <c r="I2238">
        <f>[2]TongHop!I2238</f>
        <v>0</v>
      </c>
      <c r="J2238">
        <f>[2]TongHop!J2238</f>
        <v>0</v>
      </c>
      <c r="K2238">
        <f>[2]TongHop!K2238</f>
        <v>0</v>
      </c>
      <c r="L2238">
        <f>[2]TongHop!L2238</f>
        <v>0</v>
      </c>
      <c r="M2238">
        <f>[2]TongHop!M2238</f>
        <v>0</v>
      </c>
      <c r="N2238">
        <f>[2]TongHop!N2238</f>
        <v>0</v>
      </c>
    </row>
    <row r="2239" spans="1:14">
      <c r="A2239">
        <f>[2]TongHop!A2239</f>
        <v>0</v>
      </c>
      <c r="B2239">
        <f>[2]TongHop!B2239</f>
        <v>0</v>
      </c>
      <c r="C2239">
        <f>[2]TongHop!C2239</f>
        <v>0</v>
      </c>
      <c r="D2239">
        <f>[2]TongHop!D2239</f>
        <v>0</v>
      </c>
      <c r="E2239">
        <f>[2]TongHop!E2239</f>
        <v>0</v>
      </c>
      <c r="F2239">
        <f>[2]TongHop!F2239</f>
        <v>0</v>
      </c>
      <c r="G2239">
        <f>[2]TongHop!G2239</f>
        <v>0</v>
      </c>
      <c r="H2239">
        <f>[2]TongHop!H2239</f>
        <v>0</v>
      </c>
      <c r="I2239">
        <f>[2]TongHop!I2239</f>
        <v>0</v>
      </c>
      <c r="J2239">
        <f>[2]TongHop!J2239</f>
        <v>0</v>
      </c>
      <c r="K2239">
        <f>[2]TongHop!K2239</f>
        <v>0</v>
      </c>
      <c r="L2239">
        <f>[2]TongHop!L2239</f>
        <v>0</v>
      </c>
      <c r="M2239">
        <f>[2]TongHop!M2239</f>
        <v>0</v>
      </c>
      <c r="N2239">
        <f>[2]TongHop!N2239</f>
        <v>0</v>
      </c>
    </row>
    <row r="2240" spans="1:14">
      <c r="A2240">
        <f>[2]TongHop!A2240</f>
        <v>0</v>
      </c>
      <c r="B2240">
        <f>[2]TongHop!B2240</f>
        <v>0</v>
      </c>
      <c r="C2240">
        <f>[2]TongHop!C2240</f>
        <v>0</v>
      </c>
      <c r="D2240">
        <f>[2]TongHop!D2240</f>
        <v>0</v>
      </c>
      <c r="E2240">
        <f>[2]TongHop!E2240</f>
        <v>0</v>
      </c>
      <c r="F2240">
        <f>[2]TongHop!F2240</f>
        <v>0</v>
      </c>
      <c r="G2240">
        <f>[2]TongHop!G2240</f>
        <v>0</v>
      </c>
      <c r="H2240">
        <f>[2]TongHop!H2240</f>
        <v>0</v>
      </c>
      <c r="I2240">
        <f>[2]TongHop!I2240</f>
        <v>0</v>
      </c>
      <c r="J2240">
        <f>[2]TongHop!J2240</f>
        <v>0</v>
      </c>
      <c r="K2240">
        <f>[2]TongHop!K2240</f>
        <v>0</v>
      </c>
      <c r="L2240">
        <f>[2]TongHop!L2240</f>
        <v>0</v>
      </c>
      <c r="M2240">
        <f>[2]TongHop!M2240</f>
        <v>0</v>
      </c>
      <c r="N2240">
        <f>[2]TongHop!N2240</f>
        <v>0</v>
      </c>
    </row>
    <row r="2241" spans="1:14">
      <c r="A2241">
        <f>[2]TongHop!A2241</f>
        <v>0</v>
      </c>
      <c r="B2241">
        <f>[2]TongHop!B2241</f>
        <v>0</v>
      </c>
      <c r="C2241">
        <f>[2]TongHop!C2241</f>
        <v>0</v>
      </c>
      <c r="D2241">
        <f>[2]TongHop!D2241</f>
        <v>0</v>
      </c>
      <c r="E2241">
        <f>[2]TongHop!E2241</f>
        <v>0</v>
      </c>
      <c r="F2241">
        <f>[2]TongHop!F2241</f>
        <v>0</v>
      </c>
      <c r="G2241">
        <f>[2]TongHop!G2241</f>
        <v>0</v>
      </c>
      <c r="H2241">
        <f>[2]TongHop!H2241</f>
        <v>0</v>
      </c>
      <c r="I2241">
        <f>[2]TongHop!I2241</f>
        <v>0</v>
      </c>
      <c r="J2241">
        <f>[2]TongHop!J2241</f>
        <v>0</v>
      </c>
      <c r="K2241">
        <f>[2]TongHop!K2241</f>
        <v>0</v>
      </c>
      <c r="L2241">
        <f>[2]TongHop!L2241</f>
        <v>0</v>
      </c>
      <c r="M2241">
        <f>[2]TongHop!M2241</f>
        <v>0</v>
      </c>
      <c r="N2241">
        <f>[2]TongHop!N2241</f>
        <v>0</v>
      </c>
    </row>
    <row r="2242" spans="1:14">
      <c r="A2242">
        <f>[2]TongHop!A2242</f>
        <v>0</v>
      </c>
      <c r="B2242">
        <f>[2]TongHop!B2242</f>
        <v>0</v>
      </c>
      <c r="C2242">
        <f>[2]TongHop!C2242</f>
        <v>0</v>
      </c>
      <c r="D2242">
        <f>[2]TongHop!D2242</f>
        <v>0</v>
      </c>
      <c r="E2242">
        <f>[2]TongHop!E2242</f>
        <v>0</v>
      </c>
      <c r="F2242">
        <f>[2]TongHop!F2242</f>
        <v>0</v>
      </c>
      <c r="G2242">
        <f>[2]TongHop!G2242</f>
        <v>0</v>
      </c>
      <c r="H2242">
        <f>[2]TongHop!H2242</f>
        <v>0</v>
      </c>
      <c r="I2242">
        <f>[2]TongHop!I2242</f>
        <v>0</v>
      </c>
      <c r="J2242">
        <f>[2]TongHop!J2242</f>
        <v>0</v>
      </c>
      <c r="K2242">
        <f>[2]TongHop!K2242</f>
        <v>0</v>
      </c>
      <c r="L2242">
        <f>[2]TongHop!L2242</f>
        <v>0</v>
      </c>
      <c r="M2242">
        <f>[2]TongHop!M2242</f>
        <v>0</v>
      </c>
      <c r="N2242">
        <f>[2]TongHop!N2242</f>
        <v>0</v>
      </c>
    </row>
    <row r="2243" spans="1:14">
      <c r="A2243">
        <f>[2]TongHop!A2243</f>
        <v>0</v>
      </c>
      <c r="B2243">
        <f>[2]TongHop!B2243</f>
        <v>0</v>
      </c>
      <c r="C2243">
        <f>[2]TongHop!C2243</f>
        <v>0</v>
      </c>
      <c r="D2243">
        <f>[2]TongHop!D2243</f>
        <v>0</v>
      </c>
      <c r="E2243">
        <f>[2]TongHop!E2243</f>
        <v>0</v>
      </c>
      <c r="F2243">
        <f>[2]TongHop!F2243</f>
        <v>0</v>
      </c>
      <c r="G2243">
        <f>[2]TongHop!G2243</f>
        <v>0</v>
      </c>
      <c r="H2243">
        <f>[2]TongHop!H2243</f>
        <v>0</v>
      </c>
      <c r="I2243">
        <f>[2]TongHop!I2243</f>
        <v>0</v>
      </c>
      <c r="J2243">
        <f>[2]TongHop!J2243</f>
        <v>0</v>
      </c>
      <c r="K2243">
        <f>[2]TongHop!K2243</f>
        <v>0</v>
      </c>
      <c r="L2243">
        <f>[2]TongHop!L2243</f>
        <v>0</v>
      </c>
      <c r="M2243">
        <f>[2]TongHop!M2243</f>
        <v>0</v>
      </c>
      <c r="N2243">
        <f>[2]TongHop!N2243</f>
        <v>0</v>
      </c>
    </row>
    <row r="2244" spans="1:14">
      <c r="A2244">
        <f>[2]TongHop!A2244</f>
        <v>0</v>
      </c>
      <c r="B2244">
        <f>[2]TongHop!B2244</f>
        <v>0</v>
      </c>
      <c r="C2244">
        <f>[2]TongHop!C2244</f>
        <v>0</v>
      </c>
      <c r="D2244">
        <f>[2]TongHop!D2244</f>
        <v>0</v>
      </c>
      <c r="E2244">
        <f>[2]TongHop!E2244</f>
        <v>0</v>
      </c>
      <c r="F2244">
        <f>[2]TongHop!F2244</f>
        <v>0</v>
      </c>
      <c r="G2244">
        <f>[2]TongHop!G2244</f>
        <v>0</v>
      </c>
      <c r="H2244">
        <f>[2]TongHop!H2244</f>
        <v>0</v>
      </c>
      <c r="I2244">
        <f>[2]TongHop!I2244</f>
        <v>0</v>
      </c>
      <c r="J2244">
        <f>[2]TongHop!J2244</f>
        <v>0</v>
      </c>
      <c r="K2244">
        <f>[2]TongHop!K2244</f>
        <v>0</v>
      </c>
      <c r="L2244">
        <f>[2]TongHop!L2244</f>
        <v>0</v>
      </c>
      <c r="M2244">
        <f>[2]TongHop!M2244</f>
        <v>0</v>
      </c>
      <c r="N2244">
        <f>[2]TongHop!N2244</f>
        <v>0</v>
      </c>
    </row>
    <row r="2245" spans="1:14">
      <c r="A2245">
        <f>[2]TongHop!A2245</f>
        <v>0</v>
      </c>
      <c r="B2245">
        <f>[2]TongHop!B2245</f>
        <v>0</v>
      </c>
      <c r="C2245">
        <f>[2]TongHop!C2245</f>
        <v>0</v>
      </c>
      <c r="D2245">
        <f>[2]TongHop!D2245</f>
        <v>0</v>
      </c>
      <c r="E2245">
        <f>[2]TongHop!E2245</f>
        <v>0</v>
      </c>
      <c r="F2245">
        <f>[2]TongHop!F2245</f>
        <v>0</v>
      </c>
      <c r="G2245">
        <f>[2]TongHop!G2245</f>
        <v>0</v>
      </c>
      <c r="H2245">
        <f>[2]TongHop!H2245</f>
        <v>0</v>
      </c>
      <c r="I2245">
        <f>[2]TongHop!I2245</f>
        <v>0</v>
      </c>
      <c r="J2245">
        <f>[2]TongHop!J2245</f>
        <v>0</v>
      </c>
      <c r="K2245">
        <f>[2]TongHop!K2245</f>
        <v>0</v>
      </c>
      <c r="L2245">
        <f>[2]TongHop!L2245</f>
        <v>0</v>
      </c>
      <c r="M2245">
        <f>[2]TongHop!M2245</f>
        <v>0</v>
      </c>
      <c r="N2245">
        <f>[2]TongHop!N2245</f>
        <v>0</v>
      </c>
    </row>
    <row r="2246" spans="1:14">
      <c r="A2246">
        <f>[2]TongHop!A2246</f>
        <v>0</v>
      </c>
      <c r="B2246">
        <f>[2]TongHop!B2246</f>
        <v>0</v>
      </c>
      <c r="C2246">
        <f>[2]TongHop!C2246</f>
        <v>0</v>
      </c>
      <c r="D2246">
        <f>[2]TongHop!D2246</f>
        <v>0</v>
      </c>
      <c r="E2246">
        <f>[2]TongHop!E2246</f>
        <v>0</v>
      </c>
      <c r="F2246">
        <f>[2]TongHop!F2246</f>
        <v>0</v>
      </c>
      <c r="G2246">
        <f>[2]TongHop!G2246</f>
        <v>0</v>
      </c>
      <c r="H2246">
        <f>[2]TongHop!H2246</f>
        <v>0</v>
      </c>
      <c r="I2246">
        <f>[2]TongHop!I2246</f>
        <v>0</v>
      </c>
      <c r="J2246">
        <f>[2]TongHop!J2246</f>
        <v>0</v>
      </c>
      <c r="K2246">
        <f>[2]TongHop!K2246</f>
        <v>0</v>
      </c>
      <c r="L2246">
        <f>[2]TongHop!L2246</f>
        <v>0</v>
      </c>
      <c r="M2246">
        <f>[2]TongHop!M2246</f>
        <v>0</v>
      </c>
      <c r="N2246">
        <f>[2]TongHop!N2246</f>
        <v>0</v>
      </c>
    </row>
    <row r="2247" spans="1:14">
      <c r="A2247">
        <f>[2]TongHop!A2247</f>
        <v>0</v>
      </c>
      <c r="B2247">
        <f>[2]TongHop!B2247</f>
        <v>0</v>
      </c>
      <c r="C2247">
        <f>[2]TongHop!C2247</f>
        <v>0</v>
      </c>
      <c r="D2247">
        <f>[2]TongHop!D2247</f>
        <v>0</v>
      </c>
      <c r="E2247">
        <f>[2]TongHop!E2247</f>
        <v>0</v>
      </c>
      <c r="F2247">
        <f>[2]TongHop!F2247</f>
        <v>0</v>
      </c>
      <c r="G2247">
        <f>[2]TongHop!G2247</f>
        <v>0</v>
      </c>
      <c r="H2247">
        <f>[2]TongHop!H2247</f>
        <v>0</v>
      </c>
      <c r="I2247">
        <f>[2]TongHop!I2247</f>
        <v>0</v>
      </c>
      <c r="J2247">
        <f>[2]TongHop!J2247</f>
        <v>0</v>
      </c>
      <c r="K2247">
        <f>[2]TongHop!K2247</f>
        <v>0</v>
      </c>
      <c r="L2247">
        <f>[2]TongHop!L2247</f>
        <v>0</v>
      </c>
      <c r="M2247">
        <f>[2]TongHop!M2247</f>
        <v>0</v>
      </c>
      <c r="N2247">
        <f>[2]TongHop!N2247</f>
        <v>0</v>
      </c>
    </row>
    <row r="2248" spans="1:14">
      <c r="A2248">
        <f>[2]TongHop!A2248</f>
        <v>0</v>
      </c>
      <c r="B2248">
        <f>[2]TongHop!B2248</f>
        <v>0</v>
      </c>
      <c r="C2248">
        <f>[2]TongHop!C2248</f>
        <v>0</v>
      </c>
      <c r="D2248">
        <f>[2]TongHop!D2248</f>
        <v>0</v>
      </c>
      <c r="E2248">
        <f>[2]TongHop!E2248</f>
        <v>0</v>
      </c>
      <c r="F2248">
        <f>[2]TongHop!F2248</f>
        <v>0</v>
      </c>
      <c r="G2248">
        <f>[2]TongHop!G2248</f>
        <v>0</v>
      </c>
      <c r="H2248">
        <f>[2]TongHop!H2248</f>
        <v>0</v>
      </c>
      <c r="I2248">
        <f>[2]TongHop!I2248</f>
        <v>0</v>
      </c>
      <c r="J2248">
        <f>[2]TongHop!J2248</f>
        <v>0</v>
      </c>
      <c r="K2248">
        <f>[2]TongHop!K2248</f>
        <v>0</v>
      </c>
      <c r="L2248">
        <f>[2]TongHop!L2248</f>
        <v>0</v>
      </c>
      <c r="M2248">
        <f>[2]TongHop!M2248</f>
        <v>0</v>
      </c>
      <c r="N2248">
        <f>[2]TongHop!N2248</f>
        <v>0</v>
      </c>
    </row>
    <row r="2249" spans="1:14">
      <c r="A2249">
        <f>[2]TongHop!A2249</f>
        <v>0</v>
      </c>
      <c r="B2249">
        <f>[2]TongHop!B2249</f>
        <v>0</v>
      </c>
      <c r="C2249">
        <f>[2]TongHop!C2249</f>
        <v>0</v>
      </c>
      <c r="D2249">
        <f>[2]TongHop!D2249</f>
        <v>0</v>
      </c>
      <c r="E2249">
        <f>[2]TongHop!E2249</f>
        <v>0</v>
      </c>
      <c r="F2249">
        <f>[2]TongHop!F2249</f>
        <v>0</v>
      </c>
      <c r="G2249">
        <f>[2]TongHop!G2249</f>
        <v>0</v>
      </c>
      <c r="H2249">
        <f>[2]TongHop!H2249</f>
        <v>0</v>
      </c>
      <c r="I2249">
        <f>[2]TongHop!I2249</f>
        <v>0</v>
      </c>
      <c r="J2249">
        <f>[2]TongHop!J2249</f>
        <v>0</v>
      </c>
      <c r="K2249">
        <f>[2]TongHop!K2249</f>
        <v>0</v>
      </c>
      <c r="L2249">
        <f>[2]TongHop!L2249</f>
        <v>0</v>
      </c>
      <c r="M2249">
        <f>[2]TongHop!M2249</f>
        <v>0</v>
      </c>
      <c r="N2249">
        <f>[2]TongHop!N2249</f>
        <v>0</v>
      </c>
    </row>
    <row r="2250" spans="1:14">
      <c r="A2250">
        <f>[2]TongHop!A2250</f>
        <v>0</v>
      </c>
      <c r="B2250">
        <f>[2]TongHop!B2250</f>
        <v>0</v>
      </c>
      <c r="C2250">
        <f>[2]TongHop!C2250</f>
        <v>0</v>
      </c>
      <c r="D2250">
        <f>[2]TongHop!D2250</f>
        <v>0</v>
      </c>
      <c r="E2250">
        <f>[2]TongHop!E2250</f>
        <v>0</v>
      </c>
      <c r="F2250">
        <f>[2]TongHop!F2250</f>
        <v>0</v>
      </c>
      <c r="G2250">
        <f>[2]TongHop!G2250</f>
        <v>0</v>
      </c>
      <c r="H2250">
        <f>[2]TongHop!H2250</f>
        <v>0</v>
      </c>
      <c r="I2250">
        <f>[2]TongHop!I2250</f>
        <v>0</v>
      </c>
      <c r="J2250">
        <f>[2]TongHop!J2250</f>
        <v>0</v>
      </c>
      <c r="K2250">
        <f>[2]TongHop!K2250</f>
        <v>0</v>
      </c>
      <c r="L2250">
        <f>[2]TongHop!L2250</f>
        <v>0</v>
      </c>
      <c r="M2250">
        <f>[2]TongHop!M2250</f>
        <v>0</v>
      </c>
      <c r="N2250">
        <f>[2]TongHop!N2250</f>
        <v>0</v>
      </c>
    </row>
    <row r="2251" spans="1:14">
      <c r="A2251">
        <f>[2]TongHop!A2251</f>
        <v>0</v>
      </c>
      <c r="B2251">
        <f>[2]TongHop!B2251</f>
        <v>0</v>
      </c>
      <c r="C2251">
        <f>[2]TongHop!C2251</f>
        <v>0</v>
      </c>
      <c r="D2251">
        <f>[2]TongHop!D2251</f>
        <v>0</v>
      </c>
      <c r="E2251">
        <f>[2]TongHop!E2251</f>
        <v>0</v>
      </c>
      <c r="F2251">
        <f>[2]TongHop!F2251</f>
        <v>0</v>
      </c>
      <c r="G2251">
        <f>[2]TongHop!G2251</f>
        <v>0</v>
      </c>
      <c r="H2251">
        <f>[2]TongHop!H2251</f>
        <v>0</v>
      </c>
      <c r="I2251">
        <f>[2]TongHop!I2251</f>
        <v>0</v>
      </c>
      <c r="J2251">
        <f>[2]TongHop!J2251</f>
        <v>0</v>
      </c>
      <c r="K2251">
        <f>[2]TongHop!K2251</f>
        <v>0</v>
      </c>
      <c r="L2251">
        <f>[2]TongHop!L2251</f>
        <v>0</v>
      </c>
      <c r="M2251">
        <f>[2]TongHop!M2251</f>
        <v>0</v>
      </c>
      <c r="N2251">
        <f>[2]TongHop!N2251</f>
        <v>0</v>
      </c>
    </row>
    <row r="2252" spans="1:14">
      <c r="A2252">
        <f>[2]TongHop!A2252</f>
        <v>0</v>
      </c>
      <c r="B2252">
        <f>[2]TongHop!B2252</f>
        <v>0</v>
      </c>
      <c r="C2252">
        <f>[2]TongHop!C2252</f>
        <v>0</v>
      </c>
      <c r="D2252">
        <f>[2]TongHop!D2252</f>
        <v>0</v>
      </c>
      <c r="E2252">
        <f>[2]TongHop!E2252</f>
        <v>0</v>
      </c>
      <c r="F2252">
        <f>[2]TongHop!F2252</f>
        <v>0</v>
      </c>
      <c r="G2252">
        <f>[2]TongHop!G2252</f>
        <v>0</v>
      </c>
      <c r="H2252">
        <f>[2]TongHop!H2252</f>
        <v>0</v>
      </c>
      <c r="I2252">
        <f>[2]TongHop!I2252</f>
        <v>0</v>
      </c>
      <c r="J2252">
        <f>[2]TongHop!J2252</f>
        <v>0</v>
      </c>
      <c r="K2252">
        <f>[2]TongHop!K2252</f>
        <v>0</v>
      </c>
      <c r="L2252">
        <f>[2]TongHop!L2252</f>
        <v>0</v>
      </c>
      <c r="M2252">
        <f>[2]TongHop!M2252</f>
        <v>0</v>
      </c>
      <c r="N2252">
        <f>[2]TongHop!N2252</f>
        <v>0</v>
      </c>
    </row>
    <row r="2253" spans="1:14">
      <c r="A2253">
        <f>[2]TongHop!A2253</f>
        <v>0</v>
      </c>
      <c r="B2253">
        <f>[2]TongHop!B2253</f>
        <v>0</v>
      </c>
      <c r="C2253">
        <f>[2]TongHop!C2253</f>
        <v>0</v>
      </c>
      <c r="D2253">
        <f>[2]TongHop!D2253</f>
        <v>0</v>
      </c>
      <c r="E2253">
        <f>[2]TongHop!E2253</f>
        <v>0</v>
      </c>
      <c r="F2253">
        <f>[2]TongHop!F2253</f>
        <v>0</v>
      </c>
      <c r="G2253">
        <f>[2]TongHop!G2253</f>
        <v>0</v>
      </c>
      <c r="H2253">
        <f>[2]TongHop!H2253</f>
        <v>0</v>
      </c>
      <c r="I2253">
        <f>[2]TongHop!I2253</f>
        <v>0</v>
      </c>
      <c r="J2253">
        <f>[2]TongHop!J2253</f>
        <v>0</v>
      </c>
      <c r="K2253">
        <f>[2]TongHop!K2253</f>
        <v>0</v>
      </c>
      <c r="L2253">
        <f>[2]TongHop!L2253</f>
        <v>0</v>
      </c>
      <c r="M2253">
        <f>[2]TongHop!M2253</f>
        <v>0</v>
      </c>
      <c r="N2253">
        <f>[2]TongHop!N2253</f>
        <v>0</v>
      </c>
    </row>
    <row r="2254" spans="1:14">
      <c r="A2254">
        <f>[2]TongHop!A2254</f>
        <v>0</v>
      </c>
      <c r="B2254">
        <f>[2]TongHop!B2254</f>
        <v>0</v>
      </c>
      <c r="C2254">
        <f>[2]TongHop!C2254</f>
        <v>0</v>
      </c>
      <c r="D2254">
        <f>[2]TongHop!D2254</f>
        <v>0</v>
      </c>
      <c r="E2254">
        <f>[2]TongHop!E2254</f>
        <v>0</v>
      </c>
      <c r="F2254">
        <f>[2]TongHop!F2254</f>
        <v>0</v>
      </c>
      <c r="G2254">
        <f>[2]TongHop!G2254</f>
        <v>0</v>
      </c>
      <c r="H2254">
        <f>[2]TongHop!H2254</f>
        <v>0</v>
      </c>
      <c r="I2254">
        <f>[2]TongHop!I2254</f>
        <v>0</v>
      </c>
      <c r="J2254">
        <f>[2]TongHop!J2254</f>
        <v>0</v>
      </c>
      <c r="K2254">
        <f>[2]TongHop!K2254</f>
        <v>0</v>
      </c>
      <c r="L2254">
        <f>[2]TongHop!L2254</f>
        <v>0</v>
      </c>
      <c r="M2254">
        <f>[2]TongHop!M2254</f>
        <v>0</v>
      </c>
      <c r="N2254">
        <f>[2]TongHop!N2254</f>
        <v>0</v>
      </c>
    </row>
    <row r="2255" spans="1:14">
      <c r="A2255">
        <f>[2]TongHop!A2255</f>
        <v>0</v>
      </c>
      <c r="B2255">
        <f>[2]TongHop!B2255</f>
        <v>0</v>
      </c>
      <c r="C2255">
        <f>[2]TongHop!C2255</f>
        <v>0</v>
      </c>
      <c r="D2255">
        <f>[2]TongHop!D2255</f>
        <v>0</v>
      </c>
      <c r="E2255">
        <f>[2]TongHop!E2255</f>
        <v>0</v>
      </c>
      <c r="F2255">
        <f>[2]TongHop!F2255</f>
        <v>0</v>
      </c>
      <c r="G2255">
        <f>[2]TongHop!G2255</f>
        <v>0</v>
      </c>
      <c r="H2255">
        <f>[2]TongHop!H2255</f>
        <v>0</v>
      </c>
      <c r="I2255">
        <f>[2]TongHop!I2255</f>
        <v>0</v>
      </c>
      <c r="J2255">
        <f>[2]TongHop!J2255</f>
        <v>0</v>
      </c>
      <c r="K2255">
        <f>[2]TongHop!K2255</f>
        <v>0</v>
      </c>
      <c r="L2255">
        <f>[2]TongHop!L2255</f>
        <v>0</v>
      </c>
      <c r="M2255">
        <f>[2]TongHop!M2255</f>
        <v>0</v>
      </c>
      <c r="N2255">
        <f>[2]TongHop!N2255</f>
        <v>0</v>
      </c>
    </row>
    <row r="2256" spans="1:14">
      <c r="A2256">
        <f>[2]TongHop!A2256</f>
        <v>0</v>
      </c>
      <c r="B2256">
        <f>[2]TongHop!B2256</f>
        <v>0</v>
      </c>
      <c r="C2256">
        <f>[2]TongHop!C2256</f>
        <v>0</v>
      </c>
      <c r="D2256">
        <f>[2]TongHop!D2256</f>
        <v>0</v>
      </c>
      <c r="E2256">
        <f>[2]TongHop!E2256</f>
        <v>0</v>
      </c>
      <c r="F2256">
        <f>[2]TongHop!F2256</f>
        <v>0</v>
      </c>
      <c r="G2256">
        <f>[2]TongHop!G2256</f>
        <v>0</v>
      </c>
      <c r="H2256">
        <f>[2]TongHop!H2256</f>
        <v>0</v>
      </c>
      <c r="I2256">
        <f>[2]TongHop!I2256</f>
        <v>0</v>
      </c>
      <c r="J2256">
        <f>[2]TongHop!J2256</f>
        <v>0</v>
      </c>
      <c r="K2256">
        <f>[2]TongHop!K2256</f>
        <v>0</v>
      </c>
      <c r="L2256">
        <f>[2]TongHop!L2256</f>
        <v>0</v>
      </c>
      <c r="M2256">
        <f>[2]TongHop!M2256</f>
        <v>0</v>
      </c>
      <c r="N2256">
        <f>[2]TongHop!N2256</f>
        <v>0</v>
      </c>
    </row>
    <row r="2257" spans="1:14">
      <c r="A2257">
        <f>[2]TongHop!A2257</f>
        <v>0</v>
      </c>
      <c r="B2257">
        <f>[2]TongHop!B2257</f>
        <v>0</v>
      </c>
      <c r="C2257">
        <f>[2]TongHop!C2257</f>
        <v>0</v>
      </c>
      <c r="D2257">
        <f>[2]TongHop!D2257</f>
        <v>0</v>
      </c>
      <c r="E2257">
        <f>[2]TongHop!E2257</f>
        <v>0</v>
      </c>
      <c r="F2257">
        <f>[2]TongHop!F2257</f>
        <v>0</v>
      </c>
      <c r="G2257">
        <f>[2]TongHop!G2257</f>
        <v>0</v>
      </c>
      <c r="H2257">
        <f>[2]TongHop!H2257</f>
        <v>0</v>
      </c>
      <c r="I2257">
        <f>[2]TongHop!I2257</f>
        <v>0</v>
      </c>
      <c r="J2257">
        <f>[2]TongHop!J2257</f>
        <v>0</v>
      </c>
      <c r="K2257">
        <f>[2]TongHop!K2257</f>
        <v>0</v>
      </c>
      <c r="L2257">
        <f>[2]TongHop!L2257</f>
        <v>0</v>
      </c>
      <c r="M2257">
        <f>[2]TongHop!M2257</f>
        <v>0</v>
      </c>
      <c r="N2257">
        <f>[2]TongHop!N2257</f>
        <v>0</v>
      </c>
    </row>
    <row r="2258" spans="1:14">
      <c r="A2258">
        <f>[2]TongHop!A2258</f>
        <v>0</v>
      </c>
      <c r="B2258">
        <f>[2]TongHop!B2258</f>
        <v>0</v>
      </c>
      <c r="C2258">
        <f>[2]TongHop!C2258</f>
        <v>0</v>
      </c>
      <c r="D2258">
        <f>[2]TongHop!D2258</f>
        <v>0</v>
      </c>
      <c r="E2258">
        <f>[2]TongHop!E2258</f>
        <v>0</v>
      </c>
      <c r="F2258">
        <f>[2]TongHop!F2258</f>
        <v>0</v>
      </c>
      <c r="G2258">
        <f>[2]TongHop!G2258</f>
        <v>0</v>
      </c>
      <c r="H2258">
        <f>[2]TongHop!H2258</f>
        <v>0</v>
      </c>
      <c r="I2258">
        <f>[2]TongHop!I2258</f>
        <v>0</v>
      </c>
      <c r="J2258">
        <f>[2]TongHop!J2258</f>
        <v>0</v>
      </c>
      <c r="K2258">
        <f>[2]TongHop!K2258</f>
        <v>0</v>
      </c>
      <c r="L2258">
        <f>[2]TongHop!L2258</f>
        <v>0</v>
      </c>
      <c r="M2258">
        <f>[2]TongHop!M2258</f>
        <v>0</v>
      </c>
      <c r="N2258">
        <f>[2]TongHop!N2258</f>
        <v>0</v>
      </c>
    </row>
    <row r="2259" spans="1:14">
      <c r="A2259">
        <f>[2]TongHop!A2259</f>
        <v>0</v>
      </c>
      <c r="B2259">
        <f>[2]TongHop!B2259</f>
        <v>0</v>
      </c>
      <c r="C2259">
        <f>[2]TongHop!C2259</f>
        <v>0</v>
      </c>
      <c r="D2259">
        <f>[2]TongHop!D2259</f>
        <v>0</v>
      </c>
      <c r="E2259">
        <f>[2]TongHop!E2259</f>
        <v>0</v>
      </c>
      <c r="F2259">
        <f>[2]TongHop!F2259</f>
        <v>0</v>
      </c>
      <c r="G2259">
        <f>[2]TongHop!G2259</f>
        <v>0</v>
      </c>
      <c r="H2259">
        <f>[2]TongHop!H2259</f>
        <v>0</v>
      </c>
      <c r="I2259">
        <f>[2]TongHop!I2259</f>
        <v>0</v>
      </c>
      <c r="J2259">
        <f>[2]TongHop!J2259</f>
        <v>0</v>
      </c>
      <c r="K2259">
        <f>[2]TongHop!K2259</f>
        <v>0</v>
      </c>
      <c r="L2259">
        <f>[2]TongHop!L2259</f>
        <v>0</v>
      </c>
      <c r="M2259">
        <f>[2]TongHop!M2259</f>
        <v>0</v>
      </c>
      <c r="N2259">
        <f>[2]TongHop!N2259</f>
        <v>0</v>
      </c>
    </row>
    <row r="2260" spans="1:14">
      <c r="A2260">
        <f>[2]TongHop!A2260</f>
        <v>0</v>
      </c>
      <c r="B2260">
        <f>[2]TongHop!B2260</f>
        <v>0</v>
      </c>
      <c r="C2260">
        <f>[2]TongHop!C2260</f>
        <v>0</v>
      </c>
      <c r="D2260">
        <f>[2]TongHop!D2260</f>
        <v>0</v>
      </c>
      <c r="E2260">
        <f>[2]TongHop!E2260</f>
        <v>0</v>
      </c>
      <c r="F2260">
        <f>[2]TongHop!F2260</f>
        <v>0</v>
      </c>
      <c r="G2260">
        <f>[2]TongHop!G2260</f>
        <v>0</v>
      </c>
      <c r="H2260">
        <f>[2]TongHop!H2260</f>
        <v>0</v>
      </c>
      <c r="I2260">
        <f>[2]TongHop!I2260</f>
        <v>0</v>
      </c>
      <c r="J2260">
        <f>[2]TongHop!J2260</f>
        <v>0</v>
      </c>
      <c r="K2260">
        <f>[2]TongHop!K2260</f>
        <v>0</v>
      </c>
      <c r="L2260">
        <f>[2]TongHop!L2260</f>
        <v>0</v>
      </c>
      <c r="M2260">
        <f>[2]TongHop!M2260</f>
        <v>0</v>
      </c>
      <c r="N2260">
        <f>[2]TongHop!N2260</f>
        <v>0</v>
      </c>
    </row>
    <row r="2261" spans="1:14">
      <c r="A2261">
        <f>[2]TongHop!A2261</f>
        <v>0</v>
      </c>
      <c r="B2261">
        <f>[2]TongHop!B2261</f>
        <v>0</v>
      </c>
      <c r="C2261">
        <f>[2]TongHop!C2261</f>
        <v>0</v>
      </c>
      <c r="D2261">
        <f>[2]TongHop!D2261</f>
        <v>0</v>
      </c>
      <c r="E2261">
        <f>[2]TongHop!E2261</f>
        <v>0</v>
      </c>
      <c r="F2261">
        <f>[2]TongHop!F2261</f>
        <v>0</v>
      </c>
      <c r="G2261">
        <f>[2]TongHop!G2261</f>
        <v>0</v>
      </c>
      <c r="H2261">
        <f>[2]TongHop!H2261</f>
        <v>0</v>
      </c>
      <c r="I2261">
        <f>[2]TongHop!I2261</f>
        <v>0</v>
      </c>
      <c r="J2261">
        <f>[2]TongHop!J2261</f>
        <v>0</v>
      </c>
      <c r="K2261">
        <f>[2]TongHop!K2261</f>
        <v>0</v>
      </c>
      <c r="L2261">
        <f>[2]TongHop!L2261</f>
        <v>0</v>
      </c>
      <c r="M2261">
        <f>[2]TongHop!M2261</f>
        <v>0</v>
      </c>
      <c r="N2261">
        <f>[2]TongHop!N2261</f>
        <v>0</v>
      </c>
    </row>
    <row r="2262" spans="1:14">
      <c r="A2262">
        <f>[2]TongHop!A2262</f>
        <v>0</v>
      </c>
      <c r="B2262">
        <f>[2]TongHop!B2262</f>
        <v>0</v>
      </c>
      <c r="C2262">
        <f>[2]TongHop!C2262</f>
        <v>0</v>
      </c>
      <c r="D2262">
        <f>[2]TongHop!D2262</f>
        <v>0</v>
      </c>
      <c r="E2262">
        <f>[2]TongHop!E2262</f>
        <v>0</v>
      </c>
      <c r="F2262">
        <f>[2]TongHop!F2262</f>
        <v>0</v>
      </c>
      <c r="G2262">
        <f>[2]TongHop!G2262</f>
        <v>0</v>
      </c>
      <c r="H2262">
        <f>[2]TongHop!H2262</f>
        <v>0</v>
      </c>
      <c r="I2262">
        <f>[2]TongHop!I2262</f>
        <v>0</v>
      </c>
      <c r="J2262">
        <f>[2]TongHop!J2262</f>
        <v>0</v>
      </c>
      <c r="K2262">
        <f>[2]TongHop!K2262</f>
        <v>0</v>
      </c>
      <c r="L2262">
        <f>[2]TongHop!L2262</f>
        <v>0</v>
      </c>
      <c r="M2262">
        <f>[2]TongHop!M2262</f>
        <v>0</v>
      </c>
      <c r="N2262">
        <f>[2]TongHop!N2262</f>
        <v>0</v>
      </c>
    </row>
    <row r="2263" spans="1:14">
      <c r="A2263">
        <f>[2]TongHop!A2263</f>
        <v>0</v>
      </c>
      <c r="B2263">
        <f>[2]TongHop!B2263</f>
        <v>0</v>
      </c>
      <c r="C2263">
        <f>[2]TongHop!C2263</f>
        <v>0</v>
      </c>
      <c r="D2263">
        <f>[2]TongHop!D2263</f>
        <v>0</v>
      </c>
      <c r="E2263">
        <f>[2]TongHop!E2263</f>
        <v>0</v>
      </c>
      <c r="F2263">
        <f>[2]TongHop!F2263</f>
        <v>0</v>
      </c>
      <c r="G2263">
        <f>[2]TongHop!G2263</f>
        <v>0</v>
      </c>
      <c r="H2263">
        <f>[2]TongHop!H2263</f>
        <v>0</v>
      </c>
      <c r="I2263">
        <f>[2]TongHop!I2263</f>
        <v>0</v>
      </c>
      <c r="J2263">
        <f>[2]TongHop!J2263</f>
        <v>0</v>
      </c>
      <c r="K2263">
        <f>[2]TongHop!K2263</f>
        <v>0</v>
      </c>
      <c r="L2263">
        <f>[2]TongHop!L2263</f>
        <v>0</v>
      </c>
      <c r="M2263">
        <f>[2]TongHop!M2263</f>
        <v>0</v>
      </c>
      <c r="N2263">
        <f>[2]TongHop!N2263</f>
        <v>0</v>
      </c>
    </row>
    <row r="2264" spans="1:14">
      <c r="A2264">
        <f>[2]TongHop!A2264</f>
        <v>0</v>
      </c>
      <c r="B2264">
        <f>[2]TongHop!B2264</f>
        <v>0</v>
      </c>
      <c r="C2264">
        <f>[2]TongHop!C2264</f>
        <v>0</v>
      </c>
      <c r="D2264">
        <f>[2]TongHop!D2264</f>
        <v>0</v>
      </c>
      <c r="E2264">
        <f>[2]TongHop!E2264</f>
        <v>0</v>
      </c>
      <c r="F2264">
        <f>[2]TongHop!F2264</f>
        <v>0</v>
      </c>
      <c r="G2264">
        <f>[2]TongHop!G2264</f>
        <v>0</v>
      </c>
      <c r="H2264">
        <f>[2]TongHop!H2264</f>
        <v>0</v>
      </c>
      <c r="I2264">
        <f>[2]TongHop!I2264</f>
        <v>0</v>
      </c>
      <c r="J2264">
        <f>[2]TongHop!J2264</f>
        <v>0</v>
      </c>
      <c r="K2264">
        <f>[2]TongHop!K2264</f>
        <v>0</v>
      </c>
      <c r="L2264">
        <f>[2]TongHop!L2264</f>
        <v>0</v>
      </c>
      <c r="M2264">
        <f>[2]TongHop!M2264</f>
        <v>0</v>
      </c>
      <c r="N2264">
        <f>[2]TongHop!N2264</f>
        <v>0</v>
      </c>
    </row>
    <row r="2265" spans="1:14">
      <c r="A2265">
        <f>[2]TongHop!A2265</f>
        <v>0</v>
      </c>
      <c r="B2265">
        <f>[2]TongHop!B2265</f>
        <v>0</v>
      </c>
      <c r="C2265">
        <f>[2]TongHop!C2265</f>
        <v>0</v>
      </c>
      <c r="D2265">
        <f>[2]TongHop!D2265</f>
        <v>0</v>
      </c>
      <c r="E2265">
        <f>[2]TongHop!E2265</f>
        <v>0</v>
      </c>
      <c r="F2265">
        <f>[2]TongHop!F2265</f>
        <v>0</v>
      </c>
      <c r="G2265">
        <f>[2]TongHop!G2265</f>
        <v>0</v>
      </c>
      <c r="H2265">
        <f>[2]TongHop!H2265</f>
        <v>0</v>
      </c>
      <c r="I2265">
        <f>[2]TongHop!I2265</f>
        <v>0</v>
      </c>
      <c r="J2265">
        <f>[2]TongHop!J2265</f>
        <v>0</v>
      </c>
      <c r="K2265">
        <f>[2]TongHop!K2265</f>
        <v>0</v>
      </c>
      <c r="L2265">
        <f>[2]TongHop!L2265</f>
        <v>0</v>
      </c>
      <c r="M2265">
        <f>[2]TongHop!M2265</f>
        <v>0</v>
      </c>
      <c r="N2265">
        <f>[2]TongHop!N2265</f>
        <v>0</v>
      </c>
    </row>
    <row r="2266" spans="1:14">
      <c r="A2266">
        <f>[2]TongHop!A2266</f>
        <v>0</v>
      </c>
      <c r="B2266">
        <f>[2]TongHop!B2266</f>
        <v>0</v>
      </c>
      <c r="C2266">
        <f>[2]TongHop!C2266</f>
        <v>0</v>
      </c>
      <c r="D2266">
        <f>[2]TongHop!D2266</f>
        <v>0</v>
      </c>
      <c r="E2266">
        <f>[2]TongHop!E2266</f>
        <v>0</v>
      </c>
      <c r="F2266">
        <f>[2]TongHop!F2266</f>
        <v>0</v>
      </c>
      <c r="G2266">
        <f>[2]TongHop!G2266</f>
        <v>0</v>
      </c>
      <c r="H2266">
        <f>[2]TongHop!H2266</f>
        <v>0</v>
      </c>
      <c r="I2266">
        <f>[2]TongHop!I2266</f>
        <v>0</v>
      </c>
      <c r="J2266">
        <f>[2]TongHop!J2266</f>
        <v>0</v>
      </c>
      <c r="K2266">
        <f>[2]TongHop!K2266</f>
        <v>0</v>
      </c>
      <c r="L2266">
        <f>[2]TongHop!L2266</f>
        <v>0</v>
      </c>
      <c r="M2266">
        <f>[2]TongHop!M2266</f>
        <v>0</v>
      </c>
      <c r="N2266">
        <f>[2]TongHop!N2266</f>
        <v>0</v>
      </c>
    </row>
    <row r="2267" spans="1:14">
      <c r="A2267">
        <f>[2]TongHop!A2267</f>
        <v>0</v>
      </c>
      <c r="B2267">
        <f>[2]TongHop!B2267</f>
        <v>0</v>
      </c>
      <c r="C2267">
        <f>[2]TongHop!C2267</f>
        <v>0</v>
      </c>
      <c r="D2267">
        <f>[2]TongHop!D2267</f>
        <v>0</v>
      </c>
      <c r="E2267">
        <f>[2]TongHop!E2267</f>
        <v>0</v>
      </c>
      <c r="F2267">
        <f>[2]TongHop!F2267</f>
        <v>0</v>
      </c>
      <c r="G2267">
        <f>[2]TongHop!G2267</f>
        <v>0</v>
      </c>
      <c r="H2267">
        <f>[2]TongHop!H2267</f>
        <v>0</v>
      </c>
      <c r="I2267">
        <f>[2]TongHop!I2267</f>
        <v>0</v>
      </c>
      <c r="J2267">
        <f>[2]TongHop!J2267</f>
        <v>0</v>
      </c>
      <c r="K2267">
        <f>[2]TongHop!K2267</f>
        <v>0</v>
      </c>
      <c r="L2267">
        <f>[2]TongHop!L2267</f>
        <v>0</v>
      </c>
      <c r="M2267">
        <f>[2]TongHop!M2267</f>
        <v>0</v>
      </c>
      <c r="N2267">
        <f>[2]TongHop!N2267</f>
        <v>0</v>
      </c>
    </row>
    <row r="2268" spans="1:14">
      <c r="A2268">
        <f>[2]TongHop!A2268</f>
        <v>0</v>
      </c>
      <c r="B2268">
        <f>[2]TongHop!B2268</f>
        <v>0</v>
      </c>
      <c r="C2268">
        <f>[2]TongHop!C2268</f>
        <v>0</v>
      </c>
      <c r="D2268">
        <f>[2]TongHop!D2268</f>
        <v>0</v>
      </c>
      <c r="E2268">
        <f>[2]TongHop!E2268</f>
        <v>0</v>
      </c>
      <c r="F2268">
        <f>[2]TongHop!F2268</f>
        <v>0</v>
      </c>
      <c r="G2268">
        <f>[2]TongHop!G2268</f>
        <v>0</v>
      </c>
      <c r="H2268">
        <f>[2]TongHop!H2268</f>
        <v>0</v>
      </c>
      <c r="I2268">
        <f>[2]TongHop!I2268</f>
        <v>0</v>
      </c>
      <c r="J2268">
        <f>[2]TongHop!J2268</f>
        <v>0</v>
      </c>
      <c r="K2268">
        <f>[2]TongHop!K2268</f>
        <v>0</v>
      </c>
      <c r="L2268">
        <f>[2]TongHop!L2268</f>
        <v>0</v>
      </c>
      <c r="M2268">
        <f>[2]TongHop!M2268</f>
        <v>0</v>
      </c>
      <c r="N2268">
        <f>[2]TongHop!N2268</f>
        <v>0</v>
      </c>
    </row>
    <row r="2269" spans="1:14">
      <c r="A2269">
        <f>[2]TongHop!A2269</f>
        <v>0</v>
      </c>
      <c r="B2269">
        <f>[2]TongHop!B2269</f>
        <v>0</v>
      </c>
      <c r="C2269">
        <f>[2]TongHop!C2269</f>
        <v>0</v>
      </c>
      <c r="D2269">
        <f>[2]TongHop!D2269</f>
        <v>0</v>
      </c>
      <c r="E2269">
        <f>[2]TongHop!E2269</f>
        <v>0</v>
      </c>
      <c r="F2269">
        <f>[2]TongHop!F2269</f>
        <v>0</v>
      </c>
      <c r="G2269">
        <f>[2]TongHop!G2269</f>
        <v>0</v>
      </c>
      <c r="H2269">
        <f>[2]TongHop!H2269</f>
        <v>0</v>
      </c>
      <c r="I2269">
        <f>[2]TongHop!I2269</f>
        <v>0</v>
      </c>
      <c r="J2269">
        <f>[2]TongHop!J2269</f>
        <v>0</v>
      </c>
      <c r="K2269">
        <f>[2]TongHop!K2269</f>
        <v>0</v>
      </c>
      <c r="L2269">
        <f>[2]TongHop!L2269</f>
        <v>0</v>
      </c>
      <c r="M2269">
        <f>[2]TongHop!M2269</f>
        <v>0</v>
      </c>
      <c r="N2269">
        <f>[2]TongHop!N2269</f>
        <v>0</v>
      </c>
    </row>
    <row r="2270" spans="1:14">
      <c r="A2270">
        <f>[2]TongHop!A2270</f>
        <v>0</v>
      </c>
      <c r="B2270">
        <f>[2]TongHop!B2270</f>
        <v>0</v>
      </c>
      <c r="C2270">
        <f>[2]TongHop!C2270</f>
        <v>0</v>
      </c>
      <c r="D2270">
        <f>[2]TongHop!D2270</f>
        <v>0</v>
      </c>
      <c r="E2270">
        <f>[2]TongHop!E2270</f>
        <v>0</v>
      </c>
      <c r="F2270">
        <f>[2]TongHop!F2270</f>
        <v>0</v>
      </c>
      <c r="G2270">
        <f>[2]TongHop!G2270</f>
        <v>0</v>
      </c>
      <c r="H2270">
        <f>[2]TongHop!H2270</f>
        <v>0</v>
      </c>
      <c r="I2270">
        <f>[2]TongHop!I2270</f>
        <v>0</v>
      </c>
      <c r="J2270">
        <f>[2]TongHop!J2270</f>
        <v>0</v>
      </c>
      <c r="K2270">
        <f>[2]TongHop!K2270</f>
        <v>0</v>
      </c>
      <c r="L2270">
        <f>[2]TongHop!L2270</f>
        <v>0</v>
      </c>
      <c r="M2270">
        <f>[2]TongHop!M2270</f>
        <v>0</v>
      </c>
      <c r="N2270">
        <f>[2]TongHop!N2270</f>
        <v>0</v>
      </c>
    </row>
    <row r="2271" spans="1:14">
      <c r="A2271">
        <f>[2]TongHop!A2271</f>
        <v>0</v>
      </c>
      <c r="B2271">
        <f>[2]TongHop!B2271</f>
        <v>0</v>
      </c>
      <c r="C2271">
        <f>[2]TongHop!C2271</f>
        <v>0</v>
      </c>
      <c r="D2271">
        <f>[2]TongHop!D2271</f>
        <v>0</v>
      </c>
      <c r="E2271">
        <f>[2]TongHop!E2271</f>
        <v>0</v>
      </c>
      <c r="F2271">
        <f>[2]TongHop!F2271</f>
        <v>0</v>
      </c>
      <c r="G2271">
        <f>[2]TongHop!G2271</f>
        <v>0</v>
      </c>
      <c r="H2271">
        <f>[2]TongHop!H2271</f>
        <v>0</v>
      </c>
      <c r="I2271">
        <f>[2]TongHop!I2271</f>
        <v>0</v>
      </c>
      <c r="J2271">
        <f>[2]TongHop!J2271</f>
        <v>0</v>
      </c>
      <c r="K2271">
        <f>[2]TongHop!K2271</f>
        <v>0</v>
      </c>
      <c r="L2271">
        <f>[2]TongHop!L2271</f>
        <v>0</v>
      </c>
      <c r="M2271">
        <f>[2]TongHop!M2271</f>
        <v>0</v>
      </c>
      <c r="N2271">
        <f>[2]TongHop!N2271</f>
        <v>0</v>
      </c>
    </row>
    <row r="2272" spans="1:14">
      <c r="A2272">
        <f>[2]TongHop!A2272</f>
        <v>0</v>
      </c>
      <c r="B2272">
        <f>[2]TongHop!B2272</f>
        <v>0</v>
      </c>
      <c r="C2272">
        <f>[2]TongHop!C2272</f>
        <v>0</v>
      </c>
      <c r="D2272">
        <f>[2]TongHop!D2272</f>
        <v>0</v>
      </c>
      <c r="E2272">
        <f>[2]TongHop!E2272</f>
        <v>0</v>
      </c>
      <c r="F2272">
        <f>[2]TongHop!F2272</f>
        <v>0</v>
      </c>
      <c r="G2272">
        <f>[2]TongHop!G2272</f>
        <v>0</v>
      </c>
      <c r="H2272">
        <f>[2]TongHop!H2272</f>
        <v>0</v>
      </c>
      <c r="I2272">
        <f>[2]TongHop!I2272</f>
        <v>0</v>
      </c>
      <c r="J2272">
        <f>[2]TongHop!J2272</f>
        <v>0</v>
      </c>
      <c r="K2272">
        <f>[2]TongHop!K2272</f>
        <v>0</v>
      </c>
      <c r="L2272">
        <f>[2]TongHop!L2272</f>
        <v>0</v>
      </c>
      <c r="M2272">
        <f>[2]TongHop!M2272</f>
        <v>0</v>
      </c>
      <c r="N2272">
        <f>[2]TongHop!N2272</f>
        <v>0</v>
      </c>
    </row>
    <row r="2273" spans="1:14">
      <c r="A2273">
        <f>[2]TongHop!A2273</f>
        <v>0</v>
      </c>
      <c r="B2273">
        <f>[2]TongHop!B2273</f>
        <v>0</v>
      </c>
      <c r="C2273">
        <f>[2]TongHop!C2273</f>
        <v>0</v>
      </c>
      <c r="D2273">
        <f>[2]TongHop!D2273</f>
        <v>0</v>
      </c>
      <c r="E2273">
        <f>[2]TongHop!E2273</f>
        <v>0</v>
      </c>
      <c r="F2273">
        <f>[2]TongHop!F2273</f>
        <v>0</v>
      </c>
      <c r="G2273">
        <f>[2]TongHop!G2273</f>
        <v>0</v>
      </c>
      <c r="H2273">
        <f>[2]TongHop!H2273</f>
        <v>0</v>
      </c>
      <c r="I2273">
        <f>[2]TongHop!I2273</f>
        <v>0</v>
      </c>
      <c r="J2273">
        <f>[2]TongHop!J2273</f>
        <v>0</v>
      </c>
      <c r="K2273">
        <f>[2]TongHop!K2273</f>
        <v>0</v>
      </c>
      <c r="L2273">
        <f>[2]TongHop!L2273</f>
        <v>0</v>
      </c>
      <c r="M2273">
        <f>[2]TongHop!M2273</f>
        <v>0</v>
      </c>
      <c r="N2273">
        <f>[2]TongHop!N2273</f>
        <v>0</v>
      </c>
    </row>
    <row r="2274" spans="1:14">
      <c r="A2274">
        <f>[2]TongHop!A2274</f>
        <v>0</v>
      </c>
      <c r="B2274">
        <f>[2]TongHop!B2274</f>
        <v>0</v>
      </c>
      <c r="C2274">
        <f>[2]TongHop!C2274</f>
        <v>0</v>
      </c>
      <c r="D2274">
        <f>[2]TongHop!D2274</f>
        <v>0</v>
      </c>
      <c r="E2274">
        <f>[2]TongHop!E2274</f>
        <v>0</v>
      </c>
      <c r="F2274">
        <f>[2]TongHop!F2274</f>
        <v>0</v>
      </c>
      <c r="G2274">
        <f>[2]TongHop!G2274</f>
        <v>0</v>
      </c>
      <c r="H2274">
        <f>[2]TongHop!H2274</f>
        <v>0</v>
      </c>
      <c r="I2274">
        <f>[2]TongHop!I2274</f>
        <v>0</v>
      </c>
      <c r="J2274">
        <f>[2]TongHop!J2274</f>
        <v>0</v>
      </c>
      <c r="K2274">
        <f>[2]TongHop!K2274</f>
        <v>0</v>
      </c>
      <c r="L2274">
        <f>[2]TongHop!L2274</f>
        <v>0</v>
      </c>
      <c r="M2274">
        <f>[2]TongHop!M2274</f>
        <v>0</v>
      </c>
      <c r="N2274">
        <f>[2]TongHop!N2274</f>
        <v>0</v>
      </c>
    </row>
    <row r="2275" spans="1:14">
      <c r="A2275">
        <f>[2]TongHop!A2275</f>
        <v>0</v>
      </c>
      <c r="B2275">
        <f>[2]TongHop!B2275</f>
        <v>0</v>
      </c>
      <c r="C2275">
        <f>[2]TongHop!C2275</f>
        <v>0</v>
      </c>
      <c r="D2275">
        <f>[2]TongHop!D2275</f>
        <v>0</v>
      </c>
      <c r="E2275">
        <f>[2]TongHop!E2275</f>
        <v>0</v>
      </c>
      <c r="F2275">
        <f>[2]TongHop!F2275</f>
        <v>0</v>
      </c>
      <c r="G2275">
        <f>[2]TongHop!G2275</f>
        <v>0</v>
      </c>
      <c r="H2275">
        <f>[2]TongHop!H2275</f>
        <v>0</v>
      </c>
      <c r="I2275">
        <f>[2]TongHop!I2275</f>
        <v>0</v>
      </c>
      <c r="J2275">
        <f>[2]TongHop!J2275</f>
        <v>0</v>
      </c>
      <c r="K2275">
        <f>[2]TongHop!K2275</f>
        <v>0</v>
      </c>
      <c r="L2275">
        <f>[2]TongHop!L2275</f>
        <v>0</v>
      </c>
      <c r="M2275">
        <f>[2]TongHop!M2275</f>
        <v>0</v>
      </c>
      <c r="N2275">
        <f>[2]TongHop!N2275</f>
        <v>0</v>
      </c>
    </row>
    <row r="2276" spans="1:14">
      <c r="A2276">
        <f>[2]TongHop!A2276</f>
        <v>0</v>
      </c>
      <c r="B2276">
        <f>[2]TongHop!B2276</f>
        <v>0</v>
      </c>
      <c r="C2276">
        <f>[2]TongHop!C2276</f>
        <v>0</v>
      </c>
      <c r="D2276">
        <f>[2]TongHop!D2276</f>
        <v>0</v>
      </c>
      <c r="E2276">
        <f>[2]TongHop!E2276</f>
        <v>0</v>
      </c>
      <c r="F2276">
        <f>[2]TongHop!F2276</f>
        <v>0</v>
      </c>
      <c r="G2276">
        <f>[2]TongHop!G2276</f>
        <v>0</v>
      </c>
      <c r="H2276">
        <f>[2]TongHop!H2276</f>
        <v>0</v>
      </c>
      <c r="I2276">
        <f>[2]TongHop!I2276</f>
        <v>0</v>
      </c>
      <c r="J2276">
        <f>[2]TongHop!J2276</f>
        <v>0</v>
      </c>
      <c r="K2276">
        <f>[2]TongHop!K2276</f>
        <v>0</v>
      </c>
      <c r="L2276">
        <f>[2]TongHop!L2276</f>
        <v>0</v>
      </c>
      <c r="M2276">
        <f>[2]TongHop!M2276</f>
        <v>0</v>
      </c>
      <c r="N2276">
        <f>[2]TongHop!N2276</f>
        <v>0</v>
      </c>
    </row>
    <row r="2277" spans="1:14">
      <c r="A2277">
        <f>[2]TongHop!A2277</f>
        <v>0</v>
      </c>
      <c r="B2277">
        <f>[2]TongHop!B2277</f>
        <v>0</v>
      </c>
      <c r="C2277">
        <f>[2]TongHop!C2277</f>
        <v>0</v>
      </c>
      <c r="D2277">
        <f>[2]TongHop!D2277</f>
        <v>0</v>
      </c>
      <c r="E2277">
        <f>[2]TongHop!E2277</f>
        <v>0</v>
      </c>
      <c r="F2277">
        <f>[2]TongHop!F2277</f>
        <v>0</v>
      </c>
      <c r="G2277">
        <f>[2]TongHop!G2277</f>
        <v>0</v>
      </c>
      <c r="H2277">
        <f>[2]TongHop!H2277</f>
        <v>0</v>
      </c>
      <c r="I2277">
        <f>[2]TongHop!I2277</f>
        <v>0</v>
      </c>
      <c r="J2277">
        <f>[2]TongHop!J2277</f>
        <v>0</v>
      </c>
      <c r="K2277">
        <f>[2]TongHop!K2277</f>
        <v>0</v>
      </c>
      <c r="L2277">
        <f>[2]TongHop!L2277</f>
        <v>0</v>
      </c>
      <c r="M2277">
        <f>[2]TongHop!M2277</f>
        <v>0</v>
      </c>
      <c r="N2277">
        <f>[2]TongHop!N2277</f>
        <v>0</v>
      </c>
    </row>
    <row r="2278" spans="1:14">
      <c r="A2278">
        <f>[2]TongHop!A2278</f>
        <v>0</v>
      </c>
      <c r="B2278">
        <f>[2]TongHop!B2278</f>
        <v>0</v>
      </c>
      <c r="C2278">
        <f>[2]TongHop!C2278</f>
        <v>0</v>
      </c>
      <c r="D2278">
        <f>[2]TongHop!D2278</f>
        <v>0</v>
      </c>
      <c r="E2278">
        <f>[2]TongHop!E2278</f>
        <v>0</v>
      </c>
      <c r="F2278">
        <f>[2]TongHop!F2278</f>
        <v>0</v>
      </c>
      <c r="G2278">
        <f>[2]TongHop!G2278</f>
        <v>0</v>
      </c>
      <c r="H2278">
        <f>[2]TongHop!H2278</f>
        <v>0</v>
      </c>
      <c r="I2278">
        <f>[2]TongHop!I2278</f>
        <v>0</v>
      </c>
      <c r="J2278">
        <f>[2]TongHop!J2278</f>
        <v>0</v>
      </c>
      <c r="K2278">
        <f>[2]TongHop!K2278</f>
        <v>0</v>
      </c>
      <c r="L2278">
        <f>[2]TongHop!L2278</f>
        <v>0</v>
      </c>
      <c r="M2278">
        <f>[2]TongHop!M2278</f>
        <v>0</v>
      </c>
      <c r="N2278">
        <f>[2]TongHop!N2278</f>
        <v>0</v>
      </c>
    </row>
    <row r="2279" spans="1:14">
      <c r="A2279">
        <f>[2]TongHop!A2279</f>
        <v>0</v>
      </c>
      <c r="B2279">
        <f>[2]TongHop!B2279</f>
        <v>0</v>
      </c>
      <c r="C2279">
        <f>[2]TongHop!C2279</f>
        <v>0</v>
      </c>
      <c r="D2279">
        <f>[2]TongHop!D2279</f>
        <v>0</v>
      </c>
      <c r="E2279">
        <f>[2]TongHop!E2279</f>
        <v>0</v>
      </c>
      <c r="F2279">
        <f>[2]TongHop!F2279</f>
        <v>0</v>
      </c>
      <c r="G2279">
        <f>[2]TongHop!G2279</f>
        <v>0</v>
      </c>
      <c r="H2279">
        <f>[2]TongHop!H2279</f>
        <v>0</v>
      </c>
      <c r="I2279">
        <f>[2]TongHop!I2279</f>
        <v>0</v>
      </c>
      <c r="J2279">
        <f>[2]TongHop!J2279</f>
        <v>0</v>
      </c>
      <c r="K2279">
        <f>[2]TongHop!K2279</f>
        <v>0</v>
      </c>
      <c r="L2279">
        <f>[2]TongHop!L2279</f>
        <v>0</v>
      </c>
      <c r="M2279">
        <f>[2]TongHop!M2279</f>
        <v>0</v>
      </c>
      <c r="N2279">
        <f>[2]TongHop!N2279</f>
        <v>0</v>
      </c>
    </row>
    <row r="2280" spans="1:14">
      <c r="A2280">
        <f>[2]TongHop!A2280</f>
        <v>0</v>
      </c>
      <c r="B2280">
        <f>[2]TongHop!B2280</f>
        <v>0</v>
      </c>
      <c r="C2280">
        <f>[2]TongHop!C2280</f>
        <v>0</v>
      </c>
      <c r="D2280">
        <f>[2]TongHop!D2280</f>
        <v>0</v>
      </c>
      <c r="E2280">
        <f>[2]TongHop!E2280</f>
        <v>0</v>
      </c>
      <c r="F2280">
        <f>[2]TongHop!F2280</f>
        <v>0</v>
      </c>
      <c r="G2280">
        <f>[2]TongHop!G2280</f>
        <v>0</v>
      </c>
      <c r="H2280">
        <f>[2]TongHop!H2280</f>
        <v>0</v>
      </c>
      <c r="I2280">
        <f>[2]TongHop!I2280</f>
        <v>0</v>
      </c>
      <c r="J2280">
        <f>[2]TongHop!J2280</f>
        <v>0</v>
      </c>
      <c r="K2280">
        <f>[2]TongHop!K2280</f>
        <v>0</v>
      </c>
      <c r="L2280">
        <f>[2]TongHop!L2280</f>
        <v>0</v>
      </c>
      <c r="M2280">
        <f>[2]TongHop!M2280</f>
        <v>0</v>
      </c>
      <c r="N2280">
        <f>[2]TongHop!N2280</f>
        <v>0</v>
      </c>
    </row>
    <row r="2281" spans="1:14">
      <c r="A2281">
        <f>[2]TongHop!A2281</f>
        <v>0</v>
      </c>
      <c r="B2281">
        <f>[2]TongHop!B2281</f>
        <v>0</v>
      </c>
      <c r="C2281">
        <f>[2]TongHop!C2281</f>
        <v>0</v>
      </c>
      <c r="D2281">
        <f>[2]TongHop!D2281</f>
        <v>0</v>
      </c>
      <c r="E2281">
        <f>[2]TongHop!E2281</f>
        <v>0</v>
      </c>
      <c r="F2281">
        <f>[2]TongHop!F2281</f>
        <v>0</v>
      </c>
      <c r="G2281">
        <f>[2]TongHop!G2281</f>
        <v>0</v>
      </c>
      <c r="H2281">
        <f>[2]TongHop!H2281</f>
        <v>0</v>
      </c>
      <c r="I2281">
        <f>[2]TongHop!I2281</f>
        <v>0</v>
      </c>
      <c r="J2281">
        <f>[2]TongHop!J2281</f>
        <v>0</v>
      </c>
      <c r="K2281">
        <f>[2]TongHop!K2281</f>
        <v>0</v>
      </c>
      <c r="L2281">
        <f>[2]TongHop!L2281</f>
        <v>0</v>
      </c>
      <c r="M2281">
        <f>[2]TongHop!M2281</f>
        <v>0</v>
      </c>
      <c r="N2281">
        <f>[2]TongHop!N2281</f>
        <v>0</v>
      </c>
    </row>
    <row r="2282" spans="1:14">
      <c r="A2282">
        <f>[2]TongHop!A2282</f>
        <v>0</v>
      </c>
      <c r="B2282">
        <f>[2]TongHop!B2282</f>
        <v>0</v>
      </c>
      <c r="C2282">
        <f>[2]TongHop!C2282</f>
        <v>0</v>
      </c>
      <c r="D2282">
        <f>[2]TongHop!D2282</f>
        <v>0</v>
      </c>
      <c r="E2282">
        <f>[2]TongHop!E2282</f>
        <v>0</v>
      </c>
      <c r="F2282">
        <f>[2]TongHop!F2282</f>
        <v>0</v>
      </c>
      <c r="G2282">
        <f>[2]TongHop!G2282</f>
        <v>0</v>
      </c>
      <c r="H2282">
        <f>[2]TongHop!H2282</f>
        <v>0</v>
      </c>
      <c r="I2282">
        <f>[2]TongHop!I2282</f>
        <v>0</v>
      </c>
      <c r="J2282">
        <f>[2]TongHop!J2282</f>
        <v>0</v>
      </c>
      <c r="K2282">
        <f>[2]TongHop!K2282</f>
        <v>0</v>
      </c>
      <c r="L2282">
        <f>[2]TongHop!L2282</f>
        <v>0</v>
      </c>
      <c r="M2282">
        <f>[2]TongHop!M2282</f>
        <v>0</v>
      </c>
      <c r="N2282">
        <f>[2]TongHop!N2282</f>
        <v>0</v>
      </c>
    </row>
    <row r="2283" spans="1:14">
      <c r="A2283">
        <f>[2]TongHop!A2283</f>
        <v>0</v>
      </c>
      <c r="B2283">
        <f>[2]TongHop!B2283</f>
        <v>0</v>
      </c>
      <c r="C2283">
        <f>[2]TongHop!C2283</f>
        <v>0</v>
      </c>
      <c r="D2283">
        <f>[2]TongHop!D2283</f>
        <v>0</v>
      </c>
      <c r="E2283">
        <f>[2]TongHop!E2283</f>
        <v>0</v>
      </c>
      <c r="F2283">
        <f>[2]TongHop!F2283</f>
        <v>0</v>
      </c>
      <c r="G2283">
        <f>[2]TongHop!G2283</f>
        <v>0</v>
      </c>
      <c r="H2283">
        <f>[2]TongHop!H2283</f>
        <v>0</v>
      </c>
      <c r="I2283">
        <f>[2]TongHop!I2283</f>
        <v>0</v>
      </c>
      <c r="J2283">
        <f>[2]TongHop!J2283</f>
        <v>0</v>
      </c>
      <c r="K2283">
        <f>[2]TongHop!K2283</f>
        <v>0</v>
      </c>
      <c r="L2283">
        <f>[2]TongHop!L2283</f>
        <v>0</v>
      </c>
      <c r="M2283">
        <f>[2]TongHop!M2283</f>
        <v>0</v>
      </c>
      <c r="N2283">
        <f>[2]TongHop!N2283</f>
        <v>0</v>
      </c>
    </row>
    <row r="2284" spans="1:14">
      <c r="A2284">
        <f>[2]TongHop!A2284</f>
        <v>0</v>
      </c>
      <c r="B2284">
        <f>[2]TongHop!B2284</f>
        <v>0</v>
      </c>
      <c r="C2284">
        <f>[2]TongHop!C2284</f>
        <v>0</v>
      </c>
      <c r="D2284">
        <f>[2]TongHop!D2284</f>
        <v>0</v>
      </c>
      <c r="E2284">
        <f>[2]TongHop!E2284</f>
        <v>0</v>
      </c>
      <c r="F2284">
        <f>[2]TongHop!F2284</f>
        <v>0</v>
      </c>
      <c r="G2284">
        <f>[2]TongHop!G2284</f>
        <v>0</v>
      </c>
      <c r="H2284">
        <f>[2]TongHop!H2284</f>
        <v>0</v>
      </c>
      <c r="I2284">
        <f>[2]TongHop!I2284</f>
        <v>0</v>
      </c>
      <c r="J2284">
        <f>[2]TongHop!J2284</f>
        <v>0</v>
      </c>
      <c r="K2284">
        <f>[2]TongHop!K2284</f>
        <v>0</v>
      </c>
      <c r="L2284">
        <f>[2]TongHop!L2284</f>
        <v>0</v>
      </c>
      <c r="M2284">
        <f>[2]TongHop!M2284</f>
        <v>0</v>
      </c>
      <c r="N2284">
        <f>[2]TongHop!N2284</f>
        <v>0</v>
      </c>
    </row>
    <row r="2285" spans="1:14">
      <c r="A2285">
        <f>[2]TongHop!A2285</f>
        <v>0</v>
      </c>
      <c r="B2285">
        <f>[2]TongHop!B2285</f>
        <v>0</v>
      </c>
      <c r="C2285">
        <f>[2]TongHop!C2285</f>
        <v>0</v>
      </c>
      <c r="D2285">
        <f>[2]TongHop!D2285</f>
        <v>0</v>
      </c>
      <c r="E2285">
        <f>[2]TongHop!E2285</f>
        <v>0</v>
      </c>
      <c r="F2285">
        <f>[2]TongHop!F2285</f>
        <v>0</v>
      </c>
      <c r="G2285">
        <f>[2]TongHop!G2285</f>
        <v>0</v>
      </c>
      <c r="H2285">
        <f>[2]TongHop!H2285</f>
        <v>0</v>
      </c>
      <c r="I2285">
        <f>[2]TongHop!I2285</f>
        <v>0</v>
      </c>
      <c r="J2285">
        <f>[2]TongHop!J2285</f>
        <v>0</v>
      </c>
      <c r="K2285">
        <f>[2]TongHop!K2285</f>
        <v>0</v>
      </c>
      <c r="L2285">
        <f>[2]TongHop!L2285</f>
        <v>0</v>
      </c>
      <c r="M2285">
        <f>[2]TongHop!M2285</f>
        <v>0</v>
      </c>
      <c r="N2285">
        <f>[2]TongHop!N2285</f>
        <v>0</v>
      </c>
    </row>
    <row r="2286" spans="1:14">
      <c r="A2286">
        <f>[2]TongHop!A2286</f>
        <v>0</v>
      </c>
      <c r="B2286">
        <f>[2]TongHop!B2286</f>
        <v>0</v>
      </c>
      <c r="C2286">
        <f>[2]TongHop!C2286</f>
        <v>0</v>
      </c>
      <c r="D2286">
        <f>[2]TongHop!D2286</f>
        <v>0</v>
      </c>
      <c r="E2286">
        <f>[2]TongHop!E2286</f>
        <v>0</v>
      </c>
      <c r="F2286">
        <f>[2]TongHop!F2286</f>
        <v>0</v>
      </c>
      <c r="G2286">
        <f>[2]TongHop!G2286</f>
        <v>0</v>
      </c>
      <c r="H2286">
        <f>[2]TongHop!H2286</f>
        <v>0</v>
      </c>
      <c r="I2286">
        <f>[2]TongHop!I2286</f>
        <v>0</v>
      </c>
      <c r="J2286">
        <f>[2]TongHop!J2286</f>
        <v>0</v>
      </c>
      <c r="K2286">
        <f>[2]TongHop!K2286</f>
        <v>0</v>
      </c>
      <c r="L2286">
        <f>[2]TongHop!L2286</f>
        <v>0</v>
      </c>
      <c r="M2286">
        <f>[2]TongHop!M2286</f>
        <v>0</v>
      </c>
      <c r="N2286">
        <f>[2]TongHop!N2286</f>
        <v>0</v>
      </c>
    </row>
    <row r="2287" spans="1:14">
      <c r="A2287">
        <f>[2]TongHop!A2287</f>
        <v>0</v>
      </c>
      <c r="B2287">
        <f>[2]TongHop!B2287</f>
        <v>0</v>
      </c>
      <c r="C2287">
        <f>[2]TongHop!C2287</f>
        <v>0</v>
      </c>
      <c r="D2287">
        <f>[2]TongHop!D2287</f>
        <v>0</v>
      </c>
      <c r="E2287">
        <f>[2]TongHop!E2287</f>
        <v>0</v>
      </c>
      <c r="F2287">
        <f>[2]TongHop!F2287</f>
        <v>0</v>
      </c>
      <c r="G2287">
        <f>[2]TongHop!G2287</f>
        <v>0</v>
      </c>
      <c r="H2287">
        <f>[2]TongHop!H2287</f>
        <v>0</v>
      </c>
      <c r="I2287">
        <f>[2]TongHop!I2287</f>
        <v>0</v>
      </c>
      <c r="J2287">
        <f>[2]TongHop!J2287</f>
        <v>0</v>
      </c>
      <c r="K2287">
        <f>[2]TongHop!K2287</f>
        <v>0</v>
      </c>
      <c r="L2287">
        <f>[2]TongHop!L2287</f>
        <v>0</v>
      </c>
      <c r="M2287">
        <f>[2]TongHop!M2287</f>
        <v>0</v>
      </c>
      <c r="N2287">
        <f>[2]TongHop!N2287</f>
        <v>0</v>
      </c>
    </row>
    <row r="2288" spans="1:14">
      <c r="A2288">
        <f>[2]TongHop!A2288</f>
        <v>0</v>
      </c>
      <c r="B2288">
        <f>[2]TongHop!B2288</f>
        <v>0</v>
      </c>
      <c r="C2288">
        <f>[2]TongHop!C2288</f>
        <v>0</v>
      </c>
      <c r="D2288">
        <f>[2]TongHop!D2288</f>
        <v>0</v>
      </c>
      <c r="E2288">
        <f>[2]TongHop!E2288</f>
        <v>0</v>
      </c>
      <c r="F2288">
        <f>[2]TongHop!F2288</f>
        <v>0</v>
      </c>
      <c r="G2288">
        <f>[2]TongHop!G2288</f>
        <v>0</v>
      </c>
      <c r="H2288">
        <f>[2]TongHop!H2288</f>
        <v>0</v>
      </c>
      <c r="I2288">
        <f>[2]TongHop!I2288</f>
        <v>0</v>
      </c>
      <c r="J2288">
        <f>[2]TongHop!J2288</f>
        <v>0</v>
      </c>
      <c r="K2288">
        <f>[2]TongHop!K2288</f>
        <v>0</v>
      </c>
      <c r="L2288">
        <f>[2]TongHop!L2288</f>
        <v>0</v>
      </c>
      <c r="M2288">
        <f>[2]TongHop!M2288</f>
        <v>0</v>
      </c>
      <c r="N2288">
        <f>[2]TongHop!N2288</f>
        <v>0</v>
      </c>
    </row>
    <row r="2289" spans="1:14">
      <c r="A2289">
        <f>[2]TongHop!A2289</f>
        <v>0</v>
      </c>
      <c r="B2289">
        <f>[2]TongHop!B2289</f>
        <v>0</v>
      </c>
      <c r="C2289">
        <f>[2]TongHop!C2289</f>
        <v>0</v>
      </c>
      <c r="D2289">
        <f>[2]TongHop!D2289</f>
        <v>0</v>
      </c>
      <c r="E2289">
        <f>[2]TongHop!E2289</f>
        <v>0</v>
      </c>
      <c r="F2289">
        <f>[2]TongHop!F2289</f>
        <v>0</v>
      </c>
      <c r="G2289">
        <f>[2]TongHop!G2289</f>
        <v>0</v>
      </c>
      <c r="H2289">
        <f>[2]TongHop!H2289</f>
        <v>0</v>
      </c>
      <c r="I2289">
        <f>[2]TongHop!I2289</f>
        <v>0</v>
      </c>
      <c r="J2289">
        <f>[2]TongHop!J2289</f>
        <v>0</v>
      </c>
      <c r="K2289">
        <f>[2]TongHop!K2289</f>
        <v>0</v>
      </c>
      <c r="L2289">
        <f>[2]TongHop!L2289</f>
        <v>0</v>
      </c>
      <c r="M2289">
        <f>[2]TongHop!M2289</f>
        <v>0</v>
      </c>
      <c r="N2289">
        <f>[2]TongHop!N2289</f>
        <v>0</v>
      </c>
    </row>
    <row r="2290" spans="1:14">
      <c r="A2290">
        <f>[2]TongHop!A2290</f>
        <v>0</v>
      </c>
      <c r="B2290">
        <f>[2]TongHop!B2290</f>
        <v>0</v>
      </c>
      <c r="C2290">
        <f>[2]TongHop!C2290</f>
        <v>0</v>
      </c>
      <c r="D2290">
        <f>[2]TongHop!D2290</f>
        <v>0</v>
      </c>
      <c r="E2290">
        <f>[2]TongHop!E2290</f>
        <v>0</v>
      </c>
      <c r="F2290">
        <f>[2]TongHop!F2290</f>
        <v>0</v>
      </c>
      <c r="G2290">
        <f>[2]TongHop!G2290</f>
        <v>0</v>
      </c>
      <c r="H2290">
        <f>[2]TongHop!H2290</f>
        <v>0</v>
      </c>
      <c r="I2290">
        <f>[2]TongHop!I2290</f>
        <v>0</v>
      </c>
      <c r="J2290">
        <f>[2]TongHop!J2290</f>
        <v>0</v>
      </c>
      <c r="K2290">
        <f>[2]TongHop!K2290</f>
        <v>0</v>
      </c>
      <c r="L2290">
        <f>[2]TongHop!L2290</f>
        <v>0</v>
      </c>
      <c r="M2290">
        <f>[2]TongHop!M2290</f>
        <v>0</v>
      </c>
      <c r="N2290">
        <f>[2]TongHop!N2290</f>
        <v>0</v>
      </c>
    </row>
    <row r="2291" spans="1:14">
      <c r="A2291">
        <f>[2]TongHop!A2291</f>
        <v>0</v>
      </c>
      <c r="B2291">
        <f>[2]TongHop!B2291</f>
        <v>0</v>
      </c>
      <c r="C2291">
        <f>[2]TongHop!C2291</f>
        <v>0</v>
      </c>
      <c r="D2291">
        <f>[2]TongHop!D2291</f>
        <v>0</v>
      </c>
      <c r="E2291">
        <f>[2]TongHop!E2291</f>
        <v>0</v>
      </c>
      <c r="F2291">
        <f>[2]TongHop!F2291</f>
        <v>0</v>
      </c>
      <c r="G2291">
        <f>[2]TongHop!G2291</f>
        <v>0</v>
      </c>
      <c r="H2291">
        <f>[2]TongHop!H2291</f>
        <v>0</v>
      </c>
      <c r="I2291">
        <f>[2]TongHop!I2291</f>
        <v>0</v>
      </c>
      <c r="J2291">
        <f>[2]TongHop!J2291</f>
        <v>0</v>
      </c>
      <c r="K2291">
        <f>[2]TongHop!K2291</f>
        <v>0</v>
      </c>
      <c r="L2291">
        <f>[2]TongHop!L2291</f>
        <v>0</v>
      </c>
      <c r="M2291">
        <f>[2]TongHop!M2291</f>
        <v>0</v>
      </c>
      <c r="N2291">
        <f>[2]TongHop!N2291</f>
        <v>0</v>
      </c>
    </row>
    <row r="2292" spans="1:14">
      <c r="A2292">
        <f>[2]TongHop!A2292</f>
        <v>0</v>
      </c>
      <c r="B2292">
        <f>[2]TongHop!B2292</f>
        <v>0</v>
      </c>
      <c r="C2292">
        <f>[2]TongHop!C2292</f>
        <v>0</v>
      </c>
      <c r="D2292">
        <f>[2]TongHop!D2292</f>
        <v>0</v>
      </c>
      <c r="E2292">
        <f>[2]TongHop!E2292</f>
        <v>0</v>
      </c>
      <c r="F2292">
        <f>[2]TongHop!F2292</f>
        <v>0</v>
      </c>
      <c r="G2292">
        <f>[2]TongHop!G2292</f>
        <v>0</v>
      </c>
      <c r="H2292">
        <f>[2]TongHop!H2292</f>
        <v>0</v>
      </c>
      <c r="I2292">
        <f>[2]TongHop!I2292</f>
        <v>0</v>
      </c>
      <c r="J2292">
        <f>[2]TongHop!J2292</f>
        <v>0</v>
      </c>
      <c r="K2292">
        <f>[2]TongHop!K2292</f>
        <v>0</v>
      </c>
      <c r="L2292">
        <f>[2]TongHop!L2292</f>
        <v>0</v>
      </c>
      <c r="M2292">
        <f>[2]TongHop!M2292</f>
        <v>0</v>
      </c>
      <c r="N2292">
        <f>[2]TongHop!N2292</f>
        <v>0</v>
      </c>
    </row>
    <row r="2293" spans="1:14">
      <c r="A2293">
        <f>[2]TongHop!A2293</f>
        <v>0</v>
      </c>
      <c r="B2293">
        <f>[2]TongHop!B2293</f>
        <v>0</v>
      </c>
      <c r="C2293">
        <f>[2]TongHop!C2293</f>
        <v>0</v>
      </c>
      <c r="D2293">
        <f>[2]TongHop!D2293</f>
        <v>0</v>
      </c>
      <c r="E2293">
        <f>[2]TongHop!E2293</f>
        <v>0</v>
      </c>
      <c r="F2293">
        <f>[2]TongHop!F2293</f>
        <v>0</v>
      </c>
      <c r="G2293">
        <f>[2]TongHop!G2293</f>
        <v>0</v>
      </c>
      <c r="H2293">
        <f>[2]TongHop!H2293</f>
        <v>0</v>
      </c>
      <c r="I2293">
        <f>[2]TongHop!I2293</f>
        <v>0</v>
      </c>
      <c r="J2293">
        <f>[2]TongHop!J2293</f>
        <v>0</v>
      </c>
      <c r="K2293">
        <f>[2]TongHop!K2293</f>
        <v>0</v>
      </c>
      <c r="L2293">
        <f>[2]TongHop!L2293</f>
        <v>0</v>
      </c>
      <c r="M2293">
        <f>[2]TongHop!M2293</f>
        <v>0</v>
      </c>
      <c r="N2293">
        <f>[2]TongHop!N2293</f>
        <v>0</v>
      </c>
    </row>
    <row r="2294" spans="1:14">
      <c r="A2294">
        <f>[2]TongHop!A2294</f>
        <v>0</v>
      </c>
      <c r="B2294">
        <f>[2]TongHop!B2294</f>
        <v>0</v>
      </c>
      <c r="C2294">
        <f>[2]TongHop!C2294</f>
        <v>0</v>
      </c>
      <c r="D2294">
        <f>[2]TongHop!D2294</f>
        <v>0</v>
      </c>
      <c r="E2294">
        <f>[2]TongHop!E2294</f>
        <v>0</v>
      </c>
      <c r="F2294">
        <f>[2]TongHop!F2294</f>
        <v>0</v>
      </c>
      <c r="G2294">
        <f>[2]TongHop!G2294</f>
        <v>0</v>
      </c>
      <c r="H2294">
        <f>[2]TongHop!H2294</f>
        <v>0</v>
      </c>
      <c r="I2294">
        <f>[2]TongHop!I2294</f>
        <v>0</v>
      </c>
      <c r="J2294">
        <f>[2]TongHop!J2294</f>
        <v>0</v>
      </c>
      <c r="K2294">
        <f>[2]TongHop!K2294</f>
        <v>0</v>
      </c>
      <c r="L2294">
        <f>[2]TongHop!L2294</f>
        <v>0</v>
      </c>
      <c r="M2294">
        <f>[2]TongHop!M2294</f>
        <v>0</v>
      </c>
      <c r="N2294">
        <f>[2]TongHop!N2294</f>
        <v>0</v>
      </c>
    </row>
    <row r="2295" spans="1:14">
      <c r="A2295">
        <f>[2]TongHop!A2295</f>
        <v>0</v>
      </c>
      <c r="B2295">
        <f>[2]TongHop!B2295</f>
        <v>0</v>
      </c>
      <c r="C2295">
        <f>[2]TongHop!C2295</f>
        <v>0</v>
      </c>
      <c r="D2295">
        <f>[2]TongHop!D2295</f>
        <v>0</v>
      </c>
      <c r="E2295">
        <f>[2]TongHop!E2295</f>
        <v>0</v>
      </c>
      <c r="F2295">
        <f>[2]TongHop!F2295</f>
        <v>0</v>
      </c>
      <c r="G2295">
        <f>[2]TongHop!G2295</f>
        <v>0</v>
      </c>
      <c r="H2295">
        <f>[2]TongHop!H2295</f>
        <v>0</v>
      </c>
      <c r="I2295">
        <f>[2]TongHop!I2295</f>
        <v>0</v>
      </c>
      <c r="J2295">
        <f>[2]TongHop!J2295</f>
        <v>0</v>
      </c>
      <c r="K2295">
        <f>[2]TongHop!K2295</f>
        <v>0</v>
      </c>
      <c r="L2295">
        <f>[2]TongHop!L2295</f>
        <v>0</v>
      </c>
      <c r="M2295">
        <f>[2]TongHop!M2295</f>
        <v>0</v>
      </c>
      <c r="N2295">
        <f>[2]TongHop!N2295</f>
        <v>0</v>
      </c>
    </row>
    <row r="2296" spans="1:14">
      <c r="A2296">
        <f>[2]TongHop!A2296</f>
        <v>0</v>
      </c>
      <c r="B2296">
        <f>[2]TongHop!B2296</f>
        <v>0</v>
      </c>
      <c r="C2296">
        <f>[2]TongHop!C2296</f>
        <v>0</v>
      </c>
      <c r="D2296">
        <f>[2]TongHop!D2296</f>
        <v>0</v>
      </c>
      <c r="E2296">
        <f>[2]TongHop!E2296</f>
        <v>0</v>
      </c>
      <c r="F2296">
        <f>[2]TongHop!F2296</f>
        <v>0</v>
      </c>
      <c r="G2296">
        <f>[2]TongHop!G2296</f>
        <v>0</v>
      </c>
      <c r="H2296">
        <f>[2]TongHop!H2296</f>
        <v>0</v>
      </c>
      <c r="I2296">
        <f>[2]TongHop!I2296</f>
        <v>0</v>
      </c>
      <c r="J2296">
        <f>[2]TongHop!J2296</f>
        <v>0</v>
      </c>
      <c r="K2296">
        <f>[2]TongHop!K2296</f>
        <v>0</v>
      </c>
      <c r="L2296">
        <f>[2]TongHop!L2296</f>
        <v>0</v>
      </c>
      <c r="M2296">
        <f>[2]TongHop!M2296</f>
        <v>0</v>
      </c>
      <c r="N2296">
        <f>[2]TongHop!N2296</f>
        <v>0</v>
      </c>
    </row>
    <row r="2297" spans="1:14">
      <c r="A2297">
        <f>[2]TongHop!A2297</f>
        <v>0</v>
      </c>
      <c r="B2297">
        <f>[2]TongHop!B2297</f>
        <v>0</v>
      </c>
      <c r="C2297">
        <f>[2]TongHop!C2297</f>
        <v>0</v>
      </c>
      <c r="D2297">
        <f>[2]TongHop!D2297</f>
        <v>0</v>
      </c>
      <c r="E2297">
        <f>[2]TongHop!E2297</f>
        <v>0</v>
      </c>
      <c r="F2297">
        <f>[2]TongHop!F2297</f>
        <v>0</v>
      </c>
      <c r="G2297">
        <f>[2]TongHop!G2297</f>
        <v>0</v>
      </c>
      <c r="H2297">
        <f>[2]TongHop!H2297</f>
        <v>0</v>
      </c>
      <c r="I2297">
        <f>[2]TongHop!I2297</f>
        <v>0</v>
      </c>
      <c r="J2297">
        <f>[2]TongHop!J2297</f>
        <v>0</v>
      </c>
      <c r="K2297">
        <f>[2]TongHop!K2297</f>
        <v>0</v>
      </c>
      <c r="L2297">
        <f>[2]TongHop!L2297</f>
        <v>0</v>
      </c>
      <c r="M2297">
        <f>[2]TongHop!M2297</f>
        <v>0</v>
      </c>
      <c r="N2297">
        <f>[2]TongHop!N2297</f>
        <v>0</v>
      </c>
    </row>
    <row r="2298" spans="1:14">
      <c r="A2298">
        <f>[2]TongHop!A2298</f>
        <v>0</v>
      </c>
      <c r="B2298">
        <f>[2]TongHop!B2298</f>
        <v>0</v>
      </c>
      <c r="C2298">
        <f>[2]TongHop!C2298</f>
        <v>0</v>
      </c>
      <c r="D2298">
        <f>[2]TongHop!D2298</f>
        <v>0</v>
      </c>
      <c r="E2298">
        <f>[2]TongHop!E2298</f>
        <v>0</v>
      </c>
      <c r="F2298">
        <f>[2]TongHop!F2298</f>
        <v>0</v>
      </c>
      <c r="G2298">
        <f>[2]TongHop!G2298</f>
        <v>0</v>
      </c>
      <c r="H2298">
        <f>[2]TongHop!H2298</f>
        <v>0</v>
      </c>
      <c r="I2298">
        <f>[2]TongHop!I2298</f>
        <v>0</v>
      </c>
      <c r="J2298">
        <f>[2]TongHop!J2298</f>
        <v>0</v>
      </c>
      <c r="K2298">
        <f>[2]TongHop!K2298</f>
        <v>0</v>
      </c>
      <c r="L2298">
        <f>[2]TongHop!L2298</f>
        <v>0</v>
      </c>
      <c r="M2298">
        <f>[2]TongHop!M2298</f>
        <v>0</v>
      </c>
      <c r="N2298">
        <f>[2]TongHop!N2298</f>
        <v>0</v>
      </c>
    </row>
    <row r="2299" spans="1:14">
      <c r="A2299">
        <f>[2]TongHop!A2299</f>
        <v>0</v>
      </c>
      <c r="B2299">
        <f>[2]TongHop!B2299</f>
        <v>0</v>
      </c>
      <c r="C2299">
        <f>[2]TongHop!C2299</f>
        <v>0</v>
      </c>
      <c r="D2299">
        <f>[2]TongHop!D2299</f>
        <v>0</v>
      </c>
      <c r="E2299">
        <f>[2]TongHop!E2299</f>
        <v>0</v>
      </c>
      <c r="F2299">
        <f>[2]TongHop!F2299</f>
        <v>0</v>
      </c>
      <c r="G2299">
        <f>[2]TongHop!G2299</f>
        <v>0</v>
      </c>
      <c r="H2299">
        <f>[2]TongHop!H2299</f>
        <v>0</v>
      </c>
      <c r="I2299">
        <f>[2]TongHop!I2299</f>
        <v>0</v>
      </c>
      <c r="J2299">
        <f>[2]TongHop!J2299</f>
        <v>0</v>
      </c>
      <c r="K2299">
        <f>[2]TongHop!K2299</f>
        <v>0</v>
      </c>
      <c r="L2299">
        <f>[2]TongHop!L2299</f>
        <v>0</v>
      </c>
      <c r="M2299">
        <f>[2]TongHop!M2299</f>
        <v>0</v>
      </c>
      <c r="N2299">
        <f>[2]TongHop!N2299</f>
        <v>0</v>
      </c>
    </row>
    <row r="2300" spans="1:14">
      <c r="A2300">
        <f>[2]TongHop!A2300</f>
        <v>0</v>
      </c>
      <c r="B2300">
        <f>[2]TongHop!B2300</f>
        <v>0</v>
      </c>
      <c r="C2300">
        <f>[2]TongHop!C2300</f>
        <v>0</v>
      </c>
      <c r="D2300">
        <f>[2]TongHop!D2300</f>
        <v>0</v>
      </c>
      <c r="E2300">
        <f>[2]TongHop!E2300</f>
        <v>0</v>
      </c>
      <c r="F2300">
        <f>[2]TongHop!F2300</f>
        <v>0</v>
      </c>
      <c r="G2300">
        <f>[2]TongHop!G2300</f>
        <v>0</v>
      </c>
      <c r="H2300">
        <f>[2]TongHop!H2300</f>
        <v>0</v>
      </c>
      <c r="I2300">
        <f>[2]TongHop!I2300</f>
        <v>0</v>
      </c>
      <c r="J2300">
        <f>[2]TongHop!J2300</f>
        <v>0</v>
      </c>
      <c r="K2300">
        <f>[2]TongHop!K2300</f>
        <v>0</v>
      </c>
      <c r="L2300">
        <f>[2]TongHop!L2300</f>
        <v>0</v>
      </c>
      <c r="M2300">
        <f>[2]TongHop!M2300</f>
        <v>0</v>
      </c>
      <c r="N2300">
        <f>[2]TongHop!N2300</f>
        <v>0</v>
      </c>
    </row>
    <row r="2301" spans="1:14">
      <c r="A2301">
        <f>[2]TongHop!A2301</f>
        <v>0</v>
      </c>
      <c r="B2301">
        <f>[2]TongHop!B2301</f>
        <v>0</v>
      </c>
      <c r="C2301">
        <f>[2]TongHop!C2301</f>
        <v>0</v>
      </c>
      <c r="D2301">
        <f>[2]TongHop!D2301</f>
        <v>0</v>
      </c>
      <c r="E2301">
        <f>[2]TongHop!E2301</f>
        <v>0</v>
      </c>
      <c r="F2301">
        <f>[2]TongHop!F2301</f>
        <v>0</v>
      </c>
      <c r="G2301">
        <f>[2]TongHop!G2301</f>
        <v>0</v>
      </c>
      <c r="H2301">
        <f>[2]TongHop!H2301</f>
        <v>0</v>
      </c>
      <c r="I2301">
        <f>[2]TongHop!I2301</f>
        <v>0</v>
      </c>
      <c r="J2301">
        <f>[2]TongHop!J2301</f>
        <v>0</v>
      </c>
      <c r="K2301">
        <f>[2]TongHop!K2301</f>
        <v>0</v>
      </c>
      <c r="L2301">
        <f>[2]TongHop!L2301</f>
        <v>0</v>
      </c>
      <c r="M2301">
        <f>[2]TongHop!M2301</f>
        <v>0</v>
      </c>
      <c r="N2301">
        <f>[2]TongHop!N2301</f>
        <v>0</v>
      </c>
    </row>
    <row r="2302" spans="1:14">
      <c r="A2302">
        <f>[2]TongHop!A2302</f>
        <v>0</v>
      </c>
      <c r="B2302">
        <f>[2]TongHop!B2302</f>
        <v>0</v>
      </c>
      <c r="C2302">
        <f>[2]TongHop!C2302</f>
        <v>0</v>
      </c>
      <c r="D2302">
        <f>[2]TongHop!D2302</f>
        <v>0</v>
      </c>
      <c r="E2302">
        <f>[2]TongHop!E2302</f>
        <v>0</v>
      </c>
      <c r="F2302">
        <f>[2]TongHop!F2302</f>
        <v>0</v>
      </c>
      <c r="G2302">
        <f>[2]TongHop!G2302</f>
        <v>0</v>
      </c>
      <c r="H2302">
        <f>[2]TongHop!H2302</f>
        <v>0</v>
      </c>
      <c r="I2302">
        <f>[2]TongHop!I2302</f>
        <v>0</v>
      </c>
      <c r="J2302">
        <f>[2]TongHop!J2302</f>
        <v>0</v>
      </c>
      <c r="K2302">
        <f>[2]TongHop!K2302</f>
        <v>0</v>
      </c>
      <c r="L2302">
        <f>[2]TongHop!L2302</f>
        <v>0</v>
      </c>
      <c r="M2302">
        <f>[2]TongHop!M2302</f>
        <v>0</v>
      </c>
      <c r="N2302">
        <f>[2]TongHop!N2302</f>
        <v>0</v>
      </c>
    </row>
    <row r="2303" spans="1:14">
      <c r="A2303">
        <f>[2]TongHop!A2303</f>
        <v>0</v>
      </c>
      <c r="B2303">
        <f>[2]TongHop!B2303</f>
        <v>0</v>
      </c>
      <c r="C2303">
        <f>[2]TongHop!C2303</f>
        <v>0</v>
      </c>
      <c r="D2303">
        <f>[2]TongHop!D2303</f>
        <v>0</v>
      </c>
      <c r="E2303">
        <f>[2]TongHop!E2303</f>
        <v>0</v>
      </c>
      <c r="F2303">
        <f>[2]TongHop!F2303</f>
        <v>0</v>
      </c>
      <c r="G2303">
        <f>[2]TongHop!G2303</f>
        <v>0</v>
      </c>
      <c r="H2303">
        <f>[2]TongHop!H2303</f>
        <v>0</v>
      </c>
      <c r="I2303">
        <f>[2]TongHop!I2303</f>
        <v>0</v>
      </c>
      <c r="J2303">
        <f>[2]TongHop!J2303</f>
        <v>0</v>
      </c>
      <c r="K2303">
        <f>[2]TongHop!K2303</f>
        <v>0</v>
      </c>
      <c r="L2303">
        <f>[2]TongHop!L2303</f>
        <v>0</v>
      </c>
      <c r="M2303">
        <f>[2]TongHop!M2303</f>
        <v>0</v>
      </c>
      <c r="N2303">
        <f>[2]TongHop!N2303</f>
        <v>0</v>
      </c>
    </row>
    <row r="2304" spans="1:14">
      <c r="A2304">
        <f>[2]TongHop!A2304</f>
        <v>0</v>
      </c>
      <c r="B2304">
        <f>[2]TongHop!B2304</f>
        <v>0</v>
      </c>
      <c r="C2304">
        <f>[2]TongHop!C2304</f>
        <v>0</v>
      </c>
      <c r="D2304">
        <f>[2]TongHop!D2304</f>
        <v>0</v>
      </c>
      <c r="E2304">
        <f>[2]TongHop!E2304</f>
        <v>0</v>
      </c>
      <c r="F2304">
        <f>[2]TongHop!F2304</f>
        <v>0</v>
      </c>
      <c r="G2304">
        <f>[2]TongHop!G2304</f>
        <v>0</v>
      </c>
      <c r="H2304">
        <f>[2]TongHop!H2304</f>
        <v>0</v>
      </c>
      <c r="I2304">
        <f>[2]TongHop!I2304</f>
        <v>0</v>
      </c>
      <c r="J2304">
        <f>[2]TongHop!J2304</f>
        <v>0</v>
      </c>
      <c r="K2304">
        <f>[2]TongHop!K2304</f>
        <v>0</v>
      </c>
      <c r="L2304">
        <f>[2]TongHop!L2304</f>
        <v>0</v>
      </c>
      <c r="M2304">
        <f>[2]TongHop!M2304</f>
        <v>0</v>
      </c>
      <c r="N2304">
        <f>[2]TongHop!N2304</f>
        <v>0</v>
      </c>
    </row>
    <row r="2305" spans="1:14">
      <c r="A2305">
        <f>[2]TongHop!A2305</f>
        <v>0</v>
      </c>
      <c r="B2305">
        <f>[2]TongHop!B2305</f>
        <v>0</v>
      </c>
      <c r="C2305">
        <f>[2]TongHop!C2305</f>
        <v>0</v>
      </c>
      <c r="D2305">
        <f>[2]TongHop!D2305</f>
        <v>0</v>
      </c>
      <c r="E2305">
        <f>[2]TongHop!E2305</f>
        <v>0</v>
      </c>
      <c r="F2305">
        <f>[2]TongHop!F2305</f>
        <v>0</v>
      </c>
      <c r="G2305">
        <f>[2]TongHop!G2305</f>
        <v>0</v>
      </c>
      <c r="H2305">
        <f>[2]TongHop!H2305</f>
        <v>0</v>
      </c>
      <c r="I2305">
        <f>[2]TongHop!I2305</f>
        <v>0</v>
      </c>
      <c r="J2305">
        <f>[2]TongHop!J2305</f>
        <v>0</v>
      </c>
      <c r="K2305">
        <f>[2]TongHop!K2305</f>
        <v>0</v>
      </c>
      <c r="L2305">
        <f>[2]TongHop!L2305</f>
        <v>0</v>
      </c>
      <c r="M2305">
        <f>[2]TongHop!M2305</f>
        <v>0</v>
      </c>
      <c r="N2305">
        <f>[2]TongHop!N2305</f>
        <v>0</v>
      </c>
    </row>
    <row r="2306" spans="1:14">
      <c r="A2306">
        <f>[2]TongHop!A2306</f>
        <v>0</v>
      </c>
      <c r="B2306">
        <f>[2]TongHop!B2306</f>
        <v>0</v>
      </c>
      <c r="C2306">
        <f>[2]TongHop!C2306</f>
        <v>0</v>
      </c>
      <c r="D2306">
        <f>[2]TongHop!D2306</f>
        <v>0</v>
      </c>
      <c r="E2306">
        <f>[2]TongHop!E2306</f>
        <v>0</v>
      </c>
      <c r="F2306">
        <f>[2]TongHop!F2306</f>
        <v>0</v>
      </c>
      <c r="G2306">
        <f>[2]TongHop!G2306</f>
        <v>0</v>
      </c>
      <c r="H2306">
        <f>[2]TongHop!H2306</f>
        <v>0</v>
      </c>
      <c r="I2306">
        <f>[2]TongHop!I2306</f>
        <v>0</v>
      </c>
      <c r="J2306">
        <f>[2]TongHop!J2306</f>
        <v>0</v>
      </c>
      <c r="K2306">
        <f>[2]TongHop!K2306</f>
        <v>0</v>
      </c>
      <c r="L2306">
        <f>[2]TongHop!L2306</f>
        <v>0</v>
      </c>
      <c r="M2306">
        <f>[2]TongHop!M2306</f>
        <v>0</v>
      </c>
      <c r="N2306">
        <f>[2]TongHop!N2306</f>
        <v>0</v>
      </c>
    </row>
    <row r="2307" spans="1:14">
      <c r="A2307">
        <f>[2]TongHop!A2307</f>
        <v>0</v>
      </c>
      <c r="B2307">
        <f>[2]TongHop!B2307</f>
        <v>0</v>
      </c>
      <c r="C2307">
        <f>[2]TongHop!C2307</f>
        <v>0</v>
      </c>
      <c r="D2307">
        <f>[2]TongHop!D2307</f>
        <v>0</v>
      </c>
      <c r="E2307">
        <f>[2]TongHop!E2307</f>
        <v>0</v>
      </c>
      <c r="F2307">
        <f>[2]TongHop!F2307</f>
        <v>0</v>
      </c>
      <c r="G2307">
        <f>[2]TongHop!G2307</f>
        <v>0</v>
      </c>
      <c r="H2307">
        <f>[2]TongHop!H2307</f>
        <v>0</v>
      </c>
      <c r="I2307">
        <f>[2]TongHop!I2307</f>
        <v>0</v>
      </c>
      <c r="J2307">
        <f>[2]TongHop!J2307</f>
        <v>0</v>
      </c>
      <c r="K2307">
        <f>[2]TongHop!K2307</f>
        <v>0</v>
      </c>
      <c r="L2307">
        <f>[2]TongHop!L2307</f>
        <v>0</v>
      </c>
      <c r="M2307">
        <f>[2]TongHop!M2307</f>
        <v>0</v>
      </c>
      <c r="N2307">
        <f>[2]TongHop!N2307</f>
        <v>0</v>
      </c>
    </row>
    <row r="2308" spans="1:14">
      <c r="A2308">
        <f>[2]TongHop!A2308</f>
        <v>0</v>
      </c>
      <c r="B2308">
        <f>[2]TongHop!B2308</f>
        <v>0</v>
      </c>
      <c r="C2308">
        <f>[2]TongHop!C2308</f>
        <v>0</v>
      </c>
      <c r="D2308">
        <f>[2]TongHop!D2308</f>
        <v>0</v>
      </c>
      <c r="E2308">
        <f>[2]TongHop!E2308</f>
        <v>0</v>
      </c>
      <c r="F2308">
        <f>[2]TongHop!F2308</f>
        <v>0</v>
      </c>
      <c r="G2308">
        <f>[2]TongHop!G2308</f>
        <v>0</v>
      </c>
      <c r="H2308">
        <f>[2]TongHop!H2308</f>
        <v>0</v>
      </c>
      <c r="I2308">
        <f>[2]TongHop!I2308</f>
        <v>0</v>
      </c>
      <c r="J2308">
        <f>[2]TongHop!J2308</f>
        <v>0</v>
      </c>
      <c r="K2308">
        <f>[2]TongHop!K2308</f>
        <v>0</v>
      </c>
      <c r="L2308">
        <f>[2]TongHop!L2308</f>
        <v>0</v>
      </c>
      <c r="M2308">
        <f>[2]TongHop!M2308</f>
        <v>0</v>
      </c>
      <c r="N2308">
        <f>[2]TongHop!N2308</f>
        <v>0</v>
      </c>
    </row>
    <row r="2309" spans="1:14">
      <c r="A2309">
        <f>[2]TongHop!A2309</f>
        <v>0</v>
      </c>
      <c r="B2309">
        <f>[2]TongHop!B2309</f>
        <v>0</v>
      </c>
      <c r="C2309">
        <f>[2]TongHop!C2309</f>
        <v>0</v>
      </c>
      <c r="D2309">
        <f>[2]TongHop!D2309</f>
        <v>0</v>
      </c>
      <c r="E2309">
        <f>[2]TongHop!E2309</f>
        <v>0</v>
      </c>
      <c r="F2309">
        <f>[2]TongHop!F2309</f>
        <v>0</v>
      </c>
      <c r="G2309">
        <f>[2]TongHop!G2309</f>
        <v>0</v>
      </c>
      <c r="H2309">
        <f>[2]TongHop!H2309</f>
        <v>0</v>
      </c>
      <c r="I2309">
        <f>[2]TongHop!I2309</f>
        <v>0</v>
      </c>
      <c r="J2309">
        <f>[2]TongHop!J2309</f>
        <v>0</v>
      </c>
      <c r="K2309">
        <f>[2]TongHop!K2309</f>
        <v>0</v>
      </c>
      <c r="L2309">
        <f>[2]TongHop!L2309</f>
        <v>0</v>
      </c>
      <c r="M2309">
        <f>[2]TongHop!M2309</f>
        <v>0</v>
      </c>
      <c r="N2309">
        <f>[2]TongHop!N2309</f>
        <v>0</v>
      </c>
    </row>
    <row r="2310" spans="1:14">
      <c r="A2310">
        <f>[2]TongHop!A2310</f>
        <v>0</v>
      </c>
      <c r="B2310">
        <f>[2]TongHop!B2310</f>
        <v>0</v>
      </c>
      <c r="C2310">
        <f>[2]TongHop!C2310</f>
        <v>0</v>
      </c>
      <c r="D2310">
        <f>[2]TongHop!D2310</f>
        <v>0</v>
      </c>
      <c r="E2310">
        <f>[2]TongHop!E2310</f>
        <v>0</v>
      </c>
      <c r="F2310">
        <f>[2]TongHop!F2310</f>
        <v>0</v>
      </c>
      <c r="G2310">
        <f>[2]TongHop!G2310</f>
        <v>0</v>
      </c>
      <c r="H2310">
        <f>[2]TongHop!H2310</f>
        <v>0</v>
      </c>
      <c r="I2310">
        <f>[2]TongHop!I2310</f>
        <v>0</v>
      </c>
      <c r="J2310">
        <f>[2]TongHop!J2310</f>
        <v>0</v>
      </c>
      <c r="K2310">
        <f>[2]TongHop!K2310</f>
        <v>0</v>
      </c>
      <c r="L2310">
        <f>[2]TongHop!L2310</f>
        <v>0</v>
      </c>
      <c r="M2310">
        <f>[2]TongHop!M2310</f>
        <v>0</v>
      </c>
      <c r="N2310">
        <f>[2]TongHop!N2310</f>
        <v>0</v>
      </c>
    </row>
    <row r="2311" spans="1:14">
      <c r="A2311">
        <f>[2]TongHop!A2311</f>
        <v>0</v>
      </c>
      <c r="B2311">
        <f>[2]TongHop!B2311</f>
        <v>0</v>
      </c>
      <c r="C2311">
        <f>[2]TongHop!C2311</f>
        <v>0</v>
      </c>
      <c r="D2311">
        <f>[2]TongHop!D2311</f>
        <v>0</v>
      </c>
      <c r="E2311">
        <f>[2]TongHop!E2311</f>
        <v>0</v>
      </c>
      <c r="F2311">
        <f>[2]TongHop!F2311</f>
        <v>0</v>
      </c>
      <c r="G2311">
        <f>[2]TongHop!G2311</f>
        <v>0</v>
      </c>
      <c r="H2311">
        <f>[2]TongHop!H2311</f>
        <v>0</v>
      </c>
      <c r="I2311">
        <f>[2]TongHop!I2311</f>
        <v>0</v>
      </c>
      <c r="J2311">
        <f>[2]TongHop!J2311</f>
        <v>0</v>
      </c>
      <c r="K2311">
        <f>[2]TongHop!K2311</f>
        <v>0</v>
      </c>
      <c r="L2311">
        <f>[2]TongHop!L2311</f>
        <v>0</v>
      </c>
      <c r="M2311">
        <f>[2]TongHop!M2311</f>
        <v>0</v>
      </c>
      <c r="N2311">
        <f>[2]TongHop!N2311</f>
        <v>0</v>
      </c>
    </row>
    <row r="2312" spans="1:14">
      <c r="A2312">
        <f>[2]TongHop!A2312</f>
        <v>0</v>
      </c>
      <c r="B2312">
        <f>[2]TongHop!B2312</f>
        <v>0</v>
      </c>
      <c r="C2312">
        <f>[2]TongHop!C2312</f>
        <v>0</v>
      </c>
      <c r="D2312">
        <f>[2]TongHop!D2312</f>
        <v>0</v>
      </c>
      <c r="E2312">
        <f>[2]TongHop!E2312</f>
        <v>0</v>
      </c>
      <c r="F2312">
        <f>[2]TongHop!F2312</f>
        <v>0</v>
      </c>
      <c r="G2312">
        <f>[2]TongHop!G2312</f>
        <v>0</v>
      </c>
      <c r="H2312">
        <f>[2]TongHop!H2312</f>
        <v>0</v>
      </c>
      <c r="I2312">
        <f>[2]TongHop!I2312</f>
        <v>0</v>
      </c>
      <c r="J2312">
        <f>[2]TongHop!J2312</f>
        <v>0</v>
      </c>
      <c r="K2312">
        <f>[2]TongHop!K2312</f>
        <v>0</v>
      </c>
      <c r="L2312">
        <f>[2]TongHop!L2312</f>
        <v>0</v>
      </c>
      <c r="M2312">
        <f>[2]TongHop!M2312</f>
        <v>0</v>
      </c>
      <c r="N2312">
        <f>[2]TongHop!N2312</f>
        <v>0</v>
      </c>
    </row>
    <row r="2313" spans="1:14">
      <c r="A2313">
        <f>[2]TongHop!A2313</f>
        <v>0</v>
      </c>
      <c r="B2313">
        <f>[2]TongHop!B2313</f>
        <v>0</v>
      </c>
      <c r="C2313">
        <f>[2]TongHop!C2313</f>
        <v>0</v>
      </c>
      <c r="D2313">
        <f>[2]TongHop!D2313</f>
        <v>0</v>
      </c>
      <c r="E2313">
        <f>[2]TongHop!E2313</f>
        <v>0</v>
      </c>
      <c r="F2313">
        <f>[2]TongHop!F2313</f>
        <v>0</v>
      </c>
      <c r="G2313">
        <f>[2]TongHop!G2313</f>
        <v>0</v>
      </c>
      <c r="H2313">
        <f>[2]TongHop!H2313</f>
        <v>0</v>
      </c>
      <c r="I2313">
        <f>[2]TongHop!I2313</f>
        <v>0</v>
      </c>
      <c r="J2313">
        <f>[2]TongHop!J2313</f>
        <v>0</v>
      </c>
      <c r="K2313">
        <f>[2]TongHop!K2313</f>
        <v>0</v>
      </c>
      <c r="L2313">
        <f>[2]TongHop!L2313</f>
        <v>0</v>
      </c>
      <c r="M2313">
        <f>[2]TongHop!M2313</f>
        <v>0</v>
      </c>
      <c r="N2313">
        <f>[2]TongHop!N2313</f>
        <v>0</v>
      </c>
    </row>
    <row r="2314" spans="1:14">
      <c r="A2314">
        <f>[2]TongHop!A2314</f>
        <v>0</v>
      </c>
      <c r="B2314">
        <f>[2]TongHop!B2314</f>
        <v>0</v>
      </c>
      <c r="C2314">
        <f>[2]TongHop!C2314</f>
        <v>0</v>
      </c>
      <c r="D2314">
        <f>[2]TongHop!D2314</f>
        <v>0</v>
      </c>
      <c r="E2314">
        <f>[2]TongHop!E2314</f>
        <v>0</v>
      </c>
      <c r="F2314">
        <f>[2]TongHop!F2314</f>
        <v>0</v>
      </c>
      <c r="G2314">
        <f>[2]TongHop!G2314</f>
        <v>0</v>
      </c>
      <c r="H2314">
        <f>[2]TongHop!H2314</f>
        <v>0</v>
      </c>
      <c r="I2314">
        <f>[2]TongHop!I2314</f>
        <v>0</v>
      </c>
      <c r="J2314">
        <f>[2]TongHop!J2314</f>
        <v>0</v>
      </c>
      <c r="K2314">
        <f>[2]TongHop!K2314</f>
        <v>0</v>
      </c>
      <c r="L2314">
        <f>[2]TongHop!L2314</f>
        <v>0</v>
      </c>
      <c r="M2314">
        <f>[2]TongHop!M2314</f>
        <v>0</v>
      </c>
      <c r="N2314">
        <f>[2]TongHop!N2314</f>
        <v>0</v>
      </c>
    </row>
    <row r="2315" spans="1:14">
      <c r="A2315">
        <f>[2]TongHop!A2315</f>
        <v>0</v>
      </c>
      <c r="B2315">
        <f>[2]TongHop!B2315</f>
        <v>0</v>
      </c>
      <c r="C2315">
        <f>[2]TongHop!C2315</f>
        <v>0</v>
      </c>
      <c r="D2315">
        <f>[2]TongHop!D2315</f>
        <v>0</v>
      </c>
      <c r="E2315">
        <f>[2]TongHop!E2315</f>
        <v>0</v>
      </c>
      <c r="F2315">
        <f>[2]TongHop!F2315</f>
        <v>0</v>
      </c>
      <c r="G2315">
        <f>[2]TongHop!G2315</f>
        <v>0</v>
      </c>
      <c r="H2315">
        <f>[2]TongHop!H2315</f>
        <v>0</v>
      </c>
      <c r="I2315">
        <f>[2]TongHop!I2315</f>
        <v>0</v>
      </c>
      <c r="J2315">
        <f>[2]TongHop!J2315</f>
        <v>0</v>
      </c>
      <c r="K2315">
        <f>[2]TongHop!K2315</f>
        <v>0</v>
      </c>
      <c r="L2315">
        <f>[2]TongHop!L2315</f>
        <v>0</v>
      </c>
      <c r="M2315">
        <f>[2]TongHop!M2315</f>
        <v>0</v>
      </c>
      <c r="N2315">
        <f>[2]TongHop!N2315</f>
        <v>0</v>
      </c>
    </row>
    <row r="2316" spans="1:14">
      <c r="A2316">
        <f>[2]TongHop!A2316</f>
        <v>0</v>
      </c>
      <c r="B2316">
        <f>[2]TongHop!B2316</f>
        <v>0</v>
      </c>
      <c r="C2316">
        <f>[2]TongHop!C2316</f>
        <v>0</v>
      </c>
      <c r="D2316">
        <f>[2]TongHop!D2316</f>
        <v>0</v>
      </c>
      <c r="E2316">
        <f>[2]TongHop!E2316</f>
        <v>0</v>
      </c>
      <c r="F2316">
        <f>[2]TongHop!F2316</f>
        <v>0</v>
      </c>
      <c r="G2316">
        <f>[2]TongHop!G2316</f>
        <v>0</v>
      </c>
      <c r="H2316">
        <f>[2]TongHop!H2316</f>
        <v>0</v>
      </c>
      <c r="I2316">
        <f>[2]TongHop!I2316</f>
        <v>0</v>
      </c>
      <c r="J2316">
        <f>[2]TongHop!J2316</f>
        <v>0</v>
      </c>
      <c r="K2316">
        <f>[2]TongHop!K2316</f>
        <v>0</v>
      </c>
      <c r="L2316">
        <f>[2]TongHop!L2316</f>
        <v>0</v>
      </c>
      <c r="M2316">
        <f>[2]TongHop!M2316</f>
        <v>0</v>
      </c>
      <c r="N2316">
        <f>[2]TongHop!N2316</f>
        <v>0</v>
      </c>
    </row>
    <row r="2317" spans="1:14">
      <c r="A2317">
        <f>[2]TongHop!A2317</f>
        <v>0</v>
      </c>
      <c r="B2317">
        <f>[2]TongHop!B2317</f>
        <v>0</v>
      </c>
      <c r="C2317">
        <f>[2]TongHop!C2317</f>
        <v>0</v>
      </c>
      <c r="D2317">
        <f>[2]TongHop!D2317</f>
        <v>0</v>
      </c>
      <c r="E2317">
        <f>[2]TongHop!E2317</f>
        <v>0</v>
      </c>
      <c r="F2317">
        <f>[2]TongHop!F2317</f>
        <v>0</v>
      </c>
      <c r="G2317">
        <f>[2]TongHop!G2317</f>
        <v>0</v>
      </c>
      <c r="H2317">
        <f>[2]TongHop!H2317</f>
        <v>0</v>
      </c>
      <c r="I2317">
        <f>[2]TongHop!I2317</f>
        <v>0</v>
      </c>
      <c r="J2317">
        <f>[2]TongHop!J2317</f>
        <v>0</v>
      </c>
      <c r="K2317">
        <f>[2]TongHop!K2317</f>
        <v>0</v>
      </c>
      <c r="L2317">
        <f>[2]TongHop!L2317</f>
        <v>0</v>
      </c>
      <c r="M2317">
        <f>[2]TongHop!M2317</f>
        <v>0</v>
      </c>
      <c r="N2317">
        <f>[2]TongHop!N2317</f>
        <v>0</v>
      </c>
    </row>
    <row r="2318" spans="1:14">
      <c r="A2318">
        <f>[2]TongHop!A2318</f>
        <v>0</v>
      </c>
      <c r="B2318">
        <f>[2]TongHop!B2318</f>
        <v>0</v>
      </c>
      <c r="C2318">
        <f>[2]TongHop!C2318</f>
        <v>0</v>
      </c>
      <c r="D2318">
        <f>[2]TongHop!D2318</f>
        <v>0</v>
      </c>
      <c r="E2318">
        <f>[2]TongHop!E2318</f>
        <v>0</v>
      </c>
      <c r="F2318">
        <f>[2]TongHop!F2318</f>
        <v>0</v>
      </c>
      <c r="G2318">
        <f>[2]TongHop!G2318</f>
        <v>0</v>
      </c>
      <c r="H2318">
        <f>[2]TongHop!H2318</f>
        <v>0</v>
      </c>
      <c r="I2318">
        <f>[2]TongHop!I2318</f>
        <v>0</v>
      </c>
      <c r="J2318">
        <f>[2]TongHop!J2318</f>
        <v>0</v>
      </c>
      <c r="K2318">
        <f>[2]TongHop!K2318</f>
        <v>0</v>
      </c>
      <c r="L2318">
        <f>[2]TongHop!L2318</f>
        <v>0</v>
      </c>
      <c r="M2318">
        <f>[2]TongHop!M2318</f>
        <v>0</v>
      </c>
      <c r="N2318">
        <f>[2]TongHop!N2318</f>
        <v>0</v>
      </c>
    </row>
    <row r="2319" spans="1:14">
      <c r="A2319">
        <f>[2]TongHop!A2319</f>
        <v>0</v>
      </c>
      <c r="B2319">
        <f>[2]TongHop!B2319</f>
        <v>0</v>
      </c>
      <c r="C2319">
        <f>[2]TongHop!C2319</f>
        <v>0</v>
      </c>
      <c r="D2319">
        <f>[2]TongHop!D2319</f>
        <v>0</v>
      </c>
      <c r="E2319">
        <f>[2]TongHop!E2319</f>
        <v>0</v>
      </c>
      <c r="F2319">
        <f>[2]TongHop!F2319</f>
        <v>0</v>
      </c>
      <c r="G2319">
        <f>[2]TongHop!G2319</f>
        <v>0</v>
      </c>
      <c r="H2319">
        <f>[2]TongHop!H2319</f>
        <v>0</v>
      </c>
      <c r="I2319">
        <f>[2]TongHop!I2319</f>
        <v>0</v>
      </c>
      <c r="J2319">
        <f>[2]TongHop!J2319</f>
        <v>0</v>
      </c>
      <c r="K2319">
        <f>[2]TongHop!K2319</f>
        <v>0</v>
      </c>
      <c r="L2319">
        <f>[2]TongHop!L2319</f>
        <v>0</v>
      </c>
      <c r="M2319">
        <f>[2]TongHop!M2319</f>
        <v>0</v>
      </c>
      <c r="N2319">
        <f>[2]TongHop!N2319</f>
        <v>0</v>
      </c>
    </row>
    <row r="2320" spans="1:14">
      <c r="A2320">
        <f>[2]TongHop!A2320</f>
        <v>0</v>
      </c>
      <c r="B2320">
        <f>[2]TongHop!B2320</f>
        <v>0</v>
      </c>
      <c r="C2320">
        <f>[2]TongHop!C2320</f>
        <v>0</v>
      </c>
      <c r="D2320">
        <f>[2]TongHop!D2320</f>
        <v>0</v>
      </c>
      <c r="E2320">
        <f>[2]TongHop!E2320</f>
        <v>0</v>
      </c>
      <c r="F2320">
        <f>[2]TongHop!F2320</f>
        <v>0</v>
      </c>
      <c r="G2320">
        <f>[2]TongHop!G2320</f>
        <v>0</v>
      </c>
      <c r="H2320">
        <f>[2]TongHop!H2320</f>
        <v>0</v>
      </c>
      <c r="I2320">
        <f>[2]TongHop!I2320</f>
        <v>0</v>
      </c>
      <c r="J2320">
        <f>[2]TongHop!J2320</f>
        <v>0</v>
      </c>
      <c r="K2320">
        <f>[2]TongHop!K2320</f>
        <v>0</v>
      </c>
      <c r="L2320">
        <f>[2]TongHop!L2320</f>
        <v>0</v>
      </c>
      <c r="M2320">
        <f>[2]TongHop!M2320</f>
        <v>0</v>
      </c>
      <c r="N2320">
        <f>[2]TongHop!N2320</f>
        <v>0</v>
      </c>
    </row>
    <row r="2321" spans="1:14">
      <c r="A2321">
        <f>[2]TongHop!A2321</f>
        <v>0</v>
      </c>
      <c r="B2321">
        <f>[2]TongHop!B2321</f>
        <v>0</v>
      </c>
      <c r="C2321">
        <f>[2]TongHop!C2321</f>
        <v>0</v>
      </c>
      <c r="D2321">
        <f>[2]TongHop!D2321</f>
        <v>0</v>
      </c>
      <c r="E2321">
        <f>[2]TongHop!E2321</f>
        <v>0</v>
      </c>
      <c r="F2321">
        <f>[2]TongHop!F2321</f>
        <v>0</v>
      </c>
      <c r="G2321">
        <f>[2]TongHop!G2321</f>
        <v>0</v>
      </c>
      <c r="H2321">
        <f>[2]TongHop!H2321</f>
        <v>0</v>
      </c>
      <c r="I2321">
        <f>[2]TongHop!I2321</f>
        <v>0</v>
      </c>
      <c r="J2321">
        <f>[2]TongHop!J2321</f>
        <v>0</v>
      </c>
      <c r="K2321">
        <f>[2]TongHop!K2321</f>
        <v>0</v>
      </c>
      <c r="L2321">
        <f>[2]TongHop!L2321</f>
        <v>0</v>
      </c>
      <c r="M2321">
        <f>[2]TongHop!M2321</f>
        <v>0</v>
      </c>
      <c r="N2321">
        <f>[2]TongHop!N2321</f>
        <v>0</v>
      </c>
    </row>
    <row r="2322" spans="1:14">
      <c r="A2322">
        <f>[2]TongHop!A2322</f>
        <v>0</v>
      </c>
      <c r="B2322">
        <f>[2]TongHop!B2322</f>
        <v>0</v>
      </c>
      <c r="C2322">
        <f>[2]TongHop!C2322</f>
        <v>0</v>
      </c>
      <c r="D2322">
        <f>[2]TongHop!D2322</f>
        <v>0</v>
      </c>
      <c r="E2322">
        <f>[2]TongHop!E2322</f>
        <v>0</v>
      </c>
      <c r="F2322">
        <f>[2]TongHop!F2322</f>
        <v>0</v>
      </c>
      <c r="G2322">
        <f>[2]TongHop!G2322</f>
        <v>0</v>
      </c>
      <c r="H2322">
        <f>[2]TongHop!H2322</f>
        <v>0</v>
      </c>
      <c r="I2322">
        <f>[2]TongHop!I2322</f>
        <v>0</v>
      </c>
      <c r="J2322">
        <f>[2]TongHop!J2322</f>
        <v>0</v>
      </c>
      <c r="K2322">
        <f>[2]TongHop!K2322</f>
        <v>0</v>
      </c>
      <c r="L2322">
        <f>[2]TongHop!L2322</f>
        <v>0</v>
      </c>
      <c r="M2322">
        <f>[2]TongHop!M2322</f>
        <v>0</v>
      </c>
      <c r="N2322">
        <f>[2]TongHop!N2322</f>
        <v>0</v>
      </c>
    </row>
    <row r="2323" spans="1:14">
      <c r="A2323">
        <f>[2]TongHop!A2323</f>
        <v>0</v>
      </c>
      <c r="B2323">
        <f>[2]TongHop!B2323</f>
        <v>0</v>
      </c>
      <c r="C2323">
        <f>[2]TongHop!C2323</f>
        <v>0</v>
      </c>
      <c r="D2323">
        <f>[2]TongHop!D2323</f>
        <v>0</v>
      </c>
      <c r="E2323">
        <f>[2]TongHop!E2323</f>
        <v>0</v>
      </c>
      <c r="F2323">
        <f>[2]TongHop!F2323</f>
        <v>0</v>
      </c>
      <c r="G2323">
        <f>[2]TongHop!G2323</f>
        <v>0</v>
      </c>
      <c r="H2323">
        <f>[2]TongHop!H2323</f>
        <v>0</v>
      </c>
      <c r="I2323">
        <f>[2]TongHop!I2323</f>
        <v>0</v>
      </c>
      <c r="J2323">
        <f>[2]TongHop!J2323</f>
        <v>0</v>
      </c>
      <c r="K2323">
        <f>[2]TongHop!K2323</f>
        <v>0</v>
      </c>
      <c r="L2323">
        <f>[2]TongHop!L2323</f>
        <v>0</v>
      </c>
      <c r="M2323">
        <f>[2]TongHop!M2323</f>
        <v>0</v>
      </c>
      <c r="N2323">
        <f>[2]TongHop!N2323</f>
        <v>0</v>
      </c>
    </row>
    <row r="2324" spans="1:14">
      <c r="A2324">
        <f>[2]TongHop!A2324</f>
        <v>0</v>
      </c>
      <c r="B2324">
        <f>[2]TongHop!B2324</f>
        <v>0</v>
      </c>
      <c r="C2324">
        <f>[2]TongHop!C2324</f>
        <v>0</v>
      </c>
      <c r="D2324">
        <f>[2]TongHop!D2324</f>
        <v>0</v>
      </c>
      <c r="E2324">
        <f>[2]TongHop!E2324</f>
        <v>0</v>
      </c>
      <c r="F2324">
        <f>[2]TongHop!F2324</f>
        <v>0</v>
      </c>
      <c r="G2324">
        <f>[2]TongHop!G2324</f>
        <v>0</v>
      </c>
      <c r="H2324">
        <f>[2]TongHop!H2324</f>
        <v>0</v>
      </c>
      <c r="I2324">
        <f>[2]TongHop!I2324</f>
        <v>0</v>
      </c>
      <c r="J2324">
        <f>[2]TongHop!J2324</f>
        <v>0</v>
      </c>
      <c r="K2324">
        <f>[2]TongHop!K2324</f>
        <v>0</v>
      </c>
      <c r="L2324">
        <f>[2]TongHop!L2324</f>
        <v>0</v>
      </c>
      <c r="M2324">
        <f>[2]TongHop!M2324</f>
        <v>0</v>
      </c>
      <c r="N2324">
        <f>[2]TongHop!N2324</f>
        <v>0</v>
      </c>
    </row>
    <row r="2325" spans="1:14">
      <c r="A2325">
        <f>[2]TongHop!A2325</f>
        <v>0</v>
      </c>
      <c r="B2325">
        <f>[2]TongHop!B2325</f>
        <v>0</v>
      </c>
      <c r="C2325">
        <f>[2]TongHop!C2325</f>
        <v>0</v>
      </c>
      <c r="D2325">
        <f>[2]TongHop!D2325</f>
        <v>0</v>
      </c>
      <c r="E2325">
        <f>[2]TongHop!E2325</f>
        <v>0</v>
      </c>
      <c r="F2325">
        <f>[2]TongHop!F2325</f>
        <v>0</v>
      </c>
      <c r="G2325">
        <f>[2]TongHop!G2325</f>
        <v>0</v>
      </c>
      <c r="H2325">
        <f>[2]TongHop!H2325</f>
        <v>0</v>
      </c>
      <c r="I2325">
        <f>[2]TongHop!I2325</f>
        <v>0</v>
      </c>
      <c r="J2325">
        <f>[2]TongHop!J2325</f>
        <v>0</v>
      </c>
      <c r="K2325">
        <f>[2]TongHop!K2325</f>
        <v>0</v>
      </c>
      <c r="L2325">
        <f>[2]TongHop!L2325</f>
        <v>0</v>
      </c>
      <c r="M2325">
        <f>[2]TongHop!M2325</f>
        <v>0</v>
      </c>
      <c r="N2325">
        <f>[2]TongHop!N2325</f>
        <v>0</v>
      </c>
    </row>
    <row r="2326" spans="1:14">
      <c r="A2326">
        <f>[2]TongHop!A2326</f>
        <v>0</v>
      </c>
      <c r="B2326">
        <f>[2]TongHop!B2326</f>
        <v>0</v>
      </c>
      <c r="C2326">
        <f>[2]TongHop!C2326</f>
        <v>0</v>
      </c>
      <c r="D2326">
        <f>[2]TongHop!D2326</f>
        <v>0</v>
      </c>
      <c r="E2326">
        <f>[2]TongHop!E2326</f>
        <v>0</v>
      </c>
      <c r="F2326">
        <f>[2]TongHop!F2326</f>
        <v>0</v>
      </c>
      <c r="G2326">
        <f>[2]TongHop!G2326</f>
        <v>0</v>
      </c>
      <c r="H2326">
        <f>[2]TongHop!H2326</f>
        <v>0</v>
      </c>
      <c r="I2326">
        <f>[2]TongHop!I2326</f>
        <v>0</v>
      </c>
      <c r="J2326">
        <f>[2]TongHop!J2326</f>
        <v>0</v>
      </c>
      <c r="K2326">
        <f>[2]TongHop!K2326</f>
        <v>0</v>
      </c>
      <c r="L2326">
        <f>[2]TongHop!L2326</f>
        <v>0</v>
      </c>
      <c r="M2326">
        <f>[2]TongHop!M2326</f>
        <v>0</v>
      </c>
      <c r="N2326">
        <f>[2]TongHop!N2326</f>
        <v>0</v>
      </c>
    </row>
    <row r="2327" spans="1:14">
      <c r="A2327">
        <f>[2]TongHop!A2327</f>
        <v>0</v>
      </c>
      <c r="B2327">
        <f>[2]TongHop!B2327</f>
        <v>0</v>
      </c>
      <c r="C2327">
        <f>[2]TongHop!C2327</f>
        <v>0</v>
      </c>
      <c r="D2327">
        <f>[2]TongHop!D2327</f>
        <v>0</v>
      </c>
      <c r="E2327">
        <f>[2]TongHop!E2327</f>
        <v>0</v>
      </c>
      <c r="F2327">
        <f>[2]TongHop!F2327</f>
        <v>0</v>
      </c>
      <c r="G2327">
        <f>[2]TongHop!G2327</f>
        <v>0</v>
      </c>
      <c r="H2327">
        <f>[2]TongHop!H2327</f>
        <v>0</v>
      </c>
      <c r="I2327">
        <f>[2]TongHop!I2327</f>
        <v>0</v>
      </c>
      <c r="J2327">
        <f>[2]TongHop!J2327</f>
        <v>0</v>
      </c>
      <c r="K2327">
        <f>[2]TongHop!K2327</f>
        <v>0</v>
      </c>
      <c r="L2327">
        <f>[2]TongHop!L2327</f>
        <v>0</v>
      </c>
      <c r="M2327">
        <f>[2]TongHop!M2327</f>
        <v>0</v>
      </c>
      <c r="N2327">
        <f>[2]TongHop!N2327</f>
        <v>0</v>
      </c>
    </row>
    <row r="2328" spans="1:14">
      <c r="A2328">
        <f>[2]TongHop!A2328</f>
        <v>0</v>
      </c>
      <c r="B2328">
        <f>[2]TongHop!B2328</f>
        <v>0</v>
      </c>
      <c r="C2328">
        <f>[2]TongHop!C2328</f>
        <v>0</v>
      </c>
      <c r="D2328">
        <f>[2]TongHop!D2328</f>
        <v>0</v>
      </c>
      <c r="E2328">
        <f>[2]TongHop!E2328</f>
        <v>0</v>
      </c>
      <c r="F2328">
        <f>[2]TongHop!F2328</f>
        <v>0</v>
      </c>
      <c r="G2328">
        <f>[2]TongHop!G2328</f>
        <v>0</v>
      </c>
      <c r="H2328">
        <f>[2]TongHop!H2328</f>
        <v>0</v>
      </c>
      <c r="I2328">
        <f>[2]TongHop!I2328</f>
        <v>0</v>
      </c>
      <c r="J2328">
        <f>[2]TongHop!J2328</f>
        <v>0</v>
      </c>
      <c r="K2328">
        <f>[2]TongHop!K2328</f>
        <v>0</v>
      </c>
      <c r="L2328">
        <f>[2]TongHop!L2328</f>
        <v>0</v>
      </c>
      <c r="M2328">
        <f>[2]TongHop!M2328</f>
        <v>0</v>
      </c>
      <c r="N2328">
        <f>[2]TongHop!N2328</f>
        <v>0</v>
      </c>
    </row>
    <row r="2329" spans="1:14">
      <c r="A2329">
        <f>[2]TongHop!A2329</f>
        <v>0</v>
      </c>
      <c r="B2329">
        <f>[2]TongHop!B2329</f>
        <v>0</v>
      </c>
      <c r="C2329">
        <f>[2]TongHop!C2329</f>
        <v>0</v>
      </c>
      <c r="D2329">
        <f>[2]TongHop!D2329</f>
        <v>0</v>
      </c>
      <c r="E2329">
        <f>[2]TongHop!E2329</f>
        <v>0</v>
      </c>
      <c r="F2329">
        <f>[2]TongHop!F2329</f>
        <v>0</v>
      </c>
      <c r="G2329">
        <f>[2]TongHop!G2329</f>
        <v>0</v>
      </c>
      <c r="H2329">
        <f>[2]TongHop!H2329</f>
        <v>0</v>
      </c>
      <c r="I2329">
        <f>[2]TongHop!I2329</f>
        <v>0</v>
      </c>
      <c r="J2329">
        <f>[2]TongHop!J2329</f>
        <v>0</v>
      </c>
      <c r="K2329">
        <f>[2]TongHop!K2329</f>
        <v>0</v>
      </c>
      <c r="L2329">
        <f>[2]TongHop!L2329</f>
        <v>0</v>
      </c>
      <c r="M2329">
        <f>[2]TongHop!M2329</f>
        <v>0</v>
      </c>
      <c r="N2329">
        <f>[2]TongHop!N2329</f>
        <v>0</v>
      </c>
    </row>
    <row r="2330" spans="1:14">
      <c r="A2330">
        <f>[2]TongHop!A2330</f>
        <v>0</v>
      </c>
      <c r="B2330">
        <f>[2]TongHop!B2330</f>
        <v>0</v>
      </c>
      <c r="C2330">
        <f>[2]TongHop!C2330</f>
        <v>0</v>
      </c>
      <c r="D2330">
        <f>[2]TongHop!D2330</f>
        <v>0</v>
      </c>
      <c r="E2330">
        <f>[2]TongHop!E2330</f>
        <v>0</v>
      </c>
      <c r="F2330">
        <f>[2]TongHop!F2330</f>
        <v>0</v>
      </c>
      <c r="G2330">
        <f>[2]TongHop!G2330</f>
        <v>0</v>
      </c>
      <c r="H2330">
        <f>[2]TongHop!H2330</f>
        <v>0</v>
      </c>
      <c r="I2330">
        <f>[2]TongHop!I2330</f>
        <v>0</v>
      </c>
      <c r="J2330">
        <f>[2]TongHop!J2330</f>
        <v>0</v>
      </c>
      <c r="K2330">
        <f>[2]TongHop!K2330</f>
        <v>0</v>
      </c>
      <c r="L2330">
        <f>[2]TongHop!L2330</f>
        <v>0</v>
      </c>
      <c r="M2330">
        <f>[2]TongHop!M2330</f>
        <v>0</v>
      </c>
      <c r="N2330">
        <f>[2]TongHop!N2330</f>
        <v>0</v>
      </c>
    </row>
    <row r="2331" spans="1:14">
      <c r="A2331">
        <f>[2]TongHop!A2331</f>
        <v>0</v>
      </c>
      <c r="B2331">
        <f>[2]TongHop!B2331</f>
        <v>0</v>
      </c>
      <c r="C2331">
        <f>[2]TongHop!C2331</f>
        <v>0</v>
      </c>
      <c r="D2331">
        <f>[2]TongHop!D2331</f>
        <v>0</v>
      </c>
      <c r="E2331">
        <f>[2]TongHop!E2331</f>
        <v>0</v>
      </c>
      <c r="F2331">
        <f>[2]TongHop!F2331</f>
        <v>0</v>
      </c>
      <c r="G2331">
        <f>[2]TongHop!G2331</f>
        <v>0</v>
      </c>
      <c r="H2331">
        <f>[2]TongHop!H2331</f>
        <v>0</v>
      </c>
      <c r="I2331">
        <f>[2]TongHop!I2331</f>
        <v>0</v>
      </c>
      <c r="J2331">
        <f>[2]TongHop!J2331</f>
        <v>0</v>
      </c>
      <c r="K2331">
        <f>[2]TongHop!K2331</f>
        <v>0</v>
      </c>
      <c r="L2331">
        <f>[2]TongHop!L2331</f>
        <v>0</v>
      </c>
      <c r="M2331">
        <f>[2]TongHop!M2331</f>
        <v>0</v>
      </c>
      <c r="N2331">
        <f>[2]TongHop!N2331</f>
        <v>0</v>
      </c>
    </row>
    <row r="2332" spans="1:14">
      <c r="A2332">
        <f>[2]TongHop!A2332</f>
        <v>0</v>
      </c>
      <c r="B2332">
        <f>[2]TongHop!B2332</f>
        <v>0</v>
      </c>
      <c r="C2332">
        <f>[2]TongHop!C2332</f>
        <v>0</v>
      </c>
      <c r="D2332">
        <f>[2]TongHop!D2332</f>
        <v>0</v>
      </c>
      <c r="E2332">
        <f>[2]TongHop!E2332</f>
        <v>0</v>
      </c>
      <c r="F2332">
        <f>[2]TongHop!F2332</f>
        <v>0</v>
      </c>
      <c r="G2332">
        <f>[2]TongHop!G2332</f>
        <v>0</v>
      </c>
      <c r="H2332">
        <f>[2]TongHop!H2332</f>
        <v>0</v>
      </c>
      <c r="I2332">
        <f>[2]TongHop!I2332</f>
        <v>0</v>
      </c>
      <c r="J2332">
        <f>[2]TongHop!J2332</f>
        <v>0</v>
      </c>
      <c r="K2332">
        <f>[2]TongHop!K2332</f>
        <v>0</v>
      </c>
      <c r="L2332">
        <f>[2]TongHop!L2332</f>
        <v>0</v>
      </c>
      <c r="M2332">
        <f>[2]TongHop!M2332</f>
        <v>0</v>
      </c>
      <c r="N2332">
        <f>[2]TongHop!N2332</f>
        <v>0</v>
      </c>
    </row>
    <row r="2333" spans="1:14">
      <c r="A2333">
        <f>[2]TongHop!A2333</f>
        <v>0</v>
      </c>
      <c r="B2333">
        <f>[2]TongHop!B2333</f>
        <v>0</v>
      </c>
      <c r="C2333">
        <f>[2]TongHop!C2333</f>
        <v>0</v>
      </c>
      <c r="D2333">
        <f>[2]TongHop!D2333</f>
        <v>0</v>
      </c>
      <c r="E2333">
        <f>[2]TongHop!E2333</f>
        <v>0</v>
      </c>
      <c r="F2333">
        <f>[2]TongHop!F2333</f>
        <v>0</v>
      </c>
      <c r="G2333">
        <f>[2]TongHop!G2333</f>
        <v>0</v>
      </c>
      <c r="H2333">
        <f>[2]TongHop!H2333</f>
        <v>0</v>
      </c>
      <c r="I2333">
        <f>[2]TongHop!I2333</f>
        <v>0</v>
      </c>
      <c r="J2333">
        <f>[2]TongHop!J2333</f>
        <v>0</v>
      </c>
      <c r="K2333">
        <f>[2]TongHop!K2333</f>
        <v>0</v>
      </c>
      <c r="L2333">
        <f>[2]TongHop!L2333</f>
        <v>0</v>
      </c>
      <c r="M2333">
        <f>[2]TongHop!M2333</f>
        <v>0</v>
      </c>
      <c r="N2333">
        <f>[2]TongHop!N2333</f>
        <v>0</v>
      </c>
    </row>
    <row r="2334" spans="1:14">
      <c r="A2334">
        <f>[2]TongHop!A2334</f>
        <v>0</v>
      </c>
      <c r="B2334">
        <f>[2]TongHop!B2334</f>
        <v>0</v>
      </c>
      <c r="C2334">
        <f>[2]TongHop!C2334</f>
        <v>0</v>
      </c>
      <c r="D2334">
        <f>[2]TongHop!D2334</f>
        <v>0</v>
      </c>
      <c r="E2334">
        <f>[2]TongHop!E2334</f>
        <v>0</v>
      </c>
      <c r="F2334">
        <f>[2]TongHop!F2334</f>
        <v>0</v>
      </c>
      <c r="G2334">
        <f>[2]TongHop!G2334</f>
        <v>0</v>
      </c>
      <c r="H2334">
        <f>[2]TongHop!H2334</f>
        <v>0</v>
      </c>
      <c r="I2334">
        <f>[2]TongHop!I2334</f>
        <v>0</v>
      </c>
      <c r="J2334">
        <f>[2]TongHop!J2334</f>
        <v>0</v>
      </c>
      <c r="K2334">
        <f>[2]TongHop!K2334</f>
        <v>0</v>
      </c>
      <c r="L2334">
        <f>[2]TongHop!L2334</f>
        <v>0</v>
      </c>
      <c r="M2334">
        <f>[2]TongHop!M2334</f>
        <v>0</v>
      </c>
      <c r="N2334">
        <f>[2]TongHop!N2334</f>
        <v>0</v>
      </c>
    </row>
    <row r="2335" spans="1:14">
      <c r="A2335">
        <f>[2]TongHop!A2335</f>
        <v>0</v>
      </c>
      <c r="B2335">
        <f>[2]TongHop!B2335</f>
        <v>0</v>
      </c>
      <c r="C2335">
        <f>[2]TongHop!C2335</f>
        <v>0</v>
      </c>
      <c r="D2335">
        <f>[2]TongHop!D2335</f>
        <v>0</v>
      </c>
      <c r="E2335">
        <f>[2]TongHop!E2335</f>
        <v>0</v>
      </c>
      <c r="F2335">
        <f>[2]TongHop!F2335</f>
        <v>0</v>
      </c>
      <c r="G2335">
        <f>[2]TongHop!G2335</f>
        <v>0</v>
      </c>
      <c r="H2335">
        <f>[2]TongHop!H2335</f>
        <v>0</v>
      </c>
      <c r="I2335">
        <f>[2]TongHop!I2335</f>
        <v>0</v>
      </c>
      <c r="J2335">
        <f>[2]TongHop!J2335</f>
        <v>0</v>
      </c>
      <c r="K2335">
        <f>[2]TongHop!K2335</f>
        <v>0</v>
      </c>
      <c r="L2335">
        <f>[2]TongHop!L2335</f>
        <v>0</v>
      </c>
      <c r="M2335">
        <f>[2]TongHop!M2335</f>
        <v>0</v>
      </c>
      <c r="N2335">
        <f>[2]TongHop!N2335</f>
        <v>0</v>
      </c>
    </row>
    <row r="2336" spans="1:14">
      <c r="A2336">
        <f>[2]TongHop!A2336</f>
        <v>0</v>
      </c>
      <c r="B2336">
        <f>[2]TongHop!B2336</f>
        <v>0</v>
      </c>
      <c r="C2336">
        <f>[2]TongHop!C2336</f>
        <v>0</v>
      </c>
      <c r="D2336">
        <f>[2]TongHop!D2336</f>
        <v>0</v>
      </c>
      <c r="E2336">
        <f>[2]TongHop!E2336</f>
        <v>0</v>
      </c>
      <c r="F2336">
        <f>[2]TongHop!F2336</f>
        <v>0</v>
      </c>
      <c r="G2336">
        <f>[2]TongHop!G2336</f>
        <v>0</v>
      </c>
      <c r="H2336">
        <f>[2]TongHop!H2336</f>
        <v>0</v>
      </c>
      <c r="I2336">
        <f>[2]TongHop!I2336</f>
        <v>0</v>
      </c>
      <c r="J2336">
        <f>[2]TongHop!J2336</f>
        <v>0</v>
      </c>
      <c r="K2336">
        <f>[2]TongHop!K2336</f>
        <v>0</v>
      </c>
      <c r="L2336">
        <f>[2]TongHop!L2336</f>
        <v>0</v>
      </c>
      <c r="M2336">
        <f>[2]TongHop!M2336</f>
        <v>0</v>
      </c>
      <c r="N2336">
        <f>[2]TongHop!N2336</f>
        <v>0</v>
      </c>
    </row>
    <row r="2337" spans="1:14">
      <c r="A2337">
        <f>[2]TongHop!A2337</f>
        <v>0</v>
      </c>
      <c r="B2337">
        <f>[2]TongHop!B2337</f>
        <v>0</v>
      </c>
      <c r="C2337">
        <f>[2]TongHop!C2337</f>
        <v>0</v>
      </c>
      <c r="D2337">
        <f>[2]TongHop!D2337</f>
        <v>0</v>
      </c>
      <c r="E2337">
        <f>[2]TongHop!E2337</f>
        <v>0</v>
      </c>
      <c r="F2337">
        <f>[2]TongHop!F2337</f>
        <v>0</v>
      </c>
      <c r="G2337">
        <f>[2]TongHop!G2337</f>
        <v>0</v>
      </c>
      <c r="H2337">
        <f>[2]TongHop!H2337</f>
        <v>0</v>
      </c>
      <c r="I2337">
        <f>[2]TongHop!I2337</f>
        <v>0</v>
      </c>
      <c r="J2337">
        <f>[2]TongHop!J2337</f>
        <v>0</v>
      </c>
      <c r="K2337">
        <f>[2]TongHop!K2337</f>
        <v>0</v>
      </c>
      <c r="L2337">
        <f>[2]TongHop!L2337</f>
        <v>0</v>
      </c>
      <c r="M2337">
        <f>[2]TongHop!M2337</f>
        <v>0</v>
      </c>
      <c r="N2337">
        <f>[2]TongHop!N2337</f>
        <v>0</v>
      </c>
    </row>
    <row r="2338" spans="1:14">
      <c r="A2338">
        <f>[2]TongHop!A2338</f>
        <v>0</v>
      </c>
      <c r="B2338">
        <f>[2]TongHop!B2338</f>
        <v>0</v>
      </c>
      <c r="C2338">
        <f>[2]TongHop!C2338</f>
        <v>0</v>
      </c>
      <c r="D2338">
        <f>[2]TongHop!D2338</f>
        <v>0</v>
      </c>
      <c r="E2338">
        <f>[2]TongHop!E2338</f>
        <v>0</v>
      </c>
      <c r="F2338">
        <f>[2]TongHop!F2338</f>
        <v>0</v>
      </c>
      <c r="G2338">
        <f>[2]TongHop!G2338</f>
        <v>0</v>
      </c>
      <c r="H2338">
        <f>[2]TongHop!H2338</f>
        <v>0</v>
      </c>
      <c r="I2338">
        <f>[2]TongHop!I2338</f>
        <v>0</v>
      </c>
      <c r="J2338">
        <f>[2]TongHop!J2338</f>
        <v>0</v>
      </c>
      <c r="K2338">
        <f>[2]TongHop!K2338</f>
        <v>0</v>
      </c>
      <c r="L2338">
        <f>[2]TongHop!L2338</f>
        <v>0</v>
      </c>
      <c r="M2338">
        <f>[2]TongHop!M2338</f>
        <v>0</v>
      </c>
      <c r="N2338">
        <f>[2]TongHop!N2338</f>
        <v>0</v>
      </c>
    </row>
    <row r="2339" spans="1:14">
      <c r="A2339">
        <f>[2]TongHop!A2339</f>
        <v>0</v>
      </c>
      <c r="B2339">
        <f>[2]TongHop!B2339</f>
        <v>0</v>
      </c>
      <c r="C2339">
        <f>[2]TongHop!C2339</f>
        <v>0</v>
      </c>
      <c r="D2339">
        <f>[2]TongHop!D2339</f>
        <v>0</v>
      </c>
      <c r="E2339">
        <f>[2]TongHop!E2339</f>
        <v>0</v>
      </c>
      <c r="F2339">
        <f>[2]TongHop!F2339</f>
        <v>0</v>
      </c>
      <c r="G2339">
        <f>[2]TongHop!G2339</f>
        <v>0</v>
      </c>
      <c r="H2339">
        <f>[2]TongHop!H2339</f>
        <v>0</v>
      </c>
      <c r="I2339">
        <f>[2]TongHop!I2339</f>
        <v>0</v>
      </c>
      <c r="J2339">
        <f>[2]TongHop!J2339</f>
        <v>0</v>
      </c>
      <c r="K2339">
        <f>[2]TongHop!K2339</f>
        <v>0</v>
      </c>
      <c r="L2339">
        <f>[2]TongHop!L2339</f>
        <v>0</v>
      </c>
      <c r="M2339">
        <f>[2]TongHop!M2339</f>
        <v>0</v>
      </c>
      <c r="N2339">
        <f>[2]TongHop!N2339</f>
        <v>0</v>
      </c>
    </row>
    <row r="2340" spans="1:14">
      <c r="A2340">
        <f>[2]TongHop!A2340</f>
        <v>0</v>
      </c>
      <c r="B2340">
        <f>[2]TongHop!B2340</f>
        <v>0</v>
      </c>
      <c r="C2340">
        <f>[2]TongHop!C2340</f>
        <v>0</v>
      </c>
      <c r="D2340">
        <f>[2]TongHop!D2340</f>
        <v>0</v>
      </c>
      <c r="E2340">
        <f>[2]TongHop!E2340</f>
        <v>0</v>
      </c>
      <c r="F2340">
        <f>[2]TongHop!F2340</f>
        <v>0</v>
      </c>
      <c r="G2340">
        <f>[2]TongHop!G2340</f>
        <v>0</v>
      </c>
      <c r="H2340">
        <f>[2]TongHop!H2340</f>
        <v>0</v>
      </c>
      <c r="I2340">
        <f>[2]TongHop!I2340</f>
        <v>0</v>
      </c>
      <c r="J2340">
        <f>[2]TongHop!J2340</f>
        <v>0</v>
      </c>
      <c r="K2340">
        <f>[2]TongHop!K2340</f>
        <v>0</v>
      </c>
      <c r="L2340">
        <f>[2]TongHop!L2340</f>
        <v>0</v>
      </c>
      <c r="M2340">
        <f>[2]TongHop!M2340</f>
        <v>0</v>
      </c>
      <c r="N2340">
        <f>[2]TongHop!N2340</f>
        <v>0</v>
      </c>
    </row>
    <row r="2341" spans="1:14">
      <c r="A2341">
        <f>[2]TongHop!A2341</f>
        <v>0</v>
      </c>
      <c r="B2341">
        <f>[2]TongHop!B2341</f>
        <v>0</v>
      </c>
      <c r="C2341">
        <f>[2]TongHop!C2341</f>
        <v>0</v>
      </c>
      <c r="D2341">
        <f>[2]TongHop!D2341</f>
        <v>0</v>
      </c>
      <c r="E2341">
        <f>[2]TongHop!E2341</f>
        <v>0</v>
      </c>
      <c r="F2341">
        <f>[2]TongHop!F2341</f>
        <v>0</v>
      </c>
      <c r="G2341">
        <f>[2]TongHop!G2341</f>
        <v>0</v>
      </c>
      <c r="H2341">
        <f>[2]TongHop!H2341</f>
        <v>0</v>
      </c>
      <c r="I2341">
        <f>[2]TongHop!I2341</f>
        <v>0</v>
      </c>
      <c r="J2341">
        <f>[2]TongHop!J2341</f>
        <v>0</v>
      </c>
      <c r="K2341">
        <f>[2]TongHop!K2341</f>
        <v>0</v>
      </c>
      <c r="L2341">
        <f>[2]TongHop!L2341</f>
        <v>0</v>
      </c>
      <c r="M2341">
        <f>[2]TongHop!M2341</f>
        <v>0</v>
      </c>
      <c r="N2341">
        <f>[2]TongHop!N2341</f>
        <v>0</v>
      </c>
    </row>
    <row r="2342" spans="1:14">
      <c r="A2342">
        <f>[2]TongHop!A2342</f>
        <v>0</v>
      </c>
      <c r="B2342">
        <f>[2]TongHop!B2342</f>
        <v>0</v>
      </c>
      <c r="C2342">
        <f>[2]TongHop!C2342</f>
        <v>0</v>
      </c>
      <c r="D2342">
        <f>[2]TongHop!D2342</f>
        <v>0</v>
      </c>
      <c r="E2342">
        <f>[2]TongHop!E2342</f>
        <v>0</v>
      </c>
      <c r="F2342">
        <f>[2]TongHop!F2342</f>
        <v>0</v>
      </c>
      <c r="G2342">
        <f>[2]TongHop!G2342</f>
        <v>0</v>
      </c>
      <c r="H2342">
        <f>[2]TongHop!H2342</f>
        <v>0</v>
      </c>
      <c r="I2342">
        <f>[2]TongHop!I2342</f>
        <v>0</v>
      </c>
      <c r="J2342">
        <f>[2]TongHop!J2342</f>
        <v>0</v>
      </c>
      <c r="K2342">
        <f>[2]TongHop!K2342</f>
        <v>0</v>
      </c>
      <c r="L2342">
        <f>[2]TongHop!L2342</f>
        <v>0</v>
      </c>
      <c r="M2342">
        <f>[2]TongHop!M2342</f>
        <v>0</v>
      </c>
      <c r="N2342">
        <f>[2]TongHop!N2342</f>
        <v>0</v>
      </c>
    </row>
    <row r="2343" spans="1:14">
      <c r="A2343">
        <f>[2]TongHop!A2343</f>
        <v>0</v>
      </c>
      <c r="B2343">
        <f>[2]TongHop!B2343</f>
        <v>0</v>
      </c>
      <c r="C2343">
        <f>[2]TongHop!C2343</f>
        <v>0</v>
      </c>
      <c r="D2343">
        <f>[2]TongHop!D2343</f>
        <v>0</v>
      </c>
      <c r="E2343">
        <f>[2]TongHop!E2343</f>
        <v>0</v>
      </c>
      <c r="F2343">
        <f>[2]TongHop!F2343</f>
        <v>0</v>
      </c>
      <c r="G2343">
        <f>[2]TongHop!G2343</f>
        <v>0</v>
      </c>
      <c r="H2343">
        <f>[2]TongHop!H2343</f>
        <v>0</v>
      </c>
      <c r="I2343">
        <f>[2]TongHop!I2343</f>
        <v>0</v>
      </c>
      <c r="J2343">
        <f>[2]TongHop!J2343</f>
        <v>0</v>
      </c>
      <c r="K2343">
        <f>[2]TongHop!K2343</f>
        <v>0</v>
      </c>
      <c r="L2343">
        <f>[2]TongHop!L2343</f>
        <v>0</v>
      </c>
      <c r="M2343">
        <f>[2]TongHop!M2343</f>
        <v>0</v>
      </c>
      <c r="N2343">
        <f>[2]TongHop!N2343</f>
        <v>0</v>
      </c>
    </row>
    <row r="2344" spans="1:14">
      <c r="A2344">
        <f>[2]TongHop!A2344</f>
        <v>0</v>
      </c>
      <c r="B2344">
        <f>[2]TongHop!B2344</f>
        <v>0</v>
      </c>
      <c r="C2344">
        <f>[2]TongHop!C2344</f>
        <v>0</v>
      </c>
      <c r="D2344">
        <f>[2]TongHop!D2344</f>
        <v>0</v>
      </c>
      <c r="E2344">
        <f>[2]TongHop!E2344</f>
        <v>0</v>
      </c>
      <c r="F2344">
        <f>[2]TongHop!F2344</f>
        <v>0</v>
      </c>
      <c r="G2344">
        <f>[2]TongHop!G2344</f>
        <v>0</v>
      </c>
      <c r="H2344">
        <f>[2]TongHop!H2344</f>
        <v>0</v>
      </c>
      <c r="I2344">
        <f>[2]TongHop!I2344</f>
        <v>0</v>
      </c>
      <c r="J2344">
        <f>[2]TongHop!J2344</f>
        <v>0</v>
      </c>
      <c r="K2344">
        <f>[2]TongHop!K2344</f>
        <v>0</v>
      </c>
      <c r="L2344">
        <f>[2]TongHop!L2344</f>
        <v>0</v>
      </c>
      <c r="M2344">
        <f>[2]TongHop!M2344</f>
        <v>0</v>
      </c>
      <c r="N2344">
        <f>[2]TongHop!N2344</f>
        <v>0</v>
      </c>
    </row>
    <row r="2345" spans="1:14">
      <c r="A2345">
        <f>[2]TongHop!A2345</f>
        <v>0</v>
      </c>
      <c r="B2345">
        <f>[2]TongHop!B2345</f>
        <v>0</v>
      </c>
      <c r="C2345">
        <f>[2]TongHop!C2345</f>
        <v>0</v>
      </c>
      <c r="D2345">
        <f>[2]TongHop!D2345</f>
        <v>0</v>
      </c>
      <c r="E2345">
        <f>[2]TongHop!E2345</f>
        <v>0</v>
      </c>
      <c r="F2345">
        <f>[2]TongHop!F2345</f>
        <v>0</v>
      </c>
      <c r="G2345">
        <f>[2]TongHop!G2345</f>
        <v>0</v>
      </c>
      <c r="H2345">
        <f>[2]TongHop!H2345</f>
        <v>0</v>
      </c>
      <c r="I2345">
        <f>[2]TongHop!I2345</f>
        <v>0</v>
      </c>
      <c r="J2345">
        <f>[2]TongHop!J2345</f>
        <v>0</v>
      </c>
      <c r="K2345">
        <f>[2]TongHop!K2345</f>
        <v>0</v>
      </c>
      <c r="L2345">
        <f>[2]TongHop!L2345</f>
        <v>0</v>
      </c>
      <c r="M2345">
        <f>[2]TongHop!M2345</f>
        <v>0</v>
      </c>
      <c r="N2345">
        <f>[2]TongHop!N2345</f>
        <v>0</v>
      </c>
    </row>
    <row r="2346" spans="1:14">
      <c r="A2346">
        <f>[2]TongHop!A2346</f>
        <v>0</v>
      </c>
      <c r="B2346">
        <f>[2]TongHop!B2346</f>
        <v>0</v>
      </c>
      <c r="C2346">
        <f>[2]TongHop!C2346</f>
        <v>0</v>
      </c>
      <c r="D2346">
        <f>[2]TongHop!D2346</f>
        <v>0</v>
      </c>
      <c r="E2346">
        <f>[2]TongHop!E2346</f>
        <v>0</v>
      </c>
      <c r="F2346">
        <f>[2]TongHop!F2346</f>
        <v>0</v>
      </c>
      <c r="G2346">
        <f>[2]TongHop!G2346</f>
        <v>0</v>
      </c>
      <c r="H2346">
        <f>[2]TongHop!H2346</f>
        <v>0</v>
      </c>
      <c r="I2346">
        <f>[2]TongHop!I2346</f>
        <v>0</v>
      </c>
      <c r="J2346">
        <f>[2]TongHop!J2346</f>
        <v>0</v>
      </c>
      <c r="K2346">
        <f>[2]TongHop!K2346</f>
        <v>0</v>
      </c>
      <c r="L2346">
        <f>[2]TongHop!L2346</f>
        <v>0</v>
      </c>
      <c r="M2346">
        <f>[2]TongHop!M2346</f>
        <v>0</v>
      </c>
      <c r="N2346">
        <f>[2]TongHop!N2346</f>
        <v>0</v>
      </c>
    </row>
    <row r="2347" spans="1:14">
      <c r="A2347">
        <f>[2]TongHop!A2347</f>
        <v>0</v>
      </c>
      <c r="B2347">
        <f>[2]TongHop!B2347</f>
        <v>0</v>
      </c>
      <c r="C2347">
        <f>[2]TongHop!C2347</f>
        <v>0</v>
      </c>
      <c r="D2347">
        <f>[2]TongHop!D2347</f>
        <v>0</v>
      </c>
      <c r="E2347">
        <f>[2]TongHop!E2347</f>
        <v>0</v>
      </c>
      <c r="F2347">
        <f>[2]TongHop!F2347</f>
        <v>0</v>
      </c>
      <c r="G2347">
        <f>[2]TongHop!G2347</f>
        <v>0</v>
      </c>
      <c r="H2347">
        <f>[2]TongHop!H2347</f>
        <v>0</v>
      </c>
      <c r="I2347">
        <f>[2]TongHop!I2347</f>
        <v>0</v>
      </c>
      <c r="J2347">
        <f>[2]TongHop!J2347</f>
        <v>0</v>
      </c>
      <c r="K2347">
        <f>[2]TongHop!K2347</f>
        <v>0</v>
      </c>
      <c r="L2347">
        <f>[2]TongHop!L2347</f>
        <v>0</v>
      </c>
      <c r="M2347">
        <f>[2]TongHop!M2347</f>
        <v>0</v>
      </c>
      <c r="N2347">
        <f>[2]TongHop!N2347</f>
        <v>0</v>
      </c>
    </row>
    <row r="2348" spans="1:14">
      <c r="A2348">
        <f>[2]TongHop!A2348</f>
        <v>0</v>
      </c>
      <c r="B2348">
        <f>[2]TongHop!B2348</f>
        <v>0</v>
      </c>
      <c r="C2348">
        <f>[2]TongHop!C2348</f>
        <v>0</v>
      </c>
      <c r="D2348">
        <f>[2]TongHop!D2348</f>
        <v>0</v>
      </c>
      <c r="E2348">
        <f>[2]TongHop!E2348</f>
        <v>0</v>
      </c>
      <c r="F2348">
        <f>[2]TongHop!F2348</f>
        <v>0</v>
      </c>
      <c r="G2348">
        <f>[2]TongHop!G2348</f>
        <v>0</v>
      </c>
      <c r="H2348">
        <f>[2]TongHop!H2348</f>
        <v>0</v>
      </c>
      <c r="I2348">
        <f>[2]TongHop!I2348</f>
        <v>0</v>
      </c>
      <c r="J2348">
        <f>[2]TongHop!J2348</f>
        <v>0</v>
      </c>
      <c r="K2348">
        <f>[2]TongHop!K2348</f>
        <v>0</v>
      </c>
      <c r="L2348">
        <f>[2]TongHop!L2348</f>
        <v>0</v>
      </c>
      <c r="M2348">
        <f>[2]TongHop!M2348</f>
        <v>0</v>
      </c>
      <c r="N2348">
        <f>[2]TongHop!N2348</f>
        <v>0</v>
      </c>
    </row>
    <row r="2349" spans="1:14">
      <c r="A2349">
        <f>[2]TongHop!A2349</f>
        <v>0</v>
      </c>
      <c r="B2349">
        <f>[2]TongHop!B2349</f>
        <v>0</v>
      </c>
      <c r="C2349">
        <f>[2]TongHop!C2349</f>
        <v>0</v>
      </c>
      <c r="D2349">
        <f>[2]TongHop!D2349</f>
        <v>0</v>
      </c>
      <c r="E2349">
        <f>[2]TongHop!E2349</f>
        <v>0</v>
      </c>
      <c r="F2349">
        <f>[2]TongHop!F2349</f>
        <v>0</v>
      </c>
      <c r="G2349">
        <f>[2]TongHop!G2349</f>
        <v>0</v>
      </c>
      <c r="H2349">
        <f>[2]TongHop!H2349</f>
        <v>0</v>
      </c>
      <c r="I2349">
        <f>[2]TongHop!I2349</f>
        <v>0</v>
      </c>
      <c r="J2349">
        <f>[2]TongHop!J2349</f>
        <v>0</v>
      </c>
      <c r="K2349">
        <f>[2]TongHop!K2349</f>
        <v>0</v>
      </c>
      <c r="L2349">
        <f>[2]TongHop!L2349</f>
        <v>0</v>
      </c>
      <c r="M2349">
        <f>[2]TongHop!M2349</f>
        <v>0</v>
      </c>
      <c r="N2349">
        <f>[2]TongHop!N2349</f>
        <v>0</v>
      </c>
    </row>
    <row r="2350" spans="1:14">
      <c r="A2350">
        <f>[2]TongHop!A2350</f>
        <v>0</v>
      </c>
      <c r="B2350">
        <f>[2]TongHop!B2350</f>
        <v>0</v>
      </c>
      <c r="C2350">
        <f>[2]TongHop!C2350</f>
        <v>0</v>
      </c>
      <c r="D2350">
        <f>[2]TongHop!D2350</f>
        <v>0</v>
      </c>
      <c r="E2350">
        <f>[2]TongHop!E2350</f>
        <v>0</v>
      </c>
      <c r="F2350">
        <f>[2]TongHop!F2350</f>
        <v>0</v>
      </c>
      <c r="G2350">
        <f>[2]TongHop!G2350</f>
        <v>0</v>
      </c>
      <c r="H2350">
        <f>[2]TongHop!H2350</f>
        <v>0</v>
      </c>
      <c r="I2350">
        <f>[2]TongHop!I2350</f>
        <v>0</v>
      </c>
      <c r="J2350">
        <f>[2]TongHop!J2350</f>
        <v>0</v>
      </c>
      <c r="K2350">
        <f>[2]TongHop!K2350</f>
        <v>0</v>
      </c>
      <c r="L2350">
        <f>[2]TongHop!L2350</f>
        <v>0</v>
      </c>
      <c r="M2350">
        <f>[2]TongHop!M2350</f>
        <v>0</v>
      </c>
      <c r="N2350">
        <f>[2]TongHop!N2350</f>
        <v>0</v>
      </c>
    </row>
    <row r="2351" spans="1:14">
      <c r="A2351">
        <f>[2]TongHop!A2351</f>
        <v>0</v>
      </c>
      <c r="B2351">
        <f>[2]TongHop!B2351</f>
        <v>0</v>
      </c>
      <c r="C2351">
        <f>[2]TongHop!C2351</f>
        <v>0</v>
      </c>
      <c r="D2351">
        <f>[2]TongHop!D2351</f>
        <v>0</v>
      </c>
      <c r="E2351">
        <f>[2]TongHop!E2351</f>
        <v>0</v>
      </c>
      <c r="F2351">
        <f>[2]TongHop!F2351</f>
        <v>0</v>
      </c>
      <c r="G2351">
        <f>[2]TongHop!G2351</f>
        <v>0</v>
      </c>
      <c r="H2351">
        <f>[2]TongHop!H2351</f>
        <v>0</v>
      </c>
      <c r="I2351">
        <f>[2]TongHop!I2351</f>
        <v>0</v>
      </c>
      <c r="J2351">
        <f>[2]TongHop!J2351</f>
        <v>0</v>
      </c>
      <c r="K2351">
        <f>[2]TongHop!K2351</f>
        <v>0</v>
      </c>
      <c r="L2351">
        <f>[2]TongHop!L2351</f>
        <v>0</v>
      </c>
      <c r="M2351">
        <f>[2]TongHop!M2351</f>
        <v>0</v>
      </c>
      <c r="N2351">
        <f>[2]TongHop!N2351</f>
        <v>0</v>
      </c>
    </row>
    <row r="2352" spans="1:14">
      <c r="A2352">
        <f>[2]TongHop!A2352</f>
        <v>0</v>
      </c>
      <c r="B2352">
        <f>[2]TongHop!B2352</f>
        <v>0</v>
      </c>
      <c r="C2352">
        <f>[2]TongHop!C2352</f>
        <v>0</v>
      </c>
      <c r="D2352">
        <f>[2]TongHop!D2352</f>
        <v>0</v>
      </c>
      <c r="E2352">
        <f>[2]TongHop!E2352</f>
        <v>0</v>
      </c>
      <c r="F2352">
        <f>[2]TongHop!F2352</f>
        <v>0</v>
      </c>
      <c r="G2352">
        <f>[2]TongHop!G2352</f>
        <v>0</v>
      </c>
      <c r="H2352">
        <f>[2]TongHop!H2352</f>
        <v>0</v>
      </c>
      <c r="I2352">
        <f>[2]TongHop!I2352</f>
        <v>0</v>
      </c>
      <c r="J2352">
        <f>[2]TongHop!J2352</f>
        <v>0</v>
      </c>
      <c r="K2352">
        <f>[2]TongHop!K2352</f>
        <v>0</v>
      </c>
      <c r="L2352">
        <f>[2]TongHop!L2352</f>
        <v>0</v>
      </c>
      <c r="M2352">
        <f>[2]TongHop!M2352</f>
        <v>0</v>
      </c>
      <c r="N2352">
        <f>[2]TongHop!N2352</f>
        <v>0</v>
      </c>
    </row>
    <row r="2353" spans="1:14">
      <c r="A2353">
        <f>[2]TongHop!A2353</f>
        <v>0</v>
      </c>
      <c r="B2353">
        <f>[2]TongHop!B2353</f>
        <v>0</v>
      </c>
      <c r="C2353">
        <f>[2]TongHop!C2353</f>
        <v>0</v>
      </c>
      <c r="D2353">
        <f>[2]TongHop!D2353</f>
        <v>0</v>
      </c>
      <c r="E2353">
        <f>[2]TongHop!E2353</f>
        <v>0</v>
      </c>
      <c r="F2353">
        <f>[2]TongHop!F2353</f>
        <v>0</v>
      </c>
      <c r="G2353">
        <f>[2]TongHop!G2353</f>
        <v>0</v>
      </c>
      <c r="H2353">
        <f>[2]TongHop!H2353</f>
        <v>0</v>
      </c>
      <c r="I2353">
        <f>[2]TongHop!I2353</f>
        <v>0</v>
      </c>
      <c r="J2353">
        <f>[2]TongHop!J2353</f>
        <v>0</v>
      </c>
      <c r="K2353">
        <f>[2]TongHop!K2353</f>
        <v>0</v>
      </c>
      <c r="L2353">
        <f>[2]TongHop!L2353</f>
        <v>0</v>
      </c>
      <c r="M2353">
        <f>[2]TongHop!M2353</f>
        <v>0</v>
      </c>
      <c r="N2353">
        <f>[2]TongHop!N2353</f>
        <v>0</v>
      </c>
    </row>
    <row r="2354" spans="1:14">
      <c r="A2354">
        <f>[2]TongHop!A2354</f>
        <v>0</v>
      </c>
      <c r="B2354">
        <f>[2]TongHop!B2354</f>
        <v>0</v>
      </c>
      <c r="C2354">
        <f>[2]TongHop!C2354</f>
        <v>0</v>
      </c>
      <c r="D2354">
        <f>[2]TongHop!D2354</f>
        <v>0</v>
      </c>
      <c r="E2354">
        <f>[2]TongHop!E2354</f>
        <v>0</v>
      </c>
      <c r="F2354">
        <f>[2]TongHop!F2354</f>
        <v>0</v>
      </c>
      <c r="G2354">
        <f>[2]TongHop!G2354</f>
        <v>0</v>
      </c>
      <c r="H2354">
        <f>[2]TongHop!H2354</f>
        <v>0</v>
      </c>
      <c r="I2354">
        <f>[2]TongHop!I2354</f>
        <v>0</v>
      </c>
      <c r="J2354">
        <f>[2]TongHop!J2354</f>
        <v>0</v>
      </c>
      <c r="K2354">
        <f>[2]TongHop!K2354</f>
        <v>0</v>
      </c>
      <c r="L2354">
        <f>[2]TongHop!L2354</f>
        <v>0</v>
      </c>
      <c r="M2354">
        <f>[2]TongHop!M2354</f>
        <v>0</v>
      </c>
      <c r="N2354">
        <f>[2]TongHop!N2354</f>
        <v>0</v>
      </c>
    </row>
    <row r="2355" spans="1:14">
      <c r="A2355">
        <f>[2]TongHop!A2355</f>
        <v>0</v>
      </c>
      <c r="B2355">
        <f>[2]TongHop!B2355</f>
        <v>0</v>
      </c>
      <c r="C2355">
        <f>[2]TongHop!C2355</f>
        <v>0</v>
      </c>
      <c r="D2355">
        <f>[2]TongHop!D2355</f>
        <v>0</v>
      </c>
      <c r="E2355">
        <f>[2]TongHop!E2355</f>
        <v>0</v>
      </c>
      <c r="F2355">
        <f>[2]TongHop!F2355</f>
        <v>0</v>
      </c>
      <c r="G2355">
        <f>[2]TongHop!G2355</f>
        <v>0</v>
      </c>
      <c r="H2355">
        <f>[2]TongHop!H2355</f>
        <v>0</v>
      </c>
      <c r="I2355">
        <f>[2]TongHop!I2355</f>
        <v>0</v>
      </c>
      <c r="J2355">
        <f>[2]TongHop!J2355</f>
        <v>0</v>
      </c>
      <c r="K2355">
        <f>[2]TongHop!K2355</f>
        <v>0</v>
      </c>
      <c r="L2355">
        <f>[2]TongHop!L2355</f>
        <v>0</v>
      </c>
      <c r="M2355">
        <f>[2]TongHop!M2355</f>
        <v>0</v>
      </c>
      <c r="N2355">
        <f>[2]TongHop!N2355</f>
        <v>0</v>
      </c>
    </row>
    <row r="2356" spans="1:14">
      <c r="A2356">
        <f>[2]TongHop!A2356</f>
        <v>0</v>
      </c>
      <c r="B2356">
        <f>[2]TongHop!B2356</f>
        <v>0</v>
      </c>
      <c r="C2356">
        <f>[2]TongHop!C2356</f>
        <v>0</v>
      </c>
      <c r="D2356">
        <f>[2]TongHop!D2356</f>
        <v>0</v>
      </c>
      <c r="E2356">
        <f>[2]TongHop!E2356</f>
        <v>0</v>
      </c>
      <c r="F2356">
        <f>[2]TongHop!F2356</f>
        <v>0</v>
      </c>
      <c r="G2356">
        <f>[2]TongHop!G2356</f>
        <v>0</v>
      </c>
      <c r="H2356">
        <f>[2]TongHop!H2356</f>
        <v>0</v>
      </c>
      <c r="I2356">
        <f>[2]TongHop!I2356</f>
        <v>0</v>
      </c>
      <c r="J2356">
        <f>[2]TongHop!J2356</f>
        <v>0</v>
      </c>
      <c r="K2356">
        <f>[2]TongHop!K2356</f>
        <v>0</v>
      </c>
      <c r="L2356">
        <f>[2]TongHop!L2356</f>
        <v>0</v>
      </c>
      <c r="M2356">
        <f>[2]TongHop!M2356</f>
        <v>0</v>
      </c>
      <c r="N2356">
        <f>[2]TongHop!N2356</f>
        <v>0</v>
      </c>
    </row>
    <row r="2357" spans="1:14">
      <c r="A2357">
        <f>[2]TongHop!A2357</f>
        <v>0</v>
      </c>
      <c r="B2357">
        <f>[2]TongHop!B2357</f>
        <v>0</v>
      </c>
      <c r="C2357">
        <f>[2]TongHop!C2357</f>
        <v>0</v>
      </c>
      <c r="D2357">
        <f>[2]TongHop!D2357</f>
        <v>0</v>
      </c>
      <c r="E2357">
        <f>[2]TongHop!E2357</f>
        <v>0</v>
      </c>
      <c r="F2357">
        <f>[2]TongHop!F2357</f>
        <v>0</v>
      </c>
      <c r="G2357">
        <f>[2]TongHop!G2357</f>
        <v>0</v>
      </c>
      <c r="H2357">
        <f>[2]TongHop!H2357</f>
        <v>0</v>
      </c>
      <c r="I2357">
        <f>[2]TongHop!I2357</f>
        <v>0</v>
      </c>
      <c r="J2357">
        <f>[2]TongHop!J2357</f>
        <v>0</v>
      </c>
      <c r="K2357">
        <f>[2]TongHop!K2357</f>
        <v>0</v>
      </c>
      <c r="L2357">
        <f>[2]TongHop!L2357</f>
        <v>0</v>
      </c>
      <c r="M2357">
        <f>[2]TongHop!M2357</f>
        <v>0</v>
      </c>
      <c r="N2357">
        <f>[2]TongHop!N2357</f>
        <v>0</v>
      </c>
    </row>
    <row r="2358" spans="1:14">
      <c r="A2358">
        <f>[2]TongHop!A2358</f>
        <v>0</v>
      </c>
      <c r="B2358">
        <f>[2]TongHop!B2358</f>
        <v>0</v>
      </c>
      <c r="C2358">
        <f>[2]TongHop!C2358</f>
        <v>0</v>
      </c>
      <c r="D2358">
        <f>[2]TongHop!D2358</f>
        <v>0</v>
      </c>
      <c r="E2358">
        <f>[2]TongHop!E2358</f>
        <v>0</v>
      </c>
      <c r="F2358">
        <f>[2]TongHop!F2358</f>
        <v>0</v>
      </c>
      <c r="G2358">
        <f>[2]TongHop!G2358</f>
        <v>0</v>
      </c>
      <c r="H2358">
        <f>[2]TongHop!H2358</f>
        <v>0</v>
      </c>
      <c r="I2358">
        <f>[2]TongHop!I2358</f>
        <v>0</v>
      </c>
      <c r="J2358">
        <f>[2]TongHop!J2358</f>
        <v>0</v>
      </c>
      <c r="K2358">
        <f>[2]TongHop!K2358</f>
        <v>0</v>
      </c>
      <c r="L2358">
        <f>[2]TongHop!L2358</f>
        <v>0</v>
      </c>
      <c r="M2358">
        <f>[2]TongHop!M2358</f>
        <v>0</v>
      </c>
      <c r="N2358">
        <f>[2]TongHop!N2358</f>
        <v>0</v>
      </c>
    </row>
    <row r="2359" spans="1:14">
      <c r="A2359">
        <f>[2]TongHop!A2359</f>
        <v>0</v>
      </c>
      <c r="B2359">
        <f>[2]TongHop!B2359</f>
        <v>0</v>
      </c>
      <c r="C2359">
        <f>[2]TongHop!C2359</f>
        <v>0</v>
      </c>
      <c r="D2359">
        <f>[2]TongHop!D2359</f>
        <v>0</v>
      </c>
      <c r="E2359">
        <f>[2]TongHop!E2359</f>
        <v>0</v>
      </c>
      <c r="F2359">
        <f>[2]TongHop!F2359</f>
        <v>0</v>
      </c>
      <c r="G2359">
        <f>[2]TongHop!G2359</f>
        <v>0</v>
      </c>
      <c r="H2359">
        <f>[2]TongHop!H2359</f>
        <v>0</v>
      </c>
      <c r="I2359">
        <f>[2]TongHop!I2359</f>
        <v>0</v>
      </c>
      <c r="J2359">
        <f>[2]TongHop!J2359</f>
        <v>0</v>
      </c>
      <c r="K2359">
        <f>[2]TongHop!K2359</f>
        <v>0</v>
      </c>
      <c r="L2359">
        <f>[2]TongHop!L2359</f>
        <v>0</v>
      </c>
      <c r="M2359">
        <f>[2]TongHop!M2359</f>
        <v>0</v>
      </c>
      <c r="N2359">
        <f>[2]TongHop!N2359</f>
        <v>0</v>
      </c>
    </row>
    <row r="2360" spans="1:14">
      <c r="A2360">
        <f>[2]TongHop!A2360</f>
        <v>0</v>
      </c>
      <c r="B2360">
        <f>[2]TongHop!B2360</f>
        <v>0</v>
      </c>
      <c r="C2360">
        <f>[2]TongHop!C2360</f>
        <v>0</v>
      </c>
      <c r="D2360">
        <f>[2]TongHop!D2360</f>
        <v>0</v>
      </c>
      <c r="E2360">
        <f>[2]TongHop!E2360</f>
        <v>0</v>
      </c>
      <c r="F2360">
        <f>[2]TongHop!F2360</f>
        <v>0</v>
      </c>
      <c r="G2360">
        <f>[2]TongHop!G2360</f>
        <v>0</v>
      </c>
      <c r="H2360">
        <f>[2]TongHop!H2360</f>
        <v>0</v>
      </c>
      <c r="I2360">
        <f>[2]TongHop!I2360</f>
        <v>0</v>
      </c>
      <c r="J2360">
        <f>[2]TongHop!J2360</f>
        <v>0</v>
      </c>
      <c r="K2360">
        <f>[2]TongHop!K2360</f>
        <v>0</v>
      </c>
      <c r="L2360">
        <f>[2]TongHop!L2360</f>
        <v>0</v>
      </c>
      <c r="M2360">
        <f>[2]TongHop!M2360</f>
        <v>0</v>
      </c>
      <c r="N2360">
        <f>[2]TongHop!N2360</f>
        <v>0</v>
      </c>
    </row>
    <row r="2361" spans="1:14">
      <c r="A2361">
        <f>[2]TongHop!A2361</f>
        <v>0</v>
      </c>
      <c r="B2361">
        <f>[2]TongHop!B2361</f>
        <v>0</v>
      </c>
      <c r="C2361">
        <f>[2]TongHop!C2361</f>
        <v>0</v>
      </c>
      <c r="D2361">
        <f>[2]TongHop!D2361</f>
        <v>0</v>
      </c>
      <c r="E2361">
        <f>[2]TongHop!E2361</f>
        <v>0</v>
      </c>
      <c r="F2361">
        <f>[2]TongHop!F2361</f>
        <v>0</v>
      </c>
      <c r="G2361">
        <f>[2]TongHop!G2361</f>
        <v>0</v>
      </c>
      <c r="H2361">
        <f>[2]TongHop!H2361</f>
        <v>0</v>
      </c>
      <c r="I2361">
        <f>[2]TongHop!I2361</f>
        <v>0</v>
      </c>
      <c r="J2361">
        <f>[2]TongHop!J2361</f>
        <v>0</v>
      </c>
      <c r="K2361">
        <f>[2]TongHop!K2361</f>
        <v>0</v>
      </c>
      <c r="L2361">
        <f>[2]TongHop!L2361</f>
        <v>0</v>
      </c>
      <c r="M2361">
        <f>[2]TongHop!M2361</f>
        <v>0</v>
      </c>
      <c r="N2361">
        <f>[2]TongHop!N2361</f>
        <v>0</v>
      </c>
    </row>
    <row r="2362" spans="1:14">
      <c r="A2362">
        <f>[2]TongHop!A2362</f>
        <v>0</v>
      </c>
      <c r="B2362">
        <f>[2]TongHop!B2362</f>
        <v>0</v>
      </c>
      <c r="C2362">
        <f>[2]TongHop!C2362</f>
        <v>0</v>
      </c>
      <c r="D2362">
        <f>[2]TongHop!D2362</f>
        <v>0</v>
      </c>
      <c r="E2362">
        <f>[2]TongHop!E2362</f>
        <v>0</v>
      </c>
      <c r="F2362">
        <f>[2]TongHop!F2362</f>
        <v>0</v>
      </c>
      <c r="G2362">
        <f>[2]TongHop!G2362</f>
        <v>0</v>
      </c>
      <c r="H2362">
        <f>[2]TongHop!H2362</f>
        <v>0</v>
      </c>
      <c r="I2362">
        <f>[2]TongHop!I2362</f>
        <v>0</v>
      </c>
      <c r="J2362">
        <f>[2]TongHop!J2362</f>
        <v>0</v>
      </c>
      <c r="K2362">
        <f>[2]TongHop!K2362</f>
        <v>0</v>
      </c>
      <c r="L2362">
        <f>[2]TongHop!L2362</f>
        <v>0</v>
      </c>
      <c r="M2362">
        <f>[2]TongHop!M2362</f>
        <v>0</v>
      </c>
      <c r="N2362">
        <f>[2]TongHop!N2362</f>
        <v>0</v>
      </c>
    </row>
    <row r="2363" spans="1:14">
      <c r="A2363">
        <f>[2]TongHop!A2363</f>
        <v>0</v>
      </c>
      <c r="B2363">
        <f>[2]TongHop!B2363</f>
        <v>0</v>
      </c>
      <c r="C2363">
        <f>[2]TongHop!C2363</f>
        <v>0</v>
      </c>
      <c r="D2363">
        <f>[2]TongHop!D2363</f>
        <v>0</v>
      </c>
      <c r="E2363">
        <f>[2]TongHop!E2363</f>
        <v>0</v>
      </c>
      <c r="F2363">
        <f>[2]TongHop!F2363</f>
        <v>0</v>
      </c>
      <c r="G2363">
        <f>[2]TongHop!G2363</f>
        <v>0</v>
      </c>
      <c r="H2363">
        <f>[2]TongHop!H2363</f>
        <v>0</v>
      </c>
      <c r="I2363">
        <f>[2]TongHop!I2363</f>
        <v>0</v>
      </c>
      <c r="J2363">
        <f>[2]TongHop!J2363</f>
        <v>0</v>
      </c>
      <c r="K2363">
        <f>[2]TongHop!K2363</f>
        <v>0</v>
      </c>
      <c r="L2363">
        <f>[2]TongHop!L2363</f>
        <v>0</v>
      </c>
      <c r="M2363">
        <f>[2]TongHop!M2363</f>
        <v>0</v>
      </c>
      <c r="N2363">
        <f>[2]TongHop!N2363</f>
        <v>0</v>
      </c>
    </row>
    <row r="2364" spans="1:14">
      <c r="A2364">
        <f>[2]TongHop!A2364</f>
        <v>0</v>
      </c>
      <c r="B2364">
        <f>[2]TongHop!B2364</f>
        <v>0</v>
      </c>
      <c r="C2364">
        <f>[2]TongHop!C2364</f>
        <v>0</v>
      </c>
      <c r="D2364">
        <f>[2]TongHop!D2364</f>
        <v>0</v>
      </c>
      <c r="E2364">
        <f>[2]TongHop!E2364</f>
        <v>0</v>
      </c>
      <c r="F2364">
        <f>[2]TongHop!F2364</f>
        <v>0</v>
      </c>
      <c r="G2364">
        <f>[2]TongHop!G2364</f>
        <v>0</v>
      </c>
      <c r="H2364">
        <f>[2]TongHop!H2364</f>
        <v>0</v>
      </c>
      <c r="I2364">
        <f>[2]TongHop!I2364</f>
        <v>0</v>
      </c>
      <c r="J2364">
        <f>[2]TongHop!J2364</f>
        <v>0</v>
      </c>
      <c r="K2364">
        <f>[2]TongHop!K2364</f>
        <v>0</v>
      </c>
      <c r="L2364">
        <f>[2]TongHop!L2364</f>
        <v>0</v>
      </c>
      <c r="M2364">
        <f>[2]TongHop!M2364</f>
        <v>0</v>
      </c>
      <c r="N2364">
        <f>[2]TongHop!N2364</f>
        <v>0</v>
      </c>
    </row>
    <row r="2365" spans="1:14">
      <c r="A2365">
        <f>[2]TongHop!A2365</f>
        <v>0</v>
      </c>
      <c r="B2365">
        <f>[2]TongHop!B2365</f>
        <v>0</v>
      </c>
      <c r="C2365">
        <f>[2]TongHop!C2365</f>
        <v>0</v>
      </c>
      <c r="D2365">
        <f>[2]TongHop!D2365</f>
        <v>0</v>
      </c>
      <c r="E2365">
        <f>[2]TongHop!E2365</f>
        <v>0</v>
      </c>
      <c r="F2365">
        <f>[2]TongHop!F2365</f>
        <v>0</v>
      </c>
      <c r="G2365">
        <f>[2]TongHop!G2365</f>
        <v>0</v>
      </c>
      <c r="H2365">
        <f>[2]TongHop!H2365</f>
        <v>0</v>
      </c>
      <c r="I2365">
        <f>[2]TongHop!I2365</f>
        <v>0</v>
      </c>
      <c r="J2365">
        <f>[2]TongHop!J2365</f>
        <v>0</v>
      </c>
      <c r="K2365">
        <f>[2]TongHop!K2365</f>
        <v>0</v>
      </c>
      <c r="L2365">
        <f>[2]TongHop!L2365</f>
        <v>0</v>
      </c>
      <c r="M2365">
        <f>[2]TongHop!M2365</f>
        <v>0</v>
      </c>
      <c r="N2365">
        <f>[2]TongHop!N2365</f>
        <v>0</v>
      </c>
    </row>
    <row r="2366" spans="1:14">
      <c r="A2366">
        <f>[2]TongHop!A2366</f>
        <v>0</v>
      </c>
      <c r="B2366">
        <f>[2]TongHop!B2366</f>
        <v>0</v>
      </c>
      <c r="C2366">
        <f>[2]TongHop!C2366</f>
        <v>0</v>
      </c>
      <c r="D2366">
        <f>[2]TongHop!D2366</f>
        <v>0</v>
      </c>
      <c r="E2366">
        <f>[2]TongHop!E2366</f>
        <v>0</v>
      </c>
      <c r="F2366">
        <f>[2]TongHop!F2366</f>
        <v>0</v>
      </c>
      <c r="G2366">
        <f>[2]TongHop!G2366</f>
        <v>0</v>
      </c>
      <c r="H2366">
        <f>[2]TongHop!H2366</f>
        <v>0</v>
      </c>
      <c r="I2366">
        <f>[2]TongHop!I2366</f>
        <v>0</v>
      </c>
      <c r="J2366">
        <f>[2]TongHop!J2366</f>
        <v>0</v>
      </c>
      <c r="K2366">
        <f>[2]TongHop!K2366</f>
        <v>0</v>
      </c>
      <c r="L2366">
        <f>[2]TongHop!L2366</f>
        <v>0</v>
      </c>
      <c r="M2366">
        <f>[2]TongHop!M2366</f>
        <v>0</v>
      </c>
      <c r="N2366">
        <f>[2]TongHop!N2366</f>
        <v>0</v>
      </c>
    </row>
    <row r="2367" spans="1:14">
      <c r="A2367">
        <f>[2]TongHop!A2367</f>
        <v>0</v>
      </c>
      <c r="B2367">
        <f>[2]TongHop!B2367</f>
        <v>0</v>
      </c>
      <c r="C2367">
        <f>[2]TongHop!C2367</f>
        <v>0</v>
      </c>
      <c r="D2367">
        <f>[2]TongHop!D2367</f>
        <v>0</v>
      </c>
      <c r="E2367">
        <f>[2]TongHop!E2367</f>
        <v>0</v>
      </c>
      <c r="F2367">
        <f>[2]TongHop!F2367</f>
        <v>0</v>
      </c>
      <c r="G2367">
        <f>[2]TongHop!G2367</f>
        <v>0</v>
      </c>
      <c r="H2367">
        <f>[2]TongHop!H2367</f>
        <v>0</v>
      </c>
      <c r="I2367">
        <f>[2]TongHop!I2367</f>
        <v>0</v>
      </c>
      <c r="J2367">
        <f>[2]TongHop!J2367</f>
        <v>0</v>
      </c>
      <c r="K2367">
        <f>[2]TongHop!K2367</f>
        <v>0</v>
      </c>
      <c r="L2367">
        <f>[2]TongHop!L2367</f>
        <v>0</v>
      </c>
      <c r="M2367">
        <f>[2]TongHop!M2367</f>
        <v>0</v>
      </c>
      <c r="N2367">
        <f>[2]TongHop!N2367</f>
        <v>0</v>
      </c>
    </row>
    <row r="2368" spans="1:14">
      <c r="A2368">
        <f>[2]TongHop!A2368</f>
        <v>0</v>
      </c>
      <c r="B2368">
        <f>[2]TongHop!B2368</f>
        <v>0</v>
      </c>
      <c r="C2368">
        <f>[2]TongHop!C2368</f>
        <v>0</v>
      </c>
      <c r="D2368">
        <f>[2]TongHop!D2368</f>
        <v>0</v>
      </c>
      <c r="E2368">
        <f>[2]TongHop!E2368</f>
        <v>0</v>
      </c>
      <c r="F2368">
        <f>[2]TongHop!F2368</f>
        <v>0</v>
      </c>
      <c r="G2368">
        <f>[2]TongHop!G2368</f>
        <v>0</v>
      </c>
      <c r="H2368">
        <f>[2]TongHop!H2368</f>
        <v>0</v>
      </c>
      <c r="I2368">
        <f>[2]TongHop!I2368</f>
        <v>0</v>
      </c>
      <c r="J2368">
        <f>[2]TongHop!J2368</f>
        <v>0</v>
      </c>
      <c r="K2368">
        <f>[2]TongHop!K2368</f>
        <v>0</v>
      </c>
      <c r="L2368">
        <f>[2]TongHop!L2368</f>
        <v>0</v>
      </c>
      <c r="M2368">
        <f>[2]TongHop!M2368</f>
        <v>0</v>
      </c>
      <c r="N2368">
        <f>[2]TongHop!N2368</f>
        <v>0</v>
      </c>
    </row>
    <row r="2369" spans="1:14">
      <c r="A2369">
        <f>[2]TongHop!A2369</f>
        <v>0</v>
      </c>
      <c r="B2369">
        <f>[2]TongHop!B2369</f>
        <v>0</v>
      </c>
      <c r="C2369">
        <f>[2]TongHop!C2369</f>
        <v>0</v>
      </c>
      <c r="D2369">
        <f>[2]TongHop!D2369</f>
        <v>0</v>
      </c>
      <c r="E2369">
        <f>[2]TongHop!E2369</f>
        <v>0</v>
      </c>
      <c r="F2369">
        <f>[2]TongHop!F2369</f>
        <v>0</v>
      </c>
      <c r="G2369">
        <f>[2]TongHop!G2369</f>
        <v>0</v>
      </c>
      <c r="H2369">
        <f>[2]TongHop!H2369</f>
        <v>0</v>
      </c>
      <c r="I2369">
        <f>[2]TongHop!I2369</f>
        <v>0</v>
      </c>
      <c r="J2369">
        <f>[2]TongHop!J2369</f>
        <v>0</v>
      </c>
      <c r="K2369">
        <f>[2]TongHop!K2369</f>
        <v>0</v>
      </c>
      <c r="L2369">
        <f>[2]TongHop!L2369</f>
        <v>0</v>
      </c>
      <c r="M2369">
        <f>[2]TongHop!M2369</f>
        <v>0</v>
      </c>
      <c r="N2369">
        <f>[2]TongHop!N2369</f>
        <v>0</v>
      </c>
    </row>
    <row r="2370" spans="1:14">
      <c r="A2370">
        <f>[2]TongHop!A2370</f>
        <v>0</v>
      </c>
      <c r="B2370">
        <f>[2]TongHop!B2370</f>
        <v>0</v>
      </c>
      <c r="C2370">
        <f>[2]TongHop!C2370</f>
        <v>0</v>
      </c>
      <c r="D2370">
        <f>[2]TongHop!D2370</f>
        <v>0</v>
      </c>
      <c r="E2370">
        <f>[2]TongHop!E2370</f>
        <v>0</v>
      </c>
      <c r="F2370">
        <f>[2]TongHop!F2370</f>
        <v>0</v>
      </c>
      <c r="G2370">
        <f>[2]TongHop!G2370</f>
        <v>0</v>
      </c>
      <c r="H2370">
        <f>[2]TongHop!H2370</f>
        <v>0</v>
      </c>
      <c r="I2370">
        <f>[2]TongHop!I2370</f>
        <v>0</v>
      </c>
      <c r="J2370">
        <f>[2]TongHop!J2370</f>
        <v>0</v>
      </c>
      <c r="K2370">
        <f>[2]TongHop!K2370</f>
        <v>0</v>
      </c>
      <c r="L2370">
        <f>[2]TongHop!L2370</f>
        <v>0</v>
      </c>
      <c r="M2370">
        <f>[2]TongHop!M2370</f>
        <v>0</v>
      </c>
      <c r="N2370">
        <f>[2]TongHop!N2370</f>
        <v>0</v>
      </c>
    </row>
    <row r="2371" spans="1:14">
      <c r="A2371">
        <f>[2]TongHop!A2371</f>
        <v>0</v>
      </c>
      <c r="B2371">
        <f>[2]TongHop!B2371</f>
        <v>0</v>
      </c>
      <c r="C2371">
        <f>[2]TongHop!C2371</f>
        <v>0</v>
      </c>
      <c r="D2371">
        <f>[2]TongHop!D2371</f>
        <v>0</v>
      </c>
      <c r="E2371">
        <f>[2]TongHop!E2371</f>
        <v>0</v>
      </c>
      <c r="F2371">
        <f>[2]TongHop!F2371</f>
        <v>0</v>
      </c>
      <c r="G2371">
        <f>[2]TongHop!G2371</f>
        <v>0</v>
      </c>
      <c r="H2371">
        <f>[2]TongHop!H2371</f>
        <v>0</v>
      </c>
      <c r="I2371">
        <f>[2]TongHop!I2371</f>
        <v>0</v>
      </c>
      <c r="J2371">
        <f>[2]TongHop!J2371</f>
        <v>0</v>
      </c>
      <c r="K2371">
        <f>[2]TongHop!K2371</f>
        <v>0</v>
      </c>
      <c r="L2371">
        <f>[2]TongHop!L2371</f>
        <v>0</v>
      </c>
      <c r="M2371">
        <f>[2]TongHop!M2371</f>
        <v>0</v>
      </c>
      <c r="N2371">
        <f>[2]TongHop!N2371</f>
        <v>0</v>
      </c>
    </row>
    <row r="2372" spans="1:14">
      <c r="A2372">
        <f>[2]TongHop!A2372</f>
        <v>0</v>
      </c>
      <c r="B2372">
        <f>[2]TongHop!B2372</f>
        <v>0</v>
      </c>
      <c r="C2372">
        <f>[2]TongHop!C2372</f>
        <v>0</v>
      </c>
      <c r="D2372">
        <f>[2]TongHop!D2372</f>
        <v>0</v>
      </c>
      <c r="E2372">
        <f>[2]TongHop!E2372</f>
        <v>0</v>
      </c>
      <c r="F2372">
        <f>[2]TongHop!F2372</f>
        <v>0</v>
      </c>
      <c r="G2372">
        <f>[2]TongHop!G2372</f>
        <v>0</v>
      </c>
      <c r="H2372">
        <f>[2]TongHop!H2372</f>
        <v>0</v>
      </c>
      <c r="I2372">
        <f>[2]TongHop!I2372</f>
        <v>0</v>
      </c>
      <c r="J2372">
        <f>[2]TongHop!J2372</f>
        <v>0</v>
      </c>
      <c r="K2372">
        <f>[2]TongHop!K2372</f>
        <v>0</v>
      </c>
      <c r="L2372">
        <f>[2]TongHop!L2372</f>
        <v>0</v>
      </c>
      <c r="M2372">
        <f>[2]TongHop!M2372</f>
        <v>0</v>
      </c>
      <c r="N2372">
        <f>[2]TongHop!N2372</f>
        <v>0</v>
      </c>
    </row>
    <row r="2373" spans="1:14">
      <c r="A2373">
        <f>[2]TongHop!A2373</f>
        <v>0</v>
      </c>
      <c r="B2373">
        <f>[2]TongHop!B2373</f>
        <v>0</v>
      </c>
      <c r="C2373">
        <f>[2]TongHop!C2373</f>
        <v>0</v>
      </c>
      <c r="D2373">
        <f>[2]TongHop!D2373</f>
        <v>0</v>
      </c>
      <c r="E2373">
        <f>[2]TongHop!E2373</f>
        <v>0</v>
      </c>
      <c r="F2373">
        <f>[2]TongHop!F2373</f>
        <v>0</v>
      </c>
      <c r="G2373">
        <f>[2]TongHop!G2373</f>
        <v>0</v>
      </c>
      <c r="H2373">
        <f>[2]TongHop!H2373</f>
        <v>0</v>
      </c>
      <c r="I2373">
        <f>[2]TongHop!I2373</f>
        <v>0</v>
      </c>
      <c r="J2373">
        <f>[2]TongHop!J2373</f>
        <v>0</v>
      </c>
      <c r="K2373">
        <f>[2]TongHop!K2373</f>
        <v>0</v>
      </c>
      <c r="L2373">
        <f>[2]TongHop!L2373</f>
        <v>0</v>
      </c>
      <c r="M2373">
        <f>[2]TongHop!M2373</f>
        <v>0</v>
      </c>
      <c r="N2373">
        <f>[2]TongHop!N2373</f>
        <v>0</v>
      </c>
    </row>
    <row r="2374" spans="1:14">
      <c r="A2374">
        <f>[2]TongHop!A2374</f>
        <v>0</v>
      </c>
      <c r="B2374">
        <f>[2]TongHop!B2374</f>
        <v>0</v>
      </c>
      <c r="C2374">
        <f>[2]TongHop!C2374</f>
        <v>0</v>
      </c>
      <c r="D2374">
        <f>[2]TongHop!D2374</f>
        <v>0</v>
      </c>
      <c r="E2374">
        <f>[2]TongHop!E2374</f>
        <v>0</v>
      </c>
      <c r="F2374">
        <f>[2]TongHop!F2374</f>
        <v>0</v>
      </c>
      <c r="G2374">
        <f>[2]TongHop!G2374</f>
        <v>0</v>
      </c>
      <c r="H2374">
        <f>[2]TongHop!H2374</f>
        <v>0</v>
      </c>
      <c r="I2374">
        <f>[2]TongHop!I2374</f>
        <v>0</v>
      </c>
      <c r="J2374">
        <f>[2]TongHop!J2374</f>
        <v>0</v>
      </c>
      <c r="K2374">
        <f>[2]TongHop!K2374</f>
        <v>0</v>
      </c>
      <c r="L2374">
        <f>[2]TongHop!L2374</f>
        <v>0</v>
      </c>
      <c r="M2374">
        <f>[2]TongHop!M2374</f>
        <v>0</v>
      </c>
      <c r="N2374">
        <f>[2]TongHop!N2374</f>
        <v>0</v>
      </c>
    </row>
    <row r="2375" spans="1:14">
      <c r="A2375">
        <f>[2]TongHop!A2375</f>
        <v>0</v>
      </c>
      <c r="B2375">
        <f>[2]TongHop!B2375</f>
        <v>0</v>
      </c>
      <c r="C2375">
        <f>[2]TongHop!C2375</f>
        <v>0</v>
      </c>
      <c r="D2375">
        <f>[2]TongHop!D2375</f>
        <v>0</v>
      </c>
      <c r="E2375">
        <f>[2]TongHop!E2375</f>
        <v>0</v>
      </c>
      <c r="F2375">
        <f>[2]TongHop!F2375</f>
        <v>0</v>
      </c>
      <c r="G2375">
        <f>[2]TongHop!G2375</f>
        <v>0</v>
      </c>
      <c r="H2375">
        <f>[2]TongHop!H2375</f>
        <v>0</v>
      </c>
      <c r="I2375">
        <f>[2]TongHop!I2375</f>
        <v>0</v>
      </c>
      <c r="J2375">
        <f>[2]TongHop!J2375</f>
        <v>0</v>
      </c>
      <c r="K2375">
        <f>[2]TongHop!K2375</f>
        <v>0</v>
      </c>
      <c r="L2375">
        <f>[2]TongHop!L2375</f>
        <v>0</v>
      </c>
      <c r="M2375">
        <f>[2]TongHop!M2375</f>
        <v>0</v>
      </c>
      <c r="N2375">
        <f>[2]TongHop!N2375</f>
        <v>0</v>
      </c>
    </row>
    <row r="2376" spans="1:14">
      <c r="A2376">
        <f>[2]TongHop!A2376</f>
        <v>0</v>
      </c>
      <c r="B2376">
        <f>[2]TongHop!B2376</f>
        <v>0</v>
      </c>
      <c r="C2376">
        <f>[2]TongHop!C2376</f>
        <v>0</v>
      </c>
      <c r="D2376">
        <f>[2]TongHop!D2376</f>
        <v>0</v>
      </c>
      <c r="E2376">
        <f>[2]TongHop!E2376</f>
        <v>0</v>
      </c>
      <c r="F2376">
        <f>[2]TongHop!F2376</f>
        <v>0</v>
      </c>
      <c r="G2376">
        <f>[2]TongHop!G2376</f>
        <v>0</v>
      </c>
      <c r="H2376">
        <f>[2]TongHop!H2376</f>
        <v>0</v>
      </c>
      <c r="I2376">
        <f>[2]TongHop!I2376</f>
        <v>0</v>
      </c>
      <c r="J2376">
        <f>[2]TongHop!J2376</f>
        <v>0</v>
      </c>
      <c r="K2376">
        <f>[2]TongHop!K2376</f>
        <v>0</v>
      </c>
      <c r="L2376">
        <f>[2]TongHop!L2376</f>
        <v>0</v>
      </c>
      <c r="M2376">
        <f>[2]TongHop!M2376</f>
        <v>0</v>
      </c>
      <c r="N2376">
        <f>[2]TongHop!N2376</f>
        <v>0</v>
      </c>
    </row>
    <row r="2377" spans="1:14">
      <c r="A2377">
        <f>[2]TongHop!A2377</f>
        <v>0</v>
      </c>
      <c r="B2377">
        <f>[2]TongHop!B2377</f>
        <v>0</v>
      </c>
      <c r="C2377">
        <f>[2]TongHop!C2377</f>
        <v>0</v>
      </c>
      <c r="D2377">
        <f>[2]TongHop!D2377</f>
        <v>0</v>
      </c>
      <c r="E2377">
        <f>[2]TongHop!E2377</f>
        <v>0</v>
      </c>
      <c r="F2377">
        <f>[2]TongHop!F2377</f>
        <v>0</v>
      </c>
      <c r="G2377">
        <f>[2]TongHop!G2377</f>
        <v>0</v>
      </c>
      <c r="H2377">
        <f>[2]TongHop!H2377</f>
        <v>0</v>
      </c>
      <c r="I2377">
        <f>[2]TongHop!I2377</f>
        <v>0</v>
      </c>
      <c r="J2377">
        <f>[2]TongHop!J2377</f>
        <v>0</v>
      </c>
      <c r="K2377">
        <f>[2]TongHop!K2377</f>
        <v>0</v>
      </c>
      <c r="L2377">
        <f>[2]TongHop!L2377</f>
        <v>0</v>
      </c>
      <c r="M2377">
        <f>[2]TongHop!M2377</f>
        <v>0</v>
      </c>
      <c r="N2377">
        <f>[2]TongHop!N2377</f>
        <v>0</v>
      </c>
    </row>
    <row r="2378" spans="1:14">
      <c r="A2378">
        <f>[2]TongHop!A2378</f>
        <v>0</v>
      </c>
      <c r="B2378">
        <f>[2]TongHop!B2378</f>
        <v>0</v>
      </c>
      <c r="C2378">
        <f>[2]TongHop!C2378</f>
        <v>0</v>
      </c>
      <c r="D2378">
        <f>[2]TongHop!D2378</f>
        <v>0</v>
      </c>
      <c r="E2378">
        <f>[2]TongHop!E2378</f>
        <v>0</v>
      </c>
      <c r="F2378">
        <f>[2]TongHop!F2378</f>
        <v>0</v>
      </c>
      <c r="G2378">
        <f>[2]TongHop!G2378</f>
        <v>0</v>
      </c>
      <c r="H2378">
        <f>[2]TongHop!H2378</f>
        <v>0</v>
      </c>
      <c r="I2378">
        <f>[2]TongHop!I2378</f>
        <v>0</v>
      </c>
      <c r="J2378">
        <f>[2]TongHop!J2378</f>
        <v>0</v>
      </c>
      <c r="K2378">
        <f>[2]TongHop!K2378</f>
        <v>0</v>
      </c>
      <c r="L2378">
        <f>[2]TongHop!L2378</f>
        <v>0</v>
      </c>
      <c r="M2378">
        <f>[2]TongHop!M2378</f>
        <v>0</v>
      </c>
      <c r="N2378">
        <f>[2]TongHop!N2378</f>
        <v>0</v>
      </c>
    </row>
    <row r="2379" spans="1:14">
      <c r="A2379">
        <f>[2]TongHop!A2379</f>
        <v>0</v>
      </c>
      <c r="B2379">
        <f>[2]TongHop!B2379</f>
        <v>0</v>
      </c>
      <c r="C2379">
        <f>[2]TongHop!C2379</f>
        <v>0</v>
      </c>
      <c r="D2379">
        <f>[2]TongHop!D2379</f>
        <v>0</v>
      </c>
      <c r="E2379">
        <f>[2]TongHop!E2379</f>
        <v>0</v>
      </c>
      <c r="F2379">
        <f>[2]TongHop!F2379</f>
        <v>0</v>
      </c>
      <c r="G2379">
        <f>[2]TongHop!G2379</f>
        <v>0</v>
      </c>
      <c r="H2379">
        <f>[2]TongHop!H2379</f>
        <v>0</v>
      </c>
      <c r="I2379">
        <f>[2]TongHop!I2379</f>
        <v>0</v>
      </c>
      <c r="J2379">
        <f>[2]TongHop!J2379</f>
        <v>0</v>
      </c>
      <c r="K2379">
        <f>[2]TongHop!K2379</f>
        <v>0</v>
      </c>
      <c r="L2379">
        <f>[2]TongHop!L2379</f>
        <v>0</v>
      </c>
      <c r="M2379">
        <f>[2]TongHop!M2379</f>
        <v>0</v>
      </c>
      <c r="N2379">
        <f>[2]TongHop!N2379</f>
        <v>0</v>
      </c>
    </row>
    <row r="2380" spans="1:14">
      <c r="A2380">
        <f>[2]TongHop!A2380</f>
        <v>0</v>
      </c>
      <c r="B2380">
        <f>[2]TongHop!B2380</f>
        <v>0</v>
      </c>
      <c r="C2380">
        <f>[2]TongHop!C2380</f>
        <v>0</v>
      </c>
      <c r="D2380">
        <f>[2]TongHop!D2380</f>
        <v>0</v>
      </c>
      <c r="E2380">
        <f>[2]TongHop!E2380</f>
        <v>0</v>
      </c>
      <c r="F2380">
        <f>[2]TongHop!F2380</f>
        <v>0</v>
      </c>
      <c r="G2380">
        <f>[2]TongHop!G2380</f>
        <v>0</v>
      </c>
      <c r="H2380">
        <f>[2]TongHop!H2380</f>
        <v>0</v>
      </c>
      <c r="I2380">
        <f>[2]TongHop!I2380</f>
        <v>0</v>
      </c>
      <c r="J2380">
        <f>[2]TongHop!J2380</f>
        <v>0</v>
      </c>
      <c r="K2380">
        <f>[2]TongHop!K2380</f>
        <v>0</v>
      </c>
      <c r="L2380">
        <f>[2]TongHop!L2380</f>
        <v>0</v>
      </c>
      <c r="M2380">
        <f>[2]TongHop!M2380</f>
        <v>0</v>
      </c>
      <c r="N2380">
        <f>[2]TongHop!N2380</f>
        <v>0</v>
      </c>
    </row>
    <row r="2381" spans="1:14">
      <c r="A2381">
        <f>[2]TongHop!A2381</f>
        <v>0</v>
      </c>
      <c r="B2381">
        <f>[2]TongHop!B2381</f>
        <v>0</v>
      </c>
      <c r="C2381">
        <f>[2]TongHop!C2381</f>
        <v>0</v>
      </c>
      <c r="D2381">
        <f>[2]TongHop!D2381</f>
        <v>0</v>
      </c>
      <c r="E2381">
        <f>[2]TongHop!E2381</f>
        <v>0</v>
      </c>
      <c r="F2381">
        <f>[2]TongHop!F2381</f>
        <v>0</v>
      </c>
      <c r="G2381">
        <f>[2]TongHop!G2381</f>
        <v>0</v>
      </c>
      <c r="H2381">
        <f>[2]TongHop!H2381</f>
        <v>0</v>
      </c>
      <c r="I2381">
        <f>[2]TongHop!I2381</f>
        <v>0</v>
      </c>
      <c r="J2381">
        <f>[2]TongHop!J2381</f>
        <v>0</v>
      </c>
      <c r="K2381">
        <f>[2]TongHop!K2381</f>
        <v>0</v>
      </c>
      <c r="L2381">
        <f>[2]TongHop!L2381</f>
        <v>0</v>
      </c>
      <c r="M2381">
        <f>[2]TongHop!M2381</f>
        <v>0</v>
      </c>
      <c r="N2381">
        <f>[2]TongHop!N2381</f>
        <v>0</v>
      </c>
    </row>
    <row r="2382" spans="1:14">
      <c r="A2382">
        <f>[2]TongHop!A2382</f>
        <v>0</v>
      </c>
      <c r="B2382">
        <f>[2]TongHop!B2382</f>
        <v>0</v>
      </c>
      <c r="C2382">
        <f>[2]TongHop!C2382</f>
        <v>0</v>
      </c>
      <c r="D2382">
        <f>[2]TongHop!D2382</f>
        <v>0</v>
      </c>
      <c r="E2382">
        <f>[2]TongHop!E2382</f>
        <v>0</v>
      </c>
      <c r="F2382">
        <f>[2]TongHop!F2382</f>
        <v>0</v>
      </c>
      <c r="G2382">
        <f>[2]TongHop!G2382</f>
        <v>0</v>
      </c>
      <c r="H2382">
        <f>[2]TongHop!H2382</f>
        <v>0</v>
      </c>
      <c r="I2382">
        <f>[2]TongHop!I2382</f>
        <v>0</v>
      </c>
      <c r="J2382">
        <f>[2]TongHop!J2382</f>
        <v>0</v>
      </c>
      <c r="K2382">
        <f>[2]TongHop!K2382</f>
        <v>0</v>
      </c>
      <c r="L2382">
        <f>[2]TongHop!L2382</f>
        <v>0</v>
      </c>
      <c r="M2382">
        <f>[2]TongHop!M2382</f>
        <v>0</v>
      </c>
      <c r="N2382">
        <f>[2]TongHop!N2382</f>
        <v>0</v>
      </c>
    </row>
    <row r="2383" spans="1:14">
      <c r="A2383">
        <f>[2]TongHop!A2383</f>
        <v>0</v>
      </c>
      <c r="B2383">
        <f>[2]TongHop!B2383</f>
        <v>0</v>
      </c>
      <c r="C2383">
        <f>[2]TongHop!C2383</f>
        <v>0</v>
      </c>
      <c r="D2383">
        <f>[2]TongHop!D2383</f>
        <v>0</v>
      </c>
      <c r="E2383">
        <f>[2]TongHop!E2383</f>
        <v>0</v>
      </c>
      <c r="F2383">
        <f>[2]TongHop!F2383</f>
        <v>0</v>
      </c>
      <c r="G2383">
        <f>[2]TongHop!G2383</f>
        <v>0</v>
      </c>
      <c r="H2383">
        <f>[2]TongHop!H2383</f>
        <v>0</v>
      </c>
      <c r="I2383">
        <f>[2]TongHop!I2383</f>
        <v>0</v>
      </c>
      <c r="J2383">
        <f>[2]TongHop!J2383</f>
        <v>0</v>
      </c>
      <c r="K2383">
        <f>[2]TongHop!K2383</f>
        <v>0</v>
      </c>
      <c r="L2383">
        <f>[2]TongHop!L2383</f>
        <v>0</v>
      </c>
      <c r="M2383">
        <f>[2]TongHop!M2383</f>
        <v>0</v>
      </c>
      <c r="N2383">
        <f>[2]TongHop!N2383</f>
        <v>0</v>
      </c>
    </row>
    <row r="2384" spans="1:14">
      <c r="A2384">
        <f>[2]TongHop!A2384</f>
        <v>0</v>
      </c>
      <c r="B2384">
        <f>[2]TongHop!B2384</f>
        <v>0</v>
      </c>
      <c r="C2384">
        <f>[2]TongHop!C2384</f>
        <v>0</v>
      </c>
      <c r="D2384">
        <f>[2]TongHop!D2384</f>
        <v>0</v>
      </c>
      <c r="E2384">
        <f>[2]TongHop!E2384</f>
        <v>0</v>
      </c>
      <c r="F2384">
        <f>[2]TongHop!F2384</f>
        <v>0</v>
      </c>
      <c r="G2384">
        <f>[2]TongHop!G2384</f>
        <v>0</v>
      </c>
      <c r="H2384">
        <f>[2]TongHop!H2384</f>
        <v>0</v>
      </c>
      <c r="I2384">
        <f>[2]TongHop!I2384</f>
        <v>0</v>
      </c>
      <c r="J2384">
        <f>[2]TongHop!J2384</f>
        <v>0</v>
      </c>
      <c r="K2384">
        <f>[2]TongHop!K2384</f>
        <v>0</v>
      </c>
      <c r="L2384">
        <f>[2]TongHop!L2384</f>
        <v>0</v>
      </c>
      <c r="M2384">
        <f>[2]TongHop!M2384</f>
        <v>0</v>
      </c>
      <c r="N2384">
        <f>[2]TongHop!N2384</f>
        <v>0</v>
      </c>
    </row>
    <row r="2385" spans="1:14">
      <c r="A2385">
        <f>[2]TongHop!A2385</f>
        <v>0</v>
      </c>
      <c r="B2385">
        <f>[2]TongHop!B2385</f>
        <v>0</v>
      </c>
      <c r="C2385">
        <f>[2]TongHop!C2385</f>
        <v>0</v>
      </c>
      <c r="D2385">
        <f>[2]TongHop!D2385</f>
        <v>0</v>
      </c>
      <c r="E2385">
        <f>[2]TongHop!E2385</f>
        <v>0</v>
      </c>
      <c r="F2385">
        <f>[2]TongHop!F2385</f>
        <v>0</v>
      </c>
      <c r="G2385">
        <f>[2]TongHop!G2385</f>
        <v>0</v>
      </c>
      <c r="H2385">
        <f>[2]TongHop!H2385</f>
        <v>0</v>
      </c>
      <c r="I2385">
        <f>[2]TongHop!I2385</f>
        <v>0</v>
      </c>
      <c r="J2385">
        <f>[2]TongHop!J2385</f>
        <v>0</v>
      </c>
      <c r="K2385">
        <f>[2]TongHop!K2385</f>
        <v>0</v>
      </c>
      <c r="L2385">
        <f>[2]TongHop!L2385</f>
        <v>0</v>
      </c>
      <c r="M2385">
        <f>[2]TongHop!M2385</f>
        <v>0</v>
      </c>
      <c r="N2385">
        <f>[2]TongHop!N2385</f>
        <v>0</v>
      </c>
    </row>
    <row r="2386" spans="1:14">
      <c r="A2386">
        <f>[2]TongHop!A2386</f>
        <v>0</v>
      </c>
      <c r="B2386">
        <f>[2]TongHop!B2386</f>
        <v>0</v>
      </c>
      <c r="C2386">
        <f>[2]TongHop!C2386</f>
        <v>0</v>
      </c>
      <c r="D2386">
        <f>[2]TongHop!D2386</f>
        <v>0</v>
      </c>
      <c r="E2386">
        <f>[2]TongHop!E2386</f>
        <v>0</v>
      </c>
      <c r="F2386">
        <f>[2]TongHop!F2386</f>
        <v>0</v>
      </c>
      <c r="G2386">
        <f>[2]TongHop!G2386</f>
        <v>0</v>
      </c>
      <c r="H2386">
        <f>[2]TongHop!H2386</f>
        <v>0</v>
      </c>
      <c r="I2386">
        <f>[2]TongHop!I2386</f>
        <v>0</v>
      </c>
      <c r="J2386">
        <f>[2]TongHop!J2386</f>
        <v>0</v>
      </c>
      <c r="K2386">
        <f>[2]TongHop!K2386</f>
        <v>0</v>
      </c>
      <c r="L2386">
        <f>[2]TongHop!L2386</f>
        <v>0</v>
      </c>
      <c r="M2386">
        <f>[2]TongHop!M2386</f>
        <v>0</v>
      </c>
      <c r="N2386">
        <f>[2]TongHop!N2386</f>
        <v>0</v>
      </c>
    </row>
    <row r="2387" spans="1:14">
      <c r="A2387">
        <f>[2]TongHop!A2387</f>
        <v>0</v>
      </c>
      <c r="B2387">
        <f>[2]TongHop!B2387</f>
        <v>0</v>
      </c>
      <c r="C2387">
        <f>[2]TongHop!C2387</f>
        <v>0</v>
      </c>
      <c r="D2387">
        <f>[2]TongHop!D2387</f>
        <v>0</v>
      </c>
      <c r="E2387">
        <f>[2]TongHop!E2387</f>
        <v>0</v>
      </c>
      <c r="F2387">
        <f>[2]TongHop!F2387</f>
        <v>0</v>
      </c>
      <c r="G2387">
        <f>[2]TongHop!G2387</f>
        <v>0</v>
      </c>
      <c r="H2387">
        <f>[2]TongHop!H2387</f>
        <v>0</v>
      </c>
      <c r="I2387">
        <f>[2]TongHop!I2387</f>
        <v>0</v>
      </c>
      <c r="J2387">
        <f>[2]TongHop!J2387</f>
        <v>0</v>
      </c>
      <c r="K2387">
        <f>[2]TongHop!K2387</f>
        <v>0</v>
      </c>
      <c r="L2387">
        <f>[2]TongHop!L2387</f>
        <v>0</v>
      </c>
      <c r="M2387">
        <f>[2]TongHop!M2387</f>
        <v>0</v>
      </c>
      <c r="N2387">
        <f>[2]TongHop!N2387</f>
        <v>0</v>
      </c>
    </row>
    <row r="2388" spans="1:14">
      <c r="A2388">
        <f>[2]TongHop!A2388</f>
        <v>0</v>
      </c>
      <c r="B2388">
        <f>[2]TongHop!B2388</f>
        <v>0</v>
      </c>
      <c r="C2388">
        <f>[2]TongHop!C2388</f>
        <v>0</v>
      </c>
      <c r="D2388">
        <f>[2]TongHop!D2388</f>
        <v>0</v>
      </c>
      <c r="E2388">
        <f>[2]TongHop!E2388</f>
        <v>0</v>
      </c>
      <c r="F2388">
        <f>[2]TongHop!F2388</f>
        <v>0</v>
      </c>
      <c r="G2388">
        <f>[2]TongHop!G2388</f>
        <v>0</v>
      </c>
      <c r="H2388">
        <f>[2]TongHop!H2388</f>
        <v>0</v>
      </c>
      <c r="I2388">
        <f>[2]TongHop!I2388</f>
        <v>0</v>
      </c>
      <c r="J2388">
        <f>[2]TongHop!J2388</f>
        <v>0</v>
      </c>
      <c r="K2388">
        <f>[2]TongHop!K2388</f>
        <v>0</v>
      </c>
      <c r="L2388">
        <f>[2]TongHop!L2388</f>
        <v>0</v>
      </c>
      <c r="M2388">
        <f>[2]TongHop!M2388</f>
        <v>0</v>
      </c>
      <c r="N2388">
        <f>[2]TongHop!N2388</f>
        <v>0</v>
      </c>
    </row>
    <row r="2389" spans="1:14">
      <c r="A2389">
        <f>[2]TongHop!A2389</f>
        <v>0</v>
      </c>
      <c r="B2389">
        <f>[2]TongHop!B2389</f>
        <v>0</v>
      </c>
      <c r="C2389">
        <f>[2]TongHop!C2389</f>
        <v>0</v>
      </c>
      <c r="D2389">
        <f>[2]TongHop!D2389</f>
        <v>0</v>
      </c>
      <c r="E2389">
        <f>[2]TongHop!E2389</f>
        <v>0</v>
      </c>
      <c r="F2389">
        <f>[2]TongHop!F2389</f>
        <v>0</v>
      </c>
      <c r="G2389">
        <f>[2]TongHop!G2389</f>
        <v>0</v>
      </c>
      <c r="H2389">
        <f>[2]TongHop!H2389</f>
        <v>0</v>
      </c>
      <c r="I2389">
        <f>[2]TongHop!I2389</f>
        <v>0</v>
      </c>
      <c r="J2389">
        <f>[2]TongHop!J2389</f>
        <v>0</v>
      </c>
      <c r="K2389">
        <f>[2]TongHop!K2389</f>
        <v>0</v>
      </c>
      <c r="L2389">
        <f>[2]TongHop!L2389</f>
        <v>0</v>
      </c>
      <c r="M2389">
        <f>[2]TongHop!M2389</f>
        <v>0</v>
      </c>
      <c r="N2389">
        <f>[2]TongHop!N2389</f>
        <v>0</v>
      </c>
    </row>
    <row r="2390" spans="1:14">
      <c r="A2390">
        <f>[2]TongHop!A2390</f>
        <v>0</v>
      </c>
      <c r="B2390">
        <f>[2]TongHop!B2390</f>
        <v>0</v>
      </c>
      <c r="C2390">
        <f>[2]TongHop!C2390</f>
        <v>0</v>
      </c>
      <c r="D2390">
        <f>[2]TongHop!D2390</f>
        <v>0</v>
      </c>
      <c r="E2390">
        <f>[2]TongHop!E2390</f>
        <v>0</v>
      </c>
      <c r="F2390">
        <f>[2]TongHop!F2390</f>
        <v>0</v>
      </c>
      <c r="G2390">
        <f>[2]TongHop!G2390</f>
        <v>0</v>
      </c>
      <c r="H2390">
        <f>[2]TongHop!H2390</f>
        <v>0</v>
      </c>
      <c r="I2390">
        <f>[2]TongHop!I2390</f>
        <v>0</v>
      </c>
      <c r="J2390">
        <f>[2]TongHop!J2390</f>
        <v>0</v>
      </c>
      <c r="K2390">
        <f>[2]TongHop!K2390</f>
        <v>0</v>
      </c>
      <c r="L2390">
        <f>[2]TongHop!L2390</f>
        <v>0</v>
      </c>
      <c r="M2390">
        <f>[2]TongHop!M2390</f>
        <v>0</v>
      </c>
      <c r="N2390">
        <f>[2]TongHop!N2390</f>
        <v>0</v>
      </c>
    </row>
    <row r="2391" spans="1:14">
      <c r="A2391">
        <f>[2]TongHop!A2391</f>
        <v>0</v>
      </c>
      <c r="B2391">
        <f>[2]TongHop!B2391</f>
        <v>0</v>
      </c>
      <c r="C2391">
        <f>[2]TongHop!C2391</f>
        <v>0</v>
      </c>
      <c r="D2391">
        <f>[2]TongHop!D2391</f>
        <v>0</v>
      </c>
      <c r="E2391">
        <f>[2]TongHop!E2391</f>
        <v>0</v>
      </c>
      <c r="F2391">
        <f>[2]TongHop!F2391</f>
        <v>0</v>
      </c>
      <c r="G2391">
        <f>[2]TongHop!G2391</f>
        <v>0</v>
      </c>
      <c r="H2391">
        <f>[2]TongHop!H2391</f>
        <v>0</v>
      </c>
      <c r="I2391">
        <f>[2]TongHop!I2391</f>
        <v>0</v>
      </c>
      <c r="J2391">
        <f>[2]TongHop!J2391</f>
        <v>0</v>
      </c>
      <c r="K2391">
        <f>[2]TongHop!K2391</f>
        <v>0</v>
      </c>
      <c r="L2391">
        <f>[2]TongHop!L2391</f>
        <v>0</v>
      </c>
      <c r="M2391">
        <f>[2]TongHop!M2391</f>
        <v>0</v>
      </c>
      <c r="N2391">
        <f>[2]TongHop!N2391</f>
        <v>0</v>
      </c>
    </row>
    <row r="2392" spans="1:14">
      <c r="A2392">
        <f>[2]TongHop!A2392</f>
        <v>0</v>
      </c>
      <c r="B2392">
        <f>[2]TongHop!B2392</f>
        <v>0</v>
      </c>
      <c r="C2392">
        <f>[2]TongHop!C2392</f>
        <v>0</v>
      </c>
      <c r="D2392">
        <f>[2]TongHop!D2392</f>
        <v>0</v>
      </c>
      <c r="E2392">
        <f>[2]TongHop!E2392</f>
        <v>0</v>
      </c>
      <c r="F2392">
        <f>[2]TongHop!F2392</f>
        <v>0</v>
      </c>
      <c r="G2392">
        <f>[2]TongHop!G2392</f>
        <v>0</v>
      </c>
      <c r="H2392">
        <f>[2]TongHop!H2392</f>
        <v>0</v>
      </c>
      <c r="I2392">
        <f>[2]TongHop!I2392</f>
        <v>0</v>
      </c>
      <c r="J2392">
        <f>[2]TongHop!J2392</f>
        <v>0</v>
      </c>
      <c r="K2392">
        <f>[2]TongHop!K2392</f>
        <v>0</v>
      </c>
      <c r="L2392">
        <f>[2]TongHop!L2392</f>
        <v>0</v>
      </c>
      <c r="M2392">
        <f>[2]TongHop!M2392</f>
        <v>0</v>
      </c>
      <c r="N2392">
        <f>[2]TongHop!N2392</f>
        <v>0</v>
      </c>
    </row>
    <row r="2393" spans="1:14">
      <c r="A2393">
        <f>[2]TongHop!A2393</f>
        <v>0</v>
      </c>
      <c r="B2393">
        <f>[2]TongHop!B2393</f>
        <v>0</v>
      </c>
      <c r="C2393">
        <f>[2]TongHop!C2393</f>
        <v>0</v>
      </c>
      <c r="D2393">
        <f>[2]TongHop!D2393</f>
        <v>0</v>
      </c>
      <c r="E2393">
        <f>[2]TongHop!E2393</f>
        <v>0</v>
      </c>
      <c r="F2393">
        <f>[2]TongHop!F2393</f>
        <v>0</v>
      </c>
      <c r="G2393">
        <f>[2]TongHop!G2393</f>
        <v>0</v>
      </c>
      <c r="H2393">
        <f>[2]TongHop!H2393</f>
        <v>0</v>
      </c>
      <c r="I2393">
        <f>[2]TongHop!I2393</f>
        <v>0</v>
      </c>
      <c r="J2393">
        <f>[2]TongHop!J2393</f>
        <v>0</v>
      </c>
      <c r="K2393">
        <f>[2]TongHop!K2393</f>
        <v>0</v>
      </c>
      <c r="L2393">
        <f>[2]TongHop!L2393</f>
        <v>0</v>
      </c>
      <c r="M2393">
        <f>[2]TongHop!M2393</f>
        <v>0</v>
      </c>
      <c r="N2393">
        <f>[2]TongHop!N2393</f>
        <v>0</v>
      </c>
    </row>
    <row r="2394" spans="1:14">
      <c r="A2394">
        <f>[2]TongHop!A2394</f>
        <v>0</v>
      </c>
      <c r="B2394">
        <f>[2]TongHop!B2394</f>
        <v>0</v>
      </c>
      <c r="C2394">
        <f>[2]TongHop!C2394</f>
        <v>0</v>
      </c>
      <c r="D2394">
        <f>[2]TongHop!D2394</f>
        <v>0</v>
      </c>
      <c r="E2394">
        <f>[2]TongHop!E2394</f>
        <v>0</v>
      </c>
      <c r="F2394">
        <f>[2]TongHop!F2394</f>
        <v>0</v>
      </c>
      <c r="G2394">
        <f>[2]TongHop!G2394</f>
        <v>0</v>
      </c>
      <c r="H2394">
        <f>[2]TongHop!H2394</f>
        <v>0</v>
      </c>
      <c r="I2394">
        <f>[2]TongHop!I2394</f>
        <v>0</v>
      </c>
      <c r="J2394">
        <f>[2]TongHop!J2394</f>
        <v>0</v>
      </c>
      <c r="K2394">
        <f>[2]TongHop!K2394</f>
        <v>0</v>
      </c>
      <c r="L2394">
        <f>[2]TongHop!L2394</f>
        <v>0</v>
      </c>
      <c r="M2394">
        <f>[2]TongHop!M2394</f>
        <v>0</v>
      </c>
      <c r="N2394">
        <f>[2]TongHop!N2394</f>
        <v>0</v>
      </c>
    </row>
    <row r="2395" spans="1:14">
      <c r="A2395">
        <f>[2]TongHop!A2395</f>
        <v>0</v>
      </c>
      <c r="B2395">
        <f>[2]TongHop!B2395</f>
        <v>0</v>
      </c>
      <c r="C2395">
        <f>[2]TongHop!C2395</f>
        <v>0</v>
      </c>
      <c r="D2395">
        <f>[2]TongHop!D2395</f>
        <v>0</v>
      </c>
      <c r="E2395">
        <f>[2]TongHop!E2395</f>
        <v>0</v>
      </c>
      <c r="F2395">
        <f>[2]TongHop!F2395</f>
        <v>0</v>
      </c>
      <c r="G2395">
        <f>[2]TongHop!G2395</f>
        <v>0</v>
      </c>
      <c r="H2395">
        <f>[2]TongHop!H2395</f>
        <v>0</v>
      </c>
      <c r="I2395">
        <f>[2]TongHop!I2395</f>
        <v>0</v>
      </c>
      <c r="J2395">
        <f>[2]TongHop!J2395</f>
        <v>0</v>
      </c>
      <c r="K2395">
        <f>[2]TongHop!K2395</f>
        <v>0</v>
      </c>
      <c r="L2395">
        <f>[2]TongHop!L2395</f>
        <v>0</v>
      </c>
      <c r="M2395">
        <f>[2]TongHop!M2395</f>
        <v>0</v>
      </c>
      <c r="N2395">
        <f>[2]TongHop!N2395</f>
        <v>0</v>
      </c>
    </row>
    <row r="2396" spans="1:14">
      <c r="A2396">
        <f>[2]TongHop!A2396</f>
        <v>0</v>
      </c>
      <c r="B2396">
        <f>[2]TongHop!B2396</f>
        <v>0</v>
      </c>
      <c r="C2396">
        <f>[2]TongHop!C2396</f>
        <v>0</v>
      </c>
      <c r="D2396">
        <f>[2]TongHop!D2396</f>
        <v>0</v>
      </c>
      <c r="E2396">
        <f>[2]TongHop!E2396</f>
        <v>0</v>
      </c>
      <c r="F2396">
        <f>[2]TongHop!F2396</f>
        <v>0</v>
      </c>
      <c r="G2396">
        <f>[2]TongHop!G2396</f>
        <v>0</v>
      </c>
      <c r="H2396">
        <f>[2]TongHop!H2396</f>
        <v>0</v>
      </c>
      <c r="I2396">
        <f>[2]TongHop!I2396</f>
        <v>0</v>
      </c>
      <c r="J2396">
        <f>[2]TongHop!J2396</f>
        <v>0</v>
      </c>
      <c r="K2396">
        <f>[2]TongHop!K2396</f>
        <v>0</v>
      </c>
      <c r="L2396">
        <f>[2]TongHop!L2396</f>
        <v>0</v>
      </c>
      <c r="M2396">
        <f>[2]TongHop!M2396</f>
        <v>0</v>
      </c>
      <c r="N2396">
        <f>[2]TongHop!N2396</f>
        <v>0</v>
      </c>
    </row>
    <row r="2397" spans="1:14">
      <c r="A2397">
        <f>[2]TongHop!A2397</f>
        <v>0</v>
      </c>
      <c r="B2397">
        <f>[2]TongHop!B2397</f>
        <v>0</v>
      </c>
      <c r="C2397">
        <f>[2]TongHop!C2397</f>
        <v>0</v>
      </c>
      <c r="D2397">
        <f>[2]TongHop!D2397</f>
        <v>0</v>
      </c>
      <c r="E2397">
        <f>[2]TongHop!E2397</f>
        <v>0</v>
      </c>
      <c r="F2397">
        <f>[2]TongHop!F2397</f>
        <v>0</v>
      </c>
      <c r="G2397">
        <f>[2]TongHop!G2397</f>
        <v>0</v>
      </c>
      <c r="H2397">
        <f>[2]TongHop!H2397</f>
        <v>0</v>
      </c>
      <c r="I2397">
        <f>[2]TongHop!I2397</f>
        <v>0</v>
      </c>
      <c r="J2397">
        <f>[2]TongHop!J2397</f>
        <v>0</v>
      </c>
      <c r="K2397">
        <f>[2]TongHop!K2397</f>
        <v>0</v>
      </c>
      <c r="L2397">
        <f>[2]TongHop!L2397</f>
        <v>0</v>
      </c>
      <c r="M2397">
        <f>[2]TongHop!M2397</f>
        <v>0</v>
      </c>
      <c r="N2397">
        <f>[2]TongHop!N2397</f>
        <v>0</v>
      </c>
    </row>
    <row r="2398" spans="1:14">
      <c r="A2398">
        <f>[2]TongHop!A2398</f>
        <v>0</v>
      </c>
      <c r="B2398">
        <f>[2]TongHop!B2398</f>
        <v>0</v>
      </c>
      <c r="C2398">
        <f>[2]TongHop!C2398</f>
        <v>0</v>
      </c>
      <c r="D2398">
        <f>[2]TongHop!D2398</f>
        <v>0</v>
      </c>
      <c r="E2398">
        <f>[2]TongHop!E2398</f>
        <v>0</v>
      </c>
      <c r="F2398">
        <f>[2]TongHop!F2398</f>
        <v>0</v>
      </c>
      <c r="G2398">
        <f>[2]TongHop!G2398</f>
        <v>0</v>
      </c>
      <c r="H2398">
        <f>[2]TongHop!H2398</f>
        <v>0</v>
      </c>
      <c r="I2398">
        <f>[2]TongHop!I2398</f>
        <v>0</v>
      </c>
      <c r="J2398">
        <f>[2]TongHop!J2398</f>
        <v>0</v>
      </c>
      <c r="K2398">
        <f>[2]TongHop!K2398</f>
        <v>0</v>
      </c>
      <c r="L2398">
        <f>[2]TongHop!L2398</f>
        <v>0</v>
      </c>
      <c r="M2398">
        <f>[2]TongHop!M2398</f>
        <v>0</v>
      </c>
      <c r="N2398">
        <f>[2]TongHop!N2398</f>
        <v>0</v>
      </c>
    </row>
    <row r="2399" spans="1:14">
      <c r="A2399">
        <f>[2]TongHop!A2399</f>
        <v>0</v>
      </c>
      <c r="B2399">
        <f>[2]TongHop!B2399</f>
        <v>0</v>
      </c>
      <c r="C2399">
        <f>[2]TongHop!C2399</f>
        <v>0</v>
      </c>
      <c r="D2399">
        <f>[2]TongHop!D2399</f>
        <v>0</v>
      </c>
      <c r="E2399">
        <f>[2]TongHop!E2399</f>
        <v>0</v>
      </c>
      <c r="F2399">
        <f>[2]TongHop!F2399</f>
        <v>0</v>
      </c>
      <c r="G2399">
        <f>[2]TongHop!G2399</f>
        <v>0</v>
      </c>
      <c r="H2399">
        <f>[2]TongHop!H2399</f>
        <v>0</v>
      </c>
      <c r="I2399">
        <f>[2]TongHop!I2399</f>
        <v>0</v>
      </c>
      <c r="J2399">
        <f>[2]TongHop!J2399</f>
        <v>0</v>
      </c>
      <c r="K2399">
        <f>[2]TongHop!K2399</f>
        <v>0</v>
      </c>
      <c r="L2399">
        <f>[2]TongHop!L2399</f>
        <v>0</v>
      </c>
      <c r="M2399">
        <f>[2]TongHop!M2399</f>
        <v>0</v>
      </c>
      <c r="N2399">
        <f>[2]TongHop!N2399</f>
        <v>0</v>
      </c>
    </row>
    <row r="2400" spans="1:14">
      <c r="A2400">
        <f>[2]TongHop!A2400</f>
        <v>0</v>
      </c>
      <c r="B2400">
        <f>[2]TongHop!B2400</f>
        <v>0</v>
      </c>
      <c r="C2400">
        <f>[2]TongHop!C2400</f>
        <v>0</v>
      </c>
      <c r="D2400">
        <f>[2]TongHop!D2400</f>
        <v>0</v>
      </c>
      <c r="E2400">
        <f>[2]TongHop!E2400</f>
        <v>0</v>
      </c>
      <c r="F2400">
        <f>[2]TongHop!F2400</f>
        <v>0</v>
      </c>
      <c r="G2400">
        <f>[2]TongHop!G2400</f>
        <v>0</v>
      </c>
      <c r="H2400">
        <f>[2]TongHop!H2400</f>
        <v>0</v>
      </c>
      <c r="I2400">
        <f>[2]TongHop!I2400</f>
        <v>0</v>
      </c>
      <c r="J2400">
        <f>[2]TongHop!J2400</f>
        <v>0</v>
      </c>
      <c r="K2400">
        <f>[2]TongHop!K2400</f>
        <v>0</v>
      </c>
      <c r="L2400">
        <f>[2]TongHop!L2400</f>
        <v>0</v>
      </c>
      <c r="M2400">
        <f>[2]TongHop!M2400</f>
        <v>0</v>
      </c>
      <c r="N2400">
        <f>[2]TongHop!N2400</f>
        <v>0</v>
      </c>
    </row>
    <row r="2401" spans="1:14">
      <c r="A2401">
        <f>[2]TongHop!A2401</f>
        <v>0</v>
      </c>
      <c r="B2401">
        <f>[2]TongHop!B2401</f>
        <v>0</v>
      </c>
      <c r="C2401">
        <f>[2]TongHop!C2401</f>
        <v>0</v>
      </c>
      <c r="D2401">
        <f>[2]TongHop!D2401</f>
        <v>0</v>
      </c>
      <c r="E2401">
        <f>[2]TongHop!E2401</f>
        <v>0</v>
      </c>
      <c r="F2401">
        <f>[2]TongHop!F2401</f>
        <v>0</v>
      </c>
      <c r="G2401">
        <f>[2]TongHop!G2401</f>
        <v>0</v>
      </c>
      <c r="H2401">
        <f>[2]TongHop!H2401</f>
        <v>0</v>
      </c>
      <c r="I2401">
        <f>[2]TongHop!I2401</f>
        <v>0</v>
      </c>
      <c r="J2401">
        <f>[2]TongHop!J2401</f>
        <v>0</v>
      </c>
      <c r="K2401">
        <f>[2]TongHop!K2401</f>
        <v>0</v>
      </c>
      <c r="L2401">
        <f>[2]TongHop!L2401</f>
        <v>0</v>
      </c>
      <c r="M2401">
        <f>[2]TongHop!M2401</f>
        <v>0</v>
      </c>
      <c r="N2401">
        <f>[2]TongHop!N2401</f>
        <v>0</v>
      </c>
    </row>
    <row r="2402" spans="1:14">
      <c r="A2402">
        <f>[2]TongHop!A2402</f>
        <v>0</v>
      </c>
      <c r="B2402">
        <f>[2]TongHop!B2402</f>
        <v>0</v>
      </c>
      <c r="C2402">
        <f>[2]TongHop!C2402</f>
        <v>0</v>
      </c>
      <c r="D2402">
        <f>[2]TongHop!D2402</f>
        <v>0</v>
      </c>
      <c r="E2402">
        <f>[2]TongHop!E2402</f>
        <v>0</v>
      </c>
      <c r="F2402">
        <f>[2]TongHop!F2402</f>
        <v>0</v>
      </c>
      <c r="G2402">
        <f>[2]TongHop!G2402</f>
        <v>0</v>
      </c>
      <c r="H2402">
        <f>[2]TongHop!H2402</f>
        <v>0</v>
      </c>
      <c r="I2402">
        <f>[2]TongHop!I2402</f>
        <v>0</v>
      </c>
      <c r="J2402">
        <f>[2]TongHop!J2402</f>
        <v>0</v>
      </c>
      <c r="K2402">
        <f>[2]TongHop!K2402</f>
        <v>0</v>
      </c>
      <c r="L2402">
        <f>[2]TongHop!L2402</f>
        <v>0</v>
      </c>
      <c r="M2402">
        <f>[2]TongHop!M2402</f>
        <v>0</v>
      </c>
      <c r="N2402">
        <f>[2]TongHop!N2402</f>
        <v>0</v>
      </c>
    </row>
    <row r="2403" spans="1:14">
      <c r="A2403">
        <f>[2]TongHop!A2403</f>
        <v>0</v>
      </c>
      <c r="B2403">
        <f>[2]TongHop!B2403</f>
        <v>0</v>
      </c>
      <c r="C2403">
        <f>[2]TongHop!C2403</f>
        <v>0</v>
      </c>
      <c r="D2403">
        <f>[2]TongHop!D2403</f>
        <v>0</v>
      </c>
      <c r="E2403">
        <f>[2]TongHop!E2403</f>
        <v>0</v>
      </c>
      <c r="F2403">
        <f>[2]TongHop!F2403</f>
        <v>0</v>
      </c>
      <c r="G2403">
        <f>[2]TongHop!G2403</f>
        <v>0</v>
      </c>
      <c r="H2403">
        <f>[2]TongHop!H2403</f>
        <v>0</v>
      </c>
      <c r="I2403">
        <f>[2]TongHop!I2403</f>
        <v>0</v>
      </c>
      <c r="J2403">
        <f>[2]TongHop!J2403</f>
        <v>0</v>
      </c>
      <c r="K2403">
        <f>[2]TongHop!K2403</f>
        <v>0</v>
      </c>
      <c r="L2403">
        <f>[2]TongHop!L2403</f>
        <v>0</v>
      </c>
      <c r="M2403">
        <f>[2]TongHop!M2403</f>
        <v>0</v>
      </c>
      <c r="N2403">
        <f>[2]TongHop!N2403</f>
        <v>0</v>
      </c>
    </row>
    <row r="2404" spans="1:14">
      <c r="A2404">
        <f>[2]TongHop!A2404</f>
        <v>0</v>
      </c>
      <c r="B2404">
        <f>[2]TongHop!B2404</f>
        <v>0</v>
      </c>
      <c r="C2404">
        <f>[2]TongHop!C2404</f>
        <v>0</v>
      </c>
      <c r="D2404">
        <f>[2]TongHop!D2404</f>
        <v>0</v>
      </c>
      <c r="E2404">
        <f>[2]TongHop!E2404</f>
        <v>0</v>
      </c>
      <c r="F2404">
        <f>[2]TongHop!F2404</f>
        <v>0</v>
      </c>
      <c r="G2404">
        <f>[2]TongHop!G2404</f>
        <v>0</v>
      </c>
      <c r="H2404">
        <f>[2]TongHop!H2404</f>
        <v>0</v>
      </c>
      <c r="I2404">
        <f>[2]TongHop!I2404</f>
        <v>0</v>
      </c>
      <c r="J2404">
        <f>[2]TongHop!J2404</f>
        <v>0</v>
      </c>
      <c r="K2404">
        <f>[2]TongHop!K2404</f>
        <v>0</v>
      </c>
      <c r="L2404">
        <f>[2]TongHop!L2404</f>
        <v>0</v>
      </c>
      <c r="M2404">
        <f>[2]TongHop!M2404</f>
        <v>0</v>
      </c>
      <c r="N2404">
        <f>[2]TongHop!N2404</f>
        <v>0</v>
      </c>
    </row>
    <row r="2405" spans="1:14">
      <c r="A2405">
        <f>[2]TongHop!A2405</f>
        <v>0</v>
      </c>
      <c r="B2405">
        <f>[2]TongHop!B2405</f>
        <v>0</v>
      </c>
      <c r="C2405">
        <f>[2]TongHop!C2405</f>
        <v>0</v>
      </c>
      <c r="D2405">
        <f>[2]TongHop!D2405</f>
        <v>0</v>
      </c>
      <c r="E2405">
        <f>[2]TongHop!E2405</f>
        <v>0</v>
      </c>
      <c r="F2405">
        <f>[2]TongHop!F2405</f>
        <v>0</v>
      </c>
      <c r="G2405">
        <f>[2]TongHop!G2405</f>
        <v>0</v>
      </c>
      <c r="H2405">
        <f>[2]TongHop!H2405</f>
        <v>0</v>
      </c>
      <c r="I2405">
        <f>[2]TongHop!I2405</f>
        <v>0</v>
      </c>
      <c r="J2405">
        <f>[2]TongHop!J2405</f>
        <v>0</v>
      </c>
      <c r="K2405">
        <f>[2]TongHop!K2405</f>
        <v>0</v>
      </c>
      <c r="L2405">
        <f>[2]TongHop!L2405</f>
        <v>0</v>
      </c>
      <c r="M2405">
        <f>[2]TongHop!M2405</f>
        <v>0</v>
      </c>
      <c r="N2405">
        <f>[2]TongHop!N2405</f>
        <v>0</v>
      </c>
    </row>
    <row r="2406" spans="1:14">
      <c r="A2406">
        <f>[2]TongHop!A2406</f>
        <v>0</v>
      </c>
      <c r="B2406">
        <f>[2]TongHop!B2406</f>
        <v>0</v>
      </c>
      <c r="C2406">
        <f>[2]TongHop!C2406</f>
        <v>0</v>
      </c>
      <c r="D2406">
        <f>[2]TongHop!D2406</f>
        <v>0</v>
      </c>
      <c r="E2406">
        <f>[2]TongHop!E2406</f>
        <v>0</v>
      </c>
      <c r="F2406">
        <f>[2]TongHop!F2406</f>
        <v>0</v>
      </c>
      <c r="G2406">
        <f>[2]TongHop!G2406</f>
        <v>0</v>
      </c>
      <c r="H2406">
        <f>[2]TongHop!H2406</f>
        <v>0</v>
      </c>
      <c r="I2406">
        <f>[2]TongHop!I2406</f>
        <v>0</v>
      </c>
      <c r="J2406">
        <f>[2]TongHop!J2406</f>
        <v>0</v>
      </c>
      <c r="K2406">
        <f>[2]TongHop!K2406</f>
        <v>0</v>
      </c>
      <c r="L2406">
        <f>[2]TongHop!L2406</f>
        <v>0</v>
      </c>
      <c r="M2406">
        <f>[2]TongHop!M2406</f>
        <v>0</v>
      </c>
      <c r="N2406">
        <f>[2]TongHop!N2406</f>
        <v>0</v>
      </c>
    </row>
    <row r="2407" spans="1:14">
      <c r="A2407">
        <f>[2]TongHop!A2407</f>
        <v>0</v>
      </c>
      <c r="B2407">
        <f>[2]TongHop!B2407</f>
        <v>0</v>
      </c>
      <c r="C2407">
        <f>[2]TongHop!C2407</f>
        <v>0</v>
      </c>
      <c r="D2407">
        <f>[2]TongHop!D2407</f>
        <v>0</v>
      </c>
      <c r="E2407">
        <f>[2]TongHop!E2407</f>
        <v>0</v>
      </c>
      <c r="F2407">
        <f>[2]TongHop!F2407</f>
        <v>0</v>
      </c>
      <c r="G2407">
        <f>[2]TongHop!G2407</f>
        <v>0</v>
      </c>
      <c r="H2407">
        <f>[2]TongHop!H2407</f>
        <v>0</v>
      </c>
      <c r="I2407">
        <f>[2]TongHop!I2407</f>
        <v>0</v>
      </c>
      <c r="J2407">
        <f>[2]TongHop!J2407</f>
        <v>0</v>
      </c>
      <c r="K2407">
        <f>[2]TongHop!K2407</f>
        <v>0</v>
      </c>
      <c r="L2407">
        <f>[2]TongHop!L2407</f>
        <v>0</v>
      </c>
      <c r="M2407">
        <f>[2]TongHop!M2407</f>
        <v>0</v>
      </c>
      <c r="N2407">
        <f>[2]TongHop!N2407</f>
        <v>0</v>
      </c>
    </row>
    <row r="2408" spans="1:14">
      <c r="A2408">
        <f>[2]TongHop!A2408</f>
        <v>0</v>
      </c>
      <c r="B2408">
        <f>[2]TongHop!B2408</f>
        <v>0</v>
      </c>
      <c r="C2408">
        <f>[2]TongHop!C2408</f>
        <v>0</v>
      </c>
      <c r="D2408">
        <f>[2]TongHop!D2408</f>
        <v>0</v>
      </c>
      <c r="E2408">
        <f>[2]TongHop!E2408</f>
        <v>0</v>
      </c>
      <c r="F2408">
        <f>[2]TongHop!F2408</f>
        <v>0</v>
      </c>
      <c r="G2408">
        <f>[2]TongHop!G2408</f>
        <v>0</v>
      </c>
      <c r="H2408">
        <f>[2]TongHop!H2408</f>
        <v>0</v>
      </c>
      <c r="I2408">
        <f>[2]TongHop!I2408</f>
        <v>0</v>
      </c>
      <c r="J2408">
        <f>[2]TongHop!J2408</f>
        <v>0</v>
      </c>
      <c r="K2408">
        <f>[2]TongHop!K2408</f>
        <v>0</v>
      </c>
      <c r="L2408">
        <f>[2]TongHop!L2408</f>
        <v>0</v>
      </c>
      <c r="M2408">
        <f>[2]TongHop!M2408</f>
        <v>0</v>
      </c>
      <c r="N2408">
        <f>[2]TongHop!N2408</f>
        <v>0</v>
      </c>
    </row>
    <row r="2409" spans="1:14">
      <c r="A2409">
        <f>[2]TongHop!A2409</f>
        <v>0</v>
      </c>
      <c r="B2409">
        <f>[2]TongHop!B2409</f>
        <v>0</v>
      </c>
      <c r="C2409">
        <f>[2]TongHop!C2409</f>
        <v>0</v>
      </c>
      <c r="D2409">
        <f>[2]TongHop!D2409</f>
        <v>0</v>
      </c>
      <c r="E2409">
        <f>[2]TongHop!E2409</f>
        <v>0</v>
      </c>
      <c r="F2409">
        <f>[2]TongHop!F2409</f>
        <v>0</v>
      </c>
      <c r="G2409">
        <f>[2]TongHop!G2409</f>
        <v>0</v>
      </c>
      <c r="H2409">
        <f>[2]TongHop!H2409</f>
        <v>0</v>
      </c>
      <c r="I2409">
        <f>[2]TongHop!I2409</f>
        <v>0</v>
      </c>
      <c r="J2409">
        <f>[2]TongHop!J2409</f>
        <v>0</v>
      </c>
      <c r="K2409">
        <f>[2]TongHop!K2409</f>
        <v>0</v>
      </c>
      <c r="L2409">
        <f>[2]TongHop!L2409</f>
        <v>0</v>
      </c>
      <c r="M2409">
        <f>[2]TongHop!M2409</f>
        <v>0</v>
      </c>
      <c r="N2409">
        <f>[2]TongHop!N2409</f>
        <v>0</v>
      </c>
    </row>
    <row r="2410" spans="1:14">
      <c r="A2410">
        <f>[2]TongHop!A2410</f>
        <v>0</v>
      </c>
      <c r="B2410">
        <f>[2]TongHop!B2410</f>
        <v>0</v>
      </c>
      <c r="C2410">
        <f>[2]TongHop!C2410</f>
        <v>0</v>
      </c>
      <c r="D2410">
        <f>[2]TongHop!D2410</f>
        <v>0</v>
      </c>
      <c r="E2410">
        <f>[2]TongHop!E2410</f>
        <v>0</v>
      </c>
      <c r="F2410">
        <f>[2]TongHop!F2410</f>
        <v>0</v>
      </c>
      <c r="G2410">
        <f>[2]TongHop!G2410</f>
        <v>0</v>
      </c>
      <c r="H2410">
        <f>[2]TongHop!H2410</f>
        <v>0</v>
      </c>
      <c r="I2410">
        <f>[2]TongHop!I2410</f>
        <v>0</v>
      </c>
      <c r="J2410">
        <f>[2]TongHop!J2410</f>
        <v>0</v>
      </c>
      <c r="K2410">
        <f>[2]TongHop!K2410</f>
        <v>0</v>
      </c>
      <c r="L2410">
        <f>[2]TongHop!L2410</f>
        <v>0</v>
      </c>
      <c r="M2410">
        <f>[2]TongHop!M2410</f>
        <v>0</v>
      </c>
      <c r="N2410">
        <f>[2]TongHop!N2410</f>
        <v>0</v>
      </c>
    </row>
    <row r="2411" spans="1:14">
      <c r="A2411">
        <f>[2]TongHop!A2411</f>
        <v>0</v>
      </c>
      <c r="B2411">
        <f>[2]TongHop!B2411</f>
        <v>0</v>
      </c>
      <c r="C2411">
        <f>[2]TongHop!C2411</f>
        <v>0</v>
      </c>
      <c r="D2411">
        <f>[2]TongHop!D2411</f>
        <v>0</v>
      </c>
      <c r="E2411">
        <f>[2]TongHop!E2411</f>
        <v>0</v>
      </c>
      <c r="F2411">
        <f>[2]TongHop!F2411</f>
        <v>0</v>
      </c>
      <c r="G2411">
        <f>[2]TongHop!G2411</f>
        <v>0</v>
      </c>
      <c r="H2411">
        <f>[2]TongHop!H2411</f>
        <v>0</v>
      </c>
      <c r="I2411">
        <f>[2]TongHop!I2411</f>
        <v>0</v>
      </c>
      <c r="J2411">
        <f>[2]TongHop!J2411</f>
        <v>0</v>
      </c>
      <c r="K2411">
        <f>[2]TongHop!K2411</f>
        <v>0</v>
      </c>
      <c r="L2411">
        <f>[2]TongHop!L2411</f>
        <v>0</v>
      </c>
      <c r="M2411">
        <f>[2]TongHop!M2411</f>
        <v>0</v>
      </c>
      <c r="N2411">
        <f>[2]TongHop!N2411</f>
        <v>0</v>
      </c>
    </row>
    <row r="2412" spans="1:14">
      <c r="A2412">
        <f>[2]TongHop!A2412</f>
        <v>0</v>
      </c>
      <c r="B2412">
        <f>[2]TongHop!B2412</f>
        <v>0</v>
      </c>
      <c r="C2412">
        <f>[2]TongHop!C2412</f>
        <v>0</v>
      </c>
      <c r="D2412">
        <f>[2]TongHop!D2412</f>
        <v>0</v>
      </c>
      <c r="E2412">
        <f>[2]TongHop!E2412</f>
        <v>0</v>
      </c>
      <c r="F2412">
        <f>[2]TongHop!F2412</f>
        <v>0</v>
      </c>
      <c r="G2412">
        <f>[2]TongHop!G2412</f>
        <v>0</v>
      </c>
      <c r="H2412">
        <f>[2]TongHop!H2412</f>
        <v>0</v>
      </c>
      <c r="I2412">
        <f>[2]TongHop!I2412</f>
        <v>0</v>
      </c>
      <c r="J2412">
        <f>[2]TongHop!J2412</f>
        <v>0</v>
      </c>
      <c r="K2412">
        <f>[2]TongHop!K2412</f>
        <v>0</v>
      </c>
      <c r="L2412">
        <f>[2]TongHop!L2412</f>
        <v>0</v>
      </c>
      <c r="M2412">
        <f>[2]TongHop!M2412</f>
        <v>0</v>
      </c>
      <c r="N2412">
        <f>[2]TongHop!N2412</f>
        <v>0</v>
      </c>
    </row>
    <row r="2413" spans="1:14">
      <c r="A2413">
        <f>[2]TongHop!A2413</f>
        <v>0</v>
      </c>
      <c r="B2413">
        <f>[2]TongHop!B2413</f>
        <v>0</v>
      </c>
      <c r="C2413">
        <f>[2]TongHop!C2413</f>
        <v>0</v>
      </c>
      <c r="D2413">
        <f>[2]TongHop!D2413</f>
        <v>0</v>
      </c>
      <c r="E2413">
        <f>[2]TongHop!E2413</f>
        <v>0</v>
      </c>
      <c r="F2413">
        <f>[2]TongHop!F2413</f>
        <v>0</v>
      </c>
      <c r="G2413">
        <f>[2]TongHop!G2413</f>
        <v>0</v>
      </c>
      <c r="H2413">
        <f>[2]TongHop!H2413</f>
        <v>0</v>
      </c>
      <c r="I2413">
        <f>[2]TongHop!I2413</f>
        <v>0</v>
      </c>
      <c r="J2413">
        <f>[2]TongHop!J2413</f>
        <v>0</v>
      </c>
      <c r="K2413">
        <f>[2]TongHop!K2413</f>
        <v>0</v>
      </c>
      <c r="L2413">
        <f>[2]TongHop!L2413</f>
        <v>0</v>
      </c>
      <c r="M2413">
        <f>[2]TongHop!M2413</f>
        <v>0</v>
      </c>
      <c r="N2413">
        <f>[2]TongHop!N2413</f>
        <v>0</v>
      </c>
    </row>
    <row r="2414" spans="1:14">
      <c r="A2414">
        <f>[2]TongHop!A2414</f>
        <v>0</v>
      </c>
      <c r="B2414">
        <f>[2]TongHop!B2414</f>
        <v>0</v>
      </c>
      <c r="C2414">
        <f>[2]TongHop!C2414</f>
        <v>0</v>
      </c>
      <c r="D2414">
        <f>[2]TongHop!D2414</f>
        <v>0</v>
      </c>
      <c r="E2414">
        <f>[2]TongHop!E2414</f>
        <v>0</v>
      </c>
      <c r="F2414">
        <f>[2]TongHop!F2414</f>
        <v>0</v>
      </c>
      <c r="G2414">
        <f>[2]TongHop!G2414</f>
        <v>0</v>
      </c>
      <c r="H2414">
        <f>[2]TongHop!H2414</f>
        <v>0</v>
      </c>
      <c r="I2414">
        <f>[2]TongHop!I2414</f>
        <v>0</v>
      </c>
      <c r="J2414">
        <f>[2]TongHop!J2414</f>
        <v>0</v>
      </c>
      <c r="K2414">
        <f>[2]TongHop!K2414</f>
        <v>0</v>
      </c>
      <c r="L2414">
        <f>[2]TongHop!L2414</f>
        <v>0</v>
      </c>
      <c r="M2414">
        <f>[2]TongHop!M2414</f>
        <v>0</v>
      </c>
      <c r="N2414">
        <f>[2]TongHop!N2414</f>
        <v>0</v>
      </c>
    </row>
    <row r="2415" spans="1:14">
      <c r="A2415">
        <f>[2]TongHop!A2415</f>
        <v>0</v>
      </c>
      <c r="B2415">
        <f>[2]TongHop!B2415</f>
        <v>0</v>
      </c>
      <c r="C2415">
        <f>[2]TongHop!C2415</f>
        <v>0</v>
      </c>
      <c r="D2415">
        <f>[2]TongHop!D2415</f>
        <v>0</v>
      </c>
      <c r="E2415">
        <f>[2]TongHop!E2415</f>
        <v>0</v>
      </c>
      <c r="F2415">
        <f>[2]TongHop!F2415</f>
        <v>0</v>
      </c>
      <c r="G2415">
        <f>[2]TongHop!G2415</f>
        <v>0</v>
      </c>
      <c r="H2415">
        <f>[2]TongHop!H2415</f>
        <v>0</v>
      </c>
      <c r="I2415">
        <f>[2]TongHop!I2415</f>
        <v>0</v>
      </c>
      <c r="J2415">
        <f>[2]TongHop!J2415</f>
        <v>0</v>
      </c>
      <c r="K2415">
        <f>[2]TongHop!K2415</f>
        <v>0</v>
      </c>
      <c r="L2415">
        <f>[2]TongHop!L2415</f>
        <v>0</v>
      </c>
      <c r="M2415">
        <f>[2]TongHop!M2415</f>
        <v>0</v>
      </c>
      <c r="N2415">
        <f>[2]TongHop!N2415</f>
        <v>0</v>
      </c>
    </row>
    <row r="2416" spans="1:14">
      <c r="A2416">
        <f>[2]TongHop!A2416</f>
        <v>0</v>
      </c>
      <c r="B2416">
        <f>[2]TongHop!B2416</f>
        <v>0</v>
      </c>
      <c r="C2416">
        <f>[2]TongHop!C2416</f>
        <v>0</v>
      </c>
      <c r="D2416">
        <f>[2]TongHop!D2416</f>
        <v>0</v>
      </c>
      <c r="E2416">
        <f>[2]TongHop!E2416</f>
        <v>0</v>
      </c>
      <c r="F2416">
        <f>[2]TongHop!F2416</f>
        <v>0</v>
      </c>
      <c r="G2416">
        <f>[2]TongHop!G2416</f>
        <v>0</v>
      </c>
      <c r="H2416">
        <f>[2]TongHop!H2416</f>
        <v>0</v>
      </c>
      <c r="I2416">
        <f>[2]TongHop!I2416</f>
        <v>0</v>
      </c>
      <c r="J2416">
        <f>[2]TongHop!J2416</f>
        <v>0</v>
      </c>
      <c r="K2416">
        <f>[2]TongHop!K2416</f>
        <v>0</v>
      </c>
      <c r="L2416">
        <f>[2]TongHop!L2416</f>
        <v>0</v>
      </c>
      <c r="M2416">
        <f>[2]TongHop!M2416</f>
        <v>0</v>
      </c>
      <c r="N2416">
        <f>[2]TongHop!N2416</f>
        <v>0</v>
      </c>
    </row>
    <row r="2417" spans="1:14">
      <c r="A2417">
        <f>[2]TongHop!A2417</f>
        <v>0</v>
      </c>
      <c r="B2417">
        <f>[2]TongHop!B2417</f>
        <v>0</v>
      </c>
      <c r="C2417">
        <f>[2]TongHop!C2417</f>
        <v>0</v>
      </c>
      <c r="D2417">
        <f>[2]TongHop!D2417</f>
        <v>0</v>
      </c>
      <c r="E2417">
        <f>[2]TongHop!E2417</f>
        <v>0</v>
      </c>
      <c r="F2417">
        <f>[2]TongHop!F2417</f>
        <v>0</v>
      </c>
      <c r="G2417">
        <f>[2]TongHop!G2417</f>
        <v>0</v>
      </c>
      <c r="H2417">
        <f>[2]TongHop!H2417</f>
        <v>0</v>
      </c>
      <c r="I2417">
        <f>[2]TongHop!I2417</f>
        <v>0</v>
      </c>
      <c r="J2417">
        <f>[2]TongHop!J2417</f>
        <v>0</v>
      </c>
      <c r="K2417">
        <f>[2]TongHop!K2417</f>
        <v>0</v>
      </c>
      <c r="L2417">
        <f>[2]TongHop!L2417</f>
        <v>0</v>
      </c>
      <c r="M2417">
        <f>[2]TongHop!M2417</f>
        <v>0</v>
      </c>
      <c r="N2417">
        <f>[2]TongHop!N2417</f>
        <v>0</v>
      </c>
    </row>
    <row r="2418" spans="1:14">
      <c r="A2418">
        <f>[2]TongHop!A2418</f>
        <v>0</v>
      </c>
      <c r="B2418">
        <f>[2]TongHop!B2418</f>
        <v>0</v>
      </c>
      <c r="C2418">
        <f>[2]TongHop!C2418</f>
        <v>0</v>
      </c>
      <c r="D2418">
        <f>[2]TongHop!D2418</f>
        <v>0</v>
      </c>
      <c r="E2418">
        <f>[2]TongHop!E2418</f>
        <v>0</v>
      </c>
      <c r="F2418">
        <f>[2]TongHop!F2418</f>
        <v>0</v>
      </c>
      <c r="G2418">
        <f>[2]TongHop!G2418</f>
        <v>0</v>
      </c>
      <c r="H2418">
        <f>[2]TongHop!H2418</f>
        <v>0</v>
      </c>
      <c r="I2418">
        <f>[2]TongHop!I2418</f>
        <v>0</v>
      </c>
      <c r="J2418">
        <f>[2]TongHop!J2418</f>
        <v>0</v>
      </c>
      <c r="K2418">
        <f>[2]TongHop!K2418</f>
        <v>0</v>
      </c>
      <c r="L2418">
        <f>[2]TongHop!L2418</f>
        <v>0</v>
      </c>
      <c r="M2418">
        <f>[2]TongHop!M2418</f>
        <v>0</v>
      </c>
      <c r="N2418">
        <f>[2]TongHop!N2418</f>
        <v>0</v>
      </c>
    </row>
    <row r="2419" spans="1:14">
      <c r="A2419">
        <f>[2]TongHop!A2419</f>
        <v>0</v>
      </c>
      <c r="B2419">
        <f>[2]TongHop!B2419</f>
        <v>0</v>
      </c>
      <c r="C2419">
        <f>[2]TongHop!C2419</f>
        <v>0</v>
      </c>
      <c r="D2419">
        <f>[2]TongHop!D2419</f>
        <v>0</v>
      </c>
      <c r="E2419">
        <f>[2]TongHop!E2419</f>
        <v>0</v>
      </c>
      <c r="F2419">
        <f>[2]TongHop!F2419</f>
        <v>0</v>
      </c>
      <c r="G2419">
        <f>[2]TongHop!G2419</f>
        <v>0</v>
      </c>
      <c r="H2419">
        <f>[2]TongHop!H2419</f>
        <v>0</v>
      </c>
      <c r="I2419">
        <f>[2]TongHop!I2419</f>
        <v>0</v>
      </c>
      <c r="J2419">
        <f>[2]TongHop!J2419</f>
        <v>0</v>
      </c>
      <c r="K2419">
        <f>[2]TongHop!K2419</f>
        <v>0</v>
      </c>
      <c r="L2419">
        <f>[2]TongHop!L2419</f>
        <v>0</v>
      </c>
      <c r="M2419">
        <f>[2]TongHop!M2419</f>
        <v>0</v>
      </c>
      <c r="N2419">
        <f>[2]TongHop!N2419</f>
        <v>0</v>
      </c>
    </row>
    <row r="2420" spans="1:14">
      <c r="A2420">
        <f>[2]TongHop!A2420</f>
        <v>0</v>
      </c>
      <c r="B2420">
        <f>[2]TongHop!B2420</f>
        <v>0</v>
      </c>
      <c r="C2420">
        <f>[2]TongHop!C2420</f>
        <v>0</v>
      </c>
      <c r="D2420">
        <f>[2]TongHop!D2420</f>
        <v>0</v>
      </c>
      <c r="E2420">
        <f>[2]TongHop!E2420</f>
        <v>0</v>
      </c>
      <c r="F2420">
        <f>[2]TongHop!F2420</f>
        <v>0</v>
      </c>
      <c r="G2420">
        <f>[2]TongHop!G2420</f>
        <v>0</v>
      </c>
      <c r="H2420">
        <f>[2]TongHop!H2420</f>
        <v>0</v>
      </c>
      <c r="I2420">
        <f>[2]TongHop!I2420</f>
        <v>0</v>
      </c>
      <c r="J2420">
        <f>[2]TongHop!J2420</f>
        <v>0</v>
      </c>
      <c r="K2420">
        <f>[2]TongHop!K2420</f>
        <v>0</v>
      </c>
      <c r="L2420">
        <f>[2]TongHop!L2420</f>
        <v>0</v>
      </c>
      <c r="M2420">
        <f>[2]TongHop!M2420</f>
        <v>0</v>
      </c>
      <c r="N2420">
        <f>[2]TongHop!N2420</f>
        <v>0</v>
      </c>
    </row>
    <row r="2421" spans="1:14">
      <c r="A2421">
        <f>[2]TongHop!A2421</f>
        <v>0</v>
      </c>
      <c r="B2421">
        <f>[2]TongHop!B2421</f>
        <v>0</v>
      </c>
      <c r="C2421">
        <f>[2]TongHop!C2421</f>
        <v>0</v>
      </c>
      <c r="D2421">
        <f>[2]TongHop!D2421</f>
        <v>0</v>
      </c>
      <c r="E2421">
        <f>[2]TongHop!E2421</f>
        <v>0</v>
      </c>
      <c r="F2421">
        <f>[2]TongHop!F2421</f>
        <v>0</v>
      </c>
      <c r="G2421">
        <f>[2]TongHop!G2421</f>
        <v>0</v>
      </c>
      <c r="H2421">
        <f>[2]TongHop!H2421</f>
        <v>0</v>
      </c>
      <c r="I2421">
        <f>[2]TongHop!I2421</f>
        <v>0</v>
      </c>
      <c r="J2421">
        <f>[2]TongHop!J2421</f>
        <v>0</v>
      </c>
      <c r="K2421">
        <f>[2]TongHop!K2421</f>
        <v>0</v>
      </c>
      <c r="L2421">
        <f>[2]TongHop!L2421</f>
        <v>0</v>
      </c>
      <c r="M2421">
        <f>[2]TongHop!M2421</f>
        <v>0</v>
      </c>
      <c r="N2421">
        <f>[2]TongHop!N2421</f>
        <v>0</v>
      </c>
    </row>
    <row r="2422" spans="1:14">
      <c r="A2422">
        <f>[2]TongHop!A2422</f>
        <v>0</v>
      </c>
      <c r="B2422">
        <f>[2]TongHop!B2422</f>
        <v>0</v>
      </c>
      <c r="C2422">
        <f>[2]TongHop!C2422</f>
        <v>0</v>
      </c>
      <c r="D2422">
        <f>[2]TongHop!D2422</f>
        <v>0</v>
      </c>
      <c r="E2422">
        <f>[2]TongHop!E2422</f>
        <v>0</v>
      </c>
      <c r="F2422">
        <f>[2]TongHop!F2422</f>
        <v>0</v>
      </c>
      <c r="G2422">
        <f>[2]TongHop!G2422</f>
        <v>0</v>
      </c>
      <c r="H2422">
        <f>[2]TongHop!H2422</f>
        <v>0</v>
      </c>
      <c r="I2422">
        <f>[2]TongHop!I2422</f>
        <v>0</v>
      </c>
      <c r="J2422">
        <f>[2]TongHop!J2422</f>
        <v>0</v>
      </c>
      <c r="K2422">
        <f>[2]TongHop!K2422</f>
        <v>0</v>
      </c>
      <c r="L2422">
        <f>[2]TongHop!L2422</f>
        <v>0</v>
      </c>
      <c r="M2422">
        <f>[2]TongHop!M2422</f>
        <v>0</v>
      </c>
      <c r="N2422">
        <f>[2]TongHop!N2422</f>
        <v>0</v>
      </c>
    </row>
    <row r="2423" spans="1:14">
      <c r="A2423">
        <f>[2]TongHop!A2423</f>
        <v>0</v>
      </c>
      <c r="B2423">
        <f>[2]TongHop!B2423</f>
        <v>0</v>
      </c>
      <c r="C2423">
        <f>[2]TongHop!C2423</f>
        <v>0</v>
      </c>
      <c r="D2423">
        <f>[2]TongHop!D2423</f>
        <v>0</v>
      </c>
      <c r="E2423">
        <f>[2]TongHop!E2423</f>
        <v>0</v>
      </c>
      <c r="F2423">
        <f>[2]TongHop!F2423</f>
        <v>0</v>
      </c>
      <c r="G2423">
        <f>[2]TongHop!G2423</f>
        <v>0</v>
      </c>
      <c r="H2423">
        <f>[2]TongHop!H2423</f>
        <v>0</v>
      </c>
      <c r="I2423">
        <f>[2]TongHop!I2423</f>
        <v>0</v>
      </c>
      <c r="J2423">
        <f>[2]TongHop!J2423</f>
        <v>0</v>
      </c>
      <c r="K2423">
        <f>[2]TongHop!K2423</f>
        <v>0</v>
      </c>
      <c r="L2423">
        <f>[2]TongHop!L2423</f>
        <v>0</v>
      </c>
      <c r="M2423">
        <f>[2]TongHop!M2423</f>
        <v>0</v>
      </c>
      <c r="N2423">
        <f>[2]TongHop!N2423</f>
        <v>0</v>
      </c>
    </row>
    <row r="2424" spans="1:14">
      <c r="A2424">
        <f>[2]TongHop!A2424</f>
        <v>0</v>
      </c>
      <c r="B2424">
        <f>[2]TongHop!B2424</f>
        <v>0</v>
      </c>
      <c r="C2424">
        <f>[2]TongHop!C2424</f>
        <v>0</v>
      </c>
      <c r="D2424">
        <f>[2]TongHop!D2424</f>
        <v>0</v>
      </c>
      <c r="E2424">
        <f>[2]TongHop!E2424</f>
        <v>0</v>
      </c>
      <c r="F2424">
        <f>[2]TongHop!F2424</f>
        <v>0</v>
      </c>
      <c r="G2424">
        <f>[2]TongHop!G2424</f>
        <v>0</v>
      </c>
      <c r="H2424">
        <f>[2]TongHop!H2424</f>
        <v>0</v>
      </c>
      <c r="I2424">
        <f>[2]TongHop!I2424</f>
        <v>0</v>
      </c>
      <c r="J2424">
        <f>[2]TongHop!J2424</f>
        <v>0</v>
      </c>
      <c r="K2424">
        <f>[2]TongHop!K2424</f>
        <v>0</v>
      </c>
      <c r="L2424">
        <f>[2]TongHop!L2424</f>
        <v>0</v>
      </c>
      <c r="M2424">
        <f>[2]TongHop!M2424</f>
        <v>0</v>
      </c>
      <c r="N2424">
        <f>[2]TongHop!N2424</f>
        <v>0</v>
      </c>
    </row>
    <row r="2425" spans="1:14">
      <c r="A2425">
        <f>[2]TongHop!A2425</f>
        <v>0</v>
      </c>
      <c r="B2425">
        <f>[2]TongHop!B2425</f>
        <v>0</v>
      </c>
      <c r="C2425">
        <f>[2]TongHop!C2425</f>
        <v>0</v>
      </c>
      <c r="D2425">
        <f>[2]TongHop!D2425</f>
        <v>0</v>
      </c>
      <c r="E2425">
        <f>[2]TongHop!E2425</f>
        <v>0</v>
      </c>
      <c r="F2425">
        <f>[2]TongHop!F2425</f>
        <v>0</v>
      </c>
      <c r="G2425">
        <f>[2]TongHop!G2425</f>
        <v>0</v>
      </c>
      <c r="H2425">
        <f>[2]TongHop!H2425</f>
        <v>0</v>
      </c>
      <c r="I2425">
        <f>[2]TongHop!I2425</f>
        <v>0</v>
      </c>
      <c r="J2425">
        <f>[2]TongHop!J2425</f>
        <v>0</v>
      </c>
      <c r="K2425">
        <f>[2]TongHop!K2425</f>
        <v>0</v>
      </c>
      <c r="L2425">
        <f>[2]TongHop!L2425</f>
        <v>0</v>
      </c>
      <c r="M2425">
        <f>[2]TongHop!M2425</f>
        <v>0</v>
      </c>
      <c r="N2425">
        <f>[2]TongHop!N2425</f>
        <v>0</v>
      </c>
    </row>
    <row r="2426" spans="1:14">
      <c r="A2426">
        <f>[2]TongHop!A2426</f>
        <v>0</v>
      </c>
      <c r="B2426">
        <f>[2]TongHop!B2426</f>
        <v>0</v>
      </c>
      <c r="C2426">
        <f>[2]TongHop!C2426</f>
        <v>0</v>
      </c>
      <c r="D2426">
        <f>[2]TongHop!D2426</f>
        <v>0</v>
      </c>
      <c r="E2426">
        <f>[2]TongHop!E2426</f>
        <v>0</v>
      </c>
      <c r="F2426">
        <f>[2]TongHop!F2426</f>
        <v>0</v>
      </c>
      <c r="G2426">
        <f>[2]TongHop!G2426</f>
        <v>0</v>
      </c>
      <c r="H2426">
        <f>[2]TongHop!H2426</f>
        <v>0</v>
      </c>
      <c r="I2426">
        <f>[2]TongHop!I2426</f>
        <v>0</v>
      </c>
      <c r="J2426">
        <f>[2]TongHop!J2426</f>
        <v>0</v>
      </c>
      <c r="K2426">
        <f>[2]TongHop!K2426</f>
        <v>0</v>
      </c>
      <c r="L2426">
        <f>[2]TongHop!L2426</f>
        <v>0</v>
      </c>
      <c r="M2426">
        <f>[2]TongHop!M2426</f>
        <v>0</v>
      </c>
      <c r="N2426">
        <f>[2]TongHop!N2426</f>
        <v>0</v>
      </c>
    </row>
    <row r="2427" spans="1:14">
      <c r="A2427">
        <f>[2]TongHop!A2427</f>
        <v>0</v>
      </c>
      <c r="B2427">
        <f>[2]TongHop!B2427</f>
        <v>0</v>
      </c>
      <c r="C2427">
        <f>[2]TongHop!C2427</f>
        <v>0</v>
      </c>
      <c r="D2427">
        <f>[2]TongHop!D2427</f>
        <v>0</v>
      </c>
      <c r="E2427">
        <f>[2]TongHop!E2427</f>
        <v>0</v>
      </c>
      <c r="F2427">
        <f>[2]TongHop!F2427</f>
        <v>0</v>
      </c>
      <c r="G2427">
        <f>[2]TongHop!G2427</f>
        <v>0</v>
      </c>
      <c r="H2427">
        <f>[2]TongHop!H2427</f>
        <v>0</v>
      </c>
      <c r="I2427">
        <f>[2]TongHop!I2427</f>
        <v>0</v>
      </c>
      <c r="J2427">
        <f>[2]TongHop!J2427</f>
        <v>0</v>
      </c>
      <c r="K2427">
        <f>[2]TongHop!K2427</f>
        <v>0</v>
      </c>
      <c r="L2427">
        <f>[2]TongHop!L2427</f>
        <v>0</v>
      </c>
      <c r="M2427">
        <f>[2]TongHop!M2427</f>
        <v>0</v>
      </c>
      <c r="N2427">
        <f>[2]TongHop!N2427</f>
        <v>0</v>
      </c>
    </row>
    <row r="2428" spans="1:14">
      <c r="A2428">
        <f>[2]TongHop!A2428</f>
        <v>0</v>
      </c>
      <c r="B2428">
        <f>[2]TongHop!B2428</f>
        <v>0</v>
      </c>
      <c r="C2428">
        <f>[2]TongHop!C2428</f>
        <v>0</v>
      </c>
      <c r="D2428">
        <f>[2]TongHop!D2428</f>
        <v>0</v>
      </c>
      <c r="E2428">
        <f>[2]TongHop!E2428</f>
        <v>0</v>
      </c>
      <c r="F2428">
        <f>[2]TongHop!F2428</f>
        <v>0</v>
      </c>
      <c r="G2428">
        <f>[2]TongHop!G2428</f>
        <v>0</v>
      </c>
      <c r="H2428">
        <f>[2]TongHop!H2428</f>
        <v>0</v>
      </c>
      <c r="I2428">
        <f>[2]TongHop!I2428</f>
        <v>0</v>
      </c>
      <c r="J2428">
        <f>[2]TongHop!J2428</f>
        <v>0</v>
      </c>
      <c r="K2428">
        <f>[2]TongHop!K2428</f>
        <v>0</v>
      </c>
      <c r="L2428">
        <f>[2]TongHop!L2428</f>
        <v>0</v>
      </c>
      <c r="M2428">
        <f>[2]TongHop!M2428</f>
        <v>0</v>
      </c>
      <c r="N2428">
        <f>[2]TongHop!N2428</f>
        <v>0</v>
      </c>
    </row>
    <row r="2429" spans="1:14">
      <c r="A2429">
        <f>[2]TongHop!A2429</f>
        <v>0</v>
      </c>
      <c r="B2429">
        <f>[2]TongHop!B2429</f>
        <v>0</v>
      </c>
      <c r="C2429">
        <f>[2]TongHop!C2429</f>
        <v>0</v>
      </c>
      <c r="D2429">
        <f>[2]TongHop!D2429</f>
        <v>0</v>
      </c>
      <c r="E2429">
        <f>[2]TongHop!E2429</f>
        <v>0</v>
      </c>
      <c r="F2429">
        <f>[2]TongHop!F2429</f>
        <v>0</v>
      </c>
      <c r="G2429">
        <f>[2]TongHop!G2429</f>
        <v>0</v>
      </c>
      <c r="H2429">
        <f>[2]TongHop!H2429</f>
        <v>0</v>
      </c>
      <c r="I2429">
        <f>[2]TongHop!I2429</f>
        <v>0</v>
      </c>
      <c r="J2429">
        <f>[2]TongHop!J2429</f>
        <v>0</v>
      </c>
      <c r="K2429">
        <f>[2]TongHop!K2429</f>
        <v>0</v>
      </c>
      <c r="L2429">
        <f>[2]TongHop!L2429</f>
        <v>0</v>
      </c>
      <c r="M2429">
        <f>[2]TongHop!M2429</f>
        <v>0</v>
      </c>
      <c r="N2429">
        <f>[2]TongHop!N2429</f>
        <v>0</v>
      </c>
    </row>
    <row r="2430" spans="1:14">
      <c r="A2430">
        <f>[2]TongHop!A2430</f>
        <v>0</v>
      </c>
      <c r="B2430">
        <f>[2]TongHop!B2430</f>
        <v>0</v>
      </c>
      <c r="C2430">
        <f>[2]TongHop!C2430</f>
        <v>0</v>
      </c>
      <c r="D2430">
        <f>[2]TongHop!D2430</f>
        <v>0</v>
      </c>
      <c r="E2430">
        <f>[2]TongHop!E2430</f>
        <v>0</v>
      </c>
      <c r="F2430">
        <f>[2]TongHop!F2430</f>
        <v>0</v>
      </c>
      <c r="G2430">
        <f>[2]TongHop!G2430</f>
        <v>0</v>
      </c>
      <c r="H2430">
        <f>[2]TongHop!H2430</f>
        <v>0</v>
      </c>
      <c r="I2430">
        <f>[2]TongHop!I2430</f>
        <v>0</v>
      </c>
      <c r="J2430">
        <f>[2]TongHop!J2430</f>
        <v>0</v>
      </c>
      <c r="K2430">
        <f>[2]TongHop!K2430</f>
        <v>0</v>
      </c>
      <c r="L2430">
        <f>[2]TongHop!L2430</f>
        <v>0</v>
      </c>
      <c r="M2430">
        <f>[2]TongHop!M2430</f>
        <v>0</v>
      </c>
      <c r="N2430">
        <f>[2]TongHop!N2430</f>
        <v>0</v>
      </c>
    </row>
    <row r="2431" spans="1:14">
      <c r="A2431">
        <f>[2]TongHop!A2431</f>
        <v>0</v>
      </c>
      <c r="B2431">
        <f>[2]TongHop!B2431</f>
        <v>0</v>
      </c>
      <c r="C2431">
        <f>[2]TongHop!C2431</f>
        <v>0</v>
      </c>
      <c r="D2431">
        <f>[2]TongHop!D2431</f>
        <v>0</v>
      </c>
      <c r="E2431">
        <f>[2]TongHop!E2431</f>
        <v>0</v>
      </c>
      <c r="F2431">
        <f>[2]TongHop!F2431</f>
        <v>0</v>
      </c>
      <c r="G2431">
        <f>[2]TongHop!G2431</f>
        <v>0</v>
      </c>
      <c r="H2431">
        <f>[2]TongHop!H2431</f>
        <v>0</v>
      </c>
      <c r="I2431">
        <f>[2]TongHop!I2431</f>
        <v>0</v>
      </c>
      <c r="J2431">
        <f>[2]TongHop!J2431</f>
        <v>0</v>
      </c>
      <c r="K2431">
        <f>[2]TongHop!K2431</f>
        <v>0</v>
      </c>
      <c r="L2431">
        <f>[2]TongHop!L2431</f>
        <v>0</v>
      </c>
      <c r="M2431">
        <f>[2]TongHop!M2431</f>
        <v>0</v>
      </c>
      <c r="N2431">
        <f>[2]TongHop!N2431</f>
        <v>0</v>
      </c>
    </row>
    <row r="2432" spans="1:14">
      <c r="A2432">
        <f>[2]TongHop!A2432</f>
        <v>0</v>
      </c>
      <c r="B2432">
        <f>[2]TongHop!B2432</f>
        <v>0</v>
      </c>
      <c r="C2432">
        <f>[2]TongHop!C2432</f>
        <v>0</v>
      </c>
      <c r="D2432">
        <f>[2]TongHop!D2432</f>
        <v>0</v>
      </c>
      <c r="E2432">
        <f>[2]TongHop!E2432</f>
        <v>0</v>
      </c>
      <c r="F2432">
        <f>[2]TongHop!F2432</f>
        <v>0</v>
      </c>
      <c r="G2432">
        <f>[2]TongHop!G2432</f>
        <v>0</v>
      </c>
      <c r="H2432">
        <f>[2]TongHop!H2432</f>
        <v>0</v>
      </c>
      <c r="I2432">
        <f>[2]TongHop!I2432</f>
        <v>0</v>
      </c>
      <c r="J2432">
        <f>[2]TongHop!J2432</f>
        <v>0</v>
      </c>
      <c r="K2432">
        <f>[2]TongHop!K2432</f>
        <v>0</v>
      </c>
      <c r="L2432">
        <f>[2]TongHop!L2432</f>
        <v>0</v>
      </c>
      <c r="M2432">
        <f>[2]TongHop!M2432</f>
        <v>0</v>
      </c>
      <c r="N2432">
        <f>[2]TongHop!N2432</f>
        <v>0</v>
      </c>
    </row>
    <row r="2433" spans="1:14">
      <c r="A2433">
        <f>[2]TongHop!A2433</f>
        <v>0</v>
      </c>
      <c r="B2433">
        <f>[2]TongHop!B2433</f>
        <v>0</v>
      </c>
      <c r="C2433">
        <f>[2]TongHop!C2433</f>
        <v>0</v>
      </c>
      <c r="D2433">
        <f>[2]TongHop!D2433</f>
        <v>0</v>
      </c>
      <c r="E2433">
        <f>[2]TongHop!E2433</f>
        <v>0</v>
      </c>
      <c r="F2433">
        <f>[2]TongHop!F2433</f>
        <v>0</v>
      </c>
      <c r="G2433">
        <f>[2]TongHop!G2433</f>
        <v>0</v>
      </c>
      <c r="H2433">
        <f>[2]TongHop!H2433</f>
        <v>0</v>
      </c>
      <c r="I2433">
        <f>[2]TongHop!I2433</f>
        <v>0</v>
      </c>
      <c r="J2433">
        <f>[2]TongHop!J2433</f>
        <v>0</v>
      </c>
      <c r="K2433">
        <f>[2]TongHop!K2433</f>
        <v>0</v>
      </c>
      <c r="L2433">
        <f>[2]TongHop!L2433</f>
        <v>0</v>
      </c>
      <c r="M2433">
        <f>[2]TongHop!M2433</f>
        <v>0</v>
      </c>
      <c r="N2433">
        <f>[2]TongHop!N2433</f>
        <v>0</v>
      </c>
    </row>
    <row r="2434" spans="1:14">
      <c r="A2434">
        <f>[2]TongHop!A2434</f>
        <v>0</v>
      </c>
      <c r="B2434">
        <f>[2]TongHop!B2434</f>
        <v>0</v>
      </c>
      <c r="C2434">
        <f>[2]TongHop!C2434</f>
        <v>0</v>
      </c>
      <c r="D2434">
        <f>[2]TongHop!D2434</f>
        <v>0</v>
      </c>
      <c r="E2434">
        <f>[2]TongHop!E2434</f>
        <v>0</v>
      </c>
      <c r="F2434">
        <f>[2]TongHop!F2434</f>
        <v>0</v>
      </c>
      <c r="G2434">
        <f>[2]TongHop!G2434</f>
        <v>0</v>
      </c>
      <c r="H2434">
        <f>[2]TongHop!H2434</f>
        <v>0</v>
      </c>
      <c r="I2434">
        <f>[2]TongHop!I2434</f>
        <v>0</v>
      </c>
      <c r="J2434">
        <f>[2]TongHop!J2434</f>
        <v>0</v>
      </c>
      <c r="K2434">
        <f>[2]TongHop!K2434</f>
        <v>0</v>
      </c>
      <c r="L2434">
        <f>[2]TongHop!L2434</f>
        <v>0</v>
      </c>
      <c r="M2434">
        <f>[2]TongHop!M2434</f>
        <v>0</v>
      </c>
      <c r="N2434">
        <f>[2]TongHop!N2434</f>
        <v>0</v>
      </c>
    </row>
    <row r="2435" spans="1:14">
      <c r="A2435">
        <f>[2]TongHop!A2435</f>
        <v>0</v>
      </c>
      <c r="B2435">
        <f>[2]TongHop!B2435</f>
        <v>0</v>
      </c>
      <c r="C2435">
        <f>[2]TongHop!C2435</f>
        <v>0</v>
      </c>
      <c r="D2435">
        <f>[2]TongHop!D2435</f>
        <v>0</v>
      </c>
      <c r="E2435">
        <f>[2]TongHop!E2435</f>
        <v>0</v>
      </c>
      <c r="F2435">
        <f>[2]TongHop!F2435</f>
        <v>0</v>
      </c>
      <c r="G2435">
        <f>[2]TongHop!G2435</f>
        <v>0</v>
      </c>
      <c r="H2435">
        <f>[2]TongHop!H2435</f>
        <v>0</v>
      </c>
      <c r="I2435">
        <f>[2]TongHop!I2435</f>
        <v>0</v>
      </c>
      <c r="J2435">
        <f>[2]TongHop!J2435</f>
        <v>0</v>
      </c>
      <c r="K2435">
        <f>[2]TongHop!K2435</f>
        <v>0</v>
      </c>
      <c r="L2435">
        <f>[2]TongHop!L2435</f>
        <v>0</v>
      </c>
      <c r="M2435">
        <f>[2]TongHop!M2435</f>
        <v>0</v>
      </c>
      <c r="N2435">
        <f>[2]TongHop!N2435</f>
        <v>0</v>
      </c>
    </row>
    <row r="2436" spans="1:14">
      <c r="A2436">
        <f>[2]TongHop!A2436</f>
        <v>0</v>
      </c>
      <c r="B2436">
        <f>[2]TongHop!B2436</f>
        <v>0</v>
      </c>
      <c r="C2436">
        <f>[2]TongHop!C2436</f>
        <v>0</v>
      </c>
      <c r="D2436">
        <f>[2]TongHop!D2436</f>
        <v>0</v>
      </c>
      <c r="E2436">
        <f>[2]TongHop!E2436</f>
        <v>0</v>
      </c>
      <c r="F2436">
        <f>[2]TongHop!F2436</f>
        <v>0</v>
      </c>
      <c r="G2436">
        <f>[2]TongHop!G2436</f>
        <v>0</v>
      </c>
      <c r="H2436">
        <f>[2]TongHop!H2436</f>
        <v>0</v>
      </c>
      <c r="I2436">
        <f>[2]TongHop!I2436</f>
        <v>0</v>
      </c>
      <c r="J2436">
        <f>[2]TongHop!J2436</f>
        <v>0</v>
      </c>
      <c r="K2436">
        <f>[2]TongHop!K2436</f>
        <v>0</v>
      </c>
      <c r="L2436">
        <f>[2]TongHop!L2436</f>
        <v>0</v>
      </c>
      <c r="M2436">
        <f>[2]TongHop!M2436</f>
        <v>0</v>
      </c>
      <c r="N2436">
        <f>[2]TongHop!N2436</f>
        <v>0</v>
      </c>
    </row>
    <row r="2437" spans="1:14">
      <c r="A2437">
        <f>[2]TongHop!A2437</f>
        <v>0</v>
      </c>
      <c r="B2437">
        <f>[2]TongHop!B2437</f>
        <v>0</v>
      </c>
      <c r="C2437">
        <f>[2]TongHop!C2437</f>
        <v>0</v>
      </c>
      <c r="D2437">
        <f>[2]TongHop!D2437</f>
        <v>0</v>
      </c>
      <c r="E2437">
        <f>[2]TongHop!E2437</f>
        <v>0</v>
      </c>
      <c r="F2437">
        <f>[2]TongHop!F2437</f>
        <v>0</v>
      </c>
      <c r="G2437">
        <f>[2]TongHop!G2437</f>
        <v>0</v>
      </c>
      <c r="H2437">
        <f>[2]TongHop!H2437</f>
        <v>0</v>
      </c>
      <c r="I2437">
        <f>[2]TongHop!I2437</f>
        <v>0</v>
      </c>
      <c r="J2437">
        <f>[2]TongHop!J2437</f>
        <v>0</v>
      </c>
      <c r="K2437">
        <f>[2]TongHop!K2437</f>
        <v>0</v>
      </c>
      <c r="L2437">
        <f>[2]TongHop!L2437</f>
        <v>0</v>
      </c>
      <c r="M2437">
        <f>[2]TongHop!M2437</f>
        <v>0</v>
      </c>
      <c r="N2437">
        <f>[2]TongHop!N2437</f>
        <v>0</v>
      </c>
    </row>
    <row r="2438" spans="1:14">
      <c r="A2438">
        <f>[2]TongHop!A2438</f>
        <v>0</v>
      </c>
      <c r="B2438">
        <f>[2]TongHop!B2438</f>
        <v>0</v>
      </c>
      <c r="C2438">
        <f>[2]TongHop!C2438</f>
        <v>0</v>
      </c>
      <c r="D2438">
        <f>[2]TongHop!D2438</f>
        <v>0</v>
      </c>
      <c r="E2438">
        <f>[2]TongHop!E2438</f>
        <v>0</v>
      </c>
      <c r="F2438">
        <f>[2]TongHop!F2438</f>
        <v>0</v>
      </c>
      <c r="G2438">
        <f>[2]TongHop!G2438</f>
        <v>0</v>
      </c>
      <c r="H2438">
        <f>[2]TongHop!H2438</f>
        <v>0</v>
      </c>
      <c r="I2438">
        <f>[2]TongHop!I2438</f>
        <v>0</v>
      </c>
      <c r="J2438">
        <f>[2]TongHop!J2438</f>
        <v>0</v>
      </c>
      <c r="K2438">
        <f>[2]TongHop!K2438</f>
        <v>0</v>
      </c>
      <c r="L2438">
        <f>[2]TongHop!L2438</f>
        <v>0</v>
      </c>
      <c r="M2438">
        <f>[2]TongHop!M2438</f>
        <v>0</v>
      </c>
      <c r="N2438">
        <f>[2]TongHop!N2438</f>
        <v>0</v>
      </c>
    </row>
    <row r="2439" spans="1:14">
      <c r="A2439">
        <f>[2]TongHop!A2439</f>
        <v>0</v>
      </c>
      <c r="B2439">
        <f>[2]TongHop!B2439</f>
        <v>0</v>
      </c>
      <c r="C2439">
        <f>[2]TongHop!C2439</f>
        <v>0</v>
      </c>
      <c r="D2439">
        <f>[2]TongHop!D2439</f>
        <v>0</v>
      </c>
      <c r="E2439">
        <f>[2]TongHop!E2439</f>
        <v>0</v>
      </c>
      <c r="F2439">
        <f>[2]TongHop!F2439</f>
        <v>0</v>
      </c>
      <c r="G2439">
        <f>[2]TongHop!G2439</f>
        <v>0</v>
      </c>
      <c r="H2439">
        <f>[2]TongHop!H2439</f>
        <v>0</v>
      </c>
      <c r="I2439">
        <f>[2]TongHop!I2439</f>
        <v>0</v>
      </c>
      <c r="J2439">
        <f>[2]TongHop!J2439</f>
        <v>0</v>
      </c>
      <c r="K2439">
        <f>[2]TongHop!K2439</f>
        <v>0</v>
      </c>
      <c r="L2439">
        <f>[2]TongHop!L2439</f>
        <v>0</v>
      </c>
      <c r="M2439">
        <f>[2]TongHop!M2439</f>
        <v>0</v>
      </c>
      <c r="N2439">
        <f>[2]TongHop!N2439</f>
        <v>0</v>
      </c>
    </row>
    <row r="2440" spans="1:14">
      <c r="A2440">
        <f>[2]TongHop!A2440</f>
        <v>0</v>
      </c>
      <c r="B2440">
        <f>[2]TongHop!B2440</f>
        <v>0</v>
      </c>
      <c r="C2440">
        <f>[2]TongHop!C2440</f>
        <v>0</v>
      </c>
      <c r="D2440">
        <f>[2]TongHop!D2440</f>
        <v>0</v>
      </c>
      <c r="E2440">
        <f>[2]TongHop!E2440</f>
        <v>0</v>
      </c>
      <c r="F2440">
        <f>[2]TongHop!F2440</f>
        <v>0</v>
      </c>
      <c r="G2440">
        <f>[2]TongHop!G2440</f>
        <v>0</v>
      </c>
      <c r="H2440">
        <f>[2]TongHop!H2440</f>
        <v>0</v>
      </c>
      <c r="I2440">
        <f>[2]TongHop!I2440</f>
        <v>0</v>
      </c>
      <c r="J2440">
        <f>[2]TongHop!J2440</f>
        <v>0</v>
      </c>
      <c r="K2440">
        <f>[2]TongHop!K2440</f>
        <v>0</v>
      </c>
      <c r="L2440">
        <f>[2]TongHop!L2440</f>
        <v>0</v>
      </c>
      <c r="M2440">
        <f>[2]TongHop!M2440</f>
        <v>0</v>
      </c>
      <c r="N2440">
        <f>[2]TongHop!N2440</f>
        <v>0</v>
      </c>
    </row>
    <row r="2441" spans="1:14">
      <c r="A2441">
        <f>[2]TongHop!A2441</f>
        <v>0</v>
      </c>
      <c r="B2441">
        <f>[2]TongHop!B2441</f>
        <v>0</v>
      </c>
      <c r="C2441">
        <f>[2]TongHop!C2441</f>
        <v>0</v>
      </c>
      <c r="D2441">
        <f>[2]TongHop!D2441</f>
        <v>0</v>
      </c>
      <c r="E2441">
        <f>[2]TongHop!E2441</f>
        <v>0</v>
      </c>
      <c r="F2441">
        <f>[2]TongHop!F2441</f>
        <v>0</v>
      </c>
      <c r="G2441">
        <f>[2]TongHop!G2441</f>
        <v>0</v>
      </c>
      <c r="H2441">
        <f>[2]TongHop!H2441</f>
        <v>0</v>
      </c>
      <c r="I2441">
        <f>[2]TongHop!I2441</f>
        <v>0</v>
      </c>
      <c r="J2441">
        <f>[2]TongHop!J2441</f>
        <v>0</v>
      </c>
      <c r="K2441">
        <f>[2]TongHop!K2441</f>
        <v>0</v>
      </c>
      <c r="L2441">
        <f>[2]TongHop!L2441</f>
        <v>0</v>
      </c>
      <c r="M2441">
        <f>[2]TongHop!M2441</f>
        <v>0</v>
      </c>
      <c r="N2441">
        <f>[2]TongHop!N2441</f>
        <v>0</v>
      </c>
    </row>
    <row r="2442" spans="1:14">
      <c r="A2442">
        <f>[2]TongHop!A2442</f>
        <v>0</v>
      </c>
      <c r="B2442">
        <f>[2]TongHop!B2442</f>
        <v>0</v>
      </c>
      <c r="C2442">
        <f>[2]TongHop!C2442</f>
        <v>0</v>
      </c>
      <c r="D2442">
        <f>[2]TongHop!D2442</f>
        <v>0</v>
      </c>
      <c r="E2442">
        <f>[2]TongHop!E2442</f>
        <v>0</v>
      </c>
      <c r="F2442">
        <f>[2]TongHop!F2442</f>
        <v>0</v>
      </c>
      <c r="G2442">
        <f>[2]TongHop!G2442</f>
        <v>0</v>
      </c>
      <c r="H2442">
        <f>[2]TongHop!H2442</f>
        <v>0</v>
      </c>
      <c r="I2442">
        <f>[2]TongHop!I2442</f>
        <v>0</v>
      </c>
      <c r="J2442">
        <f>[2]TongHop!J2442</f>
        <v>0</v>
      </c>
      <c r="K2442">
        <f>[2]TongHop!K2442</f>
        <v>0</v>
      </c>
      <c r="L2442">
        <f>[2]TongHop!L2442</f>
        <v>0</v>
      </c>
      <c r="M2442">
        <f>[2]TongHop!M2442</f>
        <v>0</v>
      </c>
      <c r="N2442">
        <f>[2]TongHop!N2442</f>
        <v>0</v>
      </c>
    </row>
    <row r="2443" spans="1:14">
      <c r="A2443">
        <f>[2]TongHop!A2443</f>
        <v>0</v>
      </c>
      <c r="B2443">
        <f>[2]TongHop!B2443</f>
        <v>0</v>
      </c>
      <c r="C2443">
        <f>[2]TongHop!C2443</f>
        <v>0</v>
      </c>
      <c r="D2443">
        <f>[2]TongHop!D2443</f>
        <v>0</v>
      </c>
      <c r="E2443">
        <f>[2]TongHop!E2443</f>
        <v>0</v>
      </c>
      <c r="F2443">
        <f>[2]TongHop!F2443</f>
        <v>0</v>
      </c>
      <c r="G2443">
        <f>[2]TongHop!G2443</f>
        <v>0</v>
      </c>
      <c r="H2443">
        <f>[2]TongHop!H2443</f>
        <v>0</v>
      </c>
      <c r="I2443">
        <f>[2]TongHop!I2443</f>
        <v>0</v>
      </c>
      <c r="J2443">
        <f>[2]TongHop!J2443</f>
        <v>0</v>
      </c>
      <c r="K2443">
        <f>[2]TongHop!K2443</f>
        <v>0</v>
      </c>
      <c r="L2443">
        <f>[2]TongHop!L2443</f>
        <v>0</v>
      </c>
      <c r="M2443">
        <f>[2]TongHop!M2443</f>
        <v>0</v>
      </c>
      <c r="N2443">
        <f>[2]TongHop!N2443</f>
        <v>0</v>
      </c>
    </row>
    <row r="2444" spans="1:14">
      <c r="A2444">
        <f>[2]TongHop!A2444</f>
        <v>0</v>
      </c>
      <c r="B2444">
        <f>[2]TongHop!B2444</f>
        <v>0</v>
      </c>
      <c r="C2444">
        <f>[2]TongHop!C2444</f>
        <v>0</v>
      </c>
      <c r="D2444">
        <f>[2]TongHop!D2444</f>
        <v>0</v>
      </c>
      <c r="E2444">
        <f>[2]TongHop!E2444</f>
        <v>0</v>
      </c>
      <c r="F2444">
        <f>[2]TongHop!F2444</f>
        <v>0</v>
      </c>
      <c r="G2444">
        <f>[2]TongHop!G2444</f>
        <v>0</v>
      </c>
      <c r="H2444">
        <f>[2]TongHop!H2444</f>
        <v>0</v>
      </c>
      <c r="I2444">
        <f>[2]TongHop!I2444</f>
        <v>0</v>
      </c>
      <c r="J2444">
        <f>[2]TongHop!J2444</f>
        <v>0</v>
      </c>
      <c r="K2444">
        <f>[2]TongHop!K2444</f>
        <v>0</v>
      </c>
      <c r="L2444">
        <f>[2]TongHop!L2444</f>
        <v>0</v>
      </c>
      <c r="M2444">
        <f>[2]TongHop!M2444</f>
        <v>0</v>
      </c>
      <c r="N2444">
        <f>[2]TongHop!N2444</f>
        <v>0</v>
      </c>
    </row>
    <row r="2445" spans="1:14">
      <c r="A2445">
        <f>[2]TongHop!A2445</f>
        <v>0</v>
      </c>
      <c r="B2445">
        <f>[2]TongHop!B2445</f>
        <v>0</v>
      </c>
      <c r="C2445">
        <f>[2]TongHop!C2445</f>
        <v>0</v>
      </c>
      <c r="D2445">
        <f>[2]TongHop!D2445</f>
        <v>0</v>
      </c>
      <c r="E2445">
        <f>[2]TongHop!E2445</f>
        <v>0</v>
      </c>
      <c r="F2445">
        <f>[2]TongHop!F2445</f>
        <v>0</v>
      </c>
      <c r="G2445">
        <f>[2]TongHop!G2445</f>
        <v>0</v>
      </c>
      <c r="H2445">
        <f>[2]TongHop!H2445</f>
        <v>0</v>
      </c>
      <c r="I2445">
        <f>[2]TongHop!I2445</f>
        <v>0</v>
      </c>
      <c r="J2445">
        <f>[2]TongHop!J2445</f>
        <v>0</v>
      </c>
      <c r="K2445">
        <f>[2]TongHop!K2445</f>
        <v>0</v>
      </c>
      <c r="L2445">
        <f>[2]TongHop!L2445</f>
        <v>0</v>
      </c>
      <c r="M2445">
        <f>[2]TongHop!M2445</f>
        <v>0</v>
      </c>
      <c r="N2445">
        <f>[2]TongHop!N2445</f>
        <v>0</v>
      </c>
    </row>
    <row r="2446" spans="1:14">
      <c r="A2446">
        <f>[2]TongHop!A2446</f>
        <v>0</v>
      </c>
      <c r="B2446">
        <f>[2]TongHop!B2446</f>
        <v>0</v>
      </c>
      <c r="C2446">
        <f>[2]TongHop!C2446</f>
        <v>0</v>
      </c>
      <c r="D2446">
        <f>[2]TongHop!D2446</f>
        <v>0</v>
      </c>
      <c r="E2446">
        <f>[2]TongHop!E2446</f>
        <v>0</v>
      </c>
      <c r="F2446">
        <f>[2]TongHop!F2446</f>
        <v>0</v>
      </c>
      <c r="G2446">
        <f>[2]TongHop!G2446</f>
        <v>0</v>
      </c>
      <c r="H2446">
        <f>[2]TongHop!H2446</f>
        <v>0</v>
      </c>
      <c r="I2446">
        <f>[2]TongHop!I2446</f>
        <v>0</v>
      </c>
      <c r="J2446">
        <f>[2]TongHop!J2446</f>
        <v>0</v>
      </c>
      <c r="K2446">
        <f>[2]TongHop!K2446</f>
        <v>0</v>
      </c>
      <c r="L2446">
        <f>[2]TongHop!L2446</f>
        <v>0</v>
      </c>
      <c r="M2446">
        <f>[2]TongHop!M2446</f>
        <v>0</v>
      </c>
      <c r="N2446">
        <f>[2]TongHop!N2446</f>
        <v>0</v>
      </c>
    </row>
    <row r="2447" spans="1:14">
      <c r="A2447">
        <f>[2]TongHop!A2447</f>
        <v>0</v>
      </c>
      <c r="B2447">
        <f>[2]TongHop!B2447</f>
        <v>0</v>
      </c>
      <c r="C2447">
        <f>[2]TongHop!C2447</f>
        <v>0</v>
      </c>
      <c r="D2447">
        <f>[2]TongHop!D2447</f>
        <v>0</v>
      </c>
      <c r="E2447">
        <f>[2]TongHop!E2447</f>
        <v>0</v>
      </c>
      <c r="F2447">
        <f>[2]TongHop!F2447</f>
        <v>0</v>
      </c>
      <c r="G2447">
        <f>[2]TongHop!G2447</f>
        <v>0</v>
      </c>
      <c r="H2447">
        <f>[2]TongHop!H2447</f>
        <v>0</v>
      </c>
      <c r="I2447">
        <f>[2]TongHop!I2447</f>
        <v>0</v>
      </c>
      <c r="J2447">
        <f>[2]TongHop!J2447</f>
        <v>0</v>
      </c>
      <c r="K2447">
        <f>[2]TongHop!K2447</f>
        <v>0</v>
      </c>
      <c r="L2447">
        <f>[2]TongHop!L2447</f>
        <v>0</v>
      </c>
      <c r="M2447">
        <f>[2]TongHop!M2447</f>
        <v>0</v>
      </c>
      <c r="N2447">
        <f>[2]TongHop!N2447</f>
        <v>0</v>
      </c>
    </row>
    <row r="2448" spans="1:14">
      <c r="A2448">
        <f>[2]TongHop!A2448</f>
        <v>0</v>
      </c>
      <c r="B2448">
        <f>[2]TongHop!B2448</f>
        <v>0</v>
      </c>
      <c r="C2448">
        <f>[2]TongHop!C2448</f>
        <v>0</v>
      </c>
      <c r="D2448">
        <f>[2]TongHop!D2448</f>
        <v>0</v>
      </c>
      <c r="E2448">
        <f>[2]TongHop!E2448</f>
        <v>0</v>
      </c>
      <c r="F2448">
        <f>[2]TongHop!F2448</f>
        <v>0</v>
      </c>
      <c r="G2448">
        <f>[2]TongHop!G2448</f>
        <v>0</v>
      </c>
      <c r="H2448">
        <f>[2]TongHop!H2448</f>
        <v>0</v>
      </c>
      <c r="I2448">
        <f>[2]TongHop!I2448</f>
        <v>0</v>
      </c>
      <c r="J2448">
        <f>[2]TongHop!J2448</f>
        <v>0</v>
      </c>
      <c r="K2448">
        <f>[2]TongHop!K2448</f>
        <v>0</v>
      </c>
      <c r="L2448">
        <f>[2]TongHop!L2448</f>
        <v>0</v>
      </c>
      <c r="M2448">
        <f>[2]TongHop!M2448</f>
        <v>0</v>
      </c>
      <c r="N2448">
        <f>[2]TongHop!N2448</f>
        <v>0</v>
      </c>
    </row>
    <row r="2449" spans="1:14">
      <c r="A2449">
        <f>[2]TongHop!A2449</f>
        <v>0</v>
      </c>
      <c r="B2449">
        <f>[2]TongHop!B2449</f>
        <v>0</v>
      </c>
      <c r="C2449">
        <f>[2]TongHop!C2449</f>
        <v>0</v>
      </c>
      <c r="D2449">
        <f>[2]TongHop!D2449</f>
        <v>0</v>
      </c>
      <c r="E2449">
        <f>[2]TongHop!E2449</f>
        <v>0</v>
      </c>
      <c r="F2449">
        <f>[2]TongHop!F2449</f>
        <v>0</v>
      </c>
      <c r="G2449">
        <f>[2]TongHop!G2449</f>
        <v>0</v>
      </c>
      <c r="H2449">
        <f>[2]TongHop!H2449</f>
        <v>0</v>
      </c>
      <c r="I2449">
        <f>[2]TongHop!I2449</f>
        <v>0</v>
      </c>
      <c r="J2449">
        <f>[2]TongHop!J2449</f>
        <v>0</v>
      </c>
      <c r="K2449">
        <f>[2]TongHop!K2449</f>
        <v>0</v>
      </c>
      <c r="L2449">
        <f>[2]TongHop!L2449</f>
        <v>0</v>
      </c>
      <c r="M2449">
        <f>[2]TongHop!M2449</f>
        <v>0</v>
      </c>
      <c r="N2449">
        <f>[2]TongHop!N2449</f>
        <v>0</v>
      </c>
    </row>
    <row r="2450" spans="1:14">
      <c r="A2450">
        <f>[2]TongHop!A2450</f>
        <v>0</v>
      </c>
      <c r="B2450">
        <f>[2]TongHop!B2450</f>
        <v>0</v>
      </c>
      <c r="C2450">
        <f>[2]TongHop!C2450</f>
        <v>0</v>
      </c>
      <c r="D2450">
        <f>[2]TongHop!D2450</f>
        <v>0</v>
      </c>
      <c r="E2450">
        <f>[2]TongHop!E2450</f>
        <v>0</v>
      </c>
      <c r="F2450">
        <f>[2]TongHop!F2450</f>
        <v>0</v>
      </c>
      <c r="G2450">
        <f>[2]TongHop!G2450</f>
        <v>0</v>
      </c>
      <c r="H2450">
        <f>[2]TongHop!H2450</f>
        <v>0</v>
      </c>
      <c r="I2450">
        <f>[2]TongHop!I2450</f>
        <v>0</v>
      </c>
      <c r="J2450">
        <f>[2]TongHop!J2450</f>
        <v>0</v>
      </c>
      <c r="K2450">
        <f>[2]TongHop!K2450</f>
        <v>0</v>
      </c>
      <c r="L2450">
        <f>[2]TongHop!L2450</f>
        <v>0</v>
      </c>
      <c r="M2450">
        <f>[2]TongHop!M2450</f>
        <v>0</v>
      </c>
      <c r="N2450">
        <f>[2]TongHop!N2450</f>
        <v>0</v>
      </c>
    </row>
    <row r="2451" spans="1:14">
      <c r="A2451">
        <f>[2]TongHop!A2451</f>
        <v>0</v>
      </c>
      <c r="B2451">
        <f>[2]TongHop!B2451</f>
        <v>0</v>
      </c>
      <c r="C2451">
        <f>[2]TongHop!C2451</f>
        <v>0</v>
      </c>
      <c r="D2451">
        <f>[2]TongHop!D2451</f>
        <v>0</v>
      </c>
      <c r="E2451">
        <f>[2]TongHop!E2451</f>
        <v>0</v>
      </c>
      <c r="F2451">
        <f>[2]TongHop!F2451</f>
        <v>0</v>
      </c>
      <c r="G2451">
        <f>[2]TongHop!G2451</f>
        <v>0</v>
      </c>
      <c r="H2451">
        <f>[2]TongHop!H2451</f>
        <v>0</v>
      </c>
      <c r="I2451">
        <f>[2]TongHop!I2451</f>
        <v>0</v>
      </c>
      <c r="J2451">
        <f>[2]TongHop!J2451</f>
        <v>0</v>
      </c>
      <c r="K2451">
        <f>[2]TongHop!K2451</f>
        <v>0</v>
      </c>
      <c r="L2451">
        <f>[2]TongHop!L2451</f>
        <v>0</v>
      </c>
      <c r="M2451">
        <f>[2]TongHop!M2451</f>
        <v>0</v>
      </c>
      <c r="N2451">
        <f>[2]TongHop!N2451</f>
        <v>0</v>
      </c>
    </row>
    <row r="2452" spans="1:14">
      <c r="A2452">
        <f>[2]TongHop!A2452</f>
        <v>0</v>
      </c>
      <c r="B2452">
        <f>[2]TongHop!B2452</f>
        <v>0</v>
      </c>
      <c r="C2452">
        <f>[2]TongHop!C2452</f>
        <v>0</v>
      </c>
      <c r="D2452">
        <f>[2]TongHop!D2452</f>
        <v>0</v>
      </c>
      <c r="E2452">
        <f>[2]TongHop!E2452</f>
        <v>0</v>
      </c>
      <c r="F2452">
        <f>[2]TongHop!F2452</f>
        <v>0</v>
      </c>
      <c r="G2452">
        <f>[2]TongHop!G2452</f>
        <v>0</v>
      </c>
      <c r="H2452">
        <f>[2]TongHop!H2452</f>
        <v>0</v>
      </c>
      <c r="I2452">
        <f>[2]TongHop!I2452</f>
        <v>0</v>
      </c>
      <c r="J2452">
        <f>[2]TongHop!J2452</f>
        <v>0</v>
      </c>
      <c r="K2452">
        <f>[2]TongHop!K2452</f>
        <v>0</v>
      </c>
      <c r="L2452">
        <f>[2]TongHop!L2452</f>
        <v>0</v>
      </c>
      <c r="M2452">
        <f>[2]TongHop!M2452</f>
        <v>0</v>
      </c>
      <c r="N2452">
        <f>[2]TongHop!N2452</f>
        <v>0</v>
      </c>
    </row>
    <row r="2453" spans="1:14">
      <c r="A2453">
        <f>[2]TongHop!A2453</f>
        <v>0</v>
      </c>
      <c r="B2453">
        <f>[2]TongHop!B2453</f>
        <v>0</v>
      </c>
      <c r="C2453">
        <f>[2]TongHop!C2453</f>
        <v>0</v>
      </c>
      <c r="D2453">
        <f>[2]TongHop!D2453</f>
        <v>0</v>
      </c>
      <c r="E2453">
        <f>[2]TongHop!E2453</f>
        <v>0</v>
      </c>
      <c r="F2453">
        <f>[2]TongHop!F2453</f>
        <v>0</v>
      </c>
      <c r="G2453">
        <f>[2]TongHop!G2453</f>
        <v>0</v>
      </c>
      <c r="H2453">
        <f>[2]TongHop!H2453</f>
        <v>0</v>
      </c>
      <c r="I2453">
        <f>[2]TongHop!I2453</f>
        <v>0</v>
      </c>
      <c r="J2453">
        <f>[2]TongHop!J2453</f>
        <v>0</v>
      </c>
      <c r="K2453">
        <f>[2]TongHop!K2453</f>
        <v>0</v>
      </c>
      <c r="L2453">
        <f>[2]TongHop!L2453</f>
        <v>0</v>
      </c>
      <c r="M2453">
        <f>[2]TongHop!M2453</f>
        <v>0</v>
      </c>
      <c r="N2453">
        <f>[2]TongHop!N2453</f>
        <v>0</v>
      </c>
    </row>
    <row r="2454" spans="1:14">
      <c r="A2454">
        <f>[2]TongHop!A2454</f>
        <v>0</v>
      </c>
      <c r="B2454">
        <f>[2]TongHop!B2454</f>
        <v>0</v>
      </c>
      <c r="C2454">
        <f>[2]TongHop!C2454</f>
        <v>0</v>
      </c>
      <c r="D2454">
        <f>[2]TongHop!D2454</f>
        <v>0</v>
      </c>
      <c r="E2454">
        <f>[2]TongHop!E2454</f>
        <v>0</v>
      </c>
      <c r="F2454">
        <f>[2]TongHop!F2454</f>
        <v>0</v>
      </c>
      <c r="G2454">
        <f>[2]TongHop!G2454</f>
        <v>0</v>
      </c>
      <c r="H2454">
        <f>[2]TongHop!H2454</f>
        <v>0</v>
      </c>
      <c r="I2454">
        <f>[2]TongHop!I2454</f>
        <v>0</v>
      </c>
      <c r="J2454">
        <f>[2]TongHop!J2454</f>
        <v>0</v>
      </c>
      <c r="K2454">
        <f>[2]TongHop!K2454</f>
        <v>0</v>
      </c>
      <c r="L2454">
        <f>[2]TongHop!L2454</f>
        <v>0</v>
      </c>
      <c r="M2454">
        <f>[2]TongHop!M2454</f>
        <v>0</v>
      </c>
      <c r="N2454">
        <f>[2]TongHop!N2454</f>
        <v>0</v>
      </c>
    </row>
    <row r="2455" spans="1:14">
      <c r="A2455">
        <f>[2]TongHop!A2455</f>
        <v>0</v>
      </c>
      <c r="B2455">
        <f>[2]TongHop!B2455</f>
        <v>0</v>
      </c>
      <c r="C2455">
        <f>[2]TongHop!C2455</f>
        <v>0</v>
      </c>
      <c r="D2455">
        <f>[2]TongHop!D2455</f>
        <v>0</v>
      </c>
      <c r="E2455">
        <f>[2]TongHop!E2455</f>
        <v>0</v>
      </c>
      <c r="F2455">
        <f>[2]TongHop!F2455</f>
        <v>0</v>
      </c>
      <c r="G2455">
        <f>[2]TongHop!G2455</f>
        <v>0</v>
      </c>
      <c r="H2455">
        <f>[2]TongHop!H2455</f>
        <v>0</v>
      </c>
      <c r="I2455">
        <f>[2]TongHop!I2455</f>
        <v>0</v>
      </c>
      <c r="J2455">
        <f>[2]TongHop!J2455</f>
        <v>0</v>
      </c>
      <c r="K2455">
        <f>[2]TongHop!K2455</f>
        <v>0</v>
      </c>
      <c r="L2455">
        <f>[2]TongHop!L2455</f>
        <v>0</v>
      </c>
      <c r="M2455">
        <f>[2]TongHop!M2455</f>
        <v>0</v>
      </c>
      <c r="N2455">
        <f>[2]TongHop!N2455</f>
        <v>0</v>
      </c>
    </row>
    <row r="2456" spans="1:14">
      <c r="A2456">
        <f>[2]TongHop!A2456</f>
        <v>0</v>
      </c>
      <c r="B2456">
        <f>[2]TongHop!B2456</f>
        <v>0</v>
      </c>
      <c r="C2456">
        <f>[2]TongHop!C2456</f>
        <v>0</v>
      </c>
      <c r="D2456">
        <f>[2]TongHop!D2456</f>
        <v>0</v>
      </c>
      <c r="E2456">
        <f>[2]TongHop!E2456</f>
        <v>0</v>
      </c>
      <c r="F2456">
        <f>[2]TongHop!F2456</f>
        <v>0</v>
      </c>
      <c r="G2456">
        <f>[2]TongHop!G2456</f>
        <v>0</v>
      </c>
      <c r="H2456">
        <f>[2]TongHop!H2456</f>
        <v>0</v>
      </c>
      <c r="I2456">
        <f>[2]TongHop!I2456</f>
        <v>0</v>
      </c>
      <c r="J2456">
        <f>[2]TongHop!J2456</f>
        <v>0</v>
      </c>
      <c r="K2456">
        <f>[2]TongHop!K2456</f>
        <v>0</v>
      </c>
      <c r="L2456">
        <f>[2]TongHop!L2456</f>
        <v>0</v>
      </c>
      <c r="M2456">
        <f>[2]TongHop!M2456</f>
        <v>0</v>
      </c>
      <c r="N2456">
        <f>[2]TongHop!N2456</f>
        <v>0</v>
      </c>
    </row>
    <row r="2457" spans="1:14">
      <c r="A2457">
        <f>[2]TongHop!A2457</f>
        <v>0</v>
      </c>
      <c r="B2457">
        <f>[2]TongHop!B2457</f>
        <v>0</v>
      </c>
      <c r="C2457">
        <f>[2]TongHop!C2457</f>
        <v>0</v>
      </c>
      <c r="D2457">
        <f>[2]TongHop!D2457</f>
        <v>0</v>
      </c>
      <c r="E2457">
        <f>[2]TongHop!E2457</f>
        <v>0</v>
      </c>
      <c r="F2457">
        <f>[2]TongHop!F2457</f>
        <v>0</v>
      </c>
      <c r="G2457">
        <f>[2]TongHop!G2457</f>
        <v>0</v>
      </c>
      <c r="H2457">
        <f>[2]TongHop!H2457</f>
        <v>0</v>
      </c>
      <c r="I2457">
        <f>[2]TongHop!I2457</f>
        <v>0</v>
      </c>
      <c r="J2457">
        <f>[2]TongHop!J2457</f>
        <v>0</v>
      </c>
      <c r="K2457">
        <f>[2]TongHop!K2457</f>
        <v>0</v>
      </c>
      <c r="L2457">
        <f>[2]TongHop!L2457</f>
        <v>0</v>
      </c>
      <c r="M2457">
        <f>[2]TongHop!M2457</f>
        <v>0</v>
      </c>
      <c r="N2457">
        <f>[2]TongHop!N2457</f>
        <v>0</v>
      </c>
    </row>
    <row r="2458" spans="1:14">
      <c r="A2458">
        <f>[2]TongHop!A2458</f>
        <v>0</v>
      </c>
      <c r="B2458">
        <f>[2]TongHop!B2458</f>
        <v>0</v>
      </c>
      <c r="C2458">
        <f>[2]TongHop!C2458</f>
        <v>0</v>
      </c>
      <c r="D2458">
        <f>[2]TongHop!D2458</f>
        <v>0</v>
      </c>
      <c r="E2458">
        <f>[2]TongHop!E2458</f>
        <v>0</v>
      </c>
      <c r="F2458">
        <f>[2]TongHop!F2458</f>
        <v>0</v>
      </c>
      <c r="G2458">
        <f>[2]TongHop!G2458</f>
        <v>0</v>
      </c>
      <c r="H2458">
        <f>[2]TongHop!H2458</f>
        <v>0</v>
      </c>
      <c r="I2458">
        <f>[2]TongHop!I2458</f>
        <v>0</v>
      </c>
      <c r="J2458">
        <f>[2]TongHop!J2458</f>
        <v>0</v>
      </c>
      <c r="K2458">
        <f>[2]TongHop!K2458</f>
        <v>0</v>
      </c>
      <c r="L2458">
        <f>[2]TongHop!L2458</f>
        <v>0</v>
      </c>
      <c r="M2458">
        <f>[2]TongHop!M2458</f>
        <v>0</v>
      </c>
      <c r="N2458">
        <f>[2]TongHop!N2458</f>
        <v>0</v>
      </c>
    </row>
    <row r="2459" spans="1:14">
      <c r="A2459">
        <f>[2]TongHop!A2459</f>
        <v>0</v>
      </c>
      <c r="B2459">
        <f>[2]TongHop!B2459</f>
        <v>0</v>
      </c>
      <c r="C2459">
        <f>[2]TongHop!C2459</f>
        <v>0</v>
      </c>
      <c r="D2459">
        <f>[2]TongHop!D2459</f>
        <v>0</v>
      </c>
      <c r="E2459">
        <f>[2]TongHop!E2459</f>
        <v>0</v>
      </c>
      <c r="F2459">
        <f>[2]TongHop!F2459</f>
        <v>0</v>
      </c>
      <c r="G2459">
        <f>[2]TongHop!G2459</f>
        <v>0</v>
      </c>
      <c r="H2459">
        <f>[2]TongHop!H2459</f>
        <v>0</v>
      </c>
      <c r="I2459">
        <f>[2]TongHop!I2459</f>
        <v>0</v>
      </c>
      <c r="J2459">
        <f>[2]TongHop!J2459</f>
        <v>0</v>
      </c>
      <c r="K2459">
        <f>[2]TongHop!K2459</f>
        <v>0</v>
      </c>
      <c r="L2459">
        <f>[2]TongHop!L2459</f>
        <v>0</v>
      </c>
      <c r="M2459">
        <f>[2]TongHop!M2459</f>
        <v>0</v>
      </c>
      <c r="N2459">
        <f>[2]TongHop!N2459</f>
        <v>0</v>
      </c>
    </row>
    <row r="2460" spans="1:14">
      <c r="A2460">
        <f>[2]TongHop!A2460</f>
        <v>0</v>
      </c>
      <c r="B2460">
        <f>[2]TongHop!B2460</f>
        <v>0</v>
      </c>
      <c r="C2460">
        <f>[2]TongHop!C2460</f>
        <v>0</v>
      </c>
      <c r="D2460">
        <f>[2]TongHop!D2460</f>
        <v>0</v>
      </c>
      <c r="E2460">
        <f>[2]TongHop!E2460</f>
        <v>0</v>
      </c>
      <c r="F2460">
        <f>[2]TongHop!F2460</f>
        <v>0</v>
      </c>
      <c r="G2460">
        <f>[2]TongHop!G2460</f>
        <v>0</v>
      </c>
      <c r="H2460">
        <f>[2]TongHop!H2460</f>
        <v>0</v>
      </c>
      <c r="I2460">
        <f>[2]TongHop!I2460</f>
        <v>0</v>
      </c>
      <c r="J2460">
        <f>[2]TongHop!J2460</f>
        <v>0</v>
      </c>
      <c r="K2460">
        <f>[2]TongHop!K2460</f>
        <v>0</v>
      </c>
      <c r="L2460">
        <f>[2]TongHop!L2460</f>
        <v>0</v>
      </c>
      <c r="M2460">
        <f>[2]TongHop!M2460</f>
        <v>0</v>
      </c>
      <c r="N2460">
        <f>[2]TongHop!N2460</f>
        <v>0</v>
      </c>
    </row>
    <row r="2461" spans="1:14">
      <c r="A2461">
        <f>[2]TongHop!A2461</f>
        <v>0</v>
      </c>
      <c r="B2461">
        <f>[2]TongHop!B2461</f>
        <v>0</v>
      </c>
      <c r="C2461">
        <f>[2]TongHop!C2461</f>
        <v>0</v>
      </c>
      <c r="D2461">
        <f>[2]TongHop!D2461</f>
        <v>0</v>
      </c>
      <c r="E2461">
        <f>[2]TongHop!E2461</f>
        <v>0</v>
      </c>
      <c r="F2461">
        <f>[2]TongHop!F2461</f>
        <v>0</v>
      </c>
      <c r="G2461">
        <f>[2]TongHop!G2461</f>
        <v>0</v>
      </c>
      <c r="H2461">
        <f>[2]TongHop!H2461</f>
        <v>0</v>
      </c>
      <c r="I2461">
        <f>[2]TongHop!I2461</f>
        <v>0</v>
      </c>
      <c r="J2461">
        <f>[2]TongHop!J2461</f>
        <v>0</v>
      </c>
      <c r="K2461">
        <f>[2]TongHop!K2461</f>
        <v>0</v>
      </c>
      <c r="L2461">
        <f>[2]TongHop!L2461</f>
        <v>0</v>
      </c>
      <c r="M2461">
        <f>[2]TongHop!M2461</f>
        <v>0</v>
      </c>
      <c r="N2461">
        <f>[2]TongHop!N2461</f>
        <v>0</v>
      </c>
    </row>
    <row r="2462" spans="1:14">
      <c r="A2462">
        <f>[2]TongHop!A2462</f>
        <v>0</v>
      </c>
      <c r="B2462">
        <f>[2]TongHop!B2462</f>
        <v>0</v>
      </c>
      <c r="C2462">
        <f>[2]TongHop!C2462</f>
        <v>0</v>
      </c>
      <c r="D2462">
        <f>[2]TongHop!D2462</f>
        <v>0</v>
      </c>
      <c r="E2462">
        <f>[2]TongHop!E2462</f>
        <v>0</v>
      </c>
      <c r="F2462">
        <f>[2]TongHop!F2462</f>
        <v>0</v>
      </c>
      <c r="G2462">
        <f>[2]TongHop!G2462</f>
        <v>0</v>
      </c>
      <c r="H2462">
        <f>[2]TongHop!H2462</f>
        <v>0</v>
      </c>
      <c r="I2462">
        <f>[2]TongHop!I2462</f>
        <v>0</v>
      </c>
      <c r="J2462">
        <f>[2]TongHop!J2462</f>
        <v>0</v>
      </c>
      <c r="K2462">
        <f>[2]TongHop!K2462</f>
        <v>0</v>
      </c>
      <c r="L2462">
        <f>[2]TongHop!L2462</f>
        <v>0</v>
      </c>
      <c r="M2462">
        <f>[2]TongHop!M2462</f>
        <v>0</v>
      </c>
      <c r="N2462">
        <f>[2]TongHop!N2462</f>
        <v>0</v>
      </c>
    </row>
    <row r="2463" spans="1:14">
      <c r="A2463">
        <f>[2]TongHop!A2463</f>
        <v>0</v>
      </c>
      <c r="B2463">
        <f>[2]TongHop!B2463</f>
        <v>0</v>
      </c>
      <c r="C2463">
        <f>[2]TongHop!C2463</f>
        <v>0</v>
      </c>
      <c r="D2463">
        <f>[2]TongHop!D2463</f>
        <v>0</v>
      </c>
      <c r="E2463">
        <f>[2]TongHop!E2463</f>
        <v>0</v>
      </c>
      <c r="F2463">
        <f>[2]TongHop!F2463</f>
        <v>0</v>
      </c>
      <c r="G2463">
        <f>[2]TongHop!G2463</f>
        <v>0</v>
      </c>
      <c r="H2463">
        <f>[2]TongHop!H2463</f>
        <v>0</v>
      </c>
      <c r="I2463">
        <f>[2]TongHop!I2463</f>
        <v>0</v>
      </c>
      <c r="J2463">
        <f>[2]TongHop!J2463</f>
        <v>0</v>
      </c>
      <c r="K2463">
        <f>[2]TongHop!K2463</f>
        <v>0</v>
      </c>
      <c r="L2463">
        <f>[2]TongHop!L2463</f>
        <v>0</v>
      </c>
      <c r="M2463">
        <f>[2]TongHop!M2463</f>
        <v>0</v>
      </c>
      <c r="N2463">
        <f>[2]TongHop!N2463</f>
        <v>0</v>
      </c>
    </row>
    <row r="2464" spans="1:14">
      <c r="A2464">
        <f>[2]TongHop!A2464</f>
        <v>0</v>
      </c>
      <c r="B2464">
        <f>[2]TongHop!B2464</f>
        <v>0</v>
      </c>
      <c r="C2464">
        <f>[2]TongHop!C2464</f>
        <v>0</v>
      </c>
      <c r="D2464">
        <f>[2]TongHop!D2464</f>
        <v>0</v>
      </c>
      <c r="E2464">
        <f>[2]TongHop!E2464</f>
        <v>0</v>
      </c>
      <c r="F2464">
        <f>[2]TongHop!F2464</f>
        <v>0</v>
      </c>
      <c r="G2464">
        <f>[2]TongHop!G2464</f>
        <v>0</v>
      </c>
      <c r="H2464">
        <f>[2]TongHop!H2464</f>
        <v>0</v>
      </c>
      <c r="I2464">
        <f>[2]TongHop!I2464</f>
        <v>0</v>
      </c>
      <c r="J2464">
        <f>[2]TongHop!J2464</f>
        <v>0</v>
      </c>
      <c r="K2464">
        <f>[2]TongHop!K2464</f>
        <v>0</v>
      </c>
      <c r="L2464">
        <f>[2]TongHop!L2464</f>
        <v>0</v>
      </c>
      <c r="M2464">
        <f>[2]TongHop!M2464</f>
        <v>0</v>
      </c>
      <c r="N2464">
        <f>[2]TongHop!N2464</f>
        <v>0</v>
      </c>
    </row>
    <row r="2465" spans="1:14">
      <c r="A2465">
        <f>[2]TongHop!A2465</f>
        <v>0</v>
      </c>
      <c r="B2465">
        <f>[2]TongHop!B2465</f>
        <v>0</v>
      </c>
      <c r="C2465">
        <f>[2]TongHop!C2465</f>
        <v>0</v>
      </c>
      <c r="D2465">
        <f>[2]TongHop!D2465</f>
        <v>0</v>
      </c>
      <c r="E2465">
        <f>[2]TongHop!E2465</f>
        <v>0</v>
      </c>
      <c r="F2465">
        <f>[2]TongHop!F2465</f>
        <v>0</v>
      </c>
      <c r="G2465">
        <f>[2]TongHop!G2465</f>
        <v>0</v>
      </c>
      <c r="H2465">
        <f>[2]TongHop!H2465</f>
        <v>0</v>
      </c>
      <c r="I2465">
        <f>[2]TongHop!I2465</f>
        <v>0</v>
      </c>
      <c r="J2465">
        <f>[2]TongHop!J2465</f>
        <v>0</v>
      </c>
      <c r="K2465">
        <f>[2]TongHop!K2465</f>
        <v>0</v>
      </c>
      <c r="L2465">
        <f>[2]TongHop!L2465</f>
        <v>0</v>
      </c>
      <c r="M2465">
        <f>[2]TongHop!M2465</f>
        <v>0</v>
      </c>
      <c r="N2465">
        <f>[2]TongHop!N2465</f>
        <v>0</v>
      </c>
    </row>
    <row r="2466" spans="1:14">
      <c r="A2466">
        <f>[2]TongHop!A2466</f>
        <v>0</v>
      </c>
      <c r="B2466">
        <f>[2]TongHop!B2466</f>
        <v>0</v>
      </c>
      <c r="C2466">
        <f>[2]TongHop!C2466</f>
        <v>0</v>
      </c>
      <c r="D2466">
        <f>[2]TongHop!D2466</f>
        <v>0</v>
      </c>
      <c r="E2466">
        <f>[2]TongHop!E2466</f>
        <v>0</v>
      </c>
      <c r="F2466">
        <f>[2]TongHop!F2466</f>
        <v>0</v>
      </c>
      <c r="G2466">
        <f>[2]TongHop!G2466</f>
        <v>0</v>
      </c>
      <c r="H2466">
        <f>[2]TongHop!H2466</f>
        <v>0</v>
      </c>
      <c r="I2466">
        <f>[2]TongHop!I2466</f>
        <v>0</v>
      </c>
      <c r="J2466">
        <f>[2]TongHop!J2466</f>
        <v>0</v>
      </c>
      <c r="K2466">
        <f>[2]TongHop!K2466</f>
        <v>0</v>
      </c>
      <c r="L2466">
        <f>[2]TongHop!L2466</f>
        <v>0</v>
      </c>
      <c r="M2466">
        <f>[2]TongHop!M2466</f>
        <v>0</v>
      </c>
      <c r="N2466">
        <f>[2]TongHop!N2466</f>
        <v>0</v>
      </c>
    </row>
    <row r="2467" spans="1:14">
      <c r="A2467">
        <f>[2]TongHop!A2467</f>
        <v>0</v>
      </c>
      <c r="B2467">
        <f>[2]TongHop!B2467</f>
        <v>0</v>
      </c>
      <c r="C2467">
        <f>[2]TongHop!C2467</f>
        <v>0</v>
      </c>
      <c r="D2467">
        <f>[2]TongHop!D2467</f>
        <v>0</v>
      </c>
      <c r="E2467">
        <f>[2]TongHop!E2467</f>
        <v>0</v>
      </c>
      <c r="F2467">
        <f>[2]TongHop!F2467</f>
        <v>0</v>
      </c>
      <c r="G2467">
        <f>[2]TongHop!G2467</f>
        <v>0</v>
      </c>
      <c r="H2467">
        <f>[2]TongHop!H2467</f>
        <v>0</v>
      </c>
      <c r="I2467">
        <f>[2]TongHop!I2467</f>
        <v>0</v>
      </c>
      <c r="J2467">
        <f>[2]TongHop!J2467</f>
        <v>0</v>
      </c>
      <c r="K2467">
        <f>[2]TongHop!K2467</f>
        <v>0</v>
      </c>
      <c r="L2467">
        <f>[2]TongHop!L2467</f>
        <v>0</v>
      </c>
      <c r="M2467">
        <f>[2]TongHop!M2467</f>
        <v>0</v>
      </c>
      <c r="N2467">
        <f>[2]TongHop!N2467</f>
        <v>0</v>
      </c>
    </row>
    <row r="2468" spans="1:14">
      <c r="A2468">
        <f>[2]TongHop!A2468</f>
        <v>0</v>
      </c>
      <c r="B2468">
        <f>[2]TongHop!B2468</f>
        <v>0</v>
      </c>
      <c r="C2468">
        <f>[2]TongHop!C2468</f>
        <v>0</v>
      </c>
      <c r="D2468">
        <f>[2]TongHop!D2468</f>
        <v>0</v>
      </c>
      <c r="E2468">
        <f>[2]TongHop!E2468</f>
        <v>0</v>
      </c>
      <c r="F2468">
        <f>[2]TongHop!F2468</f>
        <v>0</v>
      </c>
      <c r="G2468">
        <f>[2]TongHop!G2468</f>
        <v>0</v>
      </c>
      <c r="H2468">
        <f>[2]TongHop!H2468</f>
        <v>0</v>
      </c>
      <c r="I2468">
        <f>[2]TongHop!I2468</f>
        <v>0</v>
      </c>
      <c r="J2468">
        <f>[2]TongHop!J2468</f>
        <v>0</v>
      </c>
      <c r="K2468">
        <f>[2]TongHop!K2468</f>
        <v>0</v>
      </c>
      <c r="L2468">
        <f>[2]TongHop!L2468</f>
        <v>0</v>
      </c>
      <c r="M2468">
        <f>[2]TongHop!M2468</f>
        <v>0</v>
      </c>
      <c r="N2468">
        <f>[2]TongHop!N2468</f>
        <v>0</v>
      </c>
    </row>
    <row r="2469" spans="1:14">
      <c r="A2469">
        <f>[2]TongHop!A2469</f>
        <v>0</v>
      </c>
      <c r="B2469">
        <f>[2]TongHop!B2469</f>
        <v>0</v>
      </c>
      <c r="C2469">
        <f>[2]TongHop!C2469</f>
        <v>0</v>
      </c>
      <c r="D2469">
        <f>[2]TongHop!D2469</f>
        <v>0</v>
      </c>
      <c r="E2469">
        <f>[2]TongHop!E2469</f>
        <v>0</v>
      </c>
      <c r="F2469">
        <f>[2]TongHop!F2469</f>
        <v>0</v>
      </c>
      <c r="G2469">
        <f>[2]TongHop!G2469</f>
        <v>0</v>
      </c>
      <c r="H2469">
        <f>[2]TongHop!H2469</f>
        <v>0</v>
      </c>
      <c r="I2469">
        <f>[2]TongHop!I2469</f>
        <v>0</v>
      </c>
      <c r="J2469">
        <f>[2]TongHop!J2469</f>
        <v>0</v>
      </c>
      <c r="K2469">
        <f>[2]TongHop!K2469</f>
        <v>0</v>
      </c>
      <c r="L2469">
        <f>[2]TongHop!L2469</f>
        <v>0</v>
      </c>
      <c r="M2469">
        <f>[2]TongHop!M2469</f>
        <v>0</v>
      </c>
      <c r="N2469">
        <f>[2]TongHop!N2469</f>
        <v>0</v>
      </c>
    </row>
    <row r="2470" spans="1:14">
      <c r="A2470">
        <f>[2]TongHop!A2470</f>
        <v>0</v>
      </c>
      <c r="B2470">
        <f>[2]TongHop!B2470</f>
        <v>0</v>
      </c>
      <c r="C2470">
        <f>[2]TongHop!C2470</f>
        <v>0</v>
      </c>
      <c r="D2470">
        <f>[2]TongHop!D2470</f>
        <v>0</v>
      </c>
      <c r="E2470">
        <f>[2]TongHop!E2470</f>
        <v>0</v>
      </c>
      <c r="F2470">
        <f>[2]TongHop!F2470</f>
        <v>0</v>
      </c>
      <c r="G2470">
        <f>[2]TongHop!G2470</f>
        <v>0</v>
      </c>
      <c r="H2470">
        <f>[2]TongHop!H2470</f>
        <v>0</v>
      </c>
      <c r="I2470">
        <f>[2]TongHop!I2470</f>
        <v>0</v>
      </c>
      <c r="J2470">
        <f>[2]TongHop!J2470</f>
        <v>0</v>
      </c>
      <c r="K2470">
        <f>[2]TongHop!K2470</f>
        <v>0</v>
      </c>
      <c r="L2470">
        <f>[2]TongHop!L2470</f>
        <v>0</v>
      </c>
      <c r="M2470">
        <f>[2]TongHop!M2470</f>
        <v>0</v>
      </c>
      <c r="N2470">
        <f>[2]TongHop!N2470</f>
        <v>0</v>
      </c>
    </row>
    <row r="2471" spans="1:14">
      <c r="A2471">
        <f>[2]TongHop!A2471</f>
        <v>0</v>
      </c>
      <c r="B2471">
        <f>[2]TongHop!B2471</f>
        <v>0</v>
      </c>
      <c r="C2471">
        <f>[2]TongHop!C2471</f>
        <v>0</v>
      </c>
      <c r="D2471">
        <f>[2]TongHop!D2471</f>
        <v>0</v>
      </c>
      <c r="E2471">
        <f>[2]TongHop!E2471</f>
        <v>0</v>
      </c>
      <c r="F2471">
        <f>[2]TongHop!F2471</f>
        <v>0</v>
      </c>
      <c r="G2471">
        <f>[2]TongHop!G2471</f>
        <v>0</v>
      </c>
      <c r="H2471">
        <f>[2]TongHop!H2471</f>
        <v>0</v>
      </c>
      <c r="I2471">
        <f>[2]TongHop!I2471</f>
        <v>0</v>
      </c>
      <c r="J2471">
        <f>[2]TongHop!J2471</f>
        <v>0</v>
      </c>
      <c r="K2471">
        <f>[2]TongHop!K2471</f>
        <v>0</v>
      </c>
      <c r="L2471">
        <f>[2]TongHop!L2471</f>
        <v>0</v>
      </c>
      <c r="M2471">
        <f>[2]TongHop!M2471</f>
        <v>0</v>
      </c>
      <c r="N2471">
        <f>[2]TongHop!N2471</f>
        <v>0</v>
      </c>
    </row>
    <row r="2472" spans="1:14">
      <c r="A2472">
        <f>[2]TongHop!A2472</f>
        <v>0</v>
      </c>
      <c r="B2472">
        <f>[2]TongHop!B2472</f>
        <v>0</v>
      </c>
      <c r="C2472">
        <f>[2]TongHop!C2472</f>
        <v>0</v>
      </c>
      <c r="D2472">
        <f>[2]TongHop!D2472</f>
        <v>0</v>
      </c>
      <c r="E2472">
        <f>[2]TongHop!E2472</f>
        <v>0</v>
      </c>
      <c r="F2472">
        <f>[2]TongHop!F2472</f>
        <v>0</v>
      </c>
      <c r="G2472">
        <f>[2]TongHop!G2472</f>
        <v>0</v>
      </c>
      <c r="H2472">
        <f>[2]TongHop!H2472</f>
        <v>0</v>
      </c>
      <c r="I2472">
        <f>[2]TongHop!I2472</f>
        <v>0</v>
      </c>
      <c r="J2472">
        <f>[2]TongHop!J2472</f>
        <v>0</v>
      </c>
      <c r="K2472">
        <f>[2]TongHop!K2472</f>
        <v>0</v>
      </c>
      <c r="L2472">
        <f>[2]TongHop!L2472</f>
        <v>0</v>
      </c>
      <c r="M2472">
        <f>[2]TongHop!M2472</f>
        <v>0</v>
      </c>
      <c r="N2472">
        <f>[2]TongHop!N2472</f>
        <v>0</v>
      </c>
    </row>
    <row r="2473" spans="1:14">
      <c r="A2473">
        <f>[2]TongHop!A2473</f>
        <v>0</v>
      </c>
      <c r="B2473">
        <f>[2]TongHop!B2473</f>
        <v>0</v>
      </c>
      <c r="C2473">
        <f>[2]TongHop!C2473</f>
        <v>0</v>
      </c>
      <c r="D2473">
        <f>[2]TongHop!D2473</f>
        <v>0</v>
      </c>
      <c r="E2473">
        <f>[2]TongHop!E2473</f>
        <v>0</v>
      </c>
      <c r="F2473">
        <f>[2]TongHop!F2473</f>
        <v>0</v>
      </c>
      <c r="G2473">
        <f>[2]TongHop!G2473</f>
        <v>0</v>
      </c>
      <c r="H2473">
        <f>[2]TongHop!H2473</f>
        <v>0</v>
      </c>
      <c r="I2473">
        <f>[2]TongHop!I2473</f>
        <v>0</v>
      </c>
      <c r="J2473">
        <f>[2]TongHop!J2473</f>
        <v>0</v>
      </c>
      <c r="K2473">
        <f>[2]TongHop!K2473</f>
        <v>0</v>
      </c>
      <c r="L2473">
        <f>[2]TongHop!L2473</f>
        <v>0</v>
      </c>
      <c r="M2473">
        <f>[2]TongHop!M2473</f>
        <v>0</v>
      </c>
      <c r="N2473">
        <f>[2]TongHop!N2473</f>
        <v>0</v>
      </c>
    </row>
    <row r="2474" spans="1:14">
      <c r="A2474">
        <f>[2]TongHop!A2474</f>
        <v>0</v>
      </c>
      <c r="B2474">
        <f>[2]TongHop!B2474</f>
        <v>0</v>
      </c>
      <c r="C2474">
        <f>[2]TongHop!C2474</f>
        <v>0</v>
      </c>
      <c r="D2474">
        <f>[2]TongHop!D2474</f>
        <v>0</v>
      </c>
      <c r="E2474">
        <f>[2]TongHop!E2474</f>
        <v>0</v>
      </c>
      <c r="F2474">
        <f>[2]TongHop!F2474</f>
        <v>0</v>
      </c>
      <c r="G2474">
        <f>[2]TongHop!G2474</f>
        <v>0</v>
      </c>
      <c r="H2474">
        <f>[2]TongHop!H2474</f>
        <v>0</v>
      </c>
      <c r="I2474">
        <f>[2]TongHop!I2474</f>
        <v>0</v>
      </c>
      <c r="J2474">
        <f>[2]TongHop!J2474</f>
        <v>0</v>
      </c>
      <c r="K2474">
        <f>[2]TongHop!K2474</f>
        <v>0</v>
      </c>
      <c r="L2474">
        <f>[2]TongHop!L2474</f>
        <v>0</v>
      </c>
      <c r="M2474">
        <f>[2]TongHop!M2474</f>
        <v>0</v>
      </c>
      <c r="N2474">
        <f>[2]TongHop!N2474</f>
        <v>0</v>
      </c>
    </row>
    <row r="2475" spans="1:14">
      <c r="A2475">
        <f>[2]TongHop!A2475</f>
        <v>0</v>
      </c>
      <c r="B2475">
        <f>[2]TongHop!B2475</f>
        <v>0</v>
      </c>
      <c r="C2475">
        <f>[2]TongHop!C2475</f>
        <v>0</v>
      </c>
      <c r="D2475">
        <f>[2]TongHop!D2475</f>
        <v>0</v>
      </c>
      <c r="E2475">
        <f>[2]TongHop!E2475</f>
        <v>0</v>
      </c>
      <c r="F2475">
        <f>[2]TongHop!F2475</f>
        <v>0</v>
      </c>
      <c r="G2475">
        <f>[2]TongHop!G2475</f>
        <v>0</v>
      </c>
      <c r="H2475">
        <f>[2]TongHop!H2475</f>
        <v>0</v>
      </c>
      <c r="I2475">
        <f>[2]TongHop!I2475</f>
        <v>0</v>
      </c>
      <c r="J2475">
        <f>[2]TongHop!J2475</f>
        <v>0</v>
      </c>
      <c r="K2475">
        <f>[2]TongHop!K2475</f>
        <v>0</v>
      </c>
      <c r="L2475">
        <f>[2]TongHop!L2475</f>
        <v>0</v>
      </c>
      <c r="M2475">
        <f>[2]TongHop!M2475</f>
        <v>0</v>
      </c>
      <c r="N2475">
        <f>[2]TongHop!N2475</f>
        <v>0</v>
      </c>
    </row>
    <row r="2476" spans="1:14">
      <c r="A2476">
        <f>[2]TongHop!A2476</f>
        <v>0</v>
      </c>
      <c r="B2476">
        <f>[2]TongHop!B2476</f>
        <v>0</v>
      </c>
      <c r="C2476">
        <f>[2]TongHop!C2476</f>
        <v>0</v>
      </c>
      <c r="D2476">
        <f>[2]TongHop!D2476</f>
        <v>0</v>
      </c>
      <c r="E2476">
        <f>[2]TongHop!E2476</f>
        <v>0</v>
      </c>
      <c r="F2476">
        <f>[2]TongHop!F2476</f>
        <v>0</v>
      </c>
      <c r="G2476">
        <f>[2]TongHop!G2476</f>
        <v>0</v>
      </c>
      <c r="H2476">
        <f>[2]TongHop!H2476</f>
        <v>0</v>
      </c>
      <c r="I2476">
        <f>[2]TongHop!I2476</f>
        <v>0</v>
      </c>
      <c r="J2476">
        <f>[2]TongHop!J2476</f>
        <v>0</v>
      </c>
      <c r="K2476">
        <f>[2]TongHop!K2476</f>
        <v>0</v>
      </c>
      <c r="L2476">
        <f>[2]TongHop!L2476</f>
        <v>0</v>
      </c>
      <c r="M2476">
        <f>[2]TongHop!M2476</f>
        <v>0</v>
      </c>
      <c r="N2476">
        <f>[2]TongHop!N2476</f>
        <v>0</v>
      </c>
    </row>
    <row r="2477" spans="1:14">
      <c r="A2477">
        <f>[2]TongHop!A2477</f>
        <v>0</v>
      </c>
      <c r="B2477">
        <f>[2]TongHop!B2477</f>
        <v>0</v>
      </c>
      <c r="C2477">
        <f>[2]TongHop!C2477</f>
        <v>0</v>
      </c>
      <c r="D2477">
        <f>[2]TongHop!D2477</f>
        <v>0</v>
      </c>
      <c r="E2477">
        <f>[2]TongHop!E2477</f>
        <v>0</v>
      </c>
      <c r="F2477">
        <f>[2]TongHop!F2477</f>
        <v>0</v>
      </c>
      <c r="G2477">
        <f>[2]TongHop!G2477</f>
        <v>0</v>
      </c>
      <c r="H2477">
        <f>[2]TongHop!H2477</f>
        <v>0</v>
      </c>
      <c r="I2477">
        <f>[2]TongHop!I2477</f>
        <v>0</v>
      </c>
      <c r="J2477">
        <f>[2]TongHop!J2477</f>
        <v>0</v>
      </c>
      <c r="K2477">
        <f>[2]TongHop!K2477</f>
        <v>0</v>
      </c>
      <c r="L2477">
        <f>[2]TongHop!L2477</f>
        <v>0</v>
      </c>
      <c r="M2477">
        <f>[2]TongHop!M2477</f>
        <v>0</v>
      </c>
      <c r="N2477">
        <f>[2]TongHop!N2477</f>
        <v>0</v>
      </c>
    </row>
    <row r="2478" spans="1:14">
      <c r="A2478">
        <f>[2]TongHop!A2478</f>
        <v>0</v>
      </c>
      <c r="B2478">
        <f>[2]TongHop!B2478</f>
        <v>0</v>
      </c>
      <c r="C2478">
        <f>[2]TongHop!C2478</f>
        <v>0</v>
      </c>
      <c r="D2478">
        <f>[2]TongHop!D2478</f>
        <v>0</v>
      </c>
      <c r="E2478">
        <f>[2]TongHop!E2478</f>
        <v>0</v>
      </c>
      <c r="F2478">
        <f>[2]TongHop!F2478</f>
        <v>0</v>
      </c>
      <c r="G2478">
        <f>[2]TongHop!G2478</f>
        <v>0</v>
      </c>
      <c r="H2478">
        <f>[2]TongHop!H2478</f>
        <v>0</v>
      </c>
      <c r="I2478">
        <f>[2]TongHop!I2478</f>
        <v>0</v>
      </c>
      <c r="J2478">
        <f>[2]TongHop!J2478</f>
        <v>0</v>
      </c>
      <c r="K2478">
        <f>[2]TongHop!K2478</f>
        <v>0</v>
      </c>
      <c r="L2478">
        <f>[2]TongHop!L2478</f>
        <v>0</v>
      </c>
      <c r="M2478">
        <f>[2]TongHop!M2478</f>
        <v>0</v>
      </c>
      <c r="N2478">
        <f>[2]TongHop!N2478</f>
        <v>0</v>
      </c>
    </row>
    <row r="2479" spans="1:14">
      <c r="A2479">
        <f>[2]TongHop!A2479</f>
        <v>0</v>
      </c>
      <c r="B2479">
        <f>[2]TongHop!B2479</f>
        <v>0</v>
      </c>
      <c r="C2479">
        <f>[2]TongHop!C2479</f>
        <v>0</v>
      </c>
      <c r="D2479">
        <f>[2]TongHop!D2479</f>
        <v>0</v>
      </c>
      <c r="E2479">
        <f>[2]TongHop!E2479</f>
        <v>0</v>
      </c>
      <c r="F2479">
        <f>[2]TongHop!F2479</f>
        <v>0</v>
      </c>
      <c r="G2479">
        <f>[2]TongHop!G2479</f>
        <v>0</v>
      </c>
      <c r="H2479">
        <f>[2]TongHop!H2479</f>
        <v>0</v>
      </c>
      <c r="I2479">
        <f>[2]TongHop!I2479</f>
        <v>0</v>
      </c>
      <c r="J2479">
        <f>[2]TongHop!J2479</f>
        <v>0</v>
      </c>
      <c r="K2479">
        <f>[2]TongHop!K2479</f>
        <v>0</v>
      </c>
      <c r="L2479">
        <f>[2]TongHop!L2479</f>
        <v>0</v>
      </c>
      <c r="M2479">
        <f>[2]TongHop!M2479</f>
        <v>0</v>
      </c>
      <c r="N2479">
        <f>[2]TongHop!N2479</f>
        <v>0</v>
      </c>
    </row>
    <row r="2480" spans="1:14">
      <c r="A2480">
        <f>[2]TongHop!A2480</f>
        <v>0</v>
      </c>
      <c r="B2480">
        <f>[2]TongHop!B2480</f>
        <v>0</v>
      </c>
      <c r="C2480">
        <f>[2]TongHop!C2480</f>
        <v>0</v>
      </c>
      <c r="D2480">
        <f>[2]TongHop!D2480</f>
        <v>0</v>
      </c>
      <c r="E2480">
        <f>[2]TongHop!E2480</f>
        <v>0</v>
      </c>
      <c r="F2480">
        <f>[2]TongHop!F2480</f>
        <v>0</v>
      </c>
      <c r="G2480">
        <f>[2]TongHop!G2480</f>
        <v>0</v>
      </c>
      <c r="H2480">
        <f>[2]TongHop!H2480</f>
        <v>0</v>
      </c>
      <c r="I2480">
        <f>[2]TongHop!I2480</f>
        <v>0</v>
      </c>
      <c r="J2480">
        <f>[2]TongHop!J2480</f>
        <v>0</v>
      </c>
      <c r="K2480">
        <f>[2]TongHop!K2480</f>
        <v>0</v>
      </c>
      <c r="L2480">
        <f>[2]TongHop!L2480</f>
        <v>0</v>
      </c>
      <c r="M2480">
        <f>[2]TongHop!M2480</f>
        <v>0</v>
      </c>
      <c r="N2480">
        <f>[2]TongHop!N2480</f>
        <v>0</v>
      </c>
    </row>
    <row r="2481" spans="1:14">
      <c r="A2481">
        <f>[2]TongHop!A2481</f>
        <v>0</v>
      </c>
      <c r="B2481">
        <f>[2]TongHop!B2481</f>
        <v>0</v>
      </c>
      <c r="C2481">
        <f>[2]TongHop!C2481</f>
        <v>0</v>
      </c>
      <c r="D2481">
        <f>[2]TongHop!D2481</f>
        <v>0</v>
      </c>
      <c r="E2481">
        <f>[2]TongHop!E2481</f>
        <v>0</v>
      </c>
      <c r="F2481">
        <f>[2]TongHop!F2481</f>
        <v>0</v>
      </c>
      <c r="G2481">
        <f>[2]TongHop!G2481</f>
        <v>0</v>
      </c>
      <c r="H2481">
        <f>[2]TongHop!H2481</f>
        <v>0</v>
      </c>
      <c r="I2481">
        <f>[2]TongHop!I2481</f>
        <v>0</v>
      </c>
      <c r="J2481">
        <f>[2]TongHop!J2481</f>
        <v>0</v>
      </c>
      <c r="K2481">
        <f>[2]TongHop!K2481</f>
        <v>0</v>
      </c>
      <c r="L2481">
        <f>[2]TongHop!L2481</f>
        <v>0</v>
      </c>
      <c r="M2481">
        <f>[2]TongHop!M2481</f>
        <v>0</v>
      </c>
      <c r="N2481">
        <f>[2]TongHop!N2481</f>
        <v>0</v>
      </c>
    </row>
    <row r="2482" spans="1:14">
      <c r="A2482">
        <f>[2]TongHop!A2482</f>
        <v>0</v>
      </c>
      <c r="B2482">
        <f>[2]TongHop!B2482</f>
        <v>0</v>
      </c>
      <c r="C2482">
        <f>[2]TongHop!C2482</f>
        <v>0</v>
      </c>
      <c r="D2482">
        <f>[2]TongHop!D2482</f>
        <v>0</v>
      </c>
      <c r="E2482">
        <f>[2]TongHop!E2482</f>
        <v>0</v>
      </c>
      <c r="F2482">
        <f>[2]TongHop!F2482</f>
        <v>0</v>
      </c>
      <c r="G2482">
        <f>[2]TongHop!G2482</f>
        <v>0</v>
      </c>
      <c r="H2482">
        <f>[2]TongHop!H2482</f>
        <v>0</v>
      </c>
      <c r="I2482">
        <f>[2]TongHop!I2482</f>
        <v>0</v>
      </c>
      <c r="J2482">
        <f>[2]TongHop!J2482</f>
        <v>0</v>
      </c>
      <c r="K2482">
        <f>[2]TongHop!K2482</f>
        <v>0</v>
      </c>
      <c r="L2482">
        <f>[2]TongHop!L2482</f>
        <v>0</v>
      </c>
      <c r="M2482">
        <f>[2]TongHop!M2482</f>
        <v>0</v>
      </c>
      <c r="N2482">
        <f>[2]TongHop!N2482</f>
        <v>0</v>
      </c>
    </row>
    <row r="2483" spans="1:14">
      <c r="A2483">
        <f>[2]TongHop!A2483</f>
        <v>0</v>
      </c>
      <c r="B2483">
        <f>[2]TongHop!B2483</f>
        <v>0</v>
      </c>
      <c r="C2483">
        <f>[2]TongHop!C2483</f>
        <v>0</v>
      </c>
      <c r="D2483">
        <f>[2]TongHop!D2483</f>
        <v>0</v>
      </c>
      <c r="E2483">
        <f>[2]TongHop!E2483</f>
        <v>0</v>
      </c>
      <c r="F2483">
        <f>[2]TongHop!F2483</f>
        <v>0</v>
      </c>
      <c r="G2483">
        <f>[2]TongHop!G2483</f>
        <v>0</v>
      </c>
      <c r="H2483">
        <f>[2]TongHop!H2483</f>
        <v>0</v>
      </c>
      <c r="I2483">
        <f>[2]TongHop!I2483</f>
        <v>0</v>
      </c>
      <c r="J2483">
        <f>[2]TongHop!J2483</f>
        <v>0</v>
      </c>
      <c r="K2483">
        <f>[2]TongHop!K2483</f>
        <v>0</v>
      </c>
      <c r="L2483">
        <f>[2]TongHop!L2483</f>
        <v>0</v>
      </c>
      <c r="M2483">
        <f>[2]TongHop!M2483</f>
        <v>0</v>
      </c>
      <c r="N2483">
        <f>[2]TongHop!N2483</f>
        <v>0</v>
      </c>
    </row>
    <row r="2484" spans="1:14">
      <c r="A2484">
        <f>[2]TongHop!A2484</f>
        <v>0</v>
      </c>
      <c r="B2484">
        <f>[2]TongHop!B2484</f>
        <v>0</v>
      </c>
      <c r="C2484">
        <f>[2]TongHop!C2484</f>
        <v>0</v>
      </c>
      <c r="D2484">
        <f>[2]TongHop!D2484</f>
        <v>0</v>
      </c>
      <c r="E2484">
        <f>[2]TongHop!E2484</f>
        <v>0</v>
      </c>
      <c r="F2484">
        <f>[2]TongHop!F2484</f>
        <v>0</v>
      </c>
      <c r="G2484">
        <f>[2]TongHop!G2484</f>
        <v>0</v>
      </c>
      <c r="H2484">
        <f>[2]TongHop!H2484</f>
        <v>0</v>
      </c>
      <c r="I2484">
        <f>[2]TongHop!I2484</f>
        <v>0</v>
      </c>
      <c r="J2484">
        <f>[2]TongHop!J2484</f>
        <v>0</v>
      </c>
      <c r="K2484">
        <f>[2]TongHop!K2484</f>
        <v>0</v>
      </c>
      <c r="L2484">
        <f>[2]TongHop!L2484</f>
        <v>0</v>
      </c>
      <c r="M2484">
        <f>[2]TongHop!M2484</f>
        <v>0</v>
      </c>
      <c r="N2484">
        <f>[2]TongHop!N2484</f>
        <v>0</v>
      </c>
    </row>
    <row r="2485" spans="1:14">
      <c r="A2485">
        <f>[2]TongHop!A2485</f>
        <v>0</v>
      </c>
      <c r="B2485">
        <f>[2]TongHop!B2485</f>
        <v>0</v>
      </c>
      <c r="C2485">
        <f>[2]TongHop!C2485</f>
        <v>0</v>
      </c>
      <c r="D2485">
        <f>[2]TongHop!D2485</f>
        <v>0</v>
      </c>
      <c r="E2485">
        <f>[2]TongHop!E2485</f>
        <v>0</v>
      </c>
      <c r="F2485">
        <f>[2]TongHop!F2485</f>
        <v>0</v>
      </c>
      <c r="G2485">
        <f>[2]TongHop!G2485</f>
        <v>0</v>
      </c>
      <c r="H2485">
        <f>[2]TongHop!H2485</f>
        <v>0</v>
      </c>
      <c r="I2485">
        <f>[2]TongHop!I2485</f>
        <v>0</v>
      </c>
      <c r="J2485">
        <f>[2]TongHop!J2485</f>
        <v>0</v>
      </c>
      <c r="K2485">
        <f>[2]TongHop!K2485</f>
        <v>0</v>
      </c>
      <c r="L2485">
        <f>[2]TongHop!L2485</f>
        <v>0</v>
      </c>
      <c r="M2485">
        <f>[2]TongHop!M2485</f>
        <v>0</v>
      </c>
      <c r="N2485">
        <f>[2]TongHop!N2485</f>
        <v>0</v>
      </c>
    </row>
    <row r="2486" spans="1:14">
      <c r="A2486">
        <f>[2]TongHop!A2486</f>
        <v>0</v>
      </c>
      <c r="B2486">
        <f>[2]TongHop!B2486</f>
        <v>0</v>
      </c>
      <c r="C2486">
        <f>[2]TongHop!C2486</f>
        <v>0</v>
      </c>
      <c r="D2486">
        <f>[2]TongHop!D2486</f>
        <v>0</v>
      </c>
      <c r="E2486">
        <f>[2]TongHop!E2486</f>
        <v>0</v>
      </c>
      <c r="F2486">
        <f>[2]TongHop!F2486</f>
        <v>0</v>
      </c>
      <c r="G2486">
        <f>[2]TongHop!G2486</f>
        <v>0</v>
      </c>
      <c r="H2486">
        <f>[2]TongHop!H2486</f>
        <v>0</v>
      </c>
      <c r="I2486">
        <f>[2]TongHop!I2486</f>
        <v>0</v>
      </c>
      <c r="J2486">
        <f>[2]TongHop!J2486</f>
        <v>0</v>
      </c>
      <c r="K2486">
        <f>[2]TongHop!K2486</f>
        <v>0</v>
      </c>
      <c r="L2486">
        <f>[2]TongHop!L2486</f>
        <v>0</v>
      </c>
      <c r="M2486">
        <f>[2]TongHop!M2486</f>
        <v>0</v>
      </c>
      <c r="N2486">
        <f>[2]TongHop!N2486</f>
        <v>0</v>
      </c>
    </row>
    <row r="2487" spans="1:14">
      <c r="A2487">
        <f>[2]TongHop!A2487</f>
        <v>0</v>
      </c>
      <c r="B2487">
        <f>[2]TongHop!B2487</f>
        <v>0</v>
      </c>
      <c r="C2487">
        <f>[2]TongHop!C2487</f>
        <v>0</v>
      </c>
      <c r="D2487">
        <f>[2]TongHop!D2487</f>
        <v>0</v>
      </c>
      <c r="E2487">
        <f>[2]TongHop!E2487</f>
        <v>0</v>
      </c>
      <c r="F2487">
        <f>[2]TongHop!F2487</f>
        <v>0</v>
      </c>
      <c r="G2487">
        <f>[2]TongHop!G2487</f>
        <v>0</v>
      </c>
      <c r="H2487">
        <f>[2]TongHop!H2487</f>
        <v>0</v>
      </c>
      <c r="I2487">
        <f>[2]TongHop!I2487</f>
        <v>0</v>
      </c>
      <c r="J2487">
        <f>[2]TongHop!J2487</f>
        <v>0</v>
      </c>
      <c r="K2487">
        <f>[2]TongHop!K2487</f>
        <v>0</v>
      </c>
      <c r="L2487">
        <f>[2]TongHop!L2487</f>
        <v>0</v>
      </c>
      <c r="M2487">
        <f>[2]TongHop!M2487</f>
        <v>0</v>
      </c>
      <c r="N2487">
        <f>[2]TongHop!N2487</f>
        <v>0</v>
      </c>
    </row>
    <row r="2488" spans="1:14">
      <c r="A2488">
        <f>[2]TongHop!A2488</f>
        <v>0</v>
      </c>
      <c r="B2488">
        <f>[2]TongHop!B2488</f>
        <v>0</v>
      </c>
      <c r="C2488">
        <f>[2]TongHop!C2488</f>
        <v>0</v>
      </c>
      <c r="D2488">
        <f>[2]TongHop!D2488</f>
        <v>0</v>
      </c>
      <c r="E2488">
        <f>[2]TongHop!E2488</f>
        <v>0</v>
      </c>
      <c r="F2488">
        <f>[2]TongHop!F2488</f>
        <v>0</v>
      </c>
      <c r="G2488">
        <f>[2]TongHop!G2488</f>
        <v>0</v>
      </c>
      <c r="H2488">
        <f>[2]TongHop!H2488</f>
        <v>0</v>
      </c>
      <c r="I2488">
        <f>[2]TongHop!I2488</f>
        <v>0</v>
      </c>
      <c r="J2488">
        <f>[2]TongHop!J2488</f>
        <v>0</v>
      </c>
      <c r="K2488">
        <f>[2]TongHop!K2488</f>
        <v>0</v>
      </c>
      <c r="L2488">
        <f>[2]TongHop!L2488</f>
        <v>0</v>
      </c>
      <c r="M2488">
        <f>[2]TongHop!M2488</f>
        <v>0</v>
      </c>
      <c r="N2488">
        <f>[2]TongHop!N2488</f>
        <v>0</v>
      </c>
    </row>
    <row r="2489" spans="1:14">
      <c r="A2489">
        <f>[2]TongHop!A2489</f>
        <v>0</v>
      </c>
      <c r="B2489">
        <f>[2]TongHop!B2489</f>
        <v>0</v>
      </c>
      <c r="C2489">
        <f>[2]TongHop!C2489</f>
        <v>0</v>
      </c>
      <c r="D2489">
        <f>[2]TongHop!D2489</f>
        <v>0</v>
      </c>
      <c r="E2489">
        <f>[2]TongHop!E2489</f>
        <v>0</v>
      </c>
      <c r="F2489">
        <f>[2]TongHop!F2489</f>
        <v>0</v>
      </c>
      <c r="G2489">
        <f>[2]TongHop!G2489</f>
        <v>0</v>
      </c>
      <c r="H2489">
        <f>[2]TongHop!H2489</f>
        <v>0</v>
      </c>
      <c r="I2489">
        <f>[2]TongHop!I2489</f>
        <v>0</v>
      </c>
      <c r="J2489">
        <f>[2]TongHop!J2489</f>
        <v>0</v>
      </c>
      <c r="K2489">
        <f>[2]TongHop!K2489</f>
        <v>0</v>
      </c>
      <c r="L2489">
        <f>[2]TongHop!L2489</f>
        <v>0</v>
      </c>
      <c r="M2489">
        <f>[2]TongHop!M2489</f>
        <v>0</v>
      </c>
      <c r="N2489">
        <f>[2]TongHop!N2489</f>
        <v>0</v>
      </c>
    </row>
    <row r="2490" spans="1:14">
      <c r="A2490">
        <f>[2]TongHop!A2490</f>
        <v>0</v>
      </c>
      <c r="B2490">
        <f>[2]TongHop!B2490</f>
        <v>0</v>
      </c>
      <c r="C2490">
        <f>[2]TongHop!C2490</f>
        <v>0</v>
      </c>
      <c r="D2490">
        <f>[2]TongHop!D2490</f>
        <v>0</v>
      </c>
      <c r="E2490">
        <f>[2]TongHop!E2490</f>
        <v>0</v>
      </c>
      <c r="F2490">
        <f>[2]TongHop!F2490</f>
        <v>0</v>
      </c>
      <c r="G2490">
        <f>[2]TongHop!G2490</f>
        <v>0</v>
      </c>
      <c r="H2490">
        <f>[2]TongHop!H2490</f>
        <v>0</v>
      </c>
      <c r="I2490">
        <f>[2]TongHop!I2490</f>
        <v>0</v>
      </c>
      <c r="J2490">
        <f>[2]TongHop!J2490</f>
        <v>0</v>
      </c>
      <c r="K2490">
        <f>[2]TongHop!K2490</f>
        <v>0</v>
      </c>
      <c r="L2490">
        <f>[2]TongHop!L2490</f>
        <v>0</v>
      </c>
      <c r="M2490">
        <f>[2]TongHop!M2490</f>
        <v>0</v>
      </c>
      <c r="N2490">
        <f>[2]TongHop!N2490</f>
        <v>0</v>
      </c>
    </row>
    <row r="2491" spans="1:14">
      <c r="A2491">
        <f>[2]TongHop!A2491</f>
        <v>0</v>
      </c>
      <c r="B2491">
        <f>[2]TongHop!B2491</f>
        <v>0</v>
      </c>
      <c r="C2491">
        <f>[2]TongHop!C2491</f>
        <v>0</v>
      </c>
      <c r="D2491">
        <f>[2]TongHop!D2491</f>
        <v>0</v>
      </c>
      <c r="E2491">
        <f>[2]TongHop!E2491</f>
        <v>0</v>
      </c>
      <c r="F2491">
        <f>[2]TongHop!F2491</f>
        <v>0</v>
      </c>
      <c r="G2491">
        <f>[2]TongHop!G2491</f>
        <v>0</v>
      </c>
      <c r="H2491">
        <f>[2]TongHop!H2491</f>
        <v>0</v>
      </c>
      <c r="I2491">
        <f>[2]TongHop!I2491</f>
        <v>0</v>
      </c>
      <c r="J2491">
        <f>[2]TongHop!J2491</f>
        <v>0</v>
      </c>
      <c r="K2491">
        <f>[2]TongHop!K2491</f>
        <v>0</v>
      </c>
      <c r="L2491">
        <f>[2]TongHop!L2491</f>
        <v>0</v>
      </c>
      <c r="M2491">
        <f>[2]TongHop!M2491</f>
        <v>0</v>
      </c>
      <c r="N2491">
        <f>[2]TongHop!N2491</f>
        <v>0</v>
      </c>
    </row>
    <row r="2492" spans="1:14">
      <c r="A2492">
        <f>[2]TongHop!A2492</f>
        <v>0</v>
      </c>
      <c r="B2492">
        <f>[2]TongHop!B2492</f>
        <v>0</v>
      </c>
      <c r="C2492">
        <f>[2]TongHop!C2492</f>
        <v>0</v>
      </c>
      <c r="D2492">
        <f>[2]TongHop!D2492</f>
        <v>0</v>
      </c>
      <c r="E2492">
        <f>[2]TongHop!E2492</f>
        <v>0</v>
      </c>
      <c r="F2492">
        <f>[2]TongHop!F2492</f>
        <v>0</v>
      </c>
      <c r="G2492">
        <f>[2]TongHop!G2492</f>
        <v>0</v>
      </c>
      <c r="H2492">
        <f>[2]TongHop!H2492</f>
        <v>0</v>
      </c>
      <c r="I2492">
        <f>[2]TongHop!I2492</f>
        <v>0</v>
      </c>
      <c r="J2492">
        <f>[2]TongHop!J2492</f>
        <v>0</v>
      </c>
      <c r="K2492">
        <f>[2]TongHop!K2492</f>
        <v>0</v>
      </c>
      <c r="L2492">
        <f>[2]TongHop!L2492</f>
        <v>0</v>
      </c>
      <c r="M2492">
        <f>[2]TongHop!M2492</f>
        <v>0</v>
      </c>
      <c r="N2492">
        <f>[2]TongHop!N2492</f>
        <v>0</v>
      </c>
    </row>
    <row r="2493" spans="1:14">
      <c r="A2493">
        <f>[2]TongHop!A2493</f>
        <v>0</v>
      </c>
      <c r="B2493">
        <f>[2]TongHop!B2493</f>
        <v>0</v>
      </c>
      <c r="C2493">
        <f>[2]TongHop!C2493</f>
        <v>0</v>
      </c>
      <c r="D2493">
        <f>[2]TongHop!D2493</f>
        <v>0</v>
      </c>
      <c r="E2493">
        <f>[2]TongHop!E2493</f>
        <v>0</v>
      </c>
      <c r="F2493">
        <f>[2]TongHop!F2493</f>
        <v>0</v>
      </c>
      <c r="G2493">
        <f>[2]TongHop!G2493</f>
        <v>0</v>
      </c>
      <c r="H2493">
        <f>[2]TongHop!H2493</f>
        <v>0</v>
      </c>
      <c r="I2493">
        <f>[2]TongHop!I2493</f>
        <v>0</v>
      </c>
      <c r="J2493">
        <f>[2]TongHop!J2493</f>
        <v>0</v>
      </c>
      <c r="K2493">
        <f>[2]TongHop!K2493</f>
        <v>0</v>
      </c>
      <c r="L2493">
        <f>[2]TongHop!L2493</f>
        <v>0</v>
      </c>
      <c r="M2493">
        <f>[2]TongHop!M2493</f>
        <v>0</v>
      </c>
      <c r="N2493">
        <f>[2]TongHop!N2493</f>
        <v>0</v>
      </c>
    </row>
    <row r="2494" spans="1:14">
      <c r="A2494">
        <f>[2]TongHop!A2494</f>
        <v>0</v>
      </c>
      <c r="B2494">
        <f>[2]TongHop!B2494</f>
        <v>0</v>
      </c>
      <c r="C2494">
        <f>[2]TongHop!C2494</f>
        <v>0</v>
      </c>
      <c r="D2494">
        <f>[2]TongHop!D2494</f>
        <v>0</v>
      </c>
      <c r="E2494">
        <f>[2]TongHop!E2494</f>
        <v>0</v>
      </c>
      <c r="F2494">
        <f>[2]TongHop!F2494</f>
        <v>0</v>
      </c>
      <c r="G2494">
        <f>[2]TongHop!G2494</f>
        <v>0</v>
      </c>
      <c r="H2494">
        <f>[2]TongHop!H2494</f>
        <v>0</v>
      </c>
      <c r="I2494">
        <f>[2]TongHop!I2494</f>
        <v>0</v>
      </c>
      <c r="J2494">
        <f>[2]TongHop!J2494</f>
        <v>0</v>
      </c>
      <c r="K2494">
        <f>[2]TongHop!K2494</f>
        <v>0</v>
      </c>
      <c r="L2494">
        <f>[2]TongHop!L2494</f>
        <v>0</v>
      </c>
      <c r="M2494">
        <f>[2]TongHop!M2494</f>
        <v>0</v>
      </c>
      <c r="N2494">
        <f>[2]TongHop!N2494</f>
        <v>0</v>
      </c>
    </row>
    <row r="2495" spans="1:14">
      <c r="A2495">
        <f>[2]TongHop!A2495</f>
        <v>0</v>
      </c>
      <c r="B2495">
        <f>[2]TongHop!B2495</f>
        <v>0</v>
      </c>
      <c r="C2495">
        <f>[2]TongHop!C2495</f>
        <v>0</v>
      </c>
      <c r="D2495">
        <f>[2]TongHop!D2495</f>
        <v>0</v>
      </c>
      <c r="E2495">
        <f>[2]TongHop!E2495</f>
        <v>0</v>
      </c>
      <c r="F2495">
        <f>[2]TongHop!F2495</f>
        <v>0</v>
      </c>
      <c r="G2495">
        <f>[2]TongHop!G2495</f>
        <v>0</v>
      </c>
      <c r="H2495">
        <f>[2]TongHop!H2495</f>
        <v>0</v>
      </c>
      <c r="I2495">
        <f>[2]TongHop!I2495</f>
        <v>0</v>
      </c>
      <c r="J2495">
        <f>[2]TongHop!J2495</f>
        <v>0</v>
      </c>
      <c r="K2495">
        <f>[2]TongHop!K2495</f>
        <v>0</v>
      </c>
      <c r="L2495">
        <f>[2]TongHop!L2495</f>
        <v>0</v>
      </c>
      <c r="M2495">
        <f>[2]TongHop!M2495</f>
        <v>0</v>
      </c>
      <c r="N2495">
        <f>[2]TongHop!N2495</f>
        <v>0</v>
      </c>
    </row>
    <row r="2496" spans="1:14">
      <c r="A2496">
        <f>[2]TongHop!A2496</f>
        <v>0</v>
      </c>
      <c r="B2496">
        <f>[2]TongHop!B2496</f>
        <v>0</v>
      </c>
      <c r="C2496">
        <f>[2]TongHop!C2496</f>
        <v>0</v>
      </c>
      <c r="D2496">
        <f>[2]TongHop!D2496</f>
        <v>0</v>
      </c>
      <c r="E2496">
        <f>[2]TongHop!E2496</f>
        <v>0</v>
      </c>
      <c r="F2496">
        <f>[2]TongHop!F2496</f>
        <v>0</v>
      </c>
      <c r="G2496">
        <f>[2]TongHop!G2496</f>
        <v>0</v>
      </c>
      <c r="H2496">
        <f>[2]TongHop!H2496</f>
        <v>0</v>
      </c>
      <c r="I2496">
        <f>[2]TongHop!I2496</f>
        <v>0</v>
      </c>
      <c r="J2496">
        <f>[2]TongHop!J2496</f>
        <v>0</v>
      </c>
      <c r="K2496">
        <f>[2]TongHop!K2496</f>
        <v>0</v>
      </c>
      <c r="L2496">
        <f>[2]TongHop!L2496</f>
        <v>0</v>
      </c>
      <c r="M2496">
        <f>[2]TongHop!M2496</f>
        <v>0</v>
      </c>
      <c r="N2496">
        <f>[2]TongHop!N2496</f>
        <v>0</v>
      </c>
    </row>
    <row r="2497" spans="1:14">
      <c r="A2497">
        <f>[2]TongHop!A2497</f>
        <v>0</v>
      </c>
      <c r="B2497">
        <f>[2]TongHop!B2497</f>
        <v>0</v>
      </c>
      <c r="C2497">
        <f>[2]TongHop!C2497</f>
        <v>0</v>
      </c>
      <c r="D2497">
        <f>[2]TongHop!D2497</f>
        <v>0</v>
      </c>
      <c r="E2497">
        <f>[2]TongHop!E2497</f>
        <v>0</v>
      </c>
      <c r="F2497">
        <f>[2]TongHop!F2497</f>
        <v>0</v>
      </c>
      <c r="G2497">
        <f>[2]TongHop!G2497</f>
        <v>0</v>
      </c>
      <c r="H2497">
        <f>[2]TongHop!H2497</f>
        <v>0</v>
      </c>
      <c r="I2497">
        <f>[2]TongHop!I2497</f>
        <v>0</v>
      </c>
      <c r="J2497">
        <f>[2]TongHop!J2497</f>
        <v>0</v>
      </c>
      <c r="K2497">
        <f>[2]TongHop!K2497</f>
        <v>0</v>
      </c>
      <c r="L2497">
        <f>[2]TongHop!L2497</f>
        <v>0</v>
      </c>
      <c r="M2497">
        <f>[2]TongHop!M2497</f>
        <v>0</v>
      </c>
      <c r="N2497">
        <f>[2]TongHop!N2497</f>
        <v>0</v>
      </c>
    </row>
    <row r="2498" spans="1:14">
      <c r="A2498">
        <f>[2]TongHop!A2498</f>
        <v>0</v>
      </c>
      <c r="B2498">
        <f>[2]TongHop!B2498</f>
        <v>0</v>
      </c>
      <c r="C2498">
        <f>[2]TongHop!C2498</f>
        <v>0</v>
      </c>
      <c r="D2498">
        <f>[2]TongHop!D2498</f>
        <v>0</v>
      </c>
      <c r="E2498">
        <f>[2]TongHop!E2498</f>
        <v>0</v>
      </c>
      <c r="F2498">
        <f>[2]TongHop!F2498</f>
        <v>0</v>
      </c>
      <c r="G2498">
        <f>[2]TongHop!G2498</f>
        <v>0</v>
      </c>
      <c r="H2498">
        <f>[2]TongHop!H2498</f>
        <v>0</v>
      </c>
      <c r="I2498">
        <f>[2]TongHop!I2498</f>
        <v>0</v>
      </c>
      <c r="J2498">
        <f>[2]TongHop!J2498</f>
        <v>0</v>
      </c>
      <c r="K2498">
        <f>[2]TongHop!K2498</f>
        <v>0</v>
      </c>
      <c r="L2498">
        <f>[2]TongHop!L2498</f>
        <v>0</v>
      </c>
      <c r="M2498">
        <f>[2]TongHop!M2498</f>
        <v>0</v>
      </c>
      <c r="N2498">
        <f>[2]TongHop!N2498</f>
        <v>0</v>
      </c>
    </row>
    <row r="2499" spans="1:14">
      <c r="A2499">
        <f>[2]TongHop!A2499</f>
        <v>0</v>
      </c>
      <c r="B2499">
        <f>[2]TongHop!B2499</f>
        <v>0</v>
      </c>
      <c r="C2499">
        <f>[2]TongHop!C2499</f>
        <v>0</v>
      </c>
      <c r="D2499">
        <f>[2]TongHop!D2499</f>
        <v>0</v>
      </c>
      <c r="E2499">
        <f>[2]TongHop!E2499</f>
        <v>0</v>
      </c>
      <c r="F2499">
        <f>[2]TongHop!F2499</f>
        <v>0</v>
      </c>
      <c r="G2499">
        <f>[2]TongHop!G2499</f>
        <v>0</v>
      </c>
      <c r="H2499">
        <f>[2]TongHop!H2499</f>
        <v>0</v>
      </c>
      <c r="I2499">
        <f>[2]TongHop!I2499</f>
        <v>0</v>
      </c>
      <c r="J2499">
        <f>[2]TongHop!J2499</f>
        <v>0</v>
      </c>
      <c r="K2499">
        <f>[2]TongHop!K2499</f>
        <v>0</v>
      </c>
      <c r="L2499">
        <f>[2]TongHop!L2499</f>
        <v>0</v>
      </c>
      <c r="M2499">
        <f>[2]TongHop!M2499</f>
        <v>0</v>
      </c>
      <c r="N2499">
        <f>[2]TongHop!N2499</f>
        <v>0</v>
      </c>
    </row>
    <row r="2500" spans="1:14">
      <c r="A2500">
        <f>[2]TongHop!A2500</f>
        <v>0</v>
      </c>
      <c r="B2500">
        <f>[2]TongHop!B2500</f>
        <v>0</v>
      </c>
      <c r="C2500">
        <f>[2]TongHop!C2500</f>
        <v>0</v>
      </c>
      <c r="D2500">
        <f>[2]TongHop!D2500</f>
        <v>0</v>
      </c>
      <c r="E2500">
        <f>[2]TongHop!E2500</f>
        <v>0</v>
      </c>
      <c r="F2500">
        <f>[2]TongHop!F2500</f>
        <v>0</v>
      </c>
      <c r="G2500">
        <f>[2]TongHop!G2500</f>
        <v>0</v>
      </c>
      <c r="H2500">
        <f>[2]TongHop!H2500</f>
        <v>0</v>
      </c>
      <c r="I2500">
        <f>[2]TongHop!I2500</f>
        <v>0</v>
      </c>
      <c r="J2500">
        <f>[2]TongHop!J2500</f>
        <v>0</v>
      </c>
      <c r="K2500">
        <f>[2]TongHop!K2500</f>
        <v>0</v>
      </c>
      <c r="L2500">
        <f>[2]TongHop!L2500</f>
        <v>0</v>
      </c>
      <c r="M2500">
        <f>[2]TongHop!M2500</f>
        <v>0</v>
      </c>
      <c r="N2500">
        <f>[2]TongHop!N2500</f>
        <v>0</v>
      </c>
    </row>
    <row r="2501" spans="1:14">
      <c r="A2501">
        <f>[2]TongHop!A2501</f>
        <v>0</v>
      </c>
      <c r="B2501">
        <f>[2]TongHop!B2501</f>
        <v>0</v>
      </c>
      <c r="C2501">
        <f>[2]TongHop!C2501</f>
        <v>0</v>
      </c>
      <c r="D2501">
        <f>[2]TongHop!D2501</f>
        <v>0</v>
      </c>
      <c r="E2501">
        <f>[2]TongHop!E2501</f>
        <v>0</v>
      </c>
      <c r="F2501">
        <f>[2]TongHop!F2501</f>
        <v>0</v>
      </c>
      <c r="G2501">
        <f>[2]TongHop!G2501</f>
        <v>0</v>
      </c>
      <c r="H2501">
        <f>[2]TongHop!H2501</f>
        <v>0</v>
      </c>
      <c r="I2501">
        <f>[2]TongHop!I2501</f>
        <v>0</v>
      </c>
      <c r="J2501">
        <f>[2]TongHop!J2501</f>
        <v>0</v>
      </c>
      <c r="K2501">
        <f>[2]TongHop!K2501</f>
        <v>0</v>
      </c>
      <c r="L2501">
        <f>[2]TongHop!L2501</f>
        <v>0</v>
      </c>
      <c r="M2501">
        <f>[2]TongHop!M2501</f>
        <v>0</v>
      </c>
      <c r="N2501">
        <f>[2]TongHop!N2501</f>
        <v>0</v>
      </c>
    </row>
    <row r="2502" spans="1:14">
      <c r="A2502">
        <f>[2]TongHop!A2502</f>
        <v>0</v>
      </c>
      <c r="B2502">
        <f>[2]TongHop!B2502</f>
        <v>0</v>
      </c>
      <c r="C2502">
        <f>[2]TongHop!C2502</f>
        <v>0</v>
      </c>
      <c r="D2502">
        <f>[2]TongHop!D2502</f>
        <v>0</v>
      </c>
      <c r="E2502">
        <f>[2]TongHop!E2502</f>
        <v>0</v>
      </c>
      <c r="F2502">
        <f>[2]TongHop!F2502</f>
        <v>0</v>
      </c>
      <c r="G2502">
        <f>[2]TongHop!G2502</f>
        <v>0</v>
      </c>
      <c r="H2502">
        <f>[2]TongHop!H2502</f>
        <v>0</v>
      </c>
      <c r="I2502">
        <f>[2]TongHop!I2502</f>
        <v>0</v>
      </c>
      <c r="J2502">
        <f>[2]TongHop!J2502</f>
        <v>0</v>
      </c>
      <c r="K2502">
        <f>[2]TongHop!K2502</f>
        <v>0</v>
      </c>
      <c r="L2502">
        <f>[2]TongHop!L2502</f>
        <v>0</v>
      </c>
      <c r="M2502">
        <f>[2]TongHop!M2502</f>
        <v>0</v>
      </c>
      <c r="N2502">
        <f>[2]TongHop!N2502</f>
        <v>0</v>
      </c>
    </row>
    <row r="2503" spans="1:14">
      <c r="A2503">
        <f>[2]TongHop!A2503</f>
        <v>0</v>
      </c>
      <c r="B2503">
        <f>[2]TongHop!B2503</f>
        <v>0</v>
      </c>
      <c r="C2503">
        <f>[2]TongHop!C2503</f>
        <v>0</v>
      </c>
      <c r="D2503">
        <f>[2]TongHop!D2503</f>
        <v>0</v>
      </c>
      <c r="E2503">
        <f>[2]TongHop!E2503</f>
        <v>0</v>
      </c>
      <c r="F2503">
        <f>[2]TongHop!F2503</f>
        <v>0</v>
      </c>
      <c r="G2503">
        <f>[2]TongHop!G2503</f>
        <v>0</v>
      </c>
      <c r="H2503">
        <f>[2]TongHop!H2503</f>
        <v>0</v>
      </c>
      <c r="I2503">
        <f>[2]TongHop!I2503</f>
        <v>0</v>
      </c>
      <c r="J2503">
        <f>[2]TongHop!J2503</f>
        <v>0</v>
      </c>
      <c r="K2503">
        <f>[2]TongHop!K2503</f>
        <v>0</v>
      </c>
      <c r="L2503">
        <f>[2]TongHop!L2503</f>
        <v>0</v>
      </c>
      <c r="M2503">
        <f>[2]TongHop!M2503</f>
        <v>0</v>
      </c>
      <c r="N2503">
        <f>[2]TongHop!N2503</f>
        <v>0</v>
      </c>
    </row>
    <row r="2504" spans="1:14">
      <c r="A2504">
        <f>[2]TongHop!A2504</f>
        <v>0</v>
      </c>
      <c r="B2504">
        <f>[2]TongHop!B2504</f>
        <v>0</v>
      </c>
      <c r="C2504">
        <f>[2]TongHop!C2504</f>
        <v>0</v>
      </c>
      <c r="D2504">
        <f>[2]TongHop!D2504</f>
        <v>0</v>
      </c>
      <c r="E2504">
        <f>[2]TongHop!E2504</f>
        <v>0</v>
      </c>
      <c r="F2504">
        <f>[2]TongHop!F2504</f>
        <v>0</v>
      </c>
      <c r="G2504">
        <f>[2]TongHop!G2504</f>
        <v>0</v>
      </c>
      <c r="H2504">
        <f>[2]TongHop!H2504</f>
        <v>0</v>
      </c>
      <c r="I2504">
        <f>[2]TongHop!I2504</f>
        <v>0</v>
      </c>
      <c r="J2504">
        <f>[2]TongHop!J2504</f>
        <v>0</v>
      </c>
      <c r="K2504">
        <f>[2]TongHop!K2504</f>
        <v>0</v>
      </c>
      <c r="L2504">
        <f>[2]TongHop!L2504</f>
        <v>0</v>
      </c>
      <c r="M2504">
        <f>[2]TongHop!M2504</f>
        <v>0</v>
      </c>
      <c r="N2504">
        <f>[2]TongHop!N2504</f>
        <v>0</v>
      </c>
    </row>
    <row r="2505" spans="1:14">
      <c r="A2505">
        <f>[2]TongHop!A2505</f>
        <v>0</v>
      </c>
      <c r="B2505">
        <f>[2]TongHop!B2505</f>
        <v>0</v>
      </c>
      <c r="C2505">
        <f>[2]TongHop!C2505</f>
        <v>0</v>
      </c>
      <c r="D2505">
        <f>[2]TongHop!D2505</f>
        <v>0</v>
      </c>
      <c r="E2505">
        <f>[2]TongHop!E2505</f>
        <v>0</v>
      </c>
      <c r="F2505">
        <f>[2]TongHop!F2505</f>
        <v>0</v>
      </c>
      <c r="G2505">
        <f>[2]TongHop!G2505</f>
        <v>0</v>
      </c>
      <c r="H2505">
        <f>[2]TongHop!H2505</f>
        <v>0</v>
      </c>
      <c r="I2505">
        <f>[2]TongHop!I2505</f>
        <v>0</v>
      </c>
      <c r="J2505">
        <f>[2]TongHop!J2505</f>
        <v>0</v>
      </c>
      <c r="K2505">
        <f>[2]TongHop!K2505</f>
        <v>0</v>
      </c>
      <c r="L2505">
        <f>[2]TongHop!L2505</f>
        <v>0</v>
      </c>
      <c r="M2505">
        <f>[2]TongHop!M2505</f>
        <v>0</v>
      </c>
      <c r="N2505">
        <f>[2]TongHop!N2505</f>
        <v>0</v>
      </c>
    </row>
    <row r="2506" spans="1:14">
      <c r="A2506">
        <f>[2]TongHop!A2506</f>
        <v>0</v>
      </c>
      <c r="B2506">
        <f>[2]TongHop!B2506</f>
        <v>0</v>
      </c>
      <c r="C2506">
        <f>[2]TongHop!C2506</f>
        <v>0</v>
      </c>
      <c r="D2506">
        <f>[2]TongHop!D2506</f>
        <v>0</v>
      </c>
      <c r="E2506">
        <f>[2]TongHop!E2506</f>
        <v>0</v>
      </c>
      <c r="F2506">
        <f>[2]TongHop!F2506</f>
        <v>0</v>
      </c>
      <c r="G2506">
        <f>[2]TongHop!G2506</f>
        <v>0</v>
      </c>
      <c r="H2506">
        <f>[2]TongHop!H2506</f>
        <v>0</v>
      </c>
      <c r="I2506">
        <f>[2]TongHop!I2506</f>
        <v>0</v>
      </c>
      <c r="J2506">
        <f>[2]TongHop!J2506</f>
        <v>0</v>
      </c>
      <c r="K2506">
        <f>[2]TongHop!K2506</f>
        <v>0</v>
      </c>
      <c r="L2506">
        <f>[2]TongHop!L2506</f>
        <v>0</v>
      </c>
      <c r="M2506">
        <f>[2]TongHop!M2506</f>
        <v>0</v>
      </c>
      <c r="N2506">
        <f>[2]TongHop!N2506</f>
        <v>0</v>
      </c>
    </row>
    <row r="2507" spans="1:14">
      <c r="A2507">
        <f>[2]TongHop!A2507</f>
        <v>0</v>
      </c>
      <c r="B2507">
        <f>[2]TongHop!B2507</f>
        <v>0</v>
      </c>
      <c r="C2507">
        <f>[2]TongHop!C2507</f>
        <v>0</v>
      </c>
      <c r="D2507">
        <f>[2]TongHop!D2507</f>
        <v>0</v>
      </c>
      <c r="E2507">
        <f>[2]TongHop!E2507</f>
        <v>0</v>
      </c>
      <c r="F2507">
        <f>[2]TongHop!F2507</f>
        <v>0</v>
      </c>
      <c r="G2507">
        <f>[2]TongHop!G2507</f>
        <v>0</v>
      </c>
      <c r="H2507">
        <f>[2]TongHop!H2507</f>
        <v>0</v>
      </c>
      <c r="I2507">
        <f>[2]TongHop!I2507</f>
        <v>0</v>
      </c>
      <c r="J2507">
        <f>[2]TongHop!J2507</f>
        <v>0</v>
      </c>
      <c r="K2507">
        <f>[2]TongHop!K2507</f>
        <v>0</v>
      </c>
      <c r="L2507">
        <f>[2]TongHop!L2507</f>
        <v>0</v>
      </c>
      <c r="M2507">
        <f>[2]TongHop!M2507</f>
        <v>0</v>
      </c>
      <c r="N2507">
        <f>[2]TongHop!N2507</f>
        <v>0</v>
      </c>
    </row>
    <row r="2508" spans="1:14">
      <c r="A2508">
        <f>[2]TongHop!A2508</f>
        <v>0</v>
      </c>
      <c r="B2508">
        <f>[2]TongHop!B2508</f>
        <v>0</v>
      </c>
      <c r="C2508">
        <f>[2]TongHop!C2508</f>
        <v>0</v>
      </c>
      <c r="D2508">
        <f>[2]TongHop!D2508</f>
        <v>0</v>
      </c>
      <c r="E2508">
        <f>[2]TongHop!E2508</f>
        <v>0</v>
      </c>
      <c r="F2508">
        <f>[2]TongHop!F2508</f>
        <v>0</v>
      </c>
      <c r="G2508">
        <f>[2]TongHop!G2508</f>
        <v>0</v>
      </c>
      <c r="H2508">
        <f>[2]TongHop!H2508</f>
        <v>0</v>
      </c>
      <c r="I2508">
        <f>[2]TongHop!I2508</f>
        <v>0</v>
      </c>
      <c r="J2508">
        <f>[2]TongHop!J2508</f>
        <v>0</v>
      </c>
      <c r="K2508">
        <f>[2]TongHop!K2508</f>
        <v>0</v>
      </c>
      <c r="L2508">
        <f>[2]TongHop!L2508</f>
        <v>0</v>
      </c>
      <c r="M2508">
        <f>[2]TongHop!M2508</f>
        <v>0</v>
      </c>
      <c r="N2508">
        <f>[2]TongHop!N2508</f>
        <v>0</v>
      </c>
    </row>
    <row r="2509" spans="1:14">
      <c r="A2509">
        <f>[2]TongHop!A2509</f>
        <v>0</v>
      </c>
      <c r="B2509">
        <f>[2]TongHop!B2509</f>
        <v>0</v>
      </c>
      <c r="C2509">
        <f>[2]TongHop!C2509</f>
        <v>0</v>
      </c>
      <c r="D2509">
        <f>[2]TongHop!D2509</f>
        <v>0</v>
      </c>
      <c r="E2509">
        <f>[2]TongHop!E2509</f>
        <v>0</v>
      </c>
      <c r="F2509">
        <f>[2]TongHop!F2509</f>
        <v>0</v>
      </c>
      <c r="G2509">
        <f>[2]TongHop!G2509</f>
        <v>0</v>
      </c>
      <c r="H2509">
        <f>[2]TongHop!H2509</f>
        <v>0</v>
      </c>
      <c r="I2509">
        <f>[2]TongHop!I2509</f>
        <v>0</v>
      </c>
      <c r="J2509">
        <f>[2]TongHop!J2509</f>
        <v>0</v>
      </c>
      <c r="K2509">
        <f>[2]TongHop!K2509</f>
        <v>0</v>
      </c>
      <c r="L2509">
        <f>[2]TongHop!L2509</f>
        <v>0</v>
      </c>
      <c r="M2509">
        <f>[2]TongHop!M2509</f>
        <v>0</v>
      </c>
      <c r="N2509">
        <f>[2]TongHop!N2509</f>
        <v>0</v>
      </c>
    </row>
    <row r="2510" spans="1:14">
      <c r="A2510">
        <f>[2]TongHop!A2510</f>
        <v>0</v>
      </c>
      <c r="B2510">
        <f>[2]TongHop!B2510</f>
        <v>0</v>
      </c>
      <c r="C2510">
        <f>[2]TongHop!C2510</f>
        <v>0</v>
      </c>
      <c r="D2510">
        <f>[2]TongHop!D2510</f>
        <v>0</v>
      </c>
      <c r="E2510">
        <f>[2]TongHop!E2510</f>
        <v>0</v>
      </c>
      <c r="F2510">
        <f>[2]TongHop!F2510</f>
        <v>0</v>
      </c>
      <c r="G2510">
        <f>[2]TongHop!G2510</f>
        <v>0</v>
      </c>
      <c r="H2510">
        <f>[2]TongHop!H2510</f>
        <v>0</v>
      </c>
      <c r="I2510">
        <f>[2]TongHop!I2510</f>
        <v>0</v>
      </c>
      <c r="J2510">
        <f>[2]TongHop!J2510</f>
        <v>0</v>
      </c>
      <c r="K2510">
        <f>[2]TongHop!K2510</f>
        <v>0</v>
      </c>
      <c r="L2510">
        <f>[2]TongHop!L2510</f>
        <v>0</v>
      </c>
      <c r="M2510">
        <f>[2]TongHop!M2510</f>
        <v>0</v>
      </c>
      <c r="N2510">
        <f>[2]TongHop!N2510</f>
        <v>0</v>
      </c>
    </row>
    <row r="2511" spans="1:14">
      <c r="A2511">
        <f>[2]TongHop!A2511</f>
        <v>0</v>
      </c>
      <c r="B2511">
        <f>[2]TongHop!B2511</f>
        <v>0</v>
      </c>
      <c r="C2511">
        <f>[2]TongHop!C2511</f>
        <v>0</v>
      </c>
      <c r="D2511">
        <f>[2]TongHop!D2511</f>
        <v>0</v>
      </c>
      <c r="E2511">
        <f>[2]TongHop!E2511</f>
        <v>0</v>
      </c>
      <c r="F2511">
        <f>[2]TongHop!F2511</f>
        <v>0</v>
      </c>
      <c r="G2511">
        <f>[2]TongHop!G2511</f>
        <v>0</v>
      </c>
      <c r="H2511">
        <f>[2]TongHop!H2511</f>
        <v>0</v>
      </c>
      <c r="I2511">
        <f>[2]TongHop!I2511</f>
        <v>0</v>
      </c>
      <c r="J2511">
        <f>[2]TongHop!J2511</f>
        <v>0</v>
      </c>
      <c r="K2511">
        <f>[2]TongHop!K2511</f>
        <v>0</v>
      </c>
      <c r="L2511">
        <f>[2]TongHop!L2511</f>
        <v>0</v>
      </c>
      <c r="M2511">
        <f>[2]TongHop!M2511</f>
        <v>0</v>
      </c>
      <c r="N2511">
        <f>[2]TongHop!N2511</f>
        <v>0</v>
      </c>
    </row>
    <row r="2512" spans="1:14">
      <c r="A2512">
        <f>[2]TongHop!A2512</f>
        <v>0</v>
      </c>
      <c r="B2512">
        <f>[2]TongHop!B2512</f>
        <v>0</v>
      </c>
      <c r="C2512">
        <f>[2]TongHop!C2512</f>
        <v>0</v>
      </c>
      <c r="D2512">
        <f>[2]TongHop!D2512</f>
        <v>0</v>
      </c>
      <c r="E2512">
        <f>[2]TongHop!E2512</f>
        <v>0</v>
      </c>
      <c r="F2512">
        <f>[2]TongHop!F2512</f>
        <v>0</v>
      </c>
      <c r="G2512">
        <f>[2]TongHop!G2512</f>
        <v>0</v>
      </c>
      <c r="H2512">
        <f>[2]TongHop!H2512</f>
        <v>0</v>
      </c>
      <c r="I2512">
        <f>[2]TongHop!I2512</f>
        <v>0</v>
      </c>
      <c r="J2512">
        <f>[2]TongHop!J2512</f>
        <v>0</v>
      </c>
      <c r="K2512">
        <f>[2]TongHop!K2512</f>
        <v>0</v>
      </c>
      <c r="L2512">
        <f>[2]TongHop!L2512</f>
        <v>0</v>
      </c>
      <c r="M2512">
        <f>[2]TongHop!M2512</f>
        <v>0</v>
      </c>
      <c r="N2512">
        <f>[2]TongHop!N2512</f>
        <v>0</v>
      </c>
    </row>
    <row r="2513" spans="1:14">
      <c r="A2513">
        <f>[2]TongHop!A2513</f>
        <v>0</v>
      </c>
      <c r="B2513">
        <f>[2]TongHop!B2513</f>
        <v>0</v>
      </c>
      <c r="C2513">
        <f>[2]TongHop!C2513</f>
        <v>0</v>
      </c>
      <c r="D2513">
        <f>[2]TongHop!D2513</f>
        <v>0</v>
      </c>
      <c r="E2513">
        <f>[2]TongHop!E2513</f>
        <v>0</v>
      </c>
      <c r="F2513">
        <f>[2]TongHop!F2513</f>
        <v>0</v>
      </c>
      <c r="G2513">
        <f>[2]TongHop!G2513</f>
        <v>0</v>
      </c>
      <c r="H2513">
        <f>[2]TongHop!H2513</f>
        <v>0</v>
      </c>
      <c r="I2513">
        <f>[2]TongHop!I2513</f>
        <v>0</v>
      </c>
      <c r="J2513">
        <f>[2]TongHop!J2513</f>
        <v>0</v>
      </c>
      <c r="K2513">
        <f>[2]TongHop!K2513</f>
        <v>0</v>
      </c>
      <c r="L2513">
        <f>[2]TongHop!L2513</f>
        <v>0</v>
      </c>
      <c r="M2513">
        <f>[2]TongHop!M2513</f>
        <v>0</v>
      </c>
      <c r="N2513">
        <f>[2]TongHop!N2513</f>
        <v>0</v>
      </c>
    </row>
    <row r="2514" spans="1:14">
      <c r="A2514">
        <f>[2]TongHop!A2514</f>
        <v>0</v>
      </c>
      <c r="B2514">
        <f>[2]TongHop!B2514</f>
        <v>0</v>
      </c>
      <c r="C2514">
        <f>[2]TongHop!C2514</f>
        <v>0</v>
      </c>
      <c r="D2514">
        <f>[2]TongHop!D2514</f>
        <v>0</v>
      </c>
      <c r="E2514">
        <f>[2]TongHop!E2514</f>
        <v>0</v>
      </c>
      <c r="F2514">
        <f>[2]TongHop!F2514</f>
        <v>0</v>
      </c>
      <c r="G2514">
        <f>[2]TongHop!G2514</f>
        <v>0</v>
      </c>
      <c r="H2514">
        <f>[2]TongHop!H2514</f>
        <v>0</v>
      </c>
      <c r="I2514">
        <f>[2]TongHop!I2514</f>
        <v>0</v>
      </c>
      <c r="J2514">
        <f>[2]TongHop!J2514</f>
        <v>0</v>
      </c>
      <c r="K2514">
        <f>[2]TongHop!K2514</f>
        <v>0</v>
      </c>
      <c r="L2514">
        <f>[2]TongHop!L2514</f>
        <v>0</v>
      </c>
      <c r="M2514">
        <f>[2]TongHop!M2514</f>
        <v>0</v>
      </c>
      <c r="N2514">
        <f>[2]TongHop!N2514</f>
        <v>0</v>
      </c>
    </row>
    <row r="2515" spans="1:14">
      <c r="A2515">
        <f>[2]TongHop!A2515</f>
        <v>0</v>
      </c>
      <c r="B2515">
        <f>[2]TongHop!B2515</f>
        <v>0</v>
      </c>
      <c r="C2515">
        <f>[2]TongHop!C2515</f>
        <v>0</v>
      </c>
      <c r="D2515">
        <f>[2]TongHop!D2515</f>
        <v>0</v>
      </c>
      <c r="E2515">
        <f>[2]TongHop!E2515</f>
        <v>0</v>
      </c>
      <c r="F2515">
        <f>[2]TongHop!F2515</f>
        <v>0</v>
      </c>
      <c r="G2515">
        <f>[2]TongHop!G2515</f>
        <v>0</v>
      </c>
      <c r="H2515">
        <f>[2]TongHop!H2515</f>
        <v>0</v>
      </c>
      <c r="I2515">
        <f>[2]TongHop!I2515</f>
        <v>0</v>
      </c>
      <c r="J2515">
        <f>[2]TongHop!J2515</f>
        <v>0</v>
      </c>
      <c r="K2515">
        <f>[2]TongHop!K2515</f>
        <v>0</v>
      </c>
      <c r="L2515">
        <f>[2]TongHop!L2515</f>
        <v>0</v>
      </c>
      <c r="M2515">
        <f>[2]TongHop!M2515</f>
        <v>0</v>
      </c>
      <c r="N2515">
        <f>[2]TongHop!N2515</f>
        <v>0</v>
      </c>
    </row>
    <row r="2516" spans="1:14">
      <c r="A2516">
        <f>[2]TongHop!A2516</f>
        <v>0</v>
      </c>
      <c r="B2516">
        <f>[2]TongHop!B2516</f>
        <v>0</v>
      </c>
      <c r="C2516">
        <f>[2]TongHop!C2516</f>
        <v>0</v>
      </c>
      <c r="D2516">
        <f>[2]TongHop!D2516</f>
        <v>0</v>
      </c>
      <c r="E2516">
        <f>[2]TongHop!E2516</f>
        <v>0</v>
      </c>
      <c r="F2516">
        <f>[2]TongHop!F2516</f>
        <v>0</v>
      </c>
      <c r="G2516">
        <f>[2]TongHop!G2516</f>
        <v>0</v>
      </c>
      <c r="H2516">
        <f>[2]TongHop!H2516</f>
        <v>0</v>
      </c>
      <c r="I2516">
        <f>[2]TongHop!I2516</f>
        <v>0</v>
      </c>
      <c r="J2516">
        <f>[2]TongHop!J2516</f>
        <v>0</v>
      </c>
      <c r="K2516">
        <f>[2]TongHop!K2516</f>
        <v>0</v>
      </c>
      <c r="L2516">
        <f>[2]TongHop!L2516</f>
        <v>0</v>
      </c>
      <c r="M2516">
        <f>[2]TongHop!M2516</f>
        <v>0</v>
      </c>
      <c r="N2516">
        <f>[2]TongHop!N2516</f>
        <v>0</v>
      </c>
    </row>
    <row r="2517" spans="1:14">
      <c r="A2517">
        <f>[2]TongHop!A2517</f>
        <v>0</v>
      </c>
      <c r="B2517">
        <f>[2]TongHop!B2517</f>
        <v>0</v>
      </c>
      <c r="C2517">
        <f>[2]TongHop!C2517</f>
        <v>0</v>
      </c>
      <c r="D2517">
        <f>[2]TongHop!D2517</f>
        <v>0</v>
      </c>
      <c r="E2517">
        <f>[2]TongHop!E2517</f>
        <v>0</v>
      </c>
      <c r="F2517">
        <f>[2]TongHop!F2517</f>
        <v>0</v>
      </c>
      <c r="G2517">
        <f>[2]TongHop!G2517</f>
        <v>0</v>
      </c>
      <c r="H2517">
        <f>[2]TongHop!H2517</f>
        <v>0</v>
      </c>
      <c r="I2517">
        <f>[2]TongHop!I2517</f>
        <v>0</v>
      </c>
      <c r="J2517">
        <f>[2]TongHop!J2517</f>
        <v>0</v>
      </c>
      <c r="K2517">
        <f>[2]TongHop!K2517</f>
        <v>0</v>
      </c>
      <c r="L2517">
        <f>[2]TongHop!L2517</f>
        <v>0</v>
      </c>
      <c r="M2517">
        <f>[2]TongHop!M2517</f>
        <v>0</v>
      </c>
      <c r="N2517">
        <f>[2]TongHop!N2517</f>
        <v>0</v>
      </c>
    </row>
    <row r="2518" spans="1:14">
      <c r="A2518">
        <f>[2]TongHop!A2518</f>
        <v>0</v>
      </c>
      <c r="B2518">
        <f>[2]TongHop!B2518</f>
        <v>0</v>
      </c>
      <c r="C2518">
        <f>[2]TongHop!C2518</f>
        <v>0</v>
      </c>
      <c r="D2518">
        <f>[2]TongHop!D2518</f>
        <v>0</v>
      </c>
      <c r="E2518">
        <f>[2]TongHop!E2518</f>
        <v>0</v>
      </c>
      <c r="F2518">
        <f>[2]TongHop!F2518</f>
        <v>0</v>
      </c>
      <c r="G2518">
        <f>[2]TongHop!G2518</f>
        <v>0</v>
      </c>
      <c r="H2518">
        <f>[2]TongHop!H2518</f>
        <v>0</v>
      </c>
      <c r="I2518">
        <f>[2]TongHop!I2518</f>
        <v>0</v>
      </c>
      <c r="J2518">
        <f>[2]TongHop!J2518</f>
        <v>0</v>
      </c>
      <c r="K2518">
        <f>[2]TongHop!K2518</f>
        <v>0</v>
      </c>
      <c r="L2518">
        <f>[2]TongHop!L2518</f>
        <v>0</v>
      </c>
      <c r="M2518">
        <f>[2]TongHop!M2518</f>
        <v>0</v>
      </c>
      <c r="N2518">
        <f>[2]TongHop!N2518</f>
        <v>0</v>
      </c>
    </row>
    <row r="2519" spans="1:14">
      <c r="A2519">
        <f>[2]TongHop!A2519</f>
        <v>0</v>
      </c>
      <c r="B2519">
        <f>[2]TongHop!B2519</f>
        <v>0</v>
      </c>
      <c r="C2519">
        <f>[2]TongHop!C2519</f>
        <v>0</v>
      </c>
      <c r="D2519">
        <f>[2]TongHop!D2519</f>
        <v>0</v>
      </c>
      <c r="E2519">
        <f>[2]TongHop!E2519</f>
        <v>0</v>
      </c>
      <c r="F2519">
        <f>[2]TongHop!F2519</f>
        <v>0</v>
      </c>
      <c r="G2519">
        <f>[2]TongHop!G2519</f>
        <v>0</v>
      </c>
      <c r="H2519">
        <f>[2]TongHop!H2519</f>
        <v>0</v>
      </c>
      <c r="I2519">
        <f>[2]TongHop!I2519</f>
        <v>0</v>
      </c>
      <c r="J2519">
        <f>[2]TongHop!J2519</f>
        <v>0</v>
      </c>
      <c r="K2519">
        <f>[2]TongHop!K2519</f>
        <v>0</v>
      </c>
      <c r="L2519">
        <f>[2]TongHop!L2519</f>
        <v>0</v>
      </c>
      <c r="M2519">
        <f>[2]TongHop!M2519</f>
        <v>0</v>
      </c>
      <c r="N2519">
        <f>[2]TongHop!N2519</f>
        <v>0</v>
      </c>
    </row>
    <row r="2520" spans="1:14">
      <c r="A2520">
        <f>[2]TongHop!A2520</f>
        <v>0</v>
      </c>
      <c r="B2520">
        <f>[2]TongHop!B2520</f>
        <v>0</v>
      </c>
      <c r="C2520">
        <f>[2]TongHop!C2520</f>
        <v>0</v>
      </c>
      <c r="D2520">
        <f>[2]TongHop!D2520</f>
        <v>0</v>
      </c>
      <c r="E2520">
        <f>[2]TongHop!E2520</f>
        <v>0</v>
      </c>
      <c r="F2520">
        <f>[2]TongHop!F2520</f>
        <v>0</v>
      </c>
      <c r="G2520">
        <f>[2]TongHop!G2520</f>
        <v>0</v>
      </c>
      <c r="H2520">
        <f>[2]TongHop!H2520</f>
        <v>0</v>
      </c>
      <c r="I2520">
        <f>[2]TongHop!I2520</f>
        <v>0</v>
      </c>
      <c r="J2520">
        <f>[2]TongHop!J2520</f>
        <v>0</v>
      </c>
      <c r="K2520">
        <f>[2]TongHop!K2520</f>
        <v>0</v>
      </c>
      <c r="L2520">
        <f>[2]TongHop!L2520</f>
        <v>0</v>
      </c>
      <c r="M2520">
        <f>[2]TongHop!M2520</f>
        <v>0</v>
      </c>
      <c r="N2520">
        <f>[2]TongHop!N2520</f>
        <v>0</v>
      </c>
    </row>
    <row r="2521" spans="1:14">
      <c r="A2521">
        <f>[2]TongHop!A2521</f>
        <v>0</v>
      </c>
      <c r="B2521">
        <f>[2]TongHop!B2521</f>
        <v>0</v>
      </c>
      <c r="C2521">
        <f>[2]TongHop!C2521</f>
        <v>0</v>
      </c>
      <c r="D2521">
        <f>[2]TongHop!D2521</f>
        <v>0</v>
      </c>
      <c r="E2521">
        <f>[2]TongHop!E2521</f>
        <v>0</v>
      </c>
      <c r="F2521">
        <f>[2]TongHop!F2521</f>
        <v>0</v>
      </c>
      <c r="G2521">
        <f>[2]TongHop!G2521</f>
        <v>0</v>
      </c>
      <c r="H2521">
        <f>[2]TongHop!H2521</f>
        <v>0</v>
      </c>
      <c r="I2521">
        <f>[2]TongHop!I2521</f>
        <v>0</v>
      </c>
      <c r="J2521">
        <f>[2]TongHop!J2521</f>
        <v>0</v>
      </c>
      <c r="K2521">
        <f>[2]TongHop!K2521</f>
        <v>0</v>
      </c>
      <c r="L2521">
        <f>[2]TongHop!L2521</f>
        <v>0</v>
      </c>
      <c r="M2521">
        <f>[2]TongHop!M2521</f>
        <v>0</v>
      </c>
      <c r="N2521">
        <f>[2]TongHop!N2521</f>
        <v>0</v>
      </c>
    </row>
    <row r="2522" spans="1:14">
      <c r="A2522">
        <f>[2]TongHop!A2522</f>
        <v>0</v>
      </c>
      <c r="B2522">
        <f>[2]TongHop!B2522</f>
        <v>0</v>
      </c>
      <c r="C2522">
        <f>[2]TongHop!C2522</f>
        <v>0</v>
      </c>
      <c r="D2522">
        <f>[2]TongHop!D2522</f>
        <v>0</v>
      </c>
      <c r="E2522">
        <f>[2]TongHop!E2522</f>
        <v>0</v>
      </c>
      <c r="F2522">
        <f>[2]TongHop!F2522</f>
        <v>0</v>
      </c>
      <c r="G2522">
        <f>[2]TongHop!G2522</f>
        <v>0</v>
      </c>
      <c r="H2522">
        <f>[2]TongHop!H2522</f>
        <v>0</v>
      </c>
      <c r="I2522">
        <f>[2]TongHop!I2522</f>
        <v>0</v>
      </c>
      <c r="J2522">
        <f>[2]TongHop!J2522</f>
        <v>0</v>
      </c>
      <c r="K2522">
        <f>[2]TongHop!K2522</f>
        <v>0</v>
      </c>
      <c r="L2522">
        <f>[2]TongHop!L2522</f>
        <v>0</v>
      </c>
      <c r="M2522">
        <f>[2]TongHop!M2522</f>
        <v>0</v>
      </c>
      <c r="N2522">
        <f>[2]TongHop!N2522</f>
        <v>0</v>
      </c>
    </row>
    <row r="2523" spans="1:14">
      <c r="A2523">
        <f>[2]TongHop!A2523</f>
        <v>0</v>
      </c>
      <c r="B2523">
        <f>[2]TongHop!B2523</f>
        <v>0</v>
      </c>
      <c r="C2523">
        <f>[2]TongHop!C2523</f>
        <v>0</v>
      </c>
      <c r="D2523">
        <f>[2]TongHop!D2523</f>
        <v>0</v>
      </c>
      <c r="E2523">
        <f>[2]TongHop!E2523</f>
        <v>0</v>
      </c>
      <c r="F2523">
        <f>[2]TongHop!F2523</f>
        <v>0</v>
      </c>
      <c r="G2523">
        <f>[2]TongHop!G2523</f>
        <v>0</v>
      </c>
      <c r="H2523">
        <f>[2]TongHop!H2523</f>
        <v>0</v>
      </c>
      <c r="I2523">
        <f>[2]TongHop!I2523</f>
        <v>0</v>
      </c>
      <c r="J2523">
        <f>[2]TongHop!J2523</f>
        <v>0</v>
      </c>
      <c r="K2523">
        <f>[2]TongHop!K2523</f>
        <v>0</v>
      </c>
      <c r="L2523">
        <f>[2]TongHop!L2523</f>
        <v>0</v>
      </c>
      <c r="M2523">
        <f>[2]TongHop!M2523</f>
        <v>0</v>
      </c>
      <c r="N2523">
        <f>[2]TongHop!N2523</f>
        <v>0</v>
      </c>
    </row>
    <row r="2524" spans="1:14">
      <c r="A2524">
        <f>[2]TongHop!A2524</f>
        <v>0</v>
      </c>
      <c r="B2524">
        <f>[2]TongHop!B2524</f>
        <v>0</v>
      </c>
      <c r="C2524">
        <f>[2]TongHop!C2524</f>
        <v>0</v>
      </c>
      <c r="D2524">
        <f>[2]TongHop!D2524</f>
        <v>0</v>
      </c>
      <c r="E2524">
        <f>[2]TongHop!E2524</f>
        <v>0</v>
      </c>
      <c r="F2524">
        <f>[2]TongHop!F2524</f>
        <v>0</v>
      </c>
      <c r="G2524">
        <f>[2]TongHop!G2524</f>
        <v>0</v>
      </c>
      <c r="H2524">
        <f>[2]TongHop!H2524</f>
        <v>0</v>
      </c>
      <c r="I2524">
        <f>[2]TongHop!I2524</f>
        <v>0</v>
      </c>
      <c r="J2524">
        <f>[2]TongHop!J2524</f>
        <v>0</v>
      </c>
      <c r="K2524">
        <f>[2]TongHop!K2524</f>
        <v>0</v>
      </c>
      <c r="L2524">
        <f>[2]TongHop!L2524</f>
        <v>0</v>
      </c>
      <c r="M2524">
        <f>[2]TongHop!M2524</f>
        <v>0</v>
      </c>
      <c r="N2524">
        <f>[2]TongHop!N2524</f>
        <v>0</v>
      </c>
    </row>
    <row r="2525" spans="1:14">
      <c r="A2525">
        <f>[2]TongHop!A2525</f>
        <v>0</v>
      </c>
      <c r="B2525">
        <f>[2]TongHop!B2525</f>
        <v>0</v>
      </c>
      <c r="C2525">
        <f>[2]TongHop!C2525</f>
        <v>0</v>
      </c>
      <c r="D2525">
        <f>[2]TongHop!D2525</f>
        <v>0</v>
      </c>
      <c r="E2525">
        <f>[2]TongHop!E2525</f>
        <v>0</v>
      </c>
      <c r="F2525">
        <f>[2]TongHop!F2525</f>
        <v>0</v>
      </c>
      <c r="G2525">
        <f>[2]TongHop!G2525</f>
        <v>0</v>
      </c>
      <c r="H2525">
        <f>[2]TongHop!H2525</f>
        <v>0</v>
      </c>
      <c r="I2525">
        <f>[2]TongHop!I2525</f>
        <v>0</v>
      </c>
      <c r="J2525">
        <f>[2]TongHop!J2525</f>
        <v>0</v>
      </c>
      <c r="K2525">
        <f>[2]TongHop!K2525</f>
        <v>0</v>
      </c>
      <c r="L2525">
        <f>[2]TongHop!L2525</f>
        <v>0</v>
      </c>
      <c r="M2525">
        <f>[2]TongHop!M2525</f>
        <v>0</v>
      </c>
      <c r="N2525">
        <f>[2]TongHop!N2525</f>
        <v>0</v>
      </c>
    </row>
    <row r="2526" spans="1:14">
      <c r="A2526">
        <f>[2]TongHop!A2526</f>
        <v>0</v>
      </c>
      <c r="B2526">
        <f>[2]TongHop!B2526</f>
        <v>0</v>
      </c>
      <c r="C2526">
        <f>[2]TongHop!C2526</f>
        <v>0</v>
      </c>
      <c r="D2526">
        <f>[2]TongHop!D2526</f>
        <v>0</v>
      </c>
      <c r="E2526">
        <f>[2]TongHop!E2526</f>
        <v>0</v>
      </c>
      <c r="F2526">
        <f>[2]TongHop!F2526</f>
        <v>0</v>
      </c>
      <c r="G2526">
        <f>[2]TongHop!G2526</f>
        <v>0</v>
      </c>
      <c r="H2526">
        <f>[2]TongHop!H2526</f>
        <v>0</v>
      </c>
      <c r="I2526">
        <f>[2]TongHop!I2526</f>
        <v>0</v>
      </c>
      <c r="J2526">
        <f>[2]TongHop!J2526</f>
        <v>0</v>
      </c>
      <c r="K2526">
        <f>[2]TongHop!K2526</f>
        <v>0</v>
      </c>
      <c r="L2526">
        <f>[2]TongHop!L2526</f>
        <v>0</v>
      </c>
      <c r="M2526">
        <f>[2]TongHop!M2526</f>
        <v>0</v>
      </c>
      <c r="N2526">
        <f>[2]TongHop!N2526</f>
        <v>0</v>
      </c>
    </row>
    <row r="2527" spans="1:14">
      <c r="A2527">
        <f>[2]TongHop!A2527</f>
        <v>0</v>
      </c>
      <c r="B2527">
        <f>[2]TongHop!B2527</f>
        <v>0</v>
      </c>
      <c r="C2527">
        <f>[2]TongHop!C2527</f>
        <v>0</v>
      </c>
      <c r="D2527">
        <f>[2]TongHop!D2527</f>
        <v>0</v>
      </c>
      <c r="E2527">
        <f>[2]TongHop!E2527</f>
        <v>0</v>
      </c>
      <c r="F2527">
        <f>[2]TongHop!F2527</f>
        <v>0</v>
      </c>
      <c r="G2527">
        <f>[2]TongHop!G2527</f>
        <v>0</v>
      </c>
      <c r="H2527">
        <f>[2]TongHop!H2527</f>
        <v>0</v>
      </c>
      <c r="I2527">
        <f>[2]TongHop!I2527</f>
        <v>0</v>
      </c>
      <c r="J2527">
        <f>[2]TongHop!J2527</f>
        <v>0</v>
      </c>
      <c r="K2527">
        <f>[2]TongHop!K2527</f>
        <v>0</v>
      </c>
      <c r="L2527">
        <f>[2]TongHop!L2527</f>
        <v>0</v>
      </c>
      <c r="M2527">
        <f>[2]TongHop!M2527</f>
        <v>0</v>
      </c>
      <c r="N2527">
        <f>[2]TongHop!N2527</f>
        <v>0</v>
      </c>
    </row>
    <row r="2528" spans="1:14">
      <c r="A2528">
        <f>[2]TongHop!A2528</f>
        <v>0</v>
      </c>
      <c r="B2528">
        <f>[2]TongHop!B2528</f>
        <v>0</v>
      </c>
      <c r="C2528">
        <f>[2]TongHop!C2528</f>
        <v>0</v>
      </c>
      <c r="D2528">
        <f>[2]TongHop!D2528</f>
        <v>0</v>
      </c>
      <c r="E2528">
        <f>[2]TongHop!E2528</f>
        <v>0</v>
      </c>
      <c r="F2528">
        <f>[2]TongHop!F2528</f>
        <v>0</v>
      </c>
      <c r="G2528">
        <f>[2]TongHop!G2528</f>
        <v>0</v>
      </c>
      <c r="H2528">
        <f>[2]TongHop!H2528</f>
        <v>0</v>
      </c>
      <c r="I2528">
        <f>[2]TongHop!I2528</f>
        <v>0</v>
      </c>
      <c r="J2528">
        <f>[2]TongHop!J2528</f>
        <v>0</v>
      </c>
      <c r="K2528">
        <f>[2]TongHop!K2528</f>
        <v>0</v>
      </c>
      <c r="L2528">
        <f>[2]TongHop!L2528</f>
        <v>0</v>
      </c>
      <c r="M2528">
        <f>[2]TongHop!M2528</f>
        <v>0</v>
      </c>
      <c r="N2528">
        <f>[2]TongHop!N2528</f>
        <v>0</v>
      </c>
    </row>
    <row r="2529" spans="1:14">
      <c r="A2529">
        <f>[2]TongHop!A2529</f>
        <v>0</v>
      </c>
      <c r="B2529">
        <f>[2]TongHop!B2529</f>
        <v>0</v>
      </c>
      <c r="C2529">
        <f>[2]TongHop!C2529</f>
        <v>0</v>
      </c>
      <c r="D2529">
        <f>[2]TongHop!D2529</f>
        <v>0</v>
      </c>
      <c r="E2529">
        <f>[2]TongHop!E2529</f>
        <v>0</v>
      </c>
      <c r="F2529">
        <f>[2]TongHop!F2529</f>
        <v>0</v>
      </c>
      <c r="G2529">
        <f>[2]TongHop!G2529</f>
        <v>0</v>
      </c>
      <c r="H2529">
        <f>[2]TongHop!H2529</f>
        <v>0</v>
      </c>
      <c r="I2529">
        <f>[2]TongHop!I2529</f>
        <v>0</v>
      </c>
      <c r="J2529">
        <f>[2]TongHop!J2529</f>
        <v>0</v>
      </c>
      <c r="K2529">
        <f>[2]TongHop!K2529</f>
        <v>0</v>
      </c>
      <c r="L2529">
        <f>[2]TongHop!L2529</f>
        <v>0</v>
      </c>
      <c r="M2529">
        <f>[2]TongHop!M2529</f>
        <v>0</v>
      </c>
      <c r="N2529">
        <f>[2]TongHop!N2529</f>
        <v>0</v>
      </c>
    </row>
    <row r="2530" spans="1:14">
      <c r="A2530">
        <f>[2]TongHop!A2530</f>
        <v>0</v>
      </c>
      <c r="B2530">
        <f>[2]TongHop!B2530</f>
        <v>0</v>
      </c>
      <c r="C2530">
        <f>[2]TongHop!C2530</f>
        <v>0</v>
      </c>
      <c r="D2530">
        <f>[2]TongHop!D2530</f>
        <v>0</v>
      </c>
      <c r="E2530">
        <f>[2]TongHop!E2530</f>
        <v>0</v>
      </c>
      <c r="F2530">
        <f>[2]TongHop!F2530</f>
        <v>0</v>
      </c>
      <c r="G2530">
        <f>[2]TongHop!G2530</f>
        <v>0</v>
      </c>
      <c r="H2530">
        <f>[2]TongHop!H2530</f>
        <v>0</v>
      </c>
      <c r="I2530">
        <f>[2]TongHop!I2530</f>
        <v>0</v>
      </c>
      <c r="J2530">
        <f>[2]TongHop!J2530</f>
        <v>0</v>
      </c>
      <c r="K2530">
        <f>[2]TongHop!K2530</f>
        <v>0</v>
      </c>
      <c r="L2530">
        <f>[2]TongHop!L2530</f>
        <v>0</v>
      </c>
      <c r="M2530">
        <f>[2]TongHop!M2530</f>
        <v>0</v>
      </c>
      <c r="N2530">
        <f>[2]TongHop!N2530</f>
        <v>0</v>
      </c>
    </row>
    <row r="2531" spans="1:14">
      <c r="A2531">
        <f>[2]TongHop!A2531</f>
        <v>0</v>
      </c>
      <c r="B2531">
        <f>[2]TongHop!B2531</f>
        <v>0</v>
      </c>
      <c r="C2531">
        <f>[2]TongHop!C2531</f>
        <v>0</v>
      </c>
      <c r="D2531">
        <f>[2]TongHop!D2531</f>
        <v>0</v>
      </c>
      <c r="E2531">
        <f>[2]TongHop!E2531</f>
        <v>0</v>
      </c>
      <c r="F2531">
        <f>[2]TongHop!F2531</f>
        <v>0</v>
      </c>
      <c r="G2531">
        <f>[2]TongHop!G2531</f>
        <v>0</v>
      </c>
      <c r="H2531">
        <f>[2]TongHop!H2531</f>
        <v>0</v>
      </c>
      <c r="I2531">
        <f>[2]TongHop!I2531</f>
        <v>0</v>
      </c>
      <c r="J2531">
        <f>[2]TongHop!J2531</f>
        <v>0</v>
      </c>
      <c r="K2531">
        <f>[2]TongHop!K2531</f>
        <v>0</v>
      </c>
      <c r="L2531">
        <f>[2]TongHop!L2531</f>
        <v>0</v>
      </c>
      <c r="M2531">
        <f>[2]TongHop!M2531</f>
        <v>0</v>
      </c>
      <c r="N2531">
        <f>[2]TongHop!N2531</f>
        <v>0</v>
      </c>
    </row>
    <row r="2532" spans="1:14">
      <c r="A2532">
        <f>[2]TongHop!A2532</f>
        <v>0</v>
      </c>
      <c r="B2532">
        <f>[2]TongHop!B2532</f>
        <v>0</v>
      </c>
      <c r="C2532">
        <f>[2]TongHop!C2532</f>
        <v>0</v>
      </c>
      <c r="D2532">
        <f>[2]TongHop!D2532</f>
        <v>0</v>
      </c>
      <c r="E2532">
        <f>[2]TongHop!E2532</f>
        <v>0</v>
      </c>
      <c r="F2532">
        <f>[2]TongHop!F2532</f>
        <v>0</v>
      </c>
      <c r="G2532">
        <f>[2]TongHop!G2532</f>
        <v>0</v>
      </c>
      <c r="H2532">
        <f>[2]TongHop!H2532</f>
        <v>0</v>
      </c>
      <c r="I2532">
        <f>[2]TongHop!I2532</f>
        <v>0</v>
      </c>
      <c r="J2532">
        <f>[2]TongHop!J2532</f>
        <v>0</v>
      </c>
      <c r="K2532">
        <f>[2]TongHop!K2532</f>
        <v>0</v>
      </c>
      <c r="L2532">
        <f>[2]TongHop!L2532</f>
        <v>0</v>
      </c>
      <c r="M2532">
        <f>[2]TongHop!M2532</f>
        <v>0</v>
      </c>
      <c r="N2532">
        <f>[2]TongHop!N2532</f>
        <v>0</v>
      </c>
    </row>
    <row r="2533" spans="1:14">
      <c r="A2533">
        <f>[2]TongHop!A2533</f>
        <v>0</v>
      </c>
      <c r="B2533">
        <f>[2]TongHop!B2533</f>
        <v>0</v>
      </c>
      <c r="C2533">
        <f>[2]TongHop!C2533</f>
        <v>0</v>
      </c>
      <c r="D2533">
        <f>[2]TongHop!D2533</f>
        <v>0</v>
      </c>
      <c r="E2533">
        <f>[2]TongHop!E2533</f>
        <v>0</v>
      </c>
      <c r="F2533">
        <f>[2]TongHop!F2533</f>
        <v>0</v>
      </c>
      <c r="G2533">
        <f>[2]TongHop!G2533</f>
        <v>0</v>
      </c>
      <c r="H2533">
        <f>[2]TongHop!H2533</f>
        <v>0</v>
      </c>
      <c r="I2533">
        <f>[2]TongHop!I2533</f>
        <v>0</v>
      </c>
      <c r="J2533">
        <f>[2]TongHop!J2533</f>
        <v>0</v>
      </c>
      <c r="K2533">
        <f>[2]TongHop!K2533</f>
        <v>0</v>
      </c>
      <c r="L2533">
        <f>[2]TongHop!L2533</f>
        <v>0</v>
      </c>
      <c r="M2533">
        <f>[2]TongHop!M2533</f>
        <v>0</v>
      </c>
      <c r="N2533">
        <f>[2]TongHop!N2533</f>
        <v>0</v>
      </c>
    </row>
    <row r="2534" spans="1:14">
      <c r="A2534">
        <f>[2]TongHop!A2534</f>
        <v>0</v>
      </c>
      <c r="B2534">
        <f>[2]TongHop!B2534</f>
        <v>0</v>
      </c>
      <c r="C2534">
        <f>[2]TongHop!C2534</f>
        <v>0</v>
      </c>
      <c r="D2534">
        <f>[2]TongHop!D2534</f>
        <v>0</v>
      </c>
      <c r="E2534">
        <f>[2]TongHop!E2534</f>
        <v>0</v>
      </c>
      <c r="F2534">
        <f>[2]TongHop!F2534</f>
        <v>0</v>
      </c>
      <c r="G2534">
        <f>[2]TongHop!G2534</f>
        <v>0</v>
      </c>
      <c r="H2534">
        <f>[2]TongHop!H2534</f>
        <v>0</v>
      </c>
      <c r="I2534">
        <f>[2]TongHop!I2534</f>
        <v>0</v>
      </c>
      <c r="J2534">
        <f>[2]TongHop!J2534</f>
        <v>0</v>
      </c>
      <c r="K2534">
        <f>[2]TongHop!K2534</f>
        <v>0</v>
      </c>
      <c r="L2534">
        <f>[2]TongHop!L2534</f>
        <v>0</v>
      </c>
      <c r="M2534">
        <f>[2]TongHop!M2534</f>
        <v>0</v>
      </c>
      <c r="N2534">
        <f>[2]TongHop!N2534</f>
        <v>0</v>
      </c>
    </row>
    <row r="2535" spans="1:14">
      <c r="A2535">
        <f>[2]TongHop!A2535</f>
        <v>0</v>
      </c>
      <c r="B2535">
        <f>[2]TongHop!B2535</f>
        <v>0</v>
      </c>
      <c r="C2535">
        <f>[2]TongHop!C2535</f>
        <v>0</v>
      </c>
      <c r="D2535">
        <f>[2]TongHop!D2535</f>
        <v>0</v>
      </c>
      <c r="E2535">
        <f>[2]TongHop!E2535</f>
        <v>0</v>
      </c>
      <c r="F2535">
        <f>[2]TongHop!F2535</f>
        <v>0</v>
      </c>
      <c r="G2535">
        <f>[2]TongHop!G2535</f>
        <v>0</v>
      </c>
      <c r="H2535">
        <f>[2]TongHop!H2535</f>
        <v>0</v>
      </c>
      <c r="I2535">
        <f>[2]TongHop!I2535</f>
        <v>0</v>
      </c>
      <c r="J2535">
        <f>[2]TongHop!J2535</f>
        <v>0</v>
      </c>
      <c r="K2535">
        <f>[2]TongHop!K2535</f>
        <v>0</v>
      </c>
      <c r="L2535">
        <f>[2]TongHop!L2535</f>
        <v>0</v>
      </c>
      <c r="M2535">
        <f>[2]TongHop!M2535</f>
        <v>0</v>
      </c>
      <c r="N2535">
        <f>[2]TongHop!N2535</f>
        <v>0</v>
      </c>
    </row>
    <row r="2536" spans="1:14">
      <c r="A2536">
        <f>[2]TongHop!A2536</f>
        <v>0</v>
      </c>
      <c r="B2536">
        <f>[2]TongHop!B2536</f>
        <v>0</v>
      </c>
      <c r="C2536">
        <f>[2]TongHop!C2536</f>
        <v>0</v>
      </c>
      <c r="D2536">
        <f>[2]TongHop!D2536</f>
        <v>0</v>
      </c>
      <c r="E2536">
        <f>[2]TongHop!E2536</f>
        <v>0</v>
      </c>
      <c r="F2536">
        <f>[2]TongHop!F2536</f>
        <v>0</v>
      </c>
      <c r="G2536">
        <f>[2]TongHop!G2536</f>
        <v>0</v>
      </c>
      <c r="H2536">
        <f>[2]TongHop!H2536</f>
        <v>0</v>
      </c>
      <c r="I2536">
        <f>[2]TongHop!I2536</f>
        <v>0</v>
      </c>
      <c r="J2536">
        <f>[2]TongHop!J2536</f>
        <v>0</v>
      </c>
      <c r="K2536">
        <f>[2]TongHop!K2536</f>
        <v>0</v>
      </c>
      <c r="L2536">
        <f>[2]TongHop!L2536</f>
        <v>0</v>
      </c>
      <c r="M2536">
        <f>[2]TongHop!M2536</f>
        <v>0</v>
      </c>
      <c r="N2536">
        <f>[2]TongHop!N2536</f>
        <v>0</v>
      </c>
    </row>
    <row r="2537" spans="1:14">
      <c r="A2537">
        <f>[2]TongHop!A2537</f>
        <v>0</v>
      </c>
      <c r="B2537">
        <f>[2]TongHop!B2537</f>
        <v>0</v>
      </c>
      <c r="C2537">
        <f>[2]TongHop!C2537</f>
        <v>0</v>
      </c>
      <c r="D2537">
        <f>[2]TongHop!D2537</f>
        <v>0</v>
      </c>
      <c r="E2537">
        <f>[2]TongHop!E2537</f>
        <v>0</v>
      </c>
      <c r="F2537">
        <f>[2]TongHop!F2537</f>
        <v>0</v>
      </c>
      <c r="G2537">
        <f>[2]TongHop!G2537</f>
        <v>0</v>
      </c>
      <c r="H2537">
        <f>[2]TongHop!H2537</f>
        <v>0</v>
      </c>
      <c r="I2537">
        <f>[2]TongHop!I2537</f>
        <v>0</v>
      </c>
      <c r="J2537">
        <f>[2]TongHop!J2537</f>
        <v>0</v>
      </c>
      <c r="K2537">
        <f>[2]TongHop!K2537</f>
        <v>0</v>
      </c>
      <c r="L2537">
        <f>[2]TongHop!L2537</f>
        <v>0</v>
      </c>
      <c r="M2537">
        <f>[2]TongHop!M2537</f>
        <v>0</v>
      </c>
      <c r="N2537">
        <f>[2]TongHop!N2537</f>
        <v>0</v>
      </c>
    </row>
    <row r="2538" spans="1:14">
      <c r="A2538">
        <f>[2]TongHop!A2538</f>
        <v>0</v>
      </c>
      <c r="B2538">
        <f>[2]TongHop!B2538</f>
        <v>0</v>
      </c>
      <c r="C2538">
        <f>[2]TongHop!C2538</f>
        <v>0</v>
      </c>
      <c r="D2538">
        <f>[2]TongHop!D2538</f>
        <v>0</v>
      </c>
      <c r="E2538">
        <f>[2]TongHop!E2538</f>
        <v>0</v>
      </c>
      <c r="F2538">
        <f>[2]TongHop!F2538</f>
        <v>0</v>
      </c>
      <c r="G2538">
        <f>[2]TongHop!G2538</f>
        <v>0</v>
      </c>
      <c r="H2538">
        <f>[2]TongHop!H2538</f>
        <v>0</v>
      </c>
      <c r="I2538">
        <f>[2]TongHop!I2538</f>
        <v>0</v>
      </c>
      <c r="J2538">
        <f>[2]TongHop!J2538</f>
        <v>0</v>
      </c>
      <c r="K2538">
        <f>[2]TongHop!K2538</f>
        <v>0</v>
      </c>
      <c r="L2538">
        <f>[2]TongHop!L2538</f>
        <v>0</v>
      </c>
      <c r="M2538">
        <f>[2]TongHop!M2538</f>
        <v>0</v>
      </c>
      <c r="N2538">
        <f>[2]TongHop!N2538</f>
        <v>0</v>
      </c>
    </row>
    <row r="2539" spans="1:14">
      <c r="A2539">
        <f>[2]TongHop!A2539</f>
        <v>0</v>
      </c>
      <c r="B2539">
        <f>[2]TongHop!B2539</f>
        <v>0</v>
      </c>
      <c r="C2539">
        <f>[2]TongHop!C2539</f>
        <v>0</v>
      </c>
      <c r="D2539">
        <f>[2]TongHop!D2539</f>
        <v>0</v>
      </c>
      <c r="E2539">
        <f>[2]TongHop!E2539</f>
        <v>0</v>
      </c>
      <c r="F2539">
        <f>[2]TongHop!F2539</f>
        <v>0</v>
      </c>
      <c r="G2539">
        <f>[2]TongHop!G2539</f>
        <v>0</v>
      </c>
      <c r="H2539">
        <f>[2]TongHop!H2539</f>
        <v>0</v>
      </c>
      <c r="I2539">
        <f>[2]TongHop!I2539</f>
        <v>0</v>
      </c>
      <c r="J2539">
        <f>[2]TongHop!J2539</f>
        <v>0</v>
      </c>
      <c r="K2539">
        <f>[2]TongHop!K2539</f>
        <v>0</v>
      </c>
      <c r="L2539">
        <f>[2]TongHop!L2539</f>
        <v>0</v>
      </c>
      <c r="M2539">
        <f>[2]TongHop!M2539</f>
        <v>0</v>
      </c>
      <c r="N2539">
        <f>[2]TongHop!N2539</f>
        <v>0</v>
      </c>
    </row>
    <row r="2540" spans="1:14">
      <c r="A2540">
        <f>[2]TongHop!A2540</f>
        <v>0</v>
      </c>
      <c r="B2540">
        <f>[2]TongHop!B2540</f>
        <v>0</v>
      </c>
      <c r="C2540">
        <f>[2]TongHop!C2540</f>
        <v>0</v>
      </c>
      <c r="D2540">
        <f>[2]TongHop!D2540</f>
        <v>0</v>
      </c>
      <c r="E2540">
        <f>[2]TongHop!E2540</f>
        <v>0</v>
      </c>
      <c r="F2540">
        <f>[2]TongHop!F2540</f>
        <v>0</v>
      </c>
      <c r="G2540">
        <f>[2]TongHop!G2540</f>
        <v>0</v>
      </c>
      <c r="H2540">
        <f>[2]TongHop!H2540</f>
        <v>0</v>
      </c>
      <c r="I2540">
        <f>[2]TongHop!I2540</f>
        <v>0</v>
      </c>
      <c r="J2540">
        <f>[2]TongHop!J2540</f>
        <v>0</v>
      </c>
      <c r="K2540">
        <f>[2]TongHop!K2540</f>
        <v>0</v>
      </c>
      <c r="L2540">
        <f>[2]TongHop!L2540</f>
        <v>0</v>
      </c>
      <c r="M2540">
        <f>[2]TongHop!M2540</f>
        <v>0</v>
      </c>
      <c r="N2540">
        <f>[2]TongHop!N2540</f>
        <v>0</v>
      </c>
    </row>
    <row r="2541" spans="1:14">
      <c r="A2541">
        <f>[2]TongHop!A2541</f>
        <v>0</v>
      </c>
      <c r="B2541">
        <f>[2]TongHop!B2541</f>
        <v>0</v>
      </c>
      <c r="C2541">
        <f>[2]TongHop!C2541</f>
        <v>0</v>
      </c>
      <c r="D2541">
        <f>[2]TongHop!D2541</f>
        <v>0</v>
      </c>
      <c r="E2541">
        <f>[2]TongHop!E2541</f>
        <v>0</v>
      </c>
      <c r="F2541">
        <f>[2]TongHop!F2541</f>
        <v>0</v>
      </c>
      <c r="G2541">
        <f>[2]TongHop!G2541</f>
        <v>0</v>
      </c>
      <c r="H2541">
        <f>[2]TongHop!H2541</f>
        <v>0</v>
      </c>
      <c r="I2541">
        <f>[2]TongHop!I2541</f>
        <v>0</v>
      </c>
      <c r="J2541">
        <f>[2]TongHop!J2541</f>
        <v>0</v>
      </c>
      <c r="K2541">
        <f>[2]TongHop!K2541</f>
        <v>0</v>
      </c>
      <c r="L2541">
        <f>[2]TongHop!L2541</f>
        <v>0</v>
      </c>
      <c r="M2541">
        <f>[2]TongHop!M2541</f>
        <v>0</v>
      </c>
      <c r="N2541">
        <f>[2]TongHop!N2541</f>
        <v>0</v>
      </c>
    </row>
    <row r="2542" spans="1:14">
      <c r="A2542">
        <f>[2]TongHop!A2542</f>
        <v>0</v>
      </c>
      <c r="B2542">
        <f>[2]TongHop!B2542</f>
        <v>0</v>
      </c>
      <c r="C2542">
        <f>[2]TongHop!C2542</f>
        <v>0</v>
      </c>
      <c r="D2542">
        <f>[2]TongHop!D2542</f>
        <v>0</v>
      </c>
      <c r="E2542">
        <f>[2]TongHop!E2542</f>
        <v>0</v>
      </c>
      <c r="F2542">
        <f>[2]TongHop!F2542</f>
        <v>0</v>
      </c>
      <c r="G2542">
        <f>[2]TongHop!G2542</f>
        <v>0</v>
      </c>
      <c r="H2542">
        <f>[2]TongHop!H2542</f>
        <v>0</v>
      </c>
      <c r="I2542">
        <f>[2]TongHop!I2542</f>
        <v>0</v>
      </c>
      <c r="J2542">
        <f>[2]TongHop!J2542</f>
        <v>0</v>
      </c>
      <c r="K2542">
        <f>[2]TongHop!K2542</f>
        <v>0</v>
      </c>
      <c r="L2542">
        <f>[2]TongHop!L2542</f>
        <v>0</v>
      </c>
      <c r="M2542">
        <f>[2]TongHop!M2542</f>
        <v>0</v>
      </c>
      <c r="N2542">
        <f>[2]TongHop!N2542</f>
        <v>0</v>
      </c>
    </row>
    <row r="2543" spans="1:14">
      <c r="A2543">
        <f>[2]TongHop!A2543</f>
        <v>0</v>
      </c>
      <c r="B2543">
        <f>[2]TongHop!B2543</f>
        <v>0</v>
      </c>
      <c r="C2543">
        <f>[2]TongHop!C2543</f>
        <v>0</v>
      </c>
      <c r="D2543">
        <f>[2]TongHop!D2543</f>
        <v>0</v>
      </c>
      <c r="E2543">
        <f>[2]TongHop!E2543</f>
        <v>0</v>
      </c>
      <c r="F2543">
        <f>[2]TongHop!F2543</f>
        <v>0</v>
      </c>
      <c r="G2543">
        <f>[2]TongHop!G2543</f>
        <v>0</v>
      </c>
      <c r="H2543">
        <f>[2]TongHop!H2543</f>
        <v>0</v>
      </c>
      <c r="I2543">
        <f>[2]TongHop!I2543</f>
        <v>0</v>
      </c>
      <c r="J2543">
        <f>[2]TongHop!J2543</f>
        <v>0</v>
      </c>
      <c r="K2543">
        <f>[2]TongHop!K2543</f>
        <v>0</v>
      </c>
      <c r="L2543">
        <f>[2]TongHop!L2543</f>
        <v>0</v>
      </c>
      <c r="M2543">
        <f>[2]TongHop!M2543</f>
        <v>0</v>
      </c>
      <c r="N2543">
        <f>[2]TongHop!N2543</f>
        <v>0</v>
      </c>
    </row>
    <row r="2544" spans="1:14">
      <c r="A2544">
        <f>[2]TongHop!A2544</f>
        <v>0</v>
      </c>
      <c r="B2544">
        <f>[2]TongHop!B2544</f>
        <v>0</v>
      </c>
      <c r="C2544">
        <f>[2]TongHop!C2544</f>
        <v>0</v>
      </c>
      <c r="D2544">
        <f>[2]TongHop!D2544</f>
        <v>0</v>
      </c>
      <c r="E2544">
        <f>[2]TongHop!E2544</f>
        <v>0</v>
      </c>
      <c r="F2544">
        <f>[2]TongHop!F2544</f>
        <v>0</v>
      </c>
      <c r="G2544">
        <f>[2]TongHop!G2544</f>
        <v>0</v>
      </c>
      <c r="H2544">
        <f>[2]TongHop!H2544</f>
        <v>0</v>
      </c>
      <c r="I2544">
        <f>[2]TongHop!I2544</f>
        <v>0</v>
      </c>
      <c r="J2544">
        <f>[2]TongHop!J2544</f>
        <v>0</v>
      </c>
      <c r="K2544">
        <f>[2]TongHop!K2544</f>
        <v>0</v>
      </c>
      <c r="L2544">
        <f>[2]TongHop!L2544</f>
        <v>0</v>
      </c>
      <c r="M2544">
        <f>[2]TongHop!M2544</f>
        <v>0</v>
      </c>
      <c r="N2544">
        <f>[2]TongHop!N2544</f>
        <v>0</v>
      </c>
    </row>
    <row r="2545" spans="1:14">
      <c r="A2545">
        <f>[2]TongHop!A2545</f>
        <v>0</v>
      </c>
      <c r="B2545">
        <f>[2]TongHop!B2545</f>
        <v>0</v>
      </c>
      <c r="C2545">
        <f>[2]TongHop!C2545</f>
        <v>0</v>
      </c>
      <c r="D2545">
        <f>[2]TongHop!D2545</f>
        <v>0</v>
      </c>
      <c r="E2545">
        <f>[2]TongHop!E2545</f>
        <v>0</v>
      </c>
      <c r="F2545">
        <f>[2]TongHop!F2545</f>
        <v>0</v>
      </c>
      <c r="G2545">
        <f>[2]TongHop!G2545</f>
        <v>0</v>
      </c>
      <c r="H2545">
        <f>[2]TongHop!H2545</f>
        <v>0</v>
      </c>
      <c r="I2545">
        <f>[2]TongHop!I2545</f>
        <v>0</v>
      </c>
      <c r="J2545">
        <f>[2]TongHop!J2545</f>
        <v>0</v>
      </c>
      <c r="K2545">
        <f>[2]TongHop!K2545</f>
        <v>0</v>
      </c>
      <c r="L2545">
        <f>[2]TongHop!L2545</f>
        <v>0</v>
      </c>
      <c r="M2545">
        <f>[2]TongHop!M2545</f>
        <v>0</v>
      </c>
      <c r="N2545">
        <f>[2]TongHop!N2545</f>
        <v>0</v>
      </c>
    </row>
    <row r="2546" spans="1:14">
      <c r="A2546">
        <f>[2]TongHop!A2546</f>
        <v>0</v>
      </c>
      <c r="B2546">
        <f>[2]TongHop!B2546</f>
        <v>0</v>
      </c>
      <c r="C2546">
        <f>[2]TongHop!C2546</f>
        <v>0</v>
      </c>
      <c r="D2546">
        <f>[2]TongHop!D2546</f>
        <v>0</v>
      </c>
      <c r="E2546">
        <f>[2]TongHop!E2546</f>
        <v>0</v>
      </c>
      <c r="F2546">
        <f>[2]TongHop!F2546</f>
        <v>0</v>
      </c>
      <c r="G2546">
        <f>[2]TongHop!G2546</f>
        <v>0</v>
      </c>
      <c r="H2546">
        <f>[2]TongHop!H2546</f>
        <v>0</v>
      </c>
      <c r="I2546">
        <f>[2]TongHop!I2546</f>
        <v>0</v>
      </c>
      <c r="J2546">
        <f>[2]TongHop!J2546</f>
        <v>0</v>
      </c>
      <c r="K2546">
        <f>[2]TongHop!K2546</f>
        <v>0</v>
      </c>
      <c r="L2546">
        <f>[2]TongHop!L2546</f>
        <v>0</v>
      </c>
      <c r="M2546">
        <f>[2]TongHop!M2546</f>
        <v>0</v>
      </c>
      <c r="N2546">
        <f>[2]TongHop!N2546</f>
        <v>0</v>
      </c>
    </row>
    <row r="2547" spans="1:14">
      <c r="A2547">
        <f>[2]TongHop!A2547</f>
        <v>0</v>
      </c>
      <c r="B2547">
        <f>[2]TongHop!B2547</f>
        <v>0</v>
      </c>
      <c r="C2547">
        <f>[2]TongHop!C2547</f>
        <v>0</v>
      </c>
      <c r="D2547">
        <f>[2]TongHop!D2547</f>
        <v>0</v>
      </c>
      <c r="E2547">
        <f>[2]TongHop!E2547</f>
        <v>0</v>
      </c>
      <c r="F2547">
        <f>[2]TongHop!F2547</f>
        <v>0</v>
      </c>
      <c r="G2547">
        <f>[2]TongHop!G2547</f>
        <v>0</v>
      </c>
      <c r="H2547">
        <f>[2]TongHop!H2547</f>
        <v>0</v>
      </c>
      <c r="I2547">
        <f>[2]TongHop!I2547</f>
        <v>0</v>
      </c>
      <c r="J2547">
        <f>[2]TongHop!J2547</f>
        <v>0</v>
      </c>
      <c r="K2547">
        <f>[2]TongHop!K2547</f>
        <v>0</v>
      </c>
      <c r="L2547">
        <f>[2]TongHop!L2547</f>
        <v>0</v>
      </c>
      <c r="M2547">
        <f>[2]TongHop!M2547</f>
        <v>0</v>
      </c>
      <c r="N2547">
        <f>[2]TongHop!N2547</f>
        <v>0</v>
      </c>
    </row>
    <row r="2548" spans="1:14">
      <c r="A2548">
        <f>[2]TongHop!A2548</f>
        <v>0</v>
      </c>
      <c r="B2548">
        <f>[2]TongHop!B2548</f>
        <v>0</v>
      </c>
      <c r="C2548">
        <f>[2]TongHop!C2548</f>
        <v>0</v>
      </c>
      <c r="D2548">
        <f>[2]TongHop!D2548</f>
        <v>0</v>
      </c>
      <c r="E2548">
        <f>[2]TongHop!E2548</f>
        <v>0</v>
      </c>
      <c r="F2548">
        <f>[2]TongHop!F2548</f>
        <v>0</v>
      </c>
      <c r="G2548">
        <f>[2]TongHop!G2548</f>
        <v>0</v>
      </c>
      <c r="H2548">
        <f>[2]TongHop!H2548</f>
        <v>0</v>
      </c>
      <c r="I2548">
        <f>[2]TongHop!I2548</f>
        <v>0</v>
      </c>
      <c r="J2548">
        <f>[2]TongHop!J2548</f>
        <v>0</v>
      </c>
      <c r="K2548">
        <f>[2]TongHop!K2548</f>
        <v>0</v>
      </c>
      <c r="L2548">
        <f>[2]TongHop!L2548</f>
        <v>0</v>
      </c>
      <c r="M2548">
        <f>[2]TongHop!M2548</f>
        <v>0</v>
      </c>
      <c r="N2548">
        <f>[2]TongHop!N2548</f>
        <v>0</v>
      </c>
    </row>
    <row r="2549" spans="1:14">
      <c r="A2549">
        <f>[2]TongHop!A2549</f>
        <v>0</v>
      </c>
      <c r="B2549">
        <f>[2]TongHop!B2549</f>
        <v>0</v>
      </c>
      <c r="C2549">
        <f>[2]TongHop!C2549</f>
        <v>0</v>
      </c>
      <c r="D2549">
        <f>[2]TongHop!D2549</f>
        <v>0</v>
      </c>
      <c r="E2549">
        <f>[2]TongHop!E2549</f>
        <v>0</v>
      </c>
      <c r="F2549">
        <f>[2]TongHop!F2549</f>
        <v>0</v>
      </c>
      <c r="G2549">
        <f>[2]TongHop!G2549</f>
        <v>0</v>
      </c>
      <c r="H2549">
        <f>[2]TongHop!H2549</f>
        <v>0</v>
      </c>
      <c r="I2549">
        <f>[2]TongHop!I2549</f>
        <v>0</v>
      </c>
      <c r="J2549">
        <f>[2]TongHop!J2549</f>
        <v>0</v>
      </c>
      <c r="K2549">
        <f>[2]TongHop!K2549</f>
        <v>0</v>
      </c>
      <c r="L2549">
        <f>[2]TongHop!L2549</f>
        <v>0</v>
      </c>
      <c r="M2549">
        <f>[2]TongHop!M2549</f>
        <v>0</v>
      </c>
      <c r="N2549">
        <f>[2]TongHop!N2549</f>
        <v>0</v>
      </c>
    </row>
    <row r="2550" spans="1:14">
      <c r="A2550">
        <f>[2]TongHop!A2550</f>
        <v>0</v>
      </c>
      <c r="B2550">
        <f>[2]TongHop!B2550</f>
        <v>0</v>
      </c>
      <c r="C2550">
        <f>[2]TongHop!C2550</f>
        <v>0</v>
      </c>
      <c r="D2550">
        <f>[2]TongHop!D2550</f>
        <v>0</v>
      </c>
      <c r="E2550">
        <f>[2]TongHop!E2550</f>
        <v>0</v>
      </c>
      <c r="F2550">
        <f>[2]TongHop!F2550</f>
        <v>0</v>
      </c>
      <c r="G2550">
        <f>[2]TongHop!G2550</f>
        <v>0</v>
      </c>
      <c r="H2550">
        <f>[2]TongHop!H2550</f>
        <v>0</v>
      </c>
      <c r="I2550">
        <f>[2]TongHop!I2550</f>
        <v>0</v>
      </c>
      <c r="J2550">
        <f>[2]TongHop!J2550</f>
        <v>0</v>
      </c>
      <c r="K2550">
        <f>[2]TongHop!K2550</f>
        <v>0</v>
      </c>
      <c r="L2550">
        <f>[2]TongHop!L2550</f>
        <v>0</v>
      </c>
      <c r="M2550">
        <f>[2]TongHop!M2550</f>
        <v>0</v>
      </c>
      <c r="N2550">
        <f>[2]TongHop!N2550</f>
        <v>0</v>
      </c>
    </row>
    <row r="2551" spans="1:14">
      <c r="A2551">
        <f>[2]TongHop!A2551</f>
        <v>0</v>
      </c>
      <c r="B2551">
        <f>[2]TongHop!B2551</f>
        <v>0</v>
      </c>
      <c r="C2551">
        <f>[2]TongHop!C2551</f>
        <v>0</v>
      </c>
      <c r="D2551">
        <f>[2]TongHop!D2551</f>
        <v>0</v>
      </c>
      <c r="E2551">
        <f>[2]TongHop!E2551</f>
        <v>0</v>
      </c>
      <c r="F2551">
        <f>[2]TongHop!F2551</f>
        <v>0</v>
      </c>
      <c r="G2551">
        <f>[2]TongHop!G2551</f>
        <v>0</v>
      </c>
      <c r="H2551">
        <f>[2]TongHop!H2551</f>
        <v>0</v>
      </c>
      <c r="I2551">
        <f>[2]TongHop!I2551</f>
        <v>0</v>
      </c>
      <c r="J2551">
        <f>[2]TongHop!J2551</f>
        <v>0</v>
      </c>
      <c r="K2551">
        <f>[2]TongHop!K2551</f>
        <v>0</v>
      </c>
      <c r="L2551">
        <f>[2]TongHop!L2551</f>
        <v>0</v>
      </c>
      <c r="M2551">
        <f>[2]TongHop!M2551</f>
        <v>0</v>
      </c>
      <c r="N2551">
        <f>[2]TongHop!N2551</f>
        <v>0</v>
      </c>
    </row>
    <row r="2552" spans="1:14">
      <c r="A2552">
        <f>[2]TongHop!A2552</f>
        <v>0</v>
      </c>
      <c r="B2552">
        <f>[2]TongHop!B2552</f>
        <v>0</v>
      </c>
      <c r="C2552">
        <f>[2]TongHop!C2552</f>
        <v>0</v>
      </c>
      <c r="D2552">
        <f>[2]TongHop!D2552</f>
        <v>0</v>
      </c>
      <c r="E2552">
        <f>[2]TongHop!E2552</f>
        <v>0</v>
      </c>
      <c r="F2552">
        <f>[2]TongHop!F2552</f>
        <v>0</v>
      </c>
      <c r="G2552">
        <f>[2]TongHop!G2552</f>
        <v>0</v>
      </c>
      <c r="H2552">
        <f>[2]TongHop!H2552</f>
        <v>0</v>
      </c>
      <c r="I2552">
        <f>[2]TongHop!I2552</f>
        <v>0</v>
      </c>
      <c r="J2552">
        <f>[2]TongHop!J2552</f>
        <v>0</v>
      </c>
      <c r="K2552">
        <f>[2]TongHop!K2552</f>
        <v>0</v>
      </c>
      <c r="L2552">
        <f>[2]TongHop!L2552</f>
        <v>0</v>
      </c>
      <c r="M2552">
        <f>[2]TongHop!M2552</f>
        <v>0</v>
      </c>
      <c r="N2552">
        <f>[2]TongHop!N2552</f>
        <v>0</v>
      </c>
    </row>
    <row r="2553" spans="1:14">
      <c r="A2553">
        <f>[2]TongHop!A2553</f>
        <v>0</v>
      </c>
      <c r="B2553">
        <f>[2]TongHop!B2553</f>
        <v>0</v>
      </c>
      <c r="C2553">
        <f>[2]TongHop!C2553</f>
        <v>0</v>
      </c>
      <c r="D2553">
        <f>[2]TongHop!D2553</f>
        <v>0</v>
      </c>
      <c r="E2553">
        <f>[2]TongHop!E2553</f>
        <v>0</v>
      </c>
      <c r="F2553">
        <f>[2]TongHop!F2553</f>
        <v>0</v>
      </c>
      <c r="G2553">
        <f>[2]TongHop!G2553</f>
        <v>0</v>
      </c>
      <c r="H2553">
        <f>[2]TongHop!H2553</f>
        <v>0</v>
      </c>
      <c r="I2553">
        <f>[2]TongHop!I2553</f>
        <v>0</v>
      </c>
      <c r="J2553">
        <f>[2]TongHop!J2553</f>
        <v>0</v>
      </c>
      <c r="K2553">
        <f>[2]TongHop!K2553</f>
        <v>0</v>
      </c>
      <c r="L2553">
        <f>[2]TongHop!L2553</f>
        <v>0</v>
      </c>
      <c r="M2553">
        <f>[2]TongHop!M2553</f>
        <v>0</v>
      </c>
      <c r="N2553">
        <f>[2]TongHop!N2553</f>
        <v>0</v>
      </c>
    </row>
    <row r="2554" spans="1:14">
      <c r="A2554">
        <f>[2]TongHop!A2554</f>
        <v>0</v>
      </c>
      <c r="B2554">
        <f>[2]TongHop!B2554</f>
        <v>0</v>
      </c>
      <c r="C2554">
        <f>[2]TongHop!C2554</f>
        <v>0</v>
      </c>
      <c r="D2554">
        <f>[2]TongHop!D2554</f>
        <v>0</v>
      </c>
      <c r="E2554">
        <f>[2]TongHop!E2554</f>
        <v>0</v>
      </c>
      <c r="F2554">
        <f>[2]TongHop!F2554</f>
        <v>0</v>
      </c>
      <c r="G2554">
        <f>[2]TongHop!G2554</f>
        <v>0</v>
      </c>
      <c r="H2554">
        <f>[2]TongHop!H2554</f>
        <v>0</v>
      </c>
      <c r="I2554">
        <f>[2]TongHop!I2554</f>
        <v>0</v>
      </c>
      <c r="J2554">
        <f>[2]TongHop!J2554</f>
        <v>0</v>
      </c>
      <c r="K2554">
        <f>[2]TongHop!K2554</f>
        <v>0</v>
      </c>
      <c r="L2554">
        <f>[2]TongHop!L2554</f>
        <v>0</v>
      </c>
      <c r="M2554">
        <f>[2]TongHop!M2554</f>
        <v>0</v>
      </c>
      <c r="N2554">
        <f>[2]TongHop!N2554</f>
        <v>0</v>
      </c>
    </row>
    <row r="2555" spans="1:14">
      <c r="A2555">
        <f>[2]TongHop!A2555</f>
        <v>0</v>
      </c>
      <c r="B2555">
        <f>[2]TongHop!B2555</f>
        <v>0</v>
      </c>
      <c r="C2555">
        <f>[2]TongHop!C2555</f>
        <v>0</v>
      </c>
      <c r="D2555">
        <f>[2]TongHop!D2555</f>
        <v>0</v>
      </c>
      <c r="E2555">
        <f>[2]TongHop!E2555</f>
        <v>0</v>
      </c>
      <c r="F2555">
        <f>[2]TongHop!F2555</f>
        <v>0</v>
      </c>
      <c r="G2555">
        <f>[2]TongHop!G2555</f>
        <v>0</v>
      </c>
      <c r="H2555">
        <f>[2]TongHop!H2555</f>
        <v>0</v>
      </c>
      <c r="I2555">
        <f>[2]TongHop!I2555</f>
        <v>0</v>
      </c>
      <c r="J2555">
        <f>[2]TongHop!J2555</f>
        <v>0</v>
      </c>
      <c r="K2555">
        <f>[2]TongHop!K2555</f>
        <v>0</v>
      </c>
      <c r="L2555">
        <f>[2]TongHop!L2555</f>
        <v>0</v>
      </c>
      <c r="M2555">
        <f>[2]TongHop!M2555</f>
        <v>0</v>
      </c>
      <c r="N2555">
        <f>[2]TongHop!N2555</f>
        <v>0</v>
      </c>
    </row>
    <row r="2556" spans="1:14">
      <c r="A2556">
        <f>[2]TongHop!A2556</f>
        <v>0</v>
      </c>
      <c r="B2556">
        <f>[2]TongHop!B2556</f>
        <v>0</v>
      </c>
      <c r="C2556">
        <f>[2]TongHop!C2556</f>
        <v>0</v>
      </c>
      <c r="D2556">
        <f>[2]TongHop!D2556</f>
        <v>0</v>
      </c>
      <c r="E2556">
        <f>[2]TongHop!E2556</f>
        <v>0</v>
      </c>
      <c r="F2556">
        <f>[2]TongHop!F2556</f>
        <v>0</v>
      </c>
      <c r="G2556">
        <f>[2]TongHop!G2556</f>
        <v>0</v>
      </c>
      <c r="H2556">
        <f>[2]TongHop!H2556</f>
        <v>0</v>
      </c>
      <c r="I2556">
        <f>[2]TongHop!I2556</f>
        <v>0</v>
      </c>
      <c r="J2556">
        <f>[2]TongHop!J2556</f>
        <v>0</v>
      </c>
      <c r="K2556">
        <f>[2]TongHop!K2556</f>
        <v>0</v>
      </c>
      <c r="L2556">
        <f>[2]TongHop!L2556</f>
        <v>0</v>
      </c>
      <c r="M2556">
        <f>[2]TongHop!M2556</f>
        <v>0</v>
      </c>
      <c r="N2556">
        <f>[2]TongHop!N2556</f>
        <v>0</v>
      </c>
    </row>
    <row r="2557" spans="1:14">
      <c r="A2557">
        <f>[2]TongHop!A2557</f>
        <v>0</v>
      </c>
      <c r="B2557">
        <f>[2]TongHop!B2557</f>
        <v>0</v>
      </c>
      <c r="C2557">
        <f>[2]TongHop!C2557</f>
        <v>0</v>
      </c>
      <c r="D2557">
        <f>[2]TongHop!D2557</f>
        <v>0</v>
      </c>
      <c r="E2557">
        <f>[2]TongHop!E2557</f>
        <v>0</v>
      </c>
      <c r="F2557">
        <f>[2]TongHop!F2557</f>
        <v>0</v>
      </c>
      <c r="G2557">
        <f>[2]TongHop!G2557</f>
        <v>0</v>
      </c>
      <c r="H2557">
        <f>[2]TongHop!H2557</f>
        <v>0</v>
      </c>
      <c r="I2557">
        <f>[2]TongHop!I2557</f>
        <v>0</v>
      </c>
      <c r="J2557">
        <f>[2]TongHop!J2557</f>
        <v>0</v>
      </c>
      <c r="K2557">
        <f>[2]TongHop!K2557</f>
        <v>0</v>
      </c>
      <c r="L2557">
        <f>[2]TongHop!L2557</f>
        <v>0</v>
      </c>
      <c r="M2557">
        <f>[2]TongHop!M2557</f>
        <v>0</v>
      </c>
      <c r="N2557">
        <f>[2]TongHop!N2557</f>
        <v>0</v>
      </c>
    </row>
    <row r="2558" spans="1:14">
      <c r="A2558">
        <f>[2]TongHop!A2558</f>
        <v>0</v>
      </c>
      <c r="B2558">
        <f>[2]TongHop!B2558</f>
        <v>0</v>
      </c>
      <c r="C2558">
        <f>[2]TongHop!C2558</f>
        <v>0</v>
      </c>
      <c r="D2558">
        <f>[2]TongHop!D2558</f>
        <v>0</v>
      </c>
      <c r="E2558">
        <f>[2]TongHop!E2558</f>
        <v>0</v>
      </c>
      <c r="F2558">
        <f>[2]TongHop!F2558</f>
        <v>0</v>
      </c>
      <c r="G2558">
        <f>[2]TongHop!G2558</f>
        <v>0</v>
      </c>
      <c r="H2558">
        <f>[2]TongHop!H2558</f>
        <v>0</v>
      </c>
      <c r="I2558">
        <f>[2]TongHop!I2558</f>
        <v>0</v>
      </c>
      <c r="J2558">
        <f>[2]TongHop!J2558</f>
        <v>0</v>
      </c>
      <c r="K2558">
        <f>[2]TongHop!K2558</f>
        <v>0</v>
      </c>
      <c r="L2558">
        <f>[2]TongHop!L2558</f>
        <v>0</v>
      </c>
      <c r="M2558">
        <f>[2]TongHop!M2558</f>
        <v>0</v>
      </c>
      <c r="N2558">
        <f>[2]TongHop!N2558</f>
        <v>0</v>
      </c>
    </row>
    <row r="2559" spans="1:14">
      <c r="A2559">
        <f>[2]TongHop!A2559</f>
        <v>0</v>
      </c>
      <c r="B2559">
        <f>[2]TongHop!B2559</f>
        <v>0</v>
      </c>
      <c r="C2559">
        <f>[2]TongHop!C2559</f>
        <v>0</v>
      </c>
      <c r="D2559">
        <f>[2]TongHop!D2559</f>
        <v>0</v>
      </c>
      <c r="E2559">
        <f>[2]TongHop!E2559</f>
        <v>0</v>
      </c>
      <c r="F2559">
        <f>[2]TongHop!F2559</f>
        <v>0</v>
      </c>
      <c r="G2559">
        <f>[2]TongHop!G2559</f>
        <v>0</v>
      </c>
      <c r="H2559">
        <f>[2]TongHop!H2559</f>
        <v>0</v>
      </c>
      <c r="I2559">
        <f>[2]TongHop!I2559</f>
        <v>0</v>
      </c>
      <c r="J2559">
        <f>[2]TongHop!J2559</f>
        <v>0</v>
      </c>
      <c r="K2559">
        <f>[2]TongHop!K2559</f>
        <v>0</v>
      </c>
      <c r="L2559">
        <f>[2]TongHop!L2559</f>
        <v>0</v>
      </c>
      <c r="M2559">
        <f>[2]TongHop!M2559</f>
        <v>0</v>
      </c>
      <c r="N2559">
        <f>[2]TongHop!N2559</f>
        <v>0</v>
      </c>
    </row>
    <row r="2560" spans="1:14">
      <c r="A2560">
        <f>[2]TongHop!A2560</f>
        <v>0</v>
      </c>
      <c r="B2560">
        <f>[2]TongHop!B2560</f>
        <v>0</v>
      </c>
      <c r="C2560">
        <f>[2]TongHop!C2560</f>
        <v>0</v>
      </c>
      <c r="D2560">
        <f>[2]TongHop!D2560</f>
        <v>0</v>
      </c>
      <c r="E2560">
        <f>[2]TongHop!E2560</f>
        <v>0</v>
      </c>
      <c r="F2560">
        <f>[2]TongHop!F2560</f>
        <v>0</v>
      </c>
      <c r="G2560">
        <f>[2]TongHop!G2560</f>
        <v>0</v>
      </c>
      <c r="H2560">
        <f>[2]TongHop!H2560</f>
        <v>0</v>
      </c>
      <c r="I2560">
        <f>[2]TongHop!I2560</f>
        <v>0</v>
      </c>
      <c r="J2560">
        <f>[2]TongHop!J2560</f>
        <v>0</v>
      </c>
      <c r="K2560">
        <f>[2]TongHop!K2560</f>
        <v>0</v>
      </c>
      <c r="L2560">
        <f>[2]TongHop!L2560</f>
        <v>0</v>
      </c>
      <c r="M2560">
        <f>[2]TongHop!M2560</f>
        <v>0</v>
      </c>
      <c r="N2560">
        <f>[2]TongHop!N2560</f>
        <v>0</v>
      </c>
    </row>
    <row r="2561" spans="1:14">
      <c r="A2561">
        <f>[2]TongHop!A2561</f>
        <v>0</v>
      </c>
      <c r="B2561">
        <f>[2]TongHop!B2561</f>
        <v>0</v>
      </c>
      <c r="C2561">
        <f>[2]TongHop!C2561</f>
        <v>0</v>
      </c>
      <c r="D2561">
        <f>[2]TongHop!D2561</f>
        <v>0</v>
      </c>
      <c r="E2561">
        <f>[2]TongHop!E2561</f>
        <v>0</v>
      </c>
      <c r="F2561">
        <f>[2]TongHop!F2561</f>
        <v>0</v>
      </c>
      <c r="G2561">
        <f>[2]TongHop!G2561</f>
        <v>0</v>
      </c>
      <c r="H2561">
        <f>[2]TongHop!H2561</f>
        <v>0</v>
      </c>
      <c r="I2561">
        <f>[2]TongHop!I2561</f>
        <v>0</v>
      </c>
      <c r="J2561">
        <f>[2]TongHop!J2561</f>
        <v>0</v>
      </c>
      <c r="K2561">
        <f>[2]TongHop!K2561</f>
        <v>0</v>
      </c>
      <c r="L2561">
        <f>[2]TongHop!L2561</f>
        <v>0</v>
      </c>
      <c r="M2561">
        <f>[2]TongHop!M2561</f>
        <v>0</v>
      </c>
      <c r="N2561">
        <f>[2]TongHop!N2561</f>
        <v>0</v>
      </c>
    </row>
    <row r="2562" spans="1:14">
      <c r="A2562">
        <f>[2]TongHop!A2562</f>
        <v>0</v>
      </c>
      <c r="B2562">
        <f>[2]TongHop!B2562</f>
        <v>0</v>
      </c>
      <c r="C2562">
        <f>[2]TongHop!C2562</f>
        <v>0</v>
      </c>
      <c r="D2562">
        <f>[2]TongHop!D2562</f>
        <v>0</v>
      </c>
      <c r="E2562">
        <f>[2]TongHop!E2562</f>
        <v>0</v>
      </c>
      <c r="F2562">
        <f>[2]TongHop!F2562</f>
        <v>0</v>
      </c>
      <c r="G2562">
        <f>[2]TongHop!G2562</f>
        <v>0</v>
      </c>
      <c r="H2562">
        <f>[2]TongHop!H2562</f>
        <v>0</v>
      </c>
      <c r="I2562">
        <f>[2]TongHop!I2562</f>
        <v>0</v>
      </c>
      <c r="J2562">
        <f>[2]TongHop!J2562</f>
        <v>0</v>
      </c>
      <c r="K2562">
        <f>[2]TongHop!K2562</f>
        <v>0</v>
      </c>
      <c r="L2562">
        <f>[2]TongHop!L2562</f>
        <v>0</v>
      </c>
      <c r="M2562">
        <f>[2]TongHop!M2562</f>
        <v>0</v>
      </c>
      <c r="N2562">
        <f>[2]TongHop!N2562</f>
        <v>0</v>
      </c>
    </row>
    <row r="2563" spans="1:14">
      <c r="A2563">
        <f>[2]TongHop!A2563</f>
        <v>0</v>
      </c>
      <c r="B2563">
        <f>[2]TongHop!B2563</f>
        <v>0</v>
      </c>
      <c r="C2563">
        <f>[2]TongHop!C2563</f>
        <v>0</v>
      </c>
      <c r="D2563">
        <f>[2]TongHop!D2563</f>
        <v>0</v>
      </c>
      <c r="E2563">
        <f>[2]TongHop!E2563</f>
        <v>0</v>
      </c>
      <c r="F2563">
        <f>[2]TongHop!F2563</f>
        <v>0</v>
      </c>
      <c r="G2563">
        <f>[2]TongHop!G2563</f>
        <v>0</v>
      </c>
      <c r="H2563">
        <f>[2]TongHop!H2563</f>
        <v>0</v>
      </c>
      <c r="I2563">
        <f>[2]TongHop!I2563</f>
        <v>0</v>
      </c>
      <c r="J2563">
        <f>[2]TongHop!J2563</f>
        <v>0</v>
      </c>
      <c r="K2563">
        <f>[2]TongHop!K2563</f>
        <v>0</v>
      </c>
      <c r="L2563">
        <f>[2]TongHop!L2563</f>
        <v>0</v>
      </c>
      <c r="M2563">
        <f>[2]TongHop!M2563</f>
        <v>0</v>
      </c>
      <c r="N2563">
        <f>[2]TongHop!N2563</f>
        <v>0</v>
      </c>
    </row>
    <row r="2564" spans="1:14">
      <c r="A2564">
        <f>[2]TongHop!A2564</f>
        <v>0</v>
      </c>
      <c r="B2564">
        <f>[2]TongHop!B2564</f>
        <v>0</v>
      </c>
      <c r="C2564">
        <f>[2]TongHop!C2564</f>
        <v>0</v>
      </c>
      <c r="D2564">
        <f>[2]TongHop!D2564</f>
        <v>0</v>
      </c>
      <c r="E2564">
        <f>[2]TongHop!E2564</f>
        <v>0</v>
      </c>
      <c r="F2564">
        <f>[2]TongHop!F2564</f>
        <v>0</v>
      </c>
      <c r="G2564">
        <f>[2]TongHop!G2564</f>
        <v>0</v>
      </c>
      <c r="H2564">
        <f>[2]TongHop!H2564</f>
        <v>0</v>
      </c>
      <c r="I2564">
        <f>[2]TongHop!I2564</f>
        <v>0</v>
      </c>
      <c r="J2564">
        <f>[2]TongHop!J2564</f>
        <v>0</v>
      </c>
      <c r="K2564">
        <f>[2]TongHop!K2564</f>
        <v>0</v>
      </c>
      <c r="L2564">
        <f>[2]TongHop!L2564</f>
        <v>0</v>
      </c>
      <c r="M2564">
        <f>[2]TongHop!M2564</f>
        <v>0</v>
      </c>
      <c r="N2564">
        <f>[2]TongHop!N2564</f>
        <v>0</v>
      </c>
    </row>
    <row r="2565" spans="1:14">
      <c r="A2565">
        <f>[2]TongHop!A2565</f>
        <v>0</v>
      </c>
      <c r="B2565">
        <f>[2]TongHop!B2565</f>
        <v>0</v>
      </c>
      <c r="C2565">
        <f>[2]TongHop!C2565</f>
        <v>0</v>
      </c>
      <c r="D2565">
        <f>[2]TongHop!D2565</f>
        <v>0</v>
      </c>
      <c r="E2565">
        <f>[2]TongHop!E2565</f>
        <v>0</v>
      </c>
      <c r="F2565">
        <f>[2]TongHop!F2565</f>
        <v>0</v>
      </c>
      <c r="G2565">
        <f>[2]TongHop!G2565</f>
        <v>0</v>
      </c>
      <c r="H2565">
        <f>[2]TongHop!H2565</f>
        <v>0</v>
      </c>
      <c r="I2565">
        <f>[2]TongHop!I2565</f>
        <v>0</v>
      </c>
      <c r="J2565">
        <f>[2]TongHop!J2565</f>
        <v>0</v>
      </c>
      <c r="K2565">
        <f>[2]TongHop!K2565</f>
        <v>0</v>
      </c>
      <c r="L2565">
        <f>[2]TongHop!L2565</f>
        <v>0</v>
      </c>
      <c r="M2565">
        <f>[2]TongHop!M2565</f>
        <v>0</v>
      </c>
      <c r="N2565">
        <f>[2]TongHop!N2565</f>
        <v>0</v>
      </c>
    </row>
    <row r="2566" spans="1:14">
      <c r="A2566">
        <f>[2]TongHop!A2566</f>
        <v>0</v>
      </c>
      <c r="B2566">
        <f>[2]TongHop!B2566</f>
        <v>0</v>
      </c>
      <c r="C2566">
        <f>[2]TongHop!C2566</f>
        <v>0</v>
      </c>
      <c r="D2566">
        <f>[2]TongHop!D2566</f>
        <v>0</v>
      </c>
      <c r="E2566">
        <f>[2]TongHop!E2566</f>
        <v>0</v>
      </c>
      <c r="F2566">
        <f>[2]TongHop!F2566</f>
        <v>0</v>
      </c>
      <c r="G2566">
        <f>[2]TongHop!G2566</f>
        <v>0</v>
      </c>
      <c r="H2566">
        <f>[2]TongHop!H2566</f>
        <v>0</v>
      </c>
      <c r="I2566">
        <f>[2]TongHop!I2566</f>
        <v>0</v>
      </c>
      <c r="J2566">
        <f>[2]TongHop!J2566</f>
        <v>0</v>
      </c>
      <c r="K2566">
        <f>[2]TongHop!K2566</f>
        <v>0</v>
      </c>
      <c r="L2566">
        <f>[2]TongHop!L2566</f>
        <v>0</v>
      </c>
      <c r="M2566">
        <f>[2]TongHop!M2566</f>
        <v>0</v>
      </c>
      <c r="N2566">
        <f>[2]TongHop!N2566</f>
        <v>0</v>
      </c>
    </row>
    <row r="2567" spans="1:14">
      <c r="A2567">
        <f>[2]TongHop!A2567</f>
        <v>0</v>
      </c>
      <c r="B2567">
        <f>[2]TongHop!B2567</f>
        <v>0</v>
      </c>
      <c r="C2567">
        <f>[2]TongHop!C2567</f>
        <v>0</v>
      </c>
      <c r="D2567">
        <f>[2]TongHop!D2567</f>
        <v>0</v>
      </c>
      <c r="E2567">
        <f>[2]TongHop!E2567</f>
        <v>0</v>
      </c>
      <c r="F2567">
        <f>[2]TongHop!F2567</f>
        <v>0</v>
      </c>
      <c r="G2567">
        <f>[2]TongHop!G2567</f>
        <v>0</v>
      </c>
      <c r="H2567">
        <f>[2]TongHop!H2567</f>
        <v>0</v>
      </c>
      <c r="I2567">
        <f>[2]TongHop!I2567</f>
        <v>0</v>
      </c>
      <c r="J2567">
        <f>[2]TongHop!J2567</f>
        <v>0</v>
      </c>
      <c r="K2567">
        <f>[2]TongHop!K2567</f>
        <v>0</v>
      </c>
      <c r="L2567">
        <f>[2]TongHop!L2567</f>
        <v>0</v>
      </c>
      <c r="M2567">
        <f>[2]TongHop!M2567</f>
        <v>0</v>
      </c>
      <c r="N2567">
        <f>[2]TongHop!N2567</f>
        <v>0</v>
      </c>
    </row>
    <row r="2568" spans="1:14">
      <c r="A2568">
        <f>[2]TongHop!A2568</f>
        <v>0</v>
      </c>
      <c r="B2568">
        <f>[2]TongHop!B2568</f>
        <v>0</v>
      </c>
      <c r="C2568">
        <f>[2]TongHop!C2568</f>
        <v>0</v>
      </c>
      <c r="D2568">
        <f>[2]TongHop!D2568</f>
        <v>0</v>
      </c>
      <c r="E2568">
        <f>[2]TongHop!E2568</f>
        <v>0</v>
      </c>
      <c r="F2568">
        <f>[2]TongHop!F2568</f>
        <v>0</v>
      </c>
      <c r="G2568">
        <f>[2]TongHop!G2568</f>
        <v>0</v>
      </c>
      <c r="H2568">
        <f>[2]TongHop!H2568</f>
        <v>0</v>
      </c>
      <c r="I2568">
        <f>[2]TongHop!I2568</f>
        <v>0</v>
      </c>
      <c r="J2568">
        <f>[2]TongHop!J2568</f>
        <v>0</v>
      </c>
      <c r="K2568">
        <f>[2]TongHop!K2568</f>
        <v>0</v>
      </c>
      <c r="L2568">
        <f>[2]TongHop!L2568</f>
        <v>0</v>
      </c>
      <c r="M2568">
        <f>[2]TongHop!M2568</f>
        <v>0</v>
      </c>
      <c r="N2568">
        <f>[2]TongHop!N2568</f>
        <v>0</v>
      </c>
    </row>
    <row r="2569" spans="1:14">
      <c r="A2569">
        <f>[2]TongHop!A2569</f>
        <v>0</v>
      </c>
      <c r="B2569">
        <f>[2]TongHop!B2569</f>
        <v>0</v>
      </c>
      <c r="C2569">
        <f>[2]TongHop!C2569</f>
        <v>0</v>
      </c>
      <c r="D2569">
        <f>[2]TongHop!D2569</f>
        <v>0</v>
      </c>
      <c r="E2569">
        <f>[2]TongHop!E2569</f>
        <v>0</v>
      </c>
      <c r="F2569">
        <f>[2]TongHop!F2569</f>
        <v>0</v>
      </c>
      <c r="G2569">
        <f>[2]TongHop!G2569</f>
        <v>0</v>
      </c>
      <c r="H2569">
        <f>[2]TongHop!H2569</f>
        <v>0</v>
      </c>
      <c r="I2569">
        <f>[2]TongHop!I2569</f>
        <v>0</v>
      </c>
      <c r="J2569">
        <f>[2]TongHop!J2569</f>
        <v>0</v>
      </c>
      <c r="K2569">
        <f>[2]TongHop!K2569</f>
        <v>0</v>
      </c>
      <c r="L2569">
        <f>[2]TongHop!L2569</f>
        <v>0</v>
      </c>
      <c r="M2569">
        <f>[2]TongHop!M2569</f>
        <v>0</v>
      </c>
      <c r="N2569">
        <f>[2]TongHop!N2569</f>
        <v>0</v>
      </c>
    </row>
    <row r="2570" spans="1:14">
      <c r="A2570">
        <f>[2]TongHop!A2570</f>
        <v>0</v>
      </c>
      <c r="B2570">
        <f>[2]TongHop!B2570</f>
        <v>0</v>
      </c>
      <c r="C2570">
        <f>[2]TongHop!C2570</f>
        <v>0</v>
      </c>
      <c r="D2570">
        <f>[2]TongHop!D2570</f>
        <v>0</v>
      </c>
      <c r="E2570">
        <f>[2]TongHop!E2570</f>
        <v>0</v>
      </c>
      <c r="F2570">
        <f>[2]TongHop!F2570</f>
        <v>0</v>
      </c>
      <c r="G2570">
        <f>[2]TongHop!G2570</f>
        <v>0</v>
      </c>
      <c r="H2570">
        <f>[2]TongHop!H2570</f>
        <v>0</v>
      </c>
      <c r="I2570">
        <f>[2]TongHop!I2570</f>
        <v>0</v>
      </c>
      <c r="J2570">
        <f>[2]TongHop!J2570</f>
        <v>0</v>
      </c>
      <c r="K2570">
        <f>[2]TongHop!K2570</f>
        <v>0</v>
      </c>
      <c r="L2570">
        <f>[2]TongHop!L2570</f>
        <v>0</v>
      </c>
      <c r="M2570">
        <f>[2]TongHop!M2570</f>
        <v>0</v>
      </c>
      <c r="N2570">
        <f>[2]TongHop!N2570</f>
        <v>0</v>
      </c>
    </row>
    <row r="2571" spans="1:14">
      <c r="A2571">
        <f>[2]TongHop!A2571</f>
        <v>0</v>
      </c>
      <c r="B2571">
        <f>[2]TongHop!B2571</f>
        <v>0</v>
      </c>
      <c r="C2571">
        <f>[2]TongHop!C2571</f>
        <v>0</v>
      </c>
      <c r="D2571">
        <f>[2]TongHop!D2571</f>
        <v>0</v>
      </c>
      <c r="E2571">
        <f>[2]TongHop!E2571</f>
        <v>0</v>
      </c>
      <c r="F2571">
        <f>[2]TongHop!F2571</f>
        <v>0</v>
      </c>
      <c r="G2571">
        <f>[2]TongHop!G2571</f>
        <v>0</v>
      </c>
      <c r="H2571">
        <f>[2]TongHop!H2571</f>
        <v>0</v>
      </c>
      <c r="I2571">
        <f>[2]TongHop!I2571</f>
        <v>0</v>
      </c>
      <c r="J2571">
        <f>[2]TongHop!J2571</f>
        <v>0</v>
      </c>
      <c r="K2571">
        <f>[2]TongHop!K2571</f>
        <v>0</v>
      </c>
      <c r="L2571">
        <f>[2]TongHop!L2571</f>
        <v>0</v>
      </c>
      <c r="M2571">
        <f>[2]TongHop!M2571</f>
        <v>0</v>
      </c>
      <c r="N2571">
        <f>[2]TongHop!N2571</f>
        <v>0</v>
      </c>
    </row>
    <row r="2572" spans="1:14">
      <c r="A2572">
        <f>[2]TongHop!A2572</f>
        <v>0</v>
      </c>
      <c r="B2572">
        <f>[2]TongHop!B2572</f>
        <v>0</v>
      </c>
      <c r="C2572">
        <f>[2]TongHop!C2572</f>
        <v>0</v>
      </c>
      <c r="D2572">
        <f>[2]TongHop!D2572</f>
        <v>0</v>
      </c>
      <c r="E2572">
        <f>[2]TongHop!E2572</f>
        <v>0</v>
      </c>
      <c r="F2572">
        <f>[2]TongHop!F2572</f>
        <v>0</v>
      </c>
      <c r="G2572">
        <f>[2]TongHop!G2572</f>
        <v>0</v>
      </c>
      <c r="H2572">
        <f>[2]TongHop!H2572</f>
        <v>0</v>
      </c>
      <c r="I2572">
        <f>[2]TongHop!I2572</f>
        <v>0</v>
      </c>
      <c r="J2572">
        <f>[2]TongHop!J2572</f>
        <v>0</v>
      </c>
      <c r="K2572">
        <f>[2]TongHop!K2572</f>
        <v>0</v>
      </c>
      <c r="L2572">
        <f>[2]TongHop!L2572</f>
        <v>0</v>
      </c>
      <c r="M2572">
        <f>[2]TongHop!M2572</f>
        <v>0</v>
      </c>
      <c r="N2572">
        <f>[2]TongHop!N2572</f>
        <v>0</v>
      </c>
    </row>
    <row r="2573" spans="1:14">
      <c r="A2573">
        <f>[2]TongHop!A2573</f>
        <v>0</v>
      </c>
      <c r="B2573">
        <f>[2]TongHop!B2573</f>
        <v>0</v>
      </c>
      <c r="C2573">
        <f>[2]TongHop!C2573</f>
        <v>0</v>
      </c>
      <c r="D2573">
        <f>[2]TongHop!D2573</f>
        <v>0</v>
      </c>
      <c r="E2573">
        <f>[2]TongHop!E2573</f>
        <v>0</v>
      </c>
      <c r="F2573">
        <f>[2]TongHop!F2573</f>
        <v>0</v>
      </c>
      <c r="G2573">
        <f>[2]TongHop!G2573</f>
        <v>0</v>
      </c>
      <c r="H2573">
        <f>[2]TongHop!H2573</f>
        <v>0</v>
      </c>
      <c r="I2573">
        <f>[2]TongHop!I2573</f>
        <v>0</v>
      </c>
      <c r="J2573">
        <f>[2]TongHop!J2573</f>
        <v>0</v>
      </c>
      <c r="K2573">
        <f>[2]TongHop!K2573</f>
        <v>0</v>
      </c>
      <c r="L2573">
        <f>[2]TongHop!L2573</f>
        <v>0</v>
      </c>
      <c r="M2573">
        <f>[2]TongHop!M2573</f>
        <v>0</v>
      </c>
      <c r="N2573">
        <f>[2]TongHop!N2573</f>
        <v>0</v>
      </c>
    </row>
    <row r="2574" spans="1:14">
      <c r="A2574">
        <f>[2]TongHop!A2574</f>
        <v>0</v>
      </c>
      <c r="B2574">
        <f>[2]TongHop!B2574</f>
        <v>0</v>
      </c>
      <c r="C2574">
        <f>[2]TongHop!C2574</f>
        <v>0</v>
      </c>
      <c r="D2574">
        <f>[2]TongHop!D2574</f>
        <v>0</v>
      </c>
      <c r="E2574">
        <f>[2]TongHop!E2574</f>
        <v>0</v>
      </c>
      <c r="F2574">
        <f>[2]TongHop!F2574</f>
        <v>0</v>
      </c>
      <c r="G2574">
        <f>[2]TongHop!G2574</f>
        <v>0</v>
      </c>
      <c r="H2574">
        <f>[2]TongHop!H2574</f>
        <v>0</v>
      </c>
      <c r="I2574">
        <f>[2]TongHop!I2574</f>
        <v>0</v>
      </c>
      <c r="J2574">
        <f>[2]TongHop!J2574</f>
        <v>0</v>
      </c>
      <c r="K2574">
        <f>[2]TongHop!K2574</f>
        <v>0</v>
      </c>
      <c r="L2574">
        <f>[2]TongHop!L2574</f>
        <v>0</v>
      </c>
      <c r="M2574">
        <f>[2]TongHop!M2574</f>
        <v>0</v>
      </c>
      <c r="N2574">
        <f>[2]TongHop!N2574</f>
        <v>0</v>
      </c>
    </row>
    <row r="2575" spans="1:14">
      <c r="A2575">
        <f>[2]TongHop!A2575</f>
        <v>0</v>
      </c>
      <c r="B2575">
        <f>[2]TongHop!B2575</f>
        <v>0</v>
      </c>
      <c r="C2575">
        <f>[2]TongHop!C2575</f>
        <v>0</v>
      </c>
      <c r="D2575">
        <f>[2]TongHop!D2575</f>
        <v>0</v>
      </c>
      <c r="E2575">
        <f>[2]TongHop!E2575</f>
        <v>0</v>
      </c>
      <c r="F2575">
        <f>[2]TongHop!F2575</f>
        <v>0</v>
      </c>
      <c r="G2575">
        <f>[2]TongHop!G2575</f>
        <v>0</v>
      </c>
      <c r="H2575">
        <f>[2]TongHop!H2575</f>
        <v>0</v>
      </c>
      <c r="I2575">
        <f>[2]TongHop!I2575</f>
        <v>0</v>
      </c>
      <c r="J2575">
        <f>[2]TongHop!J2575</f>
        <v>0</v>
      </c>
      <c r="K2575">
        <f>[2]TongHop!K2575</f>
        <v>0</v>
      </c>
      <c r="L2575">
        <f>[2]TongHop!L2575</f>
        <v>0</v>
      </c>
      <c r="M2575">
        <f>[2]TongHop!M2575</f>
        <v>0</v>
      </c>
      <c r="N2575">
        <f>[2]TongHop!N2575</f>
        <v>0</v>
      </c>
    </row>
    <row r="2576" spans="1:14">
      <c r="A2576">
        <f>[2]TongHop!A2576</f>
        <v>0</v>
      </c>
      <c r="B2576">
        <f>[2]TongHop!B2576</f>
        <v>0</v>
      </c>
      <c r="C2576">
        <f>[2]TongHop!C2576</f>
        <v>0</v>
      </c>
      <c r="D2576">
        <f>[2]TongHop!D2576</f>
        <v>0</v>
      </c>
      <c r="E2576">
        <f>[2]TongHop!E2576</f>
        <v>0</v>
      </c>
      <c r="F2576">
        <f>[2]TongHop!F2576</f>
        <v>0</v>
      </c>
      <c r="G2576">
        <f>[2]TongHop!G2576</f>
        <v>0</v>
      </c>
      <c r="H2576">
        <f>[2]TongHop!H2576</f>
        <v>0</v>
      </c>
      <c r="I2576">
        <f>[2]TongHop!I2576</f>
        <v>0</v>
      </c>
      <c r="J2576">
        <f>[2]TongHop!J2576</f>
        <v>0</v>
      </c>
      <c r="K2576">
        <f>[2]TongHop!K2576</f>
        <v>0</v>
      </c>
      <c r="L2576">
        <f>[2]TongHop!L2576</f>
        <v>0</v>
      </c>
      <c r="M2576">
        <f>[2]TongHop!M2576</f>
        <v>0</v>
      </c>
      <c r="N2576">
        <f>[2]TongHop!N2576</f>
        <v>0</v>
      </c>
    </row>
    <row r="2577" spans="1:14">
      <c r="A2577">
        <f>[2]TongHop!A2577</f>
        <v>0</v>
      </c>
      <c r="B2577">
        <f>[2]TongHop!B2577</f>
        <v>0</v>
      </c>
      <c r="C2577">
        <f>[2]TongHop!C2577</f>
        <v>0</v>
      </c>
      <c r="D2577">
        <f>[2]TongHop!D2577</f>
        <v>0</v>
      </c>
      <c r="E2577">
        <f>[2]TongHop!E2577</f>
        <v>0</v>
      </c>
      <c r="F2577">
        <f>[2]TongHop!F2577</f>
        <v>0</v>
      </c>
      <c r="G2577">
        <f>[2]TongHop!G2577</f>
        <v>0</v>
      </c>
      <c r="H2577">
        <f>[2]TongHop!H2577</f>
        <v>0</v>
      </c>
      <c r="I2577">
        <f>[2]TongHop!I2577</f>
        <v>0</v>
      </c>
      <c r="J2577">
        <f>[2]TongHop!J2577</f>
        <v>0</v>
      </c>
      <c r="K2577">
        <f>[2]TongHop!K2577</f>
        <v>0</v>
      </c>
      <c r="L2577">
        <f>[2]TongHop!L2577</f>
        <v>0</v>
      </c>
      <c r="M2577">
        <f>[2]TongHop!M2577</f>
        <v>0</v>
      </c>
      <c r="N2577">
        <f>[2]TongHop!N2577</f>
        <v>0</v>
      </c>
    </row>
    <row r="2578" spans="1:14">
      <c r="A2578">
        <f>[2]TongHop!A2578</f>
        <v>0</v>
      </c>
      <c r="B2578">
        <f>[2]TongHop!B2578</f>
        <v>0</v>
      </c>
      <c r="C2578">
        <f>[2]TongHop!C2578</f>
        <v>0</v>
      </c>
      <c r="D2578">
        <f>[2]TongHop!D2578</f>
        <v>0</v>
      </c>
      <c r="E2578">
        <f>[2]TongHop!E2578</f>
        <v>0</v>
      </c>
      <c r="F2578">
        <f>[2]TongHop!F2578</f>
        <v>0</v>
      </c>
      <c r="G2578">
        <f>[2]TongHop!G2578</f>
        <v>0</v>
      </c>
      <c r="H2578">
        <f>[2]TongHop!H2578</f>
        <v>0</v>
      </c>
      <c r="I2578">
        <f>[2]TongHop!I2578</f>
        <v>0</v>
      </c>
      <c r="J2578">
        <f>[2]TongHop!J2578</f>
        <v>0</v>
      </c>
      <c r="K2578">
        <f>[2]TongHop!K2578</f>
        <v>0</v>
      </c>
      <c r="L2578">
        <f>[2]TongHop!L2578</f>
        <v>0</v>
      </c>
      <c r="M2578">
        <f>[2]TongHop!M2578</f>
        <v>0</v>
      </c>
      <c r="N2578">
        <f>[2]TongHop!N2578</f>
        <v>0</v>
      </c>
    </row>
    <row r="2579" spans="1:14">
      <c r="A2579">
        <f>[2]TongHop!A2579</f>
        <v>0</v>
      </c>
      <c r="B2579">
        <f>[2]TongHop!B2579</f>
        <v>0</v>
      </c>
      <c r="C2579">
        <f>[2]TongHop!C2579</f>
        <v>0</v>
      </c>
      <c r="D2579">
        <f>[2]TongHop!D2579</f>
        <v>0</v>
      </c>
      <c r="E2579">
        <f>[2]TongHop!E2579</f>
        <v>0</v>
      </c>
      <c r="F2579">
        <f>[2]TongHop!F2579</f>
        <v>0</v>
      </c>
      <c r="G2579">
        <f>[2]TongHop!G2579</f>
        <v>0</v>
      </c>
      <c r="H2579">
        <f>[2]TongHop!H2579</f>
        <v>0</v>
      </c>
      <c r="I2579">
        <f>[2]TongHop!I2579</f>
        <v>0</v>
      </c>
      <c r="J2579">
        <f>[2]TongHop!J2579</f>
        <v>0</v>
      </c>
      <c r="K2579">
        <f>[2]TongHop!K2579</f>
        <v>0</v>
      </c>
      <c r="L2579">
        <f>[2]TongHop!L2579</f>
        <v>0</v>
      </c>
      <c r="M2579">
        <f>[2]TongHop!M2579</f>
        <v>0</v>
      </c>
      <c r="N2579">
        <f>[2]TongHop!N2579</f>
        <v>0</v>
      </c>
    </row>
    <row r="2580" spans="1:14">
      <c r="A2580">
        <f>[2]TongHop!A2580</f>
        <v>0</v>
      </c>
      <c r="B2580">
        <f>[2]TongHop!B2580</f>
        <v>0</v>
      </c>
      <c r="C2580">
        <f>[2]TongHop!C2580</f>
        <v>0</v>
      </c>
      <c r="D2580">
        <f>[2]TongHop!D2580</f>
        <v>0</v>
      </c>
      <c r="E2580">
        <f>[2]TongHop!E2580</f>
        <v>0</v>
      </c>
      <c r="F2580">
        <f>[2]TongHop!F2580</f>
        <v>0</v>
      </c>
      <c r="G2580">
        <f>[2]TongHop!G2580</f>
        <v>0</v>
      </c>
      <c r="H2580">
        <f>[2]TongHop!H2580</f>
        <v>0</v>
      </c>
      <c r="I2580">
        <f>[2]TongHop!I2580</f>
        <v>0</v>
      </c>
      <c r="J2580">
        <f>[2]TongHop!J2580</f>
        <v>0</v>
      </c>
      <c r="K2580">
        <f>[2]TongHop!K2580</f>
        <v>0</v>
      </c>
      <c r="L2580">
        <f>[2]TongHop!L2580</f>
        <v>0</v>
      </c>
      <c r="M2580">
        <f>[2]TongHop!M2580</f>
        <v>0</v>
      </c>
      <c r="N2580">
        <f>[2]TongHop!N2580</f>
        <v>0</v>
      </c>
    </row>
    <row r="2581" spans="1:14">
      <c r="A2581">
        <f>[2]TongHop!A2581</f>
        <v>0</v>
      </c>
      <c r="B2581">
        <f>[2]TongHop!B2581</f>
        <v>0</v>
      </c>
      <c r="C2581">
        <f>[2]TongHop!C2581</f>
        <v>0</v>
      </c>
      <c r="D2581">
        <f>[2]TongHop!D2581</f>
        <v>0</v>
      </c>
      <c r="E2581">
        <f>[2]TongHop!E2581</f>
        <v>0</v>
      </c>
      <c r="F2581">
        <f>[2]TongHop!F2581</f>
        <v>0</v>
      </c>
      <c r="G2581">
        <f>[2]TongHop!G2581</f>
        <v>0</v>
      </c>
      <c r="H2581">
        <f>[2]TongHop!H2581</f>
        <v>0</v>
      </c>
      <c r="I2581">
        <f>[2]TongHop!I2581</f>
        <v>0</v>
      </c>
      <c r="J2581">
        <f>[2]TongHop!J2581</f>
        <v>0</v>
      </c>
      <c r="K2581">
        <f>[2]TongHop!K2581</f>
        <v>0</v>
      </c>
      <c r="L2581">
        <f>[2]TongHop!L2581</f>
        <v>0</v>
      </c>
      <c r="M2581">
        <f>[2]TongHop!M2581</f>
        <v>0</v>
      </c>
      <c r="N2581">
        <f>[2]TongHop!N2581</f>
        <v>0</v>
      </c>
    </row>
    <row r="2582" spans="1:14">
      <c r="A2582">
        <f>[2]TongHop!A2582</f>
        <v>0</v>
      </c>
      <c r="B2582">
        <f>[2]TongHop!B2582</f>
        <v>0</v>
      </c>
      <c r="C2582">
        <f>[2]TongHop!C2582</f>
        <v>0</v>
      </c>
      <c r="D2582">
        <f>[2]TongHop!D2582</f>
        <v>0</v>
      </c>
      <c r="E2582">
        <f>[2]TongHop!E2582</f>
        <v>0</v>
      </c>
      <c r="F2582">
        <f>[2]TongHop!F2582</f>
        <v>0</v>
      </c>
      <c r="G2582">
        <f>[2]TongHop!G2582</f>
        <v>0</v>
      </c>
      <c r="H2582">
        <f>[2]TongHop!H2582</f>
        <v>0</v>
      </c>
      <c r="I2582">
        <f>[2]TongHop!I2582</f>
        <v>0</v>
      </c>
      <c r="J2582">
        <f>[2]TongHop!J2582</f>
        <v>0</v>
      </c>
      <c r="K2582">
        <f>[2]TongHop!K2582</f>
        <v>0</v>
      </c>
      <c r="L2582">
        <f>[2]TongHop!L2582</f>
        <v>0</v>
      </c>
      <c r="M2582">
        <f>[2]TongHop!M2582</f>
        <v>0</v>
      </c>
      <c r="N2582">
        <f>[2]TongHop!N2582</f>
        <v>0</v>
      </c>
    </row>
    <row r="2583" spans="1:14">
      <c r="A2583">
        <f>[2]TongHop!A2583</f>
        <v>0</v>
      </c>
      <c r="B2583">
        <f>[2]TongHop!B2583</f>
        <v>0</v>
      </c>
      <c r="C2583">
        <f>[2]TongHop!C2583</f>
        <v>0</v>
      </c>
      <c r="D2583">
        <f>[2]TongHop!D2583</f>
        <v>0</v>
      </c>
      <c r="E2583">
        <f>[2]TongHop!E2583</f>
        <v>0</v>
      </c>
      <c r="F2583">
        <f>[2]TongHop!F2583</f>
        <v>0</v>
      </c>
      <c r="G2583">
        <f>[2]TongHop!G2583</f>
        <v>0</v>
      </c>
      <c r="H2583">
        <f>[2]TongHop!H2583</f>
        <v>0</v>
      </c>
      <c r="I2583">
        <f>[2]TongHop!I2583</f>
        <v>0</v>
      </c>
      <c r="J2583">
        <f>[2]TongHop!J2583</f>
        <v>0</v>
      </c>
      <c r="K2583">
        <f>[2]TongHop!K2583</f>
        <v>0</v>
      </c>
      <c r="L2583">
        <f>[2]TongHop!L2583</f>
        <v>0</v>
      </c>
      <c r="M2583">
        <f>[2]TongHop!M2583</f>
        <v>0</v>
      </c>
      <c r="N2583">
        <f>[2]TongHop!N2583</f>
        <v>0</v>
      </c>
    </row>
    <row r="2584" spans="1:14">
      <c r="A2584">
        <f>[2]TongHop!A2584</f>
        <v>0</v>
      </c>
      <c r="B2584">
        <f>[2]TongHop!B2584</f>
        <v>0</v>
      </c>
      <c r="C2584">
        <f>[2]TongHop!C2584</f>
        <v>0</v>
      </c>
      <c r="D2584">
        <f>[2]TongHop!D2584</f>
        <v>0</v>
      </c>
      <c r="E2584">
        <f>[2]TongHop!E2584</f>
        <v>0</v>
      </c>
      <c r="F2584">
        <f>[2]TongHop!F2584</f>
        <v>0</v>
      </c>
      <c r="G2584">
        <f>[2]TongHop!G2584</f>
        <v>0</v>
      </c>
      <c r="H2584">
        <f>[2]TongHop!H2584</f>
        <v>0</v>
      </c>
      <c r="I2584">
        <f>[2]TongHop!I2584</f>
        <v>0</v>
      </c>
      <c r="J2584">
        <f>[2]TongHop!J2584</f>
        <v>0</v>
      </c>
      <c r="K2584">
        <f>[2]TongHop!K2584</f>
        <v>0</v>
      </c>
      <c r="L2584">
        <f>[2]TongHop!L2584</f>
        <v>0</v>
      </c>
      <c r="M2584">
        <f>[2]TongHop!M2584</f>
        <v>0</v>
      </c>
      <c r="N2584">
        <f>[2]TongHop!N2584</f>
        <v>0</v>
      </c>
    </row>
    <row r="2585" spans="1:14">
      <c r="A2585">
        <f>[2]TongHop!A2585</f>
        <v>0</v>
      </c>
      <c r="B2585">
        <f>[2]TongHop!B2585</f>
        <v>0</v>
      </c>
      <c r="C2585">
        <f>[2]TongHop!C2585</f>
        <v>0</v>
      </c>
      <c r="D2585">
        <f>[2]TongHop!D2585</f>
        <v>0</v>
      </c>
      <c r="E2585">
        <f>[2]TongHop!E2585</f>
        <v>0</v>
      </c>
      <c r="F2585">
        <f>[2]TongHop!F2585</f>
        <v>0</v>
      </c>
      <c r="G2585">
        <f>[2]TongHop!G2585</f>
        <v>0</v>
      </c>
      <c r="H2585">
        <f>[2]TongHop!H2585</f>
        <v>0</v>
      </c>
      <c r="I2585">
        <f>[2]TongHop!I2585</f>
        <v>0</v>
      </c>
      <c r="J2585">
        <f>[2]TongHop!J2585</f>
        <v>0</v>
      </c>
      <c r="K2585">
        <f>[2]TongHop!K2585</f>
        <v>0</v>
      </c>
      <c r="L2585">
        <f>[2]TongHop!L2585</f>
        <v>0</v>
      </c>
      <c r="M2585">
        <f>[2]TongHop!M2585</f>
        <v>0</v>
      </c>
      <c r="N2585">
        <f>[2]TongHop!N2585</f>
        <v>0</v>
      </c>
    </row>
    <row r="2586" spans="1:14">
      <c r="A2586">
        <f>[2]TongHop!A2586</f>
        <v>0</v>
      </c>
      <c r="B2586">
        <f>[2]TongHop!B2586</f>
        <v>0</v>
      </c>
      <c r="C2586">
        <f>[2]TongHop!C2586</f>
        <v>0</v>
      </c>
      <c r="D2586">
        <f>[2]TongHop!D2586</f>
        <v>0</v>
      </c>
      <c r="E2586">
        <f>[2]TongHop!E2586</f>
        <v>0</v>
      </c>
      <c r="F2586">
        <f>[2]TongHop!F2586</f>
        <v>0</v>
      </c>
      <c r="G2586">
        <f>[2]TongHop!G2586</f>
        <v>0</v>
      </c>
      <c r="H2586">
        <f>[2]TongHop!H2586</f>
        <v>0</v>
      </c>
      <c r="I2586">
        <f>[2]TongHop!I2586</f>
        <v>0</v>
      </c>
      <c r="J2586">
        <f>[2]TongHop!J2586</f>
        <v>0</v>
      </c>
      <c r="K2586">
        <f>[2]TongHop!K2586</f>
        <v>0</v>
      </c>
      <c r="L2586">
        <f>[2]TongHop!L2586</f>
        <v>0</v>
      </c>
      <c r="M2586">
        <f>[2]TongHop!M2586</f>
        <v>0</v>
      </c>
      <c r="N2586">
        <f>[2]TongHop!N2586</f>
        <v>0</v>
      </c>
    </row>
    <row r="2587" spans="1:14">
      <c r="A2587">
        <f>[2]TongHop!A2587</f>
        <v>0</v>
      </c>
      <c r="B2587">
        <f>[2]TongHop!B2587</f>
        <v>0</v>
      </c>
      <c r="C2587">
        <f>[2]TongHop!C2587</f>
        <v>0</v>
      </c>
      <c r="D2587">
        <f>[2]TongHop!D2587</f>
        <v>0</v>
      </c>
      <c r="E2587">
        <f>[2]TongHop!E2587</f>
        <v>0</v>
      </c>
      <c r="F2587">
        <f>[2]TongHop!F2587</f>
        <v>0</v>
      </c>
      <c r="G2587">
        <f>[2]TongHop!G2587</f>
        <v>0</v>
      </c>
      <c r="H2587">
        <f>[2]TongHop!H2587</f>
        <v>0</v>
      </c>
      <c r="I2587">
        <f>[2]TongHop!I2587</f>
        <v>0</v>
      </c>
      <c r="J2587">
        <f>[2]TongHop!J2587</f>
        <v>0</v>
      </c>
      <c r="K2587">
        <f>[2]TongHop!K2587</f>
        <v>0</v>
      </c>
      <c r="L2587">
        <f>[2]TongHop!L2587</f>
        <v>0</v>
      </c>
      <c r="M2587">
        <f>[2]TongHop!M2587</f>
        <v>0</v>
      </c>
      <c r="N2587">
        <f>[2]TongHop!N2587</f>
        <v>0</v>
      </c>
    </row>
    <row r="2588" spans="1:14">
      <c r="A2588">
        <f>[2]TongHop!A2588</f>
        <v>0</v>
      </c>
      <c r="B2588">
        <f>[2]TongHop!B2588</f>
        <v>0</v>
      </c>
      <c r="C2588">
        <f>[2]TongHop!C2588</f>
        <v>0</v>
      </c>
      <c r="D2588">
        <f>[2]TongHop!D2588</f>
        <v>0</v>
      </c>
      <c r="E2588">
        <f>[2]TongHop!E2588</f>
        <v>0</v>
      </c>
      <c r="F2588">
        <f>[2]TongHop!F2588</f>
        <v>0</v>
      </c>
      <c r="G2588">
        <f>[2]TongHop!G2588</f>
        <v>0</v>
      </c>
      <c r="H2588">
        <f>[2]TongHop!H2588</f>
        <v>0</v>
      </c>
      <c r="I2588">
        <f>[2]TongHop!I2588</f>
        <v>0</v>
      </c>
      <c r="J2588">
        <f>[2]TongHop!J2588</f>
        <v>0</v>
      </c>
      <c r="K2588">
        <f>[2]TongHop!K2588</f>
        <v>0</v>
      </c>
      <c r="L2588">
        <f>[2]TongHop!L2588</f>
        <v>0</v>
      </c>
      <c r="M2588">
        <f>[2]TongHop!M2588</f>
        <v>0</v>
      </c>
      <c r="N2588">
        <f>[2]TongHop!N2588</f>
        <v>0</v>
      </c>
    </row>
    <row r="2589" spans="1:14">
      <c r="A2589">
        <f>[2]TongHop!A2589</f>
        <v>0</v>
      </c>
      <c r="B2589">
        <f>[2]TongHop!B2589</f>
        <v>0</v>
      </c>
      <c r="C2589">
        <f>[2]TongHop!C2589</f>
        <v>0</v>
      </c>
      <c r="D2589">
        <f>[2]TongHop!D2589</f>
        <v>0</v>
      </c>
      <c r="E2589">
        <f>[2]TongHop!E2589</f>
        <v>0</v>
      </c>
      <c r="F2589">
        <f>[2]TongHop!F2589</f>
        <v>0</v>
      </c>
      <c r="G2589">
        <f>[2]TongHop!G2589</f>
        <v>0</v>
      </c>
      <c r="H2589">
        <f>[2]TongHop!H2589</f>
        <v>0</v>
      </c>
      <c r="I2589">
        <f>[2]TongHop!I2589</f>
        <v>0</v>
      </c>
      <c r="J2589">
        <f>[2]TongHop!J2589</f>
        <v>0</v>
      </c>
      <c r="K2589">
        <f>[2]TongHop!K2589</f>
        <v>0</v>
      </c>
      <c r="L2589">
        <f>[2]TongHop!L2589</f>
        <v>0</v>
      </c>
      <c r="M2589">
        <f>[2]TongHop!M2589</f>
        <v>0</v>
      </c>
      <c r="N2589">
        <f>[2]TongHop!N2589</f>
        <v>0</v>
      </c>
    </row>
    <row r="2590" spans="1:14">
      <c r="A2590">
        <f>[2]TongHop!A2590</f>
        <v>0</v>
      </c>
      <c r="B2590">
        <f>[2]TongHop!B2590</f>
        <v>0</v>
      </c>
      <c r="C2590">
        <f>[2]TongHop!C2590</f>
        <v>0</v>
      </c>
      <c r="D2590">
        <f>[2]TongHop!D2590</f>
        <v>0</v>
      </c>
      <c r="E2590">
        <f>[2]TongHop!E2590</f>
        <v>0</v>
      </c>
      <c r="F2590">
        <f>[2]TongHop!F2590</f>
        <v>0</v>
      </c>
      <c r="G2590">
        <f>[2]TongHop!G2590</f>
        <v>0</v>
      </c>
      <c r="H2590">
        <f>[2]TongHop!H2590</f>
        <v>0</v>
      </c>
      <c r="I2590">
        <f>[2]TongHop!I2590</f>
        <v>0</v>
      </c>
      <c r="J2590">
        <f>[2]TongHop!J2590</f>
        <v>0</v>
      </c>
      <c r="K2590">
        <f>[2]TongHop!K2590</f>
        <v>0</v>
      </c>
      <c r="L2590">
        <f>[2]TongHop!L2590</f>
        <v>0</v>
      </c>
      <c r="M2590">
        <f>[2]TongHop!M2590</f>
        <v>0</v>
      </c>
      <c r="N2590">
        <f>[2]TongHop!N2590</f>
        <v>0</v>
      </c>
    </row>
    <row r="2591" spans="1:14">
      <c r="A2591">
        <f>[2]TongHop!A2591</f>
        <v>0</v>
      </c>
      <c r="B2591">
        <f>[2]TongHop!B2591</f>
        <v>0</v>
      </c>
      <c r="C2591">
        <f>[2]TongHop!C2591</f>
        <v>0</v>
      </c>
      <c r="D2591">
        <f>[2]TongHop!D2591</f>
        <v>0</v>
      </c>
      <c r="E2591">
        <f>[2]TongHop!E2591</f>
        <v>0</v>
      </c>
      <c r="F2591">
        <f>[2]TongHop!F2591</f>
        <v>0</v>
      </c>
      <c r="G2591">
        <f>[2]TongHop!G2591</f>
        <v>0</v>
      </c>
      <c r="H2591">
        <f>[2]TongHop!H2591</f>
        <v>0</v>
      </c>
      <c r="I2591">
        <f>[2]TongHop!I2591</f>
        <v>0</v>
      </c>
      <c r="J2591">
        <f>[2]TongHop!J2591</f>
        <v>0</v>
      </c>
      <c r="K2591">
        <f>[2]TongHop!K2591</f>
        <v>0</v>
      </c>
      <c r="L2591">
        <f>[2]TongHop!L2591</f>
        <v>0</v>
      </c>
      <c r="M2591">
        <f>[2]TongHop!M2591</f>
        <v>0</v>
      </c>
      <c r="N2591">
        <f>[2]TongHop!N2591</f>
        <v>0</v>
      </c>
    </row>
    <row r="2592" spans="1:14">
      <c r="A2592">
        <f>[2]TongHop!A2592</f>
        <v>0</v>
      </c>
      <c r="B2592">
        <f>[2]TongHop!B2592</f>
        <v>0</v>
      </c>
      <c r="C2592">
        <f>[2]TongHop!C2592</f>
        <v>0</v>
      </c>
      <c r="D2592">
        <f>[2]TongHop!D2592</f>
        <v>0</v>
      </c>
      <c r="E2592">
        <f>[2]TongHop!E2592</f>
        <v>0</v>
      </c>
      <c r="F2592">
        <f>[2]TongHop!F2592</f>
        <v>0</v>
      </c>
      <c r="G2592">
        <f>[2]TongHop!G2592</f>
        <v>0</v>
      </c>
      <c r="H2592">
        <f>[2]TongHop!H2592</f>
        <v>0</v>
      </c>
      <c r="I2592">
        <f>[2]TongHop!I2592</f>
        <v>0</v>
      </c>
      <c r="J2592">
        <f>[2]TongHop!J2592</f>
        <v>0</v>
      </c>
      <c r="K2592">
        <f>[2]TongHop!K2592</f>
        <v>0</v>
      </c>
      <c r="L2592">
        <f>[2]TongHop!L2592</f>
        <v>0</v>
      </c>
      <c r="M2592">
        <f>[2]TongHop!M2592</f>
        <v>0</v>
      </c>
      <c r="N2592">
        <f>[2]TongHop!N2592</f>
        <v>0</v>
      </c>
    </row>
    <row r="2593" spans="1:14">
      <c r="A2593">
        <f>[2]TongHop!A2593</f>
        <v>0</v>
      </c>
      <c r="B2593">
        <f>[2]TongHop!B2593</f>
        <v>0</v>
      </c>
      <c r="C2593">
        <f>[2]TongHop!C2593</f>
        <v>0</v>
      </c>
      <c r="D2593">
        <f>[2]TongHop!D2593</f>
        <v>0</v>
      </c>
      <c r="E2593">
        <f>[2]TongHop!E2593</f>
        <v>0</v>
      </c>
      <c r="F2593">
        <f>[2]TongHop!F2593</f>
        <v>0</v>
      </c>
      <c r="G2593">
        <f>[2]TongHop!G2593</f>
        <v>0</v>
      </c>
      <c r="H2593">
        <f>[2]TongHop!H2593</f>
        <v>0</v>
      </c>
      <c r="I2593">
        <f>[2]TongHop!I2593</f>
        <v>0</v>
      </c>
      <c r="J2593">
        <f>[2]TongHop!J2593</f>
        <v>0</v>
      </c>
      <c r="K2593">
        <f>[2]TongHop!K2593</f>
        <v>0</v>
      </c>
      <c r="L2593">
        <f>[2]TongHop!L2593</f>
        <v>0</v>
      </c>
      <c r="M2593">
        <f>[2]TongHop!M2593</f>
        <v>0</v>
      </c>
      <c r="N2593">
        <f>[2]TongHop!N2593</f>
        <v>0</v>
      </c>
    </row>
    <row r="2594" spans="1:14">
      <c r="A2594">
        <f>[2]TongHop!A2594</f>
        <v>0</v>
      </c>
      <c r="B2594">
        <f>[2]TongHop!B2594</f>
        <v>0</v>
      </c>
      <c r="C2594">
        <f>[2]TongHop!C2594</f>
        <v>0</v>
      </c>
      <c r="D2594">
        <f>[2]TongHop!D2594</f>
        <v>0</v>
      </c>
      <c r="E2594">
        <f>[2]TongHop!E2594</f>
        <v>0</v>
      </c>
      <c r="F2594">
        <f>[2]TongHop!F2594</f>
        <v>0</v>
      </c>
      <c r="G2594">
        <f>[2]TongHop!G2594</f>
        <v>0</v>
      </c>
      <c r="H2594">
        <f>[2]TongHop!H2594</f>
        <v>0</v>
      </c>
      <c r="I2594">
        <f>[2]TongHop!I2594</f>
        <v>0</v>
      </c>
      <c r="J2594">
        <f>[2]TongHop!J2594</f>
        <v>0</v>
      </c>
      <c r="K2594">
        <f>[2]TongHop!K2594</f>
        <v>0</v>
      </c>
      <c r="L2594">
        <f>[2]TongHop!L2594</f>
        <v>0</v>
      </c>
      <c r="M2594">
        <f>[2]TongHop!M2594</f>
        <v>0</v>
      </c>
      <c r="N2594">
        <f>[2]TongHop!N2594</f>
        <v>0</v>
      </c>
    </row>
    <row r="2595" spans="1:14">
      <c r="A2595">
        <f>[2]TongHop!A2595</f>
        <v>0</v>
      </c>
      <c r="B2595">
        <f>[2]TongHop!B2595</f>
        <v>0</v>
      </c>
      <c r="C2595">
        <f>[2]TongHop!C2595</f>
        <v>0</v>
      </c>
      <c r="D2595">
        <f>[2]TongHop!D2595</f>
        <v>0</v>
      </c>
      <c r="E2595">
        <f>[2]TongHop!E2595</f>
        <v>0</v>
      </c>
      <c r="F2595">
        <f>[2]TongHop!F2595</f>
        <v>0</v>
      </c>
      <c r="G2595">
        <f>[2]TongHop!G2595</f>
        <v>0</v>
      </c>
      <c r="H2595">
        <f>[2]TongHop!H2595</f>
        <v>0</v>
      </c>
      <c r="I2595">
        <f>[2]TongHop!I2595</f>
        <v>0</v>
      </c>
      <c r="J2595">
        <f>[2]TongHop!J2595</f>
        <v>0</v>
      </c>
      <c r="K2595">
        <f>[2]TongHop!K2595</f>
        <v>0</v>
      </c>
      <c r="L2595">
        <f>[2]TongHop!L2595</f>
        <v>0</v>
      </c>
      <c r="M2595">
        <f>[2]TongHop!M2595</f>
        <v>0</v>
      </c>
      <c r="N2595">
        <f>[2]TongHop!N2595</f>
        <v>0</v>
      </c>
    </row>
    <row r="2596" spans="1:14">
      <c r="A2596">
        <f>[2]TongHop!A2596</f>
        <v>0</v>
      </c>
      <c r="B2596">
        <f>[2]TongHop!B2596</f>
        <v>0</v>
      </c>
      <c r="C2596">
        <f>[2]TongHop!C2596</f>
        <v>0</v>
      </c>
      <c r="D2596">
        <f>[2]TongHop!D2596</f>
        <v>0</v>
      </c>
      <c r="E2596">
        <f>[2]TongHop!E2596</f>
        <v>0</v>
      </c>
      <c r="F2596">
        <f>[2]TongHop!F2596</f>
        <v>0</v>
      </c>
      <c r="G2596">
        <f>[2]TongHop!G2596</f>
        <v>0</v>
      </c>
      <c r="H2596">
        <f>[2]TongHop!H2596</f>
        <v>0</v>
      </c>
      <c r="I2596">
        <f>[2]TongHop!I2596</f>
        <v>0</v>
      </c>
      <c r="J2596">
        <f>[2]TongHop!J2596</f>
        <v>0</v>
      </c>
      <c r="K2596">
        <f>[2]TongHop!K2596</f>
        <v>0</v>
      </c>
      <c r="L2596">
        <f>[2]TongHop!L2596</f>
        <v>0</v>
      </c>
      <c r="M2596">
        <f>[2]TongHop!M2596</f>
        <v>0</v>
      </c>
      <c r="N2596">
        <f>[2]TongHop!N2596</f>
        <v>0</v>
      </c>
    </row>
    <row r="2597" spans="1:14">
      <c r="A2597">
        <f>[2]TongHop!A2597</f>
        <v>0</v>
      </c>
      <c r="B2597">
        <f>[2]TongHop!B2597</f>
        <v>0</v>
      </c>
      <c r="C2597">
        <f>[2]TongHop!C2597</f>
        <v>0</v>
      </c>
      <c r="D2597">
        <f>[2]TongHop!D2597</f>
        <v>0</v>
      </c>
      <c r="E2597">
        <f>[2]TongHop!E2597</f>
        <v>0</v>
      </c>
      <c r="F2597">
        <f>[2]TongHop!F2597</f>
        <v>0</v>
      </c>
      <c r="G2597">
        <f>[2]TongHop!G2597</f>
        <v>0</v>
      </c>
      <c r="H2597">
        <f>[2]TongHop!H2597</f>
        <v>0</v>
      </c>
      <c r="I2597">
        <f>[2]TongHop!I2597</f>
        <v>0</v>
      </c>
      <c r="J2597">
        <f>[2]TongHop!J2597</f>
        <v>0</v>
      </c>
      <c r="K2597">
        <f>[2]TongHop!K2597</f>
        <v>0</v>
      </c>
      <c r="L2597">
        <f>[2]TongHop!L2597</f>
        <v>0</v>
      </c>
      <c r="M2597">
        <f>[2]TongHop!M2597</f>
        <v>0</v>
      </c>
      <c r="N2597">
        <f>[2]TongHop!N2597</f>
        <v>0</v>
      </c>
    </row>
    <row r="2598" spans="1:14">
      <c r="A2598">
        <f>[2]TongHop!A2598</f>
        <v>0</v>
      </c>
      <c r="B2598">
        <f>[2]TongHop!B2598</f>
        <v>0</v>
      </c>
      <c r="C2598">
        <f>[2]TongHop!C2598</f>
        <v>0</v>
      </c>
      <c r="D2598">
        <f>[2]TongHop!D2598</f>
        <v>0</v>
      </c>
      <c r="E2598">
        <f>[2]TongHop!E2598</f>
        <v>0</v>
      </c>
      <c r="F2598">
        <f>[2]TongHop!F2598</f>
        <v>0</v>
      </c>
      <c r="G2598">
        <f>[2]TongHop!G2598</f>
        <v>0</v>
      </c>
      <c r="H2598">
        <f>[2]TongHop!H2598</f>
        <v>0</v>
      </c>
      <c r="I2598">
        <f>[2]TongHop!I2598</f>
        <v>0</v>
      </c>
      <c r="J2598">
        <f>[2]TongHop!J2598</f>
        <v>0</v>
      </c>
      <c r="K2598">
        <f>[2]TongHop!K2598</f>
        <v>0</v>
      </c>
      <c r="L2598">
        <f>[2]TongHop!L2598</f>
        <v>0</v>
      </c>
      <c r="M2598">
        <f>[2]TongHop!M2598</f>
        <v>0</v>
      </c>
      <c r="N2598">
        <f>[2]TongHop!N2598</f>
        <v>0</v>
      </c>
    </row>
    <row r="2599" spans="1:14">
      <c r="A2599">
        <f>[2]TongHop!A2599</f>
        <v>0</v>
      </c>
      <c r="B2599">
        <f>[2]TongHop!B2599</f>
        <v>0</v>
      </c>
      <c r="C2599">
        <f>[2]TongHop!C2599</f>
        <v>0</v>
      </c>
      <c r="D2599">
        <f>[2]TongHop!D2599</f>
        <v>0</v>
      </c>
      <c r="E2599">
        <f>[2]TongHop!E2599</f>
        <v>0</v>
      </c>
      <c r="F2599">
        <f>[2]TongHop!F2599</f>
        <v>0</v>
      </c>
      <c r="G2599">
        <f>[2]TongHop!G2599</f>
        <v>0</v>
      </c>
      <c r="H2599">
        <f>[2]TongHop!H2599</f>
        <v>0</v>
      </c>
      <c r="I2599">
        <f>[2]TongHop!I2599</f>
        <v>0</v>
      </c>
      <c r="J2599">
        <f>[2]TongHop!J2599</f>
        <v>0</v>
      </c>
      <c r="K2599">
        <f>[2]TongHop!K2599</f>
        <v>0</v>
      </c>
      <c r="L2599">
        <f>[2]TongHop!L2599</f>
        <v>0</v>
      </c>
      <c r="M2599">
        <f>[2]TongHop!M2599</f>
        <v>0</v>
      </c>
      <c r="N2599">
        <f>[2]TongHop!N2599</f>
        <v>0</v>
      </c>
    </row>
    <row r="2600" spans="1:14">
      <c r="A2600">
        <f>[2]TongHop!A2600</f>
        <v>0</v>
      </c>
      <c r="B2600">
        <f>[2]TongHop!B2600</f>
        <v>0</v>
      </c>
      <c r="C2600">
        <f>[2]TongHop!C2600</f>
        <v>0</v>
      </c>
      <c r="D2600">
        <f>[2]TongHop!D2600</f>
        <v>0</v>
      </c>
      <c r="E2600">
        <f>[2]TongHop!E2600</f>
        <v>0</v>
      </c>
      <c r="F2600">
        <f>[2]TongHop!F2600</f>
        <v>0</v>
      </c>
      <c r="G2600">
        <f>[2]TongHop!G2600</f>
        <v>0</v>
      </c>
      <c r="H2600">
        <f>[2]TongHop!H2600</f>
        <v>0</v>
      </c>
      <c r="I2600">
        <f>[2]TongHop!I2600</f>
        <v>0</v>
      </c>
      <c r="J2600">
        <f>[2]TongHop!J2600</f>
        <v>0</v>
      </c>
      <c r="K2600">
        <f>[2]TongHop!K2600</f>
        <v>0</v>
      </c>
      <c r="L2600">
        <f>[2]TongHop!L2600</f>
        <v>0</v>
      </c>
      <c r="M2600">
        <f>[2]TongHop!M2600</f>
        <v>0</v>
      </c>
      <c r="N2600">
        <f>[2]TongHop!N2600</f>
        <v>0</v>
      </c>
    </row>
    <row r="2601" spans="1:14">
      <c r="A2601">
        <f>[2]TongHop!A2601</f>
        <v>0</v>
      </c>
      <c r="B2601">
        <f>[2]TongHop!B2601</f>
        <v>0</v>
      </c>
      <c r="C2601">
        <f>[2]TongHop!C2601</f>
        <v>0</v>
      </c>
      <c r="D2601">
        <f>[2]TongHop!D2601</f>
        <v>0</v>
      </c>
      <c r="E2601">
        <f>[2]TongHop!E2601</f>
        <v>0</v>
      </c>
      <c r="F2601">
        <f>[2]TongHop!F2601</f>
        <v>0</v>
      </c>
      <c r="G2601">
        <f>[2]TongHop!G2601</f>
        <v>0</v>
      </c>
      <c r="H2601">
        <f>[2]TongHop!H2601</f>
        <v>0</v>
      </c>
      <c r="I2601">
        <f>[2]TongHop!I2601</f>
        <v>0</v>
      </c>
      <c r="J2601">
        <f>[2]TongHop!J2601</f>
        <v>0</v>
      </c>
      <c r="K2601">
        <f>[2]TongHop!K2601</f>
        <v>0</v>
      </c>
      <c r="L2601">
        <f>[2]TongHop!L2601</f>
        <v>0</v>
      </c>
      <c r="M2601">
        <f>[2]TongHop!M2601</f>
        <v>0</v>
      </c>
      <c r="N2601">
        <f>[2]TongHop!N2601</f>
        <v>0</v>
      </c>
    </row>
    <row r="2602" spans="1:14">
      <c r="A2602">
        <f>[2]TongHop!A2602</f>
        <v>0</v>
      </c>
      <c r="B2602">
        <f>[2]TongHop!B2602</f>
        <v>0</v>
      </c>
      <c r="C2602">
        <f>[2]TongHop!C2602</f>
        <v>0</v>
      </c>
      <c r="D2602">
        <f>[2]TongHop!D2602</f>
        <v>0</v>
      </c>
      <c r="E2602">
        <f>[2]TongHop!E2602</f>
        <v>0</v>
      </c>
      <c r="F2602">
        <f>[2]TongHop!F2602</f>
        <v>0</v>
      </c>
      <c r="G2602">
        <f>[2]TongHop!G2602</f>
        <v>0</v>
      </c>
      <c r="H2602">
        <f>[2]TongHop!H2602</f>
        <v>0</v>
      </c>
      <c r="I2602">
        <f>[2]TongHop!I2602</f>
        <v>0</v>
      </c>
      <c r="J2602">
        <f>[2]TongHop!J2602</f>
        <v>0</v>
      </c>
      <c r="K2602">
        <f>[2]TongHop!K2602</f>
        <v>0</v>
      </c>
      <c r="L2602">
        <f>[2]TongHop!L2602</f>
        <v>0</v>
      </c>
      <c r="M2602">
        <f>[2]TongHop!M2602</f>
        <v>0</v>
      </c>
      <c r="N2602">
        <f>[2]TongHop!N2602</f>
        <v>0</v>
      </c>
    </row>
    <row r="2603" spans="1:14">
      <c r="A2603">
        <f>[2]TongHop!A2603</f>
        <v>0</v>
      </c>
      <c r="B2603">
        <f>[2]TongHop!B2603</f>
        <v>0</v>
      </c>
      <c r="C2603">
        <f>[2]TongHop!C2603</f>
        <v>0</v>
      </c>
      <c r="D2603">
        <f>[2]TongHop!D2603</f>
        <v>0</v>
      </c>
      <c r="E2603">
        <f>[2]TongHop!E2603</f>
        <v>0</v>
      </c>
      <c r="F2603">
        <f>[2]TongHop!F2603</f>
        <v>0</v>
      </c>
      <c r="G2603">
        <f>[2]TongHop!G2603</f>
        <v>0</v>
      </c>
      <c r="H2603">
        <f>[2]TongHop!H2603</f>
        <v>0</v>
      </c>
      <c r="I2603">
        <f>[2]TongHop!I2603</f>
        <v>0</v>
      </c>
      <c r="J2603">
        <f>[2]TongHop!J2603</f>
        <v>0</v>
      </c>
      <c r="K2603">
        <f>[2]TongHop!K2603</f>
        <v>0</v>
      </c>
      <c r="L2603">
        <f>[2]TongHop!L2603</f>
        <v>0</v>
      </c>
      <c r="M2603">
        <f>[2]TongHop!M2603</f>
        <v>0</v>
      </c>
      <c r="N2603">
        <f>[2]TongHop!N2603</f>
        <v>0</v>
      </c>
    </row>
    <row r="2604" spans="1:14">
      <c r="A2604">
        <f>[2]TongHop!A2604</f>
        <v>0</v>
      </c>
      <c r="B2604">
        <f>[2]TongHop!B2604</f>
        <v>0</v>
      </c>
      <c r="C2604">
        <f>[2]TongHop!C2604</f>
        <v>0</v>
      </c>
      <c r="D2604">
        <f>[2]TongHop!D2604</f>
        <v>0</v>
      </c>
      <c r="E2604">
        <f>[2]TongHop!E2604</f>
        <v>0</v>
      </c>
      <c r="F2604">
        <f>[2]TongHop!F2604</f>
        <v>0</v>
      </c>
      <c r="G2604">
        <f>[2]TongHop!G2604</f>
        <v>0</v>
      </c>
      <c r="H2604">
        <f>[2]TongHop!H2604</f>
        <v>0</v>
      </c>
      <c r="I2604">
        <f>[2]TongHop!I2604</f>
        <v>0</v>
      </c>
      <c r="J2604">
        <f>[2]TongHop!J2604</f>
        <v>0</v>
      </c>
      <c r="K2604">
        <f>[2]TongHop!K2604</f>
        <v>0</v>
      </c>
      <c r="L2604">
        <f>[2]TongHop!L2604</f>
        <v>0</v>
      </c>
      <c r="M2604">
        <f>[2]TongHop!M2604</f>
        <v>0</v>
      </c>
      <c r="N2604">
        <f>[2]TongHop!N2604</f>
        <v>0</v>
      </c>
    </row>
    <row r="2605" spans="1:14">
      <c r="A2605">
        <f>[2]TongHop!A2605</f>
        <v>0</v>
      </c>
      <c r="B2605">
        <f>[2]TongHop!B2605</f>
        <v>0</v>
      </c>
      <c r="C2605">
        <f>[2]TongHop!C2605</f>
        <v>0</v>
      </c>
      <c r="D2605">
        <f>[2]TongHop!D2605</f>
        <v>0</v>
      </c>
      <c r="E2605">
        <f>[2]TongHop!E2605</f>
        <v>0</v>
      </c>
      <c r="F2605">
        <f>[2]TongHop!F2605</f>
        <v>0</v>
      </c>
      <c r="G2605">
        <f>[2]TongHop!G2605</f>
        <v>0</v>
      </c>
      <c r="H2605">
        <f>[2]TongHop!H2605</f>
        <v>0</v>
      </c>
      <c r="I2605">
        <f>[2]TongHop!I2605</f>
        <v>0</v>
      </c>
      <c r="J2605">
        <f>[2]TongHop!J2605</f>
        <v>0</v>
      </c>
      <c r="K2605">
        <f>[2]TongHop!K2605</f>
        <v>0</v>
      </c>
      <c r="L2605">
        <f>[2]TongHop!L2605</f>
        <v>0</v>
      </c>
      <c r="M2605">
        <f>[2]TongHop!M2605</f>
        <v>0</v>
      </c>
      <c r="N2605">
        <f>[2]TongHop!N2605</f>
        <v>0</v>
      </c>
    </row>
    <row r="2606" spans="1:14">
      <c r="A2606">
        <f>[2]TongHop!A2606</f>
        <v>0</v>
      </c>
      <c r="B2606">
        <f>[2]TongHop!B2606</f>
        <v>0</v>
      </c>
      <c r="C2606">
        <f>[2]TongHop!C2606</f>
        <v>0</v>
      </c>
      <c r="D2606">
        <f>[2]TongHop!D2606</f>
        <v>0</v>
      </c>
      <c r="E2606">
        <f>[2]TongHop!E2606</f>
        <v>0</v>
      </c>
      <c r="F2606">
        <f>[2]TongHop!F2606</f>
        <v>0</v>
      </c>
      <c r="G2606">
        <f>[2]TongHop!G2606</f>
        <v>0</v>
      </c>
      <c r="H2606">
        <f>[2]TongHop!H2606</f>
        <v>0</v>
      </c>
      <c r="I2606">
        <f>[2]TongHop!I2606</f>
        <v>0</v>
      </c>
      <c r="J2606">
        <f>[2]TongHop!J2606</f>
        <v>0</v>
      </c>
      <c r="K2606">
        <f>[2]TongHop!K2606</f>
        <v>0</v>
      </c>
      <c r="L2606">
        <f>[2]TongHop!L2606</f>
        <v>0</v>
      </c>
      <c r="M2606">
        <f>[2]TongHop!M2606</f>
        <v>0</v>
      </c>
      <c r="N2606">
        <f>[2]TongHop!N2606</f>
        <v>0</v>
      </c>
    </row>
    <row r="2607" spans="1:14">
      <c r="A2607">
        <f>[2]TongHop!A2607</f>
        <v>0</v>
      </c>
      <c r="B2607">
        <f>[2]TongHop!B2607</f>
        <v>0</v>
      </c>
      <c r="C2607">
        <f>[2]TongHop!C2607</f>
        <v>0</v>
      </c>
      <c r="D2607">
        <f>[2]TongHop!D2607</f>
        <v>0</v>
      </c>
      <c r="E2607">
        <f>[2]TongHop!E2607</f>
        <v>0</v>
      </c>
      <c r="F2607">
        <f>[2]TongHop!F2607</f>
        <v>0</v>
      </c>
      <c r="G2607">
        <f>[2]TongHop!G2607</f>
        <v>0</v>
      </c>
      <c r="H2607">
        <f>[2]TongHop!H2607</f>
        <v>0</v>
      </c>
      <c r="I2607">
        <f>[2]TongHop!I2607</f>
        <v>0</v>
      </c>
      <c r="J2607">
        <f>[2]TongHop!J2607</f>
        <v>0</v>
      </c>
      <c r="K2607">
        <f>[2]TongHop!K2607</f>
        <v>0</v>
      </c>
      <c r="L2607">
        <f>[2]TongHop!L2607</f>
        <v>0</v>
      </c>
      <c r="M2607">
        <f>[2]TongHop!M2607</f>
        <v>0</v>
      </c>
      <c r="N2607">
        <f>[2]TongHop!N2607</f>
        <v>0</v>
      </c>
    </row>
    <row r="2608" spans="1:14">
      <c r="A2608">
        <f>[2]TongHop!A2608</f>
        <v>0</v>
      </c>
      <c r="B2608">
        <f>[2]TongHop!B2608</f>
        <v>0</v>
      </c>
      <c r="C2608">
        <f>[2]TongHop!C2608</f>
        <v>0</v>
      </c>
      <c r="D2608">
        <f>[2]TongHop!D2608</f>
        <v>0</v>
      </c>
      <c r="E2608">
        <f>[2]TongHop!E2608</f>
        <v>0</v>
      </c>
      <c r="F2608">
        <f>[2]TongHop!F2608</f>
        <v>0</v>
      </c>
      <c r="G2608">
        <f>[2]TongHop!G2608</f>
        <v>0</v>
      </c>
      <c r="H2608">
        <f>[2]TongHop!H2608</f>
        <v>0</v>
      </c>
      <c r="I2608">
        <f>[2]TongHop!I2608</f>
        <v>0</v>
      </c>
      <c r="J2608">
        <f>[2]TongHop!J2608</f>
        <v>0</v>
      </c>
      <c r="K2608">
        <f>[2]TongHop!K2608</f>
        <v>0</v>
      </c>
      <c r="L2608">
        <f>[2]TongHop!L2608</f>
        <v>0</v>
      </c>
      <c r="M2608">
        <f>[2]TongHop!M2608</f>
        <v>0</v>
      </c>
      <c r="N2608">
        <f>[2]TongHop!N2608</f>
        <v>0</v>
      </c>
    </row>
    <row r="2609" spans="1:14">
      <c r="A2609">
        <f>[2]TongHop!A2609</f>
        <v>0</v>
      </c>
      <c r="B2609">
        <f>[2]TongHop!B2609</f>
        <v>0</v>
      </c>
      <c r="C2609">
        <f>[2]TongHop!C2609</f>
        <v>0</v>
      </c>
      <c r="D2609">
        <f>[2]TongHop!D2609</f>
        <v>0</v>
      </c>
      <c r="E2609">
        <f>[2]TongHop!E2609</f>
        <v>0</v>
      </c>
      <c r="F2609">
        <f>[2]TongHop!F2609</f>
        <v>0</v>
      </c>
      <c r="G2609">
        <f>[2]TongHop!G2609</f>
        <v>0</v>
      </c>
      <c r="H2609">
        <f>[2]TongHop!H2609</f>
        <v>0</v>
      </c>
      <c r="I2609">
        <f>[2]TongHop!I2609</f>
        <v>0</v>
      </c>
      <c r="J2609">
        <f>[2]TongHop!J2609</f>
        <v>0</v>
      </c>
      <c r="K2609">
        <f>[2]TongHop!K2609</f>
        <v>0</v>
      </c>
      <c r="L2609">
        <f>[2]TongHop!L2609</f>
        <v>0</v>
      </c>
      <c r="M2609">
        <f>[2]TongHop!M2609</f>
        <v>0</v>
      </c>
      <c r="N2609">
        <f>[2]TongHop!N2609</f>
        <v>0</v>
      </c>
    </row>
    <row r="2610" spans="1:14">
      <c r="A2610">
        <f>[2]TongHop!A2610</f>
        <v>0</v>
      </c>
      <c r="B2610">
        <f>[2]TongHop!B2610</f>
        <v>0</v>
      </c>
      <c r="C2610">
        <f>[2]TongHop!C2610</f>
        <v>0</v>
      </c>
      <c r="D2610">
        <f>[2]TongHop!D2610</f>
        <v>0</v>
      </c>
      <c r="E2610">
        <f>[2]TongHop!E2610</f>
        <v>0</v>
      </c>
      <c r="F2610">
        <f>[2]TongHop!F2610</f>
        <v>0</v>
      </c>
      <c r="G2610">
        <f>[2]TongHop!G2610</f>
        <v>0</v>
      </c>
      <c r="H2610">
        <f>[2]TongHop!H2610</f>
        <v>0</v>
      </c>
      <c r="I2610">
        <f>[2]TongHop!I2610</f>
        <v>0</v>
      </c>
      <c r="J2610">
        <f>[2]TongHop!J2610</f>
        <v>0</v>
      </c>
      <c r="K2610">
        <f>[2]TongHop!K2610</f>
        <v>0</v>
      </c>
      <c r="L2610">
        <f>[2]TongHop!L2610</f>
        <v>0</v>
      </c>
      <c r="M2610">
        <f>[2]TongHop!M2610</f>
        <v>0</v>
      </c>
      <c r="N2610">
        <f>[2]TongHop!N2610</f>
        <v>0</v>
      </c>
    </row>
    <row r="2611" spans="1:14">
      <c r="A2611">
        <f>[2]TongHop!A2611</f>
        <v>0</v>
      </c>
      <c r="B2611">
        <f>[2]TongHop!B2611</f>
        <v>0</v>
      </c>
      <c r="C2611">
        <f>[2]TongHop!C2611</f>
        <v>0</v>
      </c>
      <c r="D2611">
        <f>[2]TongHop!D2611</f>
        <v>0</v>
      </c>
      <c r="E2611">
        <f>[2]TongHop!E2611</f>
        <v>0</v>
      </c>
      <c r="F2611">
        <f>[2]TongHop!F2611</f>
        <v>0</v>
      </c>
      <c r="G2611">
        <f>[2]TongHop!G2611</f>
        <v>0</v>
      </c>
      <c r="H2611">
        <f>[2]TongHop!H2611</f>
        <v>0</v>
      </c>
      <c r="I2611">
        <f>[2]TongHop!I2611</f>
        <v>0</v>
      </c>
      <c r="J2611">
        <f>[2]TongHop!J2611</f>
        <v>0</v>
      </c>
      <c r="K2611">
        <f>[2]TongHop!K2611</f>
        <v>0</v>
      </c>
      <c r="L2611">
        <f>[2]TongHop!L2611</f>
        <v>0</v>
      </c>
      <c r="M2611">
        <f>[2]TongHop!M2611</f>
        <v>0</v>
      </c>
      <c r="N2611">
        <f>[2]TongHop!N2611</f>
        <v>0</v>
      </c>
    </row>
    <row r="2612" spans="1:14">
      <c r="A2612">
        <f>[2]TongHop!A2612</f>
        <v>0</v>
      </c>
      <c r="B2612">
        <f>[2]TongHop!B2612</f>
        <v>0</v>
      </c>
      <c r="C2612">
        <f>[2]TongHop!C2612</f>
        <v>0</v>
      </c>
      <c r="D2612">
        <f>[2]TongHop!D2612</f>
        <v>0</v>
      </c>
      <c r="E2612">
        <f>[2]TongHop!E2612</f>
        <v>0</v>
      </c>
      <c r="F2612">
        <f>[2]TongHop!F2612</f>
        <v>0</v>
      </c>
      <c r="G2612">
        <f>[2]TongHop!G2612</f>
        <v>0</v>
      </c>
      <c r="H2612">
        <f>[2]TongHop!H2612</f>
        <v>0</v>
      </c>
      <c r="I2612">
        <f>[2]TongHop!I2612</f>
        <v>0</v>
      </c>
      <c r="J2612">
        <f>[2]TongHop!J2612</f>
        <v>0</v>
      </c>
      <c r="K2612">
        <f>[2]TongHop!K2612</f>
        <v>0</v>
      </c>
      <c r="L2612">
        <f>[2]TongHop!L2612</f>
        <v>0</v>
      </c>
      <c r="M2612">
        <f>[2]TongHop!M2612</f>
        <v>0</v>
      </c>
      <c r="N2612">
        <f>[2]TongHop!N2612</f>
        <v>0</v>
      </c>
    </row>
    <row r="2613" spans="1:14">
      <c r="A2613">
        <f>[2]TongHop!A2613</f>
        <v>0</v>
      </c>
      <c r="B2613">
        <f>[2]TongHop!B2613</f>
        <v>0</v>
      </c>
      <c r="C2613">
        <f>[2]TongHop!C2613</f>
        <v>0</v>
      </c>
      <c r="D2613">
        <f>[2]TongHop!D2613</f>
        <v>0</v>
      </c>
      <c r="E2613">
        <f>[2]TongHop!E2613</f>
        <v>0</v>
      </c>
      <c r="F2613">
        <f>[2]TongHop!F2613</f>
        <v>0</v>
      </c>
      <c r="G2613">
        <f>[2]TongHop!G2613</f>
        <v>0</v>
      </c>
      <c r="H2613">
        <f>[2]TongHop!H2613</f>
        <v>0</v>
      </c>
      <c r="I2613">
        <f>[2]TongHop!I2613</f>
        <v>0</v>
      </c>
      <c r="J2613">
        <f>[2]TongHop!J2613</f>
        <v>0</v>
      </c>
      <c r="K2613">
        <f>[2]TongHop!K2613</f>
        <v>0</v>
      </c>
      <c r="L2613">
        <f>[2]TongHop!L2613</f>
        <v>0</v>
      </c>
      <c r="M2613">
        <f>[2]TongHop!M2613</f>
        <v>0</v>
      </c>
      <c r="N2613">
        <f>[2]TongHop!N2613</f>
        <v>0</v>
      </c>
    </row>
    <row r="2614" spans="1:14">
      <c r="A2614">
        <f>[2]TongHop!A2614</f>
        <v>0</v>
      </c>
      <c r="B2614">
        <f>[2]TongHop!B2614</f>
        <v>0</v>
      </c>
      <c r="C2614">
        <f>[2]TongHop!C2614</f>
        <v>0</v>
      </c>
      <c r="D2614">
        <f>[2]TongHop!D2614</f>
        <v>0</v>
      </c>
      <c r="E2614">
        <f>[2]TongHop!E2614</f>
        <v>0</v>
      </c>
      <c r="F2614">
        <f>[2]TongHop!F2614</f>
        <v>0</v>
      </c>
      <c r="G2614">
        <f>[2]TongHop!G2614</f>
        <v>0</v>
      </c>
      <c r="H2614">
        <f>[2]TongHop!H2614</f>
        <v>0</v>
      </c>
      <c r="I2614">
        <f>[2]TongHop!I2614</f>
        <v>0</v>
      </c>
      <c r="J2614">
        <f>[2]TongHop!J2614</f>
        <v>0</v>
      </c>
      <c r="K2614">
        <f>[2]TongHop!K2614</f>
        <v>0</v>
      </c>
      <c r="L2614">
        <f>[2]TongHop!L2614</f>
        <v>0</v>
      </c>
      <c r="M2614">
        <f>[2]TongHop!M2614</f>
        <v>0</v>
      </c>
      <c r="N2614">
        <f>[2]TongHop!N2614</f>
        <v>0</v>
      </c>
    </row>
    <row r="2615" spans="1:14">
      <c r="A2615">
        <f>[2]TongHop!A2615</f>
        <v>0</v>
      </c>
      <c r="B2615">
        <f>[2]TongHop!B2615</f>
        <v>0</v>
      </c>
      <c r="C2615">
        <f>[2]TongHop!C2615</f>
        <v>0</v>
      </c>
      <c r="D2615">
        <f>[2]TongHop!D2615</f>
        <v>0</v>
      </c>
      <c r="E2615">
        <f>[2]TongHop!E2615</f>
        <v>0</v>
      </c>
      <c r="F2615">
        <f>[2]TongHop!F2615</f>
        <v>0</v>
      </c>
      <c r="G2615">
        <f>[2]TongHop!G2615</f>
        <v>0</v>
      </c>
      <c r="H2615">
        <f>[2]TongHop!H2615</f>
        <v>0</v>
      </c>
      <c r="I2615">
        <f>[2]TongHop!I2615</f>
        <v>0</v>
      </c>
      <c r="J2615">
        <f>[2]TongHop!J2615</f>
        <v>0</v>
      </c>
      <c r="K2615">
        <f>[2]TongHop!K2615</f>
        <v>0</v>
      </c>
      <c r="L2615">
        <f>[2]TongHop!L2615</f>
        <v>0</v>
      </c>
      <c r="M2615">
        <f>[2]TongHop!M2615</f>
        <v>0</v>
      </c>
      <c r="N2615">
        <f>[2]TongHop!N2615</f>
        <v>0</v>
      </c>
    </row>
    <row r="2616" spans="1:14">
      <c r="A2616">
        <f>[2]TongHop!A2616</f>
        <v>0</v>
      </c>
      <c r="B2616">
        <f>[2]TongHop!B2616</f>
        <v>0</v>
      </c>
      <c r="C2616">
        <f>[2]TongHop!C2616</f>
        <v>0</v>
      </c>
      <c r="D2616">
        <f>[2]TongHop!D2616</f>
        <v>0</v>
      </c>
      <c r="E2616">
        <f>[2]TongHop!E2616</f>
        <v>0</v>
      </c>
      <c r="F2616">
        <f>[2]TongHop!F2616</f>
        <v>0</v>
      </c>
      <c r="G2616">
        <f>[2]TongHop!G2616</f>
        <v>0</v>
      </c>
      <c r="H2616">
        <f>[2]TongHop!H2616</f>
        <v>0</v>
      </c>
      <c r="I2616">
        <f>[2]TongHop!I2616</f>
        <v>0</v>
      </c>
      <c r="J2616">
        <f>[2]TongHop!J2616</f>
        <v>0</v>
      </c>
      <c r="K2616">
        <f>[2]TongHop!K2616</f>
        <v>0</v>
      </c>
      <c r="L2616">
        <f>[2]TongHop!L2616</f>
        <v>0</v>
      </c>
      <c r="M2616">
        <f>[2]TongHop!M2616</f>
        <v>0</v>
      </c>
      <c r="N2616">
        <f>[2]TongHop!N2616</f>
        <v>0</v>
      </c>
    </row>
    <row r="2617" spans="1:14">
      <c r="A2617">
        <f>[2]TongHop!A2617</f>
        <v>0</v>
      </c>
      <c r="B2617">
        <f>[2]TongHop!B2617</f>
        <v>0</v>
      </c>
      <c r="C2617">
        <f>[2]TongHop!C2617</f>
        <v>0</v>
      </c>
      <c r="D2617">
        <f>[2]TongHop!D2617</f>
        <v>0</v>
      </c>
      <c r="E2617">
        <f>[2]TongHop!E2617</f>
        <v>0</v>
      </c>
      <c r="F2617">
        <f>[2]TongHop!F2617</f>
        <v>0</v>
      </c>
      <c r="G2617">
        <f>[2]TongHop!G2617</f>
        <v>0</v>
      </c>
      <c r="H2617">
        <f>[2]TongHop!H2617</f>
        <v>0</v>
      </c>
      <c r="I2617">
        <f>[2]TongHop!I2617</f>
        <v>0</v>
      </c>
      <c r="J2617">
        <f>[2]TongHop!J2617</f>
        <v>0</v>
      </c>
      <c r="K2617">
        <f>[2]TongHop!K2617</f>
        <v>0</v>
      </c>
      <c r="L2617">
        <f>[2]TongHop!L2617</f>
        <v>0</v>
      </c>
      <c r="M2617">
        <f>[2]TongHop!M2617</f>
        <v>0</v>
      </c>
      <c r="N2617">
        <f>[2]TongHop!N2617</f>
        <v>0</v>
      </c>
    </row>
    <row r="2618" spans="1:14">
      <c r="A2618">
        <f>[2]TongHop!A2618</f>
        <v>0</v>
      </c>
      <c r="B2618">
        <f>[2]TongHop!B2618</f>
        <v>0</v>
      </c>
      <c r="C2618">
        <f>[2]TongHop!C2618</f>
        <v>0</v>
      </c>
      <c r="D2618">
        <f>[2]TongHop!D2618</f>
        <v>0</v>
      </c>
      <c r="E2618">
        <f>[2]TongHop!E2618</f>
        <v>0</v>
      </c>
      <c r="F2618">
        <f>[2]TongHop!F2618</f>
        <v>0</v>
      </c>
      <c r="G2618">
        <f>[2]TongHop!G2618</f>
        <v>0</v>
      </c>
      <c r="H2618">
        <f>[2]TongHop!H2618</f>
        <v>0</v>
      </c>
      <c r="I2618">
        <f>[2]TongHop!I2618</f>
        <v>0</v>
      </c>
      <c r="J2618">
        <f>[2]TongHop!J2618</f>
        <v>0</v>
      </c>
      <c r="K2618">
        <f>[2]TongHop!K2618</f>
        <v>0</v>
      </c>
      <c r="L2618">
        <f>[2]TongHop!L2618</f>
        <v>0</v>
      </c>
      <c r="M2618">
        <f>[2]TongHop!M2618</f>
        <v>0</v>
      </c>
      <c r="N2618">
        <f>[2]TongHop!N2618</f>
        <v>0</v>
      </c>
    </row>
    <row r="2619" spans="1:14">
      <c r="A2619">
        <f>[2]TongHop!A2619</f>
        <v>0</v>
      </c>
      <c r="B2619">
        <f>[2]TongHop!B2619</f>
        <v>0</v>
      </c>
      <c r="C2619">
        <f>[2]TongHop!C2619</f>
        <v>0</v>
      </c>
      <c r="D2619">
        <f>[2]TongHop!D2619</f>
        <v>0</v>
      </c>
      <c r="E2619">
        <f>[2]TongHop!E2619</f>
        <v>0</v>
      </c>
      <c r="F2619">
        <f>[2]TongHop!F2619</f>
        <v>0</v>
      </c>
      <c r="G2619">
        <f>[2]TongHop!G2619</f>
        <v>0</v>
      </c>
      <c r="H2619">
        <f>[2]TongHop!H2619</f>
        <v>0</v>
      </c>
      <c r="I2619">
        <f>[2]TongHop!I2619</f>
        <v>0</v>
      </c>
      <c r="J2619">
        <f>[2]TongHop!J2619</f>
        <v>0</v>
      </c>
      <c r="K2619">
        <f>[2]TongHop!K2619</f>
        <v>0</v>
      </c>
      <c r="L2619">
        <f>[2]TongHop!L2619</f>
        <v>0</v>
      </c>
      <c r="M2619">
        <f>[2]TongHop!M2619</f>
        <v>0</v>
      </c>
      <c r="N2619">
        <f>[2]TongHop!N2619</f>
        <v>0</v>
      </c>
    </row>
    <row r="2620" spans="1:14">
      <c r="A2620">
        <f>[2]TongHop!A2620</f>
        <v>0</v>
      </c>
      <c r="B2620">
        <f>[2]TongHop!B2620</f>
        <v>0</v>
      </c>
      <c r="C2620">
        <f>[2]TongHop!C2620</f>
        <v>0</v>
      </c>
      <c r="D2620">
        <f>[2]TongHop!D2620</f>
        <v>0</v>
      </c>
      <c r="E2620">
        <f>[2]TongHop!E2620</f>
        <v>0</v>
      </c>
      <c r="F2620">
        <f>[2]TongHop!F2620</f>
        <v>0</v>
      </c>
      <c r="G2620">
        <f>[2]TongHop!G2620</f>
        <v>0</v>
      </c>
      <c r="H2620">
        <f>[2]TongHop!H2620</f>
        <v>0</v>
      </c>
      <c r="I2620">
        <f>[2]TongHop!I2620</f>
        <v>0</v>
      </c>
      <c r="J2620">
        <f>[2]TongHop!J2620</f>
        <v>0</v>
      </c>
      <c r="K2620">
        <f>[2]TongHop!K2620</f>
        <v>0</v>
      </c>
      <c r="L2620">
        <f>[2]TongHop!L2620</f>
        <v>0</v>
      </c>
      <c r="M2620">
        <f>[2]TongHop!M2620</f>
        <v>0</v>
      </c>
      <c r="N2620">
        <f>[2]TongHop!N2620</f>
        <v>0</v>
      </c>
    </row>
    <row r="2621" spans="1:14">
      <c r="A2621">
        <f>[2]TongHop!A2621</f>
        <v>0</v>
      </c>
      <c r="B2621">
        <f>[2]TongHop!B2621</f>
        <v>0</v>
      </c>
      <c r="C2621">
        <f>[2]TongHop!C2621</f>
        <v>0</v>
      </c>
      <c r="D2621">
        <f>[2]TongHop!D2621</f>
        <v>0</v>
      </c>
      <c r="E2621">
        <f>[2]TongHop!E2621</f>
        <v>0</v>
      </c>
      <c r="F2621">
        <f>[2]TongHop!F2621</f>
        <v>0</v>
      </c>
      <c r="G2621">
        <f>[2]TongHop!G2621</f>
        <v>0</v>
      </c>
      <c r="H2621">
        <f>[2]TongHop!H2621</f>
        <v>0</v>
      </c>
      <c r="I2621">
        <f>[2]TongHop!I2621</f>
        <v>0</v>
      </c>
      <c r="J2621">
        <f>[2]TongHop!J2621</f>
        <v>0</v>
      </c>
      <c r="K2621">
        <f>[2]TongHop!K2621</f>
        <v>0</v>
      </c>
      <c r="L2621">
        <f>[2]TongHop!L2621</f>
        <v>0</v>
      </c>
      <c r="M2621">
        <f>[2]TongHop!M2621</f>
        <v>0</v>
      </c>
      <c r="N2621">
        <f>[2]TongHop!N2621</f>
        <v>0</v>
      </c>
    </row>
    <row r="2622" spans="1:14">
      <c r="A2622">
        <f>[2]TongHop!A2622</f>
        <v>0</v>
      </c>
      <c r="B2622">
        <f>[2]TongHop!B2622</f>
        <v>0</v>
      </c>
      <c r="C2622">
        <f>[2]TongHop!C2622</f>
        <v>0</v>
      </c>
      <c r="D2622">
        <f>[2]TongHop!D2622</f>
        <v>0</v>
      </c>
      <c r="E2622">
        <f>[2]TongHop!E2622</f>
        <v>0</v>
      </c>
      <c r="F2622">
        <f>[2]TongHop!F2622</f>
        <v>0</v>
      </c>
      <c r="G2622">
        <f>[2]TongHop!G2622</f>
        <v>0</v>
      </c>
      <c r="H2622">
        <f>[2]TongHop!H2622</f>
        <v>0</v>
      </c>
      <c r="I2622">
        <f>[2]TongHop!I2622</f>
        <v>0</v>
      </c>
      <c r="J2622">
        <f>[2]TongHop!J2622</f>
        <v>0</v>
      </c>
      <c r="K2622">
        <f>[2]TongHop!K2622</f>
        <v>0</v>
      </c>
      <c r="L2622">
        <f>[2]TongHop!L2622</f>
        <v>0</v>
      </c>
      <c r="M2622">
        <f>[2]TongHop!M2622</f>
        <v>0</v>
      </c>
      <c r="N2622">
        <f>[2]TongHop!N2622</f>
        <v>0</v>
      </c>
    </row>
    <row r="2623" spans="1:14">
      <c r="A2623">
        <f>[2]TongHop!A2623</f>
        <v>0</v>
      </c>
      <c r="B2623">
        <f>[2]TongHop!B2623</f>
        <v>0</v>
      </c>
      <c r="C2623">
        <f>[2]TongHop!C2623</f>
        <v>0</v>
      </c>
      <c r="D2623">
        <f>[2]TongHop!D2623</f>
        <v>0</v>
      </c>
      <c r="E2623">
        <f>[2]TongHop!E2623</f>
        <v>0</v>
      </c>
      <c r="F2623">
        <f>[2]TongHop!F2623</f>
        <v>0</v>
      </c>
      <c r="G2623">
        <f>[2]TongHop!G2623</f>
        <v>0</v>
      </c>
      <c r="H2623">
        <f>[2]TongHop!H2623</f>
        <v>0</v>
      </c>
      <c r="I2623">
        <f>[2]TongHop!I2623</f>
        <v>0</v>
      </c>
      <c r="J2623">
        <f>[2]TongHop!J2623</f>
        <v>0</v>
      </c>
      <c r="K2623">
        <f>[2]TongHop!K2623</f>
        <v>0</v>
      </c>
      <c r="L2623">
        <f>[2]TongHop!L2623</f>
        <v>0</v>
      </c>
      <c r="M2623">
        <f>[2]TongHop!M2623</f>
        <v>0</v>
      </c>
      <c r="N2623">
        <f>[2]TongHop!N2623</f>
        <v>0</v>
      </c>
    </row>
    <row r="2624" spans="1:14">
      <c r="A2624">
        <f>[2]TongHop!A2624</f>
        <v>0</v>
      </c>
      <c r="B2624">
        <f>[2]TongHop!B2624</f>
        <v>0</v>
      </c>
      <c r="C2624">
        <f>[2]TongHop!C2624</f>
        <v>0</v>
      </c>
      <c r="D2624">
        <f>[2]TongHop!D2624</f>
        <v>0</v>
      </c>
      <c r="E2624">
        <f>[2]TongHop!E2624</f>
        <v>0</v>
      </c>
      <c r="F2624">
        <f>[2]TongHop!F2624</f>
        <v>0</v>
      </c>
      <c r="G2624">
        <f>[2]TongHop!G2624</f>
        <v>0</v>
      </c>
      <c r="H2624">
        <f>[2]TongHop!H2624</f>
        <v>0</v>
      </c>
      <c r="I2624">
        <f>[2]TongHop!I2624</f>
        <v>0</v>
      </c>
      <c r="J2624">
        <f>[2]TongHop!J2624</f>
        <v>0</v>
      </c>
      <c r="K2624">
        <f>[2]TongHop!K2624</f>
        <v>0</v>
      </c>
      <c r="L2624">
        <f>[2]TongHop!L2624</f>
        <v>0</v>
      </c>
      <c r="M2624">
        <f>[2]TongHop!M2624</f>
        <v>0</v>
      </c>
      <c r="N2624">
        <f>[2]TongHop!N2624</f>
        <v>0</v>
      </c>
    </row>
    <row r="2625" spans="1:14">
      <c r="A2625">
        <f>[2]TongHop!A2625</f>
        <v>0</v>
      </c>
      <c r="B2625">
        <f>[2]TongHop!B2625</f>
        <v>0</v>
      </c>
      <c r="C2625">
        <f>[2]TongHop!C2625</f>
        <v>0</v>
      </c>
      <c r="D2625">
        <f>[2]TongHop!D2625</f>
        <v>0</v>
      </c>
      <c r="E2625">
        <f>[2]TongHop!E2625</f>
        <v>0</v>
      </c>
      <c r="F2625">
        <f>[2]TongHop!F2625</f>
        <v>0</v>
      </c>
      <c r="G2625">
        <f>[2]TongHop!G2625</f>
        <v>0</v>
      </c>
      <c r="H2625">
        <f>[2]TongHop!H2625</f>
        <v>0</v>
      </c>
      <c r="I2625">
        <f>[2]TongHop!I2625</f>
        <v>0</v>
      </c>
      <c r="J2625">
        <f>[2]TongHop!J2625</f>
        <v>0</v>
      </c>
      <c r="K2625">
        <f>[2]TongHop!K2625</f>
        <v>0</v>
      </c>
      <c r="L2625">
        <f>[2]TongHop!L2625</f>
        <v>0</v>
      </c>
      <c r="M2625">
        <f>[2]TongHop!M2625</f>
        <v>0</v>
      </c>
      <c r="N2625">
        <f>[2]TongHop!N2625</f>
        <v>0</v>
      </c>
    </row>
    <row r="2626" spans="1:14">
      <c r="A2626">
        <f>[2]TongHop!A2626</f>
        <v>0</v>
      </c>
      <c r="B2626">
        <f>[2]TongHop!B2626</f>
        <v>0</v>
      </c>
      <c r="C2626">
        <f>[2]TongHop!C2626</f>
        <v>0</v>
      </c>
      <c r="D2626">
        <f>[2]TongHop!D2626</f>
        <v>0</v>
      </c>
      <c r="E2626">
        <f>[2]TongHop!E2626</f>
        <v>0</v>
      </c>
      <c r="F2626">
        <f>[2]TongHop!F2626</f>
        <v>0</v>
      </c>
      <c r="G2626">
        <f>[2]TongHop!G2626</f>
        <v>0</v>
      </c>
      <c r="H2626">
        <f>[2]TongHop!H2626</f>
        <v>0</v>
      </c>
      <c r="I2626">
        <f>[2]TongHop!I2626</f>
        <v>0</v>
      </c>
      <c r="J2626">
        <f>[2]TongHop!J2626</f>
        <v>0</v>
      </c>
      <c r="K2626">
        <f>[2]TongHop!K2626</f>
        <v>0</v>
      </c>
      <c r="L2626">
        <f>[2]TongHop!L2626</f>
        <v>0</v>
      </c>
      <c r="M2626">
        <f>[2]TongHop!M2626</f>
        <v>0</v>
      </c>
      <c r="N2626">
        <f>[2]TongHop!N2626</f>
        <v>0</v>
      </c>
    </row>
    <row r="2627" spans="1:14">
      <c r="A2627">
        <f>[2]TongHop!A2627</f>
        <v>0</v>
      </c>
      <c r="B2627">
        <f>[2]TongHop!B2627</f>
        <v>0</v>
      </c>
      <c r="C2627">
        <f>[2]TongHop!C2627</f>
        <v>0</v>
      </c>
      <c r="D2627">
        <f>[2]TongHop!D2627</f>
        <v>0</v>
      </c>
      <c r="E2627">
        <f>[2]TongHop!E2627</f>
        <v>0</v>
      </c>
      <c r="F2627">
        <f>[2]TongHop!F2627</f>
        <v>0</v>
      </c>
      <c r="G2627">
        <f>[2]TongHop!G2627</f>
        <v>0</v>
      </c>
      <c r="H2627">
        <f>[2]TongHop!H2627</f>
        <v>0</v>
      </c>
      <c r="I2627">
        <f>[2]TongHop!I2627</f>
        <v>0</v>
      </c>
      <c r="J2627">
        <f>[2]TongHop!J2627</f>
        <v>0</v>
      </c>
      <c r="K2627">
        <f>[2]TongHop!K2627</f>
        <v>0</v>
      </c>
      <c r="L2627">
        <f>[2]TongHop!L2627</f>
        <v>0</v>
      </c>
      <c r="M2627">
        <f>[2]TongHop!M2627</f>
        <v>0</v>
      </c>
      <c r="N2627">
        <f>[2]TongHop!N2627</f>
        <v>0</v>
      </c>
    </row>
    <row r="2628" spans="1:14">
      <c r="A2628">
        <f>[2]TongHop!A2628</f>
        <v>0</v>
      </c>
      <c r="B2628">
        <f>[2]TongHop!B2628</f>
        <v>0</v>
      </c>
      <c r="C2628">
        <f>[2]TongHop!C2628</f>
        <v>0</v>
      </c>
      <c r="D2628">
        <f>[2]TongHop!D2628</f>
        <v>0</v>
      </c>
      <c r="E2628">
        <f>[2]TongHop!E2628</f>
        <v>0</v>
      </c>
      <c r="F2628">
        <f>[2]TongHop!F2628</f>
        <v>0</v>
      </c>
      <c r="G2628">
        <f>[2]TongHop!G2628</f>
        <v>0</v>
      </c>
      <c r="H2628">
        <f>[2]TongHop!H2628</f>
        <v>0</v>
      </c>
      <c r="I2628">
        <f>[2]TongHop!I2628</f>
        <v>0</v>
      </c>
      <c r="J2628">
        <f>[2]TongHop!J2628</f>
        <v>0</v>
      </c>
      <c r="K2628">
        <f>[2]TongHop!K2628</f>
        <v>0</v>
      </c>
      <c r="L2628">
        <f>[2]TongHop!L2628</f>
        <v>0</v>
      </c>
      <c r="M2628">
        <f>[2]TongHop!M2628</f>
        <v>0</v>
      </c>
      <c r="N2628">
        <f>[2]TongHop!N2628</f>
        <v>0</v>
      </c>
    </row>
    <row r="2629" spans="1:14">
      <c r="A2629">
        <f>[2]TongHop!A2629</f>
        <v>0</v>
      </c>
      <c r="B2629">
        <f>[2]TongHop!B2629</f>
        <v>0</v>
      </c>
      <c r="C2629">
        <f>[2]TongHop!C2629</f>
        <v>0</v>
      </c>
      <c r="D2629">
        <f>[2]TongHop!D2629</f>
        <v>0</v>
      </c>
      <c r="E2629">
        <f>[2]TongHop!E2629</f>
        <v>0</v>
      </c>
      <c r="F2629">
        <f>[2]TongHop!F2629</f>
        <v>0</v>
      </c>
      <c r="G2629">
        <f>[2]TongHop!G2629</f>
        <v>0</v>
      </c>
      <c r="H2629">
        <f>[2]TongHop!H2629</f>
        <v>0</v>
      </c>
      <c r="I2629">
        <f>[2]TongHop!I2629</f>
        <v>0</v>
      </c>
      <c r="J2629">
        <f>[2]TongHop!J2629</f>
        <v>0</v>
      </c>
      <c r="K2629">
        <f>[2]TongHop!K2629</f>
        <v>0</v>
      </c>
      <c r="L2629">
        <f>[2]TongHop!L2629</f>
        <v>0</v>
      </c>
      <c r="M2629">
        <f>[2]TongHop!M2629</f>
        <v>0</v>
      </c>
      <c r="N2629">
        <f>[2]TongHop!N2629</f>
        <v>0</v>
      </c>
    </row>
    <row r="2630" spans="1:14">
      <c r="A2630">
        <f>[2]TongHop!A2630</f>
        <v>0</v>
      </c>
      <c r="B2630">
        <f>[2]TongHop!B2630</f>
        <v>0</v>
      </c>
      <c r="C2630">
        <f>[2]TongHop!C2630</f>
        <v>0</v>
      </c>
      <c r="D2630">
        <f>[2]TongHop!D2630</f>
        <v>0</v>
      </c>
      <c r="E2630">
        <f>[2]TongHop!E2630</f>
        <v>0</v>
      </c>
      <c r="F2630">
        <f>[2]TongHop!F2630</f>
        <v>0</v>
      </c>
      <c r="G2630">
        <f>[2]TongHop!G2630</f>
        <v>0</v>
      </c>
      <c r="H2630">
        <f>[2]TongHop!H2630</f>
        <v>0</v>
      </c>
      <c r="I2630">
        <f>[2]TongHop!I2630</f>
        <v>0</v>
      </c>
      <c r="J2630">
        <f>[2]TongHop!J2630</f>
        <v>0</v>
      </c>
      <c r="K2630">
        <f>[2]TongHop!K2630</f>
        <v>0</v>
      </c>
      <c r="L2630">
        <f>[2]TongHop!L2630</f>
        <v>0</v>
      </c>
      <c r="M2630">
        <f>[2]TongHop!M2630</f>
        <v>0</v>
      </c>
      <c r="N2630">
        <f>[2]TongHop!N2630</f>
        <v>0</v>
      </c>
    </row>
    <row r="2631" spans="1:14">
      <c r="A2631">
        <f>[2]TongHop!A2631</f>
        <v>0</v>
      </c>
      <c r="B2631">
        <f>[2]TongHop!B2631</f>
        <v>0</v>
      </c>
      <c r="C2631">
        <f>[2]TongHop!C2631</f>
        <v>0</v>
      </c>
      <c r="D2631">
        <f>[2]TongHop!D2631</f>
        <v>0</v>
      </c>
      <c r="E2631">
        <f>[2]TongHop!E2631</f>
        <v>0</v>
      </c>
      <c r="F2631">
        <f>[2]TongHop!F2631</f>
        <v>0</v>
      </c>
      <c r="G2631">
        <f>[2]TongHop!G2631</f>
        <v>0</v>
      </c>
      <c r="H2631">
        <f>[2]TongHop!H2631</f>
        <v>0</v>
      </c>
      <c r="I2631">
        <f>[2]TongHop!I2631</f>
        <v>0</v>
      </c>
      <c r="J2631">
        <f>[2]TongHop!J2631</f>
        <v>0</v>
      </c>
      <c r="K2631">
        <f>[2]TongHop!K2631</f>
        <v>0</v>
      </c>
      <c r="L2631">
        <f>[2]TongHop!L2631</f>
        <v>0</v>
      </c>
      <c r="M2631">
        <f>[2]TongHop!M2631</f>
        <v>0</v>
      </c>
      <c r="N2631">
        <f>[2]TongHop!N2631</f>
        <v>0</v>
      </c>
    </row>
    <row r="2632" spans="1:14">
      <c r="A2632">
        <f>[2]TongHop!A2632</f>
        <v>0</v>
      </c>
      <c r="B2632">
        <f>[2]TongHop!B2632</f>
        <v>0</v>
      </c>
      <c r="C2632">
        <f>[2]TongHop!C2632</f>
        <v>0</v>
      </c>
      <c r="D2632">
        <f>[2]TongHop!D2632</f>
        <v>0</v>
      </c>
      <c r="E2632">
        <f>[2]TongHop!E2632</f>
        <v>0</v>
      </c>
      <c r="F2632">
        <f>[2]TongHop!F2632</f>
        <v>0</v>
      </c>
      <c r="G2632">
        <f>[2]TongHop!G2632</f>
        <v>0</v>
      </c>
      <c r="H2632">
        <f>[2]TongHop!H2632</f>
        <v>0</v>
      </c>
      <c r="I2632">
        <f>[2]TongHop!I2632</f>
        <v>0</v>
      </c>
      <c r="J2632">
        <f>[2]TongHop!J2632</f>
        <v>0</v>
      </c>
      <c r="K2632">
        <f>[2]TongHop!K2632</f>
        <v>0</v>
      </c>
      <c r="L2632">
        <f>[2]TongHop!L2632</f>
        <v>0</v>
      </c>
      <c r="M2632">
        <f>[2]TongHop!M2632</f>
        <v>0</v>
      </c>
      <c r="N2632">
        <f>[2]TongHop!N2632</f>
        <v>0</v>
      </c>
    </row>
    <row r="2633" spans="1:14">
      <c r="A2633">
        <f>[2]TongHop!A2633</f>
        <v>0</v>
      </c>
      <c r="B2633">
        <f>[2]TongHop!B2633</f>
        <v>0</v>
      </c>
      <c r="C2633">
        <f>[2]TongHop!C2633</f>
        <v>0</v>
      </c>
      <c r="D2633">
        <f>[2]TongHop!D2633</f>
        <v>0</v>
      </c>
      <c r="E2633">
        <f>[2]TongHop!E2633</f>
        <v>0</v>
      </c>
      <c r="F2633">
        <f>[2]TongHop!F2633</f>
        <v>0</v>
      </c>
      <c r="G2633">
        <f>[2]TongHop!G2633</f>
        <v>0</v>
      </c>
      <c r="H2633">
        <f>[2]TongHop!H2633</f>
        <v>0</v>
      </c>
      <c r="I2633">
        <f>[2]TongHop!I2633</f>
        <v>0</v>
      </c>
      <c r="J2633">
        <f>[2]TongHop!J2633</f>
        <v>0</v>
      </c>
      <c r="K2633">
        <f>[2]TongHop!K2633</f>
        <v>0</v>
      </c>
      <c r="L2633">
        <f>[2]TongHop!L2633</f>
        <v>0</v>
      </c>
      <c r="M2633">
        <f>[2]TongHop!M2633</f>
        <v>0</v>
      </c>
      <c r="N2633">
        <f>[2]TongHop!N2633</f>
        <v>0</v>
      </c>
    </row>
    <row r="2634" spans="1:14">
      <c r="A2634">
        <f>[2]TongHop!A2634</f>
        <v>0</v>
      </c>
      <c r="B2634">
        <f>[2]TongHop!B2634</f>
        <v>0</v>
      </c>
      <c r="C2634">
        <f>[2]TongHop!C2634</f>
        <v>0</v>
      </c>
      <c r="D2634">
        <f>[2]TongHop!D2634</f>
        <v>0</v>
      </c>
      <c r="E2634">
        <f>[2]TongHop!E2634</f>
        <v>0</v>
      </c>
      <c r="F2634">
        <f>[2]TongHop!F2634</f>
        <v>0</v>
      </c>
      <c r="G2634">
        <f>[2]TongHop!G2634</f>
        <v>0</v>
      </c>
      <c r="H2634">
        <f>[2]TongHop!H2634</f>
        <v>0</v>
      </c>
      <c r="I2634">
        <f>[2]TongHop!I2634</f>
        <v>0</v>
      </c>
      <c r="J2634">
        <f>[2]TongHop!J2634</f>
        <v>0</v>
      </c>
      <c r="K2634">
        <f>[2]TongHop!K2634</f>
        <v>0</v>
      </c>
      <c r="L2634">
        <f>[2]TongHop!L2634</f>
        <v>0</v>
      </c>
      <c r="M2634">
        <f>[2]TongHop!M2634</f>
        <v>0</v>
      </c>
      <c r="N2634">
        <f>[2]TongHop!N2634</f>
        <v>0</v>
      </c>
    </row>
    <row r="2635" spans="1:14">
      <c r="A2635">
        <f>[2]TongHop!A2635</f>
        <v>0</v>
      </c>
      <c r="B2635">
        <f>[2]TongHop!B2635</f>
        <v>0</v>
      </c>
      <c r="C2635">
        <f>[2]TongHop!C2635</f>
        <v>0</v>
      </c>
      <c r="D2635">
        <f>[2]TongHop!D2635</f>
        <v>0</v>
      </c>
      <c r="E2635">
        <f>[2]TongHop!E2635</f>
        <v>0</v>
      </c>
      <c r="F2635">
        <f>[2]TongHop!F2635</f>
        <v>0</v>
      </c>
      <c r="G2635">
        <f>[2]TongHop!G2635</f>
        <v>0</v>
      </c>
      <c r="H2635">
        <f>[2]TongHop!H2635</f>
        <v>0</v>
      </c>
      <c r="I2635">
        <f>[2]TongHop!I2635</f>
        <v>0</v>
      </c>
      <c r="J2635">
        <f>[2]TongHop!J2635</f>
        <v>0</v>
      </c>
      <c r="K2635">
        <f>[2]TongHop!K2635</f>
        <v>0</v>
      </c>
      <c r="L2635">
        <f>[2]TongHop!L2635</f>
        <v>0</v>
      </c>
      <c r="M2635">
        <f>[2]TongHop!M2635</f>
        <v>0</v>
      </c>
      <c r="N2635">
        <f>[2]TongHop!N2635</f>
        <v>0</v>
      </c>
    </row>
    <row r="2636" spans="1:14">
      <c r="A2636">
        <f>[2]TongHop!A2636</f>
        <v>0</v>
      </c>
      <c r="B2636">
        <f>[2]TongHop!B2636</f>
        <v>0</v>
      </c>
      <c r="C2636">
        <f>[2]TongHop!C2636</f>
        <v>0</v>
      </c>
      <c r="D2636">
        <f>[2]TongHop!D2636</f>
        <v>0</v>
      </c>
      <c r="E2636">
        <f>[2]TongHop!E2636</f>
        <v>0</v>
      </c>
      <c r="F2636">
        <f>[2]TongHop!F2636</f>
        <v>0</v>
      </c>
      <c r="G2636">
        <f>[2]TongHop!G2636</f>
        <v>0</v>
      </c>
      <c r="H2636">
        <f>[2]TongHop!H2636</f>
        <v>0</v>
      </c>
      <c r="I2636">
        <f>[2]TongHop!I2636</f>
        <v>0</v>
      </c>
      <c r="J2636">
        <f>[2]TongHop!J2636</f>
        <v>0</v>
      </c>
      <c r="K2636">
        <f>[2]TongHop!K2636</f>
        <v>0</v>
      </c>
      <c r="L2636">
        <f>[2]TongHop!L2636</f>
        <v>0</v>
      </c>
      <c r="M2636">
        <f>[2]TongHop!M2636</f>
        <v>0</v>
      </c>
      <c r="N2636">
        <f>[2]TongHop!N2636</f>
        <v>0</v>
      </c>
    </row>
    <row r="2637" spans="1:14">
      <c r="A2637">
        <f>[2]TongHop!A2637</f>
        <v>0</v>
      </c>
      <c r="B2637">
        <f>[2]TongHop!B2637</f>
        <v>0</v>
      </c>
      <c r="C2637">
        <f>[2]TongHop!C2637</f>
        <v>0</v>
      </c>
      <c r="D2637">
        <f>[2]TongHop!D2637</f>
        <v>0</v>
      </c>
      <c r="E2637">
        <f>[2]TongHop!E2637</f>
        <v>0</v>
      </c>
      <c r="F2637">
        <f>[2]TongHop!F2637</f>
        <v>0</v>
      </c>
      <c r="G2637">
        <f>[2]TongHop!G2637</f>
        <v>0</v>
      </c>
      <c r="H2637">
        <f>[2]TongHop!H2637</f>
        <v>0</v>
      </c>
      <c r="I2637">
        <f>[2]TongHop!I2637</f>
        <v>0</v>
      </c>
      <c r="J2637">
        <f>[2]TongHop!J2637</f>
        <v>0</v>
      </c>
      <c r="K2637">
        <f>[2]TongHop!K2637</f>
        <v>0</v>
      </c>
      <c r="L2637">
        <f>[2]TongHop!L2637</f>
        <v>0</v>
      </c>
      <c r="M2637">
        <f>[2]TongHop!M2637</f>
        <v>0</v>
      </c>
      <c r="N2637">
        <f>[2]TongHop!N2637</f>
        <v>0</v>
      </c>
    </row>
    <row r="2638" spans="1:14">
      <c r="A2638">
        <f>[2]TongHop!A2638</f>
        <v>0</v>
      </c>
      <c r="B2638">
        <f>[2]TongHop!B2638</f>
        <v>0</v>
      </c>
      <c r="C2638">
        <f>[2]TongHop!C2638</f>
        <v>0</v>
      </c>
      <c r="D2638">
        <f>[2]TongHop!D2638</f>
        <v>0</v>
      </c>
      <c r="E2638">
        <f>[2]TongHop!E2638</f>
        <v>0</v>
      </c>
      <c r="F2638">
        <f>[2]TongHop!F2638</f>
        <v>0</v>
      </c>
      <c r="G2638">
        <f>[2]TongHop!G2638</f>
        <v>0</v>
      </c>
      <c r="H2638">
        <f>[2]TongHop!H2638</f>
        <v>0</v>
      </c>
      <c r="I2638">
        <f>[2]TongHop!I2638</f>
        <v>0</v>
      </c>
      <c r="J2638">
        <f>[2]TongHop!J2638</f>
        <v>0</v>
      </c>
      <c r="K2638">
        <f>[2]TongHop!K2638</f>
        <v>0</v>
      </c>
      <c r="L2638">
        <f>[2]TongHop!L2638</f>
        <v>0</v>
      </c>
      <c r="M2638">
        <f>[2]TongHop!M2638</f>
        <v>0</v>
      </c>
      <c r="N2638">
        <f>[2]TongHop!N2638</f>
        <v>0</v>
      </c>
    </row>
    <row r="2639" spans="1:14">
      <c r="A2639">
        <f>[2]TongHop!A2639</f>
        <v>0</v>
      </c>
      <c r="B2639">
        <f>[2]TongHop!B2639</f>
        <v>0</v>
      </c>
      <c r="C2639">
        <f>[2]TongHop!C2639</f>
        <v>0</v>
      </c>
      <c r="D2639">
        <f>[2]TongHop!D2639</f>
        <v>0</v>
      </c>
      <c r="E2639">
        <f>[2]TongHop!E2639</f>
        <v>0</v>
      </c>
      <c r="F2639">
        <f>[2]TongHop!F2639</f>
        <v>0</v>
      </c>
      <c r="G2639">
        <f>[2]TongHop!G2639</f>
        <v>0</v>
      </c>
      <c r="H2639">
        <f>[2]TongHop!H2639</f>
        <v>0</v>
      </c>
      <c r="I2639">
        <f>[2]TongHop!I2639</f>
        <v>0</v>
      </c>
      <c r="J2639">
        <f>[2]TongHop!J2639</f>
        <v>0</v>
      </c>
      <c r="K2639">
        <f>[2]TongHop!K2639</f>
        <v>0</v>
      </c>
      <c r="L2639">
        <f>[2]TongHop!L2639</f>
        <v>0</v>
      </c>
      <c r="M2639">
        <f>[2]TongHop!M2639</f>
        <v>0</v>
      </c>
      <c r="N2639">
        <f>[2]TongHop!N2639</f>
        <v>0</v>
      </c>
    </row>
    <row r="2640" spans="1:14">
      <c r="A2640">
        <f>[2]TongHop!A2640</f>
        <v>0</v>
      </c>
      <c r="B2640">
        <f>[2]TongHop!B2640</f>
        <v>0</v>
      </c>
      <c r="C2640">
        <f>[2]TongHop!C2640</f>
        <v>0</v>
      </c>
      <c r="D2640">
        <f>[2]TongHop!D2640</f>
        <v>0</v>
      </c>
      <c r="E2640">
        <f>[2]TongHop!E2640</f>
        <v>0</v>
      </c>
      <c r="F2640">
        <f>[2]TongHop!F2640</f>
        <v>0</v>
      </c>
      <c r="G2640">
        <f>[2]TongHop!G2640</f>
        <v>0</v>
      </c>
      <c r="H2640">
        <f>[2]TongHop!H2640</f>
        <v>0</v>
      </c>
      <c r="I2640">
        <f>[2]TongHop!I2640</f>
        <v>0</v>
      </c>
      <c r="J2640">
        <f>[2]TongHop!J2640</f>
        <v>0</v>
      </c>
      <c r="K2640">
        <f>[2]TongHop!K2640</f>
        <v>0</v>
      </c>
      <c r="L2640">
        <f>[2]TongHop!L2640</f>
        <v>0</v>
      </c>
      <c r="M2640">
        <f>[2]TongHop!M2640</f>
        <v>0</v>
      </c>
      <c r="N2640">
        <f>[2]TongHop!N2640</f>
        <v>0</v>
      </c>
    </row>
    <row r="2641" spans="1:14">
      <c r="A2641">
        <f>[2]TongHop!A2641</f>
        <v>0</v>
      </c>
      <c r="B2641">
        <f>[2]TongHop!B2641</f>
        <v>0</v>
      </c>
      <c r="C2641">
        <f>[2]TongHop!C2641</f>
        <v>0</v>
      </c>
      <c r="D2641">
        <f>[2]TongHop!D2641</f>
        <v>0</v>
      </c>
      <c r="E2641">
        <f>[2]TongHop!E2641</f>
        <v>0</v>
      </c>
      <c r="F2641">
        <f>[2]TongHop!F2641</f>
        <v>0</v>
      </c>
      <c r="G2641">
        <f>[2]TongHop!G2641</f>
        <v>0</v>
      </c>
      <c r="H2641">
        <f>[2]TongHop!H2641</f>
        <v>0</v>
      </c>
      <c r="I2641">
        <f>[2]TongHop!I2641</f>
        <v>0</v>
      </c>
      <c r="J2641">
        <f>[2]TongHop!J2641</f>
        <v>0</v>
      </c>
      <c r="K2641">
        <f>[2]TongHop!K2641</f>
        <v>0</v>
      </c>
      <c r="L2641">
        <f>[2]TongHop!L2641</f>
        <v>0</v>
      </c>
      <c r="M2641">
        <f>[2]TongHop!M2641</f>
        <v>0</v>
      </c>
      <c r="N2641">
        <f>[2]TongHop!N2641</f>
        <v>0</v>
      </c>
    </row>
    <row r="2642" spans="1:14">
      <c r="A2642">
        <f>[2]TongHop!A2642</f>
        <v>0</v>
      </c>
      <c r="B2642">
        <f>[2]TongHop!B2642</f>
        <v>0</v>
      </c>
      <c r="C2642">
        <f>[2]TongHop!C2642</f>
        <v>0</v>
      </c>
      <c r="D2642">
        <f>[2]TongHop!D2642</f>
        <v>0</v>
      </c>
      <c r="E2642">
        <f>[2]TongHop!E2642</f>
        <v>0</v>
      </c>
      <c r="F2642">
        <f>[2]TongHop!F2642</f>
        <v>0</v>
      </c>
      <c r="G2642">
        <f>[2]TongHop!G2642</f>
        <v>0</v>
      </c>
      <c r="H2642">
        <f>[2]TongHop!H2642</f>
        <v>0</v>
      </c>
      <c r="I2642">
        <f>[2]TongHop!I2642</f>
        <v>0</v>
      </c>
      <c r="J2642">
        <f>[2]TongHop!J2642</f>
        <v>0</v>
      </c>
      <c r="K2642">
        <f>[2]TongHop!K2642</f>
        <v>0</v>
      </c>
      <c r="L2642">
        <f>[2]TongHop!L2642</f>
        <v>0</v>
      </c>
      <c r="M2642">
        <f>[2]TongHop!M2642</f>
        <v>0</v>
      </c>
      <c r="N2642">
        <f>[2]TongHop!N2642</f>
        <v>0</v>
      </c>
    </row>
    <row r="2643" spans="1:14">
      <c r="A2643">
        <f>[2]TongHop!A2643</f>
        <v>0</v>
      </c>
      <c r="B2643">
        <f>[2]TongHop!B2643</f>
        <v>0</v>
      </c>
      <c r="C2643">
        <f>[2]TongHop!C2643</f>
        <v>0</v>
      </c>
      <c r="D2643">
        <f>[2]TongHop!D2643</f>
        <v>0</v>
      </c>
      <c r="E2643">
        <f>[2]TongHop!E2643</f>
        <v>0</v>
      </c>
      <c r="F2643">
        <f>[2]TongHop!F2643</f>
        <v>0</v>
      </c>
      <c r="G2643">
        <f>[2]TongHop!G2643</f>
        <v>0</v>
      </c>
      <c r="H2643">
        <f>[2]TongHop!H2643</f>
        <v>0</v>
      </c>
      <c r="I2643">
        <f>[2]TongHop!I2643</f>
        <v>0</v>
      </c>
      <c r="J2643">
        <f>[2]TongHop!J2643</f>
        <v>0</v>
      </c>
      <c r="K2643">
        <f>[2]TongHop!K2643</f>
        <v>0</v>
      </c>
      <c r="L2643">
        <f>[2]TongHop!L2643</f>
        <v>0</v>
      </c>
      <c r="M2643">
        <f>[2]TongHop!M2643</f>
        <v>0</v>
      </c>
      <c r="N2643">
        <f>[2]TongHop!N2643</f>
        <v>0</v>
      </c>
    </row>
    <row r="2644" spans="1:14">
      <c r="A2644">
        <f>[2]TongHop!A2644</f>
        <v>0</v>
      </c>
      <c r="B2644">
        <f>[2]TongHop!B2644</f>
        <v>0</v>
      </c>
      <c r="C2644">
        <f>[2]TongHop!C2644</f>
        <v>0</v>
      </c>
      <c r="D2644">
        <f>[2]TongHop!D2644</f>
        <v>0</v>
      </c>
      <c r="E2644">
        <f>[2]TongHop!E2644</f>
        <v>0</v>
      </c>
      <c r="F2644">
        <f>[2]TongHop!F2644</f>
        <v>0</v>
      </c>
      <c r="G2644">
        <f>[2]TongHop!G2644</f>
        <v>0</v>
      </c>
      <c r="H2644">
        <f>[2]TongHop!H2644</f>
        <v>0</v>
      </c>
      <c r="I2644">
        <f>[2]TongHop!I2644</f>
        <v>0</v>
      </c>
      <c r="J2644">
        <f>[2]TongHop!J2644</f>
        <v>0</v>
      </c>
      <c r="K2644">
        <f>[2]TongHop!K2644</f>
        <v>0</v>
      </c>
      <c r="L2644">
        <f>[2]TongHop!L2644</f>
        <v>0</v>
      </c>
      <c r="M2644">
        <f>[2]TongHop!M2644</f>
        <v>0</v>
      </c>
      <c r="N2644">
        <f>[2]TongHop!N2644</f>
        <v>0</v>
      </c>
    </row>
    <row r="2645" spans="1:14">
      <c r="A2645">
        <f>[2]TongHop!A2645</f>
        <v>0</v>
      </c>
      <c r="B2645">
        <f>[2]TongHop!B2645</f>
        <v>0</v>
      </c>
      <c r="C2645">
        <f>[2]TongHop!C2645</f>
        <v>0</v>
      </c>
      <c r="D2645">
        <f>[2]TongHop!D2645</f>
        <v>0</v>
      </c>
      <c r="E2645">
        <f>[2]TongHop!E2645</f>
        <v>0</v>
      </c>
      <c r="F2645">
        <f>[2]TongHop!F2645</f>
        <v>0</v>
      </c>
      <c r="G2645">
        <f>[2]TongHop!G2645</f>
        <v>0</v>
      </c>
      <c r="H2645">
        <f>[2]TongHop!H2645</f>
        <v>0</v>
      </c>
      <c r="I2645">
        <f>[2]TongHop!I2645</f>
        <v>0</v>
      </c>
      <c r="J2645">
        <f>[2]TongHop!J2645</f>
        <v>0</v>
      </c>
      <c r="K2645">
        <f>[2]TongHop!K2645</f>
        <v>0</v>
      </c>
      <c r="L2645">
        <f>[2]TongHop!L2645</f>
        <v>0</v>
      </c>
      <c r="M2645">
        <f>[2]TongHop!M2645</f>
        <v>0</v>
      </c>
      <c r="N2645">
        <f>[2]TongHop!N2645</f>
        <v>0</v>
      </c>
    </row>
    <row r="2646" spans="1:14">
      <c r="A2646">
        <f>[2]TongHop!A2646</f>
        <v>0</v>
      </c>
      <c r="B2646">
        <f>[2]TongHop!B2646</f>
        <v>0</v>
      </c>
      <c r="C2646">
        <f>[2]TongHop!C2646</f>
        <v>0</v>
      </c>
      <c r="D2646">
        <f>[2]TongHop!D2646</f>
        <v>0</v>
      </c>
      <c r="E2646">
        <f>[2]TongHop!E2646</f>
        <v>0</v>
      </c>
      <c r="F2646">
        <f>[2]TongHop!F2646</f>
        <v>0</v>
      </c>
      <c r="G2646">
        <f>[2]TongHop!G2646</f>
        <v>0</v>
      </c>
      <c r="H2646">
        <f>[2]TongHop!H2646</f>
        <v>0</v>
      </c>
      <c r="I2646">
        <f>[2]TongHop!I2646</f>
        <v>0</v>
      </c>
      <c r="J2646">
        <f>[2]TongHop!J2646</f>
        <v>0</v>
      </c>
      <c r="K2646">
        <f>[2]TongHop!K2646</f>
        <v>0</v>
      </c>
      <c r="L2646">
        <f>[2]TongHop!L2646</f>
        <v>0</v>
      </c>
      <c r="M2646">
        <f>[2]TongHop!M2646</f>
        <v>0</v>
      </c>
      <c r="N2646">
        <f>[2]TongHop!N2646</f>
        <v>0</v>
      </c>
    </row>
    <row r="2647" spans="1:14">
      <c r="A2647">
        <f>[2]TongHop!A2647</f>
        <v>0</v>
      </c>
      <c r="B2647">
        <f>[2]TongHop!B2647</f>
        <v>0</v>
      </c>
      <c r="C2647">
        <f>[2]TongHop!C2647</f>
        <v>0</v>
      </c>
      <c r="D2647">
        <f>[2]TongHop!D2647</f>
        <v>0</v>
      </c>
      <c r="E2647">
        <f>[2]TongHop!E2647</f>
        <v>0</v>
      </c>
      <c r="F2647">
        <f>[2]TongHop!F2647</f>
        <v>0</v>
      </c>
      <c r="G2647">
        <f>[2]TongHop!G2647</f>
        <v>0</v>
      </c>
      <c r="H2647">
        <f>[2]TongHop!H2647</f>
        <v>0</v>
      </c>
      <c r="I2647">
        <f>[2]TongHop!I2647</f>
        <v>0</v>
      </c>
      <c r="J2647">
        <f>[2]TongHop!J2647</f>
        <v>0</v>
      </c>
      <c r="K2647">
        <f>[2]TongHop!K2647</f>
        <v>0</v>
      </c>
      <c r="L2647">
        <f>[2]TongHop!L2647</f>
        <v>0</v>
      </c>
      <c r="M2647">
        <f>[2]TongHop!M2647</f>
        <v>0</v>
      </c>
      <c r="N2647">
        <f>[2]TongHop!N2647</f>
        <v>0</v>
      </c>
    </row>
    <row r="2648" spans="1:14">
      <c r="A2648">
        <f>[2]TongHop!A2648</f>
        <v>0</v>
      </c>
      <c r="B2648">
        <f>[2]TongHop!B2648</f>
        <v>0</v>
      </c>
      <c r="C2648">
        <f>[2]TongHop!C2648</f>
        <v>0</v>
      </c>
      <c r="D2648">
        <f>[2]TongHop!D2648</f>
        <v>0</v>
      </c>
      <c r="E2648">
        <f>[2]TongHop!E2648</f>
        <v>0</v>
      </c>
      <c r="F2648">
        <f>[2]TongHop!F2648</f>
        <v>0</v>
      </c>
      <c r="G2648">
        <f>[2]TongHop!G2648</f>
        <v>0</v>
      </c>
      <c r="H2648">
        <f>[2]TongHop!H2648</f>
        <v>0</v>
      </c>
      <c r="I2648">
        <f>[2]TongHop!I2648</f>
        <v>0</v>
      </c>
      <c r="J2648">
        <f>[2]TongHop!J2648</f>
        <v>0</v>
      </c>
      <c r="K2648">
        <f>[2]TongHop!K2648</f>
        <v>0</v>
      </c>
      <c r="L2648">
        <f>[2]TongHop!L2648</f>
        <v>0</v>
      </c>
      <c r="M2648">
        <f>[2]TongHop!M2648</f>
        <v>0</v>
      </c>
      <c r="N2648">
        <f>[2]TongHop!N2648</f>
        <v>0</v>
      </c>
    </row>
    <row r="2649" spans="1:14">
      <c r="A2649">
        <f>[2]TongHop!A2649</f>
        <v>0</v>
      </c>
      <c r="B2649">
        <f>[2]TongHop!B2649</f>
        <v>0</v>
      </c>
      <c r="C2649">
        <f>[2]TongHop!C2649</f>
        <v>0</v>
      </c>
      <c r="D2649">
        <f>[2]TongHop!D2649</f>
        <v>0</v>
      </c>
      <c r="E2649">
        <f>[2]TongHop!E2649</f>
        <v>0</v>
      </c>
      <c r="F2649">
        <f>[2]TongHop!F2649</f>
        <v>0</v>
      </c>
      <c r="G2649">
        <f>[2]TongHop!G2649</f>
        <v>0</v>
      </c>
      <c r="H2649">
        <f>[2]TongHop!H2649</f>
        <v>0</v>
      </c>
      <c r="I2649">
        <f>[2]TongHop!I2649</f>
        <v>0</v>
      </c>
      <c r="J2649">
        <f>[2]TongHop!J2649</f>
        <v>0</v>
      </c>
      <c r="K2649">
        <f>[2]TongHop!K2649</f>
        <v>0</v>
      </c>
      <c r="L2649">
        <f>[2]TongHop!L2649</f>
        <v>0</v>
      </c>
      <c r="M2649">
        <f>[2]TongHop!M2649</f>
        <v>0</v>
      </c>
      <c r="N2649">
        <f>[2]TongHop!N2649</f>
        <v>0</v>
      </c>
    </row>
    <row r="2650" spans="1:14">
      <c r="A2650">
        <f>[2]TongHop!A2650</f>
        <v>0</v>
      </c>
      <c r="B2650">
        <f>[2]TongHop!B2650</f>
        <v>0</v>
      </c>
      <c r="C2650">
        <f>[2]TongHop!C2650</f>
        <v>0</v>
      </c>
      <c r="D2650">
        <f>[2]TongHop!D2650</f>
        <v>0</v>
      </c>
      <c r="E2650">
        <f>[2]TongHop!E2650</f>
        <v>0</v>
      </c>
      <c r="F2650">
        <f>[2]TongHop!F2650</f>
        <v>0</v>
      </c>
      <c r="G2650">
        <f>[2]TongHop!G2650</f>
        <v>0</v>
      </c>
      <c r="H2650">
        <f>[2]TongHop!H2650</f>
        <v>0</v>
      </c>
      <c r="I2650">
        <f>[2]TongHop!I2650</f>
        <v>0</v>
      </c>
      <c r="J2650">
        <f>[2]TongHop!J2650</f>
        <v>0</v>
      </c>
      <c r="K2650">
        <f>[2]TongHop!K2650</f>
        <v>0</v>
      </c>
      <c r="L2650">
        <f>[2]TongHop!L2650</f>
        <v>0</v>
      </c>
      <c r="M2650">
        <f>[2]TongHop!M2650</f>
        <v>0</v>
      </c>
      <c r="N2650">
        <f>[2]TongHop!N2650</f>
        <v>0</v>
      </c>
    </row>
    <row r="2651" spans="1:14">
      <c r="A2651">
        <f>[2]TongHop!A2651</f>
        <v>0</v>
      </c>
      <c r="B2651">
        <f>[2]TongHop!B2651</f>
        <v>0</v>
      </c>
      <c r="C2651">
        <f>[2]TongHop!C2651</f>
        <v>0</v>
      </c>
      <c r="D2651">
        <f>[2]TongHop!D2651</f>
        <v>0</v>
      </c>
      <c r="E2651">
        <f>[2]TongHop!E2651</f>
        <v>0</v>
      </c>
      <c r="F2651">
        <f>[2]TongHop!F2651</f>
        <v>0</v>
      </c>
      <c r="G2651">
        <f>[2]TongHop!G2651</f>
        <v>0</v>
      </c>
      <c r="H2651">
        <f>[2]TongHop!H2651</f>
        <v>0</v>
      </c>
      <c r="I2651">
        <f>[2]TongHop!I2651</f>
        <v>0</v>
      </c>
      <c r="J2651">
        <f>[2]TongHop!J2651</f>
        <v>0</v>
      </c>
      <c r="K2651">
        <f>[2]TongHop!K2651</f>
        <v>0</v>
      </c>
      <c r="L2651">
        <f>[2]TongHop!L2651</f>
        <v>0</v>
      </c>
      <c r="M2651">
        <f>[2]TongHop!M2651</f>
        <v>0</v>
      </c>
      <c r="N2651">
        <f>[2]TongHop!N2651</f>
        <v>0</v>
      </c>
    </row>
    <row r="2652" spans="1:14">
      <c r="A2652">
        <f>[2]TongHop!A2652</f>
        <v>0</v>
      </c>
      <c r="B2652">
        <f>[2]TongHop!B2652</f>
        <v>0</v>
      </c>
      <c r="C2652">
        <f>[2]TongHop!C2652</f>
        <v>0</v>
      </c>
      <c r="D2652">
        <f>[2]TongHop!D2652</f>
        <v>0</v>
      </c>
      <c r="E2652">
        <f>[2]TongHop!E2652</f>
        <v>0</v>
      </c>
      <c r="F2652">
        <f>[2]TongHop!F2652</f>
        <v>0</v>
      </c>
      <c r="G2652">
        <f>[2]TongHop!G2652</f>
        <v>0</v>
      </c>
      <c r="H2652">
        <f>[2]TongHop!H2652</f>
        <v>0</v>
      </c>
      <c r="I2652">
        <f>[2]TongHop!I2652</f>
        <v>0</v>
      </c>
      <c r="J2652">
        <f>[2]TongHop!J2652</f>
        <v>0</v>
      </c>
      <c r="K2652">
        <f>[2]TongHop!K2652</f>
        <v>0</v>
      </c>
      <c r="L2652">
        <f>[2]TongHop!L2652</f>
        <v>0</v>
      </c>
      <c r="M2652">
        <f>[2]TongHop!M2652</f>
        <v>0</v>
      </c>
      <c r="N2652">
        <f>[2]TongHop!N2652</f>
        <v>0</v>
      </c>
    </row>
    <row r="2653" spans="1:14">
      <c r="A2653">
        <f>[2]TongHop!A2653</f>
        <v>0</v>
      </c>
      <c r="B2653">
        <f>[2]TongHop!B2653</f>
        <v>0</v>
      </c>
      <c r="C2653">
        <f>[2]TongHop!C2653</f>
        <v>0</v>
      </c>
      <c r="D2653">
        <f>[2]TongHop!D2653</f>
        <v>0</v>
      </c>
      <c r="E2653">
        <f>[2]TongHop!E2653</f>
        <v>0</v>
      </c>
      <c r="F2653">
        <f>[2]TongHop!F2653</f>
        <v>0</v>
      </c>
      <c r="G2653">
        <f>[2]TongHop!G2653</f>
        <v>0</v>
      </c>
      <c r="H2653">
        <f>[2]TongHop!H2653</f>
        <v>0</v>
      </c>
      <c r="I2653">
        <f>[2]TongHop!I2653</f>
        <v>0</v>
      </c>
      <c r="J2653">
        <f>[2]TongHop!J2653</f>
        <v>0</v>
      </c>
      <c r="K2653">
        <f>[2]TongHop!K2653</f>
        <v>0</v>
      </c>
      <c r="L2653">
        <f>[2]TongHop!L2653</f>
        <v>0</v>
      </c>
      <c r="M2653">
        <f>[2]TongHop!M2653</f>
        <v>0</v>
      </c>
      <c r="N2653">
        <f>[2]TongHop!N2653</f>
        <v>0</v>
      </c>
    </row>
    <row r="2654" spans="1:14">
      <c r="A2654">
        <f>[2]TongHop!A2654</f>
        <v>0</v>
      </c>
      <c r="B2654">
        <f>[2]TongHop!B2654</f>
        <v>0</v>
      </c>
      <c r="C2654">
        <f>[2]TongHop!C2654</f>
        <v>0</v>
      </c>
      <c r="D2654">
        <f>[2]TongHop!D2654</f>
        <v>0</v>
      </c>
      <c r="E2654">
        <f>[2]TongHop!E2654</f>
        <v>0</v>
      </c>
      <c r="F2654">
        <f>[2]TongHop!F2654</f>
        <v>0</v>
      </c>
      <c r="G2654">
        <f>[2]TongHop!G2654</f>
        <v>0</v>
      </c>
      <c r="H2654">
        <f>[2]TongHop!H2654</f>
        <v>0</v>
      </c>
      <c r="I2654">
        <f>[2]TongHop!I2654</f>
        <v>0</v>
      </c>
      <c r="J2654">
        <f>[2]TongHop!J2654</f>
        <v>0</v>
      </c>
      <c r="K2654">
        <f>[2]TongHop!K2654</f>
        <v>0</v>
      </c>
      <c r="L2654">
        <f>[2]TongHop!L2654</f>
        <v>0</v>
      </c>
      <c r="M2654">
        <f>[2]TongHop!M2654</f>
        <v>0</v>
      </c>
      <c r="N2654">
        <f>[2]TongHop!N2654</f>
        <v>0</v>
      </c>
    </row>
    <row r="2655" spans="1:14">
      <c r="A2655">
        <f>[2]TongHop!A2655</f>
        <v>0</v>
      </c>
      <c r="B2655">
        <f>[2]TongHop!B2655</f>
        <v>0</v>
      </c>
      <c r="C2655">
        <f>[2]TongHop!C2655</f>
        <v>0</v>
      </c>
      <c r="D2655">
        <f>[2]TongHop!D2655</f>
        <v>0</v>
      </c>
      <c r="E2655">
        <f>[2]TongHop!E2655</f>
        <v>0</v>
      </c>
      <c r="F2655">
        <f>[2]TongHop!F2655</f>
        <v>0</v>
      </c>
      <c r="G2655">
        <f>[2]TongHop!G2655</f>
        <v>0</v>
      </c>
      <c r="H2655">
        <f>[2]TongHop!H2655</f>
        <v>0</v>
      </c>
      <c r="I2655">
        <f>[2]TongHop!I2655</f>
        <v>0</v>
      </c>
      <c r="J2655">
        <f>[2]TongHop!J2655</f>
        <v>0</v>
      </c>
      <c r="K2655">
        <f>[2]TongHop!K2655</f>
        <v>0</v>
      </c>
      <c r="L2655">
        <f>[2]TongHop!L2655</f>
        <v>0</v>
      </c>
      <c r="M2655">
        <f>[2]TongHop!M2655</f>
        <v>0</v>
      </c>
      <c r="N2655">
        <f>[2]TongHop!N2655</f>
        <v>0</v>
      </c>
    </row>
    <row r="2656" spans="1:14">
      <c r="A2656">
        <f>[2]TongHop!A2656</f>
        <v>0</v>
      </c>
      <c r="B2656">
        <f>[2]TongHop!B2656</f>
        <v>0</v>
      </c>
      <c r="C2656">
        <f>[2]TongHop!C2656</f>
        <v>0</v>
      </c>
      <c r="D2656">
        <f>[2]TongHop!D2656</f>
        <v>0</v>
      </c>
      <c r="E2656">
        <f>[2]TongHop!E2656</f>
        <v>0</v>
      </c>
      <c r="F2656">
        <f>[2]TongHop!F2656</f>
        <v>0</v>
      </c>
      <c r="G2656">
        <f>[2]TongHop!G2656</f>
        <v>0</v>
      </c>
      <c r="H2656">
        <f>[2]TongHop!H2656</f>
        <v>0</v>
      </c>
      <c r="I2656">
        <f>[2]TongHop!I2656</f>
        <v>0</v>
      </c>
      <c r="J2656">
        <f>[2]TongHop!J2656</f>
        <v>0</v>
      </c>
      <c r="K2656">
        <f>[2]TongHop!K2656</f>
        <v>0</v>
      </c>
      <c r="L2656">
        <f>[2]TongHop!L2656</f>
        <v>0</v>
      </c>
      <c r="M2656">
        <f>[2]TongHop!M2656</f>
        <v>0</v>
      </c>
      <c r="N2656">
        <f>[2]TongHop!N2656</f>
        <v>0</v>
      </c>
    </row>
    <row r="2657" spans="1:14">
      <c r="A2657">
        <f>[2]TongHop!A2657</f>
        <v>0</v>
      </c>
      <c r="B2657">
        <f>[2]TongHop!B2657</f>
        <v>0</v>
      </c>
      <c r="C2657">
        <f>[2]TongHop!C2657</f>
        <v>0</v>
      </c>
      <c r="D2657">
        <f>[2]TongHop!D2657</f>
        <v>0</v>
      </c>
      <c r="E2657">
        <f>[2]TongHop!E2657</f>
        <v>0</v>
      </c>
      <c r="F2657">
        <f>[2]TongHop!F2657</f>
        <v>0</v>
      </c>
      <c r="G2657">
        <f>[2]TongHop!G2657</f>
        <v>0</v>
      </c>
      <c r="H2657">
        <f>[2]TongHop!H2657</f>
        <v>0</v>
      </c>
      <c r="I2657">
        <f>[2]TongHop!I2657</f>
        <v>0</v>
      </c>
      <c r="J2657">
        <f>[2]TongHop!J2657</f>
        <v>0</v>
      </c>
      <c r="K2657">
        <f>[2]TongHop!K2657</f>
        <v>0</v>
      </c>
      <c r="L2657">
        <f>[2]TongHop!L2657</f>
        <v>0</v>
      </c>
      <c r="M2657">
        <f>[2]TongHop!M2657</f>
        <v>0</v>
      </c>
      <c r="N2657">
        <f>[2]TongHop!N2657</f>
        <v>0</v>
      </c>
    </row>
    <row r="2658" spans="1:14">
      <c r="A2658">
        <f>[2]TongHop!A2658</f>
        <v>0</v>
      </c>
      <c r="B2658">
        <f>[2]TongHop!B2658</f>
        <v>0</v>
      </c>
      <c r="C2658">
        <f>[2]TongHop!C2658</f>
        <v>0</v>
      </c>
      <c r="D2658">
        <f>[2]TongHop!D2658</f>
        <v>0</v>
      </c>
      <c r="E2658">
        <f>[2]TongHop!E2658</f>
        <v>0</v>
      </c>
      <c r="F2658">
        <f>[2]TongHop!F2658</f>
        <v>0</v>
      </c>
      <c r="G2658">
        <f>[2]TongHop!G2658</f>
        <v>0</v>
      </c>
      <c r="H2658">
        <f>[2]TongHop!H2658</f>
        <v>0</v>
      </c>
      <c r="I2658">
        <f>[2]TongHop!I2658</f>
        <v>0</v>
      </c>
      <c r="J2658">
        <f>[2]TongHop!J2658</f>
        <v>0</v>
      </c>
      <c r="K2658">
        <f>[2]TongHop!K2658</f>
        <v>0</v>
      </c>
      <c r="L2658">
        <f>[2]TongHop!L2658</f>
        <v>0</v>
      </c>
      <c r="M2658">
        <f>[2]TongHop!M2658</f>
        <v>0</v>
      </c>
      <c r="N2658">
        <f>[2]TongHop!N2658</f>
        <v>0</v>
      </c>
    </row>
    <row r="2659" spans="1:14">
      <c r="A2659">
        <f>[2]TongHop!A2659</f>
        <v>0</v>
      </c>
      <c r="B2659">
        <f>[2]TongHop!B2659</f>
        <v>0</v>
      </c>
      <c r="C2659">
        <f>[2]TongHop!C2659</f>
        <v>0</v>
      </c>
      <c r="D2659">
        <f>[2]TongHop!D2659</f>
        <v>0</v>
      </c>
      <c r="E2659">
        <f>[2]TongHop!E2659</f>
        <v>0</v>
      </c>
      <c r="F2659">
        <f>[2]TongHop!F2659</f>
        <v>0</v>
      </c>
      <c r="G2659">
        <f>[2]TongHop!G2659</f>
        <v>0</v>
      </c>
      <c r="H2659">
        <f>[2]TongHop!H2659</f>
        <v>0</v>
      </c>
      <c r="I2659">
        <f>[2]TongHop!I2659</f>
        <v>0</v>
      </c>
      <c r="J2659">
        <f>[2]TongHop!J2659</f>
        <v>0</v>
      </c>
      <c r="K2659">
        <f>[2]TongHop!K2659</f>
        <v>0</v>
      </c>
      <c r="L2659">
        <f>[2]TongHop!L2659</f>
        <v>0</v>
      </c>
      <c r="M2659">
        <f>[2]TongHop!M2659</f>
        <v>0</v>
      </c>
      <c r="N2659">
        <f>[2]TongHop!N2659</f>
        <v>0</v>
      </c>
    </row>
    <row r="2660" spans="1:14">
      <c r="A2660">
        <f>[2]TongHop!A2660</f>
        <v>0</v>
      </c>
      <c r="B2660">
        <f>[2]TongHop!B2660</f>
        <v>0</v>
      </c>
      <c r="C2660">
        <f>[2]TongHop!C2660</f>
        <v>0</v>
      </c>
      <c r="D2660">
        <f>[2]TongHop!D2660</f>
        <v>0</v>
      </c>
      <c r="E2660">
        <f>[2]TongHop!E2660</f>
        <v>0</v>
      </c>
      <c r="F2660">
        <f>[2]TongHop!F2660</f>
        <v>0</v>
      </c>
      <c r="G2660">
        <f>[2]TongHop!G2660</f>
        <v>0</v>
      </c>
      <c r="H2660">
        <f>[2]TongHop!H2660</f>
        <v>0</v>
      </c>
      <c r="I2660">
        <f>[2]TongHop!I2660</f>
        <v>0</v>
      </c>
      <c r="J2660">
        <f>[2]TongHop!J2660</f>
        <v>0</v>
      </c>
      <c r="K2660">
        <f>[2]TongHop!K2660</f>
        <v>0</v>
      </c>
      <c r="L2660">
        <f>[2]TongHop!L2660</f>
        <v>0</v>
      </c>
      <c r="M2660">
        <f>[2]TongHop!M2660</f>
        <v>0</v>
      </c>
      <c r="N2660">
        <f>[2]TongHop!N2660</f>
        <v>0</v>
      </c>
    </row>
    <row r="2661" spans="1:14">
      <c r="A2661">
        <f>[2]TongHop!A2661</f>
        <v>0</v>
      </c>
      <c r="B2661">
        <f>[2]TongHop!B2661</f>
        <v>0</v>
      </c>
      <c r="C2661">
        <f>[2]TongHop!C2661</f>
        <v>0</v>
      </c>
      <c r="D2661">
        <f>[2]TongHop!D2661</f>
        <v>0</v>
      </c>
      <c r="E2661">
        <f>[2]TongHop!E2661</f>
        <v>0</v>
      </c>
      <c r="F2661">
        <f>[2]TongHop!F2661</f>
        <v>0</v>
      </c>
      <c r="G2661">
        <f>[2]TongHop!G2661</f>
        <v>0</v>
      </c>
      <c r="H2661">
        <f>[2]TongHop!H2661</f>
        <v>0</v>
      </c>
      <c r="I2661">
        <f>[2]TongHop!I2661</f>
        <v>0</v>
      </c>
      <c r="J2661">
        <f>[2]TongHop!J2661</f>
        <v>0</v>
      </c>
      <c r="K2661">
        <f>[2]TongHop!K2661</f>
        <v>0</v>
      </c>
      <c r="L2661">
        <f>[2]TongHop!L2661</f>
        <v>0</v>
      </c>
      <c r="M2661">
        <f>[2]TongHop!M2661</f>
        <v>0</v>
      </c>
      <c r="N2661">
        <f>[2]TongHop!N2661</f>
        <v>0</v>
      </c>
    </row>
    <row r="2662" spans="1:14">
      <c r="A2662">
        <f>[2]TongHop!A2662</f>
        <v>0</v>
      </c>
      <c r="B2662">
        <f>[2]TongHop!B2662</f>
        <v>0</v>
      </c>
      <c r="C2662">
        <f>[2]TongHop!C2662</f>
        <v>0</v>
      </c>
      <c r="D2662">
        <f>[2]TongHop!D2662</f>
        <v>0</v>
      </c>
      <c r="E2662">
        <f>[2]TongHop!E2662</f>
        <v>0</v>
      </c>
      <c r="F2662">
        <f>[2]TongHop!F2662</f>
        <v>0</v>
      </c>
      <c r="G2662">
        <f>[2]TongHop!G2662</f>
        <v>0</v>
      </c>
      <c r="H2662">
        <f>[2]TongHop!H2662</f>
        <v>0</v>
      </c>
      <c r="I2662">
        <f>[2]TongHop!I2662</f>
        <v>0</v>
      </c>
      <c r="J2662">
        <f>[2]TongHop!J2662</f>
        <v>0</v>
      </c>
      <c r="K2662">
        <f>[2]TongHop!K2662</f>
        <v>0</v>
      </c>
      <c r="L2662">
        <f>[2]TongHop!L2662</f>
        <v>0</v>
      </c>
      <c r="M2662">
        <f>[2]TongHop!M2662</f>
        <v>0</v>
      </c>
      <c r="N2662">
        <f>[2]TongHop!N2662</f>
        <v>0</v>
      </c>
    </row>
    <row r="2663" spans="1:14">
      <c r="A2663">
        <f>[2]TongHop!A2663</f>
        <v>0</v>
      </c>
      <c r="B2663">
        <f>[2]TongHop!B2663</f>
        <v>0</v>
      </c>
      <c r="C2663">
        <f>[2]TongHop!C2663</f>
        <v>0</v>
      </c>
      <c r="D2663">
        <f>[2]TongHop!D2663</f>
        <v>0</v>
      </c>
      <c r="E2663">
        <f>[2]TongHop!E2663</f>
        <v>0</v>
      </c>
      <c r="F2663">
        <f>[2]TongHop!F2663</f>
        <v>0</v>
      </c>
      <c r="G2663">
        <f>[2]TongHop!G2663</f>
        <v>0</v>
      </c>
      <c r="H2663">
        <f>[2]TongHop!H2663</f>
        <v>0</v>
      </c>
      <c r="I2663">
        <f>[2]TongHop!I2663</f>
        <v>0</v>
      </c>
      <c r="J2663">
        <f>[2]TongHop!J2663</f>
        <v>0</v>
      </c>
      <c r="K2663">
        <f>[2]TongHop!K2663</f>
        <v>0</v>
      </c>
      <c r="L2663">
        <f>[2]TongHop!L2663</f>
        <v>0</v>
      </c>
      <c r="M2663">
        <f>[2]TongHop!M2663</f>
        <v>0</v>
      </c>
      <c r="N2663">
        <f>[2]TongHop!N2663</f>
        <v>0</v>
      </c>
    </row>
    <row r="2664" spans="1:14">
      <c r="A2664">
        <f>[2]TongHop!A2664</f>
        <v>0</v>
      </c>
      <c r="B2664">
        <f>[2]TongHop!B2664</f>
        <v>0</v>
      </c>
      <c r="C2664">
        <f>[2]TongHop!C2664</f>
        <v>0</v>
      </c>
      <c r="D2664">
        <f>[2]TongHop!D2664</f>
        <v>0</v>
      </c>
      <c r="E2664">
        <f>[2]TongHop!E2664</f>
        <v>0</v>
      </c>
      <c r="F2664">
        <f>[2]TongHop!F2664</f>
        <v>0</v>
      </c>
      <c r="G2664">
        <f>[2]TongHop!G2664</f>
        <v>0</v>
      </c>
      <c r="H2664">
        <f>[2]TongHop!H2664</f>
        <v>0</v>
      </c>
      <c r="I2664">
        <f>[2]TongHop!I2664</f>
        <v>0</v>
      </c>
      <c r="J2664">
        <f>[2]TongHop!J2664</f>
        <v>0</v>
      </c>
      <c r="K2664">
        <f>[2]TongHop!K2664</f>
        <v>0</v>
      </c>
      <c r="L2664">
        <f>[2]TongHop!L2664</f>
        <v>0</v>
      </c>
      <c r="M2664">
        <f>[2]TongHop!M2664</f>
        <v>0</v>
      </c>
      <c r="N2664">
        <f>[2]TongHop!N2664</f>
        <v>0</v>
      </c>
    </row>
    <row r="2665" spans="1:14">
      <c r="A2665">
        <f>[2]TongHop!A2665</f>
        <v>0</v>
      </c>
      <c r="B2665">
        <f>[2]TongHop!B2665</f>
        <v>0</v>
      </c>
      <c r="C2665">
        <f>[2]TongHop!C2665</f>
        <v>0</v>
      </c>
      <c r="D2665">
        <f>[2]TongHop!D2665</f>
        <v>0</v>
      </c>
      <c r="E2665">
        <f>[2]TongHop!E2665</f>
        <v>0</v>
      </c>
      <c r="F2665">
        <f>[2]TongHop!F2665</f>
        <v>0</v>
      </c>
      <c r="G2665">
        <f>[2]TongHop!G2665</f>
        <v>0</v>
      </c>
      <c r="H2665">
        <f>[2]TongHop!H2665</f>
        <v>0</v>
      </c>
      <c r="I2665">
        <f>[2]TongHop!I2665</f>
        <v>0</v>
      </c>
      <c r="J2665">
        <f>[2]TongHop!J2665</f>
        <v>0</v>
      </c>
      <c r="K2665">
        <f>[2]TongHop!K2665</f>
        <v>0</v>
      </c>
      <c r="L2665">
        <f>[2]TongHop!L2665</f>
        <v>0</v>
      </c>
      <c r="M2665">
        <f>[2]TongHop!M2665</f>
        <v>0</v>
      </c>
      <c r="N2665">
        <f>[2]TongHop!N2665</f>
        <v>0</v>
      </c>
    </row>
    <row r="2666" spans="1:14">
      <c r="A2666">
        <f>[2]TongHop!A2666</f>
        <v>0</v>
      </c>
      <c r="B2666">
        <f>[2]TongHop!B2666</f>
        <v>0</v>
      </c>
      <c r="C2666">
        <f>[2]TongHop!C2666</f>
        <v>0</v>
      </c>
      <c r="D2666">
        <f>[2]TongHop!D2666</f>
        <v>0</v>
      </c>
      <c r="E2666">
        <f>[2]TongHop!E2666</f>
        <v>0</v>
      </c>
      <c r="F2666">
        <f>[2]TongHop!F2666</f>
        <v>0</v>
      </c>
      <c r="G2666">
        <f>[2]TongHop!G2666</f>
        <v>0</v>
      </c>
      <c r="H2666">
        <f>[2]TongHop!H2666</f>
        <v>0</v>
      </c>
      <c r="I2666">
        <f>[2]TongHop!I2666</f>
        <v>0</v>
      </c>
      <c r="J2666">
        <f>[2]TongHop!J2666</f>
        <v>0</v>
      </c>
      <c r="K2666">
        <f>[2]TongHop!K2666</f>
        <v>0</v>
      </c>
      <c r="L2666">
        <f>[2]TongHop!L2666</f>
        <v>0</v>
      </c>
      <c r="M2666">
        <f>[2]TongHop!M2666</f>
        <v>0</v>
      </c>
      <c r="N2666">
        <f>[2]TongHop!N2666</f>
        <v>0</v>
      </c>
    </row>
    <row r="2667" spans="1:14">
      <c r="A2667">
        <f>[2]TongHop!A2667</f>
        <v>0</v>
      </c>
      <c r="B2667">
        <f>[2]TongHop!B2667</f>
        <v>0</v>
      </c>
      <c r="C2667">
        <f>[2]TongHop!C2667</f>
        <v>0</v>
      </c>
      <c r="D2667">
        <f>[2]TongHop!D2667</f>
        <v>0</v>
      </c>
      <c r="E2667">
        <f>[2]TongHop!E2667</f>
        <v>0</v>
      </c>
      <c r="F2667">
        <f>[2]TongHop!F2667</f>
        <v>0</v>
      </c>
      <c r="G2667">
        <f>[2]TongHop!G2667</f>
        <v>0</v>
      </c>
      <c r="H2667">
        <f>[2]TongHop!H2667</f>
        <v>0</v>
      </c>
      <c r="I2667">
        <f>[2]TongHop!I2667</f>
        <v>0</v>
      </c>
      <c r="J2667">
        <f>[2]TongHop!J2667</f>
        <v>0</v>
      </c>
      <c r="K2667">
        <f>[2]TongHop!K2667</f>
        <v>0</v>
      </c>
      <c r="L2667">
        <f>[2]TongHop!L2667</f>
        <v>0</v>
      </c>
      <c r="M2667">
        <f>[2]TongHop!M2667</f>
        <v>0</v>
      </c>
      <c r="N2667">
        <f>[2]TongHop!N2667</f>
        <v>0</v>
      </c>
    </row>
    <row r="2668" spans="1:14">
      <c r="A2668">
        <f>[2]TongHop!A2668</f>
        <v>0</v>
      </c>
      <c r="B2668">
        <f>[2]TongHop!B2668</f>
        <v>0</v>
      </c>
      <c r="C2668">
        <f>[2]TongHop!C2668</f>
        <v>0</v>
      </c>
      <c r="D2668">
        <f>[2]TongHop!D2668</f>
        <v>0</v>
      </c>
      <c r="E2668">
        <f>[2]TongHop!E2668</f>
        <v>0</v>
      </c>
      <c r="F2668">
        <f>[2]TongHop!F2668</f>
        <v>0</v>
      </c>
      <c r="G2668">
        <f>[2]TongHop!G2668</f>
        <v>0</v>
      </c>
      <c r="H2668">
        <f>[2]TongHop!H2668</f>
        <v>0</v>
      </c>
      <c r="I2668">
        <f>[2]TongHop!I2668</f>
        <v>0</v>
      </c>
      <c r="J2668">
        <f>[2]TongHop!J2668</f>
        <v>0</v>
      </c>
      <c r="K2668">
        <f>[2]TongHop!K2668</f>
        <v>0</v>
      </c>
      <c r="L2668">
        <f>[2]TongHop!L2668</f>
        <v>0</v>
      </c>
      <c r="M2668">
        <f>[2]TongHop!M2668</f>
        <v>0</v>
      </c>
      <c r="N2668">
        <f>[2]TongHop!N2668</f>
        <v>0</v>
      </c>
    </row>
    <row r="2669" spans="1:14">
      <c r="A2669">
        <f>[2]TongHop!A2669</f>
        <v>0</v>
      </c>
      <c r="B2669">
        <f>[2]TongHop!B2669</f>
        <v>0</v>
      </c>
      <c r="C2669">
        <f>[2]TongHop!C2669</f>
        <v>0</v>
      </c>
      <c r="D2669">
        <f>[2]TongHop!D2669</f>
        <v>0</v>
      </c>
      <c r="E2669">
        <f>[2]TongHop!E2669</f>
        <v>0</v>
      </c>
      <c r="F2669">
        <f>[2]TongHop!F2669</f>
        <v>0</v>
      </c>
      <c r="G2669">
        <f>[2]TongHop!G2669</f>
        <v>0</v>
      </c>
      <c r="H2669">
        <f>[2]TongHop!H2669</f>
        <v>0</v>
      </c>
      <c r="I2669">
        <f>[2]TongHop!I2669</f>
        <v>0</v>
      </c>
      <c r="J2669">
        <f>[2]TongHop!J2669</f>
        <v>0</v>
      </c>
      <c r="K2669">
        <f>[2]TongHop!K2669</f>
        <v>0</v>
      </c>
      <c r="L2669">
        <f>[2]TongHop!L2669</f>
        <v>0</v>
      </c>
      <c r="M2669">
        <f>[2]TongHop!M2669</f>
        <v>0</v>
      </c>
      <c r="N2669">
        <f>[2]TongHop!N2669</f>
        <v>0</v>
      </c>
    </row>
    <row r="2670" spans="1:14">
      <c r="A2670">
        <f>[2]TongHop!A2670</f>
        <v>0</v>
      </c>
      <c r="B2670">
        <f>[2]TongHop!B2670</f>
        <v>0</v>
      </c>
      <c r="C2670">
        <f>[2]TongHop!C2670</f>
        <v>0</v>
      </c>
      <c r="D2670">
        <f>[2]TongHop!D2670</f>
        <v>0</v>
      </c>
      <c r="E2670">
        <f>[2]TongHop!E2670</f>
        <v>0</v>
      </c>
      <c r="F2670">
        <f>[2]TongHop!F2670</f>
        <v>0</v>
      </c>
      <c r="G2670">
        <f>[2]TongHop!G2670</f>
        <v>0</v>
      </c>
      <c r="H2670">
        <f>[2]TongHop!H2670</f>
        <v>0</v>
      </c>
      <c r="I2670">
        <f>[2]TongHop!I2670</f>
        <v>0</v>
      </c>
      <c r="J2670">
        <f>[2]TongHop!J2670</f>
        <v>0</v>
      </c>
      <c r="K2670">
        <f>[2]TongHop!K2670</f>
        <v>0</v>
      </c>
      <c r="L2670">
        <f>[2]TongHop!L2670</f>
        <v>0</v>
      </c>
      <c r="M2670">
        <f>[2]TongHop!M2670</f>
        <v>0</v>
      </c>
      <c r="N2670">
        <f>[2]TongHop!N2670</f>
        <v>0</v>
      </c>
    </row>
    <row r="2671" spans="1:14">
      <c r="A2671">
        <f>[2]TongHop!A2671</f>
        <v>0</v>
      </c>
      <c r="B2671">
        <f>[2]TongHop!B2671</f>
        <v>0</v>
      </c>
      <c r="C2671">
        <f>[2]TongHop!C2671</f>
        <v>0</v>
      </c>
      <c r="D2671">
        <f>[2]TongHop!D2671</f>
        <v>0</v>
      </c>
      <c r="E2671">
        <f>[2]TongHop!E2671</f>
        <v>0</v>
      </c>
      <c r="F2671">
        <f>[2]TongHop!F2671</f>
        <v>0</v>
      </c>
      <c r="G2671">
        <f>[2]TongHop!G2671</f>
        <v>0</v>
      </c>
      <c r="H2671">
        <f>[2]TongHop!H2671</f>
        <v>0</v>
      </c>
      <c r="I2671">
        <f>[2]TongHop!I2671</f>
        <v>0</v>
      </c>
      <c r="J2671">
        <f>[2]TongHop!J2671</f>
        <v>0</v>
      </c>
      <c r="K2671">
        <f>[2]TongHop!K2671</f>
        <v>0</v>
      </c>
      <c r="L2671">
        <f>[2]TongHop!L2671</f>
        <v>0</v>
      </c>
      <c r="M2671">
        <f>[2]TongHop!M2671</f>
        <v>0</v>
      </c>
      <c r="N2671">
        <f>[2]TongHop!N2671</f>
        <v>0</v>
      </c>
    </row>
    <row r="2672" spans="1:14">
      <c r="A2672">
        <f>[2]TongHop!A2672</f>
        <v>0</v>
      </c>
      <c r="B2672">
        <f>[2]TongHop!B2672</f>
        <v>0</v>
      </c>
      <c r="C2672">
        <f>[2]TongHop!C2672</f>
        <v>0</v>
      </c>
      <c r="D2672">
        <f>[2]TongHop!D2672</f>
        <v>0</v>
      </c>
      <c r="E2672">
        <f>[2]TongHop!E2672</f>
        <v>0</v>
      </c>
      <c r="F2672">
        <f>[2]TongHop!F2672</f>
        <v>0</v>
      </c>
      <c r="G2672">
        <f>[2]TongHop!G2672</f>
        <v>0</v>
      </c>
      <c r="H2672">
        <f>[2]TongHop!H2672</f>
        <v>0</v>
      </c>
      <c r="I2672">
        <f>[2]TongHop!I2672</f>
        <v>0</v>
      </c>
      <c r="J2672">
        <f>[2]TongHop!J2672</f>
        <v>0</v>
      </c>
      <c r="K2672">
        <f>[2]TongHop!K2672</f>
        <v>0</v>
      </c>
      <c r="L2672">
        <f>[2]TongHop!L2672</f>
        <v>0</v>
      </c>
      <c r="M2672">
        <f>[2]TongHop!M2672</f>
        <v>0</v>
      </c>
      <c r="N2672">
        <f>[2]TongHop!N2672</f>
        <v>0</v>
      </c>
    </row>
    <row r="2673" spans="1:14">
      <c r="A2673">
        <f>[2]TongHop!A2673</f>
        <v>0</v>
      </c>
      <c r="B2673">
        <f>[2]TongHop!B2673</f>
        <v>0</v>
      </c>
      <c r="C2673">
        <f>[2]TongHop!C2673</f>
        <v>0</v>
      </c>
      <c r="D2673">
        <f>[2]TongHop!D2673</f>
        <v>0</v>
      </c>
      <c r="E2673">
        <f>[2]TongHop!E2673</f>
        <v>0</v>
      </c>
      <c r="F2673">
        <f>[2]TongHop!F2673</f>
        <v>0</v>
      </c>
      <c r="G2673">
        <f>[2]TongHop!G2673</f>
        <v>0</v>
      </c>
      <c r="H2673">
        <f>[2]TongHop!H2673</f>
        <v>0</v>
      </c>
      <c r="I2673">
        <f>[2]TongHop!I2673</f>
        <v>0</v>
      </c>
      <c r="J2673">
        <f>[2]TongHop!J2673</f>
        <v>0</v>
      </c>
      <c r="K2673">
        <f>[2]TongHop!K2673</f>
        <v>0</v>
      </c>
      <c r="L2673">
        <f>[2]TongHop!L2673</f>
        <v>0</v>
      </c>
      <c r="M2673">
        <f>[2]TongHop!M2673</f>
        <v>0</v>
      </c>
      <c r="N2673">
        <f>[2]TongHop!N2673</f>
        <v>0</v>
      </c>
    </row>
    <row r="2674" spans="1:14">
      <c r="A2674">
        <f>[2]TongHop!A2674</f>
        <v>0</v>
      </c>
      <c r="B2674">
        <f>[2]TongHop!B2674</f>
        <v>0</v>
      </c>
      <c r="C2674">
        <f>[2]TongHop!C2674</f>
        <v>0</v>
      </c>
      <c r="D2674">
        <f>[2]TongHop!D2674</f>
        <v>0</v>
      </c>
      <c r="E2674">
        <f>[2]TongHop!E2674</f>
        <v>0</v>
      </c>
      <c r="F2674">
        <f>[2]TongHop!F2674</f>
        <v>0</v>
      </c>
      <c r="G2674">
        <f>[2]TongHop!G2674</f>
        <v>0</v>
      </c>
      <c r="H2674">
        <f>[2]TongHop!H2674</f>
        <v>0</v>
      </c>
      <c r="I2674">
        <f>[2]TongHop!I2674</f>
        <v>0</v>
      </c>
      <c r="J2674">
        <f>[2]TongHop!J2674</f>
        <v>0</v>
      </c>
      <c r="K2674">
        <f>[2]TongHop!K2674</f>
        <v>0</v>
      </c>
      <c r="L2674">
        <f>[2]TongHop!L2674</f>
        <v>0</v>
      </c>
      <c r="M2674">
        <f>[2]TongHop!M2674</f>
        <v>0</v>
      </c>
      <c r="N2674">
        <f>[2]TongHop!N2674</f>
        <v>0</v>
      </c>
    </row>
    <row r="2675" spans="1:14">
      <c r="A2675">
        <f>[2]TongHop!A2675</f>
        <v>0</v>
      </c>
      <c r="B2675">
        <f>[2]TongHop!B2675</f>
        <v>0</v>
      </c>
      <c r="C2675">
        <f>[2]TongHop!C2675</f>
        <v>0</v>
      </c>
      <c r="D2675">
        <f>[2]TongHop!D2675</f>
        <v>0</v>
      </c>
      <c r="E2675">
        <f>[2]TongHop!E2675</f>
        <v>0</v>
      </c>
      <c r="F2675">
        <f>[2]TongHop!F2675</f>
        <v>0</v>
      </c>
      <c r="G2675">
        <f>[2]TongHop!G2675</f>
        <v>0</v>
      </c>
      <c r="H2675">
        <f>[2]TongHop!H2675</f>
        <v>0</v>
      </c>
      <c r="I2675">
        <f>[2]TongHop!I2675</f>
        <v>0</v>
      </c>
      <c r="J2675">
        <f>[2]TongHop!J2675</f>
        <v>0</v>
      </c>
      <c r="K2675">
        <f>[2]TongHop!K2675</f>
        <v>0</v>
      </c>
      <c r="L2675">
        <f>[2]TongHop!L2675</f>
        <v>0</v>
      </c>
      <c r="M2675">
        <f>[2]TongHop!M2675</f>
        <v>0</v>
      </c>
      <c r="N2675">
        <f>[2]TongHop!N2675</f>
        <v>0</v>
      </c>
    </row>
    <row r="2676" spans="1:14">
      <c r="A2676">
        <f>[2]TongHop!A2676</f>
        <v>0</v>
      </c>
      <c r="B2676">
        <f>[2]TongHop!B2676</f>
        <v>0</v>
      </c>
      <c r="C2676">
        <f>[2]TongHop!C2676</f>
        <v>0</v>
      </c>
      <c r="D2676">
        <f>[2]TongHop!D2676</f>
        <v>0</v>
      </c>
      <c r="E2676">
        <f>[2]TongHop!E2676</f>
        <v>0</v>
      </c>
      <c r="F2676">
        <f>[2]TongHop!F2676</f>
        <v>0</v>
      </c>
      <c r="G2676">
        <f>[2]TongHop!G2676</f>
        <v>0</v>
      </c>
      <c r="H2676">
        <f>[2]TongHop!H2676</f>
        <v>0</v>
      </c>
      <c r="I2676">
        <f>[2]TongHop!I2676</f>
        <v>0</v>
      </c>
      <c r="J2676">
        <f>[2]TongHop!J2676</f>
        <v>0</v>
      </c>
      <c r="K2676">
        <f>[2]TongHop!K2676</f>
        <v>0</v>
      </c>
      <c r="L2676">
        <f>[2]TongHop!L2676</f>
        <v>0</v>
      </c>
      <c r="M2676">
        <f>[2]TongHop!M2676</f>
        <v>0</v>
      </c>
      <c r="N2676">
        <f>[2]TongHop!N2676</f>
        <v>0</v>
      </c>
    </row>
    <row r="2677" spans="1:14">
      <c r="A2677">
        <f>[2]TongHop!A2677</f>
        <v>0</v>
      </c>
      <c r="B2677">
        <f>[2]TongHop!B2677</f>
        <v>0</v>
      </c>
      <c r="C2677">
        <f>[2]TongHop!C2677</f>
        <v>0</v>
      </c>
      <c r="D2677">
        <f>[2]TongHop!D2677</f>
        <v>0</v>
      </c>
      <c r="E2677">
        <f>[2]TongHop!E2677</f>
        <v>0</v>
      </c>
      <c r="F2677">
        <f>[2]TongHop!F2677</f>
        <v>0</v>
      </c>
      <c r="G2677">
        <f>[2]TongHop!G2677</f>
        <v>0</v>
      </c>
      <c r="H2677">
        <f>[2]TongHop!H2677</f>
        <v>0</v>
      </c>
      <c r="I2677">
        <f>[2]TongHop!I2677</f>
        <v>0</v>
      </c>
      <c r="J2677">
        <f>[2]TongHop!J2677</f>
        <v>0</v>
      </c>
      <c r="K2677">
        <f>[2]TongHop!K2677</f>
        <v>0</v>
      </c>
      <c r="L2677">
        <f>[2]TongHop!L2677</f>
        <v>0</v>
      </c>
      <c r="M2677">
        <f>[2]TongHop!M2677</f>
        <v>0</v>
      </c>
      <c r="N2677">
        <f>[2]TongHop!N2677</f>
        <v>0</v>
      </c>
    </row>
    <row r="2678" spans="1:14">
      <c r="A2678">
        <f>[2]TongHop!A2678</f>
        <v>0</v>
      </c>
      <c r="B2678">
        <f>[2]TongHop!B2678</f>
        <v>0</v>
      </c>
      <c r="C2678">
        <f>[2]TongHop!C2678</f>
        <v>0</v>
      </c>
      <c r="D2678">
        <f>[2]TongHop!D2678</f>
        <v>0</v>
      </c>
      <c r="E2678">
        <f>[2]TongHop!E2678</f>
        <v>0</v>
      </c>
      <c r="F2678">
        <f>[2]TongHop!F2678</f>
        <v>0</v>
      </c>
      <c r="G2678">
        <f>[2]TongHop!G2678</f>
        <v>0</v>
      </c>
      <c r="H2678">
        <f>[2]TongHop!H2678</f>
        <v>0</v>
      </c>
      <c r="I2678">
        <f>[2]TongHop!I2678</f>
        <v>0</v>
      </c>
      <c r="J2678">
        <f>[2]TongHop!J2678</f>
        <v>0</v>
      </c>
      <c r="K2678">
        <f>[2]TongHop!K2678</f>
        <v>0</v>
      </c>
      <c r="L2678">
        <f>[2]TongHop!L2678</f>
        <v>0</v>
      </c>
      <c r="M2678">
        <f>[2]TongHop!M2678</f>
        <v>0</v>
      </c>
      <c r="N2678">
        <f>[2]TongHop!N2678</f>
        <v>0</v>
      </c>
    </row>
    <row r="2679" spans="1:14">
      <c r="A2679">
        <f>[2]TongHop!A2679</f>
        <v>0</v>
      </c>
      <c r="B2679">
        <f>[2]TongHop!B2679</f>
        <v>0</v>
      </c>
      <c r="C2679">
        <f>[2]TongHop!C2679</f>
        <v>0</v>
      </c>
      <c r="D2679">
        <f>[2]TongHop!D2679</f>
        <v>0</v>
      </c>
      <c r="E2679">
        <f>[2]TongHop!E2679</f>
        <v>0</v>
      </c>
      <c r="F2679">
        <f>[2]TongHop!F2679</f>
        <v>0</v>
      </c>
      <c r="G2679">
        <f>[2]TongHop!G2679</f>
        <v>0</v>
      </c>
      <c r="H2679">
        <f>[2]TongHop!H2679</f>
        <v>0</v>
      </c>
      <c r="I2679">
        <f>[2]TongHop!I2679</f>
        <v>0</v>
      </c>
      <c r="J2679">
        <f>[2]TongHop!J2679</f>
        <v>0</v>
      </c>
      <c r="K2679">
        <f>[2]TongHop!K2679</f>
        <v>0</v>
      </c>
      <c r="L2679">
        <f>[2]TongHop!L2679</f>
        <v>0</v>
      </c>
      <c r="M2679">
        <f>[2]TongHop!M2679</f>
        <v>0</v>
      </c>
      <c r="N2679">
        <f>[2]TongHop!N2679</f>
        <v>0</v>
      </c>
    </row>
    <row r="2680" spans="1:14">
      <c r="A2680">
        <f>[2]TongHop!A2680</f>
        <v>0</v>
      </c>
      <c r="B2680">
        <f>[2]TongHop!B2680</f>
        <v>0</v>
      </c>
      <c r="C2680">
        <f>[2]TongHop!C2680</f>
        <v>0</v>
      </c>
      <c r="D2680">
        <f>[2]TongHop!D2680</f>
        <v>0</v>
      </c>
      <c r="E2680">
        <f>[2]TongHop!E2680</f>
        <v>0</v>
      </c>
      <c r="F2680">
        <f>[2]TongHop!F2680</f>
        <v>0</v>
      </c>
      <c r="G2680">
        <f>[2]TongHop!G2680</f>
        <v>0</v>
      </c>
      <c r="H2680">
        <f>[2]TongHop!H2680</f>
        <v>0</v>
      </c>
      <c r="I2680">
        <f>[2]TongHop!I2680</f>
        <v>0</v>
      </c>
      <c r="J2680">
        <f>[2]TongHop!J2680</f>
        <v>0</v>
      </c>
      <c r="K2680">
        <f>[2]TongHop!K2680</f>
        <v>0</v>
      </c>
      <c r="L2680">
        <f>[2]TongHop!L2680</f>
        <v>0</v>
      </c>
      <c r="M2680">
        <f>[2]TongHop!M2680</f>
        <v>0</v>
      </c>
      <c r="N2680">
        <f>[2]TongHop!N2680</f>
        <v>0</v>
      </c>
    </row>
    <row r="2681" spans="1:14">
      <c r="A2681">
        <f>[2]TongHop!A2681</f>
        <v>0</v>
      </c>
      <c r="B2681">
        <f>[2]TongHop!B2681</f>
        <v>0</v>
      </c>
      <c r="C2681">
        <f>[2]TongHop!C2681</f>
        <v>0</v>
      </c>
      <c r="D2681">
        <f>[2]TongHop!D2681</f>
        <v>0</v>
      </c>
      <c r="E2681">
        <f>[2]TongHop!E2681</f>
        <v>0</v>
      </c>
      <c r="F2681">
        <f>[2]TongHop!F2681</f>
        <v>0</v>
      </c>
      <c r="G2681">
        <f>[2]TongHop!G2681</f>
        <v>0</v>
      </c>
      <c r="H2681">
        <f>[2]TongHop!H2681</f>
        <v>0</v>
      </c>
      <c r="I2681">
        <f>[2]TongHop!I2681</f>
        <v>0</v>
      </c>
      <c r="J2681">
        <f>[2]TongHop!J2681</f>
        <v>0</v>
      </c>
      <c r="K2681">
        <f>[2]TongHop!K2681</f>
        <v>0</v>
      </c>
      <c r="L2681">
        <f>[2]TongHop!L2681</f>
        <v>0</v>
      </c>
      <c r="M2681">
        <f>[2]TongHop!M2681</f>
        <v>0</v>
      </c>
      <c r="N2681">
        <f>[2]TongHop!N2681</f>
        <v>0</v>
      </c>
    </row>
    <row r="2682" spans="1:14">
      <c r="A2682">
        <f>[2]TongHop!A2682</f>
        <v>0</v>
      </c>
      <c r="B2682">
        <f>[2]TongHop!B2682</f>
        <v>0</v>
      </c>
      <c r="C2682">
        <f>[2]TongHop!C2682</f>
        <v>0</v>
      </c>
      <c r="D2682">
        <f>[2]TongHop!D2682</f>
        <v>0</v>
      </c>
      <c r="E2682">
        <f>[2]TongHop!E2682</f>
        <v>0</v>
      </c>
      <c r="F2682">
        <f>[2]TongHop!F2682</f>
        <v>0</v>
      </c>
      <c r="G2682">
        <f>[2]TongHop!G2682</f>
        <v>0</v>
      </c>
      <c r="H2682">
        <f>[2]TongHop!H2682</f>
        <v>0</v>
      </c>
      <c r="I2682">
        <f>[2]TongHop!I2682</f>
        <v>0</v>
      </c>
      <c r="J2682">
        <f>[2]TongHop!J2682</f>
        <v>0</v>
      </c>
      <c r="K2682">
        <f>[2]TongHop!K2682</f>
        <v>0</v>
      </c>
      <c r="L2682">
        <f>[2]TongHop!L2682</f>
        <v>0</v>
      </c>
      <c r="M2682">
        <f>[2]TongHop!M2682</f>
        <v>0</v>
      </c>
      <c r="N2682">
        <f>[2]TongHop!N2682</f>
        <v>0</v>
      </c>
    </row>
    <row r="2683" spans="1:14">
      <c r="A2683">
        <f>[2]TongHop!A2683</f>
        <v>0</v>
      </c>
      <c r="B2683">
        <f>[2]TongHop!B2683</f>
        <v>0</v>
      </c>
      <c r="C2683">
        <f>[2]TongHop!C2683</f>
        <v>0</v>
      </c>
      <c r="D2683">
        <f>[2]TongHop!D2683</f>
        <v>0</v>
      </c>
      <c r="E2683">
        <f>[2]TongHop!E2683</f>
        <v>0</v>
      </c>
      <c r="F2683">
        <f>[2]TongHop!F2683</f>
        <v>0</v>
      </c>
      <c r="G2683">
        <f>[2]TongHop!G2683</f>
        <v>0</v>
      </c>
      <c r="H2683">
        <f>[2]TongHop!H2683</f>
        <v>0</v>
      </c>
      <c r="I2683">
        <f>[2]TongHop!I2683</f>
        <v>0</v>
      </c>
      <c r="J2683">
        <f>[2]TongHop!J2683</f>
        <v>0</v>
      </c>
      <c r="K2683">
        <f>[2]TongHop!K2683</f>
        <v>0</v>
      </c>
      <c r="L2683">
        <f>[2]TongHop!L2683</f>
        <v>0</v>
      </c>
      <c r="M2683">
        <f>[2]TongHop!M2683</f>
        <v>0</v>
      </c>
      <c r="N2683">
        <f>[2]TongHop!N2683</f>
        <v>0</v>
      </c>
    </row>
    <row r="2684" spans="1:14">
      <c r="A2684">
        <f>[2]TongHop!A2684</f>
        <v>0</v>
      </c>
      <c r="B2684">
        <f>[2]TongHop!B2684</f>
        <v>0</v>
      </c>
      <c r="C2684">
        <f>[2]TongHop!C2684</f>
        <v>0</v>
      </c>
      <c r="D2684">
        <f>[2]TongHop!D2684</f>
        <v>0</v>
      </c>
      <c r="E2684">
        <f>[2]TongHop!E2684</f>
        <v>0</v>
      </c>
      <c r="F2684">
        <f>[2]TongHop!F2684</f>
        <v>0</v>
      </c>
      <c r="G2684">
        <f>[2]TongHop!G2684</f>
        <v>0</v>
      </c>
      <c r="H2684">
        <f>[2]TongHop!H2684</f>
        <v>0</v>
      </c>
      <c r="I2684">
        <f>[2]TongHop!I2684</f>
        <v>0</v>
      </c>
      <c r="J2684">
        <f>[2]TongHop!J2684</f>
        <v>0</v>
      </c>
      <c r="K2684">
        <f>[2]TongHop!K2684</f>
        <v>0</v>
      </c>
      <c r="L2684">
        <f>[2]TongHop!L2684</f>
        <v>0</v>
      </c>
      <c r="M2684">
        <f>[2]TongHop!M2684</f>
        <v>0</v>
      </c>
      <c r="N2684">
        <f>[2]TongHop!N2684</f>
        <v>0</v>
      </c>
    </row>
    <row r="2685" spans="1:14">
      <c r="A2685">
        <f>[2]TongHop!A2685</f>
        <v>0</v>
      </c>
      <c r="B2685">
        <f>[2]TongHop!B2685</f>
        <v>0</v>
      </c>
      <c r="C2685">
        <f>[2]TongHop!C2685</f>
        <v>0</v>
      </c>
      <c r="D2685">
        <f>[2]TongHop!D2685</f>
        <v>0</v>
      </c>
      <c r="E2685">
        <f>[2]TongHop!E2685</f>
        <v>0</v>
      </c>
      <c r="F2685">
        <f>[2]TongHop!F2685</f>
        <v>0</v>
      </c>
      <c r="G2685">
        <f>[2]TongHop!G2685</f>
        <v>0</v>
      </c>
      <c r="H2685">
        <f>[2]TongHop!H2685</f>
        <v>0</v>
      </c>
      <c r="I2685">
        <f>[2]TongHop!I2685</f>
        <v>0</v>
      </c>
      <c r="J2685">
        <f>[2]TongHop!J2685</f>
        <v>0</v>
      </c>
      <c r="K2685">
        <f>[2]TongHop!K2685</f>
        <v>0</v>
      </c>
      <c r="L2685">
        <f>[2]TongHop!L2685</f>
        <v>0</v>
      </c>
      <c r="M2685">
        <f>[2]TongHop!M2685</f>
        <v>0</v>
      </c>
      <c r="N2685">
        <f>[2]TongHop!N2685</f>
        <v>0</v>
      </c>
    </row>
    <row r="2686" spans="1:14">
      <c r="A2686">
        <f>[2]TongHop!A2686</f>
        <v>0</v>
      </c>
      <c r="B2686">
        <f>[2]TongHop!B2686</f>
        <v>0</v>
      </c>
      <c r="C2686">
        <f>[2]TongHop!C2686</f>
        <v>0</v>
      </c>
      <c r="D2686">
        <f>[2]TongHop!D2686</f>
        <v>0</v>
      </c>
      <c r="E2686">
        <f>[2]TongHop!E2686</f>
        <v>0</v>
      </c>
      <c r="F2686">
        <f>[2]TongHop!F2686</f>
        <v>0</v>
      </c>
      <c r="G2686">
        <f>[2]TongHop!G2686</f>
        <v>0</v>
      </c>
      <c r="H2686">
        <f>[2]TongHop!H2686</f>
        <v>0</v>
      </c>
      <c r="I2686">
        <f>[2]TongHop!I2686</f>
        <v>0</v>
      </c>
      <c r="J2686">
        <f>[2]TongHop!J2686</f>
        <v>0</v>
      </c>
      <c r="K2686">
        <f>[2]TongHop!K2686</f>
        <v>0</v>
      </c>
      <c r="L2686">
        <f>[2]TongHop!L2686</f>
        <v>0</v>
      </c>
      <c r="M2686">
        <f>[2]TongHop!M2686</f>
        <v>0</v>
      </c>
      <c r="N2686">
        <f>[2]TongHop!N2686</f>
        <v>0</v>
      </c>
    </row>
    <row r="2687" spans="1:14">
      <c r="A2687">
        <f>[2]TongHop!A2687</f>
        <v>0</v>
      </c>
      <c r="B2687">
        <f>[2]TongHop!B2687</f>
        <v>0</v>
      </c>
      <c r="C2687">
        <f>[2]TongHop!C2687</f>
        <v>0</v>
      </c>
      <c r="D2687">
        <f>[2]TongHop!D2687</f>
        <v>0</v>
      </c>
      <c r="E2687">
        <f>[2]TongHop!E2687</f>
        <v>0</v>
      </c>
      <c r="F2687">
        <f>[2]TongHop!F2687</f>
        <v>0</v>
      </c>
      <c r="G2687">
        <f>[2]TongHop!G2687</f>
        <v>0</v>
      </c>
      <c r="H2687">
        <f>[2]TongHop!H2687</f>
        <v>0</v>
      </c>
      <c r="I2687">
        <f>[2]TongHop!I2687</f>
        <v>0</v>
      </c>
      <c r="J2687">
        <f>[2]TongHop!J2687</f>
        <v>0</v>
      </c>
      <c r="K2687">
        <f>[2]TongHop!K2687</f>
        <v>0</v>
      </c>
      <c r="L2687">
        <f>[2]TongHop!L2687</f>
        <v>0</v>
      </c>
      <c r="M2687">
        <f>[2]TongHop!M2687</f>
        <v>0</v>
      </c>
      <c r="N2687">
        <f>[2]TongHop!N2687</f>
        <v>0</v>
      </c>
    </row>
    <row r="2688" spans="1:14">
      <c r="A2688">
        <f>[2]TongHop!A2688</f>
        <v>0</v>
      </c>
      <c r="B2688">
        <f>[2]TongHop!B2688</f>
        <v>0</v>
      </c>
      <c r="C2688">
        <f>[2]TongHop!C2688</f>
        <v>0</v>
      </c>
      <c r="D2688">
        <f>[2]TongHop!D2688</f>
        <v>0</v>
      </c>
      <c r="E2688">
        <f>[2]TongHop!E2688</f>
        <v>0</v>
      </c>
      <c r="F2688">
        <f>[2]TongHop!F2688</f>
        <v>0</v>
      </c>
      <c r="G2688">
        <f>[2]TongHop!G2688</f>
        <v>0</v>
      </c>
      <c r="H2688">
        <f>[2]TongHop!H2688</f>
        <v>0</v>
      </c>
      <c r="I2688">
        <f>[2]TongHop!I2688</f>
        <v>0</v>
      </c>
      <c r="J2688">
        <f>[2]TongHop!J2688</f>
        <v>0</v>
      </c>
      <c r="K2688">
        <f>[2]TongHop!K2688</f>
        <v>0</v>
      </c>
      <c r="L2688">
        <f>[2]TongHop!L2688</f>
        <v>0</v>
      </c>
      <c r="M2688">
        <f>[2]TongHop!M2688</f>
        <v>0</v>
      </c>
      <c r="N2688">
        <f>[2]TongHop!N2688</f>
        <v>0</v>
      </c>
    </row>
    <row r="2689" spans="1:14">
      <c r="A2689">
        <f>[2]TongHop!A2689</f>
        <v>0</v>
      </c>
      <c r="B2689">
        <f>[2]TongHop!B2689</f>
        <v>0</v>
      </c>
      <c r="C2689">
        <f>[2]TongHop!C2689</f>
        <v>0</v>
      </c>
      <c r="D2689">
        <f>[2]TongHop!D2689</f>
        <v>0</v>
      </c>
      <c r="E2689">
        <f>[2]TongHop!E2689</f>
        <v>0</v>
      </c>
      <c r="F2689">
        <f>[2]TongHop!F2689</f>
        <v>0</v>
      </c>
      <c r="G2689">
        <f>[2]TongHop!G2689</f>
        <v>0</v>
      </c>
      <c r="H2689">
        <f>[2]TongHop!H2689</f>
        <v>0</v>
      </c>
      <c r="I2689">
        <f>[2]TongHop!I2689</f>
        <v>0</v>
      </c>
      <c r="J2689">
        <f>[2]TongHop!J2689</f>
        <v>0</v>
      </c>
      <c r="K2689">
        <f>[2]TongHop!K2689</f>
        <v>0</v>
      </c>
      <c r="L2689">
        <f>[2]TongHop!L2689</f>
        <v>0</v>
      </c>
      <c r="M2689">
        <f>[2]TongHop!M2689</f>
        <v>0</v>
      </c>
      <c r="N2689">
        <f>[2]TongHop!N2689</f>
        <v>0</v>
      </c>
    </row>
    <row r="2690" spans="1:14">
      <c r="A2690">
        <f>[2]TongHop!A2690</f>
        <v>0</v>
      </c>
      <c r="B2690">
        <f>[2]TongHop!B2690</f>
        <v>0</v>
      </c>
      <c r="C2690">
        <f>[2]TongHop!C2690</f>
        <v>0</v>
      </c>
      <c r="D2690">
        <f>[2]TongHop!D2690</f>
        <v>0</v>
      </c>
      <c r="E2690">
        <f>[2]TongHop!E2690</f>
        <v>0</v>
      </c>
      <c r="F2690">
        <f>[2]TongHop!F2690</f>
        <v>0</v>
      </c>
      <c r="G2690">
        <f>[2]TongHop!G2690</f>
        <v>0</v>
      </c>
      <c r="H2690">
        <f>[2]TongHop!H2690</f>
        <v>0</v>
      </c>
      <c r="I2690">
        <f>[2]TongHop!I2690</f>
        <v>0</v>
      </c>
      <c r="J2690">
        <f>[2]TongHop!J2690</f>
        <v>0</v>
      </c>
      <c r="K2690">
        <f>[2]TongHop!K2690</f>
        <v>0</v>
      </c>
      <c r="L2690">
        <f>[2]TongHop!L2690</f>
        <v>0</v>
      </c>
      <c r="M2690">
        <f>[2]TongHop!M2690</f>
        <v>0</v>
      </c>
      <c r="N2690">
        <f>[2]TongHop!N2690</f>
        <v>0</v>
      </c>
    </row>
    <row r="2691" spans="1:14">
      <c r="A2691">
        <f>[2]TongHop!A2691</f>
        <v>0</v>
      </c>
      <c r="B2691">
        <f>[2]TongHop!B2691</f>
        <v>0</v>
      </c>
      <c r="C2691">
        <f>[2]TongHop!C2691</f>
        <v>0</v>
      </c>
      <c r="D2691">
        <f>[2]TongHop!D2691</f>
        <v>0</v>
      </c>
      <c r="E2691">
        <f>[2]TongHop!E2691</f>
        <v>0</v>
      </c>
      <c r="F2691">
        <f>[2]TongHop!F2691</f>
        <v>0</v>
      </c>
      <c r="G2691">
        <f>[2]TongHop!G2691</f>
        <v>0</v>
      </c>
      <c r="H2691">
        <f>[2]TongHop!H2691</f>
        <v>0</v>
      </c>
      <c r="I2691">
        <f>[2]TongHop!I2691</f>
        <v>0</v>
      </c>
      <c r="J2691">
        <f>[2]TongHop!J2691</f>
        <v>0</v>
      </c>
      <c r="K2691">
        <f>[2]TongHop!K2691</f>
        <v>0</v>
      </c>
      <c r="L2691">
        <f>[2]TongHop!L2691</f>
        <v>0</v>
      </c>
      <c r="M2691">
        <f>[2]TongHop!M2691</f>
        <v>0</v>
      </c>
      <c r="N2691">
        <f>[2]TongHop!N2691</f>
        <v>0</v>
      </c>
    </row>
    <row r="2692" spans="1:14">
      <c r="A2692">
        <f>[2]TongHop!A2692</f>
        <v>0</v>
      </c>
      <c r="B2692">
        <f>[2]TongHop!B2692</f>
        <v>0</v>
      </c>
      <c r="C2692">
        <f>[2]TongHop!C2692</f>
        <v>0</v>
      </c>
      <c r="D2692">
        <f>[2]TongHop!D2692</f>
        <v>0</v>
      </c>
      <c r="E2692">
        <f>[2]TongHop!E2692</f>
        <v>0</v>
      </c>
      <c r="F2692">
        <f>[2]TongHop!F2692</f>
        <v>0</v>
      </c>
      <c r="G2692">
        <f>[2]TongHop!G2692</f>
        <v>0</v>
      </c>
      <c r="H2692">
        <f>[2]TongHop!H2692</f>
        <v>0</v>
      </c>
      <c r="I2692">
        <f>[2]TongHop!I2692</f>
        <v>0</v>
      </c>
      <c r="J2692">
        <f>[2]TongHop!J2692</f>
        <v>0</v>
      </c>
      <c r="K2692">
        <f>[2]TongHop!K2692</f>
        <v>0</v>
      </c>
      <c r="L2692">
        <f>[2]TongHop!L2692</f>
        <v>0</v>
      </c>
      <c r="M2692">
        <f>[2]TongHop!M2692</f>
        <v>0</v>
      </c>
      <c r="N2692">
        <f>[2]TongHop!N2692</f>
        <v>0</v>
      </c>
    </row>
    <row r="2693" spans="1:14">
      <c r="A2693">
        <f>[2]TongHop!A2693</f>
        <v>0</v>
      </c>
      <c r="B2693">
        <f>[2]TongHop!B2693</f>
        <v>0</v>
      </c>
      <c r="C2693">
        <f>[2]TongHop!C2693</f>
        <v>0</v>
      </c>
      <c r="D2693">
        <f>[2]TongHop!D2693</f>
        <v>0</v>
      </c>
      <c r="E2693">
        <f>[2]TongHop!E2693</f>
        <v>0</v>
      </c>
      <c r="F2693">
        <f>[2]TongHop!F2693</f>
        <v>0</v>
      </c>
      <c r="G2693">
        <f>[2]TongHop!G2693</f>
        <v>0</v>
      </c>
      <c r="H2693">
        <f>[2]TongHop!H2693</f>
        <v>0</v>
      </c>
      <c r="I2693">
        <f>[2]TongHop!I2693</f>
        <v>0</v>
      </c>
      <c r="J2693">
        <f>[2]TongHop!J2693</f>
        <v>0</v>
      </c>
      <c r="K2693">
        <f>[2]TongHop!K2693</f>
        <v>0</v>
      </c>
      <c r="L2693">
        <f>[2]TongHop!L2693</f>
        <v>0</v>
      </c>
      <c r="M2693">
        <f>[2]TongHop!M2693</f>
        <v>0</v>
      </c>
      <c r="N2693">
        <f>[2]TongHop!N2693</f>
        <v>0</v>
      </c>
    </row>
    <row r="2694" spans="1:14">
      <c r="A2694">
        <f>[2]TongHop!A2694</f>
        <v>0</v>
      </c>
      <c r="B2694">
        <f>[2]TongHop!B2694</f>
        <v>0</v>
      </c>
      <c r="C2694">
        <f>[2]TongHop!C2694</f>
        <v>0</v>
      </c>
      <c r="D2694">
        <f>[2]TongHop!D2694</f>
        <v>0</v>
      </c>
      <c r="E2694">
        <f>[2]TongHop!E2694</f>
        <v>0</v>
      </c>
      <c r="F2694">
        <f>[2]TongHop!F2694</f>
        <v>0</v>
      </c>
      <c r="G2694">
        <f>[2]TongHop!G2694</f>
        <v>0</v>
      </c>
      <c r="H2694">
        <f>[2]TongHop!H2694</f>
        <v>0</v>
      </c>
      <c r="I2694">
        <f>[2]TongHop!I2694</f>
        <v>0</v>
      </c>
      <c r="J2694">
        <f>[2]TongHop!J2694</f>
        <v>0</v>
      </c>
      <c r="K2694">
        <f>[2]TongHop!K2694</f>
        <v>0</v>
      </c>
      <c r="L2694">
        <f>[2]TongHop!L2694</f>
        <v>0</v>
      </c>
      <c r="M2694">
        <f>[2]TongHop!M2694</f>
        <v>0</v>
      </c>
      <c r="N2694">
        <f>[2]TongHop!N2694</f>
        <v>0</v>
      </c>
    </row>
    <row r="2695" spans="1:14">
      <c r="A2695">
        <f>[2]TongHop!A2695</f>
        <v>0</v>
      </c>
      <c r="B2695">
        <f>[2]TongHop!B2695</f>
        <v>0</v>
      </c>
      <c r="C2695">
        <f>[2]TongHop!C2695</f>
        <v>0</v>
      </c>
      <c r="D2695">
        <f>[2]TongHop!D2695</f>
        <v>0</v>
      </c>
      <c r="E2695">
        <f>[2]TongHop!E2695</f>
        <v>0</v>
      </c>
      <c r="F2695">
        <f>[2]TongHop!F2695</f>
        <v>0</v>
      </c>
      <c r="G2695">
        <f>[2]TongHop!G2695</f>
        <v>0</v>
      </c>
      <c r="H2695">
        <f>[2]TongHop!H2695</f>
        <v>0</v>
      </c>
      <c r="I2695">
        <f>[2]TongHop!I2695</f>
        <v>0</v>
      </c>
      <c r="J2695">
        <f>[2]TongHop!J2695</f>
        <v>0</v>
      </c>
      <c r="K2695">
        <f>[2]TongHop!K2695</f>
        <v>0</v>
      </c>
      <c r="L2695">
        <f>[2]TongHop!L2695</f>
        <v>0</v>
      </c>
      <c r="M2695">
        <f>[2]TongHop!M2695</f>
        <v>0</v>
      </c>
      <c r="N2695">
        <f>[2]TongHop!N2695</f>
        <v>0</v>
      </c>
    </row>
    <row r="2696" spans="1:14">
      <c r="A2696">
        <f>[2]TongHop!A2696</f>
        <v>0</v>
      </c>
      <c r="B2696">
        <f>[2]TongHop!B2696</f>
        <v>0</v>
      </c>
      <c r="C2696">
        <f>[2]TongHop!C2696</f>
        <v>0</v>
      </c>
      <c r="D2696">
        <f>[2]TongHop!D2696</f>
        <v>0</v>
      </c>
      <c r="E2696">
        <f>[2]TongHop!E2696</f>
        <v>0</v>
      </c>
      <c r="F2696">
        <f>[2]TongHop!F2696</f>
        <v>0</v>
      </c>
      <c r="G2696">
        <f>[2]TongHop!G2696</f>
        <v>0</v>
      </c>
      <c r="H2696">
        <f>[2]TongHop!H2696</f>
        <v>0</v>
      </c>
      <c r="I2696">
        <f>[2]TongHop!I2696</f>
        <v>0</v>
      </c>
      <c r="J2696">
        <f>[2]TongHop!J2696</f>
        <v>0</v>
      </c>
      <c r="K2696">
        <f>[2]TongHop!K2696</f>
        <v>0</v>
      </c>
      <c r="L2696">
        <f>[2]TongHop!L2696</f>
        <v>0</v>
      </c>
      <c r="M2696">
        <f>[2]TongHop!M2696</f>
        <v>0</v>
      </c>
      <c r="N2696">
        <f>[2]TongHop!N2696</f>
        <v>0</v>
      </c>
    </row>
    <row r="2697" spans="1:14">
      <c r="A2697">
        <f>[2]TongHop!A2697</f>
        <v>0</v>
      </c>
      <c r="B2697">
        <f>[2]TongHop!B2697</f>
        <v>0</v>
      </c>
      <c r="C2697">
        <f>[2]TongHop!C2697</f>
        <v>0</v>
      </c>
      <c r="D2697">
        <f>[2]TongHop!D2697</f>
        <v>0</v>
      </c>
      <c r="E2697">
        <f>[2]TongHop!E2697</f>
        <v>0</v>
      </c>
      <c r="F2697">
        <f>[2]TongHop!F2697</f>
        <v>0</v>
      </c>
      <c r="G2697">
        <f>[2]TongHop!G2697</f>
        <v>0</v>
      </c>
      <c r="H2697">
        <f>[2]TongHop!H2697</f>
        <v>0</v>
      </c>
      <c r="I2697">
        <f>[2]TongHop!I2697</f>
        <v>0</v>
      </c>
      <c r="J2697">
        <f>[2]TongHop!J2697</f>
        <v>0</v>
      </c>
      <c r="K2697">
        <f>[2]TongHop!K2697</f>
        <v>0</v>
      </c>
      <c r="L2697">
        <f>[2]TongHop!L2697</f>
        <v>0</v>
      </c>
      <c r="M2697">
        <f>[2]TongHop!M2697</f>
        <v>0</v>
      </c>
      <c r="N2697">
        <f>[2]TongHop!N2697</f>
        <v>0</v>
      </c>
    </row>
    <row r="2698" spans="1:14">
      <c r="A2698">
        <f>[2]TongHop!A2698</f>
        <v>0</v>
      </c>
      <c r="B2698">
        <f>[2]TongHop!B2698</f>
        <v>0</v>
      </c>
      <c r="C2698">
        <f>[2]TongHop!C2698</f>
        <v>0</v>
      </c>
      <c r="D2698">
        <f>[2]TongHop!D2698</f>
        <v>0</v>
      </c>
      <c r="E2698">
        <f>[2]TongHop!E2698</f>
        <v>0</v>
      </c>
      <c r="F2698">
        <f>[2]TongHop!F2698</f>
        <v>0</v>
      </c>
      <c r="G2698">
        <f>[2]TongHop!G2698</f>
        <v>0</v>
      </c>
      <c r="H2698">
        <f>[2]TongHop!H2698</f>
        <v>0</v>
      </c>
      <c r="I2698">
        <f>[2]TongHop!I2698</f>
        <v>0</v>
      </c>
      <c r="J2698">
        <f>[2]TongHop!J2698</f>
        <v>0</v>
      </c>
      <c r="K2698">
        <f>[2]TongHop!K2698</f>
        <v>0</v>
      </c>
      <c r="L2698">
        <f>[2]TongHop!L2698</f>
        <v>0</v>
      </c>
      <c r="M2698">
        <f>[2]TongHop!M2698</f>
        <v>0</v>
      </c>
      <c r="N2698">
        <f>[2]TongHop!N2698</f>
        <v>0</v>
      </c>
    </row>
    <row r="2699" spans="1:14">
      <c r="A2699">
        <f>[2]TongHop!A2699</f>
        <v>0</v>
      </c>
      <c r="B2699">
        <f>[2]TongHop!B2699</f>
        <v>0</v>
      </c>
      <c r="C2699">
        <f>[2]TongHop!C2699</f>
        <v>0</v>
      </c>
      <c r="D2699">
        <f>[2]TongHop!D2699</f>
        <v>0</v>
      </c>
      <c r="E2699">
        <f>[2]TongHop!E2699</f>
        <v>0</v>
      </c>
      <c r="F2699">
        <f>[2]TongHop!F2699</f>
        <v>0</v>
      </c>
      <c r="G2699">
        <f>[2]TongHop!G2699</f>
        <v>0</v>
      </c>
      <c r="H2699">
        <f>[2]TongHop!H2699</f>
        <v>0</v>
      </c>
      <c r="I2699">
        <f>[2]TongHop!I2699</f>
        <v>0</v>
      </c>
      <c r="J2699">
        <f>[2]TongHop!J2699</f>
        <v>0</v>
      </c>
      <c r="K2699">
        <f>[2]TongHop!K2699</f>
        <v>0</v>
      </c>
      <c r="L2699">
        <f>[2]TongHop!L2699</f>
        <v>0</v>
      </c>
      <c r="M2699">
        <f>[2]TongHop!M2699</f>
        <v>0</v>
      </c>
      <c r="N2699">
        <f>[2]TongHop!N2699</f>
        <v>0</v>
      </c>
    </row>
    <row r="2700" spans="1:14">
      <c r="A2700">
        <f>[2]TongHop!A2700</f>
        <v>0</v>
      </c>
      <c r="B2700">
        <f>[2]TongHop!B2700</f>
        <v>0</v>
      </c>
      <c r="C2700">
        <f>[2]TongHop!C2700</f>
        <v>0</v>
      </c>
      <c r="D2700">
        <f>[2]TongHop!D2700</f>
        <v>0</v>
      </c>
      <c r="E2700">
        <f>[2]TongHop!E2700</f>
        <v>0</v>
      </c>
      <c r="F2700">
        <f>[2]TongHop!F2700</f>
        <v>0</v>
      </c>
      <c r="G2700">
        <f>[2]TongHop!G2700</f>
        <v>0</v>
      </c>
      <c r="H2700">
        <f>[2]TongHop!H2700</f>
        <v>0</v>
      </c>
      <c r="I2700">
        <f>[2]TongHop!I2700</f>
        <v>0</v>
      </c>
      <c r="J2700">
        <f>[2]TongHop!J2700</f>
        <v>0</v>
      </c>
      <c r="K2700">
        <f>[2]TongHop!K2700</f>
        <v>0</v>
      </c>
      <c r="L2700">
        <f>[2]TongHop!L2700</f>
        <v>0</v>
      </c>
      <c r="M2700">
        <f>[2]TongHop!M2700</f>
        <v>0</v>
      </c>
      <c r="N2700">
        <f>[2]TongHop!N2700</f>
        <v>0</v>
      </c>
    </row>
    <row r="2701" spans="1:14">
      <c r="A2701">
        <f>[2]TongHop!A2701</f>
        <v>0</v>
      </c>
      <c r="B2701">
        <f>[2]TongHop!B2701</f>
        <v>0</v>
      </c>
      <c r="C2701">
        <f>[2]TongHop!C2701</f>
        <v>0</v>
      </c>
      <c r="D2701">
        <f>[2]TongHop!D2701</f>
        <v>0</v>
      </c>
      <c r="E2701">
        <f>[2]TongHop!E2701</f>
        <v>0</v>
      </c>
      <c r="F2701">
        <f>[2]TongHop!F2701</f>
        <v>0</v>
      </c>
      <c r="G2701">
        <f>[2]TongHop!G2701</f>
        <v>0</v>
      </c>
      <c r="H2701">
        <f>[2]TongHop!H2701</f>
        <v>0</v>
      </c>
      <c r="I2701">
        <f>[2]TongHop!I2701</f>
        <v>0</v>
      </c>
      <c r="J2701">
        <f>[2]TongHop!J2701</f>
        <v>0</v>
      </c>
      <c r="K2701">
        <f>[2]TongHop!K2701</f>
        <v>0</v>
      </c>
      <c r="L2701">
        <f>[2]TongHop!L2701</f>
        <v>0</v>
      </c>
      <c r="M2701">
        <f>[2]TongHop!M2701</f>
        <v>0</v>
      </c>
      <c r="N2701">
        <f>[2]TongHop!N2701</f>
        <v>0</v>
      </c>
    </row>
    <row r="2702" spans="1:14">
      <c r="A2702">
        <f>[2]TongHop!A2702</f>
        <v>0</v>
      </c>
      <c r="B2702">
        <f>[2]TongHop!B2702</f>
        <v>0</v>
      </c>
      <c r="C2702">
        <f>[2]TongHop!C2702</f>
        <v>0</v>
      </c>
      <c r="D2702">
        <f>[2]TongHop!D2702</f>
        <v>0</v>
      </c>
      <c r="E2702">
        <f>[2]TongHop!E2702</f>
        <v>0</v>
      </c>
      <c r="F2702">
        <f>[2]TongHop!F2702</f>
        <v>0</v>
      </c>
      <c r="G2702">
        <f>[2]TongHop!G2702</f>
        <v>0</v>
      </c>
      <c r="H2702">
        <f>[2]TongHop!H2702</f>
        <v>0</v>
      </c>
      <c r="I2702">
        <f>[2]TongHop!I2702</f>
        <v>0</v>
      </c>
      <c r="J2702">
        <f>[2]TongHop!J2702</f>
        <v>0</v>
      </c>
      <c r="K2702">
        <f>[2]TongHop!K2702</f>
        <v>0</v>
      </c>
      <c r="L2702">
        <f>[2]TongHop!L2702</f>
        <v>0</v>
      </c>
      <c r="M2702">
        <f>[2]TongHop!M2702</f>
        <v>0</v>
      </c>
      <c r="N2702">
        <f>[2]TongHop!N2702</f>
        <v>0</v>
      </c>
    </row>
    <row r="2703" spans="1:14">
      <c r="A2703">
        <f>[2]TongHop!A2703</f>
        <v>0</v>
      </c>
      <c r="B2703">
        <f>[2]TongHop!B2703</f>
        <v>0</v>
      </c>
      <c r="C2703">
        <f>[2]TongHop!C2703</f>
        <v>0</v>
      </c>
      <c r="D2703">
        <f>[2]TongHop!D2703</f>
        <v>0</v>
      </c>
      <c r="E2703">
        <f>[2]TongHop!E2703</f>
        <v>0</v>
      </c>
      <c r="F2703">
        <f>[2]TongHop!F2703</f>
        <v>0</v>
      </c>
      <c r="G2703">
        <f>[2]TongHop!G2703</f>
        <v>0</v>
      </c>
      <c r="H2703">
        <f>[2]TongHop!H2703</f>
        <v>0</v>
      </c>
      <c r="I2703">
        <f>[2]TongHop!I2703</f>
        <v>0</v>
      </c>
      <c r="J2703">
        <f>[2]TongHop!J2703</f>
        <v>0</v>
      </c>
      <c r="K2703">
        <f>[2]TongHop!K2703</f>
        <v>0</v>
      </c>
      <c r="L2703">
        <f>[2]TongHop!L2703</f>
        <v>0</v>
      </c>
      <c r="M2703">
        <f>[2]TongHop!M2703</f>
        <v>0</v>
      </c>
      <c r="N2703">
        <f>[2]TongHop!N2703</f>
        <v>0</v>
      </c>
    </row>
    <row r="2704" spans="1:14">
      <c r="A2704">
        <f>[2]TongHop!A2704</f>
        <v>0</v>
      </c>
      <c r="B2704">
        <f>[2]TongHop!B2704</f>
        <v>0</v>
      </c>
      <c r="C2704">
        <f>[2]TongHop!C2704</f>
        <v>0</v>
      </c>
      <c r="D2704">
        <f>[2]TongHop!D2704</f>
        <v>0</v>
      </c>
      <c r="E2704">
        <f>[2]TongHop!E2704</f>
        <v>0</v>
      </c>
      <c r="F2704">
        <f>[2]TongHop!F2704</f>
        <v>0</v>
      </c>
      <c r="G2704">
        <f>[2]TongHop!G2704</f>
        <v>0</v>
      </c>
      <c r="H2704">
        <f>[2]TongHop!H2704</f>
        <v>0</v>
      </c>
      <c r="I2704">
        <f>[2]TongHop!I2704</f>
        <v>0</v>
      </c>
      <c r="J2704">
        <f>[2]TongHop!J2704</f>
        <v>0</v>
      </c>
      <c r="K2704">
        <f>[2]TongHop!K2704</f>
        <v>0</v>
      </c>
      <c r="L2704">
        <f>[2]TongHop!L2704</f>
        <v>0</v>
      </c>
      <c r="M2704">
        <f>[2]TongHop!M2704</f>
        <v>0</v>
      </c>
      <c r="N2704">
        <f>[2]TongHop!N2704</f>
        <v>0</v>
      </c>
    </row>
    <row r="2705" spans="1:14">
      <c r="A2705">
        <f>[2]TongHop!A2705</f>
        <v>0</v>
      </c>
      <c r="B2705">
        <f>[2]TongHop!B2705</f>
        <v>0</v>
      </c>
      <c r="C2705">
        <f>[2]TongHop!C2705</f>
        <v>0</v>
      </c>
      <c r="D2705">
        <f>[2]TongHop!D2705</f>
        <v>0</v>
      </c>
      <c r="E2705">
        <f>[2]TongHop!E2705</f>
        <v>0</v>
      </c>
      <c r="F2705">
        <f>[2]TongHop!F2705</f>
        <v>0</v>
      </c>
      <c r="G2705">
        <f>[2]TongHop!G2705</f>
        <v>0</v>
      </c>
      <c r="H2705">
        <f>[2]TongHop!H2705</f>
        <v>0</v>
      </c>
      <c r="I2705">
        <f>[2]TongHop!I2705</f>
        <v>0</v>
      </c>
      <c r="J2705">
        <f>[2]TongHop!J2705</f>
        <v>0</v>
      </c>
      <c r="K2705">
        <f>[2]TongHop!K2705</f>
        <v>0</v>
      </c>
      <c r="L2705">
        <f>[2]TongHop!L2705</f>
        <v>0</v>
      </c>
      <c r="M2705">
        <f>[2]TongHop!M2705</f>
        <v>0</v>
      </c>
      <c r="N2705">
        <f>[2]TongHop!N2705</f>
        <v>0</v>
      </c>
    </row>
    <row r="2706" spans="1:14">
      <c r="A2706">
        <f>[2]TongHop!A2706</f>
        <v>0</v>
      </c>
      <c r="B2706">
        <f>[2]TongHop!B2706</f>
        <v>0</v>
      </c>
      <c r="C2706">
        <f>[2]TongHop!C2706</f>
        <v>0</v>
      </c>
      <c r="D2706">
        <f>[2]TongHop!D2706</f>
        <v>0</v>
      </c>
      <c r="E2706">
        <f>[2]TongHop!E2706</f>
        <v>0</v>
      </c>
      <c r="F2706">
        <f>[2]TongHop!F2706</f>
        <v>0</v>
      </c>
      <c r="G2706">
        <f>[2]TongHop!G2706</f>
        <v>0</v>
      </c>
      <c r="H2706">
        <f>[2]TongHop!H2706</f>
        <v>0</v>
      </c>
      <c r="I2706">
        <f>[2]TongHop!I2706</f>
        <v>0</v>
      </c>
      <c r="J2706">
        <f>[2]TongHop!J2706</f>
        <v>0</v>
      </c>
      <c r="K2706">
        <f>[2]TongHop!K2706</f>
        <v>0</v>
      </c>
      <c r="L2706">
        <f>[2]TongHop!L2706</f>
        <v>0</v>
      </c>
      <c r="M2706">
        <f>[2]TongHop!M2706</f>
        <v>0</v>
      </c>
      <c r="N2706">
        <f>[2]TongHop!N2706</f>
        <v>0</v>
      </c>
    </row>
    <row r="2707" spans="1:14">
      <c r="A2707">
        <f>[2]TongHop!A2707</f>
        <v>0</v>
      </c>
      <c r="B2707">
        <f>[2]TongHop!B2707</f>
        <v>0</v>
      </c>
      <c r="C2707">
        <f>[2]TongHop!C2707</f>
        <v>0</v>
      </c>
      <c r="D2707">
        <f>[2]TongHop!D2707</f>
        <v>0</v>
      </c>
      <c r="E2707">
        <f>[2]TongHop!E2707</f>
        <v>0</v>
      </c>
      <c r="F2707">
        <f>[2]TongHop!F2707</f>
        <v>0</v>
      </c>
      <c r="G2707">
        <f>[2]TongHop!G2707</f>
        <v>0</v>
      </c>
      <c r="H2707">
        <f>[2]TongHop!H2707</f>
        <v>0</v>
      </c>
      <c r="I2707">
        <f>[2]TongHop!I2707</f>
        <v>0</v>
      </c>
      <c r="J2707">
        <f>[2]TongHop!J2707</f>
        <v>0</v>
      </c>
      <c r="K2707">
        <f>[2]TongHop!K2707</f>
        <v>0</v>
      </c>
      <c r="L2707">
        <f>[2]TongHop!L2707</f>
        <v>0</v>
      </c>
      <c r="M2707">
        <f>[2]TongHop!M2707</f>
        <v>0</v>
      </c>
      <c r="N2707">
        <f>[2]TongHop!N2707</f>
        <v>0</v>
      </c>
    </row>
    <row r="2708" spans="1:14">
      <c r="A2708">
        <f>[2]TongHop!A2708</f>
        <v>0</v>
      </c>
      <c r="B2708">
        <f>[2]TongHop!B2708</f>
        <v>0</v>
      </c>
      <c r="C2708">
        <f>[2]TongHop!C2708</f>
        <v>0</v>
      </c>
      <c r="D2708">
        <f>[2]TongHop!D2708</f>
        <v>0</v>
      </c>
      <c r="E2708">
        <f>[2]TongHop!E2708</f>
        <v>0</v>
      </c>
      <c r="F2708">
        <f>[2]TongHop!F2708</f>
        <v>0</v>
      </c>
      <c r="G2708">
        <f>[2]TongHop!G2708</f>
        <v>0</v>
      </c>
      <c r="H2708">
        <f>[2]TongHop!H2708</f>
        <v>0</v>
      </c>
      <c r="I2708">
        <f>[2]TongHop!I2708</f>
        <v>0</v>
      </c>
      <c r="J2708">
        <f>[2]TongHop!J2708</f>
        <v>0</v>
      </c>
      <c r="K2708">
        <f>[2]TongHop!K2708</f>
        <v>0</v>
      </c>
      <c r="L2708">
        <f>[2]TongHop!L2708</f>
        <v>0</v>
      </c>
      <c r="M2708">
        <f>[2]TongHop!M2708</f>
        <v>0</v>
      </c>
      <c r="N2708">
        <f>[2]TongHop!N2708</f>
        <v>0</v>
      </c>
    </row>
    <row r="2709" spans="1:14">
      <c r="A2709">
        <f>[2]TongHop!A2709</f>
        <v>0</v>
      </c>
      <c r="B2709">
        <f>[2]TongHop!B2709</f>
        <v>0</v>
      </c>
      <c r="C2709">
        <f>[2]TongHop!C2709</f>
        <v>0</v>
      </c>
      <c r="D2709">
        <f>[2]TongHop!D2709</f>
        <v>0</v>
      </c>
      <c r="E2709">
        <f>[2]TongHop!E2709</f>
        <v>0</v>
      </c>
      <c r="F2709">
        <f>[2]TongHop!F2709</f>
        <v>0</v>
      </c>
      <c r="G2709">
        <f>[2]TongHop!G2709</f>
        <v>0</v>
      </c>
      <c r="H2709">
        <f>[2]TongHop!H2709</f>
        <v>0</v>
      </c>
      <c r="I2709">
        <f>[2]TongHop!I2709</f>
        <v>0</v>
      </c>
      <c r="J2709">
        <f>[2]TongHop!J2709</f>
        <v>0</v>
      </c>
      <c r="K2709">
        <f>[2]TongHop!K2709</f>
        <v>0</v>
      </c>
      <c r="L2709">
        <f>[2]TongHop!L2709</f>
        <v>0</v>
      </c>
      <c r="M2709">
        <f>[2]TongHop!M2709</f>
        <v>0</v>
      </c>
      <c r="N2709">
        <f>[2]TongHop!N2709</f>
        <v>0</v>
      </c>
    </row>
    <row r="2710" spans="1:14">
      <c r="A2710">
        <f>[2]TongHop!A2710</f>
        <v>0</v>
      </c>
      <c r="B2710">
        <f>[2]TongHop!B2710</f>
        <v>0</v>
      </c>
      <c r="C2710">
        <f>[2]TongHop!C2710</f>
        <v>0</v>
      </c>
      <c r="D2710">
        <f>[2]TongHop!D2710</f>
        <v>0</v>
      </c>
      <c r="E2710">
        <f>[2]TongHop!E2710</f>
        <v>0</v>
      </c>
      <c r="F2710">
        <f>[2]TongHop!F2710</f>
        <v>0</v>
      </c>
      <c r="G2710">
        <f>[2]TongHop!G2710</f>
        <v>0</v>
      </c>
      <c r="H2710">
        <f>[2]TongHop!H2710</f>
        <v>0</v>
      </c>
      <c r="I2710">
        <f>[2]TongHop!I2710</f>
        <v>0</v>
      </c>
      <c r="J2710">
        <f>[2]TongHop!J2710</f>
        <v>0</v>
      </c>
      <c r="K2710">
        <f>[2]TongHop!K2710</f>
        <v>0</v>
      </c>
      <c r="L2710">
        <f>[2]TongHop!L2710</f>
        <v>0</v>
      </c>
      <c r="M2710">
        <f>[2]TongHop!M2710</f>
        <v>0</v>
      </c>
      <c r="N2710">
        <f>[2]TongHop!N2710</f>
        <v>0</v>
      </c>
    </row>
    <row r="2711" spans="1:14">
      <c r="A2711">
        <f>[2]TongHop!A2711</f>
        <v>0</v>
      </c>
      <c r="B2711">
        <f>[2]TongHop!B2711</f>
        <v>0</v>
      </c>
      <c r="C2711">
        <f>[2]TongHop!C2711</f>
        <v>0</v>
      </c>
      <c r="D2711">
        <f>[2]TongHop!D2711</f>
        <v>0</v>
      </c>
      <c r="E2711">
        <f>[2]TongHop!E2711</f>
        <v>0</v>
      </c>
      <c r="F2711">
        <f>[2]TongHop!F2711</f>
        <v>0</v>
      </c>
      <c r="G2711">
        <f>[2]TongHop!G2711</f>
        <v>0</v>
      </c>
      <c r="H2711">
        <f>[2]TongHop!H2711</f>
        <v>0</v>
      </c>
      <c r="I2711">
        <f>[2]TongHop!I2711</f>
        <v>0</v>
      </c>
      <c r="J2711">
        <f>[2]TongHop!J2711</f>
        <v>0</v>
      </c>
      <c r="K2711">
        <f>[2]TongHop!K2711</f>
        <v>0</v>
      </c>
      <c r="L2711">
        <f>[2]TongHop!L2711</f>
        <v>0</v>
      </c>
      <c r="M2711">
        <f>[2]TongHop!M2711</f>
        <v>0</v>
      </c>
      <c r="N2711">
        <f>[2]TongHop!N2711</f>
        <v>0</v>
      </c>
    </row>
    <row r="2712" spans="1:14">
      <c r="A2712">
        <f>[2]TongHop!A2712</f>
        <v>0</v>
      </c>
      <c r="B2712">
        <f>[2]TongHop!B2712</f>
        <v>0</v>
      </c>
      <c r="C2712">
        <f>[2]TongHop!C2712</f>
        <v>0</v>
      </c>
      <c r="D2712">
        <f>[2]TongHop!D2712</f>
        <v>0</v>
      </c>
      <c r="E2712">
        <f>[2]TongHop!E2712</f>
        <v>0</v>
      </c>
      <c r="F2712">
        <f>[2]TongHop!F2712</f>
        <v>0</v>
      </c>
      <c r="G2712">
        <f>[2]TongHop!G2712</f>
        <v>0</v>
      </c>
      <c r="H2712">
        <f>[2]TongHop!H2712</f>
        <v>0</v>
      </c>
      <c r="I2712">
        <f>[2]TongHop!I2712</f>
        <v>0</v>
      </c>
      <c r="J2712">
        <f>[2]TongHop!J2712</f>
        <v>0</v>
      </c>
      <c r="K2712">
        <f>[2]TongHop!K2712</f>
        <v>0</v>
      </c>
      <c r="L2712">
        <f>[2]TongHop!L2712</f>
        <v>0</v>
      </c>
      <c r="M2712">
        <f>[2]TongHop!M2712</f>
        <v>0</v>
      </c>
      <c r="N2712">
        <f>[2]TongHop!N2712</f>
        <v>0</v>
      </c>
    </row>
    <row r="2713" spans="1:14">
      <c r="A2713">
        <f>[2]TongHop!A2713</f>
        <v>0</v>
      </c>
      <c r="B2713">
        <f>[2]TongHop!B2713</f>
        <v>0</v>
      </c>
      <c r="C2713">
        <f>[2]TongHop!C2713</f>
        <v>0</v>
      </c>
      <c r="D2713">
        <f>[2]TongHop!D2713</f>
        <v>0</v>
      </c>
      <c r="E2713">
        <f>[2]TongHop!E2713</f>
        <v>0</v>
      </c>
      <c r="F2713">
        <f>[2]TongHop!F2713</f>
        <v>0</v>
      </c>
      <c r="G2713">
        <f>[2]TongHop!G2713</f>
        <v>0</v>
      </c>
      <c r="H2713">
        <f>[2]TongHop!H2713</f>
        <v>0</v>
      </c>
      <c r="I2713">
        <f>[2]TongHop!I2713</f>
        <v>0</v>
      </c>
      <c r="J2713">
        <f>[2]TongHop!J2713</f>
        <v>0</v>
      </c>
      <c r="K2713">
        <f>[2]TongHop!K2713</f>
        <v>0</v>
      </c>
      <c r="L2713">
        <f>[2]TongHop!L2713</f>
        <v>0</v>
      </c>
      <c r="M2713">
        <f>[2]TongHop!M2713</f>
        <v>0</v>
      </c>
      <c r="N2713">
        <f>[2]TongHop!N2713</f>
        <v>0</v>
      </c>
    </row>
    <row r="2714" spans="1:14">
      <c r="A2714">
        <f>[2]TongHop!A2714</f>
        <v>0</v>
      </c>
      <c r="B2714">
        <f>[2]TongHop!B2714</f>
        <v>0</v>
      </c>
      <c r="C2714">
        <f>[2]TongHop!C2714</f>
        <v>0</v>
      </c>
      <c r="D2714">
        <f>[2]TongHop!D2714</f>
        <v>0</v>
      </c>
      <c r="E2714">
        <f>[2]TongHop!E2714</f>
        <v>0</v>
      </c>
      <c r="F2714">
        <f>[2]TongHop!F2714</f>
        <v>0</v>
      </c>
      <c r="G2714">
        <f>[2]TongHop!G2714</f>
        <v>0</v>
      </c>
      <c r="H2714">
        <f>[2]TongHop!H2714</f>
        <v>0</v>
      </c>
      <c r="I2714">
        <f>[2]TongHop!I2714</f>
        <v>0</v>
      </c>
      <c r="J2714">
        <f>[2]TongHop!J2714</f>
        <v>0</v>
      </c>
      <c r="K2714">
        <f>[2]TongHop!K2714</f>
        <v>0</v>
      </c>
      <c r="L2714">
        <f>[2]TongHop!L2714</f>
        <v>0</v>
      </c>
      <c r="M2714">
        <f>[2]TongHop!M2714</f>
        <v>0</v>
      </c>
      <c r="N2714">
        <f>[2]TongHop!N2714</f>
        <v>0</v>
      </c>
    </row>
    <row r="2715" spans="1:14">
      <c r="A2715">
        <f>[2]TongHop!A2715</f>
        <v>0</v>
      </c>
      <c r="B2715">
        <f>[2]TongHop!B2715</f>
        <v>0</v>
      </c>
      <c r="C2715">
        <f>[2]TongHop!C2715</f>
        <v>0</v>
      </c>
      <c r="D2715">
        <f>[2]TongHop!D2715</f>
        <v>0</v>
      </c>
      <c r="E2715">
        <f>[2]TongHop!E2715</f>
        <v>0</v>
      </c>
      <c r="F2715">
        <f>[2]TongHop!F2715</f>
        <v>0</v>
      </c>
      <c r="G2715">
        <f>[2]TongHop!G2715</f>
        <v>0</v>
      </c>
      <c r="H2715">
        <f>[2]TongHop!H2715</f>
        <v>0</v>
      </c>
      <c r="I2715">
        <f>[2]TongHop!I2715</f>
        <v>0</v>
      </c>
      <c r="J2715">
        <f>[2]TongHop!J2715</f>
        <v>0</v>
      </c>
      <c r="K2715">
        <f>[2]TongHop!K2715</f>
        <v>0</v>
      </c>
      <c r="L2715">
        <f>[2]TongHop!L2715</f>
        <v>0</v>
      </c>
      <c r="M2715">
        <f>[2]TongHop!M2715</f>
        <v>0</v>
      </c>
      <c r="N2715">
        <f>[2]TongHop!N2715</f>
        <v>0</v>
      </c>
    </row>
    <row r="2716" spans="1:14">
      <c r="A2716">
        <f>[2]TongHop!A2716</f>
        <v>0</v>
      </c>
      <c r="B2716">
        <f>[2]TongHop!B2716</f>
        <v>0</v>
      </c>
      <c r="C2716">
        <f>[2]TongHop!C2716</f>
        <v>0</v>
      </c>
      <c r="D2716">
        <f>[2]TongHop!D2716</f>
        <v>0</v>
      </c>
      <c r="E2716">
        <f>[2]TongHop!E2716</f>
        <v>0</v>
      </c>
      <c r="F2716">
        <f>[2]TongHop!F2716</f>
        <v>0</v>
      </c>
      <c r="G2716">
        <f>[2]TongHop!G2716</f>
        <v>0</v>
      </c>
      <c r="H2716">
        <f>[2]TongHop!H2716</f>
        <v>0</v>
      </c>
      <c r="I2716">
        <f>[2]TongHop!I2716</f>
        <v>0</v>
      </c>
      <c r="J2716">
        <f>[2]TongHop!J2716</f>
        <v>0</v>
      </c>
      <c r="K2716">
        <f>[2]TongHop!K2716</f>
        <v>0</v>
      </c>
      <c r="L2716">
        <f>[2]TongHop!L2716</f>
        <v>0</v>
      </c>
      <c r="M2716">
        <f>[2]TongHop!M2716</f>
        <v>0</v>
      </c>
      <c r="N2716">
        <f>[2]TongHop!N2716</f>
        <v>0</v>
      </c>
    </row>
    <row r="2717" spans="1:14">
      <c r="A2717">
        <f>[2]TongHop!A2717</f>
        <v>0</v>
      </c>
      <c r="B2717">
        <f>[2]TongHop!B2717</f>
        <v>0</v>
      </c>
      <c r="C2717">
        <f>[2]TongHop!C2717</f>
        <v>0</v>
      </c>
      <c r="D2717">
        <f>[2]TongHop!D2717</f>
        <v>0</v>
      </c>
      <c r="E2717">
        <f>[2]TongHop!E2717</f>
        <v>0</v>
      </c>
      <c r="F2717">
        <f>[2]TongHop!F2717</f>
        <v>0</v>
      </c>
      <c r="G2717">
        <f>[2]TongHop!G2717</f>
        <v>0</v>
      </c>
      <c r="H2717">
        <f>[2]TongHop!H2717</f>
        <v>0</v>
      </c>
      <c r="I2717">
        <f>[2]TongHop!I2717</f>
        <v>0</v>
      </c>
      <c r="J2717">
        <f>[2]TongHop!J2717</f>
        <v>0</v>
      </c>
      <c r="K2717">
        <f>[2]TongHop!K2717</f>
        <v>0</v>
      </c>
      <c r="L2717">
        <f>[2]TongHop!L2717</f>
        <v>0</v>
      </c>
      <c r="M2717">
        <f>[2]TongHop!M2717</f>
        <v>0</v>
      </c>
      <c r="N2717">
        <f>[2]TongHop!N2717</f>
        <v>0</v>
      </c>
    </row>
    <row r="2718" spans="1:14">
      <c r="A2718">
        <f>[2]TongHop!A2718</f>
        <v>0</v>
      </c>
      <c r="B2718">
        <f>[2]TongHop!B2718</f>
        <v>0</v>
      </c>
      <c r="C2718">
        <f>[2]TongHop!C2718</f>
        <v>0</v>
      </c>
      <c r="D2718">
        <f>[2]TongHop!D2718</f>
        <v>0</v>
      </c>
      <c r="E2718">
        <f>[2]TongHop!E2718</f>
        <v>0</v>
      </c>
      <c r="F2718">
        <f>[2]TongHop!F2718</f>
        <v>0</v>
      </c>
      <c r="G2718">
        <f>[2]TongHop!G2718</f>
        <v>0</v>
      </c>
      <c r="H2718">
        <f>[2]TongHop!H2718</f>
        <v>0</v>
      </c>
      <c r="I2718">
        <f>[2]TongHop!I2718</f>
        <v>0</v>
      </c>
      <c r="J2718">
        <f>[2]TongHop!J2718</f>
        <v>0</v>
      </c>
      <c r="K2718">
        <f>[2]TongHop!K2718</f>
        <v>0</v>
      </c>
      <c r="L2718">
        <f>[2]TongHop!L2718</f>
        <v>0</v>
      </c>
      <c r="M2718">
        <f>[2]TongHop!M2718</f>
        <v>0</v>
      </c>
      <c r="N2718">
        <f>[2]TongHop!N2718</f>
        <v>0</v>
      </c>
    </row>
    <row r="2719" spans="1:14">
      <c r="A2719">
        <f>[2]TongHop!A2719</f>
        <v>0</v>
      </c>
      <c r="B2719">
        <f>[2]TongHop!B2719</f>
        <v>0</v>
      </c>
      <c r="C2719">
        <f>[2]TongHop!C2719</f>
        <v>0</v>
      </c>
      <c r="D2719">
        <f>[2]TongHop!D2719</f>
        <v>0</v>
      </c>
      <c r="E2719">
        <f>[2]TongHop!E2719</f>
        <v>0</v>
      </c>
      <c r="F2719">
        <f>[2]TongHop!F2719</f>
        <v>0</v>
      </c>
      <c r="G2719">
        <f>[2]TongHop!G2719</f>
        <v>0</v>
      </c>
      <c r="H2719">
        <f>[2]TongHop!H2719</f>
        <v>0</v>
      </c>
      <c r="I2719">
        <f>[2]TongHop!I2719</f>
        <v>0</v>
      </c>
      <c r="J2719">
        <f>[2]TongHop!J2719</f>
        <v>0</v>
      </c>
      <c r="K2719">
        <f>[2]TongHop!K2719</f>
        <v>0</v>
      </c>
      <c r="L2719">
        <f>[2]TongHop!L2719</f>
        <v>0</v>
      </c>
      <c r="M2719">
        <f>[2]TongHop!M2719</f>
        <v>0</v>
      </c>
      <c r="N2719">
        <f>[2]TongHop!N2719</f>
        <v>0</v>
      </c>
    </row>
    <row r="2720" spans="1:14">
      <c r="A2720">
        <f>[2]TongHop!A2720</f>
        <v>0</v>
      </c>
      <c r="B2720">
        <f>[2]TongHop!B2720</f>
        <v>0</v>
      </c>
      <c r="C2720">
        <f>[2]TongHop!C2720</f>
        <v>0</v>
      </c>
      <c r="D2720">
        <f>[2]TongHop!D2720</f>
        <v>0</v>
      </c>
      <c r="E2720">
        <f>[2]TongHop!E2720</f>
        <v>0</v>
      </c>
      <c r="F2720">
        <f>[2]TongHop!F2720</f>
        <v>0</v>
      </c>
      <c r="G2720">
        <f>[2]TongHop!G2720</f>
        <v>0</v>
      </c>
      <c r="H2720">
        <f>[2]TongHop!H2720</f>
        <v>0</v>
      </c>
      <c r="I2720">
        <f>[2]TongHop!I2720</f>
        <v>0</v>
      </c>
      <c r="J2720">
        <f>[2]TongHop!J2720</f>
        <v>0</v>
      </c>
      <c r="K2720">
        <f>[2]TongHop!K2720</f>
        <v>0</v>
      </c>
      <c r="L2720">
        <f>[2]TongHop!L2720</f>
        <v>0</v>
      </c>
      <c r="M2720">
        <f>[2]TongHop!M2720</f>
        <v>0</v>
      </c>
      <c r="N2720">
        <f>[2]TongHop!N2720</f>
        <v>0</v>
      </c>
    </row>
    <row r="2721" spans="1:14">
      <c r="A2721">
        <f>[2]TongHop!A2721</f>
        <v>0</v>
      </c>
      <c r="B2721">
        <f>[2]TongHop!B2721</f>
        <v>0</v>
      </c>
      <c r="C2721">
        <f>[2]TongHop!C2721</f>
        <v>0</v>
      </c>
      <c r="D2721">
        <f>[2]TongHop!D2721</f>
        <v>0</v>
      </c>
      <c r="E2721">
        <f>[2]TongHop!E2721</f>
        <v>0</v>
      </c>
      <c r="F2721">
        <f>[2]TongHop!F2721</f>
        <v>0</v>
      </c>
      <c r="G2721">
        <f>[2]TongHop!G2721</f>
        <v>0</v>
      </c>
      <c r="H2721">
        <f>[2]TongHop!H2721</f>
        <v>0</v>
      </c>
      <c r="I2721">
        <f>[2]TongHop!I2721</f>
        <v>0</v>
      </c>
      <c r="J2721">
        <f>[2]TongHop!J2721</f>
        <v>0</v>
      </c>
      <c r="K2721">
        <f>[2]TongHop!K2721</f>
        <v>0</v>
      </c>
      <c r="L2721">
        <f>[2]TongHop!L2721</f>
        <v>0</v>
      </c>
      <c r="M2721">
        <f>[2]TongHop!M2721</f>
        <v>0</v>
      </c>
      <c r="N2721">
        <f>[2]TongHop!N2721</f>
        <v>0</v>
      </c>
    </row>
    <row r="2722" spans="1:14">
      <c r="A2722">
        <f>[2]TongHop!A2722</f>
        <v>0</v>
      </c>
      <c r="B2722">
        <f>[2]TongHop!B2722</f>
        <v>0</v>
      </c>
      <c r="C2722">
        <f>[2]TongHop!C2722</f>
        <v>0</v>
      </c>
      <c r="D2722">
        <f>[2]TongHop!D2722</f>
        <v>0</v>
      </c>
      <c r="E2722">
        <f>[2]TongHop!E2722</f>
        <v>0</v>
      </c>
      <c r="F2722">
        <f>[2]TongHop!F2722</f>
        <v>0</v>
      </c>
      <c r="G2722">
        <f>[2]TongHop!G2722</f>
        <v>0</v>
      </c>
      <c r="H2722">
        <f>[2]TongHop!H2722</f>
        <v>0</v>
      </c>
      <c r="I2722">
        <f>[2]TongHop!I2722</f>
        <v>0</v>
      </c>
      <c r="J2722">
        <f>[2]TongHop!J2722</f>
        <v>0</v>
      </c>
      <c r="K2722">
        <f>[2]TongHop!K2722</f>
        <v>0</v>
      </c>
      <c r="L2722">
        <f>[2]TongHop!L2722</f>
        <v>0</v>
      </c>
      <c r="M2722">
        <f>[2]TongHop!M2722</f>
        <v>0</v>
      </c>
      <c r="N2722">
        <f>[2]TongHop!N2722</f>
        <v>0</v>
      </c>
    </row>
    <row r="2723" spans="1:14">
      <c r="A2723">
        <f>[2]TongHop!A2723</f>
        <v>0</v>
      </c>
      <c r="B2723">
        <f>[2]TongHop!B2723</f>
        <v>0</v>
      </c>
      <c r="C2723">
        <f>[2]TongHop!C2723</f>
        <v>0</v>
      </c>
      <c r="D2723">
        <f>[2]TongHop!D2723</f>
        <v>0</v>
      </c>
      <c r="E2723">
        <f>[2]TongHop!E2723</f>
        <v>0</v>
      </c>
      <c r="F2723">
        <f>[2]TongHop!F2723</f>
        <v>0</v>
      </c>
      <c r="G2723">
        <f>[2]TongHop!G2723</f>
        <v>0</v>
      </c>
      <c r="H2723">
        <f>[2]TongHop!H2723</f>
        <v>0</v>
      </c>
      <c r="I2723">
        <f>[2]TongHop!I2723</f>
        <v>0</v>
      </c>
      <c r="J2723">
        <f>[2]TongHop!J2723</f>
        <v>0</v>
      </c>
      <c r="K2723">
        <f>[2]TongHop!K2723</f>
        <v>0</v>
      </c>
      <c r="L2723">
        <f>[2]TongHop!L2723</f>
        <v>0</v>
      </c>
      <c r="M2723">
        <f>[2]TongHop!M2723</f>
        <v>0</v>
      </c>
      <c r="N2723">
        <f>[2]TongHop!N2723</f>
        <v>0</v>
      </c>
    </row>
    <row r="2724" spans="1:14">
      <c r="A2724">
        <f>[2]TongHop!A2724</f>
        <v>0</v>
      </c>
      <c r="B2724">
        <f>[2]TongHop!B2724</f>
        <v>0</v>
      </c>
      <c r="C2724">
        <f>[2]TongHop!C2724</f>
        <v>0</v>
      </c>
      <c r="D2724">
        <f>[2]TongHop!D2724</f>
        <v>0</v>
      </c>
      <c r="E2724">
        <f>[2]TongHop!E2724</f>
        <v>0</v>
      </c>
      <c r="F2724">
        <f>[2]TongHop!F2724</f>
        <v>0</v>
      </c>
      <c r="G2724">
        <f>[2]TongHop!G2724</f>
        <v>0</v>
      </c>
      <c r="H2724">
        <f>[2]TongHop!H2724</f>
        <v>0</v>
      </c>
      <c r="I2724">
        <f>[2]TongHop!I2724</f>
        <v>0</v>
      </c>
      <c r="J2724">
        <f>[2]TongHop!J2724</f>
        <v>0</v>
      </c>
      <c r="K2724">
        <f>[2]TongHop!K2724</f>
        <v>0</v>
      </c>
      <c r="L2724">
        <f>[2]TongHop!L2724</f>
        <v>0</v>
      </c>
      <c r="M2724">
        <f>[2]TongHop!M2724</f>
        <v>0</v>
      </c>
      <c r="N2724">
        <f>[2]TongHop!N2724</f>
        <v>0</v>
      </c>
    </row>
    <row r="2725" spans="1:14">
      <c r="A2725">
        <f>[2]TongHop!A2725</f>
        <v>0</v>
      </c>
      <c r="B2725">
        <f>[2]TongHop!B2725</f>
        <v>0</v>
      </c>
      <c r="C2725">
        <f>[2]TongHop!C2725</f>
        <v>0</v>
      </c>
      <c r="D2725">
        <f>[2]TongHop!D2725</f>
        <v>0</v>
      </c>
      <c r="E2725">
        <f>[2]TongHop!E2725</f>
        <v>0</v>
      </c>
      <c r="F2725">
        <f>[2]TongHop!F2725</f>
        <v>0</v>
      </c>
      <c r="G2725">
        <f>[2]TongHop!G2725</f>
        <v>0</v>
      </c>
      <c r="H2725">
        <f>[2]TongHop!H2725</f>
        <v>0</v>
      </c>
      <c r="I2725">
        <f>[2]TongHop!I2725</f>
        <v>0</v>
      </c>
      <c r="J2725">
        <f>[2]TongHop!J2725</f>
        <v>0</v>
      </c>
      <c r="K2725">
        <f>[2]TongHop!K2725</f>
        <v>0</v>
      </c>
      <c r="L2725">
        <f>[2]TongHop!L2725</f>
        <v>0</v>
      </c>
      <c r="M2725">
        <f>[2]TongHop!M2725</f>
        <v>0</v>
      </c>
      <c r="N2725">
        <f>[2]TongHop!N2725</f>
        <v>0</v>
      </c>
    </row>
    <row r="2726" spans="1:14">
      <c r="A2726">
        <f>[2]TongHop!A2726</f>
        <v>0</v>
      </c>
      <c r="B2726">
        <f>[2]TongHop!B2726</f>
        <v>0</v>
      </c>
      <c r="C2726">
        <f>[2]TongHop!C2726</f>
        <v>0</v>
      </c>
      <c r="D2726">
        <f>[2]TongHop!D2726</f>
        <v>0</v>
      </c>
      <c r="E2726">
        <f>[2]TongHop!E2726</f>
        <v>0</v>
      </c>
      <c r="F2726">
        <f>[2]TongHop!F2726</f>
        <v>0</v>
      </c>
      <c r="G2726">
        <f>[2]TongHop!G2726</f>
        <v>0</v>
      </c>
      <c r="H2726">
        <f>[2]TongHop!H2726</f>
        <v>0</v>
      </c>
      <c r="I2726">
        <f>[2]TongHop!I2726</f>
        <v>0</v>
      </c>
      <c r="J2726">
        <f>[2]TongHop!J2726</f>
        <v>0</v>
      </c>
      <c r="K2726">
        <f>[2]TongHop!K2726</f>
        <v>0</v>
      </c>
      <c r="L2726">
        <f>[2]TongHop!L2726</f>
        <v>0</v>
      </c>
      <c r="M2726">
        <f>[2]TongHop!M2726</f>
        <v>0</v>
      </c>
      <c r="N2726">
        <f>[2]TongHop!N2726</f>
        <v>0</v>
      </c>
    </row>
    <row r="2727" spans="1:14">
      <c r="A2727">
        <f>[2]TongHop!A2727</f>
        <v>0</v>
      </c>
      <c r="B2727">
        <f>[2]TongHop!B2727</f>
        <v>0</v>
      </c>
      <c r="C2727">
        <f>[2]TongHop!C2727</f>
        <v>0</v>
      </c>
      <c r="D2727">
        <f>[2]TongHop!D2727</f>
        <v>0</v>
      </c>
      <c r="E2727">
        <f>[2]TongHop!E2727</f>
        <v>0</v>
      </c>
      <c r="F2727">
        <f>[2]TongHop!F2727</f>
        <v>0</v>
      </c>
      <c r="G2727">
        <f>[2]TongHop!G2727</f>
        <v>0</v>
      </c>
      <c r="H2727">
        <f>[2]TongHop!H2727</f>
        <v>0</v>
      </c>
      <c r="I2727">
        <f>[2]TongHop!I2727</f>
        <v>0</v>
      </c>
      <c r="J2727">
        <f>[2]TongHop!J2727</f>
        <v>0</v>
      </c>
      <c r="K2727">
        <f>[2]TongHop!K2727</f>
        <v>0</v>
      </c>
      <c r="L2727">
        <f>[2]TongHop!L2727</f>
        <v>0</v>
      </c>
      <c r="M2727">
        <f>[2]TongHop!M2727</f>
        <v>0</v>
      </c>
      <c r="N2727">
        <f>[2]TongHop!N2727</f>
        <v>0</v>
      </c>
    </row>
    <row r="2728" spans="1:14">
      <c r="A2728">
        <f>[2]TongHop!A2728</f>
        <v>0</v>
      </c>
      <c r="B2728">
        <f>[2]TongHop!B2728</f>
        <v>0</v>
      </c>
      <c r="C2728">
        <f>[2]TongHop!C2728</f>
        <v>0</v>
      </c>
      <c r="D2728">
        <f>[2]TongHop!D2728</f>
        <v>0</v>
      </c>
      <c r="E2728">
        <f>[2]TongHop!E2728</f>
        <v>0</v>
      </c>
      <c r="F2728">
        <f>[2]TongHop!F2728</f>
        <v>0</v>
      </c>
      <c r="G2728">
        <f>[2]TongHop!G2728</f>
        <v>0</v>
      </c>
      <c r="H2728">
        <f>[2]TongHop!H2728</f>
        <v>0</v>
      </c>
      <c r="I2728">
        <f>[2]TongHop!I2728</f>
        <v>0</v>
      </c>
      <c r="J2728">
        <f>[2]TongHop!J2728</f>
        <v>0</v>
      </c>
      <c r="K2728">
        <f>[2]TongHop!K2728</f>
        <v>0</v>
      </c>
      <c r="L2728">
        <f>[2]TongHop!L2728</f>
        <v>0</v>
      </c>
      <c r="M2728">
        <f>[2]TongHop!M2728</f>
        <v>0</v>
      </c>
      <c r="N2728">
        <f>[2]TongHop!N2728</f>
        <v>0</v>
      </c>
    </row>
    <row r="2729" spans="1:14">
      <c r="A2729">
        <f>[2]TongHop!A2729</f>
        <v>0</v>
      </c>
      <c r="B2729">
        <f>[2]TongHop!B2729</f>
        <v>0</v>
      </c>
      <c r="C2729">
        <f>[2]TongHop!C2729</f>
        <v>0</v>
      </c>
      <c r="D2729">
        <f>[2]TongHop!D2729</f>
        <v>0</v>
      </c>
      <c r="E2729">
        <f>[2]TongHop!E2729</f>
        <v>0</v>
      </c>
      <c r="F2729">
        <f>[2]TongHop!F2729</f>
        <v>0</v>
      </c>
      <c r="G2729">
        <f>[2]TongHop!G2729</f>
        <v>0</v>
      </c>
      <c r="H2729">
        <f>[2]TongHop!H2729</f>
        <v>0</v>
      </c>
      <c r="I2729">
        <f>[2]TongHop!I2729</f>
        <v>0</v>
      </c>
      <c r="J2729">
        <f>[2]TongHop!J2729</f>
        <v>0</v>
      </c>
      <c r="K2729">
        <f>[2]TongHop!K2729</f>
        <v>0</v>
      </c>
      <c r="L2729">
        <f>[2]TongHop!L2729</f>
        <v>0</v>
      </c>
      <c r="M2729">
        <f>[2]TongHop!M2729</f>
        <v>0</v>
      </c>
      <c r="N2729">
        <f>[2]TongHop!N2729</f>
        <v>0</v>
      </c>
    </row>
    <row r="2730" spans="1:14">
      <c r="A2730">
        <f>[2]TongHop!A2730</f>
        <v>0</v>
      </c>
      <c r="B2730">
        <f>[2]TongHop!B2730</f>
        <v>0</v>
      </c>
      <c r="C2730">
        <f>[2]TongHop!C2730</f>
        <v>0</v>
      </c>
      <c r="D2730">
        <f>[2]TongHop!D2730</f>
        <v>0</v>
      </c>
      <c r="E2730">
        <f>[2]TongHop!E2730</f>
        <v>0</v>
      </c>
      <c r="F2730">
        <f>[2]TongHop!F2730</f>
        <v>0</v>
      </c>
      <c r="G2730">
        <f>[2]TongHop!G2730</f>
        <v>0</v>
      </c>
      <c r="H2730">
        <f>[2]TongHop!H2730</f>
        <v>0</v>
      </c>
      <c r="I2730">
        <f>[2]TongHop!I2730</f>
        <v>0</v>
      </c>
      <c r="J2730">
        <f>[2]TongHop!J2730</f>
        <v>0</v>
      </c>
      <c r="K2730">
        <f>[2]TongHop!K2730</f>
        <v>0</v>
      </c>
      <c r="L2730">
        <f>[2]TongHop!L2730</f>
        <v>0</v>
      </c>
      <c r="M2730">
        <f>[2]TongHop!M2730</f>
        <v>0</v>
      </c>
      <c r="N2730">
        <f>[2]TongHop!N2730</f>
        <v>0</v>
      </c>
    </row>
    <row r="2731" spans="1:14">
      <c r="A2731">
        <f>[2]TongHop!A2731</f>
        <v>0</v>
      </c>
      <c r="B2731">
        <f>[2]TongHop!B2731</f>
        <v>0</v>
      </c>
      <c r="C2731">
        <f>[2]TongHop!C2731</f>
        <v>0</v>
      </c>
      <c r="D2731">
        <f>[2]TongHop!D2731</f>
        <v>0</v>
      </c>
      <c r="E2731">
        <f>[2]TongHop!E2731</f>
        <v>0</v>
      </c>
      <c r="F2731">
        <f>[2]TongHop!F2731</f>
        <v>0</v>
      </c>
      <c r="G2731">
        <f>[2]TongHop!G2731</f>
        <v>0</v>
      </c>
      <c r="H2731">
        <f>[2]TongHop!H2731</f>
        <v>0</v>
      </c>
      <c r="I2731">
        <f>[2]TongHop!I2731</f>
        <v>0</v>
      </c>
      <c r="J2731">
        <f>[2]TongHop!J2731</f>
        <v>0</v>
      </c>
      <c r="K2731">
        <f>[2]TongHop!K2731</f>
        <v>0</v>
      </c>
      <c r="L2731">
        <f>[2]TongHop!L2731</f>
        <v>0</v>
      </c>
      <c r="M2731">
        <f>[2]TongHop!M2731</f>
        <v>0</v>
      </c>
      <c r="N2731">
        <f>[2]TongHop!N2731</f>
        <v>0</v>
      </c>
    </row>
    <row r="2732" spans="1:14">
      <c r="A2732">
        <f>[2]TongHop!A2732</f>
        <v>0</v>
      </c>
      <c r="B2732">
        <f>[2]TongHop!B2732</f>
        <v>0</v>
      </c>
      <c r="C2732">
        <f>[2]TongHop!C2732</f>
        <v>0</v>
      </c>
      <c r="D2732">
        <f>[2]TongHop!D2732</f>
        <v>0</v>
      </c>
      <c r="E2732">
        <f>[2]TongHop!E2732</f>
        <v>0</v>
      </c>
      <c r="F2732">
        <f>[2]TongHop!F2732</f>
        <v>0</v>
      </c>
      <c r="G2732">
        <f>[2]TongHop!G2732</f>
        <v>0</v>
      </c>
      <c r="H2732">
        <f>[2]TongHop!H2732</f>
        <v>0</v>
      </c>
      <c r="I2732">
        <f>[2]TongHop!I2732</f>
        <v>0</v>
      </c>
      <c r="J2732">
        <f>[2]TongHop!J2732</f>
        <v>0</v>
      </c>
      <c r="K2732">
        <f>[2]TongHop!K2732</f>
        <v>0</v>
      </c>
      <c r="L2732">
        <f>[2]TongHop!L2732</f>
        <v>0</v>
      </c>
      <c r="M2732">
        <f>[2]TongHop!M2732</f>
        <v>0</v>
      </c>
      <c r="N2732">
        <f>[2]TongHop!N2732</f>
        <v>0</v>
      </c>
    </row>
    <row r="2733" spans="1:14">
      <c r="A2733">
        <f>[2]TongHop!A2733</f>
        <v>0</v>
      </c>
      <c r="B2733">
        <f>[2]TongHop!B2733</f>
        <v>0</v>
      </c>
      <c r="C2733">
        <f>[2]TongHop!C2733</f>
        <v>0</v>
      </c>
      <c r="D2733">
        <f>[2]TongHop!D2733</f>
        <v>0</v>
      </c>
      <c r="E2733">
        <f>[2]TongHop!E2733</f>
        <v>0</v>
      </c>
      <c r="F2733">
        <f>[2]TongHop!F2733</f>
        <v>0</v>
      </c>
      <c r="G2733">
        <f>[2]TongHop!G2733</f>
        <v>0</v>
      </c>
      <c r="H2733">
        <f>[2]TongHop!H2733</f>
        <v>0</v>
      </c>
      <c r="I2733">
        <f>[2]TongHop!I2733</f>
        <v>0</v>
      </c>
      <c r="J2733">
        <f>[2]TongHop!J2733</f>
        <v>0</v>
      </c>
      <c r="K2733">
        <f>[2]TongHop!K2733</f>
        <v>0</v>
      </c>
      <c r="L2733">
        <f>[2]TongHop!L2733</f>
        <v>0</v>
      </c>
      <c r="M2733">
        <f>[2]TongHop!M2733</f>
        <v>0</v>
      </c>
      <c r="N2733">
        <f>[2]TongHop!N2733</f>
        <v>0</v>
      </c>
    </row>
    <row r="2734" spans="1:14">
      <c r="A2734">
        <f>[2]TongHop!A2734</f>
        <v>0</v>
      </c>
      <c r="B2734">
        <f>[2]TongHop!B2734</f>
        <v>0</v>
      </c>
      <c r="C2734">
        <f>[2]TongHop!C2734</f>
        <v>0</v>
      </c>
      <c r="D2734">
        <f>[2]TongHop!D2734</f>
        <v>0</v>
      </c>
      <c r="E2734">
        <f>[2]TongHop!E2734</f>
        <v>0</v>
      </c>
      <c r="F2734">
        <f>[2]TongHop!F2734</f>
        <v>0</v>
      </c>
      <c r="G2734">
        <f>[2]TongHop!G2734</f>
        <v>0</v>
      </c>
      <c r="H2734">
        <f>[2]TongHop!H2734</f>
        <v>0</v>
      </c>
      <c r="I2734">
        <f>[2]TongHop!I2734</f>
        <v>0</v>
      </c>
      <c r="J2734">
        <f>[2]TongHop!J2734</f>
        <v>0</v>
      </c>
      <c r="K2734">
        <f>[2]TongHop!K2734</f>
        <v>0</v>
      </c>
      <c r="L2734">
        <f>[2]TongHop!L2734</f>
        <v>0</v>
      </c>
      <c r="M2734">
        <f>[2]TongHop!M2734</f>
        <v>0</v>
      </c>
      <c r="N2734">
        <f>[2]TongHop!N2734</f>
        <v>0</v>
      </c>
    </row>
    <row r="2735" spans="1:14">
      <c r="A2735">
        <f>[2]TongHop!A2735</f>
        <v>0</v>
      </c>
      <c r="B2735">
        <f>[2]TongHop!B2735</f>
        <v>0</v>
      </c>
      <c r="C2735">
        <f>[2]TongHop!C2735</f>
        <v>0</v>
      </c>
      <c r="D2735">
        <f>[2]TongHop!D2735</f>
        <v>0</v>
      </c>
      <c r="E2735">
        <f>[2]TongHop!E2735</f>
        <v>0</v>
      </c>
      <c r="F2735">
        <f>[2]TongHop!F2735</f>
        <v>0</v>
      </c>
      <c r="G2735">
        <f>[2]TongHop!G2735</f>
        <v>0</v>
      </c>
      <c r="H2735">
        <f>[2]TongHop!H2735</f>
        <v>0</v>
      </c>
      <c r="I2735">
        <f>[2]TongHop!I2735</f>
        <v>0</v>
      </c>
      <c r="J2735">
        <f>[2]TongHop!J2735</f>
        <v>0</v>
      </c>
      <c r="K2735">
        <f>[2]TongHop!K2735</f>
        <v>0</v>
      </c>
      <c r="L2735">
        <f>[2]TongHop!L2735</f>
        <v>0</v>
      </c>
      <c r="M2735">
        <f>[2]TongHop!M2735</f>
        <v>0</v>
      </c>
      <c r="N2735">
        <f>[2]TongHop!N2735</f>
        <v>0</v>
      </c>
    </row>
    <row r="2736" spans="1:14">
      <c r="A2736">
        <f>[2]TongHop!A2736</f>
        <v>0</v>
      </c>
      <c r="B2736">
        <f>[2]TongHop!B2736</f>
        <v>0</v>
      </c>
      <c r="C2736">
        <f>[2]TongHop!C2736</f>
        <v>0</v>
      </c>
      <c r="D2736">
        <f>[2]TongHop!D2736</f>
        <v>0</v>
      </c>
      <c r="E2736">
        <f>[2]TongHop!E2736</f>
        <v>0</v>
      </c>
      <c r="F2736">
        <f>[2]TongHop!F2736</f>
        <v>0</v>
      </c>
      <c r="G2736">
        <f>[2]TongHop!G2736</f>
        <v>0</v>
      </c>
      <c r="H2736">
        <f>[2]TongHop!H2736</f>
        <v>0</v>
      </c>
      <c r="I2736">
        <f>[2]TongHop!I2736</f>
        <v>0</v>
      </c>
      <c r="J2736">
        <f>[2]TongHop!J2736</f>
        <v>0</v>
      </c>
      <c r="K2736">
        <f>[2]TongHop!K2736</f>
        <v>0</v>
      </c>
      <c r="L2736">
        <f>[2]TongHop!L2736</f>
        <v>0</v>
      </c>
      <c r="M2736">
        <f>[2]TongHop!M2736</f>
        <v>0</v>
      </c>
      <c r="N2736">
        <f>[2]TongHop!N2736</f>
        <v>0</v>
      </c>
    </row>
    <row r="2737" spans="1:14">
      <c r="A2737">
        <f>[2]TongHop!A2737</f>
        <v>0</v>
      </c>
      <c r="B2737">
        <f>[2]TongHop!B2737</f>
        <v>0</v>
      </c>
      <c r="C2737">
        <f>[2]TongHop!C2737</f>
        <v>0</v>
      </c>
      <c r="D2737">
        <f>[2]TongHop!D2737</f>
        <v>0</v>
      </c>
      <c r="E2737">
        <f>[2]TongHop!E2737</f>
        <v>0</v>
      </c>
      <c r="F2737">
        <f>[2]TongHop!F2737</f>
        <v>0</v>
      </c>
      <c r="G2737">
        <f>[2]TongHop!G2737</f>
        <v>0</v>
      </c>
      <c r="H2737">
        <f>[2]TongHop!H2737</f>
        <v>0</v>
      </c>
      <c r="I2737">
        <f>[2]TongHop!I2737</f>
        <v>0</v>
      </c>
      <c r="J2737">
        <f>[2]TongHop!J2737</f>
        <v>0</v>
      </c>
      <c r="K2737">
        <f>[2]TongHop!K2737</f>
        <v>0</v>
      </c>
      <c r="L2737">
        <f>[2]TongHop!L2737</f>
        <v>0</v>
      </c>
      <c r="M2737">
        <f>[2]TongHop!M2737</f>
        <v>0</v>
      </c>
      <c r="N2737">
        <f>[2]TongHop!N2737</f>
        <v>0</v>
      </c>
    </row>
    <row r="2738" spans="1:14">
      <c r="A2738">
        <f>[2]TongHop!A2738</f>
        <v>0</v>
      </c>
      <c r="B2738">
        <f>[2]TongHop!B2738</f>
        <v>0</v>
      </c>
      <c r="C2738">
        <f>[2]TongHop!C2738</f>
        <v>0</v>
      </c>
      <c r="D2738">
        <f>[2]TongHop!D2738</f>
        <v>0</v>
      </c>
      <c r="E2738">
        <f>[2]TongHop!E2738</f>
        <v>0</v>
      </c>
      <c r="F2738">
        <f>[2]TongHop!F2738</f>
        <v>0</v>
      </c>
      <c r="G2738">
        <f>[2]TongHop!G2738</f>
        <v>0</v>
      </c>
      <c r="H2738">
        <f>[2]TongHop!H2738</f>
        <v>0</v>
      </c>
      <c r="I2738">
        <f>[2]TongHop!I2738</f>
        <v>0</v>
      </c>
      <c r="J2738">
        <f>[2]TongHop!J2738</f>
        <v>0</v>
      </c>
      <c r="K2738">
        <f>[2]TongHop!K2738</f>
        <v>0</v>
      </c>
      <c r="L2738">
        <f>[2]TongHop!L2738</f>
        <v>0</v>
      </c>
      <c r="M2738">
        <f>[2]TongHop!M2738</f>
        <v>0</v>
      </c>
      <c r="N2738">
        <f>[2]TongHop!N2738</f>
        <v>0</v>
      </c>
    </row>
    <row r="2739" spans="1:14">
      <c r="A2739">
        <f>[2]TongHop!A2739</f>
        <v>0</v>
      </c>
      <c r="B2739">
        <f>[2]TongHop!B2739</f>
        <v>0</v>
      </c>
      <c r="C2739">
        <f>[2]TongHop!C2739</f>
        <v>0</v>
      </c>
      <c r="D2739">
        <f>[2]TongHop!D2739</f>
        <v>0</v>
      </c>
      <c r="E2739">
        <f>[2]TongHop!E2739</f>
        <v>0</v>
      </c>
      <c r="F2739">
        <f>[2]TongHop!F2739</f>
        <v>0</v>
      </c>
      <c r="G2739">
        <f>[2]TongHop!G2739</f>
        <v>0</v>
      </c>
      <c r="H2739">
        <f>[2]TongHop!H2739</f>
        <v>0</v>
      </c>
      <c r="I2739">
        <f>[2]TongHop!I2739</f>
        <v>0</v>
      </c>
      <c r="J2739">
        <f>[2]TongHop!J2739</f>
        <v>0</v>
      </c>
      <c r="K2739">
        <f>[2]TongHop!K2739</f>
        <v>0</v>
      </c>
      <c r="L2739">
        <f>[2]TongHop!L2739</f>
        <v>0</v>
      </c>
      <c r="M2739">
        <f>[2]TongHop!M2739</f>
        <v>0</v>
      </c>
      <c r="N2739">
        <f>[2]TongHop!N2739</f>
        <v>0</v>
      </c>
    </row>
    <row r="2740" spans="1:14">
      <c r="A2740">
        <f>[2]TongHop!A2740</f>
        <v>0</v>
      </c>
      <c r="B2740">
        <f>[2]TongHop!B2740</f>
        <v>0</v>
      </c>
      <c r="C2740">
        <f>[2]TongHop!C2740</f>
        <v>0</v>
      </c>
      <c r="D2740">
        <f>[2]TongHop!D2740</f>
        <v>0</v>
      </c>
      <c r="E2740">
        <f>[2]TongHop!E2740</f>
        <v>0</v>
      </c>
      <c r="F2740">
        <f>[2]TongHop!F2740</f>
        <v>0</v>
      </c>
      <c r="G2740">
        <f>[2]TongHop!G2740</f>
        <v>0</v>
      </c>
      <c r="H2740">
        <f>[2]TongHop!H2740</f>
        <v>0</v>
      </c>
      <c r="I2740">
        <f>[2]TongHop!I2740</f>
        <v>0</v>
      </c>
      <c r="J2740">
        <f>[2]TongHop!J2740</f>
        <v>0</v>
      </c>
      <c r="K2740">
        <f>[2]TongHop!K2740</f>
        <v>0</v>
      </c>
      <c r="L2740">
        <f>[2]TongHop!L2740</f>
        <v>0</v>
      </c>
      <c r="M2740">
        <f>[2]TongHop!M2740</f>
        <v>0</v>
      </c>
      <c r="N2740">
        <f>[2]TongHop!N2740</f>
        <v>0</v>
      </c>
    </row>
    <row r="2741" spans="1:14">
      <c r="A2741">
        <f>[2]TongHop!A2741</f>
        <v>0</v>
      </c>
      <c r="B2741">
        <f>[2]TongHop!B2741</f>
        <v>0</v>
      </c>
      <c r="C2741">
        <f>[2]TongHop!C2741</f>
        <v>0</v>
      </c>
      <c r="D2741">
        <f>[2]TongHop!D2741</f>
        <v>0</v>
      </c>
      <c r="E2741">
        <f>[2]TongHop!E2741</f>
        <v>0</v>
      </c>
      <c r="F2741">
        <f>[2]TongHop!F2741</f>
        <v>0</v>
      </c>
      <c r="G2741">
        <f>[2]TongHop!G2741</f>
        <v>0</v>
      </c>
      <c r="H2741">
        <f>[2]TongHop!H2741</f>
        <v>0</v>
      </c>
      <c r="I2741">
        <f>[2]TongHop!I2741</f>
        <v>0</v>
      </c>
      <c r="J2741">
        <f>[2]TongHop!J2741</f>
        <v>0</v>
      </c>
      <c r="K2741">
        <f>[2]TongHop!K2741</f>
        <v>0</v>
      </c>
      <c r="L2741">
        <f>[2]TongHop!L2741</f>
        <v>0</v>
      </c>
      <c r="M2741">
        <f>[2]TongHop!M2741</f>
        <v>0</v>
      </c>
      <c r="N2741">
        <f>[2]TongHop!N2741</f>
        <v>0</v>
      </c>
    </row>
    <row r="2742" spans="1:14">
      <c r="A2742">
        <f>[2]TongHop!A2742</f>
        <v>0</v>
      </c>
      <c r="B2742">
        <f>[2]TongHop!B2742</f>
        <v>0</v>
      </c>
      <c r="C2742">
        <f>[2]TongHop!C2742</f>
        <v>0</v>
      </c>
      <c r="D2742">
        <f>[2]TongHop!D2742</f>
        <v>0</v>
      </c>
      <c r="E2742">
        <f>[2]TongHop!E2742</f>
        <v>0</v>
      </c>
      <c r="F2742">
        <f>[2]TongHop!F2742</f>
        <v>0</v>
      </c>
      <c r="G2742">
        <f>[2]TongHop!G2742</f>
        <v>0</v>
      </c>
      <c r="H2742">
        <f>[2]TongHop!H2742</f>
        <v>0</v>
      </c>
      <c r="I2742">
        <f>[2]TongHop!I2742</f>
        <v>0</v>
      </c>
      <c r="J2742">
        <f>[2]TongHop!J2742</f>
        <v>0</v>
      </c>
      <c r="K2742">
        <f>[2]TongHop!K2742</f>
        <v>0</v>
      </c>
      <c r="L2742">
        <f>[2]TongHop!L2742</f>
        <v>0</v>
      </c>
      <c r="M2742">
        <f>[2]TongHop!M2742</f>
        <v>0</v>
      </c>
      <c r="N2742">
        <f>[2]TongHop!N2742</f>
        <v>0</v>
      </c>
    </row>
    <row r="2743" spans="1:14">
      <c r="A2743">
        <f>[2]TongHop!A2743</f>
        <v>0</v>
      </c>
      <c r="B2743">
        <f>[2]TongHop!B2743</f>
        <v>0</v>
      </c>
      <c r="C2743">
        <f>[2]TongHop!C2743</f>
        <v>0</v>
      </c>
      <c r="D2743">
        <f>[2]TongHop!D2743</f>
        <v>0</v>
      </c>
      <c r="E2743">
        <f>[2]TongHop!E2743</f>
        <v>0</v>
      </c>
      <c r="F2743">
        <f>[2]TongHop!F2743</f>
        <v>0</v>
      </c>
      <c r="G2743">
        <f>[2]TongHop!G2743</f>
        <v>0</v>
      </c>
      <c r="H2743">
        <f>[2]TongHop!H2743</f>
        <v>0</v>
      </c>
      <c r="I2743">
        <f>[2]TongHop!I2743</f>
        <v>0</v>
      </c>
      <c r="J2743">
        <f>[2]TongHop!J2743</f>
        <v>0</v>
      </c>
      <c r="K2743">
        <f>[2]TongHop!K2743</f>
        <v>0</v>
      </c>
      <c r="L2743">
        <f>[2]TongHop!L2743</f>
        <v>0</v>
      </c>
      <c r="M2743">
        <f>[2]TongHop!M2743</f>
        <v>0</v>
      </c>
      <c r="N2743">
        <f>[2]TongHop!N2743</f>
        <v>0</v>
      </c>
    </row>
    <row r="2744" spans="1:14">
      <c r="A2744">
        <f>[2]TongHop!A2744</f>
        <v>0</v>
      </c>
      <c r="B2744">
        <f>[2]TongHop!B2744</f>
        <v>0</v>
      </c>
      <c r="C2744">
        <f>[2]TongHop!C2744</f>
        <v>0</v>
      </c>
      <c r="D2744">
        <f>[2]TongHop!D2744</f>
        <v>0</v>
      </c>
      <c r="E2744">
        <f>[2]TongHop!E2744</f>
        <v>0</v>
      </c>
      <c r="F2744">
        <f>[2]TongHop!F2744</f>
        <v>0</v>
      </c>
      <c r="G2744">
        <f>[2]TongHop!G2744</f>
        <v>0</v>
      </c>
      <c r="H2744">
        <f>[2]TongHop!H2744</f>
        <v>0</v>
      </c>
      <c r="I2744">
        <f>[2]TongHop!I2744</f>
        <v>0</v>
      </c>
      <c r="J2744">
        <f>[2]TongHop!J2744</f>
        <v>0</v>
      </c>
      <c r="K2744">
        <f>[2]TongHop!K2744</f>
        <v>0</v>
      </c>
      <c r="L2744">
        <f>[2]TongHop!L2744</f>
        <v>0</v>
      </c>
      <c r="M2744">
        <f>[2]TongHop!M2744</f>
        <v>0</v>
      </c>
      <c r="N2744">
        <f>[2]TongHop!N2744</f>
        <v>0</v>
      </c>
    </row>
    <row r="2745" spans="1:14">
      <c r="A2745">
        <f>[2]TongHop!A2745</f>
        <v>0</v>
      </c>
      <c r="B2745">
        <f>[2]TongHop!B2745</f>
        <v>0</v>
      </c>
      <c r="C2745">
        <f>[2]TongHop!C2745</f>
        <v>0</v>
      </c>
      <c r="D2745">
        <f>[2]TongHop!D2745</f>
        <v>0</v>
      </c>
      <c r="E2745">
        <f>[2]TongHop!E2745</f>
        <v>0</v>
      </c>
      <c r="F2745">
        <f>[2]TongHop!F2745</f>
        <v>0</v>
      </c>
      <c r="G2745">
        <f>[2]TongHop!G2745</f>
        <v>0</v>
      </c>
      <c r="H2745">
        <f>[2]TongHop!H2745</f>
        <v>0</v>
      </c>
      <c r="I2745">
        <f>[2]TongHop!I2745</f>
        <v>0</v>
      </c>
      <c r="J2745">
        <f>[2]TongHop!J2745</f>
        <v>0</v>
      </c>
      <c r="K2745">
        <f>[2]TongHop!K2745</f>
        <v>0</v>
      </c>
      <c r="L2745">
        <f>[2]TongHop!L2745</f>
        <v>0</v>
      </c>
      <c r="M2745">
        <f>[2]TongHop!M2745</f>
        <v>0</v>
      </c>
      <c r="N2745">
        <f>[2]TongHop!N2745</f>
        <v>0</v>
      </c>
    </row>
    <row r="2746" spans="1:14">
      <c r="A2746">
        <f>[2]TongHop!A2746</f>
        <v>0</v>
      </c>
      <c r="B2746">
        <f>[2]TongHop!B2746</f>
        <v>0</v>
      </c>
      <c r="C2746">
        <f>[2]TongHop!C2746</f>
        <v>0</v>
      </c>
      <c r="D2746">
        <f>[2]TongHop!D2746</f>
        <v>0</v>
      </c>
      <c r="E2746">
        <f>[2]TongHop!E2746</f>
        <v>0</v>
      </c>
      <c r="F2746">
        <f>[2]TongHop!F2746</f>
        <v>0</v>
      </c>
      <c r="G2746">
        <f>[2]TongHop!G2746</f>
        <v>0</v>
      </c>
      <c r="H2746">
        <f>[2]TongHop!H2746</f>
        <v>0</v>
      </c>
      <c r="I2746">
        <f>[2]TongHop!I2746</f>
        <v>0</v>
      </c>
      <c r="J2746">
        <f>[2]TongHop!J2746</f>
        <v>0</v>
      </c>
      <c r="K2746">
        <f>[2]TongHop!K2746</f>
        <v>0</v>
      </c>
      <c r="L2746">
        <f>[2]TongHop!L2746</f>
        <v>0</v>
      </c>
      <c r="M2746">
        <f>[2]TongHop!M2746</f>
        <v>0</v>
      </c>
      <c r="N2746">
        <f>[2]TongHop!N2746</f>
        <v>0</v>
      </c>
    </row>
    <row r="2747" spans="1:14">
      <c r="A2747">
        <f>[2]TongHop!A2747</f>
        <v>0</v>
      </c>
      <c r="B2747">
        <f>[2]TongHop!B2747</f>
        <v>0</v>
      </c>
      <c r="C2747">
        <f>[2]TongHop!C2747</f>
        <v>0</v>
      </c>
      <c r="D2747">
        <f>[2]TongHop!D2747</f>
        <v>0</v>
      </c>
      <c r="E2747">
        <f>[2]TongHop!E2747</f>
        <v>0</v>
      </c>
      <c r="F2747">
        <f>[2]TongHop!F2747</f>
        <v>0</v>
      </c>
      <c r="G2747">
        <f>[2]TongHop!G2747</f>
        <v>0</v>
      </c>
      <c r="H2747">
        <f>[2]TongHop!H2747</f>
        <v>0</v>
      </c>
      <c r="I2747">
        <f>[2]TongHop!I2747</f>
        <v>0</v>
      </c>
      <c r="J2747">
        <f>[2]TongHop!J2747</f>
        <v>0</v>
      </c>
      <c r="K2747">
        <f>[2]TongHop!K2747</f>
        <v>0</v>
      </c>
      <c r="L2747">
        <f>[2]TongHop!L2747</f>
        <v>0</v>
      </c>
      <c r="M2747">
        <f>[2]TongHop!M2747</f>
        <v>0</v>
      </c>
      <c r="N2747">
        <f>[2]TongHop!N2747</f>
        <v>0</v>
      </c>
    </row>
    <row r="2748" spans="1:14">
      <c r="A2748">
        <f>[2]TongHop!A2748</f>
        <v>0</v>
      </c>
      <c r="B2748">
        <f>[2]TongHop!B2748</f>
        <v>0</v>
      </c>
      <c r="C2748">
        <f>[2]TongHop!C2748</f>
        <v>0</v>
      </c>
      <c r="D2748">
        <f>[2]TongHop!D2748</f>
        <v>0</v>
      </c>
      <c r="E2748">
        <f>[2]TongHop!E2748</f>
        <v>0</v>
      </c>
      <c r="F2748">
        <f>[2]TongHop!F2748</f>
        <v>0</v>
      </c>
      <c r="G2748">
        <f>[2]TongHop!G2748</f>
        <v>0</v>
      </c>
      <c r="H2748">
        <f>[2]TongHop!H2748</f>
        <v>0</v>
      </c>
      <c r="I2748">
        <f>[2]TongHop!I2748</f>
        <v>0</v>
      </c>
      <c r="J2748">
        <f>[2]TongHop!J2748</f>
        <v>0</v>
      </c>
      <c r="K2748">
        <f>[2]TongHop!K2748</f>
        <v>0</v>
      </c>
      <c r="L2748">
        <f>[2]TongHop!L2748</f>
        <v>0</v>
      </c>
      <c r="M2748">
        <f>[2]TongHop!M2748</f>
        <v>0</v>
      </c>
      <c r="N2748">
        <f>[2]TongHop!N2748</f>
        <v>0</v>
      </c>
    </row>
    <row r="2749" spans="1:14">
      <c r="A2749">
        <f>[2]TongHop!A2749</f>
        <v>0</v>
      </c>
      <c r="B2749">
        <f>[2]TongHop!B2749</f>
        <v>0</v>
      </c>
      <c r="C2749">
        <f>[2]TongHop!C2749</f>
        <v>0</v>
      </c>
      <c r="D2749">
        <f>[2]TongHop!D2749</f>
        <v>0</v>
      </c>
      <c r="E2749">
        <f>[2]TongHop!E2749</f>
        <v>0</v>
      </c>
      <c r="F2749">
        <f>[2]TongHop!F2749</f>
        <v>0</v>
      </c>
      <c r="G2749">
        <f>[2]TongHop!G2749</f>
        <v>0</v>
      </c>
      <c r="H2749">
        <f>[2]TongHop!H2749</f>
        <v>0</v>
      </c>
      <c r="I2749">
        <f>[2]TongHop!I2749</f>
        <v>0</v>
      </c>
      <c r="J2749">
        <f>[2]TongHop!J2749</f>
        <v>0</v>
      </c>
      <c r="K2749">
        <f>[2]TongHop!K2749</f>
        <v>0</v>
      </c>
      <c r="L2749">
        <f>[2]TongHop!L2749</f>
        <v>0</v>
      </c>
      <c r="M2749">
        <f>[2]TongHop!M2749</f>
        <v>0</v>
      </c>
      <c r="N2749">
        <f>[2]TongHop!N2749</f>
        <v>0</v>
      </c>
    </row>
    <row r="2750" spans="1:14">
      <c r="A2750">
        <f>[2]TongHop!A2750</f>
        <v>0</v>
      </c>
      <c r="B2750">
        <f>[2]TongHop!B2750</f>
        <v>0</v>
      </c>
      <c r="C2750">
        <f>[2]TongHop!C2750</f>
        <v>0</v>
      </c>
      <c r="D2750">
        <f>[2]TongHop!D2750</f>
        <v>0</v>
      </c>
      <c r="E2750">
        <f>[2]TongHop!E2750</f>
        <v>0</v>
      </c>
      <c r="F2750">
        <f>[2]TongHop!F2750</f>
        <v>0</v>
      </c>
      <c r="G2750">
        <f>[2]TongHop!G2750</f>
        <v>0</v>
      </c>
      <c r="H2750">
        <f>[2]TongHop!H2750</f>
        <v>0</v>
      </c>
      <c r="I2750">
        <f>[2]TongHop!I2750</f>
        <v>0</v>
      </c>
      <c r="J2750">
        <f>[2]TongHop!J2750</f>
        <v>0</v>
      </c>
      <c r="K2750">
        <f>[2]TongHop!K2750</f>
        <v>0</v>
      </c>
      <c r="L2750">
        <f>[2]TongHop!L2750</f>
        <v>0</v>
      </c>
      <c r="M2750">
        <f>[2]TongHop!M2750</f>
        <v>0</v>
      </c>
      <c r="N2750">
        <f>[2]TongHop!N2750</f>
        <v>0</v>
      </c>
    </row>
    <row r="2751" spans="1:14">
      <c r="A2751">
        <f>[2]TongHop!A2751</f>
        <v>0</v>
      </c>
      <c r="B2751">
        <f>[2]TongHop!B2751</f>
        <v>0</v>
      </c>
      <c r="C2751">
        <f>[2]TongHop!C2751</f>
        <v>0</v>
      </c>
      <c r="D2751">
        <f>[2]TongHop!D2751</f>
        <v>0</v>
      </c>
      <c r="E2751">
        <f>[2]TongHop!E2751</f>
        <v>0</v>
      </c>
      <c r="F2751">
        <f>[2]TongHop!F2751</f>
        <v>0</v>
      </c>
      <c r="G2751">
        <f>[2]TongHop!G2751</f>
        <v>0</v>
      </c>
      <c r="H2751">
        <f>[2]TongHop!H2751</f>
        <v>0</v>
      </c>
      <c r="I2751">
        <f>[2]TongHop!I2751</f>
        <v>0</v>
      </c>
      <c r="J2751">
        <f>[2]TongHop!J2751</f>
        <v>0</v>
      </c>
      <c r="K2751">
        <f>[2]TongHop!K2751</f>
        <v>0</v>
      </c>
      <c r="L2751">
        <f>[2]TongHop!L2751</f>
        <v>0</v>
      </c>
      <c r="M2751">
        <f>[2]TongHop!M2751</f>
        <v>0</v>
      </c>
      <c r="N2751">
        <f>[2]TongHop!N2751</f>
        <v>0</v>
      </c>
    </row>
    <row r="2752" spans="1:14">
      <c r="A2752">
        <f>[2]TongHop!A2752</f>
        <v>0</v>
      </c>
      <c r="B2752">
        <f>[2]TongHop!B2752</f>
        <v>0</v>
      </c>
      <c r="C2752">
        <f>[2]TongHop!C2752</f>
        <v>0</v>
      </c>
      <c r="D2752">
        <f>[2]TongHop!D2752</f>
        <v>0</v>
      </c>
      <c r="E2752">
        <f>[2]TongHop!E2752</f>
        <v>0</v>
      </c>
      <c r="F2752">
        <f>[2]TongHop!F2752</f>
        <v>0</v>
      </c>
      <c r="G2752">
        <f>[2]TongHop!G2752</f>
        <v>0</v>
      </c>
      <c r="H2752">
        <f>[2]TongHop!H2752</f>
        <v>0</v>
      </c>
      <c r="I2752">
        <f>[2]TongHop!I2752</f>
        <v>0</v>
      </c>
      <c r="J2752">
        <f>[2]TongHop!J2752</f>
        <v>0</v>
      </c>
      <c r="K2752">
        <f>[2]TongHop!K2752</f>
        <v>0</v>
      </c>
      <c r="L2752">
        <f>[2]TongHop!L2752</f>
        <v>0</v>
      </c>
      <c r="M2752">
        <f>[2]TongHop!M2752</f>
        <v>0</v>
      </c>
      <c r="N2752">
        <f>[2]TongHop!N2752</f>
        <v>0</v>
      </c>
    </row>
    <row r="2753" spans="1:14">
      <c r="A2753">
        <f>[2]TongHop!A2753</f>
        <v>0</v>
      </c>
      <c r="B2753">
        <f>[2]TongHop!B2753</f>
        <v>0</v>
      </c>
      <c r="C2753">
        <f>[2]TongHop!C2753</f>
        <v>0</v>
      </c>
      <c r="D2753">
        <f>[2]TongHop!D2753</f>
        <v>0</v>
      </c>
      <c r="E2753">
        <f>[2]TongHop!E2753</f>
        <v>0</v>
      </c>
      <c r="F2753">
        <f>[2]TongHop!F2753</f>
        <v>0</v>
      </c>
      <c r="G2753">
        <f>[2]TongHop!G2753</f>
        <v>0</v>
      </c>
      <c r="H2753">
        <f>[2]TongHop!H2753</f>
        <v>0</v>
      </c>
      <c r="I2753">
        <f>[2]TongHop!I2753</f>
        <v>0</v>
      </c>
      <c r="J2753">
        <f>[2]TongHop!J2753</f>
        <v>0</v>
      </c>
      <c r="K2753">
        <f>[2]TongHop!K2753</f>
        <v>0</v>
      </c>
      <c r="L2753">
        <f>[2]TongHop!L2753</f>
        <v>0</v>
      </c>
      <c r="M2753">
        <f>[2]TongHop!M2753</f>
        <v>0</v>
      </c>
      <c r="N2753">
        <f>[2]TongHop!N2753</f>
        <v>0</v>
      </c>
    </row>
    <row r="2754" spans="1:14">
      <c r="A2754">
        <f>[2]TongHop!A2754</f>
        <v>0</v>
      </c>
      <c r="B2754">
        <f>[2]TongHop!B2754</f>
        <v>0</v>
      </c>
      <c r="C2754">
        <f>[2]TongHop!C2754</f>
        <v>0</v>
      </c>
      <c r="D2754">
        <f>[2]TongHop!D2754</f>
        <v>0</v>
      </c>
      <c r="E2754">
        <f>[2]TongHop!E2754</f>
        <v>0</v>
      </c>
      <c r="F2754">
        <f>[2]TongHop!F2754</f>
        <v>0</v>
      </c>
      <c r="G2754">
        <f>[2]TongHop!G2754</f>
        <v>0</v>
      </c>
      <c r="H2754">
        <f>[2]TongHop!H2754</f>
        <v>0</v>
      </c>
      <c r="I2754">
        <f>[2]TongHop!I2754</f>
        <v>0</v>
      </c>
      <c r="J2754">
        <f>[2]TongHop!J2754</f>
        <v>0</v>
      </c>
      <c r="K2754">
        <f>[2]TongHop!K2754</f>
        <v>0</v>
      </c>
      <c r="L2754">
        <f>[2]TongHop!L2754</f>
        <v>0</v>
      </c>
      <c r="M2754">
        <f>[2]TongHop!M2754</f>
        <v>0</v>
      </c>
      <c r="N2754">
        <f>[2]TongHop!N2754</f>
        <v>0</v>
      </c>
    </row>
    <row r="2755" spans="1:14">
      <c r="A2755">
        <f>[2]TongHop!A2755</f>
        <v>0</v>
      </c>
      <c r="B2755">
        <f>[2]TongHop!B2755</f>
        <v>0</v>
      </c>
      <c r="C2755">
        <f>[2]TongHop!C2755</f>
        <v>0</v>
      </c>
      <c r="D2755">
        <f>[2]TongHop!D2755</f>
        <v>0</v>
      </c>
      <c r="E2755">
        <f>[2]TongHop!E2755</f>
        <v>0</v>
      </c>
      <c r="F2755">
        <f>[2]TongHop!F2755</f>
        <v>0</v>
      </c>
      <c r="G2755">
        <f>[2]TongHop!G2755</f>
        <v>0</v>
      </c>
      <c r="H2755">
        <f>[2]TongHop!H2755</f>
        <v>0</v>
      </c>
      <c r="I2755">
        <f>[2]TongHop!I2755</f>
        <v>0</v>
      </c>
      <c r="J2755">
        <f>[2]TongHop!J2755</f>
        <v>0</v>
      </c>
      <c r="K2755">
        <f>[2]TongHop!K2755</f>
        <v>0</v>
      </c>
      <c r="L2755">
        <f>[2]TongHop!L2755</f>
        <v>0</v>
      </c>
      <c r="M2755">
        <f>[2]TongHop!M2755</f>
        <v>0</v>
      </c>
      <c r="N2755">
        <f>[2]TongHop!N2755</f>
        <v>0</v>
      </c>
    </row>
    <row r="2756" spans="1:14">
      <c r="A2756">
        <f>[2]TongHop!A2756</f>
        <v>0</v>
      </c>
      <c r="B2756">
        <f>[2]TongHop!B2756</f>
        <v>0</v>
      </c>
      <c r="C2756">
        <f>[2]TongHop!C2756</f>
        <v>0</v>
      </c>
      <c r="D2756">
        <f>[2]TongHop!D2756</f>
        <v>0</v>
      </c>
      <c r="E2756">
        <f>[2]TongHop!E2756</f>
        <v>0</v>
      </c>
      <c r="F2756">
        <f>[2]TongHop!F2756</f>
        <v>0</v>
      </c>
      <c r="G2756">
        <f>[2]TongHop!G2756</f>
        <v>0</v>
      </c>
      <c r="H2756">
        <f>[2]TongHop!H2756</f>
        <v>0</v>
      </c>
      <c r="I2756">
        <f>[2]TongHop!I2756</f>
        <v>0</v>
      </c>
      <c r="J2756">
        <f>[2]TongHop!J2756</f>
        <v>0</v>
      </c>
      <c r="K2756">
        <f>[2]TongHop!K2756</f>
        <v>0</v>
      </c>
      <c r="L2756">
        <f>[2]TongHop!L2756</f>
        <v>0</v>
      </c>
      <c r="M2756">
        <f>[2]TongHop!M2756</f>
        <v>0</v>
      </c>
      <c r="N2756">
        <f>[2]TongHop!N2756</f>
        <v>0</v>
      </c>
    </row>
    <row r="2757" spans="1:14">
      <c r="A2757">
        <f>[2]TongHop!A2757</f>
        <v>0</v>
      </c>
      <c r="B2757">
        <f>[2]TongHop!B2757</f>
        <v>0</v>
      </c>
      <c r="C2757">
        <f>[2]TongHop!C2757</f>
        <v>0</v>
      </c>
      <c r="D2757">
        <f>[2]TongHop!D2757</f>
        <v>0</v>
      </c>
      <c r="E2757">
        <f>[2]TongHop!E2757</f>
        <v>0</v>
      </c>
      <c r="F2757">
        <f>[2]TongHop!F2757</f>
        <v>0</v>
      </c>
      <c r="G2757">
        <f>[2]TongHop!G2757</f>
        <v>0</v>
      </c>
      <c r="H2757">
        <f>[2]TongHop!H2757</f>
        <v>0</v>
      </c>
      <c r="I2757">
        <f>[2]TongHop!I2757</f>
        <v>0</v>
      </c>
      <c r="J2757">
        <f>[2]TongHop!J2757</f>
        <v>0</v>
      </c>
      <c r="K2757">
        <f>[2]TongHop!K2757</f>
        <v>0</v>
      </c>
      <c r="L2757">
        <f>[2]TongHop!L2757</f>
        <v>0</v>
      </c>
      <c r="M2757">
        <f>[2]TongHop!M2757</f>
        <v>0</v>
      </c>
      <c r="N2757">
        <f>[2]TongHop!N2757</f>
        <v>0</v>
      </c>
    </row>
    <row r="2758" spans="1:14">
      <c r="A2758">
        <f>[2]TongHop!A2758</f>
        <v>0</v>
      </c>
      <c r="B2758">
        <f>[2]TongHop!B2758</f>
        <v>0</v>
      </c>
      <c r="C2758">
        <f>[2]TongHop!C2758</f>
        <v>0</v>
      </c>
      <c r="D2758">
        <f>[2]TongHop!D2758</f>
        <v>0</v>
      </c>
      <c r="E2758">
        <f>[2]TongHop!E2758</f>
        <v>0</v>
      </c>
      <c r="F2758">
        <f>[2]TongHop!F2758</f>
        <v>0</v>
      </c>
      <c r="G2758">
        <f>[2]TongHop!G2758</f>
        <v>0</v>
      </c>
      <c r="H2758">
        <f>[2]TongHop!H2758</f>
        <v>0</v>
      </c>
      <c r="I2758">
        <f>[2]TongHop!I2758</f>
        <v>0</v>
      </c>
      <c r="J2758">
        <f>[2]TongHop!J2758</f>
        <v>0</v>
      </c>
      <c r="K2758">
        <f>[2]TongHop!K2758</f>
        <v>0</v>
      </c>
      <c r="L2758">
        <f>[2]TongHop!L2758</f>
        <v>0</v>
      </c>
      <c r="M2758">
        <f>[2]TongHop!M2758</f>
        <v>0</v>
      </c>
      <c r="N2758">
        <f>[2]TongHop!N2758</f>
        <v>0</v>
      </c>
    </row>
    <row r="2759" spans="1:14">
      <c r="A2759">
        <f>[2]TongHop!A2759</f>
        <v>0</v>
      </c>
      <c r="B2759">
        <f>[2]TongHop!B2759</f>
        <v>0</v>
      </c>
      <c r="C2759">
        <f>[2]TongHop!C2759</f>
        <v>0</v>
      </c>
      <c r="D2759">
        <f>[2]TongHop!D2759</f>
        <v>0</v>
      </c>
      <c r="E2759">
        <f>[2]TongHop!E2759</f>
        <v>0</v>
      </c>
      <c r="F2759">
        <f>[2]TongHop!F2759</f>
        <v>0</v>
      </c>
      <c r="G2759">
        <f>[2]TongHop!G2759</f>
        <v>0</v>
      </c>
      <c r="H2759">
        <f>[2]TongHop!H2759</f>
        <v>0</v>
      </c>
      <c r="I2759">
        <f>[2]TongHop!I2759</f>
        <v>0</v>
      </c>
      <c r="J2759">
        <f>[2]TongHop!J2759</f>
        <v>0</v>
      </c>
      <c r="K2759">
        <f>[2]TongHop!K2759</f>
        <v>0</v>
      </c>
      <c r="L2759">
        <f>[2]TongHop!L2759</f>
        <v>0</v>
      </c>
      <c r="M2759">
        <f>[2]TongHop!M2759</f>
        <v>0</v>
      </c>
      <c r="N2759">
        <f>[2]TongHop!N2759</f>
        <v>0</v>
      </c>
    </row>
    <row r="2760" spans="1:14">
      <c r="A2760">
        <f>[2]TongHop!A2760</f>
        <v>0</v>
      </c>
      <c r="B2760">
        <f>[2]TongHop!B2760</f>
        <v>0</v>
      </c>
      <c r="C2760">
        <f>[2]TongHop!C2760</f>
        <v>0</v>
      </c>
      <c r="D2760">
        <f>[2]TongHop!D2760</f>
        <v>0</v>
      </c>
      <c r="E2760">
        <f>[2]TongHop!E2760</f>
        <v>0</v>
      </c>
      <c r="F2760">
        <f>[2]TongHop!F2760</f>
        <v>0</v>
      </c>
      <c r="G2760">
        <f>[2]TongHop!G2760</f>
        <v>0</v>
      </c>
      <c r="H2760">
        <f>[2]TongHop!H2760</f>
        <v>0</v>
      </c>
      <c r="I2760">
        <f>[2]TongHop!I2760</f>
        <v>0</v>
      </c>
      <c r="J2760">
        <f>[2]TongHop!J2760</f>
        <v>0</v>
      </c>
      <c r="K2760">
        <f>[2]TongHop!K2760</f>
        <v>0</v>
      </c>
      <c r="L2760">
        <f>[2]TongHop!L2760</f>
        <v>0</v>
      </c>
      <c r="M2760">
        <f>[2]TongHop!M2760</f>
        <v>0</v>
      </c>
      <c r="N2760">
        <f>[2]TongHop!N2760</f>
        <v>0</v>
      </c>
    </row>
    <row r="2761" spans="1:14">
      <c r="A2761">
        <f>[2]TongHop!A2761</f>
        <v>0</v>
      </c>
      <c r="B2761">
        <f>[2]TongHop!B2761</f>
        <v>0</v>
      </c>
      <c r="C2761">
        <f>[2]TongHop!C2761</f>
        <v>0</v>
      </c>
      <c r="D2761">
        <f>[2]TongHop!D2761</f>
        <v>0</v>
      </c>
      <c r="E2761">
        <f>[2]TongHop!E2761</f>
        <v>0</v>
      </c>
      <c r="F2761">
        <f>[2]TongHop!F2761</f>
        <v>0</v>
      </c>
      <c r="G2761">
        <f>[2]TongHop!G2761</f>
        <v>0</v>
      </c>
      <c r="H2761">
        <f>[2]TongHop!H2761</f>
        <v>0</v>
      </c>
      <c r="I2761">
        <f>[2]TongHop!I2761</f>
        <v>0</v>
      </c>
      <c r="J2761">
        <f>[2]TongHop!J2761</f>
        <v>0</v>
      </c>
      <c r="K2761">
        <f>[2]TongHop!K2761</f>
        <v>0</v>
      </c>
      <c r="L2761">
        <f>[2]TongHop!L2761</f>
        <v>0</v>
      </c>
      <c r="M2761">
        <f>[2]TongHop!M2761</f>
        <v>0</v>
      </c>
      <c r="N2761">
        <f>[2]TongHop!N2761</f>
        <v>0</v>
      </c>
    </row>
    <row r="2762" spans="1:14">
      <c r="A2762">
        <f>[2]TongHop!A2762</f>
        <v>0</v>
      </c>
      <c r="B2762">
        <f>[2]TongHop!B2762</f>
        <v>0</v>
      </c>
      <c r="C2762">
        <f>[2]TongHop!C2762</f>
        <v>0</v>
      </c>
      <c r="D2762">
        <f>[2]TongHop!D2762</f>
        <v>0</v>
      </c>
      <c r="E2762">
        <f>[2]TongHop!E2762</f>
        <v>0</v>
      </c>
      <c r="F2762">
        <f>[2]TongHop!F2762</f>
        <v>0</v>
      </c>
      <c r="G2762">
        <f>[2]TongHop!G2762</f>
        <v>0</v>
      </c>
      <c r="H2762">
        <f>[2]TongHop!H2762</f>
        <v>0</v>
      </c>
      <c r="I2762">
        <f>[2]TongHop!I2762</f>
        <v>0</v>
      </c>
      <c r="J2762">
        <f>[2]TongHop!J2762</f>
        <v>0</v>
      </c>
      <c r="K2762">
        <f>[2]TongHop!K2762</f>
        <v>0</v>
      </c>
      <c r="L2762">
        <f>[2]TongHop!L2762</f>
        <v>0</v>
      </c>
      <c r="M2762">
        <f>[2]TongHop!M2762</f>
        <v>0</v>
      </c>
      <c r="N2762">
        <f>[2]TongHop!N2762</f>
        <v>0</v>
      </c>
    </row>
    <row r="2763" spans="1:14">
      <c r="A2763">
        <f>[2]TongHop!A2763</f>
        <v>0</v>
      </c>
      <c r="B2763">
        <f>[2]TongHop!B2763</f>
        <v>0</v>
      </c>
      <c r="C2763">
        <f>[2]TongHop!C2763</f>
        <v>0</v>
      </c>
      <c r="D2763">
        <f>[2]TongHop!D2763</f>
        <v>0</v>
      </c>
      <c r="E2763">
        <f>[2]TongHop!E2763</f>
        <v>0</v>
      </c>
      <c r="F2763">
        <f>[2]TongHop!F2763</f>
        <v>0</v>
      </c>
      <c r="G2763">
        <f>[2]TongHop!G2763</f>
        <v>0</v>
      </c>
      <c r="H2763">
        <f>[2]TongHop!H2763</f>
        <v>0</v>
      </c>
      <c r="I2763">
        <f>[2]TongHop!I2763</f>
        <v>0</v>
      </c>
      <c r="J2763">
        <f>[2]TongHop!J2763</f>
        <v>0</v>
      </c>
      <c r="K2763">
        <f>[2]TongHop!K2763</f>
        <v>0</v>
      </c>
      <c r="L2763">
        <f>[2]TongHop!L2763</f>
        <v>0</v>
      </c>
      <c r="M2763">
        <f>[2]TongHop!M2763</f>
        <v>0</v>
      </c>
      <c r="N2763">
        <f>[2]TongHop!N2763</f>
        <v>0</v>
      </c>
    </row>
    <row r="2764" spans="1:14">
      <c r="A2764">
        <f>[2]TongHop!A2764</f>
        <v>0</v>
      </c>
      <c r="B2764">
        <f>[2]TongHop!B2764</f>
        <v>0</v>
      </c>
      <c r="C2764">
        <f>[2]TongHop!C2764</f>
        <v>0</v>
      </c>
      <c r="D2764">
        <f>[2]TongHop!D2764</f>
        <v>0</v>
      </c>
      <c r="E2764">
        <f>[2]TongHop!E2764</f>
        <v>0</v>
      </c>
      <c r="F2764">
        <f>[2]TongHop!F2764</f>
        <v>0</v>
      </c>
      <c r="G2764">
        <f>[2]TongHop!G2764</f>
        <v>0</v>
      </c>
      <c r="H2764">
        <f>[2]TongHop!H2764</f>
        <v>0</v>
      </c>
      <c r="I2764">
        <f>[2]TongHop!I2764</f>
        <v>0</v>
      </c>
      <c r="J2764">
        <f>[2]TongHop!J2764</f>
        <v>0</v>
      </c>
      <c r="K2764">
        <f>[2]TongHop!K2764</f>
        <v>0</v>
      </c>
      <c r="L2764">
        <f>[2]TongHop!L2764</f>
        <v>0</v>
      </c>
      <c r="M2764">
        <f>[2]TongHop!M2764</f>
        <v>0</v>
      </c>
      <c r="N2764">
        <f>[2]TongHop!N2764</f>
        <v>0</v>
      </c>
    </row>
    <row r="2765" spans="1:14">
      <c r="A2765">
        <f>[2]TongHop!A2765</f>
        <v>0</v>
      </c>
      <c r="B2765">
        <f>[2]TongHop!B2765</f>
        <v>0</v>
      </c>
      <c r="C2765">
        <f>[2]TongHop!C2765</f>
        <v>0</v>
      </c>
      <c r="D2765">
        <f>[2]TongHop!D2765</f>
        <v>0</v>
      </c>
      <c r="E2765">
        <f>[2]TongHop!E2765</f>
        <v>0</v>
      </c>
      <c r="F2765">
        <f>[2]TongHop!F2765</f>
        <v>0</v>
      </c>
      <c r="G2765">
        <f>[2]TongHop!G2765</f>
        <v>0</v>
      </c>
      <c r="H2765">
        <f>[2]TongHop!H2765</f>
        <v>0</v>
      </c>
      <c r="I2765">
        <f>[2]TongHop!I2765</f>
        <v>0</v>
      </c>
      <c r="J2765">
        <f>[2]TongHop!J2765</f>
        <v>0</v>
      </c>
      <c r="K2765">
        <f>[2]TongHop!K2765</f>
        <v>0</v>
      </c>
      <c r="L2765">
        <f>[2]TongHop!L2765</f>
        <v>0</v>
      </c>
      <c r="M2765">
        <f>[2]TongHop!M2765</f>
        <v>0</v>
      </c>
      <c r="N2765">
        <f>[2]TongHop!N2765</f>
        <v>0</v>
      </c>
    </row>
    <row r="2766" spans="1:14">
      <c r="A2766">
        <f>[2]TongHop!A2766</f>
        <v>0</v>
      </c>
      <c r="B2766">
        <f>[2]TongHop!B2766</f>
        <v>0</v>
      </c>
      <c r="C2766">
        <f>[2]TongHop!C2766</f>
        <v>0</v>
      </c>
      <c r="D2766">
        <f>[2]TongHop!D2766</f>
        <v>0</v>
      </c>
      <c r="E2766">
        <f>[2]TongHop!E2766</f>
        <v>0</v>
      </c>
      <c r="F2766">
        <f>[2]TongHop!F2766</f>
        <v>0</v>
      </c>
      <c r="G2766">
        <f>[2]TongHop!G2766</f>
        <v>0</v>
      </c>
      <c r="H2766">
        <f>[2]TongHop!H2766</f>
        <v>0</v>
      </c>
      <c r="I2766">
        <f>[2]TongHop!I2766</f>
        <v>0</v>
      </c>
      <c r="J2766">
        <f>[2]TongHop!J2766</f>
        <v>0</v>
      </c>
      <c r="K2766">
        <f>[2]TongHop!K2766</f>
        <v>0</v>
      </c>
      <c r="L2766">
        <f>[2]TongHop!L2766</f>
        <v>0</v>
      </c>
      <c r="M2766">
        <f>[2]TongHop!M2766</f>
        <v>0</v>
      </c>
      <c r="N2766">
        <f>[2]TongHop!N2766</f>
        <v>0</v>
      </c>
    </row>
    <row r="2767" spans="1:14">
      <c r="A2767">
        <f>[2]TongHop!A2767</f>
        <v>0</v>
      </c>
      <c r="B2767">
        <f>[2]TongHop!B2767</f>
        <v>0</v>
      </c>
      <c r="C2767">
        <f>[2]TongHop!C2767</f>
        <v>0</v>
      </c>
      <c r="D2767">
        <f>[2]TongHop!D2767</f>
        <v>0</v>
      </c>
      <c r="E2767">
        <f>[2]TongHop!E2767</f>
        <v>0</v>
      </c>
      <c r="F2767">
        <f>[2]TongHop!F2767</f>
        <v>0</v>
      </c>
      <c r="G2767">
        <f>[2]TongHop!G2767</f>
        <v>0</v>
      </c>
      <c r="H2767">
        <f>[2]TongHop!H2767</f>
        <v>0</v>
      </c>
      <c r="I2767">
        <f>[2]TongHop!I2767</f>
        <v>0</v>
      </c>
      <c r="J2767">
        <f>[2]TongHop!J2767</f>
        <v>0</v>
      </c>
      <c r="K2767">
        <f>[2]TongHop!K2767</f>
        <v>0</v>
      </c>
      <c r="L2767">
        <f>[2]TongHop!L2767</f>
        <v>0</v>
      </c>
      <c r="M2767">
        <f>[2]TongHop!M2767</f>
        <v>0</v>
      </c>
      <c r="N2767">
        <f>[2]TongHop!N2767</f>
        <v>0</v>
      </c>
    </row>
    <row r="2768" spans="1:14">
      <c r="A2768">
        <f>[2]TongHop!A2768</f>
        <v>0</v>
      </c>
      <c r="B2768">
        <f>[2]TongHop!B2768</f>
        <v>0</v>
      </c>
      <c r="C2768">
        <f>[2]TongHop!C2768</f>
        <v>0</v>
      </c>
      <c r="D2768">
        <f>[2]TongHop!D2768</f>
        <v>0</v>
      </c>
      <c r="E2768">
        <f>[2]TongHop!E2768</f>
        <v>0</v>
      </c>
      <c r="F2768">
        <f>[2]TongHop!F2768</f>
        <v>0</v>
      </c>
      <c r="G2768">
        <f>[2]TongHop!G2768</f>
        <v>0</v>
      </c>
      <c r="H2768">
        <f>[2]TongHop!H2768</f>
        <v>0</v>
      </c>
      <c r="I2768">
        <f>[2]TongHop!I2768</f>
        <v>0</v>
      </c>
      <c r="J2768">
        <f>[2]TongHop!J2768</f>
        <v>0</v>
      </c>
      <c r="K2768">
        <f>[2]TongHop!K2768</f>
        <v>0</v>
      </c>
      <c r="L2768">
        <f>[2]TongHop!L2768</f>
        <v>0</v>
      </c>
      <c r="M2768">
        <f>[2]TongHop!M2768</f>
        <v>0</v>
      </c>
      <c r="N2768">
        <f>[2]TongHop!N2768</f>
        <v>0</v>
      </c>
    </row>
    <row r="2769" spans="1:14">
      <c r="A2769">
        <f>[2]TongHop!A2769</f>
        <v>0</v>
      </c>
      <c r="B2769">
        <f>[2]TongHop!B2769</f>
        <v>0</v>
      </c>
      <c r="C2769">
        <f>[2]TongHop!C2769</f>
        <v>0</v>
      </c>
      <c r="D2769">
        <f>[2]TongHop!D2769</f>
        <v>0</v>
      </c>
      <c r="E2769">
        <f>[2]TongHop!E2769</f>
        <v>0</v>
      </c>
      <c r="F2769">
        <f>[2]TongHop!F2769</f>
        <v>0</v>
      </c>
      <c r="G2769">
        <f>[2]TongHop!G2769</f>
        <v>0</v>
      </c>
      <c r="H2769">
        <f>[2]TongHop!H2769</f>
        <v>0</v>
      </c>
      <c r="I2769">
        <f>[2]TongHop!I2769</f>
        <v>0</v>
      </c>
      <c r="J2769">
        <f>[2]TongHop!J2769</f>
        <v>0</v>
      </c>
      <c r="K2769">
        <f>[2]TongHop!K2769</f>
        <v>0</v>
      </c>
      <c r="L2769">
        <f>[2]TongHop!L2769</f>
        <v>0</v>
      </c>
      <c r="M2769">
        <f>[2]TongHop!M2769</f>
        <v>0</v>
      </c>
      <c r="N2769">
        <f>[2]TongHop!N2769</f>
        <v>0</v>
      </c>
    </row>
    <row r="2770" spans="1:14">
      <c r="A2770">
        <f>[2]TongHop!A2770</f>
        <v>0</v>
      </c>
      <c r="B2770">
        <f>[2]TongHop!B2770</f>
        <v>0</v>
      </c>
      <c r="C2770">
        <f>[2]TongHop!C2770</f>
        <v>0</v>
      </c>
      <c r="D2770">
        <f>[2]TongHop!D2770</f>
        <v>0</v>
      </c>
      <c r="E2770">
        <f>[2]TongHop!E2770</f>
        <v>0</v>
      </c>
      <c r="F2770">
        <f>[2]TongHop!F2770</f>
        <v>0</v>
      </c>
      <c r="G2770">
        <f>[2]TongHop!G2770</f>
        <v>0</v>
      </c>
      <c r="H2770">
        <f>[2]TongHop!H2770</f>
        <v>0</v>
      </c>
      <c r="I2770">
        <f>[2]TongHop!I2770</f>
        <v>0</v>
      </c>
      <c r="J2770">
        <f>[2]TongHop!J2770</f>
        <v>0</v>
      </c>
      <c r="K2770">
        <f>[2]TongHop!K2770</f>
        <v>0</v>
      </c>
      <c r="L2770">
        <f>[2]TongHop!L2770</f>
        <v>0</v>
      </c>
      <c r="M2770">
        <f>[2]TongHop!M2770</f>
        <v>0</v>
      </c>
      <c r="N2770">
        <f>[2]TongHop!N2770</f>
        <v>0</v>
      </c>
    </row>
    <row r="2771" spans="1:14">
      <c r="A2771">
        <f>[2]TongHop!A2771</f>
        <v>0</v>
      </c>
      <c r="B2771">
        <f>[2]TongHop!B2771</f>
        <v>0</v>
      </c>
      <c r="C2771">
        <f>[2]TongHop!C2771</f>
        <v>0</v>
      </c>
      <c r="D2771">
        <f>[2]TongHop!D2771</f>
        <v>0</v>
      </c>
      <c r="E2771">
        <f>[2]TongHop!E2771</f>
        <v>0</v>
      </c>
      <c r="F2771">
        <f>[2]TongHop!F2771</f>
        <v>0</v>
      </c>
      <c r="G2771">
        <f>[2]TongHop!G2771</f>
        <v>0</v>
      </c>
      <c r="H2771">
        <f>[2]TongHop!H2771</f>
        <v>0</v>
      </c>
      <c r="I2771">
        <f>[2]TongHop!I2771</f>
        <v>0</v>
      </c>
      <c r="J2771">
        <f>[2]TongHop!J2771</f>
        <v>0</v>
      </c>
      <c r="K2771">
        <f>[2]TongHop!K2771</f>
        <v>0</v>
      </c>
      <c r="L2771">
        <f>[2]TongHop!L2771</f>
        <v>0</v>
      </c>
      <c r="M2771">
        <f>[2]TongHop!M2771</f>
        <v>0</v>
      </c>
      <c r="N2771">
        <f>[2]TongHop!N2771</f>
        <v>0</v>
      </c>
    </row>
    <row r="2772" spans="1:14">
      <c r="A2772">
        <f>[2]TongHop!A2772</f>
        <v>0</v>
      </c>
      <c r="B2772">
        <f>[2]TongHop!B2772</f>
        <v>0</v>
      </c>
      <c r="C2772">
        <f>[2]TongHop!C2772</f>
        <v>0</v>
      </c>
      <c r="D2772">
        <f>[2]TongHop!D2772</f>
        <v>0</v>
      </c>
      <c r="E2772">
        <f>[2]TongHop!E2772</f>
        <v>0</v>
      </c>
      <c r="F2772">
        <f>[2]TongHop!F2772</f>
        <v>0</v>
      </c>
      <c r="G2772">
        <f>[2]TongHop!G2772</f>
        <v>0</v>
      </c>
      <c r="H2772">
        <f>[2]TongHop!H2772</f>
        <v>0</v>
      </c>
      <c r="I2772">
        <f>[2]TongHop!I2772</f>
        <v>0</v>
      </c>
      <c r="J2772">
        <f>[2]TongHop!J2772</f>
        <v>0</v>
      </c>
      <c r="K2772">
        <f>[2]TongHop!K2772</f>
        <v>0</v>
      </c>
      <c r="L2772">
        <f>[2]TongHop!L2772</f>
        <v>0</v>
      </c>
      <c r="M2772">
        <f>[2]TongHop!M2772</f>
        <v>0</v>
      </c>
      <c r="N2772">
        <f>[2]TongHop!N2772</f>
        <v>0</v>
      </c>
    </row>
    <row r="2773" spans="1:14">
      <c r="A2773">
        <f>[2]TongHop!A2773</f>
        <v>0</v>
      </c>
      <c r="B2773">
        <f>[2]TongHop!B2773</f>
        <v>0</v>
      </c>
      <c r="C2773">
        <f>[2]TongHop!C2773</f>
        <v>0</v>
      </c>
      <c r="D2773">
        <f>[2]TongHop!D2773</f>
        <v>0</v>
      </c>
      <c r="E2773">
        <f>[2]TongHop!E2773</f>
        <v>0</v>
      </c>
      <c r="F2773">
        <f>[2]TongHop!F2773</f>
        <v>0</v>
      </c>
      <c r="G2773">
        <f>[2]TongHop!G2773</f>
        <v>0</v>
      </c>
      <c r="H2773">
        <f>[2]TongHop!H2773</f>
        <v>0</v>
      </c>
      <c r="I2773">
        <f>[2]TongHop!I2773</f>
        <v>0</v>
      </c>
      <c r="J2773">
        <f>[2]TongHop!J2773</f>
        <v>0</v>
      </c>
      <c r="K2773">
        <f>[2]TongHop!K2773</f>
        <v>0</v>
      </c>
      <c r="L2773">
        <f>[2]TongHop!L2773</f>
        <v>0</v>
      </c>
      <c r="M2773">
        <f>[2]TongHop!M2773</f>
        <v>0</v>
      </c>
      <c r="N2773">
        <f>[2]TongHop!N2773</f>
        <v>0</v>
      </c>
    </row>
    <row r="2774" spans="1:14">
      <c r="A2774">
        <f>[2]TongHop!A2774</f>
        <v>0</v>
      </c>
      <c r="B2774">
        <f>[2]TongHop!B2774</f>
        <v>0</v>
      </c>
      <c r="C2774">
        <f>[2]TongHop!C2774</f>
        <v>0</v>
      </c>
      <c r="D2774">
        <f>[2]TongHop!D2774</f>
        <v>0</v>
      </c>
      <c r="E2774">
        <f>[2]TongHop!E2774</f>
        <v>0</v>
      </c>
      <c r="F2774">
        <f>[2]TongHop!F2774</f>
        <v>0</v>
      </c>
      <c r="G2774">
        <f>[2]TongHop!G2774</f>
        <v>0</v>
      </c>
      <c r="H2774">
        <f>[2]TongHop!H2774</f>
        <v>0</v>
      </c>
      <c r="I2774">
        <f>[2]TongHop!I2774</f>
        <v>0</v>
      </c>
      <c r="J2774">
        <f>[2]TongHop!J2774</f>
        <v>0</v>
      </c>
      <c r="K2774">
        <f>[2]TongHop!K2774</f>
        <v>0</v>
      </c>
      <c r="L2774">
        <f>[2]TongHop!L2774</f>
        <v>0</v>
      </c>
      <c r="M2774">
        <f>[2]TongHop!M2774</f>
        <v>0</v>
      </c>
      <c r="N2774">
        <f>[2]TongHop!N2774</f>
        <v>0</v>
      </c>
    </row>
    <row r="2775" spans="1:14">
      <c r="A2775">
        <f>[2]TongHop!A2775</f>
        <v>0</v>
      </c>
      <c r="B2775">
        <f>[2]TongHop!B2775</f>
        <v>0</v>
      </c>
      <c r="C2775">
        <f>[2]TongHop!C2775</f>
        <v>0</v>
      </c>
      <c r="D2775">
        <f>[2]TongHop!D2775</f>
        <v>0</v>
      </c>
      <c r="E2775">
        <f>[2]TongHop!E2775</f>
        <v>0</v>
      </c>
      <c r="F2775">
        <f>[2]TongHop!F2775</f>
        <v>0</v>
      </c>
      <c r="G2775">
        <f>[2]TongHop!G2775</f>
        <v>0</v>
      </c>
      <c r="H2775">
        <f>[2]TongHop!H2775</f>
        <v>0</v>
      </c>
      <c r="I2775">
        <f>[2]TongHop!I2775</f>
        <v>0</v>
      </c>
      <c r="J2775">
        <f>[2]TongHop!J2775</f>
        <v>0</v>
      </c>
      <c r="K2775">
        <f>[2]TongHop!K2775</f>
        <v>0</v>
      </c>
      <c r="L2775">
        <f>[2]TongHop!L2775</f>
        <v>0</v>
      </c>
      <c r="M2775">
        <f>[2]TongHop!M2775</f>
        <v>0</v>
      </c>
      <c r="N2775">
        <f>[2]TongHop!N2775</f>
        <v>0</v>
      </c>
    </row>
    <row r="2776" spans="1:14">
      <c r="A2776">
        <f>[2]TongHop!A2776</f>
        <v>0</v>
      </c>
      <c r="B2776">
        <f>[2]TongHop!B2776</f>
        <v>0</v>
      </c>
      <c r="C2776">
        <f>[2]TongHop!C2776</f>
        <v>0</v>
      </c>
      <c r="D2776">
        <f>[2]TongHop!D2776</f>
        <v>0</v>
      </c>
      <c r="E2776">
        <f>[2]TongHop!E2776</f>
        <v>0</v>
      </c>
      <c r="F2776">
        <f>[2]TongHop!F2776</f>
        <v>0</v>
      </c>
      <c r="G2776">
        <f>[2]TongHop!G2776</f>
        <v>0</v>
      </c>
      <c r="H2776">
        <f>[2]TongHop!H2776</f>
        <v>0</v>
      </c>
      <c r="I2776">
        <f>[2]TongHop!I2776</f>
        <v>0</v>
      </c>
      <c r="J2776">
        <f>[2]TongHop!J2776</f>
        <v>0</v>
      </c>
      <c r="K2776">
        <f>[2]TongHop!K2776</f>
        <v>0</v>
      </c>
      <c r="L2776">
        <f>[2]TongHop!L2776</f>
        <v>0</v>
      </c>
      <c r="M2776">
        <f>[2]TongHop!M2776</f>
        <v>0</v>
      </c>
      <c r="N2776">
        <f>[2]TongHop!N2776</f>
        <v>0</v>
      </c>
    </row>
    <row r="2777" spans="1:14">
      <c r="A2777">
        <f>[2]TongHop!A2777</f>
        <v>0</v>
      </c>
      <c r="B2777">
        <f>[2]TongHop!B2777</f>
        <v>0</v>
      </c>
      <c r="C2777">
        <f>[2]TongHop!C2777</f>
        <v>0</v>
      </c>
      <c r="D2777">
        <f>[2]TongHop!D2777</f>
        <v>0</v>
      </c>
      <c r="E2777">
        <f>[2]TongHop!E2777</f>
        <v>0</v>
      </c>
      <c r="F2777">
        <f>[2]TongHop!F2777</f>
        <v>0</v>
      </c>
      <c r="G2777">
        <f>[2]TongHop!G2777</f>
        <v>0</v>
      </c>
      <c r="H2777">
        <f>[2]TongHop!H2777</f>
        <v>0</v>
      </c>
      <c r="I2777">
        <f>[2]TongHop!I2777</f>
        <v>0</v>
      </c>
      <c r="J2777">
        <f>[2]TongHop!J2777</f>
        <v>0</v>
      </c>
      <c r="K2777">
        <f>[2]TongHop!K2777</f>
        <v>0</v>
      </c>
      <c r="L2777">
        <f>[2]TongHop!L2777</f>
        <v>0</v>
      </c>
      <c r="M2777">
        <f>[2]TongHop!M2777</f>
        <v>0</v>
      </c>
      <c r="N2777">
        <f>[2]TongHop!N2777</f>
        <v>0</v>
      </c>
    </row>
    <row r="2778" spans="1:14">
      <c r="A2778">
        <f>[2]TongHop!A2778</f>
        <v>0</v>
      </c>
      <c r="B2778">
        <f>[2]TongHop!B2778</f>
        <v>0</v>
      </c>
      <c r="C2778">
        <f>[2]TongHop!C2778</f>
        <v>0</v>
      </c>
      <c r="D2778">
        <f>[2]TongHop!D2778</f>
        <v>0</v>
      </c>
      <c r="E2778">
        <f>[2]TongHop!E2778</f>
        <v>0</v>
      </c>
      <c r="F2778">
        <f>[2]TongHop!F2778</f>
        <v>0</v>
      </c>
      <c r="G2778">
        <f>[2]TongHop!G2778</f>
        <v>0</v>
      </c>
      <c r="H2778">
        <f>[2]TongHop!H2778</f>
        <v>0</v>
      </c>
      <c r="I2778">
        <f>[2]TongHop!I2778</f>
        <v>0</v>
      </c>
      <c r="J2778">
        <f>[2]TongHop!J2778</f>
        <v>0</v>
      </c>
      <c r="K2778">
        <f>[2]TongHop!K2778</f>
        <v>0</v>
      </c>
      <c r="L2778">
        <f>[2]TongHop!L2778</f>
        <v>0</v>
      </c>
      <c r="M2778">
        <f>[2]TongHop!M2778</f>
        <v>0</v>
      </c>
      <c r="N2778">
        <f>[2]TongHop!N2778</f>
        <v>0</v>
      </c>
    </row>
    <row r="2779" spans="1:14">
      <c r="A2779">
        <f>[2]TongHop!A2779</f>
        <v>0</v>
      </c>
      <c r="B2779">
        <f>[2]TongHop!B2779</f>
        <v>0</v>
      </c>
      <c r="C2779">
        <f>[2]TongHop!C2779</f>
        <v>0</v>
      </c>
      <c r="D2779">
        <f>[2]TongHop!D2779</f>
        <v>0</v>
      </c>
      <c r="E2779">
        <f>[2]TongHop!E2779</f>
        <v>0</v>
      </c>
      <c r="F2779">
        <f>[2]TongHop!F2779</f>
        <v>0</v>
      </c>
      <c r="G2779">
        <f>[2]TongHop!G2779</f>
        <v>0</v>
      </c>
      <c r="H2779">
        <f>[2]TongHop!H2779</f>
        <v>0</v>
      </c>
      <c r="I2779">
        <f>[2]TongHop!I2779</f>
        <v>0</v>
      </c>
      <c r="J2779">
        <f>[2]TongHop!J2779</f>
        <v>0</v>
      </c>
      <c r="K2779">
        <f>[2]TongHop!K2779</f>
        <v>0</v>
      </c>
      <c r="L2779">
        <f>[2]TongHop!L2779</f>
        <v>0</v>
      </c>
      <c r="M2779">
        <f>[2]TongHop!M2779</f>
        <v>0</v>
      </c>
      <c r="N2779">
        <f>[2]TongHop!N2779</f>
        <v>0</v>
      </c>
    </row>
    <row r="2780" spans="1:14">
      <c r="A2780">
        <f>[2]TongHop!A2780</f>
        <v>0</v>
      </c>
      <c r="B2780">
        <f>[2]TongHop!B2780</f>
        <v>0</v>
      </c>
      <c r="C2780">
        <f>[2]TongHop!C2780</f>
        <v>0</v>
      </c>
      <c r="D2780">
        <f>[2]TongHop!D2780</f>
        <v>0</v>
      </c>
      <c r="E2780">
        <f>[2]TongHop!E2780</f>
        <v>0</v>
      </c>
      <c r="F2780">
        <f>[2]TongHop!F2780</f>
        <v>0</v>
      </c>
      <c r="G2780">
        <f>[2]TongHop!G2780</f>
        <v>0</v>
      </c>
      <c r="H2780">
        <f>[2]TongHop!H2780</f>
        <v>0</v>
      </c>
      <c r="I2780">
        <f>[2]TongHop!I2780</f>
        <v>0</v>
      </c>
      <c r="J2780">
        <f>[2]TongHop!J2780</f>
        <v>0</v>
      </c>
      <c r="K2780">
        <f>[2]TongHop!K2780</f>
        <v>0</v>
      </c>
      <c r="L2780">
        <f>[2]TongHop!L2780</f>
        <v>0</v>
      </c>
      <c r="M2780">
        <f>[2]TongHop!M2780</f>
        <v>0</v>
      </c>
      <c r="N2780">
        <f>[2]TongHop!N2780</f>
        <v>0</v>
      </c>
    </row>
    <row r="2781" spans="1:14">
      <c r="A2781">
        <f>[2]TongHop!A2781</f>
        <v>0</v>
      </c>
      <c r="B2781">
        <f>[2]TongHop!B2781</f>
        <v>0</v>
      </c>
      <c r="C2781">
        <f>[2]TongHop!C2781</f>
        <v>0</v>
      </c>
      <c r="D2781">
        <f>[2]TongHop!D2781</f>
        <v>0</v>
      </c>
      <c r="E2781">
        <f>[2]TongHop!E2781</f>
        <v>0</v>
      </c>
      <c r="F2781">
        <f>[2]TongHop!F2781</f>
        <v>0</v>
      </c>
      <c r="G2781">
        <f>[2]TongHop!G2781</f>
        <v>0</v>
      </c>
      <c r="H2781">
        <f>[2]TongHop!H2781</f>
        <v>0</v>
      </c>
      <c r="I2781">
        <f>[2]TongHop!I2781</f>
        <v>0</v>
      </c>
      <c r="J2781">
        <f>[2]TongHop!J2781</f>
        <v>0</v>
      </c>
      <c r="K2781">
        <f>[2]TongHop!K2781</f>
        <v>0</v>
      </c>
      <c r="L2781">
        <f>[2]TongHop!L2781</f>
        <v>0</v>
      </c>
      <c r="M2781">
        <f>[2]TongHop!M2781</f>
        <v>0</v>
      </c>
      <c r="N2781">
        <f>[2]TongHop!N2781</f>
        <v>0</v>
      </c>
    </row>
    <row r="2782" spans="1:14">
      <c r="A2782">
        <f>[2]TongHop!A2782</f>
        <v>0</v>
      </c>
      <c r="B2782">
        <f>[2]TongHop!B2782</f>
        <v>0</v>
      </c>
      <c r="C2782">
        <f>[2]TongHop!C2782</f>
        <v>0</v>
      </c>
      <c r="D2782">
        <f>[2]TongHop!D2782</f>
        <v>0</v>
      </c>
      <c r="E2782">
        <f>[2]TongHop!E2782</f>
        <v>0</v>
      </c>
      <c r="F2782">
        <f>[2]TongHop!F2782</f>
        <v>0</v>
      </c>
      <c r="G2782">
        <f>[2]TongHop!G2782</f>
        <v>0</v>
      </c>
      <c r="H2782">
        <f>[2]TongHop!H2782</f>
        <v>0</v>
      </c>
      <c r="I2782">
        <f>[2]TongHop!I2782</f>
        <v>0</v>
      </c>
      <c r="J2782">
        <f>[2]TongHop!J2782</f>
        <v>0</v>
      </c>
      <c r="K2782">
        <f>[2]TongHop!K2782</f>
        <v>0</v>
      </c>
      <c r="L2782">
        <f>[2]TongHop!L2782</f>
        <v>0</v>
      </c>
      <c r="M2782">
        <f>[2]TongHop!M2782</f>
        <v>0</v>
      </c>
      <c r="N2782">
        <f>[2]TongHop!N2782</f>
        <v>0</v>
      </c>
    </row>
    <row r="2783" spans="1:14">
      <c r="A2783">
        <f>[2]TongHop!A2783</f>
        <v>0</v>
      </c>
      <c r="B2783">
        <f>[2]TongHop!B2783</f>
        <v>0</v>
      </c>
      <c r="C2783">
        <f>[2]TongHop!C2783</f>
        <v>0</v>
      </c>
      <c r="D2783">
        <f>[2]TongHop!D2783</f>
        <v>0</v>
      </c>
      <c r="E2783">
        <f>[2]TongHop!E2783</f>
        <v>0</v>
      </c>
      <c r="F2783">
        <f>[2]TongHop!F2783</f>
        <v>0</v>
      </c>
      <c r="G2783">
        <f>[2]TongHop!G2783</f>
        <v>0</v>
      </c>
      <c r="H2783">
        <f>[2]TongHop!H2783</f>
        <v>0</v>
      </c>
      <c r="I2783">
        <f>[2]TongHop!I2783</f>
        <v>0</v>
      </c>
      <c r="J2783">
        <f>[2]TongHop!J2783</f>
        <v>0</v>
      </c>
      <c r="K2783">
        <f>[2]TongHop!K2783</f>
        <v>0</v>
      </c>
      <c r="L2783">
        <f>[2]TongHop!L2783</f>
        <v>0</v>
      </c>
      <c r="M2783">
        <f>[2]TongHop!M2783</f>
        <v>0</v>
      </c>
      <c r="N2783">
        <f>[2]TongHop!N2783</f>
        <v>0</v>
      </c>
    </row>
    <row r="2784" spans="1:14">
      <c r="A2784">
        <f>[2]TongHop!A2784</f>
        <v>0</v>
      </c>
      <c r="B2784">
        <f>[2]TongHop!B2784</f>
        <v>0</v>
      </c>
      <c r="C2784">
        <f>[2]TongHop!C2784</f>
        <v>0</v>
      </c>
      <c r="D2784">
        <f>[2]TongHop!D2784</f>
        <v>0</v>
      </c>
      <c r="E2784">
        <f>[2]TongHop!E2784</f>
        <v>0</v>
      </c>
      <c r="F2784">
        <f>[2]TongHop!F2784</f>
        <v>0</v>
      </c>
      <c r="G2784">
        <f>[2]TongHop!G2784</f>
        <v>0</v>
      </c>
      <c r="H2784">
        <f>[2]TongHop!H2784</f>
        <v>0</v>
      </c>
      <c r="I2784">
        <f>[2]TongHop!I2784</f>
        <v>0</v>
      </c>
      <c r="J2784">
        <f>[2]TongHop!J2784</f>
        <v>0</v>
      </c>
      <c r="K2784">
        <f>[2]TongHop!K2784</f>
        <v>0</v>
      </c>
      <c r="L2784">
        <f>[2]TongHop!L2784</f>
        <v>0</v>
      </c>
      <c r="M2784">
        <f>[2]TongHop!M2784</f>
        <v>0</v>
      </c>
      <c r="N2784">
        <f>[2]TongHop!N2784</f>
        <v>0</v>
      </c>
    </row>
    <row r="2785" spans="1:14">
      <c r="A2785">
        <f>[2]TongHop!A2785</f>
        <v>0</v>
      </c>
      <c r="B2785">
        <f>[2]TongHop!B2785</f>
        <v>0</v>
      </c>
      <c r="C2785">
        <f>[2]TongHop!C2785</f>
        <v>0</v>
      </c>
      <c r="D2785">
        <f>[2]TongHop!D2785</f>
        <v>0</v>
      </c>
      <c r="E2785">
        <f>[2]TongHop!E2785</f>
        <v>0</v>
      </c>
      <c r="F2785">
        <f>[2]TongHop!F2785</f>
        <v>0</v>
      </c>
      <c r="G2785">
        <f>[2]TongHop!G2785</f>
        <v>0</v>
      </c>
      <c r="H2785">
        <f>[2]TongHop!H2785</f>
        <v>0</v>
      </c>
      <c r="I2785">
        <f>[2]TongHop!I2785</f>
        <v>0</v>
      </c>
      <c r="J2785">
        <f>[2]TongHop!J2785</f>
        <v>0</v>
      </c>
      <c r="K2785">
        <f>[2]TongHop!K2785</f>
        <v>0</v>
      </c>
      <c r="L2785">
        <f>[2]TongHop!L2785</f>
        <v>0</v>
      </c>
      <c r="M2785">
        <f>[2]TongHop!M2785</f>
        <v>0</v>
      </c>
      <c r="N2785">
        <f>[2]TongHop!N2785</f>
        <v>0</v>
      </c>
    </row>
    <row r="2786" spans="1:14">
      <c r="A2786">
        <f>[2]TongHop!A2786</f>
        <v>0</v>
      </c>
      <c r="B2786">
        <f>[2]TongHop!B2786</f>
        <v>0</v>
      </c>
      <c r="C2786">
        <f>[2]TongHop!C2786</f>
        <v>0</v>
      </c>
      <c r="D2786">
        <f>[2]TongHop!D2786</f>
        <v>0</v>
      </c>
      <c r="E2786">
        <f>[2]TongHop!E2786</f>
        <v>0</v>
      </c>
      <c r="F2786">
        <f>[2]TongHop!F2786</f>
        <v>0</v>
      </c>
      <c r="G2786">
        <f>[2]TongHop!G2786</f>
        <v>0</v>
      </c>
      <c r="H2786">
        <f>[2]TongHop!H2786</f>
        <v>0</v>
      </c>
      <c r="I2786">
        <f>[2]TongHop!I2786</f>
        <v>0</v>
      </c>
      <c r="J2786">
        <f>[2]TongHop!J2786</f>
        <v>0</v>
      </c>
      <c r="K2786">
        <f>[2]TongHop!K2786</f>
        <v>0</v>
      </c>
      <c r="L2786">
        <f>[2]TongHop!L2786</f>
        <v>0</v>
      </c>
      <c r="M2786">
        <f>[2]TongHop!M2786</f>
        <v>0</v>
      </c>
      <c r="N2786">
        <f>[2]TongHop!N2786</f>
        <v>0</v>
      </c>
    </row>
    <row r="2787" spans="1:14">
      <c r="A2787">
        <f>[2]TongHop!A2787</f>
        <v>0</v>
      </c>
      <c r="B2787">
        <f>[2]TongHop!B2787</f>
        <v>0</v>
      </c>
      <c r="C2787">
        <f>[2]TongHop!C2787</f>
        <v>0</v>
      </c>
      <c r="D2787">
        <f>[2]TongHop!D2787</f>
        <v>0</v>
      </c>
      <c r="E2787">
        <f>[2]TongHop!E2787</f>
        <v>0</v>
      </c>
      <c r="F2787">
        <f>[2]TongHop!F2787</f>
        <v>0</v>
      </c>
      <c r="G2787">
        <f>[2]TongHop!G2787</f>
        <v>0</v>
      </c>
      <c r="H2787">
        <f>[2]TongHop!H2787</f>
        <v>0</v>
      </c>
      <c r="I2787">
        <f>[2]TongHop!I2787</f>
        <v>0</v>
      </c>
      <c r="J2787">
        <f>[2]TongHop!J2787</f>
        <v>0</v>
      </c>
      <c r="K2787">
        <f>[2]TongHop!K2787</f>
        <v>0</v>
      </c>
      <c r="L2787">
        <f>[2]TongHop!L2787</f>
        <v>0</v>
      </c>
      <c r="M2787">
        <f>[2]TongHop!M2787</f>
        <v>0</v>
      </c>
      <c r="N2787">
        <f>[2]TongHop!N2787</f>
        <v>0</v>
      </c>
    </row>
    <row r="2788" spans="1:14">
      <c r="A2788">
        <f>[2]TongHop!A2788</f>
        <v>0</v>
      </c>
      <c r="B2788">
        <f>[2]TongHop!B2788</f>
        <v>0</v>
      </c>
      <c r="C2788">
        <f>[2]TongHop!C2788</f>
        <v>0</v>
      </c>
      <c r="D2788">
        <f>[2]TongHop!D2788</f>
        <v>0</v>
      </c>
      <c r="E2788">
        <f>[2]TongHop!E2788</f>
        <v>0</v>
      </c>
      <c r="F2788">
        <f>[2]TongHop!F2788</f>
        <v>0</v>
      </c>
      <c r="G2788">
        <f>[2]TongHop!G2788</f>
        <v>0</v>
      </c>
      <c r="H2788">
        <f>[2]TongHop!H2788</f>
        <v>0</v>
      </c>
      <c r="I2788">
        <f>[2]TongHop!I2788</f>
        <v>0</v>
      </c>
      <c r="J2788">
        <f>[2]TongHop!J2788</f>
        <v>0</v>
      </c>
      <c r="K2788">
        <f>[2]TongHop!K2788</f>
        <v>0</v>
      </c>
      <c r="L2788">
        <f>[2]TongHop!L2788</f>
        <v>0</v>
      </c>
      <c r="M2788">
        <f>[2]TongHop!M2788</f>
        <v>0</v>
      </c>
      <c r="N2788">
        <f>[2]TongHop!N2788</f>
        <v>0</v>
      </c>
    </row>
    <row r="2789" spans="1:14">
      <c r="A2789">
        <f>[2]TongHop!A2789</f>
        <v>0</v>
      </c>
      <c r="B2789">
        <f>[2]TongHop!B2789</f>
        <v>0</v>
      </c>
      <c r="C2789">
        <f>[2]TongHop!C2789</f>
        <v>0</v>
      </c>
      <c r="D2789">
        <f>[2]TongHop!D2789</f>
        <v>0</v>
      </c>
      <c r="E2789">
        <f>[2]TongHop!E2789</f>
        <v>0</v>
      </c>
      <c r="F2789">
        <f>[2]TongHop!F2789</f>
        <v>0</v>
      </c>
      <c r="G2789">
        <f>[2]TongHop!G2789</f>
        <v>0</v>
      </c>
      <c r="H2789">
        <f>[2]TongHop!H2789</f>
        <v>0</v>
      </c>
      <c r="I2789">
        <f>[2]TongHop!I2789</f>
        <v>0</v>
      </c>
      <c r="J2789">
        <f>[2]TongHop!J2789</f>
        <v>0</v>
      </c>
      <c r="K2789">
        <f>[2]TongHop!K2789</f>
        <v>0</v>
      </c>
      <c r="L2789">
        <f>[2]TongHop!L2789</f>
        <v>0</v>
      </c>
      <c r="M2789">
        <f>[2]TongHop!M2789</f>
        <v>0</v>
      </c>
      <c r="N2789">
        <f>[2]TongHop!N2789</f>
        <v>0</v>
      </c>
    </row>
    <row r="2790" spans="1:14">
      <c r="A2790">
        <f>[2]TongHop!A2790</f>
        <v>0</v>
      </c>
      <c r="B2790">
        <f>[2]TongHop!B2790</f>
        <v>0</v>
      </c>
      <c r="C2790">
        <f>[2]TongHop!C2790</f>
        <v>0</v>
      </c>
      <c r="D2790">
        <f>[2]TongHop!D2790</f>
        <v>0</v>
      </c>
      <c r="E2790">
        <f>[2]TongHop!E2790</f>
        <v>0</v>
      </c>
      <c r="F2790">
        <f>[2]TongHop!F2790</f>
        <v>0</v>
      </c>
      <c r="G2790">
        <f>[2]TongHop!G2790</f>
        <v>0</v>
      </c>
      <c r="H2790">
        <f>[2]TongHop!H2790</f>
        <v>0</v>
      </c>
      <c r="I2790">
        <f>[2]TongHop!I2790</f>
        <v>0</v>
      </c>
      <c r="J2790">
        <f>[2]TongHop!J2790</f>
        <v>0</v>
      </c>
      <c r="K2790">
        <f>[2]TongHop!K2790</f>
        <v>0</v>
      </c>
      <c r="L2790">
        <f>[2]TongHop!L2790</f>
        <v>0</v>
      </c>
      <c r="M2790">
        <f>[2]TongHop!M2790</f>
        <v>0</v>
      </c>
      <c r="N2790">
        <f>[2]TongHop!N2790</f>
        <v>0</v>
      </c>
    </row>
    <row r="2791" spans="1:14">
      <c r="A2791">
        <f>[2]TongHop!A2791</f>
        <v>0</v>
      </c>
      <c r="B2791">
        <f>[2]TongHop!B2791</f>
        <v>0</v>
      </c>
      <c r="C2791">
        <f>[2]TongHop!C2791</f>
        <v>0</v>
      </c>
      <c r="D2791">
        <f>[2]TongHop!D2791</f>
        <v>0</v>
      </c>
      <c r="E2791">
        <f>[2]TongHop!E2791</f>
        <v>0</v>
      </c>
      <c r="F2791">
        <f>[2]TongHop!F2791</f>
        <v>0</v>
      </c>
      <c r="G2791">
        <f>[2]TongHop!G2791</f>
        <v>0</v>
      </c>
      <c r="H2791">
        <f>[2]TongHop!H2791</f>
        <v>0</v>
      </c>
      <c r="I2791">
        <f>[2]TongHop!I2791</f>
        <v>0</v>
      </c>
      <c r="J2791">
        <f>[2]TongHop!J2791</f>
        <v>0</v>
      </c>
      <c r="K2791">
        <f>[2]TongHop!K2791</f>
        <v>0</v>
      </c>
      <c r="L2791">
        <f>[2]TongHop!L2791</f>
        <v>0</v>
      </c>
      <c r="M2791">
        <f>[2]TongHop!M2791</f>
        <v>0</v>
      </c>
      <c r="N2791">
        <f>[2]TongHop!N2791</f>
        <v>0</v>
      </c>
    </row>
    <row r="2792" spans="1:14">
      <c r="A2792">
        <f>[2]TongHop!A2792</f>
        <v>0</v>
      </c>
      <c r="B2792">
        <f>[2]TongHop!B2792</f>
        <v>0</v>
      </c>
      <c r="C2792">
        <f>[2]TongHop!C2792</f>
        <v>0</v>
      </c>
      <c r="D2792">
        <f>[2]TongHop!D2792</f>
        <v>0</v>
      </c>
      <c r="E2792">
        <f>[2]TongHop!E2792</f>
        <v>0</v>
      </c>
      <c r="F2792">
        <f>[2]TongHop!F2792</f>
        <v>0</v>
      </c>
      <c r="G2792">
        <f>[2]TongHop!G2792</f>
        <v>0</v>
      </c>
      <c r="H2792">
        <f>[2]TongHop!H2792</f>
        <v>0</v>
      </c>
      <c r="I2792">
        <f>[2]TongHop!I2792</f>
        <v>0</v>
      </c>
      <c r="J2792">
        <f>[2]TongHop!J2792</f>
        <v>0</v>
      </c>
      <c r="K2792">
        <f>[2]TongHop!K2792</f>
        <v>0</v>
      </c>
      <c r="L2792">
        <f>[2]TongHop!L2792</f>
        <v>0</v>
      </c>
      <c r="M2792">
        <f>[2]TongHop!M2792</f>
        <v>0</v>
      </c>
      <c r="N2792">
        <f>[2]TongHop!N2792</f>
        <v>0</v>
      </c>
    </row>
    <row r="2793" spans="1:14">
      <c r="A2793">
        <f>[2]TongHop!A2793</f>
        <v>0</v>
      </c>
      <c r="B2793">
        <f>[2]TongHop!B2793</f>
        <v>0</v>
      </c>
      <c r="C2793">
        <f>[2]TongHop!C2793</f>
        <v>0</v>
      </c>
      <c r="D2793">
        <f>[2]TongHop!D2793</f>
        <v>0</v>
      </c>
      <c r="E2793">
        <f>[2]TongHop!E2793</f>
        <v>0</v>
      </c>
      <c r="F2793">
        <f>[2]TongHop!F2793</f>
        <v>0</v>
      </c>
      <c r="G2793">
        <f>[2]TongHop!G2793</f>
        <v>0</v>
      </c>
      <c r="H2793">
        <f>[2]TongHop!H2793</f>
        <v>0</v>
      </c>
      <c r="I2793">
        <f>[2]TongHop!I2793</f>
        <v>0</v>
      </c>
      <c r="J2793">
        <f>[2]TongHop!J2793</f>
        <v>0</v>
      </c>
      <c r="K2793">
        <f>[2]TongHop!K2793</f>
        <v>0</v>
      </c>
      <c r="L2793">
        <f>[2]TongHop!L2793</f>
        <v>0</v>
      </c>
      <c r="M2793">
        <f>[2]TongHop!M2793</f>
        <v>0</v>
      </c>
      <c r="N2793">
        <f>[2]TongHop!N2793</f>
        <v>0</v>
      </c>
    </row>
    <row r="2794" spans="1:14">
      <c r="A2794">
        <f>[2]TongHop!A2794</f>
        <v>0</v>
      </c>
      <c r="B2794">
        <f>[2]TongHop!B2794</f>
        <v>0</v>
      </c>
      <c r="C2794">
        <f>[2]TongHop!C2794</f>
        <v>0</v>
      </c>
      <c r="D2794">
        <f>[2]TongHop!D2794</f>
        <v>0</v>
      </c>
      <c r="E2794">
        <f>[2]TongHop!E2794</f>
        <v>0</v>
      </c>
      <c r="F2794">
        <f>[2]TongHop!F2794</f>
        <v>0</v>
      </c>
      <c r="G2794">
        <f>[2]TongHop!G2794</f>
        <v>0</v>
      </c>
      <c r="H2794">
        <f>[2]TongHop!H2794</f>
        <v>0</v>
      </c>
      <c r="I2794">
        <f>[2]TongHop!I2794</f>
        <v>0</v>
      </c>
      <c r="J2794">
        <f>[2]TongHop!J2794</f>
        <v>0</v>
      </c>
      <c r="K2794">
        <f>[2]TongHop!K2794</f>
        <v>0</v>
      </c>
      <c r="L2794">
        <f>[2]TongHop!L2794</f>
        <v>0</v>
      </c>
      <c r="M2794">
        <f>[2]TongHop!M2794</f>
        <v>0</v>
      </c>
      <c r="N2794">
        <f>[2]TongHop!N2794</f>
        <v>0</v>
      </c>
    </row>
    <row r="2795" spans="1:14">
      <c r="A2795">
        <f>[2]TongHop!A2795</f>
        <v>0</v>
      </c>
      <c r="B2795">
        <f>[2]TongHop!B2795</f>
        <v>0</v>
      </c>
      <c r="C2795">
        <f>[2]TongHop!C2795</f>
        <v>0</v>
      </c>
      <c r="D2795">
        <f>[2]TongHop!D2795</f>
        <v>0</v>
      </c>
      <c r="E2795">
        <f>[2]TongHop!E2795</f>
        <v>0</v>
      </c>
      <c r="F2795">
        <f>[2]TongHop!F2795</f>
        <v>0</v>
      </c>
      <c r="G2795">
        <f>[2]TongHop!G2795</f>
        <v>0</v>
      </c>
      <c r="H2795">
        <f>[2]TongHop!H2795</f>
        <v>0</v>
      </c>
      <c r="I2795">
        <f>[2]TongHop!I2795</f>
        <v>0</v>
      </c>
      <c r="J2795">
        <f>[2]TongHop!J2795</f>
        <v>0</v>
      </c>
      <c r="K2795">
        <f>[2]TongHop!K2795</f>
        <v>0</v>
      </c>
      <c r="L2795">
        <f>[2]TongHop!L2795</f>
        <v>0</v>
      </c>
      <c r="M2795">
        <f>[2]TongHop!M2795</f>
        <v>0</v>
      </c>
      <c r="N2795">
        <f>[2]TongHop!N2795</f>
        <v>0</v>
      </c>
    </row>
    <row r="2796" spans="1:14">
      <c r="A2796">
        <f>[2]TongHop!A2796</f>
        <v>0</v>
      </c>
      <c r="B2796">
        <f>[2]TongHop!B2796</f>
        <v>0</v>
      </c>
      <c r="C2796">
        <f>[2]TongHop!C2796</f>
        <v>0</v>
      </c>
      <c r="D2796">
        <f>[2]TongHop!D2796</f>
        <v>0</v>
      </c>
      <c r="E2796">
        <f>[2]TongHop!E2796</f>
        <v>0</v>
      </c>
      <c r="F2796">
        <f>[2]TongHop!F2796</f>
        <v>0</v>
      </c>
      <c r="G2796">
        <f>[2]TongHop!G2796</f>
        <v>0</v>
      </c>
      <c r="H2796">
        <f>[2]TongHop!H2796</f>
        <v>0</v>
      </c>
      <c r="I2796">
        <f>[2]TongHop!I2796</f>
        <v>0</v>
      </c>
      <c r="J2796">
        <f>[2]TongHop!J2796</f>
        <v>0</v>
      </c>
      <c r="K2796">
        <f>[2]TongHop!K2796</f>
        <v>0</v>
      </c>
      <c r="L2796">
        <f>[2]TongHop!L2796</f>
        <v>0</v>
      </c>
      <c r="M2796">
        <f>[2]TongHop!M2796</f>
        <v>0</v>
      </c>
      <c r="N2796">
        <f>[2]TongHop!N2796</f>
        <v>0</v>
      </c>
    </row>
    <row r="2797" spans="1:14">
      <c r="A2797">
        <f>[2]TongHop!A2797</f>
        <v>0</v>
      </c>
      <c r="B2797">
        <f>[2]TongHop!B2797</f>
        <v>0</v>
      </c>
      <c r="C2797">
        <f>[2]TongHop!C2797</f>
        <v>0</v>
      </c>
      <c r="D2797">
        <f>[2]TongHop!D2797</f>
        <v>0</v>
      </c>
      <c r="E2797">
        <f>[2]TongHop!E2797</f>
        <v>0</v>
      </c>
      <c r="F2797">
        <f>[2]TongHop!F2797</f>
        <v>0</v>
      </c>
      <c r="G2797">
        <f>[2]TongHop!G2797</f>
        <v>0</v>
      </c>
      <c r="H2797">
        <f>[2]TongHop!H2797</f>
        <v>0</v>
      </c>
      <c r="I2797">
        <f>[2]TongHop!I2797</f>
        <v>0</v>
      </c>
      <c r="J2797">
        <f>[2]TongHop!J2797</f>
        <v>0</v>
      </c>
      <c r="K2797">
        <f>[2]TongHop!K2797</f>
        <v>0</v>
      </c>
      <c r="L2797">
        <f>[2]TongHop!L2797</f>
        <v>0</v>
      </c>
      <c r="M2797">
        <f>[2]TongHop!M2797</f>
        <v>0</v>
      </c>
      <c r="N2797">
        <f>[2]TongHop!N2797</f>
        <v>0</v>
      </c>
    </row>
    <row r="2798" spans="1:14">
      <c r="A2798">
        <f>[2]TongHop!A2798</f>
        <v>0</v>
      </c>
      <c r="B2798">
        <f>[2]TongHop!B2798</f>
        <v>0</v>
      </c>
      <c r="C2798">
        <f>[2]TongHop!C2798</f>
        <v>0</v>
      </c>
      <c r="D2798">
        <f>[2]TongHop!D2798</f>
        <v>0</v>
      </c>
      <c r="E2798">
        <f>[2]TongHop!E2798</f>
        <v>0</v>
      </c>
      <c r="F2798">
        <f>[2]TongHop!F2798</f>
        <v>0</v>
      </c>
      <c r="G2798">
        <f>[2]TongHop!G2798</f>
        <v>0</v>
      </c>
      <c r="H2798">
        <f>[2]TongHop!H2798</f>
        <v>0</v>
      </c>
      <c r="I2798">
        <f>[2]TongHop!I2798</f>
        <v>0</v>
      </c>
      <c r="J2798">
        <f>[2]TongHop!J2798</f>
        <v>0</v>
      </c>
      <c r="K2798">
        <f>[2]TongHop!K2798</f>
        <v>0</v>
      </c>
      <c r="L2798">
        <f>[2]TongHop!L2798</f>
        <v>0</v>
      </c>
      <c r="M2798">
        <f>[2]TongHop!M2798</f>
        <v>0</v>
      </c>
      <c r="N2798">
        <f>[2]TongHop!N2798</f>
        <v>0</v>
      </c>
    </row>
    <row r="2799" spans="1:14">
      <c r="A2799">
        <f>[2]TongHop!A2799</f>
        <v>0</v>
      </c>
      <c r="B2799">
        <f>[2]TongHop!B2799</f>
        <v>0</v>
      </c>
      <c r="C2799">
        <f>[2]TongHop!C2799</f>
        <v>0</v>
      </c>
      <c r="D2799">
        <f>[2]TongHop!D2799</f>
        <v>0</v>
      </c>
      <c r="E2799">
        <f>[2]TongHop!E2799</f>
        <v>0</v>
      </c>
      <c r="F2799">
        <f>[2]TongHop!F2799</f>
        <v>0</v>
      </c>
      <c r="G2799">
        <f>[2]TongHop!G2799</f>
        <v>0</v>
      </c>
      <c r="H2799">
        <f>[2]TongHop!H2799</f>
        <v>0</v>
      </c>
      <c r="I2799">
        <f>[2]TongHop!I2799</f>
        <v>0</v>
      </c>
      <c r="J2799">
        <f>[2]TongHop!J2799</f>
        <v>0</v>
      </c>
      <c r="K2799">
        <f>[2]TongHop!K2799</f>
        <v>0</v>
      </c>
      <c r="L2799">
        <f>[2]TongHop!L2799</f>
        <v>0</v>
      </c>
      <c r="M2799">
        <f>[2]TongHop!M2799</f>
        <v>0</v>
      </c>
      <c r="N2799">
        <f>[2]TongHop!N2799</f>
        <v>0</v>
      </c>
    </row>
    <row r="2800" spans="1:14">
      <c r="A2800">
        <f>[2]TongHop!A2800</f>
        <v>0</v>
      </c>
      <c r="B2800">
        <f>[2]TongHop!B2800</f>
        <v>0</v>
      </c>
      <c r="C2800">
        <f>[2]TongHop!C2800</f>
        <v>0</v>
      </c>
      <c r="D2800">
        <f>[2]TongHop!D2800</f>
        <v>0</v>
      </c>
      <c r="E2800">
        <f>[2]TongHop!E2800</f>
        <v>0</v>
      </c>
      <c r="F2800">
        <f>[2]TongHop!F2800</f>
        <v>0</v>
      </c>
      <c r="G2800">
        <f>[2]TongHop!G2800</f>
        <v>0</v>
      </c>
      <c r="H2800">
        <f>[2]TongHop!H2800</f>
        <v>0</v>
      </c>
      <c r="I2800">
        <f>[2]TongHop!I2800</f>
        <v>0</v>
      </c>
      <c r="J2800">
        <f>[2]TongHop!J2800</f>
        <v>0</v>
      </c>
      <c r="K2800">
        <f>[2]TongHop!K2800</f>
        <v>0</v>
      </c>
      <c r="L2800">
        <f>[2]TongHop!L2800</f>
        <v>0</v>
      </c>
      <c r="M2800">
        <f>[2]TongHop!M2800</f>
        <v>0</v>
      </c>
      <c r="N2800">
        <f>[2]TongHop!N2800</f>
        <v>0</v>
      </c>
    </row>
    <row r="2801" spans="1:14">
      <c r="A2801">
        <f>[2]TongHop!A2801</f>
        <v>0</v>
      </c>
      <c r="B2801">
        <f>[2]TongHop!B2801</f>
        <v>0</v>
      </c>
      <c r="C2801">
        <f>[2]TongHop!C2801</f>
        <v>0</v>
      </c>
      <c r="D2801">
        <f>[2]TongHop!D2801</f>
        <v>0</v>
      </c>
      <c r="E2801">
        <f>[2]TongHop!E2801</f>
        <v>0</v>
      </c>
      <c r="F2801">
        <f>[2]TongHop!F2801</f>
        <v>0</v>
      </c>
      <c r="G2801">
        <f>[2]TongHop!G2801</f>
        <v>0</v>
      </c>
      <c r="H2801">
        <f>[2]TongHop!H2801</f>
        <v>0</v>
      </c>
      <c r="I2801">
        <f>[2]TongHop!I2801</f>
        <v>0</v>
      </c>
      <c r="J2801">
        <f>[2]TongHop!J2801</f>
        <v>0</v>
      </c>
      <c r="K2801">
        <f>[2]TongHop!K2801</f>
        <v>0</v>
      </c>
      <c r="L2801">
        <f>[2]TongHop!L2801</f>
        <v>0</v>
      </c>
      <c r="M2801">
        <f>[2]TongHop!M2801</f>
        <v>0</v>
      </c>
      <c r="N2801">
        <f>[2]TongHop!N2801</f>
        <v>0</v>
      </c>
    </row>
    <row r="2802" spans="1:14">
      <c r="A2802">
        <f>[2]TongHop!A2802</f>
        <v>0</v>
      </c>
      <c r="B2802">
        <f>[2]TongHop!B2802</f>
        <v>0</v>
      </c>
      <c r="C2802">
        <f>[2]TongHop!C2802</f>
        <v>0</v>
      </c>
      <c r="D2802">
        <f>[2]TongHop!D2802</f>
        <v>0</v>
      </c>
      <c r="E2802">
        <f>[2]TongHop!E2802</f>
        <v>0</v>
      </c>
      <c r="F2802">
        <f>[2]TongHop!F2802</f>
        <v>0</v>
      </c>
      <c r="G2802">
        <f>[2]TongHop!G2802</f>
        <v>0</v>
      </c>
      <c r="H2802">
        <f>[2]TongHop!H2802</f>
        <v>0</v>
      </c>
      <c r="I2802">
        <f>[2]TongHop!I2802</f>
        <v>0</v>
      </c>
      <c r="J2802">
        <f>[2]TongHop!J2802</f>
        <v>0</v>
      </c>
      <c r="K2802">
        <f>[2]TongHop!K2802</f>
        <v>0</v>
      </c>
      <c r="L2802">
        <f>[2]TongHop!L2802</f>
        <v>0</v>
      </c>
      <c r="M2802">
        <f>[2]TongHop!M2802</f>
        <v>0</v>
      </c>
      <c r="N2802">
        <f>[2]TongHop!N2802</f>
        <v>0</v>
      </c>
    </row>
    <row r="2803" spans="1:14">
      <c r="A2803">
        <f>[2]TongHop!A2803</f>
        <v>0</v>
      </c>
      <c r="B2803">
        <f>[2]TongHop!B2803</f>
        <v>0</v>
      </c>
      <c r="C2803">
        <f>[2]TongHop!C2803</f>
        <v>0</v>
      </c>
      <c r="D2803">
        <f>[2]TongHop!D2803</f>
        <v>0</v>
      </c>
      <c r="E2803">
        <f>[2]TongHop!E2803</f>
        <v>0</v>
      </c>
      <c r="F2803">
        <f>[2]TongHop!F2803</f>
        <v>0</v>
      </c>
      <c r="G2803">
        <f>[2]TongHop!G2803</f>
        <v>0</v>
      </c>
      <c r="H2803">
        <f>[2]TongHop!H2803</f>
        <v>0</v>
      </c>
      <c r="I2803">
        <f>[2]TongHop!I2803</f>
        <v>0</v>
      </c>
      <c r="J2803">
        <f>[2]TongHop!J2803</f>
        <v>0</v>
      </c>
      <c r="K2803">
        <f>[2]TongHop!K2803</f>
        <v>0</v>
      </c>
      <c r="L2803">
        <f>[2]TongHop!L2803</f>
        <v>0</v>
      </c>
      <c r="M2803">
        <f>[2]TongHop!M2803</f>
        <v>0</v>
      </c>
      <c r="N2803">
        <f>[2]TongHop!N2803</f>
        <v>0</v>
      </c>
    </row>
    <row r="2804" spans="1:14">
      <c r="A2804">
        <f>[2]TongHop!A2804</f>
        <v>0</v>
      </c>
      <c r="B2804">
        <f>[2]TongHop!B2804</f>
        <v>0</v>
      </c>
      <c r="C2804">
        <f>[2]TongHop!C2804</f>
        <v>0</v>
      </c>
      <c r="D2804">
        <f>[2]TongHop!D2804</f>
        <v>0</v>
      </c>
      <c r="E2804">
        <f>[2]TongHop!E2804</f>
        <v>0</v>
      </c>
      <c r="F2804">
        <f>[2]TongHop!F2804</f>
        <v>0</v>
      </c>
      <c r="G2804">
        <f>[2]TongHop!G2804</f>
        <v>0</v>
      </c>
      <c r="H2804">
        <f>[2]TongHop!H2804</f>
        <v>0</v>
      </c>
      <c r="I2804">
        <f>[2]TongHop!I2804</f>
        <v>0</v>
      </c>
      <c r="J2804">
        <f>[2]TongHop!J2804</f>
        <v>0</v>
      </c>
      <c r="K2804">
        <f>[2]TongHop!K2804</f>
        <v>0</v>
      </c>
      <c r="L2804">
        <f>[2]TongHop!L2804</f>
        <v>0</v>
      </c>
      <c r="M2804">
        <f>[2]TongHop!M2804</f>
        <v>0</v>
      </c>
      <c r="N2804">
        <f>[2]TongHop!N2804</f>
        <v>0</v>
      </c>
    </row>
    <row r="2805" spans="1:14">
      <c r="A2805">
        <f>[2]TongHop!A2805</f>
        <v>0</v>
      </c>
      <c r="B2805">
        <f>[2]TongHop!B2805</f>
        <v>0</v>
      </c>
      <c r="C2805">
        <f>[2]TongHop!C2805</f>
        <v>0</v>
      </c>
      <c r="D2805">
        <f>[2]TongHop!D2805</f>
        <v>0</v>
      </c>
      <c r="E2805">
        <f>[2]TongHop!E2805</f>
        <v>0</v>
      </c>
      <c r="F2805">
        <f>[2]TongHop!F2805</f>
        <v>0</v>
      </c>
      <c r="G2805">
        <f>[2]TongHop!G2805</f>
        <v>0</v>
      </c>
      <c r="H2805">
        <f>[2]TongHop!H2805</f>
        <v>0</v>
      </c>
      <c r="I2805">
        <f>[2]TongHop!I2805</f>
        <v>0</v>
      </c>
      <c r="J2805">
        <f>[2]TongHop!J2805</f>
        <v>0</v>
      </c>
      <c r="K2805">
        <f>[2]TongHop!K2805</f>
        <v>0</v>
      </c>
      <c r="L2805">
        <f>[2]TongHop!L2805</f>
        <v>0</v>
      </c>
      <c r="M2805">
        <f>[2]TongHop!M2805</f>
        <v>0</v>
      </c>
      <c r="N2805">
        <f>[2]TongHop!N2805</f>
        <v>0</v>
      </c>
    </row>
    <row r="2806" spans="1:14">
      <c r="A2806">
        <f>[2]TongHop!A2806</f>
        <v>0</v>
      </c>
      <c r="B2806">
        <f>[2]TongHop!B2806</f>
        <v>0</v>
      </c>
      <c r="C2806">
        <f>[2]TongHop!C2806</f>
        <v>0</v>
      </c>
      <c r="D2806">
        <f>[2]TongHop!D2806</f>
        <v>0</v>
      </c>
      <c r="E2806">
        <f>[2]TongHop!E2806</f>
        <v>0</v>
      </c>
      <c r="F2806">
        <f>[2]TongHop!F2806</f>
        <v>0</v>
      </c>
      <c r="G2806">
        <f>[2]TongHop!G2806</f>
        <v>0</v>
      </c>
      <c r="H2806">
        <f>[2]TongHop!H2806</f>
        <v>0</v>
      </c>
      <c r="I2806">
        <f>[2]TongHop!I2806</f>
        <v>0</v>
      </c>
      <c r="J2806">
        <f>[2]TongHop!J2806</f>
        <v>0</v>
      </c>
      <c r="K2806">
        <f>[2]TongHop!K2806</f>
        <v>0</v>
      </c>
      <c r="L2806">
        <f>[2]TongHop!L2806</f>
        <v>0</v>
      </c>
      <c r="M2806">
        <f>[2]TongHop!M2806</f>
        <v>0</v>
      </c>
      <c r="N2806">
        <f>[2]TongHop!N2806</f>
        <v>0</v>
      </c>
    </row>
    <row r="2807" spans="1:14">
      <c r="A2807">
        <f>[2]TongHop!A2807</f>
        <v>0</v>
      </c>
      <c r="B2807">
        <f>[2]TongHop!B2807</f>
        <v>0</v>
      </c>
      <c r="C2807">
        <f>[2]TongHop!C2807</f>
        <v>0</v>
      </c>
      <c r="D2807">
        <f>[2]TongHop!D2807</f>
        <v>0</v>
      </c>
      <c r="E2807">
        <f>[2]TongHop!E2807</f>
        <v>0</v>
      </c>
      <c r="F2807">
        <f>[2]TongHop!F2807</f>
        <v>0</v>
      </c>
      <c r="G2807">
        <f>[2]TongHop!G2807</f>
        <v>0</v>
      </c>
      <c r="H2807">
        <f>[2]TongHop!H2807</f>
        <v>0</v>
      </c>
      <c r="I2807">
        <f>[2]TongHop!I2807</f>
        <v>0</v>
      </c>
      <c r="J2807">
        <f>[2]TongHop!J2807</f>
        <v>0</v>
      </c>
      <c r="K2807">
        <f>[2]TongHop!K2807</f>
        <v>0</v>
      </c>
      <c r="L2807">
        <f>[2]TongHop!L2807</f>
        <v>0</v>
      </c>
      <c r="M2807">
        <f>[2]TongHop!M2807</f>
        <v>0</v>
      </c>
      <c r="N2807">
        <f>[2]TongHop!N2807</f>
        <v>0</v>
      </c>
    </row>
    <row r="2808" spans="1:14">
      <c r="A2808">
        <f>[2]TongHop!A2808</f>
        <v>0</v>
      </c>
      <c r="B2808">
        <f>[2]TongHop!B2808</f>
        <v>0</v>
      </c>
      <c r="C2808">
        <f>[2]TongHop!C2808</f>
        <v>0</v>
      </c>
      <c r="D2808">
        <f>[2]TongHop!D2808</f>
        <v>0</v>
      </c>
      <c r="E2808">
        <f>[2]TongHop!E2808</f>
        <v>0</v>
      </c>
      <c r="F2808">
        <f>[2]TongHop!F2808</f>
        <v>0</v>
      </c>
      <c r="G2808">
        <f>[2]TongHop!G2808</f>
        <v>0</v>
      </c>
      <c r="H2808">
        <f>[2]TongHop!H2808</f>
        <v>0</v>
      </c>
      <c r="I2808">
        <f>[2]TongHop!I2808</f>
        <v>0</v>
      </c>
      <c r="J2808">
        <f>[2]TongHop!J2808</f>
        <v>0</v>
      </c>
      <c r="K2808">
        <f>[2]TongHop!K2808</f>
        <v>0</v>
      </c>
      <c r="L2808">
        <f>[2]TongHop!L2808</f>
        <v>0</v>
      </c>
      <c r="M2808">
        <f>[2]TongHop!M2808</f>
        <v>0</v>
      </c>
      <c r="N2808">
        <f>[2]TongHop!N2808</f>
        <v>0</v>
      </c>
    </row>
    <row r="2809" spans="1:14">
      <c r="A2809">
        <f>[2]TongHop!A2809</f>
        <v>0</v>
      </c>
      <c r="B2809">
        <f>[2]TongHop!B2809</f>
        <v>0</v>
      </c>
      <c r="C2809">
        <f>[2]TongHop!C2809</f>
        <v>0</v>
      </c>
      <c r="D2809">
        <f>[2]TongHop!D2809</f>
        <v>0</v>
      </c>
      <c r="E2809">
        <f>[2]TongHop!E2809</f>
        <v>0</v>
      </c>
      <c r="F2809">
        <f>[2]TongHop!F2809</f>
        <v>0</v>
      </c>
      <c r="G2809">
        <f>[2]TongHop!G2809</f>
        <v>0</v>
      </c>
      <c r="H2809">
        <f>[2]TongHop!H2809</f>
        <v>0</v>
      </c>
      <c r="I2809">
        <f>[2]TongHop!I2809</f>
        <v>0</v>
      </c>
      <c r="J2809">
        <f>[2]TongHop!J2809</f>
        <v>0</v>
      </c>
      <c r="K2809">
        <f>[2]TongHop!K2809</f>
        <v>0</v>
      </c>
      <c r="L2809">
        <f>[2]TongHop!L2809</f>
        <v>0</v>
      </c>
      <c r="M2809">
        <f>[2]TongHop!M2809</f>
        <v>0</v>
      </c>
      <c r="N2809">
        <f>[2]TongHop!N2809</f>
        <v>0</v>
      </c>
    </row>
    <row r="2810" spans="1:14">
      <c r="A2810">
        <f>[2]TongHop!A2810</f>
        <v>0</v>
      </c>
      <c r="B2810">
        <f>[2]TongHop!B2810</f>
        <v>0</v>
      </c>
      <c r="C2810">
        <f>[2]TongHop!C2810</f>
        <v>0</v>
      </c>
      <c r="D2810">
        <f>[2]TongHop!D2810</f>
        <v>0</v>
      </c>
      <c r="E2810">
        <f>[2]TongHop!E2810</f>
        <v>0</v>
      </c>
      <c r="F2810">
        <f>[2]TongHop!F2810</f>
        <v>0</v>
      </c>
      <c r="G2810">
        <f>[2]TongHop!G2810</f>
        <v>0</v>
      </c>
      <c r="H2810">
        <f>[2]TongHop!H2810</f>
        <v>0</v>
      </c>
      <c r="I2810">
        <f>[2]TongHop!I2810</f>
        <v>0</v>
      </c>
      <c r="J2810">
        <f>[2]TongHop!J2810</f>
        <v>0</v>
      </c>
      <c r="K2810">
        <f>[2]TongHop!K2810</f>
        <v>0</v>
      </c>
      <c r="L2810">
        <f>[2]TongHop!L2810</f>
        <v>0</v>
      </c>
      <c r="M2810">
        <f>[2]TongHop!M2810</f>
        <v>0</v>
      </c>
      <c r="N2810">
        <f>[2]TongHop!N2810</f>
        <v>0</v>
      </c>
    </row>
    <row r="2811" spans="1:14">
      <c r="A2811">
        <f>[2]TongHop!A2811</f>
        <v>0</v>
      </c>
      <c r="B2811">
        <f>[2]TongHop!B2811</f>
        <v>0</v>
      </c>
      <c r="C2811">
        <f>[2]TongHop!C2811</f>
        <v>0</v>
      </c>
      <c r="D2811">
        <f>[2]TongHop!D2811</f>
        <v>0</v>
      </c>
      <c r="E2811">
        <f>[2]TongHop!E2811</f>
        <v>0</v>
      </c>
      <c r="F2811">
        <f>[2]TongHop!F2811</f>
        <v>0</v>
      </c>
      <c r="G2811">
        <f>[2]TongHop!G2811</f>
        <v>0</v>
      </c>
      <c r="H2811">
        <f>[2]TongHop!H2811</f>
        <v>0</v>
      </c>
      <c r="I2811">
        <f>[2]TongHop!I2811</f>
        <v>0</v>
      </c>
      <c r="J2811">
        <f>[2]TongHop!J2811</f>
        <v>0</v>
      </c>
      <c r="K2811">
        <f>[2]TongHop!K2811</f>
        <v>0</v>
      </c>
      <c r="L2811">
        <f>[2]TongHop!L2811</f>
        <v>0</v>
      </c>
      <c r="M2811">
        <f>[2]TongHop!M2811</f>
        <v>0</v>
      </c>
      <c r="N2811">
        <f>[2]TongHop!N2811</f>
        <v>0</v>
      </c>
    </row>
    <row r="2812" spans="1:14">
      <c r="A2812">
        <f>[2]TongHop!A2812</f>
        <v>0</v>
      </c>
      <c r="B2812">
        <f>[2]TongHop!B2812</f>
        <v>0</v>
      </c>
      <c r="C2812">
        <f>[2]TongHop!C2812</f>
        <v>0</v>
      </c>
      <c r="D2812">
        <f>[2]TongHop!D2812</f>
        <v>0</v>
      </c>
      <c r="E2812">
        <f>[2]TongHop!E2812</f>
        <v>0</v>
      </c>
      <c r="F2812">
        <f>[2]TongHop!F2812</f>
        <v>0</v>
      </c>
      <c r="G2812">
        <f>[2]TongHop!G2812</f>
        <v>0</v>
      </c>
      <c r="H2812">
        <f>[2]TongHop!H2812</f>
        <v>0</v>
      </c>
      <c r="I2812">
        <f>[2]TongHop!I2812</f>
        <v>0</v>
      </c>
      <c r="J2812">
        <f>[2]TongHop!J2812</f>
        <v>0</v>
      </c>
      <c r="K2812">
        <f>[2]TongHop!K2812</f>
        <v>0</v>
      </c>
      <c r="L2812">
        <f>[2]TongHop!L2812</f>
        <v>0</v>
      </c>
      <c r="M2812">
        <f>[2]TongHop!M2812</f>
        <v>0</v>
      </c>
      <c r="N2812">
        <f>[2]TongHop!N2812</f>
        <v>0</v>
      </c>
    </row>
    <row r="2813" spans="1:14">
      <c r="A2813">
        <f>[2]TongHop!A2813</f>
        <v>0</v>
      </c>
      <c r="B2813">
        <f>[2]TongHop!B2813</f>
        <v>0</v>
      </c>
      <c r="C2813">
        <f>[2]TongHop!C2813</f>
        <v>0</v>
      </c>
      <c r="D2813">
        <f>[2]TongHop!D2813</f>
        <v>0</v>
      </c>
      <c r="E2813">
        <f>[2]TongHop!E2813</f>
        <v>0</v>
      </c>
      <c r="F2813">
        <f>[2]TongHop!F2813</f>
        <v>0</v>
      </c>
      <c r="G2813">
        <f>[2]TongHop!G2813</f>
        <v>0</v>
      </c>
      <c r="H2813">
        <f>[2]TongHop!H2813</f>
        <v>0</v>
      </c>
      <c r="I2813">
        <f>[2]TongHop!I2813</f>
        <v>0</v>
      </c>
      <c r="J2813">
        <f>[2]TongHop!J2813</f>
        <v>0</v>
      </c>
      <c r="K2813">
        <f>[2]TongHop!K2813</f>
        <v>0</v>
      </c>
      <c r="L2813">
        <f>[2]TongHop!L2813</f>
        <v>0</v>
      </c>
      <c r="M2813">
        <f>[2]TongHop!M2813</f>
        <v>0</v>
      </c>
      <c r="N2813">
        <f>[2]TongHop!N2813</f>
        <v>0</v>
      </c>
    </row>
    <row r="2814" spans="1:14">
      <c r="A2814">
        <f>[2]TongHop!A2814</f>
        <v>0</v>
      </c>
      <c r="B2814">
        <f>[2]TongHop!B2814</f>
        <v>0</v>
      </c>
      <c r="C2814">
        <f>[2]TongHop!C2814</f>
        <v>0</v>
      </c>
      <c r="D2814">
        <f>[2]TongHop!D2814</f>
        <v>0</v>
      </c>
      <c r="E2814">
        <f>[2]TongHop!E2814</f>
        <v>0</v>
      </c>
      <c r="F2814">
        <f>[2]TongHop!F2814</f>
        <v>0</v>
      </c>
      <c r="G2814">
        <f>[2]TongHop!G2814</f>
        <v>0</v>
      </c>
      <c r="H2814">
        <f>[2]TongHop!H2814</f>
        <v>0</v>
      </c>
      <c r="I2814">
        <f>[2]TongHop!I2814</f>
        <v>0</v>
      </c>
      <c r="J2814">
        <f>[2]TongHop!J2814</f>
        <v>0</v>
      </c>
      <c r="K2814">
        <f>[2]TongHop!K2814</f>
        <v>0</v>
      </c>
      <c r="L2814">
        <f>[2]TongHop!L2814</f>
        <v>0</v>
      </c>
      <c r="M2814">
        <f>[2]TongHop!M2814</f>
        <v>0</v>
      </c>
      <c r="N2814">
        <f>[2]TongHop!N2814</f>
        <v>0</v>
      </c>
    </row>
    <row r="2815" spans="1:14">
      <c r="A2815">
        <f>[2]TongHop!A2815</f>
        <v>0</v>
      </c>
      <c r="B2815">
        <f>[2]TongHop!B2815</f>
        <v>0</v>
      </c>
      <c r="C2815">
        <f>[2]TongHop!C2815</f>
        <v>0</v>
      </c>
      <c r="D2815">
        <f>[2]TongHop!D2815</f>
        <v>0</v>
      </c>
      <c r="E2815">
        <f>[2]TongHop!E2815</f>
        <v>0</v>
      </c>
      <c r="F2815">
        <f>[2]TongHop!F2815</f>
        <v>0</v>
      </c>
      <c r="G2815">
        <f>[2]TongHop!G2815</f>
        <v>0</v>
      </c>
      <c r="H2815">
        <f>[2]TongHop!H2815</f>
        <v>0</v>
      </c>
      <c r="I2815">
        <f>[2]TongHop!I2815</f>
        <v>0</v>
      </c>
      <c r="J2815">
        <f>[2]TongHop!J2815</f>
        <v>0</v>
      </c>
      <c r="K2815">
        <f>[2]TongHop!K2815</f>
        <v>0</v>
      </c>
      <c r="L2815">
        <f>[2]TongHop!L2815</f>
        <v>0</v>
      </c>
      <c r="M2815">
        <f>[2]TongHop!M2815</f>
        <v>0</v>
      </c>
      <c r="N2815">
        <f>[2]TongHop!N2815</f>
        <v>0</v>
      </c>
    </row>
    <row r="2816" spans="1:14">
      <c r="A2816">
        <f>[2]TongHop!A2816</f>
        <v>0</v>
      </c>
      <c r="B2816">
        <f>[2]TongHop!B2816</f>
        <v>0</v>
      </c>
      <c r="C2816">
        <f>[2]TongHop!C2816</f>
        <v>0</v>
      </c>
      <c r="D2816">
        <f>[2]TongHop!D2816</f>
        <v>0</v>
      </c>
      <c r="E2816">
        <f>[2]TongHop!E2816</f>
        <v>0</v>
      </c>
      <c r="F2816">
        <f>[2]TongHop!F2816</f>
        <v>0</v>
      </c>
      <c r="G2816">
        <f>[2]TongHop!G2816</f>
        <v>0</v>
      </c>
      <c r="H2816">
        <f>[2]TongHop!H2816</f>
        <v>0</v>
      </c>
      <c r="I2816">
        <f>[2]TongHop!I2816</f>
        <v>0</v>
      </c>
      <c r="J2816">
        <f>[2]TongHop!J2816</f>
        <v>0</v>
      </c>
      <c r="K2816">
        <f>[2]TongHop!K2816</f>
        <v>0</v>
      </c>
      <c r="L2816">
        <f>[2]TongHop!L2816</f>
        <v>0</v>
      </c>
      <c r="M2816">
        <f>[2]TongHop!M2816</f>
        <v>0</v>
      </c>
      <c r="N2816">
        <f>[2]TongHop!N2816</f>
        <v>0</v>
      </c>
    </row>
    <row r="2817" spans="1:14">
      <c r="A2817">
        <f>[2]TongHop!A2817</f>
        <v>0</v>
      </c>
      <c r="B2817">
        <f>[2]TongHop!B2817</f>
        <v>0</v>
      </c>
      <c r="C2817">
        <f>[2]TongHop!C2817</f>
        <v>0</v>
      </c>
      <c r="D2817">
        <f>[2]TongHop!D2817</f>
        <v>0</v>
      </c>
      <c r="E2817">
        <f>[2]TongHop!E2817</f>
        <v>0</v>
      </c>
      <c r="F2817">
        <f>[2]TongHop!F2817</f>
        <v>0</v>
      </c>
      <c r="G2817">
        <f>[2]TongHop!G2817</f>
        <v>0</v>
      </c>
      <c r="H2817">
        <f>[2]TongHop!H2817</f>
        <v>0</v>
      </c>
      <c r="I2817">
        <f>[2]TongHop!I2817</f>
        <v>0</v>
      </c>
      <c r="J2817">
        <f>[2]TongHop!J2817</f>
        <v>0</v>
      </c>
      <c r="K2817">
        <f>[2]TongHop!K2817</f>
        <v>0</v>
      </c>
      <c r="L2817">
        <f>[2]TongHop!L2817</f>
        <v>0</v>
      </c>
      <c r="M2817">
        <f>[2]TongHop!M2817</f>
        <v>0</v>
      </c>
      <c r="N2817">
        <f>[2]TongHop!N2817</f>
        <v>0</v>
      </c>
    </row>
    <row r="2818" spans="1:14">
      <c r="A2818">
        <f>[2]TongHop!A2818</f>
        <v>0</v>
      </c>
      <c r="B2818">
        <f>[2]TongHop!B2818</f>
        <v>0</v>
      </c>
      <c r="C2818">
        <f>[2]TongHop!C2818</f>
        <v>0</v>
      </c>
      <c r="D2818">
        <f>[2]TongHop!D2818</f>
        <v>0</v>
      </c>
      <c r="E2818">
        <f>[2]TongHop!E2818</f>
        <v>0</v>
      </c>
      <c r="F2818">
        <f>[2]TongHop!F2818</f>
        <v>0</v>
      </c>
      <c r="G2818">
        <f>[2]TongHop!G2818</f>
        <v>0</v>
      </c>
      <c r="H2818">
        <f>[2]TongHop!H2818</f>
        <v>0</v>
      </c>
      <c r="I2818">
        <f>[2]TongHop!I2818</f>
        <v>0</v>
      </c>
      <c r="J2818">
        <f>[2]TongHop!J2818</f>
        <v>0</v>
      </c>
      <c r="K2818">
        <f>[2]TongHop!K2818</f>
        <v>0</v>
      </c>
      <c r="L2818">
        <f>[2]TongHop!L2818</f>
        <v>0</v>
      </c>
      <c r="M2818">
        <f>[2]TongHop!M2818</f>
        <v>0</v>
      </c>
      <c r="N2818">
        <f>[2]TongHop!N2818</f>
        <v>0</v>
      </c>
    </row>
    <row r="2819" spans="1:14">
      <c r="A2819">
        <f>[2]TongHop!A2819</f>
        <v>0</v>
      </c>
      <c r="B2819">
        <f>[2]TongHop!B2819</f>
        <v>0</v>
      </c>
      <c r="C2819">
        <f>[2]TongHop!C2819</f>
        <v>0</v>
      </c>
      <c r="D2819">
        <f>[2]TongHop!D2819</f>
        <v>0</v>
      </c>
      <c r="E2819">
        <f>[2]TongHop!E2819</f>
        <v>0</v>
      </c>
      <c r="F2819">
        <f>[2]TongHop!F2819</f>
        <v>0</v>
      </c>
      <c r="G2819">
        <f>[2]TongHop!G2819</f>
        <v>0</v>
      </c>
      <c r="H2819">
        <f>[2]TongHop!H2819</f>
        <v>0</v>
      </c>
      <c r="I2819">
        <f>[2]TongHop!I2819</f>
        <v>0</v>
      </c>
      <c r="J2819">
        <f>[2]TongHop!J2819</f>
        <v>0</v>
      </c>
      <c r="K2819">
        <f>[2]TongHop!K2819</f>
        <v>0</v>
      </c>
      <c r="L2819">
        <f>[2]TongHop!L2819</f>
        <v>0</v>
      </c>
      <c r="M2819">
        <f>[2]TongHop!M2819</f>
        <v>0</v>
      </c>
      <c r="N2819">
        <f>[2]TongHop!N2819</f>
        <v>0</v>
      </c>
    </row>
    <row r="2820" spans="1:14">
      <c r="A2820">
        <f>[2]TongHop!A2820</f>
        <v>0</v>
      </c>
      <c r="B2820">
        <f>[2]TongHop!B2820</f>
        <v>0</v>
      </c>
      <c r="C2820">
        <f>[2]TongHop!C2820</f>
        <v>0</v>
      </c>
      <c r="D2820">
        <f>[2]TongHop!D2820</f>
        <v>0</v>
      </c>
      <c r="E2820">
        <f>[2]TongHop!E2820</f>
        <v>0</v>
      </c>
      <c r="F2820">
        <f>[2]TongHop!F2820</f>
        <v>0</v>
      </c>
      <c r="G2820">
        <f>[2]TongHop!G2820</f>
        <v>0</v>
      </c>
      <c r="H2820">
        <f>[2]TongHop!H2820</f>
        <v>0</v>
      </c>
      <c r="I2820">
        <f>[2]TongHop!I2820</f>
        <v>0</v>
      </c>
      <c r="J2820">
        <f>[2]TongHop!J2820</f>
        <v>0</v>
      </c>
      <c r="K2820">
        <f>[2]TongHop!K2820</f>
        <v>0</v>
      </c>
      <c r="L2820">
        <f>[2]TongHop!L2820</f>
        <v>0</v>
      </c>
      <c r="M2820">
        <f>[2]TongHop!M2820</f>
        <v>0</v>
      </c>
      <c r="N2820">
        <f>[2]TongHop!N2820</f>
        <v>0</v>
      </c>
    </row>
    <row r="2821" spans="1:14">
      <c r="A2821">
        <f>[2]TongHop!A2821</f>
        <v>0</v>
      </c>
      <c r="B2821">
        <f>[2]TongHop!B2821</f>
        <v>0</v>
      </c>
      <c r="C2821">
        <f>[2]TongHop!C2821</f>
        <v>0</v>
      </c>
      <c r="D2821">
        <f>[2]TongHop!D2821</f>
        <v>0</v>
      </c>
      <c r="E2821">
        <f>[2]TongHop!E2821</f>
        <v>0</v>
      </c>
      <c r="F2821">
        <f>[2]TongHop!F2821</f>
        <v>0</v>
      </c>
      <c r="G2821">
        <f>[2]TongHop!G2821</f>
        <v>0</v>
      </c>
      <c r="H2821">
        <f>[2]TongHop!H2821</f>
        <v>0</v>
      </c>
      <c r="I2821">
        <f>[2]TongHop!I2821</f>
        <v>0</v>
      </c>
      <c r="J2821">
        <f>[2]TongHop!J2821</f>
        <v>0</v>
      </c>
      <c r="K2821">
        <f>[2]TongHop!K2821</f>
        <v>0</v>
      </c>
      <c r="L2821">
        <f>[2]TongHop!L2821</f>
        <v>0</v>
      </c>
      <c r="M2821">
        <f>[2]TongHop!M2821</f>
        <v>0</v>
      </c>
      <c r="N2821">
        <f>[2]TongHop!N2821</f>
        <v>0</v>
      </c>
    </row>
    <row r="2822" spans="1:14">
      <c r="A2822">
        <f>[2]TongHop!A2822</f>
        <v>0</v>
      </c>
      <c r="B2822">
        <f>[2]TongHop!B2822</f>
        <v>0</v>
      </c>
      <c r="C2822">
        <f>[2]TongHop!C2822</f>
        <v>0</v>
      </c>
      <c r="D2822">
        <f>[2]TongHop!D2822</f>
        <v>0</v>
      </c>
      <c r="E2822">
        <f>[2]TongHop!E2822</f>
        <v>0</v>
      </c>
      <c r="F2822">
        <f>[2]TongHop!F2822</f>
        <v>0</v>
      </c>
      <c r="G2822">
        <f>[2]TongHop!G2822</f>
        <v>0</v>
      </c>
      <c r="H2822">
        <f>[2]TongHop!H2822</f>
        <v>0</v>
      </c>
      <c r="I2822">
        <f>[2]TongHop!I2822</f>
        <v>0</v>
      </c>
      <c r="J2822">
        <f>[2]TongHop!J2822</f>
        <v>0</v>
      </c>
      <c r="K2822">
        <f>[2]TongHop!K2822</f>
        <v>0</v>
      </c>
      <c r="L2822">
        <f>[2]TongHop!L2822</f>
        <v>0</v>
      </c>
      <c r="M2822">
        <f>[2]TongHop!M2822</f>
        <v>0</v>
      </c>
      <c r="N2822">
        <f>[2]TongHop!N2822</f>
        <v>0</v>
      </c>
    </row>
    <row r="2823" spans="1:14">
      <c r="A2823">
        <f>[2]TongHop!A2823</f>
        <v>0</v>
      </c>
      <c r="B2823">
        <f>[2]TongHop!B2823</f>
        <v>0</v>
      </c>
      <c r="C2823">
        <f>[2]TongHop!C2823</f>
        <v>0</v>
      </c>
      <c r="D2823">
        <f>[2]TongHop!D2823</f>
        <v>0</v>
      </c>
      <c r="E2823">
        <f>[2]TongHop!E2823</f>
        <v>0</v>
      </c>
      <c r="F2823">
        <f>[2]TongHop!F2823</f>
        <v>0</v>
      </c>
      <c r="G2823">
        <f>[2]TongHop!G2823</f>
        <v>0</v>
      </c>
      <c r="H2823">
        <f>[2]TongHop!H2823</f>
        <v>0</v>
      </c>
      <c r="I2823">
        <f>[2]TongHop!I2823</f>
        <v>0</v>
      </c>
      <c r="J2823">
        <f>[2]TongHop!J2823</f>
        <v>0</v>
      </c>
      <c r="K2823">
        <f>[2]TongHop!K2823</f>
        <v>0</v>
      </c>
      <c r="L2823">
        <f>[2]TongHop!L2823</f>
        <v>0</v>
      </c>
      <c r="M2823">
        <f>[2]TongHop!M2823</f>
        <v>0</v>
      </c>
      <c r="N2823">
        <f>[2]TongHop!N2823</f>
        <v>0</v>
      </c>
    </row>
    <row r="2824" spans="1:14">
      <c r="A2824">
        <f>[2]TongHop!A2824</f>
        <v>0</v>
      </c>
      <c r="B2824">
        <f>[2]TongHop!B2824</f>
        <v>0</v>
      </c>
      <c r="C2824">
        <f>[2]TongHop!C2824</f>
        <v>0</v>
      </c>
      <c r="D2824">
        <f>[2]TongHop!D2824</f>
        <v>0</v>
      </c>
      <c r="E2824">
        <f>[2]TongHop!E2824</f>
        <v>0</v>
      </c>
      <c r="F2824">
        <f>[2]TongHop!F2824</f>
        <v>0</v>
      </c>
      <c r="G2824">
        <f>[2]TongHop!G2824</f>
        <v>0</v>
      </c>
      <c r="H2824">
        <f>[2]TongHop!H2824</f>
        <v>0</v>
      </c>
      <c r="I2824">
        <f>[2]TongHop!I2824</f>
        <v>0</v>
      </c>
      <c r="J2824">
        <f>[2]TongHop!J2824</f>
        <v>0</v>
      </c>
      <c r="K2824">
        <f>[2]TongHop!K2824</f>
        <v>0</v>
      </c>
      <c r="L2824">
        <f>[2]TongHop!L2824</f>
        <v>0</v>
      </c>
      <c r="M2824">
        <f>[2]TongHop!M2824</f>
        <v>0</v>
      </c>
      <c r="N2824">
        <f>[2]TongHop!N2824</f>
        <v>0</v>
      </c>
    </row>
    <row r="2825" spans="1:14">
      <c r="A2825">
        <f>[2]TongHop!A2825</f>
        <v>0</v>
      </c>
      <c r="B2825">
        <f>[2]TongHop!B2825</f>
        <v>0</v>
      </c>
      <c r="C2825">
        <f>[2]TongHop!C2825</f>
        <v>0</v>
      </c>
      <c r="D2825">
        <f>[2]TongHop!D2825</f>
        <v>0</v>
      </c>
      <c r="E2825">
        <f>[2]TongHop!E2825</f>
        <v>0</v>
      </c>
      <c r="F2825">
        <f>[2]TongHop!F2825</f>
        <v>0</v>
      </c>
      <c r="G2825">
        <f>[2]TongHop!G2825</f>
        <v>0</v>
      </c>
      <c r="H2825">
        <f>[2]TongHop!H2825</f>
        <v>0</v>
      </c>
      <c r="I2825">
        <f>[2]TongHop!I2825</f>
        <v>0</v>
      </c>
      <c r="J2825">
        <f>[2]TongHop!J2825</f>
        <v>0</v>
      </c>
      <c r="K2825">
        <f>[2]TongHop!K2825</f>
        <v>0</v>
      </c>
      <c r="L2825">
        <f>[2]TongHop!L2825</f>
        <v>0</v>
      </c>
      <c r="M2825">
        <f>[2]TongHop!M2825</f>
        <v>0</v>
      </c>
      <c r="N2825">
        <f>[2]TongHop!N2825</f>
        <v>0</v>
      </c>
    </row>
    <row r="2826" spans="1:14">
      <c r="A2826">
        <f>[2]TongHop!A2826</f>
        <v>0</v>
      </c>
      <c r="B2826">
        <f>[2]TongHop!B2826</f>
        <v>0</v>
      </c>
      <c r="C2826">
        <f>[2]TongHop!C2826</f>
        <v>0</v>
      </c>
      <c r="D2826">
        <f>[2]TongHop!D2826</f>
        <v>0</v>
      </c>
      <c r="E2826">
        <f>[2]TongHop!E2826</f>
        <v>0</v>
      </c>
      <c r="F2826">
        <f>[2]TongHop!F2826</f>
        <v>0</v>
      </c>
      <c r="G2826">
        <f>[2]TongHop!G2826</f>
        <v>0</v>
      </c>
      <c r="H2826">
        <f>[2]TongHop!H2826</f>
        <v>0</v>
      </c>
      <c r="I2826">
        <f>[2]TongHop!I2826</f>
        <v>0</v>
      </c>
      <c r="J2826">
        <f>[2]TongHop!J2826</f>
        <v>0</v>
      </c>
      <c r="K2826">
        <f>[2]TongHop!K2826</f>
        <v>0</v>
      </c>
      <c r="L2826">
        <f>[2]TongHop!L2826</f>
        <v>0</v>
      </c>
      <c r="M2826">
        <f>[2]TongHop!M2826</f>
        <v>0</v>
      </c>
      <c r="N2826">
        <f>[2]TongHop!N2826</f>
        <v>0</v>
      </c>
    </row>
    <row r="2827" spans="1:14">
      <c r="A2827">
        <f>[2]TongHop!A2827</f>
        <v>0</v>
      </c>
      <c r="B2827">
        <f>[2]TongHop!B2827</f>
        <v>0</v>
      </c>
      <c r="C2827">
        <f>[2]TongHop!C2827</f>
        <v>0</v>
      </c>
      <c r="D2827">
        <f>[2]TongHop!D2827</f>
        <v>0</v>
      </c>
      <c r="E2827">
        <f>[2]TongHop!E2827</f>
        <v>0</v>
      </c>
      <c r="F2827">
        <f>[2]TongHop!F2827</f>
        <v>0</v>
      </c>
      <c r="G2827">
        <f>[2]TongHop!G2827</f>
        <v>0</v>
      </c>
      <c r="H2827">
        <f>[2]TongHop!H2827</f>
        <v>0</v>
      </c>
      <c r="I2827">
        <f>[2]TongHop!I2827</f>
        <v>0</v>
      </c>
      <c r="J2827">
        <f>[2]TongHop!J2827</f>
        <v>0</v>
      </c>
      <c r="K2827">
        <f>[2]TongHop!K2827</f>
        <v>0</v>
      </c>
      <c r="L2827">
        <f>[2]TongHop!L2827</f>
        <v>0</v>
      </c>
      <c r="M2827">
        <f>[2]TongHop!M2827</f>
        <v>0</v>
      </c>
      <c r="N2827">
        <f>[2]TongHop!N2827</f>
        <v>0</v>
      </c>
    </row>
    <row r="2828" spans="1:14">
      <c r="A2828">
        <f>[2]TongHop!A2828</f>
        <v>0</v>
      </c>
      <c r="B2828">
        <f>[2]TongHop!B2828</f>
        <v>0</v>
      </c>
      <c r="C2828">
        <f>[2]TongHop!C2828</f>
        <v>0</v>
      </c>
      <c r="D2828">
        <f>[2]TongHop!D2828</f>
        <v>0</v>
      </c>
      <c r="E2828">
        <f>[2]TongHop!E2828</f>
        <v>0</v>
      </c>
      <c r="F2828">
        <f>[2]TongHop!F2828</f>
        <v>0</v>
      </c>
      <c r="G2828">
        <f>[2]TongHop!G2828</f>
        <v>0</v>
      </c>
      <c r="H2828">
        <f>[2]TongHop!H2828</f>
        <v>0</v>
      </c>
      <c r="I2828">
        <f>[2]TongHop!I2828</f>
        <v>0</v>
      </c>
      <c r="J2828">
        <f>[2]TongHop!J2828</f>
        <v>0</v>
      </c>
      <c r="K2828">
        <f>[2]TongHop!K2828</f>
        <v>0</v>
      </c>
      <c r="L2828">
        <f>[2]TongHop!L2828</f>
        <v>0</v>
      </c>
      <c r="M2828">
        <f>[2]TongHop!M2828</f>
        <v>0</v>
      </c>
      <c r="N2828">
        <f>[2]TongHop!N2828</f>
        <v>0</v>
      </c>
    </row>
    <row r="2829" spans="1:14">
      <c r="A2829">
        <f>[2]TongHop!A2829</f>
        <v>0</v>
      </c>
      <c r="B2829">
        <f>[2]TongHop!B2829</f>
        <v>0</v>
      </c>
      <c r="C2829">
        <f>[2]TongHop!C2829</f>
        <v>0</v>
      </c>
      <c r="D2829">
        <f>[2]TongHop!D2829</f>
        <v>0</v>
      </c>
      <c r="E2829">
        <f>[2]TongHop!E2829</f>
        <v>0</v>
      </c>
      <c r="F2829">
        <f>[2]TongHop!F2829</f>
        <v>0</v>
      </c>
      <c r="G2829">
        <f>[2]TongHop!G2829</f>
        <v>0</v>
      </c>
      <c r="H2829">
        <f>[2]TongHop!H2829</f>
        <v>0</v>
      </c>
      <c r="I2829">
        <f>[2]TongHop!I2829</f>
        <v>0</v>
      </c>
      <c r="J2829">
        <f>[2]TongHop!J2829</f>
        <v>0</v>
      </c>
      <c r="K2829">
        <f>[2]TongHop!K2829</f>
        <v>0</v>
      </c>
      <c r="L2829">
        <f>[2]TongHop!L2829</f>
        <v>0</v>
      </c>
      <c r="M2829">
        <f>[2]TongHop!M2829</f>
        <v>0</v>
      </c>
      <c r="N2829">
        <f>[2]TongHop!N2829</f>
        <v>0</v>
      </c>
    </row>
    <row r="2830" spans="1:14">
      <c r="A2830">
        <f>[2]TongHop!A2830</f>
        <v>0</v>
      </c>
      <c r="B2830">
        <f>[2]TongHop!B2830</f>
        <v>0</v>
      </c>
      <c r="C2830">
        <f>[2]TongHop!C2830</f>
        <v>0</v>
      </c>
      <c r="D2830">
        <f>[2]TongHop!D2830</f>
        <v>0</v>
      </c>
      <c r="E2830">
        <f>[2]TongHop!E2830</f>
        <v>0</v>
      </c>
      <c r="F2830">
        <f>[2]TongHop!F2830</f>
        <v>0</v>
      </c>
      <c r="G2830">
        <f>[2]TongHop!G2830</f>
        <v>0</v>
      </c>
      <c r="H2830">
        <f>[2]TongHop!H2830</f>
        <v>0</v>
      </c>
      <c r="I2830">
        <f>[2]TongHop!I2830</f>
        <v>0</v>
      </c>
      <c r="J2830">
        <f>[2]TongHop!J2830</f>
        <v>0</v>
      </c>
      <c r="K2830">
        <f>[2]TongHop!K2830</f>
        <v>0</v>
      </c>
      <c r="L2830">
        <f>[2]TongHop!L2830</f>
        <v>0</v>
      </c>
      <c r="M2830">
        <f>[2]TongHop!M2830</f>
        <v>0</v>
      </c>
      <c r="N2830">
        <f>[2]TongHop!N2830</f>
        <v>0</v>
      </c>
    </row>
    <row r="2831" spans="1:14">
      <c r="A2831">
        <f>[2]TongHop!A2831</f>
        <v>0</v>
      </c>
      <c r="B2831">
        <f>[2]TongHop!B2831</f>
        <v>0</v>
      </c>
      <c r="C2831">
        <f>[2]TongHop!C2831</f>
        <v>0</v>
      </c>
      <c r="D2831">
        <f>[2]TongHop!D2831</f>
        <v>0</v>
      </c>
      <c r="E2831">
        <f>[2]TongHop!E2831</f>
        <v>0</v>
      </c>
      <c r="F2831">
        <f>[2]TongHop!F2831</f>
        <v>0</v>
      </c>
      <c r="G2831">
        <f>[2]TongHop!G2831</f>
        <v>0</v>
      </c>
      <c r="H2831">
        <f>[2]TongHop!H2831</f>
        <v>0</v>
      </c>
      <c r="I2831">
        <f>[2]TongHop!I2831</f>
        <v>0</v>
      </c>
      <c r="J2831">
        <f>[2]TongHop!J2831</f>
        <v>0</v>
      </c>
      <c r="K2831">
        <f>[2]TongHop!K2831</f>
        <v>0</v>
      </c>
      <c r="L2831">
        <f>[2]TongHop!L2831</f>
        <v>0</v>
      </c>
      <c r="M2831">
        <f>[2]TongHop!M2831</f>
        <v>0</v>
      </c>
      <c r="N2831">
        <f>[2]TongHop!N2831</f>
        <v>0</v>
      </c>
    </row>
    <row r="2832" spans="1:14">
      <c r="A2832">
        <f>[2]TongHop!A2832</f>
        <v>0</v>
      </c>
      <c r="B2832">
        <f>[2]TongHop!B2832</f>
        <v>0</v>
      </c>
      <c r="C2832">
        <f>[2]TongHop!C2832</f>
        <v>0</v>
      </c>
      <c r="D2832">
        <f>[2]TongHop!D2832</f>
        <v>0</v>
      </c>
      <c r="E2832">
        <f>[2]TongHop!E2832</f>
        <v>0</v>
      </c>
      <c r="F2832">
        <f>[2]TongHop!F2832</f>
        <v>0</v>
      </c>
      <c r="G2832">
        <f>[2]TongHop!G2832</f>
        <v>0</v>
      </c>
      <c r="H2832">
        <f>[2]TongHop!H2832</f>
        <v>0</v>
      </c>
      <c r="I2832">
        <f>[2]TongHop!I2832</f>
        <v>0</v>
      </c>
      <c r="J2832">
        <f>[2]TongHop!J2832</f>
        <v>0</v>
      </c>
      <c r="K2832">
        <f>[2]TongHop!K2832</f>
        <v>0</v>
      </c>
      <c r="L2832">
        <f>[2]TongHop!L2832</f>
        <v>0</v>
      </c>
      <c r="M2832">
        <f>[2]TongHop!M2832</f>
        <v>0</v>
      </c>
      <c r="N2832">
        <f>[2]TongHop!N2832</f>
        <v>0</v>
      </c>
    </row>
    <row r="2833" spans="1:14">
      <c r="A2833">
        <f>[2]TongHop!A2833</f>
        <v>0</v>
      </c>
      <c r="B2833">
        <f>[2]TongHop!B2833</f>
        <v>0</v>
      </c>
      <c r="C2833">
        <f>[2]TongHop!C2833</f>
        <v>0</v>
      </c>
      <c r="D2833">
        <f>[2]TongHop!D2833</f>
        <v>0</v>
      </c>
      <c r="E2833">
        <f>[2]TongHop!E2833</f>
        <v>0</v>
      </c>
      <c r="F2833">
        <f>[2]TongHop!F2833</f>
        <v>0</v>
      </c>
      <c r="G2833">
        <f>[2]TongHop!G2833</f>
        <v>0</v>
      </c>
      <c r="H2833">
        <f>[2]TongHop!H2833</f>
        <v>0</v>
      </c>
      <c r="I2833">
        <f>[2]TongHop!I2833</f>
        <v>0</v>
      </c>
      <c r="J2833">
        <f>[2]TongHop!J2833</f>
        <v>0</v>
      </c>
      <c r="K2833">
        <f>[2]TongHop!K2833</f>
        <v>0</v>
      </c>
      <c r="L2833">
        <f>[2]TongHop!L2833</f>
        <v>0</v>
      </c>
      <c r="M2833">
        <f>[2]TongHop!M2833</f>
        <v>0</v>
      </c>
      <c r="N2833">
        <f>[2]TongHop!N2833</f>
        <v>0</v>
      </c>
    </row>
    <row r="2834" spans="1:14">
      <c r="A2834">
        <f>[2]TongHop!A2834</f>
        <v>0</v>
      </c>
      <c r="B2834">
        <f>[2]TongHop!B2834</f>
        <v>0</v>
      </c>
      <c r="C2834">
        <f>[2]TongHop!C2834</f>
        <v>0</v>
      </c>
      <c r="D2834">
        <f>[2]TongHop!D2834</f>
        <v>0</v>
      </c>
      <c r="E2834">
        <f>[2]TongHop!E2834</f>
        <v>0</v>
      </c>
      <c r="F2834">
        <f>[2]TongHop!F2834</f>
        <v>0</v>
      </c>
      <c r="G2834">
        <f>[2]TongHop!G2834</f>
        <v>0</v>
      </c>
      <c r="H2834">
        <f>[2]TongHop!H2834</f>
        <v>0</v>
      </c>
      <c r="I2834">
        <f>[2]TongHop!I2834</f>
        <v>0</v>
      </c>
      <c r="J2834">
        <f>[2]TongHop!J2834</f>
        <v>0</v>
      </c>
      <c r="K2834">
        <f>[2]TongHop!K2834</f>
        <v>0</v>
      </c>
      <c r="L2834">
        <f>[2]TongHop!L2834</f>
        <v>0</v>
      </c>
      <c r="M2834">
        <f>[2]TongHop!M2834</f>
        <v>0</v>
      </c>
      <c r="N2834">
        <f>[2]TongHop!N2834</f>
        <v>0</v>
      </c>
    </row>
    <row r="2835" spans="1:14">
      <c r="A2835">
        <f>[2]TongHop!A2835</f>
        <v>0</v>
      </c>
      <c r="B2835">
        <f>[2]TongHop!B2835</f>
        <v>0</v>
      </c>
      <c r="C2835">
        <f>[2]TongHop!C2835</f>
        <v>0</v>
      </c>
      <c r="D2835">
        <f>[2]TongHop!D2835</f>
        <v>0</v>
      </c>
      <c r="E2835">
        <f>[2]TongHop!E2835</f>
        <v>0</v>
      </c>
      <c r="F2835">
        <f>[2]TongHop!F2835</f>
        <v>0</v>
      </c>
      <c r="G2835">
        <f>[2]TongHop!G2835</f>
        <v>0</v>
      </c>
      <c r="H2835">
        <f>[2]TongHop!H2835</f>
        <v>0</v>
      </c>
      <c r="I2835">
        <f>[2]TongHop!I2835</f>
        <v>0</v>
      </c>
      <c r="J2835">
        <f>[2]TongHop!J2835</f>
        <v>0</v>
      </c>
      <c r="K2835">
        <f>[2]TongHop!K2835</f>
        <v>0</v>
      </c>
      <c r="L2835">
        <f>[2]TongHop!L2835</f>
        <v>0</v>
      </c>
      <c r="M2835">
        <f>[2]TongHop!M2835</f>
        <v>0</v>
      </c>
      <c r="N2835">
        <f>[2]TongHop!N2835</f>
        <v>0</v>
      </c>
    </row>
    <row r="2836" spans="1:14">
      <c r="A2836">
        <f>[2]TongHop!A2836</f>
        <v>0</v>
      </c>
      <c r="B2836">
        <f>[2]TongHop!B2836</f>
        <v>0</v>
      </c>
      <c r="C2836">
        <f>[2]TongHop!C2836</f>
        <v>0</v>
      </c>
      <c r="D2836">
        <f>[2]TongHop!D2836</f>
        <v>0</v>
      </c>
      <c r="E2836">
        <f>[2]TongHop!E2836</f>
        <v>0</v>
      </c>
      <c r="F2836">
        <f>[2]TongHop!F2836</f>
        <v>0</v>
      </c>
      <c r="G2836">
        <f>[2]TongHop!G2836</f>
        <v>0</v>
      </c>
      <c r="H2836">
        <f>[2]TongHop!H2836</f>
        <v>0</v>
      </c>
      <c r="I2836">
        <f>[2]TongHop!I2836</f>
        <v>0</v>
      </c>
      <c r="J2836">
        <f>[2]TongHop!J2836</f>
        <v>0</v>
      </c>
      <c r="K2836">
        <f>[2]TongHop!K2836</f>
        <v>0</v>
      </c>
      <c r="L2836">
        <f>[2]TongHop!L2836</f>
        <v>0</v>
      </c>
      <c r="M2836">
        <f>[2]TongHop!M2836</f>
        <v>0</v>
      </c>
      <c r="N2836">
        <f>[2]TongHop!N2836</f>
        <v>0</v>
      </c>
    </row>
    <row r="2837" spans="1:14">
      <c r="A2837">
        <f>[2]TongHop!A2837</f>
        <v>0</v>
      </c>
      <c r="B2837">
        <f>[2]TongHop!B2837</f>
        <v>0</v>
      </c>
      <c r="C2837">
        <f>[2]TongHop!C2837</f>
        <v>0</v>
      </c>
      <c r="D2837">
        <f>[2]TongHop!D2837</f>
        <v>0</v>
      </c>
      <c r="E2837">
        <f>[2]TongHop!E2837</f>
        <v>0</v>
      </c>
      <c r="F2837">
        <f>[2]TongHop!F2837</f>
        <v>0</v>
      </c>
      <c r="G2837">
        <f>[2]TongHop!G2837</f>
        <v>0</v>
      </c>
      <c r="H2837">
        <f>[2]TongHop!H2837</f>
        <v>0</v>
      </c>
      <c r="I2837">
        <f>[2]TongHop!I2837</f>
        <v>0</v>
      </c>
      <c r="J2837">
        <f>[2]TongHop!J2837</f>
        <v>0</v>
      </c>
      <c r="K2837">
        <f>[2]TongHop!K2837</f>
        <v>0</v>
      </c>
      <c r="L2837">
        <f>[2]TongHop!L2837</f>
        <v>0</v>
      </c>
      <c r="M2837">
        <f>[2]TongHop!M2837</f>
        <v>0</v>
      </c>
      <c r="N2837">
        <f>[2]TongHop!N2837</f>
        <v>0</v>
      </c>
    </row>
    <row r="2838" spans="1:14">
      <c r="A2838">
        <f>[2]TongHop!A2838</f>
        <v>0</v>
      </c>
      <c r="B2838">
        <f>[2]TongHop!B2838</f>
        <v>0</v>
      </c>
      <c r="C2838">
        <f>[2]TongHop!C2838</f>
        <v>0</v>
      </c>
      <c r="D2838">
        <f>[2]TongHop!D2838</f>
        <v>0</v>
      </c>
      <c r="E2838">
        <f>[2]TongHop!E2838</f>
        <v>0</v>
      </c>
      <c r="F2838">
        <f>[2]TongHop!F2838</f>
        <v>0</v>
      </c>
      <c r="G2838">
        <f>[2]TongHop!G2838</f>
        <v>0</v>
      </c>
      <c r="H2838">
        <f>[2]TongHop!H2838</f>
        <v>0</v>
      </c>
      <c r="I2838">
        <f>[2]TongHop!I2838</f>
        <v>0</v>
      </c>
      <c r="J2838">
        <f>[2]TongHop!J2838</f>
        <v>0</v>
      </c>
      <c r="K2838">
        <f>[2]TongHop!K2838</f>
        <v>0</v>
      </c>
      <c r="L2838">
        <f>[2]TongHop!L2838</f>
        <v>0</v>
      </c>
      <c r="M2838">
        <f>[2]TongHop!M2838</f>
        <v>0</v>
      </c>
      <c r="N2838">
        <f>[2]TongHop!N2838</f>
        <v>0</v>
      </c>
    </row>
    <row r="2839" spans="1:14">
      <c r="A2839">
        <f>[2]TongHop!A2839</f>
        <v>0</v>
      </c>
      <c r="B2839">
        <f>[2]TongHop!B2839</f>
        <v>0</v>
      </c>
      <c r="C2839">
        <f>[2]TongHop!C2839</f>
        <v>0</v>
      </c>
      <c r="D2839">
        <f>[2]TongHop!D2839</f>
        <v>0</v>
      </c>
      <c r="E2839">
        <f>[2]TongHop!E2839</f>
        <v>0</v>
      </c>
      <c r="F2839">
        <f>[2]TongHop!F2839</f>
        <v>0</v>
      </c>
      <c r="G2839">
        <f>[2]TongHop!G2839</f>
        <v>0</v>
      </c>
      <c r="H2839">
        <f>[2]TongHop!H2839</f>
        <v>0</v>
      </c>
      <c r="I2839">
        <f>[2]TongHop!I2839</f>
        <v>0</v>
      </c>
      <c r="J2839">
        <f>[2]TongHop!J2839</f>
        <v>0</v>
      </c>
      <c r="K2839">
        <f>[2]TongHop!K2839</f>
        <v>0</v>
      </c>
      <c r="L2839">
        <f>[2]TongHop!L2839</f>
        <v>0</v>
      </c>
      <c r="M2839">
        <f>[2]TongHop!M2839</f>
        <v>0</v>
      </c>
      <c r="N2839">
        <f>[2]TongHop!N2839</f>
        <v>0</v>
      </c>
    </row>
    <row r="2840" spans="1:14">
      <c r="A2840">
        <f>[2]TongHop!A2840</f>
        <v>0</v>
      </c>
      <c r="B2840">
        <f>[2]TongHop!B2840</f>
        <v>0</v>
      </c>
      <c r="C2840">
        <f>[2]TongHop!C2840</f>
        <v>0</v>
      </c>
      <c r="D2840">
        <f>[2]TongHop!D2840</f>
        <v>0</v>
      </c>
      <c r="E2840">
        <f>[2]TongHop!E2840</f>
        <v>0</v>
      </c>
      <c r="F2840">
        <f>[2]TongHop!F2840</f>
        <v>0</v>
      </c>
      <c r="G2840">
        <f>[2]TongHop!G2840</f>
        <v>0</v>
      </c>
      <c r="H2840">
        <f>[2]TongHop!H2840</f>
        <v>0</v>
      </c>
      <c r="I2840">
        <f>[2]TongHop!I2840</f>
        <v>0</v>
      </c>
      <c r="J2840">
        <f>[2]TongHop!J2840</f>
        <v>0</v>
      </c>
      <c r="K2840">
        <f>[2]TongHop!K2840</f>
        <v>0</v>
      </c>
      <c r="L2840">
        <f>[2]TongHop!L2840</f>
        <v>0</v>
      </c>
      <c r="M2840">
        <f>[2]TongHop!M2840</f>
        <v>0</v>
      </c>
      <c r="N2840">
        <f>[2]TongHop!N2840</f>
        <v>0</v>
      </c>
    </row>
    <row r="2841" spans="1:14">
      <c r="A2841">
        <f>[2]TongHop!A2841</f>
        <v>0</v>
      </c>
      <c r="B2841">
        <f>[2]TongHop!B2841</f>
        <v>0</v>
      </c>
      <c r="C2841">
        <f>[2]TongHop!C2841</f>
        <v>0</v>
      </c>
      <c r="D2841">
        <f>[2]TongHop!D2841</f>
        <v>0</v>
      </c>
      <c r="E2841">
        <f>[2]TongHop!E2841</f>
        <v>0</v>
      </c>
      <c r="F2841">
        <f>[2]TongHop!F2841</f>
        <v>0</v>
      </c>
      <c r="G2841">
        <f>[2]TongHop!G2841</f>
        <v>0</v>
      </c>
      <c r="H2841">
        <f>[2]TongHop!H2841</f>
        <v>0</v>
      </c>
      <c r="I2841">
        <f>[2]TongHop!I2841</f>
        <v>0</v>
      </c>
      <c r="J2841">
        <f>[2]TongHop!J2841</f>
        <v>0</v>
      </c>
      <c r="K2841">
        <f>[2]TongHop!K2841</f>
        <v>0</v>
      </c>
      <c r="L2841">
        <f>[2]TongHop!L2841</f>
        <v>0</v>
      </c>
      <c r="M2841">
        <f>[2]TongHop!M2841</f>
        <v>0</v>
      </c>
      <c r="N2841">
        <f>[2]TongHop!N2841</f>
        <v>0</v>
      </c>
    </row>
    <row r="2842" spans="1:14">
      <c r="A2842">
        <f>[2]TongHop!A2842</f>
        <v>0</v>
      </c>
      <c r="B2842">
        <f>[2]TongHop!B2842</f>
        <v>0</v>
      </c>
      <c r="C2842">
        <f>[2]TongHop!C2842</f>
        <v>0</v>
      </c>
      <c r="D2842">
        <f>[2]TongHop!D2842</f>
        <v>0</v>
      </c>
      <c r="E2842">
        <f>[2]TongHop!E2842</f>
        <v>0</v>
      </c>
      <c r="F2842">
        <f>[2]TongHop!F2842</f>
        <v>0</v>
      </c>
      <c r="G2842">
        <f>[2]TongHop!G2842</f>
        <v>0</v>
      </c>
      <c r="H2842">
        <f>[2]TongHop!H2842</f>
        <v>0</v>
      </c>
      <c r="I2842">
        <f>[2]TongHop!I2842</f>
        <v>0</v>
      </c>
      <c r="J2842">
        <f>[2]TongHop!J2842</f>
        <v>0</v>
      </c>
      <c r="K2842">
        <f>[2]TongHop!K2842</f>
        <v>0</v>
      </c>
      <c r="L2842">
        <f>[2]TongHop!L2842</f>
        <v>0</v>
      </c>
      <c r="M2842">
        <f>[2]TongHop!M2842</f>
        <v>0</v>
      </c>
      <c r="N2842">
        <f>[2]TongHop!N2842</f>
        <v>0</v>
      </c>
    </row>
    <row r="2843" spans="1:14">
      <c r="A2843">
        <f>[2]TongHop!A2843</f>
        <v>0</v>
      </c>
      <c r="B2843">
        <f>[2]TongHop!B2843</f>
        <v>0</v>
      </c>
      <c r="C2843">
        <f>[2]TongHop!C2843</f>
        <v>0</v>
      </c>
      <c r="D2843">
        <f>[2]TongHop!D2843</f>
        <v>0</v>
      </c>
      <c r="E2843">
        <f>[2]TongHop!E2843</f>
        <v>0</v>
      </c>
      <c r="F2843">
        <f>[2]TongHop!F2843</f>
        <v>0</v>
      </c>
      <c r="G2843">
        <f>[2]TongHop!G2843</f>
        <v>0</v>
      </c>
      <c r="H2843">
        <f>[2]TongHop!H2843</f>
        <v>0</v>
      </c>
      <c r="I2843">
        <f>[2]TongHop!I2843</f>
        <v>0</v>
      </c>
      <c r="J2843">
        <f>[2]TongHop!J2843</f>
        <v>0</v>
      </c>
      <c r="K2843">
        <f>[2]TongHop!K2843</f>
        <v>0</v>
      </c>
      <c r="L2843">
        <f>[2]TongHop!L2843</f>
        <v>0</v>
      </c>
      <c r="M2843">
        <f>[2]TongHop!M2843</f>
        <v>0</v>
      </c>
      <c r="N2843">
        <f>[2]TongHop!N2843</f>
        <v>0</v>
      </c>
    </row>
    <row r="2844" spans="1:14">
      <c r="A2844">
        <f>[2]TongHop!A2844</f>
        <v>0</v>
      </c>
      <c r="B2844">
        <f>[2]TongHop!B2844</f>
        <v>0</v>
      </c>
      <c r="C2844">
        <f>[2]TongHop!C2844</f>
        <v>0</v>
      </c>
      <c r="D2844">
        <f>[2]TongHop!D2844</f>
        <v>0</v>
      </c>
      <c r="E2844">
        <f>[2]TongHop!E2844</f>
        <v>0</v>
      </c>
      <c r="F2844">
        <f>[2]TongHop!F2844</f>
        <v>0</v>
      </c>
      <c r="G2844">
        <f>[2]TongHop!G2844</f>
        <v>0</v>
      </c>
      <c r="H2844">
        <f>[2]TongHop!H2844</f>
        <v>0</v>
      </c>
      <c r="I2844">
        <f>[2]TongHop!I2844</f>
        <v>0</v>
      </c>
      <c r="J2844">
        <f>[2]TongHop!J2844</f>
        <v>0</v>
      </c>
      <c r="K2844">
        <f>[2]TongHop!K2844</f>
        <v>0</v>
      </c>
      <c r="L2844">
        <f>[2]TongHop!L2844</f>
        <v>0</v>
      </c>
      <c r="M2844">
        <f>[2]TongHop!M2844</f>
        <v>0</v>
      </c>
      <c r="N2844">
        <f>[2]TongHop!N2844</f>
        <v>0</v>
      </c>
    </row>
    <row r="2845" spans="1:14">
      <c r="A2845">
        <f>[2]TongHop!A2845</f>
        <v>0</v>
      </c>
      <c r="B2845">
        <f>[2]TongHop!B2845</f>
        <v>0</v>
      </c>
      <c r="C2845">
        <f>[2]TongHop!C2845</f>
        <v>0</v>
      </c>
      <c r="D2845">
        <f>[2]TongHop!D2845</f>
        <v>0</v>
      </c>
      <c r="E2845">
        <f>[2]TongHop!E2845</f>
        <v>0</v>
      </c>
      <c r="F2845">
        <f>[2]TongHop!F2845</f>
        <v>0</v>
      </c>
      <c r="G2845">
        <f>[2]TongHop!G2845</f>
        <v>0</v>
      </c>
      <c r="H2845">
        <f>[2]TongHop!H2845</f>
        <v>0</v>
      </c>
      <c r="I2845">
        <f>[2]TongHop!I2845</f>
        <v>0</v>
      </c>
      <c r="J2845">
        <f>[2]TongHop!J2845</f>
        <v>0</v>
      </c>
      <c r="K2845">
        <f>[2]TongHop!K2845</f>
        <v>0</v>
      </c>
      <c r="L2845">
        <f>[2]TongHop!L2845</f>
        <v>0</v>
      </c>
      <c r="M2845">
        <f>[2]TongHop!M2845</f>
        <v>0</v>
      </c>
      <c r="N2845">
        <f>[2]TongHop!N2845</f>
        <v>0</v>
      </c>
    </row>
    <row r="2846" spans="1:14">
      <c r="A2846">
        <f>[2]TongHop!A2846</f>
        <v>0</v>
      </c>
      <c r="B2846">
        <f>[2]TongHop!B2846</f>
        <v>0</v>
      </c>
      <c r="C2846">
        <f>[2]TongHop!C2846</f>
        <v>0</v>
      </c>
      <c r="D2846">
        <f>[2]TongHop!D2846</f>
        <v>0</v>
      </c>
      <c r="E2846">
        <f>[2]TongHop!E2846</f>
        <v>0</v>
      </c>
      <c r="F2846">
        <f>[2]TongHop!F2846</f>
        <v>0</v>
      </c>
      <c r="G2846">
        <f>[2]TongHop!G2846</f>
        <v>0</v>
      </c>
      <c r="H2846">
        <f>[2]TongHop!H2846</f>
        <v>0</v>
      </c>
      <c r="I2846">
        <f>[2]TongHop!I2846</f>
        <v>0</v>
      </c>
      <c r="J2846">
        <f>[2]TongHop!J2846</f>
        <v>0</v>
      </c>
      <c r="K2846">
        <f>[2]TongHop!K2846</f>
        <v>0</v>
      </c>
      <c r="L2846">
        <f>[2]TongHop!L2846</f>
        <v>0</v>
      </c>
      <c r="M2846">
        <f>[2]TongHop!M2846</f>
        <v>0</v>
      </c>
      <c r="N2846">
        <f>[2]TongHop!N2846</f>
        <v>0</v>
      </c>
    </row>
    <row r="2847" spans="1:14">
      <c r="A2847">
        <f>[2]TongHop!A2847</f>
        <v>0</v>
      </c>
      <c r="B2847">
        <f>[2]TongHop!B2847</f>
        <v>0</v>
      </c>
      <c r="C2847">
        <f>[2]TongHop!C2847</f>
        <v>0</v>
      </c>
      <c r="D2847">
        <f>[2]TongHop!D2847</f>
        <v>0</v>
      </c>
      <c r="E2847">
        <f>[2]TongHop!E2847</f>
        <v>0</v>
      </c>
      <c r="F2847">
        <f>[2]TongHop!F2847</f>
        <v>0</v>
      </c>
      <c r="G2847">
        <f>[2]TongHop!G2847</f>
        <v>0</v>
      </c>
      <c r="H2847">
        <f>[2]TongHop!H2847</f>
        <v>0</v>
      </c>
      <c r="I2847">
        <f>[2]TongHop!I2847</f>
        <v>0</v>
      </c>
      <c r="J2847">
        <f>[2]TongHop!J2847</f>
        <v>0</v>
      </c>
      <c r="K2847">
        <f>[2]TongHop!K2847</f>
        <v>0</v>
      </c>
      <c r="L2847">
        <f>[2]TongHop!L2847</f>
        <v>0</v>
      </c>
      <c r="M2847">
        <f>[2]TongHop!M2847</f>
        <v>0</v>
      </c>
      <c r="N2847">
        <f>[2]TongHop!N2847</f>
        <v>0</v>
      </c>
    </row>
    <row r="2848" spans="1:14">
      <c r="A2848">
        <f>[2]TongHop!A2848</f>
        <v>0</v>
      </c>
      <c r="B2848">
        <f>[2]TongHop!B2848</f>
        <v>0</v>
      </c>
      <c r="C2848">
        <f>[2]TongHop!C2848</f>
        <v>0</v>
      </c>
      <c r="D2848">
        <f>[2]TongHop!D2848</f>
        <v>0</v>
      </c>
      <c r="E2848">
        <f>[2]TongHop!E2848</f>
        <v>0</v>
      </c>
      <c r="F2848">
        <f>[2]TongHop!F2848</f>
        <v>0</v>
      </c>
      <c r="G2848">
        <f>[2]TongHop!G2848</f>
        <v>0</v>
      </c>
      <c r="H2848">
        <f>[2]TongHop!H2848</f>
        <v>0</v>
      </c>
      <c r="I2848">
        <f>[2]TongHop!I2848</f>
        <v>0</v>
      </c>
      <c r="J2848">
        <f>[2]TongHop!J2848</f>
        <v>0</v>
      </c>
      <c r="K2848">
        <f>[2]TongHop!K2848</f>
        <v>0</v>
      </c>
      <c r="L2848">
        <f>[2]TongHop!L2848</f>
        <v>0</v>
      </c>
      <c r="M2848">
        <f>[2]TongHop!M2848</f>
        <v>0</v>
      </c>
      <c r="N2848">
        <f>[2]TongHop!N2848</f>
        <v>0</v>
      </c>
    </row>
    <row r="2849" spans="1:14">
      <c r="A2849">
        <f>[2]TongHop!A2849</f>
        <v>0</v>
      </c>
      <c r="B2849">
        <f>[2]TongHop!B2849</f>
        <v>0</v>
      </c>
      <c r="C2849">
        <f>[2]TongHop!C2849</f>
        <v>0</v>
      </c>
      <c r="D2849">
        <f>[2]TongHop!D2849</f>
        <v>0</v>
      </c>
      <c r="E2849">
        <f>[2]TongHop!E2849</f>
        <v>0</v>
      </c>
      <c r="F2849">
        <f>[2]TongHop!F2849</f>
        <v>0</v>
      </c>
      <c r="G2849">
        <f>[2]TongHop!G2849</f>
        <v>0</v>
      </c>
      <c r="H2849">
        <f>[2]TongHop!H2849</f>
        <v>0</v>
      </c>
      <c r="I2849">
        <f>[2]TongHop!I2849</f>
        <v>0</v>
      </c>
      <c r="J2849">
        <f>[2]TongHop!J2849</f>
        <v>0</v>
      </c>
      <c r="K2849">
        <f>[2]TongHop!K2849</f>
        <v>0</v>
      </c>
      <c r="L2849">
        <f>[2]TongHop!L2849</f>
        <v>0</v>
      </c>
      <c r="M2849">
        <f>[2]TongHop!M2849</f>
        <v>0</v>
      </c>
      <c r="N2849">
        <f>[2]TongHop!N2849</f>
        <v>0</v>
      </c>
    </row>
    <row r="2850" spans="1:14">
      <c r="A2850">
        <f>[2]TongHop!A2850</f>
        <v>0</v>
      </c>
      <c r="B2850">
        <f>[2]TongHop!B2850</f>
        <v>0</v>
      </c>
      <c r="C2850">
        <f>[2]TongHop!C2850</f>
        <v>0</v>
      </c>
      <c r="D2850">
        <f>[2]TongHop!D2850</f>
        <v>0</v>
      </c>
      <c r="E2850">
        <f>[2]TongHop!E2850</f>
        <v>0</v>
      </c>
      <c r="F2850">
        <f>[2]TongHop!F2850</f>
        <v>0</v>
      </c>
      <c r="G2850">
        <f>[2]TongHop!G2850</f>
        <v>0</v>
      </c>
      <c r="H2850">
        <f>[2]TongHop!H2850</f>
        <v>0</v>
      </c>
      <c r="I2850">
        <f>[2]TongHop!I2850</f>
        <v>0</v>
      </c>
      <c r="J2850">
        <f>[2]TongHop!J2850</f>
        <v>0</v>
      </c>
      <c r="K2850">
        <f>[2]TongHop!K2850</f>
        <v>0</v>
      </c>
      <c r="L2850">
        <f>[2]TongHop!L2850</f>
        <v>0</v>
      </c>
      <c r="M2850">
        <f>[2]TongHop!M2850</f>
        <v>0</v>
      </c>
      <c r="N2850">
        <f>[2]TongHop!N2850</f>
        <v>0</v>
      </c>
    </row>
    <row r="2851" spans="1:14">
      <c r="A2851">
        <f>[2]TongHop!A2851</f>
        <v>0</v>
      </c>
      <c r="B2851">
        <f>[2]TongHop!B2851</f>
        <v>0</v>
      </c>
      <c r="C2851">
        <f>[2]TongHop!C2851</f>
        <v>0</v>
      </c>
      <c r="D2851">
        <f>[2]TongHop!D2851</f>
        <v>0</v>
      </c>
      <c r="E2851">
        <f>[2]TongHop!E2851</f>
        <v>0</v>
      </c>
      <c r="F2851">
        <f>[2]TongHop!F2851</f>
        <v>0</v>
      </c>
      <c r="G2851">
        <f>[2]TongHop!G2851</f>
        <v>0</v>
      </c>
      <c r="H2851">
        <f>[2]TongHop!H2851</f>
        <v>0</v>
      </c>
      <c r="I2851">
        <f>[2]TongHop!I2851</f>
        <v>0</v>
      </c>
      <c r="J2851">
        <f>[2]TongHop!J2851</f>
        <v>0</v>
      </c>
      <c r="K2851">
        <f>[2]TongHop!K2851</f>
        <v>0</v>
      </c>
      <c r="L2851">
        <f>[2]TongHop!L2851</f>
        <v>0</v>
      </c>
      <c r="M2851">
        <f>[2]TongHop!M2851</f>
        <v>0</v>
      </c>
      <c r="N2851">
        <f>[2]TongHop!N2851</f>
        <v>0</v>
      </c>
    </row>
    <row r="2852" spans="1:14">
      <c r="A2852">
        <f>[2]TongHop!A2852</f>
        <v>0</v>
      </c>
      <c r="B2852">
        <f>[2]TongHop!B2852</f>
        <v>0</v>
      </c>
      <c r="C2852">
        <f>[2]TongHop!C2852</f>
        <v>0</v>
      </c>
      <c r="D2852">
        <f>[2]TongHop!D2852</f>
        <v>0</v>
      </c>
      <c r="E2852">
        <f>[2]TongHop!E2852</f>
        <v>0</v>
      </c>
      <c r="F2852">
        <f>[2]TongHop!F2852</f>
        <v>0</v>
      </c>
      <c r="G2852">
        <f>[2]TongHop!G2852</f>
        <v>0</v>
      </c>
      <c r="H2852">
        <f>[2]TongHop!H2852</f>
        <v>0</v>
      </c>
      <c r="I2852">
        <f>[2]TongHop!I2852</f>
        <v>0</v>
      </c>
      <c r="J2852">
        <f>[2]TongHop!J2852</f>
        <v>0</v>
      </c>
      <c r="K2852">
        <f>[2]TongHop!K2852</f>
        <v>0</v>
      </c>
      <c r="L2852">
        <f>[2]TongHop!L2852</f>
        <v>0</v>
      </c>
      <c r="M2852">
        <f>[2]TongHop!M2852</f>
        <v>0</v>
      </c>
      <c r="N2852">
        <f>[2]TongHop!N2852</f>
        <v>0</v>
      </c>
    </row>
    <row r="2853" spans="1:14">
      <c r="A2853">
        <f>[2]TongHop!A2853</f>
        <v>0</v>
      </c>
      <c r="B2853">
        <f>[2]TongHop!B2853</f>
        <v>0</v>
      </c>
      <c r="C2853">
        <f>[2]TongHop!C2853</f>
        <v>0</v>
      </c>
      <c r="D2853">
        <f>[2]TongHop!D2853</f>
        <v>0</v>
      </c>
      <c r="E2853">
        <f>[2]TongHop!E2853</f>
        <v>0</v>
      </c>
      <c r="F2853">
        <f>[2]TongHop!F2853</f>
        <v>0</v>
      </c>
      <c r="G2853">
        <f>[2]TongHop!G2853</f>
        <v>0</v>
      </c>
      <c r="H2853">
        <f>[2]TongHop!H2853</f>
        <v>0</v>
      </c>
      <c r="I2853">
        <f>[2]TongHop!I2853</f>
        <v>0</v>
      </c>
      <c r="J2853">
        <f>[2]TongHop!J2853</f>
        <v>0</v>
      </c>
      <c r="K2853">
        <f>[2]TongHop!K2853</f>
        <v>0</v>
      </c>
      <c r="L2853">
        <f>[2]TongHop!L2853</f>
        <v>0</v>
      </c>
      <c r="M2853">
        <f>[2]TongHop!M2853</f>
        <v>0</v>
      </c>
      <c r="N2853">
        <f>[2]TongHop!N2853</f>
        <v>0</v>
      </c>
    </row>
    <row r="2854" spans="1:14">
      <c r="A2854">
        <f>[2]TongHop!A2854</f>
        <v>0</v>
      </c>
      <c r="B2854">
        <f>[2]TongHop!B2854</f>
        <v>0</v>
      </c>
      <c r="C2854">
        <f>[2]TongHop!C2854</f>
        <v>0</v>
      </c>
      <c r="D2854">
        <f>[2]TongHop!D2854</f>
        <v>0</v>
      </c>
      <c r="E2854">
        <f>[2]TongHop!E2854</f>
        <v>0</v>
      </c>
      <c r="F2854">
        <f>[2]TongHop!F2854</f>
        <v>0</v>
      </c>
      <c r="G2854">
        <f>[2]TongHop!G2854</f>
        <v>0</v>
      </c>
      <c r="H2854">
        <f>[2]TongHop!H2854</f>
        <v>0</v>
      </c>
      <c r="I2854">
        <f>[2]TongHop!I2854</f>
        <v>0</v>
      </c>
      <c r="J2854">
        <f>[2]TongHop!J2854</f>
        <v>0</v>
      </c>
      <c r="K2854">
        <f>[2]TongHop!K2854</f>
        <v>0</v>
      </c>
      <c r="L2854">
        <f>[2]TongHop!L2854</f>
        <v>0</v>
      </c>
      <c r="M2854">
        <f>[2]TongHop!M2854</f>
        <v>0</v>
      </c>
      <c r="N2854">
        <f>[2]TongHop!N2854</f>
        <v>0</v>
      </c>
    </row>
    <row r="2855" spans="1:14">
      <c r="A2855">
        <f>[2]TongHop!A2855</f>
        <v>0</v>
      </c>
      <c r="B2855">
        <f>[2]TongHop!B2855</f>
        <v>0</v>
      </c>
      <c r="C2855">
        <f>[2]TongHop!C2855</f>
        <v>0</v>
      </c>
      <c r="D2855">
        <f>[2]TongHop!D2855</f>
        <v>0</v>
      </c>
      <c r="E2855">
        <f>[2]TongHop!E2855</f>
        <v>0</v>
      </c>
      <c r="F2855">
        <f>[2]TongHop!F2855</f>
        <v>0</v>
      </c>
      <c r="G2855">
        <f>[2]TongHop!G2855</f>
        <v>0</v>
      </c>
      <c r="H2855">
        <f>[2]TongHop!H2855</f>
        <v>0</v>
      </c>
      <c r="I2855">
        <f>[2]TongHop!I2855</f>
        <v>0</v>
      </c>
      <c r="J2855">
        <f>[2]TongHop!J2855</f>
        <v>0</v>
      </c>
      <c r="K2855">
        <f>[2]TongHop!K2855</f>
        <v>0</v>
      </c>
      <c r="L2855">
        <f>[2]TongHop!L2855</f>
        <v>0</v>
      </c>
      <c r="M2855">
        <f>[2]TongHop!M2855</f>
        <v>0</v>
      </c>
      <c r="N2855">
        <f>[2]TongHop!N2855</f>
        <v>0</v>
      </c>
    </row>
    <row r="2856" spans="1:14">
      <c r="A2856">
        <f>[2]TongHop!A2856</f>
        <v>0</v>
      </c>
      <c r="B2856">
        <f>[2]TongHop!B2856</f>
        <v>0</v>
      </c>
      <c r="C2856">
        <f>[2]TongHop!C2856</f>
        <v>0</v>
      </c>
      <c r="D2856">
        <f>[2]TongHop!D2856</f>
        <v>0</v>
      </c>
      <c r="E2856">
        <f>[2]TongHop!E2856</f>
        <v>0</v>
      </c>
      <c r="F2856">
        <f>[2]TongHop!F2856</f>
        <v>0</v>
      </c>
      <c r="G2856">
        <f>[2]TongHop!G2856</f>
        <v>0</v>
      </c>
      <c r="H2856">
        <f>[2]TongHop!H2856</f>
        <v>0</v>
      </c>
      <c r="I2856">
        <f>[2]TongHop!I2856</f>
        <v>0</v>
      </c>
      <c r="J2856">
        <f>[2]TongHop!J2856</f>
        <v>0</v>
      </c>
      <c r="K2856">
        <f>[2]TongHop!K2856</f>
        <v>0</v>
      </c>
      <c r="L2856">
        <f>[2]TongHop!L2856</f>
        <v>0</v>
      </c>
      <c r="M2856">
        <f>[2]TongHop!M2856</f>
        <v>0</v>
      </c>
      <c r="N2856">
        <f>[2]TongHop!N2856</f>
        <v>0</v>
      </c>
    </row>
    <row r="2857" spans="1:14">
      <c r="A2857">
        <f>[2]TongHop!A2857</f>
        <v>0</v>
      </c>
      <c r="B2857">
        <f>[2]TongHop!B2857</f>
        <v>0</v>
      </c>
      <c r="C2857">
        <f>[2]TongHop!C2857</f>
        <v>0</v>
      </c>
      <c r="D2857">
        <f>[2]TongHop!D2857</f>
        <v>0</v>
      </c>
      <c r="E2857">
        <f>[2]TongHop!E2857</f>
        <v>0</v>
      </c>
      <c r="F2857">
        <f>[2]TongHop!F2857</f>
        <v>0</v>
      </c>
      <c r="G2857">
        <f>[2]TongHop!G2857</f>
        <v>0</v>
      </c>
      <c r="H2857">
        <f>[2]TongHop!H2857</f>
        <v>0</v>
      </c>
      <c r="I2857">
        <f>[2]TongHop!I2857</f>
        <v>0</v>
      </c>
      <c r="J2857">
        <f>[2]TongHop!J2857</f>
        <v>0</v>
      </c>
      <c r="K2857">
        <f>[2]TongHop!K2857</f>
        <v>0</v>
      </c>
      <c r="L2857">
        <f>[2]TongHop!L2857</f>
        <v>0</v>
      </c>
      <c r="M2857">
        <f>[2]TongHop!M2857</f>
        <v>0</v>
      </c>
      <c r="N2857">
        <f>[2]TongHop!N2857</f>
        <v>0</v>
      </c>
    </row>
    <row r="2858" spans="1:14">
      <c r="A2858">
        <f>[2]TongHop!A2858</f>
        <v>0</v>
      </c>
      <c r="B2858">
        <f>[2]TongHop!B2858</f>
        <v>0</v>
      </c>
      <c r="C2858">
        <f>[2]TongHop!C2858</f>
        <v>0</v>
      </c>
      <c r="D2858">
        <f>[2]TongHop!D2858</f>
        <v>0</v>
      </c>
      <c r="E2858">
        <f>[2]TongHop!E2858</f>
        <v>0</v>
      </c>
      <c r="F2858">
        <f>[2]TongHop!F2858</f>
        <v>0</v>
      </c>
      <c r="G2858">
        <f>[2]TongHop!G2858</f>
        <v>0</v>
      </c>
      <c r="H2858">
        <f>[2]TongHop!H2858</f>
        <v>0</v>
      </c>
      <c r="I2858">
        <f>[2]TongHop!I2858</f>
        <v>0</v>
      </c>
      <c r="J2858">
        <f>[2]TongHop!J2858</f>
        <v>0</v>
      </c>
      <c r="K2858">
        <f>[2]TongHop!K2858</f>
        <v>0</v>
      </c>
      <c r="L2858">
        <f>[2]TongHop!L2858</f>
        <v>0</v>
      </c>
      <c r="M2858">
        <f>[2]TongHop!M2858</f>
        <v>0</v>
      </c>
      <c r="N2858">
        <f>[2]TongHop!N2858</f>
        <v>0</v>
      </c>
    </row>
    <row r="2859" spans="1:14">
      <c r="A2859">
        <f>[2]TongHop!A2859</f>
        <v>0</v>
      </c>
      <c r="B2859">
        <f>[2]TongHop!B2859</f>
        <v>0</v>
      </c>
      <c r="C2859">
        <f>[2]TongHop!C2859</f>
        <v>0</v>
      </c>
      <c r="D2859">
        <f>[2]TongHop!D2859</f>
        <v>0</v>
      </c>
      <c r="E2859">
        <f>[2]TongHop!E2859</f>
        <v>0</v>
      </c>
      <c r="F2859">
        <f>[2]TongHop!F2859</f>
        <v>0</v>
      </c>
      <c r="G2859">
        <f>[2]TongHop!G2859</f>
        <v>0</v>
      </c>
      <c r="H2859">
        <f>[2]TongHop!H2859</f>
        <v>0</v>
      </c>
      <c r="I2859">
        <f>[2]TongHop!I2859</f>
        <v>0</v>
      </c>
      <c r="J2859">
        <f>[2]TongHop!J2859</f>
        <v>0</v>
      </c>
      <c r="K2859">
        <f>[2]TongHop!K2859</f>
        <v>0</v>
      </c>
      <c r="L2859">
        <f>[2]TongHop!L2859</f>
        <v>0</v>
      </c>
      <c r="M2859">
        <f>[2]TongHop!M2859</f>
        <v>0</v>
      </c>
      <c r="N2859">
        <f>[2]TongHop!N2859</f>
        <v>0</v>
      </c>
    </row>
    <row r="2860" spans="1:14">
      <c r="A2860">
        <f>[2]TongHop!A2860</f>
        <v>0</v>
      </c>
      <c r="B2860">
        <f>[2]TongHop!B2860</f>
        <v>0</v>
      </c>
      <c r="C2860">
        <f>[2]TongHop!C2860</f>
        <v>0</v>
      </c>
      <c r="D2860">
        <f>[2]TongHop!D2860</f>
        <v>0</v>
      </c>
      <c r="E2860">
        <f>[2]TongHop!E2860</f>
        <v>0</v>
      </c>
      <c r="F2860">
        <f>[2]TongHop!F2860</f>
        <v>0</v>
      </c>
      <c r="G2860">
        <f>[2]TongHop!G2860</f>
        <v>0</v>
      </c>
      <c r="H2860">
        <f>[2]TongHop!H2860</f>
        <v>0</v>
      </c>
      <c r="I2860">
        <f>[2]TongHop!I2860</f>
        <v>0</v>
      </c>
      <c r="J2860">
        <f>[2]TongHop!J2860</f>
        <v>0</v>
      </c>
      <c r="K2860">
        <f>[2]TongHop!K2860</f>
        <v>0</v>
      </c>
      <c r="L2860">
        <f>[2]TongHop!L2860</f>
        <v>0</v>
      </c>
      <c r="M2860">
        <f>[2]TongHop!M2860</f>
        <v>0</v>
      </c>
      <c r="N2860">
        <f>[2]TongHop!N2860</f>
        <v>0</v>
      </c>
    </row>
    <row r="2861" spans="1:14">
      <c r="A2861">
        <f>[2]TongHop!A2861</f>
        <v>0</v>
      </c>
      <c r="B2861">
        <f>[2]TongHop!B2861</f>
        <v>0</v>
      </c>
      <c r="C2861">
        <f>[2]TongHop!C2861</f>
        <v>0</v>
      </c>
      <c r="D2861">
        <f>[2]TongHop!D2861</f>
        <v>0</v>
      </c>
      <c r="E2861">
        <f>[2]TongHop!E2861</f>
        <v>0</v>
      </c>
      <c r="F2861">
        <f>[2]TongHop!F2861</f>
        <v>0</v>
      </c>
      <c r="G2861">
        <f>[2]TongHop!G2861</f>
        <v>0</v>
      </c>
      <c r="H2861">
        <f>[2]TongHop!H2861</f>
        <v>0</v>
      </c>
      <c r="I2861">
        <f>[2]TongHop!I2861</f>
        <v>0</v>
      </c>
      <c r="J2861">
        <f>[2]TongHop!J2861</f>
        <v>0</v>
      </c>
      <c r="K2861">
        <f>[2]TongHop!K2861</f>
        <v>0</v>
      </c>
      <c r="L2861">
        <f>[2]TongHop!L2861</f>
        <v>0</v>
      </c>
      <c r="M2861">
        <f>[2]TongHop!M2861</f>
        <v>0</v>
      </c>
      <c r="N2861">
        <f>[2]TongHop!N2861</f>
        <v>0</v>
      </c>
    </row>
    <row r="2862" spans="1:14">
      <c r="A2862">
        <f>[2]TongHop!A2862</f>
        <v>0</v>
      </c>
      <c r="B2862">
        <f>[2]TongHop!B2862</f>
        <v>0</v>
      </c>
      <c r="C2862">
        <f>[2]TongHop!C2862</f>
        <v>0</v>
      </c>
      <c r="D2862">
        <f>[2]TongHop!D2862</f>
        <v>0</v>
      </c>
      <c r="E2862">
        <f>[2]TongHop!E2862</f>
        <v>0</v>
      </c>
      <c r="F2862">
        <f>[2]TongHop!F2862</f>
        <v>0</v>
      </c>
      <c r="G2862">
        <f>[2]TongHop!G2862</f>
        <v>0</v>
      </c>
      <c r="H2862">
        <f>[2]TongHop!H2862</f>
        <v>0</v>
      </c>
      <c r="I2862">
        <f>[2]TongHop!I2862</f>
        <v>0</v>
      </c>
      <c r="J2862">
        <f>[2]TongHop!J2862</f>
        <v>0</v>
      </c>
      <c r="K2862">
        <f>[2]TongHop!K2862</f>
        <v>0</v>
      </c>
      <c r="L2862">
        <f>[2]TongHop!L2862</f>
        <v>0</v>
      </c>
      <c r="M2862">
        <f>[2]TongHop!M2862</f>
        <v>0</v>
      </c>
      <c r="N2862">
        <f>[2]TongHop!N2862</f>
        <v>0</v>
      </c>
    </row>
    <row r="2863" spans="1:14">
      <c r="A2863">
        <f>[2]TongHop!A2863</f>
        <v>0</v>
      </c>
      <c r="B2863">
        <f>[2]TongHop!B2863</f>
        <v>0</v>
      </c>
      <c r="C2863">
        <f>[2]TongHop!C2863</f>
        <v>0</v>
      </c>
      <c r="D2863">
        <f>[2]TongHop!D2863</f>
        <v>0</v>
      </c>
      <c r="E2863">
        <f>[2]TongHop!E2863</f>
        <v>0</v>
      </c>
      <c r="F2863">
        <f>[2]TongHop!F2863</f>
        <v>0</v>
      </c>
      <c r="G2863">
        <f>[2]TongHop!G2863</f>
        <v>0</v>
      </c>
      <c r="H2863">
        <f>[2]TongHop!H2863</f>
        <v>0</v>
      </c>
      <c r="I2863">
        <f>[2]TongHop!I2863</f>
        <v>0</v>
      </c>
      <c r="J2863">
        <f>[2]TongHop!J2863</f>
        <v>0</v>
      </c>
      <c r="K2863">
        <f>[2]TongHop!K2863</f>
        <v>0</v>
      </c>
      <c r="L2863">
        <f>[2]TongHop!L2863</f>
        <v>0</v>
      </c>
      <c r="M2863">
        <f>[2]TongHop!M2863</f>
        <v>0</v>
      </c>
      <c r="N2863">
        <f>[2]TongHop!N2863</f>
        <v>0</v>
      </c>
    </row>
    <row r="2864" spans="1:14">
      <c r="A2864">
        <f>[2]TongHop!A2864</f>
        <v>0</v>
      </c>
      <c r="B2864">
        <f>[2]TongHop!B2864</f>
        <v>0</v>
      </c>
      <c r="C2864">
        <f>[2]TongHop!C2864</f>
        <v>0</v>
      </c>
      <c r="D2864">
        <f>[2]TongHop!D2864</f>
        <v>0</v>
      </c>
      <c r="E2864">
        <f>[2]TongHop!E2864</f>
        <v>0</v>
      </c>
      <c r="F2864">
        <f>[2]TongHop!F2864</f>
        <v>0</v>
      </c>
      <c r="G2864">
        <f>[2]TongHop!G2864</f>
        <v>0</v>
      </c>
      <c r="H2864">
        <f>[2]TongHop!H2864</f>
        <v>0</v>
      </c>
      <c r="I2864">
        <f>[2]TongHop!I2864</f>
        <v>0</v>
      </c>
      <c r="J2864">
        <f>[2]TongHop!J2864</f>
        <v>0</v>
      </c>
      <c r="K2864">
        <f>[2]TongHop!K2864</f>
        <v>0</v>
      </c>
      <c r="L2864">
        <f>[2]TongHop!L2864</f>
        <v>0</v>
      </c>
      <c r="M2864">
        <f>[2]TongHop!M2864</f>
        <v>0</v>
      </c>
      <c r="N2864">
        <f>[2]TongHop!N2864</f>
        <v>0</v>
      </c>
    </row>
    <row r="2865" spans="1:14">
      <c r="A2865">
        <f>[2]TongHop!A2865</f>
        <v>0</v>
      </c>
      <c r="B2865">
        <f>[2]TongHop!B2865</f>
        <v>0</v>
      </c>
      <c r="C2865">
        <f>[2]TongHop!C2865</f>
        <v>0</v>
      </c>
      <c r="D2865">
        <f>[2]TongHop!D2865</f>
        <v>0</v>
      </c>
      <c r="E2865">
        <f>[2]TongHop!E2865</f>
        <v>0</v>
      </c>
      <c r="F2865">
        <f>[2]TongHop!F2865</f>
        <v>0</v>
      </c>
      <c r="G2865">
        <f>[2]TongHop!G2865</f>
        <v>0</v>
      </c>
      <c r="H2865">
        <f>[2]TongHop!H2865</f>
        <v>0</v>
      </c>
      <c r="I2865">
        <f>[2]TongHop!I2865</f>
        <v>0</v>
      </c>
      <c r="J2865">
        <f>[2]TongHop!J2865</f>
        <v>0</v>
      </c>
      <c r="K2865">
        <f>[2]TongHop!K2865</f>
        <v>0</v>
      </c>
      <c r="L2865">
        <f>[2]TongHop!L2865</f>
        <v>0</v>
      </c>
      <c r="M2865">
        <f>[2]TongHop!M2865</f>
        <v>0</v>
      </c>
      <c r="N2865">
        <f>[2]TongHop!N2865</f>
        <v>0</v>
      </c>
    </row>
    <row r="2866" spans="1:14">
      <c r="A2866">
        <f>[2]TongHop!A2866</f>
        <v>0</v>
      </c>
      <c r="B2866">
        <f>[2]TongHop!B2866</f>
        <v>0</v>
      </c>
      <c r="C2866">
        <f>[2]TongHop!C2866</f>
        <v>0</v>
      </c>
      <c r="D2866">
        <f>[2]TongHop!D2866</f>
        <v>0</v>
      </c>
      <c r="E2866">
        <f>[2]TongHop!E2866</f>
        <v>0</v>
      </c>
      <c r="F2866">
        <f>[2]TongHop!F2866</f>
        <v>0</v>
      </c>
      <c r="G2866">
        <f>[2]TongHop!G2866</f>
        <v>0</v>
      </c>
      <c r="H2866">
        <f>[2]TongHop!H2866</f>
        <v>0</v>
      </c>
      <c r="I2866">
        <f>[2]TongHop!I2866</f>
        <v>0</v>
      </c>
      <c r="J2866">
        <f>[2]TongHop!J2866</f>
        <v>0</v>
      </c>
      <c r="K2866">
        <f>[2]TongHop!K2866</f>
        <v>0</v>
      </c>
      <c r="L2866">
        <f>[2]TongHop!L2866</f>
        <v>0</v>
      </c>
      <c r="M2866">
        <f>[2]TongHop!M2866</f>
        <v>0</v>
      </c>
      <c r="N2866">
        <f>[2]TongHop!N2866</f>
        <v>0</v>
      </c>
    </row>
    <row r="2867" spans="1:14">
      <c r="A2867">
        <f>[2]TongHop!A2867</f>
        <v>0</v>
      </c>
      <c r="B2867">
        <f>[2]TongHop!B2867</f>
        <v>0</v>
      </c>
      <c r="C2867">
        <f>[2]TongHop!C2867</f>
        <v>0</v>
      </c>
      <c r="D2867">
        <f>[2]TongHop!D2867</f>
        <v>0</v>
      </c>
      <c r="E2867">
        <f>[2]TongHop!E2867</f>
        <v>0</v>
      </c>
      <c r="F2867">
        <f>[2]TongHop!F2867</f>
        <v>0</v>
      </c>
      <c r="G2867">
        <f>[2]TongHop!G2867</f>
        <v>0</v>
      </c>
      <c r="H2867">
        <f>[2]TongHop!H2867</f>
        <v>0</v>
      </c>
      <c r="I2867">
        <f>[2]TongHop!I2867</f>
        <v>0</v>
      </c>
      <c r="J2867">
        <f>[2]TongHop!J2867</f>
        <v>0</v>
      </c>
      <c r="K2867">
        <f>[2]TongHop!K2867</f>
        <v>0</v>
      </c>
      <c r="L2867">
        <f>[2]TongHop!L2867</f>
        <v>0</v>
      </c>
      <c r="M2867">
        <f>[2]TongHop!M2867</f>
        <v>0</v>
      </c>
      <c r="N2867">
        <f>[2]TongHop!N2867</f>
        <v>0</v>
      </c>
    </row>
    <row r="2868" spans="1:14">
      <c r="A2868">
        <f>[2]TongHop!A2868</f>
        <v>0</v>
      </c>
      <c r="B2868">
        <f>[2]TongHop!B2868</f>
        <v>0</v>
      </c>
      <c r="C2868">
        <f>[2]TongHop!C2868</f>
        <v>0</v>
      </c>
      <c r="D2868">
        <f>[2]TongHop!D2868</f>
        <v>0</v>
      </c>
      <c r="E2868">
        <f>[2]TongHop!E2868</f>
        <v>0</v>
      </c>
      <c r="F2868">
        <f>[2]TongHop!F2868</f>
        <v>0</v>
      </c>
      <c r="G2868">
        <f>[2]TongHop!G2868</f>
        <v>0</v>
      </c>
      <c r="H2868">
        <f>[2]TongHop!H2868</f>
        <v>0</v>
      </c>
      <c r="I2868">
        <f>[2]TongHop!I2868</f>
        <v>0</v>
      </c>
      <c r="J2868">
        <f>[2]TongHop!J2868</f>
        <v>0</v>
      </c>
      <c r="K2868">
        <f>[2]TongHop!K2868</f>
        <v>0</v>
      </c>
      <c r="L2868">
        <f>[2]TongHop!L2868</f>
        <v>0</v>
      </c>
      <c r="M2868">
        <f>[2]TongHop!M2868</f>
        <v>0</v>
      </c>
      <c r="N2868">
        <f>[2]TongHop!N2868</f>
        <v>0</v>
      </c>
    </row>
    <row r="2869" spans="1:14">
      <c r="A2869">
        <f>[2]TongHop!A2869</f>
        <v>0</v>
      </c>
      <c r="B2869">
        <f>[2]TongHop!B2869</f>
        <v>0</v>
      </c>
      <c r="C2869">
        <f>[2]TongHop!C2869</f>
        <v>0</v>
      </c>
      <c r="D2869">
        <f>[2]TongHop!D2869</f>
        <v>0</v>
      </c>
      <c r="E2869">
        <f>[2]TongHop!E2869</f>
        <v>0</v>
      </c>
      <c r="F2869">
        <f>[2]TongHop!F2869</f>
        <v>0</v>
      </c>
      <c r="G2869">
        <f>[2]TongHop!G2869</f>
        <v>0</v>
      </c>
      <c r="H2869">
        <f>[2]TongHop!H2869</f>
        <v>0</v>
      </c>
      <c r="I2869">
        <f>[2]TongHop!I2869</f>
        <v>0</v>
      </c>
      <c r="J2869">
        <f>[2]TongHop!J2869</f>
        <v>0</v>
      </c>
      <c r="K2869">
        <f>[2]TongHop!K2869</f>
        <v>0</v>
      </c>
      <c r="L2869">
        <f>[2]TongHop!L2869</f>
        <v>0</v>
      </c>
      <c r="M2869">
        <f>[2]TongHop!M2869</f>
        <v>0</v>
      </c>
      <c r="N2869">
        <f>[2]TongHop!N2869</f>
        <v>0</v>
      </c>
    </row>
    <row r="2870" spans="1:14">
      <c r="A2870">
        <f>[2]TongHop!A2870</f>
        <v>0</v>
      </c>
      <c r="B2870">
        <f>[2]TongHop!B2870</f>
        <v>0</v>
      </c>
      <c r="C2870">
        <f>[2]TongHop!C2870</f>
        <v>0</v>
      </c>
      <c r="D2870">
        <f>[2]TongHop!D2870</f>
        <v>0</v>
      </c>
      <c r="E2870">
        <f>[2]TongHop!E2870</f>
        <v>0</v>
      </c>
      <c r="F2870">
        <f>[2]TongHop!F2870</f>
        <v>0</v>
      </c>
      <c r="G2870">
        <f>[2]TongHop!G2870</f>
        <v>0</v>
      </c>
      <c r="H2870">
        <f>[2]TongHop!H2870</f>
        <v>0</v>
      </c>
      <c r="I2870">
        <f>[2]TongHop!I2870</f>
        <v>0</v>
      </c>
      <c r="J2870">
        <f>[2]TongHop!J2870</f>
        <v>0</v>
      </c>
      <c r="K2870">
        <f>[2]TongHop!K2870</f>
        <v>0</v>
      </c>
      <c r="L2870">
        <f>[2]TongHop!L2870</f>
        <v>0</v>
      </c>
      <c r="M2870">
        <f>[2]TongHop!M2870</f>
        <v>0</v>
      </c>
      <c r="N2870">
        <f>[2]TongHop!N2870</f>
        <v>0</v>
      </c>
    </row>
    <row r="2871" spans="1:14">
      <c r="A2871">
        <f>[2]TongHop!A2871</f>
        <v>0</v>
      </c>
      <c r="B2871">
        <f>[2]TongHop!B2871</f>
        <v>0</v>
      </c>
      <c r="C2871">
        <f>[2]TongHop!C2871</f>
        <v>0</v>
      </c>
      <c r="D2871">
        <f>[2]TongHop!D2871</f>
        <v>0</v>
      </c>
      <c r="E2871">
        <f>[2]TongHop!E2871</f>
        <v>0</v>
      </c>
      <c r="F2871">
        <f>[2]TongHop!F2871</f>
        <v>0</v>
      </c>
      <c r="G2871">
        <f>[2]TongHop!G2871</f>
        <v>0</v>
      </c>
      <c r="H2871">
        <f>[2]TongHop!H2871</f>
        <v>0</v>
      </c>
      <c r="I2871">
        <f>[2]TongHop!I2871</f>
        <v>0</v>
      </c>
      <c r="J2871">
        <f>[2]TongHop!J2871</f>
        <v>0</v>
      </c>
      <c r="K2871">
        <f>[2]TongHop!K2871</f>
        <v>0</v>
      </c>
      <c r="L2871">
        <f>[2]TongHop!L2871</f>
        <v>0</v>
      </c>
      <c r="M2871">
        <f>[2]TongHop!M2871</f>
        <v>0</v>
      </c>
      <c r="N2871">
        <f>[2]TongHop!N2871</f>
        <v>0</v>
      </c>
    </row>
    <row r="2872" spans="1:14">
      <c r="A2872">
        <f>[2]TongHop!A2872</f>
        <v>0</v>
      </c>
      <c r="B2872">
        <f>[2]TongHop!B2872</f>
        <v>0</v>
      </c>
      <c r="C2872">
        <f>[2]TongHop!C2872</f>
        <v>0</v>
      </c>
      <c r="D2872">
        <f>[2]TongHop!D2872</f>
        <v>0</v>
      </c>
      <c r="E2872">
        <f>[2]TongHop!E2872</f>
        <v>0</v>
      </c>
      <c r="F2872">
        <f>[2]TongHop!F2872</f>
        <v>0</v>
      </c>
      <c r="G2872">
        <f>[2]TongHop!G2872</f>
        <v>0</v>
      </c>
      <c r="H2872">
        <f>[2]TongHop!H2872</f>
        <v>0</v>
      </c>
      <c r="I2872">
        <f>[2]TongHop!I2872</f>
        <v>0</v>
      </c>
      <c r="J2872">
        <f>[2]TongHop!J2872</f>
        <v>0</v>
      </c>
      <c r="K2872">
        <f>[2]TongHop!K2872</f>
        <v>0</v>
      </c>
      <c r="L2872">
        <f>[2]TongHop!L2872</f>
        <v>0</v>
      </c>
      <c r="M2872">
        <f>[2]TongHop!M2872</f>
        <v>0</v>
      </c>
      <c r="N2872">
        <f>[2]TongHop!N2872</f>
        <v>0</v>
      </c>
    </row>
    <row r="2873" spans="1:14">
      <c r="A2873">
        <f>[2]TongHop!A2873</f>
        <v>0</v>
      </c>
      <c r="B2873">
        <f>[2]TongHop!B2873</f>
        <v>0</v>
      </c>
      <c r="C2873">
        <f>[2]TongHop!C2873</f>
        <v>0</v>
      </c>
      <c r="D2873">
        <f>[2]TongHop!D2873</f>
        <v>0</v>
      </c>
      <c r="E2873">
        <f>[2]TongHop!E2873</f>
        <v>0</v>
      </c>
      <c r="F2873">
        <f>[2]TongHop!F2873</f>
        <v>0</v>
      </c>
      <c r="G2873">
        <f>[2]TongHop!G2873</f>
        <v>0</v>
      </c>
      <c r="H2873">
        <f>[2]TongHop!H2873</f>
        <v>0</v>
      </c>
      <c r="I2873">
        <f>[2]TongHop!I2873</f>
        <v>0</v>
      </c>
      <c r="J2873">
        <f>[2]TongHop!J2873</f>
        <v>0</v>
      </c>
      <c r="K2873">
        <f>[2]TongHop!K2873</f>
        <v>0</v>
      </c>
      <c r="L2873">
        <f>[2]TongHop!L2873</f>
        <v>0</v>
      </c>
      <c r="M2873">
        <f>[2]TongHop!M2873</f>
        <v>0</v>
      </c>
      <c r="N2873">
        <f>[2]TongHop!N2873</f>
        <v>0</v>
      </c>
    </row>
    <row r="2874" spans="1:14">
      <c r="A2874">
        <f>[2]TongHop!A2874</f>
        <v>0</v>
      </c>
      <c r="B2874">
        <f>[2]TongHop!B2874</f>
        <v>0</v>
      </c>
      <c r="C2874">
        <f>[2]TongHop!C2874</f>
        <v>0</v>
      </c>
      <c r="D2874">
        <f>[2]TongHop!D2874</f>
        <v>0</v>
      </c>
      <c r="E2874">
        <f>[2]TongHop!E2874</f>
        <v>0</v>
      </c>
      <c r="F2874">
        <f>[2]TongHop!F2874</f>
        <v>0</v>
      </c>
      <c r="G2874">
        <f>[2]TongHop!G2874</f>
        <v>0</v>
      </c>
      <c r="H2874">
        <f>[2]TongHop!H2874</f>
        <v>0</v>
      </c>
      <c r="I2874">
        <f>[2]TongHop!I2874</f>
        <v>0</v>
      </c>
      <c r="J2874">
        <f>[2]TongHop!J2874</f>
        <v>0</v>
      </c>
      <c r="K2874">
        <f>[2]TongHop!K2874</f>
        <v>0</v>
      </c>
      <c r="L2874">
        <f>[2]TongHop!L2874</f>
        <v>0</v>
      </c>
      <c r="M2874">
        <f>[2]TongHop!M2874</f>
        <v>0</v>
      </c>
      <c r="N2874">
        <f>[2]TongHop!N2874</f>
        <v>0</v>
      </c>
    </row>
    <row r="2875" spans="1:14">
      <c r="A2875">
        <f>[2]TongHop!A2875</f>
        <v>0</v>
      </c>
      <c r="B2875">
        <f>[2]TongHop!B2875</f>
        <v>0</v>
      </c>
      <c r="C2875">
        <f>[2]TongHop!C2875</f>
        <v>0</v>
      </c>
      <c r="D2875">
        <f>[2]TongHop!D2875</f>
        <v>0</v>
      </c>
      <c r="E2875">
        <f>[2]TongHop!E2875</f>
        <v>0</v>
      </c>
      <c r="F2875">
        <f>[2]TongHop!F2875</f>
        <v>0</v>
      </c>
      <c r="G2875">
        <f>[2]TongHop!G2875</f>
        <v>0</v>
      </c>
      <c r="H2875">
        <f>[2]TongHop!H2875</f>
        <v>0</v>
      </c>
      <c r="I2875">
        <f>[2]TongHop!I2875</f>
        <v>0</v>
      </c>
      <c r="J2875">
        <f>[2]TongHop!J2875</f>
        <v>0</v>
      </c>
      <c r="K2875">
        <f>[2]TongHop!K2875</f>
        <v>0</v>
      </c>
      <c r="L2875">
        <f>[2]TongHop!L2875</f>
        <v>0</v>
      </c>
      <c r="M2875">
        <f>[2]TongHop!M2875</f>
        <v>0</v>
      </c>
      <c r="N2875">
        <f>[2]TongHop!N2875</f>
        <v>0</v>
      </c>
    </row>
    <row r="2876" spans="1:14">
      <c r="A2876">
        <f>[2]TongHop!A2876</f>
        <v>0</v>
      </c>
      <c r="B2876">
        <f>[2]TongHop!B2876</f>
        <v>0</v>
      </c>
      <c r="C2876">
        <f>[2]TongHop!C2876</f>
        <v>0</v>
      </c>
      <c r="D2876">
        <f>[2]TongHop!D2876</f>
        <v>0</v>
      </c>
      <c r="E2876">
        <f>[2]TongHop!E2876</f>
        <v>0</v>
      </c>
      <c r="F2876">
        <f>[2]TongHop!F2876</f>
        <v>0</v>
      </c>
      <c r="G2876">
        <f>[2]TongHop!G2876</f>
        <v>0</v>
      </c>
      <c r="H2876">
        <f>[2]TongHop!H2876</f>
        <v>0</v>
      </c>
      <c r="I2876">
        <f>[2]TongHop!I2876</f>
        <v>0</v>
      </c>
      <c r="J2876">
        <f>[2]TongHop!J2876</f>
        <v>0</v>
      </c>
      <c r="K2876">
        <f>[2]TongHop!K2876</f>
        <v>0</v>
      </c>
      <c r="L2876">
        <f>[2]TongHop!L2876</f>
        <v>0</v>
      </c>
      <c r="M2876">
        <f>[2]TongHop!M2876</f>
        <v>0</v>
      </c>
      <c r="N2876">
        <f>[2]TongHop!N2876</f>
        <v>0</v>
      </c>
    </row>
    <row r="2877" spans="1:14">
      <c r="A2877">
        <f>[2]TongHop!A2877</f>
        <v>0</v>
      </c>
      <c r="B2877">
        <f>[2]TongHop!B2877</f>
        <v>0</v>
      </c>
      <c r="C2877">
        <f>[2]TongHop!C2877</f>
        <v>0</v>
      </c>
      <c r="D2877">
        <f>[2]TongHop!D2877</f>
        <v>0</v>
      </c>
      <c r="E2877">
        <f>[2]TongHop!E2877</f>
        <v>0</v>
      </c>
      <c r="F2877">
        <f>[2]TongHop!F2877</f>
        <v>0</v>
      </c>
      <c r="G2877">
        <f>[2]TongHop!G2877</f>
        <v>0</v>
      </c>
      <c r="H2877">
        <f>[2]TongHop!H2877</f>
        <v>0</v>
      </c>
      <c r="I2877">
        <f>[2]TongHop!I2877</f>
        <v>0</v>
      </c>
      <c r="J2877">
        <f>[2]TongHop!J2877</f>
        <v>0</v>
      </c>
      <c r="K2877">
        <f>[2]TongHop!K2877</f>
        <v>0</v>
      </c>
      <c r="L2877">
        <f>[2]TongHop!L2877</f>
        <v>0</v>
      </c>
      <c r="M2877">
        <f>[2]TongHop!M2877</f>
        <v>0</v>
      </c>
      <c r="N2877">
        <f>[2]TongHop!N2877</f>
        <v>0</v>
      </c>
    </row>
    <row r="2878" spans="1:14">
      <c r="A2878">
        <f>[2]TongHop!A2878</f>
        <v>0</v>
      </c>
      <c r="B2878">
        <f>[2]TongHop!B2878</f>
        <v>0</v>
      </c>
      <c r="C2878">
        <f>[2]TongHop!C2878</f>
        <v>0</v>
      </c>
      <c r="D2878">
        <f>[2]TongHop!D2878</f>
        <v>0</v>
      </c>
      <c r="E2878">
        <f>[2]TongHop!E2878</f>
        <v>0</v>
      </c>
      <c r="F2878">
        <f>[2]TongHop!F2878</f>
        <v>0</v>
      </c>
      <c r="G2878">
        <f>[2]TongHop!G2878</f>
        <v>0</v>
      </c>
      <c r="H2878">
        <f>[2]TongHop!H2878</f>
        <v>0</v>
      </c>
      <c r="I2878">
        <f>[2]TongHop!I2878</f>
        <v>0</v>
      </c>
      <c r="J2878">
        <f>[2]TongHop!J2878</f>
        <v>0</v>
      </c>
      <c r="K2878">
        <f>[2]TongHop!K2878</f>
        <v>0</v>
      </c>
      <c r="L2878">
        <f>[2]TongHop!L2878</f>
        <v>0</v>
      </c>
      <c r="M2878">
        <f>[2]TongHop!M2878</f>
        <v>0</v>
      </c>
      <c r="N2878">
        <f>[2]TongHop!N2878</f>
        <v>0</v>
      </c>
    </row>
    <row r="2879" spans="1:14">
      <c r="A2879">
        <f>[2]TongHop!A2879</f>
        <v>0</v>
      </c>
      <c r="B2879">
        <f>[2]TongHop!B2879</f>
        <v>0</v>
      </c>
      <c r="C2879">
        <f>[2]TongHop!C2879</f>
        <v>0</v>
      </c>
      <c r="D2879">
        <f>[2]TongHop!D2879</f>
        <v>0</v>
      </c>
      <c r="E2879">
        <f>[2]TongHop!E2879</f>
        <v>0</v>
      </c>
      <c r="F2879">
        <f>[2]TongHop!F2879</f>
        <v>0</v>
      </c>
      <c r="G2879">
        <f>[2]TongHop!G2879</f>
        <v>0</v>
      </c>
      <c r="H2879">
        <f>[2]TongHop!H2879</f>
        <v>0</v>
      </c>
      <c r="I2879">
        <f>[2]TongHop!I2879</f>
        <v>0</v>
      </c>
      <c r="J2879">
        <f>[2]TongHop!J2879</f>
        <v>0</v>
      </c>
      <c r="K2879">
        <f>[2]TongHop!K2879</f>
        <v>0</v>
      </c>
      <c r="L2879">
        <f>[2]TongHop!L2879</f>
        <v>0</v>
      </c>
      <c r="M2879">
        <f>[2]TongHop!M2879</f>
        <v>0</v>
      </c>
      <c r="N2879">
        <f>[2]TongHop!N2879</f>
        <v>0</v>
      </c>
    </row>
    <row r="2880" spans="1:14">
      <c r="A2880">
        <f>[2]TongHop!A2880</f>
        <v>0</v>
      </c>
      <c r="B2880">
        <f>[2]TongHop!B2880</f>
        <v>0</v>
      </c>
      <c r="C2880">
        <f>[2]TongHop!C2880</f>
        <v>0</v>
      </c>
      <c r="D2880">
        <f>[2]TongHop!D2880</f>
        <v>0</v>
      </c>
      <c r="E2880">
        <f>[2]TongHop!E2880</f>
        <v>0</v>
      </c>
      <c r="F2880">
        <f>[2]TongHop!F2880</f>
        <v>0</v>
      </c>
      <c r="G2880">
        <f>[2]TongHop!G2880</f>
        <v>0</v>
      </c>
      <c r="H2880">
        <f>[2]TongHop!H2880</f>
        <v>0</v>
      </c>
      <c r="I2880">
        <f>[2]TongHop!I2880</f>
        <v>0</v>
      </c>
      <c r="J2880">
        <f>[2]TongHop!J2880</f>
        <v>0</v>
      </c>
      <c r="K2880">
        <f>[2]TongHop!K2880</f>
        <v>0</v>
      </c>
      <c r="L2880">
        <f>[2]TongHop!L2880</f>
        <v>0</v>
      </c>
      <c r="M2880">
        <f>[2]TongHop!M2880</f>
        <v>0</v>
      </c>
      <c r="N2880">
        <f>[2]TongHop!N2880</f>
        <v>0</v>
      </c>
    </row>
    <row r="2881" spans="1:14">
      <c r="A2881">
        <f>[2]TongHop!A2881</f>
        <v>0</v>
      </c>
      <c r="B2881">
        <f>[2]TongHop!B2881</f>
        <v>0</v>
      </c>
      <c r="C2881">
        <f>[2]TongHop!C2881</f>
        <v>0</v>
      </c>
      <c r="D2881">
        <f>[2]TongHop!D2881</f>
        <v>0</v>
      </c>
      <c r="E2881">
        <f>[2]TongHop!E2881</f>
        <v>0</v>
      </c>
      <c r="F2881">
        <f>[2]TongHop!F2881</f>
        <v>0</v>
      </c>
      <c r="G2881">
        <f>[2]TongHop!G2881</f>
        <v>0</v>
      </c>
      <c r="H2881">
        <f>[2]TongHop!H2881</f>
        <v>0</v>
      </c>
      <c r="I2881">
        <f>[2]TongHop!I2881</f>
        <v>0</v>
      </c>
      <c r="J2881">
        <f>[2]TongHop!J2881</f>
        <v>0</v>
      </c>
      <c r="K2881">
        <f>[2]TongHop!K2881</f>
        <v>0</v>
      </c>
      <c r="L2881">
        <f>[2]TongHop!L2881</f>
        <v>0</v>
      </c>
      <c r="M2881">
        <f>[2]TongHop!M2881</f>
        <v>0</v>
      </c>
      <c r="N2881">
        <f>[2]TongHop!N2881</f>
        <v>0</v>
      </c>
    </row>
    <row r="2882" spans="1:14">
      <c r="A2882">
        <f>[2]TongHop!A2882</f>
        <v>0</v>
      </c>
      <c r="B2882">
        <f>[2]TongHop!B2882</f>
        <v>0</v>
      </c>
      <c r="C2882">
        <f>[2]TongHop!C2882</f>
        <v>0</v>
      </c>
      <c r="D2882">
        <f>[2]TongHop!D2882</f>
        <v>0</v>
      </c>
      <c r="E2882">
        <f>[2]TongHop!E2882</f>
        <v>0</v>
      </c>
      <c r="F2882">
        <f>[2]TongHop!F2882</f>
        <v>0</v>
      </c>
      <c r="G2882">
        <f>[2]TongHop!G2882</f>
        <v>0</v>
      </c>
      <c r="H2882">
        <f>[2]TongHop!H2882</f>
        <v>0</v>
      </c>
      <c r="I2882">
        <f>[2]TongHop!I2882</f>
        <v>0</v>
      </c>
      <c r="J2882">
        <f>[2]TongHop!J2882</f>
        <v>0</v>
      </c>
      <c r="K2882">
        <f>[2]TongHop!K2882</f>
        <v>0</v>
      </c>
      <c r="L2882">
        <f>[2]TongHop!L2882</f>
        <v>0</v>
      </c>
      <c r="M2882">
        <f>[2]TongHop!M2882</f>
        <v>0</v>
      </c>
      <c r="N2882">
        <f>[2]TongHop!N2882</f>
        <v>0</v>
      </c>
    </row>
    <row r="2883" spans="1:14">
      <c r="A2883">
        <f>[2]TongHop!A2883</f>
        <v>0</v>
      </c>
      <c r="B2883">
        <f>[2]TongHop!B2883</f>
        <v>0</v>
      </c>
      <c r="C2883">
        <f>[2]TongHop!C2883</f>
        <v>0</v>
      </c>
      <c r="D2883">
        <f>[2]TongHop!D2883</f>
        <v>0</v>
      </c>
      <c r="E2883">
        <f>[2]TongHop!E2883</f>
        <v>0</v>
      </c>
      <c r="F2883">
        <f>[2]TongHop!F2883</f>
        <v>0</v>
      </c>
      <c r="G2883">
        <f>[2]TongHop!G2883</f>
        <v>0</v>
      </c>
      <c r="H2883">
        <f>[2]TongHop!H2883</f>
        <v>0</v>
      </c>
      <c r="I2883">
        <f>[2]TongHop!I2883</f>
        <v>0</v>
      </c>
      <c r="J2883">
        <f>[2]TongHop!J2883</f>
        <v>0</v>
      </c>
      <c r="K2883">
        <f>[2]TongHop!K2883</f>
        <v>0</v>
      </c>
      <c r="L2883">
        <f>[2]TongHop!L2883</f>
        <v>0</v>
      </c>
      <c r="M2883">
        <f>[2]TongHop!M2883</f>
        <v>0</v>
      </c>
      <c r="N2883">
        <f>[2]TongHop!N2883</f>
        <v>0</v>
      </c>
    </row>
    <row r="2884" spans="1:14">
      <c r="A2884">
        <f>[2]TongHop!A2884</f>
        <v>0</v>
      </c>
      <c r="B2884">
        <f>[2]TongHop!B2884</f>
        <v>0</v>
      </c>
      <c r="C2884">
        <f>[2]TongHop!C2884</f>
        <v>0</v>
      </c>
      <c r="D2884">
        <f>[2]TongHop!D2884</f>
        <v>0</v>
      </c>
      <c r="E2884">
        <f>[2]TongHop!E2884</f>
        <v>0</v>
      </c>
      <c r="F2884">
        <f>[2]TongHop!F2884</f>
        <v>0</v>
      </c>
      <c r="G2884">
        <f>[2]TongHop!G2884</f>
        <v>0</v>
      </c>
      <c r="H2884">
        <f>[2]TongHop!H2884</f>
        <v>0</v>
      </c>
      <c r="I2884">
        <f>[2]TongHop!I2884</f>
        <v>0</v>
      </c>
      <c r="J2884">
        <f>[2]TongHop!J2884</f>
        <v>0</v>
      </c>
      <c r="K2884">
        <f>[2]TongHop!K2884</f>
        <v>0</v>
      </c>
      <c r="L2884">
        <f>[2]TongHop!L2884</f>
        <v>0</v>
      </c>
      <c r="M2884">
        <f>[2]TongHop!M2884</f>
        <v>0</v>
      </c>
      <c r="N2884">
        <f>[2]TongHop!N2884</f>
        <v>0</v>
      </c>
    </row>
    <row r="2885" spans="1:14">
      <c r="A2885">
        <f>[2]TongHop!A2885</f>
        <v>0</v>
      </c>
      <c r="B2885">
        <f>[2]TongHop!B2885</f>
        <v>0</v>
      </c>
      <c r="C2885">
        <f>[2]TongHop!C2885</f>
        <v>0</v>
      </c>
      <c r="D2885">
        <f>[2]TongHop!D2885</f>
        <v>0</v>
      </c>
      <c r="E2885">
        <f>[2]TongHop!E2885</f>
        <v>0</v>
      </c>
      <c r="F2885">
        <f>[2]TongHop!F2885</f>
        <v>0</v>
      </c>
      <c r="G2885">
        <f>[2]TongHop!G2885</f>
        <v>0</v>
      </c>
      <c r="H2885">
        <f>[2]TongHop!H2885</f>
        <v>0</v>
      </c>
      <c r="I2885">
        <f>[2]TongHop!I2885</f>
        <v>0</v>
      </c>
      <c r="J2885">
        <f>[2]TongHop!J2885</f>
        <v>0</v>
      </c>
      <c r="K2885">
        <f>[2]TongHop!K2885</f>
        <v>0</v>
      </c>
      <c r="L2885">
        <f>[2]TongHop!L2885</f>
        <v>0</v>
      </c>
      <c r="M2885">
        <f>[2]TongHop!M2885</f>
        <v>0</v>
      </c>
      <c r="N2885">
        <f>[2]TongHop!N2885</f>
        <v>0</v>
      </c>
    </row>
    <row r="2886" spans="1:14">
      <c r="A2886">
        <f>[2]TongHop!A2886</f>
        <v>0</v>
      </c>
      <c r="B2886">
        <f>[2]TongHop!B2886</f>
        <v>0</v>
      </c>
      <c r="C2886">
        <f>[2]TongHop!C2886</f>
        <v>0</v>
      </c>
      <c r="D2886">
        <f>[2]TongHop!D2886</f>
        <v>0</v>
      </c>
      <c r="E2886">
        <f>[2]TongHop!E2886</f>
        <v>0</v>
      </c>
      <c r="F2886">
        <f>[2]TongHop!F2886</f>
        <v>0</v>
      </c>
      <c r="G2886">
        <f>[2]TongHop!G2886</f>
        <v>0</v>
      </c>
      <c r="H2886">
        <f>[2]TongHop!H2886</f>
        <v>0</v>
      </c>
      <c r="I2886">
        <f>[2]TongHop!I2886</f>
        <v>0</v>
      </c>
      <c r="J2886">
        <f>[2]TongHop!J2886</f>
        <v>0</v>
      </c>
      <c r="K2886">
        <f>[2]TongHop!K2886</f>
        <v>0</v>
      </c>
      <c r="L2886">
        <f>[2]TongHop!L2886</f>
        <v>0</v>
      </c>
      <c r="M2886">
        <f>[2]TongHop!M2886</f>
        <v>0</v>
      </c>
      <c r="N2886">
        <f>[2]TongHop!N2886</f>
        <v>0</v>
      </c>
    </row>
    <row r="2887" spans="1:14">
      <c r="A2887">
        <f>[2]TongHop!A2887</f>
        <v>0</v>
      </c>
      <c r="B2887">
        <f>[2]TongHop!B2887</f>
        <v>0</v>
      </c>
      <c r="C2887">
        <f>[2]TongHop!C2887</f>
        <v>0</v>
      </c>
      <c r="D2887">
        <f>[2]TongHop!D2887</f>
        <v>0</v>
      </c>
      <c r="E2887">
        <f>[2]TongHop!E2887</f>
        <v>0</v>
      </c>
      <c r="F2887">
        <f>[2]TongHop!F2887</f>
        <v>0</v>
      </c>
      <c r="G2887">
        <f>[2]TongHop!G2887</f>
        <v>0</v>
      </c>
      <c r="H2887">
        <f>[2]TongHop!H2887</f>
        <v>0</v>
      </c>
      <c r="I2887">
        <f>[2]TongHop!I2887</f>
        <v>0</v>
      </c>
      <c r="J2887">
        <f>[2]TongHop!J2887</f>
        <v>0</v>
      </c>
      <c r="K2887">
        <f>[2]TongHop!K2887</f>
        <v>0</v>
      </c>
      <c r="L2887">
        <f>[2]TongHop!L2887</f>
        <v>0</v>
      </c>
      <c r="M2887">
        <f>[2]TongHop!M2887</f>
        <v>0</v>
      </c>
      <c r="N2887">
        <f>[2]TongHop!N2887</f>
        <v>0</v>
      </c>
    </row>
    <row r="2888" spans="1:14">
      <c r="A2888">
        <f>[2]TongHop!A2888</f>
        <v>0</v>
      </c>
      <c r="B2888">
        <f>[2]TongHop!B2888</f>
        <v>0</v>
      </c>
      <c r="C2888">
        <f>[2]TongHop!C2888</f>
        <v>0</v>
      </c>
      <c r="D2888">
        <f>[2]TongHop!D2888</f>
        <v>0</v>
      </c>
      <c r="E2888">
        <f>[2]TongHop!E2888</f>
        <v>0</v>
      </c>
      <c r="F2888">
        <f>[2]TongHop!F2888</f>
        <v>0</v>
      </c>
      <c r="G2888">
        <f>[2]TongHop!G2888</f>
        <v>0</v>
      </c>
      <c r="H2888">
        <f>[2]TongHop!H2888</f>
        <v>0</v>
      </c>
      <c r="I2888">
        <f>[2]TongHop!I2888</f>
        <v>0</v>
      </c>
      <c r="J2888">
        <f>[2]TongHop!J2888</f>
        <v>0</v>
      </c>
      <c r="K2888">
        <f>[2]TongHop!K2888</f>
        <v>0</v>
      </c>
      <c r="L2888">
        <f>[2]TongHop!L2888</f>
        <v>0</v>
      </c>
      <c r="M2888">
        <f>[2]TongHop!M2888</f>
        <v>0</v>
      </c>
      <c r="N2888">
        <f>[2]TongHop!N2888</f>
        <v>0</v>
      </c>
    </row>
    <row r="2889" spans="1:14">
      <c r="A2889">
        <f>[2]TongHop!A2889</f>
        <v>0</v>
      </c>
      <c r="B2889">
        <f>[2]TongHop!B2889</f>
        <v>0</v>
      </c>
      <c r="C2889">
        <f>[2]TongHop!C2889</f>
        <v>0</v>
      </c>
      <c r="D2889">
        <f>[2]TongHop!D2889</f>
        <v>0</v>
      </c>
      <c r="E2889">
        <f>[2]TongHop!E2889</f>
        <v>0</v>
      </c>
      <c r="F2889">
        <f>[2]TongHop!F2889</f>
        <v>0</v>
      </c>
      <c r="G2889">
        <f>[2]TongHop!G2889</f>
        <v>0</v>
      </c>
      <c r="H2889">
        <f>[2]TongHop!H2889</f>
        <v>0</v>
      </c>
      <c r="I2889">
        <f>[2]TongHop!I2889</f>
        <v>0</v>
      </c>
      <c r="J2889">
        <f>[2]TongHop!J2889</f>
        <v>0</v>
      </c>
      <c r="K2889">
        <f>[2]TongHop!K2889</f>
        <v>0</v>
      </c>
      <c r="L2889">
        <f>[2]TongHop!L2889</f>
        <v>0</v>
      </c>
      <c r="M2889">
        <f>[2]TongHop!M2889</f>
        <v>0</v>
      </c>
      <c r="N2889">
        <f>[2]TongHop!N2889</f>
        <v>0</v>
      </c>
    </row>
    <row r="2890" spans="1:14">
      <c r="A2890">
        <f>[2]TongHop!A2890</f>
        <v>0</v>
      </c>
      <c r="B2890">
        <f>[2]TongHop!B2890</f>
        <v>0</v>
      </c>
      <c r="C2890">
        <f>[2]TongHop!C2890</f>
        <v>0</v>
      </c>
      <c r="D2890">
        <f>[2]TongHop!D2890</f>
        <v>0</v>
      </c>
      <c r="E2890">
        <f>[2]TongHop!E2890</f>
        <v>0</v>
      </c>
      <c r="F2890">
        <f>[2]TongHop!F2890</f>
        <v>0</v>
      </c>
      <c r="G2890">
        <f>[2]TongHop!G2890</f>
        <v>0</v>
      </c>
      <c r="H2890">
        <f>[2]TongHop!H2890</f>
        <v>0</v>
      </c>
      <c r="I2890">
        <f>[2]TongHop!I2890</f>
        <v>0</v>
      </c>
      <c r="J2890">
        <f>[2]TongHop!J2890</f>
        <v>0</v>
      </c>
      <c r="K2890">
        <f>[2]TongHop!K2890</f>
        <v>0</v>
      </c>
      <c r="L2890">
        <f>[2]TongHop!L2890</f>
        <v>0</v>
      </c>
      <c r="M2890">
        <f>[2]TongHop!M2890</f>
        <v>0</v>
      </c>
      <c r="N2890">
        <f>[2]TongHop!N2890</f>
        <v>0</v>
      </c>
    </row>
    <row r="2891" spans="1:14">
      <c r="A2891">
        <f>[2]TongHop!A2891</f>
        <v>0</v>
      </c>
      <c r="B2891">
        <f>[2]TongHop!B2891</f>
        <v>0</v>
      </c>
      <c r="C2891">
        <f>[2]TongHop!C2891</f>
        <v>0</v>
      </c>
      <c r="D2891">
        <f>[2]TongHop!D2891</f>
        <v>0</v>
      </c>
      <c r="E2891">
        <f>[2]TongHop!E2891</f>
        <v>0</v>
      </c>
      <c r="F2891">
        <f>[2]TongHop!F2891</f>
        <v>0</v>
      </c>
      <c r="G2891">
        <f>[2]TongHop!G2891</f>
        <v>0</v>
      </c>
      <c r="H2891">
        <f>[2]TongHop!H2891</f>
        <v>0</v>
      </c>
      <c r="I2891">
        <f>[2]TongHop!I2891</f>
        <v>0</v>
      </c>
      <c r="J2891">
        <f>[2]TongHop!J2891</f>
        <v>0</v>
      </c>
      <c r="K2891">
        <f>[2]TongHop!K2891</f>
        <v>0</v>
      </c>
      <c r="L2891">
        <f>[2]TongHop!L2891</f>
        <v>0</v>
      </c>
      <c r="M2891">
        <f>[2]TongHop!M2891</f>
        <v>0</v>
      </c>
      <c r="N2891">
        <f>[2]TongHop!N2891</f>
        <v>0</v>
      </c>
    </row>
    <row r="2892" spans="1:14">
      <c r="A2892">
        <f>[2]TongHop!A2892</f>
        <v>0</v>
      </c>
      <c r="B2892">
        <f>[2]TongHop!B2892</f>
        <v>0</v>
      </c>
      <c r="C2892">
        <f>[2]TongHop!C2892</f>
        <v>0</v>
      </c>
      <c r="D2892">
        <f>[2]TongHop!D2892</f>
        <v>0</v>
      </c>
      <c r="E2892">
        <f>[2]TongHop!E2892</f>
        <v>0</v>
      </c>
      <c r="F2892">
        <f>[2]TongHop!F2892</f>
        <v>0</v>
      </c>
      <c r="G2892">
        <f>[2]TongHop!G2892</f>
        <v>0</v>
      </c>
      <c r="H2892">
        <f>[2]TongHop!H2892</f>
        <v>0</v>
      </c>
      <c r="I2892">
        <f>[2]TongHop!I2892</f>
        <v>0</v>
      </c>
      <c r="J2892">
        <f>[2]TongHop!J2892</f>
        <v>0</v>
      </c>
      <c r="K2892">
        <f>[2]TongHop!K2892</f>
        <v>0</v>
      </c>
      <c r="L2892">
        <f>[2]TongHop!L2892</f>
        <v>0</v>
      </c>
      <c r="M2892">
        <f>[2]TongHop!M2892</f>
        <v>0</v>
      </c>
      <c r="N2892">
        <f>[2]TongHop!N2892</f>
        <v>0</v>
      </c>
    </row>
    <row r="2893" spans="1:14">
      <c r="A2893">
        <f>[2]TongHop!A2893</f>
        <v>0</v>
      </c>
      <c r="B2893">
        <f>[2]TongHop!B2893</f>
        <v>0</v>
      </c>
      <c r="C2893">
        <f>[2]TongHop!C2893</f>
        <v>0</v>
      </c>
      <c r="D2893">
        <f>[2]TongHop!D2893</f>
        <v>0</v>
      </c>
      <c r="E2893">
        <f>[2]TongHop!E2893</f>
        <v>0</v>
      </c>
      <c r="F2893">
        <f>[2]TongHop!F2893</f>
        <v>0</v>
      </c>
      <c r="G2893">
        <f>[2]TongHop!G2893</f>
        <v>0</v>
      </c>
      <c r="H2893">
        <f>[2]TongHop!H2893</f>
        <v>0</v>
      </c>
      <c r="I2893">
        <f>[2]TongHop!I2893</f>
        <v>0</v>
      </c>
      <c r="J2893">
        <f>[2]TongHop!J2893</f>
        <v>0</v>
      </c>
      <c r="K2893">
        <f>[2]TongHop!K2893</f>
        <v>0</v>
      </c>
      <c r="L2893">
        <f>[2]TongHop!L2893</f>
        <v>0</v>
      </c>
      <c r="M2893">
        <f>[2]TongHop!M2893</f>
        <v>0</v>
      </c>
      <c r="N2893">
        <f>[2]TongHop!N2893</f>
        <v>0</v>
      </c>
    </row>
    <row r="2894" spans="1:14">
      <c r="A2894">
        <f>[2]TongHop!A2894</f>
        <v>0</v>
      </c>
      <c r="B2894">
        <f>[2]TongHop!B2894</f>
        <v>0</v>
      </c>
      <c r="C2894">
        <f>[2]TongHop!C2894</f>
        <v>0</v>
      </c>
      <c r="D2894">
        <f>[2]TongHop!D2894</f>
        <v>0</v>
      </c>
      <c r="E2894">
        <f>[2]TongHop!E2894</f>
        <v>0</v>
      </c>
      <c r="F2894">
        <f>[2]TongHop!F2894</f>
        <v>0</v>
      </c>
      <c r="G2894">
        <f>[2]TongHop!G2894</f>
        <v>0</v>
      </c>
      <c r="H2894">
        <f>[2]TongHop!H2894</f>
        <v>0</v>
      </c>
      <c r="I2894">
        <f>[2]TongHop!I2894</f>
        <v>0</v>
      </c>
      <c r="J2894">
        <f>[2]TongHop!J2894</f>
        <v>0</v>
      </c>
      <c r="K2894">
        <f>[2]TongHop!K2894</f>
        <v>0</v>
      </c>
      <c r="L2894">
        <f>[2]TongHop!L2894</f>
        <v>0</v>
      </c>
      <c r="M2894">
        <f>[2]TongHop!M2894</f>
        <v>0</v>
      </c>
      <c r="N2894">
        <f>[2]TongHop!N2894</f>
        <v>0</v>
      </c>
    </row>
    <row r="2895" spans="1:14">
      <c r="A2895">
        <f>[2]TongHop!A2895</f>
        <v>0</v>
      </c>
      <c r="B2895">
        <f>[2]TongHop!B2895</f>
        <v>0</v>
      </c>
      <c r="C2895">
        <f>[2]TongHop!C2895</f>
        <v>0</v>
      </c>
      <c r="D2895">
        <f>[2]TongHop!D2895</f>
        <v>0</v>
      </c>
      <c r="E2895">
        <f>[2]TongHop!E2895</f>
        <v>0</v>
      </c>
      <c r="F2895">
        <f>[2]TongHop!F2895</f>
        <v>0</v>
      </c>
      <c r="G2895">
        <f>[2]TongHop!G2895</f>
        <v>0</v>
      </c>
      <c r="H2895">
        <f>[2]TongHop!H2895</f>
        <v>0</v>
      </c>
      <c r="I2895">
        <f>[2]TongHop!I2895</f>
        <v>0</v>
      </c>
      <c r="J2895">
        <f>[2]TongHop!J2895</f>
        <v>0</v>
      </c>
      <c r="K2895">
        <f>[2]TongHop!K2895</f>
        <v>0</v>
      </c>
      <c r="L2895">
        <f>[2]TongHop!L2895</f>
        <v>0</v>
      </c>
      <c r="M2895">
        <f>[2]TongHop!M2895</f>
        <v>0</v>
      </c>
      <c r="N2895">
        <f>[2]TongHop!N2895</f>
        <v>0</v>
      </c>
    </row>
    <row r="2896" spans="1:14">
      <c r="A2896">
        <f>[2]TongHop!A2896</f>
        <v>0</v>
      </c>
      <c r="B2896">
        <f>[2]TongHop!B2896</f>
        <v>0</v>
      </c>
      <c r="C2896">
        <f>[2]TongHop!C2896</f>
        <v>0</v>
      </c>
      <c r="D2896">
        <f>[2]TongHop!D2896</f>
        <v>0</v>
      </c>
      <c r="E2896">
        <f>[2]TongHop!E2896</f>
        <v>0</v>
      </c>
      <c r="F2896">
        <f>[2]TongHop!F2896</f>
        <v>0</v>
      </c>
      <c r="G2896">
        <f>[2]TongHop!G2896</f>
        <v>0</v>
      </c>
      <c r="H2896">
        <f>[2]TongHop!H2896</f>
        <v>0</v>
      </c>
      <c r="I2896">
        <f>[2]TongHop!I2896</f>
        <v>0</v>
      </c>
      <c r="J2896">
        <f>[2]TongHop!J2896</f>
        <v>0</v>
      </c>
      <c r="K2896">
        <f>[2]TongHop!K2896</f>
        <v>0</v>
      </c>
      <c r="L2896">
        <f>[2]TongHop!L2896</f>
        <v>0</v>
      </c>
      <c r="M2896">
        <f>[2]TongHop!M2896</f>
        <v>0</v>
      </c>
      <c r="N2896">
        <f>[2]TongHop!N2896</f>
        <v>0</v>
      </c>
    </row>
    <row r="2897" spans="1:14">
      <c r="A2897">
        <f>[2]TongHop!A2897</f>
        <v>0</v>
      </c>
      <c r="B2897">
        <f>[2]TongHop!B2897</f>
        <v>0</v>
      </c>
      <c r="C2897">
        <f>[2]TongHop!C2897</f>
        <v>0</v>
      </c>
      <c r="D2897">
        <f>[2]TongHop!D2897</f>
        <v>0</v>
      </c>
      <c r="E2897">
        <f>[2]TongHop!E2897</f>
        <v>0</v>
      </c>
      <c r="F2897">
        <f>[2]TongHop!F2897</f>
        <v>0</v>
      </c>
      <c r="G2897">
        <f>[2]TongHop!G2897</f>
        <v>0</v>
      </c>
      <c r="H2897">
        <f>[2]TongHop!H2897</f>
        <v>0</v>
      </c>
      <c r="I2897">
        <f>[2]TongHop!I2897</f>
        <v>0</v>
      </c>
      <c r="J2897">
        <f>[2]TongHop!J2897</f>
        <v>0</v>
      </c>
      <c r="K2897">
        <f>[2]TongHop!K2897</f>
        <v>0</v>
      </c>
      <c r="L2897">
        <f>[2]TongHop!L2897</f>
        <v>0</v>
      </c>
      <c r="M2897">
        <f>[2]TongHop!M2897</f>
        <v>0</v>
      </c>
      <c r="N2897">
        <f>[2]TongHop!N2897</f>
        <v>0</v>
      </c>
    </row>
    <row r="2898" spans="1:14">
      <c r="A2898">
        <f>[2]TongHop!A2898</f>
        <v>0</v>
      </c>
      <c r="B2898">
        <f>[2]TongHop!B2898</f>
        <v>0</v>
      </c>
      <c r="C2898">
        <f>[2]TongHop!C2898</f>
        <v>0</v>
      </c>
      <c r="D2898">
        <f>[2]TongHop!D2898</f>
        <v>0</v>
      </c>
      <c r="E2898">
        <f>[2]TongHop!E2898</f>
        <v>0</v>
      </c>
      <c r="F2898">
        <f>[2]TongHop!F2898</f>
        <v>0</v>
      </c>
      <c r="G2898">
        <f>[2]TongHop!G2898</f>
        <v>0</v>
      </c>
      <c r="H2898">
        <f>[2]TongHop!H2898</f>
        <v>0</v>
      </c>
      <c r="I2898">
        <f>[2]TongHop!I2898</f>
        <v>0</v>
      </c>
      <c r="J2898">
        <f>[2]TongHop!J2898</f>
        <v>0</v>
      </c>
      <c r="K2898">
        <f>[2]TongHop!K2898</f>
        <v>0</v>
      </c>
      <c r="L2898">
        <f>[2]TongHop!L2898</f>
        <v>0</v>
      </c>
      <c r="M2898">
        <f>[2]TongHop!M2898</f>
        <v>0</v>
      </c>
      <c r="N2898">
        <f>[2]TongHop!N2898</f>
        <v>0</v>
      </c>
    </row>
    <row r="2899" spans="1:14">
      <c r="A2899">
        <f>[2]TongHop!A2899</f>
        <v>0</v>
      </c>
      <c r="B2899">
        <f>[2]TongHop!B2899</f>
        <v>0</v>
      </c>
      <c r="C2899">
        <f>[2]TongHop!C2899</f>
        <v>0</v>
      </c>
      <c r="D2899">
        <f>[2]TongHop!D2899</f>
        <v>0</v>
      </c>
      <c r="E2899">
        <f>[2]TongHop!E2899</f>
        <v>0</v>
      </c>
      <c r="F2899">
        <f>[2]TongHop!F2899</f>
        <v>0</v>
      </c>
      <c r="G2899">
        <f>[2]TongHop!G2899</f>
        <v>0</v>
      </c>
      <c r="H2899">
        <f>[2]TongHop!H2899</f>
        <v>0</v>
      </c>
      <c r="I2899">
        <f>[2]TongHop!I2899</f>
        <v>0</v>
      </c>
      <c r="J2899">
        <f>[2]TongHop!J2899</f>
        <v>0</v>
      </c>
      <c r="K2899">
        <f>[2]TongHop!K2899</f>
        <v>0</v>
      </c>
      <c r="L2899">
        <f>[2]TongHop!L2899</f>
        <v>0</v>
      </c>
      <c r="M2899">
        <f>[2]TongHop!M2899</f>
        <v>0</v>
      </c>
      <c r="N2899">
        <f>[2]TongHop!N2899</f>
        <v>0</v>
      </c>
    </row>
    <row r="2900" spans="1:14">
      <c r="A2900">
        <f>[2]TongHop!A2900</f>
        <v>0</v>
      </c>
      <c r="B2900">
        <f>[2]TongHop!B2900</f>
        <v>0</v>
      </c>
      <c r="C2900">
        <f>[2]TongHop!C2900</f>
        <v>0</v>
      </c>
      <c r="D2900">
        <f>[2]TongHop!D2900</f>
        <v>0</v>
      </c>
      <c r="E2900">
        <f>[2]TongHop!E2900</f>
        <v>0</v>
      </c>
      <c r="F2900">
        <f>[2]TongHop!F2900</f>
        <v>0</v>
      </c>
      <c r="G2900">
        <f>[2]TongHop!G2900</f>
        <v>0</v>
      </c>
      <c r="H2900">
        <f>[2]TongHop!H2900</f>
        <v>0</v>
      </c>
      <c r="I2900">
        <f>[2]TongHop!I2900</f>
        <v>0</v>
      </c>
      <c r="J2900">
        <f>[2]TongHop!J2900</f>
        <v>0</v>
      </c>
      <c r="K2900">
        <f>[2]TongHop!K2900</f>
        <v>0</v>
      </c>
      <c r="L2900">
        <f>[2]TongHop!L2900</f>
        <v>0</v>
      </c>
      <c r="M2900">
        <f>[2]TongHop!M2900</f>
        <v>0</v>
      </c>
      <c r="N2900">
        <f>[2]TongHop!N2900</f>
        <v>0</v>
      </c>
    </row>
    <row r="2901" spans="1:14">
      <c r="A2901">
        <f>[2]TongHop!A2901</f>
        <v>0</v>
      </c>
      <c r="B2901">
        <f>[2]TongHop!B2901</f>
        <v>0</v>
      </c>
      <c r="C2901">
        <f>[2]TongHop!C2901</f>
        <v>0</v>
      </c>
      <c r="D2901">
        <f>[2]TongHop!D2901</f>
        <v>0</v>
      </c>
      <c r="E2901">
        <f>[2]TongHop!E2901</f>
        <v>0</v>
      </c>
      <c r="F2901">
        <f>[2]TongHop!F2901</f>
        <v>0</v>
      </c>
      <c r="G2901">
        <f>[2]TongHop!G2901</f>
        <v>0</v>
      </c>
      <c r="H2901">
        <f>[2]TongHop!H2901</f>
        <v>0</v>
      </c>
      <c r="I2901">
        <f>[2]TongHop!I2901</f>
        <v>0</v>
      </c>
      <c r="J2901">
        <f>[2]TongHop!J2901</f>
        <v>0</v>
      </c>
      <c r="K2901">
        <f>[2]TongHop!K2901</f>
        <v>0</v>
      </c>
      <c r="L2901">
        <f>[2]TongHop!L2901</f>
        <v>0</v>
      </c>
      <c r="M2901">
        <f>[2]TongHop!M2901</f>
        <v>0</v>
      </c>
      <c r="N2901">
        <f>[2]TongHop!N2901</f>
        <v>0</v>
      </c>
    </row>
    <row r="2902" spans="1:14">
      <c r="A2902">
        <f>[2]TongHop!A2902</f>
        <v>0</v>
      </c>
      <c r="B2902">
        <f>[2]TongHop!B2902</f>
        <v>0</v>
      </c>
      <c r="C2902">
        <f>[2]TongHop!C2902</f>
        <v>0</v>
      </c>
      <c r="D2902">
        <f>[2]TongHop!D2902</f>
        <v>0</v>
      </c>
      <c r="E2902">
        <f>[2]TongHop!E2902</f>
        <v>0</v>
      </c>
      <c r="F2902">
        <f>[2]TongHop!F2902</f>
        <v>0</v>
      </c>
      <c r="G2902">
        <f>[2]TongHop!G2902</f>
        <v>0</v>
      </c>
      <c r="H2902">
        <f>[2]TongHop!H2902</f>
        <v>0</v>
      </c>
      <c r="I2902">
        <f>[2]TongHop!I2902</f>
        <v>0</v>
      </c>
      <c r="J2902">
        <f>[2]TongHop!J2902</f>
        <v>0</v>
      </c>
      <c r="K2902">
        <f>[2]TongHop!K2902</f>
        <v>0</v>
      </c>
      <c r="L2902">
        <f>[2]TongHop!L2902</f>
        <v>0</v>
      </c>
      <c r="M2902">
        <f>[2]TongHop!M2902</f>
        <v>0</v>
      </c>
      <c r="N2902">
        <f>[2]TongHop!N2902</f>
        <v>0</v>
      </c>
    </row>
    <row r="2903" spans="1:14">
      <c r="A2903">
        <f>[2]TongHop!A2903</f>
        <v>0</v>
      </c>
      <c r="B2903">
        <f>[2]TongHop!B2903</f>
        <v>0</v>
      </c>
      <c r="C2903">
        <f>[2]TongHop!C2903</f>
        <v>0</v>
      </c>
      <c r="D2903">
        <f>[2]TongHop!D2903</f>
        <v>0</v>
      </c>
      <c r="E2903">
        <f>[2]TongHop!E2903</f>
        <v>0</v>
      </c>
      <c r="F2903">
        <f>[2]TongHop!F2903</f>
        <v>0</v>
      </c>
      <c r="G2903">
        <f>[2]TongHop!G2903</f>
        <v>0</v>
      </c>
      <c r="H2903">
        <f>[2]TongHop!H2903</f>
        <v>0</v>
      </c>
      <c r="I2903">
        <f>[2]TongHop!I2903</f>
        <v>0</v>
      </c>
      <c r="J2903">
        <f>[2]TongHop!J2903</f>
        <v>0</v>
      </c>
      <c r="K2903">
        <f>[2]TongHop!K2903</f>
        <v>0</v>
      </c>
      <c r="L2903">
        <f>[2]TongHop!L2903</f>
        <v>0</v>
      </c>
      <c r="M2903">
        <f>[2]TongHop!M2903</f>
        <v>0</v>
      </c>
      <c r="N2903">
        <f>[2]TongHop!N2903</f>
        <v>0</v>
      </c>
    </row>
    <row r="2904" spans="1:14">
      <c r="A2904">
        <f>[2]TongHop!A2904</f>
        <v>0</v>
      </c>
      <c r="B2904">
        <f>[2]TongHop!B2904</f>
        <v>0</v>
      </c>
      <c r="C2904">
        <f>[2]TongHop!C2904</f>
        <v>0</v>
      </c>
      <c r="D2904">
        <f>[2]TongHop!D2904</f>
        <v>0</v>
      </c>
      <c r="E2904">
        <f>[2]TongHop!E2904</f>
        <v>0</v>
      </c>
      <c r="F2904">
        <f>[2]TongHop!F2904</f>
        <v>0</v>
      </c>
      <c r="G2904">
        <f>[2]TongHop!G2904</f>
        <v>0</v>
      </c>
      <c r="H2904">
        <f>[2]TongHop!H2904</f>
        <v>0</v>
      </c>
      <c r="I2904">
        <f>[2]TongHop!I2904</f>
        <v>0</v>
      </c>
      <c r="J2904">
        <f>[2]TongHop!J2904</f>
        <v>0</v>
      </c>
      <c r="K2904">
        <f>[2]TongHop!K2904</f>
        <v>0</v>
      </c>
      <c r="L2904">
        <f>[2]TongHop!L2904</f>
        <v>0</v>
      </c>
      <c r="M2904">
        <f>[2]TongHop!M2904</f>
        <v>0</v>
      </c>
      <c r="N2904">
        <f>[2]TongHop!N2904</f>
        <v>0</v>
      </c>
    </row>
    <row r="2905" spans="1:14">
      <c r="A2905">
        <f>[2]TongHop!A2905</f>
        <v>0</v>
      </c>
      <c r="B2905">
        <f>[2]TongHop!B2905</f>
        <v>0</v>
      </c>
      <c r="C2905">
        <f>[2]TongHop!C2905</f>
        <v>0</v>
      </c>
      <c r="D2905">
        <f>[2]TongHop!D2905</f>
        <v>0</v>
      </c>
      <c r="E2905">
        <f>[2]TongHop!E2905</f>
        <v>0</v>
      </c>
      <c r="F2905">
        <f>[2]TongHop!F2905</f>
        <v>0</v>
      </c>
      <c r="G2905">
        <f>[2]TongHop!G2905</f>
        <v>0</v>
      </c>
      <c r="H2905">
        <f>[2]TongHop!H2905</f>
        <v>0</v>
      </c>
      <c r="I2905">
        <f>[2]TongHop!I2905</f>
        <v>0</v>
      </c>
      <c r="J2905">
        <f>[2]TongHop!J2905</f>
        <v>0</v>
      </c>
      <c r="K2905">
        <f>[2]TongHop!K2905</f>
        <v>0</v>
      </c>
      <c r="L2905">
        <f>[2]TongHop!L2905</f>
        <v>0</v>
      </c>
      <c r="M2905">
        <f>[2]TongHop!M2905</f>
        <v>0</v>
      </c>
      <c r="N2905">
        <f>[2]TongHop!N2905</f>
        <v>0</v>
      </c>
    </row>
    <row r="2906" spans="1:14">
      <c r="A2906">
        <f>[2]TongHop!A2906</f>
        <v>0</v>
      </c>
      <c r="B2906">
        <f>[2]TongHop!B2906</f>
        <v>0</v>
      </c>
      <c r="C2906">
        <f>[2]TongHop!C2906</f>
        <v>0</v>
      </c>
      <c r="D2906">
        <f>[2]TongHop!D2906</f>
        <v>0</v>
      </c>
      <c r="E2906">
        <f>[2]TongHop!E2906</f>
        <v>0</v>
      </c>
      <c r="F2906">
        <f>[2]TongHop!F2906</f>
        <v>0</v>
      </c>
      <c r="G2906">
        <f>[2]TongHop!G2906</f>
        <v>0</v>
      </c>
      <c r="H2906">
        <f>[2]TongHop!H2906</f>
        <v>0</v>
      </c>
      <c r="I2906">
        <f>[2]TongHop!I2906</f>
        <v>0</v>
      </c>
      <c r="J2906">
        <f>[2]TongHop!J2906</f>
        <v>0</v>
      </c>
      <c r="K2906">
        <f>[2]TongHop!K2906</f>
        <v>0</v>
      </c>
      <c r="L2906">
        <f>[2]TongHop!L2906</f>
        <v>0</v>
      </c>
      <c r="M2906">
        <f>[2]TongHop!M2906</f>
        <v>0</v>
      </c>
      <c r="N2906">
        <f>[2]TongHop!N2906</f>
        <v>0</v>
      </c>
    </row>
    <row r="2907" spans="1:14">
      <c r="A2907">
        <f>[2]TongHop!A2907</f>
        <v>0</v>
      </c>
      <c r="B2907">
        <f>[2]TongHop!B2907</f>
        <v>0</v>
      </c>
      <c r="C2907">
        <f>[2]TongHop!C2907</f>
        <v>0</v>
      </c>
      <c r="D2907">
        <f>[2]TongHop!D2907</f>
        <v>0</v>
      </c>
      <c r="E2907">
        <f>[2]TongHop!E2907</f>
        <v>0</v>
      </c>
      <c r="F2907">
        <f>[2]TongHop!F2907</f>
        <v>0</v>
      </c>
      <c r="G2907">
        <f>[2]TongHop!G2907</f>
        <v>0</v>
      </c>
      <c r="H2907">
        <f>[2]TongHop!H2907</f>
        <v>0</v>
      </c>
      <c r="I2907">
        <f>[2]TongHop!I2907</f>
        <v>0</v>
      </c>
      <c r="J2907">
        <f>[2]TongHop!J2907</f>
        <v>0</v>
      </c>
      <c r="K2907">
        <f>[2]TongHop!K2907</f>
        <v>0</v>
      </c>
      <c r="L2907">
        <f>[2]TongHop!L2907</f>
        <v>0</v>
      </c>
      <c r="M2907">
        <f>[2]TongHop!M2907</f>
        <v>0</v>
      </c>
      <c r="N2907">
        <f>[2]TongHop!N2907</f>
        <v>0</v>
      </c>
    </row>
    <row r="2908" spans="1:14">
      <c r="A2908">
        <f>[2]TongHop!A2908</f>
        <v>0</v>
      </c>
      <c r="B2908">
        <f>[2]TongHop!B2908</f>
        <v>0</v>
      </c>
      <c r="C2908">
        <f>[2]TongHop!C2908</f>
        <v>0</v>
      </c>
      <c r="D2908">
        <f>[2]TongHop!D2908</f>
        <v>0</v>
      </c>
      <c r="E2908">
        <f>[2]TongHop!E2908</f>
        <v>0</v>
      </c>
      <c r="F2908">
        <f>[2]TongHop!F2908</f>
        <v>0</v>
      </c>
      <c r="G2908">
        <f>[2]TongHop!G2908</f>
        <v>0</v>
      </c>
      <c r="H2908">
        <f>[2]TongHop!H2908</f>
        <v>0</v>
      </c>
      <c r="I2908">
        <f>[2]TongHop!I2908</f>
        <v>0</v>
      </c>
      <c r="J2908">
        <f>[2]TongHop!J2908</f>
        <v>0</v>
      </c>
      <c r="K2908">
        <f>[2]TongHop!K2908</f>
        <v>0</v>
      </c>
      <c r="L2908">
        <f>[2]TongHop!L2908</f>
        <v>0</v>
      </c>
      <c r="M2908">
        <f>[2]TongHop!M2908</f>
        <v>0</v>
      </c>
      <c r="N2908">
        <f>[2]TongHop!N2908</f>
        <v>0</v>
      </c>
    </row>
    <row r="2909" spans="1:14">
      <c r="A2909">
        <f>[2]TongHop!A2909</f>
        <v>0</v>
      </c>
      <c r="B2909">
        <f>[2]TongHop!B2909</f>
        <v>0</v>
      </c>
      <c r="C2909">
        <f>[2]TongHop!C2909</f>
        <v>0</v>
      </c>
      <c r="D2909">
        <f>[2]TongHop!D2909</f>
        <v>0</v>
      </c>
      <c r="E2909">
        <f>[2]TongHop!E2909</f>
        <v>0</v>
      </c>
      <c r="F2909">
        <f>[2]TongHop!F2909</f>
        <v>0</v>
      </c>
      <c r="G2909">
        <f>[2]TongHop!G2909</f>
        <v>0</v>
      </c>
      <c r="H2909">
        <f>[2]TongHop!H2909</f>
        <v>0</v>
      </c>
      <c r="I2909">
        <f>[2]TongHop!I2909</f>
        <v>0</v>
      </c>
      <c r="J2909">
        <f>[2]TongHop!J2909</f>
        <v>0</v>
      </c>
      <c r="K2909">
        <f>[2]TongHop!K2909</f>
        <v>0</v>
      </c>
      <c r="L2909">
        <f>[2]TongHop!L2909</f>
        <v>0</v>
      </c>
      <c r="M2909">
        <f>[2]TongHop!M2909</f>
        <v>0</v>
      </c>
      <c r="N2909">
        <f>[2]TongHop!N2909</f>
        <v>0</v>
      </c>
    </row>
    <row r="2910" spans="1:14">
      <c r="A2910">
        <f>[2]TongHop!A2910</f>
        <v>0</v>
      </c>
      <c r="B2910">
        <f>[2]TongHop!B2910</f>
        <v>0</v>
      </c>
      <c r="C2910">
        <f>[2]TongHop!C2910</f>
        <v>0</v>
      </c>
      <c r="D2910">
        <f>[2]TongHop!D2910</f>
        <v>0</v>
      </c>
      <c r="E2910">
        <f>[2]TongHop!E2910</f>
        <v>0</v>
      </c>
      <c r="F2910">
        <f>[2]TongHop!F2910</f>
        <v>0</v>
      </c>
      <c r="G2910">
        <f>[2]TongHop!G2910</f>
        <v>0</v>
      </c>
      <c r="H2910">
        <f>[2]TongHop!H2910</f>
        <v>0</v>
      </c>
      <c r="I2910">
        <f>[2]TongHop!I2910</f>
        <v>0</v>
      </c>
      <c r="J2910">
        <f>[2]TongHop!J2910</f>
        <v>0</v>
      </c>
      <c r="K2910">
        <f>[2]TongHop!K2910</f>
        <v>0</v>
      </c>
      <c r="L2910">
        <f>[2]TongHop!L2910</f>
        <v>0</v>
      </c>
      <c r="M2910">
        <f>[2]TongHop!M2910</f>
        <v>0</v>
      </c>
      <c r="N2910">
        <f>[2]TongHop!N2910</f>
        <v>0</v>
      </c>
    </row>
    <row r="2911" spans="1:14">
      <c r="A2911">
        <f>[2]TongHop!A2911</f>
        <v>0</v>
      </c>
      <c r="B2911">
        <f>[2]TongHop!B2911</f>
        <v>0</v>
      </c>
      <c r="C2911">
        <f>[2]TongHop!C2911</f>
        <v>0</v>
      </c>
      <c r="D2911">
        <f>[2]TongHop!D2911</f>
        <v>0</v>
      </c>
      <c r="E2911">
        <f>[2]TongHop!E2911</f>
        <v>0</v>
      </c>
      <c r="F2911">
        <f>[2]TongHop!F2911</f>
        <v>0</v>
      </c>
      <c r="G2911">
        <f>[2]TongHop!G2911</f>
        <v>0</v>
      </c>
      <c r="H2911">
        <f>[2]TongHop!H2911</f>
        <v>0</v>
      </c>
      <c r="I2911">
        <f>[2]TongHop!I2911</f>
        <v>0</v>
      </c>
      <c r="J2911">
        <f>[2]TongHop!J2911</f>
        <v>0</v>
      </c>
      <c r="K2911">
        <f>[2]TongHop!K2911</f>
        <v>0</v>
      </c>
      <c r="L2911">
        <f>[2]TongHop!L2911</f>
        <v>0</v>
      </c>
      <c r="M2911">
        <f>[2]TongHop!M2911</f>
        <v>0</v>
      </c>
      <c r="N2911">
        <f>[2]TongHop!N2911</f>
        <v>0</v>
      </c>
    </row>
    <row r="2912" spans="1:14">
      <c r="A2912">
        <f>[2]TongHop!A2912</f>
        <v>0</v>
      </c>
      <c r="B2912">
        <f>[2]TongHop!B2912</f>
        <v>0</v>
      </c>
      <c r="C2912">
        <f>[2]TongHop!C2912</f>
        <v>0</v>
      </c>
      <c r="D2912">
        <f>[2]TongHop!D2912</f>
        <v>0</v>
      </c>
      <c r="E2912">
        <f>[2]TongHop!E2912</f>
        <v>0</v>
      </c>
      <c r="F2912">
        <f>[2]TongHop!F2912</f>
        <v>0</v>
      </c>
      <c r="G2912">
        <f>[2]TongHop!G2912</f>
        <v>0</v>
      </c>
      <c r="H2912">
        <f>[2]TongHop!H2912</f>
        <v>0</v>
      </c>
      <c r="I2912">
        <f>[2]TongHop!I2912</f>
        <v>0</v>
      </c>
      <c r="J2912">
        <f>[2]TongHop!J2912</f>
        <v>0</v>
      </c>
      <c r="K2912">
        <f>[2]TongHop!K2912</f>
        <v>0</v>
      </c>
      <c r="L2912">
        <f>[2]TongHop!L2912</f>
        <v>0</v>
      </c>
      <c r="M2912">
        <f>[2]TongHop!M2912</f>
        <v>0</v>
      </c>
      <c r="N2912">
        <f>[2]TongHop!N2912</f>
        <v>0</v>
      </c>
    </row>
    <row r="2913" spans="1:14">
      <c r="A2913">
        <f>[2]TongHop!A2913</f>
        <v>0</v>
      </c>
      <c r="B2913">
        <f>[2]TongHop!B2913</f>
        <v>0</v>
      </c>
      <c r="C2913">
        <f>[2]TongHop!C2913</f>
        <v>0</v>
      </c>
      <c r="D2913">
        <f>[2]TongHop!D2913</f>
        <v>0</v>
      </c>
      <c r="E2913">
        <f>[2]TongHop!E2913</f>
        <v>0</v>
      </c>
      <c r="F2913">
        <f>[2]TongHop!F2913</f>
        <v>0</v>
      </c>
      <c r="G2913">
        <f>[2]TongHop!G2913</f>
        <v>0</v>
      </c>
      <c r="H2913">
        <f>[2]TongHop!H2913</f>
        <v>0</v>
      </c>
      <c r="I2913">
        <f>[2]TongHop!I2913</f>
        <v>0</v>
      </c>
      <c r="J2913">
        <f>[2]TongHop!J2913</f>
        <v>0</v>
      </c>
      <c r="K2913">
        <f>[2]TongHop!K2913</f>
        <v>0</v>
      </c>
      <c r="L2913">
        <f>[2]TongHop!L2913</f>
        <v>0</v>
      </c>
      <c r="M2913">
        <f>[2]TongHop!M2913</f>
        <v>0</v>
      </c>
      <c r="N2913">
        <f>[2]TongHop!N2913</f>
        <v>0</v>
      </c>
    </row>
    <row r="2914" spans="1:14">
      <c r="A2914">
        <f>[2]TongHop!A2914</f>
        <v>0</v>
      </c>
      <c r="B2914">
        <f>[2]TongHop!B2914</f>
        <v>0</v>
      </c>
      <c r="C2914">
        <f>[2]TongHop!C2914</f>
        <v>0</v>
      </c>
      <c r="D2914">
        <f>[2]TongHop!D2914</f>
        <v>0</v>
      </c>
      <c r="E2914">
        <f>[2]TongHop!E2914</f>
        <v>0</v>
      </c>
      <c r="F2914">
        <f>[2]TongHop!F2914</f>
        <v>0</v>
      </c>
      <c r="G2914">
        <f>[2]TongHop!G2914</f>
        <v>0</v>
      </c>
      <c r="H2914">
        <f>[2]TongHop!H2914</f>
        <v>0</v>
      </c>
      <c r="I2914">
        <f>[2]TongHop!I2914</f>
        <v>0</v>
      </c>
      <c r="J2914">
        <f>[2]TongHop!J2914</f>
        <v>0</v>
      </c>
      <c r="K2914">
        <f>[2]TongHop!K2914</f>
        <v>0</v>
      </c>
      <c r="L2914">
        <f>[2]TongHop!L2914</f>
        <v>0</v>
      </c>
      <c r="M2914">
        <f>[2]TongHop!M2914</f>
        <v>0</v>
      </c>
      <c r="N2914">
        <f>[2]TongHop!N2914</f>
        <v>0</v>
      </c>
    </row>
    <row r="2915" spans="1:14">
      <c r="A2915">
        <f>[2]TongHop!A2915</f>
        <v>0</v>
      </c>
      <c r="B2915">
        <f>[2]TongHop!B2915</f>
        <v>0</v>
      </c>
      <c r="C2915">
        <f>[2]TongHop!C2915</f>
        <v>0</v>
      </c>
      <c r="D2915">
        <f>[2]TongHop!D2915</f>
        <v>0</v>
      </c>
      <c r="E2915">
        <f>[2]TongHop!E2915</f>
        <v>0</v>
      </c>
      <c r="F2915">
        <f>[2]TongHop!F2915</f>
        <v>0</v>
      </c>
      <c r="G2915">
        <f>[2]TongHop!G2915</f>
        <v>0</v>
      </c>
      <c r="H2915">
        <f>[2]TongHop!H2915</f>
        <v>0</v>
      </c>
      <c r="I2915">
        <f>[2]TongHop!I2915</f>
        <v>0</v>
      </c>
      <c r="J2915">
        <f>[2]TongHop!J2915</f>
        <v>0</v>
      </c>
      <c r="K2915">
        <f>[2]TongHop!K2915</f>
        <v>0</v>
      </c>
      <c r="L2915">
        <f>[2]TongHop!L2915</f>
        <v>0</v>
      </c>
      <c r="M2915">
        <f>[2]TongHop!M2915</f>
        <v>0</v>
      </c>
      <c r="N2915">
        <f>[2]TongHop!N2915</f>
        <v>0</v>
      </c>
    </row>
    <row r="2916" spans="1:14">
      <c r="A2916">
        <f>[2]TongHop!A2916</f>
        <v>0</v>
      </c>
      <c r="B2916">
        <f>[2]TongHop!B2916</f>
        <v>0</v>
      </c>
      <c r="C2916">
        <f>[2]TongHop!C2916</f>
        <v>0</v>
      </c>
      <c r="D2916">
        <f>[2]TongHop!D2916</f>
        <v>0</v>
      </c>
      <c r="E2916">
        <f>[2]TongHop!E2916</f>
        <v>0</v>
      </c>
      <c r="F2916">
        <f>[2]TongHop!F2916</f>
        <v>0</v>
      </c>
      <c r="G2916">
        <f>[2]TongHop!G2916</f>
        <v>0</v>
      </c>
      <c r="H2916">
        <f>[2]TongHop!H2916</f>
        <v>0</v>
      </c>
      <c r="I2916">
        <f>[2]TongHop!I2916</f>
        <v>0</v>
      </c>
      <c r="J2916">
        <f>[2]TongHop!J2916</f>
        <v>0</v>
      </c>
      <c r="K2916">
        <f>[2]TongHop!K2916</f>
        <v>0</v>
      </c>
      <c r="L2916">
        <f>[2]TongHop!L2916</f>
        <v>0</v>
      </c>
      <c r="M2916">
        <f>[2]TongHop!M2916</f>
        <v>0</v>
      </c>
      <c r="N2916">
        <f>[2]TongHop!N2916</f>
        <v>0</v>
      </c>
    </row>
    <row r="2917" spans="1:14">
      <c r="A2917">
        <f>[2]TongHop!A2917</f>
        <v>0</v>
      </c>
      <c r="B2917">
        <f>[2]TongHop!B2917</f>
        <v>0</v>
      </c>
      <c r="C2917">
        <f>[2]TongHop!C2917</f>
        <v>0</v>
      </c>
      <c r="D2917">
        <f>[2]TongHop!D2917</f>
        <v>0</v>
      </c>
      <c r="E2917">
        <f>[2]TongHop!E2917</f>
        <v>0</v>
      </c>
      <c r="F2917">
        <f>[2]TongHop!F2917</f>
        <v>0</v>
      </c>
      <c r="G2917">
        <f>[2]TongHop!G2917</f>
        <v>0</v>
      </c>
      <c r="H2917">
        <f>[2]TongHop!H2917</f>
        <v>0</v>
      </c>
      <c r="I2917">
        <f>[2]TongHop!I2917</f>
        <v>0</v>
      </c>
      <c r="J2917">
        <f>[2]TongHop!J2917</f>
        <v>0</v>
      </c>
      <c r="K2917">
        <f>[2]TongHop!K2917</f>
        <v>0</v>
      </c>
      <c r="L2917">
        <f>[2]TongHop!L2917</f>
        <v>0</v>
      </c>
      <c r="M2917">
        <f>[2]TongHop!M2917</f>
        <v>0</v>
      </c>
      <c r="N2917">
        <f>[2]TongHop!N2917</f>
        <v>0</v>
      </c>
    </row>
    <row r="2918" spans="1:14">
      <c r="A2918">
        <f>[2]TongHop!A2918</f>
        <v>0</v>
      </c>
      <c r="B2918">
        <f>[2]TongHop!B2918</f>
        <v>0</v>
      </c>
      <c r="C2918">
        <f>[2]TongHop!C2918</f>
        <v>0</v>
      </c>
      <c r="D2918">
        <f>[2]TongHop!D2918</f>
        <v>0</v>
      </c>
      <c r="E2918">
        <f>[2]TongHop!E2918</f>
        <v>0</v>
      </c>
      <c r="F2918">
        <f>[2]TongHop!F2918</f>
        <v>0</v>
      </c>
      <c r="G2918">
        <f>[2]TongHop!G2918</f>
        <v>0</v>
      </c>
      <c r="H2918">
        <f>[2]TongHop!H2918</f>
        <v>0</v>
      </c>
      <c r="I2918">
        <f>[2]TongHop!I2918</f>
        <v>0</v>
      </c>
      <c r="J2918">
        <f>[2]TongHop!J2918</f>
        <v>0</v>
      </c>
      <c r="K2918">
        <f>[2]TongHop!K2918</f>
        <v>0</v>
      </c>
      <c r="L2918">
        <f>[2]TongHop!L2918</f>
        <v>0</v>
      </c>
      <c r="M2918">
        <f>[2]TongHop!M2918</f>
        <v>0</v>
      </c>
      <c r="N2918">
        <f>[2]TongHop!N2918</f>
        <v>0</v>
      </c>
    </row>
    <row r="2919" spans="1:14">
      <c r="A2919">
        <f>[2]TongHop!A2919</f>
        <v>0</v>
      </c>
      <c r="B2919">
        <f>[2]TongHop!B2919</f>
        <v>0</v>
      </c>
      <c r="C2919">
        <f>[2]TongHop!C2919</f>
        <v>0</v>
      </c>
      <c r="D2919">
        <f>[2]TongHop!D2919</f>
        <v>0</v>
      </c>
      <c r="E2919">
        <f>[2]TongHop!E2919</f>
        <v>0</v>
      </c>
      <c r="F2919">
        <f>[2]TongHop!F2919</f>
        <v>0</v>
      </c>
      <c r="G2919">
        <f>[2]TongHop!G2919</f>
        <v>0</v>
      </c>
      <c r="H2919">
        <f>[2]TongHop!H2919</f>
        <v>0</v>
      </c>
      <c r="I2919">
        <f>[2]TongHop!I2919</f>
        <v>0</v>
      </c>
      <c r="J2919">
        <f>[2]TongHop!J2919</f>
        <v>0</v>
      </c>
      <c r="K2919">
        <f>[2]TongHop!K2919</f>
        <v>0</v>
      </c>
      <c r="L2919">
        <f>[2]TongHop!L2919</f>
        <v>0</v>
      </c>
      <c r="M2919">
        <f>[2]TongHop!M2919</f>
        <v>0</v>
      </c>
      <c r="N2919">
        <f>[2]TongHop!N2919</f>
        <v>0</v>
      </c>
    </row>
    <row r="2920" spans="1:14">
      <c r="A2920">
        <f>[2]TongHop!A2920</f>
        <v>0</v>
      </c>
      <c r="B2920">
        <f>[2]TongHop!B2920</f>
        <v>0</v>
      </c>
      <c r="C2920">
        <f>[2]TongHop!C2920</f>
        <v>0</v>
      </c>
      <c r="D2920">
        <f>[2]TongHop!D2920</f>
        <v>0</v>
      </c>
      <c r="E2920">
        <f>[2]TongHop!E2920</f>
        <v>0</v>
      </c>
      <c r="F2920">
        <f>[2]TongHop!F2920</f>
        <v>0</v>
      </c>
      <c r="G2920">
        <f>[2]TongHop!G2920</f>
        <v>0</v>
      </c>
      <c r="H2920">
        <f>[2]TongHop!H2920</f>
        <v>0</v>
      </c>
      <c r="I2920">
        <f>[2]TongHop!I2920</f>
        <v>0</v>
      </c>
      <c r="J2920">
        <f>[2]TongHop!J2920</f>
        <v>0</v>
      </c>
      <c r="K2920">
        <f>[2]TongHop!K2920</f>
        <v>0</v>
      </c>
      <c r="L2920">
        <f>[2]TongHop!L2920</f>
        <v>0</v>
      </c>
      <c r="M2920">
        <f>[2]TongHop!M2920</f>
        <v>0</v>
      </c>
      <c r="N2920">
        <f>[2]TongHop!N2920</f>
        <v>0</v>
      </c>
    </row>
    <row r="2921" spans="1:14">
      <c r="A2921">
        <f>[2]TongHop!A2921</f>
        <v>0</v>
      </c>
      <c r="B2921">
        <f>[2]TongHop!B2921</f>
        <v>0</v>
      </c>
      <c r="C2921">
        <f>[2]TongHop!C2921</f>
        <v>0</v>
      </c>
      <c r="D2921">
        <f>[2]TongHop!D2921</f>
        <v>0</v>
      </c>
      <c r="E2921">
        <f>[2]TongHop!E2921</f>
        <v>0</v>
      </c>
      <c r="F2921">
        <f>[2]TongHop!F2921</f>
        <v>0</v>
      </c>
      <c r="G2921">
        <f>[2]TongHop!G2921</f>
        <v>0</v>
      </c>
      <c r="H2921">
        <f>[2]TongHop!H2921</f>
        <v>0</v>
      </c>
      <c r="I2921">
        <f>[2]TongHop!I2921</f>
        <v>0</v>
      </c>
      <c r="J2921">
        <f>[2]TongHop!J2921</f>
        <v>0</v>
      </c>
      <c r="K2921">
        <f>[2]TongHop!K2921</f>
        <v>0</v>
      </c>
      <c r="L2921">
        <f>[2]TongHop!L2921</f>
        <v>0</v>
      </c>
      <c r="M2921">
        <f>[2]TongHop!M2921</f>
        <v>0</v>
      </c>
      <c r="N2921">
        <f>[2]TongHop!N2921</f>
        <v>0</v>
      </c>
    </row>
    <row r="2922" spans="1:14">
      <c r="A2922">
        <f>[2]TongHop!A2922</f>
        <v>0</v>
      </c>
      <c r="B2922">
        <f>[2]TongHop!B2922</f>
        <v>0</v>
      </c>
      <c r="C2922">
        <f>[2]TongHop!C2922</f>
        <v>0</v>
      </c>
      <c r="D2922">
        <f>[2]TongHop!D2922</f>
        <v>0</v>
      </c>
      <c r="E2922">
        <f>[2]TongHop!E2922</f>
        <v>0</v>
      </c>
      <c r="F2922">
        <f>[2]TongHop!F2922</f>
        <v>0</v>
      </c>
      <c r="G2922">
        <f>[2]TongHop!G2922</f>
        <v>0</v>
      </c>
      <c r="H2922">
        <f>[2]TongHop!H2922</f>
        <v>0</v>
      </c>
      <c r="I2922">
        <f>[2]TongHop!I2922</f>
        <v>0</v>
      </c>
      <c r="J2922">
        <f>[2]TongHop!J2922</f>
        <v>0</v>
      </c>
      <c r="K2922">
        <f>[2]TongHop!K2922</f>
        <v>0</v>
      </c>
      <c r="L2922">
        <f>[2]TongHop!L2922</f>
        <v>0</v>
      </c>
      <c r="M2922">
        <f>[2]TongHop!M2922</f>
        <v>0</v>
      </c>
      <c r="N2922">
        <f>[2]TongHop!N2922</f>
        <v>0</v>
      </c>
    </row>
    <row r="2923" spans="1:14">
      <c r="A2923">
        <f>[2]TongHop!A2923</f>
        <v>0</v>
      </c>
      <c r="B2923">
        <f>[2]TongHop!B2923</f>
        <v>0</v>
      </c>
      <c r="C2923">
        <f>[2]TongHop!C2923</f>
        <v>0</v>
      </c>
      <c r="D2923">
        <f>[2]TongHop!D2923</f>
        <v>0</v>
      </c>
      <c r="E2923">
        <f>[2]TongHop!E2923</f>
        <v>0</v>
      </c>
      <c r="F2923">
        <f>[2]TongHop!F2923</f>
        <v>0</v>
      </c>
      <c r="G2923">
        <f>[2]TongHop!G2923</f>
        <v>0</v>
      </c>
      <c r="H2923">
        <f>[2]TongHop!H2923</f>
        <v>0</v>
      </c>
      <c r="I2923">
        <f>[2]TongHop!I2923</f>
        <v>0</v>
      </c>
      <c r="J2923">
        <f>[2]TongHop!J2923</f>
        <v>0</v>
      </c>
      <c r="K2923">
        <f>[2]TongHop!K2923</f>
        <v>0</v>
      </c>
      <c r="L2923">
        <f>[2]TongHop!L2923</f>
        <v>0</v>
      </c>
      <c r="M2923">
        <f>[2]TongHop!M2923</f>
        <v>0</v>
      </c>
      <c r="N2923">
        <f>[2]TongHop!N2923</f>
        <v>0</v>
      </c>
    </row>
    <row r="2924" spans="1:14">
      <c r="A2924">
        <f>[2]TongHop!A2924</f>
        <v>0</v>
      </c>
      <c r="B2924">
        <f>[2]TongHop!B2924</f>
        <v>0</v>
      </c>
      <c r="C2924">
        <f>[2]TongHop!C2924</f>
        <v>0</v>
      </c>
      <c r="D2924">
        <f>[2]TongHop!D2924</f>
        <v>0</v>
      </c>
      <c r="E2924">
        <f>[2]TongHop!E2924</f>
        <v>0</v>
      </c>
      <c r="F2924">
        <f>[2]TongHop!F2924</f>
        <v>0</v>
      </c>
      <c r="G2924">
        <f>[2]TongHop!G2924</f>
        <v>0</v>
      </c>
      <c r="H2924">
        <f>[2]TongHop!H2924</f>
        <v>0</v>
      </c>
      <c r="I2924">
        <f>[2]TongHop!I2924</f>
        <v>0</v>
      </c>
      <c r="J2924">
        <f>[2]TongHop!J2924</f>
        <v>0</v>
      </c>
      <c r="K2924">
        <f>[2]TongHop!K2924</f>
        <v>0</v>
      </c>
      <c r="L2924">
        <f>[2]TongHop!L2924</f>
        <v>0</v>
      </c>
      <c r="M2924">
        <f>[2]TongHop!M2924</f>
        <v>0</v>
      </c>
      <c r="N2924">
        <f>[2]TongHop!N2924</f>
        <v>0</v>
      </c>
    </row>
    <row r="2925" spans="1:14">
      <c r="A2925">
        <f>[2]TongHop!A2925</f>
        <v>0</v>
      </c>
      <c r="B2925">
        <f>[2]TongHop!B2925</f>
        <v>0</v>
      </c>
      <c r="C2925">
        <f>[2]TongHop!C2925</f>
        <v>0</v>
      </c>
      <c r="D2925">
        <f>[2]TongHop!D2925</f>
        <v>0</v>
      </c>
      <c r="E2925">
        <f>[2]TongHop!E2925</f>
        <v>0</v>
      </c>
      <c r="F2925">
        <f>[2]TongHop!F2925</f>
        <v>0</v>
      </c>
      <c r="G2925">
        <f>[2]TongHop!G2925</f>
        <v>0</v>
      </c>
      <c r="H2925">
        <f>[2]TongHop!H2925</f>
        <v>0</v>
      </c>
      <c r="I2925">
        <f>[2]TongHop!I2925</f>
        <v>0</v>
      </c>
      <c r="J2925">
        <f>[2]TongHop!J2925</f>
        <v>0</v>
      </c>
      <c r="K2925">
        <f>[2]TongHop!K2925</f>
        <v>0</v>
      </c>
      <c r="L2925">
        <f>[2]TongHop!L2925</f>
        <v>0</v>
      </c>
      <c r="M2925">
        <f>[2]TongHop!M2925</f>
        <v>0</v>
      </c>
      <c r="N2925">
        <f>[2]TongHop!N2925</f>
        <v>0</v>
      </c>
    </row>
    <row r="2926" spans="1:14">
      <c r="A2926">
        <f>[2]TongHop!A2926</f>
        <v>0</v>
      </c>
      <c r="B2926">
        <f>[2]TongHop!B2926</f>
        <v>0</v>
      </c>
      <c r="C2926">
        <f>[2]TongHop!C2926</f>
        <v>0</v>
      </c>
      <c r="D2926">
        <f>[2]TongHop!D2926</f>
        <v>0</v>
      </c>
      <c r="E2926">
        <f>[2]TongHop!E2926</f>
        <v>0</v>
      </c>
      <c r="F2926">
        <f>[2]TongHop!F2926</f>
        <v>0</v>
      </c>
      <c r="G2926">
        <f>[2]TongHop!G2926</f>
        <v>0</v>
      </c>
      <c r="H2926">
        <f>[2]TongHop!H2926</f>
        <v>0</v>
      </c>
      <c r="I2926">
        <f>[2]TongHop!I2926</f>
        <v>0</v>
      </c>
      <c r="J2926">
        <f>[2]TongHop!J2926</f>
        <v>0</v>
      </c>
      <c r="K2926">
        <f>[2]TongHop!K2926</f>
        <v>0</v>
      </c>
      <c r="L2926">
        <f>[2]TongHop!L2926</f>
        <v>0</v>
      </c>
      <c r="M2926">
        <f>[2]TongHop!M2926</f>
        <v>0</v>
      </c>
      <c r="N2926">
        <f>[2]TongHop!N2926</f>
        <v>0</v>
      </c>
    </row>
    <row r="2927" spans="1:14">
      <c r="A2927">
        <f>[2]TongHop!A2927</f>
        <v>0</v>
      </c>
      <c r="B2927">
        <f>[2]TongHop!B2927</f>
        <v>0</v>
      </c>
      <c r="C2927">
        <f>[2]TongHop!C2927</f>
        <v>0</v>
      </c>
      <c r="D2927">
        <f>[2]TongHop!D2927</f>
        <v>0</v>
      </c>
      <c r="E2927">
        <f>[2]TongHop!E2927</f>
        <v>0</v>
      </c>
      <c r="F2927">
        <f>[2]TongHop!F2927</f>
        <v>0</v>
      </c>
      <c r="G2927">
        <f>[2]TongHop!G2927</f>
        <v>0</v>
      </c>
      <c r="H2927">
        <f>[2]TongHop!H2927</f>
        <v>0</v>
      </c>
      <c r="I2927">
        <f>[2]TongHop!I2927</f>
        <v>0</v>
      </c>
      <c r="J2927">
        <f>[2]TongHop!J2927</f>
        <v>0</v>
      </c>
      <c r="K2927">
        <f>[2]TongHop!K2927</f>
        <v>0</v>
      </c>
      <c r="L2927">
        <f>[2]TongHop!L2927</f>
        <v>0</v>
      </c>
      <c r="M2927">
        <f>[2]TongHop!M2927</f>
        <v>0</v>
      </c>
      <c r="N2927">
        <f>[2]TongHop!N2927</f>
        <v>0</v>
      </c>
    </row>
    <row r="2928" spans="1:14">
      <c r="A2928">
        <f>[2]TongHop!A2928</f>
        <v>0</v>
      </c>
      <c r="B2928">
        <f>[2]TongHop!B2928</f>
        <v>0</v>
      </c>
      <c r="C2928">
        <f>[2]TongHop!C2928</f>
        <v>0</v>
      </c>
      <c r="D2928">
        <f>[2]TongHop!D2928</f>
        <v>0</v>
      </c>
      <c r="E2928">
        <f>[2]TongHop!E2928</f>
        <v>0</v>
      </c>
      <c r="F2928">
        <f>[2]TongHop!F2928</f>
        <v>0</v>
      </c>
      <c r="G2928">
        <f>[2]TongHop!G2928</f>
        <v>0</v>
      </c>
      <c r="H2928">
        <f>[2]TongHop!H2928</f>
        <v>0</v>
      </c>
      <c r="I2928">
        <f>[2]TongHop!I2928</f>
        <v>0</v>
      </c>
      <c r="J2928">
        <f>[2]TongHop!J2928</f>
        <v>0</v>
      </c>
      <c r="K2928">
        <f>[2]TongHop!K2928</f>
        <v>0</v>
      </c>
      <c r="L2928">
        <f>[2]TongHop!L2928</f>
        <v>0</v>
      </c>
      <c r="M2928">
        <f>[2]TongHop!M2928</f>
        <v>0</v>
      </c>
      <c r="N2928">
        <f>[2]TongHop!N2928</f>
        <v>0</v>
      </c>
    </row>
    <row r="2929" spans="1:14">
      <c r="A2929">
        <f>[2]TongHop!A2929</f>
        <v>0</v>
      </c>
      <c r="B2929">
        <f>[2]TongHop!B2929</f>
        <v>0</v>
      </c>
      <c r="C2929">
        <f>[2]TongHop!C2929</f>
        <v>0</v>
      </c>
      <c r="D2929">
        <f>[2]TongHop!D2929</f>
        <v>0</v>
      </c>
      <c r="E2929">
        <f>[2]TongHop!E2929</f>
        <v>0</v>
      </c>
      <c r="F2929">
        <f>[2]TongHop!F2929</f>
        <v>0</v>
      </c>
      <c r="G2929">
        <f>[2]TongHop!G2929</f>
        <v>0</v>
      </c>
      <c r="H2929">
        <f>[2]TongHop!H2929</f>
        <v>0</v>
      </c>
      <c r="I2929">
        <f>[2]TongHop!I2929</f>
        <v>0</v>
      </c>
      <c r="J2929">
        <f>[2]TongHop!J2929</f>
        <v>0</v>
      </c>
      <c r="K2929">
        <f>[2]TongHop!K2929</f>
        <v>0</v>
      </c>
      <c r="L2929">
        <f>[2]TongHop!L2929</f>
        <v>0</v>
      </c>
      <c r="M2929">
        <f>[2]TongHop!M2929</f>
        <v>0</v>
      </c>
      <c r="N2929">
        <f>[2]TongHop!N2929</f>
        <v>0</v>
      </c>
    </row>
    <row r="2930" spans="1:14">
      <c r="A2930">
        <f>[2]TongHop!A2930</f>
        <v>0</v>
      </c>
      <c r="B2930">
        <f>[2]TongHop!B2930</f>
        <v>0</v>
      </c>
      <c r="C2930">
        <f>[2]TongHop!C2930</f>
        <v>0</v>
      </c>
      <c r="D2930">
        <f>[2]TongHop!D2930</f>
        <v>0</v>
      </c>
      <c r="E2930">
        <f>[2]TongHop!E2930</f>
        <v>0</v>
      </c>
      <c r="F2930">
        <f>[2]TongHop!F2930</f>
        <v>0</v>
      </c>
      <c r="G2930">
        <f>[2]TongHop!G2930</f>
        <v>0</v>
      </c>
      <c r="H2930">
        <f>[2]TongHop!H2930</f>
        <v>0</v>
      </c>
      <c r="I2930">
        <f>[2]TongHop!I2930</f>
        <v>0</v>
      </c>
      <c r="J2930">
        <f>[2]TongHop!J2930</f>
        <v>0</v>
      </c>
      <c r="K2930">
        <f>[2]TongHop!K2930</f>
        <v>0</v>
      </c>
      <c r="L2930">
        <f>[2]TongHop!L2930</f>
        <v>0</v>
      </c>
      <c r="M2930">
        <f>[2]TongHop!M2930</f>
        <v>0</v>
      </c>
      <c r="N2930">
        <f>[2]TongHop!N2930</f>
        <v>0</v>
      </c>
    </row>
    <row r="2931" spans="1:14">
      <c r="A2931">
        <f>[2]TongHop!A2931</f>
        <v>0</v>
      </c>
      <c r="B2931">
        <f>[2]TongHop!B2931</f>
        <v>0</v>
      </c>
      <c r="C2931">
        <f>[2]TongHop!C2931</f>
        <v>0</v>
      </c>
      <c r="D2931">
        <f>[2]TongHop!D2931</f>
        <v>0</v>
      </c>
      <c r="E2931">
        <f>[2]TongHop!E2931</f>
        <v>0</v>
      </c>
      <c r="F2931">
        <f>[2]TongHop!F2931</f>
        <v>0</v>
      </c>
      <c r="G2931">
        <f>[2]TongHop!G2931</f>
        <v>0</v>
      </c>
      <c r="H2931">
        <f>[2]TongHop!H2931</f>
        <v>0</v>
      </c>
      <c r="I2931">
        <f>[2]TongHop!I2931</f>
        <v>0</v>
      </c>
      <c r="J2931">
        <f>[2]TongHop!J2931</f>
        <v>0</v>
      </c>
      <c r="K2931">
        <f>[2]TongHop!K2931</f>
        <v>0</v>
      </c>
      <c r="L2931">
        <f>[2]TongHop!L2931</f>
        <v>0</v>
      </c>
      <c r="M2931">
        <f>[2]TongHop!M2931</f>
        <v>0</v>
      </c>
      <c r="N2931">
        <f>[2]TongHop!N2931</f>
        <v>0</v>
      </c>
    </row>
    <row r="2932" spans="1:14">
      <c r="A2932">
        <f>[2]TongHop!A2932</f>
        <v>0</v>
      </c>
      <c r="B2932">
        <f>[2]TongHop!B2932</f>
        <v>0</v>
      </c>
      <c r="C2932">
        <f>[2]TongHop!C2932</f>
        <v>0</v>
      </c>
      <c r="D2932">
        <f>[2]TongHop!D2932</f>
        <v>0</v>
      </c>
      <c r="E2932">
        <f>[2]TongHop!E2932</f>
        <v>0</v>
      </c>
      <c r="F2932">
        <f>[2]TongHop!F2932</f>
        <v>0</v>
      </c>
      <c r="G2932">
        <f>[2]TongHop!G2932</f>
        <v>0</v>
      </c>
      <c r="H2932">
        <f>[2]TongHop!H2932</f>
        <v>0</v>
      </c>
      <c r="I2932">
        <f>[2]TongHop!I2932</f>
        <v>0</v>
      </c>
      <c r="J2932">
        <f>[2]TongHop!J2932</f>
        <v>0</v>
      </c>
      <c r="K2932">
        <f>[2]TongHop!K2932</f>
        <v>0</v>
      </c>
      <c r="L2932">
        <f>[2]TongHop!L2932</f>
        <v>0</v>
      </c>
      <c r="M2932">
        <f>[2]TongHop!M2932</f>
        <v>0</v>
      </c>
      <c r="N2932">
        <f>[2]TongHop!N2932</f>
        <v>0</v>
      </c>
    </row>
    <row r="2933" spans="1:14">
      <c r="A2933">
        <f>[2]TongHop!A2933</f>
        <v>0</v>
      </c>
      <c r="B2933">
        <f>[2]TongHop!B2933</f>
        <v>0</v>
      </c>
      <c r="C2933">
        <f>[2]TongHop!C2933</f>
        <v>0</v>
      </c>
      <c r="D2933">
        <f>[2]TongHop!D2933</f>
        <v>0</v>
      </c>
      <c r="E2933">
        <f>[2]TongHop!E2933</f>
        <v>0</v>
      </c>
      <c r="F2933">
        <f>[2]TongHop!F2933</f>
        <v>0</v>
      </c>
      <c r="G2933">
        <f>[2]TongHop!G2933</f>
        <v>0</v>
      </c>
      <c r="H2933">
        <f>[2]TongHop!H2933</f>
        <v>0</v>
      </c>
      <c r="I2933">
        <f>[2]TongHop!I2933</f>
        <v>0</v>
      </c>
      <c r="J2933">
        <f>[2]TongHop!J2933</f>
        <v>0</v>
      </c>
      <c r="K2933">
        <f>[2]TongHop!K2933</f>
        <v>0</v>
      </c>
      <c r="L2933">
        <f>[2]TongHop!L2933</f>
        <v>0</v>
      </c>
      <c r="M2933">
        <f>[2]TongHop!M2933</f>
        <v>0</v>
      </c>
      <c r="N2933">
        <f>[2]TongHop!N2933</f>
        <v>0</v>
      </c>
    </row>
    <row r="2934" spans="1:14">
      <c r="A2934">
        <f>[2]TongHop!A2934</f>
        <v>0</v>
      </c>
      <c r="B2934">
        <f>[2]TongHop!B2934</f>
        <v>0</v>
      </c>
      <c r="C2934">
        <f>[2]TongHop!C2934</f>
        <v>0</v>
      </c>
      <c r="D2934">
        <f>[2]TongHop!D2934</f>
        <v>0</v>
      </c>
      <c r="E2934">
        <f>[2]TongHop!E2934</f>
        <v>0</v>
      </c>
      <c r="F2934">
        <f>[2]TongHop!F2934</f>
        <v>0</v>
      </c>
      <c r="G2934">
        <f>[2]TongHop!G2934</f>
        <v>0</v>
      </c>
      <c r="H2934">
        <f>[2]TongHop!H2934</f>
        <v>0</v>
      </c>
      <c r="I2934">
        <f>[2]TongHop!I2934</f>
        <v>0</v>
      </c>
      <c r="J2934">
        <f>[2]TongHop!J2934</f>
        <v>0</v>
      </c>
      <c r="K2934">
        <f>[2]TongHop!K2934</f>
        <v>0</v>
      </c>
      <c r="L2934">
        <f>[2]TongHop!L2934</f>
        <v>0</v>
      </c>
      <c r="M2934">
        <f>[2]TongHop!M2934</f>
        <v>0</v>
      </c>
      <c r="N2934">
        <f>[2]TongHop!N2934</f>
        <v>0</v>
      </c>
    </row>
    <row r="2935" spans="1:14">
      <c r="A2935">
        <f>[2]TongHop!A2935</f>
        <v>0</v>
      </c>
      <c r="B2935">
        <f>[2]TongHop!B2935</f>
        <v>0</v>
      </c>
      <c r="C2935">
        <f>[2]TongHop!C2935</f>
        <v>0</v>
      </c>
      <c r="D2935">
        <f>[2]TongHop!D2935</f>
        <v>0</v>
      </c>
      <c r="E2935">
        <f>[2]TongHop!E2935</f>
        <v>0</v>
      </c>
      <c r="F2935">
        <f>[2]TongHop!F2935</f>
        <v>0</v>
      </c>
      <c r="G2935">
        <f>[2]TongHop!G2935</f>
        <v>0</v>
      </c>
      <c r="H2935">
        <f>[2]TongHop!H2935</f>
        <v>0</v>
      </c>
      <c r="I2935">
        <f>[2]TongHop!I2935</f>
        <v>0</v>
      </c>
      <c r="J2935">
        <f>[2]TongHop!J2935</f>
        <v>0</v>
      </c>
      <c r="K2935">
        <f>[2]TongHop!K2935</f>
        <v>0</v>
      </c>
      <c r="L2935">
        <f>[2]TongHop!L2935</f>
        <v>0</v>
      </c>
      <c r="M2935">
        <f>[2]TongHop!M2935</f>
        <v>0</v>
      </c>
      <c r="N2935">
        <f>[2]TongHop!N2935</f>
        <v>0</v>
      </c>
    </row>
    <row r="2936" spans="1:14">
      <c r="A2936">
        <f>[2]TongHop!A2936</f>
        <v>0</v>
      </c>
      <c r="B2936">
        <f>[2]TongHop!B2936</f>
        <v>0</v>
      </c>
      <c r="C2936">
        <f>[2]TongHop!C2936</f>
        <v>0</v>
      </c>
      <c r="D2936">
        <f>[2]TongHop!D2936</f>
        <v>0</v>
      </c>
      <c r="E2936">
        <f>[2]TongHop!E2936</f>
        <v>0</v>
      </c>
      <c r="F2936">
        <f>[2]TongHop!F2936</f>
        <v>0</v>
      </c>
      <c r="G2936">
        <f>[2]TongHop!G2936</f>
        <v>0</v>
      </c>
      <c r="H2936">
        <f>[2]TongHop!H2936</f>
        <v>0</v>
      </c>
      <c r="I2936">
        <f>[2]TongHop!I2936</f>
        <v>0</v>
      </c>
      <c r="J2936">
        <f>[2]TongHop!J2936</f>
        <v>0</v>
      </c>
      <c r="K2936">
        <f>[2]TongHop!K2936</f>
        <v>0</v>
      </c>
      <c r="L2936">
        <f>[2]TongHop!L2936</f>
        <v>0</v>
      </c>
      <c r="M2936">
        <f>[2]TongHop!M2936</f>
        <v>0</v>
      </c>
      <c r="N2936">
        <f>[2]TongHop!N2936</f>
        <v>0</v>
      </c>
    </row>
    <row r="2937" spans="1:14">
      <c r="A2937">
        <f>[2]TongHop!A2937</f>
        <v>0</v>
      </c>
      <c r="B2937">
        <f>[2]TongHop!B2937</f>
        <v>0</v>
      </c>
      <c r="C2937">
        <f>[2]TongHop!C2937</f>
        <v>0</v>
      </c>
      <c r="D2937">
        <f>[2]TongHop!D2937</f>
        <v>0</v>
      </c>
      <c r="E2937">
        <f>[2]TongHop!E2937</f>
        <v>0</v>
      </c>
      <c r="F2937">
        <f>[2]TongHop!F2937</f>
        <v>0</v>
      </c>
      <c r="G2937">
        <f>[2]TongHop!G2937</f>
        <v>0</v>
      </c>
      <c r="H2937">
        <f>[2]TongHop!H2937</f>
        <v>0</v>
      </c>
      <c r="I2937">
        <f>[2]TongHop!I2937</f>
        <v>0</v>
      </c>
      <c r="J2937">
        <f>[2]TongHop!J2937</f>
        <v>0</v>
      </c>
      <c r="K2937">
        <f>[2]TongHop!K2937</f>
        <v>0</v>
      </c>
      <c r="L2937">
        <f>[2]TongHop!L2937</f>
        <v>0</v>
      </c>
      <c r="M2937">
        <f>[2]TongHop!M2937</f>
        <v>0</v>
      </c>
      <c r="N2937">
        <f>[2]TongHop!N2937</f>
        <v>0</v>
      </c>
    </row>
    <row r="2938" spans="1:14">
      <c r="A2938">
        <f>[2]TongHop!A2938</f>
        <v>0</v>
      </c>
      <c r="B2938">
        <f>[2]TongHop!B2938</f>
        <v>0</v>
      </c>
      <c r="C2938">
        <f>[2]TongHop!C2938</f>
        <v>0</v>
      </c>
      <c r="D2938">
        <f>[2]TongHop!D2938</f>
        <v>0</v>
      </c>
      <c r="E2938">
        <f>[2]TongHop!E2938</f>
        <v>0</v>
      </c>
      <c r="F2938">
        <f>[2]TongHop!F2938</f>
        <v>0</v>
      </c>
      <c r="G2938">
        <f>[2]TongHop!G2938</f>
        <v>0</v>
      </c>
      <c r="H2938">
        <f>[2]TongHop!H2938</f>
        <v>0</v>
      </c>
      <c r="I2938">
        <f>[2]TongHop!I2938</f>
        <v>0</v>
      </c>
      <c r="J2938">
        <f>[2]TongHop!J2938</f>
        <v>0</v>
      </c>
      <c r="K2938">
        <f>[2]TongHop!K2938</f>
        <v>0</v>
      </c>
      <c r="L2938">
        <f>[2]TongHop!L2938</f>
        <v>0</v>
      </c>
      <c r="M2938">
        <f>[2]TongHop!M2938</f>
        <v>0</v>
      </c>
      <c r="N2938">
        <f>[2]TongHop!N2938</f>
        <v>0</v>
      </c>
    </row>
    <row r="2939" spans="1:14">
      <c r="A2939">
        <f>[2]TongHop!A2939</f>
        <v>0</v>
      </c>
      <c r="B2939">
        <f>[2]TongHop!B2939</f>
        <v>0</v>
      </c>
      <c r="C2939">
        <f>[2]TongHop!C2939</f>
        <v>0</v>
      </c>
      <c r="D2939">
        <f>[2]TongHop!D2939</f>
        <v>0</v>
      </c>
      <c r="E2939">
        <f>[2]TongHop!E2939</f>
        <v>0</v>
      </c>
      <c r="F2939">
        <f>[2]TongHop!F2939</f>
        <v>0</v>
      </c>
      <c r="G2939">
        <f>[2]TongHop!G2939</f>
        <v>0</v>
      </c>
      <c r="H2939">
        <f>[2]TongHop!H2939</f>
        <v>0</v>
      </c>
      <c r="I2939">
        <f>[2]TongHop!I2939</f>
        <v>0</v>
      </c>
      <c r="J2939">
        <f>[2]TongHop!J2939</f>
        <v>0</v>
      </c>
      <c r="K2939">
        <f>[2]TongHop!K2939</f>
        <v>0</v>
      </c>
      <c r="L2939">
        <f>[2]TongHop!L2939</f>
        <v>0</v>
      </c>
      <c r="M2939">
        <f>[2]TongHop!M2939</f>
        <v>0</v>
      </c>
      <c r="N2939">
        <f>[2]TongHop!N2939</f>
        <v>0</v>
      </c>
    </row>
    <row r="2940" spans="1:14">
      <c r="A2940">
        <f>[2]TongHop!A2940</f>
        <v>0</v>
      </c>
      <c r="B2940">
        <f>[2]TongHop!B2940</f>
        <v>0</v>
      </c>
      <c r="C2940">
        <f>[2]TongHop!C2940</f>
        <v>0</v>
      </c>
      <c r="D2940">
        <f>[2]TongHop!D2940</f>
        <v>0</v>
      </c>
      <c r="E2940">
        <f>[2]TongHop!E2940</f>
        <v>0</v>
      </c>
      <c r="F2940">
        <f>[2]TongHop!F2940</f>
        <v>0</v>
      </c>
      <c r="G2940">
        <f>[2]TongHop!G2940</f>
        <v>0</v>
      </c>
      <c r="H2940">
        <f>[2]TongHop!H2940</f>
        <v>0</v>
      </c>
      <c r="I2940">
        <f>[2]TongHop!I2940</f>
        <v>0</v>
      </c>
      <c r="J2940">
        <f>[2]TongHop!J2940</f>
        <v>0</v>
      </c>
      <c r="K2940">
        <f>[2]TongHop!K2940</f>
        <v>0</v>
      </c>
      <c r="L2940">
        <f>[2]TongHop!L2940</f>
        <v>0</v>
      </c>
      <c r="M2940">
        <f>[2]TongHop!M2940</f>
        <v>0</v>
      </c>
      <c r="N2940">
        <f>[2]TongHop!N2940</f>
        <v>0</v>
      </c>
    </row>
    <row r="2941" spans="1:14">
      <c r="A2941">
        <f>[2]TongHop!A2941</f>
        <v>0</v>
      </c>
      <c r="B2941">
        <f>[2]TongHop!B2941</f>
        <v>0</v>
      </c>
      <c r="C2941">
        <f>[2]TongHop!C2941</f>
        <v>0</v>
      </c>
      <c r="D2941">
        <f>[2]TongHop!D2941</f>
        <v>0</v>
      </c>
      <c r="E2941">
        <f>[2]TongHop!E2941</f>
        <v>0</v>
      </c>
      <c r="F2941">
        <f>[2]TongHop!F2941</f>
        <v>0</v>
      </c>
      <c r="G2941">
        <f>[2]TongHop!G2941</f>
        <v>0</v>
      </c>
      <c r="H2941">
        <f>[2]TongHop!H2941</f>
        <v>0</v>
      </c>
      <c r="I2941">
        <f>[2]TongHop!I2941</f>
        <v>0</v>
      </c>
      <c r="J2941">
        <f>[2]TongHop!J2941</f>
        <v>0</v>
      </c>
      <c r="K2941">
        <f>[2]TongHop!K2941</f>
        <v>0</v>
      </c>
      <c r="L2941">
        <f>[2]TongHop!L2941</f>
        <v>0</v>
      </c>
      <c r="M2941">
        <f>[2]TongHop!M2941</f>
        <v>0</v>
      </c>
      <c r="N2941">
        <f>[2]TongHop!N2941</f>
        <v>0</v>
      </c>
    </row>
    <row r="2942" spans="1:14">
      <c r="A2942">
        <f>[2]TongHop!A2942</f>
        <v>0</v>
      </c>
      <c r="B2942">
        <f>[2]TongHop!B2942</f>
        <v>0</v>
      </c>
      <c r="C2942">
        <f>[2]TongHop!C2942</f>
        <v>0</v>
      </c>
      <c r="D2942">
        <f>[2]TongHop!D2942</f>
        <v>0</v>
      </c>
      <c r="E2942">
        <f>[2]TongHop!E2942</f>
        <v>0</v>
      </c>
      <c r="F2942">
        <f>[2]TongHop!F2942</f>
        <v>0</v>
      </c>
      <c r="G2942">
        <f>[2]TongHop!G2942</f>
        <v>0</v>
      </c>
      <c r="H2942">
        <f>[2]TongHop!H2942</f>
        <v>0</v>
      </c>
      <c r="I2942">
        <f>[2]TongHop!I2942</f>
        <v>0</v>
      </c>
      <c r="J2942">
        <f>[2]TongHop!J2942</f>
        <v>0</v>
      </c>
      <c r="K2942">
        <f>[2]TongHop!K2942</f>
        <v>0</v>
      </c>
      <c r="L2942">
        <f>[2]TongHop!L2942</f>
        <v>0</v>
      </c>
      <c r="M2942">
        <f>[2]TongHop!M2942</f>
        <v>0</v>
      </c>
      <c r="N2942">
        <f>[2]TongHop!N2942</f>
        <v>0</v>
      </c>
    </row>
    <row r="2943" spans="1:14">
      <c r="A2943">
        <f>[2]TongHop!A2943</f>
        <v>0</v>
      </c>
      <c r="B2943">
        <f>[2]TongHop!B2943</f>
        <v>0</v>
      </c>
      <c r="C2943">
        <f>[2]TongHop!C2943</f>
        <v>0</v>
      </c>
      <c r="D2943">
        <f>[2]TongHop!D2943</f>
        <v>0</v>
      </c>
      <c r="E2943">
        <f>[2]TongHop!E2943</f>
        <v>0</v>
      </c>
      <c r="F2943">
        <f>[2]TongHop!F2943</f>
        <v>0</v>
      </c>
      <c r="G2943">
        <f>[2]TongHop!G2943</f>
        <v>0</v>
      </c>
      <c r="H2943">
        <f>[2]TongHop!H2943</f>
        <v>0</v>
      </c>
      <c r="I2943">
        <f>[2]TongHop!I2943</f>
        <v>0</v>
      </c>
      <c r="J2943">
        <f>[2]TongHop!J2943</f>
        <v>0</v>
      </c>
      <c r="K2943">
        <f>[2]TongHop!K2943</f>
        <v>0</v>
      </c>
      <c r="L2943">
        <f>[2]TongHop!L2943</f>
        <v>0</v>
      </c>
      <c r="M2943">
        <f>[2]TongHop!M2943</f>
        <v>0</v>
      </c>
      <c r="N2943">
        <f>[2]TongHop!N2943</f>
        <v>0</v>
      </c>
    </row>
    <row r="2944" spans="1:14">
      <c r="A2944">
        <f>[2]TongHop!A2944</f>
        <v>0</v>
      </c>
      <c r="B2944">
        <f>[2]TongHop!B2944</f>
        <v>0</v>
      </c>
      <c r="C2944">
        <f>[2]TongHop!C2944</f>
        <v>0</v>
      </c>
      <c r="D2944">
        <f>[2]TongHop!D2944</f>
        <v>0</v>
      </c>
      <c r="E2944">
        <f>[2]TongHop!E2944</f>
        <v>0</v>
      </c>
      <c r="F2944">
        <f>[2]TongHop!F2944</f>
        <v>0</v>
      </c>
      <c r="G2944">
        <f>[2]TongHop!G2944</f>
        <v>0</v>
      </c>
      <c r="H2944">
        <f>[2]TongHop!H2944</f>
        <v>0</v>
      </c>
      <c r="I2944">
        <f>[2]TongHop!I2944</f>
        <v>0</v>
      </c>
      <c r="J2944">
        <f>[2]TongHop!J2944</f>
        <v>0</v>
      </c>
      <c r="K2944">
        <f>[2]TongHop!K2944</f>
        <v>0</v>
      </c>
      <c r="L2944">
        <f>[2]TongHop!L2944</f>
        <v>0</v>
      </c>
      <c r="M2944">
        <f>[2]TongHop!M2944</f>
        <v>0</v>
      </c>
      <c r="N2944">
        <f>[2]TongHop!N2944</f>
        <v>0</v>
      </c>
    </row>
    <row r="2945" spans="1:14">
      <c r="A2945">
        <f>[2]TongHop!A2945</f>
        <v>0</v>
      </c>
      <c r="B2945">
        <f>[2]TongHop!B2945</f>
        <v>0</v>
      </c>
      <c r="C2945">
        <f>[2]TongHop!C2945</f>
        <v>0</v>
      </c>
      <c r="D2945">
        <f>[2]TongHop!D2945</f>
        <v>0</v>
      </c>
      <c r="E2945">
        <f>[2]TongHop!E2945</f>
        <v>0</v>
      </c>
      <c r="F2945">
        <f>[2]TongHop!F2945</f>
        <v>0</v>
      </c>
      <c r="G2945">
        <f>[2]TongHop!G2945</f>
        <v>0</v>
      </c>
      <c r="H2945">
        <f>[2]TongHop!H2945</f>
        <v>0</v>
      </c>
      <c r="I2945">
        <f>[2]TongHop!I2945</f>
        <v>0</v>
      </c>
      <c r="J2945">
        <f>[2]TongHop!J2945</f>
        <v>0</v>
      </c>
      <c r="K2945">
        <f>[2]TongHop!K2945</f>
        <v>0</v>
      </c>
      <c r="L2945">
        <f>[2]TongHop!L2945</f>
        <v>0</v>
      </c>
      <c r="M2945">
        <f>[2]TongHop!M2945</f>
        <v>0</v>
      </c>
      <c r="N2945">
        <f>[2]TongHop!N2945</f>
        <v>0</v>
      </c>
    </row>
    <row r="2946" spans="1:14">
      <c r="A2946">
        <f>[2]TongHop!A2946</f>
        <v>0</v>
      </c>
      <c r="B2946">
        <f>[2]TongHop!B2946</f>
        <v>0</v>
      </c>
      <c r="C2946">
        <f>[2]TongHop!C2946</f>
        <v>0</v>
      </c>
      <c r="D2946">
        <f>[2]TongHop!D2946</f>
        <v>0</v>
      </c>
      <c r="E2946">
        <f>[2]TongHop!E2946</f>
        <v>0</v>
      </c>
      <c r="F2946">
        <f>[2]TongHop!F2946</f>
        <v>0</v>
      </c>
      <c r="G2946">
        <f>[2]TongHop!G2946</f>
        <v>0</v>
      </c>
      <c r="H2946">
        <f>[2]TongHop!H2946</f>
        <v>0</v>
      </c>
      <c r="I2946">
        <f>[2]TongHop!I2946</f>
        <v>0</v>
      </c>
      <c r="J2946">
        <f>[2]TongHop!J2946</f>
        <v>0</v>
      </c>
      <c r="K2946">
        <f>[2]TongHop!K2946</f>
        <v>0</v>
      </c>
      <c r="L2946">
        <f>[2]TongHop!L2946</f>
        <v>0</v>
      </c>
      <c r="M2946">
        <f>[2]TongHop!M2946</f>
        <v>0</v>
      </c>
      <c r="N2946">
        <f>[2]TongHop!N2946</f>
        <v>0</v>
      </c>
    </row>
    <row r="2947" spans="1:14">
      <c r="A2947">
        <f>[2]TongHop!A2947</f>
        <v>0</v>
      </c>
      <c r="B2947">
        <f>[2]TongHop!B2947</f>
        <v>0</v>
      </c>
      <c r="C2947">
        <f>[2]TongHop!C2947</f>
        <v>0</v>
      </c>
      <c r="D2947">
        <f>[2]TongHop!D2947</f>
        <v>0</v>
      </c>
      <c r="E2947">
        <f>[2]TongHop!E2947</f>
        <v>0</v>
      </c>
      <c r="F2947">
        <f>[2]TongHop!F2947</f>
        <v>0</v>
      </c>
      <c r="G2947">
        <f>[2]TongHop!G2947</f>
        <v>0</v>
      </c>
      <c r="H2947">
        <f>[2]TongHop!H2947</f>
        <v>0</v>
      </c>
      <c r="I2947">
        <f>[2]TongHop!I2947</f>
        <v>0</v>
      </c>
      <c r="J2947">
        <f>[2]TongHop!J2947</f>
        <v>0</v>
      </c>
      <c r="K2947">
        <f>[2]TongHop!K2947</f>
        <v>0</v>
      </c>
      <c r="L2947">
        <f>[2]TongHop!L2947</f>
        <v>0</v>
      </c>
      <c r="M2947">
        <f>[2]TongHop!M2947</f>
        <v>0</v>
      </c>
      <c r="N2947">
        <f>[2]TongHop!N2947</f>
        <v>0</v>
      </c>
    </row>
    <row r="2948" spans="1:14">
      <c r="A2948">
        <f>[2]TongHop!A2948</f>
        <v>0</v>
      </c>
      <c r="B2948">
        <f>[2]TongHop!B2948</f>
        <v>0</v>
      </c>
      <c r="C2948">
        <f>[2]TongHop!C2948</f>
        <v>0</v>
      </c>
      <c r="D2948">
        <f>[2]TongHop!D2948</f>
        <v>0</v>
      </c>
      <c r="E2948">
        <f>[2]TongHop!E2948</f>
        <v>0</v>
      </c>
      <c r="F2948">
        <f>[2]TongHop!F2948</f>
        <v>0</v>
      </c>
      <c r="G2948">
        <f>[2]TongHop!G2948</f>
        <v>0</v>
      </c>
      <c r="H2948">
        <f>[2]TongHop!H2948</f>
        <v>0</v>
      </c>
      <c r="I2948">
        <f>[2]TongHop!I2948</f>
        <v>0</v>
      </c>
      <c r="J2948">
        <f>[2]TongHop!J2948</f>
        <v>0</v>
      </c>
      <c r="K2948">
        <f>[2]TongHop!K2948</f>
        <v>0</v>
      </c>
      <c r="L2948">
        <f>[2]TongHop!L2948</f>
        <v>0</v>
      </c>
      <c r="M2948">
        <f>[2]TongHop!M2948</f>
        <v>0</v>
      </c>
      <c r="N2948">
        <f>[2]TongHop!N2948</f>
        <v>0</v>
      </c>
    </row>
    <row r="2949" spans="1:14">
      <c r="A2949">
        <f>[2]TongHop!A2949</f>
        <v>0</v>
      </c>
      <c r="B2949">
        <f>[2]TongHop!B2949</f>
        <v>0</v>
      </c>
      <c r="C2949">
        <f>[2]TongHop!C2949</f>
        <v>0</v>
      </c>
      <c r="D2949">
        <f>[2]TongHop!D2949</f>
        <v>0</v>
      </c>
      <c r="E2949">
        <f>[2]TongHop!E2949</f>
        <v>0</v>
      </c>
      <c r="F2949">
        <f>[2]TongHop!F2949</f>
        <v>0</v>
      </c>
      <c r="G2949">
        <f>[2]TongHop!G2949</f>
        <v>0</v>
      </c>
      <c r="H2949">
        <f>[2]TongHop!H2949</f>
        <v>0</v>
      </c>
      <c r="I2949">
        <f>[2]TongHop!I2949</f>
        <v>0</v>
      </c>
      <c r="J2949">
        <f>[2]TongHop!J2949</f>
        <v>0</v>
      </c>
      <c r="K2949">
        <f>[2]TongHop!K2949</f>
        <v>0</v>
      </c>
      <c r="L2949">
        <f>[2]TongHop!L2949</f>
        <v>0</v>
      </c>
      <c r="M2949">
        <f>[2]TongHop!M2949</f>
        <v>0</v>
      </c>
      <c r="N2949">
        <f>[2]TongHop!N2949</f>
        <v>0</v>
      </c>
    </row>
    <row r="2950" spans="1:14">
      <c r="A2950">
        <f>[2]TongHop!A2950</f>
        <v>0</v>
      </c>
      <c r="B2950">
        <f>[2]TongHop!B2950</f>
        <v>0</v>
      </c>
      <c r="C2950">
        <f>[2]TongHop!C2950</f>
        <v>0</v>
      </c>
      <c r="D2950">
        <f>[2]TongHop!D2950</f>
        <v>0</v>
      </c>
      <c r="E2950">
        <f>[2]TongHop!E2950</f>
        <v>0</v>
      </c>
      <c r="F2950">
        <f>[2]TongHop!F2950</f>
        <v>0</v>
      </c>
      <c r="G2950">
        <f>[2]TongHop!G2950</f>
        <v>0</v>
      </c>
      <c r="H2950">
        <f>[2]TongHop!H2950</f>
        <v>0</v>
      </c>
      <c r="I2950">
        <f>[2]TongHop!I2950</f>
        <v>0</v>
      </c>
      <c r="J2950">
        <f>[2]TongHop!J2950</f>
        <v>0</v>
      </c>
      <c r="K2950">
        <f>[2]TongHop!K2950</f>
        <v>0</v>
      </c>
      <c r="L2950">
        <f>[2]TongHop!L2950</f>
        <v>0</v>
      </c>
      <c r="M2950">
        <f>[2]TongHop!M2950</f>
        <v>0</v>
      </c>
      <c r="N2950">
        <f>[2]TongHop!N2950</f>
        <v>0</v>
      </c>
    </row>
    <row r="2951" spans="1:14">
      <c r="A2951">
        <f>[2]TongHop!A2951</f>
        <v>0</v>
      </c>
      <c r="B2951">
        <f>[2]TongHop!B2951</f>
        <v>0</v>
      </c>
      <c r="C2951">
        <f>[2]TongHop!C2951</f>
        <v>0</v>
      </c>
      <c r="D2951">
        <f>[2]TongHop!D2951</f>
        <v>0</v>
      </c>
      <c r="E2951">
        <f>[2]TongHop!E2951</f>
        <v>0</v>
      </c>
      <c r="F2951">
        <f>[2]TongHop!F2951</f>
        <v>0</v>
      </c>
      <c r="G2951">
        <f>[2]TongHop!G2951</f>
        <v>0</v>
      </c>
      <c r="H2951">
        <f>[2]TongHop!H2951</f>
        <v>0</v>
      </c>
      <c r="I2951">
        <f>[2]TongHop!I2951</f>
        <v>0</v>
      </c>
      <c r="J2951">
        <f>[2]TongHop!J2951</f>
        <v>0</v>
      </c>
      <c r="K2951">
        <f>[2]TongHop!K2951</f>
        <v>0</v>
      </c>
      <c r="L2951">
        <f>[2]TongHop!L2951</f>
        <v>0</v>
      </c>
      <c r="M2951">
        <f>[2]TongHop!M2951</f>
        <v>0</v>
      </c>
      <c r="N2951">
        <f>[2]TongHop!N2951</f>
        <v>0</v>
      </c>
    </row>
    <row r="2952" spans="1:14">
      <c r="A2952">
        <f>[2]TongHop!A2952</f>
        <v>0</v>
      </c>
      <c r="B2952">
        <f>[2]TongHop!B2952</f>
        <v>0</v>
      </c>
      <c r="C2952">
        <f>[2]TongHop!C2952</f>
        <v>0</v>
      </c>
      <c r="D2952">
        <f>[2]TongHop!D2952</f>
        <v>0</v>
      </c>
      <c r="E2952">
        <f>[2]TongHop!E2952</f>
        <v>0</v>
      </c>
      <c r="F2952">
        <f>[2]TongHop!F2952</f>
        <v>0</v>
      </c>
      <c r="G2952">
        <f>[2]TongHop!G2952</f>
        <v>0</v>
      </c>
      <c r="H2952">
        <f>[2]TongHop!H2952</f>
        <v>0</v>
      </c>
      <c r="I2952">
        <f>[2]TongHop!I2952</f>
        <v>0</v>
      </c>
      <c r="J2952">
        <f>[2]TongHop!J2952</f>
        <v>0</v>
      </c>
      <c r="K2952">
        <f>[2]TongHop!K2952</f>
        <v>0</v>
      </c>
      <c r="L2952">
        <f>[2]TongHop!L2952</f>
        <v>0</v>
      </c>
      <c r="M2952">
        <f>[2]TongHop!M2952</f>
        <v>0</v>
      </c>
      <c r="N2952">
        <f>[2]TongHop!N2952</f>
        <v>0</v>
      </c>
    </row>
    <row r="2953" spans="1:14">
      <c r="A2953">
        <f>[2]TongHop!A2953</f>
        <v>0</v>
      </c>
      <c r="B2953">
        <f>[2]TongHop!B2953</f>
        <v>0</v>
      </c>
      <c r="C2953">
        <f>[2]TongHop!C2953</f>
        <v>0</v>
      </c>
      <c r="D2953">
        <f>[2]TongHop!D2953</f>
        <v>0</v>
      </c>
      <c r="E2953">
        <f>[2]TongHop!E2953</f>
        <v>0</v>
      </c>
      <c r="F2953">
        <f>[2]TongHop!F2953</f>
        <v>0</v>
      </c>
      <c r="G2953">
        <f>[2]TongHop!G2953</f>
        <v>0</v>
      </c>
      <c r="H2953">
        <f>[2]TongHop!H2953</f>
        <v>0</v>
      </c>
      <c r="I2953">
        <f>[2]TongHop!I2953</f>
        <v>0</v>
      </c>
      <c r="J2953">
        <f>[2]TongHop!J2953</f>
        <v>0</v>
      </c>
      <c r="K2953">
        <f>[2]TongHop!K2953</f>
        <v>0</v>
      </c>
      <c r="L2953">
        <f>[2]TongHop!L2953</f>
        <v>0</v>
      </c>
      <c r="M2953">
        <f>[2]TongHop!M2953</f>
        <v>0</v>
      </c>
      <c r="N2953">
        <f>[2]TongHop!N2953</f>
        <v>0</v>
      </c>
    </row>
    <row r="2954" spans="1:14">
      <c r="A2954">
        <f>[2]TongHop!A2954</f>
        <v>0</v>
      </c>
      <c r="B2954">
        <f>[2]TongHop!B2954</f>
        <v>0</v>
      </c>
      <c r="C2954">
        <f>[2]TongHop!C2954</f>
        <v>0</v>
      </c>
      <c r="D2954">
        <f>[2]TongHop!D2954</f>
        <v>0</v>
      </c>
      <c r="E2954">
        <f>[2]TongHop!E2954</f>
        <v>0</v>
      </c>
      <c r="F2954">
        <f>[2]TongHop!F2954</f>
        <v>0</v>
      </c>
      <c r="G2954">
        <f>[2]TongHop!G2954</f>
        <v>0</v>
      </c>
      <c r="H2954">
        <f>[2]TongHop!H2954</f>
        <v>0</v>
      </c>
      <c r="I2954">
        <f>[2]TongHop!I2954</f>
        <v>0</v>
      </c>
      <c r="J2954">
        <f>[2]TongHop!J2954</f>
        <v>0</v>
      </c>
      <c r="K2954">
        <f>[2]TongHop!K2954</f>
        <v>0</v>
      </c>
      <c r="L2954">
        <f>[2]TongHop!L2954</f>
        <v>0</v>
      </c>
      <c r="M2954">
        <f>[2]TongHop!M2954</f>
        <v>0</v>
      </c>
      <c r="N2954">
        <f>[2]TongHop!N2954</f>
        <v>0</v>
      </c>
    </row>
    <row r="2955" spans="1:14">
      <c r="A2955">
        <f>[2]TongHop!A2955</f>
        <v>0</v>
      </c>
      <c r="B2955">
        <f>[2]TongHop!B2955</f>
        <v>0</v>
      </c>
      <c r="C2955">
        <f>[2]TongHop!C2955</f>
        <v>0</v>
      </c>
      <c r="D2955">
        <f>[2]TongHop!D2955</f>
        <v>0</v>
      </c>
      <c r="E2955">
        <f>[2]TongHop!E2955</f>
        <v>0</v>
      </c>
      <c r="F2955">
        <f>[2]TongHop!F2955</f>
        <v>0</v>
      </c>
      <c r="G2955">
        <f>[2]TongHop!G2955</f>
        <v>0</v>
      </c>
      <c r="H2955">
        <f>[2]TongHop!H2955</f>
        <v>0</v>
      </c>
      <c r="I2955">
        <f>[2]TongHop!I2955</f>
        <v>0</v>
      </c>
      <c r="J2955">
        <f>[2]TongHop!J2955</f>
        <v>0</v>
      </c>
      <c r="K2955">
        <f>[2]TongHop!K2955</f>
        <v>0</v>
      </c>
      <c r="L2955">
        <f>[2]TongHop!L2955</f>
        <v>0</v>
      </c>
      <c r="M2955">
        <f>[2]TongHop!M2955</f>
        <v>0</v>
      </c>
      <c r="N2955">
        <f>[2]TongHop!N2955</f>
        <v>0</v>
      </c>
    </row>
    <row r="2956" spans="1:14">
      <c r="A2956">
        <f>[2]TongHop!A2956</f>
        <v>0</v>
      </c>
      <c r="B2956">
        <f>[2]TongHop!B2956</f>
        <v>0</v>
      </c>
      <c r="C2956">
        <f>[2]TongHop!C2956</f>
        <v>0</v>
      </c>
      <c r="D2956">
        <f>[2]TongHop!D2956</f>
        <v>0</v>
      </c>
      <c r="E2956">
        <f>[2]TongHop!E2956</f>
        <v>0</v>
      </c>
      <c r="F2956">
        <f>[2]TongHop!F2956</f>
        <v>0</v>
      </c>
      <c r="G2956">
        <f>[2]TongHop!G2956</f>
        <v>0</v>
      </c>
      <c r="H2956">
        <f>[2]TongHop!H2956</f>
        <v>0</v>
      </c>
      <c r="I2956">
        <f>[2]TongHop!I2956</f>
        <v>0</v>
      </c>
      <c r="J2956">
        <f>[2]TongHop!J2956</f>
        <v>0</v>
      </c>
      <c r="K2956">
        <f>[2]TongHop!K2956</f>
        <v>0</v>
      </c>
      <c r="L2956">
        <f>[2]TongHop!L2956</f>
        <v>0</v>
      </c>
      <c r="M2956">
        <f>[2]TongHop!M2956</f>
        <v>0</v>
      </c>
      <c r="N2956">
        <f>[2]TongHop!N2956</f>
        <v>0</v>
      </c>
    </row>
    <row r="2957" spans="1:14">
      <c r="A2957">
        <f>[2]TongHop!A2957</f>
        <v>0</v>
      </c>
      <c r="B2957">
        <f>[2]TongHop!B2957</f>
        <v>0</v>
      </c>
      <c r="C2957">
        <f>[2]TongHop!C2957</f>
        <v>0</v>
      </c>
      <c r="D2957">
        <f>[2]TongHop!D2957</f>
        <v>0</v>
      </c>
      <c r="E2957">
        <f>[2]TongHop!E2957</f>
        <v>0</v>
      </c>
      <c r="F2957">
        <f>[2]TongHop!F2957</f>
        <v>0</v>
      </c>
      <c r="G2957">
        <f>[2]TongHop!G2957</f>
        <v>0</v>
      </c>
      <c r="H2957">
        <f>[2]TongHop!H2957</f>
        <v>0</v>
      </c>
      <c r="I2957">
        <f>[2]TongHop!I2957</f>
        <v>0</v>
      </c>
      <c r="J2957">
        <f>[2]TongHop!J2957</f>
        <v>0</v>
      </c>
      <c r="K2957">
        <f>[2]TongHop!K2957</f>
        <v>0</v>
      </c>
      <c r="L2957">
        <f>[2]TongHop!L2957</f>
        <v>0</v>
      </c>
      <c r="M2957">
        <f>[2]TongHop!M2957</f>
        <v>0</v>
      </c>
      <c r="N2957">
        <f>[2]TongHop!N2957</f>
        <v>0</v>
      </c>
    </row>
    <row r="2958" spans="1:14">
      <c r="A2958">
        <f>[2]TongHop!A2958</f>
        <v>0</v>
      </c>
      <c r="B2958">
        <f>[2]TongHop!B2958</f>
        <v>0</v>
      </c>
      <c r="C2958">
        <f>[2]TongHop!C2958</f>
        <v>0</v>
      </c>
      <c r="D2958">
        <f>[2]TongHop!D2958</f>
        <v>0</v>
      </c>
      <c r="E2958">
        <f>[2]TongHop!E2958</f>
        <v>0</v>
      </c>
      <c r="F2958">
        <f>[2]TongHop!F2958</f>
        <v>0</v>
      </c>
      <c r="G2958">
        <f>[2]TongHop!G2958</f>
        <v>0</v>
      </c>
      <c r="H2958">
        <f>[2]TongHop!H2958</f>
        <v>0</v>
      </c>
      <c r="I2958">
        <f>[2]TongHop!I2958</f>
        <v>0</v>
      </c>
      <c r="J2958">
        <f>[2]TongHop!J2958</f>
        <v>0</v>
      </c>
      <c r="K2958">
        <f>[2]TongHop!K2958</f>
        <v>0</v>
      </c>
      <c r="L2958">
        <f>[2]TongHop!L2958</f>
        <v>0</v>
      </c>
      <c r="M2958">
        <f>[2]TongHop!M2958</f>
        <v>0</v>
      </c>
      <c r="N2958">
        <f>[2]TongHop!N2958</f>
        <v>0</v>
      </c>
    </row>
    <row r="2959" spans="1:14">
      <c r="A2959">
        <f>[2]TongHop!A2959</f>
        <v>0</v>
      </c>
      <c r="B2959">
        <f>[2]TongHop!B2959</f>
        <v>0</v>
      </c>
      <c r="C2959">
        <f>[2]TongHop!C2959</f>
        <v>0</v>
      </c>
      <c r="D2959">
        <f>[2]TongHop!D2959</f>
        <v>0</v>
      </c>
      <c r="E2959">
        <f>[2]TongHop!E2959</f>
        <v>0</v>
      </c>
      <c r="F2959">
        <f>[2]TongHop!F2959</f>
        <v>0</v>
      </c>
      <c r="G2959">
        <f>[2]TongHop!G2959</f>
        <v>0</v>
      </c>
      <c r="H2959">
        <f>[2]TongHop!H2959</f>
        <v>0</v>
      </c>
      <c r="I2959">
        <f>[2]TongHop!I2959</f>
        <v>0</v>
      </c>
      <c r="J2959">
        <f>[2]TongHop!J2959</f>
        <v>0</v>
      </c>
      <c r="K2959">
        <f>[2]TongHop!K2959</f>
        <v>0</v>
      </c>
      <c r="L2959">
        <f>[2]TongHop!L2959</f>
        <v>0</v>
      </c>
      <c r="M2959">
        <f>[2]TongHop!M2959</f>
        <v>0</v>
      </c>
      <c r="N2959">
        <f>[2]TongHop!N2959</f>
        <v>0</v>
      </c>
    </row>
    <row r="2960" spans="1:14">
      <c r="A2960">
        <f>[2]TongHop!A2960</f>
        <v>0</v>
      </c>
      <c r="B2960">
        <f>[2]TongHop!B2960</f>
        <v>0</v>
      </c>
      <c r="C2960">
        <f>[2]TongHop!C2960</f>
        <v>0</v>
      </c>
      <c r="D2960">
        <f>[2]TongHop!D2960</f>
        <v>0</v>
      </c>
      <c r="E2960">
        <f>[2]TongHop!E2960</f>
        <v>0</v>
      </c>
      <c r="F2960">
        <f>[2]TongHop!F2960</f>
        <v>0</v>
      </c>
      <c r="G2960">
        <f>[2]TongHop!G2960</f>
        <v>0</v>
      </c>
      <c r="H2960">
        <f>[2]TongHop!H2960</f>
        <v>0</v>
      </c>
      <c r="I2960">
        <f>[2]TongHop!I2960</f>
        <v>0</v>
      </c>
      <c r="J2960">
        <f>[2]TongHop!J2960</f>
        <v>0</v>
      </c>
      <c r="K2960">
        <f>[2]TongHop!K2960</f>
        <v>0</v>
      </c>
      <c r="L2960">
        <f>[2]TongHop!L2960</f>
        <v>0</v>
      </c>
      <c r="M2960">
        <f>[2]TongHop!M2960</f>
        <v>0</v>
      </c>
      <c r="N2960">
        <f>[2]TongHop!N2960</f>
        <v>0</v>
      </c>
    </row>
    <row r="2961" spans="1:14">
      <c r="A2961">
        <f>[2]TongHop!A2961</f>
        <v>0</v>
      </c>
      <c r="B2961">
        <f>[2]TongHop!B2961</f>
        <v>0</v>
      </c>
      <c r="C2961">
        <f>[2]TongHop!C2961</f>
        <v>0</v>
      </c>
      <c r="D2961">
        <f>[2]TongHop!D2961</f>
        <v>0</v>
      </c>
      <c r="E2961">
        <f>[2]TongHop!E2961</f>
        <v>0</v>
      </c>
      <c r="F2961">
        <f>[2]TongHop!F2961</f>
        <v>0</v>
      </c>
      <c r="G2961">
        <f>[2]TongHop!G2961</f>
        <v>0</v>
      </c>
      <c r="H2961">
        <f>[2]TongHop!H2961</f>
        <v>0</v>
      </c>
      <c r="I2961">
        <f>[2]TongHop!I2961</f>
        <v>0</v>
      </c>
      <c r="J2961">
        <f>[2]TongHop!J2961</f>
        <v>0</v>
      </c>
      <c r="K2961">
        <f>[2]TongHop!K2961</f>
        <v>0</v>
      </c>
      <c r="L2961">
        <f>[2]TongHop!L2961</f>
        <v>0</v>
      </c>
      <c r="M2961">
        <f>[2]TongHop!M2961</f>
        <v>0</v>
      </c>
      <c r="N2961">
        <f>[2]TongHop!N2961</f>
        <v>0</v>
      </c>
    </row>
    <row r="2962" spans="1:14">
      <c r="A2962">
        <f>[2]TongHop!A2962</f>
        <v>0</v>
      </c>
      <c r="B2962">
        <f>[2]TongHop!B2962</f>
        <v>0</v>
      </c>
      <c r="C2962">
        <f>[2]TongHop!C2962</f>
        <v>0</v>
      </c>
      <c r="D2962">
        <f>[2]TongHop!D2962</f>
        <v>0</v>
      </c>
      <c r="E2962">
        <f>[2]TongHop!E2962</f>
        <v>0</v>
      </c>
      <c r="F2962">
        <f>[2]TongHop!F2962</f>
        <v>0</v>
      </c>
      <c r="G2962">
        <f>[2]TongHop!G2962</f>
        <v>0</v>
      </c>
      <c r="H2962">
        <f>[2]TongHop!H2962</f>
        <v>0</v>
      </c>
      <c r="I2962">
        <f>[2]TongHop!I2962</f>
        <v>0</v>
      </c>
      <c r="J2962">
        <f>[2]TongHop!J2962</f>
        <v>0</v>
      </c>
      <c r="K2962">
        <f>[2]TongHop!K2962</f>
        <v>0</v>
      </c>
      <c r="L2962">
        <f>[2]TongHop!L2962</f>
        <v>0</v>
      </c>
      <c r="M2962">
        <f>[2]TongHop!M2962</f>
        <v>0</v>
      </c>
      <c r="N2962">
        <f>[2]TongHop!N2962</f>
        <v>0</v>
      </c>
    </row>
    <row r="2963" spans="1:14">
      <c r="A2963">
        <f>[2]TongHop!A2963</f>
        <v>0</v>
      </c>
      <c r="B2963">
        <f>[2]TongHop!B2963</f>
        <v>0</v>
      </c>
      <c r="C2963">
        <f>[2]TongHop!C2963</f>
        <v>0</v>
      </c>
      <c r="D2963">
        <f>[2]TongHop!D2963</f>
        <v>0</v>
      </c>
      <c r="E2963">
        <f>[2]TongHop!E2963</f>
        <v>0</v>
      </c>
      <c r="F2963">
        <f>[2]TongHop!F2963</f>
        <v>0</v>
      </c>
      <c r="G2963">
        <f>[2]TongHop!G2963</f>
        <v>0</v>
      </c>
      <c r="H2963">
        <f>[2]TongHop!H2963</f>
        <v>0</v>
      </c>
      <c r="I2963">
        <f>[2]TongHop!I2963</f>
        <v>0</v>
      </c>
      <c r="J2963">
        <f>[2]TongHop!J2963</f>
        <v>0</v>
      </c>
      <c r="K2963">
        <f>[2]TongHop!K2963</f>
        <v>0</v>
      </c>
      <c r="L2963">
        <f>[2]TongHop!L2963</f>
        <v>0</v>
      </c>
      <c r="M2963">
        <f>[2]TongHop!M2963</f>
        <v>0</v>
      </c>
      <c r="N2963">
        <f>[2]TongHop!N2963</f>
        <v>0</v>
      </c>
    </row>
    <row r="2964" spans="1:14">
      <c r="A2964">
        <f>[2]TongHop!A2964</f>
        <v>0</v>
      </c>
      <c r="B2964">
        <f>[2]TongHop!B2964</f>
        <v>0</v>
      </c>
      <c r="C2964">
        <f>[2]TongHop!C2964</f>
        <v>0</v>
      </c>
      <c r="D2964">
        <f>[2]TongHop!D2964</f>
        <v>0</v>
      </c>
      <c r="E2964">
        <f>[2]TongHop!E2964</f>
        <v>0</v>
      </c>
      <c r="F2964">
        <f>[2]TongHop!F2964</f>
        <v>0</v>
      </c>
      <c r="G2964">
        <f>[2]TongHop!G2964</f>
        <v>0</v>
      </c>
      <c r="H2964">
        <f>[2]TongHop!H2964</f>
        <v>0</v>
      </c>
      <c r="I2964">
        <f>[2]TongHop!I2964</f>
        <v>0</v>
      </c>
      <c r="J2964">
        <f>[2]TongHop!J2964</f>
        <v>0</v>
      </c>
      <c r="K2964">
        <f>[2]TongHop!K2964</f>
        <v>0</v>
      </c>
      <c r="L2964">
        <f>[2]TongHop!L2964</f>
        <v>0</v>
      </c>
      <c r="M2964">
        <f>[2]TongHop!M2964</f>
        <v>0</v>
      </c>
      <c r="N2964">
        <f>[2]TongHop!N2964</f>
        <v>0</v>
      </c>
    </row>
    <row r="2965" spans="1:14">
      <c r="A2965">
        <f>[2]TongHop!A2965</f>
        <v>0</v>
      </c>
      <c r="B2965">
        <f>[2]TongHop!B2965</f>
        <v>0</v>
      </c>
      <c r="C2965">
        <f>[2]TongHop!C2965</f>
        <v>0</v>
      </c>
      <c r="D2965">
        <f>[2]TongHop!D2965</f>
        <v>0</v>
      </c>
      <c r="E2965">
        <f>[2]TongHop!E2965</f>
        <v>0</v>
      </c>
      <c r="F2965">
        <f>[2]TongHop!F2965</f>
        <v>0</v>
      </c>
      <c r="G2965">
        <f>[2]TongHop!G2965</f>
        <v>0</v>
      </c>
      <c r="H2965">
        <f>[2]TongHop!H2965</f>
        <v>0</v>
      </c>
      <c r="I2965">
        <f>[2]TongHop!I2965</f>
        <v>0</v>
      </c>
      <c r="J2965">
        <f>[2]TongHop!J2965</f>
        <v>0</v>
      </c>
      <c r="K2965">
        <f>[2]TongHop!K2965</f>
        <v>0</v>
      </c>
      <c r="L2965">
        <f>[2]TongHop!L2965</f>
        <v>0</v>
      </c>
      <c r="M2965">
        <f>[2]TongHop!M2965</f>
        <v>0</v>
      </c>
      <c r="N2965">
        <f>[2]TongHop!N2965</f>
        <v>0</v>
      </c>
    </row>
    <row r="2966" spans="1:14">
      <c r="A2966">
        <f>[2]TongHop!A2966</f>
        <v>0</v>
      </c>
      <c r="B2966">
        <f>[2]TongHop!B2966</f>
        <v>0</v>
      </c>
      <c r="C2966">
        <f>[2]TongHop!C2966</f>
        <v>0</v>
      </c>
      <c r="D2966">
        <f>[2]TongHop!D2966</f>
        <v>0</v>
      </c>
      <c r="E2966">
        <f>[2]TongHop!E2966</f>
        <v>0</v>
      </c>
      <c r="F2966">
        <f>[2]TongHop!F2966</f>
        <v>0</v>
      </c>
      <c r="G2966">
        <f>[2]TongHop!G2966</f>
        <v>0</v>
      </c>
      <c r="H2966">
        <f>[2]TongHop!H2966</f>
        <v>0</v>
      </c>
      <c r="I2966">
        <f>[2]TongHop!I2966</f>
        <v>0</v>
      </c>
      <c r="J2966">
        <f>[2]TongHop!J2966</f>
        <v>0</v>
      </c>
      <c r="K2966">
        <f>[2]TongHop!K2966</f>
        <v>0</v>
      </c>
      <c r="L2966">
        <f>[2]TongHop!L2966</f>
        <v>0</v>
      </c>
      <c r="M2966">
        <f>[2]TongHop!M2966</f>
        <v>0</v>
      </c>
      <c r="N2966">
        <f>[2]TongHop!N2966</f>
        <v>0</v>
      </c>
    </row>
    <row r="2967" spans="1:14">
      <c r="A2967">
        <f>[2]TongHop!A2967</f>
        <v>0</v>
      </c>
      <c r="B2967">
        <f>[2]TongHop!B2967</f>
        <v>0</v>
      </c>
      <c r="C2967">
        <f>[2]TongHop!C2967</f>
        <v>0</v>
      </c>
      <c r="D2967">
        <f>[2]TongHop!D2967</f>
        <v>0</v>
      </c>
      <c r="E2967">
        <f>[2]TongHop!E2967</f>
        <v>0</v>
      </c>
      <c r="F2967">
        <f>[2]TongHop!F2967</f>
        <v>0</v>
      </c>
      <c r="G2967">
        <f>[2]TongHop!G2967</f>
        <v>0</v>
      </c>
      <c r="H2967">
        <f>[2]TongHop!H2967</f>
        <v>0</v>
      </c>
      <c r="I2967">
        <f>[2]TongHop!I2967</f>
        <v>0</v>
      </c>
      <c r="J2967">
        <f>[2]TongHop!J2967</f>
        <v>0</v>
      </c>
      <c r="K2967">
        <f>[2]TongHop!K2967</f>
        <v>0</v>
      </c>
      <c r="L2967">
        <f>[2]TongHop!L2967</f>
        <v>0</v>
      </c>
      <c r="M2967">
        <f>[2]TongHop!M2967</f>
        <v>0</v>
      </c>
      <c r="N2967">
        <f>[2]TongHop!N2967</f>
        <v>0</v>
      </c>
    </row>
    <row r="2968" spans="1:14">
      <c r="A2968">
        <f>[2]TongHop!A2968</f>
        <v>0</v>
      </c>
      <c r="B2968">
        <f>[2]TongHop!B2968</f>
        <v>0</v>
      </c>
      <c r="C2968">
        <f>[2]TongHop!C2968</f>
        <v>0</v>
      </c>
      <c r="D2968">
        <f>[2]TongHop!D2968</f>
        <v>0</v>
      </c>
      <c r="E2968">
        <f>[2]TongHop!E2968</f>
        <v>0</v>
      </c>
      <c r="F2968">
        <f>[2]TongHop!F2968</f>
        <v>0</v>
      </c>
      <c r="G2968">
        <f>[2]TongHop!G2968</f>
        <v>0</v>
      </c>
      <c r="H2968">
        <f>[2]TongHop!H2968</f>
        <v>0</v>
      </c>
      <c r="I2968">
        <f>[2]TongHop!I2968</f>
        <v>0</v>
      </c>
      <c r="J2968">
        <f>[2]TongHop!J2968</f>
        <v>0</v>
      </c>
      <c r="K2968">
        <f>[2]TongHop!K2968</f>
        <v>0</v>
      </c>
      <c r="L2968">
        <f>[2]TongHop!L2968</f>
        <v>0</v>
      </c>
      <c r="M2968">
        <f>[2]TongHop!M2968</f>
        <v>0</v>
      </c>
      <c r="N2968">
        <f>[2]TongHop!N2968</f>
        <v>0</v>
      </c>
    </row>
    <row r="2969" spans="1:14">
      <c r="A2969">
        <f>[2]TongHop!A2969</f>
        <v>0</v>
      </c>
      <c r="B2969">
        <f>[2]TongHop!B2969</f>
        <v>0</v>
      </c>
      <c r="C2969">
        <f>[2]TongHop!C2969</f>
        <v>0</v>
      </c>
      <c r="D2969">
        <f>[2]TongHop!D2969</f>
        <v>0</v>
      </c>
      <c r="E2969">
        <f>[2]TongHop!E2969</f>
        <v>0</v>
      </c>
      <c r="F2969">
        <f>[2]TongHop!F2969</f>
        <v>0</v>
      </c>
      <c r="G2969">
        <f>[2]TongHop!G2969</f>
        <v>0</v>
      </c>
      <c r="H2969">
        <f>[2]TongHop!H2969</f>
        <v>0</v>
      </c>
      <c r="I2969">
        <f>[2]TongHop!I2969</f>
        <v>0</v>
      </c>
      <c r="J2969">
        <f>[2]TongHop!J2969</f>
        <v>0</v>
      </c>
      <c r="K2969">
        <f>[2]TongHop!K2969</f>
        <v>0</v>
      </c>
      <c r="L2969">
        <f>[2]TongHop!L2969</f>
        <v>0</v>
      </c>
      <c r="M2969">
        <f>[2]TongHop!M2969</f>
        <v>0</v>
      </c>
      <c r="N2969">
        <f>[2]TongHop!N2969</f>
        <v>0</v>
      </c>
    </row>
    <row r="2970" spans="1:14">
      <c r="A2970">
        <f>[2]TongHop!A2970</f>
        <v>0</v>
      </c>
      <c r="B2970">
        <f>[2]TongHop!B2970</f>
        <v>0</v>
      </c>
      <c r="C2970">
        <f>[2]TongHop!C2970</f>
        <v>0</v>
      </c>
      <c r="D2970">
        <f>[2]TongHop!D2970</f>
        <v>0</v>
      </c>
      <c r="E2970">
        <f>[2]TongHop!E2970</f>
        <v>0</v>
      </c>
      <c r="F2970">
        <f>[2]TongHop!F2970</f>
        <v>0</v>
      </c>
      <c r="G2970">
        <f>[2]TongHop!G2970</f>
        <v>0</v>
      </c>
      <c r="H2970">
        <f>[2]TongHop!H2970</f>
        <v>0</v>
      </c>
      <c r="I2970">
        <f>[2]TongHop!I2970</f>
        <v>0</v>
      </c>
      <c r="J2970">
        <f>[2]TongHop!J2970</f>
        <v>0</v>
      </c>
      <c r="K2970">
        <f>[2]TongHop!K2970</f>
        <v>0</v>
      </c>
      <c r="L2970">
        <f>[2]TongHop!L2970</f>
        <v>0</v>
      </c>
      <c r="M2970">
        <f>[2]TongHop!M2970</f>
        <v>0</v>
      </c>
      <c r="N2970">
        <f>[2]TongHop!N2970</f>
        <v>0</v>
      </c>
    </row>
    <row r="2971" spans="1:14">
      <c r="A2971">
        <f>[2]TongHop!A2971</f>
        <v>0</v>
      </c>
      <c r="B2971">
        <f>[2]TongHop!B2971</f>
        <v>0</v>
      </c>
      <c r="C2971">
        <f>[2]TongHop!C2971</f>
        <v>0</v>
      </c>
      <c r="D2971">
        <f>[2]TongHop!D2971</f>
        <v>0</v>
      </c>
      <c r="E2971">
        <f>[2]TongHop!E2971</f>
        <v>0</v>
      </c>
      <c r="F2971">
        <f>[2]TongHop!F2971</f>
        <v>0</v>
      </c>
      <c r="G2971">
        <f>[2]TongHop!G2971</f>
        <v>0</v>
      </c>
      <c r="H2971">
        <f>[2]TongHop!H2971</f>
        <v>0</v>
      </c>
      <c r="I2971">
        <f>[2]TongHop!I2971</f>
        <v>0</v>
      </c>
      <c r="J2971">
        <f>[2]TongHop!J2971</f>
        <v>0</v>
      </c>
      <c r="K2971">
        <f>[2]TongHop!K2971</f>
        <v>0</v>
      </c>
      <c r="L2971">
        <f>[2]TongHop!L2971</f>
        <v>0</v>
      </c>
      <c r="M2971">
        <f>[2]TongHop!M2971</f>
        <v>0</v>
      </c>
      <c r="N2971">
        <f>[2]TongHop!N2971</f>
        <v>0</v>
      </c>
    </row>
    <row r="2972" spans="1:14">
      <c r="A2972">
        <f>[2]TongHop!A2972</f>
        <v>0</v>
      </c>
      <c r="B2972">
        <f>[2]TongHop!B2972</f>
        <v>0</v>
      </c>
      <c r="C2972">
        <f>[2]TongHop!C2972</f>
        <v>0</v>
      </c>
      <c r="D2972">
        <f>[2]TongHop!D2972</f>
        <v>0</v>
      </c>
      <c r="E2972">
        <f>[2]TongHop!E2972</f>
        <v>0</v>
      </c>
      <c r="F2972">
        <f>[2]TongHop!F2972</f>
        <v>0</v>
      </c>
      <c r="G2972">
        <f>[2]TongHop!G2972</f>
        <v>0</v>
      </c>
      <c r="H2972">
        <f>[2]TongHop!H2972</f>
        <v>0</v>
      </c>
      <c r="I2972">
        <f>[2]TongHop!I2972</f>
        <v>0</v>
      </c>
      <c r="J2972">
        <f>[2]TongHop!J2972</f>
        <v>0</v>
      </c>
      <c r="K2972">
        <f>[2]TongHop!K2972</f>
        <v>0</v>
      </c>
      <c r="L2972">
        <f>[2]TongHop!L2972</f>
        <v>0</v>
      </c>
      <c r="M2972">
        <f>[2]TongHop!M2972</f>
        <v>0</v>
      </c>
      <c r="N2972">
        <f>[2]TongHop!N2972</f>
        <v>0</v>
      </c>
    </row>
    <row r="2973" spans="1:14">
      <c r="A2973">
        <f>[2]TongHop!A2973</f>
        <v>0</v>
      </c>
      <c r="B2973">
        <f>[2]TongHop!B2973</f>
        <v>0</v>
      </c>
      <c r="C2973">
        <f>[2]TongHop!C2973</f>
        <v>0</v>
      </c>
      <c r="D2973">
        <f>[2]TongHop!D2973</f>
        <v>0</v>
      </c>
      <c r="E2973">
        <f>[2]TongHop!E2973</f>
        <v>0</v>
      </c>
      <c r="F2973">
        <f>[2]TongHop!F2973</f>
        <v>0</v>
      </c>
      <c r="G2973">
        <f>[2]TongHop!G2973</f>
        <v>0</v>
      </c>
      <c r="H2973">
        <f>[2]TongHop!H2973</f>
        <v>0</v>
      </c>
      <c r="I2973">
        <f>[2]TongHop!I2973</f>
        <v>0</v>
      </c>
      <c r="J2973">
        <f>[2]TongHop!J2973</f>
        <v>0</v>
      </c>
      <c r="K2973">
        <f>[2]TongHop!K2973</f>
        <v>0</v>
      </c>
      <c r="L2973">
        <f>[2]TongHop!L2973</f>
        <v>0</v>
      </c>
      <c r="M2973">
        <f>[2]TongHop!M2973</f>
        <v>0</v>
      </c>
      <c r="N2973">
        <f>[2]TongHop!N2973</f>
        <v>0</v>
      </c>
    </row>
    <row r="2974" spans="1:14">
      <c r="A2974">
        <f>[2]TongHop!A2974</f>
        <v>0</v>
      </c>
      <c r="B2974">
        <f>[2]TongHop!B2974</f>
        <v>0</v>
      </c>
      <c r="C2974">
        <f>[2]TongHop!C2974</f>
        <v>0</v>
      </c>
      <c r="D2974">
        <f>[2]TongHop!D2974</f>
        <v>0</v>
      </c>
      <c r="E2974">
        <f>[2]TongHop!E2974</f>
        <v>0</v>
      </c>
      <c r="F2974">
        <f>[2]TongHop!F2974</f>
        <v>0</v>
      </c>
      <c r="G2974">
        <f>[2]TongHop!G2974</f>
        <v>0</v>
      </c>
      <c r="H2974">
        <f>[2]TongHop!H2974</f>
        <v>0</v>
      </c>
      <c r="I2974">
        <f>[2]TongHop!I2974</f>
        <v>0</v>
      </c>
      <c r="J2974">
        <f>[2]TongHop!J2974</f>
        <v>0</v>
      </c>
      <c r="K2974">
        <f>[2]TongHop!K2974</f>
        <v>0</v>
      </c>
      <c r="L2974">
        <f>[2]TongHop!L2974</f>
        <v>0</v>
      </c>
      <c r="M2974">
        <f>[2]TongHop!M2974</f>
        <v>0</v>
      </c>
      <c r="N2974">
        <f>[2]TongHop!N2974</f>
        <v>0</v>
      </c>
    </row>
    <row r="2975" spans="1:14">
      <c r="A2975">
        <f>[2]TongHop!A2975</f>
        <v>0</v>
      </c>
      <c r="B2975">
        <f>[2]TongHop!B2975</f>
        <v>0</v>
      </c>
      <c r="C2975">
        <f>[2]TongHop!C2975</f>
        <v>0</v>
      </c>
      <c r="D2975">
        <f>[2]TongHop!D2975</f>
        <v>0</v>
      </c>
      <c r="E2975">
        <f>[2]TongHop!E2975</f>
        <v>0</v>
      </c>
      <c r="F2975">
        <f>[2]TongHop!F2975</f>
        <v>0</v>
      </c>
      <c r="G2975">
        <f>[2]TongHop!G2975</f>
        <v>0</v>
      </c>
      <c r="H2975">
        <f>[2]TongHop!H2975</f>
        <v>0</v>
      </c>
      <c r="I2975">
        <f>[2]TongHop!I2975</f>
        <v>0</v>
      </c>
      <c r="J2975">
        <f>[2]TongHop!J2975</f>
        <v>0</v>
      </c>
      <c r="K2975">
        <f>[2]TongHop!K2975</f>
        <v>0</v>
      </c>
      <c r="L2975">
        <f>[2]TongHop!L2975</f>
        <v>0</v>
      </c>
      <c r="M2975">
        <f>[2]TongHop!M2975</f>
        <v>0</v>
      </c>
      <c r="N2975">
        <f>[2]TongHop!N2975</f>
        <v>0</v>
      </c>
    </row>
    <row r="2976" spans="1:14">
      <c r="A2976">
        <f>[2]TongHop!A2976</f>
        <v>0</v>
      </c>
      <c r="B2976">
        <f>[2]TongHop!B2976</f>
        <v>0</v>
      </c>
      <c r="C2976">
        <f>[2]TongHop!C2976</f>
        <v>0</v>
      </c>
      <c r="D2976">
        <f>[2]TongHop!D2976</f>
        <v>0</v>
      </c>
      <c r="E2976">
        <f>[2]TongHop!E2976</f>
        <v>0</v>
      </c>
      <c r="F2976">
        <f>[2]TongHop!F2976</f>
        <v>0</v>
      </c>
      <c r="G2976">
        <f>[2]TongHop!G2976</f>
        <v>0</v>
      </c>
      <c r="H2976">
        <f>[2]TongHop!H2976</f>
        <v>0</v>
      </c>
      <c r="I2976">
        <f>[2]TongHop!I2976</f>
        <v>0</v>
      </c>
      <c r="J2976">
        <f>[2]TongHop!J2976</f>
        <v>0</v>
      </c>
      <c r="K2976">
        <f>[2]TongHop!K2976</f>
        <v>0</v>
      </c>
      <c r="L2976">
        <f>[2]TongHop!L2976</f>
        <v>0</v>
      </c>
      <c r="M2976">
        <f>[2]TongHop!M2976</f>
        <v>0</v>
      </c>
      <c r="N2976">
        <f>[2]TongHop!N2976</f>
        <v>0</v>
      </c>
    </row>
    <row r="2977" spans="1:14">
      <c r="A2977">
        <f>[2]TongHop!A2977</f>
        <v>0</v>
      </c>
      <c r="B2977">
        <f>[2]TongHop!B2977</f>
        <v>0</v>
      </c>
      <c r="C2977">
        <f>[2]TongHop!C2977</f>
        <v>0</v>
      </c>
      <c r="D2977">
        <f>[2]TongHop!D2977</f>
        <v>0</v>
      </c>
      <c r="E2977">
        <f>[2]TongHop!E2977</f>
        <v>0</v>
      </c>
      <c r="F2977">
        <f>[2]TongHop!F2977</f>
        <v>0</v>
      </c>
      <c r="G2977">
        <f>[2]TongHop!G2977</f>
        <v>0</v>
      </c>
      <c r="H2977">
        <f>[2]TongHop!H2977</f>
        <v>0</v>
      </c>
      <c r="I2977">
        <f>[2]TongHop!I2977</f>
        <v>0</v>
      </c>
      <c r="J2977">
        <f>[2]TongHop!J2977</f>
        <v>0</v>
      </c>
      <c r="K2977">
        <f>[2]TongHop!K2977</f>
        <v>0</v>
      </c>
      <c r="L2977">
        <f>[2]TongHop!L2977</f>
        <v>0</v>
      </c>
      <c r="M2977">
        <f>[2]TongHop!M2977</f>
        <v>0</v>
      </c>
      <c r="N2977">
        <f>[2]TongHop!N2977</f>
        <v>0</v>
      </c>
    </row>
    <row r="2978" spans="1:14">
      <c r="A2978">
        <f>[2]TongHop!A2978</f>
        <v>0</v>
      </c>
      <c r="B2978">
        <f>[2]TongHop!B2978</f>
        <v>0</v>
      </c>
      <c r="C2978">
        <f>[2]TongHop!C2978</f>
        <v>0</v>
      </c>
      <c r="D2978">
        <f>[2]TongHop!D2978</f>
        <v>0</v>
      </c>
      <c r="E2978">
        <f>[2]TongHop!E2978</f>
        <v>0</v>
      </c>
      <c r="F2978">
        <f>[2]TongHop!F2978</f>
        <v>0</v>
      </c>
      <c r="G2978">
        <f>[2]TongHop!G2978</f>
        <v>0</v>
      </c>
      <c r="H2978">
        <f>[2]TongHop!H2978</f>
        <v>0</v>
      </c>
      <c r="I2978">
        <f>[2]TongHop!I2978</f>
        <v>0</v>
      </c>
      <c r="J2978">
        <f>[2]TongHop!J2978</f>
        <v>0</v>
      </c>
      <c r="K2978">
        <f>[2]TongHop!K2978</f>
        <v>0</v>
      </c>
      <c r="L2978">
        <f>[2]TongHop!L2978</f>
        <v>0</v>
      </c>
      <c r="M2978">
        <f>[2]TongHop!M2978</f>
        <v>0</v>
      </c>
      <c r="N2978">
        <f>[2]TongHop!N2978</f>
        <v>0</v>
      </c>
    </row>
    <row r="2979" spans="1:14">
      <c r="A2979">
        <f>[2]TongHop!A2979</f>
        <v>0</v>
      </c>
      <c r="B2979">
        <f>[2]TongHop!B2979</f>
        <v>0</v>
      </c>
      <c r="C2979">
        <f>[2]TongHop!C2979</f>
        <v>0</v>
      </c>
      <c r="D2979">
        <f>[2]TongHop!D2979</f>
        <v>0</v>
      </c>
      <c r="E2979">
        <f>[2]TongHop!E2979</f>
        <v>0</v>
      </c>
      <c r="F2979">
        <f>[2]TongHop!F2979</f>
        <v>0</v>
      </c>
      <c r="G2979">
        <f>[2]TongHop!G2979</f>
        <v>0</v>
      </c>
      <c r="H2979">
        <f>[2]TongHop!H2979</f>
        <v>0</v>
      </c>
      <c r="I2979">
        <f>[2]TongHop!I2979</f>
        <v>0</v>
      </c>
      <c r="J2979">
        <f>[2]TongHop!J2979</f>
        <v>0</v>
      </c>
      <c r="K2979">
        <f>[2]TongHop!K2979</f>
        <v>0</v>
      </c>
      <c r="L2979">
        <f>[2]TongHop!L2979</f>
        <v>0</v>
      </c>
      <c r="M2979">
        <f>[2]TongHop!M2979</f>
        <v>0</v>
      </c>
      <c r="N2979">
        <f>[2]TongHop!N2979</f>
        <v>0</v>
      </c>
    </row>
    <row r="2980" spans="1:14">
      <c r="A2980">
        <f>[2]TongHop!A2980</f>
        <v>0</v>
      </c>
      <c r="B2980">
        <f>[2]TongHop!B2980</f>
        <v>0</v>
      </c>
      <c r="C2980">
        <f>[2]TongHop!C2980</f>
        <v>0</v>
      </c>
      <c r="D2980">
        <f>[2]TongHop!D2980</f>
        <v>0</v>
      </c>
      <c r="E2980">
        <f>[2]TongHop!E2980</f>
        <v>0</v>
      </c>
      <c r="F2980">
        <f>[2]TongHop!F2980</f>
        <v>0</v>
      </c>
      <c r="G2980">
        <f>[2]TongHop!G2980</f>
        <v>0</v>
      </c>
      <c r="H2980">
        <f>[2]TongHop!H2980</f>
        <v>0</v>
      </c>
      <c r="I2980">
        <f>[2]TongHop!I2980</f>
        <v>0</v>
      </c>
      <c r="J2980">
        <f>[2]TongHop!J2980</f>
        <v>0</v>
      </c>
      <c r="K2980">
        <f>[2]TongHop!K2980</f>
        <v>0</v>
      </c>
      <c r="L2980">
        <f>[2]TongHop!L2980</f>
        <v>0</v>
      </c>
      <c r="M2980">
        <f>[2]TongHop!M2980</f>
        <v>0</v>
      </c>
      <c r="N2980">
        <f>[2]TongHop!N2980</f>
        <v>0</v>
      </c>
    </row>
    <row r="2981" spans="1:14">
      <c r="A2981">
        <f>[2]TongHop!A2981</f>
        <v>0</v>
      </c>
      <c r="B2981">
        <f>[2]TongHop!B2981</f>
        <v>0</v>
      </c>
      <c r="C2981">
        <f>[2]TongHop!C2981</f>
        <v>0</v>
      </c>
      <c r="D2981">
        <f>[2]TongHop!D2981</f>
        <v>0</v>
      </c>
      <c r="E2981">
        <f>[2]TongHop!E2981</f>
        <v>0</v>
      </c>
      <c r="F2981">
        <f>[2]TongHop!F2981</f>
        <v>0</v>
      </c>
      <c r="G2981">
        <f>[2]TongHop!G2981</f>
        <v>0</v>
      </c>
      <c r="H2981">
        <f>[2]TongHop!H2981</f>
        <v>0</v>
      </c>
      <c r="I2981">
        <f>[2]TongHop!I2981</f>
        <v>0</v>
      </c>
      <c r="J2981">
        <f>[2]TongHop!J2981</f>
        <v>0</v>
      </c>
      <c r="K2981">
        <f>[2]TongHop!K2981</f>
        <v>0</v>
      </c>
      <c r="L2981">
        <f>[2]TongHop!L2981</f>
        <v>0</v>
      </c>
      <c r="M2981">
        <f>[2]TongHop!M2981</f>
        <v>0</v>
      </c>
      <c r="N2981">
        <f>[2]TongHop!N2981</f>
        <v>0</v>
      </c>
    </row>
    <row r="2982" spans="1:14">
      <c r="A2982">
        <f>[2]TongHop!A2982</f>
        <v>0</v>
      </c>
      <c r="B2982">
        <f>[2]TongHop!B2982</f>
        <v>0</v>
      </c>
      <c r="C2982">
        <f>[2]TongHop!C2982</f>
        <v>0</v>
      </c>
      <c r="D2982">
        <f>[2]TongHop!D2982</f>
        <v>0</v>
      </c>
      <c r="E2982">
        <f>[2]TongHop!E2982</f>
        <v>0</v>
      </c>
      <c r="F2982">
        <f>[2]TongHop!F2982</f>
        <v>0</v>
      </c>
      <c r="G2982">
        <f>[2]TongHop!G2982</f>
        <v>0</v>
      </c>
      <c r="H2982">
        <f>[2]TongHop!H2982</f>
        <v>0</v>
      </c>
      <c r="I2982">
        <f>[2]TongHop!I2982</f>
        <v>0</v>
      </c>
      <c r="J2982">
        <f>[2]TongHop!J2982</f>
        <v>0</v>
      </c>
      <c r="K2982">
        <f>[2]TongHop!K2982</f>
        <v>0</v>
      </c>
      <c r="L2982">
        <f>[2]TongHop!L2982</f>
        <v>0</v>
      </c>
      <c r="M2982">
        <f>[2]TongHop!M2982</f>
        <v>0</v>
      </c>
      <c r="N2982">
        <f>[2]TongHop!N2982</f>
        <v>0</v>
      </c>
    </row>
    <row r="2983" spans="1:14">
      <c r="A2983">
        <f>[2]TongHop!A2983</f>
        <v>0</v>
      </c>
      <c r="B2983">
        <f>[2]TongHop!B2983</f>
        <v>0</v>
      </c>
      <c r="C2983">
        <f>[2]TongHop!C2983</f>
        <v>0</v>
      </c>
      <c r="D2983">
        <f>[2]TongHop!D2983</f>
        <v>0</v>
      </c>
      <c r="E2983">
        <f>[2]TongHop!E2983</f>
        <v>0</v>
      </c>
      <c r="F2983">
        <f>[2]TongHop!F2983</f>
        <v>0</v>
      </c>
      <c r="G2983">
        <f>[2]TongHop!G2983</f>
        <v>0</v>
      </c>
      <c r="H2983">
        <f>[2]TongHop!H2983</f>
        <v>0</v>
      </c>
      <c r="I2983">
        <f>[2]TongHop!I2983</f>
        <v>0</v>
      </c>
      <c r="J2983">
        <f>[2]TongHop!J2983</f>
        <v>0</v>
      </c>
      <c r="K2983">
        <f>[2]TongHop!K2983</f>
        <v>0</v>
      </c>
      <c r="L2983">
        <f>[2]TongHop!L2983</f>
        <v>0</v>
      </c>
      <c r="M2983">
        <f>[2]TongHop!M2983</f>
        <v>0</v>
      </c>
      <c r="N2983">
        <f>[2]TongHop!N2983</f>
        <v>0</v>
      </c>
    </row>
    <row r="2984" spans="1:14">
      <c r="A2984">
        <f>[2]TongHop!A2984</f>
        <v>0</v>
      </c>
      <c r="B2984">
        <f>[2]TongHop!B2984</f>
        <v>0</v>
      </c>
      <c r="C2984">
        <f>[2]TongHop!C2984</f>
        <v>0</v>
      </c>
      <c r="D2984">
        <f>[2]TongHop!D2984</f>
        <v>0</v>
      </c>
      <c r="E2984">
        <f>[2]TongHop!E2984</f>
        <v>0</v>
      </c>
      <c r="F2984">
        <f>[2]TongHop!F2984</f>
        <v>0</v>
      </c>
      <c r="G2984">
        <f>[2]TongHop!G2984</f>
        <v>0</v>
      </c>
      <c r="H2984">
        <f>[2]TongHop!H2984</f>
        <v>0</v>
      </c>
      <c r="I2984">
        <f>[2]TongHop!I2984</f>
        <v>0</v>
      </c>
      <c r="J2984">
        <f>[2]TongHop!J2984</f>
        <v>0</v>
      </c>
      <c r="K2984">
        <f>[2]TongHop!K2984</f>
        <v>0</v>
      </c>
      <c r="L2984">
        <f>[2]TongHop!L2984</f>
        <v>0</v>
      </c>
      <c r="M2984">
        <f>[2]TongHop!M2984</f>
        <v>0</v>
      </c>
      <c r="N2984">
        <f>[2]TongHop!N2984</f>
        <v>0</v>
      </c>
    </row>
    <row r="2985" spans="1:14">
      <c r="A2985">
        <f>[2]TongHop!A2985</f>
        <v>0</v>
      </c>
      <c r="B2985">
        <f>[2]TongHop!B2985</f>
        <v>0</v>
      </c>
      <c r="C2985">
        <f>[2]TongHop!C2985</f>
        <v>0</v>
      </c>
      <c r="D2985">
        <f>[2]TongHop!D2985</f>
        <v>0</v>
      </c>
      <c r="E2985">
        <f>[2]TongHop!E2985</f>
        <v>0</v>
      </c>
      <c r="F2985">
        <f>[2]TongHop!F2985</f>
        <v>0</v>
      </c>
      <c r="G2985">
        <f>[2]TongHop!G2985</f>
        <v>0</v>
      </c>
      <c r="H2985">
        <f>[2]TongHop!H2985</f>
        <v>0</v>
      </c>
      <c r="I2985">
        <f>[2]TongHop!I2985</f>
        <v>0</v>
      </c>
      <c r="J2985">
        <f>[2]TongHop!J2985</f>
        <v>0</v>
      </c>
      <c r="K2985">
        <f>[2]TongHop!K2985</f>
        <v>0</v>
      </c>
      <c r="L2985">
        <f>[2]TongHop!L2985</f>
        <v>0</v>
      </c>
      <c r="M2985">
        <f>[2]TongHop!M2985</f>
        <v>0</v>
      </c>
      <c r="N2985">
        <f>[2]TongHop!N2985</f>
        <v>0</v>
      </c>
    </row>
    <row r="2986" spans="1:14">
      <c r="A2986">
        <f>[2]TongHop!A2986</f>
        <v>0</v>
      </c>
      <c r="B2986">
        <f>[2]TongHop!B2986</f>
        <v>0</v>
      </c>
      <c r="C2986">
        <f>[2]TongHop!C2986</f>
        <v>0</v>
      </c>
      <c r="D2986">
        <f>[2]TongHop!D2986</f>
        <v>0</v>
      </c>
      <c r="E2986">
        <f>[2]TongHop!E2986</f>
        <v>0</v>
      </c>
      <c r="F2986">
        <f>[2]TongHop!F2986</f>
        <v>0</v>
      </c>
      <c r="G2986">
        <f>[2]TongHop!G2986</f>
        <v>0</v>
      </c>
      <c r="H2986">
        <f>[2]TongHop!H2986</f>
        <v>0</v>
      </c>
      <c r="I2986">
        <f>[2]TongHop!I2986</f>
        <v>0</v>
      </c>
      <c r="J2986">
        <f>[2]TongHop!J2986</f>
        <v>0</v>
      </c>
      <c r="K2986">
        <f>[2]TongHop!K2986</f>
        <v>0</v>
      </c>
      <c r="L2986">
        <f>[2]TongHop!L2986</f>
        <v>0</v>
      </c>
      <c r="M2986">
        <f>[2]TongHop!M2986</f>
        <v>0</v>
      </c>
      <c r="N2986">
        <f>[2]TongHop!N2986</f>
        <v>0</v>
      </c>
    </row>
    <row r="2987" spans="1:14">
      <c r="A2987">
        <f>[2]TongHop!A2987</f>
        <v>0</v>
      </c>
      <c r="B2987">
        <f>[2]TongHop!B2987</f>
        <v>0</v>
      </c>
      <c r="C2987">
        <f>[2]TongHop!C2987</f>
        <v>0</v>
      </c>
      <c r="D2987">
        <f>[2]TongHop!D2987</f>
        <v>0</v>
      </c>
      <c r="E2987">
        <f>[2]TongHop!E2987</f>
        <v>0</v>
      </c>
      <c r="F2987">
        <f>[2]TongHop!F2987</f>
        <v>0</v>
      </c>
      <c r="G2987">
        <f>[2]TongHop!G2987</f>
        <v>0</v>
      </c>
      <c r="H2987">
        <f>[2]TongHop!H2987</f>
        <v>0</v>
      </c>
      <c r="I2987">
        <f>[2]TongHop!I2987</f>
        <v>0</v>
      </c>
      <c r="J2987">
        <f>[2]TongHop!J2987</f>
        <v>0</v>
      </c>
      <c r="K2987">
        <f>[2]TongHop!K2987</f>
        <v>0</v>
      </c>
      <c r="L2987">
        <f>[2]TongHop!L2987</f>
        <v>0</v>
      </c>
      <c r="M2987">
        <f>[2]TongHop!M2987</f>
        <v>0</v>
      </c>
      <c r="N2987">
        <f>[2]TongHop!N2987</f>
        <v>0</v>
      </c>
    </row>
    <row r="2988" spans="1:14">
      <c r="A2988">
        <f>[2]TongHop!A2988</f>
        <v>0</v>
      </c>
      <c r="B2988">
        <f>[2]TongHop!B2988</f>
        <v>0</v>
      </c>
      <c r="C2988">
        <f>[2]TongHop!C2988</f>
        <v>0</v>
      </c>
      <c r="D2988">
        <f>[2]TongHop!D2988</f>
        <v>0</v>
      </c>
      <c r="E2988">
        <f>[2]TongHop!E2988</f>
        <v>0</v>
      </c>
      <c r="F2988">
        <f>[2]TongHop!F2988</f>
        <v>0</v>
      </c>
      <c r="G2988">
        <f>[2]TongHop!G2988</f>
        <v>0</v>
      </c>
      <c r="H2988">
        <f>[2]TongHop!H2988</f>
        <v>0</v>
      </c>
      <c r="I2988">
        <f>[2]TongHop!I2988</f>
        <v>0</v>
      </c>
      <c r="J2988">
        <f>[2]TongHop!J2988</f>
        <v>0</v>
      </c>
      <c r="K2988">
        <f>[2]TongHop!K2988</f>
        <v>0</v>
      </c>
      <c r="L2988">
        <f>[2]TongHop!L2988</f>
        <v>0</v>
      </c>
      <c r="M2988">
        <f>[2]TongHop!M2988</f>
        <v>0</v>
      </c>
      <c r="N2988">
        <f>[2]TongHop!N2988</f>
        <v>0</v>
      </c>
    </row>
    <row r="2989" spans="1:14">
      <c r="A2989">
        <f>[2]TongHop!A2989</f>
        <v>0</v>
      </c>
      <c r="B2989">
        <f>[2]TongHop!B2989</f>
        <v>0</v>
      </c>
      <c r="C2989">
        <f>[2]TongHop!C2989</f>
        <v>0</v>
      </c>
      <c r="D2989">
        <f>[2]TongHop!D2989</f>
        <v>0</v>
      </c>
      <c r="E2989">
        <f>[2]TongHop!E2989</f>
        <v>0</v>
      </c>
      <c r="F2989">
        <f>[2]TongHop!F2989</f>
        <v>0</v>
      </c>
      <c r="G2989">
        <f>[2]TongHop!G2989</f>
        <v>0</v>
      </c>
      <c r="H2989">
        <f>[2]TongHop!H2989</f>
        <v>0</v>
      </c>
      <c r="I2989">
        <f>[2]TongHop!I2989</f>
        <v>0</v>
      </c>
      <c r="J2989">
        <f>[2]TongHop!J2989</f>
        <v>0</v>
      </c>
      <c r="K2989">
        <f>[2]TongHop!K2989</f>
        <v>0</v>
      </c>
      <c r="L2989">
        <f>[2]TongHop!L2989</f>
        <v>0</v>
      </c>
      <c r="M2989">
        <f>[2]TongHop!M2989</f>
        <v>0</v>
      </c>
      <c r="N2989">
        <f>[2]TongHop!N2989</f>
        <v>0</v>
      </c>
    </row>
    <row r="2990" spans="1:14">
      <c r="A2990">
        <f>[2]TongHop!A2990</f>
        <v>0</v>
      </c>
      <c r="B2990">
        <f>[2]TongHop!B2990</f>
        <v>0</v>
      </c>
      <c r="C2990">
        <f>[2]TongHop!C2990</f>
        <v>0</v>
      </c>
      <c r="D2990">
        <f>[2]TongHop!D2990</f>
        <v>0</v>
      </c>
      <c r="E2990">
        <f>[2]TongHop!E2990</f>
        <v>0</v>
      </c>
      <c r="F2990">
        <f>[2]TongHop!F2990</f>
        <v>0</v>
      </c>
      <c r="G2990">
        <f>[2]TongHop!G2990</f>
        <v>0</v>
      </c>
      <c r="H2990">
        <f>[2]TongHop!H2990</f>
        <v>0</v>
      </c>
      <c r="I2990">
        <f>[2]TongHop!I2990</f>
        <v>0</v>
      </c>
      <c r="J2990">
        <f>[2]TongHop!J2990</f>
        <v>0</v>
      </c>
      <c r="K2990">
        <f>[2]TongHop!K2990</f>
        <v>0</v>
      </c>
      <c r="L2990">
        <f>[2]TongHop!L2990</f>
        <v>0</v>
      </c>
      <c r="M2990">
        <f>[2]TongHop!M2990</f>
        <v>0</v>
      </c>
      <c r="N2990">
        <f>[2]TongHop!N2990</f>
        <v>0</v>
      </c>
    </row>
    <row r="2991" spans="1:14">
      <c r="A2991">
        <f>[2]TongHop!A2991</f>
        <v>0</v>
      </c>
      <c r="B2991">
        <f>[2]TongHop!B2991</f>
        <v>0</v>
      </c>
      <c r="C2991">
        <f>[2]TongHop!C2991</f>
        <v>0</v>
      </c>
      <c r="D2991">
        <f>[2]TongHop!D2991</f>
        <v>0</v>
      </c>
      <c r="E2991">
        <f>[2]TongHop!E2991</f>
        <v>0</v>
      </c>
      <c r="F2991">
        <f>[2]TongHop!F2991</f>
        <v>0</v>
      </c>
      <c r="G2991">
        <f>[2]TongHop!G2991</f>
        <v>0</v>
      </c>
      <c r="H2991">
        <f>[2]TongHop!H2991</f>
        <v>0</v>
      </c>
      <c r="I2991">
        <f>[2]TongHop!I2991</f>
        <v>0</v>
      </c>
      <c r="J2991">
        <f>[2]TongHop!J2991</f>
        <v>0</v>
      </c>
      <c r="K2991">
        <f>[2]TongHop!K2991</f>
        <v>0</v>
      </c>
      <c r="L2991">
        <f>[2]TongHop!L2991</f>
        <v>0</v>
      </c>
      <c r="M2991">
        <f>[2]TongHop!M2991</f>
        <v>0</v>
      </c>
      <c r="N2991">
        <f>[2]TongHop!N2991</f>
        <v>0</v>
      </c>
    </row>
    <row r="2992" spans="1:14">
      <c r="A2992">
        <f>[2]TongHop!A2992</f>
        <v>0</v>
      </c>
      <c r="B2992">
        <f>[2]TongHop!B2992</f>
        <v>0</v>
      </c>
      <c r="C2992">
        <f>[2]TongHop!C2992</f>
        <v>0</v>
      </c>
      <c r="D2992">
        <f>[2]TongHop!D2992</f>
        <v>0</v>
      </c>
      <c r="E2992">
        <f>[2]TongHop!E2992</f>
        <v>0</v>
      </c>
      <c r="F2992">
        <f>[2]TongHop!F2992</f>
        <v>0</v>
      </c>
      <c r="G2992">
        <f>[2]TongHop!G2992</f>
        <v>0</v>
      </c>
      <c r="H2992">
        <f>[2]TongHop!H2992</f>
        <v>0</v>
      </c>
      <c r="I2992">
        <f>[2]TongHop!I2992</f>
        <v>0</v>
      </c>
      <c r="J2992">
        <f>[2]TongHop!J2992</f>
        <v>0</v>
      </c>
      <c r="K2992">
        <f>[2]TongHop!K2992</f>
        <v>0</v>
      </c>
      <c r="L2992">
        <f>[2]TongHop!L2992</f>
        <v>0</v>
      </c>
      <c r="M2992">
        <f>[2]TongHop!M2992</f>
        <v>0</v>
      </c>
      <c r="N2992">
        <f>[2]TongHop!N2992</f>
        <v>0</v>
      </c>
    </row>
    <row r="2993" spans="1:14">
      <c r="A2993">
        <f>[2]TongHop!A2993</f>
        <v>0</v>
      </c>
      <c r="B2993">
        <f>[2]TongHop!B2993</f>
        <v>0</v>
      </c>
      <c r="C2993">
        <f>[2]TongHop!C2993</f>
        <v>0</v>
      </c>
      <c r="D2993">
        <f>[2]TongHop!D2993</f>
        <v>0</v>
      </c>
      <c r="E2993">
        <f>[2]TongHop!E2993</f>
        <v>0</v>
      </c>
      <c r="F2993">
        <f>[2]TongHop!F2993</f>
        <v>0</v>
      </c>
      <c r="G2993">
        <f>[2]TongHop!G2993</f>
        <v>0</v>
      </c>
      <c r="H2993">
        <f>[2]TongHop!H2993</f>
        <v>0</v>
      </c>
      <c r="I2993">
        <f>[2]TongHop!I2993</f>
        <v>0</v>
      </c>
      <c r="J2993">
        <f>[2]TongHop!J2993</f>
        <v>0</v>
      </c>
      <c r="K2993">
        <f>[2]TongHop!K2993</f>
        <v>0</v>
      </c>
      <c r="L2993">
        <f>[2]TongHop!L2993</f>
        <v>0</v>
      </c>
      <c r="M2993">
        <f>[2]TongHop!M2993</f>
        <v>0</v>
      </c>
      <c r="N2993">
        <f>[2]TongHop!N2993</f>
        <v>0</v>
      </c>
    </row>
    <row r="2994" spans="1:14">
      <c r="A2994">
        <f>[2]TongHop!A2994</f>
        <v>0</v>
      </c>
      <c r="B2994">
        <f>[2]TongHop!B2994</f>
        <v>0</v>
      </c>
      <c r="C2994">
        <f>[2]TongHop!C2994</f>
        <v>0</v>
      </c>
      <c r="D2994">
        <f>[2]TongHop!D2994</f>
        <v>0</v>
      </c>
      <c r="E2994">
        <f>[2]TongHop!E2994</f>
        <v>0</v>
      </c>
      <c r="F2994">
        <f>[2]TongHop!F2994</f>
        <v>0</v>
      </c>
      <c r="G2994">
        <f>[2]TongHop!G2994</f>
        <v>0</v>
      </c>
      <c r="H2994">
        <f>[2]TongHop!H2994</f>
        <v>0</v>
      </c>
      <c r="I2994">
        <f>[2]TongHop!I2994</f>
        <v>0</v>
      </c>
      <c r="J2994">
        <f>[2]TongHop!J2994</f>
        <v>0</v>
      </c>
      <c r="K2994">
        <f>[2]TongHop!K2994</f>
        <v>0</v>
      </c>
      <c r="L2994">
        <f>[2]TongHop!L2994</f>
        <v>0</v>
      </c>
      <c r="M2994">
        <f>[2]TongHop!M2994</f>
        <v>0</v>
      </c>
      <c r="N2994">
        <f>[2]TongHop!N2994</f>
        <v>0</v>
      </c>
    </row>
    <row r="2995" spans="1:14">
      <c r="A2995">
        <f>[2]TongHop!A2995</f>
        <v>0</v>
      </c>
      <c r="B2995">
        <f>[2]TongHop!B2995</f>
        <v>0</v>
      </c>
      <c r="C2995">
        <f>[2]TongHop!C2995</f>
        <v>0</v>
      </c>
      <c r="D2995">
        <f>[2]TongHop!D2995</f>
        <v>0</v>
      </c>
      <c r="E2995">
        <f>[2]TongHop!E2995</f>
        <v>0</v>
      </c>
      <c r="F2995">
        <f>[2]TongHop!F2995</f>
        <v>0</v>
      </c>
      <c r="G2995">
        <f>[2]TongHop!G2995</f>
        <v>0</v>
      </c>
      <c r="H2995">
        <f>[2]TongHop!H2995</f>
        <v>0</v>
      </c>
      <c r="I2995">
        <f>[2]TongHop!I2995</f>
        <v>0</v>
      </c>
      <c r="J2995">
        <f>[2]TongHop!J2995</f>
        <v>0</v>
      </c>
      <c r="K2995">
        <f>[2]TongHop!K2995</f>
        <v>0</v>
      </c>
      <c r="L2995">
        <f>[2]TongHop!L2995</f>
        <v>0</v>
      </c>
      <c r="M2995">
        <f>[2]TongHop!M2995</f>
        <v>0</v>
      </c>
      <c r="N2995">
        <f>[2]TongHop!N2995</f>
        <v>0</v>
      </c>
    </row>
    <row r="2996" spans="1:14">
      <c r="A2996">
        <f>[2]TongHop!A2996</f>
        <v>0</v>
      </c>
      <c r="B2996">
        <f>[2]TongHop!B2996</f>
        <v>0</v>
      </c>
      <c r="C2996">
        <f>[2]TongHop!C2996</f>
        <v>0</v>
      </c>
      <c r="D2996">
        <f>[2]TongHop!D2996</f>
        <v>0</v>
      </c>
      <c r="E2996">
        <f>[2]TongHop!E2996</f>
        <v>0</v>
      </c>
      <c r="F2996">
        <f>[2]TongHop!F2996</f>
        <v>0</v>
      </c>
      <c r="G2996">
        <f>[2]TongHop!G2996</f>
        <v>0</v>
      </c>
      <c r="H2996">
        <f>[2]TongHop!H2996</f>
        <v>0</v>
      </c>
      <c r="I2996">
        <f>[2]TongHop!I2996</f>
        <v>0</v>
      </c>
      <c r="J2996">
        <f>[2]TongHop!J2996</f>
        <v>0</v>
      </c>
      <c r="K2996">
        <f>[2]TongHop!K2996</f>
        <v>0</v>
      </c>
      <c r="L2996">
        <f>[2]TongHop!L2996</f>
        <v>0</v>
      </c>
      <c r="M2996">
        <f>[2]TongHop!M2996</f>
        <v>0</v>
      </c>
      <c r="N2996">
        <f>[2]TongHop!N2996</f>
        <v>0</v>
      </c>
    </row>
    <row r="2997" spans="1:14">
      <c r="A2997">
        <f>[2]TongHop!A2997</f>
        <v>0</v>
      </c>
      <c r="B2997">
        <f>[2]TongHop!B2997</f>
        <v>0</v>
      </c>
      <c r="C2997">
        <f>[2]TongHop!C2997</f>
        <v>0</v>
      </c>
      <c r="D2997">
        <f>[2]TongHop!D2997</f>
        <v>0</v>
      </c>
      <c r="E2997">
        <f>[2]TongHop!E2997</f>
        <v>0</v>
      </c>
      <c r="F2997">
        <f>[2]TongHop!F2997</f>
        <v>0</v>
      </c>
      <c r="G2997">
        <f>[2]TongHop!G2997</f>
        <v>0</v>
      </c>
      <c r="H2997">
        <f>[2]TongHop!H2997</f>
        <v>0</v>
      </c>
      <c r="I2997">
        <f>[2]TongHop!I2997</f>
        <v>0</v>
      </c>
      <c r="J2997">
        <f>[2]TongHop!J2997</f>
        <v>0</v>
      </c>
      <c r="K2997">
        <f>[2]TongHop!K2997</f>
        <v>0</v>
      </c>
      <c r="L2997">
        <f>[2]TongHop!L2997</f>
        <v>0</v>
      </c>
      <c r="M2997">
        <f>[2]TongHop!M2997</f>
        <v>0</v>
      </c>
      <c r="N2997">
        <f>[2]TongHop!N2997</f>
        <v>0</v>
      </c>
    </row>
    <row r="2998" spans="1:14">
      <c r="A2998">
        <f>[2]TongHop!A2998</f>
        <v>0</v>
      </c>
      <c r="B2998">
        <f>[2]TongHop!B2998</f>
        <v>0</v>
      </c>
      <c r="C2998">
        <f>[2]TongHop!C2998</f>
        <v>0</v>
      </c>
      <c r="D2998">
        <f>[2]TongHop!D2998</f>
        <v>0</v>
      </c>
      <c r="E2998">
        <f>[2]TongHop!E2998</f>
        <v>0</v>
      </c>
      <c r="F2998">
        <f>[2]TongHop!F2998</f>
        <v>0</v>
      </c>
      <c r="G2998">
        <f>[2]TongHop!G2998</f>
        <v>0</v>
      </c>
      <c r="H2998">
        <f>[2]TongHop!H2998</f>
        <v>0</v>
      </c>
      <c r="I2998">
        <f>[2]TongHop!I2998</f>
        <v>0</v>
      </c>
      <c r="J2998">
        <f>[2]TongHop!J2998</f>
        <v>0</v>
      </c>
      <c r="K2998">
        <f>[2]TongHop!K2998</f>
        <v>0</v>
      </c>
      <c r="L2998">
        <f>[2]TongHop!L2998</f>
        <v>0</v>
      </c>
      <c r="M2998">
        <f>[2]TongHop!M2998</f>
        <v>0</v>
      </c>
      <c r="N2998">
        <f>[2]TongHop!N2998</f>
        <v>0</v>
      </c>
    </row>
    <row r="2999" spans="1:14">
      <c r="A2999">
        <f>[2]TongHop!A2999</f>
        <v>0</v>
      </c>
      <c r="B2999">
        <f>[2]TongHop!B2999</f>
        <v>0</v>
      </c>
      <c r="C2999">
        <f>[2]TongHop!C2999</f>
        <v>0</v>
      </c>
      <c r="D2999">
        <f>[2]TongHop!D2999</f>
        <v>0</v>
      </c>
      <c r="E2999">
        <f>[2]TongHop!E2999</f>
        <v>0</v>
      </c>
      <c r="F2999">
        <f>[2]TongHop!F2999</f>
        <v>0</v>
      </c>
      <c r="G2999">
        <f>[2]TongHop!G2999</f>
        <v>0</v>
      </c>
      <c r="H2999">
        <f>[2]TongHop!H2999</f>
        <v>0</v>
      </c>
      <c r="I2999">
        <f>[2]TongHop!I2999</f>
        <v>0</v>
      </c>
      <c r="J2999">
        <f>[2]TongHop!J2999</f>
        <v>0</v>
      </c>
      <c r="K2999">
        <f>[2]TongHop!K2999</f>
        <v>0</v>
      </c>
      <c r="L2999">
        <f>[2]TongHop!L2999</f>
        <v>0</v>
      </c>
      <c r="M2999">
        <f>[2]TongHop!M2999</f>
        <v>0</v>
      </c>
      <c r="N2999">
        <f>[2]TongHop!N2999</f>
        <v>0</v>
      </c>
    </row>
    <row r="3000" spans="1:14">
      <c r="A3000">
        <f>[2]TongHop!A3000</f>
        <v>0</v>
      </c>
      <c r="B3000">
        <f>[2]TongHop!B3000</f>
        <v>0</v>
      </c>
      <c r="C3000">
        <f>[2]TongHop!C3000</f>
        <v>0</v>
      </c>
      <c r="D3000">
        <f>[2]TongHop!D3000</f>
        <v>0</v>
      </c>
      <c r="E3000">
        <f>[2]TongHop!E3000</f>
        <v>0</v>
      </c>
      <c r="F3000">
        <f>[2]TongHop!F3000</f>
        <v>0</v>
      </c>
      <c r="G3000">
        <f>[2]TongHop!G3000</f>
        <v>0</v>
      </c>
      <c r="H3000">
        <f>[2]TongHop!H3000</f>
        <v>0</v>
      </c>
      <c r="I3000">
        <f>[2]TongHop!I3000</f>
        <v>0</v>
      </c>
      <c r="J3000">
        <f>[2]TongHop!J3000</f>
        <v>0</v>
      </c>
      <c r="K3000">
        <f>[2]TongHop!K3000</f>
        <v>0</v>
      </c>
      <c r="L3000">
        <f>[2]TongHop!L3000</f>
        <v>0</v>
      </c>
      <c r="M3000">
        <f>[2]TongHop!M3000</f>
        <v>0</v>
      </c>
      <c r="N3000">
        <f>[2]TongHop!N3000</f>
        <v>0</v>
      </c>
    </row>
    <row r="3001" spans="1:14">
      <c r="A3001">
        <f>[2]TongHop!A3001</f>
        <v>0</v>
      </c>
      <c r="B3001">
        <f>[2]TongHop!B3001</f>
        <v>0</v>
      </c>
      <c r="C3001">
        <f>[2]TongHop!C3001</f>
        <v>0</v>
      </c>
      <c r="D3001">
        <f>[2]TongHop!D3001</f>
        <v>0</v>
      </c>
      <c r="E3001">
        <f>[2]TongHop!E3001</f>
        <v>0</v>
      </c>
      <c r="F3001">
        <f>[2]TongHop!F3001</f>
        <v>0</v>
      </c>
      <c r="G3001">
        <f>[2]TongHop!G3001</f>
        <v>0</v>
      </c>
      <c r="H3001">
        <f>[2]TongHop!H3001</f>
        <v>0</v>
      </c>
      <c r="I3001">
        <f>[2]TongHop!I3001</f>
        <v>0</v>
      </c>
      <c r="J3001">
        <f>[2]TongHop!J3001</f>
        <v>0</v>
      </c>
      <c r="K3001">
        <f>[2]TongHop!K3001</f>
        <v>0</v>
      </c>
      <c r="L3001">
        <f>[2]TongHop!L3001</f>
        <v>0</v>
      </c>
      <c r="M3001">
        <f>[2]TongHop!M3001</f>
        <v>0</v>
      </c>
      <c r="N3001">
        <f>[2]TongHop!N3001</f>
        <v>0</v>
      </c>
    </row>
    <row r="3002" spans="1:14">
      <c r="A3002">
        <f>[2]TongHop!A3002</f>
        <v>0</v>
      </c>
      <c r="B3002">
        <f>[2]TongHop!B3002</f>
        <v>0</v>
      </c>
      <c r="C3002">
        <f>[2]TongHop!C3002</f>
        <v>0</v>
      </c>
      <c r="D3002">
        <f>[2]TongHop!D3002</f>
        <v>0</v>
      </c>
      <c r="E3002">
        <f>[2]TongHop!E3002</f>
        <v>0</v>
      </c>
      <c r="F3002">
        <f>[2]TongHop!F3002</f>
        <v>0</v>
      </c>
      <c r="G3002">
        <f>[2]TongHop!G3002</f>
        <v>0</v>
      </c>
      <c r="H3002">
        <f>[2]TongHop!H3002</f>
        <v>0</v>
      </c>
      <c r="I3002">
        <f>[2]TongHop!I3002</f>
        <v>0</v>
      </c>
      <c r="J3002">
        <f>[2]TongHop!J3002</f>
        <v>0</v>
      </c>
      <c r="K3002">
        <f>[2]TongHop!K3002</f>
        <v>0</v>
      </c>
      <c r="L3002">
        <f>[2]TongHop!L3002</f>
        <v>0</v>
      </c>
      <c r="M3002">
        <f>[2]TongHop!M3002</f>
        <v>0</v>
      </c>
      <c r="N3002">
        <f>[2]TongHop!N3002</f>
        <v>0</v>
      </c>
    </row>
    <row r="3003" spans="1:14">
      <c r="A3003">
        <f>[2]TongHop!A3003</f>
        <v>0</v>
      </c>
      <c r="B3003">
        <f>[2]TongHop!B3003</f>
        <v>0</v>
      </c>
      <c r="C3003">
        <f>[2]TongHop!C3003</f>
        <v>0</v>
      </c>
      <c r="D3003">
        <f>[2]TongHop!D3003</f>
        <v>0</v>
      </c>
      <c r="E3003">
        <f>[2]TongHop!E3003</f>
        <v>0</v>
      </c>
      <c r="F3003">
        <f>[2]TongHop!F3003</f>
        <v>0</v>
      </c>
      <c r="G3003">
        <f>[2]TongHop!G3003</f>
        <v>0</v>
      </c>
      <c r="H3003">
        <f>[2]TongHop!H3003</f>
        <v>0</v>
      </c>
      <c r="I3003">
        <f>[2]TongHop!I3003</f>
        <v>0</v>
      </c>
      <c r="J3003">
        <f>[2]TongHop!J3003</f>
        <v>0</v>
      </c>
      <c r="K3003">
        <f>[2]TongHop!K3003</f>
        <v>0</v>
      </c>
      <c r="L3003">
        <f>[2]TongHop!L3003</f>
        <v>0</v>
      </c>
      <c r="M3003">
        <f>[2]TongHop!M3003</f>
        <v>0</v>
      </c>
      <c r="N3003">
        <f>[2]TongHop!N3003</f>
        <v>0</v>
      </c>
    </row>
    <row r="3004" spans="1:14">
      <c r="A3004">
        <f>[2]TongHop!A3004</f>
        <v>0</v>
      </c>
      <c r="B3004">
        <f>[2]TongHop!B3004</f>
        <v>0</v>
      </c>
      <c r="C3004">
        <f>[2]TongHop!C3004</f>
        <v>0</v>
      </c>
      <c r="D3004">
        <f>[2]TongHop!D3004</f>
        <v>0</v>
      </c>
      <c r="E3004">
        <f>[2]TongHop!E3004</f>
        <v>0</v>
      </c>
      <c r="F3004">
        <f>[2]TongHop!F3004</f>
        <v>0</v>
      </c>
      <c r="G3004">
        <f>[2]TongHop!G3004</f>
        <v>0</v>
      </c>
      <c r="H3004">
        <f>[2]TongHop!H3004</f>
        <v>0</v>
      </c>
      <c r="I3004">
        <f>[2]TongHop!I3004</f>
        <v>0</v>
      </c>
      <c r="J3004">
        <f>[2]TongHop!J3004</f>
        <v>0</v>
      </c>
      <c r="K3004">
        <f>[2]TongHop!K3004</f>
        <v>0</v>
      </c>
      <c r="L3004">
        <f>[2]TongHop!L3004</f>
        <v>0</v>
      </c>
      <c r="M3004">
        <f>[2]TongHop!M3004</f>
        <v>0</v>
      </c>
      <c r="N3004">
        <f>[2]TongHop!N3004</f>
        <v>0</v>
      </c>
    </row>
    <row r="3005" spans="1:14">
      <c r="A3005">
        <f>[2]TongHop!A3005</f>
        <v>0</v>
      </c>
      <c r="B3005">
        <f>[2]TongHop!B3005</f>
        <v>0</v>
      </c>
      <c r="C3005">
        <f>[2]TongHop!C3005</f>
        <v>0</v>
      </c>
      <c r="D3005">
        <f>[2]TongHop!D3005</f>
        <v>0</v>
      </c>
      <c r="E3005">
        <f>[2]TongHop!E3005</f>
        <v>0</v>
      </c>
      <c r="F3005">
        <f>[2]TongHop!F3005</f>
        <v>0</v>
      </c>
      <c r="G3005">
        <f>[2]TongHop!G3005</f>
        <v>0</v>
      </c>
      <c r="H3005">
        <f>[2]TongHop!H3005</f>
        <v>0</v>
      </c>
      <c r="I3005">
        <f>[2]TongHop!I3005</f>
        <v>0</v>
      </c>
      <c r="J3005">
        <f>[2]TongHop!J3005</f>
        <v>0</v>
      </c>
      <c r="K3005">
        <f>[2]TongHop!K3005</f>
        <v>0</v>
      </c>
      <c r="L3005">
        <f>[2]TongHop!L3005</f>
        <v>0</v>
      </c>
      <c r="M3005">
        <f>[2]TongHop!M3005</f>
        <v>0</v>
      </c>
      <c r="N3005">
        <f>[2]TongHop!N3005</f>
        <v>0</v>
      </c>
    </row>
    <row r="3006" spans="1:14">
      <c r="A3006">
        <f>[2]TongHop!A3006</f>
        <v>0</v>
      </c>
      <c r="B3006">
        <f>[2]TongHop!B3006</f>
        <v>0</v>
      </c>
      <c r="C3006">
        <f>[2]TongHop!C3006</f>
        <v>0</v>
      </c>
      <c r="D3006">
        <f>[2]TongHop!D3006</f>
        <v>0</v>
      </c>
      <c r="E3006">
        <f>[2]TongHop!E3006</f>
        <v>0</v>
      </c>
      <c r="F3006">
        <f>[2]TongHop!F3006</f>
        <v>0</v>
      </c>
      <c r="G3006">
        <f>[2]TongHop!G3006</f>
        <v>0</v>
      </c>
      <c r="H3006">
        <f>[2]TongHop!H3006</f>
        <v>0</v>
      </c>
      <c r="I3006">
        <f>[2]TongHop!I3006</f>
        <v>0</v>
      </c>
      <c r="J3006">
        <f>[2]TongHop!J3006</f>
        <v>0</v>
      </c>
      <c r="K3006">
        <f>[2]TongHop!K3006</f>
        <v>0</v>
      </c>
      <c r="L3006">
        <f>[2]TongHop!L3006</f>
        <v>0</v>
      </c>
      <c r="M3006">
        <f>[2]TongHop!M3006</f>
        <v>0</v>
      </c>
      <c r="N3006">
        <f>[2]TongHop!N3006</f>
        <v>0</v>
      </c>
    </row>
    <row r="3007" spans="1:14">
      <c r="A3007">
        <f>[2]TongHop!A3007</f>
        <v>0</v>
      </c>
      <c r="B3007">
        <f>[2]TongHop!B3007</f>
        <v>0</v>
      </c>
      <c r="C3007">
        <f>[2]TongHop!C3007</f>
        <v>0</v>
      </c>
      <c r="D3007">
        <f>[2]TongHop!D3007</f>
        <v>0</v>
      </c>
      <c r="E3007">
        <f>[2]TongHop!E3007</f>
        <v>0</v>
      </c>
      <c r="F3007">
        <f>[2]TongHop!F3007</f>
        <v>0</v>
      </c>
      <c r="G3007">
        <f>[2]TongHop!G3007</f>
        <v>0</v>
      </c>
      <c r="H3007">
        <f>[2]TongHop!H3007</f>
        <v>0</v>
      </c>
      <c r="I3007">
        <f>[2]TongHop!I3007</f>
        <v>0</v>
      </c>
      <c r="J3007">
        <f>[2]TongHop!J3007</f>
        <v>0</v>
      </c>
      <c r="K3007">
        <f>[2]TongHop!K3007</f>
        <v>0</v>
      </c>
      <c r="L3007">
        <f>[2]TongHop!L3007</f>
        <v>0</v>
      </c>
      <c r="M3007">
        <f>[2]TongHop!M3007</f>
        <v>0</v>
      </c>
      <c r="N3007">
        <f>[2]TongHop!N3007</f>
        <v>0</v>
      </c>
    </row>
    <row r="3008" spans="1:14">
      <c r="A3008">
        <f>[2]TongHop!A3008</f>
        <v>0</v>
      </c>
      <c r="B3008">
        <f>[2]TongHop!B3008</f>
        <v>0</v>
      </c>
      <c r="C3008">
        <f>[2]TongHop!C3008</f>
        <v>0</v>
      </c>
      <c r="D3008">
        <f>[2]TongHop!D3008</f>
        <v>0</v>
      </c>
      <c r="E3008">
        <f>[2]TongHop!E3008</f>
        <v>0</v>
      </c>
      <c r="F3008">
        <f>[2]TongHop!F3008</f>
        <v>0</v>
      </c>
      <c r="G3008">
        <f>[2]TongHop!G3008</f>
        <v>0</v>
      </c>
      <c r="H3008">
        <f>[2]TongHop!H3008</f>
        <v>0</v>
      </c>
      <c r="I3008">
        <f>[2]TongHop!I3008</f>
        <v>0</v>
      </c>
      <c r="J3008">
        <f>[2]TongHop!J3008</f>
        <v>0</v>
      </c>
      <c r="K3008">
        <f>[2]TongHop!K3008</f>
        <v>0</v>
      </c>
      <c r="L3008">
        <f>[2]TongHop!L3008</f>
        <v>0</v>
      </c>
      <c r="M3008">
        <f>[2]TongHop!M3008</f>
        <v>0</v>
      </c>
      <c r="N3008">
        <f>[2]TongHop!N3008</f>
        <v>0</v>
      </c>
    </row>
    <row r="3009" spans="1:14">
      <c r="A3009">
        <f>[2]TongHop!A3009</f>
        <v>0</v>
      </c>
      <c r="B3009">
        <f>[2]TongHop!B3009</f>
        <v>0</v>
      </c>
      <c r="C3009">
        <f>[2]TongHop!C3009</f>
        <v>0</v>
      </c>
      <c r="D3009">
        <f>[2]TongHop!D3009</f>
        <v>0</v>
      </c>
      <c r="E3009">
        <f>[2]TongHop!E3009</f>
        <v>0</v>
      </c>
      <c r="F3009">
        <f>[2]TongHop!F3009</f>
        <v>0</v>
      </c>
      <c r="G3009">
        <f>[2]TongHop!G3009</f>
        <v>0</v>
      </c>
      <c r="H3009">
        <f>[2]TongHop!H3009</f>
        <v>0</v>
      </c>
      <c r="I3009">
        <f>[2]TongHop!I3009</f>
        <v>0</v>
      </c>
      <c r="J3009">
        <f>[2]TongHop!J3009</f>
        <v>0</v>
      </c>
      <c r="K3009">
        <f>[2]TongHop!K3009</f>
        <v>0</v>
      </c>
      <c r="L3009">
        <f>[2]TongHop!L3009</f>
        <v>0</v>
      </c>
      <c r="M3009">
        <f>[2]TongHop!M3009</f>
        <v>0</v>
      </c>
      <c r="N3009">
        <f>[2]TongHop!N3009</f>
        <v>0</v>
      </c>
    </row>
    <row r="3010" spans="1:14">
      <c r="A3010">
        <f>[2]TongHop!A3010</f>
        <v>0</v>
      </c>
      <c r="B3010">
        <f>[2]TongHop!B3010</f>
        <v>0</v>
      </c>
      <c r="C3010">
        <f>[2]TongHop!C3010</f>
        <v>0</v>
      </c>
      <c r="D3010">
        <f>[2]TongHop!D3010</f>
        <v>0</v>
      </c>
      <c r="E3010">
        <f>[2]TongHop!E3010</f>
        <v>0</v>
      </c>
      <c r="F3010">
        <f>[2]TongHop!F3010</f>
        <v>0</v>
      </c>
      <c r="G3010">
        <f>[2]TongHop!G3010</f>
        <v>0</v>
      </c>
      <c r="H3010">
        <f>[2]TongHop!H3010</f>
        <v>0</v>
      </c>
      <c r="I3010">
        <f>[2]TongHop!I3010</f>
        <v>0</v>
      </c>
      <c r="J3010">
        <f>[2]TongHop!J3010</f>
        <v>0</v>
      </c>
      <c r="K3010">
        <f>[2]TongHop!K3010</f>
        <v>0</v>
      </c>
      <c r="L3010">
        <f>[2]TongHop!L3010</f>
        <v>0</v>
      </c>
      <c r="M3010">
        <f>[2]TongHop!M3010</f>
        <v>0</v>
      </c>
      <c r="N3010">
        <f>[2]TongHop!N3010</f>
        <v>0</v>
      </c>
    </row>
    <row r="3011" spans="1:14">
      <c r="A3011">
        <f>[2]TongHop!A3011</f>
        <v>0</v>
      </c>
      <c r="B3011">
        <f>[2]TongHop!B3011</f>
        <v>0</v>
      </c>
      <c r="C3011">
        <f>[2]TongHop!C3011</f>
        <v>0</v>
      </c>
      <c r="D3011">
        <f>[2]TongHop!D3011</f>
        <v>0</v>
      </c>
      <c r="E3011">
        <f>[2]TongHop!E3011</f>
        <v>0</v>
      </c>
      <c r="F3011">
        <f>[2]TongHop!F3011</f>
        <v>0</v>
      </c>
      <c r="G3011">
        <f>[2]TongHop!G3011</f>
        <v>0</v>
      </c>
      <c r="H3011">
        <f>[2]TongHop!H3011</f>
        <v>0</v>
      </c>
      <c r="I3011">
        <f>[2]TongHop!I3011</f>
        <v>0</v>
      </c>
      <c r="J3011">
        <f>[2]TongHop!J3011</f>
        <v>0</v>
      </c>
      <c r="K3011">
        <f>[2]TongHop!K3011</f>
        <v>0</v>
      </c>
      <c r="L3011">
        <f>[2]TongHop!L3011</f>
        <v>0</v>
      </c>
      <c r="M3011">
        <f>[2]TongHop!M3011</f>
        <v>0</v>
      </c>
      <c r="N3011">
        <f>[2]TongHop!N3011</f>
        <v>0</v>
      </c>
    </row>
    <row r="3012" spans="1:14">
      <c r="A3012">
        <f>[2]TongHop!A3012</f>
        <v>0</v>
      </c>
      <c r="B3012">
        <f>[2]TongHop!B3012</f>
        <v>0</v>
      </c>
      <c r="C3012">
        <f>[2]TongHop!C3012</f>
        <v>0</v>
      </c>
      <c r="D3012">
        <f>[2]TongHop!D3012</f>
        <v>0</v>
      </c>
      <c r="E3012">
        <f>[2]TongHop!E3012</f>
        <v>0</v>
      </c>
      <c r="F3012">
        <f>[2]TongHop!F3012</f>
        <v>0</v>
      </c>
      <c r="G3012">
        <f>[2]TongHop!G3012</f>
        <v>0</v>
      </c>
      <c r="H3012">
        <f>[2]TongHop!H3012</f>
        <v>0</v>
      </c>
      <c r="I3012">
        <f>[2]TongHop!I3012</f>
        <v>0</v>
      </c>
      <c r="J3012">
        <f>[2]TongHop!J3012</f>
        <v>0</v>
      </c>
      <c r="K3012">
        <f>[2]TongHop!K3012</f>
        <v>0</v>
      </c>
      <c r="L3012">
        <f>[2]TongHop!L3012</f>
        <v>0</v>
      </c>
      <c r="M3012">
        <f>[2]TongHop!M3012</f>
        <v>0</v>
      </c>
      <c r="N3012">
        <f>[2]TongHop!N3012</f>
        <v>0</v>
      </c>
    </row>
    <row r="3013" spans="1:14">
      <c r="A3013">
        <f>[2]TongHop!A3013</f>
        <v>0</v>
      </c>
      <c r="B3013">
        <f>[2]TongHop!B3013</f>
        <v>0</v>
      </c>
      <c r="C3013">
        <f>[2]TongHop!C3013</f>
        <v>0</v>
      </c>
      <c r="D3013">
        <f>[2]TongHop!D3013</f>
        <v>0</v>
      </c>
      <c r="E3013">
        <f>[2]TongHop!E3013</f>
        <v>0</v>
      </c>
      <c r="F3013">
        <f>[2]TongHop!F3013</f>
        <v>0</v>
      </c>
      <c r="G3013">
        <f>[2]TongHop!G3013</f>
        <v>0</v>
      </c>
      <c r="H3013">
        <f>[2]TongHop!H3013</f>
        <v>0</v>
      </c>
      <c r="I3013">
        <f>[2]TongHop!I3013</f>
        <v>0</v>
      </c>
      <c r="J3013">
        <f>[2]TongHop!J3013</f>
        <v>0</v>
      </c>
      <c r="K3013">
        <f>[2]TongHop!K3013</f>
        <v>0</v>
      </c>
      <c r="L3013">
        <f>[2]TongHop!L3013</f>
        <v>0</v>
      </c>
      <c r="M3013">
        <f>[2]TongHop!M3013</f>
        <v>0</v>
      </c>
      <c r="N3013">
        <f>[2]TongHop!N3013</f>
        <v>0</v>
      </c>
    </row>
    <row r="3014" spans="1:14">
      <c r="A3014">
        <f>[2]TongHop!A3014</f>
        <v>0</v>
      </c>
      <c r="B3014">
        <f>[2]TongHop!B3014</f>
        <v>0</v>
      </c>
      <c r="C3014">
        <f>[2]TongHop!C3014</f>
        <v>0</v>
      </c>
      <c r="D3014">
        <f>[2]TongHop!D3014</f>
        <v>0</v>
      </c>
      <c r="E3014">
        <f>[2]TongHop!E3014</f>
        <v>0</v>
      </c>
      <c r="F3014">
        <f>[2]TongHop!F3014</f>
        <v>0</v>
      </c>
      <c r="G3014">
        <f>[2]TongHop!G3014</f>
        <v>0</v>
      </c>
      <c r="H3014">
        <f>[2]TongHop!H3014</f>
        <v>0</v>
      </c>
      <c r="I3014">
        <f>[2]TongHop!I3014</f>
        <v>0</v>
      </c>
      <c r="J3014">
        <f>[2]TongHop!J3014</f>
        <v>0</v>
      </c>
      <c r="K3014">
        <f>[2]TongHop!K3014</f>
        <v>0</v>
      </c>
      <c r="L3014">
        <f>[2]TongHop!L3014</f>
        <v>0</v>
      </c>
      <c r="M3014">
        <f>[2]TongHop!M3014</f>
        <v>0</v>
      </c>
      <c r="N3014">
        <f>[2]TongHop!N3014</f>
        <v>0</v>
      </c>
    </row>
    <row r="3015" spans="1:14">
      <c r="A3015">
        <f>[2]TongHop!A3015</f>
        <v>0</v>
      </c>
      <c r="B3015">
        <f>[2]TongHop!B3015</f>
        <v>0</v>
      </c>
      <c r="C3015">
        <f>[2]TongHop!C3015</f>
        <v>0</v>
      </c>
      <c r="D3015">
        <f>[2]TongHop!D3015</f>
        <v>0</v>
      </c>
      <c r="E3015">
        <f>[2]TongHop!E3015</f>
        <v>0</v>
      </c>
      <c r="F3015">
        <f>[2]TongHop!F3015</f>
        <v>0</v>
      </c>
      <c r="G3015">
        <f>[2]TongHop!G3015</f>
        <v>0</v>
      </c>
      <c r="H3015">
        <f>[2]TongHop!H3015</f>
        <v>0</v>
      </c>
      <c r="I3015">
        <f>[2]TongHop!I3015</f>
        <v>0</v>
      </c>
      <c r="J3015">
        <f>[2]TongHop!J3015</f>
        <v>0</v>
      </c>
      <c r="K3015">
        <f>[2]TongHop!K3015</f>
        <v>0</v>
      </c>
      <c r="L3015">
        <f>[2]TongHop!L3015</f>
        <v>0</v>
      </c>
      <c r="M3015">
        <f>[2]TongHop!M3015</f>
        <v>0</v>
      </c>
      <c r="N3015">
        <f>[2]TongHop!N3015</f>
        <v>0</v>
      </c>
    </row>
    <row r="3016" spans="1:14">
      <c r="A3016">
        <f>[2]TongHop!A3016</f>
        <v>0</v>
      </c>
      <c r="B3016">
        <f>[2]TongHop!B3016</f>
        <v>0</v>
      </c>
      <c r="C3016">
        <f>[2]TongHop!C3016</f>
        <v>0</v>
      </c>
      <c r="D3016">
        <f>[2]TongHop!D3016</f>
        <v>0</v>
      </c>
      <c r="E3016">
        <f>[2]TongHop!E3016</f>
        <v>0</v>
      </c>
      <c r="F3016">
        <f>[2]TongHop!F3016</f>
        <v>0</v>
      </c>
      <c r="G3016">
        <f>[2]TongHop!G3016</f>
        <v>0</v>
      </c>
      <c r="H3016">
        <f>[2]TongHop!H3016</f>
        <v>0</v>
      </c>
      <c r="I3016">
        <f>[2]TongHop!I3016</f>
        <v>0</v>
      </c>
      <c r="J3016">
        <f>[2]TongHop!J3016</f>
        <v>0</v>
      </c>
      <c r="K3016">
        <f>[2]TongHop!K3016</f>
        <v>0</v>
      </c>
      <c r="L3016">
        <f>[2]TongHop!L3016</f>
        <v>0</v>
      </c>
      <c r="M3016">
        <f>[2]TongHop!M3016</f>
        <v>0</v>
      </c>
      <c r="N3016">
        <f>[2]TongHop!N3016</f>
        <v>0</v>
      </c>
    </row>
    <row r="3017" spans="1:14">
      <c r="A3017">
        <f>[2]TongHop!A3017</f>
        <v>0</v>
      </c>
      <c r="B3017">
        <f>[2]TongHop!B3017</f>
        <v>0</v>
      </c>
      <c r="C3017">
        <f>[2]TongHop!C3017</f>
        <v>0</v>
      </c>
      <c r="D3017">
        <f>[2]TongHop!D3017</f>
        <v>0</v>
      </c>
      <c r="E3017">
        <f>[2]TongHop!E3017</f>
        <v>0</v>
      </c>
      <c r="F3017">
        <f>[2]TongHop!F3017</f>
        <v>0</v>
      </c>
      <c r="G3017">
        <f>[2]TongHop!G3017</f>
        <v>0</v>
      </c>
      <c r="H3017">
        <f>[2]TongHop!H3017</f>
        <v>0</v>
      </c>
      <c r="I3017">
        <f>[2]TongHop!I3017</f>
        <v>0</v>
      </c>
      <c r="J3017">
        <f>[2]TongHop!J3017</f>
        <v>0</v>
      </c>
      <c r="K3017">
        <f>[2]TongHop!K3017</f>
        <v>0</v>
      </c>
      <c r="L3017">
        <f>[2]TongHop!L3017</f>
        <v>0</v>
      </c>
      <c r="M3017">
        <f>[2]TongHop!M3017</f>
        <v>0</v>
      </c>
      <c r="N3017">
        <f>[2]TongHop!N3017</f>
        <v>0</v>
      </c>
    </row>
    <row r="3018" spans="1:14">
      <c r="A3018">
        <f>[2]TongHop!A3018</f>
        <v>0</v>
      </c>
      <c r="B3018">
        <f>[2]TongHop!B3018</f>
        <v>0</v>
      </c>
      <c r="C3018">
        <f>[2]TongHop!C3018</f>
        <v>0</v>
      </c>
      <c r="D3018">
        <f>[2]TongHop!D3018</f>
        <v>0</v>
      </c>
      <c r="E3018">
        <f>[2]TongHop!E3018</f>
        <v>0</v>
      </c>
      <c r="F3018">
        <f>[2]TongHop!F3018</f>
        <v>0</v>
      </c>
      <c r="G3018">
        <f>[2]TongHop!G3018</f>
        <v>0</v>
      </c>
      <c r="H3018">
        <f>[2]TongHop!H3018</f>
        <v>0</v>
      </c>
      <c r="I3018">
        <f>[2]TongHop!I3018</f>
        <v>0</v>
      </c>
      <c r="J3018">
        <f>[2]TongHop!J3018</f>
        <v>0</v>
      </c>
      <c r="K3018">
        <f>[2]TongHop!K3018</f>
        <v>0</v>
      </c>
      <c r="L3018">
        <f>[2]TongHop!L3018</f>
        <v>0</v>
      </c>
      <c r="M3018">
        <f>[2]TongHop!M3018</f>
        <v>0</v>
      </c>
      <c r="N3018">
        <f>[2]TongHop!N3018</f>
        <v>0</v>
      </c>
    </row>
    <row r="3019" spans="1:14">
      <c r="A3019">
        <f>[2]TongHop!A3019</f>
        <v>0</v>
      </c>
      <c r="B3019">
        <f>[2]TongHop!B3019</f>
        <v>0</v>
      </c>
      <c r="C3019">
        <f>[2]TongHop!C3019</f>
        <v>0</v>
      </c>
      <c r="D3019">
        <f>[2]TongHop!D3019</f>
        <v>0</v>
      </c>
      <c r="E3019">
        <f>[2]TongHop!E3019</f>
        <v>0</v>
      </c>
      <c r="F3019">
        <f>[2]TongHop!F3019</f>
        <v>0</v>
      </c>
      <c r="G3019">
        <f>[2]TongHop!G3019</f>
        <v>0</v>
      </c>
      <c r="H3019">
        <f>[2]TongHop!H3019</f>
        <v>0</v>
      </c>
      <c r="I3019">
        <f>[2]TongHop!I3019</f>
        <v>0</v>
      </c>
      <c r="J3019">
        <f>[2]TongHop!J3019</f>
        <v>0</v>
      </c>
      <c r="K3019">
        <f>[2]TongHop!K3019</f>
        <v>0</v>
      </c>
      <c r="L3019">
        <f>[2]TongHop!L3019</f>
        <v>0</v>
      </c>
      <c r="M3019">
        <f>[2]TongHop!M3019</f>
        <v>0</v>
      </c>
      <c r="N3019">
        <f>[2]TongHop!N3019</f>
        <v>0</v>
      </c>
    </row>
    <row r="3020" spans="1:14">
      <c r="A3020">
        <f>[2]TongHop!A3020</f>
        <v>0</v>
      </c>
      <c r="B3020">
        <f>[2]TongHop!B3020</f>
        <v>0</v>
      </c>
      <c r="C3020">
        <f>[2]TongHop!C3020</f>
        <v>0</v>
      </c>
      <c r="D3020">
        <f>[2]TongHop!D3020</f>
        <v>0</v>
      </c>
      <c r="E3020">
        <f>[2]TongHop!E3020</f>
        <v>0</v>
      </c>
      <c r="F3020">
        <f>[2]TongHop!F3020</f>
        <v>0</v>
      </c>
      <c r="G3020">
        <f>[2]TongHop!G3020</f>
        <v>0</v>
      </c>
      <c r="H3020">
        <f>[2]TongHop!H3020</f>
        <v>0</v>
      </c>
      <c r="I3020">
        <f>[2]TongHop!I3020</f>
        <v>0</v>
      </c>
      <c r="J3020">
        <f>[2]TongHop!J3020</f>
        <v>0</v>
      </c>
      <c r="K3020">
        <f>[2]TongHop!K3020</f>
        <v>0</v>
      </c>
      <c r="L3020">
        <f>[2]TongHop!L3020</f>
        <v>0</v>
      </c>
      <c r="M3020">
        <f>[2]TongHop!M3020</f>
        <v>0</v>
      </c>
      <c r="N3020">
        <f>[2]TongHop!N3020</f>
        <v>0</v>
      </c>
    </row>
    <row r="3021" spans="1:14">
      <c r="A3021">
        <f>[2]TongHop!A3021</f>
        <v>0</v>
      </c>
      <c r="B3021">
        <f>[2]TongHop!B3021</f>
        <v>0</v>
      </c>
      <c r="C3021">
        <f>[2]TongHop!C3021</f>
        <v>0</v>
      </c>
      <c r="D3021">
        <f>[2]TongHop!D3021</f>
        <v>0</v>
      </c>
      <c r="E3021">
        <f>[2]TongHop!E3021</f>
        <v>0</v>
      </c>
      <c r="F3021">
        <f>[2]TongHop!F3021</f>
        <v>0</v>
      </c>
      <c r="G3021">
        <f>[2]TongHop!G3021</f>
        <v>0</v>
      </c>
      <c r="H3021">
        <f>[2]TongHop!H3021</f>
        <v>0</v>
      </c>
      <c r="I3021">
        <f>[2]TongHop!I3021</f>
        <v>0</v>
      </c>
      <c r="J3021">
        <f>[2]TongHop!J3021</f>
        <v>0</v>
      </c>
      <c r="K3021">
        <f>[2]TongHop!K3021</f>
        <v>0</v>
      </c>
      <c r="L3021">
        <f>[2]TongHop!L3021</f>
        <v>0</v>
      </c>
      <c r="M3021">
        <f>[2]TongHop!M3021</f>
        <v>0</v>
      </c>
      <c r="N3021">
        <f>[2]TongHop!N3021</f>
        <v>0</v>
      </c>
    </row>
    <row r="3022" spans="1:14">
      <c r="A3022">
        <f>[2]TongHop!A3022</f>
        <v>0</v>
      </c>
      <c r="B3022">
        <f>[2]TongHop!B3022</f>
        <v>0</v>
      </c>
      <c r="C3022">
        <f>[2]TongHop!C3022</f>
        <v>0</v>
      </c>
      <c r="D3022">
        <f>[2]TongHop!D3022</f>
        <v>0</v>
      </c>
      <c r="E3022">
        <f>[2]TongHop!E3022</f>
        <v>0</v>
      </c>
      <c r="F3022">
        <f>[2]TongHop!F3022</f>
        <v>0</v>
      </c>
      <c r="G3022">
        <f>[2]TongHop!G3022</f>
        <v>0</v>
      </c>
      <c r="H3022">
        <f>[2]TongHop!H3022</f>
        <v>0</v>
      </c>
      <c r="I3022">
        <f>[2]TongHop!I3022</f>
        <v>0</v>
      </c>
      <c r="J3022">
        <f>[2]TongHop!J3022</f>
        <v>0</v>
      </c>
      <c r="K3022">
        <f>[2]TongHop!K3022</f>
        <v>0</v>
      </c>
      <c r="L3022">
        <f>[2]TongHop!L3022</f>
        <v>0</v>
      </c>
      <c r="M3022">
        <f>[2]TongHop!M3022</f>
        <v>0</v>
      </c>
      <c r="N3022">
        <f>[2]TongHop!N3022</f>
        <v>0</v>
      </c>
    </row>
    <row r="3023" spans="1:14">
      <c r="A3023">
        <f>[2]TongHop!A3023</f>
        <v>0</v>
      </c>
      <c r="B3023">
        <f>[2]TongHop!B3023</f>
        <v>0</v>
      </c>
      <c r="C3023">
        <f>[2]TongHop!C3023</f>
        <v>0</v>
      </c>
      <c r="D3023">
        <f>[2]TongHop!D3023</f>
        <v>0</v>
      </c>
      <c r="E3023">
        <f>[2]TongHop!E3023</f>
        <v>0</v>
      </c>
      <c r="F3023">
        <f>[2]TongHop!F3023</f>
        <v>0</v>
      </c>
      <c r="G3023">
        <f>[2]TongHop!G3023</f>
        <v>0</v>
      </c>
      <c r="H3023">
        <f>[2]TongHop!H3023</f>
        <v>0</v>
      </c>
      <c r="I3023">
        <f>[2]TongHop!I3023</f>
        <v>0</v>
      </c>
      <c r="J3023">
        <f>[2]TongHop!J3023</f>
        <v>0</v>
      </c>
      <c r="K3023">
        <f>[2]TongHop!K3023</f>
        <v>0</v>
      </c>
      <c r="L3023">
        <f>[2]TongHop!L3023</f>
        <v>0</v>
      </c>
      <c r="M3023">
        <f>[2]TongHop!M3023</f>
        <v>0</v>
      </c>
      <c r="N3023">
        <f>[2]TongHop!N3023</f>
        <v>0</v>
      </c>
    </row>
    <row r="3024" spans="1:14">
      <c r="A3024">
        <f>[2]TongHop!A3024</f>
        <v>0</v>
      </c>
      <c r="B3024">
        <f>[2]TongHop!B3024</f>
        <v>0</v>
      </c>
      <c r="C3024">
        <f>[2]TongHop!C3024</f>
        <v>0</v>
      </c>
      <c r="D3024">
        <f>[2]TongHop!D3024</f>
        <v>0</v>
      </c>
      <c r="E3024">
        <f>[2]TongHop!E3024</f>
        <v>0</v>
      </c>
      <c r="F3024">
        <f>[2]TongHop!F3024</f>
        <v>0</v>
      </c>
      <c r="G3024">
        <f>[2]TongHop!G3024</f>
        <v>0</v>
      </c>
      <c r="H3024">
        <f>[2]TongHop!H3024</f>
        <v>0</v>
      </c>
      <c r="I3024">
        <f>[2]TongHop!I3024</f>
        <v>0</v>
      </c>
      <c r="J3024">
        <f>[2]TongHop!J3024</f>
        <v>0</v>
      </c>
      <c r="K3024">
        <f>[2]TongHop!K3024</f>
        <v>0</v>
      </c>
      <c r="L3024">
        <f>[2]TongHop!L3024</f>
        <v>0</v>
      </c>
      <c r="M3024">
        <f>[2]TongHop!M3024</f>
        <v>0</v>
      </c>
      <c r="N3024">
        <f>[2]TongHop!N3024</f>
        <v>0</v>
      </c>
    </row>
    <row r="3025" spans="1:14">
      <c r="A3025">
        <f>[2]TongHop!A3025</f>
        <v>0</v>
      </c>
      <c r="B3025">
        <f>[2]TongHop!B3025</f>
        <v>0</v>
      </c>
      <c r="C3025">
        <f>[2]TongHop!C3025</f>
        <v>0</v>
      </c>
      <c r="D3025">
        <f>[2]TongHop!D3025</f>
        <v>0</v>
      </c>
      <c r="E3025">
        <f>[2]TongHop!E3025</f>
        <v>0</v>
      </c>
      <c r="F3025">
        <f>[2]TongHop!F3025</f>
        <v>0</v>
      </c>
      <c r="G3025">
        <f>[2]TongHop!G3025</f>
        <v>0</v>
      </c>
      <c r="H3025">
        <f>[2]TongHop!H3025</f>
        <v>0</v>
      </c>
      <c r="I3025">
        <f>[2]TongHop!I3025</f>
        <v>0</v>
      </c>
      <c r="J3025">
        <f>[2]TongHop!J3025</f>
        <v>0</v>
      </c>
      <c r="K3025">
        <f>[2]TongHop!K3025</f>
        <v>0</v>
      </c>
      <c r="L3025">
        <f>[2]TongHop!L3025</f>
        <v>0</v>
      </c>
      <c r="M3025">
        <f>[2]TongHop!M3025</f>
        <v>0</v>
      </c>
      <c r="N3025">
        <f>[2]TongHop!N3025</f>
        <v>0</v>
      </c>
    </row>
    <row r="3026" spans="1:14">
      <c r="A3026">
        <f>[2]TongHop!A3026</f>
        <v>0</v>
      </c>
      <c r="B3026">
        <f>[2]TongHop!B3026</f>
        <v>0</v>
      </c>
      <c r="C3026">
        <f>[2]TongHop!C3026</f>
        <v>0</v>
      </c>
      <c r="D3026">
        <f>[2]TongHop!D3026</f>
        <v>0</v>
      </c>
      <c r="E3026">
        <f>[2]TongHop!E3026</f>
        <v>0</v>
      </c>
      <c r="F3026">
        <f>[2]TongHop!F3026</f>
        <v>0</v>
      </c>
      <c r="G3026">
        <f>[2]TongHop!G3026</f>
        <v>0</v>
      </c>
      <c r="H3026">
        <f>[2]TongHop!H3026</f>
        <v>0</v>
      </c>
      <c r="I3026">
        <f>[2]TongHop!I3026</f>
        <v>0</v>
      </c>
      <c r="J3026">
        <f>[2]TongHop!J3026</f>
        <v>0</v>
      </c>
      <c r="K3026">
        <f>[2]TongHop!K3026</f>
        <v>0</v>
      </c>
      <c r="L3026">
        <f>[2]TongHop!L3026</f>
        <v>0</v>
      </c>
      <c r="M3026">
        <f>[2]TongHop!M3026</f>
        <v>0</v>
      </c>
      <c r="N3026">
        <f>[2]TongHop!N3026</f>
        <v>0</v>
      </c>
    </row>
    <row r="3027" spans="1:14">
      <c r="A3027">
        <f>[2]TongHop!A3027</f>
        <v>0</v>
      </c>
      <c r="B3027">
        <f>[2]TongHop!B3027</f>
        <v>0</v>
      </c>
      <c r="C3027">
        <f>[2]TongHop!C3027</f>
        <v>0</v>
      </c>
      <c r="D3027">
        <f>[2]TongHop!D3027</f>
        <v>0</v>
      </c>
      <c r="E3027">
        <f>[2]TongHop!E3027</f>
        <v>0</v>
      </c>
      <c r="F3027">
        <f>[2]TongHop!F3027</f>
        <v>0</v>
      </c>
      <c r="G3027">
        <f>[2]TongHop!G3027</f>
        <v>0</v>
      </c>
      <c r="H3027">
        <f>[2]TongHop!H3027</f>
        <v>0</v>
      </c>
      <c r="I3027">
        <f>[2]TongHop!I3027</f>
        <v>0</v>
      </c>
      <c r="J3027">
        <f>[2]TongHop!J3027</f>
        <v>0</v>
      </c>
      <c r="K3027">
        <f>[2]TongHop!K3027</f>
        <v>0</v>
      </c>
      <c r="L3027">
        <f>[2]TongHop!L3027</f>
        <v>0</v>
      </c>
      <c r="M3027">
        <f>[2]TongHop!M3027</f>
        <v>0</v>
      </c>
      <c r="N3027">
        <f>[2]TongHop!N3027</f>
        <v>0</v>
      </c>
    </row>
    <row r="3028" spans="1:14">
      <c r="A3028">
        <f>[2]TongHop!A3028</f>
        <v>0</v>
      </c>
      <c r="B3028">
        <f>[2]TongHop!B3028</f>
        <v>0</v>
      </c>
      <c r="C3028">
        <f>[2]TongHop!C3028</f>
        <v>0</v>
      </c>
      <c r="D3028">
        <f>[2]TongHop!D3028</f>
        <v>0</v>
      </c>
      <c r="E3028">
        <f>[2]TongHop!E3028</f>
        <v>0</v>
      </c>
      <c r="F3028">
        <f>[2]TongHop!F3028</f>
        <v>0</v>
      </c>
      <c r="G3028">
        <f>[2]TongHop!G3028</f>
        <v>0</v>
      </c>
      <c r="H3028">
        <f>[2]TongHop!H3028</f>
        <v>0</v>
      </c>
      <c r="I3028">
        <f>[2]TongHop!I3028</f>
        <v>0</v>
      </c>
      <c r="J3028">
        <f>[2]TongHop!J3028</f>
        <v>0</v>
      </c>
      <c r="K3028">
        <f>[2]TongHop!K3028</f>
        <v>0</v>
      </c>
      <c r="L3028">
        <f>[2]TongHop!L3028</f>
        <v>0</v>
      </c>
      <c r="M3028">
        <f>[2]TongHop!M3028</f>
        <v>0</v>
      </c>
      <c r="N3028">
        <f>[2]TongHop!N3028</f>
        <v>0</v>
      </c>
    </row>
    <row r="3029" spans="1:14">
      <c r="A3029">
        <f>[2]TongHop!A3029</f>
        <v>0</v>
      </c>
      <c r="B3029">
        <f>[2]TongHop!B3029</f>
        <v>0</v>
      </c>
      <c r="C3029">
        <f>[2]TongHop!C3029</f>
        <v>0</v>
      </c>
      <c r="D3029">
        <f>[2]TongHop!D3029</f>
        <v>0</v>
      </c>
      <c r="E3029">
        <f>[2]TongHop!E3029</f>
        <v>0</v>
      </c>
      <c r="F3029">
        <f>[2]TongHop!F3029</f>
        <v>0</v>
      </c>
      <c r="G3029">
        <f>[2]TongHop!G3029</f>
        <v>0</v>
      </c>
      <c r="H3029">
        <f>[2]TongHop!H3029</f>
        <v>0</v>
      </c>
      <c r="I3029">
        <f>[2]TongHop!I3029</f>
        <v>0</v>
      </c>
      <c r="J3029">
        <f>[2]TongHop!J3029</f>
        <v>0</v>
      </c>
      <c r="K3029">
        <f>[2]TongHop!K3029</f>
        <v>0</v>
      </c>
      <c r="L3029">
        <f>[2]TongHop!L3029</f>
        <v>0</v>
      </c>
      <c r="M3029">
        <f>[2]TongHop!M3029</f>
        <v>0</v>
      </c>
      <c r="N3029">
        <f>[2]TongHop!N3029</f>
        <v>0</v>
      </c>
    </row>
    <row r="3030" spans="1:14">
      <c r="A3030">
        <f>[2]TongHop!A3030</f>
        <v>0</v>
      </c>
      <c r="B3030">
        <f>[2]TongHop!B3030</f>
        <v>0</v>
      </c>
      <c r="C3030">
        <f>[2]TongHop!C3030</f>
        <v>0</v>
      </c>
      <c r="D3030">
        <f>[2]TongHop!D3030</f>
        <v>0</v>
      </c>
      <c r="E3030">
        <f>[2]TongHop!E3030</f>
        <v>0</v>
      </c>
      <c r="F3030">
        <f>[2]TongHop!F3030</f>
        <v>0</v>
      </c>
      <c r="G3030">
        <f>[2]TongHop!G3030</f>
        <v>0</v>
      </c>
      <c r="H3030">
        <f>[2]TongHop!H3030</f>
        <v>0</v>
      </c>
      <c r="I3030">
        <f>[2]TongHop!I3030</f>
        <v>0</v>
      </c>
      <c r="J3030">
        <f>[2]TongHop!J3030</f>
        <v>0</v>
      </c>
      <c r="K3030">
        <f>[2]TongHop!K3030</f>
        <v>0</v>
      </c>
      <c r="L3030">
        <f>[2]TongHop!L3030</f>
        <v>0</v>
      </c>
      <c r="M3030">
        <f>[2]TongHop!M3030</f>
        <v>0</v>
      </c>
      <c r="N3030">
        <f>[2]TongHop!N3030</f>
        <v>0</v>
      </c>
    </row>
    <row r="3031" spans="1:14">
      <c r="A3031">
        <f>[2]TongHop!A3031</f>
        <v>0</v>
      </c>
      <c r="B3031">
        <f>[2]TongHop!B3031</f>
        <v>0</v>
      </c>
      <c r="C3031">
        <f>[2]TongHop!C3031</f>
        <v>0</v>
      </c>
      <c r="D3031">
        <f>[2]TongHop!D3031</f>
        <v>0</v>
      </c>
      <c r="E3031">
        <f>[2]TongHop!E3031</f>
        <v>0</v>
      </c>
      <c r="F3031">
        <f>[2]TongHop!F3031</f>
        <v>0</v>
      </c>
      <c r="G3031">
        <f>[2]TongHop!G3031</f>
        <v>0</v>
      </c>
      <c r="H3031">
        <f>[2]TongHop!H3031</f>
        <v>0</v>
      </c>
      <c r="I3031">
        <f>[2]TongHop!I3031</f>
        <v>0</v>
      </c>
      <c r="J3031">
        <f>[2]TongHop!J3031</f>
        <v>0</v>
      </c>
      <c r="K3031">
        <f>[2]TongHop!K3031</f>
        <v>0</v>
      </c>
      <c r="L3031">
        <f>[2]TongHop!L3031</f>
        <v>0</v>
      </c>
      <c r="M3031">
        <f>[2]TongHop!M3031</f>
        <v>0</v>
      </c>
      <c r="N3031">
        <f>[2]TongHop!N3031</f>
        <v>0</v>
      </c>
    </row>
    <row r="3032" spans="1:14">
      <c r="A3032">
        <f>[2]TongHop!A3032</f>
        <v>0</v>
      </c>
      <c r="B3032">
        <f>[2]TongHop!B3032</f>
        <v>0</v>
      </c>
      <c r="C3032">
        <f>[2]TongHop!C3032</f>
        <v>0</v>
      </c>
      <c r="D3032">
        <f>[2]TongHop!D3032</f>
        <v>0</v>
      </c>
      <c r="E3032">
        <f>[2]TongHop!E3032</f>
        <v>0</v>
      </c>
      <c r="F3032">
        <f>[2]TongHop!F3032</f>
        <v>0</v>
      </c>
      <c r="G3032">
        <f>[2]TongHop!G3032</f>
        <v>0</v>
      </c>
      <c r="H3032">
        <f>[2]TongHop!H3032</f>
        <v>0</v>
      </c>
      <c r="I3032">
        <f>[2]TongHop!I3032</f>
        <v>0</v>
      </c>
      <c r="J3032">
        <f>[2]TongHop!J3032</f>
        <v>0</v>
      </c>
      <c r="K3032">
        <f>[2]TongHop!K3032</f>
        <v>0</v>
      </c>
      <c r="L3032">
        <f>[2]TongHop!L3032</f>
        <v>0</v>
      </c>
      <c r="M3032">
        <f>[2]TongHop!M3032</f>
        <v>0</v>
      </c>
      <c r="N3032">
        <f>[2]TongHop!N3032</f>
        <v>0</v>
      </c>
    </row>
    <row r="3033" spans="1:14">
      <c r="A3033">
        <f>[2]TongHop!A3033</f>
        <v>0</v>
      </c>
      <c r="B3033">
        <f>[2]TongHop!B3033</f>
        <v>0</v>
      </c>
      <c r="C3033">
        <f>[2]TongHop!C3033</f>
        <v>0</v>
      </c>
      <c r="D3033">
        <f>[2]TongHop!D3033</f>
        <v>0</v>
      </c>
      <c r="E3033">
        <f>[2]TongHop!E3033</f>
        <v>0</v>
      </c>
      <c r="F3033">
        <f>[2]TongHop!F3033</f>
        <v>0</v>
      </c>
      <c r="G3033">
        <f>[2]TongHop!G3033</f>
        <v>0</v>
      </c>
      <c r="H3033">
        <f>[2]TongHop!H3033</f>
        <v>0</v>
      </c>
      <c r="I3033">
        <f>[2]TongHop!I3033</f>
        <v>0</v>
      </c>
      <c r="J3033">
        <f>[2]TongHop!J3033</f>
        <v>0</v>
      </c>
      <c r="K3033">
        <f>[2]TongHop!K3033</f>
        <v>0</v>
      </c>
      <c r="L3033">
        <f>[2]TongHop!L3033</f>
        <v>0</v>
      </c>
      <c r="M3033">
        <f>[2]TongHop!M3033</f>
        <v>0</v>
      </c>
      <c r="N3033">
        <f>[2]TongHop!N3033</f>
        <v>0</v>
      </c>
    </row>
    <row r="3034" spans="1:14">
      <c r="A3034">
        <f>[2]TongHop!A3034</f>
        <v>0</v>
      </c>
      <c r="B3034">
        <f>[2]TongHop!B3034</f>
        <v>0</v>
      </c>
      <c r="C3034">
        <f>[2]TongHop!C3034</f>
        <v>0</v>
      </c>
      <c r="D3034">
        <f>[2]TongHop!D3034</f>
        <v>0</v>
      </c>
      <c r="E3034">
        <f>[2]TongHop!E3034</f>
        <v>0</v>
      </c>
      <c r="F3034">
        <f>[2]TongHop!F3034</f>
        <v>0</v>
      </c>
      <c r="G3034">
        <f>[2]TongHop!G3034</f>
        <v>0</v>
      </c>
      <c r="H3034">
        <f>[2]TongHop!H3034</f>
        <v>0</v>
      </c>
      <c r="I3034">
        <f>[2]TongHop!I3034</f>
        <v>0</v>
      </c>
      <c r="J3034">
        <f>[2]TongHop!J3034</f>
        <v>0</v>
      </c>
      <c r="K3034">
        <f>[2]TongHop!K3034</f>
        <v>0</v>
      </c>
      <c r="L3034">
        <f>[2]TongHop!L3034</f>
        <v>0</v>
      </c>
      <c r="M3034">
        <f>[2]TongHop!M3034</f>
        <v>0</v>
      </c>
      <c r="N3034">
        <f>[2]TongHop!N3034</f>
        <v>0</v>
      </c>
    </row>
    <row r="3035" spans="1:14">
      <c r="A3035">
        <f>[2]TongHop!A3035</f>
        <v>0</v>
      </c>
      <c r="B3035">
        <f>[2]TongHop!B3035</f>
        <v>0</v>
      </c>
      <c r="C3035">
        <f>[2]TongHop!C3035</f>
        <v>0</v>
      </c>
      <c r="D3035">
        <f>[2]TongHop!D3035</f>
        <v>0</v>
      </c>
      <c r="E3035">
        <f>[2]TongHop!E3035</f>
        <v>0</v>
      </c>
      <c r="F3035">
        <f>[2]TongHop!F3035</f>
        <v>0</v>
      </c>
      <c r="G3035">
        <f>[2]TongHop!G3035</f>
        <v>0</v>
      </c>
      <c r="H3035">
        <f>[2]TongHop!H3035</f>
        <v>0</v>
      </c>
      <c r="I3035">
        <f>[2]TongHop!I3035</f>
        <v>0</v>
      </c>
      <c r="J3035">
        <f>[2]TongHop!J3035</f>
        <v>0</v>
      </c>
      <c r="K3035">
        <f>[2]TongHop!K3035</f>
        <v>0</v>
      </c>
      <c r="L3035">
        <f>[2]TongHop!L3035</f>
        <v>0</v>
      </c>
      <c r="M3035">
        <f>[2]TongHop!M3035</f>
        <v>0</v>
      </c>
      <c r="N3035">
        <f>[2]TongHop!N3035</f>
        <v>0</v>
      </c>
    </row>
    <row r="3036" spans="1:14">
      <c r="A3036">
        <f>[2]TongHop!A3036</f>
        <v>0</v>
      </c>
      <c r="B3036">
        <f>[2]TongHop!B3036</f>
        <v>0</v>
      </c>
      <c r="C3036">
        <f>[2]TongHop!C3036</f>
        <v>0</v>
      </c>
      <c r="D3036">
        <f>[2]TongHop!D3036</f>
        <v>0</v>
      </c>
      <c r="E3036">
        <f>[2]TongHop!E3036</f>
        <v>0</v>
      </c>
      <c r="F3036">
        <f>[2]TongHop!F3036</f>
        <v>0</v>
      </c>
      <c r="G3036">
        <f>[2]TongHop!G3036</f>
        <v>0</v>
      </c>
      <c r="H3036">
        <f>[2]TongHop!H3036</f>
        <v>0</v>
      </c>
      <c r="I3036">
        <f>[2]TongHop!I3036</f>
        <v>0</v>
      </c>
      <c r="J3036">
        <f>[2]TongHop!J3036</f>
        <v>0</v>
      </c>
      <c r="K3036">
        <f>[2]TongHop!K3036</f>
        <v>0</v>
      </c>
      <c r="L3036">
        <f>[2]TongHop!L3036</f>
        <v>0</v>
      </c>
      <c r="M3036">
        <f>[2]TongHop!M3036</f>
        <v>0</v>
      </c>
      <c r="N3036">
        <f>[2]TongHop!N3036</f>
        <v>0</v>
      </c>
    </row>
    <row r="3037" spans="1:14">
      <c r="A3037">
        <f>[2]TongHop!A3037</f>
        <v>0</v>
      </c>
      <c r="B3037">
        <f>[2]TongHop!B3037</f>
        <v>0</v>
      </c>
      <c r="C3037">
        <f>[2]TongHop!C3037</f>
        <v>0</v>
      </c>
      <c r="D3037">
        <f>[2]TongHop!D3037</f>
        <v>0</v>
      </c>
      <c r="E3037">
        <f>[2]TongHop!E3037</f>
        <v>0</v>
      </c>
      <c r="F3037">
        <f>[2]TongHop!F3037</f>
        <v>0</v>
      </c>
      <c r="G3037">
        <f>[2]TongHop!G3037</f>
        <v>0</v>
      </c>
      <c r="H3037">
        <f>[2]TongHop!H3037</f>
        <v>0</v>
      </c>
      <c r="I3037">
        <f>[2]TongHop!I3037</f>
        <v>0</v>
      </c>
      <c r="J3037">
        <f>[2]TongHop!J3037</f>
        <v>0</v>
      </c>
      <c r="K3037">
        <f>[2]TongHop!K3037</f>
        <v>0</v>
      </c>
      <c r="L3037">
        <f>[2]TongHop!L3037</f>
        <v>0</v>
      </c>
      <c r="M3037">
        <f>[2]TongHop!M3037</f>
        <v>0</v>
      </c>
      <c r="N3037">
        <f>[2]TongHop!N3037</f>
        <v>0</v>
      </c>
    </row>
    <row r="3038" spans="1:14">
      <c r="A3038">
        <f>[2]TongHop!A3038</f>
        <v>0</v>
      </c>
      <c r="B3038">
        <f>[2]TongHop!B3038</f>
        <v>0</v>
      </c>
      <c r="C3038">
        <f>[2]TongHop!C3038</f>
        <v>0</v>
      </c>
      <c r="D3038">
        <f>[2]TongHop!D3038</f>
        <v>0</v>
      </c>
      <c r="E3038">
        <f>[2]TongHop!E3038</f>
        <v>0</v>
      </c>
      <c r="F3038">
        <f>[2]TongHop!F3038</f>
        <v>0</v>
      </c>
      <c r="G3038">
        <f>[2]TongHop!G3038</f>
        <v>0</v>
      </c>
      <c r="H3038">
        <f>[2]TongHop!H3038</f>
        <v>0</v>
      </c>
      <c r="I3038">
        <f>[2]TongHop!I3038</f>
        <v>0</v>
      </c>
      <c r="J3038">
        <f>[2]TongHop!J3038</f>
        <v>0</v>
      </c>
      <c r="K3038">
        <f>[2]TongHop!K3038</f>
        <v>0</v>
      </c>
      <c r="L3038">
        <f>[2]TongHop!L3038</f>
        <v>0</v>
      </c>
      <c r="M3038">
        <f>[2]TongHop!M3038</f>
        <v>0</v>
      </c>
      <c r="N3038">
        <f>[2]TongHop!N3038</f>
        <v>0</v>
      </c>
    </row>
    <row r="3039" spans="1:14">
      <c r="A3039">
        <f>[2]TongHop!A3039</f>
        <v>0</v>
      </c>
      <c r="B3039">
        <f>[2]TongHop!B3039</f>
        <v>0</v>
      </c>
      <c r="C3039">
        <f>[2]TongHop!C3039</f>
        <v>0</v>
      </c>
      <c r="D3039">
        <f>[2]TongHop!D3039</f>
        <v>0</v>
      </c>
      <c r="E3039">
        <f>[2]TongHop!E3039</f>
        <v>0</v>
      </c>
      <c r="F3039">
        <f>[2]TongHop!F3039</f>
        <v>0</v>
      </c>
      <c r="G3039">
        <f>[2]TongHop!G3039</f>
        <v>0</v>
      </c>
      <c r="H3039">
        <f>[2]TongHop!H3039</f>
        <v>0</v>
      </c>
      <c r="I3039">
        <f>[2]TongHop!I3039</f>
        <v>0</v>
      </c>
      <c r="J3039">
        <f>[2]TongHop!J3039</f>
        <v>0</v>
      </c>
      <c r="K3039">
        <f>[2]TongHop!K3039</f>
        <v>0</v>
      </c>
      <c r="L3039">
        <f>[2]TongHop!L3039</f>
        <v>0</v>
      </c>
      <c r="M3039">
        <f>[2]TongHop!M3039</f>
        <v>0</v>
      </c>
      <c r="N3039">
        <f>[2]TongHop!N3039</f>
        <v>0</v>
      </c>
    </row>
    <row r="3040" spans="1:14">
      <c r="A3040">
        <f>[2]TongHop!A3040</f>
        <v>0</v>
      </c>
      <c r="B3040">
        <f>[2]TongHop!B3040</f>
        <v>0</v>
      </c>
      <c r="C3040">
        <f>[2]TongHop!C3040</f>
        <v>0</v>
      </c>
      <c r="D3040">
        <f>[2]TongHop!D3040</f>
        <v>0</v>
      </c>
      <c r="E3040">
        <f>[2]TongHop!E3040</f>
        <v>0</v>
      </c>
      <c r="F3040">
        <f>[2]TongHop!F3040</f>
        <v>0</v>
      </c>
      <c r="G3040">
        <f>[2]TongHop!G3040</f>
        <v>0</v>
      </c>
      <c r="H3040">
        <f>[2]TongHop!H3040</f>
        <v>0</v>
      </c>
      <c r="I3040">
        <f>[2]TongHop!I3040</f>
        <v>0</v>
      </c>
      <c r="J3040">
        <f>[2]TongHop!J3040</f>
        <v>0</v>
      </c>
      <c r="K3040">
        <f>[2]TongHop!K3040</f>
        <v>0</v>
      </c>
      <c r="L3040">
        <f>[2]TongHop!L3040</f>
        <v>0</v>
      </c>
      <c r="M3040">
        <f>[2]TongHop!M3040</f>
        <v>0</v>
      </c>
      <c r="N3040">
        <f>[2]TongHop!N3040</f>
        <v>0</v>
      </c>
    </row>
    <row r="3041" spans="1:14">
      <c r="A3041">
        <f>[2]TongHop!A3041</f>
        <v>0</v>
      </c>
      <c r="B3041">
        <f>[2]TongHop!B3041</f>
        <v>0</v>
      </c>
      <c r="C3041">
        <f>[2]TongHop!C3041</f>
        <v>0</v>
      </c>
      <c r="D3041">
        <f>[2]TongHop!D3041</f>
        <v>0</v>
      </c>
      <c r="E3041">
        <f>[2]TongHop!E3041</f>
        <v>0</v>
      </c>
      <c r="F3041">
        <f>[2]TongHop!F3041</f>
        <v>0</v>
      </c>
      <c r="G3041">
        <f>[2]TongHop!G3041</f>
        <v>0</v>
      </c>
      <c r="H3041">
        <f>[2]TongHop!H3041</f>
        <v>0</v>
      </c>
      <c r="I3041">
        <f>[2]TongHop!I3041</f>
        <v>0</v>
      </c>
      <c r="J3041">
        <f>[2]TongHop!J3041</f>
        <v>0</v>
      </c>
      <c r="K3041">
        <f>[2]TongHop!K3041</f>
        <v>0</v>
      </c>
      <c r="L3041">
        <f>[2]TongHop!L3041</f>
        <v>0</v>
      </c>
      <c r="M3041">
        <f>[2]TongHop!M3041</f>
        <v>0</v>
      </c>
      <c r="N3041">
        <f>[2]TongHop!N3041</f>
        <v>0</v>
      </c>
    </row>
    <row r="3042" spans="1:14">
      <c r="A3042">
        <f>[2]TongHop!A3042</f>
        <v>0</v>
      </c>
      <c r="B3042">
        <f>[2]TongHop!B3042</f>
        <v>0</v>
      </c>
      <c r="C3042">
        <f>[2]TongHop!C3042</f>
        <v>0</v>
      </c>
      <c r="D3042">
        <f>[2]TongHop!D3042</f>
        <v>0</v>
      </c>
      <c r="E3042">
        <f>[2]TongHop!E3042</f>
        <v>0</v>
      </c>
      <c r="F3042">
        <f>[2]TongHop!F3042</f>
        <v>0</v>
      </c>
      <c r="G3042">
        <f>[2]TongHop!G3042</f>
        <v>0</v>
      </c>
      <c r="H3042">
        <f>[2]TongHop!H3042</f>
        <v>0</v>
      </c>
      <c r="I3042">
        <f>[2]TongHop!I3042</f>
        <v>0</v>
      </c>
      <c r="J3042">
        <f>[2]TongHop!J3042</f>
        <v>0</v>
      </c>
      <c r="K3042">
        <f>[2]TongHop!K3042</f>
        <v>0</v>
      </c>
      <c r="L3042">
        <f>[2]TongHop!L3042</f>
        <v>0</v>
      </c>
      <c r="M3042">
        <f>[2]TongHop!M3042</f>
        <v>0</v>
      </c>
      <c r="N3042">
        <f>[2]TongHop!N3042</f>
        <v>0</v>
      </c>
    </row>
    <row r="3043" spans="1:14">
      <c r="A3043">
        <f>[2]TongHop!A3043</f>
        <v>0</v>
      </c>
      <c r="B3043">
        <f>[2]TongHop!B3043</f>
        <v>0</v>
      </c>
      <c r="C3043">
        <f>[2]TongHop!C3043</f>
        <v>0</v>
      </c>
      <c r="D3043">
        <f>[2]TongHop!D3043</f>
        <v>0</v>
      </c>
      <c r="E3043">
        <f>[2]TongHop!E3043</f>
        <v>0</v>
      </c>
      <c r="F3043">
        <f>[2]TongHop!F3043</f>
        <v>0</v>
      </c>
      <c r="G3043">
        <f>[2]TongHop!G3043</f>
        <v>0</v>
      </c>
      <c r="H3043">
        <f>[2]TongHop!H3043</f>
        <v>0</v>
      </c>
      <c r="I3043">
        <f>[2]TongHop!I3043</f>
        <v>0</v>
      </c>
      <c r="J3043">
        <f>[2]TongHop!J3043</f>
        <v>0</v>
      </c>
      <c r="K3043">
        <f>[2]TongHop!K3043</f>
        <v>0</v>
      </c>
      <c r="L3043">
        <f>[2]TongHop!L3043</f>
        <v>0</v>
      </c>
      <c r="M3043">
        <f>[2]TongHop!M3043</f>
        <v>0</v>
      </c>
      <c r="N3043">
        <f>[2]TongHop!N3043</f>
        <v>0</v>
      </c>
    </row>
    <row r="3044" spans="1:14">
      <c r="A3044">
        <f>[2]TongHop!A3044</f>
        <v>0</v>
      </c>
      <c r="B3044">
        <f>[2]TongHop!B3044</f>
        <v>0</v>
      </c>
      <c r="C3044">
        <f>[2]TongHop!C3044</f>
        <v>0</v>
      </c>
      <c r="D3044">
        <f>[2]TongHop!D3044</f>
        <v>0</v>
      </c>
      <c r="E3044">
        <f>[2]TongHop!E3044</f>
        <v>0</v>
      </c>
      <c r="F3044">
        <f>[2]TongHop!F3044</f>
        <v>0</v>
      </c>
      <c r="G3044">
        <f>[2]TongHop!G3044</f>
        <v>0</v>
      </c>
      <c r="H3044">
        <f>[2]TongHop!H3044</f>
        <v>0</v>
      </c>
      <c r="I3044">
        <f>[2]TongHop!I3044</f>
        <v>0</v>
      </c>
      <c r="J3044">
        <f>[2]TongHop!J3044</f>
        <v>0</v>
      </c>
      <c r="K3044">
        <f>[2]TongHop!K3044</f>
        <v>0</v>
      </c>
      <c r="L3044">
        <f>[2]TongHop!L3044</f>
        <v>0</v>
      </c>
      <c r="M3044">
        <f>[2]TongHop!M3044</f>
        <v>0</v>
      </c>
      <c r="N3044">
        <f>[2]TongHop!N3044</f>
        <v>0</v>
      </c>
    </row>
    <row r="3045" spans="1:14">
      <c r="A3045">
        <f>[2]TongHop!A3045</f>
        <v>0</v>
      </c>
      <c r="B3045">
        <f>[2]TongHop!B3045</f>
        <v>0</v>
      </c>
      <c r="C3045">
        <f>[2]TongHop!C3045</f>
        <v>0</v>
      </c>
      <c r="D3045">
        <f>[2]TongHop!D3045</f>
        <v>0</v>
      </c>
      <c r="E3045">
        <f>[2]TongHop!E3045</f>
        <v>0</v>
      </c>
      <c r="F3045">
        <f>[2]TongHop!F3045</f>
        <v>0</v>
      </c>
      <c r="G3045">
        <f>[2]TongHop!G3045</f>
        <v>0</v>
      </c>
      <c r="H3045">
        <f>[2]TongHop!H3045</f>
        <v>0</v>
      </c>
      <c r="I3045">
        <f>[2]TongHop!I3045</f>
        <v>0</v>
      </c>
      <c r="J3045">
        <f>[2]TongHop!J3045</f>
        <v>0</v>
      </c>
      <c r="K3045">
        <f>[2]TongHop!K3045</f>
        <v>0</v>
      </c>
      <c r="L3045">
        <f>[2]TongHop!L3045</f>
        <v>0</v>
      </c>
      <c r="M3045">
        <f>[2]TongHop!M3045</f>
        <v>0</v>
      </c>
      <c r="N3045">
        <f>[2]TongHop!N3045</f>
        <v>0</v>
      </c>
    </row>
    <row r="3046" spans="1:14">
      <c r="A3046">
        <f>[2]TongHop!A3046</f>
        <v>0</v>
      </c>
      <c r="B3046">
        <f>[2]TongHop!B3046</f>
        <v>0</v>
      </c>
      <c r="C3046">
        <f>[2]TongHop!C3046</f>
        <v>0</v>
      </c>
      <c r="D3046">
        <f>[2]TongHop!D3046</f>
        <v>0</v>
      </c>
      <c r="E3046">
        <f>[2]TongHop!E3046</f>
        <v>0</v>
      </c>
      <c r="F3046">
        <f>[2]TongHop!F3046</f>
        <v>0</v>
      </c>
      <c r="G3046">
        <f>[2]TongHop!G3046</f>
        <v>0</v>
      </c>
      <c r="H3046">
        <f>[2]TongHop!H3046</f>
        <v>0</v>
      </c>
      <c r="I3046">
        <f>[2]TongHop!I3046</f>
        <v>0</v>
      </c>
      <c r="J3046">
        <f>[2]TongHop!J3046</f>
        <v>0</v>
      </c>
      <c r="K3046">
        <f>[2]TongHop!K3046</f>
        <v>0</v>
      </c>
      <c r="L3046">
        <f>[2]TongHop!L3046</f>
        <v>0</v>
      </c>
      <c r="M3046">
        <f>[2]TongHop!M3046</f>
        <v>0</v>
      </c>
      <c r="N3046">
        <f>[2]TongHop!N3046</f>
        <v>0</v>
      </c>
    </row>
    <row r="3047" spans="1:14">
      <c r="A3047">
        <f>[2]TongHop!A3047</f>
        <v>0</v>
      </c>
      <c r="B3047">
        <f>[2]TongHop!B3047</f>
        <v>0</v>
      </c>
      <c r="C3047">
        <f>[2]TongHop!C3047</f>
        <v>0</v>
      </c>
      <c r="D3047">
        <f>[2]TongHop!D3047</f>
        <v>0</v>
      </c>
      <c r="E3047">
        <f>[2]TongHop!E3047</f>
        <v>0</v>
      </c>
      <c r="F3047">
        <f>[2]TongHop!F3047</f>
        <v>0</v>
      </c>
      <c r="G3047">
        <f>[2]TongHop!G3047</f>
        <v>0</v>
      </c>
      <c r="H3047">
        <f>[2]TongHop!H3047</f>
        <v>0</v>
      </c>
      <c r="I3047">
        <f>[2]TongHop!I3047</f>
        <v>0</v>
      </c>
      <c r="J3047">
        <f>[2]TongHop!J3047</f>
        <v>0</v>
      </c>
      <c r="K3047">
        <f>[2]TongHop!K3047</f>
        <v>0</v>
      </c>
      <c r="L3047">
        <f>[2]TongHop!L3047</f>
        <v>0</v>
      </c>
      <c r="M3047">
        <f>[2]TongHop!M3047</f>
        <v>0</v>
      </c>
      <c r="N3047">
        <f>[2]TongHop!N3047</f>
        <v>0</v>
      </c>
    </row>
    <row r="3048" spans="1:14">
      <c r="A3048">
        <f>[2]TongHop!A3048</f>
        <v>0</v>
      </c>
      <c r="B3048">
        <f>[2]TongHop!B3048</f>
        <v>0</v>
      </c>
      <c r="C3048">
        <f>[2]TongHop!C3048</f>
        <v>0</v>
      </c>
      <c r="D3048">
        <f>[2]TongHop!D3048</f>
        <v>0</v>
      </c>
      <c r="E3048">
        <f>[2]TongHop!E3048</f>
        <v>0</v>
      </c>
      <c r="F3048">
        <f>[2]TongHop!F3048</f>
        <v>0</v>
      </c>
      <c r="G3048">
        <f>[2]TongHop!G3048</f>
        <v>0</v>
      </c>
      <c r="H3048">
        <f>[2]TongHop!H3048</f>
        <v>0</v>
      </c>
      <c r="I3048">
        <f>[2]TongHop!I3048</f>
        <v>0</v>
      </c>
      <c r="J3048">
        <f>[2]TongHop!J3048</f>
        <v>0</v>
      </c>
      <c r="K3048">
        <f>[2]TongHop!K3048</f>
        <v>0</v>
      </c>
      <c r="L3048">
        <f>[2]TongHop!L3048</f>
        <v>0</v>
      </c>
      <c r="M3048">
        <f>[2]TongHop!M3048</f>
        <v>0</v>
      </c>
      <c r="N3048">
        <f>[2]TongHop!N3048</f>
        <v>0</v>
      </c>
    </row>
    <row r="3049" spans="1:14">
      <c r="A3049">
        <f>[2]TongHop!A3049</f>
        <v>0</v>
      </c>
      <c r="B3049">
        <f>[2]TongHop!B3049</f>
        <v>0</v>
      </c>
      <c r="C3049">
        <f>[2]TongHop!C3049</f>
        <v>0</v>
      </c>
      <c r="D3049">
        <f>[2]TongHop!D3049</f>
        <v>0</v>
      </c>
      <c r="E3049">
        <f>[2]TongHop!E3049</f>
        <v>0</v>
      </c>
      <c r="F3049">
        <f>[2]TongHop!F3049</f>
        <v>0</v>
      </c>
      <c r="G3049">
        <f>[2]TongHop!G3049</f>
        <v>0</v>
      </c>
      <c r="H3049">
        <f>[2]TongHop!H3049</f>
        <v>0</v>
      </c>
      <c r="I3049">
        <f>[2]TongHop!I3049</f>
        <v>0</v>
      </c>
      <c r="J3049">
        <f>[2]TongHop!J3049</f>
        <v>0</v>
      </c>
      <c r="K3049">
        <f>[2]TongHop!K3049</f>
        <v>0</v>
      </c>
      <c r="L3049">
        <f>[2]TongHop!L3049</f>
        <v>0</v>
      </c>
      <c r="M3049">
        <f>[2]TongHop!M3049</f>
        <v>0</v>
      </c>
      <c r="N3049">
        <f>[2]TongHop!N3049</f>
        <v>0</v>
      </c>
    </row>
    <row r="3050" spans="1:14">
      <c r="A3050">
        <f>[2]TongHop!A3050</f>
        <v>0</v>
      </c>
      <c r="B3050">
        <f>[2]TongHop!B3050</f>
        <v>0</v>
      </c>
      <c r="C3050">
        <f>[2]TongHop!C3050</f>
        <v>0</v>
      </c>
      <c r="D3050">
        <f>[2]TongHop!D3050</f>
        <v>0</v>
      </c>
      <c r="E3050">
        <f>[2]TongHop!E3050</f>
        <v>0</v>
      </c>
      <c r="F3050">
        <f>[2]TongHop!F3050</f>
        <v>0</v>
      </c>
      <c r="G3050">
        <f>[2]TongHop!G3050</f>
        <v>0</v>
      </c>
      <c r="H3050">
        <f>[2]TongHop!H3050</f>
        <v>0</v>
      </c>
      <c r="I3050">
        <f>[2]TongHop!I3050</f>
        <v>0</v>
      </c>
      <c r="J3050">
        <f>[2]TongHop!J3050</f>
        <v>0</v>
      </c>
      <c r="K3050">
        <f>[2]TongHop!K3050</f>
        <v>0</v>
      </c>
      <c r="L3050">
        <f>[2]TongHop!L3050</f>
        <v>0</v>
      </c>
      <c r="M3050">
        <f>[2]TongHop!M3050</f>
        <v>0</v>
      </c>
      <c r="N3050">
        <f>[2]TongHop!N3050</f>
        <v>0</v>
      </c>
    </row>
    <row r="3051" spans="1:14">
      <c r="A3051">
        <f>[2]TongHop!A3051</f>
        <v>0</v>
      </c>
      <c r="B3051">
        <f>[2]TongHop!B3051</f>
        <v>0</v>
      </c>
      <c r="C3051">
        <f>[2]TongHop!C3051</f>
        <v>0</v>
      </c>
      <c r="D3051">
        <f>[2]TongHop!D3051</f>
        <v>0</v>
      </c>
      <c r="E3051">
        <f>[2]TongHop!E3051</f>
        <v>0</v>
      </c>
      <c r="F3051">
        <f>[2]TongHop!F3051</f>
        <v>0</v>
      </c>
      <c r="G3051">
        <f>[2]TongHop!G3051</f>
        <v>0</v>
      </c>
      <c r="H3051">
        <f>[2]TongHop!H3051</f>
        <v>0</v>
      </c>
      <c r="I3051">
        <f>[2]TongHop!I3051</f>
        <v>0</v>
      </c>
      <c r="J3051">
        <f>[2]TongHop!J3051</f>
        <v>0</v>
      </c>
      <c r="K3051">
        <f>[2]TongHop!K3051</f>
        <v>0</v>
      </c>
      <c r="L3051">
        <f>[2]TongHop!L3051</f>
        <v>0</v>
      </c>
      <c r="M3051">
        <f>[2]TongHop!M3051</f>
        <v>0</v>
      </c>
      <c r="N3051">
        <f>[2]TongHop!N3051</f>
        <v>0</v>
      </c>
    </row>
    <row r="3052" spans="1:14">
      <c r="A3052">
        <f>[2]TongHop!A3052</f>
        <v>0</v>
      </c>
      <c r="B3052">
        <f>[2]TongHop!B3052</f>
        <v>0</v>
      </c>
      <c r="C3052">
        <f>[2]TongHop!C3052</f>
        <v>0</v>
      </c>
      <c r="D3052">
        <f>[2]TongHop!D3052</f>
        <v>0</v>
      </c>
      <c r="E3052">
        <f>[2]TongHop!E3052</f>
        <v>0</v>
      </c>
      <c r="F3052">
        <f>[2]TongHop!F3052</f>
        <v>0</v>
      </c>
      <c r="G3052">
        <f>[2]TongHop!G3052</f>
        <v>0</v>
      </c>
      <c r="H3052">
        <f>[2]TongHop!H3052</f>
        <v>0</v>
      </c>
      <c r="I3052">
        <f>[2]TongHop!I3052</f>
        <v>0</v>
      </c>
      <c r="J3052">
        <f>[2]TongHop!J3052</f>
        <v>0</v>
      </c>
      <c r="K3052">
        <f>[2]TongHop!K3052</f>
        <v>0</v>
      </c>
      <c r="L3052">
        <f>[2]TongHop!L3052</f>
        <v>0</v>
      </c>
      <c r="M3052">
        <f>[2]TongHop!M3052</f>
        <v>0</v>
      </c>
      <c r="N3052">
        <f>[2]TongHop!N3052</f>
        <v>0</v>
      </c>
    </row>
    <row r="3053" spans="1:14">
      <c r="A3053">
        <f>[2]TongHop!A3053</f>
        <v>0</v>
      </c>
      <c r="B3053">
        <f>[2]TongHop!B3053</f>
        <v>0</v>
      </c>
      <c r="C3053">
        <f>[2]TongHop!C3053</f>
        <v>0</v>
      </c>
      <c r="D3053">
        <f>[2]TongHop!D3053</f>
        <v>0</v>
      </c>
      <c r="E3053">
        <f>[2]TongHop!E3053</f>
        <v>0</v>
      </c>
      <c r="F3053">
        <f>[2]TongHop!F3053</f>
        <v>0</v>
      </c>
      <c r="G3053">
        <f>[2]TongHop!G3053</f>
        <v>0</v>
      </c>
      <c r="H3053">
        <f>[2]TongHop!H3053</f>
        <v>0</v>
      </c>
      <c r="I3053">
        <f>[2]TongHop!I3053</f>
        <v>0</v>
      </c>
      <c r="J3053">
        <f>[2]TongHop!J3053</f>
        <v>0</v>
      </c>
      <c r="K3053">
        <f>[2]TongHop!K3053</f>
        <v>0</v>
      </c>
      <c r="L3053">
        <f>[2]TongHop!L3053</f>
        <v>0</v>
      </c>
      <c r="M3053">
        <f>[2]TongHop!M3053</f>
        <v>0</v>
      </c>
      <c r="N3053">
        <f>[2]TongHop!N3053</f>
        <v>0</v>
      </c>
    </row>
    <row r="3054" spans="1:14">
      <c r="A3054">
        <f>[2]TongHop!A3054</f>
        <v>0</v>
      </c>
      <c r="B3054">
        <f>[2]TongHop!B3054</f>
        <v>0</v>
      </c>
      <c r="C3054">
        <f>[2]TongHop!C3054</f>
        <v>0</v>
      </c>
      <c r="D3054">
        <f>[2]TongHop!D3054</f>
        <v>0</v>
      </c>
      <c r="E3054">
        <f>[2]TongHop!E3054</f>
        <v>0</v>
      </c>
      <c r="F3054">
        <f>[2]TongHop!F3054</f>
        <v>0</v>
      </c>
      <c r="G3054">
        <f>[2]TongHop!G3054</f>
        <v>0</v>
      </c>
      <c r="H3054">
        <f>[2]TongHop!H3054</f>
        <v>0</v>
      </c>
      <c r="I3054">
        <f>[2]TongHop!I3054</f>
        <v>0</v>
      </c>
      <c r="J3054">
        <f>[2]TongHop!J3054</f>
        <v>0</v>
      </c>
      <c r="K3054">
        <f>[2]TongHop!K3054</f>
        <v>0</v>
      </c>
      <c r="L3054">
        <f>[2]TongHop!L3054</f>
        <v>0</v>
      </c>
      <c r="M3054">
        <f>[2]TongHop!M3054</f>
        <v>0</v>
      </c>
      <c r="N3054">
        <f>[2]TongHop!N3054</f>
        <v>0</v>
      </c>
    </row>
    <row r="3055" spans="1:14">
      <c r="A3055">
        <f>[2]TongHop!A3055</f>
        <v>0</v>
      </c>
      <c r="B3055">
        <f>[2]TongHop!B3055</f>
        <v>0</v>
      </c>
      <c r="C3055">
        <f>[2]TongHop!C3055</f>
        <v>0</v>
      </c>
      <c r="D3055">
        <f>[2]TongHop!D3055</f>
        <v>0</v>
      </c>
      <c r="E3055">
        <f>[2]TongHop!E3055</f>
        <v>0</v>
      </c>
      <c r="F3055">
        <f>[2]TongHop!F3055</f>
        <v>0</v>
      </c>
      <c r="G3055">
        <f>[2]TongHop!G3055</f>
        <v>0</v>
      </c>
      <c r="H3055">
        <f>[2]TongHop!H3055</f>
        <v>0</v>
      </c>
      <c r="I3055">
        <f>[2]TongHop!I3055</f>
        <v>0</v>
      </c>
      <c r="J3055">
        <f>[2]TongHop!J3055</f>
        <v>0</v>
      </c>
      <c r="K3055">
        <f>[2]TongHop!K3055</f>
        <v>0</v>
      </c>
      <c r="L3055">
        <f>[2]TongHop!L3055</f>
        <v>0</v>
      </c>
      <c r="M3055">
        <f>[2]TongHop!M3055</f>
        <v>0</v>
      </c>
      <c r="N3055">
        <f>[2]TongHop!N3055</f>
        <v>0</v>
      </c>
    </row>
    <row r="3056" spans="1:14">
      <c r="A3056">
        <f>[2]TongHop!A3056</f>
        <v>0</v>
      </c>
      <c r="B3056">
        <f>[2]TongHop!B3056</f>
        <v>0</v>
      </c>
      <c r="C3056">
        <f>[2]TongHop!C3056</f>
        <v>0</v>
      </c>
      <c r="D3056">
        <f>[2]TongHop!D3056</f>
        <v>0</v>
      </c>
      <c r="E3056">
        <f>[2]TongHop!E3056</f>
        <v>0</v>
      </c>
      <c r="F3056">
        <f>[2]TongHop!F3056</f>
        <v>0</v>
      </c>
      <c r="G3056">
        <f>[2]TongHop!G3056</f>
        <v>0</v>
      </c>
      <c r="H3056">
        <f>[2]TongHop!H3056</f>
        <v>0</v>
      </c>
      <c r="I3056">
        <f>[2]TongHop!I3056</f>
        <v>0</v>
      </c>
      <c r="J3056">
        <f>[2]TongHop!J3056</f>
        <v>0</v>
      </c>
      <c r="K3056">
        <f>[2]TongHop!K3056</f>
        <v>0</v>
      </c>
      <c r="L3056">
        <f>[2]TongHop!L3056</f>
        <v>0</v>
      </c>
      <c r="M3056">
        <f>[2]TongHop!M3056</f>
        <v>0</v>
      </c>
      <c r="N3056">
        <f>[2]TongHop!N3056</f>
        <v>0</v>
      </c>
    </row>
    <row r="3057" spans="1:14">
      <c r="A3057">
        <f>[2]TongHop!A3057</f>
        <v>0</v>
      </c>
      <c r="B3057">
        <f>[2]TongHop!B3057</f>
        <v>0</v>
      </c>
      <c r="C3057">
        <f>[2]TongHop!C3057</f>
        <v>0</v>
      </c>
      <c r="D3057">
        <f>[2]TongHop!D3057</f>
        <v>0</v>
      </c>
      <c r="E3057">
        <f>[2]TongHop!E3057</f>
        <v>0</v>
      </c>
      <c r="F3057">
        <f>[2]TongHop!F3057</f>
        <v>0</v>
      </c>
      <c r="G3057">
        <f>[2]TongHop!G3057</f>
        <v>0</v>
      </c>
      <c r="H3057">
        <f>[2]TongHop!H3057</f>
        <v>0</v>
      </c>
      <c r="I3057">
        <f>[2]TongHop!I3057</f>
        <v>0</v>
      </c>
      <c r="J3057">
        <f>[2]TongHop!J3057</f>
        <v>0</v>
      </c>
      <c r="K3057">
        <f>[2]TongHop!K3057</f>
        <v>0</v>
      </c>
      <c r="L3057">
        <f>[2]TongHop!L3057</f>
        <v>0</v>
      </c>
      <c r="M3057">
        <f>[2]TongHop!M3057</f>
        <v>0</v>
      </c>
      <c r="N3057">
        <f>[2]TongHop!N3057</f>
        <v>0</v>
      </c>
    </row>
    <row r="3058" spans="1:14">
      <c r="A3058">
        <f>[2]TongHop!A3058</f>
        <v>0</v>
      </c>
      <c r="B3058">
        <f>[2]TongHop!B3058</f>
        <v>0</v>
      </c>
      <c r="C3058">
        <f>[2]TongHop!C3058</f>
        <v>0</v>
      </c>
      <c r="D3058">
        <f>[2]TongHop!D3058</f>
        <v>0</v>
      </c>
      <c r="E3058">
        <f>[2]TongHop!E3058</f>
        <v>0</v>
      </c>
      <c r="F3058">
        <f>[2]TongHop!F3058</f>
        <v>0</v>
      </c>
      <c r="G3058">
        <f>[2]TongHop!G3058</f>
        <v>0</v>
      </c>
      <c r="H3058">
        <f>[2]TongHop!H3058</f>
        <v>0</v>
      </c>
      <c r="I3058">
        <f>[2]TongHop!I3058</f>
        <v>0</v>
      </c>
      <c r="J3058">
        <f>[2]TongHop!J3058</f>
        <v>0</v>
      </c>
      <c r="K3058">
        <f>[2]TongHop!K3058</f>
        <v>0</v>
      </c>
      <c r="L3058">
        <f>[2]TongHop!L3058</f>
        <v>0</v>
      </c>
      <c r="M3058">
        <f>[2]TongHop!M3058</f>
        <v>0</v>
      </c>
      <c r="N3058">
        <f>[2]TongHop!N3058</f>
        <v>0</v>
      </c>
    </row>
    <row r="3059" spans="1:14">
      <c r="A3059">
        <f>[2]TongHop!A3059</f>
        <v>0</v>
      </c>
      <c r="B3059">
        <f>[2]TongHop!B3059</f>
        <v>0</v>
      </c>
      <c r="C3059">
        <f>[2]TongHop!C3059</f>
        <v>0</v>
      </c>
      <c r="D3059">
        <f>[2]TongHop!D3059</f>
        <v>0</v>
      </c>
      <c r="E3059">
        <f>[2]TongHop!E3059</f>
        <v>0</v>
      </c>
      <c r="F3059">
        <f>[2]TongHop!F3059</f>
        <v>0</v>
      </c>
      <c r="G3059">
        <f>[2]TongHop!G3059</f>
        <v>0</v>
      </c>
      <c r="H3059">
        <f>[2]TongHop!H3059</f>
        <v>0</v>
      </c>
      <c r="I3059">
        <f>[2]TongHop!I3059</f>
        <v>0</v>
      </c>
      <c r="J3059">
        <f>[2]TongHop!J3059</f>
        <v>0</v>
      </c>
      <c r="K3059">
        <f>[2]TongHop!K3059</f>
        <v>0</v>
      </c>
      <c r="L3059">
        <f>[2]TongHop!L3059</f>
        <v>0</v>
      </c>
      <c r="M3059">
        <f>[2]TongHop!M3059</f>
        <v>0</v>
      </c>
      <c r="N3059">
        <f>[2]TongHop!N3059</f>
        <v>0</v>
      </c>
    </row>
    <row r="3060" spans="1:14">
      <c r="A3060">
        <f>[2]TongHop!A3060</f>
        <v>0</v>
      </c>
      <c r="B3060">
        <f>[2]TongHop!B3060</f>
        <v>0</v>
      </c>
      <c r="C3060">
        <f>[2]TongHop!C3060</f>
        <v>0</v>
      </c>
      <c r="D3060">
        <f>[2]TongHop!D3060</f>
        <v>0</v>
      </c>
      <c r="E3060">
        <f>[2]TongHop!E3060</f>
        <v>0</v>
      </c>
      <c r="F3060">
        <f>[2]TongHop!F3060</f>
        <v>0</v>
      </c>
      <c r="G3060">
        <f>[2]TongHop!G3060</f>
        <v>0</v>
      </c>
      <c r="H3060">
        <f>[2]TongHop!H3060</f>
        <v>0</v>
      </c>
      <c r="I3060">
        <f>[2]TongHop!I3060</f>
        <v>0</v>
      </c>
      <c r="J3060">
        <f>[2]TongHop!J3060</f>
        <v>0</v>
      </c>
      <c r="K3060">
        <f>[2]TongHop!K3060</f>
        <v>0</v>
      </c>
      <c r="L3060">
        <f>[2]TongHop!L3060</f>
        <v>0</v>
      </c>
      <c r="M3060">
        <f>[2]TongHop!M3060</f>
        <v>0</v>
      </c>
      <c r="N3060">
        <f>[2]TongHop!N3060</f>
        <v>0</v>
      </c>
    </row>
    <row r="3061" spans="1:14">
      <c r="A3061">
        <f>[2]TongHop!A3061</f>
        <v>0</v>
      </c>
      <c r="B3061">
        <f>[2]TongHop!B3061</f>
        <v>0</v>
      </c>
      <c r="C3061">
        <f>[2]TongHop!C3061</f>
        <v>0</v>
      </c>
      <c r="D3061">
        <f>[2]TongHop!D3061</f>
        <v>0</v>
      </c>
      <c r="E3061">
        <f>[2]TongHop!E3061</f>
        <v>0</v>
      </c>
      <c r="F3061">
        <f>[2]TongHop!F3061</f>
        <v>0</v>
      </c>
      <c r="G3061">
        <f>[2]TongHop!G3061</f>
        <v>0</v>
      </c>
      <c r="H3061">
        <f>[2]TongHop!H3061</f>
        <v>0</v>
      </c>
      <c r="I3061">
        <f>[2]TongHop!I3061</f>
        <v>0</v>
      </c>
      <c r="J3061">
        <f>[2]TongHop!J3061</f>
        <v>0</v>
      </c>
      <c r="K3061">
        <f>[2]TongHop!K3061</f>
        <v>0</v>
      </c>
      <c r="L3061">
        <f>[2]TongHop!L3061</f>
        <v>0</v>
      </c>
      <c r="M3061">
        <f>[2]TongHop!M3061</f>
        <v>0</v>
      </c>
      <c r="N3061">
        <f>[2]TongHop!N3061</f>
        <v>0</v>
      </c>
    </row>
    <row r="3062" spans="1:14">
      <c r="A3062">
        <f>[2]TongHop!A3062</f>
        <v>0</v>
      </c>
      <c r="B3062">
        <f>[2]TongHop!B3062</f>
        <v>0</v>
      </c>
      <c r="C3062">
        <f>[2]TongHop!C3062</f>
        <v>0</v>
      </c>
      <c r="D3062">
        <f>[2]TongHop!D3062</f>
        <v>0</v>
      </c>
      <c r="E3062">
        <f>[2]TongHop!E3062</f>
        <v>0</v>
      </c>
      <c r="F3062">
        <f>[2]TongHop!F3062</f>
        <v>0</v>
      </c>
      <c r="G3062">
        <f>[2]TongHop!G3062</f>
        <v>0</v>
      </c>
      <c r="H3062">
        <f>[2]TongHop!H3062</f>
        <v>0</v>
      </c>
      <c r="I3062">
        <f>[2]TongHop!I3062</f>
        <v>0</v>
      </c>
      <c r="J3062">
        <f>[2]TongHop!J3062</f>
        <v>0</v>
      </c>
      <c r="K3062">
        <f>[2]TongHop!K3062</f>
        <v>0</v>
      </c>
      <c r="L3062">
        <f>[2]TongHop!L3062</f>
        <v>0</v>
      </c>
      <c r="M3062">
        <f>[2]TongHop!M3062</f>
        <v>0</v>
      </c>
      <c r="N3062">
        <f>[2]TongHop!N3062</f>
        <v>0</v>
      </c>
    </row>
    <row r="3063" spans="1:14">
      <c r="A3063">
        <f>[2]TongHop!A3063</f>
        <v>0</v>
      </c>
      <c r="B3063">
        <f>[2]TongHop!B3063</f>
        <v>0</v>
      </c>
      <c r="C3063">
        <f>[2]TongHop!C3063</f>
        <v>0</v>
      </c>
      <c r="D3063">
        <f>[2]TongHop!D3063</f>
        <v>0</v>
      </c>
      <c r="E3063">
        <f>[2]TongHop!E3063</f>
        <v>0</v>
      </c>
      <c r="F3063">
        <f>[2]TongHop!F3063</f>
        <v>0</v>
      </c>
      <c r="G3063">
        <f>[2]TongHop!G3063</f>
        <v>0</v>
      </c>
      <c r="H3063">
        <f>[2]TongHop!H3063</f>
        <v>0</v>
      </c>
      <c r="I3063">
        <f>[2]TongHop!I3063</f>
        <v>0</v>
      </c>
      <c r="J3063">
        <f>[2]TongHop!J3063</f>
        <v>0</v>
      </c>
      <c r="K3063">
        <f>[2]TongHop!K3063</f>
        <v>0</v>
      </c>
      <c r="L3063">
        <f>[2]TongHop!L3063</f>
        <v>0</v>
      </c>
      <c r="M3063">
        <f>[2]TongHop!M3063</f>
        <v>0</v>
      </c>
      <c r="N3063">
        <f>[2]TongHop!N3063</f>
        <v>0</v>
      </c>
    </row>
    <row r="3064" spans="1:14">
      <c r="A3064">
        <f>[2]TongHop!A3064</f>
        <v>0</v>
      </c>
      <c r="B3064">
        <f>[2]TongHop!B3064</f>
        <v>0</v>
      </c>
      <c r="C3064">
        <f>[2]TongHop!C3064</f>
        <v>0</v>
      </c>
      <c r="D3064">
        <f>[2]TongHop!D3064</f>
        <v>0</v>
      </c>
      <c r="E3064">
        <f>[2]TongHop!E3064</f>
        <v>0</v>
      </c>
      <c r="F3064">
        <f>[2]TongHop!F3064</f>
        <v>0</v>
      </c>
      <c r="G3064">
        <f>[2]TongHop!G3064</f>
        <v>0</v>
      </c>
      <c r="H3064">
        <f>[2]TongHop!H3064</f>
        <v>0</v>
      </c>
      <c r="I3064">
        <f>[2]TongHop!I3064</f>
        <v>0</v>
      </c>
      <c r="J3064">
        <f>[2]TongHop!J3064</f>
        <v>0</v>
      </c>
      <c r="K3064">
        <f>[2]TongHop!K3064</f>
        <v>0</v>
      </c>
      <c r="L3064">
        <f>[2]TongHop!L3064</f>
        <v>0</v>
      </c>
      <c r="M3064">
        <f>[2]TongHop!M3064</f>
        <v>0</v>
      </c>
      <c r="N3064">
        <f>[2]TongHop!N3064</f>
        <v>0</v>
      </c>
    </row>
    <row r="3065" spans="1:14">
      <c r="A3065">
        <f>[2]TongHop!A3065</f>
        <v>0</v>
      </c>
      <c r="B3065">
        <f>[2]TongHop!B3065</f>
        <v>0</v>
      </c>
      <c r="C3065">
        <f>[2]TongHop!C3065</f>
        <v>0</v>
      </c>
      <c r="D3065">
        <f>[2]TongHop!D3065</f>
        <v>0</v>
      </c>
      <c r="E3065">
        <f>[2]TongHop!E3065</f>
        <v>0</v>
      </c>
      <c r="F3065">
        <f>[2]TongHop!F3065</f>
        <v>0</v>
      </c>
      <c r="G3065">
        <f>[2]TongHop!G3065</f>
        <v>0</v>
      </c>
      <c r="H3065">
        <f>[2]TongHop!H3065</f>
        <v>0</v>
      </c>
      <c r="I3065">
        <f>[2]TongHop!I3065</f>
        <v>0</v>
      </c>
      <c r="J3065">
        <f>[2]TongHop!J3065</f>
        <v>0</v>
      </c>
      <c r="K3065">
        <f>[2]TongHop!K3065</f>
        <v>0</v>
      </c>
      <c r="L3065">
        <f>[2]TongHop!L3065</f>
        <v>0</v>
      </c>
      <c r="M3065">
        <f>[2]TongHop!M3065</f>
        <v>0</v>
      </c>
      <c r="N3065">
        <f>[2]TongHop!N3065</f>
        <v>0</v>
      </c>
    </row>
    <row r="3066" spans="1:14">
      <c r="A3066">
        <f>[2]TongHop!A3066</f>
        <v>0</v>
      </c>
      <c r="B3066">
        <f>[2]TongHop!B3066</f>
        <v>0</v>
      </c>
      <c r="C3066">
        <f>[2]TongHop!C3066</f>
        <v>0</v>
      </c>
      <c r="D3066">
        <f>[2]TongHop!D3066</f>
        <v>0</v>
      </c>
      <c r="E3066">
        <f>[2]TongHop!E3066</f>
        <v>0</v>
      </c>
      <c r="F3066">
        <f>[2]TongHop!F3066</f>
        <v>0</v>
      </c>
      <c r="G3066">
        <f>[2]TongHop!G3066</f>
        <v>0</v>
      </c>
      <c r="H3066">
        <f>[2]TongHop!H3066</f>
        <v>0</v>
      </c>
      <c r="I3066">
        <f>[2]TongHop!I3066</f>
        <v>0</v>
      </c>
      <c r="J3066">
        <f>[2]TongHop!J3066</f>
        <v>0</v>
      </c>
      <c r="K3066">
        <f>[2]TongHop!K3066</f>
        <v>0</v>
      </c>
      <c r="L3066">
        <f>[2]TongHop!L3066</f>
        <v>0</v>
      </c>
      <c r="M3066">
        <f>[2]TongHop!M3066</f>
        <v>0</v>
      </c>
      <c r="N3066">
        <f>[2]TongHop!N3066</f>
        <v>0</v>
      </c>
    </row>
    <row r="3067" spans="1:14">
      <c r="A3067">
        <f>[2]TongHop!A3067</f>
        <v>0</v>
      </c>
      <c r="B3067">
        <f>[2]TongHop!B3067</f>
        <v>0</v>
      </c>
      <c r="C3067">
        <f>[2]TongHop!C3067</f>
        <v>0</v>
      </c>
      <c r="D3067">
        <f>[2]TongHop!D3067</f>
        <v>0</v>
      </c>
      <c r="E3067">
        <f>[2]TongHop!E3067</f>
        <v>0</v>
      </c>
      <c r="F3067">
        <f>[2]TongHop!F3067</f>
        <v>0</v>
      </c>
      <c r="G3067">
        <f>[2]TongHop!G3067</f>
        <v>0</v>
      </c>
      <c r="H3067">
        <f>[2]TongHop!H3067</f>
        <v>0</v>
      </c>
      <c r="I3067">
        <f>[2]TongHop!I3067</f>
        <v>0</v>
      </c>
      <c r="J3067">
        <f>[2]TongHop!J3067</f>
        <v>0</v>
      </c>
      <c r="K3067">
        <f>[2]TongHop!K3067</f>
        <v>0</v>
      </c>
      <c r="L3067">
        <f>[2]TongHop!L3067</f>
        <v>0</v>
      </c>
      <c r="M3067">
        <f>[2]TongHop!M3067</f>
        <v>0</v>
      </c>
      <c r="N3067">
        <f>[2]TongHop!N3067</f>
        <v>0</v>
      </c>
    </row>
    <row r="3068" spans="1:14">
      <c r="A3068">
        <f>[2]TongHop!A3068</f>
        <v>0</v>
      </c>
      <c r="B3068">
        <f>[2]TongHop!B3068</f>
        <v>0</v>
      </c>
      <c r="C3068">
        <f>[2]TongHop!C3068</f>
        <v>0</v>
      </c>
      <c r="D3068">
        <f>[2]TongHop!D3068</f>
        <v>0</v>
      </c>
      <c r="E3068">
        <f>[2]TongHop!E3068</f>
        <v>0</v>
      </c>
      <c r="F3068">
        <f>[2]TongHop!F3068</f>
        <v>0</v>
      </c>
      <c r="G3068">
        <f>[2]TongHop!G3068</f>
        <v>0</v>
      </c>
      <c r="H3068">
        <f>[2]TongHop!H3068</f>
        <v>0</v>
      </c>
      <c r="I3068">
        <f>[2]TongHop!I3068</f>
        <v>0</v>
      </c>
      <c r="J3068">
        <f>[2]TongHop!J3068</f>
        <v>0</v>
      </c>
      <c r="K3068">
        <f>[2]TongHop!K3068</f>
        <v>0</v>
      </c>
      <c r="L3068">
        <f>[2]TongHop!L3068</f>
        <v>0</v>
      </c>
      <c r="M3068">
        <f>[2]TongHop!M3068</f>
        <v>0</v>
      </c>
      <c r="N3068">
        <f>[2]TongHop!N3068</f>
        <v>0</v>
      </c>
    </row>
    <row r="3069" spans="1:14">
      <c r="A3069">
        <f>[2]TongHop!A3069</f>
        <v>0</v>
      </c>
      <c r="B3069">
        <f>[2]TongHop!B3069</f>
        <v>0</v>
      </c>
      <c r="C3069">
        <f>[2]TongHop!C3069</f>
        <v>0</v>
      </c>
      <c r="D3069">
        <f>[2]TongHop!D3069</f>
        <v>0</v>
      </c>
      <c r="E3069">
        <f>[2]TongHop!E3069</f>
        <v>0</v>
      </c>
      <c r="F3069">
        <f>[2]TongHop!F3069</f>
        <v>0</v>
      </c>
      <c r="G3069">
        <f>[2]TongHop!G3069</f>
        <v>0</v>
      </c>
      <c r="H3069">
        <f>[2]TongHop!H3069</f>
        <v>0</v>
      </c>
      <c r="I3069">
        <f>[2]TongHop!I3069</f>
        <v>0</v>
      </c>
      <c r="J3069">
        <f>[2]TongHop!J3069</f>
        <v>0</v>
      </c>
      <c r="K3069">
        <f>[2]TongHop!K3069</f>
        <v>0</v>
      </c>
      <c r="L3069">
        <f>[2]TongHop!L3069</f>
        <v>0</v>
      </c>
      <c r="M3069">
        <f>[2]TongHop!M3069</f>
        <v>0</v>
      </c>
      <c r="N3069">
        <f>[2]TongHop!N3069</f>
        <v>0</v>
      </c>
    </row>
    <row r="3070" spans="1:14">
      <c r="A3070">
        <f>[2]TongHop!A3070</f>
        <v>0</v>
      </c>
      <c r="B3070">
        <f>[2]TongHop!B3070</f>
        <v>0</v>
      </c>
      <c r="C3070">
        <f>[2]TongHop!C3070</f>
        <v>0</v>
      </c>
      <c r="D3070">
        <f>[2]TongHop!D3070</f>
        <v>0</v>
      </c>
      <c r="E3070">
        <f>[2]TongHop!E3070</f>
        <v>0</v>
      </c>
      <c r="F3070">
        <f>[2]TongHop!F3070</f>
        <v>0</v>
      </c>
      <c r="G3070">
        <f>[2]TongHop!G3070</f>
        <v>0</v>
      </c>
      <c r="H3070">
        <f>[2]TongHop!H3070</f>
        <v>0</v>
      </c>
      <c r="I3070">
        <f>[2]TongHop!I3070</f>
        <v>0</v>
      </c>
      <c r="J3070">
        <f>[2]TongHop!J3070</f>
        <v>0</v>
      </c>
      <c r="K3070">
        <f>[2]TongHop!K3070</f>
        <v>0</v>
      </c>
      <c r="L3070">
        <f>[2]TongHop!L3070</f>
        <v>0</v>
      </c>
      <c r="M3070">
        <f>[2]TongHop!M3070</f>
        <v>0</v>
      </c>
      <c r="N3070">
        <f>[2]TongHop!N3070</f>
        <v>0</v>
      </c>
    </row>
    <row r="3071" spans="1:14">
      <c r="A3071">
        <f>[2]TongHop!A3071</f>
        <v>0</v>
      </c>
      <c r="B3071">
        <f>[2]TongHop!B3071</f>
        <v>0</v>
      </c>
      <c r="C3071">
        <f>[2]TongHop!C3071</f>
        <v>0</v>
      </c>
      <c r="D3071">
        <f>[2]TongHop!D3071</f>
        <v>0</v>
      </c>
      <c r="E3071">
        <f>[2]TongHop!E3071</f>
        <v>0</v>
      </c>
      <c r="F3071">
        <f>[2]TongHop!F3071</f>
        <v>0</v>
      </c>
      <c r="G3071">
        <f>[2]TongHop!G3071</f>
        <v>0</v>
      </c>
      <c r="H3071">
        <f>[2]TongHop!H3071</f>
        <v>0</v>
      </c>
      <c r="I3071">
        <f>[2]TongHop!I3071</f>
        <v>0</v>
      </c>
      <c r="J3071">
        <f>[2]TongHop!J3071</f>
        <v>0</v>
      </c>
      <c r="K3071">
        <f>[2]TongHop!K3071</f>
        <v>0</v>
      </c>
      <c r="L3071">
        <f>[2]TongHop!L3071</f>
        <v>0</v>
      </c>
      <c r="M3071">
        <f>[2]TongHop!M3071</f>
        <v>0</v>
      </c>
      <c r="N3071">
        <f>[2]TongHop!N3071</f>
        <v>0</v>
      </c>
    </row>
    <row r="3072" spans="1:14">
      <c r="A3072">
        <f>[2]TongHop!A3072</f>
        <v>0</v>
      </c>
      <c r="B3072">
        <f>[2]TongHop!B3072</f>
        <v>0</v>
      </c>
      <c r="C3072">
        <f>[2]TongHop!C3072</f>
        <v>0</v>
      </c>
      <c r="D3072">
        <f>[2]TongHop!D3072</f>
        <v>0</v>
      </c>
      <c r="E3072">
        <f>[2]TongHop!E3072</f>
        <v>0</v>
      </c>
      <c r="F3072">
        <f>[2]TongHop!F3072</f>
        <v>0</v>
      </c>
      <c r="G3072">
        <f>[2]TongHop!G3072</f>
        <v>0</v>
      </c>
      <c r="H3072">
        <f>[2]TongHop!H3072</f>
        <v>0</v>
      </c>
      <c r="I3072">
        <f>[2]TongHop!I3072</f>
        <v>0</v>
      </c>
      <c r="J3072">
        <f>[2]TongHop!J3072</f>
        <v>0</v>
      </c>
      <c r="K3072">
        <f>[2]TongHop!K3072</f>
        <v>0</v>
      </c>
      <c r="L3072">
        <f>[2]TongHop!L3072</f>
        <v>0</v>
      </c>
      <c r="M3072">
        <f>[2]TongHop!M3072</f>
        <v>0</v>
      </c>
      <c r="N3072">
        <f>[2]TongHop!N3072</f>
        <v>0</v>
      </c>
    </row>
    <row r="3073" spans="1:14">
      <c r="A3073">
        <f>[2]TongHop!A3073</f>
        <v>0</v>
      </c>
      <c r="B3073">
        <f>[2]TongHop!B3073</f>
        <v>0</v>
      </c>
      <c r="C3073">
        <f>[2]TongHop!C3073</f>
        <v>0</v>
      </c>
      <c r="D3073">
        <f>[2]TongHop!D3073</f>
        <v>0</v>
      </c>
      <c r="E3073">
        <f>[2]TongHop!E3073</f>
        <v>0</v>
      </c>
      <c r="F3073">
        <f>[2]TongHop!F3073</f>
        <v>0</v>
      </c>
      <c r="G3073">
        <f>[2]TongHop!G3073</f>
        <v>0</v>
      </c>
      <c r="H3073">
        <f>[2]TongHop!H3073</f>
        <v>0</v>
      </c>
      <c r="I3073">
        <f>[2]TongHop!I3073</f>
        <v>0</v>
      </c>
      <c r="J3073">
        <f>[2]TongHop!J3073</f>
        <v>0</v>
      </c>
      <c r="K3073">
        <f>[2]TongHop!K3073</f>
        <v>0</v>
      </c>
      <c r="L3073">
        <f>[2]TongHop!L3073</f>
        <v>0</v>
      </c>
      <c r="M3073">
        <f>[2]TongHop!M3073</f>
        <v>0</v>
      </c>
      <c r="N3073">
        <f>[2]TongHop!N3073</f>
        <v>0</v>
      </c>
    </row>
    <row r="3074" spans="1:14">
      <c r="A3074">
        <f>[2]TongHop!A3074</f>
        <v>0</v>
      </c>
      <c r="B3074">
        <f>[2]TongHop!B3074</f>
        <v>0</v>
      </c>
      <c r="C3074">
        <f>[2]TongHop!C3074</f>
        <v>0</v>
      </c>
      <c r="D3074">
        <f>[2]TongHop!D3074</f>
        <v>0</v>
      </c>
      <c r="E3074">
        <f>[2]TongHop!E3074</f>
        <v>0</v>
      </c>
      <c r="F3074">
        <f>[2]TongHop!F3074</f>
        <v>0</v>
      </c>
      <c r="G3074">
        <f>[2]TongHop!G3074</f>
        <v>0</v>
      </c>
      <c r="H3074">
        <f>[2]TongHop!H3074</f>
        <v>0</v>
      </c>
      <c r="I3074">
        <f>[2]TongHop!I3074</f>
        <v>0</v>
      </c>
      <c r="J3074">
        <f>[2]TongHop!J3074</f>
        <v>0</v>
      </c>
      <c r="K3074">
        <f>[2]TongHop!K3074</f>
        <v>0</v>
      </c>
      <c r="L3074">
        <f>[2]TongHop!L3074</f>
        <v>0</v>
      </c>
      <c r="M3074">
        <f>[2]TongHop!M3074</f>
        <v>0</v>
      </c>
      <c r="N3074">
        <f>[2]TongHop!N3074</f>
        <v>0</v>
      </c>
    </row>
    <row r="3075" spans="1:14">
      <c r="A3075">
        <f>[2]TongHop!A3075</f>
        <v>0</v>
      </c>
      <c r="B3075">
        <f>[2]TongHop!B3075</f>
        <v>0</v>
      </c>
      <c r="C3075">
        <f>[2]TongHop!C3075</f>
        <v>0</v>
      </c>
      <c r="D3075">
        <f>[2]TongHop!D3075</f>
        <v>0</v>
      </c>
      <c r="E3075">
        <f>[2]TongHop!E3075</f>
        <v>0</v>
      </c>
      <c r="F3075">
        <f>[2]TongHop!F3075</f>
        <v>0</v>
      </c>
      <c r="G3075">
        <f>[2]TongHop!G3075</f>
        <v>0</v>
      </c>
      <c r="H3075">
        <f>[2]TongHop!H3075</f>
        <v>0</v>
      </c>
      <c r="I3075">
        <f>[2]TongHop!I3075</f>
        <v>0</v>
      </c>
      <c r="J3075">
        <f>[2]TongHop!J3075</f>
        <v>0</v>
      </c>
      <c r="K3075">
        <f>[2]TongHop!K3075</f>
        <v>0</v>
      </c>
      <c r="L3075">
        <f>[2]TongHop!L3075</f>
        <v>0</v>
      </c>
      <c r="M3075">
        <f>[2]TongHop!M3075</f>
        <v>0</v>
      </c>
      <c r="N3075">
        <f>[2]TongHop!N3075</f>
        <v>0</v>
      </c>
    </row>
    <row r="3076" spans="1:14">
      <c r="A3076">
        <f>[2]TongHop!A3076</f>
        <v>0</v>
      </c>
      <c r="B3076">
        <f>[2]TongHop!B3076</f>
        <v>0</v>
      </c>
      <c r="C3076">
        <f>[2]TongHop!C3076</f>
        <v>0</v>
      </c>
      <c r="D3076">
        <f>[2]TongHop!D3076</f>
        <v>0</v>
      </c>
      <c r="E3076">
        <f>[2]TongHop!E3076</f>
        <v>0</v>
      </c>
      <c r="F3076">
        <f>[2]TongHop!F3076</f>
        <v>0</v>
      </c>
      <c r="G3076">
        <f>[2]TongHop!G3076</f>
        <v>0</v>
      </c>
      <c r="H3076">
        <f>[2]TongHop!H3076</f>
        <v>0</v>
      </c>
      <c r="I3076">
        <f>[2]TongHop!I3076</f>
        <v>0</v>
      </c>
      <c r="J3076">
        <f>[2]TongHop!J3076</f>
        <v>0</v>
      </c>
      <c r="K3076">
        <f>[2]TongHop!K3076</f>
        <v>0</v>
      </c>
      <c r="L3076">
        <f>[2]TongHop!L3076</f>
        <v>0</v>
      </c>
      <c r="M3076">
        <f>[2]TongHop!M3076</f>
        <v>0</v>
      </c>
      <c r="N3076">
        <f>[2]TongHop!N3076</f>
        <v>0</v>
      </c>
    </row>
    <row r="3077" spans="1:14">
      <c r="A3077">
        <f>[2]TongHop!A3077</f>
        <v>0</v>
      </c>
      <c r="B3077">
        <f>[2]TongHop!B3077</f>
        <v>0</v>
      </c>
      <c r="C3077">
        <f>[2]TongHop!C3077</f>
        <v>0</v>
      </c>
      <c r="D3077">
        <f>[2]TongHop!D3077</f>
        <v>0</v>
      </c>
      <c r="E3077">
        <f>[2]TongHop!E3077</f>
        <v>0</v>
      </c>
      <c r="F3077">
        <f>[2]TongHop!F3077</f>
        <v>0</v>
      </c>
      <c r="G3077">
        <f>[2]TongHop!G3077</f>
        <v>0</v>
      </c>
      <c r="H3077">
        <f>[2]TongHop!H3077</f>
        <v>0</v>
      </c>
      <c r="I3077">
        <f>[2]TongHop!I3077</f>
        <v>0</v>
      </c>
      <c r="J3077">
        <f>[2]TongHop!J3077</f>
        <v>0</v>
      </c>
      <c r="K3077">
        <f>[2]TongHop!K3077</f>
        <v>0</v>
      </c>
      <c r="L3077">
        <f>[2]TongHop!L3077</f>
        <v>0</v>
      </c>
      <c r="M3077">
        <f>[2]TongHop!M3077</f>
        <v>0</v>
      </c>
      <c r="N3077">
        <f>[2]TongHop!N3077</f>
        <v>0</v>
      </c>
    </row>
    <row r="3078" spans="1:14">
      <c r="A3078">
        <f>[2]TongHop!A3078</f>
        <v>0</v>
      </c>
      <c r="B3078">
        <f>[2]TongHop!B3078</f>
        <v>0</v>
      </c>
      <c r="C3078">
        <f>[2]TongHop!C3078</f>
        <v>0</v>
      </c>
      <c r="D3078">
        <f>[2]TongHop!D3078</f>
        <v>0</v>
      </c>
      <c r="E3078">
        <f>[2]TongHop!E3078</f>
        <v>0</v>
      </c>
      <c r="F3078">
        <f>[2]TongHop!F3078</f>
        <v>0</v>
      </c>
      <c r="G3078">
        <f>[2]TongHop!G3078</f>
        <v>0</v>
      </c>
      <c r="H3078">
        <f>[2]TongHop!H3078</f>
        <v>0</v>
      </c>
      <c r="I3078">
        <f>[2]TongHop!I3078</f>
        <v>0</v>
      </c>
      <c r="J3078">
        <f>[2]TongHop!J3078</f>
        <v>0</v>
      </c>
      <c r="K3078">
        <f>[2]TongHop!K3078</f>
        <v>0</v>
      </c>
      <c r="L3078">
        <f>[2]TongHop!L3078</f>
        <v>0</v>
      </c>
      <c r="M3078">
        <f>[2]TongHop!M3078</f>
        <v>0</v>
      </c>
      <c r="N3078">
        <f>[2]TongHop!N3078</f>
        <v>0</v>
      </c>
    </row>
    <row r="3079" spans="1:14">
      <c r="A3079">
        <f>[2]TongHop!A3079</f>
        <v>0</v>
      </c>
      <c r="B3079">
        <f>[2]TongHop!B3079</f>
        <v>0</v>
      </c>
      <c r="C3079">
        <f>[2]TongHop!C3079</f>
        <v>0</v>
      </c>
      <c r="D3079">
        <f>[2]TongHop!D3079</f>
        <v>0</v>
      </c>
      <c r="E3079">
        <f>[2]TongHop!E3079</f>
        <v>0</v>
      </c>
      <c r="F3079">
        <f>[2]TongHop!F3079</f>
        <v>0</v>
      </c>
      <c r="G3079">
        <f>[2]TongHop!G3079</f>
        <v>0</v>
      </c>
      <c r="H3079">
        <f>[2]TongHop!H3079</f>
        <v>0</v>
      </c>
      <c r="I3079">
        <f>[2]TongHop!I3079</f>
        <v>0</v>
      </c>
      <c r="J3079">
        <f>[2]TongHop!J3079</f>
        <v>0</v>
      </c>
      <c r="K3079">
        <f>[2]TongHop!K3079</f>
        <v>0</v>
      </c>
      <c r="L3079">
        <f>[2]TongHop!L3079</f>
        <v>0</v>
      </c>
      <c r="M3079">
        <f>[2]TongHop!M3079</f>
        <v>0</v>
      </c>
      <c r="N3079">
        <f>[2]TongHop!N3079</f>
        <v>0</v>
      </c>
    </row>
    <row r="3080" spans="1:14">
      <c r="A3080">
        <f>[2]TongHop!A3080</f>
        <v>0</v>
      </c>
      <c r="B3080">
        <f>[2]TongHop!B3080</f>
        <v>0</v>
      </c>
      <c r="C3080">
        <f>[2]TongHop!C3080</f>
        <v>0</v>
      </c>
      <c r="D3080">
        <f>[2]TongHop!D3080</f>
        <v>0</v>
      </c>
      <c r="E3080">
        <f>[2]TongHop!E3080</f>
        <v>0</v>
      </c>
      <c r="F3080">
        <f>[2]TongHop!F3080</f>
        <v>0</v>
      </c>
      <c r="G3080">
        <f>[2]TongHop!G3080</f>
        <v>0</v>
      </c>
      <c r="H3080">
        <f>[2]TongHop!H3080</f>
        <v>0</v>
      </c>
      <c r="I3080">
        <f>[2]TongHop!I3080</f>
        <v>0</v>
      </c>
      <c r="J3080">
        <f>[2]TongHop!J3080</f>
        <v>0</v>
      </c>
      <c r="K3080">
        <f>[2]TongHop!K3080</f>
        <v>0</v>
      </c>
      <c r="L3080">
        <f>[2]TongHop!L3080</f>
        <v>0</v>
      </c>
      <c r="M3080">
        <f>[2]TongHop!M3080</f>
        <v>0</v>
      </c>
      <c r="N3080">
        <f>[2]TongHop!N3080</f>
        <v>0</v>
      </c>
    </row>
    <row r="3081" spans="1:14">
      <c r="A3081">
        <f>[2]TongHop!A3081</f>
        <v>0</v>
      </c>
      <c r="B3081">
        <f>[2]TongHop!B3081</f>
        <v>0</v>
      </c>
      <c r="C3081">
        <f>[2]TongHop!C3081</f>
        <v>0</v>
      </c>
      <c r="D3081">
        <f>[2]TongHop!D3081</f>
        <v>0</v>
      </c>
      <c r="E3081">
        <f>[2]TongHop!E3081</f>
        <v>0</v>
      </c>
      <c r="F3081">
        <f>[2]TongHop!F3081</f>
        <v>0</v>
      </c>
      <c r="G3081">
        <f>[2]TongHop!G3081</f>
        <v>0</v>
      </c>
      <c r="H3081">
        <f>[2]TongHop!H3081</f>
        <v>0</v>
      </c>
      <c r="I3081">
        <f>[2]TongHop!I3081</f>
        <v>0</v>
      </c>
      <c r="J3081">
        <f>[2]TongHop!J3081</f>
        <v>0</v>
      </c>
      <c r="K3081">
        <f>[2]TongHop!K3081</f>
        <v>0</v>
      </c>
      <c r="L3081">
        <f>[2]TongHop!L3081</f>
        <v>0</v>
      </c>
      <c r="M3081">
        <f>[2]TongHop!M3081</f>
        <v>0</v>
      </c>
      <c r="N3081">
        <f>[2]TongHop!N3081</f>
        <v>0</v>
      </c>
    </row>
    <row r="3082" spans="1:14">
      <c r="A3082">
        <f>[2]TongHop!A3082</f>
        <v>0</v>
      </c>
      <c r="B3082">
        <f>[2]TongHop!B3082</f>
        <v>0</v>
      </c>
      <c r="C3082">
        <f>[2]TongHop!C3082</f>
        <v>0</v>
      </c>
      <c r="D3082">
        <f>[2]TongHop!D3082</f>
        <v>0</v>
      </c>
      <c r="E3082">
        <f>[2]TongHop!E3082</f>
        <v>0</v>
      </c>
      <c r="F3082">
        <f>[2]TongHop!F3082</f>
        <v>0</v>
      </c>
      <c r="G3082">
        <f>[2]TongHop!G3082</f>
        <v>0</v>
      </c>
      <c r="H3082">
        <f>[2]TongHop!H3082</f>
        <v>0</v>
      </c>
      <c r="I3082">
        <f>[2]TongHop!I3082</f>
        <v>0</v>
      </c>
      <c r="J3082">
        <f>[2]TongHop!J3082</f>
        <v>0</v>
      </c>
      <c r="K3082">
        <f>[2]TongHop!K3082</f>
        <v>0</v>
      </c>
      <c r="L3082">
        <f>[2]TongHop!L3082</f>
        <v>0</v>
      </c>
      <c r="M3082">
        <f>[2]TongHop!M3082</f>
        <v>0</v>
      </c>
      <c r="N3082">
        <f>[2]TongHop!N3082</f>
        <v>0</v>
      </c>
    </row>
    <row r="3083" spans="1:14">
      <c r="A3083">
        <f>[2]TongHop!A3083</f>
        <v>0</v>
      </c>
      <c r="B3083">
        <f>[2]TongHop!B3083</f>
        <v>0</v>
      </c>
      <c r="C3083">
        <f>[2]TongHop!C3083</f>
        <v>0</v>
      </c>
      <c r="D3083">
        <f>[2]TongHop!D3083</f>
        <v>0</v>
      </c>
      <c r="E3083">
        <f>[2]TongHop!E3083</f>
        <v>0</v>
      </c>
      <c r="F3083">
        <f>[2]TongHop!F3083</f>
        <v>0</v>
      </c>
      <c r="G3083">
        <f>[2]TongHop!G3083</f>
        <v>0</v>
      </c>
      <c r="H3083">
        <f>[2]TongHop!H3083</f>
        <v>0</v>
      </c>
      <c r="I3083">
        <f>[2]TongHop!I3083</f>
        <v>0</v>
      </c>
      <c r="J3083">
        <f>[2]TongHop!J3083</f>
        <v>0</v>
      </c>
      <c r="K3083">
        <f>[2]TongHop!K3083</f>
        <v>0</v>
      </c>
      <c r="L3083">
        <f>[2]TongHop!L3083</f>
        <v>0</v>
      </c>
      <c r="M3083">
        <f>[2]TongHop!M3083</f>
        <v>0</v>
      </c>
      <c r="N3083">
        <f>[2]TongHop!N3083</f>
        <v>0</v>
      </c>
    </row>
    <row r="3084" spans="1:14">
      <c r="A3084">
        <f>[2]TongHop!A3084</f>
        <v>0</v>
      </c>
      <c r="B3084">
        <f>[2]TongHop!B3084</f>
        <v>0</v>
      </c>
      <c r="C3084">
        <f>[2]TongHop!C3084</f>
        <v>0</v>
      </c>
      <c r="D3084">
        <f>[2]TongHop!D3084</f>
        <v>0</v>
      </c>
      <c r="E3084">
        <f>[2]TongHop!E3084</f>
        <v>0</v>
      </c>
      <c r="F3084">
        <f>[2]TongHop!F3084</f>
        <v>0</v>
      </c>
      <c r="G3084">
        <f>[2]TongHop!G3084</f>
        <v>0</v>
      </c>
      <c r="H3084">
        <f>[2]TongHop!H3084</f>
        <v>0</v>
      </c>
      <c r="I3084">
        <f>[2]TongHop!I3084</f>
        <v>0</v>
      </c>
      <c r="J3084">
        <f>[2]TongHop!J3084</f>
        <v>0</v>
      </c>
      <c r="K3084">
        <f>[2]TongHop!K3084</f>
        <v>0</v>
      </c>
      <c r="L3084">
        <f>[2]TongHop!L3084</f>
        <v>0</v>
      </c>
      <c r="M3084">
        <f>[2]TongHop!M3084</f>
        <v>0</v>
      </c>
      <c r="N3084">
        <f>[2]TongHop!N3084</f>
        <v>0</v>
      </c>
    </row>
    <row r="3085" spans="1:14">
      <c r="A3085">
        <f>[2]TongHop!A3085</f>
        <v>0</v>
      </c>
      <c r="B3085">
        <f>[2]TongHop!B3085</f>
        <v>0</v>
      </c>
      <c r="C3085">
        <f>[2]TongHop!C3085</f>
        <v>0</v>
      </c>
      <c r="D3085">
        <f>[2]TongHop!D3085</f>
        <v>0</v>
      </c>
      <c r="E3085">
        <f>[2]TongHop!E3085</f>
        <v>0</v>
      </c>
      <c r="F3085">
        <f>[2]TongHop!F3085</f>
        <v>0</v>
      </c>
      <c r="G3085">
        <f>[2]TongHop!G3085</f>
        <v>0</v>
      </c>
      <c r="H3085">
        <f>[2]TongHop!H3085</f>
        <v>0</v>
      </c>
      <c r="I3085">
        <f>[2]TongHop!I3085</f>
        <v>0</v>
      </c>
      <c r="J3085">
        <f>[2]TongHop!J3085</f>
        <v>0</v>
      </c>
      <c r="K3085">
        <f>[2]TongHop!K3085</f>
        <v>0</v>
      </c>
      <c r="L3085">
        <f>[2]TongHop!L3085</f>
        <v>0</v>
      </c>
      <c r="M3085">
        <f>[2]TongHop!M3085</f>
        <v>0</v>
      </c>
      <c r="N3085">
        <f>[2]TongHop!N3085</f>
        <v>0</v>
      </c>
    </row>
    <row r="3086" spans="1:14">
      <c r="A3086">
        <f>[2]TongHop!A3086</f>
        <v>0</v>
      </c>
      <c r="B3086">
        <f>[2]TongHop!B3086</f>
        <v>0</v>
      </c>
      <c r="C3086">
        <f>[2]TongHop!C3086</f>
        <v>0</v>
      </c>
      <c r="D3086">
        <f>[2]TongHop!D3086</f>
        <v>0</v>
      </c>
      <c r="E3086">
        <f>[2]TongHop!E3086</f>
        <v>0</v>
      </c>
      <c r="F3086">
        <f>[2]TongHop!F3086</f>
        <v>0</v>
      </c>
      <c r="G3086">
        <f>[2]TongHop!G3086</f>
        <v>0</v>
      </c>
      <c r="H3086">
        <f>[2]TongHop!H3086</f>
        <v>0</v>
      </c>
      <c r="I3086">
        <f>[2]TongHop!I3086</f>
        <v>0</v>
      </c>
      <c r="J3086">
        <f>[2]TongHop!J3086</f>
        <v>0</v>
      </c>
      <c r="K3086">
        <f>[2]TongHop!K3086</f>
        <v>0</v>
      </c>
      <c r="L3086">
        <f>[2]TongHop!L3086</f>
        <v>0</v>
      </c>
      <c r="M3086">
        <f>[2]TongHop!M3086</f>
        <v>0</v>
      </c>
      <c r="N3086">
        <f>[2]TongHop!N3086</f>
        <v>0</v>
      </c>
    </row>
    <row r="3087" spans="1:14">
      <c r="A3087">
        <f>[2]TongHop!A3087</f>
        <v>0</v>
      </c>
      <c r="B3087">
        <f>[2]TongHop!B3087</f>
        <v>0</v>
      </c>
      <c r="C3087">
        <f>[2]TongHop!C3087</f>
        <v>0</v>
      </c>
      <c r="D3087">
        <f>[2]TongHop!D3087</f>
        <v>0</v>
      </c>
      <c r="E3087">
        <f>[2]TongHop!E3087</f>
        <v>0</v>
      </c>
      <c r="F3087">
        <f>[2]TongHop!F3087</f>
        <v>0</v>
      </c>
      <c r="G3087">
        <f>[2]TongHop!G3087</f>
        <v>0</v>
      </c>
      <c r="H3087">
        <f>[2]TongHop!H3087</f>
        <v>0</v>
      </c>
      <c r="I3087">
        <f>[2]TongHop!I3087</f>
        <v>0</v>
      </c>
      <c r="J3087">
        <f>[2]TongHop!J3087</f>
        <v>0</v>
      </c>
      <c r="K3087">
        <f>[2]TongHop!K3087</f>
        <v>0</v>
      </c>
      <c r="L3087">
        <f>[2]TongHop!L3087</f>
        <v>0</v>
      </c>
      <c r="M3087">
        <f>[2]TongHop!M3087</f>
        <v>0</v>
      </c>
      <c r="N3087">
        <f>[2]TongHop!N3087</f>
        <v>0</v>
      </c>
    </row>
    <row r="3088" spans="1:14">
      <c r="A3088">
        <f>[2]TongHop!A3088</f>
        <v>0</v>
      </c>
      <c r="B3088">
        <f>[2]TongHop!B3088</f>
        <v>0</v>
      </c>
      <c r="C3088">
        <f>[2]TongHop!C3088</f>
        <v>0</v>
      </c>
      <c r="D3088">
        <f>[2]TongHop!D3088</f>
        <v>0</v>
      </c>
      <c r="E3088">
        <f>[2]TongHop!E3088</f>
        <v>0</v>
      </c>
      <c r="F3088">
        <f>[2]TongHop!F3088</f>
        <v>0</v>
      </c>
      <c r="G3088">
        <f>[2]TongHop!G3088</f>
        <v>0</v>
      </c>
      <c r="H3088">
        <f>[2]TongHop!H3088</f>
        <v>0</v>
      </c>
      <c r="I3088">
        <f>[2]TongHop!I3088</f>
        <v>0</v>
      </c>
      <c r="J3088">
        <f>[2]TongHop!J3088</f>
        <v>0</v>
      </c>
      <c r="K3088">
        <f>[2]TongHop!K3088</f>
        <v>0</v>
      </c>
      <c r="L3088">
        <f>[2]TongHop!L3088</f>
        <v>0</v>
      </c>
      <c r="M3088">
        <f>[2]TongHop!M3088</f>
        <v>0</v>
      </c>
      <c r="N3088">
        <f>[2]TongHop!N3088</f>
        <v>0</v>
      </c>
    </row>
    <row r="3089" spans="1:14">
      <c r="A3089">
        <f>[2]TongHop!A3089</f>
        <v>0</v>
      </c>
      <c r="B3089">
        <f>[2]TongHop!B3089</f>
        <v>0</v>
      </c>
      <c r="C3089">
        <f>[2]TongHop!C3089</f>
        <v>0</v>
      </c>
      <c r="D3089">
        <f>[2]TongHop!D3089</f>
        <v>0</v>
      </c>
      <c r="E3089">
        <f>[2]TongHop!E3089</f>
        <v>0</v>
      </c>
      <c r="F3089">
        <f>[2]TongHop!F3089</f>
        <v>0</v>
      </c>
      <c r="G3089">
        <f>[2]TongHop!G3089</f>
        <v>0</v>
      </c>
      <c r="H3089">
        <f>[2]TongHop!H3089</f>
        <v>0</v>
      </c>
      <c r="I3089">
        <f>[2]TongHop!I3089</f>
        <v>0</v>
      </c>
      <c r="J3089">
        <f>[2]TongHop!J3089</f>
        <v>0</v>
      </c>
      <c r="K3089">
        <f>[2]TongHop!K3089</f>
        <v>0</v>
      </c>
      <c r="L3089">
        <f>[2]TongHop!L3089</f>
        <v>0</v>
      </c>
      <c r="M3089">
        <f>[2]TongHop!M3089</f>
        <v>0</v>
      </c>
      <c r="N3089">
        <f>[2]TongHop!N3089</f>
        <v>0</v>
      </c>
    </row>
    <row r="3090" spans="1:14">
      <c r="A3090">
        <f>[2]TongHop!A3090</f>
        <v>0</v>
      </c>
      <c r="B3090">
        <f>[2]TongHop!B3090</f>
        <v>0</v>
      </c>
      <c r="C3090">
        <f>[2]TongHop!C3090</f>
        <v>0</v>
      </c>
      <c r="D3090">
        <f>[2]TongHop!D3090</f>
        <v>0</v>
      </c>
      <c r="E3090">
        <f>[2]TongHop!E3090</f>
        <v>0</v>
      </c>
      <c r="F3090">
        <f>[2]TongHop!F3090</f>
        <v>0</v>
      </c>
      <c r="G3090">
        <f>[2]TongHop!G3090</f>
        <v>0</v>
      </c>
      <c r="H3090">
        <f>[2]TongHop!H3090</f>
        <v>0</v>
      </c>
      <c r="I3090">
        <f>[2]TongHop!I3090</f>
        <v>0</v>
      </c>
      <c r="J3090">
        <f>[2]TongHop!J3090</f>
        <v>0</v>
      </c>
      <c r="K3090">
        <f>[2]TongHop!K3090</f>
        <v>0</v>
      </c>
      <c r="L3090">
        <f>[2]TongHop!L3090</f>
        <v>0</v>
      </c>
      <c r="M3090">
        <f>[2]TongHop!M3090</f>
        <v>0</v>
      </c>
      <c r="N3090">
        <f>[2]TongHop!N3090</f>
        <v>0</v>
      </c>
    </row>
    <row r="3091" spans="1:14">
      <c r="A3091">
        <f>[2]TongHop!A3091</f>
        <v>0</v>
      </c>
      <c r="B3091">
        <f>[2]TongHop!B3091</f>
        <v>0</v>
      </c>
      <c r="C3091">
        <f>[2]TongHop!C3091</f>
        <v>0</v>
      </c>
      <c r="D3091">
        <f>[2]TongHop!D3091</f>
        <v>0</v>
      </c>
      <c r="E3091">
        <f>[2]TongHop!E3091</f>
        <v>0</v>
      </c>
      <c r="F3091">
        <f>[2]TongHop!F3091</f>
        <v>0</v>
      </c>
      <c r="G3091">
        <f>[2]TongHop!G3091</f>
        <v>0</v>
      </c>
      <c r="H3091">
        <f>[2]TongHop!H3091</f>
        <v>0</v>
      </c>
      <c r="I3091">
        <f>[2]TongHop!I3091</f>
        <v>0</v>
      </c>
      <c r="J3091">
        <f>[2]TongHop!J3091</f>
        <v>0</v>
      </c>
      <c r="K3091">
        <f>[2]TongHop!K3091</f>
        <v>0</v>
      </c>
      <c r="L3091">
        <f>[2]TongHop!L3091</f>
        <v>0</v>
      </c>
      <c r="M3091">
        <f>[2]TongHop!M3091</f>
        <v>0</v>
      </c>
      <c r="N3091">
        <f>[2]TongHop!N3091</f>
        <v>0</v>
      </c>
    </row>
    <row r="3092" spans="1:14">
      <c r="A3092">
        <f>[2]TongHop!A3092</f>
        <v>0</v>
      </c>
      <c r="B3092">
        <f>[2]TongHop!B3092</f>
        <v>0</v>
      </c>
      <c r="C3092">
        <f>[2]TongHop!C3092</f>
        <v>0</v>
      </c>
      <c r="D3092">
        <f>[2]TongHop!D3092</f>
        <v>0</v>
      </c>
      <c r="E3092">
        <f>[2]TongHop!E3092</f>
        <v>0</v>
      </c>
      <c r="F3092">
        <f>[2]TongHop!F3092</f>
        <v>0</v>
      </c>
      <c r="G3092">
        <f>[2]TongHop!G3092</f>
        <v>0</v>
      </c>
      <c r="H3092">
        <f>[2]TongHop!H3092</f>
        <v>0</v>
      </c>
      <c r="I3092">
        <f>[2]TongHop!I3092</f>
        <v>0</v>
      </c>
      <c r="J3092">
        <f>[2]TongHop!J3092</f>
        <v>0</v>
      </c>
      <c r="K3092">
        <f>[2]TongHop!K3092</f>
        <v>0</v>
      </c>
      <c r="L3092">
        <f>[2]TongHop!L3092</f>
        <v>0</v>
      </c>
      <c r="M3092">
        <f>[2]TongHop!M3092</f>
        <v>0</v>
      </c>
      <c r="N3092">
        <f>[2]TongHop!N3092</f>
        <v>0</v>
      </c>
    </row>
    <row r="3093" spans="1:14">
      <c r="A3093">
        <f>[2]TongHop!A3093</f>
        <v>0</v>
      </c>
      <c r="B3093">
        <f>[2]TongHop!B3093</f>
        <v>0</v>
      </c>
      <c r="C3093">
        <f>[2]TongHop!C3093</f>
        <v>0</v>
      </c>
      <c r="D3093">
        <f>[2]TongHop!D3093</f>
        <v>0</v>
      </c>
      <c r="E3093">
        <f>[2]TongHop!E3093</f>
        <v>0</v>
      </c>
      <c r="F3093">
        <f>[2]TongHop!F3093</f>
        <v>0</v>
      </c>
      <c r="G3093">
        <f>[2]TongHop!G3093</f>
        <v>0</v>
      </c>
      <c r="H3093">
        <f>[2]TongHop!H3093</f>
        <v>0</v>
      </c>
      <c r="I3093">
        <f>[2]TongHop!I3093</f>
        <v>0</v>
      </c>
      <c r="J3093">
        <f>[2]TongHop!J3093</f>
        <v>0</v>
      </c>
      <c r="K3093">
        <f>[2]TongHop!K3093</f>
        <v>0</v>
      </c>
      <c r="L3093">
        <f>[2]TongHop!L3093</f>
        <v>0</v>
      </c>
      <c r="M3093">
        <f>[2]TongHop!M3093</f>
        <v>0</v>
      </c>
      <c r="N3093">
        <f>[2]TongHop!N3093</f>
        <v>0</v>
      </c>
    </row>
    <row r="3094" spans="1:14">
      <c r="A3094">
        <f>[2]TongHop!A3094</f>
        <v>0</v>
      </c>
      <c r="B3094">
        <f>[2]TongHop!B3094</f>
        <v>0</v>
      </c>
      <c r="C3094">
        <f>[2]TongHop!C3094</f>
        <v>0</v>
      </c>
      <c r="D3094">
        <f>[2]TongHop!D3094</f>
        <v>0</v>
      </c>
      <c r="E3094">
        <f>[2]TongHop!E3094</f>
        <v>0</v>
      </c>
      <c r="F3094">
        <f>[2]TongHop!F3094</f>
        <v>0</v>
      </c>
      <c r="G3094">
        <f>[2]TongHop!G3094</f>
        <v>0</v>
      </c>
      <c r="H3094">
        <f>[2]TongHop!H3094</f>
        <v>0</v>
      </c>
      <c r="I3094">
        <f>[2]TongHop!I3094</f>
        <v>0</v>
      </c>
      <c r="J3094">
        <f>[2]TongHop!J3094</f>
        <v>0</v>
      </c>
      <c r="K3094">
        <f>[2]TongHop!K3094</f>
        <v>0</v>
      </c>
      <c r="L3094">
        <f>[2]TongHop!L3094</f>
        <v>0</v>
      </c>
      <c r="M3094">
        <f>[2]TongHop!M3094</f>
        <v>0</v>
      </c>
      <c r="N3094">
        <f>[2]TongHop!N3094</f>
        <v>0</v>
      </c>
    </row>
    <row r="3095" spans="1:14">
      <c r="A3095">
        <f>[2]TongHop!A3095</f>
        <v>0</v>
      </c>
      <c r="B3095">
        <f>[2]TongHop!B3095</f>
        <v>0</v>
      </c>
      <c r="C3095">
        <f>[2]TongHop!C3095</f>
        <v>0</v>
      </c>
      <c r="D3095">
        <f>[2]TongHop!D3095</f>
        <v>0</v>
      </c>
      <c r="E3095">
        <f>[2]TongHop!E3095</f>
        <v>0</v>
      </c>
      <c r="F3095">
        <f>[2]TongHop!F3095</f>
        <v>0</v>
      </c>
      <c r="G3095">
        <f>[2]TongHop!G3095</f>
        <v>0</v>
      </c>
      <c r="H3095">
        <f>[2]TongHop!H3095</f>
        <v>0</v>
      </c>
      <c r="I3095">
        <f>[2]TongHop!I3095</f>
        <v>0</v>
      </c>
      <c r="J3095">
        <f>[2]TongHop!J3095</f>
        <v>0</v>
      </c>
      <c r="K3095">
        <f>[2]TongHop!K3095</f>
        <v>0</v>
      </c>
      <c r="L3095">
        <f>[2]TongHop!L3095</f>
        <v>0</v>
      </c>
      <c r="M3095">
        <f>[2]TongHop!M3095</f>
        <v>0</v>
      </c>
      <c r="N3095">
        <f>[2]TongHop!N3095</f>
        <v>0</v>
      </c>
    </row>
    <row r="3096" spans="1:14">
      <c r="A3096">
        <f>[2]TongHop!A3096</f>
        <v>0</v>
      </c>
      <c r="B3096">
        <f>[2]TongHop!B3096</f>
        <v>0</v>
      </c>
      <c r="C3096">
        <f>[2]TongHop!C3096</f>
        <v>0</v>
      </c>
      <c r="D3096">
        <f>[2]TongHop!D3096</f>
        <v>0</v>
      </c>
      <c r="E3096">
        <f>[2]TongHop!E3096</f>
        <v>0</v>
      </c>
      <c r="F3096">
        <f>[2]TongHop!F3096</f>
        <v>0</v>
      </c>
      <c r="G3096">
        <f>[2]TongHop!G3096</f>
        <v>0</v>
      </c>
      <c r="H3096">
        <f>[2]TongHop!H3096</f>
        <v>0</v>
      </c>
      <c r="I3096">
        <f>[2]TongHop!I3096</f>
        <v>0</v>
      </c>
      <c r="J3096">
        <f>[2]TongHop!J3096</f>
        <v>0</v>
      </c>
      <c r="K3096">
        <f>[2]TongHop!K3096</f>
        <v>0</v>
      </c>
      <c r="L3096">
        <f>[2]TongHop!L3096</f>
        <v>0</v>
      </c>
      <c r="M3096">
        <f>[2]TongHop!M3096</f>
        <v>0</v>
      </c>
      <c r="N3096">
        <f>[2]TongHop!N3096</f>
        <v>0</v>
      </c>
    </row>
    <row r="3097" spans="1:14">
      <c r="A3097">
        <f>[2]TongHop!A3097</f>
        <v>0</v>
      </c>
      <c r="B3097">
        <f>[2]TongHop!B3097</f>
        <v>0</v>
      </c>
      <c r="C3097">
        <f>[2]TongHop!C3097</f>
        <v>0</v>
      </c>
      <c r="D3097">
        <f>[2]TongHop!D3097</f>
        <v>0</v>
      </c>
      <c r="E3097">
        <f>[2]TongHop!E3097</f>
        <v>0</v>
      </c>
      <c r="F3097">
        <f>[2]TongHop!F3097</f>
        <v>0</v>
      </c>
      <c r="G3097">
        <f>[2]TongHop!G3097</f>
        <v>0</v>
      </c>
      <c r="H3097">
        <f>[2]TongHop!H3097</f>
        <v>0</v>
      </c>
      <c r="I3097">
        <f>[2]TongHop!I3097</f>
        <v>0</v>
      </c>
      <c r="J3097">
        <f>[2]TongHop!J3097</f>
        <v>0</v>
      </c>
      <c r="K3097">
        <f>[2]TongHop!K3097</f>
        <v>0</v>
      </c>
      <c r="L3097">
        <f>[2]TongHop!L3097</f>
        <v>0</v>
      </c>
      <c r="M3097">
        <f>[2]TongHop!M3097</f>
        <v>0</v>
      </c>
      <c r="N3097">
        <f>[2]TongHop!N3097</f>
        <v>0</v>
      </c>
    </row>
    <row r="3098" spans="1:14">
      <c r="A3098">
        <f>[2]TongHop!A3098</f>
        <v>0</v>
      </c>
      <c r="B3098">
        <f>[2]TongHop!B3098</f>
        <v>0</v>
      </c>
      <c r="C3098">
        <f>[2]TongHop!C3098</f>
        <v>0</v>
      </c>
      <c r="D3098">
        <f>[2]TongHop!D3098</f>
        <v>0</v>
      </c>
      <c r="E3098">
        <f>[2]TongHop!E3098</f>
        <v>0</v>
      </c>
      <c r="F3098">
        <f>[2]TongHop!F3098</f>
        <v>0</v>
      </c>
      <c r="G3098">
        <f>[2]TongHop!G3098</f>
        <v>0</v>
      </c>
      <c r="H3098">
        <f>[2]TongHop!H3098</f>
        <v>0</v>
      </c>
      <c r="I3098">
        <f>[2]TongHop!I3098</f>
        <v>0</v>
      </c>
      <c r="J3098">
        <f>[2]TongHop!J3098</f>
        <v>0</v>
      </c>
      <c r="K3098">
        <f>[2]TongHop!K3098</f>
        <v>0</v>
      </c>
      <c r="L3098">
        <f>[2]TongHop!L3098</f>
        <v>0</v>
      </c>
      <c r="M3098">
        <f>[2]TongHop!M3098</f>
        <v>0</v>
      </c>
      <c r="N3098">
        <f>[2]TongHop!N3098</f>
        <v>0</v>
      </c>
    </row>
    <row r="3099" spans="1:14">
      <c r="A3099">
        <f>[2]TongHop!A3099</f>
        <v>0</v>
      </c>
      <c r="B3099">
        <f>[2]TongHop!B3099</f>
        <v>0</v>
      </c>
      <c r="C3099">
        <f>[2]TongHop!C3099</f>
        <v>0</v>
      </c>
      <c r="D3099">
        <f>[2]TongHop!D3099</f>
        <v>0</v>
      </c>
      <c r="E3099">
        <f>[2]TongHop!E3099</f>
        <v>0</v>
      </c>
      <c r="F3099">
        <f>[2]TongHop!F3099</f>
        <v>0</v>
      </c>
      <c r="G3099">
        <f>[2]TongHop!G3099</f>
        <v>0</v>
      </c>
      <c r="H3099">
        <f>[2]TongHop!H3099</f>
        <v>0</v>
      </c>
      <c r="I3099">
        <f>[2]TongHop!I3099</f>
        <v>0</v>
      </c>
      <c r="J3099">
        <f>[2]TongHop!J3099</f>
        <v>0</v>
      </c>
      <c r="K3099">
        <f>[2]TongHop!K3099</f>
        <v>0</v>
      </c>
      <c r="L3099">
        <f>[2]TongHop!L3099</f>
        <v>0</v>
      </c>
      <c r="M3099">
        <f>[2]TongHop!M3099</f>
        <v>0</v>
      </c>
      <c r="N3099">
        <f>[2]TongHop!N3099</f>
        <v>0</v>
      </c>
    </row>
    <row r="3100" spans="1:14">
      <c r="A3100">
        <f>[2]TongHop!A3100</f>
        <v>0</v>
      </c>
      <c r="B3100">
        <f>[2]TongHop!B3100</f>
        <v>0</v>
      </c>
      <c r="C3100">
        <f>[2]TongHop!C3100</f>
        <v>0</v>
      </c>
      <c r="D3100">
        <f>[2]TongHop!D3100</f>
        <v>0</v>
      </c>
      <c r="E3100">
        <f>[2]TongHop!E3100</f>
        <v>0</v>
      </c>
      <c r="F3100">
        <f>[2]TongHop!F3100</f>
        <v>0</v>
      </c>
      <c r="G3100">
        <f>[2]TongHop!G3100</f>
        <v>0</v>
      </c>
      <c r="H3100">
        <f>[2]TongHop!H3100</f>
        <v>0</v>
      </c>
      <c r="I3100">
        <f>[2]TongHop!I3100</f>
        <v>0</v>
      </c>
      <c r="J3100">
        <f>[2]TongHop!J3100</f>
        <v>0</v>
      </c>
      <c r="K3100">
        <f>[2]TongHop!K3100</f>
        <v>0</v>
      </c>
      <c r="L3100">
        <f>[2]TongHop!L3100</f>
        <v>0</v>
      </c>
      <c r="M3100">
        <f>[2]TongHop!M3100</f>
        <v>0</v>
      </c>
      <c r="N3100">
        <f>[2]TongHop!N3100</f>
        <v>0</v>
      </c>
    </row>
    <row r="3101" spans="1:14">
      <c r="A3101">
        <f>[2]TongHop!A3101</f>
        <v>0</v>
      </c>
      <c r="B3101">
        <f>[2]TongHop!B3101</f>
        <v>0</v>
      </c>
      <c r="C3101">
        <f>[2]TongHop!C3101</f>
        <v>0</v>
      </c>
      <c r="D3101">
        <f>[2]TongHop!D3101</f>
        <v>0</v>
      </c>
      <c r="E3101">
        <f>[2]TongHop!E3101</f>
        <v>0</v>
      </c>
      <c r="F3101">
        <f>[2]TongHop!F3101</f>
        <v>0</v>
      </c>
      <c r="G3101">
        <f>[2]TongHop!G3101</f>
        <v>0</v>
      </c>
      <c r="H3101">
        <f>[2]TongHop!H3101</f>
        <v>0</v>
      </c>
      <c r="I3101">
        <f>[2]TongHop!I3101</f>
        <v>0</v>
      </c>
      <c r="J3101">
        <f>[2]TongHop!J3101</f>
        <v>0</v>
      </c>
      <c r="K3101">
        <f>[2]TongHop!K3101</f>
        <v>0</v>
      </c>
      <c r="L3101">
        <f>[2]TongHop!L3101</f>
        <v>0</v>
      </c>
      <c r="M3101">
        <f>[2]TongHop!M3101</f>
        <v>0</v>
      </c>
      <c r="N3101">
        <f>[2]TongHop!N3101</f>
        <v>0</v>
      </c>
    </row>
    <row r="3102" spans="1:14">
      <c r="A3102">
        <f>[2]TongHop!A3102</f>
        <v>0</v>
      </c>
      <c r="B3102">
        <f>[2]TongHop!B3102</f>
        <v>0</v>
      </c>
      <c r="C3102">
        <f>[2]TongHop!C3102</f>
        <v>0</v>
      </c>
      <c r="D3102">
        <f>[2]TongHop!D3102</f>
        <v>0</v>
      </c>
      <c r="E3102">
        <f>[2]TongHop!E3102</f>
        <v>0</v>
      </c>
      <c r="F3102">
        <f>[2]TongHop!F3102</f>
        <v>0</v>
      </c>
      <c r="G3102">
        <f>[2]TongHop!G3102</f>
        <v>0</v>
      </c>
      <c r="H3102">
        <f>[2]TongHop!H3102</f>
        <v>0</v>
      </c>
      <c r="I3102">
        <f>[2]TongHop!I3102</f>
        <v>0</v>
      </c>
      <c r="J3102">
        <f>[2]TongHop!J3102</f>
        <v>0</v>
      </c>
      <c r="K3102">
        <f>[2]TongHop!K3102</f>
        <v>0</v>
      </c>
      <c r="L3102">
        <f>[2]TongHop!L3102</f>
        <v>0</v>
      </c>
      <c r="M3102">
        <f>[2]TongHop!M3102</f>
        <v>0</v>
      </c>
      <c r="N3102">
        <f>[2]TongHop!N3102</f>
        <v>0</v>
      </c>
    </row>
    <row r="3103" spans="1:14">
      <c r="A3103">
        <f>[2]TongHop!A3103</f>
        <v>0</v>
      </c>
      <c r="B3103">
        <f>[2]TongHop!B3103</f>
        <v>0</v>
      </c>
      <c r="C3103">
        <f>[2]TongHop!C3103</f>
        <v>0</v>
      </c>
      <c r="D3103">
        <f>[2]TongHop!D3103</f>
        <v>0</v>
      </c>
      <c r="E3103">
        <f>[2]TongHop!E3103</f>
        <v>0</v>
      </c>
      <c r="F3103">
        <f>[2]TongHop!F3103</f>
        <v>0</v>
      </c>
      <c r="G3103">
        <f>[2]TongHop!G3103</f>
        <v>0</v>
      </c>
      <c r="H3103">
        <f>[2]TongHop!H3103</f>
        <v>0</v>
      </c>
      <c r="I3103">
        <f>[2]TongHop!I3103</f>
        <v>0</v>
      </c>
      <c r="J3103">
        <f>[2]TongHop!J3103</f>
        <v>0</v>
      </c>
      <c r="K3103">
        <f>[2]TongHop!K3103</f>
        <v>0</v>
      </c>
      <c r="L3103">
        <f>[2]TongHop!L3103</f>
        <v>0</v>
      </c>
      <c r="M3103">
        <f>[2]TongHop!M3103</f>
        <v>0</v>
      </c>
      <c r="N3103">
        <f>[2]TongHop!N3103</f>
        <v>0</v>
      </c>
    </row>
    <row r="3104" spans="1:14">
      <c r="A3104">
        <f>[2]TongHop!A3104</f>
        <v>0</v>
      </c>
      <c r="B3104">
        <f>[2]TongHop!B3104</f>
        <v>0</v>
      </c>
      <c r="C3104">
        <f>[2]TongHop!C3104</f>
        <v>0</v>
      </c>
      <c r="D3104">
        <f>[2]TongHop!D3104</f>
        <v>0</v>
      </c>
      <c r="E3104">
        <f>[2]TongHop!E3104</f>
        <v>0</v>
      </c>
      <c r="F3104">
        <f>[2]TongHop!F3104</f>
        <v>0</v>
      </c>
      <c r="G3104">
        <f>[2]TongHop!G3104</f>
        <v>0</v>
      </c>
      <c r="H3104">
        <f>[2]TongHop!H3104</f>
        <v>0</v>
      </c>
      <c r="I3104">
        <f>[2]TongHop!I3104</f>
        <v>0</v>
      </c>
      <c r="J3104">
        <f>[2]TongHop!J3104</f>
        <v>0</v>
      </c>
      <c r="K3104">
        <f>[2]TongHop!K3104</f>
        <v>0</v>
      </c>
      <c r="L3104">
        <f>[2]TongHop!L3104</f>
        <v>0</v>
      </c>
      <c r="M3104">
        <f>[2]TongHop!M3104</f>
        <v>0</v>
      </c>
      <c r="N3104">
        <f>[2]TongHop!N3104</f>
        <v>0</v>
      </c>
    </row>
    <row r="3105" spans="1:14">
      <c r="A3105">
        <f>[2]TongHop!A3105</f>
        <v>0</v>
      </c>
      <c r="B3105">
        <f>[2]TongHop!B3105</f>
        <v>0</v>
      </c>
      <c r="C3105">
        <f>[2]TongHop!C3105</f>
        <v>0</v>
      </c>
      <c r="D3105">
        <f>[2]TongHop!D3105</f>
        <v>0</v>
      </c>
      <c r="E3105">
        <f>[2]TongHop!E3105</f>
        <v>0</v>
      </c>
      <c r="F3105">
        <f>[2]TongHop!F3105</f>
        <v>0</v>
      </c>
      <c r="G3105">
        <f>[2]TongHop!G3105</f>
        <v>0</v>
      </c>
      <c r="H3105">
        <f>[2]TongHop!H3105</f>
        <v>0</v>
      </c>
      <c r="I3105">
        <f>[2]TongHop!I3105</f>
        <v>0</v>
      </c>
      <c r="J3105">
        <f>[2]TongHop!J3105</f>
        <v>0</v>
      </c>
      <c r="K3105">
        <f>[2]TongHop!K3105</f>
        <v>0</v>
      </c>
      <c r="L3105">
        <f>[2]TongHop!L3105</f>
        <v>0</v>
      </c>
      <c r="M3105">
        <f>[2]TongHop!M3105</f>
        <v>0</v>
      </c>
      <c r="N3105">
        <f>[2]TongHop!N3105</f>
        <v>0</v>
      </c>
    </row>
    <row r="3106" spans="1:14">
      <c r="A3106">
        <f>[2]TongHop!A3106</f>
        <v>0</v>
      </c>
      <c r="B3106">
        <f>[2]TongHop!B3106</f>
        <v>0</v>
      </c>
      <c r="C3106">
        <f>[2]TongHop!C3106</f>
        <v>0</v>
      </c>
      <c r="D3106">
        <f>[2]TongHop!D3106</f>
        <v>0</v>
      </c>
      <c r="E3106">
        <f>[2]TongHop!E3106</f>
        <v>0</v>
      </c>
      <c r="F3106">
        <f>[2]TongHop!F3106</f>
        <v>0</v>
      </c>
      <c r="G3106">
        <f>[2]TongHop!G3106</f>
        <v>0</v>
      </c>
      <c r="H3106">
        <f>[2]TongHop!H3106</f>
        <v>0</v>
      </c>
      <c r="I3106">
        <f>[2]TongHop!I3106</f>
        <v>0</v>
      </c>
      <c r="J3106">
        <f>[2]TongHop!J3106</f>
        <v>0</v>
      </c>
      <c r="K3106">
        <f>[2]TongHop!K3106</f>
        <v>0</v>
      </c>
      <c r="L3106">
        <f>[2]TongHop!L3106</f>
        <v>0</v>
      </c>
      <c r="M3106">
        <f>[2]TongHop!M3106</f>
        <v>0</v>
      </c>
      <c r="N3106">
        <f>[2]TongHop!N3106</f>
        <v>0</v>
      </c>
    </row>
    <row r="3107" spans="1:14">
      <c r="A3107">
        <f>[2]TongHop!A3107</f>
        <v>0</v>
      </c>
      <c r="B3107">
        <f>[2]TongHop!B3107</f>
        <v>0</v>
      </c>
      <c r="C3107">
        <f>[2]TongHop!C3107</f>
        <v>0</v>
      </c>
      <c r="D3107">
        <f>[2]TongHop!D3107</f>
        <v>0</v>
      </c>
      <c r="E3107">
        <f>[2]TongHop!E3107</f>
        <v>0</v>
      </c>
      <c r="F3107">
        <f>[2]TongHop!F3107</f>
        <v>0</v>
      </c>
      <c r="G3107">
        <f>[2]TongHop!G3107</f>
        <v>0</v>
      </c>
      <c r="H3107">
        <f>[2]TongHop!H3107</f>
        <v>0</v>
      </c>
      <c r="I3107">
        <f>[2]TongHop!I3107</f>
        <v>0</v>
      </c>
      <c r="J3107">
        <f>[2]TongHop!J3107</f>
        <v>0</v>
      </c>
      <c r="K3107">
        <f>[2]TongHop!K3107</f>
        <v>0</v>
      </c>
      <c r="L3107">
        <f>[2]TongHop!L3107</f>
        <v>0</v>
      </c>
      <c r="M3107">
        <f>[2]TongHop!M3107</f>
        <v>0</v>
      </c>
      <c r="N3107">
        <f>[2]TongHop!N3107</f>
        <v>0</v>
      </c>
    </row>
    <row r="3108" spans="1:14">
      <c r="A3108">
        <f>[2]TongHop!A3108</f>
        <v>0</v>
      </c>
      <c r="B3108">
        <f>[2]TongHop!B3108</f>
        <v>0</v>
      </c>
      <c r="C3108">
        <f>[2]TongHop!C3108</f>
        <v>0</v>
      </c>
      <c r="D3108">
        <f>[2]TongHop!D3108</f>
        <v>0</v>
      </c>
      <c r="E3108">
        <f>[2]TongHop!E3108</f>
        <v>0</v>
      </c>
      <c r="F3108">
        <f>[2]TongHop!F3108</f>
        <v>0</v>
      </c>
      <c r="G3108">
        <f>[2]TongHop!G3108</f>
        <v>0</v>
      </c>
      <c r="H3108">
        <f>[2]TongHop!H3108</f>
        <v>0</v>
      </c>
      <c r="I3108">
        <f>[2]TongHop!I3108</f>
        <v>0</v>
      </c>
      <c r="J3108">
        <f>[2]TongHop!J3108</f>
        <v>0</v>
      </c>
      <c r="K3108">
        <f>[2]TongHop!K3108</f>
        <v>0</v>
      </c>
      <c r="L3108">
        <f>[2]TongHop!L3108</f>
        <v>0</v>
      </c>
      <c r="M3108">
        <f>[2]TongHop!M3108</f>
        <v>0</v>
      </c>
      <c r="N3108">
        <f>[2]TongHop!N3108</f>
        <v>0</v>
      </c>
    </row>
    <row r="3109" spans="1:14">
      <c r="A3109">
        <f>[2]TongHop!A3109</f>
        <v>0</v>
      </c>
      <c r="B3109">
        <f>[2]TongHop!B3109</f>
        <v>0</v>
      </c>
      <c r="C3109">
        <f>[2]TongHop!C3109</f>
        <v>0</v>
      </c>
      <c r="D3109">
        <f>[2]TongHop!D3109</f>
        <v>0</v>
      </c>
      <c r="E3109">
        <f>[2]TongHop!E3109</f>
        <v>0</v>
      </c>
      <c r="F3109">
        <f>[2]TongHop!F3109</f>
        <v>0</v>
      </c>
      <c r="G3109">
        <f>[2]TongHop!G3109</f>
        <v>0</v>
      </c>
      <c r="H3109">
        <f>[2]TongHop!H3109</f>
        <v>0</v>
      </c>
      <c r="I3109">
        <f>[2]TongHop!I3109</f>
        <v>0</v>
      </c>
      <c r="J3109">
        <f>[2]TongHop!J3109</f>
        <v>0</v>
      </c>
      <c r="K3109">
        <f>[2]TongHop!K3109</f>
        <v>0</v>
      </c>
      <c r="L3109">
        <f>[2]TongHop!L3109</f>
        <v>0</v>
      </c>
      <c r="M3109">
        <f>[2]TongHop!M3109</f>
        <v>0</v>
      </c>
      <c r="N3109">
        <f>[2]TongHop!N3109</f>
        <v>0</v>
      </c>
    </row>
    <row r="3110" spans="1:14">
      <c r="A3110">
        <f>[2]TongHop!A3110</f>
        <v>0</v>
      </c>
      <c r="B3110">
        <f>[2]TongHop!B3110</f>
        <v>0</v>
      </c>
      <c r="C3110">
        <f>[2]TongHop!C3110</f>
        <v>0</v>
      </c>
      <c r="D3110">
        <f>[2]TongHop!D3110</f>
        <v>0</v>
      </c>
      <c r="E3110">
        <f>[2]TongHop!E3110</f>
        <v>0</v>
      </c>
      <c r="F3110">
        <f>[2]TongHop!F3110</f>
        <v>0</v>
      </c>
      <c r="G3110">
        <f>[2]TongHop!G3110</f>
        <v>0</v>
      </c>
      <c r="H3110">
        <f>[2]TongHop!H3110</f>
        <v>0</v>
      </c>
      <c r="I3110">
        <f>[2]TongHop!I3110</f>
        <v>0</v>
      </c>
      <c r="J3110">
        <f>[2]TongHop!J3110</f>
        <v>0</v>
      </c>
      <c r="K3110">
        <f>[2]TongHop!K3110</f>
        <v>0</v>
      </c>
      <c r="L3110">
        <f>[2]TongHop!L3110</f>
        <v>0</v>
      </c>
      <c r="M3110">
        <f>[2]TongHop!M3110</f>
        <v>0</v>
      </c>
      <c r="N3110">
        <f>[2]TongHop!N3110</f>
        <v>0</v>
      </c>
    </row>
    <row r="3111" spans="1:14">
      <c r="A3111">
        <f>[2]TongHop!A3111</f>
        <v>0</v>
      </c>
      <c r="B3111">
        <f>[2]TongHop!B3111</f>
        <v>0</v>
      </c>
      <c r="C3111">
        <f>[2]TongHop!C3111</f>
        <v>0</v>
      </c>
      <c r="D3111">
        <f>[2]TongHop!D3111</f>
        <v>0</v>
      </c>
      <c r="E3111">
        <f>[2]TongHop!E3111</f>
        <v>0</v>
      </c>
      <c r="F3111">
        <f>[2]TongHop!F3111</f>
        <v>0</v>
      </c>
      <c r="G3111">
        <f>[2]TongHop!G3111</f>
        <v>0</v>
      </c>
      <c r="H3111">
        <f>[2]TongHop!H3111</f>
        <v>0</v>
      </c>
      <c r="I3111">
        <f>[2]TongHop!I3111</f>
        <v>0</v>
      </c>
      <c r="J3111">
        <f>[2]TongHop!J3111</f>
        <v>0</v>
      </c>
      <c r="K3111">
        <f>[2]TongHop!K3111</f>
        <v>0</v>
      </c>
      <c r="L3111">
        <f>[2]TongHop!L3111</f>
        <v>0</v>
      </c>
      <c r="M3111">
        <f>[2]TongHop!M3111</f>
        <v>0</v>
      </c>
      <c r="N3111">
        <f>[2]TongHop!N3111</f>
        <v>0</v>
      </c>
    </row>
    <row r="3112" spans="1:14">
      <c r="A3112">
        <f>[2]TongHop!A3112</f>
        <v>0</v>
      </c>
      <c r="B3112">
        <f>[2]TongHop!B3112</f>
        <v>0</v>
      </c>
      <c r="C3112">
        <f>[2]TongHop!C3112</f>
        <v>0</v>
      </c>
      <c r="D3112">
        <f>[2]TongHop!D3112</f>
        <v>0</v>
      </c>
      <c r="E3112">
        <f>[2]TongHop!E3112</f>
        <v>0</v>
      </c>
      <c r="F3112">
        <f>[2]TongHop!F3112</f>
        <v>0</v>
      </c>
      <c r="G3112">
        <f>[2]TongHop!G3112</f>
        <v>0</v>
      </c>
      <c r="H3112">
        <f>[2]TongHop!H3112</f>
        <v>0</v>
      </c>
      <c r="I3112">
        <f>[2]TongHop!I3112</f>
        <v>0</v>
      </c>
      <c r="J3112">
        <f>[2]TongHop!J3112</f>
        <v>0</v>
      </c>
      <c r="K3112">
        <f>[2]TongHop!K3112</f>
        <v>0</v>
      </c>
      <c r="L3112">
        <f>[2]TongHop!L3112</f>
        <v>0</v>
      </c>
      <c r="M3112">
        <f>[2]TongHop!M3112</f>
        <v>0</v>
      </c>
      <c r="N3112">
        <f>[2]TongHop!N3112</f>
        <v>0</v>
      </c>
    </row>
    <row r="3113" spans="1:14">
      <c r="A3113">
        <f>[2]TongHop!A3113</f>
        <v>0</v>
      </c>
      <c r="B3113">
        <f>[2]TongHop!B3113</f>
        <v>0</v>
      </c>
      <c r="C3113">
        <f>[2]TongHop!C3113</f>
        <v>0</v>
      </c>
      <c r="D3113">
        <f>[2]TongHop!D3113</f>
        <v>0</v>
      </c>
      <c r="E3113">
        <f>[2]TongHop!E3113</f>
        <v>0</v>
      </c>
      <c r="F3113">
        <f>[2]TongHop!F3113</f>
        <v>0</v>
      </c>
      <c r="G3113">
        <f>[2]TongHop!G3113</f>
        <v>0</v>
      </c>
      <c r="H3113">
        <f>[2]TongHop!H3113</f>
        <v>0</v>
      </c>
      <c r="I3113">
        <f>[2]TongHop!I3113</f>
        <v>0</v>
      </c>
      <c r="J3113">
        <f>[2]TongHop!J3113</f>
        <v>0</v>
      </c>
      <c r="K3113">
        <f>[2]TongHop!K3113</f>
        <v>0</v>
      </c>
      <c r="L3113">
        <f>[2]TongHop!L3113</f>
        <v>0</v>
      </c>
      <c r="M3113">
        <f>[2]TongHop!M3113</f>
        <v>0</v>
      </c>
      <c r="N3113">
        <f>[2]TongHop!N3113</f>
        <v>0</v>
      </c>
    </row>
    <row r="3114" spans="1:14">
      <c r="A3114">
        <f>[2]TongHop!A3114</f>
        <v>0</v>
      </c>
      <c r="B3114">
        <f>[2]TongHop!B3114</f>
        <v>0</v>
      </c>
      <c r="C3114">
        <f>[2]TongHop!C3114</f>
        <v>0</v>
      </c>
      <c r="D3114">
        <f>[2]TongHop!D3114</f>
        <v>0</v>
      </c>
      <c r="E3114">
        <f>[2]TongHop!E3114</f>
        <v>0</v>
      </c>
      <c r="F3114">
        <f>[2]TongHop!F3114</f>
        <v>0</v>
      </c>
      <c r="G3114">
        <f>[2]TongHop!G3114</f>
        <v>0</v>
      </c>
      <c r="H3114">
        <f>[2]TongHop!H3114</f>
        <v>0</v>
      </c>
      <c r="I3114">
        <f>[2]TongHop!I3114</f>
        <v>0</v>
      </c>
      <c r="J3114">
        <f>[2]TongHop!J3114</f>
        <v>0</v>
      </c>
      <c r="K3114">
        <f>[2]TongHop!K3114</f>
        <v>0</v>
      </c>
      <c r="L3114">
        <f>[2]TongHop!L3114</f>
        <v>0</v>
      </c>
      <c r="M3114">
        <f>[2]TongHop!M3114</f>
        <v>0</v>
      </c>
      <c r="N3114">
        <f>[2]TongHop!N3114</f>
        <v>0</v>
      </c>
    </row>
    <row r="3115" spans="1:14">
      <c r="A3115">
        <f>[2]TongHop!A3115</f>
        <v>0</v>
      </c>
      <c r="B3115">
        <f>[2]TongHop!B3115</f>
        <v>0</v>
      </c>
      <c r="C3115">
        <f>[2]TongHop!C3115</f>
        <v>0</v>
      </c>
      <c r="D3115">
        <f>[2]TongHop!D3115</f>
        <v>0</v>
      </c>
      <c r="E3115">
        <f>[2]TongHop!E3115</f>
        <v>0</v>
      </c>
      <c r="F3115">
        <f>[2]TongHop!F3115</f>
        <v>0</v>
      </c>
      <c r="G3115">
        <f>[2]TongHop!G3115</f>
        <v>0</v>
      </c>
      <c r="H3115">
        <f>[2]TongHop!H3115</f>
        <v>0</v>
      </c>
      <c r="I3115">
        <f>[2]TongHop!I3115</f>
        <v>0</v>
      </c>
      <c r="J3115">
        <f>[2]TongHop!J3115</f>
        <v>0</v>
      </c>
      <c r="K3115">
        <f>[2]TongHop!K3115</f>
        <v>0</v>
      </c>
      <c r="L3115">
        <f>[2]TongHop!L3115</f>
        <v>0</v>
      </c>
      <c r="M3115">
        <f>[2]TongHop!M3115</f>
        <v>0</v>
      </c>
      <c r="N3115">
        <f>[2]TongHop!N3115</f>
        <v>0</v>
      </c>
    </row>
    <row r="3116" spans="1:14">
      <c r="A3116">
        <f>[2]TongHop!A3116</f>
        <v>0</v>
      </c>
      <c r="B3116">
        <f>[2]TongHop!B3116</f>
        <v>0</v>
      </c>
      <c r="C3116">
        <f>[2]TongHop!C3116</f>
        <v>0</v>
      </c>
      <c r="D3116">
        <f>[2]TongHop!D3116</f>
        <v>0</v>
      </c>
      <c r="E3116">
        <f>[2]TongHop!E3116</f>
        <v>0</v>
      </c>
      <c r="F3116">
        <f>[2]TongHop!F3116</f>
        <v>0</v>
      </c>
      <c r="G3116">
        <f>[2]TongHop!G3116</f>
        <v>0</v>
      </c>
      <c r="H3116">
        <f>[2]TongHop!H3116</f>
        <v>0</v>
      </c>
      <c r="I3116">
        <f>[2]TongHop!I3116</f>
        <v>0</v>
      </c>
      <c r="J3116">
        <f>[2]TongHop!J3116</f>
        <v>0</v>
      </c>
      <c r="K3116">
        <f>[2]TongHop!K3116</f>
        <v>0</v>
      </c>
      <c r="L3116">
        <f>[2]TongHop!L3116</f>
        <v>0</v>
      </c>
      <c r="M3116">
        <f>[2]TongHop!M3116</f>
        <v>0</v>
      </c>
      <c r="N3116">
        <f>[2]TongHop!N3116</f>
        <v>0</v>
      </c>
    </row>
    <row r="3117" spans="1:14">
      <c r="A3117">
        <f>[2]TongHop!A3117</f>
        <v>0</v>
      </c>
      <c r="B3117">
        <f>[2]TongHop!B3117</f>
        <v>0</v>
      </c>
      <c r="C3117">
        <f>[2]TongHop!C3117</f>
        <v>0</v>
      </c>
      <c r="D3117">
        <f>[2]TongHop!D3117</f>
        <v>0</v>
      </c>
      <c r="E3117">
        <f>[2]TongHop!E3117</f>
        <v>0</v>
      </c>
      <c r="F3117">
        <f>[2]TongHop!F3117</f>
        <v>0</v>
      </c>
      <c r="G3117">
        <f>[2]TongHop!G3117</f>
        <v>0</v>
      </c>
      <c r="H3117">
        <f>[2]TongHop!H3117</f>
        <v>0</v>
      </c>
      <c r="I3117">
        <f>[2]TongHop!I3117</f>
        <v>0</v>
      </c>
      <c r="J3117">
        <f>[2]TongHop!J3117</f>
        <v>0</v>
      </c>
      <c r="K3117">
        <f>[2]TongHop!K3117</f>
        <v>0</v>
      </c>
      <c r="L3117">
        <f>[2]TongHop!L3117</f>
        <v>0</v>
      </c>
      <c r="M3117">
        <f>[2]TongHop!M3117</f>
        <v>0</v>
      </c>
      <c r="N3117">
        <f>[2]TongHop!N3117</f>
        <v>0</v>
      </c>
    </row>
    <row r="3118" spans="1:14">
      <c r="A3118">
        <f>[2]TongHop!A3118</f>
        <v>0</v>
      </c>
      <c r="B3118">
        <f>[2]TongHop!B3118</f>
        <v>0</v>
      </c>
      <c r="C3118">
        <f>[2]TongHop!C3118</f>
        <v>0</v>
      </c>
      <c r="D3118">
        <f>[2]TongHop!D3118</f>
        <v>0</v>
      </c>
      <c r="E3118">
        <f>[2]TongHop!E3118</f>
        <v>0</v>
      </c>
      <c r="F3118">
        <f>[2]TongHop!F3118</f>
        <v>0</v>
      </c>
      <c r="G3118">
        <f>[2]TongHop!G3118</f>
        <v>0</v>
      </c>
      <c r="H3118">
        <f>[2]TongHop!H3118</f>
        <v>0</v>
      </c>
      <c r="I3118">
        <f>[2]TongHop!I3118</f>
        <v>0</v>
      </c>
      <c r="J3118">
        <f>[2]TongHop!J3118</f>
        <v>0</v>
      </c>
      <c r="K3118">
        <f>[2]TongHop!K3118</f>
        <v>0</v>
      </c>
      <c r="L3118">
        <f>[2]TongHop!L3118</f>
        <v>0</v>
      </c>
      <c r="M3118">
        <f>[2]TongHop!M3118</f>
        <v>0</v>
      </c>
      <c r="N3118">
        <f>[2]TongHop!N3118</f>
        <v>0</v>
      </c>
    </row>
    <row r="3119" spans="1:14">
      <c r="A3119">
        <f>[2]TongHop!A3119</f>
        <v>0</v>
      </c>
      <c r="B3119">
        <f>[2]TongHop!B3119</f>
        <v>0</v>
      </c>
      <c r="C3119">
        <f>[2]TongHop!C3119</f>
        <v>0</v>
      </c>
      <c r="D3119">
        <f>[2]TongHop!D3119</f>
        <v>0</v>
      </c>
      <c r="E3119">
        <f>[2]TongHop!E3119</f>
        <v>0</v>
      </c>
      <c r="F3119">
        <f>[2]TongHop!F3119</f>
        <v>0</v>
      </c>
      <c r="G3119">
        <f>[2]TongHop!G3119</f>
        <v>0</v>
      </c>
      <c r="H3119">
        <f>[2]TongHop!H3119</f>
        <v>0</v>
      </c>
      <c r="I3119">
        <f>[2]TongHop!I3119</f>
        <v>0</v>
      </c>
      <c r="J3119">
        <f>[2]TongHop!J3119</f>
        <v>0</v>
      </c>
      <c r="K3119">
        <f>[2]TongHop!K3119</f>
        <v>0</v>
      </c>
      <c r="L3119">
        <f>[2]TongHop!L3119</f>
        <v>0</v>
      </c>
      <c r="M3119">
        <f>[2]TongHop!M3119</f>
        <v>0</v>
      </c>
      <c r="N3119">
        <f>[2]TongHop!N3119</f>
        <v>0</v>
      </c>
    </row>
    <row r="3120" spans="1:14">
      <c r="A3120">
        <f>[2]TongHop!A3120</f>
        <v>0</v>
      </c>
      <c r="B3120">
        <f>[2]TongHop!B3120</f>
        <v>0</v>
      </c>
      <c r="C3120">
        <f>[2]TongHop!C3120</f>
        <v>0</v>
      </c>
      <c r="D3120">
        <f>[2]TongHop!D3120</f>
        <v>0</v>
      </c>
      <c r="E3120">
        <f>[2]TongHop!E3120</f>
        <v>0</v>
      </c>
      <c r="F3120">
        <f>[2]TongHop!F3120</f>
        <v>0</v>
      </c>
      <c r="G3120">
        <f>[2]TongHop!G3120</f>
        <v>0</v>
      </c>
      <c r="H3120">
        <f>[2]TongHop!H3120</f>
        <v>0</v>
      </c>
      <c r="I3120">
        <f>[2]TongHop!I3120</f>
        <v>0</v>
      </c>
      <c r="J3120">
        <f>[2]TongHop!J3120</f>
        <v>0</v>
      </c>
      <c r="K3120">
        <f>[2]TongHop!K3120</f>
        <v>0</v>
      </c>
      <c r="L3120">
        <f>[2]TongHop!L3120</f>
        <v>0</v>
      </c>
      <c r="M3120">
        <f>[2]TongHop!M3120</f>
        <v>0</v>
      </c>
      <c r="N3120">
        <f>[2]TongHop!N3120</f>
        <v>0</v>
      </c>
    </row>
    <row r="3121" spans="1:14">
      <c r="A3121">
        <f>[2]TongHop!A3121</f>
        <v>0</v>
      </c>
      <c r="B3121">
        <f>[2]TongHop!B3121</f>
        <v>0</v>
      </c>
      <c r="C3121">
        <f>[2]TongHop!C3121</f>
        <v>0</v>
      </c>
      <c r="D3121">
        <f>[2]TongHop!D3121</f>
        <v>0</v>
      </c>
      <c r="E3121">
        <f>[2]TongHop!E3121</f>
        <v>0</v>
      </c>
      <c r="F3121">
        <f>[2]TongHop!F3121</f>
        <v>0</v>
      </c>
      <c r="G3121">
        <f>[2]TongHop!G3121</f>
        <v>0</v>
      </c>
      <c r="H3121">
        <f>[2]TongHop!H3121</f>
        <v>0</v>
      </c>
      <c r="I3121">
        <f>[2]TongHop!I3121</f>
        <v>0</v>
      </c>
      <c r="J3121">
        <f>[2]TongHop!J3121</f>
        <v>0</v>
      </c>
      <c r="K3121">
        <f>[2]TongHop!K3121</f>
        <v>0</v>
      </c>
      <c r="L3121">
        <f>[2]TongHop!L3121</f>
        <v>0</v>
      </c>
      <c r="M3121">
        <f>[2]TongHop!M3121</f>
        <v>0</v>
      </c>
      <c r="N3121">
        <f>[2]TongHop!N3121</f>
        <v>0</v>
      </c>
    </row>
    <row r="3122" spans="1:14">
      <c r="A3122">
        <f>[2]TongHop!A3122</f>
        <v>0</v>
      </c>
      <c r="B3122">
        <f>[2]TongHop!B3122</f>
        <v>0</v>
      </c>
      <c r="C3122">
        <f>[2]TongHop!C3122</f>
        <v>0</v>
      </c>
      <c r="D3122">
        <f>[2]TongHop!D3122</f>
        <v>0</v>
      </c>
      <c r="E3122">
        <f>[2]TongHop!E3122</f>
        <v>0</v>
      </c>
      <c r="F3122">
        <f>[2]TongHop!F3122</f>
        <v>0</v>
      </c>
      <c r="G3122">
        <f>[2]TongHop!G3122</f>
        <v>0</v>
      </c>
      <c r="H3122">
        <f>[2]TongHop!H3122</f>
        <v>0</v>
      </c>
      <c r="I3122">
        <f>[2]TongHop!I3122</f>
        <v>0</v>
      </c>
      <c r="J3122">
        <f>[2]TongHop!J3122</f>
        <v>0</v>
      </c>
      <c r="K3122">
        <f>[2]TongHop!K3122</f>
        <v>0</v>
      </c>
      <c r="L3122">
        <f>[2]TongHop!L3122</f>
        <v>0</v>
      </c>
      <c r="M3122">
        <f>[2]TongHop!M3122</f>
        <v>0</v>
      </c>
      <c r="N3122">
        <f>[2]TongHop!N3122</f>
        <v>0</v>
      </c>
    </row>
    <row r="3123" spans="1:14">
      <c r="A3123">
        <f>[2]TongHop!A3123</f>
        <v>0</v>
      </c>
      <c r="B3123">
        <f>[2]TongHop!B3123</f>
        <v>0</v>
      </c>
      <c r="C3123">
        <f>[2]TongHop!C3123</f>
        <v>0</v>
      </c>
      <c r="D3123">
        <f>[2]TongHop!D3123</f>
        <v>0</v>
      </c>
      <c r="E3123">
        <f>[2]TongHop!E3123</f>
        <v>0</v>
      </c>
      <c r="F3123">
        <f>[2]TongHop!F3123</f>
        <v>0</v>
      </c>
      <c r="G3123">
        <f>[2]TongHop!G3123</f>
        <v>0</v>
      </c>
      <c r="H3123">
        <f>[2]TongHop!H3123</f>
        <v>0</v>
      </c>
      <c r="I3123">
        <f>[2]TongHop!I3123</f>
        <v>0</v>
      </c>
      <c r="J3123">
        <f>[2]TongHop!J3123</f>
        <v>0</v>
      </c>
      <c r="K3123">
        <f>[2]TongHop!K3123</f>
        <v>0</v>
      </c>
      <c r="L3123">
        <f>[2]TongHop!L3123</f>
        <v>0</v>
      </c>
      <c r="M3123">
        <f>[2]TongHop!M3123</f>
        <v>0</v>
      </c>
      <c r="N3123">
        <f>[2]TongHop!N3123</f>
        <v>0</v>
      </c>
    </row>
    <row r="3124" spans="1:14">
      <c r="A3124">
        <f>[2]TongHop!A3124</f>
        <v>0</v>
      </c>
      <c r="B3124">
        <f>[2]TongHop!B3124</f>
        <v>0</v>
      </c>
      <c r="C3124">
        <f>[2]TongHop!C3124</f>
        <v>0</v>
      </c>
      <c r="D3124">
        <f>[2]TongHop!D3124</f>
        <v>0</v>
      </c>
      <c r="E3124">
        <f>[2]TongHop!E3124</f>
        <v>0</v>
      </c>
      <c r="F3124">
        <f>[2]TongHop!F3124</f>
        <v>0</v>
      </c>
      <c r="G3124">
        <f>[2]TongHop!G3124</f>
        <v>0</v>
      </c>
      <c r="H3124">
        <f>[2]TongHop!H3124</f>
        <v>0</v>
      </c>
      <c r="I3124">
        <f>[2]TongHop!I3124</f>
        <v>0</v>
      </c>
      <c r="J3124">
        <f>[2]TongHop!J3124</f>
        <v>0</v>
      </c>
      <c r="K3124">
        <f>[2]TongHop!K3124</f>
        <v>0</v>
      </c>
      <c r="L3124">
        <f>[2]TongHop!L3124</f>
        <v>0</v>
      </c>
      <c r="M3124">
        <f>[2]TongHop!M3124</f>
        <v>0</v>
      </c>
      <c r="N3124">
        <f>[2]TongHop!N3124</f>
        <v>0</v>
      </c>
    </row>
    <row r="3125" spans="1:14">
      <c r="A3125">
        <f>[2]TongHop!A3125</f>
        <v>0</v>
      </c>
      <c r="B3125">
        <f>[2]TongHop!B3125</f>
        <v>0</v>
      </c>
      <c r="C3125">
        <f>[2]TongHop!C3125</f>
        <v>0</v>
      </c>
      <c r="D3125">
        <f>[2]TongHop!D3125</f>
        <v>0</v>
      </c>
      <c r="E3125">
        <f>[2]TongHop!E3125</f>
        <v>0</v>
      </c>
      <c r="F3125">
        <f>[2]TongHop!F3125</f>
        <v>0</v>
      </c>
      <c r="G3125">
        <f>[2]TongHop!G3125</f>
        <v>0</v>
      </c>
      <c r="H3125">
        <f>[2]TongHop!H3125</f>
        <v>0</v>
      </c>
      <c r="I3125">
        <f>[2]TongHop!I3125</f>
        <v>0</v>
      </c>
      <c r="J3125">
        <f>[2]TongHop!J3125</f>
        <v>0</v>
      </c>
      <c r="K3125">
        <f>[2]TongHop!K3125</f>
        <v>0</v>
      </c>
      <c r="L3125">
        <f>[2]TongHop!L3125</f>
        <v>0</v>
      </c>
      <c r="M3125">
        <f>[2]TongHop!M3125</f>
        <v>0</v>
      </c>
      <c r="N3125">
        <f>[2]TongHop!N3125</f>
        <v>0</v>
      </c>
    </row>
    <row r="3126" spans="1:14">
      <c r="A3126">
        <f>[2]TongHop!A3126</f>
        <v>0</v>
      </c>
      <c r="B3126">
        <f>[2]TongHop!B3126</f>
        <v>0</v>
      </c>
      <c r="C3126">
        <f>[2]TongHop!C3126</f>
        <v>0</v>
      </c>
      <c r="D3126">
        <f>[2]TongHop!D3126</f>
        <v>0</v>
      </c>
      <c r="E3126">
        <f>[2]TongHop!E3126</f>
        <v>0</v>
      </c>
      <c r="F3126">
        <f>[2]TongHop!F3126</f>
        <v>0</v>
      </c>
      <c r="G3126">
        <f>[2]TongHop!G3126</f>
        <v>0</v>
      </c>
      <c r="H3126">
        <f>[2]TongHop!H3126</f>
        <v>0</v>
      </c>
      <c r="I3126">
        <f>[2]TongHop!I3126</f>
        <v>0</v>
      </c>
      <c r="J3126">
        <f>[2]TongHop!J3126</f>
        <v>0</v>
      </c>
      <c r="K3126">
        <f>[2]TongHop!K3126</f>
        <v>0</v>
      </c>
      <c r="L3126">
        <f>[2]TongHop!L3126</f>
        <v>0</v>
      </c>
      <c r="M3126">
        <f>[2]TongHop!M3126</f>
        <v>0</v>
      </c>
      <c r="N3126">
        <f>[2]TongHop!N3126</f>
        <v>0</v>
      </c>
    </row>
    <row r="3127" spans="1:14">
      <c r="A3127">
        <f>[2]TongHop!A3127</f>
        <v>0</v>
      </c>
      <c r="B3127">
        <f>[2]TongHop!B3127</f>
        <v>0</v>
      </c>
      <c r="C3127">
        <f>[2]TongHop!C3127</f>
        <v>0</v>
      </c>
      <c r="D3127">
        <f>[2]TongHop!D3127</f>
        <v>0</v>
      </c>
      <c r="E3127">
        <f>[2]TongHop!E3127</f>
        <v>0</v>
      </c>
      <c r="F3127">
        <f>[2]TongHop!F3127</f>
        <v>0</v>
      </c>
      <c r="G3127">
        <f>[2]TongHop!G3127</f>
        <v>0</v>
      </c>
      <c r="H3127">
        <f>[2]TongHop!H3127</f>
        <v>0</v>
      </c>
      <c r="I3127">
        <f>[2]TongHop!I3127</f>
        <v>0</v>
      </c>
      <c r="J3127">
        <f>[2]TongHop!J3127</f>
        <v>0</v>
      </c>
      <c r="K3127">
        <f>[2]TongHop!K3127</f>
        <v>0</v>
      </c>
      <c r="L3127">
        <f>[2]TongHop!L3127</f>
        <v>0</v>
      </c>
      <c r="M3127">
        <f>[2]TongHop!M3127</f>
        <v>0</v>
      </c>
      <c r="N3127">
        <f>[2]TongHop!N3127</f>
        <v>0</v>
      </c>
    </row>
    <row r="3128" spans="1:14">
      <c r="A3128">
        <f>[2]TongHop!A3128</f>
        <v>0</v>
      </c>
      <c r="B3128">
        <f>[2]TongHop!B3128</f>
        <v>0</v>
      </c>
      <c r="C3128">
        <f>[2]TongHop!C3128</f>
        <v>0</v>
      </c>
      <c r="D3128">
        <f>[2]TongHop!D3128</f>
        <v>0</v>
      </c>
      <c r="E3128">
        <f>[2]TongHop!E3128</f>
        <v>0</v>
      </c>
      <c r="F3128">
        <f>[2]TongHop!F3128</f>
        <v>0</v>
      </c>
      <c r="G3128">
        <f>[2]TongHop!G3128</f>
        <v>0</v>
      </c>
      <c r="H3128">
        <f>[2]TongHop!H3128</f>
        <v>0</v>
      </c>
      <c r="I3128">
        <f>[2]TongHop!I3128</f>
        <v>0</v>
      </c>
      <c r="J3128">
        <f>[2]TongHop!J3128</f>
        <v>0</v>
      </c>
      <c r="K3128">
        <f>[2]TongHop!K3128</f>
        <v>0</v>
      </c>
      <c r="L3128">
        <f>[2]TongHop!L3128</f>
        <v>0</v>
      </c>
      <c r="M3128">
        <f>[2]TongHop!M3128</f>
        <v>0</v>
      </c>
      <c r="N3128">
        <f>[2]TongHop!N3128</f>
        <v>0</v>
      </c>
    </row>
    <row r="3129" spans="1:14">
      <c r="A3129">
        <f>[2]TongHop!A3129</f>
        <v>0</v>
      </c>
      <c r="B3129">
        <f>[2]TongHop!B3129</f>
        <v>0</v>
      </c>
      <c r="C3129">
        <f>[2]TongHop!C3129</f>
        <v>0</v>
      </c>
      <c r="D3129">
        <f>[2]TongHop!D3129</f>
        <v>0</v>
      </c>
      <c r="E3129">
        <f>[2]TongHop!E3129</f>
        <v>0</v>
      </c>
      <c r="F3129">
        <f>[2]TongHop!F3129</f>
        <v>0</v>
      </c>
      <c r="G3129">
        <f>[2]TongHop!G3129</f>
        <v>0</v>
      </c>
      <c r="H3129">
        <f>[2]TongHop!H3129</f>
        <v>0</v>
      </c>
      <c r="I3129">
        <f>[2]TongHop!I3129</f>
        <v>0</v>
      </c>
      <c r="J3129">
        <f>[2]TongHop!J3129</f>
        <v>0</v>
      </c>
      <c r="K3129">
        <f>[2]TongHop!K3129</f>
        <v>0</v>
      </c>
      <c r="L3129">
        <f>[2]TongHop!L3129</f>
        <v>0</v>
      </c>
      <c r="M3129">
        <f>[2]TongHop!M3129</f>
        <v>0</v>
      </c>
      <c r="N3129">
        <f>[2]TongHop!N3129</f>
        <v>0</v>
      </c>
    </row>
    <row r="3130" spans="1:14">
      <c r="A3130">
        <f>[2]TongHop!A3130</f>
        <v>0</v>
      </c>
      <c r="B3130">
        <f>[2]TongHop!B3130</f>
        <v>0</v>
      </c>
      <c r="C3130">
        <f>[2]TongHop!C3130</f>
        <v>0</v>
      </c>
      <c r="D3130">
        <f>[2]TongHop!D3130</f>
        <v>0</v>
      </c>
      <c r="E3130">
        <f>[2]TongHop!E3130</f>
        <v>0</v>
      </c>
      <c r="F3130">
        <f>[2]TongHop!F3130</f>
        <v>0</v>
      </c>
      <c r="G3130">
        <f>[2]TongHop!G3130</f>
        <v>0</v>
      </c>
      <c r="H3130">
        <f>[2]TongHop!H3130</f>
        <v>0</v>
      </c>
      <c r="I3130">
        <f>[2]TongHop!I3130</f>
        <v>0</v>
      </c>
      <c r="J3130">
        <f>[2]TongHop!J3130</f>
        <v>0</v>
      </c>
      <c r="K3130">
        <f>[2]TongHop!K3130</f>
        <v>0</v>
      </c>
      <c r="L3130">
        <f>[2]TongHop!L3130</f>
        <v>0</v>
      </c>
      <c r="M3130">
        <f>[2]TongHop!M3130</f>
        <v>0</v>
      </c>
      <c r="N3130">
        <f>[2]TongHop!N3130</f>
        <v>0</v>
      </c>
    </row>
    <row r="3131" spans="1:14">
      <c r="A3131">
        <f>[2]TongHop!A3131</f>
        <v>0</v>
      </c>
      <c r="B3131">
        <f>[2]TongHop!B3131</f>
        <v>0</v>
      </c>
      <c r="C3131">
        <f>[2]TongHop!C3131</f>
        <v>0</v>
      </c>
      <c r="D3131">
        <f>[2]TongHop!D3131</f>
        <v>0</v>
      </c>
      <c r="E3131">
        <f>[2]TongHop!E3131</f>
        <v>0</v>
      </c>
      <c r="F3131">
        <f>[2]TongHop!F3131</f>
        <v>0</v>
      </c>
      <c r="G3131">
        <f>[2]TongHop!G3131</f>
        <v>0</v>
      </c>
      <c r="H3131">
        <f>[2]TongHop!H3131</f>
        <v>0</v>
      </c>
      <c r="I3131">
        <f>[2]TongHop!I3131</f>
        <v>0</v>
      </c>
      <c r="J3131">
        <f>[2]TongHop!J3131</f>
        <v>0</v>
      </c>
      <c r="K3131">
        <f>[2]TongHop!K3131</f>
        <v>0</v>
      </c>
      <c r="L3131">
        <f>[2]TongHop!L3131</f>
        <v>0</v>
      </c>
      <c r="M3131">
        <f>[2]TongHop!M3131</f>
        <v>0</v>
      </c>
      <c r="N3131">
        <f>[2]TongHop!N3131</f>
        <v>0</v>
      </c>
    </row>
    <row r="3132" spans="1:14">
      <c r="A3132">
        <f>[2]TongHop!A3132</f>
        <v>0</v>
      </c>
      <c r="B3132">
        <f>[2]TongHop!B3132</f>
        <v>0</v>
      </c>
      <c r="C3132">
        <f>[2]TongHop!C3132</f>
        <v>0</v>
      </c>
      <c r="D3132">
        <f>[2]TongHop!D3132</f>
        <v>0</v>
      </c>
      <c r="E3132">
        <f>[2]TongHop!E3132</f>
        <v>0</v>
      </c>
      <c r="F3132">
        <f>[2]TongHop!F3132</f>
        <v>0</v>
      </c>
      <c r="G3132">
        <f>[2]TongHop!G3132</f>
        <v>0</v>
      </c>
      <c r="H3132">
        <f>[2]TongHop!H3132</f>
        <v>0</v>
      </c>
      <c r="I3132">
        <f>[2]TongHop!I3132</f>
        <v>0</v>
      </c>
      <c r="J3132">
        <f>[2]TongHop!J3132</f>
        <v>0</v>
      </c>
      <c r="K3132">
        <f>[2]TongHop!K3132</f>
        <v>0</v>
      </c>
      <c r="L3132">
        <f>[2]TongHop!L3132</f>
        <v>0</v>
      </c>
      <c r="M3132">
        <f>[2]TongHop!M3132</f>
        <v>0</v>
      </c>
      <c r="N3132">
        <f>[2]TongHop!N3132</f>
        <v>0</v>
      </c>
    </row>
    <row r="3133" spans="1:14">
      <c r="A3133">
        <f>[2]TongHop!A3133</f>
        <v>0</v>
      </c>
      <c r="B3133">
        <f>[2]TongHop!B3133</f>
        <v>0</v>
      </c>
      <c r="C3133">
        <f>[2]TongHop!C3133</f>
        <v>0</v>
      </c>
      <c r="D3133">
        <f>[2]TongHop!D3133</f>
        <v>0</v>
      </c>
      <c r="E3133">
        <f>[2]TongHop!E3133</f>
        <v>0</v>
      </c>
      <c r="F3133">
        <f>[2]TongHop!F3133</f>
        <v>0</v>
      </c>
      <c r="G3133">
        <f>[2]TongHop!G3133</f>
        <v>0</v>
      </c>
      <c r="H3133">
        <f>[2]TongHop!H3133</f>
        <v>0</v>
      </c>
      <c r="I3133">
        <f>[2]TongHop!I3133</f>
        <v>0</v>
      </c>
      <c r="J3133">
        <f>[2]TongHop!J3133</f>
        <v>0</v>
      </c>
      <c r="K3133">
        <f>[2]TongHop!K3133</f>
        <v>0</v>
      </c>
      <c r="L3133">
        <f>[2]TongHop!L3133</f>
        <v>0</v>
      </c>
      <c r="M3133">
        <f>[2]TongHop!M3133</f>
        <v>0</v>
      </c>
      <c r="N3133">
        <f>[2]TongHop!N3133</f>
        <v>0</v>
      </c>
    </row>
    <row r="3134" spans="1:14">
      <c r="A3134">
        <f>[2]TongHop!A3134</f>
        <v>0</v>
      </c>
      <c r="B3134">
        <f>[2]TongHop!B3134</f>
        <v>0</v>
      </c>
      <c r="C3134">
        <f>[2]TongHop!C3134</f>
        <v>0</v>
      </c>
      <c r="D3134">
        <f>[2]TongHop!D3134</f>
        <v>0</v>
      </c>
      <c r="E3134">
        <f>[2]TongHop!E3134</f>
        <v>0</v>
      </c>
      <c r="F3134">
        <f>[2]TongHop!F3134</f>
        <v>0</v>
      </c>
      <c r="G3134">
        <f>[2]TongHop!G3134</f>
        <v>0</v>
      </c>
      <c r="H3134">
        <f>[2]TongHop!H3134</f>
        <v>0</v>
      </c>
      <c r="I3134">
        <f>[2]TongHop!I3134</f>
        <v>0</v>
      </c>
      <c r="J3134">
        <f>[2]TongHop!J3134</f>
        <v>0</v>
      </c>
      <c r="K3134">
        <f>[2]TongHop!K3134</f>
        <v>0</v>
      </c>
      <c r="L3134">
        <f>[2]TongHop!L3134</f>
        <v>0</v>
      </c>
      <c r="M3134">
        <f>[2]TongHop!M3134</f>
        <v>0</v>
      </c>
      <c r="N3134">
        <f>[2]TongHop!N3134</f>
        <v>0</v>
      </c>
    </row>
    <row r="3135" spans="1:14">
      <c r="A3135">
        <f>[2]TongHop!A3135</f>
        <v>0</v>
      </c>
      <c r="B3135">
        <f>[2]TongHop!B3135</f>
        <v>0</v>
      </c>
      <c r="C3135">
        <f>[2]TongHop!C3135</f>
        <v>0</v>
      </c>
      <c r="D3135">
        <f>[2]TongHop!D3135</f>
        <v>0</v>
      </c>
      <c r="E3135">
        <f>[2]TongHop!E3135</f>
        <v>0</v>
      </c>
      <c r="F3135">
        <f>[2]TongHop!F3135</f>
        <v>0</v>
      </c>
      <c r="G3135">
        <f>[2]TongHop!G3135</f>
        <v>0</v>
      </c>
      <c r="H3135">
        <f>[2]TongHop!H3135</f>
        <v>0</v>
      </c>
      <c r="I3135">
        <f>[2]TongHop!I3135</f>
        <v>0</v>
      </c>
      <c r="J3135">
        <f>[2]TongHop!J3135</f>
        <v>0</v>
      </c>
      <c r="K3135">
        <f>[2]TongHop!K3135</f>
        <v>0</v>
      </c>
      <c r="L3135">
        <f>[2]TongHop!L3135</f>
        <v>0</v>
      </c>
      <c r="M3135">
        <f>[2]TongHop!M3135</f>
        <v>0</v>
      </c>
      <c r="N3135">
        <f>[2]TongHop!N3135</f>
        <v>0</v>
      </c>
    </row>
    <row r="3136" spans="1:14">
      <c r="A3136">
        <f>[2]TongHop!A3136</f>
        <v>0</v>
      </c>
      <c r="B3136">
        <f>[2]TongHop!B3136</f>
        <v>0</v>
      </c>
      <c r="C3136">
        <f>[2]TongHop!C3136</f>
        <v>0</v>
      </c>
      <c r="D3136">
        <f>[2]TongHop!D3136</f>
        <v>0</v>
      </c>
      <c r="E3136">
        <f>[2]TongHop!E3136</f>
        <v>0</v>
      </c>
      <c r="F3136">
        <f>[2]TongHop!F3136</f>
        <v>0</v>
      </c>
      <c r="G3136">
        <f>[2]TongHop!G3136</f>
        <v>0</v>
      </c>
      <c r="H3136">
        <f>[2]TongHop!H3136</f>
        <v>0</v>
      </c>
      <c r="I3136">
        <f>[2]TongHop!I3136</f>
        <v>0</v>
      </c>
      <c r="J3136">
        <f>[2]TongHop!J3136</f>
        <v>0</v>
      </c>
      <c r="K3136">
        <f>[2]TongHop!K3136</f>
        <v>0</v>
      </c>
      <c r="L3136">
        <f>[2]TongHop!L3136</f>
        <v>0</v>
      </c>
      <c r="M3136">
        <f>[2]TongHop!M3136</f>
        <v>0</v>
      </c>
      <c r="N3136">
        <f>[2]TongHop!N3136</f>
        <v>0</v>
      </c>
    </row>
    <row r="3137" spans="1:14">
      <c r="A3137">
        <f>[2]TongHop!A3137</f>
        <v>0</v>
      </c>
      <c r="B3137">
        <f>[2]TongHop!B3137</f>
        <v>0</v>
      </c>
      <c r="C3137">
        <f>[2]TongHop!C3137</f>
        <v>0</v>
      </c>
      <c r="D3137">
        <f>[2]TongHop!D3137</f>
        <v>0</v>
      </c>
      <c r="E3137">
        <f>[2]TongHop!E3137</f>
        <v>0</v>
      </c>
      <c r="F3137">
        <f>[2]TongHop!F3137</f>
        <v>0</v>
      </c>
      <c r="G3137">
        <f>[2]TongHop!G3137</f>
        <v>0</v>
      </c>
      <c r="H3137">
        <f>[2]TongHop!H3137</f>
        <v>0</v>
      </c>
      <c r="I3137">
        <f>[2]TongHop!I3137</f>
        <v>0</v>
      </c>
      <c r="J3137">
        <f>[2]TongHop!J3137</f>
        <v>0</v>
      </c>
      <c r="K3137">
        <f>[2]TongHop!K3137</f>
        <v>0</v>
      </c>
      <c r="L3137">
        <f>[2]TongHop!L3137</f>
        <v>0</v>
      </c>
      <c r="M3137">
        <f>[2]TongHop!M3137</f>
        <v>0</v>
      </c>
      <c r="N3137">
        <f>[2]TongHop!N3137</f>
        <v>0</v>
      </c>
    </row>
    <row r="3138" spans="1:14">
      <c r="A3138">
        <f>[2]TongHop!A3138</f>
        <v>0</v>
      </c>
      <c r="B3138">
        <f>[2]TongHop!B3138</f>
        <v>0</v>
      </c>
      <c r="C3138">
        <f>[2]TongHop!C3138</f>
        <v>0</v>
      </c>
      <c r="D3138">
        <f>[2]TongHop!D3138</f>
        <v>0</v>
      </c>
      <c r="E3138">
        <f>[2]TongHop!E3138</f>
        <v>0</v>
      </c>
      <c r="F3138">
        <f>[2]TongHop!F3138</f>
        <v>0</v>
      </c>
      <c r="G3138">
        <f>[2]TongHop!G3138</f>
        <v>0</v>
      </c>
      <c r="H3138">
        <f>[2]TongHop!H3138</f>
        <v>0</v>
      </c>
      <c r="I3138">
        <f>[2]TongHop!I3138</f>
        <v>0</v>
      </c>
      <c r="J3138">
        <f>[2]TongHop!J3138</f>
        <v>0</v>
      </c>
      <c r="K3138">
        <f>[2]TongHop!K3138</f>
        <v>0</v>
      </c>
      <c r="L3138">
        <f>[2]TongHop!L3138</f>
        <v>0</v>
      </c>
      <c r="M3138">
        <f>[2]TongHop!M3138</f>
        <v>0</v>
      </c>
      <c r="N3138">
        <f>[2]TongHop!N3138</f>
        <v>0</v>
      </c>
    </row>
    <row r="3139" spans="1:14">
      <c r="A3139">
        <f>[2]TongHop!A3139</f>
        <v>0</v>
      </c>
      <c r="B3139">
        <f>[2]TongHop!B3139</f>
        <v>0</v>
      </c>
      <c r="C3139">
        <f>[2]TongHop!C3139</f>
        <v>0</v>
      </c>
      <c r="D3139">
        <f>[2]TongHop!D3139</f>
        <v>0</v>
      </c>
      <c r="E3139">
        <f>[2]TongHop!E3139</f>
        <v>0</v>
      </c>
      <c r="F3139">
        <f>[2]TongHop!F3139</f>
        <v>0</v>
      </c>
      <c r="G3139">
        <f>[2]TongHop!G3139</f>
        <v>0</v>
      </c>
      <c r="H3139">
        <f>[2]TongHop!H3139</f>
        <v>0</v>
      </c>
      <c r="I3139">
        <f>[2]TongHop!I3139</f>
        <v>0</v>
      </c>
      <c r="J3139">
        <f>[2]TongHop!J3139</f>
        <v>0</v>
      </c>
      <c r="K3139">
        <f>[2]TongHop!K3139</f>
        <v>0</v>
      </c>
      <c r="L3139">
        <f>[2]TongHop!L3139</f>
        <v>0</v>
      </c>
      <c r="M3139">
        <f>[2]TongHop!M3139</f>
        <v>0</v>
      </c>
      <c r="N3139">
        <f>[2]TongHop!N3139</f>
        <v>0</v>
      </c>
    </row>
    <row r="3140" spans="1:14">
      <c r="A3140">
        <f>[2]TongHop!A3140</f>
        <v>0</v>
      </c>
      <c r="B3140">
        <f>[2]TongHop!B3140</f>
        <v>0</v>
      </c>
      <c r="C3140">
        <f>[2]TongHop!C3140</f>
        <v>0</v>
      </c>
      <c r="D3140">
        <f>[2]TongHop!D3140</f>
        <v>0</v>
      </c>
      <c r="E3140">
        <f>[2]TongHop!E3140</f>
        <v>0</v>
      </c>
      <c r="F3140">
        <f>[2]TongHop!F3140</f>
        <v>0</v>
      </c>
      <c r="G3140">
        <f>[2]TongHop!G3140</f>
        <v>0</v>
      </c>
      <c r="H3140">
        <f>[2]TongHop!H3140</f>
        <v>0</v>
      </c>
      <c r="I3140">
        <f>[2]TongHop!I3140</f>
        <v>0</v>
      </c>
      <c r="J3140">
        <f>[2]TongHop!J3140</f>
        <v>0</v>
      </c>
      <c r="K3140">
        <f>[2]TongHop!K3140</f>
        <v>0</v>
      </c>
      <c r="L3140">
        <f>[2]TongHop!L3140</f>
        <v>0</v>
      </c>
      <c r="M3140">
        <f>[2]TongHop!M3140</f>
        <v>0</v>
      </c>
      <c r="N3140">
        <f>[2]TongHop!N3140</f>
        <v>0</v>
      </c>
    </row>
    <row r="3141" spans="1:14">
      <c r="A3141">
        <f>[2]TongHop!A3141</f>
        <v>0</v>
      </c>
      <c r="B3141">
        <f>[2]TongHop!B3141</f>
        <v>0</v>
      </c>
      <c r="C3141">
        <f>[2]TongHop!C3141</f>
        <v>0</v>
      </c>
      <c r="D3141">
        <f>[2]TongHop!D3141</f>
        <v>0</v>
      </c>
      <c r="E3141">
        <f>[2]TongHop!E3141</f>
        <v>0</v>
      </c>
      <c r="F3141">
        <f>[2]TongHop!F3141</f>
        <v>0</v>
      </c>
      <c r="G3141">
        <f>[2]TongHop!G3141</f>
        <v>0</v>
      </c>
      <c r="H3141">
        <f>[2]TongHop!H3141</f>
        <v>0</v>
      </c>
      <c r="I3141">
        <f>[2]TongHop!I3141</f>
        <v>0</v>
      </c>
      <c r="J3141">
        <f>[2]TongHop!J3141</f>
        <v>0</v>
      </c>
      <c r="K3141">
        <f>[2]TongHop!K3141</f>
        <v>0</v>
      </c>
      <c r="L3141">
        <f>[2]TongHop!L3141</f>
        <v>0</v>
      </c>
      <c r="M3141">
        <f>[2]TongHop!M3141</f>
        <v>0</v>
      </c>
      <c r="N3141">
        <f>[2]TongHop!N3141</f>
        <v>0</v>
      </c>
    </row>
    <row r="3142" spans="1:14">
      <c r="A3142">
        <f>[2]TongHop!A3142</f>
        <v>0</v>
      </c>
      <c r="B3142">
        <f>[2]TongHop!B3142</f>
        <v>0</v>
      </c>
      <c r="C3142">
        <f>[2]TongHop!C3142</f>
        <v>0</v>
      </c>
      <c r="D3142">
        <f>[2]TongHop!D3142</f>
        <v>0</v>
      </c>
      <c r="E3142">
        <f>[2]TongHop!E3142</f>
        <v>0</v>
      </c>
      <c r="F3142">
        <f>[2]TongHop!F3142</f>
        <v>0</v>
      </c>
      <c r="G3142">
        <f>[2]TongHop!G3142</f>
        <v>0</v>
      </c>
      <c r="H3142">
        <f>[2]TongHop!H3142</f>
        <v>0</v>
      </c>
      <c r="I3142">
        <f>[2]TongHop!I3142</f>
        <v>0</v>
      </c>
      <c r="J3142">
        <f>[2]TongHop!J3142</f>
        <v>0</v>
      </c>
      <c r="K3142">
        <f>[2]TongHop!K3142</f>
        <v>0</v>
      </c>
      <c r="L3142">
        <f>[2]TongHop!L3142</f>
        <v>0</v>
      </c>
      <c r="M3142">
        <f>[2]TongHop!M3142</f>
        <v>0</v>
      </c>
      <c r="N3142">
        <f>[2]TongHop!N3142</f>
        <v>0</v>
      </c>
    </row>
    <row r="3143" spans="1:14">
      <c r="A3143">
        <f>[2]TongHop!A3143</f>
        <v>0</v>
      </c>
      <c r="B3143">
        <f>[2]TongHop!B3143</f>
        <v>0</v>
      </c>
      <c r="C3143">
        <f>[2]TongHop!C3143</f>
        <v>0</v>
      </c>
      <c r="D3143">
        <f>[2]TongHop!D3143</f>
        <v>0</v>
      </c>
      <c r="E3143">
        <f>[2]TongHop!E3143</f>
        <v>0</v>
      </c>
      <c r="F3143">
        <f>[2]TongHop!F3143</f>
        <v>0</v>
      </c>
      <c r="G3143">
        <f>[2]TongHop!G3143</f>
        <v>0</v>
      </c>
      <c r="H3143">
        <f>[2]TongHop!H3143</f>
        <v>0</v>
      </c>
      <c r="I3143">
        <f>[2]TongHop!I3143</f>
        <v>0</v>
      </c>
      <c r="J3143">
        <f>[2]TongHop!J3143</f>
        <v>0</v>
      </c>
      <c r="K3143">
        <f>[2]TongHop!K3143</f>
        <v>0</v>
      </c>
      <c r="L3143">
        <f>[2]TongHop!L3143</f>
        <v>0</v>
      </c>
      <c r="M3143">
        <f>[2]TongHop!M3143</f>
        <v>0</v>
      </c>
      <c r="N3143">
        <f>[2]TongHop!N3143</f>
        <v>0</v>
      </c>
    </row>
    <row r="3144" spans="1:14">
      <c r="A3144">
        <f>[2]TongHop!A3144</f>
        <v>0</v>
      </c>
      <c r="B3144">
        <f>[2]TongHop!B3144</f>
        <v>0</v>
      </c>
      <c r="C3144">
        <f>[2]TongHop!C3144</f>
        <v>0</v>
      </c>
      <c r="D3144">
        <f>[2]TongHop!D3144</f>
        <v>0</v>
      </c>
      <c r="E3144">
        <f>[2]TongHop!E3144</f>
        <v>0</v>
      </c>
      <c r="F3144">
        <f>[2]TongHop!F3144</f>
        <v>0</v>
      </c>
      <c r="G3144">
        <f>[2]TongHop!G3144</f>
        <v>0</v>
      </c>
      <c r="H3144">
        <f>[2]TongHop!H3144</f>
        <v>0</v>
      </c>
      <c r="I3144">
        <f>[2]TongHop!I3144</f>
        <v>0</v>
      </c>
      <c r="J3144">
        <f>[2]TongHop!J3144</f>
        <v>0</v>
      </c>
      <c r="K3144">
        <f>[2]TongHop!K3144</f>
        <v>0</v>
      </c>
      <c r="L3144">
        <f>[2]TongHop!L3144</f>
        <v>0</v>
      </c>
      <c r="M3144">
        <f>[2]TongHop!M3144</f>
        <v>0</v>
      </c>
      <c r="N3144">
        <f>[2]TongHop!N3144</f>
        <v>0</v>
      </c>
    </row>
    <row r="3145" spans="1:14">
      <c r="A3145">
        <f>[2]TongHop!A3145</f>
        <v>0</v>
      </c>
      <c r="B3145">
        <f>[2]TongHop!B3145</f>
        <v>0</v>
      </c>
      <c r="C3145">
        <f>[2]TongHop!C3145</f>
        <v>0</v>
      </c>
      <c r="D3145">
        <f>[2]TongHop!D3145</f>
        <v>0</v>
      </c>
      <c r="E3145">
        <f>[2]TongHop!E3145</f>
        <v>0</v>
      </c>
      <c r="F3145">
        <f>[2]TongHop!F3145</f>
        <v>0</v>
      </c>
      <c r="G3145">
        <f>[2]TongHop!G3145</f>
        <v>0</v>
      </c>
      <c r="H3145">
        <f>[2]TongHop!H3145</f>
        <v>0</v>
      </c>
      <c r="I3145">
        <f>[2]TongHop!I3145</f>
        <v>0</v>
      </c>
      <c r="J3145">
        <f>[2]TongHop!J3145</f>
        <v>0</v>
      </c>
      <c r="K3145">
        <f>[2]TongHop!K3145</f>
        <v>0</v>
      </c>
      <c r="L3145">
        <f>[2]TongHop!L3145</f>
        <v>0</v>
      </c>
      <c r="M3145">
        <f>[2]TongHop!M3145</f>
        <v>0</v>
      </c>
      <c r="N3145">
        <f>[2]TongHop!N3145</f>
        <v>0</v>
      </c>
    </row>
    <row r="3146" spans="1:14">
      <c r="A3146">
        <f>[2]TongHop!A3146</f>
        <v>0</v>
      </c>
      <c r="B3146">
        <f>[2]TongHop!B3146</f>
        <v>0</v>
      </c>
      <c r="C3146">
        <f>[2]TongHop!C3146</f>
        <v>0</v>
      </c>
      <c r="D3146">
        <f>[2]TongHop!D3146</f>
        <v>0</v>
      </c>
      <c r="E3146">
        <f>[2]TongHop!E3146</f>
        <v>0</v>
      </c>
      <c r="F3146">
        <f>[2]TongHop!F3146</f>
        <v>0</v>
      </c>
      <c r="G3146">
        <f>[2]TongHop!G3146</f>
        <v>0</v>
      </c>
      <c r="H3146">
        <f>[2]TongHop!H3146</f>
        <v>0</v>
      </c>
      <c r="I3146">
        <f>[2]TongHop!I3146</f>
        <v>0</v>
      </c>
      <c r="J3146">
        <f>[2]TongHop!J3146</f>
        <v>0</v>
      </c>
      <c r="K3146">
        <f>[2]TongHop!K3146</f>
        <v>0</v>
      </c>
      <c r="L3146">
        <f>[2]TongHop!L3146</f>
        <v>0</v>
      </c>
      <c r="M3146">
        <f>[2]TongHop!M3146</f>
        <v>0</v>
      </c>
      <c r="N3146">
        <f>[2]TongHop!N3146</f>
        <v>0</v>
      </c>
    </row>
    <row r="3147" spans="1:14">
      <c r="A3147">
        <f>[2]TongHop!A3147</f>
        <v>0</v>
      </c>
      <c r="B3147">
        <f>[2]TongHop!B3147</f>
        <v>0</v>
      </c>
      <c r="C3147">
        <f>[2]TongHop!C3147</f>
        <v>0</v>
      </c>
      <c r="D3147">
        <f>[2]TongHop!D3147</f>
        <v>0</v>
      </c>
      <c r="E3147">
        <f>[2]TongHop!E3147</f>
        <v>0</v>
      </c>
      <c r="F3147">
        <f>[2]TongHop!F3147</f>
        <v>0</v>
      </c>
      <c r="G3147">
        <f>[2]TongHop!G3147</f>
        <v>0</v>
      </c>
      <c r="H3147">
        <f>[2]TongHop!H3147</f>
        <v>0</v>
      </c>
      <c r="I3147">
        <f>[2]TongHop!I3147</f>
        <v>0</v>
      </c>
      <c r="J3147">
        <f>[2]TongHop!J3147</f>
        <v>0</v>
      </c>
      <c r="K3147">
        <f>[2]TongHop!K3147</f>
        <v>0</v>
      </c>
      <c r="L3147">
        <f>[2]TongHop!L3147</f>
        <v>0</v>
      </c>
      <c r="M3147">
        <f>[2]TongHop!M3147</f>
        <v>0</v>
      </c>
      <c r="N3147">
        <f>[2]TongHop!N3147</f>
        <v>0</v>
      </c>
    </row>
    <row r="3148" spans="1:14">
      <c r="A3148">
        <f>[2]TongHop!A3148</f>
        <v>0</v>
      </c>
      <c r="B3148">
        <f>[2]TongHop!B3148</f>
        <v>0</v>
      </c>
      <c r="C3148">
        <f>[2]TongHop!C3148</f>
        <v>0</v>
      </c>
      <c r="D3148">
        <f>[2]TongHop!D3148</f>
        <v>0</v>
      </c>
      <c r="E3148">
        <f>[2]TongHop!E3148</f>
        <v>0</v>
      </c>
      <c r="F3148">
        <f>[2]TongHop!F3148</f>
        <v>0</v>
      </c>
      <c r="G3148">
        <f>[2]TongHop!G3148</f>
        <v>0</v>
      </c>
      <c r="H3148">
        <f>[2]TongHop!H3148</f>
        <v>0</v>
      </c>
      <c r="I3148">
        <f>[2]TongHop!I3148</f>
        <v>0</v>
      </c>
      <c r="J3148">
        <f>[2]TongHop!J3148</f>
        <v>0</v>
      </c>
      <c r="K3148">
        <f>[2]TongHop!K3148</f>
        <v>0</v>
      </c>
      <c r="L3148">
        <f>[2]TongHop!L3148</f>
        <v>0</v>
      </c>
      <c r="M3148">
        <f>[2]TongHop!M3148</f>
        <v>0</v>
      </c>
      <c r="N3148">
        <f>[2]TongHop!N3148</f>
        <v>0</v>
      </c>
    </row>
    <row r="3149" spans="1:14">
      <c r="A3149">
        <f>[2]TongHop!A3149</f>
        <v>0</v>
      </c>
      <c r="B3149">
        <f>[2]TongHop!B3149</f>
        <v>0</v>
      </c>
      <c r="C3149">
        <f>[2]TongHop!C3149</f>
        <v>0</v>
      </c>
      <c r="D3149">
        <f>[2]TongHop!D3149</f>
        <v>0</v>
      </c>
      <c r="E3149">
        <f>[2]TongHop!E3149</f>
        <v>0</v>
      </c>
      <c r="F3149">
        <f>[2]TongHop!F3149</f>
        <v>0</v>
      </c>
      <c r="G3149">
        <f>[2]TongHop!G3149</f>
        <v>0</v>
      </c>
      <c r="H3149">
        <f>[2]TongHop!H3149</f>
        <v>0</v>
      </c>
      <c r="I3149">
        <f>[2]TongHop!I3149</f>
        <v>0</v>
      </c>
      <c r="J3149">
        <f>[2]TongHop!J3149</f>
        <v>0</v>
      </c>
      <c r="K3149">
        <f>[2]TongHop!K3149</f>
        <v>0</v>
      </c>
      <c r="L3149">
        <f>[2]TongHop!L3149</f>
        <v>0</v>
      </c>
      <c r="M3149">
        <f>[2]TongHop!M3149</f>
        <v>0</v>
      </c>
      <c r="N3149">
        <f>[2]TongHop!N3149</f>
        <v>0</v>
      </c>
    </row>
    <row r="3150" spans="1:14">
      <c r="A3150">
        <f>[2]TongHop!A3150</f>
        <v>0</v>
      </c>
      <c r="B3150">
        <f>[2]TongHop!B3150</f>
        <v>0</v>
      </c>
      <c r="C3150">
        <f>[2]TongHop!C3150</f>
        <v>0</v>
      </c>
      <c r="D3150">
        <f>[2]TongHop!D3150</f>
        <v>0</v>
      </c>
      <c r="E3150">
        <f>[2]TongHop!E3150</f>
        <v>0</v>
      </c>
      <c r="F3150">
        <f>[2]TongHop!F3150</f>
        <v>0</v>
      </c>
      <c r="G3150">
        <f>[2]TongHop!G3150</f>
        <v>0</v>
      </c>
      <c r="H3150">
        <f>[2]TongHop!H3150</f>
        <v>0</v>
      </c>
      <c r="I3150">
        <f>[2]TongHop!I3150</f>
        <v>0</v>
      </c>
      <c r="J3150">
        <f>[2]TongHop!J3150</f>
        <v>0</v>
      </c>
      <c r="K3150">
        <f>[2]TongHop!K3150</f>
        <v>0</v>
      </c>
      <c r="L3150">
        <f>[2]TongHop!L3150</f>
        <v>0</v>
      </c>
      <c r="M3150">
        <f>[2]TongHop!M3150</f>
        <v>0</v>
      </c>
      <c r="N3150">
        <f>[2]TongHop!N3150</f>
        <v>0</v>
      </c>
    </row>
    <row r="3151" spans="1:14">
      <c r="A3151">
        <f>[2]TongHop!A3151</f>
        <v>0</v>
      </c>
      <c r="B3151">
        <f>[2]TongHop!B3151</f>
        <v>0</v>
      </c>
      <c r="C3151">
        <f>[2]TongHop!C3151</f>
        <v>0</v>
      </c>
      <c r="D3151">
        <f>[2]TongHop!D3151</f>
        <v>0</v>
      </c>
      <c r="E3151">
        <f>[2]TongHop!E3151</f>
        <v>0</v>
      </c>
      <c r="F3151">
        <f>[2]TongHop!F3151</f>
        <v>0</v>
      </c>
      <c r="G3151">
        <f>[2]TongHop!G3151</f>
        <v>0</v>
      </c>
      <c r="H3151">
        <f>[2]TongHop!H3151</f>
        <v>0</v>
      </c>
      <c r="I3151">
        <f>[2]TongHop!I3151</f>
        <v>0</v>
      </c>
      <c r="J3151">
        <f>[2]TongHop!J3151</f>
        <v>0</v>
      </c>
      <c r="K3151">
        <f>[2]TongHop!K3151</f>
        <v>0</v>
      </c>
      <c r="L3151">
        <f>[2]TongHop!L3151</f>
        <v>0</v>
      </c>
      <c r="M3151">
        <f>[2]TongHop!M3151</f>
        <v>0</v>
      </c>
      <c r="N3151">
        <f>[2]TongHop!N3151</f>
        <v>0</v>
      </c>
    </row>
    <row r="3152" spans="1:14">
      <c r="A3152">
        <f>[2]TongHop!A3152</f>
        <v>0</v>
      </c>
      <c r="B3152">
        <f>[2]TongHop!B3152</f>
        <v>0</v>
      </c>
      <c r="C3152">
        <f>[2]TongHop!C3152</f>
        <v>0</v>
      </c>
      <c r="D3152">
        <f>[2]TongHop!D3152</f>
        <v>0</v>
      </c>
      <c r="E3152">
        <f>[2]TongHop!E3152</f>
        <v>0</v>
      </c>
      <c r="F3152">
        <f>[2]TongHop!F3152</f>
        <v>0</v>
      </c>
      <c r="G3152">
        <f>[2]TongHop!G3152</f>
        <v>0</v>
      </c>
      <c r="H3152">
        <f>[2]TongHop!H3152</f>
        <v>0</v>
      </c>
      <c r="I3152">
        <f>[2]TongHop!I3152</f>
        <v>0</v>
      </c>
      <c r="J3152">
        <f>[2]TongHop!J3152</f>
        <v>0</v>
      </c>
      <c r="K3152">
        <f>[2]TongHop!K3152</f>
        <v>0</v>
      </c>
      <c r="L3152">
        <f>[2]TongHop!L3152</f>
        <v>0</v>
      </c>
      <c r="M3152">
        <f>[2]TongHop!M3152</f>
        <v>0</v>
      </c>
      <c r="N3152">
        <f>[2]TongHop!N3152</f>
        <v>0</v>
      </c>
    </row>
    <row r="3153" spans="1:14">
      <c r="A3153">
        <f>[2]TongHop!A3153</f>
        <v>0</v>
      </c>
      <c r="B3153">
        <f>[2]TongHop!B3153</f>
        <v>0</v>
      </c>
      <c r="C3153">
        <f>[2]TongHop!C3153</f>
        <v>0</v>
      </c>
      <c r="D3153">
        <f>[2]TongHop!D3153</f>
        <v>0</v>
      </c>
      <c r="E3153">
        <f>[2]TongHop!E3153</f>
        <v>0</v>
      </c>
      <c r="F3153">
        <f>[2]TongHop!F3153</f>
        <v>0</v>
      </c>
      <c r="G3153">
        <f>[2]TongHop!G3153</f>
        <v>0</v>
      </c>
      <c r="H3153">
        <f>[2]TongHop!H3153</f>
        <v>0</v>
      </c>
      <c r="I3153">
        <f>[2]TongHop!I3153</f>
        <v>0</v>
      </c>
      <c r="J3153">
        <f>[2]TongHop!J3153</f>
        <v>0</v>
      </c>
      <c r="K3153">
        <f>[2]TongHop!K3153</f>
        <v>0</v>
      </c>
      <c r="L3153">
        <f>[2]TongHop!L3153</f>
        <v>0</v>
      </c>
      <c r="M3153">
        <f>[2]TongHop!M3153</f>
        <v>0</v>
      </c>
      <c r="N3153">
        <f>[2]TongHop!N3153</f>
        <v>0</v>
      </c>
    </row>
    <row r="3154" spans="1:14">
      <c r="A3154">
        <f>[2]TongHop!A3154</f>
        <v>0</v>
      </c>
      <c r="B3154">
        <f>[2]TongHop!B3154</f>
        <v>0</v>
      </c>
      <c r="C3154">
        <f>[2]TongHop!C3154</f>
        <v>0</v>
      </c>
      <c r="D3154">
        <f>[2]TongHop!D3154</f>
        <v>0</v>
      </c>
      <c r="E3154">
        <f>[2]TongHop!E3154</f>
        <v>0</v>
      </c>
      <c r="F3154">
        <f>[2]TongHop!F3154</f>
        <v>0</v>
      </c>
      <c r="G3154">
        <f>[2]TongHop!G3154</f>
        <v>0</v>
      </c>
      <c r="H3154">
        <f>[2]TongHop!H3154</f>
        <v>0</v>
      </c>
      <c r="I3154">
        <f>[2]TongHop!I3154</f>
        <v>0</v>
      </c>
      <c r="J3154">
        <f>[2]TongHop!J3154</f>
        <v>0</v>
      </c>
      <c r="K3154">
        <f>[2]TongHop!K3154</f>
        <v>0</v>
      </c>
      <c r="L3154">
        <f>[2]TongHop!L3154</f>
        <v>0</v>
      </c>
      <c r="M3154">
        <f>[2]TongHop!M3154</f>
        <v>0</v>
      </c>
      <c r="N3154">
        <f>[2]TongHop!N3154</f>
        <v>0</v>
      </c>
    </row>
    <row r="3155" spans="1:14">
      <c r="A3155">
        <f>[2]TongHop!A3155</f>
        <v>0</v>
      </c>
      <c r="B3155">
        <f>[2]TongHop!B3155</f>
        <v>0</v>
      </c>
      <c r="C3155">
        <f>[2]TongHop!C3155</f>
        <v>0</v>
      </c>
      <c r="D3155">
        <f>[2]TongHop!D3155</f>
        <v>0</v>
      </c>
      <c r="E3155">
        <f>[2]TongHop!E3155</f>
        <v>0</v>
      </c>
      <c r="F3155">
        <f>[2]TongHop!F3155</f>
        <v>0</v>
      </c>
      <c r="G3155">
        <f>[2]TongHop!G3155</f>
        <v>0</v>
      </c>
      <c r="H3155">
        <f>[2]TongHop!H3155</f>
        <v>0</v>
      </c>
      <c r="I3155">
        <f>[2]TongHop!I3155</f>
        <v>0</v>
      </c>
      <c r="J3155">
        <f>[2]TongHop!J3155</f>
        <v>0</v>
      </c>
      <c r="K3155">
        <f>[2]TongHop!K3155</f>
        <v>0</v>
      </c>
      <c r="L3155">
        <f>[2]TongHop!L3155</f>
        <v>0</v>
      </c>
      <c r="M3155">
        <f>[2]TongHop!M3155</f>
        <v>0</v>
      </c>
      <c r="N3155">
        <f>[2]TongHop!N3155</f>
        <v>0</v>
      </c>
    </row>
    <row r="3156" spans="1:14">
      <c r="A3156">
        <f>[2]TongHop!A3156</f>
        <v>0</v>
      </c>
      <c r="B3156">
        <f>[2]TongHop!B3156</f>
        <v>0</v>
      </c>
      <c r="C3156">
        <f>[2]TongHop!C3156</f>
        <v>0</v>
      </c>
      <c r="D3156">
        <f>[2]TongHop!D3156</f>
        <v>0</v>
      </c>
      <c r="E3156">
        <f>[2]TongHop!E3156</f>
        <v>0</v>
      </c>
      <c r="F3156">
        <f>[2]TongHop!F3156</f>
        <v>0</v>
      </c>
      <c r="G3156">
        <f>[2]TongHop!G3156</f>
        <v>0</v>
      </c>
      <c r="H3156">
        <f>[2]TongHop!H3156</f>
        <v>0</v>
      </c>
      <c r="I3156">
        <f>[2]TongHop!I3156</f>
        <v>0</v>
      </c>
      <c r="J3156">
        <f>[2]TongHop!J3156</f>
        <v>0</v>
      </c>
      <c r="K3156">
        <f>[2]TongHop!K3156</f>
        <v>0</v>
      </c>
      <c r="L3156">
        <f>[2]TongHop!L3156</f>
        <v>0</v>
      </c>
      <c r="M3156">
        <f>[2]TongHop!M3156</f>
        <v>0</v>
      </c>
      <c r="N3156">
        <f>[2]TongHop!N3156</f>
        <v>0</v>
      </c>
    </row>
    <row r="3157" spans="1:14">
      <c r="A3157">
        <f>[2]TongHop!A3157</f>
        <v>0</v>
      </c>
      <c r="B3157">
        <f>[2]TongHop!B3157</f>
        <v>0</v>
      </c>
      <c r="C3157">
        <f>[2]TongHop!C3157</f>
        <v>0</v>
      </c>
      <c r="D3157">
        <f>[2]TongHop!D3157</f>
        <v>0</v>
      </c>
      <c r="E3157">
        <f>[2]TongHop!E3157</f>
        <v>0</v>
      </c>
      <c r="F3157">
        <f>[2]TongHop!F3157</f>
        <v>0</v>
      </c>
      <c r="G3157">
        <f>[2]TongHop!G3157</f>
        <v>0</v>
      </c>
      <c r="H3157">
        <f>[2]TongHop!H3157</f>
        <v>0</v>
      </c>
      <c r="I3157">
        <f>[2]TongHop!I3157</f>
        <v>0</v>
      </c>
      <c r="J3157">
        <f>[2]TongHop!J3157</f>
        <v>0</v>
      </c>
      <c r="K3157">
        <f>[2]TongHop!K3157</f>
        <v>0</v>
      </c>
      <c r="L3157">
        <f>[2]TongHop!L3157</f>
        <v>0</v>
      </c>
      <c r="M3157">
        <f>[2]TongHop!M3157</f>
        <v>0</v>
      </c>
      <c r="N3157">
        <f>[2]TongHop!N3157</f>
        <v>0</v>
      </c>
    </row>
    <row r="3158" spans="1:14">
      <c r="A3158">
        <f>[2]TongHop!A3158</f>
        <v>0</v>
      </c>
      <c r="B3158">
        <f>[2]TongHop!B3158</f>
        <v>0</v>
      </c>
      <c r="C3158">
        <f>[2]TongHop!C3158</f>
        <v>0</v>
      </c>
      <c r="D3158">
        <f>[2]TongHop!D3158</f>
        <v>0</v>
      </c>
      <c r="E3158">
        <f>[2]TongHop!E3158</f>
        <v>0</v>
      </c>
      <c r="F3158">
        <f>[2]TongHop!F3158</f>
        <v>0</v>
      </c>
      <c r="G3158">
        <f>[2]TongHop!G3158</f>
        <v>0</v>
      </c>
      <c r="H3158">
        <f>[2]TongHop!H3158</f>
        <v>0</v>
      </c>
      <c r="I3158">
        <f>[2]TongHop!I3158</f>
        <v>0</v>
      </c>
      <c r="J3158">
        <f>[2]TongHop!J3158</f>
        <v>0</v>
      </c>
      <c r="K3158">
        <f>[2]TongHop!K3158</f>
        <v>0</v>
      </c>
      <c r="L3158">
        <f>[2]TongHop!L3158</f>
        <v>0</v>
      </c>
      <c r="M3158">
        <f>[2]TongHop!M3158</f>
        <v>0</v>
      </c>
      <c r="N3158">
        <f>[2]TongHop!N3158</f>
        <v>0</v>
      </c>
    </row>
    <row r="3159" spans="1:14">
      <c r="A3159">
        <f>[2]TongHop!A3159</f>
        <v>0</v>
      </c>
      <c r="B3159">
        <f>[2]TongHop!B3159</f>
        <v>0</v>
      </c>
      <c r="C3159">
        <f>[2]TongHop!C3159</f>
        <v>0</v>
      </c>
      <c r="D3159">
        <f>[2]TongHop!D3159</f>
        <v>0</v>
      </c>
      <c r="E3159">
        <f>[2]TongHop!E3159</f>
        <v>0</v>
      </c>
      <c r="F3159">
        <f>[2]TongHop!F3159</f>
        <v>0</v>
      </c>
      <c r="G3159">
        <f>[2]TongHop!G3159</f>
        <v>0</v>
      </c>
      <c r="H3159">
        <f>[2]TongHop!H3159</f>
        <v>0</v>
      </c>
      <c r="I3159">
        <f>[2]TongHop!I3159</f>
        <v>0</v>
      </c>
      <c r="J3159">
        <f>[2]TongHop!J3159</f>
        <v>0</v>
      </c>
      <c r="K3159">
        <f>[2]TongHop!K3159</f>
        <v>0</v>
      </c>
      <c r="L3159">
        <f>[2]TongHop!L3159</f>
        <v>0</v>
      </c>
      <c r="M3159">
        <f>[2]TongHop!M3159</f>
        <v>0</v>
      </c>
      <c r="N3159">
        <f>[2]TongHop!N3159</f>
        <v>0</v>
      </c>
    </row>
    <row r="3160" spans="1:14">
      <c r="A3160">
        <f>[2]TongHop!A3160</f>
        <v>0</v>
      </c>
      <c r="B3160">
        <f>[2]TongHop!B3160</f>
        <v>0</v>
      </c>
      <c r="C3160">
        <f>[2]TongHop!C3160</f>
        <v>0</v>
      </c>
      <c r="D3160">
        <f>[2]TongHop!D3160</f>
        <v>0</v>
      </c>
      <c r="E3160">
        <f>[2]TongHop!E3160</f>
        <v>0</v>
      </c>
      <c r="F3160">
        <f>[2]TongHop!F3160</f>
        <v>0</v>
      </c>
      <c r="G3160">
        <f>[2]TongHop!G3160</f>
        <v>0</v>
      </c>
      <c r="H3160">
        <f>[2]TongHop!H3160</f>
        <v>0</v>
      </c>
      <c r="I3160">
        <f>[2]TongHop!I3160</f>
        <v>0</v>
      </c>
      <c r="J3160">
        <f>[2]TongHop!J3160</f>
        <v>0</v>
      </c>
      <c r="K3160">
        <f>[2]TongHop!K3160</f>
        <v>0</v>
      </c>
      <c r="L3160">
        <f>[2]TongHop!L3160</f>
        <v>0</v>
      </c>
      <c r="M3160">
        <f>[2]TongHop!M3160</f>
        <v>0</v>
      </c>
      <c r="N3160">
        <f>[2]TongHop!N3160</f>
        <v>0</v>
      </c>
    </row>
    <row r="3161" spans="1:14">
      <c r="A3161">
        <f>[2]TongHop!A3161</f>
        <v>0</v>
      </c>
      <c r="B3161">
        <f>[2]TongHop!B3161</f>
        <v>0</v>
      </c>
      <c r="C3161">
        <f>[2]TongHop!C3161</f>
        <v>0</v>
      </c>
      <c r="D3161">
        <f>[2]TongHop!D3161</f>
        <v>0</v>
      </c>
      <c r="E3161">
        <f>[2]TongHop!E3161</f>
        <v>0</v>
      </c>
      <c r="F3161">
        <f>[2]TongHop!F3161</f>
        <v>0</v>
      </c>
      <c r="G3161">
        <f>[2]TongHop!G3161</f>
        <v>0</v>
      </c>
      <c r="H3161">
        <f>[2]TongHop!H3161</f>
        <v>0</v>
      </c>
      <c r="I3161">
        <f>[2]TongHop!I3161</f>
        <v>0</v>
      </c>
      <c r="J3161">
        <f>[2]TongHop!J3161</f>
        <v>0</v>
      </c>
      <c r="K3161">
        <f>[2]TongHop!K3161</f>
        <v>0</v>
      </c>
      <c r="L3161">
        <f>[2]TongHop!L3161</f>
        <v>0</v>
      </c>
      <c r="M3161">
        <f>[2]TongHop!M3161</f>
        <v>0</v>
      </c>
      <c r="N3161">
        <f>[2]TongHop!N3161</f>
        <v>0</v>
      </c>
    </row>
    <row r="3162" spans="1:14">
      <c r="A3162">
        <f>[2]TongHop!A3162</f>
        <v>0</v>
      </c>
      <c r="B3162">
        <f>[2]TongHop!B3162</f>
        <v>0</v>
      </c>
      <c r="C3162">
        <f>[2]TongHop!C3162</f>
        <v>0</v>
      </c>
      <c r="D3162">
        <f>[2]TongHop!D3162</f>
        <v>0</v>
      </c>
      <c r="E3162">
        <f>[2]TongHop!E3162</f>
        <v>0</v>
      </c>
      <c r="F3162">
        <f>[2]TongHop!F3162</f>
        <v>0</v>
      </c>
      <c r="G3162">
        <f>[2]TongHop!G3162</f>
        <v>0</v>
      </c>
      <c r="H3162">
        <f>[2]TongHop!H3162</f>
        <v>0</v>
      </c>
      <c r="I3162">
        <f>[2]TongHop!I3162</f>
        <v>0</v>
      </c>
      <c r="J3162">
        <f>[2]TongHop!J3162</f>
        <v>0</v>
      </c>
      <c r="K3162">
        <f>[2]TongHop!K3162</f>
        <v>0</v>
      </c>
      <c r="L3162">
        <f>[2]TongHop!L3162</f>
        <v>0</v>
      </c>
      <c r="M3162">
        <f>[2]TongHop!M3162</f>
        <v>0</v>
      </c>
      <c r="N3162">
        <f>[2]TongHop!N3162</f>
        <v>0</v>
      </c>
    </row>
    <row r="3163" spans="1:14">
      <c r="A3163">
        <f>[2]TongHop!A3163</f>
        <v>0</v>
      </c>
      <c r="B3163">
        <f>[2]TongHop!B3163</f>
        <v>0</v>
      </c>
      <c r="C3163">
        <f>[2]TongHop!C3163</f>
        <v>0</v>
      </c>
      <c r="D3163">
        <f>[2]TongHop!D3163</f>
        <v>0</v>
      </c>
      <c r="E3163">
        <f>[2]TongHop!E3163</f>
        <v>0</v>
      </c>
      <c r="F3163">
        <f>[2]TongHop!F3163</f>
        <v>0</v>
      </c>
      <c r="G3163">
        <f>[2]TongHop!G3163</f>
        <v>0</v>
      </c>
      <c r="H3163">
        <f>[2]TongHop!H3163</f>
        <v>0</v>
      </c>
      <c r="I3163">
        <f>[2]TongHop!I3163</f>
        <v>0</v>
      </c>
      <c r="J3163">
        <f>[2]TongHop!J3163</f>
        <v>0</v>
      </c>
      <c r="K3163">
        <f>[2]TongHop!K3163</f>
        <v>0</v>
      </c>
      <c r="L3163">
        <f>[2]TongHop!L3163</f>
        <v>0</v>
      </c>
      <c r="M3163">
        <f>[2]TongHop!M3163</f>
        <v>0</v>
      </c>
      <c r="N3163">
        <f>[2]TongHop!N3163</f>
        <v>0</v>
      </c>
    </row>
    <row r="3164" spans="1:14">
      <c r="A3164">
        <f>[2]TongHop!A3164</f>
        <v>0</v>
      </c>
      <c r="B3164">
        <f>[2]TongHop!B3164</f>
        <v>0</v>
      </c>
      <c r="C3164">
        <f>[2]TongHop!C3164</f>
        <v>0</v>
      </c>
      <c r="D3164">
        <f>[2]TongHop!D3164</f>
        <v>0</v>
      </c>
      <c r="E3164">
        <f>[2]TongHop!E3164</f>
        <v>0</v>
      </c>
      <c r="F3164">
        <f>[2]TongHop!F3164</f>
        <v>0</v>
      </c>
      <c r="G3164">
        <f>[2]TongHop!G3164</f>
        <v>0</v>
      </c>
      <c r="H3164">
        <f>[2]TongHop!H3164</f>
        <v>0</v>
      </c>
      <c r="I3164">
        <f>[2]TongHop!I3164</f>
        <v>0</v>
      </c>
      <c r="J3164">
        <f>[2]TongHop!J3164</f>
        <v>0</v>
      </c>
      <c r="K3164">
        <f>[2]TongHop!K3164</f>
        <v>0</v>
      </c>
      <c r="L3164">
        <f>[2]TongHop!L3164</f>
        <v>0</v>
      </c>
      <c r="M3164">
        <f>[2]TongHop!M3164</f>
        <v>0</v>
      </c>
      <c r="N3164">
        <f>[2]TongHop!N3164</f>
        <v>0</v>
      </c>
    </row>
    <row r="3165" spans="1:14">
      <c r="A3165">
        <f>[2]TongHop!A3165</f>
        <v>0</v>
      </c>
      <c r="B3165">
        <f>[2]TongHop!B3165</f>
        <v>0</v>
      </c>
      <c r="C3165">
        <f>[2]TongHop!C3165</f>
        <v>0</v>
      </c>
      <c r="D3165">
        <f>[2]TongHop!D3165</f>
        <v>0</v>
      </c>
      <c r="E3165">
        <f>[2]TongHop!E3165</f>
        <v>0</v>
      </c>
      <c r="F3165">
        <f>[2]TongHop!F3165</f>
        <v>0</v>
      </c>
      <c r="G3165">
        <f>[2]TongHop!G3165</f>
        <v>0</v>
      </c>
      <c r="H3165">
        <f>[2]TongHop!H3165</f>
        <v>0</v>
      </c>
      <c r="I3165">
        <f>[2]TongHop!I3165</f>
        <v>0</v>
      </c>
      <c r="J3165">
        <f>[2]TongHop!J3165</f>
        <v>0</v>
      </c>
      <c r="K3165">
        <f>[2]TongHop!K3165</f>
        <v>0</v>
      </c>
      <c r="L3165">
        <f>[2]TongHop!L3165</f>
        <v>0</v>
      </c>
      <c r="M3165">
        <f>[2]TongHop!M3165</f>
        <v>0</v>
      </c>
      <c r="N3165">
        <f>[2]TongHop!N3165</f>
        <v>0</v>
      </c>
    </row>
    <row r="3166" spans="1:14">
      <c r="A3166">
        <f>[2]TongHop!A3166</f>
        <v>0</v>
      </c>
      <c r="B3166">
        <f>[2]TongHop!B3166</f>
        <v>0</v>
      </c>
      <c r="C3166">
        <f>[2]TongHop!C3166</f>
        <v>0</v>
      </c>
      <c r="D3166">
        <f>[2]TongHop!D3166</f>
        <v>0</v>
      </c>
      <c r="E3166">
        <f>[2]TongHop!E3166</f>
        <v>0</v>
      </c>
      <c r="F3166">
        <f>[2]TongHop!F3166</f>
        <v>0</v>
      </c>
      <c r="G3166">
        <f>[2]TongHop!G3166</f>
        <v>0</v>
      </c>
      <c r="H3166">
        <f>[2]TongHop!H3166</f>
        <v>0</v>
      </c>
      <c r="I3166">
        <f>[2]TongHop!I3166</f>
        <v>0</v>
      </c>
      <c r="J3166">
        <f>[2]TongHop!J3166</f>
        <v>0</v>
      </c>
      <c r="K3166">
        <f>[2]TongHop!K3166</f>
        <v>0</v>
      </c>
      <c r="L3166">
        <f>[2]TongHop!L3166</f>
        <v>0</v>
      </c>
      <c r="M3166">
        <f>[2]TongHop!M3166</f>
        <v>0</v>
      </c>
      <c r="N3166">
        <f>[2]TongHop!N3166</f>
        <v>0</v>
      </c>
    </row>
    <row r="3167" spans="1:14">
      <c r="A3167">
        <f>[2]TongHop!A3167</f>
        <v>0</v>
      </c>
      <c r="B3167">
        <f>[2]TongHop!B3167</f>
        <v>0</v>
      </c>
      <c r="C3167">
        <f>[2]TongHop!C3167</f>
        <v>0</v>
      </c>
      <c r="D3167">
        <f>[2]TongHop!D3167</f>
        <v>0</v>
      </c>
      <c r="E3167">
        <f>[2]TongHop!E3167</f>
        <v>0</v>
      </c>
      <c r="F3167">
        <f>[2]TongHop!F3167</f>
        <v>0</v>
      </c>
      <c r="G3167">
        <f>[2]TongHop!G3167</f>
        <v>0</v>
      </c>
      <c r="H3167">
        <f>[2]TongHop!H3167</f>
        <v>0</v>
      </c>
      <c r="I3167">
        <f>[2]TongHop!I3167</f>
        <v>0</v>
      </c>
      <c r="J3167">
        <f>[2]TongHop!J3167</f>
        <v>0</v>
      </c>
      <c r="K3167">
        <f>[2]TongHop!K3167</f>
        <v>0</v>
      </c>
      <c r="L3167">
        <f>[2]TongHop!L3167</f>
        <v>0</v>
      </c>
      <c r="M3167">
        <f>[2]TongHop!M3167</f>
        <v>0</v>
      </c>
      <c r="N3167">
        <f>[2]TongHop!N3167</f>
        <v>0</v>
      </c>
    </row>
    <row r="3168" spans="1:14">
      <c r="A3168">
        <f>[2]TongHop!A3168</f>
        <v>0</v>
      </c>
      <c r="B3168">
        <f>[2]TongHop!B3168</f>
        <v>0</v>
      </c>
      <c r="C3168">
        <f>[2]TongHop!C3168</f>
        <v>0</v>
      </c>
      <c r="D3168">
        <f>[2]TongHop!D3168</f>
        <v>0</v>
      </c>
      <c r="E3168">
        <f>[2]TongHop!E3168</f>
        <v>0</v>
      </c>
      <c r="F3168">
        <f>[2]TongHop!F3168</f>
        <v>0</v>
      </c>
      <c r="G3168">
        <f>[2]TongHop!G3168</f>
        <v>0</v>
      </c>
      <c r="H3168">
        <f>[2]TongHop!H3168</f>
        <v>0</v>
      </c>
      <c r="I3168">
        <f>[2]TongHop!I3168</f>
        <v>0</v>
      </c>
      <c r="J3168">
        <f>[2]TongHop!J3168</f>
        <v>0</v>
      </c>
      <c r="K3168">
        <f>[2]TongHop!K3168</f>
        <v>0</v>
      </c>
      <c r="L3168">
        <f>[2]TongHop!L3168</f>
        <v>0</v>
      </c>
      <c r="M3168">
        <f>[2]TongHop!M3168</f>
        <v>0</v>
      </c>
      <c r="N3168">
        <f>[2]TongHop!N3168</f>
        <v>0</v>
      </c>
    </row>
    <row r="3169" spans="1:14">
      <c r="A3169">
        <f>[2]TongHop!A3169</f>
        <v>0</v>
      </c>
      <c r="B3169">
        <f>[2]TongHop!B3169</f>
        <v>0</v>
      </c>
      <c r="C3169">
        <f>[2]TongHop!C3169</f>
        <v>0</v>
      </c>
      <c r="D3169">
        <f>[2]TongHop!D3169</f>
        <v>0</v>
      </c>
      <c r="E3169">
        <f>[2]TongHop!E3169</f>
        <v>0</v>
      </c>
      <c r="F3169">
        <f>[2]TongHop!F3169</f>
        <v>0</v>
      </c>
      <c r="G3169">
        <f>[2]TongHop!G3169</f>
        <v>0</v>
      </c>
      <c r="H3169">
        <f>[2]TongHop!H3169</f>
        <v>0</v>
      </c>
      <c r="I3169">
        <f>[2]TongHop!I3169</f>
        <v>0</v>
      </c>
      <c r="J3169">
        <f>[2]TongHop!J3169</f>
        <v>0</v>
      </c>
      <c r="K3169">
        <f>[2]TongHop!K3169</f>
        <v>0</v>
      </c>
      <c r="L3169">
        <f>[2]TongHop!L3169</f>
        <v>0</v>
      </c>
      <c r="M3169">
        <f>[2]TongHop!M3169</f>
        <v>0</v>
      </c>
      <c r="N3169">
        <f>[2]TongHop!N3169</f>
        <v>0</v>
      </c>
    </row>
    <row r="3170" spans="1:14">
      <c r="A3170">
        <f>[2]TongHop!A3170</f>
        <v>0</v>
      </c>
      <c r="B3170">
        <f>[2]TongHop!B3170</f>
        <v>0</v>
      </c>
      <c r="C3170">
        <f>[2]TongHop!C3170</f>
        <v>0</v>
      </c>
      <c r="D3170">
        <f>[2]TongHop!D3170</f>
        <v>0</v>
      </c>
      <c r="E3170">
        <f>[2]TongHop!E3170</f>
        <v>0</v>
      </c>
      <c r="F3170">
        <f>[2]TongHop!F3170</f>
        <v>0</v>
      </c>
      <c r="G3170">
        <f>[2]TongHop!G3170</f>
        <v>0</v>
      </c>
      <c r="H3170">
        <f>[2]TongHop!H3170</f>
        <v>0</v>
      </c>
      <c r="I3170">
        <f>[2]TongHop!I3170</f>
        <v>0</v>
      </c>
      <c r="J3170">
        <f>[2]TongHop!J3170</f>
        <v>0</v>
      </c>
      <c r="K3170">
        <f>[2]TongHop!K3170</f>
        <v>0</v>
      </c>
      <c r="L3170">
        <f>[2]TongHop!L3170</f>
        <v>0</v>
      </c>
      <c r="M3170">
        <f>[2]TongHop!M3170</f>
        <v>0</v>
      </c>
      <c r="N3170">
        <f>[2]TongHop!N3170</f>
        <v>0</v>
      </c>
    </row>
    <row r="3171" spans="1:14">
      <c r="A3171">
        <f>[2]TongHop!A3171</f>
        <v>0</v>
      </c>
      <c r="B3171">
        <f>[2]TongHop!B3171</f>
        <v>0</v>
      </c>
      <c r="C3171">
        <f>[2]TongHop!C3171</f>
        <v>0</v>
      </c>
      <c r="D3171">
        <f>[2]TongHop!D3171</f>
        <v>0</v>
      </c>
      <c r="E3171">
        <f>[2]TongHop!E3171</f>
        <v>0</v>
      </c>
      <c r="F3171">
        <f>[2]TongHop!F3171</f>
        <v>0</v>
      </c>
      <c r="G3171">
        <f>[2]TongHop!G3171</f>
        <v>0</v>
      </c>
      <c r="H3171">
        <f>[2]TongHop!H3171</f>
        <v>0</v>
      </c>
      <c r="I3171">
        <f>[2]TongHop!I3171</f>
        <v>0</v>
      </c>
      <c r="J3171">
        <f>[2]TongHop!J3171</f>
        <v>0</v>
      </c>
      <c r="K3171">
        <f>[2]TongHop!K3171</f>
        <v>0</v>
      </c>
      <c r="L3171">
        <f>[2]TongHop!L3171</f>
        <v>0</v>
      </c>
      <c r="M3171">
        <f>[2]TongHop!M3171</f>
        <v>0</v>
      </c>
      <c r="N3171">
        <f>[2]TongHop!N3171</f>
        <v>0</v>
      </c>
    </row>
    <row r="3172" spans="1:14">
      <c r="A3172">
        <f>[2]TongHop!A3172</f>
        <v>0</v>
      </c>
      <c r="B3172">
        <f>[2]TongHop!B3172</f>
        <v>0</v>
      </c>
      <c r="C3172">
        <f>[2]TongHop!C3172</f>
        <v>0</v>
      </c>
      <c r="D3172">
        <f>[2]TongHop!D3172</f>
        <v>0</v>
      </c>
      <c r="E3172">
        <f>[2]TongHop!E3172</f>
        <v>0</v>
      </c>
      <c r="F3172">
        <f>[2]TongHop!F3172</f>
        <v>0</v>
      </c>
      <c r="G3172">
        <f>[2]TongHop!G3172</f>
        <v>0</v>
      </c>
      <c r="H3172">
        <f>[2]TongHop!H3172</f>
        <v>0</v>
      </c>
      <c r="I3172">
        <f>[2]TongHop!I3172</f>
        <v>0</v>
      </c>
      <c r="J3172">
        <f>[2]TongHop!J3172</f>
        <v>0</v>
      </c>
      <c r="K3172">
        <f>[2]TongHop!K3172</f>
        <v>0</v>
      </c>
      <c r="L3172">
        <f>[2]TongHop!L3172</f>
        <v>0</v>
      </c>
      <c r="M3172">
        <f>[2]TongHop!M3172</f>
        <v>0</v>
      </c>
      <c r="N3172">
        <f>[2]TongHop!N3172</f>
        <v>0</v>
      </c>
    </row>
    <row r="3173" spans="1:14">
      <c r="A3173">
        <f>[2]TongHop!A3173</f>
        <v>0</v>
      </c>
      <c r="B3173">
        <f>[2]TongHop!B3173</f>
        <v>0</v>
      </c>
      <c r="C3173">
        <f>[2]TongHop!C3173</f>
        <v>0</v>
      </c>
      <c r="D3173">
        <f>[2]TongHop!D3173</f>
        <v>0</v>
      </c>
      <c r="E3173">
        <f>[2]TongHop!E3173</f>
        <v>0</v>
      </c>
      <c r="F3173">
        <f>[2]TongHop!F3173</f>
        <v>0</v>
      </c>
      <c r="G3173">
        <f>[2]TongHop!G3173</f>
        <v>0</v>
      </c>
      <c r="H3173">
        <f>[2]TongHop!H3173</f>
        <v>0</v>
      </c>
      <c r="I3173">
        <f>[2]TongHop!I3173</f>
        <v>0</v>
      </c>
      <c r="J3173">
        <f>[2]TongHop!J3173</f>
        <v>0</v>
      </c>
      <c r="K3173">
        <f>[2]TongHop!K3173</f>
        <v>0</v>
      </c>
      <c r="L3173">
        <f>[2]TongHop!L3173</f>
        <v>0</v>
      </c>
      <c r="M3173">
        <f>[2]TongHop!M3173</f>
        <v>0</v>
      </c>
      <c r="N3173">
        <f>[2]TongHop!N3173</f>
        <v>0</v>
      </c>
    </row>
    <row r="3174" spans="1:14">
      <c r="A3174">
        <f>[2]TongHop!A3174</f>
        <v>0</v>
      </c>
      <c r="B3174">
        <f>[2]TongHop!B3174</f>
        <v>0</v>
      </c>
      <c r="C3174">
        <f>[2]TongHop!C3174</f>
        <v>0</v>
      </c>
      <c r="D3174">
        <f>[2]TongHop!D3174</f>
        <v>0</v>
      </c>
      <c r="E3174">
        <f>[2]TongHop!E3174</f>
        <v>0</v>
      </c>
      <c r="F3174">
        <f>[2]TongHop!F3174</f>
        <v>0</v>
      </c>
      <c r="G3174">
        <f>[2]TongHop!G3174</f>
        <v>0</v>
      </c>
      <c r="H3174">
        <f>[2]TongHop!H3174</f>
        <v>0</v>
      </c>
      <c r="I3174">
        <f>[2]TongHop!I3174</f>
        <v>0</v>
      </c>
      <c r="J3174">
        <f>[2]TongHop!J3174</f>
        <v>0</v>
      </c>
      <c r="K3174">
        <f>[2]TongHop!K3174</f>
        <v>0</v>
      </c>
      <c r="L3174">
        <f>[2]TongHop!L3174</f>
        <v>0</v>
      </c>
      <c r="M3174">
        <f>[2]TongHop!M3174</f>
        <v>0</v>
      </c>
      <c r="N3174">
        <f>[2]TongHop!N3174</f>
        <v>0</v>
      </c>
    </row>
    <row r="3175" spans="1:14">
      <c r="A3175">
        <f>[2]TongHop!A3175</f>
        <v>0</v>
      </c>
      <c r="B3175">
        <f>[2]TongHop!B3175</f>
        <v>0</v>
      </c>
      <c r="C3175">
        <f>[2]TongHop!C3175</f>
        <v>0</v>
      </c>
      <c r="D3175">
        <f>[2]TongHop!D3175</f>
        <v>0</v>
      </c>
      <c r="E3175">
        <f>[2]TongHop!E3175</f>
        <v>0</v>
      </c>
      <c r="F3175">
        <f>[2]TongHop!F3175</f>
        <v>0</v>
      </c>
      <c r="G3175">
        <f>[2]TongHop!G3175</f>
        <v>0</v>
      </c>
      <c r="H3175">
        <f>[2]TongHop!H3175</f>
        <v>0</v>
      </c>
      <c r="I3175">
        <f>[2]TongHop!I3175</f>
        <v>0</v>
      </c>
      <c r="J3175">
        <f>[2]TongHop!J3175</f>
        <v>0</v>
      </c>
      <c r="K3175">
        <f>[2]TongHop!K3175</f>
        <v>0</v>
      </c>
      <c r="L3175">
        <f>[2]TongHop!L3175</f>
        <v>0</v>
      </c>
      <c r="M3175">
        <f>[2]TongHop!M3175</f>
        <v>0</v>
      </c>
      <c r="N3175">
        <f>[2]TongHop!N3175</f>
        <v>0</v>
      </c>
    </row>
    <row r="3176" spans="1:14">
      <c r="A3176">
        <f>[2]TongHop!A3176</f>
        <v>0</v>
      </c>
      <c r="B3176">
        <f>[2]TongHop!B3176</f>
        <v>0</v>
      </c>
      <c r="C3176">
        <f>[2]TongHop!C3176</f>
        <v>0</v>
      </c>
      <c r="D3176">
        <f>[2]TongHop!D3176</f>
        <v>0</v>
      </c>
      <c r="E3176">
        <f>[2]TongHop!E3176</f>
        <v>0</v>
      </c>
      <c r="F3176">
        <f>[2]TongHop!F3176</f>
        <v>0</v>
      </c>
      <c r="G3176">
        <f>[2]TongHop!G3176</f>
        <v>0</v>
      </c>
      <c r="H3176">
        <f>[2]TongHop!H3176</f>
        <v>0</v>
      </c>
      <c r="I3176">
        <f>[2]TongHop!I3176</f>
        <v>0</v>
      </c>
      <c r="J3176">
        <f>[2]TongHop!J3176</f>
        <v>0</v>
      </c>
      <c r="K3176">
        <f>[2]TongHop!K3176</f>
        <v>0</v>
      </c>
      <c r="L3176">
        <f>[2]TongHop!L3176</f>
        <v>0</v>
      </c>
      <c r="M3176">
        <f>[2]TongHop!M3176</f>
        <v>0</v>
      </c>
      <c r="N3176">
        <f>[2]TongHop!N3176</f>
        <v>0</v>
      </c>
    </row>
    <row r="3177" spans="1:14">
      <c r="A3177">
        <f>[2]TongHop!A3177</f>
        <v>0</v>
      </c>
      <c r="B3177">
        <f>[2]TongHop!B3177</f>
        <v>0</v>
      </c>
      <c r="C3177">
        <f>[2]TongHop!C3177</f>
        <v>0</v>
      </c>
      <c r="D3177">
        <f>[2]TongHop!D3177</f>
        <v>0</v>
      </c>
      <c r="E3177">
        <f>[2]TongHop!E3177</f>
        <v>0</v>
      </c>
      <c r="F3177">
        <f>[2]TongHop!F3177</f>
        <v>0</v>
      </c>
      <c r="G3177">
        <f>[2]TongHop!G3177</f>
        <v>0</v>
      </c>
      <c r="H3177">
        <f>[2]TongHop!H3177</f>
        <v>0</v>
      </c>
      <c r="I3177">
        <f>[2]TongHop!I3177</f>
        <v>0</v>
      </c>
      <c r="J3177">
        <f>[2]TongHop!J3177</f>
        <v>0</v>
      </c>
      <c r="K3177">
        <f>[2]TongHop!K3177</f>
        <v>0</v>
      </c>
      <c r="L3177">
        <f>[2]TongHop!L3177</f>
        <v>0</v>
      </c>
      <c r="M3177">
        <f>[2]TongHop!M3177</f>
        <v>0</v>
      </c>
      <c r="N3177">
        <f>[2]TongHop!N3177</f>
        <v>0</v>
      </c>
    </row>
    <row r="3178" spans="1:14">
      <c r="A3178">
        <f>[2]TongHop!A3178</f>
        <v>0</v>
      </c>
      <c r="B3178">
        <f>[2]TongHop!B3178</f>
        <v>0</v>
      </c>
      <c r="C3178">
        <f>[2]TongHop!C3178</f>
        <v>0</v>
      </c>
      <c r="D3178">
        <f>[2]TongHop!D3178</f>
        <v>0</v>
      </c>
      <c r="E3178">
        <f>[2]TongHop!E3178</f>
        <v>0</v>
      </c>
      <c r="F3178">
        <f>[2]TongHop!F3178</f>
        <v>0</v>
      </c>
      <c r="G3178">
        <f>[2]TongHop!G3178</f>
        <v>0</v>
      </c>
      <c r="H3178">
        <f>[2]TongHop!H3178</f>
        <v>0</v>
      </c>
      <c r="I3178">
        <f>[2]TongHop!I3178</f>
        <v>0</v>
      </c>
      <c r="J3178">
        <f>[2]TongHop!J3178</f>
        <v>0</v>
      </c>
      <c r="K3178">
        <f>[2]TongHop!K3178</f>
        <v>0</v>
      </c>
      <c r="L3178">
        <f>[2]TongHop!L3178</f>
        <v>0</v>
      </c>
      <c r="M3178">
        <f>[2]TongHop!M3178</f>
        <v>0</v>
      </c>
      <c r="N3178">
        <f>[2]TongHop!N3178</f>
        <v>0</v>
      </c>
    </row>
    <row r="3179" spans="1:14">
      <c r="A3179">
        <f>[2]TongHop!A3179</f>
        <v>0</v>
      </c>
      <c r="B3179">
        <f>[2]TongHop!B3179</f>
        <v>0</v>
      </c>
      <c r="C3179">
        <f>[2]TongHop!C3179</f>
        <v>0</v>
      </c>
      <c r="D3179">
        <f>[2]TongHop!D3179</f>
        <v>0</v>
      </c>
      <c r="E3179">
        <f>[2]TongHop!E3179</f>
        <v>0</v>
      </c>
      <c r="F3179">
        <f>[2]TongHop!F3179</f>
        <v>0</v>
      </c>
      <c r="G3179">
        <f>[2]TongHop!G3179</f>
        <v>0</v>
      </c>
      <c r="H3179">
        <f>[2]TongHop!H3179</f>
        <v>0</v>
      </c>
      <c r="I3179">
        <f>[2]TongHop!I3179</f>
        <v>0</v>
      </c>
      <c r="J3179">
        <f>[2]TongHop!J3179</f>
        <v>0</v>
      </c>
      <c r="K3179">
        <f>[2]TongHop!K3179</f>
        <v>0</v>
      </c>
      <c r="L3179">
        <f>[2]TongHop!L3179</f>
        <v>0</v>
      </c>
      <c r="M3179">
        <f>[2]TongHop!M3179</f>
        <v>0</v>
      </c>
      <c r="N3179">
        <f>[2]TongHop!N3179</f>
        <v>0</v>
      </c>
    </row>
    <row r="3180" spans="1:14">
      <c r="A3180">
        <f>[2]TongHop!A3180</f>
        <v>0</v>
      </c>
      <c r="B3180">
        <f>[2]TongHop!B3180</f>
        <v>0</v>
      </c>
      <c r="C3180">
        <f>[2]TongHop!C3180</f>
        <v>0</v>
      </c>
      <c r="D3180">
        <f>[2]TongHop!D3180</f>
        <v>0</v>
      </c>
      <c r="E3180">
        <f>[2]TongHop!E3180</f>
        <v>0</v>
      </c>
      <c r="F3180">
        <f>[2]TongHop!F3180</f>
        <v>0</v>
      </c>
      <c r="G3180">
        <f>[2]TongHop!G3180</f>
        <v>0</v>
      </c>
      <c r="H3180">
        <f>[2]TongHop!H3180</f>
        <v>0</v>
      </c>
      <c r="I3180">
        <f>[2]TongHop!I3180</f>
        <v>0</v>
      </c>
      <c r="J3180">
        <f>[2]TongHop!J3180</f>
        <v>0</v>
      </c>
      <c r="K3180">
        <f>[2]TongHop!K3180</f>
        <v>0</v>
      </c>
      <c r="L3180">
        <f>[2]TongHop!L3180</f>
        <v>0</v>
      </c>
      <c r="M3180">
        <f>[2]TongHop!M3180</f>
        <v>0</v>
      </c>
      <c r="N3180">
        <f>[2]TongHop!N3180</f>
        <v>0</v>
      </c>
    </row>
    <row r="3181" spans="1:14">
      <c r="A3181">
        <f>[2]TongHop!A3181</f>
        <v>0</v>
      </c>
      <c r="B3181">
        <f>[2]TongHop!B3181</f>
        <v>0</v>
      </c>
      <c r="C3181">
        <f>[2]TongHop!C3181</f>
        <v>0</v>
      </c>
      <c r="D3181">
        <f>[2]TongHop!D3181</f>
        <v>0</v>
      </c>
      <c r="E3181">
        <f>[2]TongHop!E3181</f>
        <v>0</v>
      </c>
      <c r="F3181">
        <f>[2]TongHop!F3181</f>
        <v>0</v>
      </c>
      <c r="G3181">
        <f>[2]TongHop!G3181</f>
        <v>0</v>
      </c>
      <c r="H3181">
        <f>[2]TongHop!H3181</f>
        <v>0</v>
      </c>
      <c r="I3181">
        <f>[2]TongHop!I3181</f>
        <v>0</v>
      </c>
      <c r="J3181">
        <f>[2]TongHop!J3181</f>
        <v>0</v>
      </c>
      <c r="K3181">
        <f>[2]TongHop!K3181</f>
        <v>0</v>
      </c>
      <c r="L3181">
        <f>[2]TongHop!L3181</f>
        <v>0</v>
      </c>
      <c r="M3181">
        <f>[2]TongHop!M3181</f>
        <v>0</v>
      </c>
      <c r="N3181">
        <f>[2]TongHop!N3181</f>
        <v>0</v>
      </c>
    </row>
    <row r="3182" spans="1:14">
      <c r="A3182">
        <f>[2]TongHop!A3182</f>
        <v>0</v>
      </c>
      <c r="B3182">
        <f>[2]TongHop!B3182</f>
        <v>0</v>
      </c>
      <c r="C3182">
        <f>[2]TongHop!C3182</f>
        <v>0</v>
      </c>
      <c r="D3182">
        <f>[2]TongHop!D3182</f>
        <v>0</v>
      </c>
      <c r="E3182">
        <f>[2]TongHop!E3182</f>
        <v>0</v>
      </c>
      <c r="F3182">
        <f>[2]TongHop!F3182</f>
        <v>0</v>
      </c>
      <c r="G3182">
        <f>[2]TongHop!G3182</f>
        <v>0</v>
      </c>
      <c r="H3182">
        <f>[2]TongHop!H3182</f>
        <v>0</v>
      </c>
      <c r="I3182">
        <f>[2]TongHop!I3182</f>
        <v>0</v>
      </c>
      <c r="J3182">
        <f>[2]TongHop!J3182</f>
        <v>0</v>
      </c>
      <c r="K3182">
        <f>[2]TongHop!K3182</f>
        <v>0</v>
      </c>
      <c r="L3182">
        <f>[2]TongHop!L3182</f>
        <v>0</v>
      </c>
      <c r="M3182">
        <f>[2]TongHop!M3182</f>
        <v>0</v>
      </c>
      <c r="N3182">
        <f>[2]TongHop!N3182</f>
        <v>0</v>
      </c>
    </row>
    <row r="3183" spans="1:14">
      <c r="A3183">
        <f>[2]TongHop!A3183</f>
        <v>0</v>
      </c>
      <c r="B3183">
        <f>[2]TongHop!B3183</f>
        <v>0</v>
      </c>
      <c r="C3183">
        <f>[2]TongHop!C3183</f>
        <v>0</v>
      </c>
      <c r="D3183">
        <f>[2]TongHop!D3183</f>
        <v>0</v>
      </c>
      <c r="E3183">
        <f>[2]TongHop!E3183</f>
        <v>0</v>
      </c>
      <c r="F3183">
        <f>[2]TongHop!F3183</f>
        <v>0</v>
      </c>
      <c r="G3183">
        <f>[2]TongHop!G3183</f>
        <v>0</v>
      </c>
      <c r="H3183">
        <f>[2]TongHop!H3183</f>
        <v>0</v>
      </c>
      <c r="I3183">
        <f>[2]TongHop!I3183</f>
        <v>0</v>
      </c>
      <c r="J3183">
        <f>[2]TongHop!J3183</f>
        <v>0</v>
      </c>
      <c r="K3183">
        <f>[2]TongHop!K3183</f>
        <v>0</v>
      </c>
      <c r="L3183">
        <f>[2]TongHop!L3183</f>
        <v>0</v>
      </c>
      <c r="M3183">
        <f>[2]TongHop!M3183</f>
        <v>0</v>
      </c>
      <c r="N3183">
        <f>[2]TongHop!N3183</f>
        <v>0</v>
      </c>
    </row>
    <row r="3184" spans="1:14">
      <c r="A3184">
        <f>[2]TongHop!A3184</f>
        <v>0</v>
      </c>
      <c r="B3184">
        <f>[2]TongHop!B3184</f>
        <v>0</v>
      </c>
      <c r="C3184">
        <f>[2]TongHop!C3184</f>
        <v>0</v>
      </c>
      <c r="D3184">
        <f>[2]TongHop!D3184</f>
        <v>0</v>
      </c>
      <c r="E3184">
        <f>[2]TongHop!E3184</f>
        <v>0</v>
      </c>
      <c r="F3184">
        <f>[2]TongHop!F3184</f>
        <v>0</v>
      </c>
      <c r="G3184">
        <f>[2]TongHop!G3184</f>
        <v>0</v>
      </c>
      <c r="H3184">
        <f>[2]TongHop!H3184</f>
        <v>0</v>
      </c>
      <c r="I3184">
        <f>[2]TongHop!I3184</f>
        <v>0</v>
      </c>
      <c r="J3184">
        <f>[2]TongHop!J3184</f>
        <v>0</v>
      </c>
      <c r="K3184">
        <f>[2]TongHop!K3184</f>
        <v>0</v>
      </c>
      <c r="L3184">
        <f>[2]TongHop!L3184</f>
        <v>0</v>
      </c>
      <c r="M3184">
        <f>[2]TongHop!M3184</f>
        <v>0</v>
      </c>
      <c r="N3184">
        <f>[2]TongHop!N3184</f>
        <v>0</v>
      </c>
    </row>
    <row r="3185" spans="1:14">
      <c r="A3185">
        <f>[2]TongHop!A3185</f>
        <v>0</v>
      </c>
      <c r="B3185">
        <f>[2]TongHop!B3185</f>
        <v>0</v>
      </c>
      <c r="C3185">
        <f>[2]TongHop!C3185</f>
        <v>0</v>
      </c>
      <c r="D3185">
        <f>[2]TongHop!D3185</f>
        <v>0</v>
      </c>
      <c r="E3185">
        <f>[2]TongHop!E3185</f>
        <v>0</v>
      </c>
      <c r="F3185">
        <f>[2]TongHop!F3185</f>
        <v>0</v>
      </c>
      <c r="G3185">
        <f>[2]TongHop!G3185</f>
        <v>0</v>
      </c>
      <c r="H3185">
        <f>[2]TongHop!H3185</f>
        <v>0</v>
      </c>
      <c r="I3185">
        <f>[2]TongHop!I3185</f>
        <v>0</v>
      </c>
      <c r="J3185">
        <f>[2]TongHop!J3185</f>
        <v>0</v>
      </c>
      <c r="K3185">
        <f>[2]TongHop!K3185</f>
        <v>0</v>
      </c>
      <c r="L3185">
        <f>[2]TongHop!L3185</f>
        <v>0</v>
      </c>
      <c r="M3185">
        <f>[2]TongHop!M3185</f>
        <v>0</v>
      </c>
      <c r="N3185">
        <f>[2]TongHop!N3185</f>
        <v>0</v>
      </c>
    </row>
    <row r="3186" spans="1:14">
      <c r="A3186">
        <f>[2]TongHop!A3186</f>
        <v>0</v>
      </c>
      <c r="B3186">
        <f>[2]TongHop!B3186</f>
        <v>0</v>
      </c>
      <c r="C3186">
        <f>[2]TongHop!C3186</f>
        <v>0</v>
      </c>
      <c r="D3186">
        <f>[2]TongHop!D3186</f>
        <v>0</v>
      </c>
      <c r="E3186">
        <f>[2]TongHop!E3186</f>
        <v>0</v>
      </c>
      <c r="F3186">
        <f>[2]TongHop!F3186</f>
        <v>0</v>
      </c>
      <c r="G3186">
        <f>[2]TongHop!G3186</f>
        <v>0</v>
      </c>
      <c r="H3186">
        <f>[2]TongHop!H3186</f>
        <v>0</v>
      </c>
      <c r="I3186">
        <f>[2]TongHop!I3186</f>
        <v>0</v>
      </c>
      <c r="J3186">
        <f>[2]TongHop!J3186</f>
        <v>0</v>
      </c>
      <c r="K3186">
        <f>[2]TongHop!K3186</f>
        <v>0</v>
      </c>
      <c r="L3186">
        <f>[2]TongHop!L3186</f>
        <v>0</v>
      </c>
      <c r="M3186">
        <f>[2]TongHop!M3186</f>
        <v>0</v>
      </c>
      <c r="N3186">
        <f>[2]TongHop!N3186</f>
        <v>0</v>
      </c>
    </row>
    <row r="3187" spans="1:14">
      <c r="A3187">
        <f>[2]TongHop!A3187</f>
        <v>0</v>
      </c>
      <c r="B3187">
        <f>[2]TongHop!B3187</f>
        <v>0</v>
      </c>
      <c r="C3187">
        <f>[2]TongHop!C3187</f>
        <v>0</v>
      </c>
      <c r="D3187">
        <f>[2]TongHop!D3187</f>
        <v>0</v>
      </c>
      <c r="E3187">
        <f>[2]TongHop!E3187</f>
        <v>0</v>
      </c>
      <c r="F3187">
        <f>[2]TongHop!F3187</f>
        <v>0</v>
      </c>
      <c r="G3187">
        <f>[2]TongHop!G3187</f>
        <v>0</v>
      </c>
      <c r="H3187">
        <f>[2]TongHop!H3187</f>
        <v>0</v>
      </c>
      <c r="I3187">
        <f>[2]TongHop!I3187</f>
        <v>0</v>
      </c>
      <c r="J3187">
        <f>[2]TongHop!J3187</f>
        <v>0</v>
      </c>
      <c r="K3187">
        <f>[2]TongHop!K3187</f>
        <v>0</v>
      </c>
      <c r="L3187">
        <f>[2]TongHop!L3187</f>
        <v>0</v>
      </c>
      <c r="M3187">
        <f>[2]TongHop!M3187</f>
        <v>0</v>
      </c>
      <c r="N3187">
        <f>[2]TongHop!N3187</f>
        <v>0</v>
      </c>
    </row>
    <row r="3188" spans="1:14">
      <c r="A3188">
        <f>[2]TongHop!A3188</f>
        <v>0</v>
      </c>
      <c r="B3188">
        <f>[2]TongHop!B3188</f>
        <v>0</v>
      </c>
      <c r="C3188">
        <f>[2]TongHop!C3188</f>
        <v>0</v>
      </c>
      <c r="D3188">
        <f>[2]TongHop!D3188</f>
        <v>0</v>
      </c>
      <c r="E3188">
        <f>[2]TongHop!E3188</f>
        <v>0</v>
      </c>
      <c r="F3188">
        <f>[2]TongHop!F3188</f>
        <v>0</v>
      </c>
      <c r="G3188">
        <f>[2]TongHop!G3188</f>
        <v>0</v>
      </c>
      <c r="H3188">
        <f>[2]TongHop!H3188</f>
        <v>0</v>
      </c>
      <c r="I3188">
        <f>[2]TongHop!I3188</f>
        <v>0</v>
      </c>
      <c r="J3188">
        <f>[2]TongHop!J3188</f>
        <v>0</v>
      </c>
      <c r="K3188">
        <f>[2]TongHop!K3188</f>
        <v>0</v>
      </c>
      <c r="L3188">
        <f>[2]TongHop!L3188</f>
        <v>0</v>
      </c>
      <c r="M3188">
        <f>[2]TongHop!M3188</f>
        <v>0</v>
      </c>
      <c r="N3188">
        <f>[2]TongHop!N3188</f>
        <v>0</v>
      </c>
    </row>
    <row r="3189" spans="1:14">
      <c r="A3189">
        <f>[2]TongHop!A3189</f>
        <v>0</v>
      </c>
      <c r="B3189">
        <f>[2]TongHop!B3189</f>
        <v>0</v>
      </c>
      <c r="C3189">
        <f>[2]TongHop!C3189</f>
        <v>0</v>
      </c>
      <c r="D3189">
        <f>[2]TongHop!D3189</f>
        <v>0</v>
      </c>
      <c r="E3189">
        <f>[2]TongHop!E3189</f>
        <v>0</v>
      </c>
      <c r="F3189">
        <f>[2]TongHop!F3189</f>
        <v>0</v>
      </c>
      <c r="G3189">
        <f>[2]TongHop!G3189</f>
        <v>0</v>
      </c>
      <c r="H3189">
        <f>[2]TongHop!H3189</f>
        <v>0</v>
      </c>
      <c r="I3189">
        <f>[2]TongHop!I3189</f>
        <v>0</v>
      </c>
      <c r="J3189">
        <f>[2]TongHop!J3189</f>
        <v>0</v>
      </c>
      <c r="K3189">
        <f>[2]TongHop!K3189</f>
        <v>0</v>
      </c>
      <c r="L3189">
        <f>[2]TongHop!L3189</f>
        <v>0</v>
      </c>
      <c r="M3189">
        <f>[2]TongHop!M3189</f>
        <v>0</v>
      </c>
      <c r="N3189">
        <f>[2]TongHop!N3189</f>
        <v>0</v>
      </c>
    </row>
    <row r="3190" spans="1:14">
      <c r="A3190">
        <f>[2]TongHop!A3190</f>
        <v>0</v>
      </c>
      <c r="B3190">
        <f>[2]TongHop!B3190</f>
        <v>0</v>
      </c>
      <c r="C3190">
        <f>[2]TongHop!C3190</f>
        <v>0</v>
      </c>
      <c r="D3190">
        <f>[2]TongHop!D3190</f>
        <v>0</v>
      </c>
      <c r="E3190">
        <f>[2]TongHop!E3190</f>
        <v>0</v>
      </c>
      <c r="F3190">
        <f>[2]TongHop!F3190</f>
        <v>0</v>
      </c>
      <c r="G3190">
        <f>[2]TongHop!G3190</f>
        <v>0</v>
      </c>
      <c r="H3190">
        <f>[2]TongHop!H3190</f>
        <v>0</v>
      </c>
      <c r="I3190">
        <f>[2]TongHop!I3190</f>
        <v>0</v>
      </c>
      <c r="J3190">
        <f>[2]TongHop!J3190</f>
        <v>0</v>
      </c>
      <c r="K3190">
        <f>[2]TongHop!K3190</f>
        <v>0</v>
      </c>
      <c r="L3190">
        <f>[2]TongHop!L3190</f>
        <v>0</v>
      </c>
      <c r="M3190">
        <f>[2]TongHop!M3190</f>
        <v>0</v>
      </c>
      <c r="N3190">
        <f>[2]TongHop!N3190</f>
        <v>0</v>
      </c>
    </row>
    <row r="3191" spans="1:14">
      <c r="A3191">
        <f>[2]TongHop!A3191</f>
        <v>0</v>
      </c>
      <c r="B3191">
        <f>[2]TongHop!B3191</f>
        <v>0</v>
      </c>
      <c r="C3191">
        <f>[2]TongHop!C3191</f>
        <v>0</v>
      </c>
      <c r="D3191">
        <f>[2]TongHop!D3191</f>
        <v>0</v>
      </c>
      <c r="E3191">
        <f>[2]TongHop!E3191</f>
        <v>0</v>
      </c>
      <c r="F3191">
        <f>[2]TongHop!F3191</f>
        <v>0</v>
      </c>
      <c r="G3191">
        <f>[2]TongHop!G3191</f>
        <v>0</v>
      </c>
      <c r="H3191">
        <f>[2]TongHop!H3191</f>
        <v>0</v>
      </c>
      <c r="I3191">
        <f>[2]TongHop!I3191</f>
        <v>0</v>
      </c>
      <c r="J3191">
        <f>[2]TongHop!J3191</f>
        <v>0</v>
      </c>
      <c r="K3191">
        <f>[2]TongHop!K3191</f>
        <v>0</v>
      </c>
      <c r="L3191">
        <f>[2]TongHop!L3191</f>
        <v>0</v>
      </c>
      <c r="M3191">
        <f>[2]TongHop!M3191</f>
        <v>0</v>
      </c>
      <c r="N3191">
        <f>[2]TongHop!N3191</f>
        <v>0</v>
      </c>
    </row>
    <row r="3192" spans="1:14">
      <c r="A3192">
        <f>[2]TongHop!A3192</f>
        <v>0</v>
      </c>
      <c r="B3192">
        <f>[2]TongHop!B3192</f>
        <v>0</v>
      </c>
      <c r="C3192">
        <f>[2]TongHop!C3192</f>
        <v>0</v>
      </c>
      <c r="D3192">
        <f>[2]TongHop!D3192</f>
        <v>0</v>
      </c>
      <c r="E3192">
        <f>[2]TongHop!E3192</f>
        <v>0</v>
      </c>
      <c r="F3192">
        <f>[2]TongHop!F3192</f>
        <v>0</v>
      </c>
      <c r="G3192">
        <f>[2]TongHop!G3192</f>
        <v>0</v>
      </c>
      <c r="H3192">
        <f>[2]TongHop!H3192</f>
        <v>0</v>
      </c>
      <c r="I3192">
        <f>[2]TongHop!I3192</f>
        <v>0</v>
      </c>
      <c r="J3192">
        <f>[2]TongHop!J3192</f>
        <v>0</v>
      </c>
      <c r="K3192">
        <f>[2]TongHop!K3192</f>
        <v>0</v>
      </c>
      <c r="L3192">
        <f>[2]TongHop!L3192</f>
        <v>0</v>
      </c>
      <c r="M3192">
        <f>[2]TongHop!M3192</f>
        <v>0</v>
      </c>
      <c r="N3192">
        <f>[2]TongHop!N3192</f>
        <v>0</v>
      </c>
    </row>
    <row r="3193" spans="1:14">
      <c r="A3193">
        <f>[2]TongHop!A3193</f>
        <v>0</v>
      </c>
      <c r="B3193">
        <f>[2]TongHop!B3193</f>
        <v>0</v>
      </c>
      <c r="C3193">
        <f>[2]TongHop!C3193</f>
        <v>0</v>
      </c>
      <c r="D3193">
        <f>[2]TongHop!D3193</f>
        <v>0</v>
      </c>
      <c r="E3193">
        <f>[2]TongHop!E3193</f>
        <v>0</v>
      </c>
      <c r="F3193">
        <f>[2]TongHop!F3193</f>
        <v>0</v>
      </c>
      <c r="G3193">
        <f>[2]TongHop!G3193</f>
        <v>0</v>
      </c>
      <c r="H3193">
        <f>[2]TongHop!H3193</f>
        <v>0</v>
      </c>
      <c r="I3193">
        <f>[2]TongHop!I3193</f>
        <v>0</v>
      </c>
      <c r="J3193">
        <f>[2]TongHop!J3193</f>
        <v>0</v>
      </c>
      <c r="K3193">
        <f>[2]TongHop!K3193</f>
        <v>0</v>
      </c>
      <c r="L3193">
        <f>[2]TongHop!L3193</f>
        <v>0</v>
      </c>
      <c r="M3193">
        <f>[2]TongHop!M3193</f>
        <v>0</v>
      </c>
      <c r="N3193">
        <f>[2]TongHop!N3193</f>
        <v>0</v>
      </c>
    </row>
    <row r="3194" spans="1:14">
      <c r="A3194">
        <f>[2]TongHop!A3194</f>
        <v>0</v>
      </c>
      <c r="B3194">
        <f>[2]TongHop!B3194</f>
        <v>0</v>
      </c>
      <c r="C3194">
        <f>[2]TongHop!C3194</f>
        <v>0</v>
      </c>
      <c r="D3194">
        <f>[2]TongHop!D3194</f>
        <v>0</v>
      </c>
      <c r="E3194">
        <f>[2]TongHop!E3194</f>
        <v>0</v>
      </c>
      <c r="F3194">
        <f>[2]TongHop!F3194</f>
        <v>0</v>
      </c>
      <c r="G3194">
        <f>[2]TongHop!G3194</f>
        <v>0</v>
      </c>
      <c r="H3194">
        <f>[2]TongHop!H3194</f>
        <v>0</v>
      </c>
      <c r="I3194">
        <f>[2]TongHop!I3194</f>
        <v>0</v>
      </c>
      <c r="J3194">
        <f>[2]TongHop!J3194</f>
        <v>0</v>
      </c>
      <c r="K3194">
        <f>[2]TongHop!K3194</f>
        <v>0</v>
      </c>
      <c r="L3194">
        <f>[2]TongHop!L3194</f>
        <v>0</v>
      </c>
      <c r="M3194">
        <f>[2]TongHop!M3194</f>
        <v>0</v>
      </c>
      <c r="N3194">
        <f>[2]TongHop!N3194</f>
        <v>0</v>
      </c>
    </row>
    <row r="3195" spans="1:14">
      <c r="A3195">
        <f>[2]TongHop!A3195</f>
        <v>0</v>
      </c>
      <c r="B3195">
        <f>[2]TongHop!B3195</f>
        <v>0</v>
      </c>
      <c r="C3195">
        <f>[2]TongHop!C3195</f>
        <v>0</v>
      </c>
      <c r="D3195">
        <f>[2]TongHop!D3195</f>
        <v>0</v>
      </c>
      <c r="E3195">
        <f>[2]TongHop!E3195</f>
        <v>0</v>
      </c>
      <c r="F3195">
        <f>[2]TongHop!F3195</f>
        <v>0</v>
      </c>
      <c r="G3195">
        <f>[2]TongHop!G3195</f>
        <v>0</v>
      </c>
      <c r="H3195">
        <f>[2]TongHop!H3195</f>
        <v>0</v>
      </c>
      <c r="I3195">
        <f>[2]TongHop!I3195</f>
        <v>0</v>
      </c>
      <c r="J3195">
        <f>[2]TongHop!J3195</f>
        <v>0</v>
      </c>
      <c r="K3195">
        <f>[2]TongHop!K3195</f>
        <v>0</v>
      </c>
      <c r="L3195">
        <f>[2]TongHop!L3195</f>
        <v>0</v>
      </c>
      <c r="M3195">
        <f>[2]TongHop!M3195</f>
        <v>0</v>
      </c>
      <c r="N3195">
        <f>[2]TongHop!N3195</f>
        <v>0</v>
      </c>
    </row>
    <row r="3196" spans="1:14">
      <c r="A3196">
        <f>[2]TongHop!A3196</f>
        <v>0</v>
      </c>
      <c r="B3196">
        <f>[2]TongHop!B3196</f>
        <v>0</v>
      </c>
      <c r="C3196">
        <f>[2]TongHop!C3196</f>
        <v>0</v>
      </c>
      <c r="D3196">
        <f>[2]TongHop!D3196</f>
        <v>0</v>
      </c>
      <c r="E3196">
        <f>[2]TongHop!E3196</f>
        <v>0</v>
      </c>
      <c r="F3196">
        <f>[2]TongHop!F3196</f>
        <v>0</v>
      </c>
      <c r="G3196">
        <f>[2]TongHop!G3196</f>
        <v>0</v>
      </c>
      <c r="H3196">
        <f>[2]TongHop!H3196</f>
        <v>0</v>
      </c>
      <c r="I3196">
        <f>[2]TongHop!I3196</f>
        <v>0</v>
      </c>
      <c r="J3196">
        <f>[2]TongHop!J3196</f>
        <v>0</v>
      </c>
      <c r="K3196">
        <f>[2]TongHop!K3196</f>
        <v>0</v>
      </c>
      <c r="L3196">
        <f>[2]TongHop!L3196</f>
        <v>0</v>
      </c>
      <c r="M3196">
        <f>[2]TongHop!M3196</f>
        <v>0</v>
      </c>
      <c r="N3196">
        <f>[2]TongHop!N3196</f>
        <v>0</v>
      </c>
    </row>
    <row r="3197" spans="1:14">
      <c r="A3197">
        <f>[2]TongHop!A3197</f>
        <v>0</v>
      </c>
      <c r="B3197">
        <f>[2]TongHop!B3197</f>
        <v>0</v>
      </c>
      <c r="C3197">
        <f>[2]TongHop!C3197</f>
        <v>0</v>
      </c>
      <c r="D3197">
        <f>[2]TongHop!D3197</f>
        <v>0</v>
      </c>
      <c r="E3197">
        <f>[2]TongHop!E3197</f>
        <v>0</v>
      </c>
      <c r="F3197">
        <f>[2]TongHop!F3197</f>
        <v>0</v>
      </c>
      <c r="G3197">
        <f>[2]TongHop!G3197</f>
        <v>0</v>
      </c>
      <c r="H3197">
        <f>[2]TongHop!H3197</f>
        <v>0</v>
      </c>
      <c r="I3197">
        <f>[2]TongHop!I3197</f>
        <v>0</v>
      </c>
      <c r="J3197">
        <f>[2]TongHop!J3197</f>
        <v>0</v>
      </c>
      <c r="K3197">
        <f>[2]TongHop!K3197</f>
        <v>0</v>
      </c>
      <c r="L3197">
        <f>[2]TongHop!L3197</f>
        <v>0</v>
      </c>
      <c r="M3197">
        <f>[2]TongHop!M3197</f>
        <v>0</v>
      </c>
      <c r="N3197">
        <f>[2]TongHop!N3197</f>
        <v>0</v>
      </c>
    </row>
    <row r="3198" spans="1:14">
      <c r="A3198">
        <f>[2]TongHop!A3198</f>
        <v>0</v>
      </c>
      <c r="B3198">
        <f>[2]TongHop!B3198</f>
        <v>0</v>
      </c>
      <c r="C3198">
        <f>[2]TongHop!C3198</f>
        <v>0</v>
      </c>
      <c r="D3198">
        <f>[2]TongHop!D3198</f>
        <v>0</v>
      </c>
      <c r="E3198">
        <f>[2]TongHop!E3198</f>
        <v>0</v>
      </c>
      <c r="F3198">
        <f>[2]TongHop!F3198</f>
        <v>0</v>
      </c>
      <c r="G3198">
        <f>[2]TongHop!G3198</f>
        <v>0</v>
      </c>
      <c r="H3198">
        <f>[2]TongHop!H3198</f>
        <v>0</v>
      </c>
      <c r="I3198">
        <f>[2]TongHop!I3198</f>
        <v>0</v>
      </c>
      <c r="J3198">
        <f>[2]TongHop!J3198</f>
        <v>0</v>
      </c>
      <c r="K3198">
        <f>[2]TongHop!K3198</f>
        <v>0</v>
      </c>
      <c r="L3198">
        <f>[2]TongHop!L3198</f>
        <v>0</v>
      </c>
      <c r="M3198">
        <f>[2]TongHop!M3198</f>
        <v>0</v>
      </c>
      <c r="N3198">
        <f>[2]TongHop!N3198</f>
        <v>0</v>
      </c>
    </row>
    <row r="3199" spans="1:14">
      <c r="A3199">
        <f>[2]TongHop!A3199</f>
        <v>0</v>
      </c>
      <c r="B3199">
        <f>[2]TongHop!B3199</f>
        <v>0</v>
      </c>
      <c r="C3199">
        <f>[2]TongHop!C3199</f>
        <v>0</v>
      </c>
      <c r="D3199">
        <f>[2]TongHop!D3199</f>
        <v>0</v>
      </c>
      <c r="E3199">
        <f>[2]TongHop!E3199</f>
        <v>0</v>
      </c>
      <c r="F3199">
        <f>[2]TongHop!F3199</f>
        <v>0</v>
      </c>
      <c r="G3199">
        <f>[2]TongHop!G3199</f>
        <v>0</v>
      </c>
      <c r="H3199">
        <f>[2]TongHop!H3199</f>
        <v>0</v>
      </c>
      <c r="I3199">
        <f>[2]TongHop!I3199</f>
        <v>0</v>
      </c>
      <c r="J3199">
        <f>[2]TongHop!J3199</f>
        <v>0</v>
      </c>
      <c r="K3199">
        <f>[2]TongHop!K3199</f>
        <v>0</v>
      </c>
      <c r="L3199">
        <f>[2]TongHop!L3199</f>
        <v>0</v>
      </c>
      <c r="M3199">
        <f>[2]TongHop!M3199</f>
        <v>0</v>
      </c>
      <c r="N3199">
        <f>[2]TongHop!N3199</f>
        <v>0</v>
      </c>
    </row>
    <row r="3200" spans="1:14">
      <c r="A3200">
        <f>[2]TongHop!A3200</f>
        <v>0</v>
      </c>
      <c r="B3200">
        <f>[2]TongHop!B3200</f>
        <v>0</v>
      </c>
      <c r="C3200">
        <f>[2]TongHop!C3200</f>
        <v>0</v>
      </c>
      <c r="D3200">
        <f>[2]TongHop!D3200</f>
        <v>0</v>
      </c>
      <c r="E3200">
        <f>[2]TongHop!E3200</f>
        <v>0</v>
      </c>
      <c r="F3200">
        <f>[2]TongHop!F3200</f>
        <v>0</v>
      </c>
      <c r="G3200">
        <f>[2]TongHop!G3200</f>
        <v>0</v>
      </c>
      <c r="H3200">
        <f>[2]TongHop!H3200</f>
        <v>0</v>
      </c>
      <c r="I3200">
        <f>[2]TongHop!I3200</f>
        <v>0</v>
      </c>
      <c r="J3200">
        <f>[2]TongHop!J3200</f>
        <v>0</v>
      </c>
      <c r="K3200">
        <f>[2]TongHop!K3200</f>
        <v>0</v>
      </c>
      <c r="L3200">
        <f>[2]TongHop!L3200</f>
        <v>0</v>
      </c>
      <c r="M3200">
        <f>[2]TongHop!M3200</f>
        <v>0</v>
      </c>
      <c r="N3200">
        <f>[2]TongHop!N3200</f>
        <v>0</v>
      </c>
    </row>
    <row r="3201" spans="1:14">
      <c r="A3201">
        <f>[2]TongHop!A3201</f>
        <v>0</v>
      </c>
      <c r="B3201">
        <f>[2]TongHop!B3201</f>
        <v>0</v>
      </c>
      <c r="C3201">
        <f>[2]TongHop!C3201</f>
        <v>0</v>
      </c>
      <c r="D3201">
        <f>[2]TongHop!D3201</f>
        <v>0</v>
      </c>
      <c r="E3201">
        <f>[2]TongHop!E3201</f>
        <v>0</v>
      </c>
      <c r="F3201">
        <f>[2]TongHop!F3201</f>
        <v>0</v>
      </c>
      <c r="G3201">
        <f>[2]TongHop!G3201</f>
        <v>0</v>
      </c>
      <c r="H3201">
        <f>[2]TongHop!H3201</f>
        <v>0</v>
      </c>
      <c r="I3201">
        <f>[2]TongHop!I3201</f>
        <v>0</v>
      </c>
      <c r="J3201">
        <f>[2]TongHop!J3201</f>
        <v>0</v>
      </c>
      <c r="K3201">
        <f>[2]TongHop!K3201</f>
        <v>0</v>
      </c>
      <c r="L3201">
        <f>[2]TongHop!L3201</f>
        <v>0</v>
      </c>
      <c r="M3201">
        <f>[2]TongHop!M3201</f>
        <v>0</v>
      </c>
      <c r="N3201">
        <f>[2]TongHop!N3201</f>
        <v>0</v>
      </c>
    </row>
    <row r="3202" spans="1:14">
      <c r="A3202">
        <f>[2]TongHop!A3202</f>
        <v>0</v>
      </c>
      <c r="B3202">
        <f>[2]TongHop!B3202</f>
        <v>0</v>
      </c>
      <c r="C3202">
        <f>[2]TongHop!C3202</f>
        <v>0</v>
      </c>
      <c r="D3202">
        <f>[2]TongHop!D3202</f>
        <v>0</v>
      </c>
      <c r="E3202">
        <f>[2]TongHop!E3202</f>
        <v>0</v>
      </c>
      <c r="F3202">
        <f>[2]TongHop!F3202</f>
        <v>0</v>
      </c>
      <c r="G3202">
        <f>[2]TongHop!G3202</f>
        <v>0</v>
      </c>
      <c r="H3202">
        <f>[2]TongHop!H3202</f>
        <v>0</v>
      </c>
      <c r="I3202">
        <f>[2]TongHop!I3202</f>
        <v>0</v>
      </c>
      <c r="J3202">
        <f>[2]TongHop!J3202</f>
        <v>0</v>
      </c>
      <c r="K3202">
        <f>[2]TongHop!K3202</f>
        <v>0</v>
      </c>
      <c r="L3202">
        <f>[2]TongHop!L3202</f>
        <v>0</v>
      </c>
      <c r="M3202">
        <f>[2]TongHop!M3202</f>
        <v>0</v>
      </c>
      <c r="N3202">
        <f>[2]TongHop!N3202</f>
        <v>0</v>
      </c>
    </row>
    <row r="3203" spans="1:14">
      <c r="A3203">
        <f>[2]TongHop!A3203</f>
        <v>0</v>
      </c>
      <c r="B3203">
        <f>[2]TongHop!B3203</f>
        <v>0</v>
      </c>
      <c r="C3203">
        <f>[2]TongHop!C3203</f>
        <v>0</v>
      </c>
      <c r="D3203">
        <f>[2]TongHop!D3203</f>
        <v>0</v>
      </c>
      <c r="E3203">
        <f>[2]TongHop!E3203</f>
        <v>0</v>
      </c>
      <c r="F3203">
        <f>[2]TongHop!F3203</f>
        <v>0</v>
      </c>
      <c r="G3203">
        <f>[2]TongHop!G3203</f>
        <v>0</v>
      </c>
      <c r="H3203">
        <f>[2]TongHop!H3203</f>
        <v>0</v>
      </c>
      <c r="I3203">
        <f>[2]TongHop!I3203</f>
        <v>0</v>
      </c>
      <c r="J3203">
        <f>[2]TongHop!J3203</f>
        <v>0</v>
      </c>
      <c r="K3203">
        <f>[2]TongHop!K3203</f>
        <v>0</v>
      </c>
      <c r="L3203">
        <f>[2]TongHop!L3203</f>
        <v>0</v>
      </c>
      <c r="M3203">
        <f>[2]TongHop!M3203</f>
        <v>0</v>
      </c>
      <c r="N3203">
        <f>[2]TongHop!N3203</f>
        <v>0</v>
      </c>
    </row>
    <row r="3204" spans="1:14">
      <c r="A3204">
        <f>[2]TongHop!A3204</f>
        <v>0</v>
      </c>
      <c r="B3204">
        <f>[2]TongHop!B3204</f>
        <v>0</v>
      </c>
      <c r="C3204">
        <f>[2]TongHop!C3204</f>
        <v>0</v>
      </c>
      <c r="D3204">
        <f>[2]TongHop!D3204</f>
        <v>0</v>
      </c>
      <c r="E3204">
        <f>[2]TongHop!E3204</f>
        <v>0</v>
      </c>
      <c r="F3204">
        <f>[2]TongHop!F3204</f>
        <v>0</v>
      </c>
      <c r="G3204">
        <f>[2]TongHop!G3204</f>
        <v>0</v>
      </c>
      <c r="H3204">
        <f>[2]TongHop!H3204</f>
        <v>0</v>
      </c>
      <c r="I3204">
        <f>[2]TongHop!I3204</f>
        <v>0</v>
      </c>
      <c r="J3204">
        <f>[2]TongHop!J3204</f>
        <v>0</v>
      </c>
      <c r="K3204">
        <f>[2]TongHop!K3204</f>
        <v>0</v>
      </c>
      <c r="L3204">
        <f>[2]TongHop!L3204</f>
        <v>0</v>
      </c>
      <c r="M3204">
        <f>[2]TongHop!M3204</f>
        <v>0</v>
      </c>
      <c r="N3204">
        <f>[2]TongHop!N3204</f>
        <v>0</v>
      </c>
    </row>
    <row r="3205" spans="1:14">
      <c r="A3205">
        <f>[2]TongHop!A3205</f>
        <v>0</v>
      </c>
      <c r="B3205">
        <f>[2]TongHop!B3205</f>
        <v>0</v>
      </c>
      <c r="C3205">
        <f>[2]TongHop!C3205</f>
        <v>0</v>
      </c>
      <c r="D3205">
        <f>[2]TongHop!D3205</f>
        <v>0</v>
      </c>
      <c r="E3205">
        <f>[2]TongHop!E3205</f>
        <v>0</v>
      </c>
      <c r="F3205">
        <f>[2]TongHop!F3205</f>
        <v>0</v>
      </c>
      <c r="G3205">
        <f>[2]TongHop!G3205</f>
        <v>0</v>
      </c>
      <c r="H3205">
        <f>[2]TongHop!H3205</f>
        <v>0</v>
      </c>
      <c r="I3205">
        <f>[2]TongHop!I3205</f>
        <v>0</v>
      </c>
      <c r="J3205">
        <f>[2]TongHop!J3205</f>
        <v>0</v>
      </c>
      <c r="K3205">
        <f>[2]TongHop!K3205</f>
        <v>0</v>
      </c>
      <c r="L3205">
        <f>[2]TongHop!L3205</f>
        <v>0</v>
      </c>
      <c r="M3205">
        <f>[2]TongHop!M3205</f>
        <v>0</v>
      </c>
      <c r="N3205">
        <f>[2]TongHop!N3205</f>
        <v>0</v>
      </c>
    </row>
    <row r="3206" spans="1:14">
      <c r="A3206">
        <f>[2]TongHop!A3206</f>
        <v>0</v>
      </c>
      <c r="B3206">
        <f>[2]TongHop!B3206</f>
        <v>0</v>
      </c>
      <c r="C3206">
        <f>[2]TongHop!C3206</f>
        <v>0</v>
      </c>
      <c r="D3206">
        <f>[2]TongHop!D3206</f>
        <v>0</v>
      </c>
      <c r="E3206">
        <f>[2]TongHop!E3206</f>
        <v>0</v>
      </c>
      <c r="F3206">
        <f>[2]TongHop!F3206</f>
        <v>0</v>
      </c>
      <c r="G3206">
        <f>[2]TongHop!G3206</f>
        <v>0</v>
      </c>
      <c r="H3206">
        <f>[2]TongHop!H3206</f>
        <v>0</v>
      </c>
      <c r="I3206">
        <f>[2]TongHop!I3206</f>
        <v>0</v>
      </c>
      <c r="J3206">
        <f>[2]TongHop!J3206</f>
        <v>0</v>
      </c>
      <c r="K3206">
        <f>[2]TongHop!K3206</f>
        <v>0</v>
      </c>
      <c r="L3206">
        <f>[2]TongHop!L3206</f>
        <v>0</v>
      </c>
      <c r="M3206">
        <f>[2]TongHop!M3206</f>
        <v>0</v>
      </c>
      <c r="N3206">
        <f>[2]TongHop!N3206</f>
        <v>0</v>
      </c>
    </row>
    <row r="3207" spans="1:14">
      <c r="A3207">
        <f>[2]TongHop!A3207</f>
        <v>0</v>
      </c>
      <c r="B3207">
        <f>[2]TongHop!B3207</f>
        <v>0</v>
      </c>
      <c r="C3207">
        <f>[2]TongHop!C3207</f>
        <v>0</v>
      </c>
      <c r="D3207">
        <f>[2]TongHop!D3207</f>
        <v>0</v>
      </c>
      <c r="E3207">
        <f>[2]TongHop!E3207</f>
        <v>0</v>
      </c>
      <c r="F3207">
        <f>[2]TongHop!F3207</f>
        <v>0</v>
      </c>
      <c r="G3207">
        <f>[2]TongHop!G3207</f>
        <v>0</v>
      </c>
      <c r="H3207">
        <f>[2]TongHop!H3207</f>
        <v>0</v>
      </c>
      <c r="I3207">
        <f>[2]TongHop!I3207</f>
        <v>0</v>
      </c>
      <c r="J3207">
        <f>[2]TongHop!J3207</f>
        <v>0</v>
      </c>
      <c r="K3207">
        <f>[2]TongHop!K3207</f>
        <v>0</v>
      </c>
      <c r="L3207">
        <f>[2]TongHop!L3207</f>
        <v>0</v>
      </c>
      <c r="M3207">
        <f>[2]TongHop!M3207</f>
        <v>0</v>
      </c>
      <c r="N3207">
        <f>[2]TongHop!N3207</f>
        <v>0</v>
      </c>
    </row>
    <row r="3208" spans="1:14">
      <c r="A3208">
        <f>[2]TongHop!A3208</f>
        <v>0</v>
      </c>
      <c r="B3208">
        <f>[2]TongHop!B3208</f>
        <v>0</v>
      </c>
      <c r="C3208">
        <f>[2]TongHop!C3208</f>
        <v>0</v>
      </c>
      <c r="D3208">
        <f>[2]TongHop!D3208</f>
        <v>0</v>
      </c>
      <c r="E3208">
        <f>[2]TongHop!E3208</f>
        <v>0</v>
      </c>
      <c r="F3208">
        <f>[2]TongHop!F3208</f>
        <v>0</v>
      </c>
      <c r="G3208">
        <f>[2]TongHop!G3208</f>
        <v>0</v>
      </c>
      <c r="H3208">
        <f>[2]TongHop!H3208</f>
        <v>0</v>
      </c>
      <c r="I3208">
        <f>[2]TongHop!I3208</f>
        <v>0</v>
      </c>
      <c r="J3208">
        <f>[2]TongHop!J3208</f>
        <v>0</v>
      </c>
      <c r="K3208">
        <f>[2]TongHop!K3208</f>
        <v>0</v>
      </c>
      <c r="L3208">
        <f>[2]TongHop!L3208</f>
        <v>0</v>
      </c>
      <c r="M3208">
        <f>[2]TongHop!M3208</f>
        <v>0</v>
      </c>
      <c r="N3208">
        <f>[2]TongHop!N3208</f>
        <v>0</v>
      </c>
    </row>
    <row r="3209" spans="1:14">
      <c r="A3209">
        <f>[2]TongHop!A3209</f>
        <v>0</v>
      </c>
      <c r="B3209">
        <f>[2]TongHop!B3209</f>
        <v>0</v>
      </c>
      <c r="C3209">
        <f>[2]TongHop!C3209</f>
        <v>0</v>
      </c>
      <c r="D3209">
        <f>[2]TongHop!D3209</f>
        <v>0</v>
      </c>
      <c r="E3209">
        <f>[2]TongHop!E3209</f>
        <v>0</v>
      </c>
      <c r="F3209">
        <f>[2]TongHop!F3209</f>
        <v>0</v>
      </c>
      <c r="G3209">
        <f>[2]TongHop!G3209</f>
        <v>0</v>
      </c>
      <c r="H3209">
        <f>[2]TongHop!H3209</f>
        <v>0</v>
      </c>
      <c r="I3209">
        <f>[2]TongHop!I3209</f>
        <v>0</v>
      </c>
      <c r="J3209">
        <f>[2]TongHop!J3209</f>
        <v>0</v>
      </c>
      <c r="K3209">
        <f>[2]TongHop!K3209</f>
        <v>0</v>
      </c>
      <c r="L3209">
        <f>[2]TongHop!L3209</f>
        <v>0</v>
      </c>
      <c r="M3209">
        <f>[2]TongHop!M3209</f>
        <v>0</v>
      </c>
      <c r="N3209">
        <f>[2]TongHop!N3209</f>
        <v>0</v>
      </c>
    </row>
    <row r="3210" spans="1:14">
      <c r="A3210">
        <f>[2]TongHop!A3210</f>
        <v>0</v>
      </c>
      <c r="B3210">
        <f>[2]TongHop!B3210</f>
        <v>0</v>
      </c>
      <c r="C3210">
        <f>[2]TongHop!C3210</f>
        <v>0</v>
      </c>
      <c r="D3210">
        <f>[2]TongHop!D3210</f>
        <v>0</v>
      </c>
      <c r="E3210">
        <f>[2]TongHop!E3210</f>
        <v>0</v>
      </c>
      <c r="F3210">
        <f>[2]TongHop!F3210</f>
        <v>0</v>
      </c>
      <c r="G3210">
        <f>[2]TongHop!G3210</f>
        <v>0</v>
      </c>
      <c r="H3210">
        <f>[2]TongHop!H3210</f>
        <v>0</v>
      </c>
      <c r="I3210">
        <f>[2]TongHop!I3210</f>
        <v>0</v>
      </c>
      <c r="J3210">
        <f>[2]TongHop!J3210</f>
        <v>0</v>
      </c>
      <c r="K3210">
        <f>[2]TongHop!K3210</f>
        <v>0</v>
      </c>
      <c r="L3210">
        <f>[2]TongHop!L3210</f>
        <v>0</v>
      </c>
      <c r="M3210">
        <f>[2]TongHop!M3210</f>
        <v>0</v>
      </c>
      <c r="N3210">
        <f>[2]TongHop!N3210</f>
        <v>0</v>
      </c>
    </row>
    <row r="3211" spans="1:14">
      <c r="A3211">
        <f>[2]TongHop!A3211</f>
        <v>0</v>
      </c>
      <c r="B3211">
        <f>[2]TongHop!B3211</f>
        <v>0</v>
      </c>
      <c r="C3211">
        <f>[2]TongHop!C3211</f>
        <v>0</v>
      </c>
      <c r="D3211">
        <f>[2]TongHop!D3211</f>
        <v>0</v>
      </c>
      <c r="E3211">
        <f>[2]TongHop!E3211</f>
        <v>0</v>
      </c>
      <c r="F3211">
        <f>[2]TongHop!F3211</f>
        <v>0</v>
      </c>
      <c r="G3211">
        <f>[2]TongHop!G3211</f>
        <v>0</v>
      </c>
      <c r="H3211">
        <f>[2]TongHop!H3211</f>
        <v>0</v>
      </c>
      <c r="I3211">
        <f>[2]TongHop!I3211</f>
        <v>0</v>
      </c>
      <c r="J3211">
        <f>[2]TongHop!J3211</f>
        <v>0</v>
      </c>
      <c r="K3211">
        <f>[2]TongHop!K3211</f>
        <v>0</v>
      </c>
      <c r="L3211">
        <f>[2]TongHop!L3211</f>
        <v>0</v>
      </c>
      <c r="M3211">
        <f>[2]TongHop!M3211</f>
        <v>0</v>
      </c>
      <c r="N3211">
        <f>[2]TongHop!N3211</f>
        <v>0</v>
      </c>
    </row>
    <row r="3212" spans="1:14">
      <c r="A3212">
        <f>[2]TongHop!A3212</f>
        <v>0</v>
      </c>
      <c r="B3212">
        <f>[2]TongHop!B3212</f>
        <v>0</v>
      </c>
      <c r="C3212">
        <f>[2]TongHop!C3212</f>
        <v>0</v>
      </c>
      <c r="D3212">
        <f>[2]TongHop!D3212</f>
        <v>0</v>
      </c>
      <c r="E3212">
        <f>[2]TongHop!E3212</f>
        <v>0</v>
      </c>
      <c r="F3212">
        <f>[2]TongHop!F3212</f>
        <v>0</v>
      </c>
      <c r="G3212">
        <f>[2]TongHop!G3212</f>
        <v>0</v>
      </c>
      <c r="H3212">
        <f>[2]TongHop!H3212</f>
        <v>0</v>
      </c>
      <c r="I3212">
        <f>[2]TongHop!I3212</f>
        <v>0</v>
      </c>
      <c r="J3212">
        <f>[2]TongHop!J3212</f>
        <v>0</v>
      </c>
      <c r="K3212">
        <f>[2]TongHop!K3212</f>
        <v>0</v>
      </c>
      <c r="L3212">
        <f>[2]TongHop!L3212</f>
        <v>0</v>
      </c>
      <c r="M3212">
        <f>[2]TongHop!M3212</f>
        <v>0</v>
      </c>
      <c r="N3212">
        <f>[2]TongHop!N3212</f>
        <v>0</v>
      </c>
    </row>
    <row r="3213" spans="1:14">
      <c r="A3213">
        <f>[2]TongHop!A3213</f>
        <v>0</v>
      </c>
      <c r="B3213">
        <f>[2]TongHop!B3213</f>
        <v>0</v>
      </c>
      <c r="C3213">
        <f>[2]TongHop!C3213</f>
        <v>0</v>
      </c>
      <c r="D3213">
        <f>[2]TongHop!D3213</f>
        <v>0</v>
      </c>
      <c r="E3213">
        <f>[2]TongHop!E3213</f>
        <v>0</v>
      </c>
      <c r="F3213">
        <f>[2]TongHop!F3213</f>
        <v>0</v>
      </c>
      <c r="G3213">
        <f>[2]TongHop!G3213</f>
        <v>0</v>
      </c>
      <c r="H3213">
        <f>[2]TongHop!H3213</f>
        <v>0</v>
      </c>
      <c r="I3213">
        <f>[2]TongHop!I3213</f>
        <v>0</v>
      </c>
      <c r="J3213">
        <f>[2]TongHop!J3213</f>
        <v>0</v>
      </c>
      <c r="K3213">
        <f>[2]TongHop!K3213</f>
        <v>0</v>
      </c>
      <c r="L3213">
        <f>[2]TongHop!L3213</f>
        <v>0</v>
      </c>
      <c r="M3213">
        <f>[2]TongHop!M3213</f>
        <v>0</v>
      </c>
      <c r="N3213">
        <f>[2]TongHop!N3213</f>
        <v>0</v>
      </c>
    </row>
    <row r="3214" spans="1:14">
      <c r="A3214">
        <f>[2]TongHop!A3214</f>
        <v>0</v>
      </c>
      <c r="B3214">
        <f>[2]TongHop!B3214</f>
        <v>0</v>
      </c>
      <c r="C3214">
        <f>[2]TongHop!C3214</f>
        <v>0</v>
      </c>
      <c r="D3214">
        <f>[2]TongHop!D3214</f>
        <v>0</v>
      </c>
      <c r="E3214">
        <f>[2]TongHop!E3214</f>
        <v>0</v>
      </c>
      <c r="F3214">
        <f>[2]TongHop!F3214</f>
        <v>0</v>
      </c>
      <c r="G3214">
        <f>[2]TongHop!G3214</f>
        <v>0</v>
      </c>
      <c r="H3214">
        <f>[2]TongHop!H3214</f>
        <v>0</v>
      </c>
      <c r="I3214">
        <f>[2]TongHop!I3214</f>
        <v>0</v>
      </c>
      <c r="J3214">
        <f>[2]TongHop!J3214</f>
        <v>0</v>
      </c>
      <c r="K3214">
        <f>[2]TongHop!K3214</f>
        <v>0</v>
      </c>
      <c r="L3214">
        <f>[2]TongHop!L3214</f>
        <v>0</v>
      </c>
      <c r="M3214">
        <f>[2]TongHop!M3214</f>
        <v>0</v>
      </c>
      <c r="N3214">
        <f>[2]TongHop!N3214</f>
        <v>0</v>
      </c>
    </row>
    <row r="3215" spans="1:14">
      <c r="A3215">
        <f>[2]TongHop!A3215</f>
        <v>0</v>
      </c>
      <c r="B3215">
        <f>[2]TongHop!B3215</f>
        <v>0</v>
      </c>
      <c r="C3215">
        <f>[2]TongHop!C3215</f>
        <v>0</v>
      </c>
      <c r="D3215">
        <f>[2]TongHop!D3215</f>
        <v>0</v>
      </c>
      <c r="E3215">
        <f>[2]TongHop!E3215</f>
        <v>0</v>
      </c>
      <c r="F3215">
        <f>[2]TongHop!F3215</f>
        <v>0</v>
      </c>
      <c r="G3215">
        <f>[2]TongHop!G3215</f>
        <v>0</v>
      </c>
      <c r="H3215">
        <f>[2]TongHop!H3215</f>
        <v>0</v>
      </c>
      <c r="I3215">
        <f>[2]TongHop!I3215</f>
        <v>0</v>
      </c>
      <c r="J3215">
        <f>[2]TongHop!J3215</f>
        <v>0</v>
      </c>
      <c r="K3215">
        <f>[2]TongHop!K3215</f>
        <v>0</v>
      </c>
      <c r="L3215">
        <f>[2]TongHop!L3215</f>
        <v>0</v>
      </c>
      <c r="M3215">
        <f>[2]TongHop!M3215</f>
        <v>0</v>
      </c>
      <c r="N3215">
        <f>[2]TongHop!N3215</f>
        <v>0</v>
      </c>
    </row>
    <row r="3216" spans="1:14">
      <c r="A3216">
        <f>[2]TongHop!A3216</f>
        <v>0</v>
      </c>
      <c r="B3216">
        <f>[2]TongHop!B3216</f>
        <v>0</v>
      </c>
      <c r="C3216">
        <f>[2]TongHop!C3216</f>
        <v>0</v>
      </c>
      <c r="D3216">
        <f>[2]TongHop!D3216</f>
        <v>0</v>
      </c>
      <c r="E3216">
        <f>[2]TongHop!E3216</f>
        <v>0</v>
      </c>
      <c r="F3216">
        <f>[2]TongHop!F3216</f>
        <v>0</v>
      </c>
      <c r="G3216">
        <f>[2]TongHop!G3216</f>
        <v>0</v>
      </c>
      <c r="H3216">
        <f>[2]TongHop!H3216</f>
        <v>0</v>
      </c>
      <c r="I3216">
        <f>[2]TongHop!I3216</f>
        <v>0</v>
      </c>
      <c r="J3216">
        <f>[2]TongHop!J3216</f>
        <v>0</v>
      </c>
      <c r="K3216">
        <f>[2]TongHop!K3216</f>
        <v>0</v>
      </c>
      <c r="L3216">
        <f>[2]TongHop!L3216</f>
        <v>0</v>
      </c>
      <c r="M3216">
        <f>[2]TongHop!M3216</f>
        <v>0</v>
      </c>
      <c r="N3216">
        <f>[2]TongHop!N3216</f>
        <v>0</v>
      </c>
    </row>
    <row r="3217" spans="1:14">
      <c r="A3217">
        <f>[2]TongHop!A3217</f>
        <v>0</v>
      </c>
      <c r="B3217">
        <f>[2]TongHop!B3217</f>
        <v>0</v>
      </c>
      <c r="C3217">
        <f>[2]TongHop!C3217</f>
        <v>0</v>
      </c>
      <c r="D3217">
        <f>[2]TongHop!D3217</f>
        <v>0</v>
      </c>
      <c r="E3217">
        <f>[2]TongHop!E3217</f>
        <v>0</v>
      </c>
      <c r="F3217">
        <f>[2]TongHop!F3217</f>
        <v>0</v>
      </c>
      <c r="G3217">
        <f>[2]TongHop!G3217</f>
        <v>0</v>
      </c>
      <c r="H3217">
        <f>[2]TongHop!H3217</f>
        <v>0</v>
      </c>
      <c r="I3217">
        <f>[2]TongHop!I3217</f>
        <v>0</v>
      </c>
      <c r="J3217">
        <f>[2]TongHop!J3217</f>
        <v>0</v>
      </c>
      <c r="K3217">
        <f>[2]TongHop!K3217</f>
        <v>0</v>
      </c>
      <c r="L3217">
        <f>[2]TongHop!L3217</f>
        <v>0</v>
      </c>
      <c r="M3217">
        <f>[2]TongHop!M3217</f>
        <v>0</v>
      </c>
      <c r="N3217">
        <f>[2]TongHop!N3217</f>
        <v>0</v>
      </c>
    </row>
    <row r="3218" spans="1:14">
      <c r="A3218">
        <f>[2]TongHop!A3218</f>
        <v>0</v>
      </c>
      <c r="B3218">
        <f>[2]TongHop!B3218</f>
        <v>0</v>
      </c>
      <c r="C3218">
        <f>[2]TongHop!C3218</f>
        <v>0</v>
      </c>
      <c r="D3218">
        <f>[2]TongHop!D3218</f>
        <v>0</v>
      </c>
      <c r="E3218">
        <f>[2]TongHop!E3218</f>
        <v>0</v>
      </c>
      <c r="F3218">
        <f>[2]TongHop!F3218</f>
        <v>0</v>
      </c>
      <c r="G3218">
        <f>[2]TongHop!G3218</f>
        <v>0</v>
      </c>
      <c r="H3218">
        <f>[2]TongHop!H3218</f>
        <v>0</v>
      </c>
      <c r="I3218">
        <f>[2]TongHop!I3218</f>
        <v>0</v>
      </c>
      <c r="J3218">
        <f>[2]TongHop!J3218</f>
        <v>0</v>
      </c>
      <c r="K3218">
        <f>[2]TongHop!K3218</f>
        <v>0</v>
      </c>
      <c r="L3218">
        <f>[2]TongHop!L3218</f>
        <v>0</v>
      </c>
      <c r="M3218">
        <f>[2]TongHop!M3218</f>
        <v>0</v>
      </c>
      <c r="N3218">
        <f>[2]TongHop!N3218</f>
        <v>0</v>
      </c>
    </row>
    <row r="3219" spans="1:14">
      <c r="A3219">
        <f>[2]TongHop!A3219</f>
        <v>0</v>
      </c>
      <c r="B3219">
        <f>[2]TongHop!B3219</f>
        <v>0</v>
      </c>
      <c r="C3219">
        <f>[2]TongHop!C3219</f>
        <v>0</v>
      </c>
      <c r="D3219">
        <f>[2]TongHop!D3219</f>
        <v>0</v>
      </c>
      <c r="E3219">
        <f>[2]TongHop!E3219</f>
        <v>0</v>
      </c>
      <c r="F3219">
        <f>[2]TongHop!F3219</f>
        <v>0</v>
      </c>
      <c r="G3219">
        <f>[2]TongHop!G3219</f>
        <v>0</v>
      </c>
      <c r="H3219">
        <f>[2]TongHop!H3219</f>
        <v>0</v>
      </c>
      <c r="I3219">
        <f>[2]TongHop!I3219</f>
        <v>0</v>
      </c>
      <c r="J3219">
        <f>[2]TongHop!J3219</f>
        <v>0</v>
      </c>
      <c r="K3219">
        <f>[2]TongHop!K3219</f>
        <v>0</v>
      </c>
      <c r="L3219">
        <f>[2]TongHop!L3219</f>
        <v>0</v>
      </c>
      <c r="M3219">
        <f>[2]TongHop!M3219</f>
        <v>0</v>
      </c>
      <c r="N3219">
        <f>[2]TongHop!N3219</f>
        <v>0</v>
      </c>
    </row>
    <row r="3220" spans="1:14">
      <c r="A3220">
        <f>[2]TongHop!A3220</f>
        <v>0</v>
      </c>
      <c r="B3220">
        <f>[2]TongHop!B3220</f>
        <v>0</v>
      </c>
      <c r="C3220">
        <f>[2]TongHop!C3220</f>
        <v>0</v>
      </c>
      <c r="D3220">
        <f>[2]TongHop!D3220</f>
        <v>0</v>
      </c>
      <c r="E3220">
        <f>[2]TongHop!E3220</f>
        <v>0</v>
      </c>
      <c r="F3220">
        <f>[2]TongHop!F3220</f>
        <v>0</v>
      </c>
      <c r="G3220">
        <f>[2]TongHop!G3220</f>
        <v>0</v>
      </c>
      <c r="H3220">
        <f>[2]TongHop!H3220</f>
        <v>0</v>
      </c>
      <c r="I3220">
        <f>[2]TongHop!I3220</f>
        <v>0</v>
      </c>
      <c r="J3220">
        <f>[2]TongHop!J3220</f>
        <v>0</v>
      </c>
      <c r="K3220">
        <f>[2]TongHop!K3220</f>
        <v>0</v>
      </c>
      <c r="L3220">
        <f>[2]TongHop!L3220</f>
        <v>0</v>
      </c>
      <c r="M3220">
        <f>[2]TongHop!M3220</f>
        <v>0</v>
      </c>
      <c r="N3220">
        <f>[2]TongHop!N3220</f>
        <v>0</v>
      </c>
    </row>
    <row r="3221" spans="1:14">
      <c r="A3221">
        <f>[2]TongHop!A3221</f>
        <v>0</v>
      </c>
      <c r="B3221">
        <f>[2]TongHop!B3221</f>
        <v>0</v>
      </c>
      <c r="C3221">
        <f>[2]TongHop!C3221</f>
        <v>0</v>
      </c>
      <c r="D3221">
        <f>[2]TongHop!D3221</f>
        <v>0</v>
      </c>
      <c r="E3221">
        <f>[2]TongHop!E3221</f>
        <v>0</v>
      </c>
      <c r="F3221">
        <f>[2]TongHop!F3221</f>
        <v>0</v>
      </c>
      <c r="G3221">
        <f>[2]TongHop!G3221</f>
        <v>0</v>
      </c>
      <c r="H3221">
        <f>[2]TongHop!H3221</f>
        <v>0</v>
      </c>
      <c r="I3221">
        <f>[2]TongHop!I3221</f>
        <v>0</v>
      </c>
      <c r="J3221">
        <f>[2]TongHop!J3221</f>
        <v>0</v>
      </c>
      <c r="K3221">
        <f>[2]TongHop!K3221</f>
        <v>0</v>
      </c>
      <c r="L3221">
        <f>[2]TongHop!L3221</f>
        <v>0</v>
      </c>
      <c r="M3221">
        <f>[2]TongHop!M3221</f>
        <v>0</v>
      </c>
      <c r="N3221">
        <f>[2]TongHop!N3221</f>
        <v>0</v>
      </c>
    </row>
    <row r="3222" spans="1:14">
      <c r="A3222">
        <f>[2]TongHop!A3222</f>
        <v>0</v>
      </c>
      <c r="B3222">
        <f>[2]TongHop!B3222</f>
        <v>0</v>
      </c>
      <c r="C3222">
        <f>[2]TongHop!C3222</f>
        <v>0</v>
      </c>
      <c r="D3222">
        <f>[2]TongHop!D3222</f>
        <v>0</v>
      </c>
      <c r="E3222">
        <f>[2]TongHop!E3222</f>
        <v>0</v>
      </c>
      <c r="F3222">
        <f>[2]TongHop!F3222</f>
        <v>0</v>
      </c>
      <c r="G3222">
        <f>[2]TongHop!G3222</f>
        <v>0</v>
      </c>
      <c r="H3222">
        <f>[2]TongHop!H3222</f>
        <v>0</v>
      </c>
      <c r="I3222">
        <f>[2]TongHop!I3222</f>
        <v>0</v>
      </c>
      <c r="J3222">
        <f>[2]TongHop!J3222</f>
        <v>0</v>
      </c>
      <c r="K3222">
        <f>[2]TongHop!K3222</f>
        <v>0</v>
      </c>
      <c r="L3222">
        <f>[2]TongHop!L3222</f>
        <v>0</v>
      </c>
      <c r="M3222">
        <f>[2]TongHop!M3222</f>
        <v>0</v>
      </c>
      <c r="N3222">
        <f>[2]TongHop!N3222</f>
        <v>0</v>
      </c>
    </row>
    <row r="3223" spans="1:14">
      <c r="A3223">
        <f>[2]TongHop!A3223</f>
        <v>0</v>
      </c>
      <c r="B3223">
        <f>[2]TongHop!B3223</f>
        <v>0</v>
      </c>
      <c r="C3223">
        <f>[2]TongHop!C3223</f>
        <v>0</v>
      </c>
      <c r="D3223">
        <f>[2]TongHop!D3223</f>
        <v>0</v>
      </c>
      <c r="E3223">
        <f>[2]TongHop!E3223</f>
        <v>0</v>
      </c>
      <c r="F3223">
        <f>[2]TongHop!F3223</f>
        <v>0</v>
      </c>
      <c r="G3223">
        <f>[2]TongHop!G3223</f>
        <v>0</v>
      </c>
      <c r="H3223">
        <f>[2]TongHop!H3223</f>
        <v>0</v>
      </c>
      <c r="I3223">
        <f>[2]TongHop!I3223</f>
        <v>0</v>
      </c>
      <c r="J3223">
        <f>[2]TongHop!J3223</f>
        <v>0</v>
      </c>
      <c r="K3223">
        <f>[2]TongHop!K3223</f>
        <v>0</v>
      </c>
      <c r="L3223">
        <f>[2]TongHop!L3223</f>
        <v>0</v>
      </c>
      <c r="M3223">
        <f>[2]TongHop!M3223</f>
        <v>0</v>
      </c>
      <c r="N3223">
        <f>[2]TongHop!N3223</f>
        <v>0</v>
      </c>
    </row>
    <row r="3224" spans="1:14">
      <c r="A3224">
        <f>[2]TongHop!A3224</f>
        <v>0</v>
      </c>
      <c r="B3224">
        <f>[2]TongHop!B3224</f>
        <v>0</v>
      </c>
      <c r="C3224">
        <f>[2]TongHop!C3224</f>
        <v>0</v>
      </c>
      <c r="D3224">
        <f>[2]TongHop!D3224</f>
        <v>0</v>
      </c>
      <c r="E3224">
        <f>[2]TongHop!E3224</f>
        <v>0</v>
      </c>
      <c r="F3224">
        <f>[2]TongHop!F3224</f>
        <v>0</v>
      </c>
      <c r="G3224">
        <f>[2]TongHop!G3224</f>
        <v>0</v>
      </c>
      <c r="H3224">
        <f>[2]TongHop!H3224</f>
        <v>0</v>
      </c>
      <c r="I3224">
        <f>[2]TongHop!I3224</f>
        <v>0</v>
      </c>
      <c r="J3224">
        <f>[2]TongHop!J3224</f>
        <v>0</v>
      </c>
      <c r="K3224">
        <f>[2]TongHop!K3224</f>
        <v>0</v>
      </c>
      <c r="L3224">
        <f>[2]TongHop!L3224</f>
        <v>0</v>
      </c>
      <c r="M3224">
        <f>[2]TongHop!M3224</f>
        <v>0</v>
      </c>
      <c r="N3224">
        <f>[2]TongHop!N3224</f>
        <v>0</v>
      </c>
    </row>
    <row r="3225" spans="1:14">
      <c r="A3225">
        <f>[2]TongHop!A3225</f>
        <v>0</v>
      </c>
      <c r="B3225">
        <f>[2]TongHop!B3225</f>
        <v>0</v>
      </c>
      <c r="C3225">
        <f>[2]TongHop!C3225</f>
        <v>0</v>
      </c>
      <c r="D3225">
        <f>[2]TongHop!D3225</f>
        <v>0</v>
      </c>
      <c r="E3225">
        <f>[2]TongHop!E3225</f>
        <v>0</v>
      </c>
      <c r="F3225">
        <f>[2]TongHop!F3225</f>
        <v>0</v>
      </c>
      <c r="G3225">
        <f>[2]TongHop!G3225</f>
        <v>0</v>
      </c>
      <c r="H3225">
        <f>[2]TongHop!H3225</f>
        <v>0</v>
      </c>
      <c r="I3225">
        <f>[2]TongHop!I3225</f>
        <v>0</v>
      </c>
      <c r="J3225">
        <f>[2]TongHop!J3225</f>
        <v>0</v>
      </c>
      <c r="K3225">
        <f>[2]TongHop!K3225</f>
        <v>0</v>
      </c>
      <c r="L3225">
        <f>[2]TongHop!L3225</f>
        <v>0</v>
      </c>
      <c r="M3225">
        <f>[2]TongHop!M3225</f>
        <v>0</v>
      </c>
      <c r="N3225">
        <f>[2]TongHop!N3225</f>
        <v>0</v>
      </c>
    </row>
    <row r="3226" spans="1:14">
      <c r="A3226">
        <f>[2]TongHop!A3226</f>
        <v>0</v>
      </c>
      <c r="B3226">
        <f>[2]TongHop!B3226</f>
        <v>0</v>
      </c>
      <c r="C3226">
        <f>[2]TongHop!C3226</f>
        <v>0</v>
      </c>
      <c r="D3226">
        <f>[2]TongHop!D3226</f>
        <v>0</v>
      </c>
      <c r="E3226">
        <f>[2]TongHop!E3226</f>
        <v>0</v>
      </c>
      <c r="F3226">
        <f>[2]TongHop!F3226</f>
        <v>0</v>
      </c>
      <c r="G3226">
        <f>[2]TongHop!G3226</f>
        <v>0</v>
      </c>
      <c r="H3226">
        <f>[2]TongHop!H3226</f>
        <v>0</v>
      </c>
      <c r="I3226">
        <f>[2]TongHop!I3226</f>
        <v>0</v>
      </c>
      <c r="J3226">
        <f>[2]TongHop!J3226</f>
        <v>0</v>
      </c>
      <c r="K3226">
        <f>[2]TongHop!K3226</f>
        <v>0</v>
      </c>
      <c r="L3226">
        <f>[2]TongHop!L3226</f>
        <v>0</v>
      </c>
      <c r="M3226">
        <f>[2]TongHop!M3226</f>
        <v>0</v>
      </c>
      <c r="N3226">
        <f>[2]TongHop!N3226</f>
        <v>0</v>
      </c>
    </row>
    <row r="3227" spans="1:14">
      <c r="A3227">
        <f>[2]TongHop!A3227</f>
        <v>0</v>
      </c>
      <c r="B3227">
        <f>[2]TongHop!B3227</f>
        <v>0</v>
      </c>
      <c r="C3227">
        <f>[2]TongHop!C3227</f>
        <v>0</v>
      </c>
      <c r="D3227">
        <f>[2]TongHop!D3227</f>
        <v>0</v>
      </c>
      <c r="E3227">
        <f>[2]TongHop!E3227</f>
        <v>0</v>
      </c>
      <c r="F3227">
        <f>[2]TongHop!F3227</f>
        <v>0</v>
      </c>
      <c r="G3227">
        <f>[2]TongHop!G3227</f>
        <v>0</v>
      </c>
      <c r="H3227">
        <f>[2]TongHop!H3227</f>
        <v>0</v>
      </c>
      <c r="I3227">
        <f>[2]TongHop!I3227</f>
        <v>0</v>
      </c>
      <c r="J3227">
        <f>[2]TongHop!J3227</f>
        <v>0</v>
      </c>
      <c r="K3227">
        <f>[2]TongHop!K3227</f>
        <v>0</v>
      </c>
      <c r="L3227">
        <f>[2]TongHop!L3227</f>
        <v>0</v>
      </c>
      <c r="M3227">
        <f>[2]TongHop!M3227</f>
        <v>0</v>
      </c>
      <c r="N3227">
        <f>[2]TongHop!N3227</f>
        <v>0</v>
      </c>
    </row>
    <row r="3228" spans="1:14">
      <c r="A3228">
        <f>[2]TongHop!A3228</f>
        <v>0</v>
      </c>
      <c r="B3228">
        <f>[2]TongHop!B3228</f>
        <v>0</v>
      </c>
      <c r="C3228">
        <f>[2]TongHop!C3228</f>
        <v>0</v>
      </c>
      <c r="D3228">
        <f>[2]TongHop!D3228</f>
        <v>0</v>
      </c>
      <c r="E3228">
        <f>[2]TongHop!E3228</f>
        <v>0</v>
      </c>
      <c r="F3228">
        <f>[2]TongHop!F3228</f>
        <v>0</v>
      </c>
      <c r="G3228">
        <f>[2]TongHop!G3228</f>
        <v>0</v>
      </c>
      <c r="H3228">
        <f>[2]TongHop!H3228</f>
        <v>0</v>
      </c>
      <c r="I3228">
        <f>[2]TongHop!I3228</f>
        <v>0</v>
      </c>
      <c r="J3228">
        <f>[2]TongHop!J3228</f>
        <v>0</v>
      </c>
      <c r="K3228">
        <f>[2]TongHop!K3228</f>
        <v>0</v>
      </c>
      <c r="L3228">
        <f>[2]TongHop!L3228</f>
        <v>0</v>
      </c>
      <c r="M3228">
        <f>[2]TongHop!M3228</f>
        <v>0</v>
      </c>
      <c r="N3228">
        <f>[2]TongHop!N3228</f>
        <v>0</v>
      </c>
    </row>
    <row r="3229" spans="1:14">
      <c r="A3229">
        <f>[2]TongHop!A3229</f>
        <v>0</v>
      </c>
      <c r="B3229">
        <f>[2]TongHop!B3229</f>
        <v>0</v>
      </c>
      <c r="C3229">
        <f>[2]TongHop!C3229</f>
        <v>0</v>
      </c>
      <c r="D3229">
        <f>[2]TongHop!D3229</f>
        <v>0</v>
      </c>
      <c r="E3229">
        <f>[2]TongHop!E3229</f>
        <v>0</v>
      </c>
      <c r="F3229">
        <f>[2]TongHop!F3229</f>
        <v>0</v>
      </c>
      <c r="G3229">
        <f>[2]TongHop!G3229</f>
        <v>0</v>
      </c>
      <c r="H3229">
        <f>[2]TongHop!H3229</f>
        <v>0</v>
      </c>
      <c r="I3229">
        <f>[2]TongHop!I3229</f>
        <v>0</v>
      </c>
      <c r="J3229">
        <f>[2]TongHop!J3229</f>
        <v>0</v>
      </c>
      <c r="K3229">
        <f>[2]TongHop!K3229</f>
        <v>0</v>
      </c>
      <c r="L3229">
        <f>[2]TongHop!L3229</f>
        <v>0</v>
      </c>
      <c r="M3229">
        <f>[2]TongHop!M3229</f>
        <v>0</v>
      </c>
      <c r="N3229">
        <f>[2]TongHop!N3229</f>
        <v>0</v>
      </c>
    </row>
    <row r="3230" spans="1:14">
      <c r="A3230">
        <f>[2]TongHop!A3230</f>
        <v>0</v>
      </c>
      <c r="B3230">
        <f>[2]TongHop!B3230</f>
        <v>0</v>
      </c>
      <c r="C3230">
        <f>[2]TongHop!C3230</f>
        <v>0</v>
      </c>
      <c r="D3230">
        <f>[2]TongHop!D3230</f>
        <v>0</v>
      </c>
      <c r="E3230">
        <f>[2]TongHop!E3230</f>
        <v>0</v>
      </c>
      <c r="F3230">
        <f>[2]TongHop!F3230</f>
        <v>0</v>
      </c>
      <c r="G3230">
        <f>[2]TongHop!G3230</f>
        <v>0</v>
      </c>
      <c r="H3230">
        <f>[2]TongHop!H3230</f>
        <v>0</v>
      </c>
      <c r="I3230">
        <f>[2]TongHop!I3230</f>
        <v>0</v>
      </c>
      <c r="J3230">
        <f>[2]TongHop!J3230</f>
        <v>0</v>
      </c>
      <c r="K3230">
        <f>[2]TongHop!K3230</f>
        <v>0</v>
      </c>
      <c r="L3230">
        <f>[2]TongHop!L3230</f>
        <v>0</v>
      </c>
      <c r="M3230">
        <f>[2]TongHop!M3230</f>
        <v>0</v>
      </c>
      <c r="N3230">
        <f>[2]TongHop!N3230</f>
        <v>0</v>
      </c>
    </row>
    <row r="3231" spans="1:14">
      <c r="A3231">
        <f>[2]TongHop!A3231</f>
        <v>0</v>
      </c>
      <c r="B3231">
        <f>[2]TongHop!B3231</f>
        <v>0</v>
      </c>
      <c r="C3231">
        <f>[2]TongHop!C3231</f>
        <v>0</v>
      </c>
      <c r="D3231">
        <f>[2]TongHop!D3231</f>
        <v>0</v>
      </c>
      <c r="E3231">
        <f>[2]TongHop!E3231</f>
        <v>0</v>
      </c>
      <c r="F3231">
        <f>[2]TongHop!F3231</f>
        <v>0</v>
      </c>
      <c r="G3231">
        <f>[2]TongHop!G3231</f>
        <v>0</v>
      </c>
      <c r="H3231">
        <f>[2]TongHop!H3231</f>
        <v>0</v>
      </c>
      <c r="I3231">
        <f>[2]TongHop!I3231</f>
        <v>0</v>
      </c>
      <c r="J3231">
        <f>[2]TongHop!J3231</f>
        <v>0</v>
      </c>
      <c r="K3231">
        <f>[2]TongHop!K3231</f>
        <v>0</v>
      </c>
      <c r="L3231">
        <f>[2]TongHop!L3231</f>
        <v>0</v>
      </c>
      <c r="M3231">
        <f>[2]TongHop!M3231</f>
        <v>0</v>
      </c>
      <c r="N3231">
        <f>[2]TongHop!N3231</f>
        <v>0</v>
      </c>
    </row>
    <row r="3232" spans="1:14">
      <c r="A3232">
        <f>[2]TongHop!A3232</f>
        <v>0</v>
      </c>
      <c r="B3232">
        <f>[2]TongHop!B3232</f>
        <v>0</v>
      </c>
      <c r="C3232">
        <f>[2]TongHop!C3232</f>
        <v>0</v>
      </c>
      <c r="D3232">
        <f>[2]TongHop!D3232</f>
        <v>0</v>
      </c>
      <c r="E3232">
        <f>[2]TongHop!E3232</f>
        <v>0</v>
      </c>
      <c r="F3232">
        <f>[2]TongHop!F3232</f>
        <v>0</v>
      </c>
      <c r="G3232">
        <f>[2]TongHop!G3232</f>
        <v>0</v>
      </c>
      <c r="H3232">
        <f>[2]TongHop!H3232</f>
        <v>0</v>
      </c>
      <c r="I3232">
        <f>[2]TongHop!I3232</f>
        <v>0</v>
      </c>
      <c r="J3232">
        <f>[2]TongHop!J3232</f>
        <v>0</v>
      </c>
      <c r="K3232">
        <f>[2]TongHop!K3232</f>
        <v>0</v>
      </c>
      <c r="L3232">
        <f>[2]TongHop!L3232</f>
        <v>0</v>
      </c>
      <c r="M3232">
        <f>[2]TongHop!M3232</f>
        <v>0</v>
      </c>
      <c r="N3232">
        <f>[2]TongHop!N3232</f>
        <v>0</v>
      </c>
    </row>
    <row r="3233" spans="1:14">
      <c r="A3233">
        <f>[2]TongHop!A3233</f>
        <v>0</v>
      </c>
      <c r="B3233">
        <f>[2]TongHop!B3233</f>
        <v>0</v>
      </c>
      <c r="C3233">
        <f>[2]TongHop!C3233</f>
        <v>0</v>
      </c>
      <c r="D3233">
        <f>[2]TongHop!D3233</f>
        <v>0</v>
      </c>
      <c r="E3233">
        <f>[2]TongHop!E3233</f>
        <v>0</v>
      </c>
      <c r="F3233">
        <f>[2]TongHop!F3233</f>
        <v>0</v>
      </c>
      <c r="G3233">
        <f>[2]TongHop!G3233</f>
        <v>0</v>
      </c>
      <c r="H3233">
        <f>[2]TongHop!H3233</f>
        <v>0</v>
      </c>
      <c r="I3233">
        <f>[2]TongHop!I3233</f>
        <v>0</v>
      </c>
      <c r="J3233">
        <f>[2]TongHop!J3233</f>
        <v>0</v>
      </c>
      <c r="K3233">
        <f>[2]TongHop!K3233</f>
        <v>0</v>
      </c>
      <c r="L3233">
        <f>[2]TongHop!L3233</f>
        <v>0</v>
      </c>
      <c r="M3233">
        <f>[2]TongHop!M3233</f>
        <v>0</v>
      </c>
      <c r="N3233">
        <f>[2]TongHop!N3233</f>
        <v>0</v>
      </c>
    </row>
    <row r="3234" spans="1:14">
      <c r="A3234">
        <f>[2]TongHop!A3234</f>
        <v>0</v>
      </c>
      <c r="B3234">
        <f>[2]TongHop!B3234</f>
        <v>0</v>
      </c>
      <c r="C3234">
        <f>[2]TongHop!C3234</f>
        <v>0</v>
      </c>
      <c r="D3234">
        <f>[2]TongHop!D3234</f>
        <v>0</v>
      </c>
      <c r="E3234">
        <f>[2]TongHop!E3234</f>
        <v>0</v>
      </c>
      <c r="F3234">
        <f>[2]TongHop!F3234</f>
        <v>0</v>
      </c>
      <c r="G3234">
        <f>[2]TongHop!G3234</f>
        <v>0</v>
      </c>
      <c r="H3234">
        <f>[2]TongHop!H3234</f>
        <v>0</v>
      </c>
      <c r="I3234">
        <f>[2]TongHop!I3234</f>
        <v>0</v>
      </c>
      <c r="J3234">
        <f>[2]TongHop!J3234</f>
        <v>0</v>
      </c>
      <c r="K3234">
        <f>[2]TongHop!K3234</f>
        <v>0</v>
      </c>
      <c r="L3234">
        <f>[2]TongHop!L3234</f>
        <v>0</v>
      </c>
      <c r="M3234">
        <f>[2]TongHop!M3234</f>
        <v>0</v>
      </c>
      <c r="N3234">
        <f>[2]TongHop!N3234</f>
        <v>0</v>
      </c>
    </row>
    <row r="3235" spans="1:14">
      <c r="A3235">
        <f>[2]TongHop!A3235</f>
        <v>0</v>
      </c>
      <c r="B3235">
        <f>[2]TongHop!B3235</f>
        <v>0</v>
      </c>
      <c r="C3235">
        <f>[2]TongHop!C3235</f>
        <v>0</v>
      </c>
      <c r="D3235">
        <f>[2]TongHop!D3235</f>
        <v>0</v>
      </c>
      <c r="E3235">
        <f>[2]TongHop!E3235</f>
        <v>0</v>
      </c>
      <c r="F3235">
        <f>[2]TongHop!F3235</f>
        <v>0</v>
      </c>
      <c r="G3235">
        <f>[2]TongHop!G3235</f>
        <v>0</v>
      </c>
      <c r="H3235">
        <f>[2]TongHop!H3235</f>
        <v>0</v>
      </c>
      <c r="I3235">
        <f>[2]TongHop!I3235</f>
        <v>0</v>
      </c>
      <c r="J3235">
        <f>[2]TongHop!J3235</f>
        <v>0</v>
      </c>
      <c r="K3235">
        <f>[2]TongHop!K3235</f>
        <v>0</v>
      </c>
      <c r="L3235">
        <f>[2]TongHop!L3235</f>
        <v>0</v>
      </c>
      <c r="M3235">
        <f>[2]TongHop!M3235</f>
        <v>0</v>
      </c>
      <c r="N3235">
        <f>[2]TongHop!N3235</f>
        <v>0</v>
      </c>
    </row>
    <row r="3236" spans="1:14">
      <c r="A3236">
        <f>[2]TongHop!A3236</f>
        <v>0</v>
      </c>
      <c r="B3236">
        <f>[2]TongHop!B3236</f>
        <v>0</v>
      </c>
      <c r="C3236">
        <f>[2]TongHop!C3236</f>
        <v>0</v>
      </c>
      <c r="D3236">
        <f>[2]TongHop!D3236</f>
        <v>0</v>
      </c>
      <c r="E3236">
        <f>[2]TongHop!E3236</f>
        <v>0</v>
      </c>
      <c r="F3236">
        <f>[2]TongHop!F3236</f>
        <v>0</v>
      </c>
      <c r="G3236">
        <f>[2]TongHop!G3236</f>
        <v>0</v>
      </c>
      <c r="H3236">
        <f>[2]TongHop!H3236</f>
        <v>0</v>
      </c>
      <c r="I3236">
        <f>[2]TongHop!I3236</f>
        <v>0</v>
      </c>
      <c r="J3236">
        <f>[2]TongHop!J3236</f>
        <v>0</v>
      </c>
      <c r="K3236">
        <f>[2]TongHop!K3236</f>
        <v>0</v>
      </c>
      <c r="L3236">
        <f>[2]TongHop!L3236</f>
        <v>0</v>
      </c>
      <c r="M3236">
        <f>[2]TongHop!M3236</f>
        <v>0</v>
      </c>
      <c r="N3236">
        <f>[2]TongHop!N3236</f>
        <v>0</v>
      </c>
    </row>
    <row r="3237" spans="1:14">
      <c r="A3237">
        <f>[2]TongHop!A3237</f>
        <v>0</v>
      </c>
      <c r="B3237">
        <f>[2]TongHop!B3237</f>
        <v>0</v>
      </c>
      <c r="C3237">
        <f>[2]TongHop!C3237</f>
        <v>0</v>
      </c>
      <c r="D3237">
        <f>[2]TongHop!D3237</f>
        <v>0</v>
      </c>
      <c r="E3237">
        <f>[2]TongHop!E3237</f>
        <v>0</v>
      </c>
      <c r="F3237">
        <f>[2]TongHop!F3237</f>
        <v>0</v>
      </c>
      <c r="G3237">
        <f>[2]TongHop!G3237</f>
        <v>0</v>
      </c>
      <c r="H3237">
        <f>[2]TongHop!H3237</f>
        <v>0</v>
      </c>
      <c r="I3237">
        <f>[2]TongHop!I3237</f>
        <v>0</v>
      </c>
      <c r="J3237">
        <f>[2]TongHop!J3237</f>
        <v>0</v>
      </c>
      <c r="K3237">
        <f>[2]TongHop!K3237</f>
        <v>0</v>
      </c>
      <c r="L3237">
        <f>[2]TongHop!L3237</f>
        <v>0</v>
      </c>
      <c r="M3237">
        <f>[2]TongHop!M3237</f>
        <v>0</v>
      </c>
      <c r="N3237">
        <f>[2]TongHop!N3237</f>
        <v>0</v>
      </c>
    </row>
    <row r="3238" spans="1:14">
      <c r="A3238">
        <f>[2]TongHop!A3238</f>
        <v>0</v>
      </c>
      <c r="B3238">
        <f>[2]TongHop!B3238</f>
        <v>0</v>
      </c>
      <c r="C3238">
        <f>[2]TongHop!C3238</f>
        <v>0</v>
      </c>
      <c r="D3238">
        <f>[2]TongHop!D3238</f>
        <v>0</v>
      </c>
      <c r="E3238">
        <f>[2]TongHop!E3238</f>
        <v>0</v>
      </c>
      <c r="F3238">
        <f>[2]TongHop!F3238</f>
        <v>0</v>
      </c>
      <c r="G3238">
        <f>[2]TongHop!G3238</f>
        <v>0</v>
      </c>
      <c r="H3238">
        <f>[2]TongHop!H3238</f>
        <v>0</v>
      </c>
      <c r="I3238">
        <f>[2]TongHop!I3238</f>
        <v>0</v>
      </c>
      <c r="J3238">
        <f>[2]TongHop!J3238</f>
        <v>0</v>
      </c>
      <c r="K3238">
        <f>[2]TongHop!K3238</f>
        <v>0</v>
      </c>
      <c r="L3238">
        <f>[2]TongHop!L3238</f>
        <v>0</v>
      </c>
      <c r="M3238">
        <f>[2]TongHop!M3238</f>
        <v>0</v>
      </c>
      <c r="N3238">
        <f>[2]TongHop!N3238</f>
        <v>0</v>
      </c>
    </row>
    <row r="3239" spans="1:14">
      <c r="A3239">
        <f>[2]TongHop!A3239</f>
        <v>0</v>
      </c>
      <c r="B3239">
        <f>[2]TongHop!B3239</f>
        <v>0</v>
      </c>
      <c r="C3239">
        <f>[2]TongHop!C3239</f>
        <v>0</v>
      </c>
      <c r="D3239">
        <f>[2]TongHop!D3239</f>
        <v>0</v>
      </c>
      <c r="E3239">
        <f>[2]TongHop!E3239</f>
        <v>0</v>
      </c>
      <c r="F3239">
        <f>[2]TongHop!F3239</f>
        <v>0</v>
      </c>
      <c r="G3239">
        <f>[2]TongHop!G3239</f>
        <v>0</v>
      </c>
      <c r="H3239">
        <f>[2]TongHop!H3239</f>
        <v>0</v>
      </c>
      <c r="I3239">
        <f>[2]TongHop!I3239</f>
        <v>0</v>
      </c>
      <c r="J3239">
        <f>[2]TongHop!J3239</f>
        <v>0</v>
      </c>
      <c r="K3239">
        <f>[2]TongHop!K3239</f>
        <v>0</v>
      </c>
      <c r="L3239">
        <f>[2]TongHop!L3239</f>
        <v>0</v>
      </c>
      <c r="M3239">
        <f>[2]TongHop!M3239</f>
        <v>0</v>
      </c>
      <c r="N3239">
        <f>[2]TongHop!N3239</f>
        <v>0</v>
      </c>
    </row>
    <row r="3240" spans="1:14">
      <c r="A3240">
        <f>[2]TongHop!A3240</f>
        <v>0</v>
      </c>
      <c r="B3240">
        <f>[2]TongHop!B3240</f>
        <v>0</v>
      </c>
      <c r="C3240">
        <f>[2]TongHop!C3240</f>
        <v>0</v>
      </c>
      <c r="D3240">
        <f>[2]TongHop!D3240</f>
        <v>0</v>
      </c>
      <c r="E3240">
        <f>[2]TongHop!E3240</f>
        <v>0</v>
      </c>
      <c r="F3240">
        <f>[2]TongHop!F3240</f>
        <v>0</v>
      </c>
      <c r="G3240">
        <f>[2]TongHop!G3240</f>
        <v>0</v>
      </c>
      <c r="H3240">
        <f>[2]TongHop!H3240</f>
        <v>0</v>
      </c>
      <c r="I3240">
        <f>[2]TongHop!I3240</f>
        <v>0</v>
      </c>
      <c r="J3240">
        <f>[2]TongHop!J3240</f>
        <v>0</v>
      </c>
      <c r="K3240">
        <f>[2]TongHop!K3240</f>
        <v>0</v>
      </c>
      <c r="L3240">
        <f>[2]TongHop!L3240</f>
        <v>0</v>
      </c>
      <c r="M3240">
        <f>[2]TongHop!M3240</f>
        <v>0</v>
      </c>
      <c r="N3240">
        <f>[2]TongHop!N3240</f>
        <v>0</v>
      </c>
    </row>
    <row r="3241" spans="1:14">
      <c r="A3241">
        <f>[2]TongHop!A3241</f>
        <v>0</v>
      </c>
      <c r="B3241">
        <f>[2]TongHop!B3241</f>
        <v>0</v>
      </c>
      <c r="C3241">
        <f>[2]TongHop!C3241</f>
        <v>0</v>
      </c>
      <c r="D3241">
        <f>[2]TongHop!D3241</f>
        <v>0</v>
      </c>
      <c r="E3241">
        <f>[2]TongHop!E3241</f>
        <v>0</v>
      </c>
      <c r="F3241">
        <f>[2]TongHop!F3241</f>
        <v>0</v>
      </c>
      <c r="G3241">
        <f>[2]TongHop!G3241</f>
        <v>0</v>
      </c>
      <c r="H3241">
        <f>[2]TongHop!H3241</f>
        <v>0</v>
      </c>
      <c r="I3241">
        <f>[2]TongHop!I3241</f>
        <v>0</v>
      </c>
      <c r="J3241">
        <f>[2]TongHop!J3241</f>
        <v>0</v>
      </c>
      <c r="K3241">
        <f>[2]TongHop!K3241</f>
        <v>0</v>
      </c>
      <c r="L3241">
        <f>[2]TongHop!L3241</f>
        <v>0</v>
      </c>
      <c r="M3241">
        <f>[2]TongHop!M3241</f>
        <v>0</v>
      </c>
      <c r="N3241">
        <f>[2]TongHop!N3241</f>
        <v>0</v>
      </c>
    </row>
    <row r="3242" spans="1:14">
      <c r="A3242">
        <f>[2]TongHop!A3242</f>
        <v>0</v>
      </c>
      <c r="B3242">
        <f>[2]TongHop!B3242</f>
        <v>0</v>
      </c>
      <c r="C3242">
        <f>[2]TongHop!C3242</f>
        <v>0</v>
      </c>
      <c r="D3242">
        <f>[2]TongHop!D3242</f>
        <v>0</v>
      </c>
      <c r="E3242">
        <f>[2]TongHop!E3242</f>
        <v>0</v>
      </c>
      <c r="F3242">
        <f>[2]TongHop!F3242</f>
        <v>0</v>
      </c>
      <c r="G3242">
        <f>[2]TongHop!G3242</f>
        <v>0</v>
      </c>
      <c r="H3242">
        <f>[2]TongHop!H3242</f>
        <v>0</v>
      </c>
      <c r="I3242">
        <f>[2]TongHop!I3242</f>
        <v>0</v>
      </c>
      <c r="J3242">
        <f>[2]TongHop!J3242</f>
        <v>0</v>
      </c>
      <c r="K3242">
        <f>[2]TongHop!K3242</f>
        <v>0</v>
      </c>
      <c r="L3242">
        <f>[2]TongHop!L3242</f>
        <v>0</v>
      </c>
      <c r="M3242">
        <f>[2]TongHop!M3242</f>
        <v>0</v>
      </c>
      <c r="N3242">
        <f>[2]TongHop!N3242</f>
        <v>0</v>
      </c>
    </row>
    <row r="3243" spans="1:14">
      <c r="A3243">
        <f>[2]TongHop!A3243</f>
        <v>0</v>
      </c>
      <c r="B3243">
        <f>[2]TongHop!B3243</f>
        <v>0</v>
      </c>
      <c r="C3243">
        <f>[2]TongHop!C3243</f>
        <v>0</v>
      </c>
      <c r="D3243">
        <f>[2]TongHop!D3243</f>
        <v>0</v>
      </c>
      <c r="E3243">
        <f>[2]TongHop!E3243</f>
        <v>0</v>
      </c>
      <c r="F3243">
        <f>[2]TongHop!F3243</f>
        <v>0</v>
      </c>
      <c r="G3243">
        <f>[2]TongHop!G3243</f>
        <v>0</v>
      </c>
      <c r="H3243">
        <f>[2]TongHop!H3243</f>
        <v>0</v>
      </c>
      <c r="I3243">
        <f>[2]TongHop!I3243</f>
        <v>0</v>
      </c>
      <c r="J3243">
        <f>[2]TongHop!J3243</f>
        <v>0</v>
      </c>
      <c r="K3243">
        <f>[2]TongHop!K3243</f>
        <v>0</v>
      </c>
      <c r="L3243">
        <f>[2]TongHop!L3243</f>
        <v>0</v>
      </c>
      <c r="M3243">
        <f>[2]TongHop!M3243</f>
        <v>0</v>
      </c>
      <c r="N3243">
        <f>[2]TongHop!N3243</f>
        <v>0</v>
      </c>
    </row>
    <row r="3244" spans="1:14">
      <c r="A3244">
        <f>[2]TongHop!A3244</f>
        <v>0</v>
      </c>
      <c r="B3244">
        <f>[2]TongHop!B3244</f>
        <v>0</v>
      </c>
      <c r="C3244">
        <f>[2]TongHop!C3244</f>
        <v>0</v>
      </c>
      <c r="D3244">
        <f>[2]TongHop!D3244</f>
        <v>0</v>
      </c>
      <c r="E3244">
        <f>[2]TongHop!E3244</f>
        <v>0</v>
      </c>
      <c r="F3244">
        <f>[2]TongHop!F3244</f>
        <v>0</v>
      </c>
      <c r="G3244">
        <f>[2]TongHop!G3244</f>
        <v>0</v>
      </c>
      <c r="H3244">
        <f>[2]TongHop!H3244</f>
        <v>0</v>
      </c>
      <c r="I3244">
        <f>[2]TongHop!I3244</f>
        <v>0</v>
      </c>
      <c r="J3244">
        <f>[2]TongHop!J3244</f>
        <v>0</v>
      </c>
      <c r="K3244">
        <f>[2]TongHop!K3244</f>
        <v>0</v>
      </c>
      <c r="L3244">
        <f>[2]TongHop!L3244</f>
        <v>0</v>
      </c>
      <c r="M3244">
        <f>[2]TongHop!M3244</f>
        <v>0</v>
      </c>
      <c r="N3244">
        <f>[2]TongHop!N3244</f>
        <v>0</v>
      </c>
    </row>
    <row r="3245" spans="1:14">
      <c r="A3245">
        <f>[2]TongHop!A3245</f>
        <v>0</v>
      </c>
      <c r="B3245">
        <f>[2]TongHop!B3245</f>
        <v>0</v>
      </c>
      <c r="C3245">
        <f>[2]TongHop!C3245</f>
        <v>0</v>
      </c>
      <c r="D3245">
        <f>[2]TongHop!D3245</f>
        <v>0</v>
      </c>
      <c r="E3245">
        <f>[2]TongHop!E3245</f>
        <v>0</v>
      </c>
      <c r="F3245">
        <f>[2]TongHop!F3245</f>
        <v>0</v>
      </c>
      <c r="G3245">
        <f>[2]TongHop!G3245</f>
        <v>0</v>
      </c>
      <c r="H3245">
        <f>[2]TongHop!H3245</f>
        <v>0</v>
      </c>
      <c r="I3245">
        <f>[2]TongHop!I3245</f>
        <v>0</v>
      </c>
      <c r="J3245">
        <f>[2]TongHop!J3245</f>
        <v>0</v>
      </c>
      <c r="K3245">
        <f>[2]TongHop!K3245</f>
        <v>0</v>
      </c>
      <c r="L3245">
        <f>[2]TongHop!L3245</f>
        <v>0</v>
      </c>
      <c r="M3245">
        <f>[2]TongHop!M3245</f>
        <v>0</v>
      </c>
      <c r="N3245">
        <f>[2]TongHop!N3245</f>
        <v>0</v>
      </c>
    </row>
    <row r="3246" spans="1:14">
      <c r="A3246">
        <f>[2]TongHop!A3246</f>
        <v>0</v>
      </c>
      <c r="B3246">
        <f>[2]TongHop!B3246</f>
        <v>0</v>
      </c>
      <c r="C3246">
        <f>[2]TongHop!C3246</f>
        <v>0</v>
      </c>
      <c r="D3246">
        <f>[2]TongHop!D3246</f>
        <v>0</v>
      </c>
      <c r="E3246">
        <f>[2]TongHop!E3246</f>
        <v>0</v>
      </c>
      <c r="F3246">
        <f>[2]TongHop!F3246</f>
        <v>0</v>
      </c>
      <c r="G3246">
        <f>[2]TongHop!G3246</f>
        <v>0</v>
      </c>
      <c r="H3246">
        <f>[2]TongHop!H3246</f>
        <v>0</v>
      </c>
      <c r="I3246">
        <f>[2]TongHop!I3246</f>
        <v>0</v>
      </c>
      <c r="J3246">
        <f>[2]TongHop!J3246</f>
        <v>0</v>
      </c>
      <c r="K3246">
        <f>[2]TongHop!K3246</f>
        <v>0</v>
      </c>
      <c r="L3246">
        <f>[2]TongHop!L3246</f>
        <v>0</v>
      </c>
      <c r="M3246">
        <f>[2]TongHop!M3246</f>
        <v>0</v>
      </c>
      <c r="N3246">
        <f>[2]TongHop!N3246</f>
        <v>0</v>
      </c>
    </row>
    <row r="3247" spans="1:14">
      <c r="A3247">
        <f>[2]TongHop!A3247</f>
        <v>0</v>
      </c>
      <c r="B3247">
        <f>[2]TongHop!B3247</f>
        <v>0</v>
      </c>
      <c r="C3247">
        <f>[2]TongHop!C3247</f>
        <v>0</v>
      </c>
      <c r="D3247">
        <f>[2]TongHop!D3247</f>
        <v>0</v>
      </c>
      <c r="E3247">
        <f>[2]TongHop!E3247</f>
        <v>0</v>
      </c>
      <c r="F3247">
        <f>[2]TongHop!F3247</f>
        <v>0</v>
      </c>
      <c r="G3247">
        <f>[2]TongHop!G3247</f>
        <v>0</v>
      </c>
      <c r="H3247">
        <f>[2]TongHop!H3247</f>
        <v>0</v>
      </c>
      <c r="I3247">
        <f>[2]TongHop!I3247</f>
        <v>0</v>
      </c>
      <c r="J3247">
        <f>[2]TongHop!J3247</f>
        <v>0</v>
      </c>
      <c r="K3247">
        <f>[2]TongHop!K3247</f>
        <v>0</v>
      </c>
      <c r="L3247">
        <f>[2]TongHop!L3247</f>
        <v>0</v>
      </c>
      <c r="M3247">
        <f>[2]TongHop!M3247</f>
        <v>0</v>
      </c>
      <c r="N3247">
        <f>[2]TongHop!N3247</f>
        <v>0</v>
      </c>
    </row>
    <row r="3248" spans="1:14">
      <c r="A3248">
        <f>[2]TongHop!A3248</f>
        <v>0</v>
      </c>
      <c r="B3248">
        <f>[2]TongHop!B3248</f>
        <v>0</v>
      </c>
      <c r="C3248">
        <f>[2]TongHop!C3248</f>
        <v>0</v>
      </c>
      <c r="D3248">
        <f>[2]TongHop!D3248</f>
        <v>0</v>
      </c>
      <c r="E3248">
        <f>[2]TongHop!E3248</f>
        <v>0</v>
      </c>
      <c r="F3248">
        <f>[2]TongHop!F3248</f>
        <v>0</v>
      </c>
      <c r="G3248">
        <f>[2]TongHop!G3248</f>
        <v>0</v>
      </c>
      <c r="H3248">
        <f>[2]TongHop!H3248</f>
        <v>0</v>
      </c>
      <c r="I3248">
        <f>[2]TongHop!I3248</f>
        <v>0</v>
      </c>
      <c r="J3248">
        <f>[2]TongHop!J3248</f>
        <v>0</v>
      </c>
      <c r="K3248">
        <f>[2]TongHop!K3248</f>
        <v>0</v>
      </c>
      <c r="L3248">
        <f>[2]TongHop!L3248</f>
        <v>0</v>
      </c>
      <c r="M3248">
        <f>[2]TongHop!M3248</f>
        <v>0</v>
      </c>
      <c r="N3248">
        <f>[2]TongHop!N3248</f>
        <v>0</v>
      </c>
    </row>
    <row r="3249" spans="1:14">
      <c r="A3249">
        <f>[2]TongHop!A3249</f>
        <v>0</v>
      </c>
      <c r="B3249">
        <f>[2]TongHop!B3249</f>
        <v>0</v>
      </c>
      <c r="C3249">
        <f>[2]TongHop!C3249</f>
        <v>0</v>
      </c>
      <c r="D3249">
        <f>[2]TongHop!D3249</f>
        <v>0</v>
      </c>
      <c r="E3249">
        <f>[2]TongHop!E3249</f>
        <v>0</v>
      </c>
      <c r="F3249">
        <f>[2]TongHop!F3249</f>
        <v>0</v>
      </c>
      <c r="G3249">
        <f>[2]TongHop!G3249</f>
        <v>0</v>
      </c>
      <c r="H3249">
        <f>[2]TongHop!H3249</f>
        <v>0</v>
      </c>
      <c r="I3249">
        <f>[2]TongHop!I3249</f>
        <v>0</v>
      </c>
      <c r="J3249">
        <f>[2]TongHop!J3249</f>
        <v>0</v>
      </c>
      <c r="K3249">
        <f>[2]TongHop!K3249</f>
        <v>0</v>
      </c>
      <c r="L3249">
        <f>[2]TongHop!L3249</f>
        <v>0</v>
      </c>
      <c r="M3249">
        <f>[2]TongHop!M3249</f>
        <v>0</v>
      </c>
      <c r="N3249">
        <f>[2]TongHop!N3249</f>
        <v>0</v>
      </c>
    </row>
    <row r="3250" spans="1:14">
      <c r="A3250">
        <f>[2]TongHop!A3250</f>
        <v>0</v>
      </c>
      <c r="B3250">
        <f>[2]TongHop!B3250</f>
        <v>0</v>
      </c>
      <c r="C3250">
        <f>[2]TongHop!C3250</f>
        <v>0</v>
      </c>
      <c r="D3250">
        <f>[2]TongHop!D3250</f>
        <v>0</v>
      </c>
      <c r="E3250">
        <f>[2]TongHop!E3250</f>
        <v>0</v>
      </c>
      <c r="F3250">
        <f>[2]TongHop!F3250</f>
        <v>0</v>
      </c>
      <c r="G3250">
        <f>[2]TongHop!G3250</f>
        <v>0</v>
      </c>
      <c r="H3250">
        <f>[2]TongHop!H3250</f>
        <v>0</v>
      </c>
      <c r="I3250">
        <f>[2]TongHop!I3250</f>
        <v>0</v>
      </c>
      <c r="J3250">
        <f>[2]TongHop!J3250</f>
        <v>0</v>
      </c>
      <c r="K3250">
        <f>[2]TongHop!K3250</f>
        <v>0</v>
      </c>
      <c r="L3250">
        <f>[2]TongHop!L3250</f>
        <v>0</v>
      </c>
      <c r="M3250">
        <f>[2]TongHop!M3250</f>
        <v>0</v>
      </c>
      <c r="N3250">
        <f>[2]TongHop!N3250</f>
        <v>0</v>
      </c>
    </row>
    <row r="3251" spans="1:14">
      <c r="A3251">
        <f>[2]TongHop!A3251</f>
        <v>0</v>
      </c>
      <c r="B3251">
        <f>[2]TongHop!B3251</f>
        <v>0</v>
      </c>
      <c r="C3251">
        <f>[2]TongHop!C3251</f>
        <v>0</v>
      </c>
      <c r="D3251">
        <f>[2]TongHop!D3251</f>
        <v>0</v>
      </c>
      <c r="E3251">
        <f>[2]TongHop!E3251</f>
        <v>0</v>
      </c>
      <c r="F3251">
        <f>[2]TongHop!F3251</f>
        <v>0</v>
      </c>
      <c r="G3251">
        <f>[2]TongHop!G3251</f>
        <v>0</v>
      </c>
      <c r="H3251">
        <f>[2]TongHop!H3251</f>
        <v>0</v>
      </c>
      <c r="I3251">
        <f>[2]TongHop!I3251</f>
        <v>0</v>
      </c>
      <c r="J3251">
        <f>[2]TongHop!J3251</f>
        <v>0</v>
      </c>
      <c r="K3251">
        <f>[2]TongHop!K3251</f>
        <v>0</v>
      </c>
      <c r="L3251">
        <f>[2]TongHop!L3251</f>
        <v>0</v>
      </c>
      <c r="M3251">
        <f>[2]TongHop!M3251</f>
        <v>0</v>
      </c>
      <c r="N3251">
        <f>[2]TongHop!N3251</f>
        <v>0</v>
      </c>
    </row>
    <row r="3252" spans="1:14">
      <c r="A3252">
        <f>[2]TongHop!A3252</f>
        <v>0</v>
      </c>
      <c r="B3252">
        <f>[2]TongHop!B3252</f>
        <v>0</v>
      </c>
      <c r="C3252">
        <f>[2]TongHop!C3252</f>
        <v>0</v>
      </c>
      <c r="D3252">
        <f>[2]TongHop!D3252</f>
        <v>0</v>
      </c>
      <c r="E3252">
        <f>[2]TongHop!E3252</f>
        <v>0</v>
      </c>
      <c r="F3252">
        <f>[2]TongHop!F3252</f>
        <v>0</v>
      </c>
      <c r="G3252">
        <f>[2]TongHop!G3252</f>
        <v>0</v>
      </c>
      <c r="H3252">
        <f>[2]TongHop!H3252</f>
        <v>0</v>
      </c>
      <c r="I3252">
        <f>[2]TongHop!I3252</f>
        <v>0</v>
      </c>
      <c r="J3252">
        <f>[2]TongHop!J3252</f>
        <v>0</v>
      </c>
      <c r="K3252">
        <f>[2]TongHop!K3252</f>
        <v>0</v>
      </c>
      <c r="L3252">
        <f>[2]TongHop!L3252</f>
        <v>0</v>
      </c>
      <c r="M3252">
        <f>[2]TongHop!M3252</f>
        <v>0</v>
      </c>
      <c r="N3252">
        <f>[2]TongHop!N3252</f>
        <v>0</v>
      </c>
    </row>
    <row r="3253" spans="1:14">
      <c r="A3253">
        <f>[2]TongHop!A3253</f>
        <v>0</v>
      </c>
      <c r="B3253">
        <f>[2]TongHop!B3253</f>
        <v>0</v>
      </c>
      <c r="C3253">
        <f>[2]TongHop!C3253</f>
        <v>0</v>
      </c>
      <c r="D3253">
        <f>[2]TongHop!D3253</f>
        <v>0</v>
      </c>
      <c r="E3253">
        <f>[2]TongHop!E3253</f>
        <v>0</v>
      </c>
      <c r="F3253">
        <f>[2]TongHop!F3253</f>
        <v>0</v>
      </c>
      <c r="G3253">
        <f>[2]TongHop!G3253</f>
        <v>0</v>
      </c>
      <c r="H3253">
        <f>[2]TongHop!H3253</f>
        <v>0</v>
      </c>
      <c r="I3253">
        <f>[2]TongHop!I3253</f>
        <v>0</v>
      </c>
      <c r="J3253">
        <f>[2]TongHop!J3253</f>
        <v>0</v>
      </c>
      <c r="K3253">
        <f>[2]TongHop!K3253</f>
        <v>0</v>
      </c>
      <c r="L3253">
        <f>[2]TongHop!L3253</f>
        <v>0</v>
      </c>
      <c r="M3253">
        <f>[2]TongHop!M3253</f>
        <v>0</v>
      </c>
      <c r="N3253">
        <f>[2]TongHop!N3253</f>
        <v>0</v>
      </c>
    </row>
    <row r="3254" spans="1:14">
      <c r="A3254">
        <f>[2]TongHop!A3254</f>
        <v>0</v>
      </c>
      <c r="B3254">
        <f>[2]TongHop!B3254</f>
        <v>0</v>
      </c>
      <c r="C3254">
        <f>[2]TongHop!C3254</f>
        <v>0</v>
      </c>
      <c r="D3254">
        <f>[2]TongHop!D3254</f>
        <v>0</v>
      </c>
      <c r="E3254">
        <f>[2]TongHop!E3254</f>
        <v>0</v>
      </c>
      <c r="F3254">
        <f>[2]TongHop!F3254</f>
        <v>0</v>
      </c>
      <c r="G3254">
        <f>[2]TongHop!G3254</f>
        <v>0</v>
      </c>
      <c r="H3254">
        <f>[2]TongHop!H3254</f>
        <v>0</v>
      </c>
      <c r="I3254">
        <f>[2]TongHop!I3254</f>
        <v>0</v>
      </c>
      <c r="J3254">
        <f>[2]TongHop!J3254</f>
        <v>0</v>
      </c>
      <c r="K3254">
        <f>[2]TongHop!K3254</f>
        <v>0</v>
      </c>
      <c r="L3254">
        <f>[2]TongHop!L3254</f>
        <v>0</v>
      </c>
      <c r="M3254">
        <f>[2]TongHop!M3254</f>
        <v>0</v>
      </c>
      <c r="N3254">
        <f>[2]TongHop!N3254</f>
        <v>0</v>
      </c>
    </row>
    <row r="3255" spans="1:14">
      <c r="A3255">
        <f>[2]TongHop!A3255</f>
        <v>0</v>
      </c>
      <c r="B3255">
        <f>[2]TongHop!B3255</f>
        <v>0</v>
      </c>
      <c r="C3255">
        <f>[2]TongHop!C3255</f>
        <v>0</v>
      </c>
      <c r="D3255">
        <f>[2]TongHop!D3255</f>
        <v>0</v>
      </c>
      <c r="E3255">
        <f>[2]TongHop!E3255</f>
        <v>0</v>
      </c>
      <c r="F3255">
        <f>[2]TongHop!F3255</f>
        <v>0</v>
      </c>
      <c r="G3255">
        <f>[2]TongHop!G3255</f>
        <v>0</v>
      </c>
      <c r="H3255">
        <f>[2]TongHop!H3255</f>
        <v>0</v>
      </c>
      <c r="I3255">
        <f>[2]TongHop!I3255</f>
        <v>0</v>
      </c>
      <c r="J3255">
        <f>[2]TongHop!J3255</f>
        <v>0</v>
      </c>
      <c r="K3255">
        <f>[2]TongHop!K3255</f>
        <v>0</v>
      </c>
      <c r="L3255">
        <f>[2]TongHop!L3255</f>
        <v>0</v>
      </c>
      <c r="M3255">
        <f>[2]TongHop!M3255</f>
        <v>0</v>
      </c>
      <c r="N3255">
        <f>[2]TongHop!N3255</f>
        <v>0</v>
      </c>
    </row>
    <row r="3256" spans="1:14">
      <c r="A3256">
        <f>[2]TongHop!A3256</f>
        <v>0</v>
      </c>
      <c r="B3256">
        <f>[2]TongHop!B3256</f>
        <v>0</v>
      </c>
      <c r="C3256">
        <f>[2]TongHop!C3256</f>
        <v>0</v>
      </c>
      <c r="D3256">
        <f>[2]TongHop!D3256</f>
        <v>0</v>
      </c>
      <c r="E3256">
        <f>[2]TongHop!E3256</f>
        <v>0</v>
      </c>
      <c r="F3256">
        <f>[2]TongHop!F3256</f>
        <v>0</v>
      </c>
      <c r="G3256">
        <f>[2]TongHop!G3256</f>
        <v>0</v>
      </c>
      <c r="H3256">
        <f>[2]TongHop!H3256</f>
        <v>0</v>
      </c>
      <c r="I3256">
        <f>[2]TongHop!I3256</f>
        <v>0</v>
      </c>
      <c r="J3256">
        <f>[2]TongHop!J3256</f>
        <v>0</v>
      </c>
      <c r="K3256">
        <f>[2]TongHop!K3256</f>
        <v>0</v>
      </c>
      <c r="L3256">
        <f>[2]TongHop!L3256</f>
        <v>0</v>
      </c>
      <c r="M3256">
        <f>[2]TongHop!M3256</f>
        <v>0</v>
      </c>
      <c r="N3256">
        <f>[2]TongHop!N3256</f>
        <v>0</v>
      </c>
    </row>
    <row r="3257" spans="1:14">
      <c r="A3257">
        <f>[2]TongHop!A3257</f>
        <v>0</v>
      </c>
      <c r="B3257">
        <f>[2]TongHop!B3257</f>
        <v>0</v>
      </c>
      <c r="C3257">
        <f>[2]TongHop!C3257</f>
        <v>0</v>
      </c>
      <c r="D3257">
        <f>[2]TongHop!D3257</f>
        <v>0</v>
      </c>
      <c r="E3257">
        <f>[2]TongHop!E3257</f>
        <v>0</v>
      </c>
      <c r="F3257">
        <f>[2]TongHop!F3257</f>
        <v>0</v>
      </c>
      <c r="G3257">
        <f>[2]TongHop!G3257</f>
        <v>0</v>
      </c>
      <c r="H3257">
        <f>[2]TongHop!H3257</f>
        <v>0</v>
      </c>
      <c r="I3257">
        <f>[2]TongHop!I3257</f>
        <v>0</v>
      </c>
      <c r="J3257">
        <f>[2]TongHop!J3257</f>
        <v>0</v>
      </c>
      <c r="K3257">
        <f>[2]TongHop!K3257</f>
        <v>0</v>
      </c>
      <c r="L3257">
        <f>[2]TongHop!L3257</f>
        <v>0</v>
      </c>
      <c r="M3257">
        <f>[2]TongHop!M3257</f>
        <v>0</v>
      </c>
      <c r="N3257">
        <f>[2]TongHop!N3257</f>
        <v>0</v>
      </c>
    </row>
    <row r="3258" spans="1:14">
      <c r="A3258">
        <f>[2]TongHop!A3258</f>
        <v>0</v>
      </c>
      <c r="B3258">
        <f>[2]TongHop!B3258</f>
        <v>0</v>
      </c>
      <c r="C3258">
        <f>[2]TongHop!C3258</f>
        <v>0</v>
      </c>
      <c r="D3258">
        <f>[2]TongHop!D3258</f>
        <v>0</v>
      </c>
      <c r="E3258">
        <f>[2]TongHop!E3258</f>
        <v>0</v>
      </c>
      <c r="F3258">
        <f>[2]TongHop!F3258</f>
        <v>0</v>
      </c>
      <c r="G3258">
        <f>[2]TongHop!G3258</f>
        <v>0</v>
      </c>
      <c r="H3258">
        <f>[2]TongHop!H3258</f>
        <v>0</v>
      </c>
      <c r="I3258">
        <f>[2]TongHop!I3258</f>
        <v>0</v>
      </c>
      <c r="J3258">
        <f>[2]TongHop!J3258</f>
        <v>0</v>
      </c>
      <c r="K3258">
        <f>[2]TongHop!K3258</f>
        <v>0</v>
      </c>
      <c r="L3258">
        <f>[2]TongHop!L3258</f>
        <v>0</v>
      </c>
      <c r="M3258">
        <f>[2]TongHop!M3258</f>
        <v>0</v>
      </c>
      <c r="N3258">
        <f>[2]TongHop!N3258</f>
        <v>0</v>
      </c>
    </row>
    <row r="3259" spans="1:14">
      <c r="A3259">
        <f>[2]TongHop!A3259</f>
        <v>0</v>
      </c>
      <c r="B3259">
        <f>[2]TongHop!B3259</f>
        <v>0</v>
      </c>
      <c r="C3259">
        <f>[2]TongHop!C3259</f>
        <v>0</v>
      </c>
      <c r="D3259">
        <f>[2]TongHop!D3259</f>
        <v>0</v>
      </c>
      <c r="E3259">
        <f>[2]TongHop!E3259</f>
        <v>0</v>
      </c>
      <c r="F3259">
        <f>[2]TongHop!F3259</f>
        <v>0</v>
      </c>
      <c r="G3259">
        <f>[2]TongHop!G3259</f>
        <v>0</v>
      </c>
      <c r="H3259">
        <f>[2]TongHop!H3259</f>
        <v>0</v>
      </c>
      <c r="I3259">
        <f>[2]TongHop!I3259</f>
        <v>0</v>
      </c>
      <c r="J3259">
        <f>[2]TongHop!J3259</f>
        <v>0</v>
      </c>
      <c r="K3259">
        <f>[2]TongHop!K3259</f>
        <v>0</v>
      </c>
      <c r="L3259">
        <f>[2]TongHop!L3259</f>
        <v>0</v>
      </c>
      <c r="M3259">
        <f>[2]TongHop!M3259</f>
        <v>0</v>
      </c>
      <c r="N3259">
        <f>[2]TongHop!N3259</f>
        <v>0</v>
      </c>
    </row>
    <row r="3260" spans="1:14">
      <c r="A3260">
        <f>[2]TongHop!A3260</f>
        <v>0</v>
      </c>
      <c r="B3260">
        <f>[2]TongHop!B3260</f>
        <v>0</v>
      </c>
      <c r="C3260">
        <f>[2]TongHop!C3260</f>
        <v>0</v>
      </c>
      <c r="D3260">
        <f>[2]TongHop!D3260</f>
        <v>0</v>
      </c>
      <c r="E3260">
        <f>[2]TongHop!E3260</f>
        <v>0</v>
      </c>
      <c r="F3260">
        <f>[2]TongHop!F3260</f>
        <v>0</v>
      </c>
      <c r="G3260">
        <f>[2]TongHop!G3260</f>
        <v>0</v>
      </c>
      <c r="H3260">
        <f>[2]TongHop!H3260</f>
        <v>0</v>
      </c>
      <c r="I3260">
        <f>[2]TongHop!I3260</f>
        <v>0</v>
      </c>
      <c r="J3260">
        <f>[2]TongHop!J3260</f>
        <v>0</v>
      </c>
      <c r="K3260">
        <f>[2]TongHop!K3260</f>
        <v>0</v>
      </c>
      <c r="L3260">
        <f>[2]TongHop!L3260</f>
        <v>0</v>
      </c>
      <c r="M3260">
        <f>[2]TongHop!M3260</f>
        <v>0</v>
      </c>
      <c r="N3260">
        <f>[2]TongHop!N3260</f>
        <v>0</v>
      </c>
    </row>
    <row r="3261" spans="1:14">
      <c r="A3261">
        <f>[2]TongHop!A3261</f>
        <v>0</v>
      </c>
      <c r="B3261">
        <f>[2]TongHop!B3261</f>
        <v>0</v>
      </c>
      <c r="C3261">
        <f>[2]TongHop!C3261</f>
        <v>0</v>
      </c>
      <c r="D3261">
        <f>[2]TongHop!D3261</f>
        <v>0</v>
      </c>
      <c r="E3261">
        <f>[2]TongHop!E3261</f>
        <v>0</v>
      </c>
      <c r="F3261">
        <f>[2]TongHop!F3261</f>
        <v>0</v>
      </c>
      <c r="G3261">
        <f>[2]TongHop!G3261</f>
        <v>0</v>
      </c>
      <c r="H3261">
        <f>[2]TongHop!H3261</f>
        <v>0</v>
      </c>
      <c r="I3261">
        <f>[2]TongHop!I3261</f>
        <v>0</v>
      </c>
      <c r="J3261">
        <f>[2]TongHop!J3261</f>
        <v>0</v>
      </c>
      <c r="K3261">
        <f>[2]TongHop!K3261</f>
        <v>0</v>
      </c>
      <c r="L3261">
        <f>[2]TongHop!L3261</f>
        <v>0</v>
      </c>
      <c r="M3261">
        <f>[2]TongHop!M3261</f>
        <v>0</v>
      </c>
      <c r="N3261">
        <f>[2]TongHop!N3261</f>
        <v>0</v>
      </c>
    </row>
    <row r="3262" spans="1:14">
      <c r="A3262">
        <f>[2]TongHop!A3262</f>
        <v>0</v>
      </c>
      <c r="B3262">
        <f>[2]TongHop!B3262</f>
        <v>0</v>
      </c>
      <c r="C3262">
        <f>[2]TongHop!C3262</f>
        <v>0</v>
      </c>
      <c r="D3262">
        <f>[2]TongHop!D3262</f>
        <v>0</v>
      </c>
      <c r="E3262">
        <f>[2]TongHop!E3262</f>
        <v>0</v>
      </c>
      <c r="F3262">
        <f>[2]TongHop!F3262</f>
        <v>0</v>
      </c>
      <c r="G3262">
        <f>[2]TongHop!G3262</f>
        <v>0</v>
      </c>
      <c r="H3262">
        <f>[2]TongHop!H3262</f>
        <v>0</v>
      </c>
      <c r="I3262">
        <f>[2]TongHop!I3262</f>
        <v>0</v>
      </c>
      <c r="J3262">
        <f>[2]TongHop!J3262</f>
        <v>0</v>
      </c>
      <c r="K3262">
        <f>[2]TongHop!K3262</f>
        <v>0</v>
      </c>
      <c r="L3262">
        <f>[2]TongHop!L3262</f>
        <v>0</v>
      </c>
      <c r="M3262">
        <f>[2]TongHop!M3262</f>
        <v>0</v>
      </c>
      <c r="N3262">
        <f>[2]TongHop!N3262</f>
        <v>0</v>
      </c>
    </row>
    <row r="3263" spans="1:14">
      <c r="A3263">
        <f>[2]TongHop!A3263</f>
        <v>0</v>
      </c>
      <c r="B3263">
        <f>[2]TongHop!B3263</f>
        <v>0</v>
      </c>
      <c r="C3263">
        <f>[2]TongHop!C3263</f>
        <v>0</v>
      </c>
      <c r="D3263">
        <f>[2]TongHop!D3263</f>
        <v>0</v>
      </c>
      <c r="E3263">
        <f>[2]TongHop!E3263</f>
        <v>0</v>
      </c>
      <c r="F3263">
        <f>[2]TongHop!F3263</f>
        <v>0</v>
      </c>
      <c r="G3263">
        <f>[2]TongHop!G3263</f>
        <v>0</v>
      </c>
      <c r="H3263">
        <f>[2]TongHop!H3263</f>
        <v>0</v>
      </c>
      <c r="I3263">
        <f>[2]TongHop!I3263</f>
        <v>0</v>
      </c>
      <c r="J3263">
        <f>[2]TongHop!J3263</f>
        <v>0</v>
      </c>
      <c r="K3263">
        <f>[2]TongHop!K3263</f>
        <v>0</v>
      </c>
      <c r="L3263">
        <f>[2]TongHop!L3263</f>
        <v>0</v>
      </c>
      <c r="M3263">
        <f>[2]TongHop!M3263</f>
        <v>0</v>
      </c>
      <c r="N3263">
        <f>[2]TongHop!N3263</f>
        <v>0</v>
      </c>
    </row>
    <row r="3264" spans="1:14">
      <c r="A3264">
        <f>[2]TongHop!A3264</f>
        <v>0</v>
      </c>
      <c r="B3264">
        <f>[2]TongHop!B3264</f>
        <v>0</v>
      </c>
      <c r="C3264">
        <f>[2]TongHop!C3264</f>
        <v>0</v>
      </c>
      <c r="D3264">
        <f>[2]TongHop!D3264</f>
        <v>0</v>
      </c>
      <c r="E3264">
        <f>[2]TongHop!E3264</f>
        <v>0</v>
      </c>
      <c r="F3264">
        <f>[2]TongHop!F3264</f>
        <v>0</v>
      </c>
      <c r="G3264">
        <f>[2]TongHop!G3264</f>
        <v>0</v>
      </c>
      <c r="H3264">
        <f>[2]TongHop!H3264</f>
        <v>0</v>
      </c>
      <c r="I3264">
        <f>[2]TongHop!I3264</f>
        <v>0</v>
      </c>
      <c r="J3264">
        <f>[2]TongHop!J3264</f>
        <v>0</v>
      </c>
      <c r="K3264">
        <f>[2]TongHop!K3264</f>
        <v>0</v>
      </c>
      <c r="L3264">
        <f>[2]TongHop!L3264</f>
        <v>0</v>
      </c>
      <c r="M3264">
        <f>[2]TongHop!M3264</f>
        <v>0</v>
      </c>
      <c r="N3264">
        <f>[2]TongHop!N3264</f>
        <v>0</v>
      </c>
    </row>
    <row r="3265" spans="1:14">
      <c r="A3265">
        <f>[2]TongHop!A3265</f>
        <v>0</v>
      </c>
      <c r="B3265">
        <f>[2]TongHop!B3265</f>
        <v>0</v>
      </c>
      <c r="C3265">
        <f>[2]TongHop!C3265</f>
        <v>0</v>
      </c>
      <c r="D3265">
        <f>[2]TongHop!D3265</f>
        <v>0</v>
      </c>
      <c r="E3265">
        <f>[2]TongHop!E3265</f>
        <v>0</v>
      </c>
      <c r="F3265">
        <f>[2]TongHop!F3265</f>
        <v>0</v>
      </c>
      <c r="G3265">
        <f>[2]TongHop!G3265</f>
        <v>0</v>
      </c>
      <c r="H3265">
        <f>[2]TongHop!H3265</f>
        <v>0</v>
      </c>
      <c r="I3265">
        <f>[2]TongHop!I3265</f>
        <v>0</v>
      </c>
      <c r="J3265">
        <f>[2]TongHop!J3265</f>
        <v>0</v>
      </c>
      <c r="K3265">
        <f>[2]TongHop!K3265</f>
        <v>0</v>
      </c>
      <c r="L3265">
        <f>[2]TongHop!L3265</f>
        <v>0</v>
      </c>
      <c r="M3265">
        <f>[2]TongHop!M3265</f>
        <v>0</v>
      </c>
      <c r="N3265">
        <f>[2]TongHop!N3265</f>
        <v>0</v>
      </c>
    </row>
    <row r="3266" spans="1:14">
      <c r="A3266">
        <f>[2]TongHop!A3266</f>
        <v>0</v>
      </c>
      <c r="B3266">
        <f>[2]TongHop!B3266</f>
        <v>0</v>
      </c>
      <c r="C3266">
        <f>[2]TongHop!C3266</f>
        <v>0</v>
      </c>
      <c r="D3266">
        <f>[2]TongHop!D3266</f>
        <v>0</v>
      </c>
      <c r="E3266">
        <f>[2]TongHop!E3266</f>
        <v>0</v>
      </c>
      <c r="F3266">
        <f>[2]TongHop!F3266</f>
        <v>0</v>
      </c>
      <c r="G3266">
        <f>[2]TongHop!G3266</f>
        <v>0</v>
      </c>
      <c r="H3266">
        <f>[2]TongHop!H3266</f>
        <v>0</v>
      </c>
      <c r="I3266">
        <f>[2]TongHop!I3266</f>
        <v>0</v>
      </c>
      <c r="J3266">
        <f>[2]TongHop!J3266</f>
        <v>0</v>
      </c>
      <c r="K3266">
        <f>[2]TongHop!K3266</f>
        <v>0</v>
      </c>
      <c r="L3266">
        <f>[2]TongHop!L3266</f>
        <v>0</v>
      </c>
      <c r="M3266">
        <f>[2]TongHop!M3266</f>
        <v>0</v>
      </c>
      <c r="N3266">
        <f>[2]TongHop!N3266</f>
        <v>0</v>
      </c>
    </row>
    <row r="3267" spans="1:14">
      <c r="A3267">
        <f>[2]TongHop!A3267</f>
        <v>0</v>
      </c>
      <c r="B3267">
        <f>[2]TongHop!B3267</f>
        <v>0</v>
      </c>
      <c r="C3267">
        <f>[2]TongHop!C3267</f>
        <v>0</v>
      </c>
      <c r="D3267">
        <f>[2]TongHop!D3267</f>
        <v>0</v>
      </c>
      <c r="E3267">
        <f>[2]TongHop!E3267</f>
        <v>0</v>
      </c>
      <c r="F3267">
        <f>[2]TongHop!F3267</f>
        <v>0</v>
      </c>
      <c r="G3267">
        <f>[2]TongHop!G3267</f>
        <v>0</v>
      </c>
      <c r="H3267">
        <f>[2]TongHop!H3267</f>
        <v>0</v>
      </c>
      <c r="I3267">
        <f>[2]TongHop!I3267</f>
        <v>0</v>
      </c>
      <c r="J3267">
        <f>[2]TongHop!J3267</f>
        <v>0</v>
      </c>
      <c r="K3267">
        <f>[2]TongHop!K3267</f>
        <v>0</v>
      </c>
      <c r="L3267">
        <f>[2]TongHop!L3267</f>
        <v>0</v>
      </c>
      <c r="M3267">
        <f>[2]TongHop!M3267</f>
        <v>0</v>
      </c>
      <c r="N3267">
        <f>[2]TongHop!N3267</f>
        <v>0</v>
      </c>
    </row>
    <row r="3268" spans="1:14">
      <c r="A3268">
        <f>[2]TongHop!A3268</f>
        <v>0</v>
      </c>
      <c r="B3268">
        <f>[2]TongHop!B3268</f>
        <v>0</v>
      </c>
      <c r="C3268">
        <f>[2]TongHop!C3268</f>
        <v>0</v>
      </c>
      <c r="D3268">
        <f>[2]TongHop!D3268</f>
        <v>0</v>
      </c>
      <c r="E3268">
        <f>[2]TongHop!E3268</f>
        <v>0</v>
      </c>
      <c r="F3268">
        <f>[2]TongHop!F3268</f>
        <v>0</v>
      </c>
      <c r="G3268">
        <f>[2]TongHop!G3268</f>
        <v>0</v>
      </c>
      <c r="H3268">
        <f>[2]TongHop!H3268</f>
        <v>0</v>
      </c>
      <c r="I3268">
        <f>[2]TongHop!I3268</f>
        <v>0</v>
      </c>
      <c r="J3268">
        <f>[2]TongHop!J3268</f>
        <v>0</v>
      </c>
      <c r="K3268">
        <f>[2]TongHop!K3268</f>
        <v>0</v>
      </c>
      <c r="L3268">
        <f>[2]TongHop!L3268</f>
        <v>0</v>
      </c>
      <c r="M3268">
        <f>[2]TongHop!M3268</f>
        <v>0</v>
      </c>
      <c r="N3268">
        <f>[2]TongHop!N3268</f>
        <v>0</v>
      </c>
    </row>
    <row r="3269" spans="1:14">
      <c r="A3269">
        <f>[2]TongHop!A3269</f>
        <v>0</v>
      </c>
      <c r="B3269">
        <f>[2]TongHop!B3269</f>
        <v>0</v>
      </c>
      <c r="C3269">
        <f>[2]TongHop!C3269</f>
        <v>0</v>
      </c>
      <c r="D3269">
        <f>[2]TongHop!D3269</f>
        <v>0</v>
      </c>
      <c r="E3269">
        <f>[2]TongHop!E3269</f>
        <v>0</v>
      </c>
      <c r="F3269">
        <f>[2]TongHop!F3269</f>
        <v>0</v>
      </c>
      <c r="G3269">
        <f>[2]TongHop!G3269</f>
        <v>0</v>
      </c>
      <c r="H3269">
        <f>[2]TongHop!H3269</f>
        <v>0</v>
      </c>
      <c r="I3269">
        <f>[2]TongHop!I3269</f>
        <v>0</v>
      </c>
      <c r="J3269">
        <f>[2]TongHop!J3269</f>
        <v>0</v>
      </c>
      <c r="K3269">
        <f>[2]TongHop!K3269</f>
        <v>0</v>
      </c>
      <c r="L3269">
        <f>[2]TongHop!L3269</f>
        <v>0</v>
      </c>
      <c r="M3269">
        <f>[2]TongHop!M3269</f>
        <v>0</v>
      </c>
      <c r="N3269">
        <f>[2]TongHop!N3269</f>
        <v>0</v>
      </c>
    </row>
    <row r="3270" spans="1:14">
      <c r="A3270">
        <f>[2]TongHop!A3270</f>
        <v>0</v>
      </c>
      <c r="B3270">
        <f>[2]TongHop!B3270</f>
        <v>0</v>
      </c>
      <c r="C3270">
        <f>[2]TongHop!C3270</f>
        <v>0</v>
      </c>
      <c r="D3270">
        <f>[2]TongHop!D3270</f>
        <v>0</v>
      </c>
      <c r="E3270">
        <f>[2]TongHop!E3270</f>
        <v>0</v>
      </c>
      <c r="F3270">
        <f>[2]TongHop!F3270</f>
        <v>0</v>
      </c>
      <c r="G3270">
        <f>[2]TongHop!G3270</f>
        <v>0</v>
      </c>
      <c r="H3270">
        <f>[2]TongHop!H3270</f>
        <v>0</v>
      </c>
      <c r="I3270">
        <f>[2]TongHop!I3270</f>
        <v>0</v>
      </c>
      <c r="J3270">
        <f>[2]TongHop!J3270</f>
        <v>0</v>
      </c>
      <c r="K3270">
        <f>[2]TongHop!K3270</f>
        <v>0</v>
      </c>
      <c r="L3270">
        <f>[2]TongHop!L3270</f>
        <v>0</v>
      </c>
      <c r="M3270">
        <f>[2]TongHop!M3270</f>
        <v>0</v>
      </c>
      <c r="N3270">
        <f>[2]TongHop!N3270</f>
        <v>0</v>
      </c>
    </row>
    <row r="3271" spans="1:14">
      <c r="A3271">
        <f>[2]TongHop!A3271</f>
        <v>0</v>
      </c>
      <c r="B3271">
        <f>[2]TongHop!B3271</f>
        <v>0</v>
      </c>
      <c r="C3271">
        <f>[2]TongHop!C3271</f>
        <v>0</v>
      </c>
      <c r="D3271">
        <f>[2]TongHop!D3271</f>
        <v>0</v>
      </c>
      <c r="E3271">
        <f>[2]TongHop!E3271</f>
        <v>0</v>
      </c>
      <c r="F3271">
        <f>[2]TongHop!F3271</f>
        <v>0</v>
      </c>
      <c r="G3271">
        <f>[2]TongHop!G3271</f>
        <v>0</v>
      </c>
      <c r="H3271">
        <f>[2]TongHop!H3271</f>
        <v>0</v>
      </c>
      <c r="I3271">
        <f>[2]TongHop!I3271</f>
        <v>0</v>
      </c>
      <c r="J3271">
        <f>[2]TongHop!J3271</f>
        <v>0</v>
      </c>
      <c r="K3271">
        <f>[2]TongHop!K3271</f>
        <v>0</v>
      </c>
      <c r="L3271">
        <f>[2]TongHop!L3271</f>
        <v>0</v>
      </c>
      <c r="M3271">
        <f>[2]TongHop!M3271</f>
        <v>0</v>
      </c>
      <c r="N3271">
        <f>[2]TongHop!N3271</f>
        <v>0</v>
      </c>
    </row>
    <row r="3272" spans="1:14">
      <c r="A3272">
        <f>[2]TongHop!A3272</f>
        <v>0</v>
      </c>
      <c r="B3272">
        <f>[2]TongHop!B3272</f>
        <v>0</v>
      </c>
      <c r="C3272">
        <f>[2]TongHop!C3272</f>
        <v>0</v>
      </c>
      <c r="D3272">
        <f>[2]TongHop!D3272</f>
        <v>0</v>
      </c>
      <c r="E3272">
        <f>[2]TongHop!E3272</f>
        <v>0</v>
      </c>
      <c r="F3272">
        <f>[2]TongHop!F3272</f>
        <v>0</v>
      </c>
      <c r="G3272">
        <f>[2]TongHop!G3272</f>
        <v>0</v>
      </c>
      <c r="H3272">
        <f>[2]TongHop!H3272</f>
        <v>0</v>
      </c>
      <c r="I3272">
        <f>[2]TongHop!I3272</f>
        <v>0</v>
      </c>
      <c r="J3272">
        <f>[2]TongHop!J3272</f>
        <v>0</v>
      </c>
      <c r="K3272">
        <f>[2]TongHop!K3272</f>
        <v>0</v>
      </c>
      <c r="L3272">
        <f>[2]TongHop!L3272</f>
        <v>0</v>
      </c>
      <c r="M3272">
        <f>[2]TongHop!M3272</f>
        <v>0</v>
      </c>
      <c r="N3272">
        <f>[2]TongHop!N3272</f>
        <v>0</v>
      </c>
    </row>
    <row r="3273" spans="1:14">
      <c r="A3273">
        <f>[2]TongHop!A3273</f>
        <v>0</v>
      </c>
      <c r="B3273">
        <f>[2]TongHop!B3273</f>
        <v>0</v>
      </c>
      <c r="C3273">
        <f>[2]TongHop!C3273</f>
        <v>0</v>
      </c>
      <c r="D3273">
        <f>[2]TongHop!D3273</f>
        <v>0</v>
      </c>
      <c r="E3273">
        <f>[2]TongHop!E3273</f>
        <v>0</v>
      </c>
      <c r="F3273">
        <f>[2]TongHop!F3273</f>
        <v>0</v>
      </c>
      <c r="G3273">
        <f>[2]TongHop!G3273</f>
        <v>0</v>
      </c>
      <c r="H3273">
        <f>[2]TongHop!H3273</f>
        <v>0</v>
      </c>
      <c r="I3273">
        <f>[2]TongHop!I3273</f>
        <v>0</v>
      </c>
      <c r="J3273">
        <f>[2]TongHop!J3273</f>
        <v>0</v>
      </c>
      <c r="K3273">
        <f>[2]TongHop!K3273</f>
        <v>0</v>
      </c>
      <c r="L3273">
        <f>[2]TongHop!L3273</f>
        <v>0</v>
      </c>
      <c r="M3273">
        <f>[2]TongHop!M3273</f>
        <v>0</v>
      </c>
      <c r="N3273">
        <f>[2]TongHop!N3273</f>
        <v>0</v>
      </c>
    </row>
    <row r="3274" spans="1:14">
      <c r="A3274">
        <f>[2]TongHop!A3274</f>
        <v>0</v>
      </c>
      <c r="B3274">
        <f>[2]TongHop!B3274</f>
        <v>0</v>
      </c>
      <c r="C3274">
        <f>[2]TongHop!C3274</f>
        <v>0</v>
      </c>
      <c r="D3274">
        <f>[2]TongHop!D3274</f>
        <v>0</v>
      </c>
      <c r="E3274">
        <f>[2]TongHop!E3274</f>
        <v>0</v>
      </c>
      <c r="F3274">
        <f>[2]TongHop!F3274</f>
        <v>0</v>
      </c>
      <c r="G3274">
        <f>[2]TongHop!G3274</f>
        <v>0</v>
      </c>
      <c r="H3274">
        <f>[2]TongHop!H3274</f>
        <v>0</v>
      </c>
      <c r="I3274">
        <f>[2]TongHop!I3274</f>
        <v>0</v>
      </c>
      <c r="J3274">
        <f>[2]TongHop!J3274</f>
        <v>0</v>
      </c>
      <c r="K3274">
        <f>[2]TongHop!K3274</f>
        <v>0</v>
      </c>
      <c r="L3274">
        <f>[2]TongHop!L3274</f>
        <v>0</v>
      </c>
      <c r="M3274">
        <f>[2]TongHop!M3274</f>
        <v>0</v>
      </c>
      <c r="N3274">
        <f>[2]TongHop!N3274</f>
        <v>0</v>
      </c>
    </row>
    <row r="3275" spans="1:14">
      <c r="A3275">
        <f>[2]TongHop!A3275</f>
        <v>0</v>
      </c>
      <c r="B3275">
        <f>[2]TongHop!B3275</f>
        <v>0</v>
      </c>
      <c r="C3275">
        <f>[2]TongHop!C3275</f>
        <v>0</v>
      </c>
      <c r="D3275">
        <f>[2]TongHop!D3275</f>
        <v>0</v>
      </c>
      <c r="E3275">
        <f>[2]TongHop!E3275</f>
        <v>0</v>
      </c>
      <c r="F3275">
        <f>[2]TongHop!F3275</f>
        <v>0</v>
      </c>
      <c r="G3275">
        <f>[2]TongHop!G3275</f>
        <v>0</v>
      </c>
      <c r="H3275">
        <f>[2]TongHop!H3275</f>
        <v>0</v>
      </c>
      <c r="I3275">
        <f>[2]TongHop!I3275</f>
        <v>0</v>
      </c>
      <c r="J3275">
        <f>[2]TongHop!J3275</f>
        <v>0</v>
      </c>
      <c r="K3275">
        <f>[2]TongHop!K3275</f>
        <v>0</v>
      </c>
      <c r="L3275">
        <f>[2]TongHop!L3275</f>
        <v>0</v>
      </c>
      <c r="M3275">
        <f>[2]TongHop!M3275</f>
        <v>0</v>
      </c>
      <c r="N3275">
        <f>[2]TongHop!N3275</f>
        <v>0</v>
      </c>
    </row>
    <row r="3276" spans="1:14">
      <c r="A3276">
        <f>[2]TongHop!A3276</f>
        <v>0</v>
      </c>
      <c r="B3276">
        <f>[2]TongHop!B3276</f>
        <v>0</v>
      </c>
      <c r="C3276">
        <f>[2]TongHop!C3276</f>
        <v>0</v>
      </c>
      <c r="D3276">
        <f>[2]TongHop!D3276</f>
        <v>0</v>
      </c>
      <c r="E3276">
        <f>[2]TongHop!E3276</f>
        <v>0</v>
      </c>
      <c r="F3276">
        <f>[2]TongHop!F3276</f>
        <v>0</v>
      </c>
      <c r="G3276">
        <f>[2]TongHop!G3276</f>
        <v>0</v>
      </c>
      <c r="H3276">
        <f>[2]TongHop!H3276</f>
        <v>0</v>
      </c>
      <c r="I3276">
        <f>[2]TongHop!I3276</f>
        <v>0</v>
      </c>
      <c r="J3276">
        <f>[2]TongHop!J3276</f>
        <v>0</v>
      </c>
      <c r="K3276">
        <f>[2]TongHop!K3276</f>
        <v>0</v>
      </c>
      <c r="L3276">
        <f>[2]TongHop!L3276</f>
        <v>0</v>
      </c>
      <c r="M3276">
        <f>[2]TongHop!M3276</f>
        <v>0</v>
      </c>
      <c r="N3276">
        <f>[2]TongHop!N3276</f>
        <v>0</v>
      </c>
    </row>
    <row r="3277" spans="1:14">
      <c r="A3277">
        <f>[2]TongHop!A3277</f>
        <v>0</v>
      </c>
      <c r="B3277">
        <f>[2]TongHop!B3277</f>
        <v>0</v>
      </c>
      <c r="C3277">
        <f>[2]TongHop!C3277</f>
        <v>0</v>
      </c>
      <c r="D3277">
        <f>[2]TongHop!D3277</f>
        <v>0</v>
      </c>
      <c r="E3277">
        <f>[2]TongHop!E3277</f>
        <v>0</v>
      </c>
      <c r="F3277">
        <f>[2]TongHop!F3277</f>
        <v>0</v>
      </c>
      <c r="G3277">
        <f>[2]TongHop!G3277</f>
        <v>0</v>
      </c>
      <c r="H3277">
        <f>[2]TongHop!H3277</f>
        <v>0</v>
      </c>
      <c r="I3277">
        <f>[2]TongHop!I3277</f>
        <v>0</v>
      </c>
      <c r="J3277">
        <f>[2]TongHop!J3277</f>
        <v>0</v>
      </c>
      <c r="K3277">
        <f>[2]TongHop!K3277</f>
        <v>0</v>
      </c>
      <c r="L3277">
        <f>[2]TongHop!L3277</f>
        <v>0</v>
      </c>
      <c r="M3277">
        <f>[2]TongHop!M3277</f>
        <v>0</v>
      </c>
      <c r="N3277">
        <f>[2]TongHop!N3277</f>
        <v>0</v>
      </c>
    </row>
    <row r="3278" spans="1:14">
      <c r="A3278">
        <f>[2]TongHop!A3278</f>
        <v>0</v>
      </c>
      <c r="B3278">
        <f>[2]TongHop!B3278</f>
        <v>0</v>
      </c>
      <c r="C3278">
        <f>[2]TongHop!C3278</f>
        <v>0</v>
      </c>
      <c r="D3278">
        <f>[2]TongHop!D3278</f>
        <v>0</v>
      </c>
      <c r="E3278">
        <f>[2]TongHop!E3278</f>
        <v>0</v>
      </c>
      <c r="F3278">
        <f>[2]TongHop!F3278</f>
        <v>0</v>
      </c>
      <c r="G3278">
        <f>[2]TongHop!G3278</f>
        <v>0</v>
      </c>
      <c r="H3278">
        <f>[2]TongHop!H3278</f>
        <v>0</v>
      </c>
      <c r="I3278">
        <f>[2]TongHop!I3278</f>
        <v>0</v>
      </c>
      <c r="J3278">
        <f>[2]TongHop!J3278</f>
        <v>0</v>
      </c>
      <c r="K3278">
        <f>[2]TongHop!K3278</f>
        <v>0</v>
      </c>
      <c r="L3278">
        <f>[2]TongHop!L3278</f>
        <v>0</v>
      </c>
      <c r="M3278">
        <f>[2]TongHop!M3278</f>
        <v>0</v>
      </c>
      <c r="N3278">
        <f>[2]TongHop!N3278</f>
        <v>0</v>
      </c>
    </row>
    <row r="3279" spans="1:14">
      <c r="A3279">
        <f>[2]TongHop!A3279</f>
        <v>0</v>
      </c>
      <c r="B3279">
        <f>[2]TongHop!B3279</f>
        <v>0</v>
      </c>
      <c r="C3279">
        <f>[2]TongHop!C3279</f>
        <v>0</v>
      </c>
      <c r="D3279">
        <f>[2]TongHop!D3279</f>
        <v>0</v>
      </c>
      <c r="E3279">
        <f>[2]TongHop!E3279</f>
        <v>0</v>
      </c>
      <c r="F3279">
        <f>[2]TongHop!F3279</f>
        <v>0</v>
      </c>
      <c r="G3279">
        <f>[2]TongHop!G3279</f>
        <v>0</v>
      </c>
      <c r="H3279">
        <f>[2]TongHop!H3279</f>
        <v>0</v>
      </c>
      <c r="I3279">
        <f>[2]TongHop!I3279</f>
        <v>0</v>
      </c>
      <c r="J3279">
        <f>[2]TongHop!J3279</f>
        <v>0</v>
      </c>
      <c r="K3279">
        <f>[2]TongHop!K3279</f>
        <v>0</v>
      </c>
      <c r="L3279">
        <f>[2]TongHop!L3279</f>
        <v>0</v>
      </c>
      <c r="M3279">
        <f>[2]TongHop!M3279</f>
        <v>0</v>
      </c>
      <c r="N3279">
        <f>[2]TongHop!N3279</f>
        <v>0</v>
      </c>
    </row>
    <row r="3280" spans="1:14">
      <c r="A3280">
        <f>[2]TongHop!A3280</f>
        <v>0</v>
      </c>
      <c r="B3280">
        <f>[2]TongHop!B3280</f>
        <v>0</v>
      </c>
      <c r="C3280">
        <f>[2]TongHop!C3280</f>
        <v>0</v>
      </c>
      <c r="D3280">
        <f>[2]TongHop!D3280</f>
        <v>0</v>
      </c>
      <c r="E3280">
        <f>[2]TongHop!E3280</f>
        <v>0</v>
      </c>
      <c r="F3280">
        <f>[2]TongHop!F3280</f>
        <v>0</v>
      </c>
      <c r="G3280">
        <f>[2]TongHop!G3280</f>
        <v>0</v>
      </c>
      <c r="H3280">
        <f>[2]TongHop!H3280</f>
        <v>0</v>
      </c>
      <c r="I3280">
        <f>[2]TongHop!I3280</f>
        <v>0</v>
      </c>
      <c r="J3280">
        <f>[2]TongHop!J3280</f>
        <v>0</v>
      </c>
      <c r="K3280">
        <f>[2]TongHop!K3280</f>
        <v>0</v>
      </c>
      <c r="L3280">
        <f>[2]TongHop!L3280</f>
        <v>0</v>
      </c>
      <c r="M3280">
        <f>[2]TongHop!M3280</f>
        <v>0</v>
      </c>
      <c r="N3280">
        <f>[2]TongHop!N3280</f>
        <v>0</v>
      </c>
    </row>
    <row r="3281" spans="1:14">
      <c r="A3281">
        <f>[2]TongHop!A3281</f>
        <v>0</v>
      </c>
      <c r="B3281">
        <f>[2]TongHop!B3281</f>
        <v>0</v>
      </c>
      <c r="C3281">
        <f>[2]TongHop!C3281</f>
        <v>0</v>
      </c>
      <c r="D3281">
        <f>[2]TongHop!D3281</f>
        <v>0</v>
      </c>
      <c r="E3281">
        <f>[2]TongHop!E3281</f>
        <v>0</v>
      </c>
      <c r="F3281">
        <f>[2]TongHop!F3281</f>
        <v>0</v>
      </c>
      <c r="G3281">
        <f>[2]TongHop!G3281</f>
        <v>0</v>
      </c>
      <c r="H3281">
        <f>[2]TongHop!H3281</f>
        <v>0</v>
      </c>
      <c r="I3281">
        <f>[2]TongHop!I3281</f>
        <v>0</v>
      </c>
      <c r="J3281">
        <f>[2]TongHop!J3281</f>
        <v>0</v>
      </c>
      <c r="K3281">
        <f>[2]TongHop!K3281</f>
        <v>0</v>
      </c>
      <c r="L3281">
        <f>[2]TongHop!L3281</f>
        <v>0</v>
      </c>
      <c r="M3281">
        <f>[2]TongHop!M3281</f>
        <v>0</v>
      </c>
      <c r="N3281">
        <f>[2]TongHop!N3281</f>
        <v>0</v>
      </c>
    </row>
    <row r="3282" spans="1:14">
      <c r="A3282">
        <f>[2]TongHop!A3282</f>
        <v>0</v>
      </c>
      <c r="B3282">
        <f>[2]TongHop!B3282</f>
        <v>0</v>
      </c>
      <c r="C3282">
        <f>[2]TongHop!C3282</f>
        <v>0</v>
      </c>
      <c r="D3282">
        <f>[2]TongHop!D3282</f>
        <v>0</v>
      </c>
      <c r="E3282">
        <f>[2]TongHop!E3282</f>
        <v>0</v>
      </c>
      <c r="F3282">
        <f>[2]TongHop!F3282</f>
        <v>0</v>
      </c>
      <c r="G3282">
        <f>[2]TongHop!G3282</f>
        <v>0</v>
      </c>
      <c r="H3282">
        <f>[2]TongHop!H3282</f>
        <v>0</v>
      </c>
      <c r="I3282">
        <f>[2]TongHop!I3282</f>
        <v>0</v>
      </c>
      <c r="J3282">
        <f>[2]TongHop!J3282</f>
        <v>0</v>
      </c>
      <c r="K3282">
        <f>[2]TongHop!K3282</f>
        <v>0</v>
      </c>
      <c r="L3282">
        <f>[2]TongHop!L3282</f>
        <v>0</v>
      </c>
      <c r="M3282">
        <f>[2]TongHop!M3282</f>
        <v>0</v>
      </c>
      <c r="N3282">
        <f>[2]TongHop!N3282</f>
        <v>0</v>
      </c>
    </row>
    <row r="3283" spans="1:14">
      <c r="A3283">
        <f>[2]TongHop!A3283</f>
        <v>0</v>
      </c>
      <c r="B3283">
        <f>[2]TongHop!B3283</f>
        <v>0</v>
      </c>
      <c r="C3283">
        <f>[2]TongHop!C3283</f>
        <v>0</v>
      </c>
      <c r="D3283">
        <f>[2]TongHop!D3283</f>
        <v>0</v>
      </c>
      <c r="E3283">
        <f>[2]TongHop!E3283</f>
        <v>0</v>
      </c>
      <c r="F3283">
        <f>[2]TongHop!F3283</f>
        <v>0</v>
      </c>
      <c r="G3283">
        <f>[2]TongHop!G3283</f>
        <v>0</v>
      </c>
      <c r="H3283">
        <f>[2]TongHop!H3283</f>
        <v>0</v>
      </c>
      <c r="I3283">
        <f>[2]TongHop!I3283</f>
        <v>0</v>
      </c>
      <c r="J3283">
        <f>[2]TongHop!J3283</f>
        <v>0</v>
      </c>
      <c r="K3283">
        <f>[2]TongHop!K3283</f>
        <v>0</v>
      </c>
      <c r="L3283">
        <f>[2]TongHop!L3283</f>
        <v>0</v>
      </c>
      <c r="M3283">
        <f>[2]TongHop!M3283</f>
        <v>0</v>
      </c>
      <c r="N3283">
        <f>[2]TongHop!N3283</f>
        <v>0</v>
      </c>
    </row>
    <row r="3284" spans="1:14">
      <c r="A3284">
        <f>[2]TongHop!A3284</f>
        <v>0</v>
      </c>
      <c r="B3284">
        <f>[2]TongHop!B3284</f>
        <v>0</v>
      </c>
      <c r="C3284">
        <f>[2]TongHop!C3284</f>
        <v>0</v>
      </c>
      <c r="D3284">
        <f>[2]TongHop!D3284</f>
        <v>0</v>
      </c>
      <c r="E3284">
        <f>[2]TongHop!E3284</f>
        <v>0</v>
      </c>
      <c r="F3284">
        <f>[2]TongHop!F3284</f>
        <v>0</v>
      </c>
      <c r="G3284">
        <f>[2]TongHop!G3284</f>
        <v>0</v>
      </c>
      <c r="H3284">
        <f>[2]TongHop!H3284</f>
        <v>0</v>
      </c>
      <c r="I3284">
        <f>[2]TongHop!I3284</f>
        <v>0</v>
      </c>
      <c r="J3284">
        <f>[2]TongHop!J3284</f>
        <v>0</v>
      </c>
      <c r="K3284">
        <f>[2]TongHop!K3284</f>
        <v>0</v>
      </c>
      <c r="L3284">
        <f>[2]TongHop!L3284</f>
        <v>0</v>
      </c>
      <c r="M3284">
        <f>[2]TongHop!M3284</f>
        <v>0</v>
      </c>
      <c r="N3284">
        <f>[2]TongHop!N3284</f>
        <v>0</v>
      </c>
    </row>
    <row r="3285" spans="1:14">
      <c r="A3285">
        <f>[2]TongHop!A3285</f>
        <v>0</v>
      </c>
      <c r="B3285">
        <f>[2]TongHop!B3285</f>
        <v>0</v>
      </c>
      <c r="C3285">
        <f>[2]TongHop!C3285</f>
        <v>0</v>
      </c>
      <c r="D3285">
        <f>[2]TongHop!D3285</f>
        <v>0</v>
      </c>
      <c r="E3285">
        <f>[2]TongHop!E3285</f>
        <v>0</v>
      </c>
      <c r="F3285">
        <f>[2]TongHop!F3285</f>
        <v>0</v>
      </c>
      <c r="G3285">
        <f>[2]TongHop!G3285</f>
        <v>0</v>
      </c>
      <c r="H3285">
        <f>[2]TongHop!H3285</f>
        <v>0</v>
      </c>
      <c r="I3285">
        <f>[2]TongHop!I3285</f>
        <v>0</v>
      </c>
      <c r="J3285">
        <f>[2]TongHop!J3285</f>
        <v>0</v>
      </c>
      <c r="K3285">
        <f>[2]TongHop!K3285</f>
        <v>0</v>
      </c>
      <c r="L3285">
        <f>[2]TongHop!L3285</f>
        <v>0</v>
      </c>
      <c r="M3285">
        <f>[2]TongHop!M3285</f>
        <v>0</v>
      </c>
      <c r="N3285">
        <f>[2]TongHop!N3285</f>
        <v>0</v>
      </c>
    </row>
    <row r="3286" spans="1:14">
      <c r="A3286">
        <f>[2]TongHop!A3286</f>
        <v>0</v>
      </c>
      <c r="B3286">
        <f>[2]TongHop!B3286</f>
        <v>0</v>
      </c>
      <c r="C3286">
        <f>[2]TongHop!C3286</f>
        <v>0</v>
      </c>
      <c r="D3286">
        <f>[2]TongHop!D3286</f>
        <v>0</v>
      </c>
      <c r="E3286">
        <f>[2]TongHop!E3286</f>
        <v>0</v>
      </c>
      <c r="F3286">
        <f>[2]TongHop!F3286</f>
        <v>0</v>
      </c>
      <c r="G3286">
        <f>[2]TongHop!G3286</f>
        <v>0</v>
      </c>
      <c r="H3286">
        <f>[2]TongHop!H3286</f>
        <v>0</v>
      </c>
      <c r="I3286">
        <f>[2]TongHop!I3286</f>
        <v>0</v>
      </c>
      <c r="J3286">
        <f>[2]TongHop!J3286</f>
        <v>0</v>
      </c>
      <c r="K3286">
        <f>[2]TongHop!K3286</f>
        <v>0</v>
      </c>
      <c r="L3286">
        <f>[2]TongHop!L3286</f>
        <v>0</v>
      </c>
      <c r="M3286">
        <f>[2]TongHop!M3286</f>
        <v>0</v>
      </c>
      <c r="N3286">
        <f>[2]TongHop!N3286</f>
        <v>0</v>
      </c>
    </row>
    <row r="3287" spans="1:14">
      <c r="A3287">
        <f>[2]TongHop!A3287</f>
        <v>0</v>
      </c>
      <c r="B3287">
        <f>[2]TongHop!B3287</f>
        <v>0</v>
      </c>
      <c r="C3287">
        <f>[2]TongHop!C3287</f>
        <v>0</v>
      </c>
      <c r="D3287">
        <f>[2]TongHop!D3287</f>
        <v>0</v>
      </c>
      <c r="E3287">
        <f>[2]TongHop!E3287</f>
        <v>0</v>
      </c>
      <c r="F3287">
        <f>[2]TongHop!F3287</f>
        <v>0</v>
      </c>
      <c r="G3287">
        <f>[2]TongHop!G3287</f>
        <v>0</v>
      </c>
      <c r="H3287">
        <f>[2]TongHop!H3287</f>
        <v>0</v>
      </c>
      <c r="I3287">
        <f>[2]TongHop!I3287</f>
        <v>0</v>
      </c>
      <c r="J3287">
        <f>[2]TongHop!J3287</f>
        <v>0</v>
      </c>
      <c r="K3287">
        <f>[2]TongHop!K3287</f>
        <v>0</v>
      </c>
      <c r="L3287">
        <f>[2]TongHop!L3287</f>
        <v>0</v>
      </c>
      <c r="M3287">
        <f>[2]TongHop!M3287</f>
        <v>0</v>
      </c>
      <c r="N3287">
        <f>[2]TongHop!N3287</f>
        <v>0</v>
      </c>
    </row>
    <row r="3288" spans="1:14">
      <c r="A3288">
        <f>[2]TongHop!A3288</f>
        <v>0</v>
      </c>
      <c r="B3288">
        <f>[2]TongHop!B3288</f>
        <v>0</v>
      </c>
      <c r="C3288">
        <f>[2]TongHop!C3288</f>
        <v>0</v>
      </c>
      <c r="D3288">
        <f>[2]TongHop!D3288</f>
        <v>0</v>
      </c>
      <c r="E3288">
        <f>[2]TongHop!E3288</f>
        <v>0</v>
      </c>
      <c r="F3288">
        <f>[2]TongHop!F3288</f>
        <v>0</v>
      </c>
      <c r="G3288">
        <f>[2]TongHop!G3288</f>
        <v>0</v>
      </c>
      <c r="H3288">
        <f>[2]TongHop!H3288</f>
        <v>0</v>
      </c>
      <c r="I3288">
        <f>[2]TongHop!I3288</f>
        <v>0</v>
      </c>
      <c r="J3288">
        <f>[2]TongHop!J3288</f>
        <v>0</v>
      </c>
      <c r="K3288">
        <f>[2]TongHop!K3288</f>
        <v>0</v>
      </c>
      <c r="L3288">
        <f>[2]TongHop!L3288</f>
        <v>0</v>
      </c>
      <c r="M3288">
        <f>[2]TongHop!M3288</f>
        <v>0</v>
      </c>
      <c r="N3288">
        <f>[2]TongHop!N3288</f>
        <v>0</v>
      </c>
    </row>
    <row r="3289" spans="1:14">
      <c r="A3289">
        <f>[2]TongHop!A3289</f>
        <v>0</v>
      </c>
      <c r="B3289">
        <f>[2]TongHop!B3289</f>
        <v>0</v>
      </c>
      <c r="C3289">
        <f>[2]TongHop!C3289</f>
        <v>0</v>
      </c>
      <c r="D3289">
        <f>[2]TongHop!D3289</f>
        <v>0</v>
      </c>
      <c r="E3289">
        <f>[2]TongHop!E3289</f>
        <v>0</v>
      </c>
      <c r="F3289">
        <f>[2]TongHop!F3289</f>
        <v>0</v>
      </c>
      <c r="G3289">
        <f>[2]TongHop!G3289</f>
        <v>0</v>
      </c>
      <c r="H3289">
        <f>[2]TongHop!H3289</f>
        <v>0</v>
      </c>
      <c r="I3289">
        <f>[2]TongHop!I3289</f>
        <v>0</v>
      </c>
      <c r="J3289">
        <f>[2]TongHop!J3289</f>
        <v>0</v>
      </c>
      <c r="K3289">
        <f>[2]TongHop!K3289</f>
        <v>0</v>
      </c>
      <c r="L3289">
        <f>[2]TongHop!L3289</f>
        <v>0</v>
      </c>
      <c r="M3289">
        <f>[2]TongHop!M3289</f>
        <v>0</v>
      </c>
      <c r="N3289">
        <f>[2]TongHop!N3289</f>
        <v>0</v>
      </c>
    </row>
    <row r="3290" spans="1:14">
      <c r="A3290">
        <f>[2]TongHop!A3290</f>
        <v>0</v>
      </c>
      <c r="B3290">
        <f>[2]TongHop!B3290</f>
        <v>0</v>
      </c>
      <c r="C3290">
        <f>[2]TongHop!C3290</f>
        <v>0</v>
      </c>
      <c r="D3290">
        <f>[2]TongHop!D3290</f>
        <v>0</v>
      </c>
      <c r="E3290">
        <f>[2]TongHop!E3290</f>
        <v>0</v>
      </c>
      <c r="F3290">
        <f>[2]TongHop!F3290</f>
        <v>0</v>
      </c>
      <c r="G3290">
        <f>[2]TongHop!G3290</f>
        <v>0</v>
      </c>
      <c r="H3290">
        <f>[2]TongHop!H3290</f>
        <v>0</v>
      </c>
      <c r="I3290">
        <f>[2]TongHop!I3290</f>
        <v>0</v>
      </c>
      <c r="J3290">
        <f>[2]TongHop!J3290</f>
        <v>0</v>
      </c>
      <c r="K3290">
        <f>[2]TongHop!K3290</f>
        <v>0</v>
      </c>
      <c r="L3290">
        <f>[2]TongHop!L3290</f>
        <v>0</v>
      </c>
      <c r="M3290">
        <f>[2]TongHop!M3290</f>
        <v>0</v>
      </c>
      <c r="N3290">
        <f>[2]TongHop!N3290</f>
        <v>0</v>
      </c>
    </row>
    <row r="3291" spans="1:14">
      <c r="A3291">
        <f>[2]TongHop!A3291</f>
        <v>0</v>
      </c>
      <c r="B3291">
        <f>[2]TongHop!B3291</f>
        <v>0</v>
      </c>
      <c r="C3291">
        <f>[2]TongHop!C3291</f>
        <v>0</v>
      </c>
      <c r="D3291">
        <f>[2]TongHop!D3291</f>
        <v>0</v>
      </c>
      <c r="E3291">
        <f>[2]TongHop!E3291</f>
        <v>0</v>
      </c>
      <c r="F3291">
        <f>[2]TongHop!F3291</f>
        <v>0</v>
      </c>
      <c r="G3291">
        <f>[2]TongHop!G3291</f>
        <v>0</v>
      </c>
      <c r="H3291">
        <f>[2]TongHop!H3291</f>
        <v>0</v>
      </c>
      <c r="I3291">
        <f>[2]TongHop!I3291</f>
        <v>0</v>
      </c>
      <c r="J3291">
        <f>[2]TongHop!J3291</f>
        <v>0</v>
      </c>
      <c r="K3291">
        <f>[2]TongHop!K3291</f>
        <v>0</v>
      </c>
      <c r="L3291">
        <f>[2]TongHop!L3291</f>
        <v>0</v>
      </c>
      <c r="M3291">
        <f>[2]TongHop!M3291</f>
        <v>0</v>
      </c>
      <c r="N3291">
        <f>[2]TongHop!N3291</f>
        <v>0</v>
      </c>
    </row>
    <row r="3292" spans="1:14">
      <c r="A3292">
        <f>[2]TongHop!A3292</f>
        <v>0</v>
      </c>
      <c r="B3292">
        <f>[2]TongHop!B3292</f>
        <v>0</v>
      </c>
      <c r="C3292">
        <f>[2]TongHop!C3292</f>
        <v>0</v>
      </c>
      <c r="D3292">
        <f>[2]TongHop!D3292</f>
        <v>0</v>
      </c>
      <c r="E3292">
        <f>[2]TongHop!E3292</f>
        <v>0</v>
      </c>
      <c r="F3292">
        <f>[2]TongHop!F3292</f>
        <v>0</v>
      </c>
      <c r="G3292">
        <f>[2]TongHop!G3292</f>
        <v>0</v>
      </c>
      <c r="H3292">
        <f>[2]TongHop!H3292</f>
        <v>0</v>
      </c>
      <c r="I3292">
        <f>[2]TongHop!I3292</f>
        <v>0</v>
      </c>
      <c r="J3292">
        <f>[2]TongHop!J3292</f>
        <v>0</v>
      </c>
      <c r="K3292">
        <f>[2]TongHop!K3292</f>
        <v>0</v>
      </c>
      <c r="L3292">
        <f>[2]TongHop!L3292</f>
        <v>0</v>
      </c>
      <c r="M3292">
        <f>[2]TongHop!M3292</f>
        <v>0</v>
      </c>
      <c r="N3292">
        <f>[2]TongHop!N3292</f>
        <v>0</v>
      </c>
    </row>
    <row r="3293" spans="1:14">
      <c r="A3293">
        <f>[2]TongHop!A3293</f>
        <v>0</v>
      </c>
      <c r="B3293">
        <f>[2]TongHop!B3293</f>
        <v>0</v>
      </c>
      <c r="C3293">
        <f>[2]TongHop!C3293</f>
        <v>0</v>
      </c>
      <c r="D3293">
        <f>[2]TongHop!D3293</f>
        <v>0</v>
      </c>
      <c r="E3293">
        <f>[2]TongHop!E3293</f>
        <v>0</v>
      </c>
      <c r="F3293">
        <f>[2]TongHop!F3293</f>
        <v>0</v>
      </c>
      <c r="G3293">
        <f>[2]TongHop!G3293</f>
        <v>0</v>
      </c>
      <c r="H3293">
        <f>[2]TongHop!H3293</f>
        <v>0</v>
      </c>
      <c r="I3293">
        <f>[2]TongHop!I3293</f>
        <v>0</v>
      </c>
      <c r="J3293">
        <f>[2]TongHop!J3293</f>
        <v>0</v>
      </c>
      <c r="K3293">
        <f>[2]TongHop!K3293</f>
        <v>0</v>
      </c>
      <c r="L3293">
        <f>[2]TongHop!L3293</f>
        <v>0</v>
      </c>
      <c r="M3293">
        <f>[2]TongHop!M3293</f>
        <v>0</v>
      </c>
      <c r="N3293">
        <f>[2]TongHop!N3293</f>
        <v>0</v>
      </c>
    </row>
    <row r="3294" spans="1:14">
      <c r="A3294">
        <f>[2]TongHop!A3294</f>
        <v>0</v>
      </c>
      <c r="B3294">
        <f>[2]TongHop!B3294</f>
        <v>0</v>
      </c>
      <c r="C3294">
        <f>[2]TongHop!C3294</f>
        <v>0</v>
      </c>
      <c r="D3294">
        <f>[2]TongHop!D3294</f>
        <v>0</v>
      </c>
      <c r="E3294">
        <f>[2]TongHop!E3294</f>
        <v>0</v>
      </c>
      <c r="F3294">
        <f>[2]TongHop!F3294</f>
        <v>0</v>
      </c>
      <c r="G3294">
        <f>[2]TongHop!G3294</f>
        <v>0</v>
      </c>
      <c r="H3294">
        <f>[2]TongHop!H3294</f>
        <v>0</v>
      </c>
      <c r="I3294">
        <f>[2]TongHop!I3294</f>
        <v>0</v>
      </c>
      <c r="J3294">
        <f>[2]TongHop!J3294</f>
        <v>0</v>
      </c>
      <c r="K3294">
        <f>[2]TongHop!K3294</f>
        <v>0</v>
      </c>
      <c r="L3294">
        <f>[2]TongHop!L3294</f>
        <v>0</v>
      </c>
      <c r="M3294">
        <f>[2]TongHop!M3294</f>
        <v>0</v>
      </c>
      <c r="N3294">
        <f>[2]TongHop!N3294</f>
        <v>0</v>
      </c>
    </row>
    <row r="3295" spans="1:14">
      <c r="A3295">
        <f>[2]TongHop!A3295</f>
        <v>0</v>
      </c>
      <c r="B3295">
        <f>[2]TongHop!B3295</f>
        <v>0</v>
      </c>
      <c r="C3295">
        <f>[2]TongHop!C3295</f>
        <v>0</v>
      </c>
      <c r="D3295">
        <f>[2]TongHop!D3295</f>
        <v>0</v>
      </c>
      <c r="E3295">
        <f>[2]TongHop!E3295</f>
        <v>0</v>
      </c>
      <c r="F3295">
        <f>[2]TongHop!F3295</f>
        <v>0</v>
      </c>
      <c r="G3295">
        <f>[2]TongHop!G3295</f>
        <v>0</v>
      </c>
      <c r="H3295">
        <f>[2]TongHop!H3295</f>
        <v>0</v>
      </c>
      <c r="I3295">
        <f>[2]TongHop!I3295</f>
        <v>0</v>
      </c>
      <c r="J3295">
        <f>[2]TongHop!J3295</f>
        <v>0</v>
      </c>
      <c r="K3295">
        <f>[2]TongHop!K3295</f>
        <v>0</v>
      </c>
      <c r="L3295">
        <f>[2]TongHop!L3295</f>
        <v>0</v>
      </c>
      <c r="M3295">
        <f>[2]TongHop!M3295</f>
        <v>0</v>
      </c>
      <c r="N3295">
        <f>[2]TongHop!N3295</f>
        <v>0</v>
      </c>
    </row>
    <row r="3296" spans="1:14">
      <c r="A3296">
        <f>[2]TongHop!A3296</f>
        <v>0</v>
      </c>
      <c r="B3296">
        <f>[2]TongHop!B3296</f>
        <v>0</v>
      </c>
      <c r="C3296">
        <f>[2]TongHop!C3296</f>
        <v>0</v>
      </c>
      <c r="D3296">
        <f>[2]TongHop!D3296</f>
        <v>0</v>
      </c>
      <c r="E3296">
        <f>[2]TongHop!E3296</f>
        <v>0</v>
      </c>
      <c r="F3296">
        <f>[2]TongHop!F3296</f>
        <v>0</v>
      </c>
      <c r="G3296">
        <f>[2]TongHop!G3296</f>
        <v>0</v>
      </c>
      <c r="H3296">
        <f>[2]TongHop!H3296</f>
        <v>0</v>
      </c>
      <c r="I3296">
        <f>[2]TongHop!I3296</f>
        <v>0</v>
      </c>
      <c r="J3296">
        <f>[2]TongHop!J3296</f>
        <v>0</v>
      </c>
      <c r="K3296">
        <f>[2]TongHop!K3296</f>
        <v>0</v>
      </c>
      <c r="L3296">
        <f>[2]TongHop!L3296</f>
        <v>0</v>
      </c>
      <c r="M3296">
        <f>[2]TongHop!M3296</f>
        <v>0</v>
      </c>
      <c r="N3296">
        <f>[2]TongHop!N3296</f>
        <v>0</v>
      </c>
    </row>
    <row r="3297" spans="1:14">
      <c r="A3297">
        <f>[2]TongHop!A3297</f>
        <v>0</v>
      </c>
      <c r="B3297">
        <f>[2]TongHop!B3297</f>
        <v>0</v>
      </c>
      <c r="C3297">
        <f>[2]TongHop!C3297</f>
        <v>0</v>
      </c>
      <c r="D3297">
        <f>[2]TongHop!D3297</f>
        <v>0</v>
      </c>
      <c r="E3297">
        <f>[2]TongHop!E3297</f>
        <v>0</v>
      </c>
      <c r="F3297">
        <f>[2]TongHop!F3297</f>
        <v>0</v>
      </c>
      <c r="G3297">
        <f>[2]TongHop!G3297</f>
        <v>0</v>
      </c>
      <c r="H3297">
        <f>[2]TongHop!H3297</f>
        <v>0</v>
      </c>
      <c r="I3297">
        <f>[2]TongHop!I3297</f>
        <v>0</v>
      </c>
      <c r="J3297">
        <f>[2]TongHop!J3297</f>
        <v>0</v>
      </c>
      <c r="K3297">
        <f>[2]TongHop!K3297</f>
        <v>0</v>
      </c>
      <c r="L3297">
        <f>[2]TongHop!L3297</f>
        <v>0</v>
      </c>
      <c r="M3297">
        <f>[2]TongHop!M3297</f>
        <v>0</v>
      </c>
      <c r="N3297">
        <f>[2]TongHop!N3297</f>
        <v>0</v>
      </c>
    </row>
    <row r="3298" spans="1:14">
      <c r="A3298">
        <f>[2]TongHop!A3298</f>
        <v>0</v>
      </c>
      <c r="B3298">
        <f>[2]TongHop!B3298</f>
        <v>0</v>
      </c>
      <c r="C3298">
        <f>[2]TongHop!C3298</f>
        <v>0</v>
      </c>
      <c r="D3298">
        <f>[2]TongHop!D3298</f>
        <v>0</v>
      </c>
      <c r="E3298">
        <f>[2]TongHop!E3298</f>
        <v>0</v>
      </c>
      <c r="F3298">
        <f>[2]TongHop!F3298</f>
        <v>0</v>
      </c>
      <c r="G3298">
        <f>[2]TongHop!G3298</f>
        <v>0</v>
      </c>
      <c r="H3298">
        <f>[2]TongHop!H3298</f>
        <v>0</v>
      </c>
      <c r="I3298">
        <f>[2]TongHop!I3298</f>
        <v>0</v>
      </c>
      <c r="J3298">
        <f>[2]TongHop!J3298</f>
        <v>0</v>
      </c>
      <c r="K3298">
        <f>[2]TongHop!K3298</f>
        <v>0</v>
      </c>
      <c r="L3298">
        <f>[2]TongHop!L3298</f>
        <v>0</v>
      </c>
      <c r="M3298">
        <f>[2]TongHop!M3298</f>
        <v>0</v>
      </c>
      <c r="N3298">
        <f>[2]TongHop!N3298</f>
        <v>0</v>
      </c>
    </row>
    <row r="3299" spans="1:14">
      <c r="A3299">
        <f>[2]TongHop!A3299</f>
        <v>0</v>
      </c>
      <c r="B3299">
        <f>[2]TongHop!B3299</f>
        <v>0</v>
      </c>
      <c r="C3299">
        <f>[2]TongHop!C3299</f>
        <v>0</v>
      </c>
      <c r="D3299">
        <f>[2]TongHop!D3299</f>
        <v>0</v>
      </c>
      <c r="E3299">
        <f>[2]TongHop!E3299</f>
        <v>0</v>
      </c>
      <c r="F3299">
        <f>[2]TongHop!F3299</f>
        <v>0</v>
      </c>
      <c r="G3299">
        <f>[2]TongHop!G3299</f>
        <v>0</v>
      </c>
      <c r="H3299">
        <f>[2]TongHop!H3299</f>
        <v>0</v>
      </c>
      <c r="I3299">
        <f>[2]TongHop!I3299</f>
        <v>0</v>
      </c>
      <c r="J3299">
        <f>[2]TongHop!J3299</f>
        <v>0</v>
      </c>
      <c r="K3299">
        <f>[2]TongHop!K3299</f>
        <v>0</v>
      </c>
      <c r="L3299">
        <f>[2]TongHop!L3299</f>
        <v>0</v>
      </c>
      <c r="M3299">
        <f>[2]TongHop!M3299</f>
        <v>0</v>
      </c>
      <c r="N3299">
        <f>[2]TongHop!N3299</f>
        <v>0</v>
      </c>
    </row>
    <row r="3300" spans="1:14">
      <c r="A3300">
        <f>[2]TongHop!A3300</f>
        <v>0</v>
      </c>
      <c r="B3300">
        <f>[2]TongHop!B3300</f>
        <v>0</v>
      </c>
      <c r="C3300">
        <f>[2]TongHop!C3300</f>
        <v>0</v>
      </c>
      <c r="D3300">
        <f>[2]TongHop!D3300</f>
        <v>0</v>
      </c>
      <c r="E3300">
        <f>[2]TongHop!E3300</f>
        <v>0</v>
      </c>
      <c r="F3300">
        <f>[2]TongHop!F3300</f>
        <v>0</v>
      </c>
      <c r="G3300">
        <f>[2]TongHop!G3300</f>
        <v>0</v>
      </c>
      <c r="H3300">
        <f>[2]TongHop!H3300</f>
        <v>0</v>
      </c>
      <c r="I3300">
        <f>[2]TongHop!I3300</f>
        <v>0</v>
      </c>
      <c r="J3300">
        <f>[2]TongHop!J3300</f>
        <v>0</v>
      </c>
      <c r="K3300">
        <f>[2]TongHop!K3300</f>
        <v>0</v>
      </c>
      <c r="L3300">
        <f>[2]TongHop!L3300</f>
        <v>0</v>
      </c>
      <c r="M3300">
        <f>[2]TongHop!M3300</f>
        <v>0</v>
      </c>
      <c r="N3300">
        <f>[2]TongHop!N3300</f>
        <v>0</v>
      </c>
    </row>
    <row r="3301" spans="1:14">
      <c r="A3301">
        <f>[2]TongHop!A3301</f>
        <v>0</v>
      </c>
      <c r="B3301">
        <f>[2]TongHop!B3301</f>
        <v>0</v>
      </c>
      <c r="C3301">
        <f>[2]TongHop!C3301</f>
        <v>0</v>
      </c>
      <c r="D3301">
        <f>[2]TongHop!D3301</f>
        <v>0</v>
      </c>
      <c r="E3301">
        <f>[2]TongHop!E3301</f>
        <v>0</v>
      </c>
      <c r="F3301">
        <f>[2]TongHop!F3301</f>
        <v>0</v>
      </c>
      <c r="G3301">
        <f>[2]TongHop!G3301</f>
        <v>0</v>
      </c>
      <c r="H3301">
        <f>[2]TongHop!H3301</f>
        <v>0</v>
      </c>
      <c r="I3301">
        <f>[2]TongHop!I3301</f>
        <v>0</v>
      </c>
      <c r="J3301">
        <f>[2]TongHop!J3301</f>
        <v>0</v>
      </c>
      <c r="K3301">
        <f>[2]TongHop!K3301</f>
        <v>0</v>
      </c>
      <c r="L3301">
        <f>[2]TongHop!L3301</f>
        <v>0</v>
      </c>
      <c r="M3301">
        <f>[2]TongHop!M3301</f>
        <v>0</v>
      </c>
      <c r="N3301">
        <f>[2]TongHop!N3301</f>
        <v>0</v>
      </c>
    </row>
    <row r="3302" spans="1:14">
      <c r="A3302">
        <f>[2]TongHop!A3302</f>
        <v>0</v>
      </c>
      <c r="B3302">
        <f>[2]TongHop!B3302</f>
        <v>0</v>
      </c>
      <c r="C3302">
        <f>[2]TongHop!C3302</f>
        <v>0</v>
      </c>
      <c r="D3302">
        <f>[2]TongHop!D3302</f>
        <v>0</v>
      </c>
      <c r="E3302">
        <f>[2]TongHop!E3302</f>
        <v>0</v>
      </c>
      <c r="F3302">
        <f>[2]TongHop!F3302</f>
        <v>0</v>
      </c>
      <c r="G3302">
        <f>[2]TongHop!G3302</f>
        <v>0</v>
      </c>
      <c r="H3302">
        <f>[2]TongHop!H3302</f>
        <v>0</v>
      </c>
      <c r="I3302">
        <f>[2]TongHop!I3302</f>
        <v>0</v>
      </c>
      <c r="J3302">
        <f>[2]TongHop!J3302</f>
        <v>0</v>
      </c>
      <c r="K3302">
        <f>[2]TongHop!K3302</f>
        <v>0</v>
      </c>
      <c r="L3302">
        <f>[2]TongHop!L3302</f>
        <v>0</v>
      </c>
      <c r="M3302">
        <f>[2]TongHop!M3302</f>
        <v>0</v>
      </c>
      <c r="N3302">
        <f>[2]TongHop!N3302</f>
        <v>0</v>
      </c>
    </row>
    <row r="3303" spans="1:14">
      <c r="A3303">
        <f>[2]TongHop!A3303</f>
        <v>0</v>
      </c>
      <c r="B3303">
        <f>[2]TongHop!B3303</f>
        <v>0</v>
      </c>
      <c r="C3303">
        <f>[2]TongHop!C3303</f>
        <v>0</v>
      </c>
      <c r="D3303">
        <f>[2]TongHop!D3303</f>
        <v>0</v>
      </c>
      <c r="E3303">
        <f>[2]TongHop!E3303</f>
        <v>0</v>
      </c>
      <c r="F3303">
        <f>[2]TongHop!F3303</f>
        <v>0</v>
      </c>
      <c r="G3303">
        <f>[2]TongHop!G3303</f>
        <v>0</v>
      </c>
      <c r="H3303">
        <f>[2]TongHop!H3303</f>
        <v>0</v>
      </c>
      <c r="I3303">
        <f>[2]TongHop!I3303</f>
        <v>0</v>
      </c>
      <c r="J3303">
        <f>[2]TongHop!J3303</f>
        <v>0</v>
      </c>
      <c r="K3303">
        <f>[2]TongHop!K3303</f>
        <v>0</v>
      </c>
      <c r="L3303">
        <f>[2]TongHop!L3303</f>
        <v>0</v>
      </c>
      <c r="M3303">
        <f>[2]TongHop!M3303</f>
        <v>0</v>
      </c>
      <c r="N3303">
        <f>[2]TongHop!N3303</f>
        <v>0</v>
      </c>
    </row>
    <row r="3304" spans="1:14">
      <c r="A3304">
        <f>[2]TongHop!A3304</f>
        <v>0</v>
      </c>
      <c r="B3304">
        <f>[2]TongHop!B3304</f>
        <v>0</v>
      </c>
      <c r="C3304">
        <f>[2]TongHop!C3304</f>
        <v>0</v>
      </c>
      <c r="D3304">
        <f>[2]TongHop!D3304</f>
        <v>0</v>
      </c>
      <c r="E3304">
        <f>[2]TongHop!E3304</f>
        <v>0</v>
      </c>
      <c r="F3304">
        <f>[2]TongHop!F3304</f>
        <v>0</v>
      </c>
      <c r="G3304">
        <f>[2]TongHop!G3304</f>
        <v>0</v>
      </c>
      <c r="H3304">
        <f>[2]TongHop!H3304</f>
        <v>0</v>
      </c>
      <c r="I3304">
        <f>[2]TongHop!I3304</f>
        <v>0</v>
      </c>
      <c r="J3304">
        <f>[2]TongHop!J3304</f>
        <v>0</v>
      </c>
      <c r="K3304">
        <f>[2]TongHop!K3304</f>
        <v>0</v>
      </c>
      <c r="L3304">
        <f>[2]TongHop!L3304</f>
        <v>0</v>
      </c>
      <c r="M3304">
        <f>[2]TongHop!M3304</f>
        <v>0</v>
      </c>
      <c r="N3304">
        <f>[2]TongHop!N3304</f>
        <v>0</v>
      </c>
    </row>
    <row r="3305" spans="1:14">
      <c r="A3305">
        <f>[2]TongHop!A3305</f>
        <v>0</v>
      </c>
      <c r="B3305">
        <f>[2]TongHop!B3305</f>
        <v>0</v>
      </c>
      <c r="C3305">
        <f>[2]TongHop!C3305</f>
        <v>0</v>
      </c>
      <c r="D3305">
        <f>[2]TongHop!D3305</f>
        <v>0</v>
      </c>
      <c r="E3305">
        <f>[2]TongHop!E3305</f>
        <v>0</v>
      </c>
      <c r="F3305">
        <f>[2]TongHop!F3305</f>
        <v>0</v>
      </c>
      <c r="G3305">
        <f>[2]TongHop!G3305</f>
        <v>0</v>
      </c>
      <c r="H3305">
        <f>[2]TongHop!H3305</f>
        <v>0</v>
      </c>
      <c r="I3305">
        <f>[2]TongHop!I3305</f>
        <v>0</v>
      </c>
      <c r="J3305">
        <f>[2]TongHop!J3305</f>
        <v>0</v>
      </c>
      <c r="K3305">
        <f>[2]TongHop!K3305</f>
        <v>0</v>
      </c>
      <c r="L3305">
        <f>[2]TongHop!L3305</f>
        <v>0</v>
      </c>
      <c r="M3305">
        <f>[2]TongHop!M3305</f>
        <v>0</v>
      </c>
      <c r="N3305">
        <f>[2]TongHop!N3305</f>
        <v>0</v>
      </c>
    </row>
    <row r="3306" spans="1:14">
      <c r="A3306">
        <f>[2]TongHop!A3306</f>
        <v>0</v>
      </c>
      <c r="B3306">
        <f>[2]TongHop!B3306</f>
        <v>0</v>
      </c>
      <c r="C3306">
        <f>[2]TongHop!C3306</f>
        <v>0</v>
      </c>
      <c r="D3306">
        <f>[2]TongHop!D3306</f>
        <v>0</v>
      </c>
      <c r="E3306">
        <f>[2]TongHop!E3306</f>
        <v>0</v>
      </c>
      <c r="F3306">
        <f>[2]TongHop!F3306</f>
        <v>0</v>
      </c>
      <c r="G3306">
        <f>[2]TongHop!G3306</f>
        <v>0</v>
      </c>
      <c r="H3306">
        <f>[2]TongHop!H3306</f>
        <v>0</v>
      </c>
      <c r="I3306">
        <f>[2]TongHop!I3306</f>
        <v>0</v>
      </c>
      <c r="J3306">
        <f>[2]TongHop!J3306</f>
        <v>0</v>
      </c>
      <c r="K3306">
        <f>[2]TongHop!K3306</f>
        <v>0</v>
      </c>
      <c r="L3306">
        <f>[2]TongHop!L3306</f>
        <v>0</v>
      </c>
      <c r="M3306">
        <f>[2]TongHop!M3306</f>
        <v>0</v>
      </c>
      <c r="N3306">
        <f>[2]TongHop!N3306</f>
        <v>0</v>
      </c>
    </row>
    <row r="3307" spans="1:14">
      <c r="A3307">
        <f>[2]TongHop!A3307</f>
        <v>0</v>
      </c>
      <c r="B3307">
        <f>[2]TongHop!B3307</f>
        <v>0</v>
      </c>
      <c r="C3307">
        <f>[2]TongHop!C3307</f>
        <v>0</v>
      </c>
      <c r="D3307">
        <f>[2]TongHop!D3307</f>
        <v>0</v>
      </c>
      <c r="E3307">
        <f>[2]TongHop!E3307</f>
        <v>0</v>
      </c>
      <c r="F3307">
        <f>[2]TongHop!F3307</f>
        <v>0</v>
      </c>
      <c r="G3307">
        <f>[2]TongHop!G3307</f>
        <v>0</v>
      </c>
      <c r="H3307">
        <f>[2]TongHop!H3307</f>
        <v>0</v>
      </c>
      <c r="I3307">
        <f>[2]TongHop!I3307</f>
        <v>0</v>
      </c>
      <c r="J3307">
        <f>[2]TongHop!J3307</f>
        <v>0</v>
      </c>
      <c r="K3307">
        <f>[2]TongHop!K3307</f>
        <v>0</v>
      </c>
      <c r="L3307">
        <f>[2]TongHop!L3307</f>
        <v>0</v>
      </c>
      <c r="M3307">
        <f>[2]TongHop!M3307</f>
        <v>0</v>
      </c>
      <c r="N3307">
        <f>[2]TongHop!N3307</f>
        <v>0</v>
      </c>
    </row>
    <row r="3308" spans="1:14">
      <c r="A3308">
        <f>[2]TongHop!A3308</f>
        <v>0</v>
      </c>
      <c r="B3308">
        <f>[2]TongHop!B3308</f>
        <v>0</v>
      </c>
      <c r="C3308">
        <f>[2]TongHop!C3308</f>
        <v>0</v>
      </c>
      <c r="D3308">
        <f>[2]TongHop!D3308</f>
        <v>0</v>
      </c>
      <c r="E3308">
        <f>[2]TongHop!E3308</f>
        <v>0</v>
      </c>
      <c r="F3308">
        <f>[2]TongHop!F3308</f>
        <v>0</v>
      </c>
      <c r="G3308">
        <f>[2]TongHop!G3308</f>
        <v>0</v>
      </c>
      <c r="H3308">
        <f>[2]TongHop!H3308</f>
        <v>0</v>
      </c>
      <c r="I3308">
        <f>[2]TongHop!I3308</f>
        <v>0</v>
      </c>
      <c r="J3308">
        <f>[2]TongHop!J3308</f>
        <v>0</v>
      </c>
      <c r="K3308">
        <f>[2]TongHop!K3308</f>
        <v>0</v>
      </c>
      <c r="L3308">
        <f>[2]TongHop!L3308</f>
        <v>0</v>
      </c>
      <c r="M3308">
        <f>[2]TongHop!M3308</f>
        <v>0</v>
      </c>
      <c r="N3308">
        <f>[2]TongHop!N3308</f>
        <v>0</v>
      </c>
    </row>
    <row r="3309" spans="1:14">
      <c r="A3309">
        <f>[2]TongHop!A3309</f>
        <v>0</v>
      </c>
      <c r="B3309">
        <f>[2]TongHop!B3309</f>
        <v>0</v>
      </c>
      <c r="C3309">
        <f>[2]TongHop!C3309</f>
        <v>0</v>
      </c>
      <c r="D3309">
        <f>[2]TongHop!D3309</f>
        <v>0</v>
      </c>
      <c r="E3309">
        <f>[2]TongHop!E3309</f>
        <v>0</v>
      </c>
      <c r="F3309">
        <f>[2]TongHop!F3309</f>
        <v>0</v>
      </c>
      <c r="G3309">
        <f>[2]TongHop!G3309</f>
        <v>0</v>
      </c>
      <c r="H3309">
        <f>[2]TongHop!H3309</f>
        <v>0</v>
      </c>
      <c r="I3309">
        <f>[2]TongHop!I3309</f>
        <v>0</v>
      </c>
      <c r="J3309">
        <f>[2]TongHop!J3309</f>
        <v>0</v>
      </c>
      <c r="K3309">
        <f>[2]TongHop!K3309</f>
        <v>0</v>
      </c>
      <c r="L3309">
        <f>[2]TongHop!L3309</f>
        <v>0</v>
      </c>
      <c r="M3309">
        <f>[2]TongHop!M3309</f>
        <v>0</v>
      </c>
      <c r="N3309">
        <f>[2]TongHop!N3309</f>
        <v>0</v>
      </c>
    </row>
    <row r="3310" spans="1:14">
      <c r="A3310">
        <f>[2]TongHop!A3310</f>
        <v>0</v>
      </c>
      <c r="B3310">
        <f>[2]TongHop!B3310</f>
        <v>0</v>
      </c>
      <c r="C3310">
        <f>[2]TongHop!C3310</f>
        <v>0</v>
      </c>
      <c r="D3310">
        <f>[2]TongHop!D3310</f>
        <v>0</v>
      </c>
      <c r="E3310">
        <f>[2]TongHop!E3310</f>
        <v>0</v>
      </c>
      <c r="F3310">
        <f>[2]TongHop!F3310</f>
        <v>0</v>
      </c>
      <c r="G3310">
        <f>[2]TongHop!G3310</f>
        <v>0</v>
      </c>
      <c r="H3310">
        <f>[2]TongHop!H3310</f>
        <v>0</v>
      </c>
      <c r="I3310">
        <f>[2]TongHop!I3310</f>
        <v>0</v>
      </c>
      <c r="J3310">
        <f>[2]TongHop!J3310</f>
        <v>0</v>
      </c>
      <c r="K3310">
        <f>[2]TongHop!K3310</f>
        <v>0</v>
      </c>
      <c r="L3310">
        <f>[2]TongHop!L3310</f>
        <v>0</v>
      </c>
      <c r="M3310">
        <f>[2]TongHop!M3310</f>
        <v>0</v>
      </c>
      <c r="N3310">
        <f>[2]TongHop!N3310</f>
        <v>0</v>
      </c>
    </row>
    <row r="3311" spans="1:14">
      <c r="A3311">
        <f>[2]TongHop!A3311</f>
        <v>0</v>
      </c>
      <c r="B3311">
        <f>[2]TongHop!B3311</f>
        <v>0</v>
      </c>
      <c r="C3311">
        <f>[2]TongHop!C3311</f>
        <v>0</v>
      </c>
      <c r="D3311">
        <f>[2]TongHop!D3311</f>
        <v>0</v>
      </c>
      <c r="E3311">
        <f>[2]TongHop!E3311</f>
        <v>0</v>
      </c>
      <c r="F3311">
        <f>[2]TongHop!F3311</f>
        <v>0</v>
      </c>
      <c r="G3311">
        <f>[2]TongHop!G3311</f>
        <v>0</v>
      </c>
      <c r="H3311">
        <f>[2]TongHop!H3311</f>
        <v>0</v>
      </c>
      <c r="I3311">
        <f>[2]TongHop!I3311</f>
        <v>0</v>
      </c>
      <c r="J3311">
        <f>[2]TongHop!J3311</f>
        <v>0</v>
      </c>
      <c r="K3311">
        <f>[2]TongHop!K3311</f>
        <v>0</v>
      </c>
      <c r="L3311">
        <f>[2]TongHop!L3311</f>
        <v>0</v>
      </c>
      <c r="M3311">
        <f>[2]TongHop!M3311</f>
        <v>0</v>
      </c>
      <c r="N3311">
        <f>[2]TongHop!N3311</f>
        <v>0</v>
      </c>
    </row>
    <row r="3312" spans="1:14">
      <c r="A3312">
        <f>[2]TongHop!A3312</f>
        <v>0</v>
      </c>
      <c r="B3312">
        <f>[2]TongHop!B3312</f>
        <v>0</v>
      </c>
      <c r="C3312">
        <f>[2]TongHop!C3312</f>
        <v>0</v>
      </c>
      <c r="D3312">
        <f>[2]TongHop!D3312</f>
        <v>0</v>
      </c>
      <c r="E3312">
        <f>[2]TongHop!E3312</f>
        <v>0</v>
      </c>
      <c r="F3312">
        <f>[2]TongHop!F3312</f>
        <v>0</v>
      </c>
      <c r="G3312">
        <f>[2]TongHop!G3312</f>
        <v>0</v>
      </c>
      <c r="H3312">
        <f>[2]TongHop!H3312</f>
        <v>0</v>
      </c>
      <c r="I3312">
        <f>[2]TongHop!I3312</f>
        <v>0</v>
      </c>
      <c r="J3312">
        <f>[2]TongHop!J3312</f>
        <v>0</v>
      </c>
      <c r="K3312">
        <f>[2]TongHop!K3312</f>
        <v>0</v>
      </c>
      <c r="L3312">
        <f>[2]TongHop!L3312</f>
        <v>0</v>
      </c>
      <c r="M3312">
        <f>[2]TongHop!M3312</f>
        <v>0</v>
      </c>
      <c r="N3312">
        <f>[2]TongHop!N3312</f>
        <v>0</v>
      </c>
    </row>
    <row r="3313" spans="1:14">
      <c r="A3313">
        <f>[2]TongHop!A3313</f>
        <v>0</v>
      </c>
      <c r="B3313">
        <f>[2]TongHop!B3313</f>
        <v>0</v>
      </c>
      <c r="C3313">
        <f>[2]TongHop!C3313</f>
        <v>0</v>
      </c>
      <c r="D3313">
        <f>[2]TongHop!D3313</f>
        <v>0</v>
      </c>
      <c r="E3313">
        <f>[2]TongHop!E3313</f>
        <v>0</v>
      </c>
      <c r="F3313">
        <f>[2]TongHop!F3313</f>
        <v>0</v>
      </c>
      <c r="G3313">
        <f>[2]TongHop!G3313</f>
        <v>0</v>
      </c>
      <c r="H3313">
        <f>[2]TongHop!H3313</f>
        <v>0</v>
      </c>
      <c r="I3313">
        <f>[2]TongHop!I3313</f>
        <v>0</v>
      </c>
      <c r="J3313">
        <f>[2]TongHop!J3313</f>
        <v>0</v>
      </c>
      <c r="K3313">
        <f>[2]TongHop!K3313</f>
        <v>0</v>
      </c>
      <c r="L3313">
        <f>[2]TongHop!L3313</f>
        <v>0</v>
      </c>
      <c r="M3313">
        <f>[2]TongHop!M3313</f>
        <v>0</v>
      </c>
      <c r="N3313">
        <f>[2]TongHop!N3313</f>
        <v>0</v>
      </c>
    </row>
    <row r="3314" spans="1:14">
      <c r="A3314">
        <f>[2]TongHop!A3314</f>
        <v>0</v>
      </c>
      <c r="B3314">
        <f>[2]TongHop!B3314</f>
        <v>0</v>
      </c>
      <c r="C3314">
        <f>[2]TongHop!C3314</f>
        <v>0</v>
      </c>
      <c r="D3314">
        <f>[2]TongHop!D3314</f>
        <v>0</v>
      </c>
      <c r="E3314">
        <f>[2]TongHop!E3314</f>
        <v>0</v>
      </c>
      <c r="F3314">
        <f>[2]TongHop!F3314</f>
        <v>0</v>
      </c>
      <c r="G3314">
        <f>[2]TongHop!G3314</f>
        <v>0</v>
      </c>
      <c r="H3314">
        <f>[2]TongHop!H3314</f>
        <v>0</v>
      </c>
      <c r="I3314">
        <f>[2]TongHop!I3314</f>
        <v>0</v>
      </c>
      <c r="J3314">
        <f>[2]TongHop!J3314</f>
        <v>0</v>
      </c>
      <c r="K3314">
        <f>[2]TongHop!K3314</f>
        <v>0</v>
      </c>
      <c r="L3314">
        <f>[2]TongHop!L3314</f>
        <v>0</v>
      </c>
      <c r="M3314">
        <f>[2]TongHop!M3314</f>
        <v>0</v>
      </c>
      <c r="N3314">
        <f>[2]TongHop!N3314</f>
        <v>0</v>
      </c>
    </row>
    <row r="3315" spans="1:14">
      <c r="A3315">
        <f>[2]TongHop!A3315</f>
        <v>0</v>
      </c>
      <c r="B3315">
        <f>[2]TongHop!B3315</f>
        <v>0</v>
      </c>
      <c r="C3315">
        <f>[2]TongHop!C3315</f>
        <v>0</v>
      </c>
      <c r="D3315">
        <f>[2]TongHop!D3315</f>
        <v>0</v>
      </c>
      <c r="E3315">
        <f>[2]TongHop!E3315</f>
        <v>0</v>
      </c>
      <c r="F3315">
        <f>[2]TongHop!F3315</f>
        <v>0</v>
      </c>
      <c r="G3315">
        <f>[2]TongHop!G3315</f>
        <v>0</v>
      </c>
      <c r="H3315">
        <f>[2]TongHop!H3315</f>
        <v>0</v>
      </c>
      <c r="I3315">
        <f>[2]TongHop!I3315</f>
        <v>0</v>
      </c>
      <c r="J3315">
        <f>[2]TongHop!J3315</f>
        <v>0</v>
      </c>
      <c r="K3315">
        <f>[2]TongHop!K3315</f>
        <v>0</v>
      </c>
      <c r="L3315">
        <f>[2]TongHop!L3315</f>
        <v>0</v>
      </c>
      <c r="M3315">
        <f>[2]TongHop!M3315</f>
        <v>0</v>
      </c>
      <c r="N3315">
        <f>[2]TongHop!N3315</f>
        <v>0</v>
      </c>
    </row>
    <row r="3316" spans="1:14">
      <c r="A3316">
        <f>[2]TongHop!A3316</f>
        <v>0</v>
      </c>
      <c r="B3316">
        <f>[2]TongHop!B3316</f>
        <v>0</v>
      </c>
      <c r="C3316">
        <f>[2]TongHop!C3316</f>
        <v>0</v>
      </c>
      <c r="D3316">
        <f>[2]TongHop!D3316</f>
        <v>0</v>
      </c>
      <c r="E3316">
        <f>[2]TongHop!E3316</f>
        <v>0</v>
      </c>
      <c r="F3316">
        <f>[2]TongHop!F3316</f>
        <v>0</v>
      </c>
      <c r="G3316">
        <f>[2]TongHop!G3316</f>
        <v>0</v>
      </c>
      <c r="H3316">
        <f>[2]TongHop!H3316</f>
        <v>0</v>
      </c>
      <c r="I3316">
        <f>[2]TongHop!I3316</f>
        <v>0</v>
      </c>
      <c r="J3316">
        <f>[2]TongHop!J3316</f>
        <v>0</v>
      </c>
      <c r="K3316">
        <f>[2]TongHop!K3316</f>
        <v>0</v>
      </c>
      <c r="L3316">
        <f>[2]TongHop!L3316</f>
        <v>0</v>
      </c>
      <c r="M3316">
        <f>[2]TongHop!M3316</f>
        <v>0</v>
      </c>
      <c r="N3316">
        <f>[2]TongHop!N3316</f>
        <v>0</v>
      </c>
    </row>
    <row r="3317" spans="1:14">
      <c r="A3317">
        <f>[2]TongHop!A3317</f>
        <v>0</v>
      </c>
      <c r="B3317">
        <f>[2]TongHop!B3317</f>
        <v>0</v>
      </c>
      <c r="C3317">
        <f>[2]TongHop!C3317</f>
        <v>0</v>
      </c>
      <c r="D3317">
        <f>[2]TongHop!D3317</f>
        <v>0</v>
      </c>
      <c r="E3317">
        <f>[2]TongHop!E3317</f>
        <v>0</v>
      </c>
      <c r="F3317">
        <f>[2]TongHop!F3317</f>
        <v>0</v>
      </c>
      <c r="G3317">
        <f>[2]TongHop!G3317</f>
        <v>0</v>
      </c>
      <c r="H3317">
        <f>[2]TongHop!H3317</f>
        <v>0</v>
      </c>
      <c r="I3317">
        <f>[2]TongHop!I3317</f>
        <v>0</v>
      </c>
      <c r="J3317">
        <f>[2]TongHop!J3317</f>
        <v>0</v>
      </c>
      <c r="K3317">
        <f>[2]TongHop!K3317</f>
        <v>0</v>
      </c>
      <c r="L3317">
        <f>[2]TongHop!L3317</f>
        <v>0</v>
      </c>
      <c r="M3317">
        <f>[2]TongHop!M3317</f>
        <v>0</v>
      </c>
      <c r="N3317">
        <f>[2]TongHop!N3317</f>
        <v>0</v>
      </c>
    </row>
    <row r="3318" spans="1:14">
      <c r="A3318">
        <f>[2]TongHop!A3318</f>
        <v>0</v>
      </c>
      <c r="B3318">
        <f>[2]TongHop!B3318</f>
        <v>0</v>
      </c>
      <c r="C3318">
        <f>[2]TongHop!C3318</f>
        <v>0</v>
      </c>
      <c r="D3318">
        <f>[2]TongHop!D3318</f>
        <v>0</v>
      </c>
      <c r="E3318">
        <f>[2]TongHop!E3318</f>
        <v>0</v>
      </c>
      <c r="F3318">
        <f>[2]TongHop!F3318</f>
        <v>0</v>
      </c>
      <c r="G3318">
        <f>[2]TongHop!G3318</f>
        <v>0</v>
      </c>
      <c r="H3318">
        <f>[2]TongHop!H3318</f>
        <v>0</v>
      </c>
      <c r="I3318">
        <f>[2]TongHop!I3318</f>
        <v>0</v>
      </c>
      <c r="J3318">
        <f>[2]TongHop!J3318</f>
        <v>0</v>
      </c>
      <c r="K3318">
        <f>[2]TongHop!K3318</f>
        <v>0</v>
      </c>
      <c r="L3318">
        <f>[2]TongHop!L3318</f>
        <v>0</v>
      </c>
      <c r="M3318">
        <f>[2]TongHop!M3318</f>
        <v>0</v>
      </c>
      <c r="N3318">
        <f>[2]TongHop!N3318</f>
        <v>0</v>
      </c>
    </row>
    <row r="3319" spans="1:14">
      <c r="A3319">
        <f>[2]TongHop!A3319</f>
        <v>0</v>
      </c>
      <c r="B3319">
        <f>[2]TongHop!B3319</f>
        <v>0</v>
      </c>
      <c r="C3319">
        <f>[2]TongHop!C3319</f>
        <v>0</v>
      </c>
      <c r="D3319">
        <f>[2]TongHop!D3319</f>
        <v>0</v>
      </c>
      <c r="E3319">
        <f>[2]TongHop!E3319</f>
        <v>0</v>
      </c>
      <c r="F3319">
        <f>[2]TongHop!F3319</f>
        <v>0</v>
      </c>
      <c r="G3319">
        <f>[2]TongHop!G3319</f>
        <v>0</v>
      </c>
      <c r="H3319">
        <f>[2]TongHop!H3319</f>
        <v>0</v>
      </c>
      <c r="I3319">
        <f>[2]TongHop!I3319</f>
        <v>0</v>
      </c>
      <c r="J3319">
        <f>[2]TongHop!J3319</f>
        <v>0</v>
      </c>
      <c r="K3319">
        <f>[2]TongHop!K3319</f>
        <v>0</v>
      </c>
      <c r="L3319">
        <f>[2]TongHop!L3319</f>
        <v>0</v>
      </c>
      <c r="M3319">
        <f>[2]TongHop!M3319</f>
        <v>0</v>
      </c>
      <c r="N3319">
        <f>[2]TongHop!N3319</f>
        <v>0</v>
      </c>
    </row>
    <row r="3320" spans="1:14">
      <c r="A3320">
        <f>[2]TongHop!A3320</f>
        <v>0</v>
      </c>
      <c r="B3320">
        <f>[2]TongHop!B3320</f>
        <v>0</v>
      </c>
      <c r="C3320">
        <f>[2]TongHop!C3320</f>
        <v>0</v>
      </c>
      <c r="D3320">
        <f>[2]TongHop!D3320</f>
        <v>0</v>
      </c>
      <c r="E3320">
        <f>[2]TongHop!E3320</f>
        <v>0</v>
      </c>
      <c r="F3320">
        <f>[2]TongHop!F3320</f>
        <v>0</v>
      </c>
      <c r="G3320">
        <f>[2]TongHop!G3320</f>
        <v>0</v>
      </c>
      <c r="H3320">
        <f>[2]TongHop!H3320</f>
        <v>0</v>
      </c>
      <c r="I3320">
        <f>[2]TongHop!I3320</f>
        <v>0</v>
      </c>
      <c r="J3320">
        <f>[2]TongHop!J3320</f>
        <v>0</v>
      </c>
      <c r="K3320">
        <f>[2]TongHop!K3320</f>
        <v>0</v>
      </c>
      <c r="L3320">
        <f>[2]TongHop!L3320</f>
        <v>0</v>
      </c>
      <c r="M3320">
        <f>[2]TongHop!M3320</f>
        <v>0</v>
      </c>
      <c r="N3320">
        <f>[2]TongHop!N3320</f>
        <v>0</v>
      </c>
    </row>
    <row r="3321" spans="1:14">
      <c r="A3321">
        <f>[2]TongHop!A3321</f>
        <v>0</v>
      </c>
      <c r="B3321">
        <f>[2]TongHop!B3321</f>
        <v>0</v>
      </c>
      <c r="C3321">
        <f>[2]TongHop!C3321</f>
        <v>0</v>
      </c>
      <c r="D3321">
        <f>[2]TongHop!D3321</f>
        <v>0</v>
      </c>
      <c r="E3321">
        <f>[2]TongHop!E3321</f>
        <v>0</v>
      </c>
      <c r="F3321">
        <f>[2]TongHop!F3321</f>
        <v>0</v>
      </c>
      <c r="G3321">
        <f>[2]TongHop!G3321</f>
        <v>0</v>
      </c>
      <c r="H3321">
        <f>[2]TongHop!H3321</f>
        <v>0</v>
      </c>
      <c r="I3321">
        <f>[2]TongHop!I3321</f>
        <v>0</v>
      </c>
      <c r="J3321">
        <f>[2]TongHop!J3321</f>
        <v>0</v>
      </c>
      <c r="K3321">
        <f>[2]TongHop!K3321</f>
        <v>0</v>
      </c>
      <c r="L3321">
        <f>[2]TongHop!L3321</f>
        <v>0</v>
      </c>
      <c r="M3321">
        <f>[2]TongHop!M3321</f>
        <v>0</v>
      </c>
      <c r="N3321">
        <f>[2]TongHop!N3321</f>
        <v>0</v>
      </c>
    </row>
    <row r="3322" spans="1:14">
      <c r="A3322">
        <f>[2]TongHop!A3322</f>
        <v>0</v>
      </c>
      <c r="B3322">
        <f>[2]TongHop!B3322</f>
        <v>0</v>
      </c>
      <c r="C3322">
        <f>[2]TongHop!C3322</f>
        <v>0</v>
      </c>
      <c r="D3322">
        <f>[2]TongHop!D3322</f>
        <v>0</v>
      </c>
      <c r="E3322">
        <f>[2]TongHop!E3322</f>
        <v>0</v>
      </c>
      <c r="F3322">
        <f>[2]TongHop!F3322</f>
        <v>0</v>
      </c>
      <c r="G3322">
        <f>[2]TongHop!G3322</f>
        <v>0</v>
      </c>
      <c r="H3322">
        <f>[2]TongHop!H3322</f>
        <v>0</v>
      </c>
      <c r="I3322">
        <f>[2]TongHop!I3322</f>
        <v>0</v>
      </c>
      <c r="J3322">
        <f>[2]TongHop!J3322</f>
        <v>0</v>
      </c>
      <c r="K3322">
        <f>[2]TongHop!K3322</f>
        <v>0</v>
      </c>
      <c r="L3322">
        <f>[2]TongHop!L3322</f>
        <v>0</v>
      </c>
      <c r="M3322">
        <f>[2]TongHop!M3322</f>
        <v>0</v>
      </c>
      <c r="N3322">
        <f>[2]TongHop!N3322</f>
        <v>0</v>
      </c>
    </row>
    <row r="3323" spans="1:14">
      <c r="A3323">
        <f>[2]TongHop!A3323</f>
        <v>0</v>
      </c>
      <c r="B3323">
        <f>[2]TongHop!B3323</f>
        <v>0</v>
      </c>
      <c r="C3323">
        <f>[2]TongHop!C3323</f>
        <v>0</v>
      </c>
      <c r="D3323">
        <f>[2]TongHop!D3323</f>
        <v>0</v>
      </c>
      <c r="E3323">
        <f>[2]TongHop!E3323</f>
        <v>0</v>
      </c>
      <c r="F3323">
        <f>[2]TongHop!F3323</f>
        <v>0</v>
      </c>
      <c r="G3323">
        <f>[2]TongHop!G3323</f>
        <v>0</v>
      </c>
      <c r="H3323">
        <f>[2]TongHop!H3323</f>
        <v>0</v>
      </c>
      <c r="I3323">
        <f>[2]TongHop!I3323</f>
        <v>0</v>
      </c>
      <c r="J3323">
        <f>[2]TongHop!J3323</f>
        <v>0</v>
      </c>
      <c r="K3323">
        <f>[2]TongHop!K3323</f>
        <v>0</v>
      </c>
      <c r="L3323">
        <f>[2]TongHop!L3323</f>
        <v>0</v>
      </c>
      <c r="M3323">
        <f>[2]TongHop!M3323</f>
        <v>0</v>
      </c>
      <c r="N3323">
        <f>[2]TongHop!N3323</f>
        <v>0</v>
      </c>
    </row>
    <row r="3324" spans="1:14">
      <c r="A3324">
        <f>[2]TongHop!A3324</f>
        <v>0</v>
      </c>
      <c r="B3324">
        <f>[2]TongHop!B3324</f>
        <v>0</v>
      </c>
      <c r="C3324">
        <f>[2]TongHop!C3324</f>
        <v>0</v>
      </c>
      <c r="D3324">
        <f>[2]TongHop!D3324</f>
        <v>0</v>
      </c>
      <c r="E3324">
        <f>[2]TongHop!E3324</f>
        <v>0</v>
      </c>
      <c r="F3324">
        <f>[2]TongHop!F3324</f>
        <v>0</v>
      </c>
      <c r="G3324">
        <f>[2]TongHop!G3324</f>
        <v>0</v>
      </c>
      <c r="H3324">
        <f>[2]TongHop!H3324</f>
        <v>0</v>
      </c>
      <c r="I3324">
        <f>[2]TongHop!I3324</f>
        <v>0</v>
      </c>
      <c r="J3324">
        <f>[2]TongHop!J3324</f>
        <v>0</v>
      </c>
      <c r="K3324">
        <f>[2]TongHop!K3324</f>
        <v>0</v>
      </c>
      <c r="L3324">
        <f>[2]TongHop!L3324</f>
        <v>0</v>
      </c>
      <c r="M3324">
        <f>[2]TongHop!M3324</f>
        <v>0</v>
      </c>
      <c r="N3324">
        <f>[2]TongHop!N3324</f>
        <v>0</v>
      </c>
    </row>
    <row r="3325" spans="1:14">
      <c r="A3325">
        <f>[2]TongHop!A3325</f>
        <v>0</v>
      </c>
      <c r="B3325">
        <f>[2]TongHop!B3325</f>
        <v>0</v>
      </c>
      <c r="C3325">
        <f>[2]TongHop!C3325</f>
        <v>0</v>
      </c>
      <c r="D3325">
        <f>[2]TongHop!D3325</f>
        <v>0</v>
      </c>
      <c r="E3325">
        <f>[2]TongHop!E3325</f>
        <v>0</v>
      </c>
      <c r="F3325">
        <f>[2]TongHop!F3325</f>
        <v>0</v>
      </c>
      <c r="G3325">
        <f>[2]TongHop!G3325</f>
        <v>0</v>
      </c>
      <c r="H3325">
        <f>[2]TongHop!H3325</f>
        <v>0</v>
      </c>
      <c r="I3325">
        <f>[2]TongHop!I3325</f>
        <v>0</v>
      </c>
      <c r="J3325">
        <f>[2]TongHop!J3325</f>
        <v>0</v>
      </c>
      <c r="K3325">
        <f>[2]TongHop!K3325</f>
        <v>0</v>
      </c>
      <c r="L3325">
        <f>[2]TongHop!L3325</f>
        <v>0</v>
      </c>
      <c r="M3325">
        <f>[2]TongHop!M3325</f>
        <v>0</v>
      </c>
      <c r="N3325">
        <f>[2]TongHop!N3325</f>
        <v>0</v>
      </c>
    </row>
    <row r="3326" spans="1:14">
      <c r="A3326">
        <f>[2]TongHop!A3326</f>
        <v>0</v>
      </c>
      <c r="B3326">
        <f>[2]TongHop!B3326</f>
        <v>0</v>
      </c>
      <c r="C3326">
        <f>[2]TongHop!C3326</f>
        <v>0</v>
      </c>
      <c r="D3326">
        <f>[2]TongHop!D3326</f>
        <v>0</v>
      </c>
      <c r="E3326">
        <f>[2]TongHop!E3326</f>
        <v>0</v>
      </c>
      <c r="F3326">
        <f>[2]TongHop!F3326</f>
        <v>0</v>
      </c>
      <c r="G3326">
        <f>[2]TongHop!G3326</f>
        <v>0</v>
      </c>
      <c r="H3326">
        <f>[2]TongHop!H3326</f>
        <v>0</v>
      </c>
      <c r="I3326">
        <f>[2]TongHop!I3326</f>
        <v>0</v>
      </c>
      <c r="J3326">
        <f>[2]TongHop!J3326</f>
        <v>0</v>
      </c>
      <c r="K3326">
        <f>[2]TongHop!K3326</f>
        <v>0</v>
      </c>
      <c r="L3326">
        <f>[2]TongHop!L3326</f>
        <v>0</v>
      </c>
      <c r="M3326">
        <f>[2]TongHop!M3326</f>
        <v>0</v>
      </c>
      <c r="N3326">
        <f>[2]TongHop!N3326</f>
        <v>0</v>
      </c>
    </row>
    <row r="3327" spans="1:14">
      <c r="A3327">
        <f>[2]TongHop!A3327</f>
        <v>0</v>
      </c>
      <c r="B3327">
        <f>[2]TongHop!B3327</f>
        <v>0</v>
      </c>
      <c r="C3327">
        <f>[2]TongHop!C3327</f>
        <v>0</v>
      </c>
      <c r="D3327">
        <f>[2]TongHop!D3327</f>
        <v>0</v>
      </c>
      <c r="E3327">
        <f>[2]TongHop!E3327</f>
        <v>0</v>
      </c>
      <c r="F3327">
        <f>[2]TongHop!F3327</f>
        <v>0</v>
      </c>
      <c r="G3327">
        <f>[2]TongHop!G3327</f>
        <v>0</v>
      </c>
      <c r="H3327">
        <f>[2]TongHop!H3327</f>
        <v>0</v>
      </c>
      <c r="I3327">
        <f>[2]TongHop!I3327</f>
        <v>0</v>
      </c>
      <c r="J3327">
        <f>[2]TongHop!J3327</f>
        <v>0</v>
      </c>
      <c r="K3327">
        <f>[2]TongHop!K3327</f>
        <v>0</v>
      </c>
      <c r="L3327">
        <f>[2]TongHop!L3327</f>
        <v>0</v>
      </c>
      <c r="M3327">
        <f>[2]TongHop!M3327</f>
        <v>0</v>
      </c>
      <c r="N3327">
        <f>[2]TongHop!N3327</f>
        <v>0</v>
      </c>
    </row>
    <row r="3328" spans="1:14">
      <c r="A3328">
        <f>[2]TongHop!A3328</f>
        <v>0</v>
      </c>
      <c r="B3328">
        <f>[2]TongHop!B3328</f>
        <v>0</v>
      </c>
      <c r="C3328">
        <f>[2]TongHop!C3328</f>
        <v>0</v>
      </c>
      <c r="D3328">
        <f>[2]TongHop!D3328</f>
        <v>0</v>
      </c>
      <c r="E3328">
        <f>[2]TongHop!E3328</f>
        <v>0</v>
      </c>
      <c r="F3328">
        <f>[2]TongHop!F3328</f>
        <v>0</v>
      </c>
      <c r="G3328">
        <f>[2]TongHop!G3328</f>
        <v>0</v>
      </c>
      <c r="H3328">
        <f>[2]TongHop!H3328</f>
        <v>0</v>
      </c>
      <c r="I3328">
        <f>[2]TongHop!I3328</f>
        <v>0</v>
      </c>
      <c r="J3328">
        <f>[2]TongHop!J3328</f>
        <v>0</v>
      </c>
      <c r="K3328">
        <f>[2]TongHop!K3328</f>
        <v>0</v>
      </c>
      <c r="L3328">
        <f>[2]TongHop!L3328</f>
        <v>0</v>
      </c>
      <c r="M3328">
        <f>[2]TongHop!M3328</f>
        <v>0</v>
      </c>
      <c r="N3328">
        <f>[2]TongHop!N3328</f>
        <v>0</v>
      </c>
    </row>
    <row r="3329" spans="1:14">
      <c r="A3329">
        <f>[2]TongHop!A3329</f>
        <v>0</v>
      </c>
      <c r="B3329">
        <f>[2]TongHop!B3329</f>
        <v>0</v>
      </c>
      <c r="C3329">
        <f>[2]TongHop!C3329</f>
        <v>0</v>
      </c>
      <c r="D3329">
        <f>[2]TongHop!D3329</f>
        <v>0</v>
      </c>
      <c r="E3329">
        <f>[2]TongHop!E3329</f>
        <v>0</v>
      </c>
      <c r="F3329">
        <f>[2]TongHop!F3329</f>
        <v>0</v>
      </c>
      <c r="G3329">
        <f>[2]TongHop!G3329</f>
        <v>0</v>
      </c>
      <c r="H3329">
        <f>[2]TongHop!H3329</f>
        <v>0</v>
      </c>
      <c r="I3329">
        <f>[2]TongHop!I3329</f>
        <v>0</v>
      </c>
      <c r="J3329">
        <f>[2]TongHop!J3329</f>
        <v>0</v>
      </c>
      <c r="K3329">
        <f>[2]TongHop!K3329</f>
        <v>0</v>
      </c>
      <c r="L3329">
        <f>[2]TongHop!L3329</f>
        <v>0</v>
      </c>
      <c r="M3329">
        <f>[2]TongHop!M3329</f>
        <v>0</v>
      </c>
      <c r="N3329">
        <f>[2]TongHop!N3329</f>
        <v>0</v>
      </c>
    </row>
    <row r="3330" spans="1:14">
      <c r="A3330">
        <f>[2]TongHop!A3330</f>
        <v>0</v>
      </c>
      <c r="B3330">
        <f>[2]TongHop!B3330</f>
        <v>0</v>
      </c>
      <c r="C3330">
        <f>[2]TongHop!C3330</f>
        <v>0</v>
      </c>
      <c r="D3330">
        <f>[2]TongHop!D3330</f>
        <v>0</v>
      </c>
      <c r="E3330">
        <f>[2]TongHop!E3330</f>
        <v>0</v>
      </c>
      <c r="F3330">
        <f>[2]TongHop!F3330</f>
        <v>0</v>
      </c>
      <c r="G3330">
        <f>[2]TongHop!G3330</f>
        <v>0</v>
      </c>
      <c r="H3330">
        <f>[2]TongHop!H3330</f>
        <v>0</v>
      </c>
      <c r="I3330">
        <f>[2]TongHop!I3330</f>
        <v>0</v>
      </c>
      <c r="J3330">
        <f>[2]TongHop!J3330</f>
        <v>0</v>
      </c>
      <c r="K3330">
        <f>[2]TongHop!K3330</f>
        <v>0</v>
      </c>
      <c r="L3330">
        <f>[2]TongHop!L3330</f>
        <v>0</v>
      </c>
      <c r="M3330">
        <f>[2]TongHop!M3330</f>
        <v>0</v>
      </c>
      <c r="N3330">
        <f>[2]TongHop!N3330</f>
        <v>0</v>
      </c>
    </row>
    <row r="3331" spans="1:14">
      <c r="A3331">
        <f>[2]TongHop!A3331</f>
        <v>0</v>
      </c>
      <c r="B3331">
        <f>[2]TongHop!B3331</f>
        <v>0</v>
      </c>
      <c r="C3331">
        <f>[2]TongHop!C3331</f>
        <v>0</v>
      </c>
      <c r="D3331">
        <f>[2]TongHop!D3331</f>
        <v>0</v>
      </c>
      <c r="E3331">
        <f>[2]TongHop!E3331</f>
        <v>0</v>
      </c>
      <c r="F3331">
        <f>[2]TongHop!F3331</f>
        <v>0</v>
      </c>
      <c r="G3331">
        <f>[2]TongHop!G3331</f>
        <v>0</v>
      </c>
      <c r="H3331">
        <f>[2]TongHop!H3331</f>
        <v>0</v>
      </c>
      <c r="I3331">
        <f>[2]TongHop!I3331</f>
        <v>0</v>
      </c>
      <c r="J3331">
        <f>[2]TongHop!J3331</f>
        <v>0</v>
      </c>
      <c r="K3331">
        <f>[2]TongHop!K3331</f>
        <v>0</v>
      </c>
      <c r="L3331">
        <f>[2]TongHop!L3331</f>
        <v>0</v>
      </c>
      <c r="M3331">
        <f>[2]TongHop!M3331</f>
        <v>0</v>
      </c>
      <c r="N3331">
        <f>[2]TongHop!N3331</f>
        <v>0</v>
      </c>
    </row>
    <row r="3332" spans="1:14">
      <c r="A3332">
        <f>[2]TongHop!A3332</f>
        <v>0</v>
      </c>
      <c r="B3332">
        <f>[2]TongHop!B3332</f>
        <v>0</v>
      </c>
      <c r="C3332">
        <f>[2]TongHop!C3332</f>
        <v>0</v>
      </c>
      <c r="D3332">
        <f>[2]TongHop!D3332</f>
        <v>0</v>
      </c>
      <c r="E3332">
        <f>[2]TongHop!E3332</f>
        <v>0</v>
      </c>
      <c r="F3332">
        <f>[2]TongHop!F3332</f>
        <v>0</v>
      </c>
      <c r="G3332">
        <f>[2]TongHop!G3332</f>
        <v>0</v>
      </c>
      <c r="H3332">
        <f>[2]TongHop!H3332</f>
        <v>0</v>
      </c>
      <c r="I3332">
        <f>[2]TongHop!I3332</f>
        <v>0</v>
      </c>
      <c r="J3332">
        <f>[2]TongHop!J3332</f>
        <v>0</v>
      </c>
      <c r="K3332">
        <f>[2]TongHop!K3332</f>
        <v>0</v>
      </c>
      <c r="L3332">
        <f>[2]TongHop!L3332</f>
        <v>0</v>
      </c>
      <c r="M3332">
        <f>[2]TongHop!M3332</f>
        <v>0</v>
      </c>
      <c r="N3332">
        <f>[2]TongHop!N3332</f>
        <v>0</v>
      </c>
    </row>
    <row r="3333" spans="1:14">
      <c r="A3333">
        <f>[2]TongHop!A3333</f>
        <v>0</v>
      </c>
      <c r="B3333">
        <f>[2]TongHop!B3333</f>
        <v>0</v>
      </c>
      <c r="C3333">
        <f>[2]TongHop!C3333</f>
        <v>0</v>
      </c>
      <c r="D3333">
        <f>[2]TongHop!D3333</f>
        <v>0</v>
      </c>
      <c r="E3333">
        <f>[2]TongHop!E3333</f>
        <v>0</v>
      </c>
      <c r="F3333">
        <f>[2]TongHop!F3333</f>
        <v>0</v>
      </c>
      <c r="G3333">
        <f>[2]TongHop!G3333</f>
        <v>0</v>
      </c>
      <c r="H3333">
        <f>[2]TongHop!H3333</f>
        <v>0</v>
      </c>
      <c r="I3333">
        <f>[2]TongHop!I3333</f>
        <v>0</v>
      </c>
      <c r="J3333">
        <f>[2]TongHop!J3333</f>
        <v>0</v>
      </c>
      <c r="K3333">
        <f>[2]TongHop!K3333</f>
        <v>0</v>
      </c>
      <c r="L3333">
        <f>[2]TongHop!L3333</f>
        <v>0</v>
      </c>
      <c r="M3333">
        <f>[2]TongHop!M3333</f>
        <v>0</v>
      </c>
      <c r="N3333">
        <f>[2]TongHop!N3333</f>
        <v>0</v>
      </c>
    </row>
    <row r="3334" spans="1:14">
      <c r="A3334">
        <f>[2]TongHop!A3334</f>
        <v>0</v>
      </c>
      <c r="B3334">
        <f>[2]TongHop!B3334</f>
        <v>0</v>
      </c>
      <c r="C3334">
        <f>[2]TongHop!C3334</f>
        <v>0</v>
      </c>
      <c r="D3334">
        <f>[2]TongHop!D3334</f>
        <v>0</v>
      </c>
      <c r="E3334">
        <f>[2]TongHop!E3334</f>
        <v>0</v>
      </c>
      <c r="F3334">
        <f>[2]TongHop!F3334</f>
        <v>0</v>
      </c>
      <c r="G3334">
        <f>[2]TongHop!G3334</f>
        <v>0</v>
      </c>
      <c r="H3334">
        <f>[2]TongHop!H3334</f>
        <v>0</v>
      </c>
      <c r="I3334">
        <f>[2]TongHop!I3334</f>
        <v>0</v>
      </c>
      <c r="J3334">
        <f>[2]TongHop!J3334</f>
        <v>0</v>
      </c>
      <c r="K3334">
        <f>[2]TongHop!K3334</f>
        <v>0</v>
      </c>
      <c r="L3334">
        <f>[2]TongHop!L3334</f>
        <v>0</v>
      </c>
      <c r="M3334">
        <f>[2]TongHop!M3334</f>
        <v>0</v>
      </c>
      <c r="N3334">
        <f>[2]TongHop!N3334</f>
        <v>0</v>
      </c>
    </row>
    <row r="3335" spans="1:14">
      <c r="A3335">
        <f>[2]TongHop!A3335</f>
        <v>0</v>
      </c>
      <c r="B3335">
        <f>[2]TongHop!B3335</f>
        <v>0</v>
      </c>
      <c r="C3335">
        <f>[2]TongHop!C3335</f>
        <v>0</v>
      </c>
      <c r="D3335">
        <f>[2]TongHop!D3335</f>
        <v>0</v>
      </c>
      <c r="E3335">
        <f>[2]TongHop!E3335</f>
        <v>0</v>
      </c>
      <c r="F3335">
        <f>[2]TongHop!F3335</f>
        <v>0</v>
      </c>
      <c r="G3335">
        <f>[2]TongHop!G3335</f>
        <v>0</v>
      </c>
      <c r="H3335">
        <f>[2]TongHop!H3335</f>
        <v>0</v>
      </c>
      <c r="I3335">
        <f>[2]TongHop!I3335</f>
        <v>0</v>
      </c>
      <c r="J3335">
        <f>[2]TongHop!J3335</f>
        <v>0</v>
      </c>
      <c r="K3335">
        <f>[2]TongHop!K3335</f>
        <v>0</v>
      </c>
      <c r="L3335">
        <f>[2]TongHop!L3335</f>
        <v>0</v>
      </c>
      <c r="M3335">
        <f>[2]TongHop!M3335</f>
        <v>0</v>
      </c>
      <c r="N3335">
        <f>[2]TongHop!N3335</f>
        <v>0</v>
      </c>
    </row>
    <row r="3336" spans="1:14">
      <c r="A3336">
        <f>[2]TongHop!A3336</f>
        <v>0</v>
      </c>
      <c r="B3336">
        <f>[2]TongHop!B3336</f>
        <v>0</v>
      </c>
      <c r="C3336">
        <f>[2]TongHop!C3336</f>
        <v>0</v>
      </c>
      <c r="D3336">
        <f>[2]TongHop!D3336</f>
        <v>0</v>
      </c>
      <c r="E3336">
        <f>[2]TongHop!E3336</f>
        <v>0</v>
      </c>
      <c r="F3336">
        <f>[2]TongHop!F3336</f>
        <v>0</v>
      </c>
      <c r="G3336">
        <f>[2]TongHop!G3336</f>
        <v>0</v>
      </c>
      <c r="H3336">
        <f>[2]TongHop!H3336</f>
        <v>0</v>
      </c>
      <c r="I3336">
        <f>[2]TongHop!I3336</f>
        <v>0</v>
      </c>
      <c r="J3336">
        <f>[2]TongHop!J3336</f>
        <v>0</v>
      </c>
      <c r="K3336">
        <f>[2]TongHop!K3336</f>
        <v>0</v>
      </c>
      <c r="L3336">
        <f>[2]TongHop!L3336</f>
        <v>0</v>
      </c>
      <c r="M3336">
        <f>[2]TongHop!M3336</f>
        <v>0</v>
      </c>
      <c r="N3336">
        <f>[2]TongHop!N3336</f>
        <v>0</v>
      </c>
    </row>
    <row r="3337" spans="1:14">
      <c r="A3337">
        <f>[2]TongHop!A3337</f>
        <v>0</v>
      </c>
      <c r="B3337">
        <f>[2]TongHop!B3337</f>
        <v>0</v>
      </c>
      <c r="C3337">
        <f>[2]TongHop!C3337</f>
        <v>0</v>
      </c>
      <c r="D3337">
        <f>[2]TongHop!D3337</f>
        <v>0</v>
      </c>
      <c r="E3337">
        <f>[2]TongHop!E3337</f>
        <v>0</v>
      </c>
      <c r="F3337">
        <f>[2]TongHop!F3337</f>
        <v>0</v>
      </c>
      <c r="G3337">
        <f>[2]TongHop!G3337</f>
        <v>0</v>
      </c>
      <c r="H3337">
        <f>[2]TongHop!H3337</f>
        <v>0</v>
      </c>
      <c r="I3337">
        <f>[2]TongHop!I3337</f>
        <v>0</v>
      </c>
      <c r="J3337">
        <f>[2]TongHop!J3337</f>
        <v>0</v>
      </c>
      <c r="K3337">
        <f>[2]TongHop!K3337</f>
        <v>0</v>
      </c>
      <c r="L3337">
        <f>[2]TongHop!L3337</f>
        <v>0</v>
      </c>
      <c r="M3337">
        <f>[2]TongHop!M3337</f>
        <v>0</v>
      </c>
      <c r="N3337">
        <f>[2]TongHop!N3337</f>
        <v>0</v>
      </c>
    </row>
    <row r="3338" spans="1:14">
      <c r="A3338">
        <f>[2]TongHop!A3338</f>
        <v>0</v>
      </c>
      <c r="B3338">
        <f>[2]TongHop!B3338</f>
        <v>0</v>
      </c>
      <c r="C3338">
        <f>[2]TongHop!C3338</f>
        <v>0</v>
      </c>
      <c r="D3338">
        <f>[2]TongHop!D3338</f>
        <v>0</v>
      </c>
      <c r="E3338">
        <f>[2]TongHop!E3338</f>
        <v>0</v>
      </c>
      <c r="F3338">
        <f>[2]TongHop!F3338</f>
        <v>0</v>
      </c>
      <c r="G3338">
        <f>[2]TongHop!G3338</f>
        <v>0</v>
      </c>
      <c r="H3338">
        <f>[2]TongHop!H3338</f>
        <v>0</v>
      </c>
      <c r="I3338">
        <f>[2]TongHop!I3338</f>
        <v>0</v>
      </c>
      <c r="J3338">
        <f>[2]TongHop!J3338</f>
        <v>0</v>
      </c>
      <c r="K3338">
        <f>[2]TongHop!K3338</f>
        <v>0</v>
      </c>
      <c r="L3338">
        <f>[2]TongHop!L3338</f>
        <v>0</v>
      </c>
      <c r="M3338">
        <f>[2]TongHop!M3338</f>
        <v>0</v>
      </c>
      <c r="N3338">
        <f>[2]TongHop!N3338</f>
        <v>0</v>
      </c>
    </row>
    <row r="3339" spans="1:14">
      <c r="A3339">
        <f>[2]TongHop!A3339</f>
        <v>0</v>
      </c>
      <c r="B3339">
        <f>[2]TongHop!B3339</f>
        <v>0</v>
      </c>
      <c r="C3339">
        <f>[2]TongHop!C3339</f>
        <v>0</v>
      </c>
      <c r="D3339">
        <f>[2]TongHop!D3339</f>
        <v>0</v>
      </c>
      <c r="E3339">
        <f>[2]TongHop!E3339</f>
        <v>0</v>
      </c>
      <c r="F3339">
        <f>[2]TongHop!F3339</f>
        <v>0</v>
      </c>
      <c r="G3339">
        <f>[2]TongHop!G3339</f>
        <v>0</v>
      </c>
      <c r="H3339">
        <f>[2]TongHop!H3339</f>
        <v>0</v>
      </c>
      <c r="I3339">
        <f>[2]TongHop!I3339</f>
        <v>0</v>
      </c>
      <c r="J3339">
        <f>[2]TongHop!J3339</f>
        <v>0</v>
      </c>
      <c r="K3339">
        <f>[2]TongHop!K3339</f>
        <v>0</v>
      </c>
      <c r="L3339">
        <f>[2]TongHop!L3339</f>
        <v>0</v>
      </c>
      <c r="M3339">
        <f>[2]TongHop!M3339</f>
        <v>0</v>
      </c>
      <c r="N3339">
        <f>[2]TongHop!N3339</f>
        <v>0</v>
      </c>
    </row>
    <row r="3340" spans="1:14">
      <c r="A3340">
        <f>[2]TongHop!A3340</f>
        <v>0</v>
      </c>
      <c r="B3340">
        <f>[2]TongHop!B3340</f>
        <v>0</v>
      </c>
      <c r="C3340">
        <f>[2]TongHop!C3340</f>
        <v>0</v>
      </c>
      <c r="D3340">
        <f>[2]TongHop!D3340</f>
        <v>0</v>
      </c>
      <c r="E3340">
        <f>[2]TongHop!E3340</f>
        <v>0</v>
      </c>
      <c r="F3340">
        <f>[2]TongHop!F3340</f>
        <v>0</v>
      </c>
      <c r="G3340">
        <f>[2]TongHop!G3340</f>
        <v>0</v>
      </c>
      <c r="H3340">
        <f>[2]TongHop!H3340</f>
        <v>0</v>
      </c>
      <c r="I3340">
        <f>[2]TongHop!I3340</f>
        <v>0</v>
      </c>
      <c r="J3340">
        <f>[2]TongHop!J3340</f>
        <v>0</v>
      </c>
      <c r="K3340">
        <f>[2]TongHop!K3340</f>
        <v>0</v>
      </c>
      <c r="L3340">
        <f>[2]TongHop!L3340</f>
        <v>0</v>
      </c>
      <c r="M3340">
        <f>[2]TongHop!M3340</f>
        <v>0</v>
      </c>
      <c r="N3340">
        <f>[2]TongHop!N3340</f>
        <v>0</v>
      </c>
    </row>
    <row r="3341" spans="1:14">
      <c r="A3341">
        <f>[2]TongHop!A3341</f>
        <v>0</v>
      </c>
      <c r="B3341">
        <f>[2]TongHop!B3341</f>
        <v>0</v>
      </c>
      <c r="C3341">
        <f>[2]TongHop!C3341</f>
        <v>0</v>
      </c>
      <c r="D3341">
        <f>[2]TongHop!D3341</f>
        <v>0</v>
      </c>
      <c r="E3341">
        <f>[2]TongHop!E3341</f>
        <v>0</v>
      </c>
      <c r="F3341">
        <f>[2]TongHop!F3341</f>
        <v>0</v>
      </c>
      <c r="G3341">
        <f>[2]TongHop!G3341</f>
        <v>0</v>
      </c>
      <c r="H3341">
        <f>[2]TongHop!H3341</f>
        <v>0</v>
      </c>
      <c r="I3341">
        <f>[2]TongHop!I3341</f>
        <v>0</v>
      </c>
      <c r="J3341">
        <f>[2]TongHop!J3341</f>
        <v>0</v>
      </c>
      <c r="K3341">
        <f>[2]TongHop!K3341</f>
        <v>0</v>
      </c>
      <c r="L3341">
        <f>[2]TongHop!L3341</f>
        <v>0</v>
      </c>
      <c r="M3341">
        <f>[2]TongHop!M3341</f>
        <v>0</v>
      </c>
      <c r="N3341">
        <f>[2]TongHop!N3341</f>
        <v>0</v>
      </c>
    </row>
    <row r="3342" spans="1:14">
      <c r="A3342">
        <f>[2]TongHop!A3342</f>
        <v>0</v>
      </c>
      <c r="B3342">
        <f>[2]TongHop!B3342</f>
        <v>0</v>
      </c>
      <c r="C3342">
        <f>[2]TongHop!C3342</f>
        <v>0</v>
      </c>
      <c r="D3342">
        <f>[2]TongHop!D3342</f>
        <v>0</v>
      </c>
      <c r="E3342">
        <f>[2]TongHop!E3342</f>
        <v>0</v>
      </c>
      <c r="F3342">
        <f>[2]TongHop!F3342</f>
        <v>0</v>
      </c>
      <c r="G3342">
        <f>[2]TongHop!G3342</f>
        <v>0</v>
      </c>
      <c r="H3342">
        <f>[2]TongHop!H3342</f>
        <v>0</v>
      </c>
      <c r="I3342">
        <f>[2]TongHop!I3342</f>
        <v>0</v>
      </c>
      <c r="J3342">
        <f>[2]TongHop!J3342</f>
        <v>0</v>
      </c>
      <c r="K3342">
        <f>[2]TongHop!K3342</f>
        <v>0</v>
      </c>
      <c r="L3342">
        <f>[2]TongHop!L3342</f>
        <v>0</v>
      </c>
      <c r="M3342">
        <f>[2]TongHop!M3342</f>
        <v>0</v>
      </c>
      <c r="N3342">
        <f>[2]TongHop!N3342</f>
        <v>0</v>
      </c>
    </row>
    <row r="3343" spans="1:14">
      <c r="A3343">
        <f>[2]TongHop!A3343</f>
        <v>0</v>
      </c>
      <c r="B3343">
        <f>[2]TongHop!B3343</f>
        <v>0</v>
      </c>
      <c r="C3343">
        <f>[2]TongHop!C3343</f>
        <v>0</v>
      </c>
      <c r="D3343">
        <f>[2]TongHop!D3343</f>
        <v>0</v>
      </c>
      <c r="E3343">
        <f>[2]TongHop!E3343</f>
        <v>0</v>
      </c>
      <c r="F3343">
        <f>[2]TongHop!F3343</f>
        <v>0</v>
      </c>
      <c r="G3343">
        <f>[2]TongHop!G3343</f>
        <v>0</v>
      </c>
      <c r="H3343">
        <f>[2]TongHop!H3343</f>
        <v>0</v>
      </c>
      <c r="I3343">
        <f>[2]TongHop!I3343</f>
        <v>0</v>
      </c>
      <c r="J3343">
        <f>[2]TongHop!J3343</f>
        <v>0</v>
      </c>
      <c r="K3343">
        <f>[2]TongHop!K3343</f>
        <v>0</v>
      </c>
      <c r="L3343">
        <f>[2]TongHop!L3343</f>
        <v>0</v>
      </c>
      <c r="M3343">
        <f>[2]TongHop!M3343</f>
        <v>0</v>
      </c>
      <c r="N3343">
        <f>[2]TongHop!N3343</f>
        <v>0</v>
      </c>
    </row>
    <row r="3344" spans="1:14">
      <c r="A3344">
        <f>[2]TongHop!A3344</f>
        <v>0</v>
      </c>
      <c r="B3344">
        <f>[2]TongHop!B3344</f>
        <v>0</v>
      </c>
      <c r="C3344">
        <f>[2]TongHop!C3344</f>
        <v>0</v>
      </c>
      <c r="D3344">
        <f>[2]TongHop!D3344</f>
        <v>0</v>
      </c>
      <c r="E3344">
        <f>[2]TongHop!E3344</f>
        <v>0</v>
      </c>
      <c r="F3344">
        <f>[2]TongHop!F3344</f>
        <v>0</v>
      </c>
      <c r="G3344">
        <f>[2]TongHop!G3344</f>
        <v>0</v>
      </c>
      <c r="H3344">
        <f>[2]TongHop!H3344</f>
        <v>0</v>
      </c>
      <c r="I3344">
        <f>[2]TongHop!I3344</f>
        <v>0</v>
      </c>
      <c r="J3344">
        <f>[2]TongHop!J3344</f>
        <v>0</v>
      </c>
      <c r="K3344">
        <f>[2]TongHop!K3344</f>
        <v>0</v>
      </c>
      <c r="L3344">
        <f>[2]TongHop!L3344</f>
        <v>0</v>
      </c>
      <c r="M3344">
        <f>[2]TongHop!M3344</f>
        <v>0</v>
      </c>
      <c r="N3344">
        <f>[2]TongHop!N3344</f>
        <v>0</v>
      </c>
    </row>
    <row r="3345" spans="1:14">
      <c r="A3345">
        <f>[2]TongHop!A3345</f>
        <v>0</v>
      </c>
      <c r="B3345">
        <f>[2]TongHop!B3345</f>
        <v>0</v>
      </c>
      <c r="C3345">
        <f>[2]TongHop!C3345</f>
        <v>0</v>
      </c>
      <c r="D3345">
        <f>[2]TongHop!D3345</f>
        <v>0</v>
      </c>
      <c r="E3345">
        <f>[2]TongHop!E3345</f>
        <v>0</v>
      </c>
      <c r="F3345">
        <f>[2]TongHop!F3345</f>
        <v>0</v>
      </c>
      <c r="G3345">
        <f>[2]TongHop!G3345</f>
        <v>0</v>
      </c>
      <c r="H3345">
        <f>[2]TongHop!H3345</f>
        <v>0</v>
      </c>
      <c r="I3345">
        <f>[2]TongHop!I3345</f>
        <v>0</v>
      </c>
      <c r="J3345">
        <f>[2]TongHop!J3345</f>
        <v>0</v>
      </c>
      <c r="K3345">
        <f>[2]TongHop!K3345</f>
        <v>0</v>
      </c>
      <c r="L3345">
        <f>[2]TongHop!L3345</f>
        <v>0</v>
      </c>
      <c r="M3345">
        <f>[2]TongHop!M3345</f>
        <v>0</v>
      </c>
      <c r="N3345">
        <f>[2]TongHop!N3345</f>
        <v>0</v>
      </c>
    </row>
    <row r="3346" spans="1:14">
      <c r="A3346">
        <f>[2]TongHop!A3346</f>
        <v>0</v>
      </c>
      <c r="B3346">
        <f>[2]TongHop!B3346</f>
        <v>0</v>
      </c>
      <c r="C3346">
        <f>[2]TongHop!C3346</f>
        <v>0</v>
      </c>
      <c r="D3346">
        <f>[2]TongHop!D3346</f>
        <v>0</v>
      </c>
      <c r="E3346">
        <f>[2]TongHop!E3346</f>
        <v>0</v>
      </c>
      <c r="F3346">
        <f>[2]TongHop!F3346</f>
        <v>0</v>
      </c>
      <c r="G3346">
        <f>[2]TongHop!G3346</f>
        <v>0</v>
      </c>
      <c r="H3346">
        <f>[2]TongHop!H3346</f>
        <v>0</v>
      </c>
      <c r="I3346">
        <f>[2]TongHop!I3346</f>
        <v>0</v>
      </c>
      <c r="J3346">
        <f>[2]TongHop!J3346</f>
        <v>0</v>
      </c>
      <c r="K3346">
        <f>[2]TongHop!K3346</f>
        <v>0</v>
      </c>
      <c r="L3346">
        <f>[2]TongHop!L3346</f>
        <v>0</v>
      </c>
      <c r="M3346">
        <f>[2]TongHop!M3346</f>
        <v>0</v>
      </c>
      <c r="N3346">
        <f>[2]TongHop!N3346</f>
        <v>0</v>
      </c>
    </row>
    <row r="3347" spans="1:14">
      <c r="A3347">
        <f>[2]TongHop!A3347</f>
        <v>0</v>
      </c>
      <c r="B3347">
        <f>[2]TongHop!B3347</f>
        <v>0</v>
      </c>
      <c r="C3347">
        <f>[2]TongHop!C3347</f>
        <v>0</v>
      </c>
      <c r="D3347">
        <f>[2]TongHop!D3347</f>
        <v>0</v>
      </c>
      <c r="E3347">
        <f>[2]TongHop!E3347</f>
        <v>0</v>
      </c>
      <c r="F3347">
        <f>[2]TongHop!F3347</f>
        <v>0</v>
      </c>
      <c r="G3347">
        <f>[2]TongHop!G3347</f>
        <v>0</v>
      </c>
      <c r="H3347">
        <f>[2]TongHop!H3347</f>
        <v>0</v>
      </c>
      <c r="I3347">
        <f>[2]TongHop!I3347</f>
        <v>0</v>
      </c>
      <c r="J3347">
        <f>[2]TongHop!J3347</f>
        <v>0</v>
      </c>
      <c r="K3347">
        <f>[2]TongHop!K3347</f>
        <v>0</v>
      </c>
      <c r="L3347">
        <f>[2]TongHop!L3347</f>
        <v>0</v>
      </c>
      <c r="M3347">
        <f>[2]TongHop!M3347</f>
        <v>0</v>
      </c>
      <c r="N3347">
        <f>[2]TongHop!N3347</f>
        <v>0</v>
      </c>
    </row>
    <row r="3348" spans="1:14">
      <c r="A3348">
        <f>[2]TongHop!A3348</f>
        <v>0</v>
      </c>
      <c r="B3348">
        <f>[2]TongHop!B3348</f>
        <v>0</v>
      </c>
      <c r="C3348">
        <f>[2]TongHop!C3348</f>
        <v>0</v>
      </c>
      <c r="D3348">
        <f>[2]TongHop!D3348</f>
        <v>0</v>
      </c>
      <c r="E3348">
        <f>[2]TongHop!E3348</f>
        <v>0</v>
      </c>
      <c r="F3348">
        <f>[2]TongHop!F3348</f>
        <v>0</v>
      </c>
      <c r="G3348">
        <f>[2]TongHop!G3348</f>
        <v>0</v>
      </c>
      <c r="H3348">
        <f>[2]TongHop!H3348</f>
        <v>0</v>
      </c>
      <c r="I3348">
        <f>[2]TongHop!I3348</f>
        <v>0</v>
      </c>
      <c r="J3348">
        <f>[2]TongHop!J3348</f>
        <v>0</v>
      </c>
      <c r="K3348">
        <f>[2]TongHop!K3348</f>
        <v>0</v>
      </c>
      <c r="L3348">
        <f>[2]TongHop!L3348</f>
        <v>0</v>
      </c>
      <c r="M3348">
        <f>[2]TongHop!M3348</f>
        <v>0</v>
      </c>
      <c r="N3348">
        <f>[2]TongHop!N3348</f>
        <v>0</v>
      </c>
    </row>
    <row r="3349" spans="1:14">
      <c r="A3349">
        <f>[2]TongHop!A3349</f>
        <v>0</v>
      </c>
      <c r="B3349">
        <f>[2]TongHop!B3349</f>
        <v>0</v>
      </c>
      <c r="C3349">
        <f>[2]TongHop!C3349</f>
        <v>0</v>
      </c>
      <c r="D3349">
        <f>[2]TongHop!D3349</f>
        <v>0</v>
      </c>
      <c r="E3349">
        <f>[2]TongHop!E3349</f>
        <v>0</v>
      </c>
      <c r="F3349">
        <f>[2]TongHop!F3349</f>
        <v>0</v>
      </c>
      <c r="G3349">
        <f>[2]TongHop!G3349</f>
        <v>0</v>
      </c>
      <c r="H3349">
        <f>[2]TongHop!H3349</f>
        <v>0</v>
      </c>
      <c r="I3349">
        <f>[2]TongHop!I3349</f>
        <v>0</v>
      </c>
      <c r="J3349">
        <f>[2]TongHop!J3349</f>
        <v>0</v>
      </c>
      <c r="K3349">
        <f>[2]TongHop!K3349</f>
        <v>0</v>
      </c>
      <c r="L3349">
        <f>[2]TongHop!L3349</f>
        <v>0</v>
      </c>
      <c r="M3349">
        <f>[2]TongHop!M3349</f>
        <v>0</v>
      </c>
      <c r="N3349">
        <f>[2]TongHop!N3349</f>
        <v>0</v>
      </c>
    </row>
    <row r="3350" spans="1:14">
      <c r="A3350">
        <f>[2]TongHop!A3350</f>
        <v>0</v>
      </c>
      <c r="B3350">
        <f>[2]TongHop!B3350</f>
        <v>0</v>
      </c>
      <c r="C3350">
        <f>[2]TongHop!C3350</f>
        <v>0</v>
      </c>
      <c r="D3350">
        <f>[2]TongHop!D3350</f>
        <v>0</v>
      </c>
      <c r="E3350">
        <f>[2]TongHop!E3350</f>
        <v>0</v>
      </c>
      <c r="F3350">
        <f>[2]TongHop!F3350</f>
        <v>0</v>
      </c>
      <c r="G3350">
        <f>[2]TongHop!G3350</f>
        <v>0</v>
      </c>
      <c r="H3350">
        <f>[2]TongHop!H3350</f>
        <v>0</v>
      </c>
      <c r="I3350">
        <f>[2]TongHop!I3350</f>
        <v>0</v>
      </c>
      <c r="J3350">
        <f>[2]TongHop!J3350</f>
        <v>0</v>
      </c>
      <c r="K3350">
        <f>[2]TongHop!K3350</f>
        <v>0</v>
      </c>
      <c r="L3350">
        <f>[2]TongHop!L3350</f>
        <v>0</v>
      </c>
      <c r="M3350">
        <f>[2]TongHop!M3350</f>
        <v>0</v>
      </c>
      <c r="N3350">
        <f>[2]TongHop!N3350</f>
        <v>0</v>
      </c>
    </row>
    <row r="3351" spans="1:14">
      <c r="A3351">
        <f>[2]TongHop!A3351</f>
        <v>0</v>
      </c>
      <c r="B3351">
        <f>[2]TongHop!B3351</f>
        <v>0</v>
      </c>
      <c r="C3351">
        <f>[2]TongHop!C3351</f>
        <v>0</v>
      </c>
      <c r="D3351">
        <f>[2]TongHop!D3351</f>
        <v>0</v>
      </c>
      <c r="E3351">
        <f>[2]TongHop!E3351</f>
        <v>0</v>
      </c>
      <c r="F3351">
        <f>[2]TongHop!F3351</f>
        <v>0</v>
      </c>
      <c r="G3351">
        <f>[2]TongHop!G3351</f>
        <v>0</v>
      </c>
      <c r="H3351">
        <f>[2]TongHop!H3351</f>
        <v>0</v>
      </c>
      <c r="I3351">
        <f>[2]TongHop!I3351</f>
        <v>0</v>
      </c>
      <c r="J3351">
        <f>[2]TongHop!J3351</f>
        <v>0</v>
      </c>
      <c r="K3351">
        <f>[2]TongHop!K3351</f>
        <v>0</v>
      </c>
      <c r="L3351">
        <f>[2]TongHop!L3351</f>
        <v>0</v>
      </c>
      <c r="M3351">
        <f>[2]TongHop!M3351</f>
        <v>0</v>
      </c>
      <c r="N3351">
        <f>[2]TongHop!N3351</f>
        <v>0</v>
      </c>
    </row>
    <row r="3352" spans="1:14">
      <c r="A3352">
        <f>[2]TongHop!A3352</f>
        <v>0</v>
      </c>
      <c r="B3352">
        <f>[2]TongHop!B3352</f>
        <v>0</v>
      </c>
      <c r="C3352">
        <f>[2]TongHop!C3352</f>
        <v>0</v>
      </c>
      <c r="D3352">
        <f>[2]TongHop!D3352</f>
        <v>0</v>
      </c>
      <c r="E3352">
        <f>[2]TongHop!E3352</f>
        <v>0</v>
      </c>
      <c r="F3352">
        <f>[2]TongHop!F3352</f>
        <v>0</v>
      </c>
      <c r="G3352">
        <f>[2]TongHop!G3352</f>
        <v>0</v>
      </c>
      <c r="H3352">
        <f>[2]TongHop!H3352</f>
        <v>0</v>
      </c>
      <c r="I3352">
        <f>[2]TongHop!I3352</f>
        <v>0</v>
      </c>
      <c r="J3352">
        <f>[2]TongHop!J3352</f>
        <v>0</v>
      </c>
      <c r="K3352">
        <f>[2]TongHop!K3352</f>
        <v>0</v>
      </c>
      <c r="L3352">
        <f>[2]TongHop!L3352</f>
        <v>0</v>
      </c>
      <c r="M3352">
        <f>[2]TongHop!M3352</f>
        <v>0</v>
      </c>
      <c r="N3352">
        <f>[2]TongHop!N3352</f>
        <v>0</v>
      </c>
    </row>
    <row r="3353" spans="1:14">
      <c r="A3353">
        <f>[2]TongHop!A3353</f>
        <v>0</v>
      </c>
      <c r="B3353">
        <f>[2]TongHop!B3353</f>
        <v>0</v>
      </c>
      <c r="C3353">
        <f>[2]TongHop!C3353</f>
        <v>0</v>
      </c>
      <c r="D3353">
        <f>[2]TongHop!D3353</f>
        <v>0</v>
      </c>
      <c r="E3353">
        <f>[2]TongHop!E3353</f>
        <v>0</v>
      </c>
      <c r="F3353">
        <f>[2]TongHop!F3353</f>
        <v>0</v>
      </c>
      <c r="G3353">
        <f>[2]TongHop!G3353</f>
        <v>0</v>
      </c>
      <c r="H3353">
        <f>[2]TongHop!H3353</f>
        <v>0</v>
      </c>
      <c r="I3353">
        <f>[2]TongHop!I3353</f>
        <v>0</v>
      </c>
      <c r="J3353">
        <f>[2]TongHop!J3353</f>
        <v>0</v>
      </c>
      <c r="K3353">
        <f>[2]TongHop!K3353</f>
        <v>0</v>
      </c>
      <c r="L3353">
        <f>[2]TongHop!L3353</f>
        <v>0</v>
      </c>
      <c r="M3353">
        <f>[2]TongHop!M3353</f>
        <v>0</v>
      </c>
      <c r="N3353">
        <f>[2]TongHop!N3353</f>
        <v>0</v>
      </c>
    </row>
    <row r="3354" spans="1:14">
      <c r="A3354">
        <f>[2]TongHop!A3354</f>
        <v>0</v>
      </c>
      <c r="B3354">
        <f>[2]TongHop!B3354</f>
        <v>0</v>
      </c>
      <c r="C3354">
        <f>[2]TongHop!C3354</f>
        <v>0</v>
      </c>
      <c r="D3354">
        <f>[2]TongHop!D3354</f>
        <v>0</v>
      </c>
      <c r="E3354">
        <f>[2]TongHop!E3354</f>
        <v>0</v>
      </c>
      <c r="F3354">
        <f>[2]TongHop!F3354</f>
        <v>0</v>
      </c>
      <c r="G3354">
        <f>[2]TongHop!G3354</f>
        <v>0</v>
      </c>
      <c r="H3354">
        <f>[2]TongHop!H3354</f>
        <v>0</v>
      </c>
      <c r="I3354">
        <f>[2]TongHop!I3354</f>
        <v>0</v>
      </c>
      <c r="J3354">
        <f>[2]TongHop!J3354</f>
        <v>0</v>
      </c>
      <c r="K3354">
        <f>[2]TongHop!K3354</f>
        <v>0</v>
      </c>
      <c r="L3354">
        <f>[2]TongHop!L3354</f>
        <v>0</v>
      </c>
      <c r="M3354">
        <f>[2]TongHop!M3354</f>
        <v>0</v>
      </c>
      <c r="N3354">
        <f>[2]TongHop!N3354</f>
        <v>0</v>
      </c>
    </row>
    <row r="3355" spans="1:14">
      <c r="A3355">
        <f>[2]TongHop!A3355</f>
        <v>0</v>
      </c>
      <c r="B3355">
        <f>[2]TongHop!B3355</f>
        <v>0</v>
      </c>
      <c r="C3355">
        <f>[2]TongHop!C3355</f>
        <v>0</v>
      </c>
      <c r="D3355">
        <f>[2]TongHop!D3355</f>
        <v>0</v>
      </c>
      <c r="E3355">
        <f>[2]TongHop!E3355</f>
        <v>0</v>
      </c>
      <c r="F3355">
        <f>[2]TongHop!F3355</f>
        <v>0</v>
      </c>
      <c r="G3355">
        <f>[2]TongHop!G3355</f>
        <v>0</v>
      </c>
      <c r="H3355">
        <f>[2]TongHop!H3355</f>
        <v>0</v>
      </c>
      <c r="I3355">
        <f>[2]TongHop!I3355</f>
        <v>0</v>
      </c>
      <c r="J3355">
        <f>[2]TongHop!J3355</f>
        <v>0</v>
      </c>
      <c r="K3355">
        <f>[2]TongHop!K3355</f>
        <v>0</v>
      </c>
      <c r="L3355">
        <f>[2]TongHop!L3355</f>
        <v>0</v>
      </c>
      <c r="M3355">
        <f>[2]TongHop!M3355</f>
        <v>0</v>
      </c>
      <c r="N3355">
        <f>[2]TongHop!N3355</f>
        <v>0</v>
      </c>
    </row>
    <row r="3356" spans="1:14">
      <c r="A3356">
        <f>[2]TongHop!A3356</f>
        <v>0</v>
      </c>
      <c r="B3356">
        <f>[2]TongHop!B3356</f>
        <v>0</v>
      </c>
      <c r="C3356">
        <f>[2]TongHop!C3356</f>
        <v>0</v>
      </c>
      <c r="D3356">
        <f>[2]TongHop!D3356</f>
        <v>0</v>
      </c>
      <c r="E3356">
        <f>[2]TongHop!E3356</f>
        <v>0</v>
      </c>
      <c r="F3356">
        <f>[2]TongHop!F3356</f>
        <v>0</v>
      </c>
      <c r="G3356">
        <f>[2]TongHop!G3356</f>
        <v>0</v>
      </c>
      <c r="H3356">
        <f>[2]TongHop!H3356</f>
        <v>0</v>
      </c>
      <c r="I3356">
        <f>[2]TongHop!I3356</f>
        <v>0</v>
      </c>
      <c r="J3356">
        <f>[2]TongHop!J3356</f>
        <v>0</v>
      </c>
      <c r="K3356">
        <f>[2]TongHop!K3356</f>
        <v>0</v>
      </c>
      <c r="L3356">
        <f>[2]TongHop!L3356</f>
        <v>0</v>
      </c>
      <c r="M3356">
        <f>[2]TongHop!M3356</f>
        <v>0</v>
      </c>
      <c r="N3356">
        <f>[2]TongHop!N3356</f>
        <v>0</v>
      </c>
    </row>
    <row r="3357" spans="1:14">
      <c r="A3357">
        <f>[2]TongHop!A3357</f>
        <v>0</v>
      </c>
      <c r="B3357">
        <f>[2]TongHop!B3357</f>
        <v>0</v>
      </c>
      <c r="C3357">
        <f>[2]TongHop!C3357</f>
        <v>0</v>
      </c>
      <c r="D3357">
        <f>[2]TongHop!D3357</f>
        <v>0</v>
      </c>
      <c r="E3357">
        <f>[2]TongHop!E3357</f>
        <v>0</v>
      </c>
      <c r="F3357">
        <f>[2]TongHop!F3357</f>
        <v>0</v>
      </c>
      <c r="G3357">
        <f>[2]TongHop!G3357</f>
        <v>0</v>
      </c>
      <c r="H3357">
        <f>[2]TongHop!H3357</f>
        <v>0</v>
      </c>
      <c r="I3357">
        <f>[2]TongHop!I3357</f>
        <v>0</v>
      </c>
      <c r="J3357">
        <f>[2]TongHop!J3357</f>
        <v>0</v>
      </c>
      <c r="K3357">
        <f>[2]TongHop!K3357</f>
        <v>0</v>
      </c>
      <c r="L3357">
        <f>[2]TongHop!L3357</f>
        <v>0</v>
      </c>
      <c r="M3357">
        <f>[2]TongHop!M3357</f>
        <v>0</v>
      </c>
      <c r="N3357">
        <f>[2]TongHop!N3357</f>
        <v>0</v>
      </c>
    </row>
    <row r="3358" spans="1:14">
      <c r="A3358">
        <f>[2]TongHop!A3358</f>
        <v>0</v>
      </c>
      <c r="B3358">
        <f>[2]TongHop!B3358</f>
        <v>0</v>
      </c>
      <c r="C3358">
        <f>[2]TongHop!C3358</f>
        <v>0</v>
      </c>
      <c r="D3358">
        <f>[2]TongHop!D3358</f>
        <v>0</v>
      </c>
      <c r="E3358">
        <f>[2]TongHop!E3358</f>
        <v>0</v>
      </c>
      <c r="F3358">
        <f>[2]TongHop!F3358</f>
        <v>0</v>
      </c>
      <c r="G3358">
        <f>[2]TongHop!G3358</f>
        <v>0</v>
      </c>
      <c r="H3358">
        <f>[2]TongHop!H3358</f>
        <v>0</v>
      </c>
      <c r="I3358">
        <f>[2]TongHop!I3358</f>
        <v>0</v>
      </c>
      <c r="J3358">
        <f>[2]TongHop!J3358</f>
        <v>0</v>
      </c>
      <c r="K3358">
        <f>[2]TongHop!K3358</f>
        <v>0</v>
      </c>
      <c r="L3358">
        <f>[2]TongHop!L3358</f>
        <v>0</v>
      </c>
      <c r="M3358">
        <f>[2]TongHop!M3358</f>
        <v>0</v>
      </c>
      <c r="N3358">
        <f>[2]TongHop!N3358</f>
        <v>0</v>
      </c>
    </row>
    <row r="3359" spans="1:14">
      <c r="A3359">
        <f>[2]TongHop!A3359</f>
        <v>0</v>
      </c>
      <c r="B3359">
        <f>[2]TongHop!B3359</f>
        <v>0</v>
      </c>
      <c r="C3359">
        <f>[2]TongHop!C3359</f>
        <v>0</v>
      </c>
      <c r="D3359">
        <f>[2]TongHop!D3359</f>
        <v>0</v>
      </c>
      <c r="E3359">
        <f>[2]TongHop!E3359</f>
        <v>0</v>
      </c>
      <c r="F3359">
        <f>[2]TongHop!F3359</f>
        <v>0</v>
      </c>
      <c r="G3359">
        <f>[2]TongHop!G3359</f>
        <v>0</v>
      </c>
      <c r="H3359">
        <f>[2]TongHop!H3359</f>
        <v>0</v>
      </c>
      <c r="I3359">
        <f>[2]TongHop!I3359</f>
        <v>0</v>
      </c>
      <c r="J3359">
        <f>[2]TongHop!J3359</f>
        <v>0</v>
      </c>
      <c r="K3359">
        <f>[2]TongHop!K3359</f>
        <v>0</v>
      </c>
      <c r="L3359">
        <f>[2]TongHop!L3359</f>
        <v>0</v>
      </c>
      <c r="M3359">
        <f>[2]TongHop!M3359</f>
        <v>0</v>
      </c>
      <c r="N3359">
        <f>[2]TongHop!N3359</f>
        <v>0</v>
      </c>
    </row>
    <row r="3360" spans="1:14">
      <c r="A3360">
        <f>[2]TongHop!A3360</f>
        <v>0</v>
      </c>
      <c r="B3360">
        <f>[2]TongHop!B3360</f>
        <v>0</v>
      </c>
      <c r="C3360">
        <f>[2]TongHop!C3360</f>
        <v>0</v>
      </c>
      <c r="D3360">
        <f>[2]TongHop!D3360</f>
        <v>0</v>
      </c>
      <c r="E3360">
        <f>[2]TongHop!E3360</f>
        <v>0</v>
      </c>
      <c r="F3360">
        <f>[2]TongHop!F3360</f>
        <v>0</v>
      </c>
      <c r="G3360">
        <f>[2]TongHop!G3360</f>
        <v>0</v>
      </c>
      <c r="H3360">
        <f>[2]TongHop!H3360</f>
        <v>0</v>
      </c>
      <c r="I3360">
        <f>[2]TongHop!I3360</f>
        <v>0</v>
      </c>
      <c r="J3360">
        <f>[2]TongHop!J3360</f>
        <v>0</v>
      </c>
      <c r="K3360">
        <f>[2]TongHop!K3360</f>
        <v>0</v>
      </c>
      <c r="L3360">
        <f>[2]TongHop!L3360</f>
        <v>0</v>
      </c>
      <c r="M3360">
        <f>[2]TongHop!M3360</f>
        <v>0</v>
      </c>
      <c r="N3360">
        <f>[2]TongHop!N3360</f>
        <v>0</v>
      </c>
    </row>
    <row r="3361" spans="1:14">
      <c r="A3361">
        <f>[2]TongHop!A3361</f>
        <v>0</v>
      </c>
      <c r="B3361">
        <f>[2]TongHop!B3361</f>
        <v>0</v>
      </c>
      <c r="C3361">
        <f>[2]TongHop!C3361</f>
        <v>0</v>
      </c>
      <c r="D3361">
        <f>[2]TongHop!D3361</f>
        <v>0</v>
      </c>
      <c r="E3361">
        <f>[2]TongHop!E3361</f>
        <v>0</v>
      </c>
      <c r="F3361">
        <f>[2]TongHop!F3361</f>
        <v>0</v>
      </c>
      <c r="G3361">
        <f>[2]TongHop!G3361</f>
        <v>0</v>
      </c>
      <c r="H3361">
        <f>[2]TongHop!H3361</f>
        <v>0</v>
      </c>
      <c r="I3361">
        <f>[2]TongHop!I3361</f>
        <v>0</v>
      </c>
      <c r="J3361">
        <f>[2]TongHop!J3361</f>
        <v>0</v>
      </c>
      <c r="K3361">
        <f>[2]TongHop!K3361</f>
        <v>0</v>
      </c>
      <c r="L3361">
        <f>[2]TongHop!L3361</f>
        <v>0</v>
      </c>
      <c r="M3361">
        <f>[2]TongHop!M3361</f>
        <v>0</v>
      </c>
      <c r="N3361">
        <f>[2]TongHop!N3361</f>
        <v>0</v>
      </c>
    </row>
    <row r="3362" spans="1:14">
      <c r="A3362">
        <f>[2]TongHop!A3362</f>
        <v>0</v>
      </c>
      <c r="B3362">
        <f>[2]TongHop!B3362</f>
        <v>0</v>
      </c>
      <c r="C3362">
        <f>[2]TongHop!C3362</f>
        <v>0</v>
      </c>
      <c r="D3362">
        <f>[2]TongHop!D3362</f>
        <v>0</v>
      </c>
      <c r="E3362">
        <f>[2]TongHop!E3362</f>
        <v>0</v>
      </c>
      <c r="F3362">
        <f>[2]TongHop!F3362</f>
        <v>0</v>
      </c>
      <c r="G3362">
        <f>[2]TongHop!G3362</f>
        <v>0</v>
      </c>
      <c r="H3362">
        <f>[2]TongHop!H3362</f>
        <v>0</v>
      </c>
      <c r="I3362">
        <f>[2]TongHop!I3362</f>
        <v>0</v>
      </c>
      <c r="J3362">
        <f>[2]TongHop!J3362</f>
        <v>0</v>
      </c>
      <c r="K3362">
        <f>[2]TongHop!K3362</f>
        <v>0</v>
      </c>
      <c r="L3362">
        <f>[2]TongHop!L3362</f>
        <v>0</v>
      </c>
      <c r="M3362">
        <f>[2]TongHop!M3362</f>
        <v>0</v>
      </c>
      <c r="N3362">
        <f>[2]TongHop!N3362</f>
        <v>0</v>
      </c>
    </row>
    <row r="3363" spans="1:14">
      <c r="A3363">
        <f>[2]TongHop!A3363</f>
        <v>0</v>
      </c>
      <c r="B3363">
        <f>[2]TongHop!B3363</f>
        <v>0</v>
      </c>
      <c r="C3363">
        <f>[2]TongHop!C3363</f>
        <v>0</v>
      </c>
      <c r="D3363">
        <f>[2]TongHop!D3363</f>
        <v>0</v>
      </c>
      <c r="E3363">
        <f>[2]TongHop!E3363</f>
        <v>0</v>
      </c>
      <c r="F3363">
        <f>[2]TongHop!F3363</f>
        <v>0</v>
      </c>
      <c r="G3363">
        <f>[2]TongHop!G3363</f>
        <v>0</v>
      </c>
      <c r="H3363">
        <f>[2]TongHop!H3363</f>
        <v>0</v>
      </c>
      <c r="I3363">
        <f>[2]TongHop!I3363</f>
        <v>0</v>
      </c>
      <c r="J3363">
        <f>[2]TongHop!J3363</f>
        <v>0</v>
      </c>
      <c r="K3363">
        <f>[2]TongHop!K3363</f>
        <v>0</v>
      </c>
      <c r="L3363">
        <f>[2]TongHop!L3363</f>
        <v>0</v>
      </c>
      <c r="M3363">
        <f>[2]TongHop!M3363</f>
        <v>0</v>
      </c>
      <c r="N3363">
        <f>[2]TongHop!N3363</f>
        <v>0</v>
      </c>
    </row>
    <row r="3364" spans="1:14">
      <c r="A3364">
        <f>[2]TongHop!A3364</f>
        <v>0</v>
      </c>
      <c r="B3364">
        <f>[2]TongHop!B3364</f>
        <v>0</v>
      </c>
      <c r="C3364">
        <f>[2]TongHop!C3364</f>
        <v>0</v>
      </c>
      <c r="D3364">
        <f>[2]TongHop!D3364</f>
        <v>0</v>
      </c>
      <c r="E3364">
        <f>[2]TongHop!E3364</f>
        <v>0</v>
      </c>
      <c r="F3364">
        <f>[2]TongHop!F3364</f>
        <v>0</v>
      </c>
      <c r="G3364">
        <f>[2]TongHop!G3364</f>
        <v>0</v>
      </c>
      <c r="H3364">
        <f>[2]TongHop!H3364</f>
        <v>0</v>
      </c>
      <c r="I3364">
        <f>[2]TongHop!I3364</f>
        <v>0</v>
      </c>
      <c r="J3364">
        <f>[2]TongHop!J3364</f>
        <v>0</v>
      </c>
      <c r="K3364">
        <f>[2]TongHop!K3364</f>
        <v>0</v>
      </c>
      <c r="L3364">
        <f>[2]TongHop!L3364</f>
        <v>0</v>
      </c>
      <c r="M3364">
        <f>[2]TongHop!M3364</f>
        <v>0</v>
      </c>
      <c r="N3364">
        <f>[2]TongHop!N3364</f>
        <v>0</v>
      </c>
    </row>
    <row r="3365" spans="1:14">
      <c r="A3365">
        <f>[2]TongHop!A3365</f>
        <v>0</v>
      </c>
      <c r="B3365">
        <f>[2]TongHop!B3365</f>
        <v>0</v>
      </c>
      <c r="C3365">
        <f>[2]TongHop!C3365</f>
        <v>0</v>
      </c>
      <c r="D3365">
        <f>[2]TongHop!D3365</f>
        <v>0</v>
      </c>
      <c r="E3365">
        <f>[2]TongHop!E3365</f>
        <v>0</v>
      </c>
      <c r="F3365">
        <f>[2]TongHop!F3365</f>
        <v>0</v>
      </c>
      <c r="G3365">
        <f>[2]TongHop!G3365</f>
        <v>0</v>
      </c>
      <c r="H3365">
        <f>[2]TongHop!H3365</f>
        <v>0</v>
      </c>
      <c r="I3365">
        <f>[2]TongHop!I3365</f>
        <v>0</v>
      </c>
      <c r="J3365">
        <f>[2]TongHop!J3365</f>
        <v>0</v>
      </c>
      <c r="K3365">
        <f>[2]TongHop!K3365</f>
        <v>0</v>
      </c>
      <c r="L3365">
        <f>[2]TongHop!L3365</f>
        <v>0</v>
      </c>
      <c r="M3365">
        <f>[2]TongHop!M3365</f>
        <v>0</v>
      </c>
      <c r="N3365">
        <f>[2]TongHop!N3365</f>
        <v>0</v>
      </c>
    </row>
    <row r="3366" spans="1:14">
      <c r="A3366">
        <f>[2]TongHop!A3366</f>
        <v>0</v>
      </c>
      <c r="B3366">
        <f>[2]TongHop!B3366</f>
        <v>0</v>
      </c>
      <c r="C3366">
        <f>[2]TongHop!C3366</f>
        <v>0</v>
      </c>
      <c r="D3366">
        <f>[2]TongHop!D3366</f>
        <v>0</v>
      </c>
      <c r="E3366">
        <f>[2]TongHop!E3366</f>
        <v>0</v>
      </c>
      <c r="F3366">
        <f>[2]TongHop!F3366</f>
        <v>0</v>
      </c>
      <c r="G3366">
        <f>[2]TongHop!G3366</f>
        <v>0</v>
      </c>
      <c r="H3366">
        <f>[2]TongHop!H3366</f>
        <v>0</v>
      </c>
      <c r="I3366">
        <f>[2]TongHop!I3366</f>
        <v>0</v>
      </c>
      <c r="J3366">
        <f>[2]TongHop!J3366</f>
        <v>0</v>
      </c>
      <c r="K3366">
        <f>[2]TongHop!K3366</f>
        <v>0</v>
      </c>
      <c r="L3366">
        <f>[2]TongHop!L3366</f>
        <v>0</v>
      </c>
      <c r="M3366">
        <f>[2]TongHop!M3366</f>
        <v>0</v>
      </c>
      <c r="N3366">
        <f>[2]TongHop!N3366</f>
        <v>0</v>
      </c>
    </row>
    <row r="3367" spans="1:14">
      <c r="A3367">
        <f>[2]TongHop!A3367</f>
        <v>0</v>
      </c>
      <c r="B3367">
        <f>[2]TongHop!B3367</f>
        <v>0</v>
      </c>
      <c r="C3367">
        <f>[2]TongHop!C3367</f>
        <v>0</v>
      </c>
      <c r="D3367">
        <f>[2]TongHop!D3367</f>
        <v>0</v>
      </c>
      <c r="E3367">
        <f>[2]TongHop!E3367</f>
        <v>0</v>
      </c>
      <c r="F3367">
        <f>[2]TongHop!F3367</f>
        <v>0</v>
      </c>
      <c r="G3367">
        <f>[2]TongHop!G3367</f>
        <v>0</v>
      </c>
      <c r="H3367">
        <f>[2]TongHop!H3367</f>
        <v>0</v>
      </c>
      <c r="I3367">
        <f>[2]TongHop!I3367</f>
        <v>0</v>
      </c>
      <c r="J3367">
        <f>[2]TongHop!J3367</f>
        <v>0</v>
      </c>
      <c r="K3367">
        <f>[2]TongHop!K3367</f>
        <v>0</v>
      </c>
      <c r="L3367">
        <f>[2]TongHop!L3367</f>
        <v>0</v>
      </c>
      <c r="M3367">
        <f>[2]TongHop!M3367</f>
        <v>0</v>
      </c>
      <c r="N3367">
        <f>[2]TongHop!N3367</f>
        <v>0</v>
      </c>
    </row>
    <row r="3368" spans="1:14">
      <c r="A3368">
        <f>[2]TongHop!A3368</f>
        <v>0</v>
      </c>
      <c r="B3368">
        <f>[2]TongHop!B3368</f>
        <v>0</v>
      </c>
      <c r="C3368">
        <f>[2]TongHop!C3368</f>
        <v>0</v>
      </c>
      <c r="D3368">
        <f>[2]TongHop!D3368</f>
        <v>0</v>
      </c>
      <c r="E3368">
        <f>[2]TongHop!E3368</f>
        <v>0</v>
      </c>
      <c r="F3368">
        <f>[2]TongHop!F3368</f>
        <v>0</v>
      </c>
      <c r="G3368">
        <f>[2]TongHop!G3368</f>
        <v>0</v>
      </c>
      <c r="H3368">
        <f>[2]TongHop!H3368</f>
        <v>0</v>
      </c>
      <c r="I3368">
        <f>[2]TongHop!I3368</f>
        <v>0</v>
      </c>
      <c r="J3368">
        <f>[2]TongHop!J3368</f>
        <v>0</v>
      </c>
      <c r="K3368">
        <f>[2]TongHop!K3368</f>
        <v>0</v>
      </c>
      <c r="L3368">
        <f>[2]TongHop!L3368</f>
        <v>0</v>
      </c>
      <c r="M3368">
        <f>[2]TongHop!M3368</f>
        <v>0</v>
      </c>
      <c r="N3368">
        <f>[2]TongHop!N3368</f>
        <v>0</v>
      </c>
    </row>
    <row r="3369" spans="1:14">
      <c r="A3369">
        <f>[2]TongHop!A3369</f>
        <v>0</v>
      </c>
      <c r="B3369">
        <f>[2]TongHop!B3369</f>
        <v>0</v>
      </c>
      <c r="C3369">
        <f>[2]TongHop!C3369</f>
        <v>0</v>
      </c>
      <c r="D3369">
        <f>[2]TongHop!D3369</f>
        <v>0</v>
      </c>
      <c r="E3369">
        <f>[2]TongHop!E3369</f>
        <v>0</v>
      </c>
      <c r="F3369">
        <f>[2]TongHop!F3369</f>
        <v>0</v>
      </c>
      <c r="G3369">
        <f>[2]TongHop!G3369</f>
        <v>0</v>
      </c>
      <c r="H3369">
        <f>[2]TongHop!H3369</f>
        <v>0</v>
      </c>
      <c r="I3369">
        <f>[2]TongHop!I3369</f>
        <v>0</v>
      </c>
      <c r="J3369">
        <f>[2]TongHop!J3369</f>
        <v>0</v>
      </c>
      <c r="K3369">
        <f>[2]TongHop!K3369</f>
        <v>0</v>
      </c>
      <c r="L3369">
        <f>[2]TongHop!L3369</f>
        <v>0</v>
      </c>
      <c r="M3369">
        <f>[2]TongHop!M3369</f>
        <v>0</v>
      </c>
      <c r="N3369">
        <f>[2]TongHop!N3369</f>
        <v>0</v>
      </c>
    </row>
    <row r="3370" spans="1:14">
      <c r="A3370">
        <f>[2]TongHop!A3370</f>
        <v>0</v>
      </c>
      <c r="B3370">
        <f>[2]TongHop!B3370</f>
        <v>0</v>
      </c>
      <c r="C3370">
        <f>[2]TongHop!C3370</f>
        <v>0</v>
      </c>
      <c r="D3370">
        <f>[2]TongHop!D3370</f>
        <v>0</v>
      </c>
      <c r="E3370">
        <f>[2]TongHop!E3370</f>
        <v>0</v>
      </c>
      <c r="F3370">
        <f>[2]TongHop!F3370</f>
        <v>0</v>
      </c>
      <c r="G3370">
        <f>[2]TongHop!G3370</f>
        <v>0</v>
      </c>
      <c r="H3370">
        <f>[2]TongHop!H3370</f>
        <v>0</v>
      </c>
      <c r="I3370">
        <f>[2]TongHop!I3370</f>
        <v>0</v>
      </c>
      <c r="J3370">
        <f>[2]TongHop!J3370</f>
        <v>0</v>
      </c>
      <c r="K3370">
        <f>[2]TongHop!K3370</f>
        <v>0</v>
      </c>
      <c r="L3370">
        <f>[2]TongHop!L3370</f>
        <v>0</v>
      </c>
      <c r="M3370">
        <f>[2]TongHop!M3370</f>
        <v>0</v>
      </c>
      <c r="N3370">
        <f>[2]TongHop!N3370</f>
        <v>0</v>
      </c>
    </row>
    <row r="3371" spans="1:14">
      <c r="A3371">
        <f>[2]TongHop!A3371</f>
        <v>0</v>
      </c>
      <c r="B3371">
        <f>[2]TongHop!B3371</f>
        <v>0</v>
      </c>
      <c r="C3371">
        <f>[2]TongHop!C3371</f>
        <v>0</v>
      </c>
      <c r="D3371">
        <f>[2]TongHop!D3371</f>
        <v>0</v>
      </c>
      <c r="E3371">
        <f>[2]TongHop!E3371</f>
        <v>0</v>
      </c>
      <c r="F3371">
        <f>[2]TongHop!F3371</f>
        <v>0</v>
      </c>
      <c r="G3371">
        <f>[2]TongHop!G3371</f>
        <v>0</v>
      </c>
      <c r="H3371">
        <f>[2]TongHop!H3371</f>
        <v>0</v>
      </c>
      <c r="I3371">
        <f>[2]TongHop!I3371</f>
        <v>0</v>
      </c>
      <c r="J3371">
        <f>[2]TongHop!J3371</f>
        <v>0</v>
      </c>
      <c r="K3371">
        <f>[2]TongHop!K3371</f>
        <v>0</v>
      </c>
      <c r="L3371">
        <f>[2]TongHop!L3371</f>
        <v>0</v>
      </c>
      <c r="M3371">
        <f>[2]TongHop!M3371</f>
        <v>0</v>
      </c>
      <c r="N3371">
        <f>[2]TongHop!N3371</f>
        <v>0</v>
      </c>
    </row>
    <row r="3372" spans="1:14">
      <c r="A3372">
        <f>[2]TongHop!A3372</f>
        <v>0</v>
      </c>
      <c r="B3372">
        <f>[2]TongHop!B3372</f>
        <v>0</v>
      </c>
      <c r="C3372">
        <f>[2]TongHop!C3372</f>
        <v>0</v>
      </c>
      <c r="D3372">
        <f>[2]TongHop!D3372</f>
        <v>0</v>
      </c>
      <c r="E3372">
        <f>[2]TongHop!E3372</f>
        <v>0</v>
      </c>
      <c r="F3372">
        <f>[2]TongHop!F3372</f>
        <v>0</v>
      </c>
      <c r="G3372">
        <f>[2]TongHop!G3372</f>
        <v>0</v>
      </c>
      <c r="H3372">
        <f>[2]TongHop!H3372</f>
        <v>0</v>
      </c>
      <c r="I3372">
        <f>[2]TongHop!I3372</f>
        <v>0</v>
      </c>
      <c r="J3372">
        <f>[2]TongHop!J3372</f>
        <v>0</v>
      </c>
      <c r="K3372">
        <f>[2]TongHop!K3372</f>
        <v>0</v>
      </c>
      <c r="L3372">
        <f>[2]TongHop!L3372</f>
        <v>0</v>
      </c>
      <c r="M3372">
        <f>[2]TongHop!M3372</f>
        <v>0</v>
      </c>
      <c r="N3372">
        <f>[2]TongHop!N3372</f>
        <v>0</v>
      </c>
    </row>
    <row r="3373" spans="1:14">
      <c r="A3373">
        <f>[2]TongHop!A3373</f>
        <v>0</v>
      </c>
      <c r="B3373">
        <f>[2]TongHop!B3373</f>
        <v>0</v>
      </c>
      <c r="C3373">
        <f>[2]TongHop!C3373</f>
        <v>0</v>
      </c>
      <c r="D3373">
        <f>[2]TongHop!D3373</f>
        <v>0</v>
      </c>
      <c r="E3373">
        <f>[2]TongHop!E3373</f>
        <v>0</v>
      </c>
      <c r="F3373">
        <f>[2]TongHop!F3373</f>
        <v>0</v>
      </c>
      <c r="G3373">
        <f>[2]TongHop!G3373</f>
        <v>0</v>
      </c>
      <c r="H3373">
        <f>[2]TongHop!H3373</f>
        <v>0</v>
      </c>
      <c r="I3373">
        <f>[2]TongHop!I3373</f>
        <v>0</v>
      </c>
      <c r="J3373">
        <f>[2]TongHop!J3373</f>
        <v>0</v>
      </c>
      <c r="K3373">
        <f>[2]TongHop!K3373</f>
        <v>0</v>
      </c>
      <c r="L3373">
        <f>[2]TongHop!L3373</f>
        <v>0</v>
      </c>
      <c r="M3373">
        <f>[2]TongHop!M3373</f>
        <v>0</v>
      </c>
      <c r="N3373">
        <f>[2]TongHop!N3373</f>
        <v>0</v>
      </c>
    </row>
    <row r="3374" spans="1:14">
      <c r="A3374">
        <f>[2]TongHop!A3374</f>
        <v>0</v>
      </c>
      <c r="B3374">
        <f>[2]TongHop!B3374</f>
        <v>0</v>
      </c>
      <c r="C3374">
        <f>[2]TongHop!C3374</f>
        <v>0</v>
      </c>
      <c r="D3374">
        <f>[2]TongHop!D3374</f>
        <v>0</v>
      </c>
      <c r="E3374">
        <f>[2]TongHop!E3374</f>
        <v>0</v>
      </c>
      <c r="F3374">
        <f>[2]TongHop!F3374</f>
        <v>0</v>
      </c>
      <c r="G3374">
        <f>[2]TongHop!G3374</f>
        <v>0</v>
      </c>
      <c r="H3374">
        <f>[2]TongHop!H3374</f>
        <v>0</v>
      </c>
      <c r="I3374">
        <f>[2]TongHop!I3374</f>
        <v>0</v>
      </c>
      <c r="J3374">
        <f>[2]TongHop!J3374</f>
        <v>0</v>
      </c>
      <c r="K3374">
        <f>[2]TongHop!K3374</f>
        <v>0</v>
      </c>
      <c r="L3374">
        <f>[2]TongHop!L3374</f>
        <v>0</v>
      </c>
      <c r="M3374">
        <f>[2]TongHop!M3374</f>
        <v>0</v>
      </c>
      <c r="N3374">
        <f>[2]TongHop!N3374</f>
        <v>0</v>
      </c>
    </row>
    <row r="3375" spans="1:14">
      <c r="A3375">
        <f>[2]TongHop!A3375</f>
        <v>0</v>
      </c>
      <c r="B3375">
        <f>[2]TongHop!B3375</f>
        <v>0</v>
      </c>
      <c r="C3375">
        <f>[2]TongHop!C3375</f>
        <v>0</v>
      </c>
      <c r="D3375">
        <f>[2]TongHop!D3375</f>
        <v>0</v>
      </c>
      <c r="E3375">
        <f>[2]TongHop!E3375</f>
        <v>0</v>
      </c>
      <c r="F3375">
        <f>[2]TongHop!F3375</f>
        <v>0</v>
      </c>
      <c r="G3375">
        <f>[2]TongHop!G3375</f>
        <v>0</v>
      </c>
      <c r="H3375">
        <f>[2]TongHop!H3375</f>
        <v>0</v>
      </c>
      <c r="I3375">
        <f>[2]TongHop!I3375</f>
        <v>0</v>
      </c>
      <c r="J3375">
        <f>[2]TongHop!J3375</f>
        <v>0</v>
      </c>
      <c r="K3375">
        <f>[2]TongHop!K3375</f>
        <v>0</v>
      </c>
      <c r="L3375">
        <f>[2]TongHop!L3375</f>
        <v>0</v>
      </c>
      <c r="M3375">
        <f>[2]TongHop!M3375</f>
        <v>0</v>
      </c>
      <c r="N3375">
        <f>[2]TongHop!N3375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6"/>
  <sheetViews>
    <sheetView topLeftCell="A64" workbookViewId="0">
      <selection activeCell="C81" sqref="C81"/>
    </sheetView>
  </sheetViews>
  <sheetFormatPr defaultRowHeight="12.75"/>
  <cols>
    <col min="1" max="1" width="11.28515625" customWidth="1"/>
    <col min="2" max="2" width="21" customWidth="1"/>
    <col min="3" max="3" width="16.140625" customWidth="1"/>
    <col min="4" max="4" width="15.7109375" customWidth="1"/>
  </cols>
  <sheetData>
    <row r="1" spans="1:3" ht="21.75" customHeight="1">
      <c r="A1" s="23" t="s">
        <v>600</v>
      </c>
      <c r="B1" s="23" t="s">
        <v>601</v>
      </c>
      <c r="C1" s="23">
        <v>21</v>
      </c>
    </row>
    <row r="2" spans="1:3">
      <c r="A2" t="s">
        <v>358</v>
      </c>
      <c r="B2" t="str">
        <f>VLOOKUP(A2,DSSP!$A:$B,2,0)</f>
        <v>Bông cân</v>
      </c>
    </row>
    <row r="4" spans="1:3">
      <c r="A4" t="s">
        <v>217</v>
      </c>
      <c r="B4" t="str">
        <f>VLOOKUP(A4,DSSP!$A:$B,2,0)</f>
        <v>Dây cói</v>
      </c>
    </row>
    <row r="5" spans="1:3">
      <c r="B5" s="51" t="s">
        <v>602</v>
      </c>
    </row>
    <row r="6" spans="1:3">
      <c r="B6" s="63" t="s">
        <v>603</v>
      </c>
    </row>
    <row r="7" spans="1:3">
      <c r="B7" s="54" t="s">
        <v>604</v>
      </c>
    </row>
    <row r="8" spans="1:3">
      <c r="B8" s="55" t="s">
        <v>605</v>
      </c>
    </row>
    <row r="9" spans="1:3">
      <c r="B9" s="57" t="s">
        <v>606</v>
      </c>
    </row>
    <row r="10" spans="1:3">
      <c r="B10" s="52" t="s">
        <v>607</v>
      </c>
    </row>
    <row r="11" spans="1:3">
      <c r="B11" s="65" t="s">
        <v>612</v>
      </c>
    </row>
    <row r="12" spans="1:3">
      <c r="B12" s="64" t="s">
        <v>608</v>
      </c>
    </row>
    <row r="13" spans="1:3">
      <c r="B13" s="59" t="s">
        <v>609</v>
      </c>
    </row>
    <row r="14" spans="1:3">
      <c r="B14" s="60" t="s">
        <v>610</v>
      </c>
    </row>
    <row r="15" spans="1:3" s="66" customFormat="1">
      <c r="B15" s="67"/>
    </row>
    <row r="16" spans="1:3">
      <c r="A16" t="s">
        <v>219</v>
      </c>
      <c r="B16" t="str">
        <f>VLOOKUP(A16,DSSP!$A:$B,2,0)</f>
        <v>Dây da lộn</v>
      </c>
    </row>
    <row r="17" spans="1:2">
      <c r="B17" s="51" t="s">
        <v>602</v>
      </c>
    </row>
    <row r="18" spans="1:2">
      <c r="B18" s="63" t="s">
        <v>603</v>
      </c>
    </row>
    <row r="19" spans="1:2">
      <c r="B19" s="54" t="s">
        <v>604</v>
      </c>
    </row>
    <row r="20" spans="1:2">
      <c r="B20" s="55" t="s">
        <v>605</v>
      </c>
    </row>
    <row r="21" spans="1:2">
      <c r="B21" s="57" t="s">
        <v>606</v>
      </c>
    </row>
    <row r="22" spans="1:2">
      <c r="B22" s="52" t="s">
        <v>607</v>
      </c>
    </row>
    <row r="23" spans="1:2">
      <c r="B23" s="65" t="s">
        <v>612</v>
      </c>
    </row>
    <row r="24" spans="1:2">
      <c r="B24" s="64" t="s">
        <v>608</v>
      </c>
    </row>
    <row r="25" spans="1:2">
      <c r="B25" s="59" t="s">
        <v>609</v>
      </c>
    </row>
    <row r="26" spans="1:2">
      <c r="B26" s="60" t="s">
        <v>610</v>
      </c>
    </row>
    <row r="27" spans="1:2" s="66" customFormat="1">
      <c r="B27" s="67"/>
    </row>
    <row r="28" spans="1:2">
      <c r="A28" t="s">
        <v>221</v>
      </c>
      <c r="B28" t="str">
        <f>VLOOKUP(A28,DSSP!$A:$B,2,0)</f>
        <v>Dây xích</v>
      </c>
    </row>
    <row r="29" spans="1:2">
      <c r="A29" t="s">
        <v>223</v>
      </c>
      <c r="B29" t="str">
        <f>VLOOKUP(A29,DSSP!$A:$B,2,0)</f>
        <v>Dây xích vàng</v>
      </c>
    </row>
    <row r="30" spans="1:2">
      <c r="A30" t="s">
        <v>229</v>
      </c>
      <c r="B30" t="str">
        <f>VLOOKUP(A30,DSSP!$A:$B,2,0)</f>
        <v>Mặt vừa</v>
      </c>
    </row>
    <row r="31" spans="1:2">
      <c r="A31" t="s">
        <v>231</v>
      </c>
      <c r="B31" t="str">
        <f>VLOOKUP(A31,DSSP!$A:$B,2,0)</f>
        <v>Mặt nhỏ</v>
      </c>
    </row>
    <row r="32" spans="1:2">
      <c r="A32" t="s">
        <v>233</v>
      </c>
      <c r="B32" t="str">
        <f>VLOOKUP(A32,DSSP!$A:$B,2,0)</f>
        <v>Mặt cung</v>
      </c>
    </row>
    <row r="33" spans="1:2">
      <c r="A33" t="s">
        <v>237</v>
      </c>
      <c r="B33" t="str">
        <f>VLOOKUP(A33,DSSP!$A:$B,2,0)</f>
        <v>Kẹp ngang to (số 4)</v>
      </c>
    </row>
    <row r="34" spans="1:2">
      <c r="A34" t="s">
        <v>239</v>
      </c>
      <c r="B34" t="str">
        <f>VLOOKUP(A34,DSSP!$A:$B,2,0)</f>
        <v>Kẹp ngang nhỏ(số 3)</v>
      </c>
    </row>
    <row r="35" spans="1:2">
      <c r="A35" t="s">
        <v>494</v>
      </c>
      <c r="B35" t="str">
        <f>VLOOKUP(A35,DSSP!$A:$B,2,0)</f>
        <v>Kem ngang vừa (số 2)</v>
      </c>
    </row>
    <row r="36" spans="1:2">
      <c r="A36" t="s">
        <v>241</v>
      </c>
      <c r="B36" t="str">
        <f>VLOOKUP(A36,DSSP!$A:$B,2,0)</f>
        <v>Kẹp dọc (số 1)</v>
      </c>
    </row>
    <row r="37" spans="1:2">
      <c r="A37" t="s">
        <v>243</v>
      </c>
      <c r="B37" t="str">
        <f>VLOOKUP(A37,DSSP!$A:$B,2,0)</f>
        <v>Càng cua</v>
      </c>
    </row>
    <row r="38" spans="1:2">
      <c r="A38" t="s">
        <v>245</v>
      </c>
      <c r="B38" t="str">
        <f>VLOOKUP(A38,DSSP!$A:$B,2,0)</f>
        <v xml:space="preserve">Chuông bạc </v>
      </c>
    </row>
    <row r="39" spans="1:2">
      <c r="A39" t="s">
        <v>247</v>
      </c>
      <c r="B39" t="str">
        <f>VLOOKUP(A39,DSSP!$A:$B,2,0)</f>
        <v>Chuông giả cổ</v>
      </c>
    </row>
    <row r="40" spans="1:2">
      <c r="A40" t="s">
        <v>365</v>
      </c>
      <c r="B40" t="str">
        <f>VLOOKUP(A40,DSSP!$A:$B,2,0)</f>
        <v>Mặt chữ</v>
      </c>
    </row>
    <row r="41" spans="1:2">
      <c r="A41" t="s">
        <v>366</v>
      </c>
      <c r="B41" t="str">
        <f>VLOOKUP(A41,DSSP!$A:$B,2,0)</f>
        <v>Mặt số</v>
      </c>
    </row>
    <row r="42" spans="1:2">
      <c r="A42" t="s">
        <v>297</v>
      </c>
      <c r="B42" t="str">
        <f>VLOOKUP(A42,DSSP!$A:$B,2,0)</f>
        <v>Vải mét</v>
      </c>
    </row>
    <row r="43" spans="1:2">
      <c r="B43" s="50" t="s">
        <v>612</v>
      </c>
    </row>
    <row r="44" spans="1:2">
      <c r="B44" s="51" t="s">
        <v>613</v>
      </c>
    </row>
    <row r="45" spans="1:2">
      <c r="B45" s="52" t="s">
        <v>607</v>
      </c>
    </row>
    <row r="46" spans="1:2">
      <c r="B46" s="53" t="s">
        <v>611</v>
      </c>
    </row>
    <row r="47" spans="1:2">
      <c r="B47" s="54" t="s">
        <v>604</v>
      </c>
    </row>
    <row r="48" spans="1:2">
      <c r="B48" s="55" t="s">
        <v>615</v>
      </c>
    </row>
    <row r="49" spans="1:2">
      <c r="B49" s="56" t="s">
        <v>614</v>
      </c>
    </row>
    <row r="50" spans="1:2">
      <c r="B50" s="57" t="s">
        <v>620</v>
      </c>
    </row>
    <row r="51" spans="1:2">
      <c r="B51" s="58" t="s">
        <v>619</v>
      </c>
    </row>
    <row r="52" spans="1:2">
      <c r="B52" s="59" t="s">
        <v>617</v>
      </c>
    </row>
    <row r="53" spans="1:2">
      <c r="B53" s="60" t="s">
        <v>616</v>
      </c>
    </row>
    <row r="54" spans="1:2">
      <c r="B54" s="61" t="s">
        <v>618</v>
      </c>
    </row>
    <row r="55" spans="1:2">
      <c r="B55" s="62" t="s">
        <v>621</v>
      </c>
    </row>
    <row r="56" spans="1:2" s="66" customFormat="1">
      <c r="B56" s="68"/>
    </row>
    <row r="57" spans="1:2" ht="25.5">
      <c r="A57" t="s">
        <v>299</v>
      </c>
      <c r="B57" t="str">
        <f>VLOOKUP(A57,DSSP!$A:$B,2,0)</f>
        <v>Vải nỉ làm gối 1.6 x 0.5m</v>
      </c>
    </row>
    <row r="58" spans="1:2">
      <c r="A58" t="s">
        <v>301</v>
      </c>
      <c r="B58" t="str">
        <f>VLOOKUP(A58,DSSP!$A:$B,2,0)</f>
        <v>Vải nỉ làm gối 1.6 x 1m</v>
      </c>
    </row>
    <row r="59" spans="1:2">
      <c r="A59" t="s">
        <v>303</v>
      </c>
      <c r="B59" t="str">
        <f>VLOOKUP(A59,DSSP!$A:$B,2,0)</f>
        <v>Vải vụn 1 LẠNG</v>
      </c>
    </row>
    <row r="60" spans="1:2">
      <c r="A60" t="s">
        <v>391</v>
      </c>
      <c r="B60" t="str">
        <f>VLOOKUP(A60,DSSP!$A:$B,2,0)</f>
        <v>Chun 1m</v>
      </c>
    </row>
    <row r="61" spans="1:2">
      <c r="A61" t="s">
        <v>392</v>
      </c>
      <c r="B61" t="str">
        <f>VLOOKUP(A61,DSSP!$A:$B,2,0)</f>
        <v>Vải lót 1m</v>
      </c>
    </row>
    <row r="62" spans="1:2">
      <c r="A62" t="s">
        <v>393</v>
      </c>
      <c r="B62" t="str">
        <f>VLOOKUP(A62,DSSP!$A:$B,2,0)</f>
        <v>Vải lót 0.5m</v>
      </c>
    </row>
    <row r="63" spans="1:2">
      <c r="A63" t="s">
        <v>347</v>
      </c>
      <c r="B63" t="s">
        <v>212</v>
      </c>
    </row>
    <row r="65" spans="1:3">
      <c r="A65" t="s">
        <v>348</v>
      </c>
      <c r="B65" t="s">
        <v>213</v>
      </c>
    </row>
    <row r="66" spans="1:3">
      <c r="A66" t="s">
        <v>349</v>
      </c>
      <c r="B66" t="s">
        <v>214</v>
      </c>
    </row>
    <row r="67" spans="1:3">
      <c r="A67" t="s">
        <v>350</v>
      </c>
      <c r="B67" t="s">
        <v>215</v>
      </c>
    </row>
    <row r="68" spans="1:3">
      <c r="A68" t="s">
        <v>351</v>
      </c>
      <c r="B68" t="s">
        <v>216</v>
      </c>
    </row>
    <row r="70" spans="1:3">
      <c r="A70" s="4" t="s">
        <v>641</v>
      </c>
      <c r="B70" s="4" t="s">
        <v>643</v>
      </c>
    </row>
    <row r="71" spans="1:3">
      <c r="A71" s="4" t="s">
        <v>533</v>
      </c>
      <c r="B71" s="4" t="s">
        <v>642</v>
      </c>
    </row>
    <row r="72" spans="1:3">
      <c r="A72" s="4" t="s">
        <v>478</v>
      </c>
      <c r="B72" s="4" t="s">
        <v>642</v>
      </c>
    </row>
    <row r="73" spans="1:3" ht="25.5">
      <c r="A73" s="4" t="s">
        <v>644</v>
      </c>
      <c r="B73" s="4" t="s">
        <v>643</v>
      </c>
    </row>
    <row r="74" spans="1:3" ht="25.5">
      <c r="A74" s="4" t="s">
        <v>645</v>
      </c>
      <c r="B74" s="4" t="s">
        <v>642</v>
      </c>
    </row>
    <row r="75" spans="1:3">
      <c r="A75" s="4" t="s">
        <v>646</v>
      </c>
      <c r="B75" s="4" t="s">
        <v>647</v>
      </c>
    </row>
    <row r="76" spans="1:3">
      <c r="B76" s="4" t="s">
        <v>648</v>
      </c>
      <c r="C76" s="4"/>
    </row>
    <row r="77" spans="1:3">
      <c r="B77" s="4" t="s">
        <v>649</v>
      </c>
    </row>
    <row r="78" spans="1:3">
      <c r="B78" s="4" t="s">
        <v>650</v>
      </c>
    </row>
    <row r="79" spans="1:3">
      <c r="A79" s="4" t="s">
        <v>651</v>
      </c>
      <c r="B79" s="4" t="s">
        <v>652</v>
      </c>
    </row>
    <row r="80" spans="1:3">
      <c r="A80" s="4" t="s">
        <v>653</v>
      </c>
      <c r="B80" s="4" t="s">
        <v>654</v>
      </c>
    </row>
    <row r="81" spans="1:8">
      <c r="B81" s="4" t="s">
        <v>648</v>
      </c>
    </row>
    <row r="82" spans="1:8">
      <c r="B82" s="4" t="s">
        <v>655</v>
      </c>
    </row>
    <row r="83" spans="1:8">
      <c r="B83" s="4" t="s">
        <v>656</v>
      </c>
    </row>
    <row r="84" spans="1:8">
      <c r="A84" s="4" t="s">
        <v>657</v>
      </c>
    </row>
    <row r="85" spans="1:8">
      <c r="A85" s="4" t="s">
        <v>658</v>
      </c>
      <c r="B85" s="4" t="s">
        <v>659</v>
      </c>
      <c r="C85">
        <v>21</v>
      </c>
    </row>
    <row r="86" spans="1:8">
      <c r="B86" s="4" t="s">
        <v>660</v>
      </c>
    </row>
    <row r="88" spans="1:8">
      <c r="A88" s="87"/>
      <c r="B88" s="86" t="s">
        <v>661</v>
      </c>
      <c r="C88" s="86" t="s">
        <v>662</v>
      </c>
      <c r="D88" s="86" t="s">
        <v>663</v>
      </c>
      <c r="E88" s="86" t="s">
        <v>664</v>
      </c>
    </row>
    <row r="89" spans="1:8">
      <c r="A89" s="87">
        <v>10</v>
      </c>
      <c r="B89" s="87">
        <v>20</v>
      </c>
      <c r="C89" s="87">
        <f>B89*7</f>
        <v>140</v>
      </c>
      <c r="D89" s="87">
        <f>C89*2</f>
        <v>280</v>
      </c>
      <c r="E89" s="87">
        <f>D89*2</f>
        <v>560</v>
      </c>
    </row>
    <row r="90" spans="1:8">
      <c r="A90" s="87">
        <v>18</v>
      </c>
      <c r="B90" s="87">
        <v>20</v>
      </c>
      <c r="C90" s="87">
        <f t="shared" ref="C90:C92" si="0">B90*7</f>
        <v>140</v>
      </c>
      <c r="D90" s="87">
        <f t="shared" ref="D90:E92" si="1">C90*2</f>
        <v>280</v>
      </c>
      <c r="E90" s="87">
        <f t="shared" si="1"/>
        <v>560</v>
      </c>
    </row>
    <row r="91" spans="1:8">
      <c r="A91" s="87">
        <v>30</v>
      </c>
      <c r="B91" s="87">
        <v>20</v>
      </c>
      <c r="C91" s="87">
        <f t="shared" si="0"/>
        <v>140</v>
      </c>
      <c r="D91" s="87">
        <f t="shared" si="1"/>
        <v>280</v>
      </c>
      <c r="E91" s="87">
        <f t="shared" si="1"/>
        <v>560</v>
      </c>
    </row>
    <row r="92" spans="1:8">
      <c r="A92" s="87">
        <v>45</v>
      </c>
      <c r="B92" s="87">
        <v>7</v>
      </c>
      <c r="C92" s="87">
        <f t="shared" si="0"/>
        <v>49</v>
      </c>
      <c r="D92" s="87">
        <f t="shared" si="1"/>
        <v>98</v>
      </c>
      <c r="E92" s="87">
        <f t="shared" si="1"/>
        <v>196</v>
      </c>
    </row>
    <row r="95" spans="1:8" ht="51">
      <c r="A95" s="86" t="s">
        <v>665</v>
      </c>
      <c r="B95" s="86" t="s">
        <v>670</v>
      </c>
      <c r="D95" s="86" t="s">
        <v>671</v>
      </c>
      <c r="E95" s="86" t="s">
        <v>667</v>
      </c>
      <c r="F95" s="86" t="s">
        <v>666</v>
      </c>
      <c r="G95" s="86" t="s">
        <v>668</v>
      </c>
      <c r="H95" s="86" t="s">
        <v>669</v>
      </c>
    </row>
    <row r="96" spans="1:8">
      <c r="A96" s="87">
        <v>1</v>
      </c>
      <c r="B96" s="87">
        <v>3</v>
      </c>
      <c r="D96" s="87">
        <v>1</v>
      </c>
      <c r="E96" s="87">
        <v>40</v>
      </c>
      <c r="F96" s="87">
        <v>40</v>
      </c>
      <c r="G96" s="87">
        <v>40</v>
      </c>
      <c r="H96" s="87">
        <v>20</v>
      </c>
    </row>
    <row r="97" spans="1:8">
      <c r="A97" s="87">
        <v>2</v>
      </c>
      <c r="B97" s="87">
        <v>8</v>
      </c>
      <c r="D97" s="87">
        <v>2</v>
      </c>
      <c r="E97" s="87">
        <v>20</v>
      </c>
      <c r="F97" s="87">
        <v>20</v>
      </c>
      <c r="G97" s="87">
        <v>20</v>
      </c>
      <c r="H97" s="87">
        <v>10</v>
      </c>
    </row>
    <row r="98" spans="1:8">
      <c r="A98" s="87">
        <v>3</v>
      </c>
      <c r="B98" s="87">
        <v>10</v>
      </c>
      <c r="D98" s="87">
        <v>3</v>
      </c>
      <c r="E98" s="87">
        <v>12</v>
      </c>
      <c r="F98" s="87">
        <v>12</v>
      </c>
      <c r="G98" s="87">
        <v>12</v>
      </c>
      <c r="H98" s="87">
        <v>6</v>
      </c>
    </row>
    <row r="99" spans="1:8">
      <c r="A99" s="87">
        <v>4</v>
      </c>
      <c r="B99" s="87">
        <v>19</v>
      </c>
      <c r="D99" s="87">
        <v>4</v>
      </c>
      <c r="E99" s="87">
        <v>8</v>
      </c>
      <c r="F99" s="87">
        <v>8</v>
      </c>
      <c r="G99" s="87">
        <v>8</v>
      </c>
      <c r="H99" s="87">
        <v>4</v>
      </c>
    </row>
    <row r="101" spans="1:8" ht="25.5">
      <c r="A101" s="4" t="s">
        <v>672</v>
      </c>
    </row>
    <row r="102" spans="1:8" ht="25.5">
      <c r="A102" s="86" t="s">
        <v>673</v>
      </c>
      <c r="B102" s="86" t="s">
        <v>674</v>
      </c>
      <c r="C102" s="86" t="s">
        <v>667</v>
      </c>
      <c r="D102" s="86" t="s">
        <v>666</v>
      </c>
      <c r="E102" s="86" t="s">
        <v>668</v>
      </c>
      <c r="F102" s="86" t="s">
        <v>669</v>
      </c>
    </row>
    <row r="103" spans="1:8">
      <c r="A103" s="87">
        <v>2</v>
      </c>
      <c r="B103" s="87">
        <v>1</v>
      </c>
      <c r="C103" s="87">
        <v>20</v>
      </c>
      <c r="D103" s="87">
        <v>20</v>
      </c>
      <c r="E103" s="87">
        <v>20</v>
      </c>
      <c r="F103" s="87">
        <v>10</v>
      </c>
    </row>
    <row r="104" spans="1:8">
      <c r="A104" s="87">
        <v>3</v>
      </c>
      <c r="B104" s="87">
        <v>1</v>
      </c>
      <c r="C104" s="87">
        <v>12</v>
      </c>
      <c r="D104" s="87">
        <v>12</v>
      </c>
      <c r="E104" s="87">
        <v>12</v>
      </c>
      <c r="F104" s="87">
        <v>6</v>
      </c>
    </row>
    <row r="105" spans="1:8" ht="25.5">
      <c r="A105" s="87">
        <v>4</v>
      </c>
      <c r="B105" s="87">
        <v>2</v>
      </c>
      <c r="C105" s="87">
        <v>16</v>
      </c>
      <c r="D105" s="87">
        <v>16</v>
      </c>
      <c r="E105" s="87">
        <v>16</v>
      </c>
      <c r="F105" s="87">
        <v>8</v>
      </c>
      <c r="G105" s="4" t="s">
        <v>676</v>
      </c>
    </row>
    <row r="106" spans="1:8">
      <c r="A106" s="87"/>
      <c r="B106" s="86" t="s">
        <v>675</v>
      </c>
      <c r="C106" s="87">
        <f>SUM(C103:C105)</f>
        <v>48</v>
      </c>
      <c r="D106" s="87">
        <f t="shared" ref="D106:F106" si="2">SUM(D103:D105)</f>
        <v>48</v>
      </c>
      <c r="E106" s="87">
        <f t="shared" si="2"/>
        <v>48</v>
      </c>
      <c r="F106" s="87">
        <f t="shared" si="2"/>
        <v>24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NhatkyBan</vt:lpstr>
      <vt:lpstr>NhatkyNhap</vt:lpstr>
      <vt:lpstr>NhatkyTon</vt:lpstr>
      <vt:lpstr>ThongtinNgayban</vt:lpstr>
      <vt:lpstr>DSSP</vt:lpstr>
      <vt:lpstr>Sheet1</vt:lpstr>
      <vt:lpstr>Sheet2</vt:lpstr>
      <vt:lpstr>TheoDoi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 Le</dc:creator>
  <cp:lastModifiedBy>Hiep Le</cp:lastModifiedBy>
  <dcterms:created xsi:type="dcterms:W3CDTF">2012-10-31T04:38:39Z</dcterms:created>
  <dcterms:modified xsi:type="dcterms:W3CDTF">2013-01-01T11:37:33Z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oogle.Documents.Tracking">
    <vt:lpwstr>true</vt:lpwstr>
  </property>
  <property fmtid="{D5CDD505-2E9C-101B-9397-08002B2CF9AE}" pid="3" name="Google.Documents.DocumentId">
    <vt:lpwstr>1aY7F5Fzq8DXD5_U-K7DJuff33fhDldjow4VfbKkHfTA</vt:lpwstr>
  </property>
  <property fmtid="{D5CDD505-2E9C-101B-9397-08002B2CF9AE}" pid="4" name="Google.Documents.RevisionId">
    <vt:lpwstr>12481595352023322662</vt:lpwstr>
  </property>
  <property fmtid="{D5CDD505-2E9C-101B-9397-08002B2CF9AE}" pid="5" name="Google.Documents.PreviousRevisionId">
    <vt:lpwstr>17509960175317636442</vt:lpwstr>
  </property>
  <property fmtid="{D5CDD505-2E9C-101B-9397-08002B2CF9AE}" pid="6" name="Google.Documents.PluginVersion">
    <vt:lpwstr>2.0.2662.553</vt:lpwstr>
  </property>
  <property fmtid="{D5CDD505-2E9C-101B-9397-08002B2CF9AE}" pid="7" name="Google.Documents.MergeIncapabilityFlags">
    <vt:i4>0</vt:i4>
  </property>
</Properties>
</file>